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Black_4TB/PXD009019/results_files/"/>
    </mc:Choice>
  </mc:AlternateContent>
  <xr:revisionPtr revIDLastSave="0" documentId="13_ncr:1_{A91FF29E-5C8D-264F-AB8A-BB5E7AD905F1}" xr6:coauthVersionLast="43" xr6:coauthVersionMax="43" xr10:uidLastSave="{00000000-0000-0000-0000-000000000000}"/>
  <bookViews>
    <workbookView xWindow="260" yWindow="7960" windowWidth="50600" windowHeight="20000" activeTab="3" xr2:uid="{00000000-000D-0000-FFFF-FFFF00000000}"/>
  </bookViews>
  <sheets>
    <sheet name="ReadMe" sheetId="5" r:id="rId1"/>
    <sheet name="Analysis_Notes" sheetId="2" r:id="rId2"/>
    <sheet name="Quantifiable" sheetId="6" r:id="rId3"/>
    <sheet name="PXD009019_grouped_proteins" sheetId="1" r:id="rId4"/>
    <sheet name="human_orthologs" sheetId="4" r:id="rId5"/>
    <sheet name="prepped_SpC" sheetId="3" r:id="rId6"/>
  </sheets>
  <definedNames>
    <definedName name="_xlnm._FilterDatabase" localSheetId="3" hidden="1">PXD009019_grouped_proteins!$A$5:$EC$2341</definedName>
    <definedName name="_xlnm._FilterDatabase" localSheetId="2" hidden="1">Quantifiable!$A$5:$BN$674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V7" i="1" l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6" i="1"/>
  <c r="BV1" i="1" l="1"/>
  <c r="O7" i="6" l="1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" i="6"/>
  <c r="AW674" i="6"/>
  <c r="AS674" i="6"/>
  <c r="AW673" i="6"/>
  <c r="AS673" i="6"/>
  <c r="AW672" i="6"/>
  <c r="AS672" i="6"/>
  <c r="AW671" i="6"/>
  <c r="AS671" i="6"/>
  <c r="AW670" i="6"/>
  <c r="AS670" i="6"/>
  <c r="AW669" i="6"/>
  <c r="AS669" i="6"/>
  <c r="AW668" i="6"/>
  <c r="AS668" i="6"/>
  <c r="AW667" i="6"/>
  <c r="AS667" i="6"/>
  <c r="AW666" i="6"/>
  <c r="AS666" i="6"/>
  <c r="AW665" i="6"/>
  <c r="AS665" i="6"/>
  <c r="AW664" i="6"/>
  <c r="AS664" i="6"/>
  <c r="AW663" i="6"/>
  <c r="AS663" i="6"/>
  <c r="AW662" i="6"/>
  <c r="AS662" i="6"/>
  <c r="AW661" i="6"/>
  <c r="AS661" i="6"/>
  <c r="AW660" i="6"/>
  <c r="AS660" i="6"/>
  <c r="AW659" i="6"/>
  <c r="AS659" i="6"/>
  <c r="AW658" i="6"/>
  <c r="AS658" i="6"/>
  <c r="AW657" i="6"/>
  <c r="AS657" i="6"/>
  <c r="AW656" i="6"/>
  <c r="AS656" i="6"/>
  <c r="AW655" i="6"/>
  <c r="AS655" i="6"/>
  <c r="AW654" i="6"/>
  <c r="AS654" i="6"/>
  <c r="AW653" i="6"/>
  <c r="AS653" i="6"/>
  <c r="AW652" i="6"/>
  <c r="AS652" i="6"/>
  <c r="AW651" i="6"/>
  <c r="AS651" i="6"/>
  <c r="AW650" i="6"/>
  <c r="AS650" i="6"/>
  <c r="AW649" i="6"/>
  <c r="AS649" i="6"/>
  <c r="AW648" i="6"/>
  <c r="AS648" i="6"/>
  <c r="AW647" i="6"/>
  <c r="AS647" i="6"/>
  <c r="AW646" i="6"/>
  <c r="AS646" i="6"/>
  <c r="AW645" i="6"/>
  <c r="AS645" i="6"/>
  <c r="AW644" i="6"/>
  <c r="AS644" i="6"/>
  <c r="AW643" i="6"/>
  <c r="AS643" i="6"/>
  <c r="AW642" i="6"/>
  <c r="AS642" i="6"/>
  <c r="AW641" i="6"/>
  <c r="AS641" i="6"/>
  <c r="AW640" i="6"/>
  <c r="AS640" i="6"/>
  <c r="AW639" i="6"/>
  <c r="AS639" i="6"/>
  <c r="AW638" i="6"/>
  <c r="AS638" i="6"/>
  <c r="AW637" i="6"/>
  <c r="AS637" i="6"/>
  <c r="AW636" i="6"/>
  <c r="AS636" i="6"/>
  <c r="AW635" i="6"/>
  <c r="AS635" i="6"/>
  <c r="AW634" i="6"/>
  <c r="AS634" i="6"/>
  <c r="AW633" i="6"/>
  <c r="AS633" i="6"/>
  <c r="AW632" i="6"/>
  <c r="AS632" i="6"/>
  <c r="AW631" i="6"/>
  <c r="AS631" i="6"/>
  <c r="AW630" i="6"/>
  <c r="AS630" i="6"/>
  <c r="AW629" i="6"/>
  <c r="AS629" i="6"/>
  <c r="AW628" i="6"/>
  <c r="AS628" i="6"/>
  <c r="AW627" i="6"/>
  <c r="AS627" i="6"/>
  <c r="AW626" i="6"/>
  <c r="AS626" i="6"/>
  <c r="AW625" i="6"/>
  <c r="AS625" i="6"/>
  <c r="AW624" i="6"/>
  <c r="AS624" i="6"/>
  <c r="AW623" i="6"/>
  <c r="AS623" i="6"/>
  <c r="AW622" i="6"/>
  <c r="AS622" i="6"/>
  <c r="AW621" i="6"/>
  <c r="AS621" i="6"/>
  <c r="AW620" i="6"/>
  <c r="AS620" i="6"/>
  <c r="AW619" i="6"/>
  <c r="AS619" i="6"/>
  <c r="AW618" i="6"/>
  <c r="AS618" i="6"/>
  <c r="AW617" i="6"/>
  <c r="AS617" i="6"/>
  <c r="AW616" i="6"/>
  <c r="AS616" i="6"/>
  <c r="AW615" i="6"/>
  <c r="AS615" i="6"/>
  <c r="AW614" i="6"/>
  <c r="AS614" i="6"/>
  <c r="AW613" i="6"/>
  <c r="AS613" i="6"/>
  <c r="AW612" i="6"/>
  <c r="AS612" i="6"/>
  <c r="AW611" i="6"/>
  <c r="AS611" i="6"/>
  <c r="AW610" i="6"/>
  <c r="AS610" i="6"/>
  <c r="AW609" i="6"/>
  <c r="AS609" i="6"/>
  <c r="AW608" i="6"/>
  <c r="AS608" i="6"/>
  <c r="AW607" i="6"/>
  <c r="AS607" i="6"/>
  <c r="AW606" i="6"/>
  <c r="AS606" i="6"/>
  <c r="AW605" i="6"/>
  <c r="AS605" i="6"/>
  <c r="AW604" i="6"/>
  <c r="AS604" i="6"/>
  <c r="AW603" i="6"/>
  <c r="AS603" i="6"/>
  <c r="AW602" i="6"/>
  <c r="AS602" i="6"/>
  <c r="AW601" i="6"/>
  <c r="AS601" i="6"/>
  <c r="AW600" i="6"/>
  <c r="AS600" i="6"/>
  <c r="AW599" i="6"/>
  <c r="AS599" i="6"/>
  <c r="AW598" i="6"/>
  <c r="AS598" i="6"/>
  <c r="AW597" i="6"/>
  <c r="AS597" i="6"/>
  <c r="AW596" i="6"/>
  <c r="AS596" i="6"/>
  <c r="AW595" i="6"/>
  <c r="AS595" i="6"/>
  <c r="AW594" i="6"/>
  <c r="AS594" i="6"/>
  <c r="AW593" i="6"/>
  <c r="AS593" i="6"/>
  <c r="AW592" i="6"/>
  <c r="AS592" i="6"/>
  <c r="AW591" i="6"/>
  <c r="AS591" i="6"/>
  <c r="AW590" i="6"/>
  <c r="AS590" i="6"/>
  <c r="AW589" i="6"/>
  <c r="AS589" i="6"/>
  <c r="AW588" i="6"/>
  <c r="AS588" i="6"/>
  <c r="AW587" i="6"/>
  <c r="AS587" i="6"/>
  <c r="AW586" i="6"/>
  <c r="AS586" i="6"/>
  <c r="AW585" i="6"/>
  <c r="AS585" i="6"/>
  <c r="AW584" i="6"/>
  <c r="AS584" i="6"/>
  <c r="AW583" i="6"/>
  <c r="AS583" i="6"/>
  <c r="AW582" i="6"/>
  <c r="AS582" i="6"/>
  <c r="AW581" i="6"/>
  <c r="AS581" i="6"/>
  <c r="AW580" i="6"/>
  <c r="AS580" i="6"/>
  <c r="AW579" i="6"/>
  <c r="AS579" i="6"/>
  <c r="AW578" i="6"/>
  <c r="AS578" i="6"/>
  <c r="AW577" i="6"/>
  <c r="AS577" i="6"/>
  <c r="AW576" i="6"/>
  <c r="AS576" i="6"/>
  <c r="AW575" i="6"/>
  <c r="AS575" i="6"/>
  <c r="AW574" i="6"/>
  <c r="AS574" i="6"/>
  <c r="AW573" i="6"/>
  <c r="AS573" i="6"/>
  <c r="AW572" i="6"/>
  <c r="AS572" i="6"/>
  <c r="AW571" i="6"/>
  <c r="AS571" i="6"/>
  <c r="AW570" i="6"/>
  <c r="AS570" i="6"/>
  <c r="AW569" i="6"/>
  <c r="AS569" i="6"/>
  <c r="AW568" i="6"/>
  <c r="AS568" i="6"/>
  <c r="AW567" i="6"/>
  <c r="AS567" i="6"/>
  <c r="AW566" i="6"/>
  <c r="AS566" i="6"/>
  <c r="AW565" i="6"/>
  <c r="AS565" i="6"/>
  <c r="AW564" i="6"/>
  <c r="AS564" i="6"/>
  <c r="AW563" i="6"/>
  <c r="AS563" i="6"/>
  <c r="AW562" i="6"/>
  <c r="AS562" i="6"/>
  <c r="AW561" i="6"/>
  <c r="AS561" i="6"/>
  <c r="AW560" i="6"/>
  <c r="AS560" i="6"/>
  <c r="AW559" i="6"/>
  <c r="AS559" i="6"/>
  <c r="AW558" i="6"/>
  <c r="AS558" i="6"/>
  <c r="AW557" i="6"/>
  <c r="AS557" i="6"/>
  <c r="AW556" i="6"/>
  <c r="AS556" i="6"/>
  <c r="AW555" i="6"/>
  <c r="AS555" i="6"/>
  <c r="AW554" i="6"/>
  <c r="AS554" i="6"/>
  <c r="AW553" i="6"/>
  <c r="AS553" i="6"/>
  <c r="AW552" i="6"/>
  <c r="AS552" i="6"/>
  <c r="AW551" i="6"/>
  <c r="AS551" i="6"/>
  <c r="AW550" i="6"/>
  <c r="AS550" i="6"/>
  <c r="AW549" i="6"/>
  <c r="AS549" i="6"/>
  <c r="AW548" i="6"/>
  <c r="AS548" i="6"/>
  <c r="AW547" i="6"/>
  <c r="AS547" i="6"/>
  <c r="AW546" i="6"/>
  <c r="AS546" i="6"/>
  <c r="AW545" i="6"/>
  <c r="AS545" i="6"/>
  <c r="AW544" i="6"/>
  <c r="AS544" i="6"/>
  <c r="AW543" i="6"/>
  <c r="AS543" i="6"/>
  <c r="AW542" i="6"/>
  <c r="AS542" i="6"/>
  <c r="AW541" i="6"/>
  <c r="AS541" i="6"/>
  <c r="AW540" i="6"/>
  <c r="AS540" i="6"/>
  <c r="AW539" i="6"/>
  <c r="AS539" i="6"/>
  <c r="AW538" i="6"/>
  <c r="AS538" i="6"/>
  <c r="AW537" i="6"/>
  <c r="AS537" i="6"/>
  <c r="AW536" i="6"/>
  <c r="AS536" i="6"/>
  <c r="AW535" i="6"/>
  <c r="AS535" i="6"/>
  <c r="AW534" i="6"/>
  <c r="AS534" i="6"/>
  <c r="AW533" i="6"/>
  <c r="AS533" i="6"/>
  <c r="AW532" i="6"/>
  <c r="AS532" i="6"/>
  <c r="AW531" i="6"/>
  <c r="AS531" i="6"/>
  <c r="AW530" i="6"/>
  <c r="AS530" i="6"/>
  <c r="AW529" i="6"/>
  <c r="AS529" i="6"/>
  <c r="AW528" i="6"/>
  <c r="AS528" i="6"/>
  <c r="AW527" i="6"/>
  <c r="AS527" i="6"/>
  <c r="AW526" i="6"/>
  <c r="AS526" i="6"/>
  <c r="AW525" i="6"/>
  <c r="AS525" i="6"/>
  <c r="AW524" i="6"/>
  <c r="AS524" i="6"/>
  <c r="AW523" i="6"/>
  <c r="AS523" i="6"/>
  <c r="AW522" i="6"/>
  <c r="AS522" i="6"/>
  <c r="AW521" i="6"/>
  <c r="AS521" i="6"/>
  <c r="AW520" i="6"/>
  <c r="AS520" i="6"/>
  <c r="AW519" i="6"/>
  <c r="AS519" i="6"/>
  <c r="AW518" i="6"/>
  <c r="AS518" i="6"/>
  <c r="AW517" i="6"/>
  <c r="AS517" i="6"/>
  <c r="AW516" i="6"/>
  <c r="AS516" i="6"/>
  <c r="AW515" i="6"/>
  <c r="AS515" i="6"/>
  <c r="AW514" i="6"/>
  <c r="AS514" i="6"/>
  <c r="AW513" i="6"/>
  <c r="AS513" i="6"/>
  <c r="AW512" i="6"/>
  <c r="AS512" i="6"/>
  <c r="AW511" i="6"/>
  <c r="AS511" i="6"/>
  <c r="AW510" i="6"/>
  <c r="AS510" i="6"/>
  <c r="AW509" i="6"/>
  <c r="AS509" i="6"/>
  <c r="AW508" i="6"/>
  <c r="AS508" i="6"/>
  <c r="AW507" i="6"/>
  <c r="AS507" i="6"/>
  <c r="AW506" i="6"/>
  <c r="AS506" i="6"/>
  <c r="AW505" i="6"/>
  <c r="AS505" i="6"/>
  <c r="AW504" i="6"/>
  <c r="AS504" i="6"/>
  <c r="AW503" i="6"/>
  <c r="AS503" i="6"/>
  <c r="AW502" i="6"/>
  <c r="AS502" i="6"/>
  <c r="AW501" i="6"/>
  <c r="AS501" i="6"/>
  <c r="AW500" i="6"/>
  <c r="AS500" i="6"/>
  <c r="AW499" i="6"/>
  <c r="AS499" i="6"/>
  <c r="AW498" i="6"/>
  <c r="AS498" i="6"/>
  <c r="AW497" i="6"/>
  <c r="AS497" i="6"/>
  <c r="AW496" i="6"/>
  <c r="AS496" i="6"/>
  <c r="AW495" i="6"/>
  <c r="AS495" i="6"/>
  <c r="AW494" i="6"/>
  <c r="AS494" i="6"/>
  <c r="AW493" i="6"/>
  <c r="AS493" i="6"/>
  <c r="AW492" i="6"/>
  <c r="AS492" i="6"/>
  <c r="AW491" i="6"/>
  <c r="AS491" i="6"/>
  <c r="AW490" i="6"/>
  <c r="AS490" i="6"/>
  <c r="AW489" i="6"/>
  <c r="AS489" i="6"/>
  <c r="AW488" i="6"/>
  <c r="AS488" i="6"/>
  <c r="AW487" i="6"/>
  <c r="AS487" i="6"/>
  <c r="AW486" i="6"/>
  <c r="AS486" i="6"/>
  <c r="AW485" i="6"/>
  <c r="AS485" i="6"/>
  <c r="AW484" i="6"/>
  <c r="AS484" i="6"/>
  <c r="AW483" i="6"/>
  <c r="AS483" i="6"/>
  <c r="AW482" i="6"/>
  <c r="AS482" i="6"/>
  <c r="AW481" i="6"/>
  <c r="AS481" i="6"/>
  <c r="AW480" i="6"/>
  <c r="AS480" i="6"/>
  <c r="AW479" i="6"/>
  <c r="AS479" i="6"/>
  <c r="AW478" i="6"/>
  <c r="AS478" i="6"/>
  <c r="AW477" i="6"/>
  <c r="AS477" i="6"/>
  <c r="AW476" i="6"/>
  <c r="AS476" i="6"/>
  <c r="AW475" i="6"/>
  <c r="AS475" i="6"/>
  <c r="AW474" i="6"/>
  <c r="AS474" i="6"/>
  <c r="AW473" i="6"/>
  <c r="AS473" i="6"/>
  <c r="AW472" i="6"/>
  <c r="AS472" i="6"/>
  <c r="AW471" i="6"/>
  <c r="AS471" i="6"/>
  <c r="AW470" i="6"/>
  <c r="AS470" i="6"/>
  <c r="AW469" i="6"/>
  <c r="AS469" i="6"/>
  <c r="AW468" i="6"/>
  <c r="AS468" i="6"/>
  <c r="AW467" i="6"/>
  <c r="AS467" i="6"/>
  <c r="AW466" i="6"/>
  <c r="AS466" i="6"/>
  <c r="AW465" i="6"/>
  <c r="AS465" i="6"/>
  <c r="AW464" i="6"/>
  <c r="AS464" i="6"/>
  <c r="AW463" i="6"/>
  <c r="AS463" i="6"/>
  <c r="AW462" i="6"/>
  <c r="AS462" i="6"/>
  <c r="AW461" i="6"/>
  <c r="AS461" i="6"/>
  <c r="AW460" i="6"/>
  <c r="AS460" i="6"/>
  <c r="AW459" i="6"/>
  <c r="AS459" i="6"/>
  <c r="AW458" i="6"/>
  <c r="AS458" i="6"/>
  <c r="AW457" i="6"/>
  <c r="AS457" i="6"/>
  <c r="AW456" i="6"/>
  <c r="AS456" i="6"/>
  <c r="AW455" i="6"/>
  <c r="AS455" i="6"/>
  <c r="AW454" i="6"/>
  <c r="AS454" i="6"/>
  <c r="AW453" i="6"/>
  <c r="AS453" i="6"/>
  <c r="AW452" i="6"/>
  <c r="AS452" i="6"/>
  <c r="AW451" i="6"/>
  <c r="AS451" i="6"/>
  <c r="AW450" i="6"/>
  <c r="AS450" i="6"/>
  <c r="AW449" i="6"/>
  <c r="AS449" i="6"/>
  <c r="AW448" i="6"/>
  <c r="AS448" i="6"/>
  <c r="AW447" i="6"/>
  <c r="AS447" i="6"/>
  <c r="AW446" i="6"/>
  <c r="AS446" i="6"/>
  <c r="AW445" i="6"/>
  <c r="AS445" i="6"/>
  <c r="AW444" i="6"/>
  <c r="AS444" i="6"/>
  <c r="AW443" i="6"/>
  <c r="AS443" i="6"/>
  <c r="AW442" i="6"/>
  <c r="AS442" i="6"/>
  <c r="AW441" i="6"/>
  <c r="AS441" i="6"/>
  <c r="AW440" i="6"/>
  <c r="AS440" i="6"/>
  <c r="AW439" i="6"/>
  <c r="AS439" i="6"/>
  <c r="AW438" i="6"/>
  <c r="AS438" i="6"/>
  <c r="AW437" i="6"/>
  <c r="AS437" i="6"/>
  <c r="AW436" i="6"/>
  <c r="AS436" i="6"/>
  <c r="AW435" i="6"/>
  <c r="AS435" i="6"/>
  <c r="AW434" i="6"/>
  <c r="AS434" i="6"/>
  <c r="AW433" i="6"/>
  <c r="AS433" i="6"/>
  <c r="AW432" i="6"/>
  <c r="AS432" i="6"/>
  <c r="AW431" i="6"/>
  <c r="AS431" i="6"/>
  <c r="AW430" i="6"/>
  <c r="AS430" i="6"/>
  <c r="AW429" i="6"/>
  <c r="AS429" i="6"/>
  <c r="AW428" i="6"/>
  <c r="AS428" i="6"/>
  <c r="AW427" i="6"/>
  <c r="AS427" i="6"/>
  <c r="AW426" i="6"/>
  <c r="AS426" i="6"/>
  <c r="AW425" i="6"/>
  <c r="AS425" i="6"/>
  <c r="AW424" i="6"/>
  <c r="AS424" i="6"/>
  <c r="AW423" i="6"/>
  <c r="AS423" i="6"/>
  <c r="AW422" i="6"/>
  <c r="AS422" i="6"/>
  <c r="AW421" i="6"/>
  <c r="AS421" i="6"/>
  <c r="AW420" i="6"/>
  <c r="AS420" i="6"/>
  <c r="AW419" i="6"/>
  <c r="AS419" i="6"/>
  <c r="AW418" i="6"/>
  <c r="AS418" i="6"/>
  <c r="AW417" i="6"/>
  <c r="AS417" i="6"/>
  <c r="AW416" i="6"/>
  <c r="AS416" i="6"/>
  <c r="AW415" i="6"/>
  <c r="AS415" i="6"/>
  <c r="AW414" i="6"/>
  <c r="AS414" i="6"/>
  <c r="AW413" i="6"/>
  <c r="AS413" i="6"/>
  <c r="AW412" i="6"/>
  <c r="AS412" i="6"/>
  <c r="AW411" i="6"/>
  <c r="AS411" i="6"/>
  <c r="AW410" i="6"/>
  <c r="AS410" i="6"/>
  <c r="AW409" i="6"/>
  <c r="AS409" i="6"/>
  <c r="AW408" i="6"/>
  <c r="AS408" i="6"/>
  <c r="AW407" i="6"/>
  <c r="AS407" i="6"/>
  <c r="AW406" i="6"/>
  <c r="AS406" i="6"/>
  <c r="AW405" i="6"/>
  <c r="AS405" i="6"/>
  <c r="AW404" i="6"/>
  <c r="AS404" i="6"/>
  <c r="AW403" i="6"/>
  <c r="AS403" i="6"/>
  <c r="AW402" i="6"/>
  <c r="AS402" i="6"/>
  <c r="AW401" i="6"/>
  <c r="AS401" i="6"/>
  <c r="AW400" i="6"/>
  <c r="AS400" i="6"/>
  <c r="AW399" i="6"/>
  <c r="AS399" i="6"/>
  <c r="AW398" i="6"/>
  <c r="AS398" i="6"/>
  <c r="AW397" i="6"/>
  <c r="AS397" i="6"/>
  <c r="AW396" i="6"/>
  <c r="AS396" i="6"/>
  <c r="AW395" i="6"/>
  <c r="AS395" i="6"/>
  <c r="AW394" i="6"/>
  <c r="AS394" i="6"/>
  <c r="AW393" i="6"/>
  <c r="AS393" i="6"/>
  <c r="AW392" i="6"/>
  <c r="AS392" i="6"/>
  <c r="AW391" i="6"/>
  <c r="AS391" i="6"/>
  <c r="AW390" i="6"/>
  <c r="AS390" i="6"/>
  <c r="AW389" i="6"/>
  <c r="AS389" i="6"/>
  <c r="AW388" i="6"/>
  <c r="AS388" i="6"/>
  <c r="AW387" i="6"/>
  <c r="AS387" i="6"/>
  <c r="AW386" i="6"/>
  <c r="AS386" i="6"/>
  <c r="AW385" i="6"/>
  <c r="AS385" i="6"/>
  <c r="AW384" i="6"/>
  <c r="AS384" i="6"/>
  <c r="AW383" i="6"/>
  <c r="AS383" i="6"/>
  <c r="AW382" i="6"/>
  <c r="AS382" i="6"/>
  <c r="AW381" i="6"/>
  <c r="AS381" i="6"/>
  <c r="AW380" i="6"/>
  <c r="AS380" i="6"/>
  <c r="AW379" i="6"/>
  <c r="AS379" i="6"/>
  <c r="AW378" i="6"/>
  <c r="AS378" i="6"/>
  <c r="AW377" i="6"/>
  <c r="AS377" i="6"/>
  <c r="AW376" i="6"/>
  <c r="AS376" i="6"/>
  <c r="AW375" i="6"/>
  <c r="AS375" i="6"/>
  <c r="AW374" i="6"/>
  <c r="AS374" i="6"/>
  <c r="AW373" i="6"/>
  <c r="AS373" i="6"/>
  <c r="AW372" i="6"/>
  <c r="AS372" i="6"/>
  <c r="AW371" i="6"/>
  <c r="AS371" i="6"/>
  <c r="AW370" i="6"/>
  <c r="AS370" i="6"/>
  <c r="AW369" i="6"/>
  <c r="AS369" i="6"/>
  <c r="AW368" i="6"/>
  <c r="AS368" i="6"/>
  <c r="AW367" i="6"/>
  <c r="AS367" i="6"/>
  <c r="AW366" i="6"/>
  <c r="AS366" i="6"/>
  <c r="AW365" i="6"/>
  <c r="AS365" i="6"/>
  <c r="AW364" i="6"/>
  <c r="AS364" i="6"/>
  <c r="AW363" i="6"/>
  <c r="AS363" i="6"/>
  <c r="AW362" i="6"/>
  <c r="AS362" i="6"/>
  <c r="AW361" i="6"/>
  <c r="AS361" i="6"/>
  <c r="AW360" i="6"/>
  <c r="AS360" i="6"/>
  <c r="AW359" i="6"/>
  <c r="AS359" i="6"/>
  <c r="AW358" i="6"/>
  <c r="AS358" i="6"/>
  <c r="AW357" i="6"/>
  <c r="AS357" i="6"/>
  <c r="AW356" i="6"/>
  <c r="AS356" i="6"/>
  <c r="AW355" i="6"/>
  <c r="AS355" i="6"/>
  <c r="AW354" i="6"/>
  <c r="AS354" i="6"/>
  <c r="AW353" i="6"/>
  <c r="AS353" i="6"/>
  <c r="AW352" i="6"/>
  <c r="AS352" i="6"/>
  <c r="AW351" i="6"/>
  <c r="AS351" i="6"/>
  <c r="AW350" i="6"/>
  <c r="AS350" i="6"/>
  <c r="AW349" i="6"/>
  <c r="AS349" i="6"/>
  <c r="AW348" i="6"/>
  <c r="AS348" i="6"/>
  <c r="AW347" i="6"/>
  <c r="AS347" i="6"/>
  <c r="AW346" i="6"/>
  <c r="AS346" i="6"/>
  <c r="AW345" i="6"/>
  <c r="AS345" i="6"/>
  <c r="AW344" i="6"/>
  <c r="AS344" i="6"/>
  <c r="AW343" i="6"/>
  <c r="AS343" i="6"/>
  <c r="AW342" i="6"/>
  <c r="AS342" i="6"/>
  <c r="AW341" i="6"/>
  <c r="AS341" i="6"/>
  <c r="AW340" i="6"/>
  <c r="AS340" i="6"/>
  <c r="AW339" i="6"/>
  <c r="AS339" i="6"/>
  <c r="AW338" i="6"/>
  <c r="AS338" i="6"/>
  <c r="AW337" i="6"/>
  <c r="AS337" i="6"/>
  <c r="AW336" i="6"/>
  <c r="AS336" i="6"/>
  <c r="AW335" i="6"/>
  <c r="AS335" i="6"/>
  <c r="AW334" i="6"/>
  <c r="AS334" i="6"/>
  <c r="AW333" i="6"/>
  <c r="AS333" i="6"/>
  <c r="AW332" i="6"/>
  <c r="AS332" i="6"/>
  <c r="AW331" i="6"/>
  <c r="AS331" i="6"/>
  <c r="AW330" i="6"/>
  <c r="AS330" i="6"/>
  <c r="AW329" i="6"/>
  <c r="AS329" i="6"/>
  <c r="AW328" i="6"/>
  <c r="AS328" i="6"/>
  <c r="AW327" i="6"/>
  <c r="AS327" i="6"/>
  <c r="AW326" i="6"/>
  <c r="AS326" i="6"/>
  <c r="AW325" i="6"/>
  <c r="AS325" i="6"/>
  <c r="AW324" i="6"/>
  <c r="AS324" i="6"/>
  <c r="AW323" i="6"/>
  <c r="AS323" i="6"/>
  <c r="AW322" i="6"/>
  <c r="AS322" i="6"/>
  <c r="AW321" i="6"/>
  <c r="AS321" i="6"/>
  <c r="AW320" i="6"/>
  <c r="AS320" i="6"/>
  <c r="AW319" i="6"/>
  <c r="AS319" i="6"/>
  <c r="AW318" i="6"/>
  <c r="AS318" i="6"/>
  <c r="AW317" i="6"/>
  <c r="AS317" i="6"/>
  <c r="AW316" i="6"/>
  <c r="AS316" i="6"/>
  <c r="AW315" i="6"/>
  <c r="AS315" i="6"/>
  <c r="AW314" i="6"/>
  <c r="AS314" i="6"/>
  <c r="AW313" i="6"/>
  <c r="AS313" i="6"/>
  <c r="AW312" i="6"/>
  <c r="AS312" i="6"/>
  <c r="AW311" i="6"/>
  <c r="AS311" i="6"/>
  <c r="AW310" i="6"/>
  <c r="AS310" i="6"/>
  <c r="AW309" i="6"/>
  <c r="AS309" i="6"/>
  <c r="AW308" i="6"/>
  <c r="AS308" i="6"/>
  <c r="AW307" i="6"/>
  <c r="AS307" i="6"/>
  <c r="AW306" i="6"/>
  <c r="AS306" i="6"/>
  <c r="AW305" i="6"/>
  <c r="AS305" i="6"/>
  <c r="AW304" i="6"/>
  <c r="AS304" i="6"/>
  <c r="AW303" i="6"/>
  <c r="AS303" i="6"/>
  <c r="AW302" i="6"/>
  <c r="AS302" i="6"/>
  <c r="AW301" i="6"/>
  <c r="AS301" i="6"/>
  <c r="AW300" i="6"/>
  <c r="AS300" i="6"/>
  <c r="AW299" i="6"/>
  <c r="AS299" i="6"/>
  <c r="AW298" i="6"/>
  <c r="AS298" i="6"/>
  <c r="AW297" i="6"/>
  <c r="AS297" i="6"/>
  <c r="AW296" i="6"/>
  <c r="AS296" i="6"/>
  <c r="AW295" i="6"/>
  <c r="AS295" i="6"/>
  <c r="AW294" i="6"/>
  <c r="AS294" i="6"/>
  <c r="AW293" i="6"/>
  <c r="AS293" i="6"/>
  <c r="AW292" i="6"/>
  <c r="AS292" i="6"/>
  <c r="AW291" i="6"/>
  <c r="AS291" i="6"/>
  <c r="AW290" i="6"/>
  <c r="AS290" i="6"/>
  <c r="AW289" i="6"/>
  <c r="AS289" i="6"/>
  <c r="AW288" i="6"/>
  <c r="AS288" i="6"/>
  <c r="AW287" i="6"/>
  <c r="AS287" i="6"/>
  <c r="AW286" i="6"/>
  <c r="AS286" i="6"/>
  <c r="AW285" i="6"/>
  <c r="AS285" i="6"/>
  <c r="AW284" i="6"/>
  <c r="AS284" i="6"/>
  <c r="AW283" i="6"/>
  <c r="AS283" i="6"/>
  <c r="AW282" i="6"/>
  <c r="AS282" i="6"/>
  <c r="AW281" i="6"/>
  <c r="AS281" i="6"/>
  <c r="AW280" i="6"/>
  <c r="AS280" i="6"/>
  <c r="AW279" i="6"/>
  <c r="AS279" i="6"/>
  <c r="AW278" i="6"/>
  <c r="AS278" i="6"/>
  <c r="AW277" i="6"/>
  <c r="AS277" i="6"/>
  <c r="AW276" i="6"/>
  <c r="AS276" i="6"/>
  <c r="AW275" i="6"/>
  <c r="AS275" i="6"/>
  <c r="AW274" i="6"/>
  <c r="AS274" i="6"/>
  <c r="AW273" i="6"/>
  <c r="AS273" i="6"/>
  <c r="AW272" i="6"/>
  <c r="AS272" i="6"/>
  <c r="AW271" i="6"/>
  <c r="AS271" i="6"/>
  <c r="AW270" i="6"/>
  <c r="AS270" i="6"/>
  <c r="AW269" i="6"/>
  <c r="AS269" i="6"/>
  <c r="AW268" i="6"/>
  <c r="AS268" i="6"/>
  <c r="AW267" i="6"/>
  <c r="AS267" i="6"/>
  <c r="AW266" i="6"/>
  <c r="AS266" i="6"/>
  <c r="AW265" i="6"/>
  <c r="AS265" i="6"/>
  <c r="AW264" i="6"/>
  <c r="AS264" i="6"/>
  <c r="AW263" i="6"/>
  <c r="AS263" i="6"/>
  <c r="AW262" i="6"/>
  <c r="AS262" i="6"/>
  <c r="AW261" i="6"/>
  <c r="AS261" i="6"/>
  <c r="AW260" i="6"/>
  <c r="AS260" i="6"/>
  <c r="AW259" i="6"/>
  <c r="AS259" i="6"/>
  <c r="AW258" i="6"/>
  <c r="AS258" i="6"/>
  <c r="AW257" i="6"/>
  <c r="AS257" i="6"/>
  <c r="AW256" i="6"/>
  <c r="AS256" i="6"/>
  <c r="AW255" i="6"/>
  <c r="AS255" i="6"/>
  <c r="AW254" i="6"/>
  <c r="AS254" i="6"/>
  <c r="AW253" i="6"/>
  <c r="AS253" i="6"/>
  <c r="AW252" i="6"/>
  <c r="AS252" i="6"/>
  <c r="AW251" i="6"/>
  <c r="AS251" i="6"/>
  <c r="AW250" i="6"/>
  <c r="AS250" i="6"/>
  <c r="AW249" i="6"/>
  <c r="AS249" i="6"/>
  <c r="AW248" i="6"/>
  <c r="AS248" i="6"/>
  <c r="AW247" i="6"/>
  <c r="AS247" i="6"/>
  <c r="AW246" i="6"/>
  <c r="AS246" i="6"/>
  <c r="AW245" i="6"/>
  <c r="AS245" i="6"/>
  <c r="AW244" i="6"/>
  <c r="AS244" i="6"/>
  <c r="AW243" i="6"/>
  <c r="AS243" i="6"/>
  <c r="AW242" i="6"/>
  <c r="AS242" i="6"/>
  <c r="AW241" i="6"/>
  <c r="AS241" i="6"/>
  <c r="AW240" i="6"/>
  <c r="AS240" i="6"/>
  <c r="AW239" i="6"/>
  <c r="AS239" i="6"/>
  <c r="AW238" i="6"/>
  <c r="AS238" i="6"/>
  <c r="AW237" i="6"/>
  <c r="AS237" i="6"/>
  <c r="AW236" i="6"/>
  <c r="AS236" i="6"/>
  <c r="AW235" i="6"/>
  <c r="AS235" i="6"/>
  <c r="AW234" i="6"/>
  <c r="AS234" i="6"/>
  <c r="AW233" i="6"/>
  <c r="AS233" i="6"/>
  <c r="AW232" i="6"/>
  <c r="AS232" i="6"/>
  <c r="AW231" i="6"/>
  <c r="AS231" i="6"/>
  <c r="AW230" i="6"/>
  <c r="AS230" i="6"/>
  <c r="AW229" i="6"/>
  <c r="AS229" i="6"/>
  <c r="AW228" i="6"/>
  <c r="AS228" i="6"/>
  <c r="AW227" i="6"/>
  <c r="AS227" i="6"/>
  <c r="AW226" i="6"/>
  <c r="AS226" i="6"/>
  <c r="AW225" i="6"/>
  <c r="AS225" i="6"/>
  <c r="AW224" i="6"/>
  <c r="AS224" i="6"/>
  <c r="AW223" i="6"/>
  <c r="AS223" i="6"/>
  <c r="AW222" i="6"/>
  <c r="AS222" i="6"/>
  <c r="AW221" i="6"/>
  <c r="AS221" i="6"/>
  <c r="AW220" i="6"/>
  <c r="AS220" i="6"/>
  <c r="AW219" i="6"/>
  <c r="AS219" i="6"/>
  <c r="AW218" i="6"/>
  <c r="AS218" i="6"/>
  <c r="AW217" i="6"/>
  <c r="AS217" i="6"/>
  <c r="AW216" i="6"/>
  <c r="AS216" i="6"/>
  <c r="AW215" i="6"/>
  <c r="AS215" i="6"/>
  <c r="AW214" i="6"/>
  <c r="AS214" i="6"/>
  <c r="AW213" i="6"/>
  <c r="AS213" i="6"/>
  <c r="AW212" i="6"/>
  <c r="AS212" i="6"/>
  <c r="AW211" i="6"/>
  <c r="AS211" i="6"/>
  <c r="AW210" i="6"/>
  <c r="AS210" i="6"/>
  <c r="AW209" i="6"/>
  <c r="AS209" i="6"/>
  <c r="AW208" i="6"/>
  <c r="AS208" i="6"/>
  <c r="AW207" i="6"/>
  <c r="AS207" i="6"/>
  <c r="AW206" i="6"/>
  <c r="AS206" i="6"/>
  <c r="AW205" i="6"/>
  <c r="AS205" i="6"/>
  <c r="AW204" i="6"/>
  <c r="AS204" i="6"/>
  <c r="AW203" i="6"/>
  <c r="AS203" i="6"/>
  <c r="AW202" i="6"/>
  <c r="AS202" i="6"/>
  <c r="AW201" i="6"/>
  <c r="AS201" i="6"/>
  <c r="AW200" i="6"/>
  <c r="AS200" i="6"/>
  <c r="AW199" i="6"/>
  <c r="AS199" i="6"/>
  <c r="AW198" i="6"/>
  <c r="AS198" i="6"/>
  <c r="AW197" i="6"/>
  <c r="AS197" i="6"/>
  <c r="AW196" i="6"/>
  <c r="AS196" i="6"/>
  <c r="AW195" i="6"/>
  <c r="AS195" i="6"/>
  <c r="AW194" i="6"/>
  <c r="AS194" i="6"/>
  <c r="AW193" i="6"/>
  <c r="AS193" i="6"/>
  <c r="AW192" i="6"/>
  <c r="AS192" i="6"/>
  <c r="AW191" i="6"/>
  <c r="AS191" i="6"/>
  <c r="AW190" i="6"/>
  <c r="AS190" i="6"/>
  <c r="AW189" i="6"/>
  <c r="AS189" i="6"/>
  <c r="AW188" i="6"/>
  <c r="AS188" i="6"/>
  <c r="AW187" i="6"/>
  <c r="AS187" i="6"/>
  <c r="AW186" i="6"/>
  <c r="AS186" i="6"/>
  <c r="AW185" i="6"/>
  <c r="AS185" i="6"/>
  <c r="AW184" i="6"/>
  <c r="AS184" i="6"/>
  <c r="AW183" i="6"/>
  <c r="AS183" i="6"/>
  <c r="AW182" i="6"/>
  <c r="AS182" i="6"/>
  <c r="AW181" i="6"/>
  <c r="AS181" i="6"/>
  <c r="AW180" i="6"/>
  <c r="AS180" i="6"/>
  <c r="AW179" i="6"/>
  <c r="AS179" i="6"/>
  <c r="AW178" i="6"/>
  <c r="AS178" i="6"/>
  <c r="AW177" i="6"/>
  <c r="AS177" i="6"/>
  <c r="AW176" i="6"/>
  <c r="AS176" i="6"/>
  <c r="AW175" i="6"/>
  <c r="AS175" i="6"/>
  <c r="AW174" i="6"/>
  <c r="AS174" i="6"/>
  <c r="AW173" i="6"/>
  <c r="AS173" i="6"/>
  <c r="AW172" i="6"/>
  <c r="AS172" i="6"/>
  <c r="AW171" i="6"/>
  <c r="AS171" i="6"/>
  <c r="AW170" i="6"/>
  <c r="AS170" i="6"/>
  <c r="AW169" i="6"/>
  <c r="AS169" i="6"/>
  <c r="AW168" i="6"/>
  <c r="AS168" i="6"/>
  <c r="AW167" i="6"/>
  <c r="AS167" i="6"/>
  <c r="AW166" i="6"/>
  <c r="AS166" i="6"/>
  <c r="AW165" i="6"/>
  <c r="AS165" i="6"/>
  <c r="AW164" i="6"/>
  <c r="AS164" i="6"/>
  <c r="AW163" i="6"/>
  <c r="AS163" i="6"/>
  <c r="AW162" i="6"/>
  <c r="AS162" i="6"/>
  <c r="AW161" i="6"/>
  <c r="AS161" i="6"/>
  <c r="AW160" i="6"/>
  <c r="AS160" i="6"/>
  <c r="AW159" i="6"/>
  <c r="AS159" i="6"/>
  <c r="AW158" i="6"/>
  <c r="AS158" i="6"/>
  <c r="AW157" i="6"/>
  <c r="AS157" i="6"/>
  <c r="AW156" i="6"/>
  <c r="AS156" i="6"/>
  <c r="AW155" i="6"/>
  <c r="AS155" i="6"/>
  <c r="AW154" i="6"/>
  <c r="AS154" i="6"/>
  <c r="AW153" i="6"/>
  <c r="AS153" i="6"/>
  <c r="AW152" i="6"/>
  <c r="AS152" i="6"/>
  <c r="AW151" i="6"/>
  <c r="AS151" i="6"/>
  <c r="AW150" i="6"/>
  <c r="AS150" i="6"/>
  <c r="AW149" i="6"/>
  <c r="AS149" i="6"/>
  <c r="AW148" i="6"/>
  <c r="AS148" i="6"/>
  <c r="AW147" i="6"/>
  <c r="AS147" i="6"/>
  <c r="AW146" i="6"/>
  <c r="AS146" i="6"/>
  <c r="AW145" i="6"/>
  <c r="AS145" i="6"/>
  <c r="AW144" i="6"/>
  <c r="AS144" i="6"/>
  <c r="AW143" i="6"/>
  <c r="AS143" i="6"/>
  <c r="AW142" i="6"/>
  <c r="AS142" i="6"/>
  <c r="AW141" i="6"/>
  <c r="AS141" i="6"/>
  <c r="AW140" i="6"/>
  <c r="AS140" i="6"/>
  <c r="AW139" i="6"/>
  <c r="AS139" i="6"/>
  <c r="AW138" i="6"/>
  <c r="AS138" i="6"/>
  <c r="AW137" i="6"/>
  <c r="AS137" i="6"/>
  <c r="AW136" i="6"/>
  <c r="AS136" i="6"/>
  <c r="AW135" i="6"/>
  <c r="AS135" i="6"/>
  <c r="AW134" i="6"/>
  <c r="AS134" i="6"/>
  <c r="AW133" i="6"/>
  <c r="AS133" i="6"/>
  <c r="AW132" i="6"/>
  <c r="AS132" i="6"/>
  <c r="AW131" i="6"/>
  <c r="AS131" i="6"/>
  <c r="AW130" i="6"/>
  <c r="AS130" i="6"/>
  <c r="AW129" i="6"/>
  <c r="AS129" i="6"/>
  <c r="AW128" i="6"/>
  <c r="AS128" i="6"/>
  <c r="AW127" i="6"/>
  <c r="AS127" i="6"/>
  <c r="AW125" i="6"/>
  <c r="AS125" i="6"/>
  <c r="AW124" i="6"/>
  <c r="AS124" i="6"/>
  <c r="AW123" i="6"/>
  <c r="AS123" i="6"/>
  <c r="AW122" i="6"/>
  <c r="AS122" i="6"/>
  <c r="AW121" i="6"/>
  <c r="AS121" i="6"/>
  <c r="AW120" i="6"/>
  <c r="AS120" i="6"/>
  <c r="AW119" i="6"/>
  <c r="AS119" i="6"/>
  <c r="AW118" i="6"/>
  <c r="AS118" i="6"/>
  <c r="AW117" i="6"/>
  <c r="AS117" i="6"/>
  <c r="AW116" i="6"/>
  <c r="AS116" i="6"/>
  <c r="AW115" i="6"/>
  <c r="AS115" i="6"/>
  <c r="AW114" i="6"/>
  <c r="AS114" i="6"/>
  <c r="AW113" i="6"/>
  <c r="AS113" i="6"/>
  <c r="AW112" i="6"/>
  <c r="AS112" i="6"/>
  <c r="AW111" i="6"/>
  <c r="AS111" i="6"/>
  <c r="AW110" i="6"/>
  <c r="AS110" i="6"/>
  <c r="AW109" i="6"/>
  <c r="AS109" i="6"/>
  <c r="AW108" i="6"/>
  <c r="AS108" i="6"/>
  <c r="AW107" i="6"/>
  <c r="AS107" i="6"/>
  <c r="AW106" i="6"/>
  <c r="AS106" i="6"/>
  <c r="AW105" i="6"/>
  <c r="AS105" i="6"/>
  <c r="AW104" i="6"/>
  <c r="AS104" i="6"/>
  <c r="AW103" i="6"/>
  <c r="AS103" i="6"/>
  <c r="AW102" i="6"/>
  <c r="AS102" i="6"/>
  <c r="AW101" i="6"/>
  <c r="AS101" i="6"/>
  <c r="AW100" i="6"/>
  <c r="AS100" i="6"/>
  <c r="AW99" i="6"/>
  <c r="AS99" i="6"/>
  <c r="AW98" i="6"/>
  <c r="AS98" i="6"/>
  <c r="AW97" i="6"/>
  <c r="AS97" i="6"/>
  <c r="AW96" i="6"/>
  <c r="AS96" i="6"/>
  <c r="AW95" i="6"/>
  <c r="AS95" i="6"/>
  <c r="AW94" i="6"/>
  <c r="AS94" i="6"/>
  <c r="AW93" i="6"/>
  <c r="AS93" i="6"/>
  <c r="AW92" i="6"/>
  <c r="AS92" i="6"/>
  <c r="AW91" i="6"/>
  <c r="AS91" i="6"/>
  <c r="AW90" i="6"/>
  <c r="AS90" i="6"/>
  <c r="AW89" i="6"/>
  <c r="AS89" i="6"/>
  <c r="AW88" i="6"/>
  <c r="AS88" i="6"/>
  <c r="AW87" i="6"/>
  <c r="AS87" i="6"/>
  <c r="AW86" i="6"/>
  <c r="AS86" i="6"/>
  <c r="AW85" i="6"/>
  <c r="AS85" i="6"/>
  <c r="AW84" i="6"/>
  <c r="AS84" i="6"/>
  <c r="AW83" i="6"/>
  <c r="AS83" i="6"/>
  <c r="AW82" i="6"/>
  <c r="AS82" i="6"/>
  <c r="AW81" i="6"/>
  <c r="AS81" i="6"/>
  <c r="AW80" i="6"/>
  <c r="AS80" i="6"/>
  <c r="AW79" i="6"/>
  <c r="AS79" i="6"/>
  <c r="AW78" i="6"/>
  <c r="AS78" i="6"/>
  <c r="AW77" i="6"/>
  <c r="AS77" i="6"/>
  <c r="AW76" i="6"/>
  <c r="AS76" i="6"/>
  <c r="AW75" i="6"/>
  <c r="AS75" i="6"/>
  <c r="AW74" i="6"/>
  <c r="AS74" i="6"/>
  <c r="AW73" i="6"/>
  <c r="AS73" i="6"/>
  <c r="AW72" i="6"/>
  <c r="AS72" i="6"/>
  <c r="AW71" i="6"/>
  <c r="AS71" i="6"/>
  <c r="AW70" i="6"/>
  <c r="AS70" i="6"/>
  <c r="AW69" i="6"/>
  <c r="AS69" i="6"/>
  <c r="AW68" i="6"/>
  <c r="AS68" i="6"/>
  <c r="AW67" i="6"/>
  <c r="AS67" i="6"/>
  <c r="AW66" i="6"/>
  <c r="AS66" i="6"/>
  <c r="AW65" i="6"/>
  <c r="AS65" i="6"/>
  <c r="AW64" i="6"/>
  <c r="AS64" i="6"/>
  <c r="AW63" i="6"/>
  <c r="AS63" i="6"/>
  <c r="AW62" i="6"/>
  <c r="AS62" i="6"/>
  <c r="AW61" i="6"/>
  <c r="AS61" i="6"/>
  <c r="AW60" i="6"/>
  <c r="AS60" i="6"/>
  <c r="AW59" i="6"/>
  <c r="AS59" i="6"/>
  <c r="AW58" i="6"/>
  <c r="AS58" i="6"/>
  <c r="AW57" i="6"/>
  <c r="AS57" i="6"/>
  <c r="AW56" i="6"/>
  <c r="AS56" i="6"/>
  <c r="AW55" i="6"/>
  <c r="AS55" i="6"/>
  <c r="AW54" i="6"/>
  <c r="AS54" i="6"/>
  <c r="AW53" i="6"/>
  <c r="AS53" i="6"/>
  <c r="AW52" i="6"/>
  <c r="AS52" i="6"/>
  <c r="AW51" i="6"/>
  <c r="AS51" i="6"/>
  <c r="AW50" i="6"/>
  <c r="AS50" i="6"/>
  <c r="AW49" i="6"/>
  <c r="AS49" i="6"/>
  <c r="AW48" i="6"/>
  <c r="AS48" i="6"/>
  <c r="AW47" i="6"/>
  <c r="AS47" i="6"/>
  <c r="AW46" i="6"/>
  <c r="AS46" i="6"/>
  <c r="AW45" i="6"/>
  <c r="AS45" i="6"/>
  <c r="AW44" i="6"/>
  <c r="AS44" i="6"/>
  <c r="AW43" i="6"/>
  <c r="AS43" i="6"/>
  <c r="AW42" i="6"/>
  <c r="AS42" i="6"/>
  <c r="AW41" i="6"/>
  <c r="AS41" i="6"/>
  <c r="AW40" i="6"/>
  <c r="AS40" i="6"/>
  <c r="AW39" i="6"/>
  <c r="AS39" i="6"/>
  <c r="AW38" i="6"/>
  <c r="AS38" i="6"/>
  <c r="AW37" i="6"/>
  <c r="AS37" i="6"/>
  <c r="AW36" i="6"/>
  <c r="AS36" i="6"/>
  <c r="AW35" i="6"/>
  <c r="AS35" i="6"/>
  <c r="AW34" i="6"/>
  <c r="AS34" i="6"/>
  <c r="AW33" i="6"/>
  <c r="AS33" i="6"/>
  <c r="AW32" i="6"/>
  <c r="AS32" i="6"/>
  <c r="AW31" i="6"/>
  <c r="AS31" i="6"/>
  <c r="AW30" i="6"/>
  <c r="AS30" i="6"/>
  <c r="AW29" i="6"/>
  <c r="AS29" i="6"/>
  <c r="AW28" i="6"/>
  <c r="AS28" i="6"/>
  <c r="AW27" i="6"/>
  <c r="AS27" i="6"/>
  <c r="AW26" i="6"/>
  <c r="AS26" i="6"/>
  <c r="AW25" i="6"/>
  <c r="AS25" i="6"/>
  <c r="AW24" i="6"/>
  <c r="AS24" i="6"/>
  <c r="AW23" i="6"/>
  <c r="AS23" i="6"/>
  <c r="AW22" i="6"/>
  <c r="AS22" i="6"/>
  <c r="AW21" i="6"/>
  <c r="AS21" i="6"/>
  <c r="AW20" i="6"/>
  <c r="AS20" i="6"/>
  <c r="AW19" i="6"/>
  <c r="AS19" i="6"/>
  <c r="AW18" i="6"/>
  <c r="AS18" i="6"/>
  <c r="AW17" i="6"/>
  <c r="AS17" i="6"/>
  <c r="AW16" i="6"/>
  <c r="AS16" i="6"/>
  <c r="AW15" i="6"/>
  <c r="AS15" i="6"/>
  <c r="AW14" i="6"/>
  <c r="AS14" i="6"/>
  <c r="AW13" i="6"/>
  <c r="AS13" i="6"/>
  <c r="AW12" i="6"/>
  <c r="AS12" i="6"/>
  <c r="AW11" i="6"/>
  <c r="AS11" i="6"/>
  <c r="AW10" i="6"/>
  <c r="AS10" i="6"/>
  <c r="AW9" i="6"/>
  <c r="AS9" i="6"/>
  <c r="AW8" i="6"/>
  <c r="AS8" i="6"/>
  <c r="AW7" i="6"/>
  <c r="AS7" i="6"/>
  <c r="AW6" i="6"/>
  <c r="AS6" i="6"/>
  <c r="B4" i="6"/>
  <c r="AM4" i="6" s="1"/>
  <c r="DH26" i="1" l="1"/>
  <c r="DL26" i="1"/>
  <c r="DH1470" i="1"/>
  <c r="DL1470" i="1"/>
  <c r="DH286" i="1"/>
  <c r="DL286" i="1"/>
  <c r="DH1171" i="1"/>
  <c r="DL1171" i="1"/>
  <c r="DH480" i="1"/>
  <c r="DL480" i="1"/>
  <c r="DH1471" i="1"/>
  <c r="DL1471" i="1"/>
  <c r="DH61" i="1"/>
  <c r="DL61" i="1"/>
  <c r="DH399" i="1"/>
  <c r="DL399" i="1"/>
  <c r="DH1776" i="1"/>
  <c r="DL1776" i="1"/>
  <c r="DH2191" i="1"/>
  <c r="DL2191" i="1"/>
  <c r="DH731" i="1"/>
  <c r="DL731" i="1"/>
  <c r="DH1909" i="1"/>
  <c r="DL1909" i="1"/>
  <c r="DH659" i="1"/>
  <c r="DL659" i="1"/>
  <c r="DH1532" i="1"/>
  <c r="DL1532" i="1"/>
  <c r="DH524" i="1"/>
  <c r="DL524" i="1"/>
  <c r="DH80" i="1"/>
  <c r="DL80" i="1"/>
  <c r="DH1533" i="1"/>
  <c r="DL1533" i="1"/>
  <c r="DH1056" i="1"/>
  <c r="DL1056" i="1"/>
  <c r="DH1834" i="1"/>
  <c r="DL1834" i="1"/>
  <c r="DH746" i="1"/>
  <c r="DL746" i="1"/>
  <c r="DH2192" i="1"/>
  <c r="DL2192" i="1"/>
  <c r="DH1339" i="1"/>
  <c r="DL1339" i="1"/>
  <c r="DH1777" i="1"/>
  <c r="DL1777" i="1"/>
  <c r="DH1472" i="1"/>
  <c r="DL1472" i="1"/>
  <c r="DH1778" i="1"/>
  <c r="DL1778" i="1"/>
  <c r="DH1340" i="1"/>
  <c r="DL1340" i="1"/>
  <c r="DH1132" i="1"/>
  <c r="DL1132" i="1"/>
  <c r="DH1995" i="1"/>
  <c r="DL1995" i="1"/>
  <c r="DH566" i="1"/>
  <c r="DL566" i="1"/>
  <c r="DH1722" i="1"/>
  <c r="DL1722" i="1"/>
  <c r="DH832" i="1"/>
  <c r="DL832" i="1"/>
  <c r="DH1657" i="1"/>
  <c r="DL1657" i="1"/>
  <c r="DH1840" i="1"/>
  <c r="DL1840" i="1"/>
  <c r="DH2183" i="1"/>
  <c r="DL2183" i="1"/>
  <c r="DH1383" i="1"/>
  <c r="DL1383" i="1"/>
  <c r="DH1057" i="1"/>
  <c r="DL1057" i="1"/>
  <c r="DH878" i="1"/>
  <c r="DL878" i="1"/>
  <c r="DH1996" i="1"/>
  <c r="DL1996" i="1"/>
  <c r="DH819" i="1"/>
  <c r="DL819" i="1"/>
  <c r="DH1423" i="1"/>
  <c r="DL1423" i="1"/>
  <c r="DH342" i="1"/>
  <c r="DL342" i="1"/>
  <c r="DH1841" i="1"/>
  <c r="DL1841" i="1"/>
  <c r="DH1473" i="1"/>
  <c r="DL1473" i="1"/>
  <c r="DH943" i="1"/>
  <c r="DL943" i="1"/>
  <c r="DH1170" i="1"/>
  <c r="DL1170" i="1"/>
  <c r="DH1253" i="1"/>
  <c r="DL1253" i="1"/>
  <c r="DH78" i="1"/>
  <c r="DL78" i="1"/>
  <c r="DH1593" i="1"/>
  <c r="DL1593" i="1"/>
  <c r="DH56" i="1"/>
  <c r="DL56" i="1"/>
  <c r="DH901" i="1"/>
  <c r="DL901" i="1"/>
  <c r="DH525" i="1"/>
  <c r="DL525" i="1"/>
  <c r="DH1723" i="1"/>
  <c r="DL1723" i="1"/>
  <c r="DH1664" i="1"/>
  <c r="DL1664" i="1"/>
  <c r="DH98" i="1"/>
  <c r="DL98" i="1"/>
  <c r="DH792" i="1"/>
  <c r="DL792" i="1"/>
  <c r="DH732" i="1"/>
  <c r="DL732" i="1"/>
  <c r="DH498" i="1"/>
  <c r="DL498" i="1"/>
  <c r="DH461" i="1"/>
  <c r="DL461" i="1"/>
  <c r="DH471" i="1"/>
  <c r="DL471" i="1"/>
  <c r="DH694" i="1"/>
  <c r="DL694" i="1"/>
  <c r="DH2193" i="1"/>
  <c r="DL2193" i="1"/>
  <c r="DH1594" i="1"/>
  <c r="DL1594" i="1"/>
  <c r="DH390" i="1"/>
  <c r="DL390" i="1"/>
  <c r="DH1769" i="1"/>
  <c r="DL1769" i="1"/>
  <c r="DH1534" i="1"/>
  <c r="DL1534" i="1"/>
  <c r="DH897" i="1"/>
  <c r="DL897" i="1"/>
  <c r="DH759" i="1"/>
  <c r="DL759" i="1"/>
  <c r="DH640" i="1"/>
  <c r="DL640" i="1"/>
  <c r="DH1779" i="1"/>
  <c r="DL1779" i="1"/>
  <c r="DH1290" i="1"/>
  <c r="DL1290" i="1"/>
  <c r="DH961" i="1"/>
  <c r="DL961" i="1"/>
  <c r="DH1424" i="1"/>
  <c r="DL1424" i="1"/>
  <c r="DH233" i="1"/>
  <c r="DL233" i="1"/>
  <c r="DH1910" i="1"/>
  <c r="DL1910" i="1"/>
  <c r="DH2098" i="1"/>
  <c r="DL2098" i="1"/>
  <c r="DH478" i="1"/>
  <c r="DL478" i="1"/>
  <c r="DH1341" i="1"/>
  <c r="DL1341" i="1"/>
  <c r="DH1255" i="1"/>
  <c r="DL1255" i="1"/>
  <c r="DH143" i="1"/>
  <c r="DL143" i="1"/>
  <c r="DH1665" i="1"/>
  <c r="DL1665" i="1"/>
  <c r="DH1595" i="1"/>
  <c r="DL1595" i="1"/>
  <c r="DH79" i="1"/>
  <c r="DL79" i="1"/>
  <c r="DH1997" i="1"/>
  <c r="DL1997" i="1"/>
  <c r="DH1535" i="1"/>
  <c r="DL1535" i="1"/>
  <c r="DH2265" i="1"/>
  <c r="DL2265" i="1"/>
  <c r="DH728" i="1"/>
  <c r="DL728" i="1"/>
  <c r="DH1998" i="1"/>
  <c r="DL1998" i="1"/>
  <c r="DH1004" i="1"/>
  <c r="DL1004" i="1"/>
  <c r="DH660" i="1"/>
  <c r="DL660" i="1"/>
  <c r="DH309" i="1"/>
  <c r="DL309" i="1"/>
  <c r="DH1999" i="1"/>
  <c r="DL1999" i="1"/>
  <c r="DH1256" i="1"/>
  <c r="DL1256" i="1"/>
  <c r="DH1474" i="1"/>
  <c r="DL1474" i="1"/>
  <c r="DH922" i="1"/>
  <c r="DL922" i="1"/>
  <c r="DH485" i="1"/>
  <c r="DL485" i="1"/>
  <c r="DH923" i="1"/>
  <c r="DL923" i="1"/>
  <c r="DH1083" i="1"/>
  <c r="DL1083" i="1"/>
  <c r="DH435" i="1"/>
  <c r="DL435" i="1"/>
  <c r="DH132" i="1"/>
  <c r="DL132" i="1"/>
  <c r="DH1911" i="1"/>
  <c r="DL1911" i="1"/>
  <c r="DH2000" i="1"/>
  <c r="DL2000" i="1"/>
  <c r="DH582" i="1"/>
  <c r="DL582" i="1"/>
  <c r="DH1666" i="1"/>
  <c r="DL1666" i="1"/>
  <c r="DH1536" i="1"/>
  <c r="DL1536" i="1"/>
  <c r="DH2001" i="1"/>
  <c r="DL2001" i="1"/>
  <c r="DH2194" i="1"/>
  <c r="DL2194" i="1"/>
  <c r="DH1342" i="1"/>
  <c r="DL1342" i="1"/>
  <c r="DH21" i="1"/>
  <c r="DL21" i="1"/>
  <c r="DH1475" i="1"/>
  <c r="DL1475" i="1"/>
  <c r="DH1537" i="1"/>
  <c r="DL1537" i="1"/>
  <c r="DH149" i="1"/>
  <c r="DL149" i="1"/>
  <c r="DH472" i="1"/>
  <c r="DL472" i="1"/>
  <c r="DH2195" i="1"/>
  <c r="DL2195" i="1"/>
  <c r="DH2099" i="1"/>
  <c r="DL2099" i="1"/>
  <c r="DH1780" i="1"/>
  <c r="DL1780" i="1"/>
  <c r="DH445" i="1"/>
  <c r="DL445" i="1"/>
  <c r="DH368" i="1"/>
  <c r="DL368" i="1"/>
  <c r="DH358" i="1"/>
  <c r="DL358" i="1"/>
  <c r="DH127" i="1"/>
  <c r="DL127" i="1"/>
  <c r="DH300" i="1"/>
  <c r="DL300" i="1"/>
  <c r="DH36" i="1"/>
  <c r="DL36" i="1"/>
  <c r="DH2196" i="1"/>
  <c r="DL2196" i="1"/>
  <c r="DH1530" i="1"/>
  <c r="DL1530" i="1"/>
  <c r="DH124" i="1"/>
  <c r="DL124" i="1"/>
  <c r="DH1993" i="1"/>
  <c r="DL1993" i="1"/>
  <c r="DH161" i="1"/>
  <c r="DL161" i="1"/>
  <c r="DH139" i="1"/>
  <c r="DL139" i="1"/>
  <c r="DH1596" i="1"/>
  <c r="DL1596" i="1"/>
  <c r="DH1781" i="1"/>
  <c r="DL1781" i="1"/>
  <c r="DH1031" i="1"/>
  <c r="DL1031" i="1"/>
  <c r="DH1167" i="1"/>
  <c r="DL1167" i="1"/>
  <c r="DH301" i="1"/>
  <c r="DL301" i="1"/>
  <c r="DH504" i="1"/>
  <c r="DL504" i="1"/>
  <c r="DH1053" i="1"/>
  <c r="DL1053" i="1"/>
  <c r="DH1384" i="1"/>
  <c r="DL1384" i="1"/>
  <c r="DH1782" i="1"/>
  <c r="DL1782" i="1"/>
  <c r="DH448" i="1"/>
  <c r="DL448" i="1"/>
  <c r="DH1724" i="1"/>
  <c r="DL1724" i="1"/>
  <c r="DH2252" i="1"/>
  <c r="DL2252" i="1"/>
  <c r="DH1296" i="1"/>
  <c r="DL1296" i="1"/>
  <c r="DH1054" i="1"/>
  <c r="DL1054" i="1"/>
  <c r="DH1172" i="1"/>
  <c r="DL1172" i="1"/>
  <c r="DH1476" i="1"/>
  <c r="DL1476" i="1"/>
  <c r="DH2100" i="1"/>
  <c r="DL2100" i="1"/>
  <c r="DH1842" i="1"/>
  <c r="DL1842" i="1"/>
  <c r="DH1667" i="1"/>
  <c r="DL1667" i="1"/>
  <c r="DH1597" i="1"/>
  <c r="DL1597" i="1"/>
  <c r="DH1783" i="1"/>
  <c r="DL1783" i="1"/>
  <c r="DH1538" i="1"/>
  <c r="DL1538" i="1"/>
  <c r="DH1425" i="1"/>
  <c r="DL1425" i="1"/>
  <c r="DH833" i="1"/>
  <c r="DL833" i="1"/>
  <c r="DH818" i="1"/>
  <c r="DL818" i="1"/>
  <c r="DH846" i="1"/>
  <c r="DL846" i="1"/>
  <c r="DH96" i="1"/>
  <c r="DL96" i="1"/>
  <c r="DH473" i="1"/>
  <c r="DL473" i="1"/>
  <c r="DH1539" i="1"/>
  <c r="DL1539" i="1"/>
  <c r="DH1128" i="1"/>
  <c r="DL1128" i="1"/>
  <c r="DH1477" i="1"/>
  <c r="DL1477" i="1"/>
  <c r="DH1213" i="1"/>
  <c r="DL1213" i="1"/>
  <c r="DH1173" i="1"/>
  <c r="DL1173" i="1"/>
  <c r="DH422" i="1"/>
  <c r="DL422" i="1"/>
  <c r="DH958" i="1"/>
  <c r="DL958" i="1"/>
  <c r="DH1058" i="1"/>
  <c r="DL1058" i="1"/>
  <c r="DH2197" i="1"/>
  <c r="DL2197" i="1"/>
  <c r="DH158" i="1"/>
  <c r="DL158" i="1"/>
  <c r="DH1912" i="1"/>
  <c r="DL1912" i="1"/>
  <c r="DH1032" i="1"/>
  <c r="DL1032" i="1"/>
  <c r="DH140" i="1"/>
  <c r="DL140" i="1"/>
  <c r="DH879" i="1"/>
  <c r="DL879" i="1"/>
  <c r="DH720" i="1"/>
  <c r="DL720" i="1"/>
  <c r="DH545" i="1"/>
  <c r="DL545" i="1"/>
  <c r="DH866" i="1"/>
  <c r="DL866" i="1"/>
  <c r="DH573" i="1"/>
  <c r="DL573" i="1"/>
  <c r="DH744" i="1"/>
  <c r="DL744" i="1"/>
  <c r="DH1426" i="1"/>
  <c r="DL1426" i="1"/>
  <c r="DH1427" i="1"/>
  <c r="DL1427" i="1"/>
  <c r="DH902" i="1"/>
  <c r="DL902" i="1"/>
  <c r="DH1133" i="1"/>
  <c r="DL1133" i="1"/>
  <c r="DH1913" i="1"/>
  <c r="DL1913" i="1"/>
  <c r="DH1214" i="1"/>
  <c r="DL1214" i="1"/>
  <c r="DH1428" i="1"/>
  <c r="DL1428" i="1"/>
  <c r="DH1174" i="1"/>
  <c r="DL1174" i="1"/>
  <c r="DH1540" i="1"/>
  <c r="DL1540" i="1"/>
  <c r="DH214" i="1"/>
  <c r="DL214" i="1"/>
  <c r="DH1843" i="1"/>
  <c r="DL1843" i="1"/>
  <c r="DH1784" i="1"/>
  <c r="DL1784" i="1"/>
  <c r="DH1785" i="1"/>
  <c r="DL1785" i="1"/>
  <c r="DH1257" i="1"/>
  <c r="DL1257" i="1"/>
  <c r="DH1297" i="1"/>
  <c r="DL1297" i="1"/>
  <c r="DH2101" i="1"/>
  <c r="DL2101" i="1"/>
  <c r="DH49" i="1"/>
  <c r="DL49" i="1"/>
  <c r="DH306" i="1"/>
  <c r="DL306" i="1"/>
  <c r="DH25" i="1"/>
  <c r="DL25" i="1"/>
  <c r="DH924" i="1"/>
  <c r="DL924" i="1"/>
  <c r="DH1914" i="1"/>
  <c r="DL1914" i="1"/>
  <c r="DH1215" i="1"/>
  <c r="DL1215" i="1"/>
  <c r="DH1385" i="1"/>
  <c r="DL1385" i="1"/>
  <c r="DH806" i="1"/>
  <c r="DL806" i="1"/>
  <c r="DH28" i="1"/>
  <c r="DL28" i="1"/>
  <c r="DH1386" i="1"/>
  <c r="DL1386" i="1"/>
  <c r="DH116" i="1"/>
  <c r="DL116" i="1"/>
  <c r="DH601" i="1"/>
  <c r="DL601" i="1"/>
  <c r="DH925" i="1"/>
  <c r="DL925" i="1"/>
  <c r="DH1725" i="1"/>
  <c r="DL1725" i="1"/>
  <c r="DH847" i="1"/>
  <c r="DL847" i="1"/>
  <c r="DH637" i="1"/>
  <c r="DL637" i="1"/>
  <c r="DH805" i="1"/>
  <c r="DL805" i="1"/>
  <c r="DH338" i="1"/>
  <c r="DL338" i="1"/>
  <c r="DH1908" i="1"/>
  <c r="DL1908" i="1"/>
  <c r="DH1844" i="1"/>
  <c r="DL1844" i="1"/>
  <c r="DH1541" i="1"/>
  <c r="DL1541" i="1"/>
  <c r="DH509" i="1"/>
  <c r="DL509" i="1"/>
  <c r="DH2002" i="1"/>
  <c r="DL2002" i="1"/>
  <c r="DH1598" i="1"/>
  <c r="DL1598" i="1"/>
  <c r="DH1429" i="1"/>
  <c r="DL1429" i="1"/>
  <c r="DH1110" i="1"/>
  <c r="DL1110" i="1"/>
  <c r="DH1298" i="1"/>
  <c r="DL1298" i="1"/>
  <c r="DH1726" i="1"/>
  <c r="DL1726" i="1"/>
  <c r="DH453" i="1"/>
  <c r="DL453" i="1"/>
  <c r="DH209" i="1"/>
  <c r="DL209" i="1"/>
  <c r="DH1134" i="1"/>
  <c r="DL1134" i="1"/>
  <c r="DH2102" i="1"/>
  <c r="DL2102" i="1"/>
  <c r="DH2003" i="1"/>
  <c r="DL2003" i="1"/>
  <c r="DH575" i="1"/>
  <c r="DL575" i="1"/>
  <c r="DH99" i="1"/>
  <c r="DL99" i="1"/>
  <c r="DH576" i="1"/>
  <c r="DL576" i="1"/>
  <c r="DH105" i="1"/>
  <c r="DL105" i="1"/>
  <c r="DH243" i="1"/>
  <c r="DL243" i="1"/>
  <c r="DH291" i="1"/>
  <c r="DL291" i="1"/>
  <c r="DH988" i="1"/>
  <c r="DL988" i="1"/>
  <c r="DH2198" i="1"/>
  <c r="DL2198" i="1"/>
  <c r="DH2103" i="1"/>
  <c r="DL2103" i="1"/>
  <c r="DH2199" i="1"/>
  <c r="DL2199" i="1"/>
  <c r="DH2200" i="1"/>
  <c r="DL2200" i="1"/>
  <c r="DH530" i="1"/>
  <c r="DL530" i="1"/>
  <c r="DH1786" i="1"/>
  <c r="DL1786" i="1"/>
  <c r="DH2085" i="1"/>
  <c r="DL2085" i="1"/>
  <c r="DH1299" i="1"/>
  <c r="DL1299" i="1"/>
  <c r="DH343" i="1"/>
  <c r="DL343" i="1"/>
  <c r="DH962" i="1"/>
  <c r="DL962" i="1"/>
  <c r="DH1599" i="1"/>
  <c r="DL1599" i="1"/>
  <c r="DH277" i="1"/>
  <c r="DL277" i="1"/>
  <c r="DH325" i="1"/>
  <c r="DL325" i="1"/>
  <c r="DH2096" i="1"/>
  <c r="DL2096" i="1"/>
  <c r="DH1727" i="1"/>
  <c r="DL1727" i="1"/>
  <c r="DH963" i="1"/>
  <c r="DL963" i="1"/>
  <c r="DH2262" i="1"/>
  <c r="DL2262" i="1"/>
  <c r="DH2104" i="1"/>
  <c r="DL2104" i="1"/>
  <c r="DH1845" i="1"/>
  <c r="DL1845" i="1"/>
  <c r="DH321" i="1"/>
  <c r="DL321" i="1"/>
  <c r="DH520" i="1"/>
  <c r="DL520" i="1"/>
  <c r="DH462" i="1"/>
  <c r="DL462" i="1"/>
  <c r="DH1005" i="1"/>
  <c r="DL1005" i="1"/>
  <c r="DH1719" i="1"/>
  <c r="DL1719" i="1"/>
  <c r="DH695" i="1"/>
  <c r="DL695" i="1"/>
  <c r="DH2201" i="1"/>
  <c r="DL2201" i="1"/>
  <c r="DH1787" i="1"/>
  <c r="DL1787" i="1"/>
  <c r="DH2105" i="1"/>
  <c r="DL2105" i="1"/>
  <c r="DH863" i="1"/>
  <c r="DL863" i="1"/>
  <c r="DH577" i="1"/>
  <c r="DL577" i="1"/>
  <c r="DH602" i="1"/>
  <c r="DL602" i="1"/>
  <c r="DH1846" i="1"/>
  <c r="DL1846" i="1"/>
  <c r="DH423" i="1"/>
  <c r="DL423" i="1"/>
  <c r="DH772" i="1"/>
  <c r="DL772" i="1"/>
  <c r="DH1079" i="1"/>
  <c r="DL1079" i="1"/>
  <c r="DH1915" i="1"/>
  <c r="DL1915" i="1"/>
  <c r="DH1526" i="1"/>
  <c r="DL1526" i="1"/>
  <c r="DH33" i="1"/>
  <c r="DL33" i="1"/>
  <c r="DH1916" i="1"/>
  <c r="DL1916" i="1"/>
  <c r="DH1135" i="1"/>
  <c r="DL1135" i="1"/>
  <c r="DH733" i="1"/>
  <c r="DL733" i="1"/>
  <c r="DH1728" i="1"/>
  <c r="DL1728" i="1"/>
  <c r="DH1209" i="1"/>
  <c r="DL1209" i="1"/>
  <c r="DH1600" i="1"/>
  <c r="DL1600" i="1"/>
  <c r="DH1033" i="1"/>
  <c r="DL1033" i="1"/>
  <c r="DH234" i="1"/>
  <c r="DL234" i="1"/>
  <c r="DH641" i="1"/>
  <c r="DL641" i="1"/>
  <c r="DH1300" i="1"/>
  <c r="DL1300" i="1"/>
  <c r="DH1301" i="1"/>
  <c r="DL1301" i="1"/>
  <c r="DH747" i="1"/>
  <c r="DL747" i="1"/>
  <c r="DH1847" i="1"/>
  <c r="DL1847" i="1"/>
  <c r="DH281" i="1"/>
  <c r="DL281" i="1"/>
  <c r="DH1668" i="1"/>
  <c r="DL1668" i="1"/>
  <c r="DH1175" i="1"/>
  <c r="DL1175" i="1"/>
  <c r="DH285" i="1"/>
  <c r="DL285" i="1"/>
  <c r="DH2106" i="1"/>
  <c r="DL2106" i="1"/>
  <c r="DH391" i="1"/>
  <c r="DL391" i="1"/>
  <c r="DH1729" i="1"/>
  <c r="DL1729" i="1"/>
  <c r="DH293" i="1"/>
  <c r="DL293" i="1"/>
  <c r="DH2255" i="1"/>
  <c r="DL2255" i="1"/>
  <c r="DH1034" i="1"/>
  <c r="DL1034" i="1"/>
  <c r="DH721" i="1"/>
  <c r="DL721" i="1"/>
  <c r="DH773" i="1"/>
  <c r="DL773" i="1"/>
  <c r="DH1258" i="1"/>
  <c r="DL1258" i="1"/>
  <c r="DH1788" i="1"/>
  <c r="DL1788" i="1"/>
  <c r="DH2004" i="1"/>
  <c r="DL2004" i="1"/>
  <c r="DH1430" i="1"/>
  <c r="DL1430" i="1"/>
  <c r="DH1343" i="1"/>
  <c r="DL1343" i="1"/>
  <c r="DH130" i="1"/>
  <c r="DL130" i="1"/>
  <c r="DH90" i="1"/>
  <c r="DL90" i="1"/>
  <c r="DH1669" i="1"/>
  <c r="DL1669" i="1"/>
  <c r="DH1035" i="1"/>
  <c r="DL1035" i="1"/>
  <c r="DH1542" i="1"/>
  <c r="DL1542" i="1"/>
  <c r="DH1601" i="1"/>
  <c r="DL1601" i="1"/>
  <c r="DH2202" i="1"/>
  <c r="DL2202" i="1"/>
  <c r="DH2005" i="1"/>
  <c r="DL2005" i="1"/>
  <c r="DH675" i="1"/>
  <c r="DL675" i="1"/>
  <c r="DH2006" i="1"/>
  <c r="DL2006" i="1"/>
  <c r="DH1084" i="1"/>
  <c r="DL1084" i="1"/>
  <c r="DH2186" i="1"/>
  <c r="DL2186" i="1"/>
  <c r="DH2007" i="1"/>
  <c r="DL2007" i="1"/>
  <c r="DH2094" i="1"/>
  <c r="DL2094" i="1"/>
  <c r="DH1302" i="1"/>
  <c r="DL1302" i="1"/>
  <c r="DH1344" i="1"/>
  <c r="DL1344" i="1"/>
  <c r="DH294" i="1"/>
  <c r="DL294" i="1"/>
  <c r="DH176" i="1"/>
  <c r="DL176" i="1"/>
  <c r="DH2107" i="1"/>
  <c r="DL2107" i="1"/>
  <c r="DH355" i="1"/>
  <c r="DL355" i="1"/>
  <c r="DH2008" i="1"/>
  <c r="DL2008" i="1"/>
  <c r="DH1252" i="1"/>
  <c r="DL1252" i="1"/>
  <c r="DH1602" i="1"/>
  <c r="DL1602" i="1"/>
  <c r="DH1730" i="1"/>
  <c r="DL1730" i="1"/>
  <c r="DH1431" i="1"/>
  <c r="DL1431" i="1"/>
  <c r="DH603" i="1"/>
  <c r="DL603" i="1"/>
  <c r="DH1543" i="1"/>
  <c r="DL1543" i="1"/>
  <c r="DH340" i="1"/>
  <c r="DL340" i="1"/>
  <c r="DH1216" i="1"/>
  <c r="DL1216" i="1"/>
  <c r="DH19" i="1"/>
  <c r="DL19" i="1"/>
  <c r="DH251" i="1"/>
  <c r="DL251" i="1"/>
  <c r="DH1544" i="1"/>
  <c r="DL1544" i="1"/>
  <c r="DH241" i="1"/>
  <c r="DL241" i="1"/>
  <c r="DH2009" i="1"/>
  <c r="DL2009" i="1"/>
  <c r="DH2189" i="1"/>
  <c r="DL2189" i="1"/>
  <c r="DH2108" i="1"/>
  <c r="DL2108" i="1"/>
  <c r="DH1059" i="1"/>
  <c r="DL1059" i="1"/>
  <c r="DH1478" i="1"/>
  <c r="DL1478" i="1"/>
  <c r="DH2185" i="1"/>
  <c r="DL2185" i="1"/>
  <c r="DH650" i="1"/>
  <c r="DL650" i="1"/>
  <c r="DH192" i="1"/>
  <c r="DL192" i="1"/>
  <c r="DH1432" i="1"/>
  <c r="DL1432" i="1"/>
  <c r="DH466" i="1"/>
  <c r="DL466" i="1"/>
  <c r="DH1773" i="1"/>
  <c r="DL1773" i="1"/>
  <c r="DH1603" i="1"/>
  <c r="DL1603" i="1"/>
  <c r="DH1345" i="1"/>
  <c r="DL1345" i="1"/>
  <c r="DH1917" i="1"/>
  <c r="DL1917" i="1"/>
  <c r="DH1731" i="1"/>
  <c r="DL1731" i="1"/>
  <c r="DH1303" i="1"/>
  <c r="DL1303" i="1"/>
  <c r="DH1217" i="1"/>
  <c r="DL1217" i="1"/>
  <c r="DH920" i="1"/>
  <c r="DL920" i="1"/>
  <c r="DH880" i="1"/>
  <c r="DL880" i="1"/>
  <c r="DH1918" i="1"/>
  <c r="DL1918" i="1"/>
  <c r="DH1919" i="1"/>
  <c r="DL1919" i="1"/>
  <c r="DH1479" i="1"/>
  <c r="DL1479" i="1"/>
  <c r="DH944" i="1"/>
  <c r="DL944" i="1"/>
  <c r="DH1662" i="1"/>
  <c r="DL1662" i="1"/>
  <c r="DH165" i="1"/>
  <c r="DL165" i="1"/>
  <c r="DH743" i="1"/>
  <c r="DL743" i="1"/>
  <c r="DH1545" i="1"/>
  <c r="DL1545" i="1"/>
  <c r="DH2109" i="1"/>
  <c r="DL2109" i="1"/>
  <c r="DH2110" i="1"/>
  <c r="DL2110" i="1"/>
  <c r="DH2111" i="1"/>
  <c r="DL2111" i="1"/>
  <c r="DH1111" i="1"/>
  <c r="DL1111" i="1"/>
  <c r="DH2112" i="1"/>
  <c r="DL2112" i="1"/>
  <c r="DH135" i="1"/>
  <c r="DL135" i="1"/>
  <c r="DH1176" i="1"/>
  <c r="DL1176" i="1"/>
  <c r="DH843" i="1"/>
  <c r="DL843" i="1"/>
  <c r="DH491" i="1"/>
  <c r="DL491" i="1"/>
  <c r="DH1920" i="1"/>
  <c r="DL1920" i="1"/>
  <c r="DH2010" i="1"/>
  <c r="DL2010" i="1"/>
  <c r="DH1774" i="1"/>
  <c r="DL1774" i="1"/>
  <c r="DH1921" i="1"/>
  <c r="DL1921" i="1"/>
  <c r="DH1085" i="1"/>
  <c r="DL1085" i="1"/>
  <c r="DH1304" i="1"/>
  <c r="DL1304" i="1"/>
  <c r="DH926" i="1"/>
  <c r="DL926" i="1"/>
  <c r="DH2011" i="1"/>
  <c r="DL2011" i="1"/>
  <c r="DH1468" i="1"/>
  <c r="DL1468" i="1"/>
  <c r="DH1433" i="1"/>
  <c r="DL1433" i="1"/>
  <c r="DH1848" i="1"/>
  <c r="DL1848" i="1"/>
  <c r="DH201" i="1"/>
  <c r="DL201" i="1"/>
  <c r="DH2012" i="1"/>
  <c r="DL2012" i="1"/>
  <c r="DH1259" i="1"/>
  <c r="DL1259" i="1"/>
  <c r="DH686" i="1"/>
  <c r="DL686" i="1"/>
  <c r="DH1086" i="1"/>
  <c r="DL1086" i="1"/>
  <c r="DH722" i="1"/>
  <c r="DL722" i="1"/>
  <c r="DH1218" i="1"/>
  <c r="DL1218" i="1"/>
  <c r="DH1006" i="1"/>
  <c r="DL1006" i="1"/>
  <c r="DH927" i="1"/>
  <c r="DL927" i="1"/>
  <c r="DH238" i="1"/>
  <c r="DL238" i="1"/>
  <c r="DH1922" i="1"/>
  <c r="DL1922" i="1"/>
  <c r="DH436" i="1"/>
  <c r="DL436" i="1"/>
  <c r="DH881" i="1"/>
  <c r="DL881" i="1"/>
  <c r="DH1387" i="1"/>
  <c r="DL1387" i="1"/>
  <c r="DH989" i="1"/>
  <c r="DL989" i="1"/>
  <c r="DH1388" i="1"/>
  <c r="DL1388" i="1"/>
  <c r="DH1305" i="1"/>
  <c r="DL1305" i="1"/>
  <c r="DH1480" i="1"/>
  <c r="DL1480" i="1"/>
  <c r="DH704" i="1"/>
  <c r="DL704" i="1"/>
  <c r="DH186" i="1"/>
  <c r="DL186" i="1"/>
  <c r="DH2013" i="1"/>
  <c r="DL2013" i="1"/>
  <c r="DH1849" i="1"/>
  <c r="DL1849" i="1"/>
  <c r="DH2113" i="1"/>
  <c r="DL2113" i="1"/>
  <c r="DH1850" i="1"/>
  <c r="DL1850" i="1"/>
  <c r="DH1060" i="1"/>
  <c r="DL1060" i="1"/>
  <c r="DH1434" i="1"/>
  <c r="DL1434" i="1"/>
  <c r="DH2086" i="1"/>
  <c r="DL2086" i="1"/>
  <c r="DH1604" i="1"/>
  <c r="DL1604" i="1"/>
  <c r="DH696" i="1"/>
  <c r="DL696" i="1"/>
  <c r="DH1851" i="1"/>
  <c r="DL1851" i="1"/>
  <c r="DH189" i="1"/>
  <c r="DL189" i="1"/>
  <c r="DH1789" i="1"/>
  <c r="DL1789" i="1"/>
  <c r="DH357" i="1"/>
  <c r="DL357" i="1"/>
  <c r="DH1389" i="1"/>
  <c r="DL1389" i="1"/>
  <c r="DH1852" i="1"/>
  <c r="DL1852" i="1"/>
  <c r="DH1546" i="1"/>
  <c r="DL1546" i="1"/>
  <c r="DH1547" i="1"/>
  <c r="DL1547" i="1"/>
  <c r="DH1790" i="1"/>
  <c r="DL1790" i="1"/>
  <c r="DH1346" i="1"/>
  <c r="DL1346" i="1"/>
  <c r="DH363" i="1"/>
  <c r="DL363" i="1"/>
  <c r="DH638" i="1"/>
  <c r="DL638" i="1"/>
  <c r="DH959" i="1"/>
  <c r="DL959" i="1"/>
  <c r="DH1136" i="1"/>
  <c r="DL1136" i="1"/>
  <c r="DH1791" i="1"/>
  <c r="DL1791" i="1"/>
  <c r="DH1481" i="1"/>
  <c r="DL1481" i="1"/>
  <c r="DH372" i="1"/>
  <c r="DL372" i="1"/>
  <c r="DH964" i="1"/>
  <c r="DL964" i="1"/>
  <c r="DH1923" i="1"/>
  <c r="DL1923" i="1"/>
  <c r="DH1260" i="1"/>
  <c r="DL1260" i="1"/>
  <c r="DH1924" i="1"/>
  <c r="DL1924" i="1"/>
  <c r="DH2203" i="1"/>
  <c r="DL2203" i="1"/>
  <c r="DH1482" i="1"/>
  <c r="DL1482" i="1"/>
  <c r="DH432" i="1"/>
  <c r="DL432" i="1"/>
  <c r="DH1107" i="1"/>
  <c r="DL1107" i="1"/>
  <c r="DH903" i="1"/>
  <c r="DL903" i="1"/>
  <c r="DH2014" i="1"/>
  <c r="DL2014" i="1"/>
  <c r="DH1853" i="1"/>
  <c r="DL1853" i="1"/>
  <c r="DH1925" i="1"/>
  <c r="DL1925" i="1"/>
  <c r="DH1112" i="1"/>
  <c r="DL1112" i="1"/>
  <c r="DH261" i="1"/>
  <c r="DL261" i="1"/>
  <c r="DH1113" i="1"/>
  <c r="DL1113" i="1"/>
  <c r="DH45" i="1"/>
  <c r="DL45" i="1"/>
  <c r="DH474" i="1"/>
  <c r="DL474" i="1"/>
  <c r="DH2083" i="1"/>
  <c r="DL2083" i="1"/>
  <c r="DH521" i="1"/>
  <c r="DL521" i="1"/>
  <c r="DH2015" i="1"/>
  <c r="DL2015" i="1"/>
  <c r="DH600" i="1"/>
  <c r="DL600" i="1"/>
  <c r="DH774" i="1"/>
  <c r="DL774" i="1"/>
  <c r="DH1792" i="1"/>
  <c r="DL1792" i="1"/>
  <c r="DH210" i="1"/>
  <c r="DL210" i="1"/>
  <c r="DH687" i="1"/>
  <c r="DL687" i="1"/>
  <c r="DH2016" i="1"/>
  <c r="DL2016" i="1"/>
  <c r="DH481" i="1"/>
  <c r="DL481" i="1"/>
  <c r="DH495" i="1"/>
  <c r="DL495" i="1"/>
  <c r="DH1926" i="1"/>
  <c r="DL1926" i="1"/>
  <c r="DH1219" i="1"/>
  <c r="DL1219" i="1"/>
  <c r="DH807" i="1"/>
  <c r="DL807" i="1"/>
  <c r="DH786" i="1"/>
  <c r="DL786" i="1"/>
  <c r="DH1483" i="1"/>
  <c r="DL1483" i="1"/>
  <c r="DH1732" i="1"/>
  <c r="DL1732" i="1"/>
  <c r="DH315" i="1"/>
  <c r="DL315" i="1"/>
  <c r="DH669" i="1"/>
  <c r="DL669" i="1"/>
  <c r="DH567" i="1"/>
  <c r="DL567" i="1"/>
  <c r="DH1435" i="1"/>
  <c r="DL1435" i="1"/>
  <c r="DH1261" i="1"/>
  <c r="DL1261" i="1"/>
  <c r="DH1605" i="1"/>
  <c r="DL1605" i="1"/>
  <c r="DH1606" i="1"/>
  <c r="DL1606" i="1"/>
  <c r="DH1347" i="1"/>
  <c r="DL1347" i="1"/>
  <c r="DH945" i="1"/>
  <c r="DL945" i="1"/>
  <c r="DH1670" i="1"/>
  <c r="DL1670" i="1"/>
  <c r="DH629" i="1"/>
  <c r="DL629" i="1"/>
  <c r="DH514" i="1"/>
  <c r="DL514" i="1"/>
  <c r="DH205" i="1"/>
  <c r="DL205" i="1"/>
  <c r="DH1220" i="1"/>
  <c r="DL1220" i="1"/>
  <c r="DH624" i="1"/>
  <c r="DL624" i="1"/>
  <c r="DH413" i="1"/>
  <c r="DL413" i="1"/>
  <c r="DH1007" i="1"/>
  <c r="DL1007" i="1"/>
  <c r="DH2092" i="1"/>
  <c r="DL2092" i="1"/>
  <c r="DH2180" i="1"/>
  <c r="DL2180" i="1"/>
  <c r="DH1927" i="1"/>
  <c r="DL1927" i="1"/>
  <c r="DH424" i="1"/>
  <c r="DL424" i="1"/>
  <c r="DH400" i="1"/>
  <c r="DL400" i="1"/>
  <c r="DH562" i="1"/>
  <c r="DL562" i="1"/>
  <c r="DH612" i="1"/>
  <c r="DL612" i="1"/>
  <c r="DH296" i="1"/>
  <c r="DL296" i="1"/>
  <c r="DH117" i="1"/>
  <c r="DL117" i="1"/>
  <c r="DH258" i="1"/>
  <c r="DL258" i="1"/>
  <c r="DH1306" i="1"/>
  <c r="DL1306" i="1"/>
  <c r="DH237" i="1"/>
  <c r="DL237" i="1"/>
  <c r="DH2204" i="1"/>
  <c r="DL2204" i="1"/>
  <c r="DH1036" i="1"/>
  <c r="DL1036" i="1"/>
  <c r="DH1114" i="1"/>
  <c r="DL1114" i="1"/>
  <c r="DH1928" i="1"/>
  <c r="DL1928" i="1"/>
  <c r="DH88" i="1"/>
  <c r="DL88" i="1"/>
  <c r="DH834" i="1"/>
  <c r="DL834" i="1"/>
  <c r="DH1390" i="1"/>
  <c r="DL1390" i="1"/>
  <c r="DH1837" i="1"/>
  <c r="DL1837" i="1"/>
  <c r="DH239" i="1"/>
  <c r="DL239" i="1"/>
  <c r="DH447" i="1"/>
  <c r="DL447" i="1"/>
  <c r="DH1671" i="1"/>
  <c r="DL1671" i="1"/>
  <c r="DH1484" i="1"/>
  <c r="DL1484" i="1"/>
  <c r="DH76" i="1"/>
  <c r="DL76" i="1"/>
  <c r="DH1485" i="1"/>
  <c r="DL1485" i="1"/>
  <c r="DH50" i="1"/>
  <c r="DL50" i="1"/>
  <c r="DH563" i="1"/>
  <c r="DL563" i="1"/>
  <c r="DH162" i="1"/>
  <c r="DL162" i="1"/>
  <c r="DH965" i="1"/>
  <c r="DL965" i="1"/>
  <c r="DH273" i="1"/>
  <c r="DL273" i="1"/>
  <c r="DH2114" i="1"/>
  <c r="DL2114" i="1"/>
  <c r="DH583" i="1"/>
  <c r="DL583" i="1"/>
  <c r="DH1008" i="1"/>
  <c r="DL1008" i="1"/>
  <c r="DH1137" i="1"/>
  <c r="DL1137" i="1"/>
  <c r="DH1548" i="1"/>
  <c r="DL1548" i="1"/>
  <c r="DH1221" i="1"/>
  <c r="DL1221" i="1"/>
  <c r="DH312" i="1"/>
  <c r="DL312" i="1"/>
  <c r="DH1177" i="1"/>
  <c r="DL1177" i="1"/>
  <c r="DH1037" i="1"/>
  <c r="DL1037" i="1"/>
  <c r="DH57" i="1"/>
  <c r="DL57" i="1"/>
  <c r="DH1348" i="1"/>
  <c r="DL1348" i="1"/>
  <c r="DH1549" i="1"/>
  <c r="DL1549" i="1"/>
  <c r="DH748" i="1"/>
  <c r="DL748" i="1"/>
  <c r="DH2091" i="1"/>
  <c r="DL2091" i="1"/>
  <c r="DH1349" i="1"/>
  <c r="DL1349" i="1"/>
  <c r="DH1929" i="1"/>
  <c r="DL1929" i="1"/>
  <c r="DH697" i="1"/>
  <c r="DL697" i="1"/>
  <c r="DH1733" i="1"/>
  <c r="DL1733" i="1"/>
  <c r="DH1061" i="1"/>
  <c r="DL1061" i="1"/>
  <c r="DH182" i="1"/>
  <c r="DL182" i="1"/>
  <c r="DH308" i="1"/>
  <c r="DL308" i="1"/>
  <c r="DH1436" i="1"/>
  <c r="DL1436" i="1"/>
  <c r="DH904" i="1"/>
  <c r="DL904" i="1"/>
  <c r="DH1672" i="1"/>
  <c r="DL1672" i="1"/>
  <c r="DH1930" i="1"/>
  <c r="DL1930" i="1"/>
  <c r="DH1178" i="1"/>
  <c r="DL1178" i="1"/>
  <c r="DH17" i="1"/>
  <c r="DL17" i="1"/>
  <c r="DH648" i="1"/>
  <c r="DL648" i="1"/>
  <c r="DH20" i="1"/>
  <c r="DL20" i="1"/>
  <c r="DH676" i="1"/>
  <c r="DL676" i="1"/>
  <c r="DH482" i="1"/>
  <c r="DL482" i="1"/>
  <c r="DH1734" i="1"/>
  <c r="DL1734" i="1"/>
  <c r="DH1793" i="1"/>
  <c r="DL1793" i="1"/>
  <c r="DH2115" i="1"/>
  <c r="DL2115" i="1"/>
  <c r="DH2017" i="1"/>
  <c r="DL2017" i="1"/>
  <c r="DH1735" i="1"/>
  <c r="DL1735" i="1"/>
  <c r="DH2093" i="1"/>
  <c r="DL2093" i="1"/>
  <c r="DH875" i="1"/>
  <c r="DL875" i="1"/>
  <c r="DH365" i="1"/>
  <c r="DL365" i="1"/>
  <c r="DH1486" i="1"/>
  <c r="DL1486" i="1"/>
  <c r="DH1262" i="1"/>
  <c r="DL1262" i="1"/>
  <c r="DH77" i="1"/>
  <c r="DL77" i="1"/>
  <c r="DH2018" i="1"/>
  <c r="DL2018" i="1"/>
  <c r="DH1336" i="1"/>
  <c r="DL1336" i="1"/>
  <c r="DH1673" i="1"/>
  <c r="DL1673" i="1"/>
  <c r="DH242" i="1"/>
  <c r="DL242" i="1"/>
  <c r="DH1062" i="1"/>
  <c r="DL1062" i="1"/>
  <c r="DH103" i="1"/>
  <c r="DL103" i="1"/>
  <c r="DH1263" i="1"/>
  <c r="DL1263" i="1"/>
  <c r="DH344" i="1"/>
  <c r="DL344" i="1"/>
  <c r="DH191" i="1"/>
  <c r="DL191" i="1"/>
  <c r="DH1063" i="1"/>
  <c r="DL1063" i="1"/>
  <c r="DH2205" i="1"/>
  <c r="DL2205" i="1"/>
  <c r="DH1038" i="1"/>
  <c r="DL1038" i="1"/>
  <c r="DH1391" i="1"/>
  <c r="DL1391" i="1"/>
  <c r="DH593" i="1"/>
  <c r="DL593" i="1"/>
  <c r="DH1607" i="1"/>
  <c r="DL1607" i="1"/>
  <c r="DH51" i="1"/>
  <c r="DL51" i="1"/>
  <c r="DH604" i="1"/>
  <c r="DL604" i="1"/>
  <c r="DH2019" i="1"/>
  <c r="DL2019" i="1"/>
  <c r="DH1674" i="1"/>
  <c r="DL1674" i="1"/>
  <c r="DH848" i="1"/>
  <c r="DL848" i="1"/>
  <c r="DH705" i="1"/>
  <c r="DL705" i="1"/>
  <c r="DH2187" i="1"/>
  <c r="DL2187" i="1"/>
  <c r="DH1931" i="1"/>
  <c r="DL1931" i="1"/>
  <c r="DH1904" i="1"/>
  <c r="DL1904" i="1"/>
  <c r="DH68" i="1"/>
  <c r="DL68" i="1"/>
  <c r="DH1087" i="1"/>
  <c r="DL1087" i="1"/>
  <c r="DH1307" i="1"/>
  <c r="DL1307" i="1"/>
  <c r="DH1525" i="1"/>
  <c r="DL1525" i="1"/>
  <c r="DH62" i="1"/>
  <c r="DL62" i="1"/>
  <c r="DH729" i="1"/>
  <c r="DL729" i="1"/>
  <c r="DH1295" i="1"/>
  <c r="DL1295" i="1"/>
  <c r="DH1461" i="1"/>
  <c r="DL1461" i="1"/>
  <c r="DH1378" i="1"/>
  <c r="DL1378" i="1"/>
  <c r="DH324" i="1"/>
  <c r="DL324" i="1"/>
  <c r="DH184" i="1"/>
  <c r="DL184" i="1"/>
  <c r="DH269" i="1"/>
  <c r="DL269" i="1"/>
  <c r="DH1527" i="1"/>
  <c r="DL1527" i="1"/>
  <c r="DH2116" i="1"/>
  <c r="DL2116" i="1"/>
  <c r="DH578" i="1"/>
  <c r="DL578" i="1"/>
  <c r="DH1264" i="1"/>
  <c r="DL1264" i="1"/>
  <c r="DH1392" i="1"/>
  <c r="DL1392" i="1"/>
  <c r="DH1675" i="1"/>
  <c r="DL1675" i="1"/>
  <c r="DH990" i="1"/>
  <c r="DL990" i="1"/>
  <c r="DH1487" i="1"/>
  <c r="DL1487" i="1"/>
  <c r="DH835" i="1"/>
  <c r="DL835" i="1"/>
  <c r="DH1393" i="1"/>
  <c r="DL1393" i="1"/>
  <c r="DH2020" i="1"/>
  <c r="DL2020" i="1"/>
  <c r="DH1138" i="1"/>
  <c r="DL1138" i="1"/>
  <c r="DH1222" i="1"/>
  <c r="DL1222" i="1"/>
  <c r="DH456" i="1"/>
  <c r="DL456" i="1"/>
  <c r="DH1854" i="1"/>
  <c r="DL1854" i="1"/>
  <c r="DH1550" i="1"/>
  <c r="DL1550" i="1"/>
  <c r="DH2117" i="1"/>
  <c r="DL2117" i="1"/>
  <c r="DH793" i="1"/>
  <c r="DL793" i="1"/>
  <c r="DH302" i="1"/>
  <c r="DL302" i="1"/>
  <c r="DH1608" i="1"/>
  <c r="DL1608" i="1"/>
  <c r="DH2118" i="1"/>
  <c r="DL2118" i="1"/>
  <c r="DH1794" i="1"/>
  <c r="DL1794" i="1"/>
  <c r="DH1609" i="1"/>
  <c r="DL1609" i="1"/>
  <c r="DH670" i="1"/>
  <c r="DL670" i="1"/>
  <c r="DH2119" i="1"/>
  <c r="DL2119" i="1"/>
  <c r="DH734" i="1"/>
  <c r="DL734" i="1"/>
  <c r="DH584" i="1"/>
  <c r="DL584" i="1"/>
  <c r="DH585" i="1"/>
  <c r="DL585" i="1"/>
  <c r="DH625" i="1"/>
  <c r="DL625" i="1"/>
  <c r="DH2206" i="1"/>
  <c r="DL2206" i="1"/>
  <c r="DH1179" i="1"/>
  <c r="DL1179" i="1"/>
  <c r="DH1265" i="1"/>
  <c r="DL1265" i="1"/>
  <c r="DH1488" i="1"/>
  <c r="DL1488" i="1"/>
  <c r="DH1676" i="1"/>
  <c r="DL1676" i="1"/>
  <c r="DH303" i="1"/>
  <c r="DL303" i="1"/>
  <c r="DH1587" i="1"/>
  <c r="DL1587" i="1"/>
  <c r="DH1180" i="1"/>
  <c r="DL1180" i="1"/>
  <c r="DH167" i="1"/>
  <c r="DL167" i="1"/>
  <c r="DH1610" i="1"/>
  <c r="DL1610" i="1"/>
  <c r="DH1109" i="1"/>
  <c r="DL1109" i="1"/>
  <c r="DH505" i="1"/>
  <c r="DL505" i="1"/>
  <c r="DH1039" i="1"/>
  <c r="DL1039" i="1"/>
  <c r="DH440" i="1"/>
  <c r="DL440" i="1"/>
  <c r="DH1437" i="1"/>
  <c r="DL1437" i="1"/>
  <c r="DH2021" i="1"/>
  <c r="DL2021" i="1"/>
  <c r="DH928" i="1"/>
  <c r="DL928" i="1"/>
  <c r="DH794" i="1"/>
  <c r="DL794" i="1"/>
  <c r="DH522" i="1"/>
  <c r="DL522" i="1"/>
  <c r="DH111" i="1"/>
  <c r="DL111" i="1"/>
  <c r="DH1932" i="1"/>
  <c r="DL1932" i="1"/>
  <c r="DH929" i="1"/>
  <c r="DL929" i="1"/>
  <c r="DH1489" i="1"/>
  <c r="DL1489" i="1"/>
  <c r="DH1139" i="1"/>
  <c r="DL1139" i="1"/>
  <c r="DH651" i="1"/>
  <c r="DL651" i="1"/>
  <c r="DH318" i="1"/>
  <c r="DL318" i="1"/>
  <c r="DH820" i="1"/>
  <c r="DL820" i="1"/>
  <c r="DH1551" i="1"/>
  <c r="DL1551" i="1"/>
  <c r="DH639" i="1"/>
  <c r="DL639" i="1"/>
  <c r="DH1266" i="1"/>
  <c r="DL1266" i="1"/>
  <c r="DH292" i="1"/>
  <c r="DL292" i="1"/>
  <c r="DH110" i="1"/>
  <c r="DL110" i="1"/>
  <c r="DH1552" i="1"/>
  <c r="DL1552" i="1"/>
  <c r="DH1933" i="1"/>
  <c r="DL1933" i="1"/>
  <c r="DH677" i="1"/>
  <c r="DL677" i="1"/>
  <c r="DH2022" i="1"/>
  <c r="DL2022" i="1"/>
  <c r="DH2023" i="1"/>
  <c r="DL2023" i="1"/>
  <c r="DH125" i="1"/>
  <c r="DL125" i="1"/>
  <c r="DH146" i="1"/>
  <c r="DL146" i="1"/>
  <c r="DH9" i="1"/>
  <c r="DL9" i="1"/>
  <c r="DH1394" i="1"/>
  <c r="DL1394" i="1"/>
  <c r="DH849" i="1"/>
  <c r="DL849" i="1"/>
  <c r="DH431" i="1"/>
  <c r="DL431" i="1"/>
  <c r="DH1677" i="1"/>
  <c r="DL1677" i="1"/>
  <c r="DH930" i="1"/>
  <c r="DL930" i="1"/>
  <c r="DH1529" i="1"/>
  <c r="DL1529" i="1"/>
  <c r="DH397" i="1"/>
  <c r="DL397" i="1"/>
  <c r="DH706" i="1"/>
  <c r="DL706" i="1"/>
  <c r="DH1934" i="1"/>
  <c r="DL1934" i="1"/>
  <c r="DH619" i="1"/>
  <c r="DL619" i="1"/>
  <c r="DH10" i="1"/>
  <c r="DL10" i="1"/>
  <c r="DH2087" i="1"/>
  <c r="DL2087" i="1"/>
  <c r="DH2095" i="1"/>
  <c r="DL2095" i="1"/>
  <c r="DH2120" i="1"/>
  <c r="DL2120" i="1"/>
  <c r="DH579" i="1"/>
  <c r="DL579" i="1"/>
  <c r="DH1855" i="1"/>
  <c r="DL1855" i="1"/>
  <c r="DH1223" i="1"/>
  <c r="DL1223" i="1"/>
  <c r="DH1935" i="1"/>
  <c r="DL1935" i="1"/>
  <c r="DH1736" i="1"/>
  <c r="DL1736" i="1"/>
  <c r="DH1064" i="1"/>
  <c r="DL1064" i="1"/>
  <c r="DH898" i="1"/>
  <c r="DL898" i="1"/>
  <c r="DH698" i="1"/>
  <c r="DL698" i="1"/>
  <c r="DH882" i="1"/>
  <c r="DL882" i="1"/>
  <c r="DH425" i="1"/>
  <c r="DL425" i="1"/>
  <c r="DH1224" i="1"/>
  <c r="DL1224" i="1"/>
  <c r="DH1856" i="1"/>
  <c r="DL1856" i="1"/>
  <c r="DH850" i="1"/>
  <c r="DL850" i="1"/>
  <c r="DH1438" i="1"/>
  <c r="DL1438" i="1"/>
  <c r="DH486" i="1"/>
  <c r="DL486" i="1"/>
  <c r="DH2207" i="1"/>
  <c r="DL2207" i="1"/>
  <c r="DH1350" i="1"/>
  <c r="DL1350" i="1"/>
  <c r="DH851" i="1"/>
  <c r="DL851" i="1"/>
  <c r="DH1611" i="1"/>
  <c r="DL1611" i="1"/>
  <c r="DH1531" i="1"/>
  <c r="DL1531" i="1"/>
  <c r="DH1267" i="1"/>
  <c r="DL1267" i="1"/>
  <c r="DH2024" i="1"/>
  <c r="DL2024" i="1"/>
  <c r="DH1395" i="1"/>
  <c r="DL1395" i="1"/>
  <c r="DH760" i="1"/>
  <c r="DL760" i="1"/>
  <c r="DH467" i="1"/>
  <c r="DL467" i="1"/>
  <c r="DH2025" i="1"/>
  <c r="DL2025" i="1"/>
  <c r="DH35" i="1"/>
  <c r="DL35" i="1"/>
  <c r="DH169" i="1"/>
  <c r="DL169" i="1"/>
  <c r="DH808" i="1"/>
  <c r="DL808" i="1"/>
  <c r="DH65" i="1"/>
  <c r="DL65" i="1"/>
  <c r="DH1612" i="1"/>
  <c r="DL1612" i="1"/>
  <c r="DH1613" i="1"/>
  <c r="DL1613" i="1"/>
  <c r="DH1181" i="1"/>
  <c r="DL1181" i="1"/>
  <c r="DH248" i="1"/>
  <c r="DL248" i="1"/>
  <c r="DH1351" i="1"/>
  <c r="DL1351" i="1"/>
  <c r="DH322" i="1"/>
  <c r="DL322" i="1"/>
  <c r="DH345" i="1"/>
  <c r="DL345" i="1"/>
  <c r="DH1614" i="1"/>
  <c r="DL1614" i="1"/>
  <c r="DH1182" i="1"/>
  <c r="DL1182" i="1"/>
  <c r="DH1772" i="1"/>
  <c r="DL1772" i="1"/>
  <c r="DH383" i="1"/>
  <c r="DL383" i="1"/>
  <c r="DH2208" i="1"/>
  <c r="DL2208" i="1"/>
  <c r="DH319" i="1"/>
  <c r="DL319" i="1"/>
  <c r="DH1308" i="1"/>
  <c r="DL1308" i="1"/>
  <c r="DH499" i="1"/>
  <c r="DL499" i="1"/>
  <c r="DH1352" i="1"/>
  <c r="DL1352" i="1"/>
  <c r="DH1936" i="1"/>
  <c r="DL1936" i="1"/>
  <c r="DH1469" i="1"/>
  <c r="DL1469" i="1"/>
  <c r="DH2209" i="1"/>
  <c r="DL2209" i="1"/>
  <c r="DH1795" i="1"/>
  <c r="DL1795" i="1"/>
  <c r="DH348" i="1"/>
  <c r="DL348" i="1"/>
  <c r="DH475" i="1"/>
  <c r="DL475" i="1"/>
  <c r="DH900" i="1"/>
  <c r="DL900" i="1"/>
  <c r="DH259" i="1"/>
  <c r="DL259" i="1"/>
  <c r="DH1140" i="1"/>
  <c r="DL1140" i="1"/>
  <c r="DH1490" i="1"/>
  <c r="DL1490" i="1"/>
  <c r="DH1937" i="1"/>
  <c r="DL1937" i="1"/>
  <c r="DH1225" i="1"/>
  <c r="DL1225" i="1"/>
  <c r="DH671" i="1"/>
  <c r="DL671" i="1"/>
  <c r="DH1396" i="1"/>
  <c r="DL1396" i="1"/>
  <c r="DH2210" i="1"/>
  <c r="DL2210" i="1"/>
  <c r="DH1857" i="1"/>
  <c r="DL1857" i="1"/>
  <c r="DH931" i="1"/>
  <c r="DL931" i="1"/>
  <c r="DH67" i="1"/>
  <c r="DL67" i="1"/>
  <c r="DH1938" i="1"/>
  <c r="DL1938" i="1"/>
  <c r="DH1835" i="1"/>
  <c r="DL1835" i="1"/>
  <c r="DH42" i="1"/>
  <c r="DL42" i="1"/>
  <c r="DH1939" i="1"/>
  <c r="DL1939" i="1"/>
  <c r="DH465" i="1"/>
  <c r="DL465" i="1"/>
  <c r="DH1659" i="1"/>
  <c r="DL1659" i="1"/>
  <c r="DH556" i="1"/>
  <c r="DL556" i="1"/>
  <c r="DH2026" i="1"/>
  <c r="DL2026" i="1"/>
  <c r="DH966" i="1"/>
  <c r="DL966" i="1"/>
  <c r="DH2121" i="1"/>
  <c r="DL2121" i="1"/>
  <c r="DH27" i="1"/>
  <c r="DL27" i="1"/>
  <c r="DH1226" i="1"/>
  <c r="DL1226" i="1"/>
  <c r="DH150" i="1"/>
  <c r="DL150" i="1"/>
  <c r="DH1009" i="1"/>
  <c r="DL1009" i="1"/>
  <c r="DH749" i="1"/>
  <c r="DL749" i="1"/>
  <c r="DH1353" i="1"/>
  <c r="DL1353" i="1"/>
  <c r="DH1040" i="1"/>
  <c r="DL1040" i="1"/>
  <c r="DH1254" i="1"/>
  <c r="DL1254" i="1"/>
  <c r="DH1288" i="1"/>
  <c r="DL1288" i="1"/>
  <c r="DH173" i="1"/>
  <c r="DL173" i="1"/>
  <c r="DH262" i="1"/>
  <c r="DL262" i="1"/>
  <c r="DH2253" i="1"/>
  <c r="DL2253" i="1"/>
  <c r="DH821" i="1"/>
  <c r="DL821" i="1"/>
  <c r="DH905" i="1"/>
  <c r="DL905" i="1"/>
  <c r="DH1678" i="1"/>
  <c r="DL1678" i="1"/>
  <c r="DH1131" i="1"/>
  <c r="DL1131" i="1"/>
  <c r="DH320" i="1"/>
  <c r="DL320" i="1"/>
  <c r="DH69" i="1"/>
  <c r="DL69" i="1"/>
  <c r="DH1337" i="1"/>
  <c r="DL1337" i="1"/>
  <c r="DH1553" i="1"/>
  <c r="DL1553" i="1"/>
  <c r="DH1227" i="1"/>
  <c r="DL1227" i="1"/>
  <c r="DH1940" i="1"/>
  <c r="DL1940" i="1"/>
  <c r="DH946" i="1"/>
  <c r="DL946" i="1"/>
  <c r="DH967" i="1"/>
  <c r="DL967" i="1"/>
  <c r="DH264" i="1"/>
  <c r="DL264" i="1"/>
  <c r="DH1720" i="1"/>
  <c r="DL1720" i="1"/>
  <c r="DH531" i="1"/>
  <c r="DL531" i="1"/>
  <c r="DH218" i="1"/>
  <c r="DL218" i="1"/>
  <c r="DH2027" i="1"/>
  <c r="DL2027" i="1"/>
  <c r="DH707" i="1"/>
  <c r="DL707" i="1"/>
  <c r="DH2211" i="1"/>
  <c r="DL2211" i="1"/>
  <c r="DH568" i="1"/>
  <c r="DL568" i="1"/>
  <c r="DH479" i="1"/>
  <c r="DL479" i="1"/>
  <c r="DH1041" i="1"/>
  <c r="DL1041" i="1"/>
  <c r="DH177" i="1"/>
  <c r="DL177" i="1"/>
  <c r="DH1491" i="1"/>
  <c r="DL1491" i="1"/>
  <c r="DH2028" i="1"/>
  <c r="DL2028" i="1"/>
  <c r="DH1141" i="1"/>
  <c r="DL1141" i="1"/>
  <c r="DH883" i="1"/>
  <c r="DL883" i="1"/>
  <c r="DH2122" i="1"/>
  <c r="DL2122" i="1"/>
  <c r="DH750" i="1"/>
  <c r="DL750" i="1"/>
  <c r="DH1088" i="1"/>
  <c r="DL1088" i="1"/>
  <c r="DH761" i="1"/>
  <c r="DL761" i="1"/>
  <c r="DH510" i="1"/>
  <c r="DL510" i="1"/>
  <c r="DH1268" i="1"/>
  <c r="DL1268" i="1"/>
  <c r="DH1269" i="1"/>
  <c r="DL1269" i="1"/>
  <c r="DH53" i="1"/>
  <c r="DL53" i="1"/>
  <c r="DH31" i="1"/>
  <c r="DL31" i="1"/>
  <c r="DH404" i="1"/>
  <c r="DL404" i="1"/>
  <c r="DH1941" i="1"/>
  <c r="DL1941" i="1"/>
  <c r="DH762" i="1"/>
  <c r="DL762" i="1"/>
  <c r="DH1858" i="1"/>
  <c r="DL1858" i="1"/>
  <c r="DH1492" i="1"/>
  <c r="DL1492" i="1"/>
  <c r="DH620" i="1"/>
  <c r="DL620" i="1"/>
  <c r="DH1115" i="1"/>
  <c r="DL1115" i="1"/>
  <c r="DH2029" i="1"/>
  <c r="DL2029" i="1"/>
  <c r="DH1942" i="1"/>
  <c r="DL1942" i="1"/>
  <c r="DH630" i="1"/>
  <c r="DL630" i="1"/>
  <c r="DH867" i="1"/>
  <c r="DL867" i="1"/>
  <c r="DH1439" i="1"/>
  <c r="DL1439" i="1"/>
  <c r="DH24" i="1"/>
  <c r="DL24" i="1"/>
  <c r="DH1737" i="1"/>
  <c r="DL1737" i="1"/>
  <c r="DH569" i="1"/>
  <c r="DL569" i="1"/>
  <c r="DH1796" i="1"/>
  <c r="DL1796" i="1"/>
  <c r="DH1089" i="1"/>
  <c r="DL1089" i="1"/>
  <c r="DH1228" i="1"/>
  <c r="DL1228" i="1"/>
  <c r="DH1615" i="1"/>
  <c r="DL1615" i="1"/>
  <c r="DH1397" i="1"/>
  <c r="DL1397" i="1"/>
  <c r="DH1859" i="1"/>
  <c r="DL1859" i="1"/>
  <c r="DH852" i="1"/>
  <c r="DL852" i="1"/>
  <c r="DH2123" i="1"/>
  <c r="DL2123" i="1"/>
  <c r="DH1398" i="1"/>
  <c r="DL1398" i="1"/>
  <c r="DH1797" i="1"/>
  <c r="DL1797" i="1"/>
  <c r="DH1860" i="1"/>
  <c r="DL1860" i="1"/>
  <c r="DH153" i="1"/>
  <c r="DL153" i="1"/>
  <c r="DH394" i="1"/>
  <c r="DL394" i="1"/>
  <c r="DH1183" i="1"/>
  <c r="DL1183" i="1"/>
  <c r="DH32" i="1"/>
  <c r="DL32" i="1"/>
  <c r="DH991" i="1"/>
  <c r="DL991" i="1"/>
  <c r="DH631" i="1"/>
  <c r="DL631" i="1"/>
  <c r="DH708" i="1"/>
  <c r="DL708" i="1"/>
  <c r="DH526" i="1"/>
  <c r="DL526" i="1"/>
  <c r="DH483" i="1"/>
  <c r="DL483" i="1"/>
  <c r="DH1861" i="1"/>
  <c r="DL1861" i="1"/>
  <c r="DH274" i="1"/>
  <c r="DL274" i="1"/>
  <c r="DH1090" i="1"/>
  <c r="DL1090" i="1"/>
  <c r="DH414" i="1"/>
  <c r="DL414" i="1"/>
  <c r="DH2212" i="1"/>
  <c r="DL2212" i="1"/>
  <c r="DH313" i="1"/>
  <c r="DL313" i="1"/>
  <c r="DH751" i="1"/>
  <c r="DL751" i="1"/>
  <c r="DH1943" i="1"/>
  <c r="DL1943" i="1"/>
  <c r="DH1554" i="1"/>
  <c r="DL1554" i="1"/>
  <c r="DH1142" i="1"/>
  <c r="DL1142" i="1"/>
  <c r="DH230" i="1"/>
  <c r="DL230" i="1"/>
  <c r="DH1679" i="1"/>
  <c r="DL1679" i="1"/>
  <c r="DH932" i="1"/>
  <c r="DL932" i="1"/>
  <c r="DH74" i="1"/>
  <c r="DL74" i="1"/>
  <c r="DH541" i="1"/>
  <c r="DL541" i="1"/>
  <c r="DH34" i="1"/>
  <c r="DL34" i="1"/>
  <c r="DH204" i="1"/>
  <c r="DL204" i="1"/>
  <c r="DH699" i="1"/>
  <c r="DL699" i="1"/>
  <c r="DH884" i="1"/>
  <c r="DL884" i="1"/>
  <c r="DH822" i="1"/>
  <c r="DL822" i="1"/>
  <c r="DH1738" i="1"/>
  <c r="DL1738" i="1"/>
  <c r="DH1229" i="1"/>
  <c r="DL1229" i="1"/>
  <c r="DH661" i="1"/>
  <c r="DL661" i="1"/>
  <c r="DH570" i="1"/>
  <c r="DL570" i="1"/>
  <c r="DH775" i="1"/>
  <c r="DL775" i="1"/>
  <c r="DH735" i="1"/>
  <c r="DL735" i="1"/>
  <c r="DH1944" i="1"/>
  <c r="DL1944" i="1"/>
  <c r="DH1399" i="1"/>
  <c r="DL1399" i="1"/>
  <c r="DH947" i="1"/>
  <c r="DL947" i="1"/>
  <c r="DH1493" i="1"/>
  <c r="DL1493" i="1"/>
  <c r="DH492" i="1"/>
  <c r="DL492" i="1"/>
  <c r="DH1065" i="1"/>
  <c r="DL1065" i="1"/>
  <c r="DH1494" i="1"/>
  <c r="DL1494" i="1"/>
  <c r="DH1495" i="1"/>
  <c r="DL1495" i="1"/>
  <c r="DH1862" i="1"/>
  <c r="DL1862" i="1"/>
  <c r="DH2124" i="1"/>
  <c r="DL2124" i="1"/>
  <c r="DH564" i="1"/>
  <c r="DL564" i="1"/>
  <c r="DH1042" i="1"/>
  <c r="DL1042" i="1"/>
  <c r="DH1798" i="1"/>
  <c r="DL1798" i="1"/>
  <c r="DH1680" i="1"/>
  <c r="DL1680" i="1"/>
  <c r="DH2213" i="1"/>
  <c r="DL2213" i="1"/>
  <c r="DH1130" i="1"/>
  <c r="DL1130" i="1"/>
  <c r="DH181" i="1"/>
  <c r="DL181" i="1"/>
  <c r="DH369" i="1"/>
  <c r="DL369" i="1"/>
  <c r="DH441" i="1"/>
  <c r="DL441" i="1"/>
  <c r="DH1945" i="1"/>
  <c r="DL1945" i="1"/>
  <c r="DH55" i="1"/>
  <c r="DL55" i="1"/>
  <c r="DH1528" i="1"/>
  <c r="DL1528" i="1"/>
  <c r="DH1661" i="1"/>
  <c r="DL1661" i="1"/>
  <c r="DH613" i="1"/>
  <c r="DL613" i="1"/>
  <c r="DH1799" i="1"/>
  <c r="DL1799" i="1"/>
  <c r="DH899" i="1"/>
  <c r="DL899" i="1"/>
  <c r="DH187" i="1"/>
  <c r="DL187" i="1"/>
  <c r="DH1354" i="1"/>
  <c r="DL1354" i="1"/>
  <c r="DH1355" i="1"/>
  <c r="DL1355" i="1"/>
  <c r="DH1739" i="1"/>
  <c r="DL1739" i="1"/>
  <c r="DH1184" i="1"/>
  <c r="DL1184" i="1"/>
  <c r="DH278" i="1"/>
  <c r="DL278" i="1"/>
  <c r="DH1946" i="1"/>
  <c r="DL1946" i="1"/>
  <c r="DH1555" i="1"/>
  <c r="DL1555" i="1"/>
  <c r="DH688" i="1"/>
  <c r="DL688" i="1"/>
  <c r="DH1947" i="1"/>
  <c r="DL1947" i="1"/>
  <c r="DH1270" i="1"/>
  <c r="DL1270" i="1"/>
  <c r="DH1863" i="1"/>
  <c r="DL1863" i="1"/>
  <c r="DH442" i="1"/>
  <c r="DL442" i="1"/>
  <c r="DH1864" i="1"/>
  <c r="DL1864" i="1"/>
  <c r="DH2260" i="1"/>
  <c r="DL2260" i="1"/>
  <c r="DH1948" i="1"/>
  <c r="DL1948" i="1"/>
  <c r="DH709" i="1"/>
  <c r="DL709" i="1"/>
  <c r="DH145" i="1"/>
  <c r="DL145" i="1"/>
  <c r="DH665" i="1"/>
  <c r="DL665" i="1"/>
  <c r="DH484" i="1"/>
  <c r="DL484" i="1"/>
  <c r="DH594" i="1"/>
  <c r="DL594" i="1"/>
  <c r="DH178" i="1"/>
  <c r="DL178" i="1"/>
  <c r="DH885" i="1"/>
  <c r="DL885" i="1"/>
  <c r="DH2125" i="1"/>
  <c r="DL2125" i="1"/>
  <c r="DH906" i="1"/>
  <c r="DL906" i="1"/>
  <c r="DH375" i="1"/>
  <c r="DL375" i="1"/>
  <c r="DH868" i="1"/>
  <c r="DL868" i="1"/>
  <c r="DH948" i="1"/>
  <c r="DL948" i="1"/>
  <c r="DH574" i="1"/>
  <c r="DL574" i="1"/>
  <c r="DH1556" i="1"/>
  <c r="DL1556" i="1"/>
  <c r="DH823" i="1"/>
  <c r="DL823" i="1"/>
  <c r="DH710" i="1"/>
  <c r="DL710" i="1"/>
  <c r="DH430" i="1"/>
  <c r="DL430" i="1"/>
  <c r="DH1289" i="1"/>
  <c r="DL1289" i="1"/>
  <c r="DH1681" i="1"/>
  <c r="DL1681" i="1"/>
  <c r="DH40" i="1"/>
  <c r="DL40" i="1"/>
  <c r="DH1557" i="1"/>
  <c r="DL1557" i="1"/>
  <c r="DH1740" i="1"/>
  <c r="DL1740" i="1"/>
  <c r="DH1989" i="1"/>
  <c r="DL1989" i="1"/>
  <c r="DH1775" i="1"/>
  <c r="DL1775" i="1"/>
  <c r="DH1558" i="1"/>
  <c r="DL1558" i="1"/>
  <c r="DH1616" i="1"/>
  <c r="DL1616" i="1"/>
  <c r="DH2126" i="1"/>
  <c r="DL2126" i="1"/>
  <c r="DH763" i="1"/>
  <c r="DL763" i="1"/>
  <c r="DH642" i="1"/>
  <c r="DL642" i="1"/>
  <c r="DH836" i="1"/>
  <c r="DL836" i="1"/>
  <c r="DH170" i="1"/>
  <c r="DL170" i="1"/>
  <c r="DH1800" i="1"/>
  <c r="DL1800" i="1"/>
  <c r="DH123" i="1"/>
  <c r="DL123" i="1"/>
  <c r="DH711" i="1"/>
  <c r="DL711" i="1"/>
  <c r="DH1801" i="1"/>
  <c r="DL1801" i="1"/>
  <c r="DH337" i="1"/>
  <c r="DL337" i="1"/>
  <c r="DH795" i="1"/>
  <c r="DL795" i="1"/>
  <c r="DH1230" i="1"/>
  <c r="DL1230" i="1"/>
  <c r="DH1496" i="1"/>
  <c r="DL1496" i="1"/>
  <c r="DH1559" i="1"/>
  <c r="DL1559" i="1"/>
  <c r="DH506" i="1"/>
  <c r="DL506" i="1"/>
  <c r="DH837" i="1"/>
  <c r="DL837" i="1"/>
  <c r="DH1682" i="1"/>
  <c r="DL1682" i="1"/>
  <c r="DH1683" i="1"/>
  <c r="DL1683" i="1"/>
  <c r="DH2127" i="1"/>
  <c r="DL2127" i="1"/>
  <c r="DH1617" i="1"/>
  <c r="DL1617" i="1"/>
  <c r="DH1741" i="1"/>
  <c r="DL1741" i="1"/>
  <c r="DH1309" i="1"/>
  <c r="DL1309" i="1"/>
  <c r="DH213" i="1"/>
  <c r="DL213" i="1"/>
  <c r="DH113" i="1"/>
  <c r="DL113" i="1"/>
  <c r="DH1010" i="1"/>
  <c r="DL1010" i="1"/>
  <c r="DH1207" i="1"/>
  <c r="DL1207" i="1"/>
  <c r="DH131" i="1"/>
  <c r="DL131" i="1"/>
  <c r="DH1742" i="1"/>
  <c r="DL1742" i="1"/>
  <c r="DH2030" i="1"/>
  <c r="DL2030" i="1"/>
  <c r="DH1168" i="1"/>
  <c r="DL1168" i="1"/>
  <c r="DH392" i="1"/>
  <c r="DL392" i="1"/>
  <c r="DH1618" i="1"/>
  <c r="DL1618" i="1"/>
  <c r="DH1271" i="1"/>
  <c r="DL1271" i="1"/>
  <c r="DH1865" i="1"/>
  <c r="DL1865" i="1"/>
  <c r="DH1463" i="1"/>
  <c r="DL1463" i="1"/>
  <c r="DH1043" i="1"/>
  <c r="DL1043" i="1"/>
  <c r="DH1108" i="1"/>
  <c r="DL1108" i="1"/>
  <c r="DH1866" i="1"/>
  <c r="DL1866" i="1"/>
  <c r="DH546" i="1"/>
  <c r="DL546" i="1"/>
  <c r="DH1684" i="1"/>
  <c r="DL1684" i="1"/>
  <c r="DH736" i="1"/>
  <c r="DL736" i="1"/>
  <c r="DH2031" i="1"/>
  <c r="DL2031" i="1"/>
  <c r="DH1185" i="1"/>
  <c r="DL1185" i="1"/>
  <c r="DH2032" i="1"/>
  <c r="DL2032" i="1"/>
  <c r="DH678" i="1"/>
  <c r="DL678" i="1"/>
  <c r="DH565" i="1"/>
  <c r="DL565" i="1"/>
  <c r="DH1497" i="1"/>
  <c r="DL1497" i="1"/>
  <c r="DH1802" i="1"/>
  <c r="DL1802" i="1"/>
  <c r="DH700" i="1"/>
  <c r="DL700" i="1"/>
  <c r="DH764" i="1"/>
  <c r="DL764" i="1"/>
  <c r="DH1186" i="1"/>
  <c r="DL1186" i="1"/>
  <c r="DH712" i="1"/>
  <c r="DL712" i="1"/>
  <c r="DH1498" i="1"/>
  <c r="DL1498" i="1"/>
  <c r="DH376" i="1"/>
  <c r="DL376" i="1"/>
  <c r="DH1066" i="1"/>
  <c r="DL1066" i="1"/>
  <c r="DH796" i="1"/>
  <c r="DL796" i="1"/>
  <c r="DH1949" i="1"/>
  <c r="DL1949" i="1"/>
  <c r="DH1685" i="1"/>
  <c r="DL1685" i="1"/>
  <c r="DH2176" i="1"/>
  <c r="DL2176" i="1"/>
  <c r="DH1251" i="1"/>
  <c r="DL1251" i="1"/>
  <c r="DH1400" i="1"/>
  <c r="DL1400" i="1"/>
  <c r="DH1187" i="1"/>
  <c r="DL1187" i="1"/>
  <c r="DH1272" i="1"/>
  <c r="DL1272" i="1"/>
  <c r="DH487" i="1"/>
  <c r="DL487" i="1"/>
  <c r="DH48" i="1"/>
  <c r="DL48" i="1"/>
  <c r="DH809" i="1"/>
  <c r="DL809" i="1"/>
  <c r="DH212" i="1"/>
  <c r="DL212" i="1"/>
  <c r="DH933" i="1"/>
  <c r="DL933" i="1"/>
  <c r="DH1011" i="1"/>
  <c r="DL1011" i="1"/>
  <c r="DH1619" i="1"/>
  <c r="DL1619" i="1"/>
  <c r="DH649" i="1"/>
  <c r="DL649" i="1"/>
  <c r="DH336" i="1"/>
  <c r="DL336" i="1"/>
  <c r="DH1310" i="1"/>
  <c r="DL1310" i="1"/>
  <c r="DH771" i="1"/>
  <c r="DL771" i="1"/>
  <c r="DH2033" i="1"/>
  <c r="DL2033" i="1"/>
  <c r="DH723" i="1"/>
  <c r="DL723" i="1"/>
  <c r="DH1992" i="1"/>
  <c r="DL1992" i="1"/>
  <c r="DH776" i="1"/>
  <c r="DL776" i="1"/>
  <c r="DH1273" i="1"/>
  <c r="DL1273" i="1"/>
  <c r="DH420" i="1"/>
  <c r="DL420" i="1"/>
  <c r="DH476" i="1"/>
  <c r="DL476" i="1"/>
  <c r="DH1620" i="1"/>
  <c r="DL1620" i="1"/>
  <c r="DH1274" i="1"/>
  <c r="DL1274" i="1"/>
  <c r="DH2214" i="1"/>
  <c r="DL2214" i="1"/>
  <c r="DH1499" i="1"/>
  <c r="DL1499" i="1"/>
  <c r="DH1002" i="1"/>
  <c r="DL1002" i="1"/>
  <c r="DH1275" i="1"/>
  <c r="DL1275" i="1"/>
  <c r="DH1560" i="1"/>
  <c r="DL1560" i="1"/>
  <c r="DH1743" i="1"/>
  <c r="DL1743" i="1"/>
  <c r="DH2128" i="1"/>
  <c r="DL2128" i="1"/>
  <c r="DH71" i="1"/>
  <c r="DL71" i="1"/>
  <c r="DH410" i="1"/>
  <c r="DL410" i="1"/>
  <c r="DH1356" i="1"/>
  <c r="DL1356" i="1"/>
  <c r="DH652" i="1"/>
  <c r="DL652" i="1"/>
  <c r="DH1621" i="1"/>
  <c r="DL1621" i="1"/>
  <c r="DH377" i="1"/>
  <c r="DL377" i="1"/>
  <c r="DH1091" i="1"/>
  <c r="DL1091" i="1"/>
  <c r="DH886" i="1"/>
  <c r="DL886" i="1"/>
  <c r="DH329" i="1"/>
  <c r="DL329" i="1"/>
  <c r="DH23" i="1"/>
  <c r="DL23" i="1"/>
  <c r="DH1116" i="1"/>
  <c r="DL1116" i="1"/>
  <c r="DH63" i="1"/>
  <c r="DL63" i="1"/>
  <c r="DH1188" i="1"/>
  <c r="DL1188" i="1"/>
  <c r="DH2034" i="1"/>
  <c r="DL2034" i="1"/>
  <c r="DH231" i="1"/>
  <c r="DL231" i="1"/>
  <c r="DH354" i="1"/>
  <c r="DL354" i="1"/>
  <c r="DH765" i="1"/>
  <c r="DL765" i="1"/>
  <c r="DH555" i="1"/>
  <c r="DL555" i="1"/>
  <c r="DH2035" i="1"/>
  <c r="DL2035" i="1"/>
  <c r="DH934" i="1"/>
  <c r="DL934" i="1"/>
  <c r="DH668" i="1"/>
  <c r="DL668" i="1"/>
  <c r="DH1867" i="1"/>
  <c r="DL1867" i="1"/>
  <c r="DH497" i="1"/>
  <c r="DL497" i="1"/>
  <c r="DH14" i="1"/>
  <c r="DL14" i="1"/>
  <c r="DH1561" i="1"/>
  <c r="DL1561" i="1"/>
  <c r="DH417" i="1"/>
  <c r="DL417" i="1"/>
  <c r="DH2036" i="1"/>
  <c r="DL2036" i="1"/>
  <c r="DH1950" i="1"/>
  <c r="DL1950" i="1"/>
  <c r="DH2129" i="1"/>
  <c r="DL2129" i="1"/>
  <c r="DH455" i="1"/>
  <c r="DL455" i="1"/>
  <c r="DH1143" i="1"/>
  <c r="DL1143" i="1"/>
  <c r="DH224" i="1"/>
  <c r="DL224" i="1"/>
  <c r="DH310" i="1"/>
  <c r="DL310" i="1"/>
  <c r="DH907" i="1"/>
  <c r="DL907" i="1"/>
  <c r="DH1012" i="1"/>
  <c r="DL1012" i="1"/>
  <c r="DH1622" i="1"/>
  <c r="DL1622" i="1"/>
  <c r="DH2215" i="1"/>
  <c r="DL2215" i="1"/>
  <c r="DH1144" i="1"/>
  <c r="DL1144" i="1"/>
  <c r="DH1440" i="1"/>
  <c r="DL1440" i="1"/>
  <c r="DH2130" i="1"/>
  <c r="DL2130" i="1"/>
  <c r="DH1441" i="1"/>
  <c r="DL1441" i="1"/>
  <c r="DH1803" i="1"/>
  <c r="DL1803" i="1"/>
  <c r="DH81" i="1"/>
  <c r="DL81" i="1"/>
  <c r="DH1466" i="1"/>
  <c r="DL1466" i="1"/>
  <c r="DH685" i="1"/>
  <c r="DL685" i="1"/>
  <c r="DH2037" i="1"/>
  <c r="DL2037" i="1"/>
  <c r="DH1402" i="1"/>
  <c r="DL1402" i="1"/>
  <c r="DH227" i="1"/>
  <c r="DL227" i="1"/>
  <c r="DH1189" i="1"/>
  <c r="DL1189" i="1"/>
  <c r="DH605" i="1"/>
  <c r="DL605" i="1"/>
  <c r="DH1660" i="1"/>
  <c r="DL1660" i="1"/>
  <c r="DH1592" i="1"/>
  <c r="DL1592" i="1"/>
  <c r="DH968" i="1"/>
  <c r="DL968" i="1"/>
  <c r="DH287" i="1"/>
  <c r="DL287" i="1"/>
  <c r="DH2131" i="1"/>
  <c r="DL2131" i="1"/>
  <c r="DH1051" i="1"/>
  <c r="DL1051" i="1"/>
  <c r="DH992" i="1"/>
  <c r="DL992" i="1"/>
  <c r="DH1276" i="1"/>
  <c r="DL1276" i="1"/>
  <c r="DH2216" i="1"/>
  <c r="DL2216" i="1"/>
  <c r="DH297" i="1"/>
  <c r="DL297" i="1"/>
  <c r="DH2132" i="1"/>
  <c r="DL2132" i="1"/>
  <c r="DH503" i="1"/>
  <c r="DL503" i="1"/>
  <c r="DH1868" i="1"/>
  <c r="DL1868" i="1"/>
  <c r="DH2133" i="1"/>
  <c r="DL2133" i="1"/>
  <c r="DH1145" i="1"/>
  <c r="DL1145" i="1"/>
  <c r="DH1357" i="1"/>
  <c r="DL1357" i="1"/>
  <c r="DH1991" i="1"/>
  <c r="DL1991" i="1"/>
  <c r="DH777" i="1"/>
  <c r="DL777" i="1"/>
  <c r="DH1146" i="1"/>
  <c r="DL1146" i="1"/>
  <c r="DH824" i="1"/>
  <c r="DL824" i="1"/>
  <c r="DH1903" i="1"/>
  <c r="DL1903" i="1"/>
  <c r="DH1686" i="1"/>
  <c r="DL1686" i="1"/>
  <c r="DH82" i="1"/>
  <c r="DL82" i="1"/>
  <c r="DH1744" i="1"/>
  <c r="DL1744" i="1"/>
  <c r="DH766" i="1"/>
  <c r="DL766" i="1"/>
  <c r="DH571" i="1"/>
  <c r="DL571" i="1"/>
  <c r="DH1562" i="1"/>
  <c r="DL1562" i="1"/>
  <c r="DH401" i="1"/>
  <c r="DL401" i="1"/>
  <c r="DH1442" i="1"/>
  <c r="DL1442" i="1"/>
  <c r="DH810" i="1"/>
  <c r="DL810" i="1"/>
  <c r="DH1277" i="1"/>
  <c r="DL1277" i="1"/>
  <c r="DH1190" i="1"/>
  <c r="DL1190" i="1"/>
  <c r="DH304" i="1"/>
  <c r="DL304" i="1"/>
  <c r="DH825" i="1"/>
  <c r="DL825" i="1"/>
  <c r="DH1804" i="1"/>
  <c r="DL1804" i="1"/>
  <c r="DH1869" i="1"/>
  <c r="DL1869" i="1"/>
  <c r="DH385" i="1"/>
  <c r="DL385" i="1"/>
  <c r="DH853" i="1"/>
  <c r="DL853" i="1"/>
  <c r="DH1805" i="1"/>
  <c r="DL1805" i="1"/>
  <c r="DH1623" i="1"/>
  <c r="DL1623" i="1"/>
  <c r="DH993" i="1"/>
  <c r="DL993" i="1"/>
  <c r="DH1687" i="1"/>
  <c r="DL1687" i="1"/>
  <c r="DH1951" i="1"/>
  <c r="DL1951" i="1"/>
  <c r="DH1311" i="1"/>
  <c r="DL1311" i="1"/>
  <c r="DH1806" i="1"/>
  <c r="DL1806" i="1"/>
  <c r="DH701" i="1"/>
  <c r="DL701" i="1"/>
  <c r="DH1870" i="1"/>
  <c r="DL1870" i="1"/>
  <c r="DH2134" i="1"/>
  <c r="DL2134" i="1"/>
  <c r="DH2135" i="1"/>
  <c r="DL2135" i="1"/>
  <c r="DH877" i="1"/>
  <c r="DL877" i="1"/>
  <c r="DH1052" i="1"/>
  <c r="DL1052" i="1"/>
  <c r="DH767" i="1"/>
  <c r="DL767" i="1"/>
  <c r="DH811" i="1"/>
  <c r="DL811" i="1"/>
  <c r="DH387" i="1"/>
  <c r="DL387" i="1"/>
  <c r="DH1312" i="1"/>
  <c r="DL1312" i="1"/>
  <c r="DH11" i="1"/>
  <c r="DL11" i="1"/>
  <c r="DH1500" i="1"/>
  <c r="DL1500" i="1"/>
  <c r="DH2136" i="1"/>
  <c r="DL2136" i="1"/>
  <c r="DH433" i="1"/>
  <c r="DL433" i="1"/>
  <c r="DH2184" i="1"/>
  <c r="DL2184" i="1"/>
  <c r="DH1871" i="1"/>
  <c r="DL1871" i="1"/>
  <c r="DH1403" i="1"/>
  <c r="DL1403" i="1"/>
  <c r="DH1807" i="1"/>
  <c r="DL1807" i="1"/>
  <c r="DH339" i="1"/>
  <c r="DL339" i="1"/>
  <c r="DH580" i="1"/>
  <c r="DL580" i="1"/>
  <c r="DH1404" i="1"/>
  <c r="DL1404" i="1"/>
  <c r="DH1231" i="1"/>
  <c r="DL1231" i="1"/>
  <c r="DH2137" i="1"/>
  <c r="DL2137" i="1"/>
  <c r="DH994" i="1"/>
  <c r="DL994" i="1"/>
  <c r="DH1117" i="1"/>
  <c r="DL1117" i="1"/>
  <c r="DH969" i="1"/>
  <c r="DL969" i="1"/>
  <c r="DH206" i="1"/>
  <c r="DL206" i="1"/>
  <c r="DH1745" i="1"/>
  <c r="DL1745" i="1"/>
  <c r="DH101" i="1"/>
  <c r="DL101" i="1"/>
  <c r="DH496" i="1"/>
  <c r="DL496" i="1"/>
  <c r="DH1358" i="1"/>
  <c r="DL1358" i="1"/>
  <c r="DH171" i="1"/>
  <c r="DL171" i="1"/>
  <c r="DH91" i="1"/>
  <c r="DL91" i="1"/>
  <c r="DH1746" i="1"/>
  <c r="DL1746" i="1"/>
  <c r="DH887" i="1"/>
  <c r="DL887" i="1"/>
  <c r="DH888" i="1"/>
  <c r="DL888" i="1"/>
  <c r="DH844" i="1"/>
  <c r="DL844" i="1"/>
  <c r="DH1688" i="1"/>
  <c r="DL1688" i="1"/>
  <c r="DH215" i="1"/>
  <c r="DL215" i="1"/>
  <c r="DH168" i="1"/>
  <c r="DL168" i="1"/>
  <c r="DH154" i="1"/>
  <c r="DL154" i="1"/>
  <c r="DH256" i="1"/>
  <c r="DL256" i="1"/>
  <c r="DH941" i="1"/>
  <c r="DL941" i="1"/>
  <c r="DH12" i="1"/>
  <c r="DL12" i="1"/>
  <c r="DH147" i="1"/>
  <c r="DL147" i="1"/>
  <c r="DH2038" i="1"/>
  <c r="DL2038" i="1"/>
  <c r="DH493" i="1"/>
  <c r="DL493" i="1"/>
  <c r="DH1563" i="1"/>
  <c r="DL1563" i="1"/>
  <c r="DH1067" i="1"/>
  <c r="DL1067" i="1"/>
  <c r="DH2217" i="1"/>
  <c r="DL2217" i="1"/>
  <c r="DH1501" i="1"/>
  <c r="DL1501" i="1"/>
  <c r="DH713" i="1"/>
  <c r="DL713" i="1"/>
  <c r="DH1278" i="1"/>
  <c r="DL1278" i="1"/>
  <c r="DH152" i="1"/>
  <c r="DL152" i="1"/>
  <c r="DH92" i="1"/>
  <c r="DL92" i="1"/>
  <c r="DH595" i="1"/>
  <c r="DL595" i="1"/>
  <c r="DH949" i="1"/>
  <c r="DL949" i="1"/>
  <c r="DH1590" i="1"/>
  <c r="DL1590" i="1"/>
  <c r="DH2039" i="1"/>
  <c r="DL2039" i="1"/>
  <c r="DH1564" i="1"/>
  <c r="DL1564" i="1"/>
  <c r="DH38" i="1"/>
  <c r="DL38" i="1"/>
  <c r="DH1279" i="1"/>
  <c r="DL1279" i="1"/>
  <c r="DH1872" i="1"/>
  <c r="DL1872" i="1"/>
  <c r="DH2138" i="1"/>
  <c r="DL2138" i="1"/>
  <c r="DH2139" i="1"/>
  <c r="DL2139" i="1"/>
  <c r="DH1147" i="1"/>
  <c r="DL1147" i="1"/>
  <c r="DH1565" i="1"/>
  <c r="DL1565" i="1"/>
  <c r="DH838" i="1"/>
  <c r="DL838" i="1"/>
  <c r="DH1359" i="1"/>
  <c r="DL1359" i="1"/>
  <c r="DH1808" i="1"/>
  <c r="DL1808" i="1"/>
  <c r="DH1443" i="1"/>
  <c r="DL1443" i="1"/>
  <c r="DH295" i="1"/>
  <c r="DL295" i="1"/>
  <c r="DH1952" i="1"/>
  <c r="DL1952" i="1"/>
  <c r="DH1405" i="1"/>
  <c r="DL1405" i="1"/>
  <c r="DH1953" i="1"/>
  <c r="DL1953" i="1"/>
  <c r="DH1624" i="1"/>
  <c r="DL1624" i="1"/>
  <c r="DH402" i="1"/>
  <c r="DL402" i="1"/>
  <c r="DH1232" i="1"/>
  <c r="DL1232" i="1"/>
  <c r="DH1747" i="1"/>
  <c r="DL1747" i="1"/>
  <c r="DH1954" i="1"/>
  <c r="DL1954" i="1"/>
  <c r="DH1873" i="1"/>
  <c r="DL1873" i="1"/>
  <c r="DH2218" i="1"/>
  <c r="DL2218" i="1"/>
  <c r="DH1068" i="1"/>
  <c r="DL1068" i="1"/>
  <c r="DH252" i="1"/>
  <c r="DL252" i="1"/>
  <c r="DH557" i="1"/>
  <c r="DL557" i="1"/>
  <c r="DH1955" i="1"/>
  <c r="DL1955" i="1"/>
  <c r="DH351" i="1"/>
  <c r="DL351" i="1"/>
  <c r="DH2140" i="1"/>
  <c r="DL2140" i="1"/>
  <c r="DH2141" i="1"/>
  <c r="DL2141" i="1"/>
  <c r="DH1874" i="1"/>
  <c r="DL1874" i="1"/>
  <c r="DH144" i="1"/>
  <c r="DL144" i="1"/>
  <c r="DH1444" i="1"/>
  <c r="DL1444" i="1"/>
  <c r="DH1406" i="1"/>
  <c r="DL1406" i="1"/>
  <c r="DH1092" i="1"/>
  <c r="DL1092" i="1"/>
  <c r="DH1069" i="1"/>
  <c r="DL1069" i="1"/>
  <c r="DH542" i="1"/>
  <c r="DL542" i="1"/>
  <c r="DH1768" i="1"/>
  <c r="DL1768" i="1"/>
  <c r="DH783" i="1"/>
  <c r="DL783" i="1"/>
  <c r="DH1044" i="1"/>
  <c r="DL1044" i="1"/>
  <c r="DH1956" i="1"/>
  <c r="DL1956" i="1"/>
  <c r="DH1957" i="1"/>
  <c r="DL1957" i="1"/>
  <c r="DH6" i="1"/>
  <c r="DL6" i="1"/>
  <c r="DH1003" i="1"/>
  <c r="DL1003" i="1"/>
  <c r="DH216" i="1"/>
  <c r="DL216" i="1"/>
  <c r="DH407" i="1"/>
  <c r="DL407" i="1"/>
  <c r="DH1748" i="1"/>
  <c r="DL1748" i="1"/>
  <c r="DH1958" i="1"/>
  <c r="DL1958" i="1"/>
  <c r="DH54" i="1"/>
  <c r="DL54" i="1"/>
  <c r="DH1689" i="1"/>
  <c r="DL1689" i="1"/>
  <c r="DH1625" i="1"/>
  <c r="DL1625" i="1"/>
  <c r="DH1360" i="1"/>
  <c r="DL1360" i="1"/>
  <c r="DH1361" i="1"/>
  <c r="DL1361" i="1"/>
  <c r="DH889" i="1"/>
  <c r="DL889" i="1"/>
  <c r="DH970" i="1"/>
  <c r="DL970" i="1"/>
  <c r="DH1233" i="1"/>
  <c r="DL1233" i="1"/>
  <c r="DH246" i="1"/>
  <c r="DL246" i="1"/>
  <c r="DH1191" i="1"/>
  <c r="DL1191" i="1"/>
  <c r="DH586" i="1"/>
  <c r="DL586" i="1"/>
  <c r="DH787" i="1"/>
  <c r="DL787" i="1"/>
  <c r="DH1809" i="1"/>
  <c r="DL1809" i="1"/>
  <c r="DH16" i="1"/>
  <c r="DL16" i="1"/>
  <c r="DH188" i="1"/>
  <c r="DL188" i="1"/>
  <c r="DH643" i="1"/>
  <c r="DL643" i="1"/>
  <c r="DH950" i="1"/>
  <c r="DL950" i="1"/>
  <c r="DH1959" i="1"/>
  <c r="DL1959" i="1"/>
  <c r="DH1875" i="1"/>
  <c r="DL1875" i="1"/>
  <c r="DH550" i="1"/>
  <c r="DL550" i="1"/>
  <c r="DH94" i="1"/>
  <c r="DL94" i="1"/>
  <c r="DH37" i="1"/>
  <c r="DL37" i="1"/>
  <c r="DH2219" i="1"/>
  <c r="DL2219" i="1"/>
  <c r="DH1626" i="1"/>
  <c r="DL1626" i="1"/>
  <c r="DH437" i="1"/>
  <c r="DL437" i="1"/>
  <c r="DH951" i="1"/>
  <c r="DL951" i="1"/>
  <c r="DH1690" i="1"/>
  <c r="DL1690" i="1"/>
  <c r="DH1381" i="1"/>
  <c r="DL1381" i="1"/>
  <c r="DH1588" i="1"/>
  <c r="DL1588" i="1"/>
  <c r="DH730" i="1"/>
  <c r="DL730" i="1"/>
  <c r="DH172" i="1"/>
  <c r="DL172" i="1"/>
  <c r="DH1013" i="1"/>
  <c r="DL1013" i="1"/>
  <c r="DH1990" i="1"/>
  <c r="DL1990" i="1"/>
  <c r="DH408" i="1"/>
  <c r="DL408" i="1"/>
  <c r="DH1502" i="1"/>
  <c r="DL1502" i="1"/>
  <c r="DH73" i="1"/>
  <c r="DL73" i="1"/>
  <c r="DH1902" i="1"/>
  <c r="DL1902" i="1"/>
  <c r="DH549" i="1"/>
  <c r="DL549" i="1"/>
  <c r="DH1148" i="1"/>
  <c r="DL1148" i="1"/>
  <c r="DH653" i="1"/>
  <c r="DL653" i="1"/>
  <c r="DH100" i="1"/>
  <c r="DL100" i="1"/>
  <c r="DH2142" i="1"/>
  <c r="DL2142" i="1"/>
  <c r="DH515" i="1"/>
  <c r="DL515" i="1"/>
  <c r="DH1313" i="1"/>
  <c r="DL1313" i="1"/>
  <c r="DH1627" i="1"/>
  <c r="DL1627" i="1"/>
  <c r="DH2040" i="1"/>
  <c r="DL2040" i="1"/>
  <c r="DH826" i="1"/>
  <c r="DL826" i="1"/>
  <c r="DH217" i="1"/>
  <c r="DL217" i="1"/>
  <c r="DH272" i="1"/>
  <c r="DL272" i="1"/>
  <c r="DH1149" i="1"/>
  <c r="DL1149" i="1"/>
  <c r="DH2041" i="1"/>
  <c r="DL2041" i="1"/>
  <c r="DH1628" i="1"/>
  <c r="DL1628" i="1"/>
  <c r="DH1589" i="1"/>
  <c r="DL1589" i="1"/>
  <c r="DH632" i="1"/>
  <c r="DL632" i="1"/>
  <c r="DH1503" i="1"/>
  <c r="DL1503" i="1"/>
  <c r="DH221" i="1"/>
  <c r="DL221" i="1"/>
  <c r="DH1014" i="1"/>
  <c r="DL1014" i="1"/>
  <c r="DH1629" i="1"/>
  <c r="DL1629" i="1"/>
  <c r="DH349" i="1"/>
  <c r="DL349" i="1"/>
  <c r="DH83" i="1"/>
  <c r="DL83" i="1"/>
  <c r="DH1876" i="1"/>
  <c r="DL1876" i="1"/>
  <c r="DH539" i="1"/>
  <c r="DL539" i="1"/>
  <c r="DH1960" i="1"/>
  <c r="DL1960" i="1"/>
  <c r="DH527" i="1"/>
  <c r="DL527" i="1"/>
  <c r="DH1082" i="1"/>
  <c r="DL1082" i="1"/>
  <c r="DH667" i="1"/>
  <c r="DL667" i="1"/>
  <c r="DH2220" i="1"/>
  <c r="DL2220" i="1"/>
  <c r="DH536" i="1"/>
  <c r="DL536" i="1"/>
  <c r="DH2190" i="1"/>
  <c r="DL2190" i="1"/>
  <c r="DH1445" i="1"/>
  <c r="DL1445" i="1"/>
  <c r="DH2143" i="1"/>
  <c r="DL2143" i="1"/>
  <c r="DH1877" i="1"/>
  <c r="DL1877" i="1"/>
  <c r="DH1878" i="1"/>
  <c r="DL1878" i="1"/>
  <c r="DH500" i="1"/>
  <c r="DL500" i="1"/>
  <c r="DH1566" i="1"/>
  <c r="DL1566" i="1"/>
  <c r="DH1234" i="1"/>
  <c r="DL1234" i="1"/>
  <c r="DH971" i="1"/>
  <c r="DL971" i="1"/>
  <c r="DH558" i="1"/>
  <c r="DL558" i="1"/>
  <c r="DH426" i="1"/>
  <c r="DL426" i="1"/>
  <c r="DH2042" i="1"/>
  <c r="DL2042" i="1"/>
  <c r="DH89" i="1"/>
  <c r="DL89" i="1"/>
  <c r="DH1446" i="1"/>
  <c r="DL1446" i="1"/>
  <c r="DH995" i="1"/>
  <c r="DL995" i="1"/>
  <c r="DH1093" i="1"/>
  <c r="DL1093" i="1"/>
  <c r="DH528" i="1"/>
  <c r="DL528" i="1"/>
  <c r="DH1810" i="1"/>
  <c r="DL1810" i="1"/>
  <c r="DH1070" i="1"/>
  <c r="DL1070" i="1"/>
  <c r="DH1691" i="1"/>
  <c r="DL1691" i="1"/>
  <c r="DH2266" i="1"/>
  <c r="DL2266" i="1"/>
  <c r="DH2261" i="1"/>
  <c r="DL2261" i="1"/>
  <c r="DH174" i="1"/>
  <c r="DL174" i="1"/>
  <c r="DH470" i="1"/>
  <c r="DL470" i="1"/>
  <c r="DH628" i="1"/>
  <c r="DL628" i="1"/>
  <c r="DH1094" i="1"/>
  <c r="DL1094" i="1"/>
  <c r="DH2043" i="1"/>
  <c r="DL2043" i="1"/>
  <c r="DH1749" i="1"/>
  <c r="DL1749" i="1"/>
  <c r="DH1567" i="1"/>
  <c r="DL1567" i="1"/>
  <c r="DH1568" i="1"/>
  <c r="DL1568" i="1"/>
  <c r="DH378" i="1"/>
  <c r="DL378" i="1"/>
  <c r="DH972" i="1"/>
  <c r="DL972" i="1"/>
  <c r="DH1811" i="1"/>
  <c r="DL1811" i="1"/>
  <c r="DH1569" i="1"/>
  <c r="DL1569" i="1"/>
  <c r="DH547" i="1"/>
  <c r="DL547" i="1"/>
  <c r="DH1692" i="1"/>
  <c r="DL1692" i="1"/>
  <c r="DH812" i="1"/>
  <c r="DL812" i="1"/>
  <c r="DH164" i="1"/>
  <c r="DL164" i="1"/>
  <c r="DH2044" i="1"/>
  <c r="DL2044" i="1"/>
  <c r="DH326" i="1"/>
  <c r="DL326" i="1"/>
  <c r="DH1045" i="1"/>
  <c r="DL1045" i="1"/>
  <c r="DH737" i="1"/>
  <c r="DL737" i="1"/>
  <c r="DH2267" i="1"/>
  <c r="DL2267" i="1"/>
  <c r="DH1280" i="1"/>
  <c r="DL1280" i="1"/>
  <c r="DH1362" i="1"/>
  <c r="DL1362" i="1"/>
  <c r="DH654" i="1"/>
  <c r="DL654" i="1"/>
  <c r="DH1071" i="1"/>
  <c r="DL1071" i="1"/>
  <c r="DH142" i="1"/>
  <c r="DL142" i="1"/>
  <c r="DH854" i="1"/>
  <c r="DL854" i="1"/>
  <c r="DH855" i="1"/>
  <c r="DL855" i="1"/>
  <c r="DH30" i="1"/>
  <c r="DL30" i="1"/>
  <c r="DH1235" i="1"/>
  <c r="DL1235" i="1"/>
  <c r="DH2045" i="1"/>
  <c r="DL2045" i="1"/>
  <c r="DH2221" i="1"/>
  <c r="DL2221" i="1"/>
  <c r="DH1015" i="1"/>
  <c r="DL1015" i="1"/>
  <c r="DH1236" i="1"/>
  <c r="DL1236" i="1"/>
  <c r="DH1407" i="1"/>
  <c r="DL1407" i="1"/>
  <c r="DH908" i="1"/>
  <c r="DL908" i="1"/>
  <c r="DH890" i="1"/>
  <c r="DL890" i="1"/>
  <c r="DH148" i="1"/>
  <c r="DL148" i="1"/>
  <c r="DH973" i="1"/>
  <c r="DL973" i="1"/>
  <c r="DH136" i="1"/>
  <c r="DL136" i="1"/>
  <c r="DH1812" i="1"/>
  <c r="DL1812" i="1"/>
  <c r="DH1314" i="1"/>
  <c r="DL1314" i="1"/>
  <c r="DH2222" i="1"/>
  <c r="DL2222" i="1"/>
  <c r="DH1879" i="1"/>
  <c r="DL1879" i="1"/>
  <c r="DH1016" i="1"/>
  <c r="DL1016" i="1"/>
  <c r="DH307" i="1"/>
  <c r="DL307" i="1"/>
  <c r="DH22" i="1"/>
  <c r="DL22" i="1"/>
  <c r="DH1095" i="1"/>
  <c r="DL1095" i="1"/>
  <c r="DH2144" i="1"/>
  <c r="DL2144" i="1"/>
  <c r="DH752" i="1"/>
  <c r="DL752" i="1"/>
  <c r="DH1591" i="1"/>
  <c r="DL1591" i="1"/>
  <c r="DH119" i="1"/>
  <c r="DL119" i="1"/>
  <c r="DH1767" i="1"/>
  <c r="DL1767" i="1"/>
  <c r="DH2223" i="1"/>
  <c r="DL2223" i="1"/>
  <c r="DH244" i="1"/>
  <c r="DL244" i="1"/>
  <c r="DH827" i="1"/>
  <c r="DL827" i="1"/>
  <c r="DH1905" i="1"/>
  <c r="DL1905" i="1"/>
  <c r="DH1408" i="1"/>
  <c r="DL1408" i="1"/>
  <c r="DH1150" i="1"/>
  <c r="DL1150" i="1"/>
  <c r="DH1836" i="1"/>
  <c r="DL1836" i="1"/>
  <c r="DH778" i="1"/>
  <c r="DL778" i="1"/>
  <c r="DH2046" i="1"/>
  <c r="DL2046" i="1"/>
  <c r="DH151" i="1"/>
  <c r="DL151" i="1"/>
  <c r="DH15" i="1"/>
  <c r="DL15" i="1"/>
  <c r="DH1118" i="1"/>
  <c r="DL1118" i="1"/>
  <c r="DH1838" i="1"/>
  <c r="DL1838" i="1"/>
  <c r="DH460" i="1"/>
  <c r="DL460" i="1"/>
  <c r="DH1813" i="1"/>
  <c r="DL1813" i="1"/>
  <c r="DH219" i="1"/>
  <c r="DL219" i="1"/>
  <c r="DH260" i="1"/>
  <c r="DL260" i="1"/>
  <c r="DH644" i="1"/>
  <c r="DL644" i="1"/>
  <c r="DH813" i="1"/>
  <c r="DL813" i="1"/>
  <c r="DH1250" i="1"/>
  <c r="DL1250" i="1"/>
  <c r="DH2145" i="1"/>
  <c r="DL2145" i="1"/>
  <c r="DH1027" i="1"/>
  <c r="DL1027" i="1"/>
  <c r="DH1961" i="1"/>
  <c r="DL1961" i="1"/>
  <c r="DH1315" i="1"/>
  <c r="DL1315" i="1"/>
  <c r="DH606" i="1"/>
  <c r="DL606" i="1"/>
  <c r="DH1630" i="1"/>
  <c r="DL1630" i="1"/>
  <c r="DH596" i="1"/>
  <c r="DL596" i="1"/>
  <c r="DH1419" i="1"/>
  <c r="DL1419" i="1"/>
  <c r="DH1151" i="1"/>
  <c r="DL1151" i="1"/>
  <c r="DH2047" i="1"/>
  <c r="DL2047" i="1"/>
  <c r="DH1192" i="1"/>
  <c r="DL1192" i="1"/>
  <c r="DH1237" i="1"/>
  <c r="DL1237" i="1"/>
  <c r="DH2259" i="1"/>
  <c r="DL2259" i="1"/>
  <c r="DH2224" i="1"/>
  <c r="DL2224" i="1"/>
  <c r="DH572" i="1"/>
  <c r="DL572" i="1"/>
  <c r="DH59" i="1"/>
  <c r="DL59" i="1"/>
  <c r="DH2048" i="1"/>
  <c r="DL2048" i="1"/>
  <c r="DH2225" i="1"/>
  <c r="DL2225" i="1"/>
  <c r="DH1292" i="1"/>
  <c r="DL1292" i="1"/>
  <c r="DH1119" i="1"/>
  <c r="DL1119" i="1"/>
  <c r="DH891" i="1"/>
  <c r="DL891" i="1"/>
  <c r="DH1570" i="1"/>
  <c r="DL1570" i="1"/>
  <c r="DH1293" i="1"/>
  <c r="DL1293" i="1"/>
  <c r="DH1663" i="1"/>
  <c r="DL1663" i="1"/>
  <c r="DH679" i="1"/>
  <c r="DL679" i="1"/>
  <c r="DH1363" i="1"/>
  <c r="DL1363" i="1"/>
  <c r="DH1316" i="1"/>
  <c r="DL1316" i="1"/>
  <c r="DH72" i="1"/>
  <c r="DL72" i="1"/>
  <c r="DH1281" i="1"/>
  <c r="DL1281" i="1"/>
  <c r="DH655" i="1"/>
  <c r="DL655" i="1"/>
  <c r="DH1504" i="1"/>
  <c r="DL1504" i="1"/>
  <c r="DH1193" i="1"/>
  <c r="DL1193" i="1"/>
  <c r="DH742" i="1"/>
  <c r="DL742" i="1"/>
  <c r="DH29" i="1"/>
  <c r="DL29" i="1"/>
  <c r="DH2226" i="1"/>
  <c r="DL2226" i="1"/>
  <c r="DH996" i="1"/>
  <c r="DL996" i="1"/>
  <c r="DH1194" i="1"/>
  <c r="DL1194" i="1"/>
  <c r="DH779" i="1"/>
  <c r="DL779" i="1"/>
  <c r="DH869" i="1"/>
  <c r="DL869" i="1"/>
  <c r="DH405" i="1"/>
  <c r="DL405" i="1"/>
  <c r="DH2227" i="1"/>
  <c r="DL2227" i="1"/>
  <c r="DH1447" i="1"/>
  <c r="DL1447" i="1"/>
  <c r="DH507" i="1"/>
  <c r="DL507" i="1"/>
  <c r="DH1693" i="1"/>
  <c r="DL1693" i="1"/>
  <c r="DH95" i="1"/>
  <c r="DL95" i="1"/>
  <c r="DH190" i="1"/>
  <c r="DL190" i="1"/>
  <c r="DH986" i="1"/>
  <c r="DL986" i="1"/>
  <c r="DH451" i="1"/>
  <c r="DL451" i="1"/>
  <c r="DH199" i="1"/>
  <c r="DL199" i="1"/>
  <c r="DH157" i="1"/>
  <c r="DL157" i="1"/>
  <c r="DH128" i="1"/>
  <c r="DL128" i="1"/>
  <c r="DH2049" i="1"/>
  <c r="DL2049" i="1"/>
  <c r="DH1694" i="1"/>
  <c r="DL1694" i="1"/>
  <c r="DH1046" i="1"/>
  <c r="DL1046" i="1"/>
  <c r="DH1448" i="1"/>
  <c r="DL1448" i="1"/>
  <c r="DH180" i="1"/>
  <c r="DL180" i="1"/>
  <c r="DH2228" i="1"/>
  <c r="DL2228" i="1"/>
  <c r="DH839" i="1"/>
  <c r="DL839" i="1"/>
  <c r="DH1631" i="1"/>
  <c r="DL1631" i="1"/>
  <c r="DH2050" i="1"/>
  <c r="DL2050" i="1"/>
  <c r="DH1571" i="1"/>
  <c r="DL1571" i="1"/>
  <c r="DH1467" i="1"/>
  <c r="DL1467" i="1"/>
  <c r="DH1632" i="1"/>
  <c r="DL1632" i="1"/>
  <c r="DH1750" i="1"/>
  <c r="DL1750" i="1"/>
  <c r="DH1120" i="1"/>
  <c r="DL1120" i="1"/>
  <c r="DH1195" i="1"/>
  <c r="DL1195" i="1"/>
  <c r="DH1505" i="1"/>
  <c r="DL1505" i="1"/>
  <c r="DH1317" i="1"/>
  <c r="DL1317" i="1"/>
  <c r="DH952" i="1"/>
  <c r="DL952" i="1"/>
  <c r="DH1506" i="1"/>
  <c r="DL1506" i="1"/>
  <c r="DH1152" i="1"/>
  <c r="DL1152" i="1"/>
  <c r="DH974" i="1"/>
  <c r="DL974" i="1"/>
  <c r="DH997" i="1"/>
  <c r="DL997" i="1"/>
  <c r="DH828" i="1"/>
  <c r="DL828" i="1"/>
  <c r="DH1096" i="1"/>
  <c r="DL1096" i="1"/>
  <c r="DH1449" i="1"/>
  <c r="DL1449" i="1"/>
  <c r="DH1695" i="1"/>
  <c r="DL1695" i="1"/>
  <c r="DH1409" i="1"/>
  <c r="DL1409" i="1"/>
  <c r="DH1814" i="1"/>
  <c r="DL1814" i="1"/>
  <c r="DH1572" i="1"/>
  <c r="DL1572" i="1"/>
  <c r="DH559" i="1"/>
  <c r="DL559" i="1"/>
  <c r="DH1815" i="1"/>
  <c r="DL1815" i="1"/>
  <c r="DH118" i="1"/>
  <c r="DL118" i="1"/>
  <c r="DH2051" i="1"/>
  <c r="DL2051" i="1"/>
  <c r="DH519" i="1"/>
  <c r="DL519" i="1"/>
  <c r="DH1696" i="1"/>
  <c r="DL1696" i="1"/>
  <c r="DH240" i="1"/>
  <c r="DL240" i="1"/>
  <c r="DH2229" i="1"/>
  <c r="DL2229" i="1"/>
  <c r="DH1880" i="1"/>
  <c r="DL1880" i="1"/>
  <c r="DH581" i="1"/>
  <c r="DL581" i="1"/>
  <c r="DH1633" i="1"/>
  <c r="DL1633" i="1"/>
  <c r="DH1962" i="1"/>
  <c r="DL1962" i="1"/>
  <c r="DH1097" i="1"/>
  <c r="DL1097" i="1"/>
  <c r="DH1318" i="1"/>
  <c r="DL1318" i="1"/>
  <c r="DH1380" i="1"/>
  <c r="DL1380" i="1"/>
  <c r="DH942" i="1"/>
  <c r="DL942" i="1"/>
  <c r="DH444" i="1"/>
  <c r="DL444" i="1"/>
  <c r="DH1319" i="1"/>
  <c r="DL1319" i="1"/>
  <c r="DH938" i="1"/>
  <c r="DL938" i="1"/>
  <c r="DH270" i="1"/>
  <c r="DL270" i="1"/>
  <c r="DH876" i="1"/>
  <c r="DL876" i="1"/>
  <c r="DH513" i="1"/>
  <c r="DL513" i="1"/>
  <c r="DH330" i="1"/>
  <c r="DL330" i="1"/>
  <c r="DH633" i="1"/>
  <c r="DL633" i="1"/>
  <c r="DH1364" i="1"/>
  <c r="DL1364" i="1"/>
  <c r="DH523" i="1"/>
  <c r="DL523" i="1"/>
  <c r="DH1881" i="1"/>
  <c r="DL1881" i="1"/>
  <c r="DH2146" i="1"/>
  <c r="DL2146" i="1"/>
  <c r="DH1047" i="1"/>
  <c r="DL1047" i="1"/>
  <c r="DH560" i="1"/>
  <c r="DL560" i="1"/>
  <c r="DH1282" i="1"/>
  <c r="DL1282" i="1"/>
  <c r="DH1335" i="1"/>
  <c r="DL1335" i="1"/>
  <c r="DH634" i="1"/>
  <c r="DL634" i="1"/>
  <c r="DH738" i="1"/>
  <c r="DL738" i="1"/>
  <c r="DH1751" i="1"/>
  <c r="DL1751" i="1"/>
  <c r="DH645" i="1"/>
  <c r="DL645" i="1"/>
  <c r="DH2052" i="1"/>
  <c r="DL2052" i="1"/>
  <c r="DH529" i="1"/>
  <c r="DL529" i="1"/>
  <c r="DH225" i="1"/>
  <c r="DL225" i="1"/>
  <c r="DH275" i="1"/>
  <c r="DL275" i="1"/>
  <c r="DH2230" i="1"/>
  <c r="DL2230" i="1"/>
  <c r="DH909" i="1"/>
  <c r="DL909" i="1"/>
  <c r="DH975" i="1"/>
  <c r="DL975" i="1"/>
  <c r="DH614" i="1"/>
  <c r="DL614" i="1"/>
  <c r="DH1238" i="1"/>
  <c r="DL1238" i="1"/>
  <c r="DH1121" i="1"/>
  <c r="DL1121" i="1"/>
  <c r="DH253" i="1"/>
  <c r="DL253" i="1"/>
  <c r="DH1697" i="1"/>
  <c r="DL1697" i="1"/>
  <c r="DH1963" i="1"/>
  <c r="DL1963" i="1"/>
  <c r="DH2181" i="1"/>
  <c r="DL2181" i="1"/>
  <c r="DH910" i="1"/>
  <c r="DL910" i="1"/>
  <c r="DH1072" i="1"/>
  <c r="DL1072" i="1"/>
  <c r="DH1964" i="1"/>
  <c r="DL1964" i="1"/>
  <c r="DH388" i="1"/>
  <c r="DL388" i="1"/>
  <c r="DH412" i="1"/>
  <c r="DL412" i="1"/>
  <c r="DH2147" i="1"/>
  <c r="DL2147" i="1"/>
  <c r="DH626" i="1"/>
  <c r="DL626" i="1"/>
  <c r="DH2053" i="1"/>
  <c r="DL2053" i="1"/>
  <c r="DH976" i="1"/>
  <c r="DL976" i="1"/>
  <c r="DH1698" i="1"/>
  <c r="DL1698" i="1"/>
  <c r="DH1965" i="1"/>
  <c r="DL1965" i="1"/>
  <c r="DH1966" i="1"/>
  <c r="DL1966" i="1"/>
  <c r="DH1283" i="1"/>
  <c r="DL1283" i="1"/>
  <c r="DH1129" i="1"/>
  <c r="DL1129" i="1"/>
  <c r="DH1450" i="1"/>
  <c r="DL1450" i="1"/>
  <c r="DH361" i="1"/>
  <c r="DL361" i="1"/>
  <c r="DH921" i="1"/>
  <c r="DL921" i="1"/>
  <c r="DH714" i="1"/>
  <c r="DL714" i="1"/>
  <c r="DH1906" i="1"/>
  <c r="DL1906" i="1"/>
  <c r="DH1699" i="1"/>
  <c r="DL1699" i="1"/>
  <c r="DH156" i="1"/>
  <c r="DL156" i="1"/>
  <c r="DH780" i="1"/>
  <c r="DL780" i="1"/>
  <c r="DH228" i="1"/>
  <c r="DL228" i="1"/>
  <c r="DH1017" i="1"/>
  <c r="DL1017" i="1"/>
  <c r="DH1816" i="1"/>
  <c r="DL1816" i="1"/>
  <c r="DH373" i="1"/>
  <c r="DL373" i="1"/>
  <c r="DH276" i="1"/>
  <c r="DL276" i="1"/>
  <c r="DH366" i="1"/>
  <c r="DL366" i="1"/>
  <c r="DH2054" i="1"/>
  <c r="DL2054" i="1"/>
  <c r="DH403" i="1"/>
  <c r="DL403" i="1"/>
  <c r="DH615" i="1"/>
  <c r="DL615" i="1"/>
  <c r="DH814" i="1"/>
  <c r="DL814" i="1"/>
  <c r="DH2055" i="1"/>
  <c r="DL2055" i="1"/>
  <c r="DH1365" i="1"/>
  <c r="DL1365" i="1"/>
  <c r="DH1153" i="1"/>
  <c r="DL1153" i="1"/>
  <c r="DH935" i="1"/>
  <c r="DL935" i="1"/>
  <c r="DH870" i="1"/>
  <c r="DL870" i="1"/>
  <c r="DH1239" i="1"/>
  <c r="DL1239" i="1"/>
  <c r="DH352" i="1"/>
  <c r="DL352" i="1"/>
  <c r="DH1462" i="1"/>
  <c r="DL1462" i="1"/>
  <c r="DH1291" i="1"/>
  <c r="DL1291" i="1"/>
  <c r="DH1634" i="1"/>
  <c r="DL1634" i="1"/>
  <c r="DH666" i="1"/>
  <c r="DL666" i="1"/>
  <c r="DH1098" i="1"/>
  <c r="DL1098" i="1"/>
  <c r="DH1882" i="1"/>
  <c r="DL1882" i="1"/>
  <c r="DH840" i="1"/>
  <c r="DL840" i="1"/>
  <c r="DH1967" i="1"/>
  <c r="DL1967" i="1"/>
  <c r="DH984" i="1"/>
  <c r="DL984" i="1"/>
  <c r="DH940" i="1"/>
  <c r="DL940" i="1"/>
  <c r="DH1817" i="1"/>
  <c r="DL1817" i="1"/>
  <c r="DH1586" i="1"/>
  <c r="DL1586" i="1"/>
  <c r="DH2231" i="1"/>
  <c r="DL2231" i="1"/>
  <c r="DH1883" i="1"/>
  <c r="DL1883" i="1"/>
  <c r="DH2148" i="1"/>
  <c r="DL2148" i="1"/>
  <c r="DH488" i="1"/>
  <c r="DL488" i="1"/>
  <c r="DH753" i="1"/>
  <c r="DL753" i="1"/>
  <c r="DH2056" i="1"/>
  <c r="DL2056" i="1"/>
  <c r="DH1154" i="1"/>
  <c r="DL1154" i="1"/>
  <c r="DH1573" i="1"/>
  <c r="DL1573" i="1"/>
  <c r="DH918" i="1"/>
  <c r="DL918" i="1"/>
  <c r="DH788" i="1"/>
  <c r="DL788" i="1"/>
  <c r="DH196" i="1"/>
  <c r="DL196" i="1"/>
  <c r="DH346" i="1"/>
  <c r="DL346" i="1"/>
  <c r="DH1410" i="1"/>
  <c r="DL1410" i="1"/>
  <c r="DH2257" i="1"/>
  <c r="DL2257" i="1"/>
  <c r="DH121" i="1"/>
  <c r="DL121" i="1"/>
  <c r="DH257" i="1"/>
  <c r="DL257" i="1"/>
  <c r="DH163" i="1"/>
  <c r="DL163" i="1"/>
  <c r="DH1574" i="1"/>
  <c r="DL1574" i="1"/>
  <c r="DH185" i="1"/>
  <c r="DL185" i="1"/>
  <c r="DH977" i="1"/>
  <c r="DL977" i="1"/>
  <c r="DH1420" i="1"/>
  <c r="DL1420" i="1"/>
  <c r="DH1018" i="1"/>
  <c r="DL1018" i="1"/>
  <c r="DH1507" i="1"/>
  <c r="DL1507" i="1"/>
  <c r="DH1196" i="1"/>
  <c r="DL1196" i="1"/>
  <c r="DH1320" i="1"/>
  <c r="DL1320" i="1"/>
  <c r="DH427" i="1"/>
  <c r="DL427" i="1"/>
  <c r="DH2088" i="1"/>
  <c r="DL2088" i="1"/>
  <c r="DH1635" i="1"/>
  <c r="DL1635" i="1"/>
  <c r="DH2057" i="1"/>
  <c r="DL2057" i="1"/>
  <c r="DH1700" i="1"/>
  <c r="DL1700" i="1"/>
  <c r="DH1884" i="1"/>
  <c r="DL1884" i="1"/>
  <c r="DH2177" i="1"/>
  <c r="DL2177" i="1"/>
  <c r="DH607" i="1"/>
  <c r="DL607" i="1"/>
  <c r="DH501" i="1"/>
  <c r="DL501" i="1"/>
  <c r="DH998" i="1"/>
  <c r="DL998" i="1"/>
  <c r="DH2149" i="1"/>
  <c r="DL2149" i="1"/>
  <c r="DH516" i="1"/>
  <c r="DL516" i="1"/>
  <c r="DH1028" i="1"/>
  <c r="DL1028" i="1"/>
  <c r="DH333" i="1"/>
  <c r="DL333" i="1"/>
  <c r="DH1508" i="1"/>
  <c r="DL1508" i="1"/>
  <c r="DH797" i="1"/>
  <c r="DL797" i="1"/>
  <c r="DH1019" i="1"/>
  <c r="DL1019" i="1"/>
  <c r="DH1411" i="1"/>
  <c r="DL1411" i="1"/>
  <c r="DH235" i="1"/>
  <c r="DL235" i="1"/>
  <c r="DH2232" i="1"/>
  <c r="DL2232" i="1"/>
  <c r="DH1765" i="1"/>
  <c r="DL1765" i="1"/>
  <c r="DH1636" i="1"/>
  <c r="DL1636" i="1"/>
  <c r="DH856" i="1"/>
  <c r="DL856" i="1"/>
  <c r="DH815" i="1"/>
  <c r="DL815" i="1"/>
  <c r="DH1451" i="1"/>
  <c r="DL1451" i="1"/>
  <c r="DH374" i="1"/>
  <c r="DL374" i="1"/>
  <c r="DH1637" i="1"/>
  <c r="DL1637" i="1"/>
  <c r="DH52" i="1"/>
  <c r="DL52" i="1"/>
  <c r="DH1885" i="1"/>
  <c r="DL1885" i="1"/>
  <c r="DH739" i="1"/>
  <c r="DL739" i="1"/>
  <c r="DH1155" i="1"/>
  <c r="DL1155" i="1"/>
  <c r="DH141" i="1"/>
  <c r="DL141" i="1"/>
  <c r="DH1240" i="1"/>
  <c r="DL1240" i="1"/>
  <c r="DH1886" i="1"/>
  <c r="DL1886" i="1"/>
  <c r="DH1818" i="1"/>
  <c r="DL1818" i="1"/>
  <c r="DH1887" i="1"/>
  <c r="DL1887" i="1"/>
  <c r="DH608" i="1"/>
  <c r="DL608" i="1"/>
  <c r="DH597" i="1"/>
  <c r="DL597" i="1"/>
  <c r="DH1156" i="1"/>
  <c r="DL1156" i="1"/>
  <c r="DH2058" i="1"/>
  <c r="DL2058" i="1"/>
  <c r="DH1509" i="1"/>
  <c r="DL1509" i="1"/>
  <c r="DH1575" i="1"/>
  <c r="DL1575" i="1"/>
  <c r="DH715" i="1"/>
  <c r="DL715" i="1"/>
  <c r="DH1366" i="1"/>
  <c r="DL1366" i="1"/>
  <c r="DH1452" i="1"/>
  <c r="DL1452" i="1"/>
  <c r="DH393" i="1"/>
  <c r="DL393" i="1"/>
  <c r="DH553" i="1"/>
  <c r="DL553" i="1"/>
  <c r="DH2150" i="1"/>
  <c r="DL2150" i="1"/>
  <c r="DH1968" i="1"/>
  <c r="DL1968" i="1"/>
  <c r="DH2178" i="1"/>
  <c r="DL2178" i="1"/>
  <c r="DH1020" i="1"/>
  <c r="DL1020" i="1"/>
  <c r="DH1576" i="1"/>
  <c r="DL1576" i="1"/>
  <c r="DH1577" i="1"/>
  <c r="DL1577" i="1"/>
  <c r="DH892" i="1"/>
  <c r="DL892" i="1"/>
  <c r="DH1752" i="1"/>
  <c r="DL1752" i="1"/>
  <c r="DH798" i="1"/>
  <c r="DL798" i="1"/>
  <c r="DH680" i="1"/>
  <c r="DL680" i="1"/>
  <c r="DH271" i="1"/>
  <c r="DL271" i="1"/>
  <c r="DH681" i="1"/>
  <c r="DL681" i="1"/>
  <c r="DH1969" i="1"/>
  <c r="DL1969" i="1"/>
  <c r="DH692" i="1"/>
  <c r="DL692" i="1"/>
  <c r="DH1819" i="1"/>
  <c r="DL1819" i="1"/>
  <c r="DH112" i="1"/>
  <c r="DL112" i="1"/>
  <c r="DH1241" i="1"/>
  <c r="DL1241" i="1"/>
  <c r="DH202" i="1"/>
  <c r="DL202" i="1"/>
  <c r="DH265" i="1"/>
  <c r="DL265" i="1"/>
  <c r="DH1284" i="1"/>
  <c r="DL1284" i="1"/>
  <c r="DH1367" i="1"/>
  <c r="DL1367" i="1"/>
  <c r="DH1820" i="1"/>
  <c r="DL1820" i="1"/>
  <c r="DH489" i="1"/>
  <c r="DL489" i="1"/>
  <c r="DH978" i="1"/>
  <c r="DL978" i="1"/>
  <c r="DH758" i="1"/>
  <c r="DL758" i="1"/>
  <c r="DH418" i="1"/>
  <c r="DL418" i="1"/>
  <c r="DH1157" i="1"/>
  <c r="DL1157" i="1"/>
  <c r="DH1638" i="1"/>
  <c r="DL1638" i="1"/>
  <c r="DH2151" i="1"/>
  <c r="DL2151" i="1"/>
  <c r="DH936" i="1"/>
  <c r="DL936" i="1"/>
  <c r="DH379" i="1"/>
  <c r="DL379" i="1"/>
  <c r="DH211" i="1"/>
  <c r="DL211" i="1"/>
  <c r="DH816" i="1"/>
  <c r="DL816" i="1"/>
  <c r="DH64" i="1"/>
  <c r="DL64" i="1"/>
  <c r="DH327" i="1"/>
  <c r="DL327" i="1"/>
  <c r="DH46" i="1"/>
  <c r="DL46" i="1"/>
  <c r="DH2084" i="1"/>
  <c r="DL2084" i="1"/>
  <c r="DH1821" i="1"/>
  <c r="DL1821" i="1"/>
  <c r="DH1639" i="1"/>
  <c r="DL1639" i="1"/>
  <c r="DH1701" i="1"/>
  <c r="DL1701" i="1"/>
  <c r="DH953" i="1"/>
  <c r="DL953" i="1"/>
  <c r="DH409" i="1"/>
  <c r="DL409" i="1"/>
  <c r="DH2097" i="1"/>
  <c r="DL2097" i="1"/>
  <c r="DH1702" i="1"/>
  <c r="DL1702" i="1"/>
  <c r="DH857" i="1"/>
  <c r="DL857" i="1"/>
  <c r="DH446" i="1"/>
  <c r="DL446" i="1"/>
  <c r="DH2059" i="1"/>
  <c r="DL2059" i="1"/>
  <c r="DH1510" i="1"/>
  <c r="DL1510" i="1"/>
  <c r="DH587" i="1"/>
  <c r="DL587" i="1"/>
  <c r="DH1970" i="1"/>
  <c r="DL1970" i="1"/>
  <c r="DH954" i="1"/>
  <c r="DL954" i="1"/>
  <c r="DH2152" i="1"/>
  <c r="DL2152" i="1"/>
  <c r="DH1640" i="1"/>
  <c r="DL1640" i="1"/>
  <c r="DH197" i="1"/>
  <c r="DL197" i="1"/>
  <c r="DH616" i="1"/>
  <c r="DL616" i="1"/>
  <c r="DH463" i="1"/>
  <c r="DL463" i="1"/>
  <c r="DH193" i="1"/>
  <c r="DL193" i="1"/>
  <c r="DH43" i="1"/>
  <c r="DL43" i="1"/>
  <c r="DH494" i="1"/>
  <c r="DL494" i="1"/>
  <c r="DH323" i="1"/>
  <c r="DL323" i="1"/>
  <c r="DH987" i="1"/>
  <c r="DL987" i="1"/>
  <c r="DH768" i="1"/>
  <c r="DL768" i="1"/>
  <c r="DH609" i="1"/>
  <c r="DL609" i="1"/>
  <c r="DH1021" i="1"/>
  <c r="DL1021" i="1"/>
  <c r="DH1703" i="1"/>
  <c r="DL1703" i="1"/>
  <c r="DH384" i="1"/>
  <c r="DL384" i="1"/>
  <c r="DH2153" i="1"/>
  <c r="DL2153" i="1"/>
  <c r="DH1242" i="1"/>
  <c r="DL1242" i="1"/>
  <c r="DH1888" i="1"/>
  <c r="DL1888" i="1"/>
  <c r="DH2258" i="1"/>
  <c r="DL2258" i="1"/>
  <c r="DH2154" i="1"/>
  <c r="DL2154" i="1"/>
  <c r="DH740" i="1"/>
  <c r="DL740" i="1"/>
  <c r="DH1753" i="1"/>
  <c r="DL1753" i="1"/>
  <c r="DH1754" i="1"/>
  <c r="DL1754" i="1"/>
  <c r="DH359" i="1"/>
  <c r="DL359" i="1"/>
  <c r="DH2155" i="1"/>
  <c r="DL2155" i="1"/>
  <c r="DH2060" i="1"/>
  <c r="DL2060" i="1"/>
  <c r="DH1073" i="1"/>
  <c r="DL1073" i="1"/>
  <c r="DH207" i="1"/>
  <c r="DL207" i="1"/>
  <c r="DH2156" i="1"/>
  <c r="DL2156" i="1"/>
  <c r="DH1285" i="1"/>
  <c r="DL1285" i="1"/>
  <c r="DH841" i="1"/>
  <c r="DL841" i="1"/>
  <c r="DH1099" i="1"/>
  <c r="DL1099" i="1"/>
  <c r="DH356" i="1"/>
  <c r="DL356" i="1"/>
  <c r="DH434" i="1"/>
  <c r="DL434" i="1"/>
  <c r="DH1822" i="1"/>
  <c r="DL1822" i="1"/>
  <c r="DH1243" i="1"/>
  <c r="DL1243" i="1"/>
  <c r="DH911" i="1"/>
  <c r="DL911" i="1"/>
  <c r="DH1755" i="1"/>
  <c r="DL1755" i="1"/>
  <c r="DH769" i="1"/>
  <c r="DL769" i="1"/>
  <c r="DH1321" i="1"/>
  <c r="DL1321" i="1"/>
  <c r="DH682" i="1"/>
  <c r="DL682" i="1"/>
  <c r="DH290" i="1"/>
  <c r="DL290" i="1"/>
  <c r="DH2061" i="1"/>
  <c r="DL2061" i="1"/>
  <c r="DH683" i="1"/>
  <c r="DL683" i="1"/>
  <c r="DH1453" i="1"/>
  <c r="DL1453" i="1"/>
  <c r="DH282" i="1"/>
  <c r="DL282" i="1"/>
  <c r="DH2062" i="1"/>
  <c r="DL2062" i="1"/>
  <c r="DH540" i="1"/>
  <c r="DL540" i="1"/>
  <c r="DH2157" i="1"/>
  <c r="DL2157" i="1"/>
  <c r="DH1971" i="1"/>
  <c r="DL1971" i="1"/>
  <c r="DH421" i="1"/>
  <c r="DL421" i="1"/>
  <c r="DH871" i="1"/>
  <c r="DL871" i="1"/>
  <c r="DH1823" i="1"/>
  <c r="DL1823" i="1"/>
  <c r="DH912" i="1"/>
  <c r="DL912" i="1"/>
  <c r="DH1074" i="1"/>
  <c r="DL1074" i="1"/>
  <c r="DH18" i="1"/>
  <c r="DL18" i="1"/>
  <c r="DH1511" i="1"/>
  <c r="DL1511" i="1"/>
  <c r="DH1512" i="1"/>
  <c r="DL1512" i="1"/>
  <c r="DH893" i="1"/>
  <c r="DL893" i="1"/>
  <c r="DH2251" i="1"/>
  <c r="DL2251" i="1"/>
  <c r="DH2063" i="1"/>
  <c r="DL2063" i="1"/>
  <c r="DH999" i="1"/>
  <c r="DL999" i="1"/>
  <c r="DH44" i="1"/>
  <c r="DL44" i="1"/>
  <c r="DH280" i="1"/>
  <c r="DL280" i="1"/>
  <c r="DH979" i="1"/>
  <c r="DL979" i="1"/>
  <c r="DH1972" i="1"/>
  <c r="DL1972" i="1"/>
  <c r="DH913" i="1"/>
  <c r="DL913" i="1"/>
  <c r="DH1641" i="1"/>
  <c r="DL1641" i="1"/>
  <c r="DH1244" i="1"/>
  <c r="DL1244" i="1"/>
  <c r="DH452" i="1"/>
  <c r="DL452" i="1"/>
  <c r="DH789" i="1"/>
  <c r="DL789" i="1"/>
  <c r="DH724" i="1"/>
  <c r="DL724" i="1"/>
  <c r="DH1756" i="1"/>
  <c r="DL1756" i="1"/>
  <c r="DH1368" i="1"/>
  <c r="DL1368" i="1"/>
  <c r="DH454" i="1"/>
  <c r="DL454" i="1"/>
  <c r="DH684" i="1"/>
  <c r="DL684" i="1"/>
  <c r="DH1642" i="1"/>
  <c r="DL1642" i="1"/>
  <c r="DH894" i="1"/>
  <c r="DL894" i="1"/>
  <c r="DH84" i="1"/>
  <c r="DL84" i="1"/>
  <c r="DH1122" i="1"/>
  <c r="DL1122" i="1"/>
  <c r="DH511" i="1"/>
  <c r="DL511" i="1"/>
  <c r="DH2158" i="1"/>
  <c r="DL2158" i="1"/>
  <c r="DH114" i="1"/>
  <c r="DL114" i="1"/>
  <c r="DH411" i="1"/>
  <c r="DL411" i="1"/>
  <c r="DH1208" i="1"/>
  <c r="DL1208" i="1"/>
  <c r="DH1048" i="1"/>
  <c r="DL1048" i="1"/>
  <c r="DH13" i="1"/>
  <c r="DL13" i="1"/>
  <c r="DH919" i="1"/>
  <c r="DL919" i="1"/>
  <c r="DH254" i="1"/>
  <c r="DL254" i="1"/>
  <c r="DH1245" i="1"/>
  <c r="DL1245" i="1"/>
  <c r="DH799" i="1"/>
  <c r="DL799" i="1"/>
  <c r="DH457" i="1"/>
  <c r="DL457" i="1"/>
  <c r="DH1287" i="1"/>
  <c r="DL1287" i="1"/>
  <c r="DH137" i="1"/>
  <c r="DL137" i="1"/>
  <c r="DH2188" i="1"/>
  <c r="DL2188" i="1"/>
  <c r="DH1757" i="1"/>
  <c r="DL1757" i="1"/>
  <c r="DH353" i="1"/>
  <c r="DL353" i="1"/>
  <c r="DH829" i="1"/>
  <c r="DL829" i="1"/>
  <c r="DH299" i="1"/>
  <c r="DL299" i="1"/>
  <c r="DH561" i="1"/>
  <c r="DL561" i="1"/>
  <c r="DH2064" i="1"/>
  <c r="DL2064" i="1"/>
  <c r="DH428" i="1"/>
  <c r="DL428" i="1"/>
  <c r="DH635" i="1"/>
  <c r="DL635" i="1"/>
  <c r="DH389" i="1"/>
  <c r="DL389" i="1"/>
  <c r="DH449" i="1"/>
  <c r="DL449" i="1"/>
  <c r="DH362" i="1"/>
  <c r="DL362" i="1"/>
  <c r="DH872" i="1"/>
  <c r="DL872" i="1"/>
  <c r="DH406" i="1"/>
  <c r="DL406" i="1"/>
  <c r="DH1081" i="1"/>
  <c r="DL1081" i="1"/>
  <c r="DH2159" i="1"/>
  <c r="DL2159" i="1"/>
  <c r="DH104" i="1"/>
  <c r="DL104" i="1"/>
  <c r="DH790" i="1"/>
  <c r="DL790" i="1"/>
  <c r="DH1246" i="1"/>
  <c r="DL1246" i="1"/>
  <c r="DH1286" i="1"/>
  <c r="DL1286" i="1"/>
  <c r="DH2160" i="1"/>
  <c r="DL2160" i="1"/>
  <c r="DH656" i="1"/>
  <c r="DL656" i="1"/>
  <c r="DH702" i="1"/>
  <c r="DL702" i="1"/>
  <c r="DH662" i="1"/>
  <c r="DL662" i="1"/>
  <c r="DH551" i="1"/>
  <c r="DL551" i="1"/>
  <c r="DH2161" i="1"/>
  <c r="DL2161" i="1"/>
  <c r="DH1643" i="1"/>
  <c r="DL1643" i="1"/>
  <c r="DH703" i="1"/>
  <c r="DL703" i="1"/>
  <c r="DH415" i="1"/>
  <c r="DL415" i="1"/>
  <c r="DH1973" i="1"/>
  <c r="DL1973" i="1"/>
  <c r="DH1704" i="1"/>
  <c r="DL1704" i="1"/>
  <c r="DH175" i="1"/>
  <c r="DL175" i="1"/>
  <c r="DH47" i="1"/>
  <c r="DL47" i="1"/>
  <c r="DH1824" i="1"/>
  <c r="DL1824" i="1"/>
  <c r="DH8" i="1"/>
  <c r="DL8" i="1"/>
  <c r="DH1889" i="1"/>
  <c r="DL1889" i="1"/>
  <c r="DH817" i="1"/>
  <c r="DL817" i="1"/>
  <c r="DH2065" i="1"/>
  <c r="DL2065" i="1"/>
  <c r="DH1100" i="1"/>
  <c r="DL1100" i="1"/>
  <c r="DH1644" i="1"/>
  <c r="DL1644" i="1"/>
  <c r="DH1030" i="1"/>
  <c r="DL1030" i="1"/>
  <c r="DH443" i="1"/>
  <c r="DL443" i="1"/>
  <c r="DH1974" i="1"/>
  <c r="DL1974" i="1"/>
  <c r="DH1211" i="1"/>
  <c r="DL1211" i="1"/>
  <c r="DH1705" i="1"/>
  <c r="DL1705" i="1"/>
  <c r="DH830" i="1"/>
  <c r="DL830" i="1"/>
  <c r="DH1029" i="1"/>
  <c r="DL1029" i="1"/>
  <c r="DH236" i="1"/>
  <c r="DL236" i="1"/>
  <c r="DH1975" i="1"/>
  <c r="DL1975" i="1"/>
  <c r="DH1645" i="1"/>
  <c r="DL1645" i="1"/>
  <c r="DH2066" i="1"/>
  <c r="DL2066" i="1"/>
  <c r="DH1369" i="1"/>
  <c r="DL1369" i="1"/>
  <c r="DH754" i="1"/>
  <c r="DL754" i="1"/>
  <c r="DH1338" i="1"/>
  <c r="DL1338" i="1"/>
  <c r="DH1370" i="1"/>
  <c r="DL1370" i="1"/>
  <c r="DH588" i="1"/>
  <c r="DL588" i="1"/>
  <c r="DH1197" i="1"/>
  <c r="DL1197" i="1"/>
  <c r="DH2067" i="1"/>
  <c r="DL2067" i="1"/>
  <c r="DH1000" i="1"/>
  <c r="DL1000" i="1"/>
  <c r="DH663" i="1"/>
  <c r="DL663" i="1"/>
  <c r="DH334" i="1"/>
  <c r="DL334" i="1"/>
  <c r="DH548" i="1"/>
  <c r="DL548" i="1"/>
  <c r="DH134" i="1"/>
  <c r="DL134" i="1"/>
  <c r="DH532" i="1"/>
  <c r="DL532" i="1"/>
  <c r="DH129" i="1"/>
  <c r="DL129" i="1"/>
  <c r="DH159" i="1"/>
  <c r="DL159" i="1"/>
  <c r="DH2162" i="1"/>
  <c r="DL2162" i="1"/>
  <c r="DH2089" i="1"/>
  <c r="DL2089" i="1"/>
  <c r="DH41" i="1"/>
  <c r="DL41" i="1"/>
  <c r="DH2068" i="1"/>
  <c r="DL2068" i="1"/>
  <c r="DH1101" i="1"/>
  <c r="DL1101" i="1"/>
  <c r="DH1758" i="1"/>
  <c r="DL1758" i="1"/>
  <c r="DH1513" i="1"/>
  <c r="DL1513" i="1"/>
  <c r="DH1578" i="1"/>
  <c r="DL1578" i="1"/>
  <c r="DH203" i="1"/>
  <c r="DL203" i="1"/>
  <c r="DH245" i="1"/>
  <c r="DL245" i="1"/>
  <c r="DH102" i="1"/>
  <c r="DL102" i="1"/>
  <c r="DH268" i="1"/>
  <c r="DL268" i="1"/>
  <c r="DH195" i="1"/>
  <c r="DL195" i="1"/>
  <c r="DH395" i="1"/>
  <c r="DL395" i="1"/>
  <c r="DH1371" i="1"/>
  <c r="DL1371" i="1"/>
  <c r="DH2179" i="1"/>
  <c r="DL2179" i="1"/>
  <c r="DH371" i="1"/>
  <c r="DL371" i="1"/>
  <c r="DH636" i="1"/>
  <c r="DL636" i="1"/>
  <c r="DH1049" i="1"/>
  <c r="DL1049" i="1"/>
  <c r="DH1372" i="1"/>
  <c r="DL1372" i="1"/>
  <c r="DH288" i="1"/>
  <c r="DL288" i="1"/>
  <c r="DH784" i="1"/>
  <c r="DL784" i="1"/>
  <c r="DH725" i="1"/>
  <c r="DL725" i="1"/>
  <c r="DH464" i="1"/>
  <c r="DL464" i="1"/>
  <c r="DH386" i="1"/>
  <c r="DL386" i="1"/>
  <c r="DH755" i="1"/>
  <c r="DL755" i="1"/>
  <c r="DH2233" i="1"/>
  <c r="DL2233" i="1"/>
  <c r="DH1212" i="1"/>
  <c r="DL1212" i="1"/>
  <c r="DH335" i="1"/>
  <c r="DL335" i="1"/>
  <c r="DH289" i="1"/>
  <c r="DL289" i="1"/>
  <c r="DH450" i="1"/>
  <c r="DL450" i="1"/>
  <c r="DH800" i="1"/>
  <c r="DL800" i="1"/>
  <c r="DH1646" i="1"/>
  <c r="DL1646" i="1"/>
  <c r="DH1294" i="1"/>
  <c r="DL1294" i="1"/>
  <c r="DH960" i="1"/>
  <c r="DL960" i="1"/>
  <c r="DH2069" i="1"/>
  <c r="DL2069" i="1"/>
  <c r="DH66" i="1"/>
  <c r="DL66" i="1"/>
  <c r="DH646" i="1"/>
  <c r="DL646" i="1"/>
  <c r="DH1890" i="1"/>
  <c r="DL1890" i="1"/>
  <c r="DH741" i="1"/>
  <c r="DL741" i="1"/>
  <c r="DH1247" i="1"/>
  <c r="DL1247" i="1"/>
  <c r="DH537" i="1"/>
  <c r="DL537" i="1"/>
  <c r="DH1901" i="1"/>
  <c r="DL1901" i="1"/>
  <c r="DH831" i="1"/>
  <c r="DL831" i="1"/>
  <c r="DH229" i="1"/>
  <c r="DL229" i="1"/>
  <c r="DH1514" i="1"/>
  <c r="DL1514" i="1"/>
  <c r="DH745" i="1"/>
  <c r="DL745" i="1"/>
  <c r="DH1891" i="1"/>
  <c r="DL1891" i="1"/>
  <c r="DH1322" i="1"/>
  <c r="DL1322" i="1"/>
  <c r="DH367" i="1"/>
  <c r="DL367" i="1"/>
  <c r="DH2234" i="1"/>
  <c r="DL2234" i="1"/>
  <c r="DH279" i="1"/>
  <c r="DL279" i="1"/>
  <c r="DH133" i="1"/>
  <c r="DL133" i="1"/>
  <c r="DH179" i="1"/>
  <c r="DL179" i="1"/>
  <c r="DH716" i="1"/>
  <c r="DL716" i="1"/>
  <c r="DH801" i="1"/>
  <c r="DL801" i="1"/>
  <c r="DH914" i="1"/>
  <c r="DL914" i="1"/>
  <c r="DH1373" i="1"/>
  <c r="DL1373" i="1"/>
  <c r="DH915" i="1"/>
  <c r="DL915" i="1"/>
  <c r="DH1454" i="1"/>
  <c r="DL1454" i="1"/>
  <c r="DH58" i="1"/>
  <c r="DL58" i="1"/>
  <c r="DH717" i="1"/>
  <c r="DL717" i="1"/>
  <c r="DH1579" i="1"/>
  <c r="DL1579" i="1"/>
  <c r="DH1102" i="1"/>
  <c r="DL1102" i="1"/>
  <c r="DH1455" i="1"/>
  <c r="DL1455" i="1"/>
  <c r="DH1706" i="1"/>
  <c r="DL1706" i="1"/>
  <c r="DH1976" i="1"/>
  <c r="DL1976" i="1"/>
  <c r="DH1158" i="1"/>
  <c r="DL1158" i="1"/>
  <c r="DH284" i="1"/>
  <c r="DL284" i="1"/>
  <c r="DH316" i="1"/>
  <c r="DL316" i="1"/>
  <c r="DH1123" i="1"/>
  <c r="DL1123" i="1"/>
  <c r="DH672" i="1"/>
  <c r="DL672" i="1"/>
  <c r="DH1374" i="1"/>
  <c r="DL1374" i="1"/>
  <c r="DH1515" i="1"/>
  <c r="DL1515" i="1"/>
  <c r="DH2070" i="1"/>
  <c r="DL2070" i="1"/>
  <c r="DH1580" i="1"/>
  <c r="DL1580" i="1"/>
  <c r="DH1412" i="1"/>
  <c r="DL1412" i="1"/>
  <c r="DH791" i="1"/>
  <c r="DL791" i="1"/>
  <c r="DH1825" i="1"/>
  <c r="DL1825" i="1"/>
  <c r="DH1581" i="1"/>
  <c r="DL1581" i="1"/>
  <c r="DH1977" i="1"/>
  <c r="DL1977" i="1"/>
  <c r="DH108" i="1"/>
  <c r="DL108" i="1"/>
  <c r="DH802" i="1"/>
  <c r="DL802" i="1"/>
  <c r="DH2235" i="1"/>
  <c r="DL2235" i="1"/>
  <c r="DH7" i="1"/>
  <c r="DL7" i="1"/>
  <c r="DH1198" i="1"/>
  <c r="DL1198" i="1"/>
  <c r="DH1647" i="1"/>
  <c r="DL1647" i="1"/>
  <c r="DH2163" i="1"/>
  <c r="DL2163" i="1"/>
  <c r="DH1759" i="1"/>
  <c r="DL1759" i="1"/>
  <c r="DH2236" i="1"/>
  <c r="DL2236" i="1"/>
  <c r="DH97" i="1"/>
  <c r="DL97" i="1"/>
  <c r="DH1707" i="1"/>
  <c r="DL1707" i="1"/>
  <c r="DH543" i="1"/>
  <c r="DL543" i="1"/>
  <c r="DH360" i="1"/>
  <c r="DL360" i="1"/>
  <c r="DH381" i="1"/>
  <c r="DL381" i="1"/>
  <c r="DH266" i="1"/>
  <c r="DL266" i="1"/>
  <c r="DH364" i="1"/>
  <c r="DL364" i="1"/>
  <c r="DH1648" i="1"/>
  <c r="DL1648" i="1"/>
  <c r="DH533" i="1"/>
  <c r="DL533" i="1"/>
  <c r="DH2090" i="1"/>
  <c r="DL2090" i="1"/>
  <c r="DH1413" i="1"/>
  <c r="DL1413" i="1"/>
  <c r="DH311" i="1"/>
  <c r="DL311" i="1"/>
  <c r="DH1103" i="1"/>
  <c r="DL1103" i="1"/>
  <c r="DH1159" i="1"/>
  <c r="DL1159" i="1"/>
  <c r="DH718" i="1"/>
  <c r="DL718" i="1"/>
  <c r="DH267" i="1"/>
  <c r="DL267" i="1"/>
  <c r="DH895" i="1"/>
  <c r="DL895" i="1"/>
  <c r="DH864" i="1"/>
  <c r="DL864" i="1"/>
  <c r="DH220" i="1"/>
  <c r="DL220" i="1"/>
  <c r="DH1516" i="1"/>
  <c r="DL1516" i="1"/>
  <c r="DH1649" i="1"/>
  <c r="DL1649" i="1"/>
  <c r="DH1978" i="1"/>
  <c r="DL1978" i="1"/>
  <c r="DH398" i="1"/>
  <c r="DL398" i="1"/>
  <c r="DH107" i="1"/>
  <c r="DL107" i="1"/>
  <c r="DH1979" i="1"/>
  <c r="DL1979" i="1"/>
  <c r="DH1075" i="1"/>
  <c r="DL1075" i="1"/>
  <c r="DH1980" i="1"/>
  <c r="DL1980" i="1"/>
  <c r="DH1517" i="1"/>
  <c r="DL1517" i="1"/>
  <c r="DH226" i="1"/>
  <c r="DL226" i="1"/>
  <c r="DH858" i="1"/>
  <c r="DL858" i="1"/>
  <c r="DH341" i="1"/>
  <c r="DL341" i="1"/>
  <c r="DH1160" i="1"/>
  <c r="DL1160" i="1"/>
  <c r="DH552" i="1"/>
  <c r="DL552" i="1"/>
  <c r="DH247" i="1"/>
  <c r="DL247" i="1"/>
  <c r="DH1022" i="1"/>
  <c r="DL1022" i="1"/>
  <c r="DH1023" i="1"/>
  <c r="DL1023" i="1"/>
  <c r="DH194" i="1"/>
  <c r="DL194" i="1"/>
  <c r="DH1323" i="1"/>
  <c r="DL1323" i="1"/>
  <c r="DH305" i="1"/>
  <c r="DL305" i="1"/>
  <c r="DH517" i="1"/>
  <c r="DL517" i="1"/>
  <c r="DH2164" i="1"/>
  <c r="DL2164" i="1"/>
  <c r="DH1981" i="1"/>
  <c r="DL1981" i="1"/>
  <c r="DH115" i="1"/>
  <c r="DL115" i="1"/>
  <c r="DH980" i="1"/>
  <c r="DL980" i="1"/>
  <c r="DH1892" i="1"/>
  <c r="DL1892" i="1"/>
  <c r="DH1001" i="1"/>
  <c r="DL1001" i="1"/>
  <c r="DH85" i="1"/>
  <c r="DL85" i="1"/>
  <c r="DH298" i="1"/>
  <c r="DL298" i="1"/>
  <c r="DH610" i="1"/>
  <c r="DL610" i="1"/>
  <c r="DH109" i="1"/>
  <c r="DL109" i="1"/>
  <c r="DH2071" i="1"/>
  <c r="DL2071" i="1"/>
  <c r="DH120" i="1"/>
  <c r="DL120" i="1"/>
  <c r="DH985" i="1"/>
  <c r="DL985" i="1"/>
  <c r="DH1161" i="1"/>
  <c r="DL1161" i="1"/>
  <c r="DH1708" i="1"/>
  <c r="DL1708" i="1"/>
  <c r="DH873" i="1"/>
  <c r="DL873" i="1"/>
  <c r="DH1456" i="1"/>
  <c r="DL1456" i="1"/>
  <c r="DH2237" i="1"/>
  <c r="DL2237" i="1"/>
  <c r="DH1024" i="1"/>
  <c r="DL1024" i="1"/>
  <c r="DH2072" i="1"/>
  <c r="DL2072" i="1"/>
  <c r="DH1582" i="1"/>
  <c r="DL1582" i="1"/>
  <c r="DH1709" i="1"/>
  <c r="DL1709" i="1"/>
  <c r="DH1650" i="1"/>
  <c r="DL1650" i="1"/>
  <c r="DH1893" i="1"/>
  <c r="DL1893" i="1"/>
  <c r="DH2238" i="1"/>
  <c r="DL2238" i="1"/>
  <c r="DH589" i="1"/>
  <c r="DL589" i="1"/>
  <c r="DH458" i="1"/>
  <c r="DL458" i="1"/>
  <c r="DH1583" i="1"/>
  <c r="DL1583" i="1"/>
  <c r="DH1518" i="1"/>
  <c r="DL1518" i="1"/>
  <c r="DH1382" i="1"/>
  <c r="DL1382" i="1"/>
  <c r="DH1457" i="1"/>
  <c r="DL1457" i="1"/>
  <c r="DH1324" i="1"/>
  <c r="DL1324" i="1"/>
  <c r="DH1982" i="1"/>
  <c r="DL1982" i="1"/>
  <c r="DH673" i="1"/>
  <c r="DL673" i="1"/>
  <c r="DH2073" i="1"/>
  <c r="DL2073" i="1"/>
  <c r="DH1325" i="1"/>
  <c r="DL1325" i="1"/>
  <c r="DH1169" i="1"/>
  <c r="DL1169" i="1"/>
  <c r="DH1983" i="1"/>
  <c r="DL1983" i="1"/>
  <c r="DH106" i="1"/>
  <c r="DL106" i="1"/>
  <c r="DH664" i="1"/>
  <c r="DL664" i="1"/>
  <c r="DH803" i="1"/>
  <c r="DL803" i="1"/>
  <c r="DH1839" i="1"/>
  <c r="DL1839" i="1"/>
  <c r="DH726" i="1"/>
  <c r="DL726" i="1"/>
  <c r="DH538" i="1"/>
  <c r="DL538" i="1"/>
  <c r="DH1200" i="1"/>
  <c r="DL1200" i="1"/>
  <c r="DH75" i="1"/>
  <c r="DL75" i="1"/>
  <c r="DH1248" i="1"/>
  <c r="DL1248" i="1"/>
  <c r="DH2074" i="1"/>
  <c r="DL2074" i="1"/>
  <c r="DH1894" i="1"/>
  <c r="DL1894" i="1"/>
  <c r="DH468" i="1"/>
  <c r="DL468" i="1"/>
  <c r="DH1710" i="1"/>
  <c r="DL1710" i="1"/>
  <c r="DH621" i="1"/>
  <c r="DL621" i="1"/>
  <c r="DH2165" i="1"/>
  <c r="DL2165" i="1"/>
  <c r="DH347" i="1"/>
  <c r="DL347" i="1"/>
  <c r="DH263" i="1"/>
  <c r="DL263" i="1"/>
  <c r="DH1162" i="1"/>
  <c r="DL1162" i="1"/>
  <c r="DH1760" i="1"/>
  <c r="DL1760" i="1"/>
  <c r="DH317" i="1"/>
  <c r="DL317" i="1"/>
  <c r="DH1984" i="1"/>
  <c r="DL1984" i="1"/>
  <c r="DH1465" i="1"/>
  <c r="DL1465" i="1"/>
  <c r="DH1895" i="1"/>
  <c r="DL1895" i="1"/>
  <c r="DH39" i="1"/>
  <c r="DL39" i="1"/>
  <c r="DH1651" i="1"/>
  <c r="DL1651" i="1"/>
  <c r="DH1985" i="1"/>
  <c r="DL1985" i="1"/>
  <c r="DH1414" i="1"/>
  <c r="DL1414" i="1"/>
  <c r="DH1163" i="1"/>
  <c r="DL1163" i="1"/>
  <c r="DH419" i="1"/>
  <c r="DL419" i="1"/>
  <c r="DH534" i="1"/>
  <c r="DL534" i="1"/>
  <c r="DH1652" i="1"/>
  <c r="DL1652" i="1"/>
  <c r="DH874" i="1"/>
  <c r="DL874" i="1"/>
  <c r="DH87" i="1"/>
  <c r="DL87" i="1"/>
  <c r="DH1124" i="1"/>
  <c r="DL1124" i="1"/>
  <c r="DH916" i="1"/>
  <c r="DL916" i="1"/>
  <c r="DH845" i="1"/>
  <c r="DL845" i="1"/>
  <c r="DH1125" i="1"/>
  <c r="DL1125" i="1"/>
  <c r="DH232" i="1"/>
  <c r="DL232" i="1"/>
  <c r="DH719" i="1"/>
  <c r="DL719" i="1"/>
  <c r="DH1055" i="1"/>
  <c r="DL1055" i="1"/>
  <c r="DH502" i="1"/>
  <c r="DL502" i="1"/>
  <c r="DH490" i="1"/>
  <c r="DL490" i="1"/>
  <c r="DH1766" i="1"/>
  <c r="DL1766" i="1"/>
  <c r="DH1210" i="1"/>
  <c r="DL1210" i="1"/>
  <c r="DH1201" i="1"/>
  <c r="DL1201" i="1"/>
  <c r="DH2239" i="1"/>
  <c r="DL2239" i="1"/>
  <c r="DH2166" i="1"/>
  <c r="DL2166" i="1"/>
  <c r="DH657" i="1"/>
  <c r="DL657" i="1"/>
  <c r="DH1519" i="1"/>
  <c r="DL1519" i="1"/>
  <c r="DH689" i="1"/>
  <c r="DL689" i="1"/>
  <c r="DH1076" i="1"/>
  <c r="DL1076" i="1"/>
  <c r="DH508" i="1"/>
  <c r="DL508" i="1"/>
  <c r="DH2167" i="1"/>
  <c r="DL2167" i="1"/>
  <c r="DH647" i="1"/>
  <c r="DL647" i="1"/>
  <c r="DH250" i="1"/>
  <c r="DL250" i="1"/>
  <c r="DH590" i="1"/>
  <c r="DL590" i="1"/>
  <c r="DH249" i="1"/>
  <c r="DL249" i="1"/>
  <c r="DH1126" i="1"/>
  <c r="DL1126" i="1"/>
  <c r="DH1826" i="1"/>
  <c r="DL1826" i="1"/>
  <c r="DH1986" i="1"/>
  <c r="DL1986" i="1"/>
  <c r="DH1987" i="1"/>
  <c r="DL1987" i="1"/>
  <c r="DH1520" i="1"/>
  <c r="DL1520" i="1"/>
  <c r="DH859" i="1"/>
  <c r="DL859" i="1"/>
  <c r="DH1326" i="1"/>
  <c r="DL1326" i="1"/>
  <c r="DH598" i="1"/>
  <c r="DL598" i="1"/>
  <c r="DH2182" i="1"/>
  <c r="DL2182" i="1"/>
  <c r="DH1104" i="1"/>
  <c r="DL1104" i="1"/>
  <c r="DH1202" i="1"/>
  <c r="DL1202" i="1"/>
  <c r="DH283" i="1"/>
  <c r="DL283" i="1"/>
  <c r="DH1770" i="1"/>
  <c r="DL1770" i="1"/>
  <c r="DH138" i="1"/>
  <c r="DL138" i="1"/>
  <c r="DH2168" i="1"/>
  <c r="DL2168" i="1"/>
  <c r="DH955" i="1"/>
  <c r="DL955" i="1"/>
  <c r="DH1327" i="1"/>
  <c r="DL1327" i="1"/>
  <c r="DH1761" i="1"/>
  <c r="DL1761" i="1"/>
  <c r="DH2254" i="1"/>
  <c r="DL2254" i="1"/>
  <c r="DH1988" i="1"/>
  <c r="DL1988" i="1"/>
  <c r="DH1584" i="1"/>
  <c r="DL1584" i="1"/>
  <c r="DH2169" i="1"/>
  <c r="DL2169" i="1"/>
  <c r="DH1203" i="1"/>
  <c r="DL1203" i="1"/>
  <c r="DH981" i="1"/>
  <c r="DL981" i="1"/>
  <c r="DH370" i="1"/>
  <c r="DL370" i="1"/>
  <c r="DH2170" i="1"/>
  <c r="DL2170" i="1"/>
  <c r="DH222" i="1"/>
  <c r="DL222" i="1"/>
  <c r="DH1166" i="1"/>
  <c r="DL1166" i="1"/>
  <c r="DH627" i="1"/>
  <c r="DL627" i="1"/>
  <c r="DH1328" i="1"/>
  <c r="DL1328" i="1"/>
  <c r="DH1106" i="1"/>
  <c r="DL1106" i="1"/>
  <c r="DH512" i="1"/>
  <c r="DL512" i="1"/>
  <c r="DH198" i="1"/>
  <c r="DL198" i="1"/>
  <c r="DH1329" i="1"/>
  <c r="DL1329" i="1"/>
  <c r="DH1105" i="1"/>
  <c r="DL1105" i="1"/>
  <c r="DH477" i="1"/>
  <c r="DL477" i="1"/>
  <c r="DH781" i="1"/>
  <c r="DL781" i="1"/>
  <c r="DH1077" i="1"/>
  <c r="DL1077" i="1"/>
  <c r="DH439" i="1"/>
  <c r="DL439" i="1"/>
  <c r="DH2240" i="1"/>
  <c r="DL2240" i="1"/>
  <c r="DH842" i="1"/>
  <c r="DL842" i="1"/>
  <c r="DH2075" i="1"/>
  <c r="DL2075" i="1"/>
  <c r="DH2264" i="1"/>
  <c r="DL2264" i="1"/>
  <c r="DH380" i="1"/>
  <c r="DL380" i="1"/>
  <c r="DH1464" i="1"/>
  <c r="DL1464" i="1"/>
  <c r="DH396" i="1"/>
  <c r="DL396" i="1"/>
  <c r="DH518" i="1"/>
  <c r="DL518" i="1"/>
  <c r="DH544" i="1"/>
  <c r="DL544" i="1"/>
  <c r="DH1375" i="1"/>
  <c r="DL1375" i="1"/>
  <c r="DH1080" i="1"/>
  <c r="DL1080" i="1"/>
  <c r="DH804" i="1"/>
  <c r="DL804" i="1"/>
  <c r="DH122" i="1"/>
  <c r="DL122" i="1"/>
  <c r="DH1164" i="1"/>
  <c r="DL1164" i="1"/>
  <c r="DH86" i="1"/>
  <c r="DL86" i="1"/>
  <c r="DH1415" i="1"/>
  <c r="DL1415" i="1"/>
  <c r="DH554" i="1"/>
  <c r="DL554" i="1"/>
  <c r="DH1711" i="1"/>
  <c r="DL1711" i="1"/>
  <c r="DH1330" i="1"/>
  <c r="DL1330" i="1"/>
  <c r="DH757" i="1"/>
  <c r="DL757" i="1"/>
  <c r="DH917" i="1"/>
  <c r="DL917" i="1"/>
  <c r="DH622" i="1"/>
  <c r="DL622" i="1"/>
  <c r="DH1712" i="1"/>
  <c r="DL1712" i="1"/>
  <c r="DH1204" i="1"/>
  <c r="DL1204" i="1"/>
  <c r="DH1896" i="1"/>
  <c r="DL1896" i="1"/>
  <c r="DH956" i="1"/>
  <c r="DL956" i="1"/>
  <c r="DH1521" i="1"/>
  <c r="DL1521" i="1"/>
  <c r="DH255" i="1"/>
  <c r="DL255" i="1"/>
  <c r="DH1416" i="1"/>
  <c r="DL1416" i="1"/>
  <c r="DH1907" i="1"/>
  <c r="DL1907" i="1"/>
  <c r="DH350" i="1"/>
  <c r="DL350" i="1"/>
  <c r="DH535" i="1"/>
  <c r="DL535" i="1"/>
  <c r="DH1827" i="1"/>
  <c r="DL1827" i="1"/>
  <c r="DH2171" i="1"/>
  <c r="DL2171" i="1"/>
  <c r="DH1421" i="1"/>
  <c r="DL1421" i="1"/>
  <c r="DH1713" i="1"/>
  <c r="DL1713" i="1"/>
  <c r="DH1522" i="1"/>
  <c r="DL1522" i="1"/>
  <c r="DH1828" i="1"/>
  <c r="DL1828" i="1"/>
  <c r="DH860" i="1"/>
  <c r="DL860" i="1"/>
  <c r="DH1078" i="1"/>
  <c r="DL1078" i="1"/>
  <c r="DH1376" i="1"/>
  <c r="DL1376" i="1"/>
  <c r="DH957" i="1"/>
  <c r="DL957" i="1"/>
  <c r="DH896" i="1"/>
  <c r="DL896" i="1"/>
  <c r="DH1025" i="1"/>
  <c r="DL1025" i="1"/>
  <c r="DH690" i="1"/>
  <c r="DL690" i="1"/>
  <c r="DH1829" i="1"/>
  <c r="DL1829" i="1"/>
  <c r="DH331" i="1"/>
  <c r="DL331" i="1"/>
  <c r="DH658" i="1"/>
  <c r="DL658" i="1"/>
  <c r="DH1458" i="1"/>
  <c r="DL1458" i="1"/>
  <c r="DH1830" i="1"/>
  <c r="DL1830" i="1"/>
  <c r="DH1897" i="1"/>
  <c r="DL1897" i="1"/>
  <c r="DH727" i="1"/>
  <c r="DL727" i="1"/>
  <c r="DH1127" i="1"/>
  <c r="DL1127" i="1"/>
  <c r="DH691" i="1"/>
  <c r="DL691" i="1"/>
  <c r="DH2076" i="1"/>
  <c r="DL2076" i="1"/>
  <c r="DH1249" i="1"/>
  <c r="DL1249" i="1"/>
  <c r="DH2241" i="1"/>
  <c r="DL2241" i="1"/>
  <c r="DH2172" i="1"/>
  <c r="DL2172" i="1"/>
  <c r="DH2077" i="1"/>
  <c r="DL2077" i="1"/>
  <c r="DH1762" i="1"/>
  <c r="DL1762" i="1"/>
  <c r="DH1331" i="1"/>
  <c r="DL1331" i="1"/>
  <c r="DH591" i="1"/>
  <c r="DL591" i="1"/>
  <c r="DH617" i="1"/>
  <c r="DL617" i="1"/>
  <c r="DH1377" i="1"/>
  <c r="DL1377" i="1"/>
  <c r="DH2078" i="1"/>
  <c r="DL2078" i="1"/>
  <c r="DH429" i="1"/>
  <c r="DL429" i="1"/>
  <c r="DH865" i="1"/>
  <c r="DL865" i="1"/>
  <c r="DH2242" i="1"/>
  <c r="DL2242" i="1"/>
  <c r="DH1653" i="1"/>
  <c r="DL1653" i="1"/>
  <c r="DH332" i="1"/>
  <c r="DL332" i="1"/>
  <c r="DH1721" i="1"/>
  <c r="DL1721" i="1"/>
  <c r="DH2243" i="1"/>
  <c r="DL2243" i="1"/>
  <c r="DH782" i="1"/>
  <c r="DL782" i="1"/>
  <c r="DH937" i="1"/>
  <c r="DL937" i="1"/>
  <c r="DH183" i="1"/>
  <c r="DL183" i="1"/>
  <c r="DH1205" i="1"/>
  <c r="DL1205" i="1"/>
  <c r="DH982" i="1"/>
  <c r="DL982" i="1"/>
  <c r="DH1379" i="1"/>
  <c r="DL1379" i="1"/>
  <c r="DH469" i="1"/>
  <c r="DL469" i="1"/>
  <c r="DH1422" i="1"/>
  <c r="DL1422" i="1"/>
  <c r="DH93" i="1"/>
  <c r="DL93" i="1"/>
  <c r="DH1654" i="1"/>
  <c r="DL1654" i="1"/>
  <c r="DH599" i="1"/>
  <c r="DL599" i="1"/>
  <c r="DH1898" i="1"/>
  <c r="DL1898" i="1"/>
  <c r="DH1165" i="1"/>
  <c r="DL1165" i="1"/>
  <c r="DH592" i="1"/>
  <c r="DL592" i="1"/>
  <c r="DH2079" i="1"/>
  <c r="DL2079" i="1"/>
  <c r="DH2244" i="1"/>
  <c r="DL2244" i="1"/>
  <c r="DH785" i="1"/>
  <c r="DL785" i="1"/>
  <c r="DH2256" i="1"/>
  <c r="DL2256" i="1"/>
  <c r="DH166" i="1"/>
  <c r="DL166" i="1"/>
  <c r="DH2263" i="1"/>
  <c r="DL2263" i="1"/>
  <c r="DH1206" i="1"/>
  <c r="DL1206" i="1"/>
  <c r="DH611" i="1"/>
  <c r="DL611" i="1"/>
  <c r="DH1585" i="1"/>
  <c r="DL1585" i="1"/>
  <c r="DH2245" i="1"/>
  <c r="DL2245" i="1"/>
  <c r="DH1523" i="1"/>
  <c r="DL1523" i="1"/>
  <c r="DH1763" i="1"/>
  <c r="DL1763" i="1"/>
  <c r="DH70" i="1"/>
  <c r="DL70" i="1"/>
  <c r="DH2080" i="1"/>
  <c r="DL2080" i="1"/>
  <c r="DH2081" i="1"/>
  <c r="DL2081" i="1"/>
  <c r="DH2246" i="1"/>
  <c r="DL2246" i="1"/>
  <c r="DH223" i="1"/>
  <c r="DL223" i="1"/>
  <c r="DH1026" i="1"/>
  <c r="DL1026" i="1"/>
  <c r="DH155" i="1"/>
  <c r="DL155" i="1"/>
  <c r="DH2173" i="1"/>
  <c r="DL2173" i="1"/>
  <c r="DH1655" i="1"/>
  <c r="DL1655" i="1"/>
  <c r="DH1417" i="1"/>
  <c r="DL1417" i="1"/>
  <c r="DH1656" i="1"/>
  <c r="DL1656" i="1"/>
  <c r="DH2082" i="1"/>
  <c r="DL2082" i="1"/>
  <c r="DH1831" i="1"/>
  <c r="DL1831" i="1"/>
  <c r="DH416" i="1"/>
  <c r="DL416" i="1"/>
  <c r="DH382" i="1"/>
  <c r="DL382" i="1"/>
  <c r="DH1764" i="1"/>
  <c r="DL1764" i="1"/>
  <c r="DH1714" i="1"/>
  <c r="DL1714" i="1"/>
  <c r="DH1524" i="1"/>
  <c r="DL1524" i="1"/>
  <c r="DH2174" i="1"/>
  <c r="DL2174" i="1"/>
  <c r="DH200" i="1"/>
  <c r="DL200" i="1"/>
  <c r="DH1418" i="1"/>
  <c r="DL1418" i="1"/>
  <c r="DH693" i="1"/>
  <c r="DL693" i="1"/>
  <c r="DH438" i="1"/>
  <c r="DL438" i="1"/>
  <c r="DH2247" i="1"/>
  <c r="DL2247" i="1"/>
  <c r="DH2175" i="1"/>
  <c r="DL2175" i="1"/>
  <c r="DH160" i="1"/>
  <c r="DL160" i="1"/>
  <c r="DH756" i="1"/>
  <c r="DL756" i="1"/>
  <c r="DH1332" i="1"/>
  <c r="DL1332" i="1"/>
  <c r="DH1658" i="1"/>
  <c r="DL1658" i="1"/>
  <c r="DH60" i="1"/>
  <c r="DL60" i="1"/>
  <c r="DH618" i="1"/>
  <c r="DL618" i="1"/>
  <c r="DH2248" i="1"/>
  <c r="DL2248" i="1"/>
  <c r="DH861" i="1"/>
  <c r="DL861" i="1"/>
  <c r="DH1050" i="1"/>
  <c r="DL1050" i="1"/>
  <c r="DH1715" i="1"/>
  <c r="DL1715" i="1"/>
  <c r="DH983" i="1"/>
  <c r="DL983" i="1"/>
  <c r="DH1832" i="1"/>
  <c r="DL1832" i="1"/>
  <c r="DH314" i="1"/>
  <c r="DL314" i="1"/>
  <c r="DH1716" i="1"/>
  <c r="DL1716" i="1"/>
  <c r="DH1994" i="1"/>
  <c r="DL1994" i="1"/>
  <c r="DH1899" i="1"/>
  <c r="DL1899" i="1"/>
  <c r="DH862" i="1"/>
  <c r="DL862" i="1"/>
  <c r="DH1333" i="1"/>
  <c r="DL1333" i="1"/>
  <c r="DH770" i="1"/>
  <c r="DL770" i="1"/>
  <c r="DH1717" i="1"/>
  <c r="DL1717" i="1"/>
  <c r="DH939" i="1"/>
  <c r="DL939" i="1"/>
  <c r="DH1771" i="1"/>
  <c r="DL1771" i="1"/>
  <c r="DH2249" i="1"/>
  <c r="DL2249" i="1"/>
  <c r="DH1459" i="1"/>
  <c r="DL1459" i="1"/>
  <c r="DH674" i="1"/>
  <c r="DL674" i="1"/>
  <c r="DH208" i="1"/>
  <c r="DL208" i="1"/>
  <c r="DH1460" i="1"/>
  <c r="DL1460" i="1"/>
  <c r="DH328" i="1"/>
  <c r="DL328" i="1"/>
  <c r="DH2250" i="1"/>
  <c r="DL2250" i="1"/>
  <c r="DH623" i="1"/>
  <c r="DL623" i="1"/>
  <c r="DH459" i="1"/>
  <c r="DL459" i="1"/>
  <c r="DH1900" i="1"/>
  <c r="DL1900" i="1"/>
  <c r="DH1334" i="1"/>
  <c r="DL1334" i="1"/>
  <c r="DH1718" i="1"/>
  <c r="DL1718" i="1"/>
  <c r="DH1833" i="1"/>
  <c r="DL1833" i="1"/>
  <c r="DH2268" i="1"/>
  <c r="DL2268" i="1"/>
  <c r="BY2" i="1" l="1"/>
  <c r="BY4" i="1" l="1"/>
  <c r="BY1553" i="1" s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6" i="1"/>
  <c r="BX405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4" i="1"/>
  <c r="BX582" i="1"/>
  <c r="BX583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2" i="1"/>
  <c r="BX633" i="1"/>
  <c r="BX634" i="1"/>
  <c r="BX636" i="1"/>
  <c r="BX631" i="1"/>
  <c r="BX635" i="1"/>
  <c r="BX637" i="1"/>
  <c r="BX638" i="1"/>
  <c r="BX639" i="1"/>
  <c r="BX642" i="1"/>
  <c r="BX640" i="1"/>
  <c r="BX641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9" i="1"/>
  <c r="BX731" i="1"/>
  <c r="BX732" i="1"/>
  <c r="BX733" i="1"/>
  <c r="BX734" i="1"/>
  <c r="BX735" i="1"/>
  <c r="BX736" i="1"/>
  <c r="BX737" i="1"/>
  <c r="BX738" i="1"/>
  <c r="BX740" i="1"/>
  <c r="BX741" i="1"/>
  <c r="BX742" i="1"/>
  <c r="BX743" i="1"/>
  <c r="BX744" i="1"/>
  <c r="BX745" i="1"/>
  <c r="BX746" i="1"/>
  <c r="BX747" i="1"/>
  <c r="BX748" i="1"/>
  <c r="BX750" i="1"/>
  <c r="BX751" i="1"/>
  <c r="BX752" i="1"/>
  <c r="BX753" i="1"/>
  <c r="BX754" i="1"/>
  <c r="BX755" i="1"/>
  <c r="BX756" i="1"/>
  <c r="BX749" i="1"/>
  <c r="BX757" i="1"/>
  <c r="BX758" i="1"/>
  <c r="BX763" i="1"/>
  <c r="BX759" i="1"/>
  <c r="BX760" i="1"/>
  <c r="BX761" i="1"/>
  <c r="BX762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80" i="1"/>
  <c r="BX781" i="1"/>
  <c r="BX782" i="1"/>
  <c r="BX779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5" i="1"/>
  <c r="BX916" i="1"/>
  <c r="BX917" i="1"/>
  <c r="BX914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73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95" i="1"/>
  <c r="BX988" i="1"/>
  <c r="BX989" i="1"/>
  <c r="BX990" i="1"/>
  <c r="BX991" i="1"/>
  <c r="BX992" i="1"/>
  <c r="BX993" i="1"/>
  <c r="BX994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7" i="1"/>
  <c r="BX1048" i="1"/>
  <c r="BX1049" i="1"/>
  <c r="BX1050" i="1"/>
  <c r="BX1046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9" i="1"/>
  <c r="BX1070" i="1"/>
  <c r="BX1071" i="1"/>
  <c r="BX1072" i="1"/>
  <c r="BX1073" i="1"/>
  <c r="BX1074" i="1"/>
  <c r="BX1075" i="1"/>
  <c r="BX1076" i="1"/>
  <c r="BX1077" i="1"/>
  <c r="BX1078" i="1"/>
  <c r="BX106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6" i="1"/>
  <c r="BX1127" i="1"/>
  <c r="BX1125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307" i="1"/>
  <c r="BX1316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8" i="1"/>
  <c r="BX1309" i="1"/>
  <c r="BX1310" i="1"/>
  <c r="BX1311" i="1"/>
  <c r="BX1312" i="1"/>
  <c r="BX1313" i="1"/>
  <c r="BX1314" i="1"/>
  <c r="BX1315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8" i="1"/>
  <c r="BX1337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32" i="1"/>
  <c r="BX1423" i="1"/>
  <c r="BX1424" i="1"/>
  <c r="BX1425" i="1"/>
  <c r="BX1426" i="1"/>
  <c r="BX1427" i="1"/>
  <c r="BX1428" i="1"/>
  <c r="BX1429" i="1"/>
  <c r="BX1430" i="1"/>
  <c r="BX1431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8" i="1"/>
  <c r="BX1470" i="1"/>
  <c r="BX1472" i="1"/>
  <c r="BX1476" i="1"/>
  <c r="BX1471" i="1"/>
  <c r="BX1473" i="1"/>
  <c r="BX1474" i="1"/>
  <c r="BX1475" i="1"/>
  <c r="BX1477" i="1"/>
  <c r="BX1479" i="1"/>
  <c r="BX1480" i="1"/>
  <c r="BX1481" i="1"/>
  <c r="BX1482" i="1"/>
  <c r="BX1483" i="1"/>
  <c r="BX1484" i="1"/>
  <c r="BX1485" i="1"/>
  <c r="BX1486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487" i="1"/>
  <c r="BX1525" i="1"/>
  <c r="BX1526" i="1"/>
  <c r="BX1527" i="1"/>
  <c r="BX1528" i="1"/>
  <c r="BX1529" i="1"/>
  <c r="BX1530" i="1"/>
  <c r="BX1531" i="1"/>
  <c r="BX1541" i="1"/>
  <c r="BX1584" i="1"/>
  <c r="BX1532" i="1"/>
  <c r="BX1533" i="1"/>
  <c r="BX1534" i="1"/>
  <c r="BX1535" i="1"/>
  <c r="BX1536" i="1"/>
  <c r="BX1537" i="1"/>
  <c r="BX1538" i="1"/>
  <c r="BX1539" i="1"/>
  <c r="BX1540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88" i="1"/>
  <c r="BX1670" i="1"/>
  <c r="BX1664" i="1"/>
  <c r="BX1665" i="1"/>
  <c r="BX1666" i="1"/>
  <c r="BX1667" i="1"/>
  <c r="BX1668" i="1"/>
  <c r="BX1669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55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99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5" i="1"/>
  <c r="BX1834" i="1"/>
  <c r="BX1836" i="1"/>
  <c r="BX1837" i="1"/>
  <c r="BX1838" i="1"/>
  <c r="BX1839" i="1"/>
  <c r="BX1877" i="1"/>
  <c r="BX1878" i="1"/>
  <c r="BX1862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29" i="1"/>
  <c r="BX1925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6" i="1"/>
  <c r="BX1927" i="1"/>
  <c r="BX1928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2017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6" i="1"/>
  <c r="BX2090" i="1"/>
  <c r="BX2085" i="1"/>
  <c r="BX2087" i="1"/>
  <c r="BX2088" i="1"/>
  <c r="BX2089" i="1"/>
  <c r="BX2091" i="1"/>
  <c r="BX2093" i="1"/>
  <c r="BX2092" i="1"/>
  <c r="BX2094" i="1"/>
  <c r="BX2095" i="1"/>
  <c r="BX2096" i="1"/>
  <c r="BX2097" i="1"/>
  <c r="BX2169" i="1"/>
  <c r="BX2175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70" i="1"/>
  <c r="BX2171" i="1"/>
  <c r="BX2172" i="1"/>
  <c r="BX2173" i="1"/>
  <c r="BX2174" i="1"/>
  <c r="BX2176" i="1"/>
  <c r="BX2177" i="1"/>
  <c r="BX2178" i="1"/>
  <c r="BX2179" i="1"/>
  <c r="BX2180" i="1"/>
  <c r="BX2181" i="1"/>
  <c r="BX2182" i="1"/>
  <c r="BX2183" i="1"/>
  <c r="BX2184" i="1"/>
  <c r="BX2185" i="1"/>
  <c r="BX2187" i="1"/>
  <c r="BX2186" i="1"/>
  <c r="BX2188" i="1"/>
  <c r="BX2189" i="1"/>
  <c r="BX2190" i="1"/>
  <c r="BX2246" i="1"/>
  <c r="BX2206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7" i="1"/>
  <c r="BX2248" i="1"/>
  <c r="BX2249" i="1"/>
  <c r="BX2250" i="1"/>
  <c r="BX2251" i="1"/>
  <c r="BX2253" i="1"/>
  <c r="BX2252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7" i="1"/>
  <c r="BX2266" i="1"/>
  <c r="BX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6" i="1"/>
  <c r="BZ405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4" i="1"/>
  <c r="BZ582" i="1"/>
  <c r="BZ583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2" i="1"/>
  <c r="BZ633" i="1"/>
  <c r="BZ634" i="1"/>
  <c r="BZ636" i="1"/>
  <c r="BZ631" i="1"/>
  <c r="BZ635" i="1"/>
  <c r="BZ637" i="1"/>
  <c r="BZ638" i="1"/>
  <c r="BZ639" i="1"/>
  <c r="BZ642" i="1"/>
  <c r="BZ640" i="1"/>
  <c r="BZ641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9" i="1"/>
  <c r="BZ731" i="1"/>
  <c r="BZ732" i="1"/>
  <c r="BZ733" i="1"/>
  <c r="BZ734" i="1"/>
  <c r="BZ735" i="1"/>
  <c r="BZ736" i="1"/>
  <c r="BZ737" i="1"/>
  <c r="BZ738" i="1"/>
  <c r="BZ740" i="1"/>
  <c r="BZ741" i="1"/>
  <c r="BZ742" i="1"/>
  <c r="BZ743" i="1"/>
  <c r="BZ744" i="1"/>
  <c r="BZ745" i="1"/>
  <c r="BZ746" i="1"/>
  <c r="BZ747" i="1"/>
  <c r="BZ748" i="1"/>
  <c r="BZ750" i="1"/>
  <c r="BZ751" i="1"/>
  <c r="BZ752" i="1"/>
  <c r="BZ753" i="1"/>
  <c r="BZ754" i="1"/>
  <c r="BZ755" i="1"/>
  <c r="BZ756" i="1"/>
  <c r="BZ749" i="1"/>
  <c r="BZ757" i="1"/>
  <c r="BZ758" i="1"/>
  <c r="BZ763" i="1"/>
  <c r="BZ759" i="1"/>
  <c r="BZ760" i="1"/>
  <c r="BZ761" i="1"/>
  <c r="BZ762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80" i="1"/>
  <c r="BZ781" i="1"/>
  <c r="BZ782" i="1"/>
  <c r="BZ779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5" i="1"/>
  <c r="BZ916" i="1"/>
  <c r="BZ917" i="1"/>
  <c r="BZ914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73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95" i="1"/>
  <c r="BZ988" i="1"/>
  <c r="BZ989" i="1"/>
  <c r="BZ990" i="1"/>
  <c r="BZ991" i="1"/>
  <c r="BZ992" i="1"/>
  <c r="BZ993" i="1"/>
  <c r="BZ994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7" i="1"/>
  <c r="BZ1048" i="1"/>
  <c r="BZ1049" i="1"/>
  <c r="BZ1050" i="1"/>
  <c r="BZ1046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9" i="1"/>
  <c r="BZ1070" i="1"/>
  <c r="BZ1071" i="1"/>
  <c r="BZ1072" i="1"/>
  <c r="BZ1073" i="1"/>
  <c r="BZ1074" i="1"/>
  <c r="BZ1075" i="1"/>
  <c r="BZ1076" i="1"/>
  <c r="BZ1077" i="1"/>
  <c r="BZ1078" i="1"/>
  <c r="BZ106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6" i="1"/>
  <c r="BZ1127" i="1"/>
  <c r="BZ1125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307" i="1"/>
  <c r="BZ1316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8" i="1"/>
  <c r="BZ1309" i="1"/>
  <c r="BZ1310" i="1"/>
  <c r="BZ1311" i="1"/>
  <c r="BZ1312" i="1"/>
  <c r="BZ1313" i="1"/>
  <c r="BZ1314" i="1"/>
  <c r="BZ1315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8" i="1"/>
  <c r="BZ1337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32" i="1"/>
  <c r="BZ1423" i="1"/>
  <c r="BZ1424" i="1"/>
  <c r="BZ1425" i="1"/>
  <c r="BZ1426" i="1"/>
  <c r="BZ1427" i="1"/>
  <c r="BZ1428" i="1"/>
  <c r="BZ1429" i="1"/>
  <c r="BZ1430" i="1"/>
  <c r="BZ1431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8" i="1"/>
  <c r="BZ1470" i="1"/>
  <c r="BZ1472" i="1"/>
  <c r="BZ1476" i="1"/>
  <c r="BZ1471" i="1"/>
  <c r="BZ1473" i="1"/>
  <c r="BZ1474" i="1"/>
  <c r="BZ1475" i="1"/>
  <c r="BZ1477" i="1"/>
  <c r="BZ1479" i="1"/>
  <c r="BZ1480" i="1"/>
  <c r="BZ1481" i="1"/>
  <c r="BZ1482" i="1"/>
  <c r="BZ1483" i="1"/>
  <c r="BZ1484" i="1"/>
  <c r="BZ1485" i="1"/>
  <c r="BZ1486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487" i="1"/>
  <c r="BZ1525" i="1"/>
  <c r="BZ1526" i="1"/>
  <c r="BZ1527" i="1"/>
  <c r="BZ1528" i="1"/>
  <c r="BZ1529" i="1"/>
  <c r="BZ1530" i="1"/>
  <c r="BZ1531" i="1"/>
  <c r="BZ1541" i="1"/>
  <c r="BZ1584" i="1"/>
  <c r="BZ1532" i="1"/>
  <c r="BZ1533" i="1"/>
  <c r="BZ1534" i="1"/>
  <c r="BZ1535" i="1"/>
  <c r="BZ1536" i="1"/>
  <c r="BZ1537" i="1"/>
  <c r="BZ1538" i="1"/>
  <c r="BZ1539" i="1"/>
  <c r="BZ1540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88" i="1"/>
  <c r="BZ1670" i="1"/>
  <c r="BZ1664" i="1"/>
  <c r="BZ1665" i="1"/>
  <c r="BZ1666" i="1"/>
  <c r="BZ1667" i="1"/>
  <c r="BZ1668" i="1"/>
  <c r="BZ1669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55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99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5" i="1"/>
  <c r="BZ1834" i="1"/>
  <c r="BZ1836" i="1"/>
  <c r="BZ1837" i="1"/>
  <c r="BZ1838" i="1"/>
  <c r="BZ1839" i="1"/>
  <c r="BZ1877" i="1"/>
  <c r="BZ1878" i="1"/>
  <c r="BZ1862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29" i="1"/>
  <c r="BZ1925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6" i="1"/>
  <c r="BZ1927" i="1"/>
  <c r="BZ1928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2017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6" i="1"/>
  <c r="BZ2090" i="1"/>
  <c r="BZ2085" i="1"/>
  <c r="BZ2087" i="1"/>
  <c r="BZ2088" i="1"/>
  <c r="BZ2089" i="1"/>
  <c r="BZ2091" i="1"/>
  <c r="BZ2093" i="1"/>
  <c r="BZ2092" i="1"/>
  <c r="BZ2094" i="1"/>
  <c r="BZ2095" i="1"/>
  <c r="BZ2096" i="1"/>
  <c r="BZ2097" i="1"/>
  <c r="BZ2169" i="1"/>
  <c r="BZ2175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70" i="1"/>
  <c r="BZ2171" i="1"/>
  <c r="BZ2172" i="1"/>
  <c r="BZ2173" i="1"/>
  <c r="BZ2174" i="1"/>
  <c r="BZ2176" i="1"/>
  <c r="BZ2177" i="1"/>
  <c r="BZ2178" i="1"/>
  <c r="BZ2179" i="1"/>
  <c r="BZ2180" i="1"/>
  <c r="BZ2181" i="1"/>
  <c r="BZ2182" i="1"/>
  <c r="BZ2183" i="1"/>
  <c r="BZ2184" i="1"/>
  <c r="BZ2185" i="1"/>
  <c r="BZ2187" i="1"/>
  <c r="BZ2186" i="1"/>
  <c r="BZ2188" i="1"/>
  <c r="BZ2189" i="1"/>
  <c r="BZ2190" i="1"/>
  <c r="BZ2246" i="1"/>
  <c r="BZ2206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7" i="1"/>
  <c r="BZ2248" i="1"/>
  <c r="BZ2249" i="1"/>
  <c r="BZ2250" i="1"/>
  <c r="BZ2251" i="1"/>
  <c r="BZ2253" i="1"/>
  <c r="BZ2252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7" i="1"/>
  <c r="BZ2266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43" i="1"/>
  <c r="BW35" i="1"/>
  <c r="BW36" i="1"/>
  <c r="BW37" i="1"/>
  <c r="BW38" i="1"/>
  <c r="BW39" i="1"/>
  <c r="BW40" i="1"/>
  <c r="BW41" i="1"/>
  <c r="BW42" i="1"/>
  <c r="BW46" i="1"/>
  <c r="BW44" i="1"/>
  <c r="BW45" i="1"/>
  <c r="BW47" i="1"/>
  <c r="BW48" i="1"/>
  <c r="BW49" i="1"/>
  <c r="BW50" i="1"/>
  <c r="BW51" i="1"/>
  <c r="BW52" i="1"/>
  <c r="BW53" i="1"/>
  <c r="BW54" i="1"/>
  <c r="BW101" i="1"/>
  <c r="BW55" i="1"/>
  <c r="BW68" i="1"/>
  <c r="BW103" i="1"/>
  <c r="BW56" i="1"/>
  <c r="BW57" i="1"/>
  <c r="BW58" i="1"/>
  <c r="BW59" i="1"/>
  <c r="BW60" i="1"/>
  <c r="BW61" i="1"/>
  <c r="BW62" i="1"/>
  <c r="BW64" i="1"/>
  <c r="BW63" i="1"/>
  <c r="BW65" i="1"/>
  <c r="BW66" i="1"/>
  <c r="BW67" i="1"/>
  <c r="BW69" i="1"/>
  <c r="BW70" i="1"/>
  <c r="BW71" i="1"/>
  <c r="BW83" i="1"/>
  <c r="BW72" i="1"/>
  <c r="BW73" i="1"/>
  <c r="BW74" i="1"/>
  <c r="BW75" i="1"/>
  <c r="BW137" i="1"/>
  <c r="BW76" i="1"/>
  <c r="BW77" i="1"/>
  <c r="BW78" i="1"/>
  <c r="BW79" i="1"/>
  <c r="BW80" i="1"/>
  <c r="BW81" i="1"/>
  <c r="BW82" i="1"/>
  <c r="BW84" i="1"/>
  <c r="BW1287" i="1"/>
  <c r="BW85" i="1"/>
  <c r="BW1382" i="1"/>
  <c r="BW86" i="1"/>
  <c r="BW519" i="1"/>
  <c r="BW87" i="1"/>
  <c r="BW88" i="1"/>
  <c r="BW89" i="1"/>
  <c r="BW90" i="1"/>
  <c r="BW96" i="1"/>
  <c r="BW91" i="1"/>
  <c r="BW92" i="1"/>
  <c r="BW335" i="1"/>
  <c r="BW93" i="1"/>
  <c r="BW94" i="1"/>
  <c r="BW95" i="1"/>
  <c r="BW166" i="1"/>
  <c r="BW97" i="1"/>
  <c r="BW98" i="1"/>
  <c r="BW99" i="1"/>
  <c r="BW100" i="1"/>
  <c r="BW102" i="1"/>
  <c r="BW22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31" i="1"/>
  <c r="BW129" i="1"/>
  <c r="BW130" i="1"/>
  <c r="BW132" i="1"/>
  <c r="BW217" i="1"/>
  <c r="BW133" i="1"/>
  <c r="BW134" i="1"/>
  <c r="BW135" i="1"/>
  <c r="BW228" i="1"/>
  <c r="BW136" i="1"/>
  <c r="BW138" i="1"/>
  <c r="BW272" i="1"/>
  <c r="BW139" i="1"/>
  <c r="BW140" i="1"/>
  <c r="BW141" i="1"/>
  <c r="BW785" i="1"/>
  <c r="BW142" i="1"/>
  <c r="BW143" i="1"/>
  <c r="BW144" i="1"/>
  <c r="BW145" i="1"/>
  <c r="BW146" i="1"/>
  <c r="BW147" i="1"/>
  <c r="BW148" i="1"/>
  <c r="BW149" i="1"/>
  <c r="BW150" i="1"/>
  <c r="BW231" i="1"/>
  <c r="BW151" i="1"/>
  <c r="BW152" i="1"/>
  <c r="BW156" i="1"/>
  <c r="BW153" i="1"/>
  <c r="BW154" i="1"/>
  <c r="BW155" i="1"/>
  <c r="BW157" i="1"/>
  <c r="BW354" i="1"/>
  <c r="BW158" i="1"/>
  <c r="BW159" i="1"/>
  <c r="BW160" i="1"/>
  <c r="BW161" i="1"/>
  <c r="BW162" i="1"/>
  <c r="BW163" i="1"/>
  <c r="BW164" i="1"/>
  <c r="BW638" i="1"/>
  <c r="BW191" i="1"/>
  <c r="BW165" i="1"/>
  <c r="BW175" i="1"/>
  <c r="BW167" i="1"/>
  <c r="BW168" i="1"/>
  <c r="BW169" i="1"/>
  <c r="BW174" i="1"/>
  <c r="BW170" i="1"/>
  <c r="BW171" i="1"/>
  <c r="BW172" i="1"/>
  <c r="BW173" i="1"/>
  <c r="BW176" i="1"/>
  <c r="BW177" i="1"/>
  <c r="BW178" i="1"/>
  <c r="BW216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2" i="1"/>
  <c r="BW308" i="1"/>
  <c r="BW193" i="1"/>
  <c r="BW194" i="1"/>
  <c r="BW196" i="1"/>
  <c r="BW202" i="1"/>
  <c r="BW195" i="1"/>
  <c r="BW197" i="1"/>
  <c r="BW198" i="1"/>
  <c r="BW2256" i="1"/>
  <c r="BW204" i="1"/>
  <c r="BW199" i="1"/>
  <c r="BW200" i="1"/>
  <c r="BW201" i="1"/>
  <c r="BW213" i="1"/>
  <c r="BW203" i="1"/>
  <c r="BW205" i="1"/>
  <c r="BW206" i="1"/>
  <c r="BW412" i="1"/>
  <c r="BW207" i="1"/>
  <c r="BW212" i="1"/>
  <c r="BW1658" i="1"/>
  <c r="BW208" i="1"/>
  <c r="BW209" i="1"/>
  <c r="BW210" i="1"/>
  <c r="BW211" i="1"/>
  <c r="BW214" i="1"/>
  <c r="BW215" i="1"/>
  <c r="BW229" i="1"/>
  <c r="BW218" i="1"/>
  <c r="BW227" i="1"/>
  <c r="BW219" i="1"/>
  <c r="BW220" i="1"/>
  <c r="BW221" i="1"/>
  <c r="BW222" i="1"/>
  <c r="BW357" i="1"/>
  <c r="BW224" i="1"/>
  <c r="BW407" i="1"/>
  <c r="BW225" i="1"/>
  <c r="BW226" i="1"/>
  <c r="BW230" i="1"/>
  <c r="BW232" i="1"/>
  <c r="BW236" i="1"/>
  <c r="BW233" i="1"/>
  <c r="BW234" i="1"/>
  <c r="BW235" i="1"/>
  <c r="BW237" i="1"/>
  <c r="BW238" i="1"/>
  <c r="BW239" i="1"/>
  <c r="BW240" i="1"/>
  <c r="BW242" i="1"/>
  <c r="BW241" i="1"/>
  <c r="BW248" i="1"/>
  <c r="BW263" i="1"/>
  <c r="BW243" i="1"/>
  <c r="BW333" i="1"/>
  <c r="BW245" i="1"/>
  <c r="BW244" i="1"/>
  <c r="BW246" i="1"/>
  <c r="BW247" i="1"/>
  <c r="BW261" i="1"/>
  <c r="BW249" i="1"/>
  <c r="BW268" i="1"/>
  <c r="BW250" i="1"/>
  <c r="BW251" i="1"/>
  <c r="BW252" i="1"/>
  <c r="BW253" i="1"/>
  <c r="BW254" i="1"/>
  <c r="BW255" i="1"/>
  <c r="BW300" i="1"/>
  <c r="BW256" i="1"/>
  <c r="BW260" i="1"/>
  <c r="BW257" i="1"/>
  <c r="BW258" i="1"/>
  <c r="BW259" i="1"/>
  <c r="BW262" i="1"/>
  <c r="BW264" i="1"/>
  <c r="BW265" i="1"/>
  <c r="BW266" i="1"/>
  <c r="BW267" i="1"/>
  <c r="BW334" i="1"/>
  <c r="BW306" i="1"/>
  <c r="BW269" i="1"/>
  <c r="BW270" i="1"/>
  <c r="BW271" i="1"/>
  <c r="BW285" i="1"/>
  <c r="BW311" i="1"/>
  <c r="BW273" i="1"/>
  <c r="BW274" i="1"/>
  <c r="BW275" i="1"/>
  <c r="BW276" i="1"/>
  <c r="BW277" i="1"/>
  <c r="BW278" i="1"/>
  <c r="BW279" i="1"/>
  <c r="BW286" i="1"/>
  <c r="BW280" i="1"/>
  <c r="BW283" i="1"/>
  <c r="BW281" i="1"/>
  <c r="BW282" i="1"/>
  <c r="BW284" i="1"/>
  <c r="BW287" i="1"/>
  <c r="BW288" i="1"/>
  <c r="BW289" i="1"/>
  <c r="BW298" i="1"/>
  <c r="BW291" i="1"/>
  <c r="BW290" i="1"/>
  <c r="BW362" i="1"/>
  <c r="BW292" i="1"/>
  <c r="BW305" i="1"/>
  <c r="BW293" i="1"/>
  <c r="BW294" i="1"/>
  <c r="BW792" i="1"/>
  <c r="BW295" i="1"/>
  <c r="BW2265" i="1"/>
  <c r="BW296" i="1"/>
  <c r="BW297" i="1"/>
  <c r="BW299" i="1"/>
  <c r="BW301" i="1"/>
  <c r="BW302" i="1"/>
  <c r="BW303" i="1"/>
  <c r="BW304" i="1"/>
  <c r="BW2263" i="1"/>
  <c r="BW309" i="1"/>
  <c r="BW307" i="1"/>
  <c r="BW1028" i="1"/>
  <c r="BW315" i="1"/>
  <c r="BW310" i="1"/>
  <c r="BW312" i="1"/>
  <c r="BW313" i="1"/>
  <c r="BW314" i="1"/>
  <c r="BW316" i="1"/>
  <c r="BW317" i="1"/>
  <c r="BW361" i="1"/>
  <c r="BW318" i="1"/>
  <c r="BW319" i="1"/>
  <c r="BW329" i="1"/>
  <c r="BW320" i="1"/>
  <c r="BW536" i="1"/>
  <c r="BW321" i="1"/>
  <c r="BW322" i="1"/>
  <c r="BW337" i="1"/>
  <c r="BW323" i="1"/>
  <c r="BW382" i="1"/>
  <c r="BW324" i="1"/>
  <c r="BW325" i="1"/>
  <c r="BW326" i="1"/>
  <c r="BW327" i="1"/>
  <c r="BW328" i="1"/>
  <c r="BW330" i="1"/>
  <c r="BW331" i="1"/>
  <c r="BW332" i="1"/>
  <c r="BW470" i="1"/>
  <c r="BW336" i="1"/>
  <c r="BW338" i="1"/>
  <c r="BW339" i="1"/>
  <c r="BW340" i="1"/>
  <c r="BW363" i="1"/>
  <c r="BW341" i="1"/>
  <c r="BW342" i="1"/>
  <c r="BW343" i="1"/>
  <c r="BW344" i="1"/>
  <c r="BW345" i="1"/>
  <c r="BW346" i="1"/>
  <c r="BW347" i="1"/>
  <c r="BW728" i="1"/>
  <c r="BW1990" i="1"/>
  <c r="BW348" i="1"/>
  <c r="BW349" i="1"/>
  <c r="BW350" i="1"/>
  <c r="BW369" i="1"/>
  <c r="BW351" i="1"/>
  <c r="BW352" i="1"/>
  <c r="BW353" i="1"/>
  <c r="BW573" i="1"/>
  <c r="BW355" i="1"/>
  <c r="BW356" i="1"/>
  <c r="BW381" i="1"/>
  <c r="BW358" i="1"/>
  <c r="BW359" i="1"/>
  <c r="BW360" i="1"/>
  <c r="BW490" i="1"/>
  <c r="BW364" i="1"/>
  <c r="BW365" i="1"/>
  <c r="BW387" i="1"/>
  <c r="BW371" i="1"/>
  <c r="BW368" i="1"/>
  <c r="BW366" i="1"/>
  <c r="BW367" i="1"/>
  <c r="BW375" i="1"/>
  <c r="BW370" i="1"/>
  <c r="BW372" i="1"/>
  <c r="BW373" i="1"/>
  <c r="BW374" i="1"/>
  <c r="BW376" i="1"/>
  <c r="BW377" i="1"/>
  <c r="BW378" i="1"/>
  <c r="BW379" i="1"/>
  <c r="BW380" i="1"/>
  <c r="BW383" i="1"/>
  <c r="BW460" i="1"/>
  <c r="BW384" i="1"/>
  <c r="BW385" i="1"/>
  <c r="BW386" i="1"/>
  <c r="BW388" i="1"/>
  <c r="BW389" i="1"/>
  <c r="BW390" i="1"/>
  <c r="BW391" i="1"/>
  <c r="BW392" i="1"/>
  <c r="BW393" i="1"/>
  <c r="BW394" i="1"/>
  <c r="BW395" i="1"/>
  <c r="BW439" i="1"/>
  <c r="BW396" i="1"/>
  <c r="BW397" i="1"/>
  <c r="BW398" i="1"/>
  <c r="BW447" i="1"/>
  <c r="BW399" i="1"/>
  <c r="BW400" i="1"/>
  <c r="BW639" i="1"/>
  <c r="BW401" i="1"/>
  <c r="BW402" i="1"/>
  <c r="BW403" i="1"/>
  <c r="BW465" i="1"/>
  <c r="BW404" i="1"/>
  <c r="BW406" i="1"/>
  <c r="BW405" i="1"/>
  <c r="BW420" i="1"/>
  <c r="BW408" i="1"/>
  <c r="BW409" i="1"/>
  <c r="BW410" i="1"/>
  <c r="BW513" i="1"/>
  <c r="BW421" i="1"/>
  <c r="BW411" i="1"/>
  <c r="BW416" i="1"/>
  <c r="BW413" i="1"/>
  <c r="BW414" i="1"/>
  <c r="BW415" i="1"/>
  <c r="BW417" i="1"/>
  <c r="BW418" i="1"/>
  <c r="BW1901" i="1"/>
  <c r="BW419" i="1"/>
  <c r="BW422" i="1"/>
  <c r="BW423" i="1"/>
  <c r="BW424" i="1"/>
  <c r="BW431" i="1"/>
  <c r="BW425" i="1"/>
  <c r="BW430" i="1"/>
  <c r="BW426" i="1"/>
  <c r="BW427" i="1"/>
  <c r="BW428" i="1"/>
  <c r="BW429" i="1"/>
  <c r="BW479" i="1"/>
  <c r="BW432" i="1"/>
  <c r="BW433" i="1"/>
  <c r="BW434" i="1"/>
  <c r="BW435" i="1"/>
  <c r="BW436" i="1"/>
  <c r="BW437" i="1"/>
  <c r="BW438" i="1"/>
  <c r="BW440" i="1"/>
  <c r="BW863" i="1"/>
  <c r="BW441" i="1"/>
  <c r="BW442" i="1"/>
  <c r="BW444" i="1"/>
  <c r="BW921" i="1"/>
  <c r="BW443" i="1"/>
  <c r="BW445" i="1"/>
  <c r="BW446" i="1"/>
  <c r="BW757" i="1"/>
  <c r="BW448" i="1"/>
  <c r="BW1838" i="1"/>
  <c r="BW451" i="1"/>
  <c r="BW452" i="1"/>
  <c r="BW449" i="1"/>
  <c r="BW450" i="1"/>
  <c r="BW453" i="1"/>
  <c r="BW454" i="1"/>
  <c r="BW729" i="1"/>
  <c r="BW455" i="1"/>
  <c r="BW503" i="1"/>
  <c r="BW456" i="1"/>
  <c r="BW457" i="1"/>
  <c r="BW458" i="1"/>
  <c r="BW618" i="1"/>
  <c r="BW459" i="1"/>
  <c r="BW461" i="1"/>
  <c r="BW462" i="1"/>
  <c r="BW642" i="1"/>
  <c r="BW463" i="1"/>
  <c r="BW464" i="1"/>
  <c r="BW466" i="1"/>
  <c r="BW467" i="1"/>
  <c r="BW468" i="1"/>
  <c r="BW469" i="1"/>
  <c r="BW471" i="1"/>
  <c r="BW478" i="1"/>
  <c r="BW472" i="1"/>
  <c r="BW846" i="1"/>
  <c r="BW473" i="1"/>
  <c r="BW474" i="1"/>
  <c r="BW475" i="1"/>
  <c r="BW476" i="1"/>
  <c r="BW876" i="1"/>
  <c r="BW477" i="1"/>
  <c r="BW480" i="1"/>
  <c r="BW481" i="1"/>
  <c r="BW482" i="1"/>
  <c r="BW483" i="1"/>
  <c r="BW484" i="1"/>
  <c r="BW497" i="1"/>
  <c r="BW758" i="1"/>
  <c r="BW485" i="1"/>
  <c r="BW486" i="1"/>
  <c r="BW565" i="1"/>
  <c r="BW487" i="1"/>
  <c r="BW628" i="1"/>
  <c r="BW488" i="1"/>
  <c r="BW489" i="1"/>
  <c r="BW545" i="1"/>
  <c r="BW491" i="1"/>
  <c r="BW492" i="1"/>
  <c r="BW763" i="1"/>
  <c r="BW493" i="1"/>
  <c r="BW494" i="1"/>
  <c r="BW744" i="1"/>
  <c r="BW495" i="1"/>
  <c r="BW496" i="1"/>
  <c r="BW1106" i="1"/>
  <c r="BW1051" i="1"/>
  <c r="BW498" i="1"/>
  <c r="BW499" i="1"/>
  <c r="BW500" i="1"/>
  <c r="BW501" i="1"/>
  <c r="BW502" i="1"/>
  <c r="BW504" i="1"/>
  <c r="BW505" i="1"/>
  <c r="BW506" i="1"/>
  <c r="BW507" i="1"/>
  <c r="BW538" i="1"/>
  <c r="BW508" i="1"/>
  <c r="BW509" i="1"/>
  <c r="BW510" i="1"/>
  <c r="BW549" i="1"/>
  <c r="BW511" i="1"/>
  <c r="BW512" i="1"/>
  <c r="BW514" i="1"/>
  <c r="BW515" i="1"/>
  <c r="BW516" i="1"/>
  <c r="BW517" i="1"/>
  <c r="BW518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64" i="1"/>
  <c r="BW537" i="1"/>
  <c r="BW539" i="1"/>
  <c r="BW540" i="1"/>
  <c r="BW541" i="1"/>
  <c r="BW546" i="1"/>
  <c r="BW542" i="1"/>
  <c r="BW543" i="1"/>
  <c r="BW544" i="1"/>
  <c r="BW600" i="1"/>
  <c r="BW547" i="1"/>
  <c r="BW548" i="1"/>
  <c r="BW555" i="1"/>
  <c r="BW550" i="1"/>
  <c r="BW2267" i="1"/>
  <c r="BW551" i="1"/>
  <c r="BW552" i="1"/>
  <c r="BW666" i="1"/>
  <c r="BW553" i="1"/>
  <c r="BW554" i="1"/>
  <c r="BW584" i="1"/>
  <c r="BW556" i="1"/>
  <c r="BW557" i="1"/>
  <c r="BW558" i="1"/>
  <c r="BW559" i="1"/>
  <c r="BW560" i="1"/>
  <c r="BW561" i="1"/>
  <c r="BW845" i="1"/>
  <c r="BW562" i="1"/>
  <c r="BW563" i="1"/>
  <c r="BW685" i="1"/>
  <c r="BW592" i="1"/>
  <c r="BW566" i="1"/>
  <c r="BW567" i="1"/>
  <c r="BW568" i="1"/>
  <c r="BW569" i="1"/>
  <c r="BW570" i="1"/>
  <c r="BW574" i="1"/>
  <c r="BW571" i="1"/>
  <c r="BW572" i="1"/>
  <c r="BW693" i="1"/>
  <c r="BW575" i="1"/>
  <c r="BW576" i="1"/>
  <c r="BW577" i="1"/>
  <c r="BW578" i="1"/>
  <c r="BW579" i="1"/>
  <c r="BW580" i="1"/>
  <c r="BW581" i="1"/>
  <c r="BW582" i="1"/>
  <c r="BW583" i="1"/>
  <c r="BW585" i="1"/>
  <c r="BW586" i="1"/>
  <c r="BW587" i="1"/>
  <c r="BW588" i="1"/>
  <c r="BW589" i="1"/>
  <c r="BW590" i="1"/>
  <c r="BW591" i="1"/>
  <c r="BW593" i="1"/>
  <c r="BW594" i="1"/>
  <c r="BW595" i="1"/>
  <c r="BW596" i="1"/>
  <c r="BW597" i="1"/>
  <c r="BW598" i="1"/>
  <c r="BW599" i="1"/>
  <c r="BW601" i="1"/>
  <c r="BW602" i="1"/>
  <c r="BW603" i="1"/>
  <c r="BW604" i="1"/>
  <c r="BW605" i="1"/>
  <c r="BW606" i="1"/>
  <c r="BW607" i="1"/>
  <c r="BW608" i="1"/>
  <c r="BW609" i="1"/>
  <c r="BW610" i="1"/>
  <c r="BW611" i="1"/>
  <c r="BW624" i="1"/>
  <c r="BW612" i="1"/>
  <c r="BW613" i="1"/>
  <c r="BW649" i="1"/>
  <c r="BW1419" i="1"/>
  <c r="BW614" i="1"/>
  <c r="BW615" i="1"/>
  <c r="BW616" i="1"/>
  <c r="BW617" i="1"/>
  <c r="BW619" i="1"/>
  <c r="BW620" i="1"/>
  <c r="BW771" i="1"/>
  <c r="BW668" i="1"/>
  <c r="BW621" i="1"/>
  <c r="BW622" i="1"/>
  <c r="BW623" i="1"/>
  <c r="BW637" i="1"/>
  <c r="BW625" i="1"/>
  <c r="BW626" i="1"/>
  <c r="BW1462" i="1"/>
  <c r="BW627" i="1"/>
  <c r="BW629" i="1"/>
  <c r="BW630" i="1"/>
  <c r="BW665" i="1"/>
  <c r="BW632" i="1"/>
  <c r="BW633" i="1"/>
  <c r="BW634" i="1"/>
  <c r="BW692" i="1"/>
  <c r="BW636" i="1"/>
  <c r="BW791" i="1"/>
  <c r="BW631" i="1"/>
  <c r="BW635" i="1"/>
  <c r="BW640" i="1"/>
  <c r="BW641" i="1"/>
  <c r="BW648" i="1"/>
  <c r="BW643" i="1"/>
  <c r="BW644" i="1"/>
  <c r="BW645" i="1"/>
  <c r="BW646" i="1"/>
  <c r="BW647" i="1"/>
  <c r="BW650" i="1"/>
  <c r="BW651" i="1"/>
  <c r="BW652" i="1"/>
  <c r="BW877" i="1"/>
  <c r="BW1052" i="1"/>
  <c r="BW653" i="1"/>
  <c r="BW667" i="1"/>
  <c r="BW654" i="1"/>
  <c r="BW655" i="1"/>
  <c r="BW919" i="1"/>
  <c r="BW656" i="1"/>
  <c r="BW657" i="1"/>
  <c r="BW658" i="1"/>
  <c r="BW659" i="1"/>
  <c r="BW660" i="1"/>
  <c r="BW661" i="1"/>
  <c r="BW1902" i="1"/>
  <c r="BW940" i="1"/>
  <c r="BW1208" i="1"/>
  <c r="BW662" i="1"/>
  <c r="BW663" i="1"/>
  <c r="BW664" i="1"/>
  <c r="BW743" i="1"/>
  <c r="BW669" i="1"/>
  <c r="BW670" i="1"/>
  <c r="BW671" i="1"/>
  <c r="BW745" i="1"/>
  <c r="BW672" i="1"/>
  <c r="BW673" i="1"/>
  <c r="BW674" i="1"/>
  <c r="BW675" i="1"/>
  <c r="BW676" i="1"/>
  <c r="BW677" i="1"/>
  <c r="BW1661" i="1"/>
  <c r="BW678" i="1"/>
  <c r="BW679" i="1"/>
  <c r="BW984" i="1"/>
  <c r="BW918" i="1"/>
  <c r="BW680" i="1"/>
  <c r="BW681" i="1"/>
  <c r="BW682" i="1"/>
  <c r="BW683" i="1"/>
  <c r="BW684" i="1"/>
  <c r="BW686" i="1"/>
  <c r="BW687" i="1"/>
  <c r="BW1307" i="1"/>
  <c r="BW688" i="1"/>
  <c r="BW783" i="1"/>
  <c r="BW689" i="1"/>
  <c r="BW690" i="1"/>
  <c r="BW691" i="1"/>
  <c r="BW694" i="1"/>
  <c r="BW695" i="1"/>
  <c r="BW696" i="1"/>
  <c r="BW697" i="1"/>
  <c r="BW698" i="1"/>
  <c r="BW699" i="1"/>
  <c r="BW700" i="1"/>
  <c r="BW1592" i="1"/>
  <c r="BW701" i="1"/>
  <c r="BW730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995" i="1"/>
  <c r="BW714" i="1"/>
  <c r="BW715" i="1"/>
  <c r="BW1294" i="1"/>
  <c r="BW716" i="1"/>
  <c r="BW717" i="1"/>
  <c r="BW718" i="1"/>
  <c r="BW719" i="1"/>
  <c r="BW720" i="1"/>
  <c r="BW1209" i="1"/>
  <c r="BW721" i="1"/>
  <c r="BW722" i="1"/>
  <c r="BW723" i="1"/>
  <c r="BW739" i="1"/>
  <c r="BW724" i="1"/>
  <c r="BW725" i="1"/>
  <c r="BW726" i="1"/>
  <c r="BW1080" i="1"/>
  <c r="BW727" i="1"/>
  <c r="BW731" i="1"/>
  <c r="BW732" i="1"/>
  <c r="BW805" i="1"/>
  <c r="BW733" i="1"/>
  <c r="BW1468" i="1"/>
  <c r="BW734" i="1"/>
  <c r="BW900" i="1"/>
  <c r="BW735" i="1"/>
  <c r="BW736" i="1"/>
  <c r="BW737" i="1"/>
  <c r="BW742" i="1"/>
  <c r="BW738" i="1"/>
  <c r="BW740" i="1"/>
  <c r="BW741" i="1"/>
  <c r="BW746" i="1"/>
  <c r="BW747" i="1"/>
  <c r="BW748" i="1"/>
  <c r="BW750" i="1"/>
  <c r="BW751" i="1"/>
  <c r="BW1168" i="1"/>
  <c r="BW752" i="1"/>
  <c r="BW753" i="1"/>
  <c r="BW754" i="1"/>
  <c r="BW784" i="1"/>
  <c r="BW755" i="1"/>
  <c r="BW756" i="1"/>
  <c r="BW749" i="1"/>
  <c r="BW759" i="1"/>
  <c r="BW1336" i="1"/>
  <c r="BW1295" i="1"/>
  <c r="BW898" i="1"/>
  <c r="BW760" i="1"/>
  <c r="BW761" i="1"/>
  <c r="BW762" i="1"/>
  <c r="BW764" i="1"/>
  <c r="BW765" i="1"/>
  <c r="BW766" i="1"/>
  <c r="BW767" i="1"/>
  <c r="BW768" i="1"/>
  <c r="BW769" i="1"/>
  <c r="BW865" i="1"/>
  <c r="BW770" i="1"/>
  <c r="BW833" i="1"/>
  <c r="BW958" i="1"/>
  <c r="BW772" i="1"/>
  <c r="BW773" i="1"/>
  <c r="BW774" i="1"/>
  <c r="BW1525" i="1"/>
  <c r="BW775" i="1"/>
  <c r="BW1528" i="1"/>
  <c r="BW776" i="1"/>
  <c r="BW777" i="1"/>
  <c r="BW1082" i="1"/>
  <c r="BW778" i="1"/>
  <c r="BW1250" i="1"/>
  <c r="BW780" i="1"/>
  <c r="BW781" i="1"/>
  <c r="BW1421" i="1"/>
  <c r="BW782" i="1"/>
  <c r="BW779" i="1"/>
  <c r="BW843" i="1"/>
  <c r="BW786" i="1"/>
  <c r="BW787" i="1"/>
  <c r="BW788" i="1"/>
  <c r="BW789" i="1"/>
  <c r="BW790" i="1"/>
  <c r="BW818" i="1"/>
  <c r="BW793" i="1"/>
  <c r="BW794" i="1"/>
  <c r="BW795" i="1"/>
  <c r="BW796" i="1"/>
  <c r="BW797" i="1"/>
  <c r="BW798" i="1"/>
  <c r="BW799" i="1"/>
  <c r="BW800" i="1"/>
  <c r="BW831" i="1"/>
  <c r="BW801" i="1"/>
  <c r="BW802" i="1"/>
  <c r="BW864" i="1"/>
  <c r="BW803" i="1"/>
  <c r="BW804" i="1"/>
  <c r="BW806" i="1"/>
  <c r="BW807" i="1"/>
  <c r="BW808" i="1"/>
  <c r="BW809" i="1"/>
  <c r="BW1002" i="1"/>
  <c r="BW810" i="1"/>
  <c r="BW811" i="1"/>
  <c r="BW812" i="1"/>
  <c r="BW813" i="1"/>
  <c r="BW1129" i="1"/>
  <c r="BW814" i="1"/>
  <c r="BW815" i="1"/>
  <c r="BW816" i="1"/>
  <c r="BW817" i="1"/>
  <c r="BW832" i="1"/>
  <c r="BW819" i="1"/>
  <c r="BW1252" i="1"/>
  <c r="BW820" i="1"/>
  <c r="BW821" i="1"/>
  <c r="BW822" i="1"/>
  <c r="BW823" i="1"/>
  <c r="BW824" i="1"/>
  <c r="BW825" i="1"/>
  <c r="BW826" i="1"/>
  <c r="BW827" i="1"/>
  <c r="BW828" i="1"/>
  <c r="BW829" i="1"/>
  <c r="BW830" i="1"/>
  <c r="BW834" i="1"/>
  <c r="BW835" i="1"/>
  <c r="BW836" i="1"/>
  <c r="BW837" i="1"/>
  <c r="BW844" i="1"/>
  <c r="BW838" i="1"/>
  <c r="BW839" i="1"/>
  <c r="BW840" i="1"/>
  <c r="BW841" i="1"/>
  <c r="BW985" i="1"/>
  <c r="BW842" i="1"/>
  <c r="BW847" i="1"/>
  <c r="BW848" i="1"/>
  <c r="BW849" i="1"/>
  <c r="BW850" i="1"/>
  <c r="BW851" i="1"/>
  <c r="BW852" i="1"/>
  <c r="BW899" i="1"/>
  <c r="BW853" i="1"/>
  <c r="BW941" i="1"/>
  <c r="BW854" i="1"/>
  <c r="BW855" i="1"/>
  <c r="BW856" i="1"/>
  <c r="BW857" i="1"/>
  <c r="BW960" i="1"/>
  <c r="BW858" i="1"/>
  <c r="BW859" i="1"/>
  <c r="BW860" i="1"/>
  <c r="BW861" i="1"/>
  <c r="BW862" i="1"/>
  <c r="BW866" i="1"/>
  <c r="BW1079" i="1"/>
  <c r="BW875" i="1"/>
  <c r="BW867" i="1"/>
  <c r="BW868" i="1"/>
  <c r="BW1466" i="1"/>
  <c r="BW869" i="1"/>
  <c r="BW938" i="1"/>
  <c r="BW870" i="1"/>
  <c r="BW871" i="1"/>
  <c r="BW872" i="1"/>
  <c r="BW873" i="1"/>
  <c r="BW874" i="1"/>
  <c r="BW939" i="1"/>
  <c r="BW878" i="1"/>
  <c r="BW897" i="1"/>
  <c r="BW879" i="1"/>
  <c r="BW1526" i="1"/>
  <c r="BW920" i="1"/>
  <c r="BW880" i="1"/>
  <c r="BW881" i="1"/>
  <c r="BW882" i="1"/>
  <c r="BW883" i="1"/>
  <c r="BW884" i="1"/>
  <c r="BW885" i="1"/>
  <c r="BW1108" i="1"/>
  <c r="BW886" i="1"/>
  <c r="BW887" i="1"/>
  <c r="BW888" i="1"/>
  <c r="BW1688" i="1"/>
  <c r="BW889" i="1"/>
  <c r="BW890" i="1"/>
  <c r="BW1027" i="1"/>
  <c r="BW891" i="1"/>
  <c r="BW986" i="1"/>
  <c r="BW1335" i="1"/>
  <c r="BW892" i="1"/>
  <c r="BW893" i="1"/>
  <c r="BW894" i="1"/>
  <c r="BW895" i="1"/>
  <c r="BW1210" i="1"/>
  <c r="BW896" i="1"/>
  <c r="BW901" i="1"/>
  <c r="BW902" i="1"/>
  <c r="BW903" i="1"/>
  <c r="BW904" i="1"/>
  <c r="BW1109" i="1"/>
  <c r="BW905" i="1"/>
  <c r="BW906" i="1"/>
  <c r="BW1989" i="1"/>
  <c r="BW907" i="1"/>
  <c r="BW908" i="1"/>
  <c r="BW942" i="1"/>
  <c r="BW909" i="1"/>
  <c r="BW910" i="1"/>
  <c r="BW911" i="1"/>
  <c r="BW912" i="1"/>
  <c r="BW913" i="1"/>
  <c r="BW915" i="1"/>
  <c r="BW916" i="1"/>
  <c r="BW1055" i="1"/>
  <c r="BW917" i="1"/>
  <c r="BW914" i="1"/>
  <c r="BW2183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1003" i="1"/>
  <c r="BW2259" i="1"/>
  <c r="BW1292" i="1"/>
  <c r="BW935" i="1"/>
  <c r="BW936" i="1"/>
  <c r="BW1166" i="1"/>
  <c r="BW937" i="1"/>
  <c r="BW943" i="1"/>
  <c r="BW1053" i="1"/>
  <c r="BW944" i="1"/>
  <c r="BW959" i="1"/>
  <c r="BW945" i="1"/>
  <c r="BW946" i="1"/>
  <c r="BW947" i="1"/>
  <c r="BW948" i="1"/>
  <c r="BW949" i="1"/>
  <c r="BW1768" i="1"/>
  <c r="BW950" i="1"/>
  <c r="BW951" i="1"/>
  <c r="BW973" i="1"/>
  <c r="BW952" i="1"/>
  <c r="BW953" i="1"/>
  <c r="BW954" i="1"/>
  <c r="BW1081" i="1"/>
  <c r="BW955" i="1"/>
  <c r="BW956" i="1"/>
  <c r="BW957" i="1"/>
  <c r="BW961" i="1"/>
  <c r="BW962" i="1"/>
  <c r="BW963" i="1"/>
  <c r="BW964" i="1"/>
  <c r="BW965" i="1"/>
  <c r="BW1378" i="1"/>
  <c r="BW966" i="1"/>
  <c r="BW1288" i="1"/>
  <c r="BW967" i="1"/>
  <c r="BW968" i="1"/>
  <c r="BW969" i="1"/>
  <c r="BW970" i="1"/>
  <c r="BW971" i="1"/>
  <c r="BW972" i="1"/>
  <c r="BW974" i="1"/>
  <c r="BW975" i="1"/>
  <c r="BW976" i="1"/>
  <c r="BW977" i="1"/>
  <c r="BW978" i="1"/>
  <c r="BW987" i="1"/>
  <c r="BW979" i="1"/>
  <c r="BW1212" i="1"/>
  <c r="BW980" i="1"/>
  <c r="BW981" i="1"/>
  <c r="BW982" i="1"/>
  <c r="BW983" i="1"/>
  <c r="BW988" i="1"/>
  <c r="BW1662" i="1"/>
  <c r="BW989" i="1"/>
  <c r="BW1461" i="1"/>
  <c r="BW990" i="1"/>
  <c r="BW991" i="1"/>
  <c r="BW992" i="1"/>
  <c r="BW993" i="1"/>
  <c r="BW994" i="1"/>
  <c r="BW996" i="1"/>
  <c r="BW997" i="1"/>
  <c r="BW998" i="1"/>
  <c r="BW999" i="1"/>
  <c r="BW1338" i="1"/>
  <c r="BW1000" i="1"/>
  <c r="BW1001" i="1"/>
  <c r="BW1169" i="1"/>
  <c r="BW1770" i="1"/>
  <c r="BW1170" i="1"/>
  <c r="BW1004" i="1"/>
  <c r="BW1005" i="1"/>
  <c r="BW1006" i="1"/>
  <c r="BW1007" i="1"/>
  <c r="BW1008" i="1"/>
  <c r="BW1009" i="1"/>
  <c r="BW1254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30" i="1"/>
  <c r="BW1029" i="1"/>
  <c r="BW1022" i="1"/>
  <c r="BW1023" i="1"/>
  <c r="BW1024" i="1"/>
  <c r="BW1025" i="1"/>
  <c r="BW1026" i="1"/>
  <c r="BW1253" i="1"/>
  <c r="BW1031" i="1"/>
  <c r="BW1054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7" i="1"/>
  <c r="BW1048" i="1"/>
  <c r="BW1049" i="1"/>
  <c r="BW1050" i="1"/>
  <c r="BW1046" i="1"/>
  <c r="BW1056" i="1"/>
  <c r="BW1057" i="1"/>
  <c r="BW1058" i="1"/>
  <c r="BW1059" i="1"/>
  <c r="BW1060" i="1"/>
  <c r="BW1107" i="1"/>
  <c r="BW1061" i="1"/>
  <c r="BW1062" i="1"/>
  <c r="BW1063" i="1"/>
  <c r="BW1527" i="1"/>
  <c r="BW1529" i="1"/>
  <c r="BW1064" i="1"/>
  <c r="BW1131" i="1"/>
  <c r="BW1065" i="1"/>
  <c r="BW1463" i="1"/>
  <c r="BW1066" i="1"/>
  <c r="BW1067" i="1"/>
  <c r="BW1069" i="1"/>
  <c r="BW1070" i="1"/>
  <c r="BW1071" i="1"/>
  <c r="BW1072" i="1"/>
  <c r="BW1073" i="1"/>
  <c r="BW1074" i="1"/>
  <c r="BW1075" i="1"/>
  <c r="BW1076" i="1"/>
  <c r="BW1077" i="1"/>
  <c r="BW1078" i="1"/>
  <c r="BW1068" i="1"/>
  <c r="BW1083" i="1"/>
  <c r="BW1084" i="1"/>
  <c r="BW1085" i="1"/>
  <c r="BW1086" i="1"/>
  <c r="BW1087" i="1"/>
  <c r="BW1088" i="1"/>
  <c r="BW1089" i="1"/>
  <c r="BW1090" i="1"/>
  <c r="BW113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379" i="1"/>
  <c r="BW1993" i="1"/>
  <c r="BW1167" i="1"/>
  <c r="BW1128" i="1"/>
  <c r="BW1110" i="1"/>
  <c r="BW1111" i="1"/>
  <c r="BW1774" i="1"/>
  <c r="BW1112" i="1"/>
  <c r="BW1113" i="1"/>
  <c r="BW1670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766" i="1"/>
  <c r="BW1126" i="1"/>
  <c r="BW1127" i="1"/>
  <c r="BW1125" i="1"/>
  <c r="BW1132" i="1"/>
  <c r="BW1133" i="1"/>
  <c r="BW1134" i="1"/>
  <c r="BW1135" i="1"/>
  <c r="BW1432" i="1"/>
  <c r="BW1136" i="1"/>
  <c r="BW1137" i="1"/>
  <c r="BW1138" i="1"/>
  <c r="BW1139" i="1"/>
  <c r="BW1140" i="1"/>
  <c r="BW1141" i="1"/>
  <c r="BW1142" i="1"/>
  <c r="BW1207" i="1"/>
  <c r="BW1251" i="1"/>
  <c r="BW1143" i="1"/>
  <c r="BW1144" i="1"/>
  <c r="BW1145" i="1"/>
  <c r="BW1146" i="1"/>
  <c r="BW1147" i="1"/>
  <c r="BW1148" i="1"/>
  <c r="BW1149" i="1"/>
  <c r="BW1150" i="1"/>
  <c r="BW1151" i="1"/>
  <c r="BW1293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422" i="1"/>
  <c r="BW1165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289" i="1"/>
  <c r="BW1185" i="1"/>
  <c r="BW1186" i="1"/>
  <c r="BW1187" i="1"/>
  <c r="BW1188" i="1"/>
  <c r="BW1189" i="1"/>
  <c r="BW1190" i="1"/>
  <c r="BW1191" i="1"/>
  <c r="BW1381" i="1"/>
  <c r="BW1588" i="1"/>
  <c r="BW1192" i="1"/>
  <c r="BW1316" i="1"/>
  <c r="BW1193" i="1"/>
  <c r="BW1194" i="1"/>
  <c r="BW1195" i="1"/>
  <c r="BW1196" i="1"/>
  <c r="BW1211" i="1"/>
  <c r="BW1197" i="1"/>
  <c r="BW1198" i="1"/>
  <c r="BW1199" i="1"/>
  <c r="BW1200" i="1"/>
  <c r="BW1201" i="1"/>
  <c r="BW1202" i="1"/>
  <c r="BW1203" i="1"/>
  <c r="BW1204" i="1"/>
  <c r="BW1205" i="1"/>
  <c r="BW1206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337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771" i="1"/>
  <c r="BW1290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906" i="1"/>
  <c r="BW1291" i="1"/>
  <c r="BW1284" i="1"/>
  <c r="BW1285" i="1"/>
  <c r="BW1286" i="1"/>
  <c r="BW1464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8" i="1"/>
  <c r="BW1309" i="1"/>
  <c r="BW1310" i="1"/>
  <c r="BW1311" i="1"/>
  <c r="BW1312" i="1"/>
  <c r="BW1313" i="1"/>
  <c r="BW1314" i="1"/>
  <c r="BW1315" i="1"/>
  <c r="BW1317" i="1"/>
  <c r="BW1318" i="1"/>
  <c r="BW1319" i="1"/>
  <c r="BW1320" i="1"/>
  <c r="BW1765" i="1"/>
  <c r="BW2084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9" i="1"/>
  <c r="BW1340" i="1"/>
  <c r="BW1769" i="1"/>
  <c r="BW1341" i="1"/>
  <c r="BW1342" i="1"/>
  <c r="BW1343" i="1"/>
  <c r="BW1344" i="1"/>
  <c r="BW1478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80" i="1"/>
  <c r="BW1364" i="1"/>
  <c r="BW1365" i="1"/>
  <c r="BW1366" i="1"/>
  <c r="BW1367" i="1"/>
  <c r="BW1755" i="1"/>
  <c r="BW1368" i="1"/>
  <c r="BW1369" i="1"/>
  <c r="BW1370" i="1"/>
  <c r="BW1371" i="1"/>
  <c r="BW1372" i="1"/>
  <c r="BW1373" i="1"/>
  <c r="BW1374" i="1"/>
  <c r="BW1465" i="1"/>
  <c r="BW1375" i="1"/>
  <c r="BW1376" i="1"/>
  <c r="BW1377" i="1"/>
  <c r="BW1721" i="1"/>
  <c r="BW1383" i="1"/>
  <c r="BW1384" i="1"/>
  <c r="BW1385" i="1"/>
  <c r="BW1386" i="1"/>
  <c r="BW1387" i="1"/>
  <c r="BW1388" i="1"/>
  <c r="BW1389" i="1"/>
  <c r="BW1390" i="1"/>
  <c r="BW2091" i="1"/>
  <c r="BW1391" i="1"/>
  <c r="BW1392" i="1"/>
  <c r="BW1393" i="1"/>
  <c r="BW1394" i="1"/>
  <c r="BW1395" i="1"/>
  <c r="BW1469" i="1"/>
  <c r="BW1396" i="1"/>
  <c r="BW1397" i="1"/>
  <c r="BW1398" i="1"/>
  <c r="BW1399" i="1"/>
  <c r="BW1775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20" i="1"/>
  <c r="BW1411" i="1"/>
  <c r="BW1412" i="1"/>
  <c r="BW1413" i="1"/>
  <c r="BW1414" i="1"/>
  <c r="BW1415" i="1"/>
  <c r="BW1416" i="1"/>
  <c r="BW1417" i="1"/>
  <c r="BW1418" i="1"/>
  <c r="BW1470" i="1"/>
  <c r="BW1472" i="1"/>
  <c r="BW1423" i="1"/>
  <c r="BW1424" i="1"/>
  <c r="BW1476" i="1"/>
  <c r="BW1425" i="1"/>
  <c r="BW1426" i="1"/>
  <c r="BW1427" i="1"/>
  <c r="BW1428" i="1"/>
  <c r="BW1429" i="1"/>
  <c r="BW1430" i="1"/>
  <c r="BW1431" i="1"/>
  <c r="BW1433" i="1"/>
  <c r="BW1434" i="1"/>
  <c r="BW1435" i="1"/>
  <c r="BW1837" i="1"/>
  <c r="BW1436" i="1"/>
  <c r="BW1587" i="1"/>
  <c r="BW1437" i="1"/>
  <c r="BW1438" i="1"/>
  <c r="BW1439" i="1"/>
  <c r="BW2176" i="1"/>
  <c r="BW1440" i="1"/>
  <c r="BW1441" i="1"/>
  <c r="BW1442" i="1"/>
  <c r="BW1443" i="1"/>
  <c r="BW1444" i="1"/>
  <c r="BW1445" i="1"/>
  <c r="BW1446" i="1"/>
  <c r="BW1591" i="1"/>
  <c r="BW1447" i="1"/>
  <c r="BW1448" i="1"/>
  <c r="BW1467" i="1"/>
  <c r="BW1449" i="1"/>
  <c r="BW1450" i="1"/>
  <c r="BW1586" i="1"/>
  <c r="BW2177" i="1"/>
  <c r="BW1451" i="1"/>
  <c r="BW1452" i="1"/>
  <c r="BW2097" i="1"/>
  <c r="BW1453" i="1"/>
  <c r="BW1454" i="1"/>
  <c r="BW1455" i="1"/>
  <c r="BW1456" i="1"/>
  <c r="BW1457" i="1"/>
  <c r="BW1458" i="1"/>
  <c r="BW1459" i="1"/>
  <c r="BW1460" i="1"/>
  <c r="BW1471" i="1"/>
  <c r="BW1473" i="1"/>
  <c r="BW1474" i="1"/>
  <c r="BW1475" i="1"/>
  <c r="BW1530" i="1"/>
  <c r="BW1477" i="1"/>
  <c r="BW1541" i="1"/>
  <c r="BW1773" i="1"/>
  <c r="BW1479" i="1"/>
  <c r="BW1480" i="1"/>
  <c r="BW1481" i="1"/>
  <c r="BW1482" i="1"/>
  <c r="BW1483" i="1"/>
  <c r="BW1484" i="1"/>
  <c r="BW1485" i="1"/>
  <c r="BW1929" i="1"/>
  <c r="BW1486" i="1"/>
  <c r="BW1488" i="1"/>
  <c r="BW1489" i="1"/>
  <c r="BW1531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89" i="1"/>
  <c r="BW1503" i="1"/>
  <c r="BW1905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84" i="1"/>
  <c r="BW1521" i="1"/>
  <c r="BW1522" i="1"/>
  <c r="BW1523" i="1"/>
  <c r="BW1524" i="1"/>
  <c r="BW1487" i="1"/>
  <c r="BW1532" i="1"/>
  <c r="BW1533" i="1"/>
  <c r="BW1534" i="1"/>
  <c r="BW1535" i="1"/>
  <c r="BW1536" i="1"/>
  <c r="BW1537" i="1"/>
  <c r="BW1538" i="1"/>
  <c r="BW1539" i="1"/>
  <c r="BW1540" i="1"/>
  <c r="BW1542" i="1"/>
  <c r="BW1543" i="1"/>
  <c r="BW1544" i="1"/>
  <c r="BW1545" i="1"/>
  <c r="BW1546" i="1"/>
  <c r="BW1547" i="1"/>
  <c r="BW2083" i="1"/>
  <c r="BW1548" i="1"/>
  <c r="BW1549" i="1"/>
  <c r="BW1550" i="1"/>
  <c r="BW1551" i="1"/>
  <c r="BW1552" i="1"/>
  <c r="BW1772" i="1"/>
  <c r="BW1835" i="1"/>
  <c r="BW1553" i="1"/>
  <c r="BW1554" i="1"/>
  <c r="BW1555" i="1"/>
  <c r="BW1556" i="1"/>
  <c r="BW1557" i="1"/>
  <c r="BW1558" i="1"/>
  <c r="BW1559" i="1"/>
  <c r="BW1560" i="1"/>
  <c r="BW1561" i="1"/>
  <c r="BW1991" i="1"/>
  <c r="BW1562" i="1"/>
  <c r="BW1563" i="1"/>
  <c r="BW1590" i="1"/>
  <c r="BW1564" i="1"/>
  <c r="BW1565" i="1"/>
  <c r="BW1566" i="1"/>
  <c r="BW1567" i="1"/>
  <c r="BW1568" i="1"/>
  <c r="BW1569" i="1"/>
  <c r="BW1570" i="1"/>
  <c r="BW1663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907" i="1"/>
  <c r="BW1585" i="1"/>
  <c r="BW1657" i="1"/>
  <c r="BW1593" i="1"/>
  <c r="BW1594" i="1"/>
  <c r="BW1595" i="1"/>
  <c r="BW1596" i="1"/>
  <c r="BW1597" i="1"/>
  <c r="BW1908" i="1"/>
  <c r="BW1598" i="1"/>
  <c r="BW1599" i="1"/>
  <c r="BW171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59" i="1"/>
  <c r="BW1720" i="1"/>
  <c r="BW1615" i="1"/>
  <c r="BW1616" i="1"/>
  <c r="BW1617" i="1"/>
  <c r="BW1618" i="1"/>
  <c r="BW1619" i="1"/>
  <c r="BW1620" i="1"/>
  <c r="BW1621" i="1"/>
  <c r="BW1622" i="1"/>
  <c r="BW1660" i="1"/>
  <c r="BW1903" i="1"/>
  <c r="BW1623" i="1"/>
  <c r="BW1624" i="1"/>
  <c r="BW1625" i="1"/>
  <c r="BW1626" i="1"/>
  <c r="BW1627" i="1"/>
  <c r="BW1628" i="1"/>
  <c r="BW1629" i="1"/>
  <c r="BW1877" i="1"/>
  <c r="BW1836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2188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64" i="1"/>
  <c r="BW1665" i="1"/>
  <c r="BW1666" i="1"/>
  <c r="BW1667" i="1"/>
  <c r="BW1668" i="1"/>
  <c r="BW1669" i="1"/>
  <c r="BW1671" i="1"/>
  <c r="BW1672" i="1"/>
  <c r="BW2093" i="1"/>
  <c r="BW1673" i="1"/>
  <c r="BW1674" i="1"/>
  <c r="BW1904" i="1"/>
  <c r="BW1675" i="1"/>
  <c r="BW1676" i="1"/>
  <c r="BW1677" i="1"/>
  <c r="BW1678" i="1"/>
  <c r="BW1679" i="1"/>
  <c r="BW1680" i="1"/>
  <c r="BW1799" i="1"/>
  <c r="BW1681" i="1"/>
  <c r="BW1682" i="1"/>
  <c r="BW1683" i="1"/>
  <c r="BW1684" i="1"/>
  <c r="BW1685" i="1"/>
  <c r="BW1686" i="1"/>
  <c r="BW1687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839" i="1"/>
  <c r="BW1710" i="1"/>
  <c r="BW1711" i="1"/>
  <c r="BW1712" i="1"/>
  <c r="BW1713" i="1"/>
  <c r="BW2246" i="1"/>
  <c r="BW1714" i="1"/>
  <c r="BW1715" i="1"/>
  <c r="BW1716" i="1"/>
  <c r="BW1717" i="1"/>
  <c r="BW1718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2253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878" i="1"/>
  <c r="BW2266" i="1"/>
  <c r="BW1749" i="1"/>
  <c r="BW1767" i="1"/>
  <c r="BW1750" i="1"/>
  <c r="BW1751" i="1"/>
  <c r="BW1752" i="1"/>
  <c r="BW1753" i="1"/>
  <c r="BW1754" i="1"/>
  <c r="BW1756" i="1"/>
  <c r="BW1757" i="1"/>
  <c r="BW1758" i="1"/>
  <c r="BW1759" i="1"/>
  <c r="BW1760" i="1"/>
  <c r="BW1761" i="1"/>
  <c r="BW2264" i="1"/>
  <c r="BW1762" i="1"/>
  <c r="BW1763" i="1"/>
  <c r="BW1764" i="1"/>
  <c r="BW1776" i="1"/>
  <c r="BW1834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2187" i="1"/>
  <c r="BW1794" i="1"/>
  <c r="BW2206" i="1"/>
  <c r="BW2095" i="1"/>
  <c r="BW1795" i="1"/>
  <c r="BW1796" i="1"/>
  <c r="BW1797" i="1"/>
  <c r="BW1862" i="1"/>
  <c r="BW1798" i="1"/>
  <c r="BW1800" i="1"/>
  <c r="BW1801" i="1"/>
  <c r="BW1802" i="1"/>
  <c r="BW1803" i="1"/>
  <c r="BW1804" i="1"/>
  <c r="BW1805" i="1"/>
  <c r="BW1806" i="1"/>
  <c r="BW2184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2178" i="1"/>
  <c r="BW1819" i="1"/>
  <c r="BW1820" i="1"/>
  <c r="BW1821" i="1"/>
  <c r="BW1822" i="1"/>
  <c r="BW1823" i="1"/>
  <c r="BW1824" i="1"/>
  <c r="BW1825" i="1"/>
  <c r="BW1826" i="1"/>
  <c r="BW2169" i="1"/>
  <c r="BW1827" i="1"/>
  <c r="BW1828" i="1"/>
  <c r="BW1829" i="1"/>
  <c r="BW1830" i="1"/>
  <c r="BW1831" i="1"/>
  <c r="BW2175" i="1"/>
  <c r="BW1832" i="1"/>
  <c r="BW1833" i="1"/>
  <c r="BW1840" i="1"/>
  <c r="BW1841" i="1"/>
  <c r="BW1842" i="1"/>
  <c r="BW1843" i="1"/>
  <c r="BW1844" i="1"/>
  <c r="BW1845" i="1"/>
  <c r="BW1846" i="1"/>
  <c r="BW1847" i="1"/>
  <c r="BW2189" i="1"/>
  <c r="BW1848" i="1"/>
  <c r="BW1849" i="1"/>
  <c r="BW1850" i="1"/>
  <c r="BW2086" i="1"/>
  <c r="BW1851" i="1"/>
  <c r="BW1852" i="1"/>
  <c r="BW1853" i="1"/>
  <c r="BW1925" i="1"/>
  <c r="BW1854" i="1"/>
  <c r="BW1855" i="1"/>
  <c r="BW1856" i="1"/>
  <c r="BW1857" i="1"/>
  <c r="BW1858" i="1"/>
  <c r="BW1859" i="1"/>
  <c r="BW1860" i="1"/>
  <c r="BW1861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2190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2090" i="1"/>
  <c r="BW1892" i="1"/>
  <c r="BW1893" i="1"/>
  <c r="BW1894" i="1"/>
  <c r="BW1895" i="1"/>
  <c r="BW1896" i="1"/>
  <c r="BW1897" i="1"/>
  <c r="BW1898" i="1"/>
  <c r="BW1994" i="1"/>
  <c r="BW1899" i="1"/>
  <c r="BW1900" i="1"/>
  <c r="BW1909" i="1"/>
  <c r="BW1910" i="1"/>
  <c r="BW1911" i="1"/>
  <c r="BW1912" i="1"/>
  <c r="BW1913" i="1"/>
  <c r="BW1914" i="1"/>
  <c r="BW2085" i="1"/>
  <c r="BW1915" i="1"/>
  <c r="BW1916" i="1"/>
  <c r="BW1917" i="1"/>
  <c r="BW1918" i="1"/>
  <c r="BW1919" i="1"/>
  <c r="BW1920" i="1"/>
  <c r="BW1921" i="1"/>
  <c r="BW1922" i="1"/>
  <c r="BW1923" i="1"/>
  <c r="BW1924" i="1"/>
  <c r="BW1926" i="1"/>
  <c r="BW1927" i="1"/>
  <c r="BW1928" i="1"/>
  <c r="BW1930" i="1"/>
  <c r="BW2017" i="1"/>
  <c r="BW1931" i="1"/>
  <c r="BW1932" i="1"/>
  <c r="BW1933" i="1"/>
  <c r="BW1934" i="1"/>
  <c r="BW2087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92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2088" i="1"/>
  <c r="BW1968" i="1"/>
  <c r="BW1969" i="1"/>
  <c r="BW1970" i="1"/>
  <c r="BW1971" i="1"/>
  <c r="BW1972" i="1"/>
  <c r="BW1973" i="1"/>
  <c r="BW1974" i="1"/>
  <c r="BW1975" i="1"/>
  <c r="BW2179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2182" i="1"/>
  <c r="BW1988" i="1"/>
  <c r="BW1995" i="1"/>
  <c r="BW1996" i="1"/>
  <c r="BW1997" i="1"/>
  <c r="BW1998" i="1"/>
  <c r="BW1999" i="1"/>
  <c r="BW2000" i="1"/>
  <c r="BW2001" i="1"/>
  <c r="BW2002" i="1"/>
  <c r="BW2003" i="1"/>
  <c r="BW2096" i="1"/>
  <c r="BW2262" i="1"/>
  <c r="BW2004" i="1"/>
  <c r="BW2005" i="1"/>
  <c r="BW2006" i="1"/>
  <c r="BW2007" i="1"/>
  <c r="BW2094" i="1"/>
  <c r="BW2008" i="1"/>
  <c r="BW2009" i="1"/>
  <c r="BW2010" i="1"/>
  <c r="BW2011" i="1"/>
  <c r="BW2012" i="1"/>
  <c r="BW2013" i="1"/>
  <c r="BW2014" i="1"/>
  <c r="BW2015" i="1"/>
  <c r="BW2016" i="1"/>
  <c r="BW2092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257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89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98" i="1"/>
  <c r="BW2099" i="1"/>
  <c r="BW2100" i="1"/>
  <c r="BW2101" i="1"/>
  <c r="BW2102" i="1"/>
  <c r="BW2103" i="1"/>
  <c r="BW2104" i="1"/>
  <c r="BW2105" i="1"/>
  <c r="BW2106" i="1"/>
  <c r="BW2186" i="1"/>
  <c r="BW2107" i="1"/>
  <c r="BW2108" i="1"/>
  <c r="BW2185" i="1"/>
  <c r="BW2109" i="1"/>
  <c r="BW2110" i="1"/>
  <c r="BW2111" i="1"/>
  <c r="BW2112" i="1"/>
  <c r="BW2113" i="1"/>
  <c r="BW2180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81" i="1"/>
  <c r="BW2147" i="1"/>
  <c r="BW2148" i="1"/>
  <c r="BW2149" i="1"/>
  <c r="BW2150" i="1"/>
  <c r="BW2151" i="1"/>
  <c r="BW2152" i="1"/>
  <c r="BW2153" i="1"/>
  <c r="BW2258" i="1"/>
  <c r="BW2154" i="1"/>
  <c r="BW2155" i="1"/>
  <c r="BW2156" i="1"/>
  <c r="BW2157" i="1"/>
  <c r="BW2251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70" i="1"/>
  <c r="BW2171" i="1"/>
  <c r="BW2172" i="1"/>
  <c r="BW2173" i="1"/>
  <c r="BW2174" i="1"/>
  <c r="BW2191" i="1"/>
  <c r="BW2192" i="1"/>
  <c r="BW2193" i="1"/>
  <c r="BW2194" i="1"/>
  <c r="BW2195" i="1"/>
  <c r="BW2196" i="1"/>
  <c r="BW2252" i="1"/>
  <c r="BW2197" i="1"/>
  <c r="BW2198" i="1"/>
  <c r="BW2199" i="1"/>
  <c r="BW2200" i="1"/>
  <c r="BW2201" i="1"/>
  <c r="BW2255" i="1"/>
  <c r="BW2202" i="1"/>
  <c r="BW2203" i="1"/>
  <c r="BW2204" i="1"/>
  <c r="BW2205" i="1"/>
  <c r="BW2207" i="1"/>
  <c r="BW2208" i="1"/>
  <c r="BW2209" i="1"/>
  <c r="BW2210" i="1"/>
  <c r="BW2211" i="1"/>
  <c r="BW2212" i="1"/>
  <c r="BW2213" i="1"/>
  <c r="BW2260" i="1"/>
  <c r="BW2214" i="1"/>
  <c r="BW2215" i="1"/>
  <c r="BW2216" i="1"/>
  <c r="BW2217" i="1"/>
  <c r="BW2218" i="1"/>
  <c r="BW2219" i="1"/>
  <c r="BW2220" i="1"/>
  <c r="BW2261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54" i="1"/>
  <c r="BW2240" i="1"/>
  <c r="BW2241" i="1"/>
  <c r="BW2242" i="1"/>
  <c r="BW2243" i="1"/>
  <c r="BW2244" i="1"/>
  <c r="BW2245" i="1"/>
  <c r="BW2247" i="1"/>
  <c r="BW2248" i="1"/>
  <c r="BW2249" i="1"/>
  <c r="BW2250" i="1"/>
  <c r="BW6" i="1"/>
  <c r="BT1" i="1"/>
  <c r="BU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C1" i="1"/>
  <c r="BW1" i="1" l="1"/>
  <c r="BY2262" i="1"/>
  <c r="BY2253" i="1"/>
  <c r="BY2241" i="1"/>
  <c r="BY2231" i="1"/>
  <c r="BY2218" i="1"/>
  <c r="BY2204" i="1"/>
  <c r="BY2190" i="1"/>
  <c r="BY2164" i="1"/>
  <c r="BY2260" i="1"/>
  <c r="BY2251" i="1"/>
  <c r="BY2240" i="1"/>
  <c r="BY2229" i="1"/>
  <c r="BY2217" i="1"/>
  <c r="BY2200" i="1"/>
  <c r="BY2187" i="1"/>
  <c r="BY2160" i="1"/>
  <c r="BY6" i="1"/>
  <c r="BY2259" i="1"/>
  <c r="BY2250" i="1"/>
  <c r="BY2239" i="1"/>
  <c r="BY2227" i="1"/>
  <c r="BY2216" i="1"/>
  <c r="BY2199" i="1"/>
  <c r="BY2185" i="1"/>
  <c r="BY2156" i="1"/>
  <c r="BY2266" i="1"/>
  <c r="BY2258" i="1"/>
  <c r="BY2249" i="1"/>
  <c r="BY2237" i="1"/>
  <c r="BY2226" i="1"/>
  <c r="BY2215" i="1"/>
  <c r="BY2198" i="1"/>
  <c r="BY2184" i="1"/>
  <c r="BY2152" i="1"/>
  <c r="BY2267" i="1"/>
  <c r="BY2257" i="1"/>
  <c r="BY2248" i="1"/>
  <c r="BY2235" i="1"/>
  <c r="BY2225" i="1"/>
  <c r="BY2213" i="1"/>
  <c r="BY2196" i="1"/>
  <c r="BY2182" i="1"/>
  <c r="BY2148" i="1"/>
  <c r="BY2265" i="1"/>
  <c r="BY2256" i="1"/>
  <c r="BY2245" i="1"/>
  <c r="BY2234" i="1"/>
  <c r="BY2224" i="1"/>
  <c r="BY2209" i="1"/>
  <c r="BY2192" i="1"/>
  <c r="BY2178" i="1"/>
  <c r="BY2144" i="1"/>
  <c r="BY2264" i="1"/>
  <c r="BY2255" i="1"/>
  <c r="BY2243" i="1"/>
  <c r="BY2233" i="1"/>
  <c r="BY2223" i="1"/>
  <c r="BY2208" i="1"/>
  <c r="BY2191" i="1"/>
  <c r="BY2173" i="1"/>
  <c r="BY2140" i="1"/>
  <c r="BY2263" i="1"/>
  <c r="BY2254" i="1"/>
  <c r="BY2242" i="1"/>
  <c r="BY2232" i="1"/>
  <c r="BY2221" i="1"/>
  <c r="BY2207" i="1"/>
  <c r="BY2206" i="1"/>
  <c r="BY2168" i="1"/>
  <c r="BY2132" i="1"/>
  <c r="BY2177" i="1"/>
  <c r="BY2167" i="1"/>
  <c r="BY2159" i="1"/>
  <c r="BY2151" i="1"/>
  <c r="BY2143" i="1"/>
  <c r="BY2135" i="1"/>
  <c r="BY2127" i="1"/>
  <c r="BY2119" i="1"/>
  <c r="BY2111" i="1"/>
  <c r="BY2103" i="1"/>
  <c r="BY2097" i="1"/>
  <c r="BY2088" i="1"/>
  <c r="BY2081" i="1"/>
  <c r="BY2073" i="1"/>
  <c r="BY2065" i="1"/>
  <c r="BY2057" i="1"/>
  <c r="BY2049" i="1"/>
  <c r="BY2041" i="1"/>
  <c r="BY2033" i="1"/>
  <c r="BY2025" i="1"/>
  <c r="BY2016" i="1"/>
  <c r="BY2008" i="1"/>
  <c r="BY2000" i="1"/>
  <c r="BY1993" i="1"/>
  <c r="BY1985" i="1"/>
  <c r="BY1977" i="1"/>
  <c r="BY1969" i="1"/>
  <c r="BY1961" i="1"/>
  <c r="BY1953" i="1"/>
  <c r="BY1945" i="1"/>
  <c r="BY1937" i="1"/>
  <c r="BY1928" i="1"/>
  <c r="BY1919" i="1"/>
  <c r="BY1911" i="1"/>
  <c r="BY1905" i="1"/>
  <c r="BY1897" i="1"/>
  <c r="BY1889" i="1"/>
  <c r="BY1881" i="1"/>
  <c r="BY1871" i="1"/>
  <c r="BY1863" i="1"/>
  <c r="BY1854" i="1"/>
  <c r="BY1846" i="1"/>
  <c r="BY1878" i="1"/>
  <c r="BY1833" i="1"/>
  <c r="BY1825" i="1"/>
  <c r="BY1816" i="1"/>
  <c r="BY1806" i="1"/>
  <c r="BY1796" i="1"/>
  <c r="BY1787" i="1"/>
  <c r="BY1777" i="1"/>
  <c r="BY1765" i="1"/>
  <c r="BY1748" i="1"/>
  <c r="BY1732" i="1"/>
  <c r="BY1715" i="1"/>
  <c r="BY1697" i="1"/>
  <c r="BY1673" i="1"/>
  <c r="BY1642" i="1"/>
  <c r="BY1610" i="1"/>
  <c r="BY1577" i="1"/>
  <c r="BY2176" i="1"/>
  <c r="BY2166" i="1"/>
  <c r="BY2158" i="1"/>
  <c r="BY2150" i="1"/>
  <c r="BY2142" i="1"/>
  <c r="BY2134" i="1"/>
  <c r="BY2126" i="1"/>
  <c r="BY2118" i="1"/>
  <c r="BY2110" i="1"/>
  <c r="BY2102" i="1"/>
  <c r="BY2096" i="1"/>
  <c r="BY2087" i="1"/>
  <c r="BY2080" i="1"/>
  <c r="BY2072" i="1"/>
  <c r="BY2064" i="1"/>
  <c r="BY2056" i="1"/>
  <c r="BY2048" i="1"/>
  <c r="BY2040" i="1"/>
  <c r="BY2032" i="1"/>
  <c r="BY2024" i="1"/>
  <c r="BY2015" i="1"/>
  <c r="BY2007" i="1"/>
  <c r="BY1999" i="1"/>
  <c r="BY1992" i="1"/>
  <c r="BY1984" i="1"/>
  <c r="BY1976" i="1"/>
  <c r="BY1968" i="1"/>
  <c r="BY1960" i="1"/>
  <c r="BY1952" i="1"/>
  <c r="BY1944" i="1"/>
  <c r="BY1936" i="1"/>
  <c r="BY1927" i="1"/>
  <c r="BY1918" i="1"/>
  <c r="BY1910" i="1"/>
  <c r="BY1904" i="1"/>
  <c r="BY1896" i="1"/>
  <c r="BY1888" i="1"/>
  <c r="BY1880" i="1"/>
  <c r="BY1870" i="1"/>
  <c r="BY1861" i="1"/>
  <c r="BY1853" i="1"/>
  <c r="BY1845" i="1"/>
  <c r="BY1877" i="1"/>
  <c r="BY1832" i="1"/>
  <c r="BY1824" i="1"/>
  <c r="BY1814" i="1"/>
  <c r="BY1805" i="1"/>
  <c r="BY1795" i="1"/>
  <c r="BY1786" i="1"/>
  <c r="BY1776" i="1"/>
  <c r="BY1763" i="1"/>
  <c r="BY1746" i="1"/>
  <c r="BY1730" i="1"/>
  <c r="BY1714" i="1"/>
  <c r="BY1691" i="1"/>
  <c r="BY1672" i="1"/>
  <c r="BY1641" i="1"/>
  <c r="BY1609" i="1"/>
  <c r="BY1569" i="1"/>
  <c r="BY2247" i="1"/>
  <c r="BY2238" i="1"/>
  <c r="BY2230" i="1"/>
  <c r="BY2222" i="1"/>
  <c r="BY2214" i="1"/>
  <c r="BY2205" i="1"/>
  <c r="BY2197" i="1"/>
  <c r="BY2246" i="1"/>
  <c r="BY2183" i="1"/>
  <c r="BY2174" i="1"/>
  <c r="BY2165" i="1"/>
  <c r="BY2157" i="1"/>
  <c r="BY2149" i="1"/>
  <c r="BY2141" i="1"/>
  <c r="BY2133" i="1"/>
  <c r="BY2125" i="1"/>
  <c r="BY2117" i="1"/>
  <c r="BY2109" i="1"/>
  <c r="BY2101" i="1"/>
  <c r="BY2095" i="1"/>
  <c r="BY2085" i="1"/>
  <c r="BY2079" i="1"/>
  <c r="BY2071" i="1"/>
  <c r="BY2063" i="1"/>
  <c r="BY2055" i="1"/>
  <c r="BY2047" i="1"/>
  <c r="BY2039" i="1"/>
  <c r="BY2031" i="1"/>
  <c r="BY2023" i="1"/>
  <c r="BY2014" i="1"/>
  <c r="BY2006" i="1"/>
  <c r="BY1998" i="1"/>
  <c r="BY1991" i="1"/>
  <c r="BY1983" i="1"/>
  <c r="BY1975" i="1"/>
  <c r="BY1967" i="1"/>
  <c r="BY1959" i="1"/>
  <c r="BY1951" i="1"/>
  <c r="BY1943" i="1"/>
  <c r="BY1935" i="1"/>
  <c r="BY1926" i="1"/>
  <c r="BY1917" i="1"/>
  <c r="BY1909" i="1"/>
  <c r="BY1903" i="1"/>
  <c r="BY1895" i="1"/>
  <c r="BY1887" i="1"/>
  <c r="BY1879" i="1"/>
  <c r="BY1869" i="1"/>
  <c r="BY1860" i="1"/>
  <c r="BY1852" i="1"/>
  <c r="BY1844" i="1"/>
  <c r="BY1839" i="1"/>
  <c r="BY1831" i="1"/>
  <c r="BY1822" i="1"/>
  <c r="BY1813" i="1"/>
  <c r="BY1804" i="1"/>
  <c r="BY1794" i="1"/>
  <c r="BY1785" i="1"/>
  <c r="BY1799" i="1"/>
  <c r="BY1762" i="1"/>
  <c r="BY1745" i="1"/>
  <c r="BY1729" i="1"/>
  <c r="BY1713" i="1"/>
  <c r="BY1690" i="1"/>
  <c r="BY1664" i="1"/>
  <c r="BY1634" i="1"/>
  <c r="BY1602" i="1"/>
  <c r="BY1561" i="1"/>
  <c r="BY2124" i="1"/>
  <c r="BY2116" i="1"/>
  <c r="BY2108" i="1"/>
  <c r="BY2100" i="1"/>
  <c r="BY2094" i="1"/>
  <c r="BY2090" i="1"/>
  <c r="BY2078" i="1"/>
  <c r="BY2070" i="1"/>
  <c r="BY2062" i="1"/>
  <c r="BY2054" i="1"/>
  <c r="BY2046" i="1"/>
  <c r="BY2038" i="1"/>
  <c r="BY2030" i="1"/>
  <c r="BY2022" i="1"/>
  <c r="BY2013" i="1"/>
  <c r="BY2005" i="1"/>
  <c r="BY1997" i="1"/>
  <c r="BY1990" i="1"/>
  <c r="BY1982" i="1"/>
  <c r="BY1974" i="1"/>
  <c r="BY1966" i="1"/>
  <c r="BY1958" i="1"/>
  <c r="BY1950" i="1"/>
  <c r="BY1942" i="1"/>
  <c r="BY1934" i="1"/>
  <c r="BY1924" i="1"/>
  <c r="BY1916" i="1"/>
  <c r="BY1925" i="1"/>
  <c r="BY1902" i="1"/>
  <c r="BY1894" i="1"/>
  <c r="BY1886" i="1"/>
  <c r="BY1876" i="1"/>
  <c r="BY1868" i="1"/>
  <c r="BY1859" i="1"/>
  <c r="BY1851" i="1"/>
  <c r="BY1843" i="1"/>
  <c r="BY1838" i="1"/>
  <c r="BY1830" i="1"/>
  <c r="BY1821" i="1"/>
  <c r="BY1812" i="1"/>
  <c r="BY1803" i="1"/>
  <c r="BY1793" i="1"/>
  <c r="BY1784" i="1"/>
  <c r="BY1773" i="1"/>
  <c r="BY1761" i="1"/>
  <c r="BY1744" i="1"/>
  <c r="BY1728" i="1"/>
  <c r="BY1707" i="1"/>
  <c r="BY1689" i="1"/>
  <c r="BY1670" i="1"/>
  <c r="BY1633" i="1"/>
  <c r="BY1601" i="1"/>
  <c r="BY7" i="1"/>
  <c r="BY15" i="1"/>
  <c r="BY23" i="1"/>
  <c r="BY31" i="1"/>
  <c r="BY39" i="1"/>
  <c r="BY47" i="1"/>
  <c r="BY55" i="1"/>
  <c r="BY63" i="1"/>
  <c r="BY71" i="1"/>
  <c r="BY79" i="1"/>
  <c r="BY87" i="1"/>
  <c r="BY95" i="1"/>
  <c r="BY103" i="1"/>
  <c r="BY111" i="1"/>
  <c r="BY119" i="1"/>
  <c r="BY127" i="1"/>
  <c r="BY135" i="1"/>
  <c r="BY143" i="1"/>
  <c r="BY151" i="1"/>
  <c r="BY159" i="1"/>
  <c r="BY167" i="1"/>
  <c r="BY175" i="1"/>
  <c r="BY183" i="1"/>
  <c r="BY191" i="1"/>
  <c r="BY199" i="1"/>
  <c r="BY207" i="1"/>
  <c r="BY215" i="1"/>
  <c r="BY223" i="1"/>
  <c r="BY231" i="1"/>
  <c r="BY239" i="1"/>
  <c r="BY247" i="1"/>
  <c r="BY255" i="1"/>
  <c r="BY263" i="1"/>
  <c r="BY271" i="1"/>
  <c r="BY279" i="1"/>
  <c r="BY287" i="1"/>
  <c r="BY295" i="1"/>
  <c r="BY303" i="1"/>
  <c r="BY311" i="1"/>
  <c r="BY319" i="1"/>
  <c r="BY327" i="1"/>
  <c r="BY335" i="1"/>
  <c r="BY343" i="1"/>
  <c r="BY351" i="1"/>
  <c r="BY359" i="1"/>
  <c r="BY367" i="1"/>
  <c r="BY375" i="1"/>
  <c r="BY383" i="1"/>
  <c r="BY391" i="1"/>
  <c r="BY399" i="1"/>
  <c r="BY407" i="1"/>
  <c r="BY415" i="1"/>
  <c r="BY423" i="1"/>
  <c r="BY431" i="1"/>
  <c r="BY439" i="1"/>
  <c r="BY447" i="1"/>
  <c r="BY455" i="1"/>
  <c r="BY463" i="1"/>
  <c r="BY471" i="1"/>
  <c r="BY479" i="1"/>
  <c r="BY487" i="1"/>
  <c r="BY495" i="1"/>
  <c r="BY503" i="1"/>
  <c r="BY511" i="1"/>
  <c r="BY519" i="1"/>
  <c r="BY527" i="1"/>
  <c r="BY535" i="1"/>
  <c r="BY543" i="1"/>
  <c r="BY551" i="1"/>
  <c r="BY559" i="1"/>
  <c r="BY567" i="1"/>
  <c r="BY575" i="1"/>
  <c r="BY582" i="1"/>
  <c r="BY591" i="1"/>
  <c r="BY599" i="1"/>
  <c r="BY607" i="1"/>
  <c r="BY615" i="1"/>
  <c r="BY623" i="1"/>
  <c r="BY8" i="1"/>
  <c r="BY16" i="1"/>
  <c r="BY24" i="1"/>
  <c r="BY32" i="1"/>
  <c r="BY40" i="1"/>
  <c r="BY48" i="1"/>
  <c r="BY56" i="1"/>
  <c r="BY64" i="1"/>
  <c r="BY72" i="1"/>
  <c r="BY80" i="1"/>
  <c r="BY88" i="1"/>
  <c r="BY96" i="1"/>
  <c r="BY104" i="1"/>
  <c r="BY112" i="1"/>
  <c r="BY120" i="1"/>
  <c r="BY128" i="1"/>
  <c r="BY136" i="1"/>
  <c r="BY144" i="1"/>
  <c r="BY152" i="1"/>
  <c r="BY160" i="1"/>
  <c r="BY168" i="1"/>
  <c r="BY176" i="1"/>
  <c r="BY184" i="1"/>
  <c r="BY192" i="1"/>
  <c r="BY200" i="1"/>
  <c r="BY208" i="1"/>
  <c r="BY216" i="1"/>
  <c r="BY224" i="1"/>
  <c r="BY232" i="1"/>
  <c r="BY240" i="1"/>
  <c r="BY248" i="1"/>
  <c r="BY256" i="1"/>
  <c r="BY264" i="1"/>
  <c r="BY272" i="1"/>
  <c r="BY280" i="1"/>
  <c r="BY288" i="1"/>
  <c r="BY296" i="1"/>
  <c r="BY304" i="1"/>
  <c r="BY312" i="1"/>
  <c r="BY320" i="1"/>
  <c r="BY328" i="1"/>
  <c r="BY336" i="1"/>
  <c r="BY344" i="1"/>
  <c r="BY352" i="1"/>
  <c r="BY360" i="1"/>
  <c r="BY368" i="1"/>
  <c r="BY376" i="1"/>
  <c r="BY384" i="1"/>
  <c r="BY392" i="1"/>
  <c r="BY400" i="1"/>
  <c r="BY408" i="1"/>
  <c r="BY416" i="1"/>
  <c r="BY424" i="1"/>
  <c r="BY432" i="1"/>
  <c r="BY440" i="1"/>
  <c r="BY448" i="1"/>
  <c r="BY456" i="1"/>
  <c r="BY464" i="1"/>
  <c r="BY472" i="1"/>
  <c r="BY480" i="1"/>
  <c r="BY488" i="1"/>
  <c r="BY496" i="1"/>
  <c r="BY504" i="1"/>
  <c r="BY512" i="1"/>
  <c r="BY520" i="1"/>
  <c r="BY528" i="1"/>
  <c r="BY536" i="1"/>
  <c r="BY544" i="1"/>
  <c r="BY552" i="1"/>
  <c r="BY560" i="1"/>
  <c r="BY568" i="1"/>
  <c r="BY576" i="1"/>
  <c r="BY583" i="1"/>
  <c r="BY592" i="1"/>
  <c r="BY600" i="1"/>
  <c r="BY608" i="1"/>
  <c r="BY616" i="1"/>
  <c r="BY9" i="1"/>
  <c r="BY17" i="1"/>
  <c r="BY25" i="1"/>
  <c r="BY33" i="1"/>
  <c r="BY41" i="1"/>
  <c r="BY49" i="1"/>
  <c r="BY57" i="1"/>
  <c r="BY65" i="1"/>
  <c r="BY73" i="1"/>
  <c r="BY81" i="1"/>
  <c r="BY89" i="1"/>
  <c r="BY97" i="1"/>
  <c r="BY105" i="1"/>
  <c r="BY113" i="1"/>
  <c r="BY121" i="1"/>
  <c r="BY129" i="1"/>
  <c r="BY137" i="1"/>
  <c r="BY145" i="1"/>
  <c r="BY153" i="1"/>
  <c r="BY161" i="1"/>
  <c r="BY169" i="1"/>
  <c r="BY177" i="1"/>
  <c r="BY185" i="1"/>
  <c r="BY193" i="1"/>
  <c r="BY201" i="1"/>
  <c r="BY209" i="1"/>
  <c r="BY217" i="1"/>
  <c r="BY225" i="1"/>
  <c r="BY233" i="1"/>
  <c r="BY241" i="1"/>
  <c r="BY249" i="1"/>
  <c r="BY257" i="1"/>
  <c r="BY265" i="1"/>
  <c r="BY273" i="1"/>
  <c r="BY281" i="1"/>
  <c r="BY289" i="1"/>
  <c r="BY297" i="1"/>
  <c r="BY305" i="1"/>
  <c r="BY313" i="1"/>
  <c r="BY321" i="1"/>
  <c r="BY329" i="1"/>
  <c r="BY337" i="1"/>
  <c r="BY345" i="1"/>
  <c r="BY353" i="1"/>
  <c r="BY361" i="1"/>
  <c r="BY369" i="1"/>
  <c r="BY377" i="1"/>
  <c r="BY385" i="1"/>
  <c r="BY393" i="1"/>
  <c r="BY401" i="1"/>
  <c r="BY409" i="1"/>
  <c r="BY417" i="1"/>
  <c r="BY425" i="1"/>
  <c r="BY433" i="1"/>
  <c r="BY441" i="1"/>
  <c r="BY449" i="1"/>
  <c r="BY457" i="1"/>
  <c r="BY465" i="1"/>
  <c r="BY473" i="1"/>
  <c r="BY481" i="1"/>
  <c r="BY489" i="1"/>
  <c r="BY497" i="1"/>
  <c r="BY505" i="1"/>
  <c r="BY513" i="1"/>
  <c r="BY521" i="1"/>
  <c r="BY529" i="1"/>
  <c r="BY537" i="1"/>
  <c r="BY545" i="1"/>
  <c r="BY553" i="1"/>
  <c r="BY561" i="1"/>
  <c r="BY569" i="1"/>
  <c r="BY577" i="1"/>
  <c r="BY585" i="1"/>
  <c r="BY593" i="1"/>
  <c r="BY601" i="1"/>
  <c r="BY609" i="1"/>
  <c r="BY617" i="1"/>
  <c r="BY625" i="1"/>
  <c r="BY634" i="1"/>
  <c r="BY640" i="1"/>
  <c r="BY649" i="1"/>
  <c r="BY10" i="1"/>
  <c r="BY18" i="1"/>
  <c r="BY26" i="1"/>
  <c r="BY34" i="1"/>
  <c r="BY42" i="1"/>
  <c r="BY50" i="1"/>
  <c r="BY58" i="1"/>
  <c r="BY66" i="1"/>
  <c r="BY74" i="1"/>
  <c r="BY82" i="1"/>
  <c r="BY90" i="1"/>
  <c r="BY98" i="1"/>
  <c r="BY106" i="1"/>
  <c r="BY114" i="1"/>
  <c r="BY122" i="1"/>
  <c r="BY130" i="1"/>
  <c r="BY138" i="1"/>
  <c r="BY146" i="1"/>
  <c r="BY154" i="1"/>
  <c r="BY162" i="1"/>
  <c r="BY170" i="1"/>
  <c r="BY178" i="1"/>
  <c r="BY186" i="1"/>
  <c r="BY194" i="1"/>
  <c r="BY202" i="1"/>
  <c r="BY210" i="1"/>
  <c r="BY218" i="1"/>
  <c r="BY226" i="1"/>
  <c r="BY234" i="1"/>
  <c r="BY242" i="1"/>
  <c r="BY250" i="1"/>
  <c r="BY258" i="1"/>
  <c r="BY266" i="1"/>
  <c r="BY274" i="1"/>
  <c r="BY282" i="1"/>
  <c r="BY290" i="1"/>
  <c r="BY298" i="1"/>
  <c r="BY306" i="1"/>
  <c r="BY314" i="1"/>
  <c r="BY322" i="1"/>
  <c r="BY330" i="1"/>
  <c r="BY338" i="1"/>
  <c r="BY346" i="1"/>
  <c r="BY354" i="1"/>
  <c r="BY362" i="1"/>
  <c r="BY370" i="1"/>
  <c r="BY378" i="1"/>
  <c r="BY386" i="1"/>
  <c r="BY394" i="1"/>
  <c r="BY402" i="1"/>
  <c r="BY410" i="1"/>
  <c r="BY418" i="1"/>
  <c r="BY426" i="1"/>
  <c r="BY434" i="1"/>
  <c r="BY442" i="1"/>
  <c r="BY450" i="1"/>
  <c r="BY458" i="1"/>
  <c r="BY466" i="1"/>
  <c r="BY474" i="1"/>
  <c r="BY482" i="1"/>
  <c r="BY490" i="1"/>
  <c r="BY498" i="1"/>
  <c r="BY506" i="1"/>
  <c r="BY514" i="1"/>
  <c r="BY522" i="1"/>
  <c r="BY530" i="1"/>
  <c r="BY538" i="1"/>
  <c r="BY546" i="1"/>
  <c r="BY554" i="1"/>
  <c r="BY562" i="1"/>
  <c r="BY570" i="1"/>
  <c r="BY578" i="1"/>
  <c r="BY586" i="1"/>
  <c r="BY594" i="1"/>
  <c r="BY602" i="1"/>
  <c r="BY610" i="1"/>
  <c r="BY618" i="1"/>
  <c r="BY626" i="1"/>
  <c r="BY636" i="1"/>
  <c r="BY641" i="1"/>
  <c r="BY650" i="1"/>
  <c r="BY658" i="1"/>
  <c r="BY666" i="1"/>
  <c r="BY674" i="1"/>
  <c r="BY682" i="1"/>
  <c r="BY11" i="1"/>
  <c r="BY19" i="1"/>
  <c r="BY27" i="1"/>
  <c r="BY35" i="1"/>
  <c r="BY43" i="1"/>
  <c r="BY51" i="1"/>
  <c r="BY59" i="1"/>
  <c r="BY67" i="1"/>
  <c r="BY75" i="1"/>
  <c r="BY83" i="1"/>
  <c r="BY91" i="1"/>
  <c r="BY99" i="1"/>
  <c r="BY107" i="1"/>
  <c r="BY115" i="1"/>
  <c r="BY123" i="1"/>
  <c r="BY131" i="1"/>
  <c r="BY139" i="1"/>
  <c r="BY147" i="1"/>
  <c r="BY155" i="1"/>
  <c r="BY163" i="1"/>
  <c r="BY171" i="1"/>
  <c r="BY179" i="1"/>
  <c r="BY187" i="1"/>
  <c r="BY195" i="1"/>
  <c r="BY203" i="1"/>
  <c r="BY211" i="1"/>
  <c r="BY219" i="1"/>
  <c r="BY227" i="1"/>
  <c r="BY235" i="1"/>
  <c r="BY243" i="1"/>
  <c r="BY251" i="1"/>
  <c r="BY259" i="1"/>
  <c r="BY267" i="1"/>
  <c r="BY275" i="1"/>
  <c r="BY283" i="1"/>
  <c r="BY291" i="1"/>
  <c r="BY299" i="1"/>
  <c r="BY307" i="1"/>
  <c r="BY315" i="1"/>
  <c r="BY323" i="1"/>
  <c r="BY331" i="1"/>
  <c r="BY339" i="1"/>
  <c r="BY347" i="1"/>
  <c r="BY355" i="1"/>
  <c r="BY363" i="1"/>
  <c r="BY371" i="1"/>
  <c r="BY379" i="1"/>
  <c r="BY387" i="1"/>
  <c r="BY395" i="1"/>
  <c r="BY403" i="1"/>
  <c r="BY411" i="1"/>
  <c r="BY419" i="1"/>
  <c r="BY427" i="1"/>
  <c r="BY435" i="1"/>
  <c r="BY443" i="1"/>
  <c r="BY451" i="1"/>
  <c r="BY459" i="1"/>
  <c r="BY467" i="1"/>
  <c r="BY475" i="1"/>
  <c r="BY483" i="1"/>
  <c r="BY491" i="1"/>
  <c r="BY499" i="1"/>
  <c r="BY507" i="1"/>
  <c r="BY515" i="1"/>
  <c r="BY523" i="1"/>
  <c r="BY531" i="1"/>
  <c r="BY539" i="1"/>
  <c r="BY547" i="1"/>
  <c r="BY555" i="1"/>
  <c r="BY563" i="1"/>
  <c r="BY571" i="1"/>
  <c r="BY579" i="1"/>
  <c r="BY587" i="1"/>
  <c r="BY595" i="1"/>
  <c r="BY603" i="1"/>
  <c r="BY611" i="1"/>
  <c r="BY619" i="1"/>
  <c r="BY627" i="1"/>
  <c r="BY631" i="1"/>
  <c r="BY643" i="1"/>
  <c r="BY651" i="1"/>
  <c r="BY659" i="1"/>
  <c r="BY12" i="1"/>
  <c r="BY20" i="1"/>
  <c r="BY28" i="1"/>
  <c r="BY36" i="1"/>
  <c r="BY44" i="1"/>
  <c r="BY52" i="1"/>
  <c r="BY60" i="1"/>
  <c r="BY68" i="1"/>
  <c r="BY76" i="1"/>
  <c r="BY84" i="1"/>
  <c r="BY92" i="1"/>
  <c r="BY100" i="1"/>
  <c r="BY108" i="1"/>
  <c r="BY116" i="1"/>
  <c r="BY124" i="1"/>
  <c r="BY132" i="1"/>
  <c r="BY140" i="1"/>
  <c r="BY148" i="1"/>
  <c r="BY156" i="1"/>
  <c r="BY164" i="1"/>
  <c r="BY172" i="1"/>
  <c r="BY180" i="1"/>
  <c r="BY188" i="1"/>
  <c r="BY196" i="1"/>
  <c r="BY204" i="1"/>
  <c r="BY212" i="1"/>
  <c r="BY220" i="1"/>
  <c r="BY228" i="1"/>
  <c r="BY236" i="1"/>
  <c r="BY244" i="1"/>
  <c r="BY252" i="1"/>
  <c r="BY260" i="1"/>
  <c r="BY268" i="1"/>
  <c r="BY276" i="1"/>
  <c r="BY284" i="1"/>
  <c r="BY292" i="1"/>
  <c r="BY300" i="1"/>
  <c r="BY308" i="1"/>
  <c r="BY316" i="1"/>
  <c r="BY324" i="1"/>
  <c r="BY332" i="1"/>
  <c r="BY340" i="1"/>
  <c r="BY348" i="1"/>
  <c r="BY356" i="1"/>
  <c r="BY364" i="1"/>
  <c r="BY372" i="1"/>
  <c r="BY380" i="1"/>
  <c r="BY388" i="1"/>
  <c r="BY396" i="1"/>
  <c r="BY404" i="1"/>
  <c r="BY412" i="1"/>
  <c r="BY420" i="1"/>
  <c r="BY428" i="1"/>
  <c r="BY436" i="1"/>
  <c r="BY444" i="1"/>
  <c r="BY452" i="1"/>
  <c r="BY460" i="1"/>
  <c r="BY468" i="1"/>
  <c r="BY476" i="1"/>
  <c r="BY484" i="1"/>
  <c r="BY492" i="1"/>
  <c r="BY500" i="1"/>
  <c r="BY508" i="1"/>
  <c r="BY516" i="1"/>
  <c r="BY13" i="1"/>
  <c r="BY21" i="1"/>
  <c r="BY29" i="1"/>
  <c r="BY37" i="1"/>
  <c r="BY45" i="1"/>
  <c r="BY53" i="1"/>
  <c r="BY61" i="1"/>
  <c r="BY69" i="1"/>
  <c r="BY77" i="1"/>
  <c r="BY85" i="1"/>
  <c r="BY93" i="1"/>
  <c r="BY101" i="1"/>
  <c r="BY109" i="1"/>
  <c r="BY117" i="1"/>
  <c r="BY125" i="1"/>
  <c r="BY133" i="1"/>
  <c r="BY141" i="1"/>
  <c r="BY149" i="1"/>
  <c r="BY157" i="1"/>
  <c r="BY165" i="1"/>
  <c r="BY173" i="1"/>
  <c r="BY181" i="1"/>
  <c r="BY189" i="1"/>
  <c r="BY197" i="1"/>
  <c r="BY205" i="1"/>
  <c r="BY213" i="1"/>
  <c r="BY221" i="1"/>
  <c r="BY229" i="1"/>
  <c r="BY237" i="1"/>
  <c r="BY245" i="1"/>
  <c r="BY253" i="1"/>
  <c r="BY261" i="1"/>
  <c r="BY269" i="1"/>
  <c r="BY277" i="1"/>
  <c r="BY285" i="1"/>
  <c r="BY293" i="1"/>
  <c r="BY301" i="1"/>
  <c r="BY309" i="1"/>
  <c r="BY317" i="1"/>
  <c r="BY325" i="1"/>
  <c r="BY333" i="1"/>
  <c r="BY341" i="1"/>
  <c r="BY349" i="1"/>
  <c r="BY357" i="1"/>
  <c r="BY365" i="1"/>
  <c r="BY373" i="1"/>
  <c r="BY381" i="1"/>
  <c r="BY14" i="1"/>
  <c r="BY22" i="1"/>
  <c r="BY30" i="1"/>
  <c r="BY38" i="1"/>
  <c r="BY46" i="1"/>
  <c r="BY54" i="1"/>
  <c r="BY62" i="1"/>
  <c r="BY70" i="1"/>
  <c r="BY78" i="1"/>
  <c r="BY86" i="1"/>
  <c r="BY94" i="1"/>
  <c r="BY102" i="1"/>
  <c r="BY110" i="1"/>
  <c r="BY118" i="1"/>
  <c r="BY126" i="1"/>
  <c r="BY134" i="1"/>
  <c r="BY142" i="1"/>
  <c r="BY150" i="1"/>
  <c r="BY158" i="1"/>
  <c r="BY166" i="1"/>
  <c r="BY174" i="1"/>
  <c r="BY182" i="1"/>
  <c r="BY190" i="1"/>
  <c r="BY198" i="1"/>
  <c r="BY206" i="1"/>
  <c r="BY214" i="1"/>
  <c r="BY222" i="1"/>
  <c r="BY230" i="1"/>
  <c r="BY238" i="1"/>
  <c r="BY246" i="1"/>
  <c r="BY254" i="1"/>
  <c r="BY262" i="1"/>
  <c r="BY270" i="1"/>
  <c r="BY278" i="1"/>
  <c r="BY286" i="1"/>
  <c r="BY294" i="1"/>
  <c r="BY302" i="1"/>
  <c r="BY310" i="1"/>
  <c r="BY318" i="1"/>
  <c r="BY326" i="1"/>
  <c r="BY334" i="1"/>
  <c r="BY342" i="1"/>
  <c r="BY350" i="1"/>
  <c r="BY358" i="1"/>
  <c r="BY366" i="1"/>
  <c r="BY374" i="1"/>
  <c r="BY382" i="1"/>
  <c r="BY389" i="1"/>
  <c r="BY421" i="1"/>
  <c r="BY453" i="1"/>
  <c r="BY485" i="1"/>
  <c r="BY517" i="1"/>
  <c r="BY540" i="1"/>
  <c r="BY558" i="1"/>
  <c r="BY581" i="1"/>
  <c r="BY604" i="1"/>
  <c r="BY622" i="1"/>
  <c r="BY637" i="1"/>
  <c r="BY648" i="1"/>
  <c r="BY661" i="1"/>
  <c r="BY670" i="1"/>
  <c r="BY679" i="1"/>
  <c r="BY688" i="1"/>
  <c r="BY696" i="1"/>
  <c r="BY704" i="1"/>
  <c r="BY712" i="1"/>
  <c r="BY720" i="1"/>
  <c r="BY728" i="1"/>
  <c r="BY735" i="1"/>
  <c r="BY744" i="1"/>
  <c r="BY753" i="1"/>
  <c r="BY759" i="1"/>
  <c r="BY768" i="1"/>
  <c r="BY776" i="1"/>
  <c r="BY784" i="1"/>
  <c r="BY792" i="1"/>
  <c r="BY800" i="1"/>
  <c r="BY808" i="1"/>
  <c r="BY816" i="1"/>
  <c r="BY824" i="1"/>
  <c r="BY832" i="1"/>
  <c r="BY840" i="1"/>
  <c r="BY848" i="1"/>
  <c r="BY856" i="1"/>
  <c r="BY864" i="1"/>
  <c r="BY872" i="1"/>
  <c r="BY880" i="1"/>
  <c r="BY888" i="1"/>
  <c r="BY896" i="1"/>
  <c r="BY904" i="1"/>
  <c r="BY912" i="1"/>
  <c r="BY920" i="1"/>
  <c r="BY928" i="1"/>
  <c r="BY936" i="1"/>
  <c r="BY944" i="1"/>
  <c r="BY952" i="1"/>
  <c r="BY960" i="1"/>
  <c r="BY967" i="1"/>
  <c r="BY976" i="1"/>
  <c r="BY984" i="1"/>
  <c r="BY991" i="1"/>
  <c r="BY1000" i="1"/>
  <c r="BY1008" i="1"/>
  <c r="BY1016" i="1"/>
  <c r="BY1024" i="1"/>
  <c r="BY1032" i="1"/>
  <c r="BY1040" i="1"/>
  <c r="BY1049" i="1"/>
  <c r="BY1056" i="1"/>
  <c r="BY1064" i="1"/>
  <c r="BY1073" i="1"/>
  <c r="BY1080" i="1"/>
  <c r="BY1088" i="1"/>
  <c r="BY1096" i="1"/>
  <c r="BY1104" i="1"/>
  <c r="BY1112" i="1"/>
  <c r="BY1120" i="1"/>
  <c r="BY1128" i="1"/>
  <c r="BY1136" i="1"/>
  <c r="BY1144" i="1"/>
  <c r="BY1152" i="1"/>
  <c r="BY1160" i="1"/>
  <c r="BY1168" i="1"/>
  <c r="BY1176" i="1"/>
  <c r="BY1184" i="1"/>
  <c r="BY1192" i="1"/>
  <c r="BY1200" i="1"/>
  <c r="BY1208" i="1"/>
  <c r="BY1216" i="1"/>
  <c r="BY1224" i="1"/>
  <c r="BY1232" i="1"/>
  <c r="BY390" i="1"/>
  <c r="BY422" i="1"/>
  <c r="BY454" i="1"/>
  <c r="BY486" i="1"/>
  <c r="BY518" i="1"/>
  <c r="BY541" i="1"/>
  <c r="BY564" i="1"/>
  <c r="BY584" i="1"/>
  <c r="BY605" i="1"/>
  <c r="BY624" i="1"/>
  <c r="BY638" i="1"/>
  <c r="BY652" i="1"/>
  <c r="BY662" i="1"/>
  <c r="BY671" i="1"/>
  <c r="BY680" i="1"/>
  <c r="BY689" i="1"/>
  <c r="BY697" i="1"/>
  <c r="BY705" i="1"/>
  <c r="BY713" i="1"/>
  <c r="BY721" i="1"/>
  <c r="BY729" i="1"/>
  <c r="BY736" i="1"/>
  <c r="BY745" i="1"/>
  <c r="BY754" i="1"/>
  <c r="BY760" i="1"/>
  <c r="BY769" i="1"/>
  <c r="BY777" i="1"/>
  <c r="BY785" i="1"/>
  <c r="BY793" i="1"/>
  <c r="BY801" i="1"/>
  <c r="BY809" i="1"/>
  <c r="BY817" i="1"/>
  <c r="BY825" i="1"/>
  <c r="BY833" i="1"/>
  <c r="BY841" i="1"/>
  <c r="BY849" i="1"/>
  <c r="BY857" i="1"/>
  <c r="BY865" i="1"/>
  <c r="BY873" i="1"/>
  <c r="BY881" i="1"/>
  <c r="BY889" i="1"/>
  <c r="BY897" i="1"/>
  <c r="BY905" i="1"/>
  <c r="BY913" i="1"/>
  <c r="BY921" i="1"/>
  <c r="BY929" i="1"/>
  <c r="BY937" i="1"/>
  <c r="BY945" i="1"/>
  <c r="BY953" i="1"/>
  <c r="BY973" i="1"/>
  <c r="BY968" i="1"/>
  <c r="BY977" i="1"/>
  <c r="BY985" i="1"/>
  <c r="BY992" i="1"/>
  <c r="BY1001" i="1"/>
  <c r="BY1009" i="1"/>
  <c r="BY1017" i="1"/>
  <c r="BY1025" i="1"/>
  <c r="BY1033" i="1"/>
  <c r="BY1041" i="1"/>
  <c r="BY1050" i="1"/>
  <c r="BY1057" i="1"/>
  <c r="BY1065" i="1"/>
  <c r="BY1074" i="1"/>
  <c r="BY1081" i="1"/>
  <c r="BY1089" i="1"/>
  <c r="BY1097" i="1"/>
  <c r="BY1105" i="1"/>
  <c r="BY1113" i="1"/>
  <c r="BY1121" i="1"/>
  <c r="BY1129" i="1"/>
  <c r="BY1137" i="1"/>
  <c r="BY1145" i="1"/>
  <c r="BY1153" i="1"/>
  <c r="BY1161" i="1"/>
  <c r="BY1169" i="1"/>
  <c r="BY1177" i="1"/>
  <c r="BY1185" i="1"/>
  <c r="BY1193" i="1"/>
  <c r="BY1201" i="1"/>
  <c r="BY1209" i="1"/>
  <c r="BY1217" i="1"/>
  <c r="BY1225" i="1"/>
  <c r="BY1233" i="1"/>
  <c r="BY1241" i="1"/>
  <c r="BY397" i="1"/>
  <c r="BY429" i="1"/>
  <c r="BY461" i="1"/>
  <c r="BY493" i="1"/>
  <c r="BY524" i="1"/>
  <c r="BY542" i="1"/>
  <c r="BY565" i="1"/>
  <c r="BY588" i="1"/>
  <c r="BY606" i="1"/>
  <c r="BY628" i="1"/>
  <c r="BY639" i="1"/>
  <c r="BY653" i="1"/>
  <c r="BY663" i="1"/>
  <c r="BY672" i="1"/>
  <c r="BY681" i="1"/>
  <c r="BY690" i="1"/>
  <c r="BY698" i="1"/>
  <c r="BY706" i="1"/>
  <c r="BY714" i="1"/>
  <c r="BY722" i="1"/>
  <c r="BY730" i="1"/>
  <c r="BY737" i="1"/>
  <c r="BY746" i="1"/>
  <c r="BY755" i="1"/>
  <c r="BY761" i="1"/>
  <c r="BY770" i="1"/>
  <c r="BY778" i="1"/>
  <c r="BY786" i="1"/>
  <c r="BY794" i="1"/>
  <c r="BY802" i="1"/>
  <c r="BY810" i="1"/>
  <c r="BY818" i="1"/>
  <c r="BY826" i="1"/>
  <c r="BY834" i="1"/>
  <c r="BY842" i="1"/>
  <c r="BY850" i="1"/>
  <c r="BY858" i="1"/>
  <c r="BY866" i="1"/>
  <c r="BY874" i="1"/>
  <c r="BY882" i="1"/>
  <c r="BY890" i="1"/>
  <c r="BY898" i="1"/>
  <c r="BY906" i="1"/>
  <c r="BY915" i="1"/>
  <c r="BY922" i="1"/>
  <c r="BY930" i="1"/>
  <c r="BY938" i="1"/>
  <c r="BY946" i="1"/>
  <c r="BY954" i="1"/>
  <c r="BY961" i="1"/>
  <c r="BY969" i="1"/>
  <c r="BY978" i="1"/>
  <c r="BY986" i="1"/>
  <c r="BY993" i="1"/>
  <c r="BY1002" i="1"/>
  <c r="BY1010" i="1"/>
  <c r="BY1018" i="1"/>
  <c r="BY1026" i="1"/>
  <c r="BY1034" i="1"/>
  <c r="BY1042" i="1"/>
  <c r="BY1046" i="1"/>
  <c r="BY1058" i="1"/>
  <c r="BY1066" i="1"/>
  <c r="BY1075" i="1"/>
  <c r="BY1082" i="1"/>
  <c r="BY1090" i="1"/>
  <c r="BY1098" i="1"/>
  <c r="BY1106" i="1"/>
  <c r="BY398" i="1"/>
  <c r="BY430" i="1"/>
  <c r="BY462" i="1"/>
  <c r="BY494" i="1"/>
  <c r="BY525" i="1"/>
  <c r="BY548" i="1"/>
  <c r="BY566" i="1"/>
  <c r="BY589" i="1"/>
  <c r="BY612" i="1"/>
  <c r="BY629" i="1"/>
  <c r="BY642" i="1"/>
  <c r="BY654" i="1"/>
  <c r="BY664" i="1"/>
  <c r="BY673" i="1"/>
  <c r="BY683" i="1"/>
  <c r="BY691" i="1"/>
  <c r="BY699" i="1"/>
  <c r="BY707" i="1"/>
  <c r="BY715" i="1"/>
  <c r="BY723" i="1"/>
  <c r="BY739" i="1"/>
  <c r="BY738" i="1"/>
  <c r="BY747" i="1"/>
  <c r="BY756" i="1"/>
  <c r="BY762" i="1"/>
  <c r="BY771" i="1"/>
  <c r="BY780" i="1"/>
  <c r="BY787" i="1"/>
  <c r="BY795" i="1"/>
  <c r="BY803" i="1"/>
  <c r="BY811" i="1"/>
  <c r="BY819" i="1"/>
  <c r="BY827" i="1"/>
  <c r="BY835" i="1"/>
  <c r="BY843" i="1"/>
  <c r="BY851" i="1"/>
  <c r="BY859" i="1"/>
  <c r="BY867" i="1"/>
  <c r="BY875" i="1"/>
  <c r="BY883" i="1"/>
  <c r="BY891" i="1"/>
  <c r="BY899" i="1"/>
  <c r="BY907" i="1"/>
  <c r="BY916" i="1"/>
  <c r="BY923" i="1"/>
  <c r="BY931" i="1"/>
  <c r="BY939" i="1"/>
  <c r="BY947" i="1"/>
  <c r="BY955" i="1"/>
  <c r="BY962" i="1"/>
  <c r="BY970" i="1"/>
  <c r="BY979" i="1"/>
  <c r="BY987" i="1"/>
  <c r="BY994" i="1"/>
  <c r="BY1003" i="1"/>
  <c r="BY1011" i="1"/>
  <c r="BY1019" i="1"/>
  <c r="BY1027" i="1"/>
  <c r="BY1035" i="1"/>
  <c r="BY1043" i="1"/>
  <c r="BY1051" i="1"/>
  <c r="BY1059" i="1"/>
  <c r="BY1067" i="1"/>
  <c r="BY1076" i="1"/>
  <c r="BY1083" i="1"/>
  <c r="BY1091" i="1"/>
  <c r="BY1099" i="1"/>
  <c r="BY1107" i="1"/>
  <c r="BY1115" i="1"/>
  <c r="BY1123" i="1"/>
  <c r="BY1131" i="1"/>
  <c r="BY1139" i="1"/>
  <c r="BY1147" i="1"/>
  <c r="BY1155" i="1"/>
  <c r="BY1163" i="1"/>
  <c r="BY1171" i="1"/>
  <c r="BY1179" i="1"/>
  <c r="BY1187" i="1"/>
  <c r="BY1195" i="1"/>
  <c r="BY1203" i="1"/>
  <c r="BY1211" i="1"/>
  <c r="BY1219" i="1"/>
  <c r="BY406" i="1"/>
  <c r="BY437" i="1"/>
  <c r="BY469" i="1"/>
  <c r="BY501" i="1"/>
  <c r="BY526" i="1"/>
  <c r="BY549" i="1"/>
  <c r="BY572" i="1"/>
  <c r="BY590" i="1"/>
  <c r="BY613" i="1"/>
  <c r="BY630" i="1"/>
  <c r="BY644" i="1"/>
  <c r="BY655" i="1"/>
  <c r="BY665" i="1"/>
  <c r="BY675" i="1"/>
  <c r="BY684" i="1"/>
  <c r="BY692" i="1"/>
  <c r="BY700" i="1"/>
  <c r="BY708" i="1"/>
  <c r="BY716" i="1"/>
  <c r="BY724" i="1"/>
  <c r="BY731" i="1"/>
  <c r="BY740" i="1"/>
  <c r="BY748" i="1"/>
  <c r="BY749" i="1"/>
  <c r="BY764" i="1"/>
  <c r="BY772" i="1"/>
  <c r="BY781" i="1"/>
  <c r="BY788" i="1"/>
  <c r="BY796" i="1"/>
  <c r="BY804" i="1"/>
  <c r="BY812" i="1"/>
  <c r="BY820" i="1"/>
  <c r="BY828" i="1"/>
  <c r="BY836" i="1"/>
  <c r="BY844" i="1"/>
  <c r="BY852" i="1"/>
  <c r="BY860" i="1"/>
  <c r="BY868" i="1"/>
  <c r="BY876" i="1"/>
  <c r="BY884" i="1"/>
  <c r="BY892" i="1"/>
  <c r="BY900" i="1"/>
  <c r="BY908" i="1"/>
  <c r="BY917" i="1"/>
  <c r="BY924" i="1"/>
  <c r="BY932" i="1"/>
  <c r="BY940" i="1"/>
  <c r="BY948" i="1"/>
  <c r="BY956" i="1"/>
  <c r="BY963" i="1"/>
  <c r="BY971" i="1"/>
  <c r="BY980" i="1"/>
  <c r="BY995" i="1"/>
  <c r="BY996" i="1"/>
  <c r="BY1004" i="1"/>
  <c r="BY1012" i="1"/>
  <c r="BY1020" i="1"/>
  <c r="BY1028" i="1"/>
  <c r="BY1036" i="1"/>
  <c r="BY1044" i="1"/>
  <c r="BY1052" i="1"/>
  <c r="BY1060" i="1"/>
  <c r="BY1069" i="1"/>
  <c r="BY1077" i="1"/>
  <c r="BY1084" i="1"/>
  <c r="BY1092" i="1"/>
  <c r="BY1100" i="1"/>
  <c r="BY1108" i="1"/>
  <c r="BY1116" i="1"/>
  <c r="BY1124" i="1"/>
  <c r="BY1132" i="1"/>
  <c r="BY1140" i="1"/>
  <c r="BY1148" i="1"/>
  <c r="BY1156" i="1"/>
  <c r="BY1164" i="1"/>
  <c r="BY1172" i="1"/>
  <c r="BY1180" i="1"/>
  <c r="BY1188" i="1"/>
  <c r="BY1196" i="1"/>
  <c r="BY1204" i="1"/>
  <c r="BY1212" i="1"/>
  <c r="BY1220" i="1"/>
  <c r="BY1228" i="1"/>
  <c r="BY405" i="1"/>
  <c r="BY438" i="1"/>
  <c r="BY470" i="1"/>
  <c r="BY502" i="1"/>
  <c r="BY532" i="1"/>
  <c r="BY550" i="1"/>
  <c r="BY573" i="1"/>
  <c r="BY596" i="1"/>
  <c r="BY614" i="1"/>
  <c r="BY632" i="1"/>
  <c r="BY645" i="1"/>
  <c r="BY656" i="1"/>
  <c r="BY667" i="1"/>
  <c r="BY676" i="1"/>
  <c r="BY685" i="1"/>
  <c r="BY693" i="1"/>
  <c r="BY701" i="1"/>
  <c r="BY709" i="1"/>
  <c r="BY717" i="1"/>
  <c r="BY725" i="1"/>
  <c r="BY732" i="1"/>
  <c r="BY741" i="1"/>
  <c r="BY750" i="1"/>
  <c r="BY757" i="1"/>
  <c r="BY765" i="1"/>
  <c r="BY773" i="1"/>
  <c r="BY782" i="1"/>
  <c r="BY789" i="1"/>
  <c r="BY797" i="1"/>
  <c r="BY805" i="1"/>
  <c r="BY813" i="1"/>
  <c r="BY821" i="1"/>
  <c r="BY829" i="1"/>
  <c r="BY837" i="1"/>
  <c r="BY845" i="1"/>
  <c r="BY853" i="1"/>
  <c r="BY861" i="1"/>
  <c r="BY869" i="1"/>
  <c r="BY877" i="1"/>
  <c r="BY885" i="1"/>
  <c r="BY893" i="1"/>
  <c r="BY901" i="1"/>
  <c r="BY909" i="1"/>
  <c r="BY914" i="1"/>
  <c r="BY925" i="1"/>
  <c r="BY933" i="1"/>
  <c r="BY941" i="1"/>
  <c r="BY949" i="1"/>
  <c r="BY957" i="1"/>
  <c r="BY964" i="1"/>
  <c r="BY972" i="1"/>
  <c r="BY981" i="1"/>
  <c r="BY988" i="1"/>
  <c r="BY997" i="1"/>
  <c r="BY1005" i="1"/>
  <c r="BY1013" i="1"/>
  <c r="BY1021" i="1"/>
  <c r="BY1029" i="1"/>
  <c r="BY1037" i="1"/>
  <c r="BY1045" i="1"/>
  <c r="BY1053" i="1"/>
  <c r="BY413" i="1"/>
  <c r="BY445" i="1"/>
  <c r="BY477" i="1"/>
  <c r="BY509" i="1"/>
  <c r="BY533" i="1"/>
  <c r="BY556" i="1"/>
  <c r="BY574" i="1"/>
  <c r="BY597" i="1"/>
  <c r="BY620" i="1"/>
  <c r="BY633" i="1"/>
  <c r="BY646" i="1"/>
  <c r="BY657" i="1"/>
  <c r="BY668" i="1"/>
  <c r="BY677" i="1"/>
  <c r="BY686" i="1"/>
  <c r="BY694" i="1"/>
  <c r="BY702" i="1"/>
  <c r="BY710" i="1"/>
  <c r="BY718" i="1"/>
  <c r="BY726" i="1"/>
  <c r="BY733" i="1"/>
  <c r="BY742" i="1"/>
  <c r="BY751" i="1"/>
  <c r="BY758" i="1"/>
  <c r="BY766" i="1"/>
  <c r="BY774" i="1"/>
  <c r="BY779" i="1"/>
  <c r="BY790" i="1"/>
  <c r="BY798" i="1"/>
  <c r="BY806" i="1"/>
  <c r="BY814" i="1"/>
  <c r="BY822" i="1"/>
  <c r="BY830" i="1"/>
  <c r="BY838" i="1"/>
  <c r="BY846" i="1"/>
  <c r="BY854" i="1"/>
  <c r="BY862" i="1"/>
  <c r="BY870" i="1"/>
  <c r="BY878" i="1"/>
  <c r="BY886" i="1"/>
  <c r="BY894" i="1"/>
  <c r="BY902" i="1"/>
  <c r="BY910" i="1"/>
  <c r="BY918" i="1"/>
  <c r="BY926" i="1"/>
  <c r="BY934" i="1"/>
  <c r="BY942" i="1"/>
  <c r="BY950" i="1"/>
  <c r="BY958" i="1"/>
  <c r="BY965" i="1"/>
  <c r="BY974" i="1"/>
  <c r="BY982" i="1"/>
  <c r="BY989" i="1"/>
  <c r="BY998" i="1"/>
  <c r="BY1006" i="1"/>
  <c r="BY1014" i="1"/>
  <c r="BY414" i="1"/>
  <c r="BY446" i="1"/>
  <c r="BY478" i="1"/>
  <c r="BY510" i="1"/>
  <c r="BY534" i="1"/>
  <c r="BY557" i="1"/>
  <c r="BY580" i="1"/>
  <c r="BY598" i="1"/>
  <c r="BY621" i="1"/>
  <c r="BY635" i="1"/>
  <c r="BY647" i="1"/>
  <c r="BY660" i="1"/>
  <c r="BY669" i="1"/>
  <c r="BY678" i="1"/>
  <c r="BY687" i="1"/>
  <c r="BY695" i="1"/>
  <c r="BY703" i="1"/>
  <c r="BY711" i="1"/>
  <c r="BY719" i="1"/>
  <c r="BY727" i="1"/>
  <c r="BY734" i="1"/>
  <c r="BY743" i="1"/>
  <c r="BY752" i="1"/>
  <c r="BY763" i="1"/>
  <c r="BY823" i="1"/>
  <c r="BY887" i="1"/>
  <c r="BY951" i="1"/>
  <c r="BY1015" i="1"/>
  <c r="BY1048" i="1"/>
  <c r="BY1072" i="1"/>
  <c r="BY1094" i="1"/>
  <c r="BY1114" i="1"/>
  <c r="BY1130" i="1"/>
  <c r="BY1146" i="1"/>
  <c r="BY1162" i="1"/>
  <c r="BY1178" i="1"/>
  <c r="BY1194" i="1"/>
  <c r="BY1210" i="1"/>
  <c r="BY1226" i="1"/>
  <c r="BY1237" i="1"/>
  <c r="BY1246" i="1"/>
  <c r="BY1254" i="1"/>
  <c r="BY1262" i="1"/>
  <c r="BY1270" i="1"/>
  <c r="BY1278" i="1"/>
  <c r="BY1286" i="1"/>
  <c r="BY1294" i="1"/>
  <c r="BY1300" i="1"/>
  <c r="BY1309" i="1"/>
  <c r="BY1318" i="1"/>
  <c r="BY1326" i="1"/>
  <c r="BY1334" i="1"/>
  <c r="BY1342" i="1"/>
  <c r="BY1350" i="1"/>
  <c r="BY1358" i="1"/>
  <c r="BY1366" i="1"/>
  <c r="BY1374" i="1"/>
  <c r="BY1382" i="1"/>
  <c r="BY1390" i="1"/>
  <c r="BY1398" i="1"/>
  <c r="BY1406" i="1"/>
  <c r="BY1414" i="1"/>
  <c r="BY1422" i="1"/>
  <c r="BY1429" i="1"/>
  <c r="BY1438" i="1"/>
  <c r="BY1446" i="1"/>
  <c r="BY1454" i="1"/>
  <c r="BY1462" i="1"/>
  <c r="BY1478" i="1"/>
  <c r="BY1477" i="1"/>
  <c r="BY1486" i="1"/>
  <c r="BY1495" i="1"/>
  <c r="BY1503" i="1"/>
  <c r="BY1511" i="1"/>
  <c r="BY1519" i="1"/>
  <c r="BY1526" i="1"/>
  <c r="BY1532" i="1"/>
  <c r="BY1540" i="1"/>
  <c r="BY1549" i="1"/>
  <c r="BY1557" i="1"/>
  <c r="BY1565" i="1"/>
  <c r="BY1573" i="1"/>
  <c r="BY1581" i="1"/>
  <c r="BY1590" i="1"/>
  <c r="BY1598" i="1"/>
  <c r="BY1606" i="1"/>
  <c r="BY1614" i="1"/>
  <c r="BY1622" i="1"/>
  <c r="BY1630" i="1"/>
  <c r="BY1638" i="1"/>
  <c r="BY1646" i="1"/>
  <c r="BY1654" i="1"/>
  <c r="BY1662" i="1"/>
  <c r="BY1668" i="1"/>
  <c r="BY1677" i="1"/>
  <c r="BY1685" i="1"/>
  <c r="BY1694" i="1"/>
  <c r="BY1702" i="1"/>
  <c r="BY1710" i="1"/>
  <c r="BY1718" i="1"/>
  <c r="BY1725" i="1"/>
  <c r="BY1733" i="1"/>
  <c r="BY1741" i="1"/>
  <c r="BY1749" i="1"/>
  <c r="BY1758" i="1"/>
  <c r="BY1766" i="1"/>
  <c r="BY1774" i="1"/>
  <c r="BY1781" i="1"/>
  <c r="BY767" i="1"/>
  <c r="BY831" i="1"/>
  <c r="BY895" i="1"/>
  <c r="BY959" i="1"/>
  <c r="BY1022" i="1"/>
  <c r="BY1054" i="1"/>
  <c r="BY1078" i="1"/>
  <c r="BY1095" i="1"/>
  <c r="BY1117" i="1"/>
  <c r="BY1133" i="1"/>
  <c r="BY1149" i="1"/>
  <c r="BY1165" i="1"/>
  <c r="BY1181" i="1"/>
  <c r="BY1197" i="1"/>
  <c r="BY1213" i="1"/>
  <c r="BY1227" i="1"/>
  <c r="BY1238" i="1"/>
  <c r="BY1247" i="1"/>
  <c r="BY1255" i="1"/>
  <c r="BY1263" i="1"/>
  <c r="BY1271" i="1"/>
  <c r="BY1279" i="1"/>
  <c r="BY1287" i="1"/>
  <c r="BY1295" i="1"/>
  <c r="BY1301" i="1"/>
  <c r="BY1310" i="1"/>
  <c r="BY1319" i="1"/>
  <c r="BY1327" i="1"/>
  <c r="BY1335" i="1"/>
  <c r="BY1343" i="1"/>
  <c r="BY1351" i="1"/>
  <c r="BY1359" i="1"/>
  <c r="BY1367" i="1"/>
  <c r="BY1375" i="1"/>
  <c r="BY1383" i="1"/>
  <c r="BY1391" i="1"/>
  <c r="BY1399" i="1"/>
  <c r="BY1407" i="1"/>
  <c r="BY1415" i="1"/>
  <c r="BY1432" i="1"/>
  <c r="BY1430" i="1"/>
  <c r="BY1439" i="1"/>
  <c r="BY1447" i="1"/>
  <c r="BY1455" i="1"/>
  <c r="BY1463" i="1"/>
  <c r="BY1470" i="1"/>
  <c r="BY1479" i="1"/>
  <c r="BY1488" i="1"/>
  <c r="BY1496" i="1"/>
  <c r="BY1504" i="1"/>
  <c r="BY1512" i="1"/>
  <c r="BY1520" i="1"/>
  <c r="BY1527" i="1"/>
  <c r="BY1533" i="1"/>
  <c r="BY1542" i="1"/>
  <c r="BY1550" i="1"/>
  <c r="BY1558" i="1"/>
  <c r="BY1566" i="1"/>
  <c r="BY1574" i="1"/>
  <c r="BY1582" i="1"/>
  <c r="BY1591" i="1"/>
  <c r="BY1599" i="1"/>
  <c r="BY1607" i="1"/>
  <c r="BY1615" i="1"/>
  <c r="BY1623" i="1"/>
  <c r="BY1631" i="1"/>
  <c r="BY1639" i="1"/>
  <c r="BY1647" i="1"/>
  <c r="BY1655" i="1"/>
  <c r="BY1663" i="1"/>
  <c r="BY1669" i="1"/>
  <c r="BY1678" i="1"/>
  <c r="BY1686" i="1"/>
  <c r="BY1695" i="1"/>
  <c r="BY1703" i="1"/>
  <c r="BY1711" i="1"/>
  <c r="BY1719" i="1"/>
  <c r="BY1726" i="1"/>
  <c r="BY1734" i="1"/>
  <c r="BY1742" i="1"/>
  <c r="BY1750" i="1"/>
  <c r="BY1759" i="1"/>
  <c r="BY1767" i="1"/>
  <c r="BY1775" i="1"/>
  <c r="BY1782" i="1"/>
  <c r="BY1790" i="1"/>
  <c r="BY1798" i="1"/>
  <c r="BY1807" i="1"/>
  <c r="BY1815" i="1"/>
  <c r="BY1823" i="1"/>
  <c r="BY775" i="1"/>
  <c r="BY839" i="1"/>
  <c r="BY903" i="1"/>
  <c r="BY966" i="1"/>
  <c r="BY1023" i="1"/>
  <c r="BY1055" i="1"/>
  <c r="BY1068" i="1"/>
  <c r="BY1101" i="1"/>
  <c r="BY1118" i="1"/>
  <c r="BY1134" i="1"/>
  <c r="BY1150" i="1"/>
  <c r="BY1166" i="1"/>
  <c r="BY1182" i="1"/>
  <c r="BY1198" i="1"/>
  <c r="BY1214" i="1"/>
  <c r="BY1229" i="1"/>
  <c r="BY1239" i="1"/>
  <c r="BY1248" i="1"/>
  <c r="BY1256" i="1"/>
  <c r="BY1264" i="1"/>
  <c r="BY1272" i="1"/>
  <c r="BY1280" i="1"/>
  <c r="BY1288" i="1"/>
  <c r="BY1307" i="1"/>
  <c r="BY1302" i="1"/>
  <c r="BY1311" i="1"/>
  <c r="BY1320" i="1"/>
  <c r="BY1328" i="1"/>
  <c r="BY1336" i="1"/>
  <c r="BY1344" i="1"/>
  <c r="BY1352" i="1"/>
  <c r="BY1360" i="1"/>
  <c r="BY1368" i="1"/>
  <c r="BY1376" i="1"/>
  <c r="BY1384" i="1"/>
  <c r="BY1392" i="1"/>
  <c r="BY1400" i="1"/>
  <c r="BY1408" i="1"/>
  <c r="BY1416" i="1"/>
  <c r="BY1423" i="1"/>
  <c r="BY1431" i="1"/>
  <c r="BY1440" i="1"/>
  <c r="BY1448" i="1"/>
  <c r="BY1456" i="1"/>
  <c r="BY1464" i="1"/>
  <c r="BY1472" i="1"/>
  <c r="BY1480" i="1"/>
  <c r="BY1489" i="1"/>
  <c r="BY1497" i="1"/>
  <c r="BY1505" i="1"/>
  <c r="BY1513" i="1"/>
  <c r="BY1521" i="1"/>
  <c r="BY1528" i="1"/>
  <c r="BY1534" i="1"/>
  <c r="BY1543" i="1"/>
  <c r="BY1551" i="1"/>
  <c r="BY1559" i="1"/>
  <c r="BY1567" i="1"/>
  <c r="BY1575" i="1"/>
  <c r="BY1583" i="1"/>
  <c r="BY1592" i="1"/>
  <c r="BY1600" i="1"/>
  <c r="BY1608" i="1"/>
  <c r="BY1616" i="1"/>
  <c r="BY1624" i="1"/>
  <c r="BY1632" i="1"/>
  <c r="BY1640" i="1"/>
  <c r="BY1648" i="1"/>
  <c r="BY1656" i="1"/>
  <c r="BY1688" i="1"/>
  <c r="BY1671" i="1"/>
  <c r="BY1679" i="1"/>
  <c r="BY1687" i="1"/>
  <c r="BY1696" i="1"/>
  <c r="BY1704" i="1"/>
  <c r="BY1712" i="1"/>
  <c r="BY1720" i="1"/>
  <c r="BY1727" i="1"/>
  <c r="BY1735" i="1"/>
  <c r="BY1743" i="1"/>
  <c r="BY1751" i="1"/>
  <c r="BY1760" i="1"/>
  <c r="BY1768" i="1"/>
  <c r="BY783" i="1"/>
  <c r="BY847" i="1"/>
  <c r="BY911" i="1"/>
  <c r="BY975" i="1"/>
  <c r="BY1030" i="1"/>
  <c r="BY1061" i="1"/>
  <c r="BY1079" i="1"/>
  <c r="BY1102" i="1"/>
  <c r="BY1119" i="1"/>
  <c r="BY1135" i="1"/>
  <c r="BY1151" i="1"/>
  <c r="BY1167" i="1"/>
  <c r="BY1183" i="1"/>
  <c r="BY1199" i="1"/>
  <c r="BY1215" i="1"/>
  <c r="BY1230" i="1"/>
  <c r="BY1240" i="1"/>
  <c r="BY1249" i="1"/>
  <c r="BY1257" i="1"/>
  <c r="BY1265" i="1"/>
  <c r="BY1273" i="1"/>
  <c r="BY1281" i="1"/>
  <c r="BY1289" i="1"/>
  <c r="BY1316" i="1"/>
  <c r="BY1303" i="1"/>
  <c r="BY1312" i="1"/>
  <c r="BY1321" i="1"/>
  <c r="BY1329" i="1"/>
  <c r="BY1338" i="1"/>
  <c r="BY1345" i="1"/>
  <c r="BY1353" i="1"/>
  <c r="BY1361" i="1"/>
  <c r="BY1369" i="1"/>
  <c r="BY1377" i="1"/>
  <c r="BY1385" i="1"/>
  <c r="BY1393" i="1"/>
  <c r="BY1401" i="1"/>
  <c r="BY1409" i="1"/>
  <c r="BY1417" i="1"/>
  <c r="BY1424" i="1"/>
  <c r="BY1433" i="1"/>
  <c r="BY1441" i="1"/>
  <c r="BY1449" i="1"/>
  <c r="BY1457" i="1"/>
  <c r="BY1465" i="1"/>
  <c r="BY1476" i="1"/>
  <c r="BY1481" i="1"/>
  <c r="BY1490" i="1"/>
  <c r="BY1498" i="1"/>
  <c r="BY1506" i="1"/>
  <c r="BY1514" i="1"/>
  <c r="BY1522" i="1"/>
  <c r="BY1529" i="1"/>
  <c r="BY1535" i="1"/>
  <c r="BY1544" i="1"/>
  <c r="BY1552" i="1"/>
  <c r="BY1560" i="1"/>
  <c r="BY1568" i="1"/>
  <c r="BY1576" i="1"/>
  <c r="BY791" i="1"/>
  <c r="BY855" i="1"/>
  <c r="BY919" i="1"/>
  <c r="BY983" i="1"/>
  <c r="BY1031" i="1"/>
  <c r="BY1062" i="1"/>
  <c r="BY1085" i="1"/>
  <c r="BY1103" i="1"/>
  <c r="BY1122" i="1"/>
  <c r="BY1138" i="1"/>
  <c r="BY1154" i="1"/>
  <c r="BY1170" i="1"/>
  <c r="BY1186" i="1"/>
  <c r="BY1202" i="1"/>
  <c r="BY1218" i="1"/>
  <c r="BY1231" i="1"/>
  <c r="BY1242" i="1"/>
  <c r="BY1250" i="1"/>
  <c r="BY1258" i="1"/>
  <c r="BY1266" i="1"/>
  <c r="BY1274" i="1"/>
  <c r="BY1282" i="1"/>
  <c r="BY1290" i="1"/>
  <c r="BY1296" i="1"/>
  <c r="BY1304" i="1"/>
  <c r="BY1313" i="1"/>
  <c r="BY1322" i="1"/>
  <c r="BY1330" i="1"/>
  <c r="BY1337" i="1"/>
  <c r="BY1346" i="1"/>
  <c r="BY1354" i="1"/>
  <c r="BY1362" i="1"/>
  <c r="BY1370" i="1"/>
  <c r="BY1378" i="1"/>
  <c r="BY1386" i="1"/>
  <c r="BY1394" i="1"/>
  <c r="BY1402" i="1"/>
  <c r="BY1410" i="1"/>
  <c r="BY1418" i="1"/>
  <c r="BY1425" i="1"/>
  <c r="BY1434" i="1"/>
  <c r="BY1442" i="1"/>
  <c r="BY1450" i="1"/>
  <c r="BY1458" i="1"/>
  <c r="BY1466" i="1"/>
  <c r="BY1471" i="1"/>
  <c r="BY1482" i="1"/>
  <c r="BY1491" i="1"/>
  <c r="BY1499" i="1"/>
  <c r="BY1507" i="1"/>
  <c r="BY1515" i="1"/>
  <c r="BY799" i="1"/>
  <c r="BY863" i="1"/>
  <c r="BY927" i="1"/>
  <c r="BY990" i="1"/>
  <c r="BY1038" i="1"/>
  <c r="BY1063" i="1"/>
  <c r="BY1086" i="1"/>
  <c r="BY1109" i="1"/>
  <c r="BY1126" i="1"/>
  <c r="BY1141" i="1"/>
  <c r="BY1157" i="1"/>
  <c r="BY1173" i="1"/>
  <c r="BY1189" i="1"/>
  <c r="BY1205" i="1"/>
  <c r="BY1221" i="1"/>
  <c r="BY1234" i="1"/>
  <c r="BY1243" i="1"/>
  <c r="BY1251" i="1"/>
  <c r="BY1259" i="1"/>
  <c r="BY1267" i="1"/>
  <c r="BY1275" i="1"/>
  <c r="BY1283" i="1"/>
  <c r="BY1291" i="1"/>
  <c r="BY1297" i="1"/>
  <c r="BY1305" i="1"/>
  <c r="BY1314" i="1"/>
  <c r="BY1323" i="1"/>
  <c r="BY1331" i="1"/>
  <c r="BY1339" i="1"/>
  <c r="BY1347" i="1"/>
  <c r="BY1355" i="1"/>
  <c r="BY1363" i="1"/>
  <c r="BY1371" i="1"/>
  <c r="BY1379" i="1"/>
  <c r="BY1387" i="1"/>
  <c r="BY1395" i="1"/>
  <c r="BY1403" i="1"/>
  <c r="BY1411" i="1"/>
  <c r="BY1419" i="1"/>
  <c r="BY1426" i="1"/>
  <c r="BY1435" i="1"/>
  <c r="BY1443" i="1"/>
  <c r="BY1451" i="1"/>
  <c r="BY1459" i="1"/>
  <c r="BY1467" i="1"/>
  <c r="BY1473" i="1"/>
  <c r="BY1483" i="1"/>
  <c r="BY1492" i="1"/>
  <c r="BY1500" i="1"/>
  <c r="BY1508" i="1"/>
  <c r="BY1516" i="1"/>
  <c r="BY1524" i="1"/>
  <c r="BY1531" i="1"/>
  <c r="BY1537" i="1"/>
  <c r="BY1546" i="1"/>
  <c r="BY1554" i="1"/>
  <c r="BY1562" i="1"/>
  <c r="BY1570" i="1"/>
  <c r="BY1578" i="1"/>
  <c r="BY1587" i="1"/>
  <c r="BY1595" i="1"/>
  <c r="BY1603" i="1"/>
  <c r="BY1611" i="1"/>
  <c r="BY1619" i="1"/>
  <c r="BY1627" i="1"/>
  <c r="BY1635" i="1"/>
  <c r="BY1643" i="1"/>
  <c r="BY1651" i="1"/>
  <c r="BY1659" i="1"/>
  <c r="BY1665" i="1"/>
  <c r="BY807" i="1"/>
  <c r="BY871" i="1"/>
  <c r="BY935" i="1"/>
  <c r="BY999" i="1"/>
  <c r="BY1039" i="1"/>
  <c r="BY1070" i="1"/>
  <c r="BY1087" i="1"/>
  <c r="BY1110" i="1"/>
  <c r="BY1127" i="1"/>
  <c r="BY1142" i="1"/>
  <c r="BY1158" i="1"/>
  <c r="BY1174" i="1"/>
  <c r="BY1190" i="1"/>
  <c r="BY1206" i="1"/>
  <c r="BY1222" i="1"/>
  <c r="BY1235" i="1"/>
  <c r="BY1244" i="1"/>
  <c r="BY1252" i="1"/>
  <c r="BY1260" i="1"/>
  <c r="BY1268" i="1"/>
  <c r="BY1276" i="1"/>
  <c r="BY1284" i="1"/>
  <c r="BY1292" i="1"/>
  <c r="BY1298" i="1"/>
  <c r="BY1306" i="1"/>
  <c r="BY1315" i="1"/>
  <c r="BY1324" i="1"/>
  <c r="BY1332" i="1"/>
  <c r="BY1340" i="1"/>
  <c r="BY1348" i="1"/>
  <c r="BY1356" i="1"/>
  <c r="BY1364" i="1"/>
  <c r="BY1372" i="1"/>
  <c r="BY1380" i="1"/>
  <c r="BY1388" i="1"/>
  <c r="BY1396" i="1"/>
  <c r="BY1404" i="1"/>
  <c r="BY1412" i="1"/>
  <c r="BY1420" i="1"/>
  <c r="BY1427" i="1"/>
  <c r="BY1436" i="1"/>
  <c r="BY1444" i="1"/>
  <c r="BY1452" i="1"/>
  <c r="BY1460" i="1"/>
  <c r="BY1468" i="1"/>
  <c r="BY1474" i="1"/>
  <c r="BY1484" i="1"/>
  <c r="BY1493" i="1"/>
  <c r="BY1501" i="1"/>
  <c r="BY1509" i="1"/>
  <c r="BY1517" i="1"/>
  <c r="BY1487" i="1"/>
  <c r="BY1541" i="1"/>
  <c r="BY1538" i="1"/>
  <c r="BY1547" i="1"/>
  <c r="BY1555" i="1"/>
  <c r="BY1563" i="1"/>
  <c r="BY1571" i="1"/>
  <c r="BY1579" i="1"/>
  <c r="BY1588" i="1"/>
  <c r="BY1596" i="1"/>
  <c r="BY1604" i="1"/>
  <c r="BY1612" i="1"/>
  <c r="BY1620" i="1"/>
  <c r="BY1628" i="1"/>
  <c r="BY1636" i="1"/>
  <c r="BY1644" i="1"/>
  <c r="BY1652" i="1"/>
  <c r="BY1660" i="1"/>
  <c r="BY1666" i="1"/>
  <c r="BY1675" i="1"/>
  <c r="BY1683" i="1"/>
  <c r="BY1692" i="1"/>
  <c r="BY1700" i="1"/>
  <c r="BY1708" i="1"/>
  <c r="BY1716" i="1"/>
  <c r="BY1723" i="1"/>
  <c r="BY1731" i="1"/>
  <c r="BY1739" i="1"/>
  <c r="BY1747" i="1"/>
  <c r="BY1756" i="1"/>
  <c r="BY1764" i="1"/>
  <c r="BY815" i="1"/>
  <c r="BY879" i="1"/>
  <c r="BY943" i="1"/>
  <c r="BY1007" i="1"/>
  <c r="BY1047" i="1"/>
  <c r="BY1071" i="1"/>
  <c r="BY1093" i="1"/>
  <c r="BY1111" i="1"/>
  <c r="BY1125" i="1"/>
  <c r="BY1143" i="1"/>
  <c r="BY1159" i="1"/>
  <c r="BY1175" i="1"/>
  <c r="BY1191" i="1"/>
  <c r="BY1207" i="1"/>
  <c r="BY1223" i="1"/>
  <c r="BY1236" i="1"/>
  <c r="BY1245" i="1"/>
  <c r="BY1253" i="1"/>
  <c r="BY1261" i="1"/>
  <c r="BY1269" i="1"/>
  <c r="BY1277" i="1"/>
  <c r="BY1285" i="1"/>
  <c r="BY1293" i="1"/>
  <c r="BY1299" i="1"/>
  <c r="BY1308" i="1"/>
  <c r="BY1317" i="1"/>
  <c r="BY1325" i="1"/>
  <c r="BY1333" i="1"/>
  <c r="BY1341" i="1"/>
  <c r="BY1349" i="1"/>
  <c r="BY1357" i="1"/>
  <c r="BY1365" i="1"/>
  <c r="BY1373" i="1"/>
  <c r="BY1381" i="1"/>
  <c r="BY1389" i="1"/>
  <c r="BY1397" i="1"/>
  <c r="BY1405" i="1"/>
  <c r="BY1413" i="1"/>
  <c r="BY1421" i="1"/>
  <c r="BY1428" i="1"/>
  <c r="BY1437" i="1"/>
  <c r="BY1445" i="1"/>
  <c r="BY1453" i="1"/>
  <c r="BY1461" i="1"/>
  <c r="BY1469" i="1"/>
  <c r="BY1475" i="1"/>
  <c r="BY1485" i="1"/>
  <c r="BY1494" i="1"/>
  <c r="BY1502" i="1"/>
  <c r="BY1510" i="1"/>
  <c r="BY1518" i="1"/>
  <c r="BY1525" i="1"/>
  <c r="BY1584" i="1"/>
  <c r="BY1539" i="1"/>
  <c r="BY1548" i="1"/>
  <c r="BY1556" i="1"/>
  <c r="BY1564" i="1"/>
  <c r="BY1572" i="1"/>
  <c r="BY1580" i="1"/>
  <c r="BY1589" i="1"/>
  <c r="BY1597" i="1"/>
  <c r="BY1605" i="1"/>
  <c r="BY1613" i="1"/>
  <c r="BY1621" i="1"/>
  <c r="BY1629" i="1"/>
  <c r="BY1637" i="1"/>
  <c r="BY1645" i="1"/>
  <c r="BY1653" i="1"/>
  <c r="BY1661" i="1"/>
  <c r="BY1667" i="1"/>
  <c r="BY1676" i="1"/>
  <c r="BY1684" i="1"/>
  <c r="BY1693" i="1"/>
  <c r="BY1701" i="1"/>
  <c r="BY1709" i="1"/>
  <c r="BY1717" i="1"/>
  <c r="BY2261" i="1"/>
  <c r="BY2252" i="1"/>
  <c r="BY2244" i="1"/>
  <c r="BY2236" i="1"/>
  <c r="BY2228" i="1"/>
  <c r="BY2220" i="1"/>
  <c r="BY2212" i="1"/>
  <c r="BY2203" i="1"/>
  <c r="BY2195" i="1"/>
  <c r="BY2189" i="1"/>
  <c r="BY2181" i="1"/>
  <c r="BY2172" i="1"/>
  <c r="BY2163" i="1"/>
  <c r="BY2155" i="1"/>
  <c r="BY2147" i="1"/>
  <c r="BY2139" i="1"/>
  <c r="BY2131" i="1"/>
  <c r="BY2123" i="1"/>
  <c r="BY2115" i="1"/>
  <c r="BY2107" i="1"/>
  <c r="BY2099" i="1"/>
  <c r="BY2092" i="1"/>
  <c r="BY2086" i="1"/>
  <c r="BY2077" i="1"/>
  <c r="BY2069" i="1"/>
  <c r="BY2061" i="1"/>
  <c r="BY2053" i="1"/>
  <c r="BY2045" i="1"/>
  <c r="BY2037" i="1"/>
  <c r="BY2029" i="1"/>
  <c r="BY2021" i="1"/>
  <c r="BY2012" i="1"/>
  <c r="BY2004" i="1"/>
  <c r="BY1996" i="1"/>
  <c r="BY1989" i="1"/>
  <c r="BY1981" i="1"/>
  <c r="BY1973" i="1"/>
  <c r="BY1965" i="1"/>
  <c r="BY1957" i="1"/>
  <c r="BY1949" i="1"/>
  <c r="BY1941" i="1"/>
  <c r="BY1933" i="1"/>
  <c r="BY1923" i="1"/>
  <c r="BY1915" i="1"/>
  <c r="BY1929" i="1"/>
  <c r="BY1901" i="1"/>
  <c r="BY1893" i="1"/>
  <c r="BY1885" i="1"/>
  <c r="BY1875" i="1"/>
  <c r="BY1867" i="1"/>
  <c r="BY1858" i="1"/>
  <c r="BY1850" i="1"/>
  <c r="BY1842" i="1"/>
  <c r="BY1837" i="1"/>
  <c r="BY1829" i="1"/>
  <c r="BY1820" i="1"/>
  <c r="BY1811" i="1"/>
  <c r="BY1802" i="1"/>
  <c r="BY1792" i="1"/>
  <c r="BY1783" i="1"/>
  <c r="BY1772" i="1"/>
  <c r="BY1757" i="1"/>
  <c r="BY1740" i="1"/>
  <c r="BY1724" i="1"/>
  <c r="BY1706" i="1"/>
  <c r="BY1682" i="1"/>
  <c r="BY1658" i="1"/>
  <c r="BY1626" i="1"/>
  <c r="BY1594" i="1"/>
  <c r="BY1545" i="1"/>
  <c r="BY2219" i="1"/>
  <c r="BY2211" i="1"/>
  <c r="BY2202" i="1"/>
  <c r="BY2194" i="1"/>
  <c r="BY2188" i="1"/>
  <c r="BY2180" i="1"/>
  <c r="BY2171" i="1"/>
  <c r="BY2162" i="1"/>
  <c r="BY2154" i="1"/>
  <c r="BY2146" i="1"/>
  <c r="BY2138" i="1"/>
  <c r="BY2130" i="1"/>
  <c r="BY2122" i="1"/>
  <c r="BY2114" i="1"/>
  <c r="BY2106" i="1"/>
  <c r="BY2098" i="1"/>
  <c r="BY2093" i="1"/>
  <c r="BY2084" i="1"/>
  <c r="BY2076" i="1"/>
  <c r="BY2068" i="1"/>
  <c r="BY2060" i="1"/>
  <c r="BY2052" i="1"/>
  <c r="BY2044" i="1"/>
  <c r="BY2036" i="1"/>
  <c r="BY2028" i="1"/>
  <c r="BY2020" i="1"/>
  <c r="BY2011" i="1"/>
  <c r="BY2003" i="1"/>
  <c r="BY1995" i="1"/>
  <c r="BY1988" i="1"/>
  <c r="BY1980" i="1"/>
  <c r="BY1972" i="1"/>
  <c r="BY1964" i="1"/>
  <c r="BY1956" i="1"/>
  <c r="BY1948" i="1"/>
  <c r="BY1940" i="1"/>
  <c r="BY1932" i="1"/>
  <c r="BY1922" i="1"/>
  <c r="BY1914" i="1"/>
  <c r="BY1908" i="1"/>
  <c r="BY1900" i="1"/>
  <c r="BY1892" i="1"/>
  <c r="BY1884" i="1"/>
  <c r="BY1874" i="1"/>
  <c r="BY1866" i="1"/>
  <c r="BY1857" i="1"/>
  <c r="BY1849" i="1"/>
  <c r="BY1841" i="1"/>
  <c r="BY1836" i="1"/>
  <c r="BY1828" i="1"/>
  <c r="BY1819" i="1"/>
  <c r="BY1810" i="1"/>
  <c r="BY1801" i="1"/>
  <c r="BY1791" i="1"/>
  <c r="BY1780" i="1"/>
  <c r="BY1771" i="1"/>
  <c r="BY1754" i="1"/>
  <c r="BY1738" i="1"/>
  <c r="BY1722" i="1"/>
  <c r="BY1705" i="1"/>
  <c r="BY1681" i="1"/>
  <c r="BY1657" i="1"/>
  <c r="BY1625" i="1"/>
  <c r="BY1593" i="1"/>
  <c r="BY1536" i="1"/>
  <c r="BY2210" i="1"/>
  <c r="BY2201" i="1"/>
  <c r="BY2193" i="1"/>
  <c r="BY2186" i="1"/>
  <c r="BY2179" i="1"/>
  <c r="BY2170" i="1"/>
  <c r="BY2161" i="1"/>
  <c r="BY2153" i="1"/>
  <c r="BY2145" i="1"/>
  <c r="BY2137" i="1"/>
  <c r="BY2129" i="1"/>
  <c r="BY2121" i="1"/>
  <c r="BY2113" i="1"/>
  <c r="BY2105" i="1"/>
  <c r="BY2175" i="1"/>
  <c r="BY2091" i="1"/>
  <c r="BY2083" i="1"/>
  <c r="BY2075" i="1"/>
  <c r="BY2067" i="1"/>
  <c r="BY2059" i="1"/>
  <c r="BY2051" i="1"/>
  <c r="BY2043" i="1"/>
  <c r="BY2035" i="1"/>
  <c r="BY2027" i="1"/>
  <c r="BY2019" i="1"/>
  <c r="BY2010" i="1"/>
  <c r="BY2002" i="1"/>
  <c r="BY2017" i="1"/>
  <c r="BY1987" i="1"/>
  <c r="BY1979" i="1"/>
  <c r="BY1971" i="1"/>
  <c r="BY1963" i="1"/>
  <c r="BY1955" i="1"/>
  <c r="BY1947" i="1"/>
  <c r="BY1939" i="1"/>
  <c r="BY1931" i="1"/>
  <c r="BY1921" i="1"/>
  <c r="BY1913" i="1"/>
  <c r="BY1907" i="1"/>
  <c r="BY1899" i="1"/>
  <c r="BY1891" i="1"/>
  <c r="BY1883" i="1"/>
  <c r="BY1873" i="1"/>
  <c r="BY1865" i="1"/>
  <c r="BY1856" i="1"/>
  <c r="BY1848" i="1"/>
  <c r="BY1840" i="1"/>
  <c r="BY1834" i="1"/>
  <c r="BY1827" i="1"/>
  <c r="BY1818" i="1"/>
  <c r="BY1809" i="1"/>
  <c r="BY1800" i="1"/>
  <c r="BY1789" i="1"/>
  <c r="BY1779" i="1"/>
  <c r="BY1770" i="1"/>
  <c r="BY1753" i="1"/>
  <c r="BY1737" i="1"/>
  <c r="BY1755" i="1"/>
  <c r="BY1699" i="1"/>
  <c r="BY1680" i="1"/>
  <c r="BY1650" i="1"/>
  <c r="BY1618" i="1"/>
  <c r="BY1586" i="1"/>
  <c r="BY1530" i="1"/>
  <c r="BY2136" i="1"/>
  <c r="BY2128" i="1"/>
  <c r="BY2120" i="1"/>
  <c r="BY2112" i="1"/>
  <c r="BY2104" i="1"/>
  <c r="BY2169" i="1"/>
  <c r="BY2089" i="1"/>
  <c r="BY2082" i="1"/>
  <c r="BY2074" i="1"/>
  <c r="BY2066" i="1"/>
  <c r="BY2058" i="1"/>
  <c r="BY2050" i="1"/>
  <c r="BY2042" i="1"/>
  <c r="BY2034" i="1"/>
  <c r="BY2026" i="1"/>
  <c r="BY2018" i="1"/>
  <c r="BY2009" i="1"/>
  <c r="BY2001" i="1"/>
  <c r="BY1994" i="1"/>
  <c r="BY1986" i="1"/>
  <c r="BY1978" i="1"/>
  <c r="BY1970" i="1"/>
  <c r="BY1962" i="1"/>
  <c r="BY1954" i="1"/>
  <c r="BY1946" i="1"/>
  <c r="BY1938" i="1"/>
  <c r="BY1930" i="1"/>
  <c r="BY1920" i="1"/>
  <c r="BY1912" i="1"/>
  <c r="BY1906" i="1"/>
  <c r="BY1898" i="1"/>
  <c r="BY1890" i="1"/>
  <c r="BY1882" i="1"/>
  <c r="BY1872" i="1"/>
  <c r="BY1864" i="1"/>
  <c r="BY1855" i="1"/>
  <c r="BY1847" i="1"/>
  <c r="BY1862" i="1"/>
  <c r="BY1835" i="1"/>
  <c r="BY1826" i="1"/>
  <c r="BY1817" i="1"/>
  <c r="BY1808" i="1"/>
  <c r="BY1797" i="1"/>
  <c r="BY1788" i="1"/>
  <c r="BY1778" i="1"/>
  <c r="BY1769" i="1"/>
  <c r="BY1752" i="1"/>
  <c r="BY1736" i="1"/>
  <c r="BY1721" i="1"/>
  <c r="BY1698" i="1"/>
  <c r="BY1674" i="1"/>
  <c r="BY1649" i="1"/>
  <c r="BY1617" i="1"/>
  <c r="BY1585" i="1"/>
  <c r="BY1523" i="1"/>
  <c r="AC1" i="1"/>
  <c r="AD1" i="1"/>
  <c r="R1" i="1"/>
  <c r="AF1" i="1"/>
  <c r="AG1" i="1"/>
  <c r="AI1" i="1"/>
  <c r="V1" i="1"/>
  <c r="W1" i="1"/>
  <c r="X1" i="1"/>
  <c r="Y1" i="1"/>
  <c r="Z1" i="1"/>
  <c r="AB1" i="1"/>
  <c r="Q1" i="1"/>
  <c r="S1" i="1"/>
  <c r="T1" i="1"/>
  <c r="U1" i="1"/>
  <c r="AE1" i="1"/>
  <c r="AH1" i="1"/>
  <c r="AA1" i="1"/>
  <c r="L26" i="1"/>
  <c r="L126" i="1"/>
  <c r="L1470" i="1"/>
  <c r="L286" i="1"/>
  <c r="L1171" i="1"/>
  <c r="L480" i="1"/>
  <c r="L1471" i="1"/>
  <c r="L61" i="1"/>
  <c r="L399" i="1"/>
  <c r="L1776" i="1"/>
  <c r="L2191" i="1"/>
  <c r="L731" i="1"/>
  <c r="L1909" i="1"/>
  <c r="L659" i="1"/>
  <c r="L1532" i="1"/>
  <c r="L524" i="1"/>
  <c r="L80" i="1"/>
  <c r="L1533" i="1"/>
  <c r="L1056" i="1"/>
  <c r="L1834" i="1"/>
  <c r="L746" i="1"/>
  <c r="L2192" i="1"/>
  <c r="L1339" i="1"/>
  <c r="L1777" i="1"/>
  <c r="L1472" i="1"/>
  <c r="L1778" i="1"/>
  <c r="L1340" i="1"/>
  <c r="L1132" i="1"/>
  <c r="L1995" i="1"/>
  <c r="L566" i="1"/>
  <c r="L1722" i="1"/>
  <c r="L832" i="1"/>
  <c r="L1657" i="1"/>
  <c r="L1840" i="1"/>
  <c r="L2183" i="1"/>
  <c r="L1383" i="1"/>
  <c r="L1057" i="1"/>
  <c r="L878" i="1"/>
  <c r="L1996" i="1"/>
  <c r="L819" i="1"/>
  <c r="L1423" i="1"/>
  <c r="L342" i="1"/>
  <c r="L1841" i="1"/>
  <c r="L1473" i="1"/>
  <c r="L943" i="1"/>
  <c r="L78" i="1"/>
  <c r="L1593" i="1"/>
  <c r="L56" i="1"/>
  <c r="L901" i="1"/>
  <c r="L525" i="1"/>
  <c r="L1723" i="1"/>
  <c r="L1664" i="1"/>
  <c r="L98" i="1"/>
  <c r="L792" i="1"/>
  <c r="L732" i="1"/>
  <c r="L498" i="1"/>
  <c r="L461" i="1"/>
  <c r="L471" i="1"/>
  <c r="L694" i="1"/>
  <c r="L2193" i="1"/>
  <c r="L1594" i="1"/>
  <c r="L390" i="1"/>
  <c r="L1769" i="1"/>
  <c r="L1534" i="1"/>
  <c r="L897" i="1"/>
  <c r="L759" i="1"/>
  <c r="L640" i="1"/>
  <c r="L1779" i="1"/>
  <c r="L1290" i="1"/>
  <c r="L961" i="1"/>
  <c r="L1424" i="1"/>
  <c r="L233" i="1"/>
  <c r="L1910" i="1"/>
  <c r="L2098" i="1"/>
  <c r="L478" i="1"/>
  <c r="L1341" i="1"/>
  <c r="L1255" i="1"/>
  <c r="L143" i="1"/>
  <c r="L1665" i="1"/>
  <c r="L1595" i="1"/>
  <c r="L79" i="1"/>
  <c r="L1997" i="1"/>
  <c r="L1535" i="1"/>
  <c r="L1998" i="1"/>
  <c r="L1004" i="1"/>
  <c r="L660" i="1"/>
  <c r="L309" i="1"/>
  <c r="L1999" i="1"/>
  <c r="L1256" i="1"/>
  <c r="L1474" i="1"/>
  <c r="L922" i="1"/>
  <c r="L485" i="1"/>
  <c r="L923" i="1"/>
  <c r="L1083" i="1"/>
  <c r="L435" i="1"/>
  <c r="L132" i="1"/>
  <c r="L1911" i="1"/>
  <c r="L2000" i="1"/>
  <c r="L582" i="1"/>
  <c r="L1666" i="1"/>
  <c r="L1536" i="1"/>
  <c r="L2001" i="1"/>
  <c r="L2194" i="1"/>
  <c r="L1342" i="1"/>
  <c r="L21" i="1"/>
  <c r="L1475" i="1"/>
  <c r="L1537" i="1"/>
  <c r="L149" i="1"/>
  <c r="L472" i="1"/>
  <c r="L2195" i="1"/>
  <c r="L2099" i="1"/>
  <c r="L1780" i="1"/>
  <c r="L445" i="1"/>
  <c r="L368" i="1"/>
  <c r="L358" i="1"/>
  <c r="L127" i="1"/>
  <c r="L36" i="1"/>
  <c r="L2196" i="1"/>
  <c r="L1530" i="1"/>
  <c r="L124" i="1"/>
  <c r="L1993" i="1"/>
  <c r="L161" i="1"/>
  <c r="L139" i="1"/>
  <c r="L1596" i="1"/>
  <c r="L1781" i="1"/>
  <c r="L1031" i="1"/>
  <c r="L1167" i="1"/>
  <c r="L301" i="1"/>
  <c r="L504" i="1"/>
  <c r="L1053" i="1"/>
  <c r="L1384" i="1"/>
  <c r="L1782" i="1"/>
  <c r="L448" i="1"/>
  <c r="L1724" i="1"/>
  <c r="L2252" i="1"/>
  <c r="L1296" i="1"/>
  <c r="L1054" i="1"/>
  <c r="L1172" i="1"/>
  <c r="L1476" i="1"/>
  <c r="L2100" i="1"/>
  <c r="L1842" i="1"/>
  <c r="L1667" i="1"/>
  <c r="L1597" i="1"/>
  <c r="L1783" i="1"/>
  <c r="L1538" i="1"/>
  <c r="L1425" i="1"/>
  <c r="L833" i="1"/>
  <c r="L818" i="1"/>
  <c r="L846" i="1"/>
  <c r="L96" i="1"/>
  <c r="L473" i="1"/>
  <c r="L1539" i="1"/>
  <c r="L1128" i="1"/>
  <c r="L1477" i="1"/>
  <c r="L1213" i="1"/>
  <c r="L1173" i="1"/>
  <c r="L422" i="1"/>
  <c r="L958" i="1"/>
  <c r="L1058" i="1"/>
  <c r="L2197" i="1"/>
  <c r="L158" i="1"/>
  <c r="L1912" i="1"/>
  <c r="L1032" i="1"/>
  <c r="L140" i="1"/>
  <c r="L879" i="1"/>
  <c r="L720" i="1"/>
  <c r="L545" i="1"/>
  <c r="L866" i="1"/>
  <c r="L573" i="1"/>
  <c r="L744" i="1"/>
  <c r="L1426" i="1"/>
  <c r="L1427" i="1"/>
  <c r="L902" i="1"/>
  <c r="L1133" i="1"/>
  <c r="L1913" i="1"/>
  <c r="L1214" i="1"/>
  <c r="L1428" i="1"/>
  <c r="L1174" i="1"/>
  <c r="L1540" i="1"/>
  <c r="L214" i="1"/>
  <c r="L1843" i="1"/>
  <c r="L1784" i="1"/>
  <c r="L1785" i="1"/>
  <c r="L1257" i="1"/>
  <c r="L1297" i="1"/>
  <c r="L2101" i="1"/>
  <c r="L49" i="1"/>
  <c r="L306" i="1"/>
  <c r="L25" i="1"/>
  <c r="L924" i="1"/>
  <c r="L1914" i="1"/>
  <c r="L1215" i="1"/>
  <c r="L1385" i="1"/>
  <c r="L806" i="1"/>
  <c r="L28" i="1"/>
  <c r="L1386" i="1"/>
  <c r="L116" i="1"/>
  <c r="L601" i="1"/>
  <c r="L925" i="1"/>
  <c r="L1725" i="1"/>
  <c r="L847" i="1"/>
  <c r="L637" i="1"/>
  <c r="L805" i="1"/>
  <c r="L338" i="1"/>
  <c r="L1908" i="1"/>
  <c r="L1844" i="1"/>
  <c r="L1541" i="1"/>
  <c r="L509" i="1"/>
  <c r="L2002" i="1"/>
  <c r="L1598" i="1"/>
  <c r="L1429" i="1"/>
  <c r="L1110" i="1"/>
  <c r="L1298" i="1"/>
  <c r="L1726" i="1"/>
  <c r="L453" i="1"/>
  <c r="L209" i="1"/>
  <c r="L1134" i="1"/>
  <c r="L2102" i="1"/>
  <c r="L2003" i="1"/>
  <c r="L575" i="1"/>
  <c r="L99" i="1"/>
  <c r="L576" i="1"/>
  <c r="L105" i="1"/>
  <c r="L243" i="1"/>
  <c r="L291" i="1"/>
  <c r="L988" i="1"/>
  <c r="L2198" i="1"/>
  <c r="L2103" i="1"/>
  <c r="L2199" i="1"/>
  <c r="L2200" i="1"/>
  <c r="L530" i="1"/>
  <c r="L1786" i="1"/>
  <c r="L2085" i="1"/>
  <c r="L1299" i="1"/>
  <c r="L343" i="1"/>
  <c r="L962" i="1"/>
  <c r="L1599" i="1"/>
  <c r="L277" i="1"/>
  <c r="L325" i="1"/>
  <c r="L2096" i="1"/>
  <c r="L1727" i="1"/>
  <c r="L963" i="1"/>
  <c r="L2262" i="1"/>
  <c r="L2104" i="1"/>
  <c r="L1845" i="1"/>
  <c r="L321" i="1"/>
  <c r="L520" i="1"/>
  <c r="L462" i="1"/>
  <c r="L1005" i="1"/>
  <c r="L1719" i="1"/>
  <c r="L695" i="1"/>
  <c r="L2201" i="1"/>
  <c r="L1787" i="1"/>
  <c r="L2105" i="1"/>
  <c r="L863" i="1"/>
  <c r="L577" i="1"/>
  <c r="L602" i="1"/>
  <c r="L1846" i="1"/>
  <c r="L423" i="1"/>
  <c r="L772" i="1"/>
  <c r="L1079" i="1"/>
  <c r="L1915" i="1"/>
  <c r="L1526" i="1"/>
  <c r="L33" i="1"/>
  <c r="L1916" i="1"/>
  <c r="L1135" i="1"/>
  <c r="L733" i="1"/>
  <c r="L1728" i="1"/>
  <c r="L1209" i="1"/>
  <c r="L1600" i="1"/>
  <c r="L1033" i="1"/>
  <c r="L234" i="1"/>
  <c r="L641" i="1"/>
  <c r="L1300" i="1"/>
  <c r="L1301" i="1"/>
  <c r="L747" i="1"/>
  <c r="L1847" i="1"/>
  <c r="L281" i="1"/>
  <c r="L1668" i="1"/>
  <c r="L1175" i="1"/>
  <c r="L285" i="1"/>
  <c r="L2106" i="1"/>
  <c r="L391" i="1"/>
  <c r="L1729" i="1"/>
  <c r="L293" i="1"/>
  <c r="L2255" i="1"/>
  <c r="L1034" i="1"/>
  <c r="L721" i="1"/>
  <c r="L773" i="1"/>
  <c r="L1258" i="1"/>
  <c r="L1788" i="1"/>
  <c r="L2004" i="1"/>
  <c r="L1430" i="1"/>
  <c r="L1343" i="1"/>
  <c r="L130" i="1"/>
  <c r="L1669" i="1"/>
  <c r="L1035" i="1"/>
  <c r="L1542" i="1"/>
  <c r="L1601" i="1"/>
  <c r="L2202" i="1"/>
  <c r="L2005" i="1"/>
  <c r="L675" i="1"/>
  <c r="L2006" i="1"/>
  <c r="L1084" i="1"/>
  <c r="L2186" i="1"/>
  <c r="L2007" i="1"/>
  <c r="L2094" i="1"/>
  <c r="L1302" i="1"/>
  <c r="L1344" i="1"/>
  <c r="L294" i="1"/>
  <c r="L176" i="1"/>
  <c r="L2107" i="1"/>
  <c r="L355" i="1"/>
  <c r="L2008" i="1"/>
  <c r="L1252" i="1"/>
  <c r="L1602" i="1"/>
  <c r="L1730" i="1"/>
  <c r="L1431" i="1"/>
  <c r="L603" i="1"/>
  <c r="L1543" i="1"/>
  <c r="L340" i="1"/>
  <c r="L1216" i="1"/>
  <c r="L19" i="1"/>
  <c r="L251" i="1"/>
  <c r="L1544" i="1"/>
  <c r="L241" i="1"/>
  <c r="L2009" i="1"/>
  <c r="L2189" i="1"/>
  <c r="L2108" i="1"/>
  <c r="L1059" i="1"/>
  <c r="L1478" i="1"/>
  <c r="L2185" i="1"/>
  <c r="L650" i="1"/>
  <c r="L192" i="1"/>
  <c r="L1432" i="1"/>
  <c r="L466" i="1"/>
  <c r="L1773" i="1"/>
  <c r="L1603" i="1"/>
  <c r="L1345" i="1"/>
  <c r="L1917" i="1"/>
  <c r="L1731" i="1"/>
  <c r="L1303" i="1"/>
  <c r="L1217" i="1"/>
  <c r="L920" i="1"/>
  <c r="L880" i="1"/>
  <c r="L1918" i="1"/>
  <c r="L1919" i="1"/>
  <c r="L1479" i="1"/>
  <c r="L944" i="1"/>
  <c r="L1662" i="1"/>
  <c r="L165" i="1"/>
  <c r="L743" i="1"/>
  <c r="L1545" i="1"/>
  <c r="L2109" i="1"/>
  <c r="L2110" i="1"/>
  <c r="L2111" i="1"/>
  <c r="L1111" i="1"/>
  <c r="L2112" i="1"/>
  <c r="L135" i="1"/>
  <c r="L1176" i="1"/>
  <c r="L843" i="1"/>
  <c r="L491" i="1"/>
  <c r="L1920" i="1"/>
  <c r="L2010" i="1"/>
  <c r="L1774" i="1"/>
  <c r="L1921" i="1"/>
  <c r="L1085" i="1"/>
  <c r="L1304" i="1"/>
  <c r="L926" i="1"/>
  <c r="L2011" i="1"/>
  <c r="L1468" i="1"/>
  <c r="L1433" i="1"/>
  <c r="L1848" i="1"/>
  <c r="L201" i="1"/>
  <c r="L2012" i="1"/>
  <c r="L1259" i="1"/>
  <c r="L686" i="1"/>
  <c r="L1086" i="1"/>
  <c r="L722" i="1"/>
  <c r="L1218" i="1"/>
  <c r="L1006" i="1"/>
  <c r="L927" i="1"/>
  <c r="L238" i="1"/>
  <c r="L1922" i="1"/>
  <c r="L436" i="1"/>
  <c r="L881" i="1"/>
  <c r="L1387" i="1"/>
  <c r="L989" i="1"/>
  <c r="L1388" i="1"/>
  <c r="L1305" i="1"/>
  <c r="L1480" i="1"/>
  <c r="L704" i="1"/>
  <c r="L186" i="1"/>
  <c r="L2013" i="1"/>
  <c r="L1849" i="1"/>
  <c r="L2113" i="1"/>
  <c r="L1850" i="1"/>
  <c r="L1060" i="1"/>
  <c r="L1434" i="1"/>
  <c r="L2086" i="1"/>
  <c r="L1604" i="1"/>
  <c r="L696" i="1"/>
  <c r="L1851" i="1"/>
  <c r="L189" i="1"/>
  <c r="L1789" i="1"/>
  <c r="L357" i="1"/>
  <c r="L1389" i="1"/>
  <c r="L1852" i="1"/>
  <c r="L1546" i="1"/>
  <c r="L1547" i="1"/>
  <c r="L1790" i="1"/>
  <c r="L1346" i="1"/>
  <c r="L363" i="1"/>
  <c r="L638" i="1"/>
  <c r="L959" i="1"/>
  <c r="L1136" i="1"/>
  <c r="L1791" i="1"/>
  <c r="L1481" i="1"/>
  <c r="L372" i="1"/>
  <c r="L964" i="1"/>
  <c r="L1923" i="1"/>
  <c r="L1260" i="1"/>
  <c r="L1924" i="1"/>
  <c r="L2203" i="1"/>
  <c r="L1482" i="1"/>
  <c r="L432" i="1"/>
  <c r="L1107" i="1"/>
  <c r="L903" i="1"/>
  <c r="L2014" i="1"/>
  <c r="L1853" i="1"/>
  <c r="L1925" i="1"/>
  <c r="L1112" i="1"/>
  <c r="L261" i="1"/>
  <c r="L1113" i="1"/>
  <c r="L45" i="1"/>
  <c r="L474" i="1"/>
  <c r="L2083" i="1"/>
  <c r="L521" i="1"/>
  <c r="L2015" i="1"/>
  <c r="L600" i="1"/>
  <c r="L774" i="1"/>
  <c r="L1792" i="1"/>
  <c r="L210" i="1"/>
  <c r="L687" i="1"/>
  <c r="L2016" i="1"/>
  <c r="L481" i="1"/>
  <c r="L495" i="1"/>
  <c r="L1926" i="1"/>
  <c r="L1219" i="1"/>
  <c r="L807" i="1"/>
  <c r="L786" i="1"/>
  <c r="L1483" i="1"/>
  <c r="L1732" i="1"/>
  <c r="L315" i="1"/>
  <c r="L669" i="1"/>
  <c r="L567" i="1"/>
  <c r="L1435" i="1"/>
  <c r="L1261" i="1"/>
  <c r="L1605" i="1"/>
  <c r="L1606" i="1"/>
  <c r="L1347" i="1"/>
  <c r="L945" i="1"/>
  <c r="L1670" i="1"/>
  <c r="L629" i="1"/>
  <c r="L514" i="1"/>
  <c r="L205" i="1"/>
  <c r="L1220" i="1"/>
  <c r="L624" i="1"/>
  <c r="L413" i="1"/>
  <c r="L1007" i="1"/>
  <c r="L2092" i="1"/>
  <c r="L2180" i="1"/>
  <c r="L1927" i="1"/>
  <c r="L424" i="1"/>
  <c r="L400" i="1"/>
  <c r="L562" i="1"/>
  <c r="L612" i="1"/>
  <c r="L296" i="1"/>
  <c r="L117" i="1"/>
  <c r="L258" i="1"/>
  <c r="L1306" i="1"/>
  <c r="L237" i="1"/>
  <c r="L2204" i="1"/>
  <c r="L1036" i="1"/>
  <c r="L1114" i="1"/>
  <c r="L1928" i="1"/>
  <c r="L88" i="1"/>
  <c r="L834" i="1"/>
  <c r="L1390" i="1"/>
  <c r="L1837" i="1"/>
  <c r="L239" i="1"/>
  <c r="L1671" i="1"/>
  <c r="L1484" i="1"/>
  <c r="L76" i="1"/>
  <c r="L1485" i="1"/>
  <c r="L50" i="1"/>
  <c r="L563" i="1"/>
  <c r="L162" i="1"/>
  <c r="L965" i="1"/>
  <c r="L273" i="1"/>
  <c r="L2114" i="1"/>
  <c r="L583" i="1"/>
  <c r="L1008" i="1"/>
  <c r="L1137" i="1"/>
  <c r="L1548" i="1"/>
  <c r="L1221" i="1"/>
  <c r="L312" i="1"/>
  <c r="L1177" i="1"/>
  <c r="L1037" i="1"/>
  <c r="L57" i="1"/>
  <c r="L1348" i="1"/>
  <c r="L1549" i="1"/>
  <c r="L748" i="1"/>
  <c r="L2091" i="1"/>
  <c r="L1349" i="1"/>
  <c r="L1929" i="1"/>
  <c r="L697" i="1"/>
  <c r="L1733" i="1"/>
  <c r="L1061" i="1"/>
  <c r="L182" i="1"/>
  <c r="L308" i="1"/>
  <c r="L1436" i="1"/>
  <c r="L904" i="1"/>
  <c r="L1672" i="1"/>
  <c r="L1930" i="1"/>
  <c r="L1178" i="1"/>
  <c r="L17" i="1"/>
  <c r="L648" i="1"/>
  <c r="L20" i="1"/>
  <c r="L676" i="1"/>
  <c r="L482" i="1"/>
  <c r="L1734" i="1"/>
  <c r="L1793" i="1"/>
  <c r="L2115" i="1"/>
  <c r="L2017" i="1"/>
  <c r="L1735" i="1"/>
  <c r="L2093" i="1"/>
  <c r="L875" i="1"/>
  <c r="L365" i="1"/>
  <c r="L1486" i="1"/>
  <c r="L1262" i="1"/>
  <c r="L77" i="1"/>
  <c r="L2018" i="1"/>
  <c r="L1336" i="1"/>
  <c r="L1673" i="1"/>
  <c r="L242" i="1"/>
  <c r="L1062" i="1"/>
  <c r="L103" i="1"/>
  <c r="L1263" i="1"/>
  <c r="L344" i="1"/>
  <c r="L191" i="1"/>
  <c r="L1063" i="1"/>
  <c r="L2205" i="1"/>
  <c r="L1038" i="1"/>
  <c r="L1391" i="1"/>
  <c r="L593" i="1"/>
  <c r="L1607" i="1"/>
  <c r="L51" i="1"/>
  <c r="L604" i="1"/>
  <c r="L2019" i="1"/>
  <c r="L1674" i="1"/>
  <c r="L848" i="1"/>
  <c r="L705" i="1"/>
  <c r="L2187" i="1"/>
  <c r="L1931" i="1"/>
  <c r="L1904" i="1"/>
  <c r="L68" i="1"/>
  <c r="L1087" i="1"/>
  <c r="L1307" i="1"/>
  <c r="L1525" i="1"/>
  <c r="L62" i="1"/>
  <c r="L729" i="1"/>
  <c r="L1295" i="1"/>
  <c r="L1461" i="1"/>
  <c r="L1378" i="1"/>
  <c r="L184" i="1"/>
  <c r="L269" i="1"/>
  <c r="L1527" i="1"/>
  <c r="L2116" i="1"/>
  <c r="L578" i="1"/>
  <c r="L1264" i="1"/>
  <c r="L1392" i="1"/>
  <c r="L1675" i="1"/>
  <c r="L990" i="1"/>
  <c r="L835" i="1"/>
  <c r="L1393" i="1"/>
  <c r="L2020" i="1"/>
  <c r="L1138" i="1"/>
  <c r="L1222" i="1"/>
  <c r="L456" i="1"/>
  <c r="L1854" i="1"/>
  <c r="L1550" i="1"/>
  <c r="L2117" i="1"/>
  <c r="L793" i="1"/>
  <c r="L302" i="1"/>
  <c r="L1608" i="1"/>
  <c r="L2118" i="1"/>
  <c r="L1794" i="1"/>
  <c r="L1609" i="1"/>
  <c r="L670" i="1"/>
  <c r="L2119" i="1"/>
  <c r="L734" i="1"/>
  <c r="L584" i="1"/>
  <c r="L585" i="1"/>
  <c r="L625" i="1"/>
  <c r="L2206" i="1"/>
  <c r="L1179" i="1"/>
  <c r="L1265" i="1"/>
  <c r="L1488" i="1"/>
  <c r="L1676" i="1"/>
  <c r="L303" i="1"/>
  <c r="L1587" i="1"/>
  <c r="L1180" i="1"/>
  <c r="L167" i="1"/>
  <c r="L1610" i="1"/>
  <c r="L1109" i="1"/>
  <c r="L505" i="1"/>
  <c r="L1039" i="1"/>
  <c r="L440" i="1"/>
  <c r="L1437" i="1"/>
  <c r="L2021" i="1"/>
  <c r="L928" i="1"/>
  <c r="L794" i="1"/>
  <c r="L522" i="1"/>
  <c r="L111" i="1"/>
  <c r="L1932" i="1"/>
  <c r="L929" i="1"/>
  <c r="L1489" i="1"/>
  <c r="L1139" i="1"/>
  <c r="L651" i="1"/>
  <c r="L318" i="1"/>
  <c r="L820" i="1"/>
  <c r="L1551" i="1"/>
  <c r="L639" i="1"/>
  <c r="L1266" i="1"/>
  <c r="L292" i="1"/>
  <c r="L1552" i="1"/>
  <c r="L1933" i="1"/>
  <c r="L677" i="1"/>
  <c r="L2022" i="1"/>
  <c r="L2023" i="1"/>
  <c r="L125" i="1"/>
  <c r="L146" i="1"/>
  <c r="L9" i="1"/>
  <c r="L1394" i="1"/>
  <c r="L849" i="1"/>
  <c r="L431" i="1"/>
  <c r="L1677" i="1"/>
  <c r="L930" i="1"/>
  <c r="L1529" i="1"/>
  <c r="L397" i="1"/>
  <c r="L706" i="1"/>
  <c r="L1934" i="1"/>
  <c r="L619" i="1"/>
  <c r="L10" i="1"/>
  <c r="L2087" i="1"/>
  <c r="L2095" i="1"/>
  <c r="L2120" i="1"/>
  <c r="L579" i="1"/>
  <c r="L1855" i="1"/>
  <c r="L1223" i="1"/>
  <c r="L1935" i="1"/>
  <c r="L1736" i="1"/>
  <c r="L1064" i="1"/>
  <c r="L898" i="1"/>
  <c r="L698" i="1"/>
  <c r="L882" i="1"/>
  <c r="L425" i="1"/>
  <c r="L1224" i="1"/>
  <c r="L1856" i="1"/>
  <c r="L850" i="1"/>
  <c r="L1438" i="1"/>
  <c r="L486" i="1"/>
  <c r="L2207" i="1"/>
  <c r="L1350" i="1"/>
  <c r="L851" i="1"/>
  <c r="L1611" i="1"/>
  <c r="L1531" i="1"/>
  <c r="L1267" i="1"/>
  <c r="L2024" i="1"/>
  <c r="L1395" i="1"/>
  <c r="L760" i="1"/>
  <c r="L467" i="1"/>
  <c r="L2025" i="1"/>
  <c r="L35" i="1"/>
  <c r="L169" i="1"/>
  <c r="L808" i="1"/>
  <c r="L65" i="1"/>
  <c r="L1612" i="1"/>
  <c r="L1613" i="1"/>
  <c r="L1181" i="1"/>
  <c r="L248" i="1"/>
  <c r="L1351" i="1"/>
  <c r="L322" i="1"/>
  <c r="L345" i="1"/>
  <c r="L1614" i="1"/>
  <c r="L1182" i="1"/>
  <c r="L1772" i="1"/>
  <c r="L383" i="1"/>
  <c r="L2208" i="1"/>
  <c r="L319" i="1"/>
  <c r="L1308" i="1"/>
  <c r="L499" i="1"/>
  <c r="L1352" i="1"/>
  <c r="L1936" i="1"/>
  <c r="L1469" i="1"/>
  <c r="L2209" i="1"/>
  <c r="L1795" i="1"/>
  <c r="L348" i="1"/>
  <c r="L475" i="1"/>
  <c r="L900" i="1"/>
  <c r="L259" i="1"/>
  <c r="L1140" i="1"/>
  <c r="L1490" i="1"/>
  <c r="L1937" i="1"/>
  <c r="L1225" i="1"/>
  <c r="L671" i="1"/>
  <c r="L1396" i="1"/>
  <c r="L2210" i="1"/>
  <c r="L1857" i="1"/>
  <c r="L931" i="1"/>
  <c r="L67" i="1"/>
  <c r="L1938" i="1"/>
  <c r="L1835" i="1"/>
  <c r="L42" i="1"/>
  <c r="L1939" i="1"/>
  <c r="L465" i="1"/>
  <c r="L1659" i="1"/>
  <c r="L556" i="1"/>
  <c r="L2026" i="1"/>
  <c r="L966" i="1"/>
  <c r="L2121" i="1"/>
  <c r="L27" i="1"/>
  <c r="L1226" i="1"/>
  <c r="L150" i="1"/>
  <c r="L1009" i="1"/>
  <c r="L1353" i="1"/>
  <c r="L1040" i="1"/>
  <c r="L1254" i="1"/>
  <c r="L1288" i="1"/>
  <c r="L173" i="1"/>
  <c r="L262" i="1"/>
  <c r="L2253" i="1"/>
  <c r="L821" i="1"/>
  <c r="L905" i="1"/>
  <c r="L1678" i="1"/>
  <c r="L1131" i="1"/>
  <c r="L320" i="1"/>
  <c r="L69" i="1"/>
  <c r="L1337" i="1"/>
  <c r="L1553" i="1"/>
  <c r="L1227" i="1"/>
  <c r="L1940" i="1"/>
  <c r="L946" i="1"/>
  <c r="L967" i="1"/>
  <c r="L264" i="1"/>
  <c r="L1720" i="1"/>
  <c r="L531" i="1"/>
  <c r="L218" i="1"/>
  <c r="L2027" i="1"/>
  <c r="L707" i="1"/>
  <c r="L2211" i="1"/>
  <c r="L568" i="1"/>
  <c r="L479" i="1"/>
  <c r="L1041" i="1"/>
  <c r="L177" i="1"/>
  <c r="L1491" i="1"/>
  <c r="L2028" i="1"/>
  <c r="L1141" i="1"/>
  <c r="L883" i="1"/>
  <c r="L2122" i="1"/>
  <c r="L750" i="1"/>
  <c r="L1088" i="1"/>
  <c r="L761" i="1"/>
  <c r="L510" i="1"/>
  <c r="L1268" i="1"/>
  <c r="L1269" i="1"/>
  <c r="L31" i="1"/>
  <c r="L404" i="1"/>
  <c r="L1941" i="1"/>
  <c r="L762" i="1"/>
  <c r="L1858" i="1"/>
  <c r="L1492" i="1"/>
  <c r="L620" i="1"/>
  <c r="L1115" i="1"/>
  <c r="L2029" i="1"/>
  <c r="L1942" i="1"/>
  <c r="L630" i="1"/>
  <c r="L867" i="1"/>
  <c r="L1439" i="1"/>
  <c r="L24" i="1"/>
  <c r="L1737" i="1"/>
  <c r="L569" i="1"/>
  <c r="L1796" i="1"/>
  <c r="L1089" i="1"/>
  <c r="L1228" i="1"/>
  <c r="L1615" i="1"/>
  <c r="L1397" i="1"/>
  <c r="L1859" i="1"/>
  <c r="L852" i="1"/>
  <c r="L2123" i="1"/>
  <c r="L1398" i="1"/>
  <c r="L1797" i="1"/>
  <c r="L1860" i="1"/>
  <c r="L153" i="1"/>
  <c r="L394" i="1"/>
  <c r="L1183" i="1"/>
  <c r="L32" i="1"/>
  <c r="L991" i="1"/>
  <c r="L708" i="1"/>
  <c r="L526" i="1"/>
  <c r="L483" i="1"/>
  <c r="L1861" i="1"/>
  <c r="L274" i="1"/>
  <c r="L1090" i="1"/>
  <c r="L414" i="1"/>
  <c r="L2212" i="1"/>
  <c r="L313" i="1"/>
  <c r="L751" i="1"/>
  <c r="L1943" i="1"/>
  <c r="L1554" i="1"/>
  <c r="L1142" i="1"/>
  <c r="L230" i="1"/>
  <c r="L1679" i="1"/>
  <c r="L932" i="1"/>
  <c r="L74" i="1"/>
  <c r="L541" i="1"/>
  <c r="L204" i="1"/>
  <c r="L699" i="1"/>
  <c r="L884" i="1"/>
  <c r="L822" i="1"/>
  <c r="L1738" i="1"/>
  <c r="L1229" i="1"/>
  <c r="L661" i="1"/>
  <c r="L570" i="1"/>
  <c r="L775" i="1"/>
  <c r="L735" i="1"/>
  <c r="L1944" i="1"/>
  <c r="L1399" i="1"/>
  <c r="L947" i="1"/>
  <c r="L1493" i="1"/>
  <c r="L492" i="1"/>
  <c r="L1065" i="1"/>
  <c r="L1494" i="1"/>
  <c r="L1495" i="1"/>
  <c r="L1862" i="1"/>
  <c r="L2124" i="1"/>
  <c r="L564" i="1"/>
  <c r="L1042" i="1"/>
  <c r="L1798" i="1"/>
  <c r="L1680" i="1"/>
  <c r="L2213" i="1"/>
  <c r="L1130" i="1"/>
  <c r="L181" i="1"/>
  <c r="L369" i="1"/>
  <c r="L441" i="1"/>
  <c r="L1945" i="1"/>
  <c r="L55" i="1"/>
  <c r="L1528" i="1"/>
  <c r="L1661" i="1"/>
  <c r="L613" i="1"/>
  <c r="L1799" i="1"/>
  <c r="L899" i="1"/>
  <c r="L1354" i="1"/>
  <c r="L1355" i="1"/>
  <c r="L1739" i="1"/>
  <c r="L1184" i="1"/>
  <c r="L278" i="1"/>
  <c r="L1946" i="1"/>
  <c r="L1555" i="1"/>
  <c r="L688" i="1"/>
  <c r="L1947" i="1"/>
  <c r="L1270" i="1"/>
  <c r="L1863" i="1"/>
  <c r="L442" i="1"/>
  <c r="L1864" i="1"/>
  <c r="L2260" i="1"/>
  <c r="L1948" i="1"/>
  <c r="L709" i="1"/>
  <c r="L145" i="1"/>
  <c r="L665" i="1"/>
  <c r="L484" i="1"/>
  <c r="L594" i="1"/>
  <c r="L178" i="1"/>
  <c r="L885" i="1"/>
  <c r="L2125" i="1"/>
  <c r="L906" i="1"/>
  <c r="L375" i="1"/>
  <c r="L868" i="1"/>
  <c r="L948" i="1"/>
  <c r="L574" i="1"/>
  <c r="L1556" i="1"/>
  <c r="L823" i="1"/>
  <c r="L710" i="1"/>
  <c r="L430" i="1"/>
  <c r="L1289" i="1"/>
  <c r="L1681" i="1"/>
  <c r="L40" i="1"/>
  <c r="L1557" i="1"/>
  <c r="L1740" i="1"/>
  <c r="L1989" i="1"/>
  <c r="L1775" i="1"/>
  <c r="L1558" i="1"/>
  <c r="L1616" i="1"/>
  <c r="L2126" i="1"/>
  <c r="L763" i="1"/>
  <c r="L642" i="1"/>
  <c r="L836" i="1"/>
  <c r="L170" i="1"/>
  <c r="L1800" i="1"/>
  <c r="L123" i="1"/>
  <c r="L711" i="1"/>
  <c r="L1801" i="1"/>
  <c r="L337" i="1"/>
  <c r="L795" i="1"/>
  <c r="L1230" i="1"/>
  <c r="L1496" i="1"/>
  <c r="L1559" i="1"/>
  <c r="L506" i="1"/>
  <c r="L837" i="1"/>
  <c r="L1682" i="1"/>
  <c r="L1683" i="1"/>
  <c r="L2127" i="1"/>
  <c r="L1617" i="1"/>
  <c r="L1741" i="1"/>
  <c r="L1309" i="1"/>
  <c r="L213" i="1"/>
  <c r="L113" i="1"/>
  <c r="L1010" i="1"/>
  <c r="L1207" i="1"/>
  <c r="L131" i="1"/>
  <c r="L1742" i="1"/>
  <c r="L2030" i="1"/>
  <c r="L1168" i="1"/>
  <c r="L392" i="1"/>
  <c r="L1618" i="1"/>
  <c r="L1271" i="1"/>
  <c r="L1865" i="1"/>
  <c r="L1463" i="1"/>
  <c r="L1043" i="1"/>
  <c r="L1108" i="1"/>
  <c r="L1866" i="1"/>
  <c r="L546" i="1"/>
  <c r="L1684" i="1"/>
  <c r="L736" i="1"/>
  <c r="L2031" i="1"/>
  <c r="L1185" i="1"/>
  <c r="L2032" i="1"/>
  <c r="L678" i="1"/>
  <c r="L565" i="1"/>
  <c r="L1497" i="1"/>
  <c r="L1802" i="1"/>
  <c r="L700" i="1"/>
  <c r="L764" i="1"/>
  <c r="L1186" i="1"/>
  <c r="L712" i="1"/>
  <c r="L1498" i="1"/>
  <c r="L376" i="1"/>
  <c r="L1066" i="1"/>
  <c r="L796" i="1"/>
  <c r="L1949" i="1"/>
  <c r="L1685" i="1"/>
  <c r="L2176" i="1"/>
  <c r="L1251" i="1"/>
  <c r="L1400" i="1"/>
  <c r="L1187" i="1"/>
  <c r="L1272" i="1"/>
  <c r="L487" i="1"/>
  <c r="L48" i="1"/>
  <c r="L809" i="1"/>
  <c r="L212" i="1"/>
  <c r="L933" i="1"/>
  <c r="L1011" i="1"/>
  <c r="L1619" i="1"/>
  <c r="L649" i="1"/>
  <c r="L336" i="1"/>
  <c r="L1310" i="1"/>
  <c r="L771" i="1"/>
  <c r="L2033" i="1"/>
  <c r="L723" i="1"/>
  <c r="L1992" i="1"/>
  <c r="L776" i="1"/>
  <c r="L1273" i="1"/>
  <c r="L420" i="1"/>
  <c r="L476" i="1"/>
  <c r="L1620" i="1"/>
  <c r="L1274" i="1"/>
  <c r="L2214" i="1"/>
  <c r="L1499" i="1"/>
  <c r="L1002" i="1"/>
  <c r="L1275" i="1"/>
  <c r="L1560" i="1"/>
  <c r="L1743" i="1"/>
  <c r="L2128" i="1"/>
  <c r="L71" i="1"/>
  <c r="L410" i="1"/>
  <c r="L1356" i="1"/>
  <c r="L652" i="1"/>
  <c r="L1621" i="1"/>
  <c r="L377" i="1"/>
  <c r="L1091" i="1"/>
  <c r="L886" i="1"/>
  <c r="L329" i="1"/>
  <c r="L23" i="1"/>
  <c r="L1116" i="1"/>
  <c r="L63" i="1"/>
  <c r="L1188" i="1"/>
  <c r="L1401" i="1"/>
  <c r="L2034" i="1"/>
  <c r="L231" i="1"/>
  <c r="L354" i="1"/>
  <c r="L765" i="1"/>
  <c r="L555" i="1"/>
  <c r="L2035" i="1"/>
  <c r="L934" i="1"/>
  <c r="L668" i="1"/>
  <c r="L1867" i="1"/>
  <c r="L497" i="1"/>
  <c r="L14" i="1"/>
  <c r="L1561" i="1"/>
  <c r="L417" i="1"/>
  <c r="L2036" i="1"/>
  <c r="L1950" i="1"/>
  <c r="L2129" i="1"/>
  <c r="L455" i="1"/>
  <c r="L1143" i="1"/>
  <c r="L224" i="1"/>
  <c r="L310" i="1"/>
  <c r="L907" i="1"/>
  <c r="L1012" i="1"/>
  <c r="L1622" i="1"/>
  <c r="L2215" i="1"/>
  <c r="L1144" i="1"/>
  <c r="L1440" i="1"/>
  <c r="L2130" i="1"/>
  <c r="L1441" i="1"/>
  <c r="L1803" i="1"/>
  <c r="L1466" i="1"/>
  <c r="L685" i="1"/>
  <c r="L2037" i="1"/>
  <c r="L1402" i="1"/>
  <c r="L227" i="1"/>
  <c r="L1189" i="1"/>
  <c r="L605" i="1"/>
  <c r="L1660" i="1"/>
  <c r="L1592" i="1"/>
  <c r="L968" i="1"/>
  <c r="L287" i="1"/>
  <c r="L2131" i="1"/>
  <c r="L992" i="1"/>
  <c r="L1276" i="1"/>
  <c r="L2216" i="1"/>
  <c r="L297" i="1"/>
  <c r="L2132" i="1"/>
  <c r="L503" i="1"/>
  <c r="L1868" i="1"/>
  <c r="L2133" i="1"/>
  <c r="L1145" i="1"/>
  <c r="L1357" i="1"/>
  <c r="L1991" i="1"/>
  <c r="L777" i="1"/>
  <c r="L1146" i="1"/>
  <c r="L824" i="1"/>
  <c r="L1903" i="1"/>
  <c r="L1686" i="1"/>
  <c r="L82" i="1"/>
  <c r="L1744" i="1"/>
  <c r="L766" i="1"/>
  <c r="L571" i="1"/>
  <c r="L1562" i="1"/>
  <c r="L401" i="1"/>
  <c r="L1442" i="1"/>
  <c r="L810" i="1"/>
  <c r="L1277" i="1"/>
  <c r="L1190" i="1"/>
  <c r="L304" i="1"/>
  <c r="L825" i="1"/>
  <c r="L1804" i="1"/>
  <c r="L1869" i="1"/>
  <c r="L385" i="1"/>
  <c r="L853" i="1"/>
  <c r="L1805" i="1"/>
  <c r="L1623" i="1"/>
  <c r="L993" i="1"/>
  <c r="L1687" i="1"/>
  <c r="L1951" i="1"/>
  <c r="L1311" i="1"/>
  <c r="L1806" i="1"/>
  <c r="L701" i="1"/>
  <c r="L1870" i="1"/>
  <c r="L2134" i="1"/>
  <c r="L2135" i="1"/>
  <c r="L877" i="1"/>
  <c r="L1052" i="1"/>
  <c r="L767" i="1"/>
  <c r="L811" i="1"/>
  <c r="L387" i="1"/>
  <c r="L1312" i="1"/>
  <c r="L11" i="1"/>
  <c r="L1500" i="1"/>
  <c r="L2136" i="1"/>
  <c r="L433" i="1"/>
  <c r="L2184" i="1"/>
  <c r="L1871" i="1"/>
  <c r="L1403" i="1"/>
  <c r="L1807" i="1"/>
  <c r="L580" i="1"/>
  <c r="L1404" i="1"/>
  <c r="L1231" i="1"/>
  <c r="L2137" i="1"/>
  <c r="L994" i="1"/>
  <c r="L1117" i="1"/>
  <c r="L969" i="1"/>
  <c r="L206" i="1"/>
  <c r="L1745" i="1"/>
  <c r="L496" i="1"/>
  <c r="L1358" i="1"/>
  <c r="L171" i="1"/>
  <c r="L91" i="1"/>
  <c r="L1746" i="1"/>
  <c r="L887" i="1"/>
  <c r="L888" i="1"/>
  <c r="L844" i="1"/>
  <c r="L1688" i="1"/>
  <c r="L215" i="1"/>
  <c r="L168" i="1"/>
  <c r="L154" i="1"/>
  <c r="L941" i="1"/>
  <c r="L12" i="1"/>
  <c r="L147" i="1"/>
  <c r="L2038" i="1"/>
  <c r="L493" i="1"/>
  <c r="L1563" i="1"/>
  <c r="L1067" i="1"/>
  <c r="L2217" i="1"/>
  <c r="L1501" i="1"/>
  <c r="L713" i="1"/>
  <c r="L1278" i="1"/>
  <c r="L152" i="1"/>
  <c r="L92" i="1"/>
  <c r="L595" i="1"/>
  <c r="L949" i="1"/>
  <c r="L1590" i="1"/>
  <c r="L2039" i="1"/>
  <c r="L1564" i="1"/>
  <c r="L38" i="1"/>
  <c r="L1279" i="1"/>
  <c r="L1872" i="1"/>
  <c r="L2138" i="1"/>
  <c r="L2139" i="1"/>
  <c r="L1147" i="1"/>
  <c r="L1565" i="1"/>
  <c r="L838" i="1"/>
  <c r="L1359" i="1"/>
  <c r="L1808" i="1"/>
  <c r="L1443" i="1"/>
  <c r="L295" i="1"/>
  <c r="L1952" i="1"/>
  <c r="L1405" i="1"/>
  <c r="L1953" i="1"/>
  <c r="L1624" i="1"/>
  <c r="L402" i="1"/>
  <c r="L1232" i="1"/>
  <c r="L1747" i="1"/>
  <c r="L1954" i="1"/>
  <c r="L1873" i="1"/>
  <c r="L2218" i="1"/>
  <c r="L252" i="1"/>
  <c r="L557" i="1"/>
  <c r="L1955" i="1"/>
  <c r="L351" i="1"/>
  <c r="L2140" i="1"/>
  <c r="L2141" i="1"/>
  <c r="L1874" i="1"/>
  <c r="L144" i="1"/>
  <c r="L1444" i="1"/>
  <c r="L1406" i="1"/>
  <c r="L1092" i="1"/>
  <c r="L1069" i="1"/>
  <c r="L542" i="1"/>
  <c r="L1768" i="1"/>
  <c r="L783" i="1"/>
  <c r="L1044" i="1"/>
  <c r="L1956" i="1"/>
  <c r="L1957" i="1"/>
  <c r="L1003" i="1"/>
  <c r="L216" i="1"/>
  <c r="L407" i="1"/>
  <c r="L1748" i="1"/>
  <c r="L1958" i="1"/>
  <c r="L54" i="1"/>
  <c r="L1689" i="1"/>
  <c r="L1625" i="1"/>
  <c r="L1360" i="1"/>
  <c r="L1361" i="1"/>
  <c r="L889" i="1"/>
  <c r="L970" i="1"/>
  <c r="L1233" i="1"/>
  <c r="L246" i="1"/>
  <c r="L1191" i="1"/>
  <c r="L586" i="1"/>
  <c r="L787" i="1"/>
  <c r="L1809" i="1"/>
  <c r="L16" i="1"/>
  <c r="L188" i="1"/>
  <c r="L643" i="1"/>
  <c r="L950" i="1"/>
  <c r="L1959" i="1"/>
  <c r="L1875" i="1"/>
  <c r="L550" i="1"/>
  <c r="L37" i="1"/>
  <c r="L2219" i="1"/>
  <c r="L1626" i="1"/>
  <c r="L437" i="1"/>
  <c r="L951" i="1"/>
  <c r="L1690" i="1"/>
  <c r="L1381" i="1"/>
  <c r="L1588" i="1"/>
  <c r="L730" i="1"/>
  <c r="L172" i="1"/>
  <c r="L1013" i="1"/>
  <c r="L408" i="1"/>
  <c r="L1502" i="1"/>
  <c r="L73" i="1"/>
  <c r="L1902" i="1"/>
  <c r="L549" i="1"/>
  <c r="L1148" i="1"/>
  <c r="L653" i="1"/>
  <c r="L100" i="1"/>
  <c r="L2142" i="1"/>
  <c r="L515" i="1"/>
  <c r="L1313" i="1"/>
  <c r="L1627" i="1"/>
  <c r="L2040" i="1"/>
  <c r="L826" i="1"/>
  <c r="L217" i="1"/>
  <c r="L272" i="1"/>
  <c r="L1149" i="1"/>
  <c r="L2041" i="1"/>
  <c r="L1628" i="1"/>
  <c r="L1589" i="1"/>
  <c r="L632" i="1"/>
  <c r="L1503" i="1"/>
  <c r="L221" i="1"/>
  <c r="L1014" i="1"/>
  <c r="L1629" i="1"/>
  <c r="L349" i="1"/>
  <c r="L83" i="1"/>
  <c r="L1876" i="1"/>
  <c r="L539" i="1"/>
  <c r="L1960" i="1"/>
  <c r="L527" i="1"/>
  <c r="L1082" i="1"/>
  <c r="L667" i="1"/>
  <c r="L2220" i="1"/>
  <c r="L2190" i="1"/>
  <c r="L1445" i="1"/>
  <c r="L2143" i="1"/>
  <c r="L1877" i="1"/>
  <c r="L1878" i="1"/>
  <c r="L500" i="1"/>
  <c r="L1566" i="1"/>
  <c r="L1234" i="1"/>
  <c r="L971" i="1"/>
  <c r="L558" i="1"/>
  <c r="L426" i="1"/>
  <c r="L2042" i="1"/>
  <c r="L89" i="1"/>
  <c r="L1446" i="1"/>
  <c r="L995" i="1"/>
  <c r="L1093" i="1"/>
  <c r="L528" i="1"/>
  <c r="L1810" i="1"/>
  <c r="L1070" i="1"/>
  <c r="L1691" i="1"/>
  <c r="L2266" i="1"/>
  <c r="L2261" i="1"/>
  <c r="L174" i="1"/>
  <c r="L470" i="1"/>
  <c r="L628" i="1"/>
  <c r="L1094" i="1"/>
  <c r="L2043" i="1"/>
  <c r="L1749" i="1"/>
  <c r="L1567" i="1"/>
  <c r="L1568" i="1"/>
  <c r="L378" i="1"/>
  <c r="L972" i="1"/>
  <c r="L1811" i="1"/>
  <c r="L1569" i="1"/>
  <c r="L547" i="1"/>
  <c r="L1692" i="1"/>
  <c r="L812" i="1"/>
  <c r="L164" i="1"/>
  <c r="L2044" i="1"/>
  <c r="L326" i="1"/>
  <c r="L1045" i="1"/>
  <c r="L737" i="1"/>
  <c r="L2267" i="1"/>
  <c r="L1280" i="1"/>
  <c r="L1362" i="1"/>
  <c r="L654" i="1"/>
  <c r="L1071" i="1"/>
  <c r="L142" i="1"/>
  <c r="L854" i="1"/>
  <c r="L855" i="1"/>
  <c r="L30" i="1"/>
  <c r="L1235" i="1"/>
  <c r="L2045" i="1"/>
  <c r="L2221" i="1"/>
  <c r="L1015" i="1"/>
  <c r="L1236" i="1"/>
  <c r="L1407" i="1"/>
  <c r="L908" i="1"/>
  <c r="L890" i="1"/>
  <c r="L148" i="1"/>
  <c r="L973" i="1"/>
  <c r="L136" i="1"/>
  <c r="L1812" i="1"/>
  <c r="L1314" i="1"/>
  <c r="L2222" i="1"/>
  <c r="L1879" i="1"/>
  <c r="L1016" i="1"/>
  <c r="L307" i="1"/>
  <c r="L22" i="1"/>
  <c r="L1095" i="1"/>
  <c r="L2144" i="1"/>
  <c r="L752" i="1"/>
  <c r="L1591" i="1"/>
  <c r="L119" i="1"/>
  <c r="L1767" i="1"/>
  <c r="L2223" i="1"/>
  <c r="L244" i="1"/>
  <c r="L827" i="1"/>
  <c r="L1905" i="1"/>
  <c r="L1408" i="1"/>
  <c r="L1150" i="1"/>
  <c r="L1836" i="1"/>
  <c r="L778" i="1"/>
  <c r="L2046" i="1"/>
  <c r="L151" i="1"/>
  <c r="L15" i="1"/>
  <c r="L1118" i="1"/>
  <c r="L1838" i="1"/>
  <c r="L460" i="1"/>
  <c r="L1813" i="1"/>
  <c r="L219" i="1"/>
  <c r="L260" i="1"/>
  <c r="L644" i="1"/>
  <c r="L813" i="1"/>
  <c r="L1250" i="1"/>
  <c r="L2145" i="1"/>
  <c r="L1027" i="1"/>
  <c r="L1961" i="1"/>
  <c r="L1315" i="1"/>
  <c r="L606" i="1"/>
  <c r="L1630" i="1"/>
  <c r="L596" i="1"/>
  <c r="L1419" i="1"/>
  <c r="L1151" i="1"/>
  <c r="L2047" i="1"/>
  <c r="L1192" i="1"/>
  <c r="L1237" i="1"/>
  <c r="L2259" i="1"/>
  <c r="L2224" i="1"/>
  <c r="L572" i="1"/>
  <c r="L59" i="1"/>
  <c r="L2048" i="1"/>
  <c r="L2225" i="1"/>
  <c r="L1292" i="1"/>
  <c r="L1119" i="1"/>
  <c r="L891" i="1"/>
  <c r="L1570" i="1"/>
  <c r="L1293" i="1"/>
  <c r="L1663" i="1"/>
  <c r="L679" i="1"/>
  <c r="L1363" i="1"/>
  <c r="L1316" i="1"/>
  <c r="L72" i="1"/>
  <c r="L1281" i="1"/>
  <c r="L655" i="1"/>
  <c r="L1504" i="1"/>
  <c r="L1193" i="1"/>
  <c r="L742" i="1"/>
  <c r="L29" i="1"/>
  <c r="L2226" i="1"/>
  <c r="L996" i="1"/>
  <c r="L1194" i="1"/>
  <c r="L869" i="1"/>
  <c r="L2227" i="1"/>
  <c r="L1447" i="1"/>
  <c r="L507" i="1"/>
  <c r="L1693" i="1"/>
  <c r="L95" i="1"/>
  <c r="L190" i="1"/>
  <c r="L986" i="1"/>
  <c r="L451" i="1"/>
  <c r="L199" i="1"/>
  <c r="L157" i="1"/>
  <c r="L128" i="1"/>
  <c r="L2049" i="1"/>
  <c r="L1694" i="1"/>
  <c r="L1448" i="1"/>
  <c r="L2228" i="1"/>
  <c r="L839" i="1"/>
  <c r="L1631" i="1"/>
  <c r="L2050" i="1"/>
  <c r="L1571" i="1"/>
  <c r="L1467" i="1"/>
  <c r="L1632" i="1"/>
  <c r="L1750" i="1"/>
  <c r="L1120" i="1"/>
  <c r="L1195" i="1"/>
  <c r="L1505" i="1"/>
  <c r="L1317" i="1"/>
  <c r="L952" i="1"/>
  <c r="L1506" i="1"/>
  <c r="L1152" i="1"/>
  <c r="L974" i="1"/>
  <c r="L997" i="1"/>
  <c r="L828" i="1"/>
  <c r="L1096" i="1"/>
  <c r="L1449" i="1"/>
  <c r="L1695" i="1"/>
  <c r="L1409" i="1"/>
  <c r="L1814" i="1"/>
  <c r="L1572" i="1"/>
  <c r="L559" i="1"/>
  <c r="L1815" i="1"/>
  <c r="L118" i="1"/>
  <c r="L2051" i="1"/>
  <c r="L519" i="1"/>
  <c r="L1696" i="1"/>
  <c r="L240" i="1"/>
  <c r="L2229" i="1"/>
  <c r="L1880" i="1"/>
  <c r="L581" i="1"/>
  <c r="L1633" i="1"/>
  <c r="L1962" i="1"/>
  <c r="L1097" i="1"/>
  <c r="L1318" i="1"/>
  <c r="L1380" i="1"/>
  <c r="L942" i="1"/>
  <c r="L444" i="1"/>
  <c r="L1319" i="1"/>
  <c r="L938" i="1"/>
  <c r="L270" i="1"/>
  <c r="L876" i="1"/>
  <c r="L513" i="1"/>
  <c r="L330" i="1"/>
  <c r="L633" i="1"/>
  <c r="L1364" i="1"/>
  <c r="L523" i="1"/>
  <c r="L1881" i="1"/>
  <c r="L2146" i="1"/>
  <c r="L1047" i="1"/>
  <c r="L560" i="1"/>
  <c r="L1282" i="1"/>
  <c r="L1335" i="1"/>
  <c r="L634" i="1"/>
  <c r="L738" i="1"/>
  <c r="L1751" i="1"/>
  <c r="L645" i="1"/>
  <c r="L2052" i="1"/>
  <c r="L529" i="1"/>
  <c r="L225" i="1"/>
  <c r="L275" i="1"/>
  <c r="L2230" i="1"/>
  <c r="L909" i="1"/>
  <c r="L975" i="1"/>
  <c r="L614" i="1"/>
  <c r="L1238" i="1"/>
  <c r="L1121" i="1"/>
  <c r="L253" i="1"/>
  <c r="L1697" i="1"/>
  <c r="L1963" i="1"/>
  <c r="L2181" i="1"/>
  <c r="L910" i="1"/>
  <c r="L1072" i="1"/>
  <c r="L1964" i="1"/>
  <c r="L388" i="1"/>
  <c r="L412" i="1"/>
  <c r="L2147" i="1"/>
  <c r="L626" i="1"/>
  <c r="L2053" i="1"/>
  <c r="L976" i="1"/>
  <c r="L1698" i="1"/>
  <c r="L1965" i="1"/>
  <c r="L1966" i="1"/>
  <c r="L1283" i="1"/>
  <c r="L1129" i="1"/>
  <c r="L1450" i="1"/>
  <c r="L361" i="1"/>
  <c r="L921" i="1"/>
  <c r="L714" i="1"/>
  <c r="L1906" i="1"/>
  <c r="L1699" i="1"/>
  <c r="L156" i="1"/>
  <c r="L780" i="1"/>
  <c r="L228" i="1"/>
  <c r="L1017" i="1"/>
  <c r="L1816" i="1"/>
  <c r="L373" i="1"/>
  <c r="L276" i="1"/>
  <c r="L366" i="1"/>
  <c r="L2054" i="1"/>
  <c r="L403" i="1"/>
  <c r="L615" i="1"/>
  <c r="L814" i="1"/>
  <c r="L2055" i="1"/>
  <c r="L1365" i="1"/>
  <c r="L1153" i="1"/>
  <c r="L935" i="1"/>
  <c r="L870" i="1"/>
  <c r="L1239" i="1"/>
  <c r="L352" i="1"/>
  <c r="L1462" i="1"/>
  <c r="L1291" i="1"/>
  <c r="L1634" i="1"/>
  <c r="L666" i="1"/>
  <c r="L1098" i="1"/>
  <c r="L1882" i="1"/>
  <c r="L840" i="1"/>
  <c r="L1967" i="1"/>
  <c r="L984" i="1"/>
  <c r="L940" i="1"/>
  <c r="L1817" i="1"/>
  <c r="L1586" i="1"/>
  <c r="L2231" i="1"/>
  <c r="L1883" i="1"/>
  <c r="L2148" i="1"/>
  <c r="L488" i="1"/>
  <c r="L753" i="1"/>
  <c r="L2056" i="1"/>
  <c r="L1154" i="1"/>
  <c r="L1573" i="1"/>
  <c r="L918" i="1"/>
  <c r="L788" i="1"/>
  <c r="L196" i="1"/>
  <c r="L346" i="1"/>
  <c r="L1410" i="1"/>
  <c r="L2257" i="1"/>
  <c r="L121" i="1"/>
  <c r="L257" i="1"/>
  <c r="L163" i="1"/>
  <c r="L1574" i="1"/>
  <c r="L185" i="1"/>
  <c r="L977" i="1"/>
  <c r="L1420" i="1"/>
  <c r="L1018" i="1"/>
  <c r="L1507" i="1"/>
  <c r="L1196" i="1"/>
  <c r="L1320" i="1"/>
  <c r="L427" i="1"/>
  <c r="L2088" i="1"/>
  <c r="L1635" i="1"/>
  <c r="L2057" i="1"/>
  <c r="L1700" i="1"/>
  <c r="L1884" i="1"/>
  <c r="L2177" i="1"/>
  <c r="L607" i="1"/>
  <c r="L501" i="1"/>
  <c r="L998" i="1"/>
  <c r="L2149" i="1"/>
  <c r="L516" i="1"/>
  <c r="L1508" i="1"/>
  <c r="L797" i="1"/>
  <c r="L1019" i="1"/>
  <c r="L1411" i="1"/>
  <c r="L235" i="1"/>
  <c r="L2232" i="1"/>
  <c r="L1765" i="1"/>
  <c r="L1636" i="1"/>
  <c r="L856" i="1"/>
  <c r="L815" i="1"/>
  <c r="L1451" i="1"/>
  <c r="L374" i="1"/>
  <c r="L1637" i="1"/>
  <c r="L52" i="1"/>
  <c r="L1885" i="1"/>
  <c r="L739" i="1"/>
  <c r="L1155" i="1"/>
  <c r="L141" i="1"/>
  <c r="L1240" i="1"/>
  <c r="L1886" i="1"/>
  <c r="L1818" i="1"/>
  <c r="L1887" i="1"/>
  <c r="L608" i="1"/>
  <c r="L597" i="1"/>
  <c r="L1156" i="1"/>
  <c r="L2058" i="1"/>
  <c r="L1509" i="1"/>
  <c r="L1575" i="1"/>
  <c r="L715" i="1"/>
  <c r="L1366" i="1"/>
  <c r="L1452" i="1"/>
  <c r="L393" i="1"/>
  <c r="L553" i="1"/>
  <c r="L2150" i="1"/>
  <c r="L1968" i="1"/>
  <c r="L2178" i="1"/>
  <c r="L1020" i="1"/>
  <c r="L1576" i="1"/>
  <c r="L1577" i="1"/>
  <c r="L892" i="1"/>
  <c r="L1752" i="1"/>
  <c r="L798" i="1"/>
  <c r="L680" i="1"/>
  <c r="L271" i="1"/>
  <c r="L681" i="1"/>
  <c r="L1969" i="1"/>
  <c r="L692" i="1"/>
  <c r="L1819" i="1"/>
  <c r="L112" i="1"/>
  <c r="L1241" i="1"/>
  <c r="L202" i="1"/>
  <c r="L265" i="1"/>
  <c r="L1284" i="1"/>
  <c r="L1367" i="1"/>
  <c r="L1820" i="1"/>
  <c r="L489" i="1"/>
  <c r="L978" i="1"/>
  <c r="L758" i="1"/>
  <c r="L418" i="1"/>
  <c r="L1157" i="1"/>
  <c r="L1638" i="1"/>
  <c r="L2151" i="1"/>
  <c r="L936" i="1"/>
  <c r="L379" i="1"/>
  <c r="L211" i="1"/>
  <c r="L816" i="1"/>
  <c r="L64" i="1"/>
  <c r="L327" i="1"/>
  <c r="L46" i="1"/>
  <c r="L2084" i="1"/>
  <c r="L1821" i="1"/>
  <c r="L1639" i="1"/>
  <c r="L1701" i="1"/>
  <c r="L953" i="1"/>
  <c r="L409" i="1"/>
  <c r="L2097" i="1"/>
  <c r="L1702" i="1"/>
  <c r="L857" i="1"/>
  <c r="L446" i="1"/>
  <c r="L2059" i="1"/>
  <c r="L1510" i="1"/>
  <c r="L587" i="1"/>
  <c r="L1970" i="1"/>
  <c r="L954" i="1"/>
  <c r="L2152" i="1"/>
  <c r="L1640" i="1"/>
  <c r="L197" i="1"/>
  <c r="L616" i="1"/>
  <c r="L463" i="1"/>
  <c r="L193" i="1"/>
  <c r="L43" i="1"/>
  <c r="L494" i="1"/>
  <c r="L323" i="1"/>
  <c r="L987" i="1"/>
  <c r="L768" i="1"/>
  <c r="L609" i="1"/>
  <c r="L1021" i="1"/>
  <c r="L1703" i="1"/>
  <c r="L384" i="1"/>
  <c r="L2153" i="1"/>
  <c r="L1242" i="1"/>
  <c r="L1888" i="1"/>
  <c r="L2258" i="1"/>
  <c r="L2154" i="1"/>
  <c r="L740" i="1"/>
  <c r="L1753" i="1"/>
  <c r="L1754" i="1"/>
  <c r="L359" i="1"/>
  <c r="L2155" i="1"/>
  <c r="L2060" i="1"/>
  <c r="L1073" i="1"/>
  <c r="L207" i="1"/>
  <c r="L2156" i="1"/>
  <c r="L1285" i="1"/>
  <c r="L841" i="1"/>
  <c r="L1099" i="1"/>
  <c r="L356" i="1"/>
  <c r="L434" i="1"/>
  <c r="L1822" i="1"/>
  <c r="L1243" i="1"/>
  <c r="L911" i="1"/>
  <c r="L1755" i="1"/>
  <c r="L769" i="1"/>
  <c r="L1321" i="1"/>
  <c r="L682" i="1"/>
  <c r="L290" i="1"/>
  <c r="L2061" i="1"/>
  <c r="L683" i="1"/>
  <c r="L1453" i="1"/>
  <c r="L282" i="1"/>
  <c r="L2062" i="1"/>
  <c r="L540" i="1"/>
  <c r="L2157" i="1"/>
  <c r="L1971" i="1"/>
  <c r="L421" i="1"/>
  <c r="L871" i="1"/>
  <c r="L1823" i="1"/>
  <c r="L912" i="1"/>
  <c r="L1074" i="1"/>
  <c r="L18" i="1"/>
  <c r="L1511" i="1"/>
  <c r="L1512" i="1"/>
  <c r="L893" i="1"/>
  <c r="L2251" i="1"/>
  <c r="L2063" i="1"/>
  <c r="L999" i="1"/>
  <c r="L44" i="1"/>
  <c r="L280" i="1"/>
  <c r="L979" i="1"/>
  <c r="L1972" i="1"/>
  <c r="L913" i="1"/>
  <c r="L1641" i="1"/>
  <c r="L1244" i="1"/>
  <c r="L452" i="1"/>
  <c r="L789" i="1"/>
  <c r="L724" i="1"/>
  <c r="L1756" i="1"/>
  <c r="L1368" i="1"/>
  <c r="L454" i="1"/>
  <c r="L684" i="1"/>
  <c r="L1642" i="1"/>
  <c r="L894" i="1"/>
  <c r="L84" i="1"/>
  <c r="L1122" i="1"/>
  <c r="L511" i="1"/>
  <c r="L2158" i="1"/>
  <c r="L411" i="1"/>
  <c r="L1208" i="1"/>
  <c r="L1048" i="1"/>
  <c r="L13" i="1"/>
  <c r="L919" i="1"/>
  <c r="L254" i="1"/>
  <c r="L1245" i="1"/>
  <c r="L799" i="1"/>
  <c r="L457" i="1"/>
  <c r="L1287" i="1"/>
  <c r="L137" i="1"/>
  <c r="L2188" i="1"/>
  <c r="L1757" i="1"/>
  <c r="L353" i="1"/>
  <c r="L829" i="1"/>
  <c r="L299" i="1"/>
  <c r="L561" i="1"/>
  <c r="L2064" i="1"/>
  <c r="L428" i="1"/>
  <c r="L389" i="1"/>
  <c r="L449" i="1"/>
  <c r="L362" i="1"/>
  <c r="L872" i="1"/>
  <c r="L406" i="1"/>
  <c r="L1081" i="1"/>
  <c r="L2159" i="1"/>
  <c r="L104" i="1"/>
  <c r="L790" i="1"/>
  <c r="L1246" i="1"/>
  <c r="L1286" i="1"/>
  <c r="L2160" i="1"/>
  <c r="L656" i="1"/>
  <c r="L702" i="1"/>
  <c r="L662" i="1"/>
  <c r="L551" i="1"/>
  <c r="L2161" i="1"/>
  <c r="L1643" i="1"/>
  <c r="L703" i="1"/>
  <c r="L415" i="1"/>
  <c r="L1973" i="1"/>
  <c r="L1704" i="1"/>
  <c r="L175" i="1"/>
  <c r="L47" i="1"/>
  <c r="L1824" i="1"/>
  <c r="L8" i="1"/>
  <c r="L1889" i="1"/>
  <c r="L817" i="1"/>
  <c r="L2065" i="1"/>
  <c r="L1100" i="1"/>
  <c r="L1644" i="1"/>
  <c r="L1030" i="1"/>
  <c r="L443" i="1"/>
  <c r="L1974" i="1"/>
  <c r="L1211" i="1"/>
  <c r="L1705" i="1"/>
  <c r="L830" i="1"/>
  <c r="L1029" i="1"/>
  <c r="L236" i="1"/>
  <c r="L1975" i="1"/>
  <c r="L1645" i="1"/>
  <c r="L2066" i="1"/>
  <c r="L1369" i="1"/>
  <c r="L754" i="1"/>
  <c r="L1338" i="1"/>
  <c r="L1370" i="1"/>
  <c r="L588" i="1"/>
  <c r="L1197" i="1"/>
  <c r="L2067" i="1"/>
  <c r="L1000" i="1"/>
  <c r="L663" i="1"/>
  <c r="L548" i="1"/>
  <c r="L134" i="1"/>
  <c r="L532" i="1"/>
  <c r="L129" i="1"/>
  <c r="L159" i="1"/>
  <c r="L2162" i="1"/>
  <c r="L2089" i="1"/>
  <c r="L41" i="1"/>
  <c r="L2068" i="1"/>
  <c r="L1101" i="1"/>
  <c r="L1758" i="1"/>
  <c r="L1513" i="1"/>
  <c r="L1578" i="1"/>
  <c r="L203" i="1"/>
  <c r="L245" i="1"/>
  <c r="L102" i="1"/>
  <c r="L268" i="1"/>
  <c r="L195" i="1"/>
  <c r="L395" i="1"/>
  <c r="L1371" i="1"/>
  <c r="L2179" i="1"/>
  <c r="L371" i="1"/>
  <c r="L636" i="1"/>
  <c r="L1049" i="1"/>
  <c r="L1372" i="1"/>
  <c r="L288" i="1"/>
  <c r="L784" i="1"/>
  <c r="L725" i="1"/>
  <c r="L464" i="1"/>
  <c r="L386" i="1"/>
  <c r="L755" i="1"/>
  <c r="L2233" i="1"/>
  <c r="L1212" i="1"/>
  <c r="L335" i="1"/>
  <c r="L289" i="1"/>
  <c r="L450" i="1"/>
  <c r="L800" i="1"/>
  <c r="L1646" i="1"/>
  <c r="L1294" i="1"/>
  <c r="L960" i="1"/>
  <c r="L2069" i="1"/>
  <c r="L66" i="1"/>
  <c r="L646" i="1"/>
  <c r="L1890" i="1"/>
  <c r="L741" i="1"/>
  <c r="L1247" i="1"/>
  <c r="L537" i="1"/>
  <c r="L1901" i="1"/>
  <c r="L831" i="1"/>
  <c r="L229" i="1"/>
  <c r="L1514" i="1"/>
  <c r="L745" i="1"/>
  <c r="L1891" i="1"/>
  <c r="L1322" i="1"/>
  <c r="L367" i="1"/>
  <c r="L2234" i="1"/>
  <c r="L279" i="1"/>
  <c r="L133" i="1"/>
  <c r="L179" i="1"/>
  <c r="L716" i="1"/>
  <c r="L801" i="1"/>
  <c r="L1373" i="1"/>
  <c r="L915" i="1"/>
  <c r="L1454" i="1"/>
  <c r="L58" i="1"/>
  <c r="L717" i="1"/>
  <c r="L1579" i="1"/>
  <c r="L1102" i="1"/>
  <c r="L1455" i="1"/>
  <c r="L1706" i="1"/>
  <c r="L1976" i="1"/>
  <c r="L1158" i="1"/>
  <c r="L284" i="1"/>
  <c r="L316" i="1"/>
  <c r="L1123" i="1"/>
  <c r="L672" i="1"/>
  <c r="L1374" i="1"/>
  <c r="L1515" i="1"/>
  <c r="L2070" i="1"/>
  <c r="L1580" i="1"/>
  <c r="L1412" i="1"/>
  <c r="L791" i="1"/>
  <c r="L1825" i="1"/>
  <c r="L1581" i="1"/>
  <c r="L1977" i="1"/>
  <c r="L108" i="1"/>
  <c r="L802" i="1"/>
  <c r="L2235" i="1"/>
  <c r="L7" i="1"/>
  <c r="L1198" i="1"/>
  <c r="L1647" i="1"/>
  <c r="L2163" i="1"/>
  <c r="L1759" i="1"/>
  <c r="L2236" i="1"/>
  <c r="L97" i="1"/>
  <c r="L1707" i="1"/>
  <c r="L543" i="1"/>
  <c r="L360" i="1"/>
  <c r="L381" i="1"/>
  <c r="L266" i="1"/>
  <c r="L364" i="1"/>
  <c r="L1648" i="1"/>
  <c r="L533" i="1"/>
  <c r="L2090" i="1"/>
  <c r="L1413" i="1"/>
  <c r="L311" i="1"/>
  <c r="L1103" i="1"/>
  <c r="L1159" i="1"/>
  <c r="L718" i="1"/>
  <c r="L267" i="1"/>
  <c r="L895" i="1"/>
  <c r="L864" i="1"/>
  <c r="L220" i="1"/>
  <c r="L1516" i="1"/>
  <c r="L1649" i="1"/>
  <c r="L1978" i="1"/>
  <c r="L398" i="1"/>
  <c r="L107" i="1"/>
  <c r="L1979" i="1"/>
  <c r="L1075" i="1"/>
  <c r="L1980" i="1"/>
  <c r="L1517" i="1"/>
  <c r="L226" i="1"/>
  <c r="L858" i="1"/>
  <c r="L341" i="1"/>
  <c r="L1160" i="1"/>
  <c r="L247" i="1"/>
  <c r="L1022" i="1"/>
  <c r="L1023" i="1"/>
  <c r="L194" i="1"/>
  <c r="L1323" i="1"/>
  <c r="L305" i="1"/>
  <c r="L517" i="1"/>
  <c r="L2164" i="1"/>
  <c r="L1981" i="1"/>
  <c r="L115" i="1"/>
  <c r="L980" i="1"/>
  <c r="L1892" i="1"/>
  <c r="L1001" i="1"/>
  <c r="L85" i="1"/>
  <c r="L298" i="1"/>
  <c r="L610" i="1"/>
  <c r="L109" i="1"/>
  <c r="L2071" i="1"/>
  <c r="L120" i="1"/>
  <c r="L985" i="1"/>
  <c r="L1161" i="1"/>
  <c r="L1708" i="1"/>
  <c r="L873" i="1"/>
  <c r="L1456" i="1"/>
  <c r="L2237" i="1"/>
  <c r="L1024" i="1"/>
  <c r="L2072" i="1"/>
  <c r="L1582" i="1"/>
  <c r="L1709" i="1"/>
  <c r="L1650" i="1"/>
  <c r="L1893" i="1"/>
  <c r="L1199" i="1"/>
  <c r="L2238" i="1"/>
  <c r="L589" i="1"/>
  <c r="L458" i="1"/>
  <c r="L1583" i="1"/>
  <c r="L1518" i="1"/>
  <c r="L1382" i="1"/>
  <c r="L1457" i="1"/>
  <c r="L1324" i="1"/>
  <c r="L1982" i="1"/>
  <c r="L673" i="1"/>
  <c r="L2073" i="1"/>
  <c r="L1325" i="1"/>
  <c r="L1169" i="1"/>
  <c r="L1983" i="1"/>
  <c r="L106" i="1"/>
  <c r="L664" i="1"/>
  <c r="L803" i="1"/>
  <c r="L1839" i="1"/>
  <c r="L726" i="1"/>
  <c r="L538" i="1"/>
  <c r="L1200" i="1"/>
  <c r="L75" i="1"/>
  <c r="L1248" i="1"/>
  <c r="L2074" i="1"/>
  <c r="L1894" i="1"/>
  <c r="L468" i="1"/>
  <c r="L1710" i="1"/>
  <c r="L621" i="1"/>
  <c r="L2165" i="1"/>
  <c r="L347" i="1"/>
  <c r="L1162" i="1"/>
  <c r="L1760" i="1"/>
  <c r="L317" i="1"/>
  <c r="L1984" i="1"/>
  <c r="L1465" i="1"/>
  <c r="L1895" i="1"/>
  <c r="L1651" i="1"/>
  <c r="L1985" i="1"/>
  <c r="L1414" i="1"/>
  <c r="L1163" i="1"/>
  <c r="L419" i="1"/>
  <c r="L534" i="1"/>
  <c r="L1652" i="1"/>
  <c r="L874" i="1"/>
  <c r="L87" i="1"/>
  <c r="L1124" i="1"/>
  <c r="L916" i="1"/>
  <c r="L845" i="1"/>
  <c r="L232" i="1"/>
  <c r="L719" i="1"/>
  <c r="L1055" i="1"/>
  <c r="L502" i="1"/>
  <c r="L490" i="1"/>
  <c r="L1766" i="1"/>
  <c r="L1210" i="1"/>
  <c r="L1201" i="1"/>
  <c r="L2239" i="1"/>
  <c r="L2166" i="1"/>
  <c r="L657" i="1"/>
  <c r="L1519" i="1"/>
  <c r="L689" i="1"/>
  <c r="L1076" i="1"/>
  <c r="L508" i="1"/>
  <c r="L2167" i="1"/>
  <c r="L647" i="1"/>
  <c r="L250" i="1"/>
  <c r="L590" i="1"/>
  <c r="L249" i="1"/>
  <c r="L1126" i="1"/>
  <c r="L1826" i="1"/>
  <c r="L1986" i="1"/>
  <c r="L1987" i="1"/>
  <c r="L1520" i="1"/>
  <c r="L859" i="1"/>
  <c r="L1326" i="1"/>
  <c r="L598" i="1"/>
  <c r="L2182" i="1"/>
  <c r="L1104" i="1"/>
  <c r="L1202" i="1"/>
  <c r="L283" i="1"/>
  <c r="L1770" i="1"/>
  <c r="L138" i="1"/>
  <c r="L2168" i="1"/>
  <c r="L955" i="1"/>
  <c r="L1327" i="1"/>
  <c r="L1761" i="1"/>
  <c r="L2254" i="1"/>
  <c r="L1988" i="1"/>
  <c r="L1584" i="1"/>
  <c r="L2169" i="1"/>
  <c r="L1203" i="1"/>
  <c r="L981" i="1"/>
  <c r="L370" i="1"/>
  <c r="L2170" i="1"/>
  <c r="L222" i="1"/>
  <c r="L1166" i="1"/>
  <c r="L627" i="1"/>
  <c r="L1328" i="1"/>
  <c r="L1106" i="1"/>
  <c r="L512" i="1"/>
  <c r="L198" i="1"/>
  <c r="L1329" i="1"/>
  <c r="L1105" i="1"/>
  <c r="L477" i="1"/>
  <c r="L781" i="1"/>
  <c r="L1077" i="1"/>
  <c r="L439" i="1"/>
  <c r="L2240" i="1"/>
  <c r="L842" i="1"/>
  <c r="L2075" i="1"/>
  <c r="L2264" i="1"/>
  <c r="L380" i="1"/>
  <c r="L1464" i="1"/>
  <c r="L396" i="1"/>
  <c r="L518" i="1"/>
  <c r="L544" i="1"/>
  <c r="L1375" i="1"/>
  <c r="L1080" i="1"/>
  <c r="L804" i="1"/>
  <c r="L1164" i="1"/>
  <c r="L86" i="1"/>
  <c r="L1415" i="1"/>
  <c r="L554" i="1"/>
  <c r="L1711" i="1"/>
  <c r="L1330" i="1"/>
  <c r="L757" i="1"/>
  <c r="L917" i="1"/>
  <c r="L622" i="1"/>
  <c r="L1712" i="1"/>
  <c r="L1204" i="1"/>
  <c r="L1896" i="1"/>
  <c r="L956" i="1"/>
  <c r="L1521" i="1"/>
  <c r="L255" i="1"/>
  <c r="L1416" i="1"/>
  <c r="L1907" i="1"/>
  <c r="L350" i="1"/>
  <c r="L535" i="1"/>
  <c r="L1827" i="1"/>
  <c r="L2171" i="1"/>
  <c r="L1421" i="1"/>
  <c r="L1713" i="1"/>
  <c r="L1522" i="1"/>
  <c r="L1828" i="1"/>
  <c r="L860" i="1"/>
  <c r="L1078" i="1"/>
  <c r="L1376" i="1"/>
  <c r="L957" i="1"/>
  <c r="L896" i="1"/>
  <c r="L1025" i="1"/>
  <c r="L690" i="1"/>
  <c r="L1829" i="1"/>
  <c r="L331" i="1"/>
  <c r="L658" i="1"/>
  <c r="L1458" i="1"/>
  <c r="L1830" i="1"/>
  <c r="L1897" i="1"/>
  <c r="L727" i="1"/>
  <c r="L1127" i="1"/>
  <c r="L691" i="1"/>
  <c r="L2076" i="1"/>
  <c r="L1249" i="1"/>
  <c r="L2241" i="1"/>
  <c r="L2172" i="1"/>
  <c r="L2077" i="1"/>
  <c r="L1762" i="1"/>
  <c r="L1331" i="1"/>
  <c r="L591" i="1"/>
  <c r="L617" i="1"/>
  <c r="L1377" i="1"/>
  <c r="L2078" i="1"/>
  <c r="L429" i="1"/>
  <c r="L865" i="1"/>
  <c r="L2242" i="1"/>
  <c r="L1653" i="1"/>
  <c r="L332" i="1"/>
  <c r="L1721" i="1"/>
  <c r="L2243" i="1"/>
  <c r="L782" i="1"/>
  <c r="L937" i="1"/>
  <c r="L183" i="1"/>
  <c r="L1205" i="1"/>
  <c r="L982" i="1"/>
  <c r="L1379" i="1"/>
  <c r="L469" i="1"/>
  <c r="L1422" i="1"/>
  <c r="L1654" i="1"/>
  <c r="L599" i="1"/>
  <c r="L1898" i="1"/>
  <c r="L1165" i="1"/>
  <c r="L592" i="1"/>
  <c r="L2079" i="1"/>
  <c r="L2244" i="1"/>
  <c r="L785" i="1"/>
  <c r="L2256" i="1"/>
  <c r="L166" i="1"/>
  <c r="L2263" i="1"/>
  <c r="L1206" i="1"/>
  <c r="L611" i="1"/>
  <c r="L1585" i="1"/>
  <c r="L2245" i="1"/>
  <c r="L1523" i="1"/>
  <c r="L1763" i="1"/>
  <c r="L70" i="1"/>
  <c r="L2080" i="1"/>
  <c r="L2081" i="1"/>
  <c r="L2246" i="1"/>
  <c r="L223" i="1"/>
  <c r="L1026" i="1"/>
  <c r="L155" i="1"/>
  <c r="L2173" i="1"/>
  <c r="L1655" i="1"/>
  <c r="L1417" i="1"/>
  <c r="L1656" i="1"/>
  <c r="L2082" i="1"/>
  <c r="L1831" i="1"/>
  <c r="L382" i="1"/>
  <c r="L1764" i="1"/>
  <c r="L1714" i="1"/>
  <c r="L1524" i="1"/>
  <c r="L2174" i="1"/>
  <c r="L200" i="1"/>
  <c r="L1418" i="1"/>
  <c r="L693" i="1"/>
  <c r="L438" i="1"/>
  <c r="L2247" i="1"/>
  <c r="L2175" i="1"/>
  <c r="L160" i="1"/>
  <c r="L756" i="1"/>
  <c r="L1332" i="1"/>
  <c r="L1658" i="1"/>
  <c r="L60" i="1"/>
  <c r="L618" i="1"/>
  <c r="L2248" i="1"/>
  <c r="L861" i="1"/>
  <c r="L1050" i="1"/>
  <c r="L1715" i="1"/>
  <c r="L983" i="1"/>
  <c r="L1832" i="1"/>
  <c r="L314" i="1"/>
  <c r="L1716" i="1"/>
  <c r="L1994" i="1"/>
  <c r="L1899" i="1"/>
  <c r="L862" i="1"/>
  <c r="L1333" i="1"/>
  <c r="L770" i="1"/>
  <c r="L1717" i="1"/>
  <c r="L939" i="1"/>
  <c r="L1771" i="1"/>
  <c r="L2249" i="1"/>
  <c r="L1459" i="1"/>
  <c r="L674" i="1"/>
  <c r="L208" i="1"/>
  <c r="L1460" i="1"/>
  <c r="L328" i="1"/>
  <c r="L2250" i="1"/>
  <c r="L623" i="1"/>
  <c r="L459" i="1"/>
  <c r="L1900" i="1"/>
  <c r="L1334" i="1"/>
  <c r="L1718" i="1"/>
  <c r="L1833" i="1"/>
  <c r="L6" i="1"/>
  <c r="L114" i="1"/>
  <c r="L1253" i="1"/>
  <c r="L1170" i="1"/>
  <c r="L333" i="1"/>
  <c r="L1028" i="1"/>
  <c r="L728" i="1"/>
  <c r="L2265" i="1"/>
  <c r="L300" i="1"/>
  <c r="L536" i="1"/>
  <c r="L101" i="1"/>
  <c r="L339" i="1"/>
  <c r="L90" i="1"/>
  <c r="L416" i="1"/>
  <c r="L1051" i="1"/>
  <c r="L447" i="1"/>
  <c r="L334" i="1"/>
  <c r="L324" i="1"/>
  <c r="L1487" i="1"/>
  <c r="L110" i="1"/>
  <c r="L749" i="1"/>
  <c r="L53" i="1"/>
  <c r="L631" i="1"/>
  <c r="L34" i="1"/>
  <c r="L187" i="1"/>
  <c r="L81" i="1"/>
  <c r="L1990" i="1"/>
  <c r="L256" i="1"/>
  <c r="L1068" i="1"/>
  <c r="L94" i="1"/>
  <c r="L263" i="1"/>
  <c r="L180" i="1"/>
  <c r="L779" i="1"/>
  <c r="L405" i="1"/>
  <c r="L1046" i="1"/>
  <c r="L635" i="1"/>
  <c r="L914" i="1"/>
  <c r="L552" i="1"/>
  <c r="L39" i="1"/>
  <c r="L1125" i="1"/>
  <c r="L122" i="1"/>
  <c r="L93" i="1"/>
  <c r="AJ2" i="1" l="1"/>
  <c r="AJ1" i="1"/>
  <c r="P2" i="1"/>
  <c r="P1" i="1"/>
  <c r="B4" i="1" l="1"/>
  <c r="CA4" i="1" l="1"/>
  <c r="CY4" i="1"/>
</calcChain>
</file>

<file path=xl/sharedStrings.xml><?xml version="1.0" encoding="utf-8"?>
<sst xmlns="http://schemas.openxmlformats.org/spreadsheetml/2006/main" count="111421" uniqueCount="36849">
  <si>
    <t>Program "PAW_protein_grouper.py" run on Wed Jul 17 11:41:51 2019</t>
  </si>
  <si>
    <t>ProtGroup</t>
  </si>
  <si>
    <t>Counter</t>
  </si>
  <si>
    <t>Accession</t>
  </si>
  <si>
    <t>Identical</t>
  </si>
  <si>
    <t>Similar</t>
  </si>
  <si>
    <t>OtherLoci</t>
  </si>
  <si>
    <t>Filter</t>
  </si>
  <si>
    <t>Coverage</t>
  </si>
  <si>
    <t>SeqLength</t>
  </si>
  <si>
    <t>MW</t>
  </si>
  <si>
    <t>Description</t>
  </si>
  <si>
    <t>CountsTot</t>
  </si>
  <si>
    <t>UniqueTot</t>
  </si>
  <si>
    <t>UniqFrac</t>
  </si>
  <si>
    <t>Total_2017-5-25_CSL_03_redux</t>
  </si>
  <si>
    <t>Total_2017-5-25_CSL_05_redux</t>
  </si>
  <si>
    <t>Total_2017-5-25_CSL_06_redux</t>
  </si>
  <si>
    <t>Total_2017-5-25_CSL_09_redux</t>
  </si>
  <si>
    <t>Total_2017-5-25_CSL_14_redux</t>
  </si>
  <si>
    <t>Total_2017-5-25_CSL_15_redux</t>
  </si>
  <si>
    <t>Total_2017-5-25_CSL_17_redux</t>
  </si>
  <si>
    <t>Total_2017-5-25_CSL_18_redux</t>
  </si>
  <si>
    <t>Total_2017-5-25_CSL_19_redux</t>
  </si>
  <si>
    <t>Total_2017-5-25_CSL_20_redux</t>
  </si>
  <si>
    <t>Total_2017-6-19_CSL_01_redux</t>
  </si>
  <si>
    <t>Total_2017-6-19_CSL_02_redux</t>
  </si>
  <si>
    <t>Total_2017-6-19_CSL_04_redux</t>
  </si>
  <si>
    <t>Total_2017-6-19_CSL_08_redux</t>
  </si>
  <si>
    <t>Total_2017-6-19_CSL_10_redux</t>
  </si>
  <si>
    <t>Total_2017-6-19_CSL_11_redux</t>
  </si>
  <si>
    <t>Total_2017-6-19_CSL_12_redux</t>
  </si>
  <si>
    <t>Total_2017-6-19_CSL_13_redux</t>
  </si>
  <si>
    <t>Total_2017-6-19_CSL_16_redux</t>
  </si>
  <si>
    <t>Unique_2017-5-25_CSL_03_redux</t>
  </si>
  <si>
    <t>Unique_2017-5-25_CSL_05_redux</t>
  </si>
  <si>
    <t>Unique_2017-5-25_CSL_06_redux</t>
  </si>
  <si>
    <t>Unique_2017-5-25_CSL_09_redux</t>
  </si>
  <si>
    <t>Unique_2017-5-25_CSL_14_redux</t>
  </si>
  <si>
    <t>Unique_2017-5-25_CSL_15_redux</t>
  </si>
  <si>
    <t>Unique_2017-5-25_CSL_17_redux</t>
  </si>
  <si>
    <t>Unique_2017-5-25_CSL_18_redux</t>
  </si>
  <si>
    <t>Unique_2017-5-25_CSL_19_redux</t>
  </si>
  <si>
    <t>Unique_2017-5-25_CSL_20_redux</t>
  </si>
  <si>
    <t>Unique_2017-6-19_CSL_01_redux</t>
  </si>
  <si>
    <t>Unique_2017-6-19_CSL_02_redux</t>
  </si>
  <si>
    <t>Unique_2017-6-19_CSL_04_redux</t>
  </si>
  <si>
    <t>Unique_2017-6-19_CSL_08_redux</t>
  </si>
  <si>
    <t>Unique_2017-6-19_CSL_10_redux</t>
  </si>
  <si>
    <t>Unique_2017-6-19_CSL_11_redux</t>
  </si>
  <si>
    <t>Unique_2017-6-19_CSL_12_redux</t>
  </si>
  <si>
    <t>Unique_2017-6-19_CSL_13_redux</t>
  </si>
  <si>
    <t>Unique_2017-6-19_CSL_16_redux</t>
  </si>
  <si>
    <t>Corrected_2017-5-25_CSL_03_redux</t>
  </si>
  <si>
    <t>Corrected_2017-5-25_CSL_05_redux</t>
  </si>
  <si>
    <t>Corrected_2017-5-25_CSL_06_redux</t>
  </si>
  <si>
    <t>Corrected_2017-5-25_CSL_09_redux</t>
  </si>
  <si>
    <t>Corrected_2017-5-25_CSL_14_redux</t>
  </si>
  <si>
    <t>Corrected_2017-5-25_CSL_15_redux</t>
  </si>
  <si>
    <t>Corrected_2017-5-25_CSL_17_redux</t>
  </si>
  <si>
    <t>Corrected_2017-5-25_CSL_18_redux</t>
  </si>
  <si>
    <t>Corrected_2017-5-25_CSL_19_redux</t>
  </si>
  <si>
    <t>Corrected_2017-5-25_CSL_20_redux</t>
  </si>
  <si>
    <t>Corrected_2017-6-19_CSL_01_redux</t>
  </si>
  <si>
    <t>Corrected_2017-6-19_CSL_02_redux</t>
  </si>
  <si>
    <t>Corrected_2017-6-19_CSL_04_redux</t>
  </si>
  <si>
    <t>Corrected_2017-6-19_CSL_08_redux</t>
  </si>
  <si>
    <t>Corrected_2017-6-19_CSL_10_redux</t>
  </si>
  <si>
    <t>Corrected_2017-6-19_CSL_11_redux</t>
  </si>
  <si>
    <t>Corrected_2017-6-19_CSL_12_redux</t>
  </si>
  <si>
    <t>Corrected_2017-6-19_CSL_13_redux</t>
  </si>
  <si>
    <t>Corrected_2017-6-19_CSL_16_redux</t>
  </si>
  <si>
    <t>CONT_005|Trypa5|PromTArt5</t>
  </si>
  <si>
    <t xml:space="preserve"> </t>
  </si>
  <si>
    <t>CONT_005|Trypa5|PromTArt5, CONT_010|gi|136429|sp|P00761|TRYP_PIG</t>
  </si>
  <si>
    <t>contaminant</t>
  </si>
  <si>
    <t>Promega trypsin artifact 5 K to R mods (2239.1, 2914)(1987, 2003).</t>
  </si>
  <si>
    <t>CONT_010|gi|136429|sp|P00761|TRYP_PIG</t>
  </si>
  <si>
    <t>CONT_005|Trypa5|PromTArt5, CONT_010|gi|136429|sp|P00761|TRYP_PIG, XP_027428841.1, XP_027429316.1</t>
  </si>
  <si>
    <t>TRYPSIN PRECURSOR [Sus scrofa].</t>
  </si>
  <si>
    <t>CONT_018|gi|113580|sp|P02770|ALBU_RAT</t>
  </si>
  <si>
    <t>CONT_015|gi|229552|prf||754920A, CONT_016|gi|113574|sp|P02769|ALBU_BOVIN, CONT_017|gi|113576|sp|P02768|ALBU_HUMAN, CONT_018|gi|113580|sp|P02770|ALBU_RAT, XP_027454972.1</t>
  </si>
  <si>
    <t>SERUM ALBUMIN PRECURSOR [Rattus norvegicus].</t>
  </si>
  <si>
    <t>CONT_046|gi|88041|pir||A31994</t>
  </si>
  <si>
    <t>CONT_046|gi|88041|pir||A31994, CONT_047|gi|88042|pir||S14666, CONT_050|gi|280816|pir||A37343, CONT_068|gi|1082558|pir||S41161,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XP_027449634.1, XP_027449844.1, XP_027480464.1, XP_027480639.1, XP_027480644.1, XP_027481847.1, XP_027481944.1, XP_027481947.1, XP_027482012.1, XP_027482028.1, XP_027482052.1</t>
  </si>
  <si>
    <t>keratin 10, type I, epidermal [Homo sapiens].</t>
  </si>
  <si>
    <t>CONT_049|gi|88052|pir||A32568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</si>
  <si>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XP_027449970.1, XP_027450614.1</t>
  </si>
  <si>
    <t>keratin K5, 58K type II, epidermal (version 2) (fragment) [Homo sapiens].</t>
  </si>
  <si>
    <t>CONT_050|gi|280816|pir||A37343 (+1)</t>
  </si>
  <si>
    <t>CONT_050|gi|280816|pir||A37343&amp;CONT_098|gi|125077|sp|P13646|K1CM_HUMAN</t>
  </si>
  <si>
    <t>CONT_046|gi|88041|pir||A31994, CONT_047|gi|88042|pir||S14666, CONT_050|gi|280816|pir||A37343,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XP_027481944.1, XP_027481947.1, XP_027482028.1</t>
  </si>
  <si>
    <t>keratin 13, type I, cytoskeletal, short form [Homo sapiens].</t>
  </si>
  <si>
    <t>CONT_064|gi|254622|bbs|112352 (+1)</t>
  </si>
  <si>
    <t>CONT_064|gi|254622|bbs|112352&amp;CONT_072|gi|547754|sp|P35908|K22E_HUMAN</t>
  </si>
  <si>
    <t>(S43646) cytokeratin 2, CK 2 [human, epidermis, Peptide, 645 aa].</t>
  </si>
  <si>
    <t>CONT_068|gi|1082558|pir||S41161</t>
  </si>
  <si>
    <t>CONT_046|gi|88041|pir||A31994, CONT_047|gi|88042|pir||S14666, CONT_068|gi|1082558|pir||S41161,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XP_027480464.1, XP_027480639.1, XP_027481944.1, XP_027481947.1, XP_027482028.1</t>
  </si>
  <si>
    <t>keratin 9, cytoskeletal [Homo sapiens].</t>
  </si>
  <si>
    <t>CONT_070|gi|547752|sp|Q01546|K22O_HUMAN</t>
  </si>
  <si>
    <t>KERATIN, TYPE II CYTOSKELETAL 2 ORAL (CYTOKERATIN 2P) (K2P) (CK 2P) [Homo sapiens].</t>
  </si>
  <si>
    <t>CONT_073|gi|87303|pir||JS0487 (+3)</t>
  </si>
  <si>
    <t>CONT_073|gi|87303|pir||JS0487&amp;CONT_103|gi|2119212|pir||I37982&amp;CONT_124|gi|105815|pir||A34720&amp;CONT_179|gi|2506774|sp|P05787|K2C8_HUMAN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</si>
  <si>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XP_027444924.1, XP_027448168.1, XP_027448170.1, XP_027448173.1, XP_027448174.1, XP_027448175.1, XP_027448177.1, XP_027448178.1, XP_027448179.1, XP_027448180.1, XP_027448181.1, XP_027448183.1, XP_027448185.1, XP_027448187.1, XP_027448189.1, XP_027448197.1, XP_027448199.1, XP_027449096.1, XP_027449970.1, XP_027450073.1, XP_027450614.1</t>
  </si>
  <si>
    <t>cytokeratin 8 (version 1) [Homo sapiens].</t>
  </si>
  <si>
    <t>CONT_074|gi|1070608|pir||KRHU9 (+1)</t>
  </si>
  <si>
    <t>CONT_074|gi|1070608|pir||KRHU9&amp;CONT_099|gi|417200|sp|P08727|K1CS_HUMAN</t>
  </si>
  <si>
    <t>CONT_046|gi|88041|pir||A31994, CONT_047|gi|88042|pir||S14666, CONT_050|gi|280816|pir||A37343, CONT_068|gi|1082558|pir||S41161,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XP_027449634.1, XP_027449844.1, XP_027480464.1, XP_027480639.1, XP_027480644.1, XP_027481847.1, XP_027481944.1, XP_027481947.1, XP_027482028.1</t>
  </si>
  <si>
    <t>keratin 19, type I, cytoskeletal [Homo sapiens].</t>
  </si>
  <si>
    <t>CONT_079|gi|125105|sp|P13647|K2C5_HUMAN</t>
  </si>
  <si>
    <t>KERATIN, TYPE II CYTOSKELETAL 5 (CYTOKERATIN 5) (K5) (CK 5) (58 KD CYTOKERATIN) [Homo sapiens].</t>
  </si>
  <si>
    <t>CONT_082|gi|125080|sp|P02533|K1CN_HUMAN</t>
  </si>
  <si>
    <t>KERATIN, TYPE I CYTOSKELETAL 14 (CYTOKERATIN 14) (K14) (CK 14) [Homo sapiens].</t>
  </si>
  <si>
    <t>CONT_101|gi|125081|sp|P19012|K1CO_HUMAN</t>
  </si>
  <si>
    <t>KERATIN, TYPE I CYTOSKELETAL 15 (CYTOKERATIN 15) (K15) (CK 15) [Homo sapiens].</t>
  </si>
  <si>
    <t>CONT_119|gi|547753|sp|P19013|K2C4_HUMAN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</si>
  <si>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XP_027450614.1</t>
  </si>
  <si>
    <t>KERATIN, TYPE II CYTOSKELETAL 4 (CYTOKERATIN 4) (K4) (CK4) [Homo sapiens].</t>
  </si>
  <si>
    <t>CONT_133|gi|1346349|sp|P48669|K2CF_HUMAN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</si>
  <si>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XP_027449970.1, XP_027450073.1, XP_027450614.1</t>
  </si>
  <si>
    <t>KERATIN, TYPE II CYTOSKELETAL 6F (CYTOKERATIN 6F) (CK 6F) (K6F KERATIN) [Homo sapiens].</t>
  </si>
  <si>
    <t>CONT_142|gi|88053|pir||A29666</t>
  </si>
  <si>
    <t>keratin, 65K type II cytoskeletal [Homo sapiens].</t>
  </si>
  <si>
    <t>EXTRA_0001</t>
  </si>
  <si>
    <t>[Biognosys|iRT] Kit Fusion</t>
  </si>
  <si>
    <t>EXTRA_0003</t>
  </si>
  <si>
    <t>[sp|P04577V|ENV_HV2RO] Recombinant HIV-2 Envelope glycoprotein gp160+gp36 OS=Homo sapiens GN=env PE=1 SV=1</t>
  </si>
  <si>
    <t>REV_XP_027424699.1 (+8)</t>
  </si>
  <si>
    <t>REV_XP_027424699.1&amp;REV_XP_027424700.1&amp;REV_XP_027424701.1&amp;REV_XP_027424702.1&amp;REV_XP_027424703.1&amp;REV_XP_027424704.1&amp;REV_XP_027424705.1&amp;REV_XP_027424706.1&amp;REV_XP_027424708.1</t>
  </si>
  <si>
    <t>reversed</t>
  </si>
  <si>
    <t>REVERSED.</t>
  </si>
  <si>
    <t>REV_XP_027427765.1 (+1)</t>
  </si>
  <si>
    <t>REV_XP_027427765.1&amp;REV_XP_027427766.1</t>
  </si>
  <si>
    <t>REV_XP_027429642.1</t>
  </si>
  <si>
    <t>REV_XP_027429872.1 (+1)</t>
  </si>
  <si>
    <t>REV_XP_027429872.1&amp;REV_XP_027429874.1</t>
  </si>
  <si>
    <t>REV_XP_027430382.1 (+5)</t>
  </si>
  <si>
    <t>REV_XP_027430382.1&amp;REV_XP_027430385.1&amp;REV_XP_027430386.1&amp;REV_XP_027430387.1&amp;REV_XP_027430388.1&amp;REV_XP_027430389.1</t>
  </si>
  <si>
    <t>REV_XP_027432518.1</t>
  </si>
  <si>
    <t>REV_XP_027436897.1 (+1)</t>
  </si>
  <si>
    <t>REV_XP_027436897.1&amp;REV_XP_027436898.1</t>
  </si>
  <si>
    <t>REV_XP_027440792.1 (+1)</t>
  </si>
  <si>
    <t>REV_XP_027440792.1&amp;REV_XP_027440795.1</t>
  </si>
  <si>
    <t>REV_XP_027446258.1</t>
  </si>
  <si>
    <t>REV_XP_027446367.1 (+1)</t>
  </si>
  <si>
    <t>REV_XP_027446367.1&amp;REV_XP_027446368.1</t>
  </si>
  <si>
    <t>REV_XP_027446461.1</t>
  </si>
  <si>
    <t>REV_XP_027449392.1</t>
  </si>
  <si>
    <t>REV_XP_027450617.1</t>
  </si>
  <si>
    <t>REV_XP_027452574.1 (+22)</t>
  </si>
  <si>
    <t>REV_XP_027452574.1&amp;REV_XP_027452575.1&amp;REV_XP_027452576.1&amp;REV_XP_027452577.1&amp;REV_XP_027452578.1&amp;REV_XP_027452579.1&amp;REV_XP_027452580.1&amp;REV_XP_027452581.1&amp;REV_XP_027452582.1&amp;REV_XP_027452583.1&amp;REV_XP_027452584.1&amp;REV_XP_027452587.1&amp;REV_XP_027452588.1&amp;REV_XP_027452589.1&amp;REV_XP_027452590.1&amp;REV_XP_027452592.1&amp;REV_XP_027452593.1&amp;REV_XP_027452594.1&amp;REV_XP_027452595.1&amp;REV_XP_027452597.1&amp;REV_XP_027452598.1&amp;REV_XP_027452600.1&amp;REV_XP_027452603.1</t>
  </si>
  <si>
    <t>REV_XP_027454972.1</t>
  </si>
  <si>
    <t>REV_XP_027466432.1 (+3)</t>
  </si>
  <si>
    <t>REV_XP_027466432.1&amp;REV_XP_027466433.1&amp;REV_XP_027466435.1&amp;REV_XP_027466436.1</t>
  </si>
  <si>
    <t>REV_XP_027468504.1 (+3)</t>
  </si>
  <si>
    <t>REV_XP_027468504.1&amp;REV_XP_027468505.1&amp;REV_XP_027468506.1&amp;REV_XP_027468507.1</t>
  </si>
  <si>
    <t>REV_XP_027471554.1 (+4)</t>
  </si>
  <si>
    <t>REV_XP_027471554.1&amp;REV_XP_027471555.1&amp;REV_XP_027471559.1&amp;REV_XP_027471560.1&amp;REV_XP_027471561.1</t>
  </si>
  <si>
    <t>REV_XP_027473095.1 (+3)</t>
  </si>
  <si>
    <t>REV_XP_027473095.1&amp;REV_XP_027473096.1&amp;REV_XP_027473097.1&amp;REV_XP_027473098.1</t>
  </si>
  <si>
    <t>REV_XP_027477732.1 (+7)</t>
  </si>
  <si>
    <t>REV_XP_027477732.1&amp;REV_XP_027477740.1&amp;REV_XP_027477749.1&amp;REV_XP_027477757.1&amp;REV_XP_027477768.1&amp;REV_XP_027477779.1&amp;REV_XP_027477788.1&amp;REV_XP_027477795.1</t>
  </si>
  <si>
    <t>REV_XP_027482152.1 (+5)</t>
  </si>
  <si>
    <t>REV_XP_027482152.1&amp;REV_XP_027482153.1&amp;REV_XP_027482154.1&amp;REV_XP_027482155.1&amp;REV_XP_027482162.1&amp;REV_XP_027482163.1</t>
  </si>
  <si>
    <t>XP_027423285.1</t>
  </si>
  <si>
    <t>XP_027423285.1, XP_027481684.1</t>
  </si>
  <si>
    <t>CMRF35-like molecule 4 [Zalophus californianus]</t>
  </si>
  <si>
    <t>XP_027423293.1</t>
  </si>
  <si>
    <t>XP_027423293.1, XP_027480473.1</t>
  </si>
  <si>
    <t>myeloperoxidase [Zalophus californianus]</t>
  </si>
  <si>
    <t>XP_027423310.1 (+2)</t>
  </si>
  <si>
    <t>XP_027423310.1&amp;XP_027423311.1&amp;XP_027423315.1</t>
  </si>
  <si>
    <t>C-type mannose receptor 2 isoform X1 [Zalophus californianus]</t>
  </si>
  <si>
    <t>XP_027423353.1 (+1)</t>
  </si>
  <si>
    <t>XP_027423353.1&amp;XP_027423355.1</t>
  </si>
  <si>
    <t>eukaryotic translation initiation factor 5A-1 isoform X2 [Zalophus californianus]</t>
  </si>
  <si>
    <t>XP_027423359.1</t>
  </si>
  <si>
    <t>ectonucleotide pyrophosphatase/phosphodiesterase family member 7 [Zalophus californianus]_x0001_XP_027423358.1 ectonucleotide pyrophosphatase/phosphodiesterase family member 7 [Zalophus californianus]</t>
  </si>
  <si>
    <t>XP_027423360.1</t>
  </si>
  <si>
    <t>XP_027423360.1, XP_027446258.1, XP_027446367.1, XP_027449182.1</t>
  </si>
  <si>
    <t>collagen alpha-1(I) chain isoform X1 [Zalophus californianus]</t>
  </si>
  <si>
    <t>XP_027423379.1</t>
  </si>
  <si>
    <t>synaptic vesicle membrane protein VAT-1 homolog [Zalophus californianus]</t>
  </si>
  <si>
    <t>XP_027423386.1 (+2)</t>
  </si>
  <si>
    <t>XP_027423386.1&amp;XP_027423387.1&amp;XP_027423388.1</t>
  </si>
  <si>
    <t>phosphatidylcholine transfer protein isoform X1 [Zalophus californianus]</t>
  </si>
  <si>
    <t>XP_027423393.1</t>
  </si>
  <si>
    <t>kynurenine formamidase [Zalophus californianus]</t>
  </si>
  <si>
    <t>XP_027423397.1 (+1)</t>
  </si>
  <si>
    <t>XP_027423397.1&amp;XP_027423399.1</t>
  </si>
  <si>
    <t>putative sodium-coupled neutral amino acid transporter 10 isoform X2 [Zalophus californianus]</t>
  </si>
  <si>
    <t>XP_027423400.1 (+1)</t>
  </si>
  <si>
    <t>XP_027423400.1&amp;XP_027477701.1</t>
  </si>
  <si>
    <t>60S ribosomal protein L26 [Zalophus californianus]</t>
  </si>
  <si>
    <t>XP_027423426.1</t>
  </si>
  <si>
    <t>intercellular adhesion molecule 2 [Zalophus californianus]_x0001_XP_027423425.1 intercellular adhesion molecule 2 [Zalophus californianus]_x0001_XP_027423424.1 intercellular adhesion molecule 2 [Zalophus californianus]</t>
  </si>
  <si>
    <t>XP_027423459.1</t>
  </si>
  <si>
    <t>scavenger receptor class F member 1 isoform X2 [Zalophus californianus]</t>
  </si>
  <si>
    <t>XP_027423465.1 (+2)</t>
  </si>
  <si>
    <t>XP_027423465.1&amp;XP_027423466.1&amp;XP_027423472.1</t>
  </si>
  <si>
    <t>G-protein coupled receptor family C group 5 member C isoform X1 [Zalophus californianus]</t>
  </si>
  <si>
    <t>XP_027423497.1</t>
  </si>
  <si>
    <t>profilin-1 [Zalophus californianus]</t>
  </si>
  <si>
    <t>XP_027423519.1 (+1)</t>
  </si>
  <si>
    <t>XP_027423519.1&amp;XP_027423522.1</t>
  </si>
  <si>
    <t>galactokinase isoform X1 [Zalophus californianus]</t>
  </si>
  <si>
    <t>XP_027423565.1</t>
  </si>
  <si>
    <t>protein archease isoform X1 [Zalophus californianus]</t>
  </si>
  <si>
    <t>XP_027423573.1 (+4)</t>
  </si>
  <si>
    <t>XP_027423573.1&amp;XP_027423574.1&amp;XP_027423575.1&amp;XP_027423576.1&amp;XP_027423578.1</t>
  </si>
  <si>
    <t>XP_027423573.1, XP_027430577.1</t>
  </si>
  <si>
    <t>V-type proton ATPase 116 kDa subunit a isoform X1 [Zalophus californianus]_x0001_XP_027423572.1 V-type proton ATPase 116 kDa subunit a isoform X1 [Zalophus californianus]_x0001_XP_027423571.1 V-type proton ATPase 116 kDa subunit a isoform X1 [Zalophus californianus]</t>
  </si>
  <si>
    <t>XP_027423581.1</t>
  </si>
  <si>
    <t>caveolae-associated protein 1 [Zalophus californianus]</t>
  </si>
  <si>
    <t>XP_027423589.1</t>
  </si>
  <si>
    <t>7-methylguanosine phosphate-specific 5'-nucleotidase [Zalophus californianus]</t>
  </si>
  <si>
    <t>XP_027423590.1</t>
  </si>
  <si>
    <t>sclerostin [Zalophus californianus]</t>
  </si>
  <si>
    <t>XP_027423651.1</t>
  </si>
  <si>
    <t>bleomycin hydrolase [Zalophus californianus]</t>
  </si>
  <si>
    <t>XP_027423665.1 (+2)</t>
  </si>
  <si>
    <t>XP_027423665.1&amp;XP_027423666.1&amp;XP_027423667.1</t>
  </si>
  <si>
    <t>XP_027423665.1, XP_027445327.1</t>
  </si>
  <si>
    <t>unconventional myosin-Ic isoform X1 [Zalophus californianus]</t>
  </si>
  <si>
    <t>XP_027423678.1 (+1)</t>
  </si>
  <si>
    <t>XP_027423678.1&amp;XP_027423680.1</t>
  </si>
  <si>
    <t>E3 ubiquitin-protein ligase RNF167 isoform X1 [Zalophus californianus]_x0001_XP_027423677.1 E3 ubiquitin-protein ligase RNF167 isoform X1 [Zalophus californianus]</t>
  </si>
  <si>
    <t>XP_027423685.1</t>
  </si>
  <si>
    <t>60S ribosomal protein L23 [Zalophus californianus]</t>
  </si>
  <si>
    <t>XP_027423696.1</t>
  </si>
  <si>
    <t>serine hydroxymethyltransferase, cytosolic [Zalophus californianus]_x0001_XP_027423695.1 serine hydroxymethyltransferase, cytosolic [Zalophus californianus]</t>
  </si>
  <si>
    <t>XP_027423697.1 (+1)</t>
  </si>
  <si>
    <t>XP_027423697.1&amp;XP_027423698.1</t>
  </si>
  <si>
    <t>26S proteasome non-ATPase regulatory subunit 3 isoform X1 [Zalophus californianus]</t>
  </si>
  <si>
    <t>XP_027423764.1 (+1)</t>
  </si>
  <si>
    <t>XP_027423764.1&amp;XP_027423766.1</t>
  </si>
  <si>
    <t>keratin, type I cytoskeletal 15 isoform X1 [Zalophus californianus]</t>
  </si>
  <si>
    <t>XP_027423767.1</t>
  </si>
  <si>
    <t>keratin, type I cytoskeletal 19 [Zalophus californianus]</t>
  </si>
  <si>
    <t>XP_027423778.1</t>
  </si>
  <si>
    <t>platelet glycoprotein Ib alpha chain [Zalophus californianus]</t>
  </si>
  <si>
    <t>XP_027423780.1</t>
  </si>
  <si>
    <t>ketosamine-3-kinase [Zalophus californianus]</t>
  </si>
  <si>
    <t>XP_027423812.1</t>
  </si>
  <si>
    <t>XP_027423812.1, XP_027441464.1</t>
  </si>
  <si>
    <t>junction plakoglobin [Zalophus californianus]_x0001_XP_027423811.1 junction plakoglobin [Zalophus californianus]_x0001_XP_027423810.1 junction plakoglobin [Zalophus californianus]_x0001_XP_027423807.1 junction plakoglobin [Zalophus californianus]_x0001_XP_027423806.1 junction plakoglobin [Zalophus californianus]_x0001_XP_027423805.1 junction plakoglobin [Zalophus californianus]_x0001_XP_027423804.1 junction plakoglobin [Zalophus californianus]</t>
  </si>
  <si>
    <t>XP_027423861.1</t>
  </si>
  <si>
    <t>XP_027423861.1, XP_027431057.1</t>
  </si>
  <si>
    <t>phosphatidylinositol transfer protein alpha isoform [Zalophus californianus]</t>
  </si>
  <si>
    <t>XP_027423893.1 (+1)</t>
  </si>
  <si>
    <t>XP_027423893.1&amp;XP_027423894.1</t>
  </si>
  <si>
    <t>26S proteasome regulatory subunit 8 isoform X1 [Zalophus californianus]</t>
  </si>
  <si>
    <t>XP_027423935.1</t>
  </si>
  <si>
    <t>XP_027423935.1, XP_027437223.1, XP_027450694.1, XP_027462692.1, XP_027467200.1</t>
  </si>
  <si>
    <t>ras-related C3 botulinum toxin substrate 3 isoform X1 [Zalophus californianus]</t>
  </si>
  <si>
    <t>XP_027423960.1</t>
  </si>
  <si>
    <t>THO complex subunit 4 [Zalophus californianus]</t>
  </si>
  <si>
    <t>XP_027423975.1</t>
  </si>
  <si>
    <t>prohibitin [Zalophus californianus]</t>
  </si>
  <si>
    <t>XP_027423976.1 (+1)</t>
  </si>
  <si>
    <t>XP_027423976.1&amp;XP_027423978.1</t>
  </si>
  <si>
    <t>WW domain-binding protein 2 isoform X1 [Zalophus californianus]</t>
  </si>
  <si>
    <t>XP_027423980.1</t>
  </si>
  <si>
    <t>keratin, type I cytoskeletal 16 [Zalophus californianus]</t>
  </si>
  <si>
    <t>XP_027423981.1</t>
  </si>
  <si>
    <t>keratin, type I cytoskeletal 14 [Zalophus californianus]</t>
  </si>
  <si>
    <t>XP_027423990.1</t>
  </si>
  <si>
    <t>60S ribosomal protein L27 [Zalophus californianus]</t>
  </si>
  <si>
    <t>XP_027424002.1 (+1)</t>
  </si>
  <si>
    <t>XP_027424002.1&amp;XP_027424003.1</t>
  </si>
  <si>
    <t>galectin-9 isoform X1 [Zalophus californianus]</t>
  </si>
  <si>
    <t>XP_027424004.1 (+1)</t>
  </si>
  <si>
    <t>XP_027424004.1&amp;XP_027424005.1</t>
  </si>
  <si>
    <t>protein tweety homolog 2 isoform X1 [Zalophus californianus]</t>
  </si>
  <si>
    <t>XP_027424072.1</t>
  </si>
  <si>
    <t>rho GDP-dissociation inhibitor 1 [Zalophus californianus]</t>
  </si>
  <si>
    <t>XP_027424167.1</t>
  </si>
  <si>
    <t>60S ribosomal protein L38 [Zalophus californianus]_x0001_XP_027424166.1 60S ribosomal protein L38 [Zalophus californianus]_x0001_XP_027479505.1 60S ribosomal protein L38 [Zalophus californianus]</t>
  </si>
  <si>
    <t>XP_027424196.1</t>
  </si>
  <si>
    <t>pancreatic prohormone [Zalophus californianus]</t>
  </si>
  <si>
    <t>XP_027424206.1 (+2)</t>
  </si>
  <si>
    <t>XP_027424206.1&amp;XP_027424208.1&amp;XP_027424209.1</t>
  </si>
  <si>
    <t>secreted and transmembrane protein 1 isoform X1 [Zalophus californianus]</t>
  </si>
  <si>
    <t>XP_027424323.1 (+1)</t>
  </si>
  <si>
    <t>XP_027424323.1&amp;XP_027424327.1</t>
  </si>
  <si>
    <t>alpha-2-antiplasmin isoform X1 [Zalophus californianus]</t>
  </si>
  <si>
    <t>XP_027424341.1</t>
  </si>
  <si>
    <t>complement component 1 Q subcomponent-binding protein, mitochondrial [Zalophus californianus]</t>
  </si>
  <si>
    <t>XP_027424347.1 (+1)</t>
  </si>
  <si>
    <t>XP_027424347.1&amp;XP_027424348.1</t>
  </si>
  <si>
    <t>granulins isoform X1 [Zalophus californianus]</t>
  </si>
  <si>
    <t>XP_027424354.1</t>
  </si>
  <si>
    <t>asialoglycoprotein receptor 2 isoform X1 [Zalophus californianus]_x0001_XP_027424353.1 asialoglycoprotein receptor 2 isoform X1 [Zalophus californianus]_x0001_XP_027424351.1 asialoglycoprotein receptor 2 isoform X1 [Zalophus californianus]_x0001_XP_027424350.1 asialoglycoprotein receptor 2 isoform X1 [Zalophus californianus]</t>
  </si>
  <si>
    <t>XP_027424385.1</t>
  </si>
  <si>
    <t>arachidonate 15-lipoxygenase [Zalophus californianus]_x0001_XP_027424384.1 arachidonate 15-lipoxygenase [Zalophus californianus]</t>
  </si>
  <si>
    <t>XP_027424389.1 (+1)</t>
  </si>
  <si>
    <t>XP_027424389.1&amp;XP_027424445.1</t>
  </si>
  <si>
    <t>regulatory solute carrier protein family 1 member 1 isoform X1 [Zalophus californianus]</t>
  </si>
  <si>
    <t>XP_027424423.1 (+1)</t>
  </si>
  <si>
    <t>XP_027424423.1&amp;XP_027424424.1</t>
  </si>
  <si>
    <t>smoothelin-like protein 2 isoform X1 [Zalophus californianus]</t>
  </si>
  <si>
    <t>XP_027424506.1</t>
  </si>
  <si>
    <t>chromogranin-A [Zalophus californianus]</t>
  </si>
  <si>
    <t>XP_027424539.1</t>
  </si>
  <si>
    <t>XP_027424539.1, XP_027433746.1, XP_027459622.1, XP_027459628.1, XP_027462638.1, XP_027463555.1, XP_027470871.1</t>
  </si>
  <si>
    <t>heat shock-related 70 kDa protein 2 [Zalophus californianus]</t>
  </si>
  <si>
    <t>XP_027424569.1</t>
  </si>
  <si>
    <t>delta-1-pyrroline-5-carboxylate dehydrogenase, mitochondrial [Zalophus californianus]</t>
  </si>
  <si>
    <t>XP_027424580.1</t>
  </si>
  <si>
    <t>neuroblastoma suppressor of tumorigenicity 1 [Zalophus californianus]</t>
  </si>
  <si>
    <t>XP_027424588.1</t>
  </si>
  <si>
    <t>aggrecan core protein [Zalophus californianus]</t>
  </si>
  <si>
    <t>XP_027424614.1 (+1)</t>
  </si>
  <si>
    <t>XP_027424614.1&amp;XP_027424630.1</t>
  </si>
  <si>
    <t>methanethiol oxidase isoform X1 [Zalophus californianus]</t>
  </si>
  <si>
    <t>XP_027424628.1</t>
  </si>
  <si>
    <t>synemin [Zalophus californianus]</t>
  </si>
  <si>
    <t>XP_027424650.1</t>
  </si>
  <si>
    <t>immunoglobulin superfamily DCC subclass member 4 [Zalophus californianus]</t>
  </si>
  <si>
    <t>XP_027424652.1</t>
  </si>
  <si>
    <t>proteasome subunit beta type-4 [Zalophus californianus]</t>
  </si>
  <si>
    <t>XP_027424654.1</t>
  </si>
  <si>
    <t>XP_027424654.1, XP_027426676.1</t>
  </si>
  <si>
    <t>cysteine-rich protein 1 [Zalophus californianus]_x0001_XP_027424653.1 cysteine-rich protein 1 [Zalophus californianus]</t>
  </si>
  <si>
    <t>XP_027424666.1 (+1)</t>
  </si>
  <si>
    <t>XP_027424666.1&amp;XP_027424667.1</t>
  </si>
  <si>
    <t>XP_027424666.1, XP_027473267.1</t>
  </si>
  <si>
    <t>spectrin beta chain, erythrocytic isoform X1 [Zalophus californianus]_x0001_XP_027424665.1 spectrin beta chain, erythrocytic isoform X1 [Zalophus californianus]_x0001_XP_027424664.1 spectrin beta chain, erythrocytic isoform X1 [Zalophus californianus]</t>
  </si>
  <si>
    <t>XP_027424694.1</t>
  </si>
  <si>
    <t>nuclear migration protein nudC [Zalophus californianus]</t>
  </si>
  <si>
    <t>XP_027424698.1</t>
  </si>
  <si>
    <t>XP_027424698.1, XP_027482022.1</t>
  </si>
  <si>
    <t>acidic leucine-rich nuclear phosphoprotein 32 family member A [Zalophus californianus]</t>
  </si>
  <si>
    <t>XP_027424712.1 (+7)</t>
  </si>
  <si>
    <t>XP_027424712.1&amp;XP_027424723.1&amp;XP_027424732.1&amp;XP_027424741.1&amp;XP_027424746.1&amp;XP_027424756.1&amp;XP_027424763.1&amp;XP_027424772.1</t>
  </si>
  <si>
    <t>ectonucleotide pyrophosphatase/phosphodiesterase family member 2 isoform X1 [Zalophus californianus]</t>
  </si>
  <si>
    <t>XP_027424781.1 (+1)</t>
  </si>
  <si>
    <t>XP_027424781.1&amp;XP_027424782.1</t>
  </si>
  <si>
    <t>frizzled-6 isoform X1 [Zalophus californianus]_x0001_XP_027424779.1 frizzled-6 isoform X1 [Zalophus californianus]</t>
  </si>
  <si>
    <t>XP_027424819.1 (+2)</t>
  </si>
  <si>
    <t>XP_027424819.1&amp;XP_027424820.1&amp;XP_027424823.1</t>
  </si>
  <si>
    <t>pleckstrin homology domain-containing family O member 2 isoform X1 [Zalophus californianus]</t>
  </si>
  <si>
    <t>XP_027424852.1</t>
  </si>
  <si>
    <t>XP_027424852.1, XP_027464608.1</t>
  </si>
  <si>
    <t>splicing factor, proline- and glutamine-rich isoform X1 [Zalophus californianus]</t>
  </si>
  <si>
    <t>XP_027424866.1 (+1)</t>
  </si>
  <si>
    <t>XP_027424866.1&amp;XP_027424867.1</t>
  </si>
  <si>
    <t>cytoplasmic dynein 1 heavy chain 1 isoform X1 [Zalophus californianus]</t>
  </si>
  <si>
    <t>XP_027424926.1 (+2)</t>
  </si>
  <si>
    <t>XP_027424926.1&amp;XP_027424927.1&amp;XP_027424929.1</t>
  </si>
  <si>
    <t>plasma serine protease inhibitor isoform X1 [Zalophus californianus]</t>
  </si>
  <si>
    <t>XP_027424931.1</t>
  </si>
  <si>
    <t>alpha-1-antichymotrypsin [Zalophus californianus]_x0001_XP_027424930.1 alpha-1-antichymotrypsin [Zalophus californianus]</t>
  </si>
  <si>
    <t>XP_027424965.1 (+8)</t>
  </si>
  <si>
    <t>XP_027424965.1&amp;XP_027424966.1&amp;XP_027424967.1&amp;XP_027424968.1&amp;XP_027424969.1&amp;XP_027424970.1&amp;XP_027424971.1&amp;XP_027424972.1&amp;XP_027424973.1</t>
  </si>
  <si>
    <t>kinectin isoform X1 [Zalophus californianus]</t>
  </si>
  <si>
    <t>XP_027425024.1</t>
  </si>
  <si>
    <t>semaphorin-4B [Zalophus californianus]_x0001_XP_027425023.1 semaphorin-4B [Zalophus californianus]_x0001_XP_027425022.1 semaphorin-4B [Zalophus californianus]_x0001_XP_027425021.1 semaphorin-4B [Zalophus californianus]</t>
  </si>
  <si>
    <t>XP_027425046.1</t>
  </si>
  <si>
    <t>XP_027425046.1, XP_027476457.1</t>
  </si>
  <si>
    <t>calmodulin-1 [Zalophus californianus]_x0001_XP_027477743.1 calmodulin-2 [Zalophus californianus]_x0001_XP_027474799.1 calmodulin-3 [Zalophus californianus]</t>
  </si>
  <si>
    <t>XP_027425075.1</t>
  </si>
  <si>
    <t>protein amnionless isoform X2 [Zalophus californianus]</t>
  </si>
  <si>
    <t>XP_027425081.1</t>
  </si>
  <si>
    <t>glutathione peroxidase 2 [Zalophus californianus]</t>
  </si>
  <si>
    <t>XP_027425134.1 (+1)</t>
  </si>
  <si>
    <t>XP_027425134.1&amp;XP_027425136.1</t>
  </si>
  <si>
    <t>latent-transforming growth factor beta-binding protein 2 isoform X1 [Zalophus californianus]</t>
  </si>
  <si>
    <t>XP_027425148.1</t>
  </si>
  <si>
    <t>DNA-(apurinic or apyrimidinic site) lyase [Zalophus californianus]_x0001_XP_027425147.1 DNA-(apurinic or apyrimidinic site) lyase [Zalophus californianus]</t>
  </si>
  <si>
    <t>XP_027425165.1 (+2)</t>
  </si>
  <si>
    <t>XP_027425165.1&amp;XP_027425166.1&amp;XP_027425167.1</t>
  </si>
  <si>
    <t>tryptophan--tRNA ligase, cytoplasmic isoform X1 [Zalophus californianus]_x0001_XP_027425164.1 tryptophan--tRNA ligase, cytoplasmic isoform X1 [Zalophus californianus]_x0001_XP_027425163.1 tryptophan--tRNA ligase, cytoplasmic isoform X1 [Zalophus californianus]_x0001_XP_027425162.1 tryptophan--tRNA ligase, cytoplasmic isoform X1 [Zalophus californianus]</t>
  </si>
  <si>
    <t>XP_027425177.1</t>
  </si>
  <si>
    <t>thrombospondin-1 [Zalophus californianus]</t>
  </si>
  <si>
    <t>XP_027425209.1 (+4)</t>
  </si>
  <si>
    <t>XP_027425209.1&amp;XP_027425210.1&amp;XP_027425211.1&amp;XP_027425212.1&amp;XP_027425213.1</t>
  </si>
  <si>
    <t>apoptotic chromatin condensation inducer in the nucleus isoform X1 [Zalophus californianus]</t>
  </si>
  <si>
    <t>XP_027425216.1</t>
  </si>
  <si>
    <t>proteasome subunit alpha type-3 [Zalophus californianus]</t>
  </si>
  <si>
    <t>XP_027425253.1 (+4)</t>
  </si>
  <si>
    <t>XP_027425253.1&amp;XP_027425254.1&amp;XP_027425256.1&amp;XP_027425257.1&amp;XP_027425258.1</t>
  </si>
  <si>
    <t>ena/VASP-like protein isoform X1 [Zalophus californianus]</t>
  </si>
  <si>
    <t>XP_027425270.1</t>
  </si>
  <si>
    <t>GTP cyclohydrolase 1 feedback regulatory protein [Zalophus californianus]</t>
  </si>
  <si>
    <t>XP_027425320.1 (+1)</t>
  </si>
  <si>
    <t>XP_027425320.1&amp;XP_027438135.1</t>
  </si>
  <si>
    <t>ras-related protein Rab-11A [Zalophus californianus]</t>
  </si>
  <si>
    <t>XP_027425332.1</t>
  </si>
  <si>
    <t>XP_027425332.1, XP_027457487.1</t>
  </si>
  <si>
    <t>protein disulfide-isomerase A3 [Zalophus californianus]</t>
  </si>
  <si>
    <t>XP_027425339.1</t>
  </si>
  <si>
    <t>huntingtin-interacting protein K [Zalophus californianus]</t>
  </si>
  <si>
    <t>XP_027425347.1 (+1)</t>
  </si>
  <si>
    <t>XP_027425347.1&amp;XP_027425348.1</t>
  </si>
  <si>
    <t>acylphosphatase-1 isoform X1 [Zalophus californianus]</t>
  </si>
  <si>
    <t>XP_027425396.1 (+9)</t>
  </si>
  <si>
    <t>XP_027425396.1&amp;XP_027425397.1&amp;XP_027425398.1&amp;XP_027425399.1&amp;XP_027425401.1&amp;XP_027425402.1&amp;XP_027425403.1&amp;XP_027425404.1&amp;XP_027425405.1&amp;XP_027425406.1</t>
  </si>
  <si>
    <t>pro-interleukin-16 isoform X1 [Zalophus californianus]</t>
  </si>
  <si>
    <t>XP_027425434.1</t>
  </si>
  <si>
    <t>phosphoenolpyruvate carboxykinase [GTP], mitochondrial isoform X1 [Zalophus californianus]</t>
  </si>
  <si>
    <t>XP_027425483.1</t>
  </si>
  <si>
    <t>ras GTPase-activating-like protein IQGAP1 [Zalophus californianus]</t>
  </si>
  <si>
    <t>XP_027425697.1</t>
  </si>
  <si>
    <t>methylmalonate-semialdehyde dehydrogenase [acylating], mitochondrial isoform X1 [Zalophus californianus]</t>
  </si>
  <si>
    <t>XP_027425723.1 (+8)</t>
  </si>
  <si>
    <t>XP_027425723.1&amp;XP_027425724.1&amp;XP_027425725.1&amp;XP_027425727.1&amp;XP_027425728.1&amp;XP_027425729.1&amp;XP_027425730.1&amp;XP_027425731.1&amp;XP_027425732.1</t>
  </si>
  <si>
    <t>neogenin isoform X1 [Zalophus californianus]</t>
  </si>
  <si>
    <t>XP_027425734.1 (+1)</t>
  </si>
  <si>
    <t>XP_027425734.1&amp;XP_027425736.1</t>
  </si>
  <si>
    <t>nidogen-2 isoform X1 [Zalophus californianus]</t>
  </si>
  <si>
    <t>XP_027425741.1 (+1)</t>
  </si>
  <si>
    <t>XP_027425741.1&amp;XP_027425743.1</t>
  </si>
  <si>
    <t>fibrillin-1 isoform X1 [Zalophus californianus]_x0001_XP_027425740.1 fibrillin-1 isoform X1 [Zalophus californianus]</t>
  </si>
  <si>
    <t>XP_027425744.1 (+6)</t>
  </si>
  <si>
    <t>XP_027425744.1&amp;XP_027425745.1&amp;XP_027425746.1&amp;XP_027425747.1&amp;XP_027425748.1&amp;XP_027425749.1&amp;XP_027425750.1</t>
  </si>
  <si>
    <t>tight junction protein ZO-1 isoform X1 [Zalophus californianus]</t>
  </si>
  <si>
    <t>XP_027425753.1</t>
  </si>
  <si>
    <t>sorting nexin-1 [Zalophus californianus]</t>
  </si>
  <si>
    <t>XP_027425772.1</t>
  </si>
  <si>
    <t>peptidyl-prolyl cis-trans isomerase B [Zalophus californianus]</t>
  </si>
  <si>
    <t>XP_027425813.1 (+1)</t>
  </si>
  <si>
    <t>XP_027425813.1&amp;XP_027425814.1</t>
  </si>
  <si>
    <t>maleylacetoacetate isomerase isoform X1 [Zalophus californianus]</t>
  </si>
  <si>
    <t>XP_027425830.1 (+1)</t>
  </si>
  <si>
    <t>XP_027425830.1&amp;XP_027473653.1</t>
  </si>
  <si>
    <t>60S ribosomal protein L30 [Zalophus californianus]</t>
  </si>
  <si>
    <t>XP_027425835.1 (+3)</t>
  </si>
  <si>
    <t>XP_027425835.1&amp;XP_027425836.1&amp;XP_027425837.1&amp;XP_027425842.1</t>
  </si>
  <si>
    <t>endoplasmic reticulum export factor CTAGE5 isoform X1 [Zalophus californianus]</t>
  </si>
  <si>
    <t>XP_027425858.1</t>
  </si>
  <si>
    <t>glucosamine 6-phosphate N-acetyltransferase [Zalophus californianus]_x0001_XP_027425857.1 glucosamine 6-phosphate N-acetyltransferase [Zalophus californianus]_x0001_XP_027425856.1 glucosamine 6-phosphate N-acetyltransferase [Zalophus californianus]</t>
  </si>
  <si>
    <t>XP_027425859.1 (+1)</t>
  </si>
  <si>
    <t>XP_027425859.1&amp;XP_027425860.1</t>
  </si>
  <si>
    <t>mannose-6-phosphate isomerase isoform X1 [Zalophus californianus]</t>
  </si>
  <si>
    <t>XP_027425890.1</t>
  </si>
  <si>
    <t>alpha-1-antitrypsin [Zalophus californianus]</t>
  </si>
  <si>
    <t>XP_027425923.1 (+3)</t>
  </si>
  <si>
    <t>XP_027425923.1&amp;XP_027425924.1&amp;XP_027425926.1&amp;XP_027425927.1</t>
  </si>
  <si>
    <t>disintegrin and metalloproteinase domain-containing protein 10 isoform X1 [Zalophus californianus]</t>
  </si>
  <si>
    <t>XP_027425953.1</t>
  </si>
  <si>
    <t>peptidyl-prolyl cis-trans isomerase H [Zalophus californianus]_x0001_XP_027425945.1 peptidyl-prolyl cis-trans isomerase H [Zalophus californianus]</t>
  </si>
  <si>
    <t>XP_027425965.1</t>
  </si>
  <si>
    <t>guanylate cyclase activator 2B [Zalophus californianus]</t>
  </si>
  <si>
    <t>XP_027425974.1</t>
  </si>
  <si>
    <t>furin [Zalophus californianus]_x0001_XP_027425973.1 furin [Zalophus californianus]_x0001_XP_027425972.1 furin [Zalophus californianus]</t>
  </si>
  <si>
    <t>XP_027425997.1</t>
  </si>
  <si>
    <t>eukaryotic translation initiation factor 2 subunit 1 [Zalophus californianus]</t>
  </si>
  <si>
    <t>XP_027425998.1</t>
  </si>
  <si>
    <t>V-type proton ATPase subunit D [Zalophus californianus]</t>
  </si>
  <si>
    <t>XP_027426062.1</t>
  </si>
  <si>
    <t>ADP-ribosylation factor 6 [Zalophus californianus]</t>
  </si>
  <si>
    <t>XP_027426071.1 (+1)</t>
  </si>
  <si>
    <t>XP_027426071.1&amp;XP_027426072.1</t>
  </si>
  <si>
    <t>dihydrolipoyllysine-residue succinyltransferase component of 2-oxoglutarate dehydrogenase complex, mitochondrial isoform X1 [Zalophus californianus]</t>
  </si>
  <si>
    <t>XP_027426090.1 (+2)</t>
  </si>
  <si>
    <t>XP_027426090.1&amp;XP_027426091.1&amp;XP_027426092.1</t>
  </si>
  <si>
    <t>XP_027426090.1, XP_027460482.1</t>
  </si>
  <si>
    <t>solute carrier family 12 member 1 isoform X1 [Zalophus californianus]</t>
  </si>
  <si>
    <t>XP_027426178.1</t>
  </si>
  <si>
    <t>galectin-3 [Zalophus californianus]</t>
  </si>
  <si>
    <t>XP_027426184.1</t>
  </si>
  <si>
    <t>fibulin-5 [Zalophus californianus]</t>
  </si>
  <si>
    <t>XP_027426194.1</t>
  </si>
  <si>
    <t>uncharacterized protein LOC113909368 [Zalophus californianus]</t>
  </si>
  <si>
    <t>XP_027426199.1</t>
  </si>
  <si>
    <t>protein AHNAK2 [Zalophus californianus]</t>
  </si>
  <si>
    <t>XP_027426210.1</t>
  </si>
  <si>
    <t>XP_027426210.1, XP_027469148.1</t>
  </si>
  <si>
    <t>procollagen-lysine,2-oxoglutarate 5-dioxygenase 1 [Zalophus californianus]</t>
  </si>
  <si>
    <t>XP_027426211.1 (+1)</t>
  </si>
  <si>
    <t>XP_027426211.1&amp;XP_027426212.1</t>
  </si>
  <si>
    <t>annexin A2 isoform X1 [Zalophus californianus]</t>
  </si>
  <si>
    <t>XP_027426213.1</t>
  </si>
  <si>
    <t>XP_027426213.1, XP_027432596.1, XP_027436809.1, XP_027441932.1, XP_027452417.1, XP_027467776.1, XP_027472554.1, XP_027477380.1, XP_027478972.1</t>
  </si>
  <si>
    <t>ras-related protein Rab-8B isoform X1 [Zalophus californianus]</t>
  </si>
  <si>
    <t>XP_027426267.1 (+1)</t>
  </si>
  <si>
    <t>XP_027426267.1&amp;XP_027426272.1</t>
  </si>
  <si>
    <t>ribonuclease 4 isoform X1 [Zalophus californianus]</t>
  </si>
  <si>
    <t>XP_027426274.1</t>
  </si>
  <si>
    <t>angiogenin [Zalophus californianus]_x0001_XP_027426273.1 angiogenin [Zalophus californianus]</t>
  </si>
  <si>
    <t>XP_027426315.1 (+2)</t>
  </si>
  <si>
    <t>XP_027426315.1&amp;XP_027426316.1&amp;XP_027426318.1</t>
  </si>
  <si>
    <t>protein NDRG2 isoform X4 [Zalophus californianus]</t>
  </si>
  <si>
    <t>XP_027426344.1 (+4)</t>
  </si>
  <si>
    <t>XP_027426344.1&amp;XP_027426345.1&amp;XP_027426346.1&amp;XP_027426347.1&amp;XP_027426348.1</t>
  </si>
  <si>
    <t>armadillo-like helical domain-containing protein 4 isoform X1 [Zalophus californianus]</t>
  </si>
  <si>
    <t>XP_027426370.1</t>
  </si>
  <si>
    <t>chymosin-like [Zalophus californianus]</t>
  </si>
  <si>
    <t>XP_027426399.1</t>
  </si>
  <si>
    <t>XP_027426399.1, XP_027434201.1, XP_027478849.1</t>
  </si>
  <si>
    <t>EH domain-containing protein 4 [Zalophus californianus]</t>
  </si>
  <si>
    <t>XP_027426400.1 (+1)</t>
  </si>
  <si>
    <t>XP_027426400.1&amp;XP_027426402.1</t>
  </si>
  <si>
    <t>C-1-tetrahydrofolate synthase, cytoplasmic isoform X1 [Zalophus californianus]</t>
  </si>
  <si>
    <t>XP_027426421.1</t>
  </si>
  <si>
    <t>gamma-glutamyl hydrolase [Zalophus californianus]</t>
  </si>
  <si>
    <t>XP_027426443.1</t>
  </si>
  <si>
    <t>XP_027426443.1, XP_027435379.1</t>
  </si>
  <si>
    <t>60S acidic ribosomal protein P1 [Zalophus californianus]</t>
  </si>
  <si>
    <t>XP_027426545.1</t>
  </si>
  <si>
    <t>tubulointerstitial nephritis antigen-like isoform X2 [Zalophus californianus]</t>
  </si>
  <si>
    <t>XP_027426571.1</t>
  </si>
  <si>
    <t>transmembrane emp24 domain-containing protein 10 [Zalophus californianus]</t>
  </si>
  <si>
    <t>XP_027426607.1</t>
  </si>
  <si>
    <t>guanylin [Zalophus californianus]</t>
  </si>
  <si>
    <t>XP_027426611.1</t>
  </si>
  <si>
    <t>beta-hexosaminidase subunit alpha [Zalophus californianus]</t>
  </si>
  <si>
    <t>XP_027426645.1</t>
  </si>
  <si>
    <t>XP_027426645.1, XP_027478400.1</t>
  </si>
  <si>
    <t>serine/arginine-rich splicing factor 4 [Zalophus californianus]</t>
  </si>
  <si>
    <t>XP_027426659.1 (+1)</t>
  </si>
  <si>
    <t>XP_027426659.1&amp;XP_027469869.1</t>
  </si>
  <si>
    <t>T-complex protein 1 subunit zeta-like isoform X1 [Zalophus californianus]</t>
  </si>
  <si>
    <t>XP_027426669.1</t>
  </si>
  <si>
    <t>XP_027426669.1, XP_027428110.1, XP_027460703.1</t>
  </si>
  <si>
    <t>creatine kinase U-type, mitochondrial isoform X1 [Zalophus californianus]_x0001_XP_027426668.1 creatine kinase U-type, mitochondrial isoform X1 [Zalophus californianus]_x0001_XP_027426667.1 creatine kinase U-type, mitochondrial isoform X1 [Zalophus californianus]_x0001_XP_027426665.1 creatine kinase U-type, mitochondrial isoform X1 [Zalophus californianus]</t>
  </si>
  <si>
    <t>XP_027426674.1</t>
  </si>
  <si>
    <t>pro-cathepsin H isoform X1 [Zalophus californianus]</t>
  </si>
  <si>
    <t>XP_027426676.1 (+3)</t>
  </si>
  <si>
    <t>XP_027426676.1&amp;XP_027426677.1&amp;XP_027426678.1&amp;XP_027426679.1</t>
  </si>
  <si>
    <t>cysteine-rich protein 2 isoform X1 [Zalophus californianus]</t>
  </si>
  <si>
    <t>XP_027426681.1 (+2)</t>
  </si>
  <si>
    <t>XP_027426681.1&amp;XP_027426682.1&amp;XP_027426683.1</t>
  </si>
  <si>
    <t>proprotein convertase subtilisin/kexin type 6 isoform X1 [Zalophus californianus]</t>
  </si>
  <si>
    <t>XP_027426684.1 (+1)</t>
  </si>
  <si>
    <t>XP_027426684.1&amp;XP_027426686.1</t>
  </si>
  <si>
    <t>alpha-protein kinase 3 isoform X1 [Zalophus californianus]</t>
  </si>
  <si>
    <t>XP_027426707.1</t>
  </si>
  <si>
    <t>normal mucosa of esophagus-specific gene 1 protein [Zalophus californianus]</t>
  </si>
  <si>
    <t>XP_027426708.1 (+1)</t>
  </si>
  <si>
    <t>XP_027426708.1&amp;XP_027426710.1</t>
  </si>
  <si>
    <t>proteasome subunit alpha type-6 isoform X1 [Zalophus californianus]</t>
  </si>
  <si>
    <t>XP_027426772.1</t>
  </si>
  <si>
    <t>isovaleryl-CoA dehydrogenase, mitochondrial [Zalophus californianus]</t>
  </si>
  <si>
    <t>XP_027426782.1 (+2)</t>
  </si>
  <si>
    <t>XP_027426782.1&amp;XP_027426783.1&amp;XP_027426784.1</t>
  </si>
  <si>
    <t>SPARC-related modular calcium-binding protein 1 isoform X1 [Zalophus californianus]</t>
  </si>
  <si>
    <t>XP_027426786.1 (+1)</t>
  </si>
  <si>
    <t>XP_027426786.1&amp;XP_027426787.1</t>
  </si>
  <si>
    <t>neuroplastin isoform X1 [Zalophus californianus]</t>
  </si>
  <si>
    <t>XP_027426801.1</t>
  </si>
  <si>
    <t>XP_027426801.1, XP_027446242.1</t>
  </si>
  <si>
    <t>isocitrate dehydrogenase [NADP], mitochondrial isoform X1 [Zalophus californianus]</t>
  </si>
  <si>
    <t>XP_027426845.1</t>
  </si>
  <si>
    <t>XP_027426845.1, XP_027480570.1</t>
  </si>
  <si>
    <t>vesicle-associated membrane protein 3 [Zalophus californianus]</t>
  </si>
  <si>
    <t>XP_027426852.1 (+2)</t>
  </si>
  <si>
    <t>XP_027426852.1&amp;XP_027426853.1&amp;XP_027426854.1</t>
  </si>
  <si>
    <t>XP_027426852.1, XP_027450896.1, XP_027473267.1</t>
  </si>
  <si>
    <t>alpha-actinin-1 isoform X1 [Zalophus californianus]</t>
  </si>
  <si>
    <t>XP_027426862.1</t>
  </si>
  <si>
    <t>XP_027426862.1, XP_027447846.1, XP_027467825.1, XP_027469898.1, XP_027473072.1, XP_027480955.1, XP_027480956.1, XP_027480959.1, XP_027480963.1, XP_027481358.1, XP_027481764.1</t>
  </si>
  <si>
    <t>myosin-6 [Zalophus californianus]</t>
  </si>
  <si>
    <t>XP_027426865.1 (+1)</t>
  </si>
  <si>
    <t>XP_027426865.1&amp;XP_027426866.1</t>
  </si>
  <si>
    <t>immunoglobulin superfamily containing leucine-rich repeat protein isoform X1 [Zalophus californianus]</t>
  </si>
  <si>
    <t>XP_027426879.1</t>
  </si>
  <si>
    <t>interferon-stimulated gene 20 kDa protein [Zalophus californianus]</t>
  </si>
  <si>
    <t>XP_027426886.1</t>
  </si>
  <si>
    <t>cellular retinoic acid-binding protein 1 [Zalophus californianus]</t>
  </si>
  <si>
    <t>XP_027426902.1 (+1)</t>
  </si>
  <si>
    <t>XP_027426902.1&amp;XP_027426909.1</t>
  </si>
  <si>
    <t>CD160 antigen isoform X1 [Zalophus californianus]</t>
  </si>
  <si>
    <t>XP_027426919.1</t>
  </si>
  <si>
    <t>fumarylacetoacetase [Zalophus californianus]</t>
  </si>
  <si>
    <t>XP_027426934.1 (+1)</t>
  </si>
  <si>
    <t>XP_027426934.1&amp;XP_027461394.1</t>
  </si>
  <si>
    <t>40S ribosomal protein S14-like isoform X3 [Zalophus californianus]_x0001_XP_027426933.1 40S ribosomal protein S14-like isoform X2 [Zalophus californianus]_x0001_XP_027426932.1 40S ribosomal protein S14-like isoform X1 [Zalophus californianus]</t>
  </si>
  <si>
    <t>XP_027426961.1</t>
  </si>
  <si>
    <t>corticosteroid-binding globulin-like isoform X1 [Zalophus californianus]_x0001_XP_027426960.1 corticosteroid-binding globulin-like isoform X1 [Zalophus californianus]</t>
  </si>
  <si>
    <t>XP_027427006.1</t>
  </si>
  <si>
    <t>XP_027427006.1, XP_027473341.1</t>
  </si>
  <si>
    <t>glia maturation factor beta isoform X2 [Zalophus californianus]</t>
  </si>
  <si>
    <t>XP_027427013.1</t>
  </si>
  <si>
    <t>putative transmembrane protein INAFM2 [Zalophus californianus]_x0001_XP_027427012.1 putative transmembrane protein INAFM2 [Zalophus californianus]_x0001_XP_027427011.1 putative transmembrane protein INAFM2 [Zalophus californianus]_x0001_XP_027427009.1 putative transmembrane protein INAFM2 [Zalophus californianus]</t>
  </si>
  <si>
    <t>XP_027427101.1</t>
  </si>
  <si>
    <t>retinol dehydrogenase 12 [Zalophus californianus]</t>
  </si>
  <si>
    <t>XP_027427143.1</t>
  </si>
  <si>
    <t>XP_027427143.1, XP_027466283.1</t>
  </si>
  <si>
    <t>pyruvate kinase PKM isoform X2 [Zalophus californianus]</t>
  </si>
  <si>
    <t>XP_027427153.1</t>
  </si>
  <si>
    <t>trans-3-hydroxy-L-proline dehydratase [Zalophus californianus]</t>
  </si>
  <si>
    <t>XP_027427171.1</t>
  </si>
  <si>
    <t>cartilage intermediate layer protein 1 [Zalophus californianus]</t>
  </si>
  <si>
    <t>XP_027427175.1</t>
  </si>
  <si>
    <t>protein/nucleic acid deglycase DJ-1 [Zalophus californianus]_x0001_XP_027427170.1 protein/nucleic acid deglycase DJ-1 [Zalophus californianus]_x0001_XP_027427162.1 protein/nucleic acid deglycase DJ-1 [Zalophus californianus]_x0001_XP_027427157.1 protein/nucleic acid deglycase DJ-1 [Zalophus californianus]_x0001_XP_027427150.1 protein/nucleic acid deglycase DJ-1 [Zalophus californianus]_x0001_XP_027427144.1 protein/nucleic acid deglycase DJ-1 [Zalophus californianus]_x0001_XP_027427134.1 protein/nucleic acid deglycase DJ-1 [Zalophus californianus]</t>
  </si>
  <si>
    <t>XP_027427189.1 (+1)</t>
  </si>
  <si>
    <t>XP_027427189.1&amp;XP_027427190.1</t>
  </si>
  <si>
    <t>legumain isoform X1 [Zalophus californianus]</t>
  </si>
  <si>
    <t>XP_027427191.1 (+1)</t>
  </si>
  <si>
    <t>XP_027427191.1&amp;XP_027427193.1</t>
  </si>
  <si>
    <t>ribonuclease pancreatic isoform X1 [Zalophus californianus]</t>
  </si>
  <si>
    <t>XP_027427230.1 (+1)</t>
  </si>
  <si>
    <t>XP_027427230.1&amp;XP_027427231.1</t>
  </si>
  <si>
    <t>XP_027427230.1, XP_027433844.1, XP_027478912.1</t>
  </si>
  <si>
    <t>cofilin-2 isoform X1 [Zalophus californianus]</t>
  </si>
  <si>
    <t>XP_027427262.1</t>
  </si>
  <si>
    <t>chondroitin sulfate proteoglycan 4 [Zalophus californianus]</t>
  </si>
  <si>
    <t>XP_027427272.1 (+2)</t>
  </si>
  <si>
    <t>XP_027427272.1&amp;XP_027449989.1&amp;XP_027462938.1</t>
  </si>
  <si>
    <t>XP_027427272.1, XP_027429978.1, XP_027458041.1, XP_027460411.1</t>
  </si>
  <si>
    <t>histone H2A type 2-A [Zalophus californianus]_x0001_XP_027478409.1 histone H2A type 2-A [Zalophus californianus]</t>
  </si>
  <si>
    <t>XP_027427285.1 (+1)</t>
  </si>
  <si>
    <t>XP_027427285.1&amp;XP_027480158.1</t>
  </si>
  <si>
    <t>XP_027427285.1, XP_027458047.1</t>
  </si>
  <si>
    <t>histone H2B type 2-E [Zalophus californianus]_x0001_XP_027478421.1 histone H2B type 2-E [Zalophus californianus]_x0001_XP_027462949.1 histone H2B type 2-E [Zalophus californianus]</t>
  </si>
  <si>
    <t>XP_027427300.1</t>
  </si>
  <si>
    <t>protein delta homolog 1 isoform X1 [Zalophus californianus]</t>
  </si>
  <si>
    <t>XP_027427320.1 (+1)</t>
  </si>
  <si>
    <t>XP_027427320.1&amp;XP_027427321.1</t>
  </si>
  <si>
    <t>prostaglandin reductase 2 isoform X1 [Zalophus californianus]_x0001_XP_027427319.1 prostaglandin reductase 2 isoform X1 [Zalophus californianus]</t>
  </si>
  <si>
    <t>XP_027427367.1</t>
  </si>
  <si>
    <t>sortilin isoform X1 [Zalophus californianus]</t>
  </si>
  <si>
    <t>XP_027427389.1</t>
  </si>
  <si>
    <t>proteasome subunit alpha type-5 [Zalophus californianus]</t>
  </si>
  <si>
    <t>XP_027427409.1 (+7)</t>
  </si>
  <si>
    <t>XP_027427409.1&amp;XP_027427418.1&amp;XP_027427425.1&amp;XP_027427435.1&amp;XP_027427438.1&amp;XP_027427446.1&amp;XP_027427456.1&amp;XP_027427509.1</t>
  </si>
  <si>
    <t>protein 4.1 isoform X1 [Zalophus californianus]</t>
  </si>
  <si>
    <t>XP_027427451.1</t>
  </si>
  <si>
    <t>tropomodulin-3 [Zalophus californianus]</t>
  </si>
  <si>
    <t>XP_027427453.1</t>
  </si>
  <si>
    <t>proteasome subunit alpha type-4 [Zalophus californianus]</t>
  </si>
  <si>
    <t>XP_027427483.1 (+1)</t>
  </si>
  <si>
    <t>XP_027427483.1&amp;XP_027437422.1</t>
  </si>
  <si>
    <t>60S ribosomal protein L4 [Zalophus californianus]</t>
  </si>
  <si>
    <t>XP_027427489.1</t>
  </si>
  <si>
    <t>lysyl oxidase homolog 1 [Zalophus californianus]</t>
  </si>
  <si>
    <t>XP_027427518.1</t>
  </si>
  <si>
    <t>purine nucleoside phosphorylase [Zalophus californianus]</t>
  </si>
  <si>
    <t>XP_027427580.1 (+1)</t>
  </si>
  <si>
    <t>XP_027427580.1&amp;XP_027427582.1</t>
  </si>
  <si>
    <t>activator of 90 kDa heat shock protein ATPase homolog 1 isoform X1 [Zalophus californianus]</t>
  </si>
  <si>
    <t>XP_027427601.1</t>
  </si>
  <si>
    <t>protein-glutamine gamma-glutamyltransferase K [Zalophus californianus]_x0001_XP_027427600.1 protein-glutamine gamma-glutamyltransferase K [Zalophus californianus]</t>
  </si>
  <si>
    <t>XP_027427619.1</t>
  </si>
  <si>
    <t>cytochrome c oxidase subunit 5A, mitochondrial [Zalophus californianus]</t>
  </si>
  <si>
    <t>XP_027427620.1 (+2)</t>
  </si>
  <si>
    <t>XP_027427620.1&amp;XP_027427621.1&amp;XP_027427622.1</t>
  </si>
  <si>
    <t>electron transfer flavoprotein subunit alpha, mitochondrial isoform X1 [Zalophus californianus]</t>
  </si>
  <si>
    <t>XP_027427638.1 (+1)</t>
  </si>
  <si>
    <t>XP_027427638.1&amp;XP_027427639.1</t>
  </si>
  <si>
    <t>gremlin-1 isoform X1 [Zalophus californianus]</t>
  </si>
  <si>
    <t>XP_027427644.1 (+1)</t>
  </si>
  <si>
    <t>XP_027427644.1&amp;XP_027427645.1</t>
  </si>
  <si>
    <t>secretory carrier-associated membrane protein 2 isoform X1 [Zalophus californianus]</t>
  </si>
  <si>
    <t>XP_027427655.1</t>
  </si>
  <si>
    <t>ribonuclease K6-like [Zalophus californianus]</t>
  </si>
  <si>
    <t>XP_027427656.1</t>
  </si>
  <si>
    <t>XP_027427656.1, XP_027467505.1, XP_027474811.1, XP_027477265.1, XP_027477366.1, XP_027481506.1</t>
  </si>
  <si>
    <t>14-3-3 protein zeta/delta [Zalophus californianus]</t>
  </si>
  <si>
    <t>XP_027427657.1</t>
  </si>
  <si>
    <t>ribonuclease K3-like [Zalophus californianus]</t>
  </si>
  <si>
    <t>XP_027427687.1 (+6)</t>
  </si>
  <si>
    <t>XP_027427687.1&amp;XP_027427689.1&amp;XP_027427690.1&amp;XP_027427692.1&amp;XP_027435545.1&amp;XP_027471302.1&amp;XP_027471303.1</t>
  </si>
  <si>
    <t>heterogeneous nuclear ribonucleoproteins C1/C2 isoform X1 [Zalophus californianus]_x0001_XP_027427685.1 heterogeneous nuclear ribonucleoproteins C1/C2 isoform X1 [Zalophus californianus]_x0001_XP_027427684.1 heterogeneous nuclear ribonucleoproteins C1/C2 isoform X1 [Zalophus californianus]_x0001_XP_027427683.1 heterogeneous nuclear ribonucleoproteins C1/C2 isoform X1 [Zalophus californianus]_x0001_XP_027427682.1 heterogeneous nuclear ribonucleoproteins C1/C2 isoform X1 [Zalophus californianus]_x0001_XP_027427681.1 heterogeneous nuclear ribonucleoproteins C1/C2 isoform X1 [Zalophus californianus]_x0001_XP_027427680.1 heterogeneous nuclear ribonucleoproteins C1/C2 isoform X1 [Zalophus californianus]</t>
  </si>
  <si>
    <t>XP_027427723.1</t>
  </si>
  <si>
    <t>proteasome subunit beta type-5 isoform X1 [Zalophus californianus]</t>
  </si>
  <si>
    <t>XP_027427782.1 (+1)</t>
  </si>
  <si>
    <t>XP_027427782.1&amp;XP_027427783.1</t>
  </si>
  <si>
    <t>glycine amidinotransferase, mitochondrial isoform X1 [Zalophus californianus]</t>
  </si>
  <si>
    <t>XP_027427909.1</t>
  </si>
  <si>
    <t>sulfide:quinone oxidoreductase, mitochondrial [Zalophus californianus]_x0001_XP_027427908.1 sulfide:quinone oxidoreductase, mitochondrial [Zalophus californianus]_x0001_XP_027427907.1 sulfide:quinone oxidoreductase, mitochondrial [Zalophus californianus]</t>
  </si>
  <si>
    <t>XP_027427949.1</t>
  </si>
  <si>
    <t>cathepsin G-like [Zalophus californianus]</t>
  </si>
  <si>
    <t>XP_027427972.1</t>
  </si>
  <si>
    <t>beta-2-microglobulin [Zalophus californianus]</t>
  </si>
  <si>
    <t>XP_027428022.1</t>
  </si>
  <si>
    <t>perilipin-1 [Zalophus californianus]_x0001_XP_027428021.1 perilipin-1 [Zalophus californianus]_x0001_XP_027428020.1 perilipin-1 [Zalophus californianus]_x0001_XP_027428019.1 perilipin-1 [Zalophus californianus]</t>
  </si>
  <si>
    <t>XP_027428032.1</t>
  </si>
  <si>
    <t>NPC intracellular cholesterol transporter 2 [Zalophus californianus]</t>
  </si>
  <si>
    <t>XP_027428037.1</t>
  </si>
  <si>
    <t>papilin [Zalophus californianus]_x0001_XP_027428036.1 papilin [Zalophus californianus]_x0001_XP_027428034.1 papilin [Zalophus californianus]</t>
  </si>
  <si>
    <t>XP_027428068.1</t>
  </si>
  <si>
    <t>proteasome activator complex subunit 1 [Zalophus californianus]</t>
  </si>
  <si>
    <t>XP_027428090.1 (+1)</t>
  </si>
  <si>
    <t>XP_027428090.1&amp;XP_027428091.1</t>
  </si>
  <si>
    <t>reticulocalbin-2 isoform X1 [Zalophus californianus]</t>
  </si>
  <si>
    <t>XP_027428104.1</t>
  </si>
  <si>
    <t>cochlin [Zalophus californianus]</t>
  </si>
  <si>
    <t>XP_027428110.1</t>
  </si>
  <si>
    <t>creatine kinase B-type [Zalophus californianus]</t>
  </si>
  <si>
    <t>XP_027428160.1 (+9)</t>
  </si>
  <si>
    <t>XP_027428160.1&amp;XP_027428161.1&amp;XP_027428162.1&amp;XP_027428163.1&amp;XP_027428164.1&amp;XP_027428165.1&amp;XP_027428166.1&amp;XP_027428168.1&amp;XP_027428169.1&amp;XP_027428170.1</t>
  </si>
  <si>
    <t>XP_027428160.1, XP_027434751.1, XP_027478600.1</t>
  </si>
  <si>
    <t>glycogen phosphorylase, liver form isoform X1 [Zalophus californianus]</t>
  </si>
  <si>
    <t>XP_027428199.1</t>
  </si>
  <si>
    <t>lactadherin [Zalophus californianus]_x0001_XP_027428198.1 lactadherin [Zalophus californianus]</t>
  </si>
  <si>
    <t>XP_027428290.1 (+2)</t>
  </si>
  <si>
    <t>XP_027428290.1&amp;XP_027428301.1&amp;XP_027428310.1</t>
  </si>
  <si>
    <t>XP_027428290.1, XP_027459663.1</t>
  </si>
  <si>
    <t>N(G),N(G)-dimethylarginine dimethylaminohydrolase 1 isoform X1 [Zalophus californianus]</t>
  </si>
  <si>
    <t>XP_027428304.1 (+1)</t>
  </si>
  <si>
    <t>XP_027428304.1&amp;XP_027434830.1</t>
  </si>
  <si>
    <t>60S ribosomal protein L27a-like [Zalophus californianus]</t>
  </si>
  <si>
    <t>XP_027428324.1</t>
  </si>
  <si>
    <t>XP_027428324.1, XP_027443827.1</t>
  </si>
  <si>
    <t>alkaline phosphatase, tissue-nonspecific isozyme isoform X1 [Zalophus californianus]</t>
  </si>
  <si>
    <t>XP_027428366.1</t>
  </si>
  <si>
    <t>sorbitol dehydrogenase isoform X1 [Zalophus californianus]</t>
  </si>
  <si>
    <t>XP_027428454.1</t>
  </si>
  <si>
    <t>GMP reductase 2 [Zalophus californianus]</t>
  </si>
  <si>
    <t>XP_027428462.1</t>
  </si>
  <si>
    <t>proteasome activator complex subunit 2 [Zalophus californianus]</t>
  </si>
  <si>
    <t>XP_027428463.1 (+1)</t>
  </si>
  <si>
    <t>XP_027428463.1&amp;XP_027428464.1</t>
  </si>
  <si>
    <t>magnesium-dependent phosphatase 1 isoform X1 [Zalophus californianus]</t>
  </si>
  <si>
    <t>XP_027428467.1 (+1)</t>
  </si>
  <si>
    <t>XP_027428467.1&amp;XP_027428468.1</t>
  </si>
  <si>
    <t>NEDD8 isoform X1 [Zalophus californianus]</t>
  </si>
  <si>
    <t>XP_027428474.1</t>
  </si>
  <si>
    <t>neuroendocrine protein 7B2 isoform X1 [Zalophus californianus]</t>
  </si>
  <si>
    <t>XP_027428484.1</t>
  </si>
  <si>
    <t>oviduct-specific glycoprotein isoform X2 [Zalophus californianus]</t>
  </si>
  <si>
    <t>XP_027428485.1</t>
  </si>
  <si>
    <t>kallistatin [Zalophus californianus]</t>
  </si>
  <si>
    <t>XP_027428571.1 (+1)</t>
  </si>
  <si>
    <t>XP_027428571.1&amp;XP_027428578.1</t>
  </si>
  <si>
    <t>complement component C8 alpha chain isoform X1 [Zalophus californianus]</t>
  </si>
  <si>
    <t>XP_027428583.1</t>
  </si>
  <si>
    <t>kunitz-type protease inhibitor 1 isoform X3 [Zalophus californianus]</t>
  </si>
  <si>
    <t>XP_027428591.1 (+1)</t>
  </si>
  <si>
    <t>XP_027428591.1&amp;XP_027428592.1</t>
  </si>
  <si>
    <t>ERO1-like protein alpha isoform X1 [Zalophus californianus]</t>
  </si>
  <si>
    <t>XP_027428593.1 (+1)</t>
  </si>
  <si>
    <t>XP_027428593.1&amp;XP_027428594.1</t>
  </si>
  <si>
    <t>26S proteasome regulatory subunit 10B isoform X1 [Zalophus californianus]</t>
  </si>
  <si>
    <t>XP_027428638.1</t>
  </si>
  <si>
    <t>C-type lectin domain family 14 member A [Zalophus californianus]</t>
  </si>
  <si>
    <t>XP_027428691.1</t>
  </si>
  <si>
    <t>aminopeptidase N [Zalophus californianus]</t>
  </si>
  <si>
    <t>XP_027428728.1</t>
  </si>
  <si>
    <t>PDZK1-interacting protein 1 isoform X1 [Zalophus californianus]</t>
  </si>
  <si>
    <t>XP_027428777.1</t>
  </si>
  <si>
    <t>peptidyl-prolyl cis-trans isomerase A [Zalophus californianus]</t>
  </si>
  <si>
    <t>XP_027428797.1</t>
  </si>
  <si>
    <t>collagen alpha-2(I) chain [Zalophus californianus]</t>
  </si>
  <si>
    <t>XP_027428841.1</t>
  </si>
  <si>
    <t>CONT_010|gi|136429|sp|P00761|TRYP_PIG, XP_027428841.1, XP_027429316.1</t>
  </si>
  <si>
    <t>trypsin-2 [Zalophus californianus]</t>
  </si>
  <si>
    <t>XP_027428865.1 (+1)</t>
  </si>
  <si>
    <t>XP_027428865.1&amp;XP_027428866.1</t>
  </si>
  <si>
    <t>retinoic acid receptor responder protein 2 isoform X2 [Zalophus californianus]</t>
  </si>
  <si>
    <t>XP_027428940.1 (+3)</t>
  </si>
  <si>
    <t>XP_027428940.1&amp;XP_027428941.1&amp;XP_027428942.1&amp;XP_027428943.1</t>
  </si>
  <si>
    <t>epidermal growth factor receptor isoform X1 [Zalophus californianus]</t>
  </si>
  <si>
    <t>XP_027428984.1 (+2)</t>
  </si>
  <si>
    <t>XP_027428984.1&amp;XP_027428985.1&amp;XP_027428986.1</t>
  </si>
  <si>
    <t>thiamin pyrophosphokinase 1 isoform X1 [Zalophus californianus]</t>
  </si>
  <si>
    <t>XP_027428994.1</t>
  </si>
  <si>
    <t>26S proteasome regulatory subunit 7 [Zalophus californianus]</t>
  </si>
  <si>
    <t>XP_027428995.1</t>
  </si>
  <si>
    <t>coatomer subunit gamma-2 isoform X1 [Zalophus californianus]</t>
  </si>
  <si>
    <t>XP_027429008.1</t>
  </si>
  <si>
    <t>carboxypeptidase A2 [Zalophus californianus]</t>
  </si>
  <si>
    <t>XP_027429015.1 (+2)</t>
  </si>
  <si>
    <t>XP_027429015.1&amp;XP_027429016.1&amp;XP_027429017.1</t>
  </si>
  <si>
    <t>2-oxoglutarate dehydrogenase, mitochondrial isoform X1 [Zalophus californianus]</t>
  </si>
  <si>
    <t>XP_027429025.1 (+4)</t>
  </si>
  <si>
    <t>XP_027429025.1&amp;XP_027429026.1&amp;XP_027429027.1&amp;XP_027429028.1&amp;XP_027429030.1</t>
  </si>
  <si>
    <t>adenosylhomocysteinase 3 isoform X1 [Zalophus californianus]</t>
  </si>
  <si>
    <t>XP_027429075.1</t>
  </si>
  <si>
    <t>mammalian ependymin-related protein 1 [Zalophus californianus]</t>
  </si>
  <si>
    <t>XP_027429085.1 (+1)</t>
  </si>
  <si>
    <t>XP_027429085.1&amp;XP_027429189.1</t>
  </si>
  <si>
    <t>ly-6/neurotoxin-like protein 1 isoform X1 [Zalophus californianus]</t>
  </si>
  <si>
    <t>XP_027429092.1</t>
  </si>
  <si>
    <t>zyxin [Zalophus californianus]_x0001_XP_027429091.1 zyxin [Zalophus californianus]</t>
  </si>
  <si>
    <t>XP_027429254.1 (+1)</t>
  </si>
  <si>
    <t>XP_027429254.1&amp;XP_027429256.1</t>
  </si>
  <si>
    <t>XP_027429254.1, XP_027429369.1</t>
  </si>
  <si>
    <t>multidrug resistance protein 1 isoform X1 [Zalophus californianus]</t>
  </si>
  <si>
    <t>XP_027429283.1</t>
  </si>
  <si>
    <t>lymphocyte antigen 6H-like [Zalophus californianus]_x0001_XP_027429273.1 lymphocyte antigen 6H-like [Zalophus californianus]_x0001_XP_027429263.1 lymphocyte antigen 6H-like [Zalophus californianus]_x0001_XP_027429259.1 lymphocyte antigen 6H-like [Zalophus californianus]</t>
  </si>
  <si>
    <t>XP_027429315.1</t>
  </si>
  <si>
    <t>lymphocyte antigen 6D [Zalophus californianus]</t>
  </si>
  <si>
    <t>XP_027429316.1</t>
  </si>
  <si>
    <t>cationic trypsin [Zalophus californianus]</t>
  </si>
  <si>
    <t>XP_027429365.1</t>
  </si>
  <si>
    <t>anterior gradient protein 2 homolog [Zalophus californianus]_x0001_XP_027429364.1 anterior gradient protein 2 homolog [Zalophus californianus]</t>
  </si>
  <si>
    <t>XP_027429367.1</t>
  </si>
  <si>
    <t>secreted Ly-6/uPAR-related protein 1 [Zalophus californianus]</t>
  </si>
  <si>
    <t>XP_027429369.1 (+6)</t>
  </si>
  <si>
    <t>XP_027429369.1&amp;XP_027429370.1&amp;XP_027429374.1&amp;XP_027429375.1&amp;XP_027429376.1&amp;XP_027429377.1&amp;XP_027429378.1</t>
  </si>
  <si>
    <t>phosphatidylcholine translocator ABCB4 isoform X1 [Zalophus californianus]_x0001_XP_027429368.1 phosphatidylcholine translocator ABCB4 isoform X1 [Zalophus californianus]</t>
  </si>
  <si>
    <t>XP_027429381.1 (+1)</t>
  </si>
  <si>
    <t>XP_027429381.1&amp;XP_027429458.1</t>
  </si>
  <si>
    <t>myomesin-3 isoform X1 [Zalophus californianus]_x0001_XP_027429294.1 myomesin-3 isoform X1 [Zalophus californianus]</t>
  </si>
  <si>
    <t>XP_027429388.1</t>
  </si>
  <si>
    <t>glutathione S-transferase kappa 1 [Zalophus californianus]</t>
  </si>
  <si>
    <t>XP_027429389.1</t>
  </si>
  <si>
    <t>prolactin-inducible protein [Zalophus californianus]</t>
  </si>
  <si>
    <t>XP_027429409.1</t>
  </si>
  <si>
    <t>cytochrome c [Zalophus californianus]_x0001_XP_027429408.1 cytochrome c [Zalophus californianus]</t>
  </si>
  <si>
    <t>XP_027429417.1</t>
  </si>
  <si>
    <t>XP_027429417.1, XP_027445304.1, XP_027446516.1, XP_027464505.1</t>
  </si>
  <si>
    <t>heterogeneous nuclear ribonucleoproteins A2/B1 isoform X1 [Zalophus californianus]_x0001_XP_027429416.1 heterogeneous nuclear ribonucleoproteins A2/B1 isoform X1 [Zalophus californianus]_x0001_XP_027429415.1 heterogeneous nuclear ribonucleoproteins A2/B1 isoform X1 [Zalophus californianus]</t>
  </si>
  <si>
    <t>XP_027429423.1 (+1)</t>
  </si>
  <si>
    <t>XP_027429423.1&amp;XP_027463853.1</t>
  </si>
  <si>
    <t>chromobox protein homolog 3 [Zalophus californianus]_x0001_XP_027429422.1 chromobox protein homolog 3 [Zalophus californianus]_x0001_XP_027429421.1 chromobox protein homolog 3 [Zalophus californianus]</t>
  </si>
  <si>
    <t>XP_027429449.1</t>
  </si>
  <si>
    <t>XP_027429449.1, XP_027453028.1</t>
  </si>
  <si>
    <t>F-actin-capping protein subunit alpha-2 [Zalophus californianus]</t>
  </si>
  <si>
    <t>XP_027429527.1 (+1)</t>
  </si>
  <si>
    <t>XP_027429527.1&amp;XP_027429528.1</t>
  </si>
  <si>
    <t>tissue factor pathway inhibitor 2 isoform X1 [Zalophus californianus]</t>
  </si>
  <si>
    <t>XP_027429557.1</t>
  </si>
  <si>
    <t>sterile alpha motif domain-containing protein 9-like [Zalophus californianus]_x0001_XP_027429556.1 sterile alpha motif domain-containing protein 9-like [Zalophus californianus]_x0001_XP_027429555.1 sterile alpha motif domain-containing protein 9-like [Zalophus californianus]</t>
  </si>
  <si>
    <t>XP_027429584.1 (+5)</t>
  </si>
  <si>
    <t>XP_027429584.1&amp;XP_027429585.1&amp;XP_027429586.1&amp;XP_027429587.1&amp;XP_027429588.1&amp;XP_027429591.1</t>
  </si>
  <si>
    <t>voltage-dependent calcium channel subunit alpha-2/delta-1 isoform X1 [Zalophus californianus]</t>
  </si>
  <si>
    <t>XP_027429595.1 (+1)</t>
  </si>
  <si>
    <t>XP_027429595.1&amp;XP_027429596.1</t>
  </si>
  <si>
    <t>transmembrane emp24 domain-containing protein 4 isoform X1 [Zalophus californianus]_x0001_XP_027429594.1 transmembrane emp24 domain-containing protein 4 isoform X1 [Zalophus californianus]</t>
  </si>
  <si>
    <t>XP_027429632.1</t>
  </si>
  <si>
    <t>XP_027429632.1, XP_027447624.1</t>
  </si>
  <si>
    <t>phosphoglycerate mutase 2 [Zalophus californianus]</t>
  </si>
  <si>
    <t>XP_027429640.1 (+1)</t>
  </si>
  <si>
    <t>XP_027429640.1&amp;XP_027429641.1</t>
  </si>
  <si>
    <t>ephrin type-A receptor 1 isoform X1 [Zalophus californianus]</t>
  </si>
  <si>
    <t>XP_027429683.1</t>
  </si>
  <si>
    <t>fibroleukin [Zalophus californianus]</t>
  </si>
  <si>
    <t>XP_027429722.1</t>
  </si>
  <si>
    <t>pro-neuropeptide Y [Zalophus californianus]_x0001_XP_027429721.1 pro-neuropeptide Y [Zalophus californianus]</t>
  </si>
  <si>
    <t>XP_027429726.1</t>
  </si>
  <si>
    <t>myotrophin [Zalophus californianus]</t>
  </si>
  <si>
    <t>XP_027429730.1</t>
  </si>
  <si>
    <t>podocalyxin [Zalophus californianus]</t>
  </si>
  <si>
    <t>XP_027429748.1 (+1)</t>
  </si>
  <si>
    <t>XP_027429748.1&amp;XP_027474543.1</t>
  </si>
  <si>
    <t>XP_027429748.1, XP_027432327.1</t>
  </si>
  <si>
    <t>LOW QUALITY PROTEIN: vacuolar protein sorting-associated protein 4A-like [Zalophus californianus]_x0001_XP_027474542.1 vacuolar protein sorting-associated protein 4A isoform X1 [Zalophus californianus]</t>
  </si>
  <si>
    <t>XP_027429766.1</t>
  </si>
  <si>
    <t>uridine phosphorylase 1 isoform X1 [Zalophus californianus]_x0001_XP_027429765.1 uridine phosphorylase 1 isoform X1 [Zalophus californianus]_x0001_XP_027429763.1 uridine phosphorylase 1 isoform X1 [Zalophus californianus]_x0001_XP_027429762.1 uridine phosphorylase 1 isoform X1 [Zalophus californianus]_x0001_XP_027429761.1 uridine phosphorylase 1 isoform X1 [Zalophus californianus]_x0001_XP_027429760.1 uridine phosphorylase 1 isoform X1 [Zalophus californianus]</t>
  </si>
  <si>
    <t>XP_027429792.1</t>
  </si>
  <si>
    <t>XP_027429792.1, XP_027441020.1, XP_027463720.1, XP_027476352.1, XP_027480687.1</t>
  </si>
  <si>
    <t>guanine nucleotide-binding protein G(i) subunit alpha-1 [Zalophus californianus]</t>
  </si>
  <si>
    <t>XP_027429795.1</t>
  </si>
  <si>
    <t>insulin-like growth factor-binding protein 1 [Zalophus californianus]</t>
  </si>
  <si>
    <t>XP_027429876.1 (+1)</t>
  </si>
  <si>
    <t>XP_027429876.1&amp;XP_027429877.1</t>
  </si>
  <si>
    <t>solute carrier family 13 member 1 isoform X1 [Zalophus californianus]_x0001_XP_027429875.1 solute carrier family 13 member 1 isoform X1 [Zalophus californianus]</t>
  </si>
  <si>
    <t>XP_027429903.1</t>
  </si>
  <si>
    <t>gamma-glutamylcyclotransferase isoform X1 [Zalophus californianus]</t>
  </si>
  <si>
    <t>XP_027429923.1</t>
  </si>
  <si>
    <t>protein disulfide-isomerase A4 [Zalophus californianus]</t>
  </si>
  <si>
    <t>XP_027429939.1</t>
  </si>
  <si>
    <t>proteasome subunit alpha type-2 [Zalophus californianus]</t>
  </si>
  <si>
    <t>XP_027429978.1 (+1)</t>
  </si>
  <si>
    <t>XP_027429978.1&amp;XP_027455845.1</t>
  </si>
  <si>
    <t>XP_027427272.1, XP_027429978.1, XP_027458041.1</t>
  </si>
  <si>
    <t>histone H2A.V isoform X1 [Zalophus californianus]</t>
  </si>
  <si>
    <t>XP_027429998.1 (+1)</t>
  </si>
  <si>
    <t>XP_027429998.1&amp;XP_027430003.1</t>
  </si>
  <si>
    <t>lysophosphatidic acid phosphatase type 6 isoform X1 [Zalophus californianus]</t>
  </si>
  <si>
    <t>XP_027430031.1</t>
  </si>
  <si>
    <t>UMP-CMP kinase [Zalophus californianus]</t>
  </si>
  <si>
    <t>XP_027430135.1</t>
  </si>
  <si>
    <t>protein FAM3C [Zalophus californianus]_x0001_XP_027430134.1 protein FAM3C [Zalophus californianus]_x0001_XP_027430133.1 protein FAM3C [Zalophus californianus]</t>
  </si>
  <si>
    <t>XP_027430200.1</t>
  </si>
  <si>
    <t>aquaporin-1 [Zalophus californianus]</t>
  </si>
  <si>
    <t>XP_027430222.1</t>
  </si>
  <si>
    <t>ras-related protein Ral-A [Zalophus californianus]</t>
  </si>
  <si>
    <t>XP_027430296.1 (+5)</t>
  </si>
  <si>
    <t>XP_027430296.1&amp;XP_027430297.1&amp;XP_027430298.1&amp;XP_027430299.1&amp;XP_027430300.1&amp;XP_027430302.1</t>
  </si>
  <si>
    <t>caldesmon isoform X1 [Zalophus californianus]_x0001_XP_027430295.1 caldesmon isoform X1 [Zalophus californianus]_x0001_XP_027430294.1 caldesmon isoform X1 [Zalophus californianus]</t>
  </si>
  <si>
    <t>XP_027430314.1</t>
  </si>
  <si>
    <t>sorcin isoform X2 [Zalophus californianus]</t>
  </si>
  <si>
    <t>XP_027430334.1</t>
  </si>
  <si>
    <t>testin [Zalophus californianus]</t>
  </si>
  <si>
    <t>XP_027430366.1</t>
  </si>
  <si>
    <t>aldose reductase isoform X1 [Zalophus californianus]</t>
  </si>
  <si>
    <t>XP_027430406.1 (+4)</t>
  </si>
  <si>
    <t>XP_027430406.1&amp;XP_027430407.1&amp;XP_027430409.1&amp;XP_027430410.1&amp;XP_027430412.1</t>
  </si>
  <si>
    <t>putative RNA-binding protein Luc7-like 2 isoform X1 [Zalophus californianus]_x0001_XP_027428740.1 putative RNA-binding protein Luc7-like 2 [Zalophus californianus]</t>
  </si>
  <si>
    <t>XP_027430426.1</t>
  </si>
  <si>
    <t>biliverdin reductase A isoform X1 [Zalophus californianus]</t>
  </si>
  <si>
    <t>XP_027430444.1 (+1)</t>
  </si>
  <si>
    <t>XP_027430444.1&amp;XP_027430445.1</t>
  </si>
  <si>
    <t>XP_027430444.1, XP_027438476.1, XP_027463788.1</t>
  </si>
  <si>
    <t>filamin-C isoform X1 [Zalophus californianus]</t>
  </si>
  <si>
    <t>XP_027430451.1 (+1)</t>
  </si>
  <si>
    <t>XP_027430451.1&amp;XP_027430452.1</t>
  </si>
  <si>
    <t>cystic fibrosis transmembrane conductance regulator isoform X1 [Zalophus californianus]</t>
  </si>
  <si>
    <t>XP_027430511.1</t>
  </si>
  <si>
    <t>insulin-like growth factor-binding protein 3 [Zalophus californianus]</t>
  </si>
  <si>
    <t>XP_027430533.1</t>
  </si>
  <si>
    <t>protein FAM151A [Zalophus californianus]</t>
  </si>
  <si>
    <t>XP_027430539.1</t>
  </si>
  <si>
    <t>carboxypeptidase A1 [Zalophus californianus]</t>
  </si>
  <si>
    <t>XP_027430577.1 (+2)</t>
  </si>
  <si>
    <t>XP_027430577.1&amp;XP_027430578.1&amp;XP_027430580.1</t>
  </si>
  <si>
    <t>V-type proton ATPase 116 kDa subunit a isoform X1 [Zalophus californianus]_x0001_XP_027430576.1 V-type proton ATPase 116 kDa subunit a isoform X1 [Zalophus californianus]_x0001_XP_027430575.1 V-type proton ATPase 116 kDa subunit a isoform X1 [Zalophus californianus]_x0001_XP_027430574.1 V-type proton ATPase 116 kDa subunit a isoform X1 [Zalophus californianus]_x0001_XP_027430573.1 V-type proton ATPase 116 kDa subunit a isoform X1 [Zalophus californianus]_x0001_XP_027430572.1 V-type proton ATPase 116 kDa subunit a isoform X1 [Zalophus californianus]</t>
  </si>
  <si>
    <t>XP_027430584.1</t>
  </si>
  <si>
    <t>laminin subunit beta-1 [Zalophus californianus]</t>
  </si>
  <si>
    <t>XP_027430586.1</t>
  </si>
  <si>
    <t>dihydrolipoyl dehydrogenase, mitochondrial [Zalophus californianus]</t>
  </si>
  <si>
    <t>XP_027430618.1</t>
  </si>
  <si>
    <t>drebrin-like protein [Zalophus californianus]</t>
  </si>
  <si>
    <t>XP_027430642.1 (+1)</t>
  </si>
  <si>
    <t>XP_027430642.1&amp;XP_027472851.1</t>
  </si>
  <si>
    <t>ribosomal protein L18-like [Zalophus californianus]</t>
  </si>
  <si>
    <t>XP_027430644.1 (+3)</t>
  </si>
  <si>
    <t>XP_027430644.1&amp;XP_027430669.1&amp;XP_027430682.1&amp;XP_027430699.1</t>
  </si>
  <si>
    <t>carnitine O-palmitoyltransferase 2, mitochondrial isoform X1 [Zalophus californianus]</t>
  </si>
  <si>
    <t>XP_027430679.1</t>
  </si>
  <si>
    <t>bisphosphoglycerate mutase [Zalophus californianus]_x0001_XP_027430678.1 bisphosphoglycerate mutase [Zalophus californianus]</t>
  </si>
  <si>
    <t>XP_027430728.1 (+2)</t>
  </si>
  <si>
    <t>XP_027430728.1&amp;XP_027430729.1&amp;XP_027430730.1</t>
  </si>
  <si>
    <t>collagen alpha-1(XXVIII) chain isoform X1 [Zalophus californianus]</t>
  </si>
  <si>
    <t>XP_027430740.1</t>
  </si>
  <si>
    <t>septin-7 isoform X3 [Zalophus californianus]</t>
  </si>
  <si>
    <t>XP_027430800.1 (+1)</t>
  </si>
  <si>
    <t>XP_027430800.1&amp;XP_027430808.1</t>
  </si>
  <si>
    <t>matrix remodeling-associated protein 8 isoform X1 [Zalophus californianus]</t>
  </si>
  <si>
    <t>XP_027430824.1</t>
  </si>
  <si>
    <t>ephrin type-B receptor 6 isoform X1 [Zalophus californianus]_x0001_XP_027430823.1 ephrin type-B receptor 6 isoform X1 [Zalophus californianus]_x0001_XP_027430822.1 ephrin type-B receptor 6 isoform X1 [Zalophus californianus]_x0001_XP_027430820.1 ephrin type-B receptor 6 isoform X1 [Zalophus californianus]_x0001_XP_027430819.1 ephrin type-B receptor 6 isoform X1 [Zalophus californianus]</t>
  </si>
  <si>
    <t>XP_027430864.1 (+1)</t>
  </si>
  <si>
    <t>XP_027430864.1&amp;XP_027430865.1</t>
  </si>
  <si>
    <t>secreted frizzled-related protein 4 isoform X1 [Zalophus californianus]</t>
  </si>
  <si>
    <t>XP_027430873.1</t>
  </si>
  <si>
    <t>transmembrane glycoprotein NMB [Zalophus californianus]</t>
  </si>
  <si>
    <t>XP_027430885.1</t>
  </si>
  <si>
    <t>nicotinamide phosphoribosyltransferase [Zalophus californianus]</t>
  </si>
  <si>
    <t>XP_027430886.1</t>
  </si>
  <si>
    <t>synaptophysin-like protein 1 [Zalophus californianus]</t>
  </si>
  <si>
    <t>XP_027430922.1 (+1)</t>
  </si>
  <si>
    <t>XP_027430922.1&amp;XP_027460772.1</t>
  </si>
  <si>
    <t>steroid receptor RNA activator 1-like, partial [Zalophus californianus]</t>
  </si>
  <si>
    <t>XP_027430953.1 (+1)</t>
  </si>
  <si>
    <t>XP_027430953.1&amp;XP_027430954.1</t>
  </si>
  <si>
    <t>sushi domain-containing protein 2 isoform X1 [Zalophus californianus]</t>
  </si>
  <si>
    <t>XP_027430987.1</t>
  </si>
  <si>
    <t>splicing factor 3A subunit 1 [Zalophus californianus]</t>
  </si>
  <si>
    <t>XP_027431012.1 (+1)</t>
  </si>
  <si>
    <t>XP_027431012.1&amp;XP_027431013.1</t>
  </si>
  <si>
    <t>meprin A subunit beta isoform X1 [Zalophus californianus]</t>
  </si>
  <si>
    <t>XP_027431057.1 (+2)</t>
  </si>
  <si>
    <t>XP_027431057.1&amp;XP_027431059.1&amp;XP_027431060.1</t>
  </si>
  <si>
    <t>phosphatidylinositol transfer protein beta isoform isoform X1 [Zalophus californianus]</t>
  </si>
  <si>
    <t>XP_027431086.1 (+1)</t>
  </si>
  <si>
    <t>XP_027431086.1&amp;XP_027431087.1</t>
  </si>
  <si>
    <t>ubiquitin carboxyl-terminal hydrolase 14 isoform X1 [Zalophus californianus]</t>
  </si>
  <si>
    <t>XP_027431096.1 (+3)</t>
  </si>
  <si>
    <t>XP_027431096.1&amp;XP_027431097.1&amp;XP_027431098.1&amp;XP_027431099.1</t>
  </si>
  <si>
    <t>XP_027431096.1, XP_027447790.1</t>
  </si>
  <si>
    <t>thioredoxin reductase 2, mitochondrial isoform X2 [Zalophus californianus]</t>
  </si>
  <si>
    <t>XP_027431130.1</t>
  </si>
  <si>
    <t>tissue alpha-L-fucosidase [Zalophus californianus]</t>
  </si>
  <si>
    <t>XP_027431155.1</t>
  </si>
  <si>
    <t>charged multivesicular body protein 1b [Zalophus californianus]</t>
  </si>
  <si>
    <t>XP_027431163.1</t>
  </si>
  <si>
    <t>phosphoinositide-3-kinase-interacting protein 1 isoform X2 [Zalophus californianus]</t>
  </si>
  <si>
    <t>XP_027431174.1</t>
  </si>
  <si>
    <t>desmocollin-1 [Zalophus californianus]</t>
  </si>
  <si>
    <t>XP_027431203.1 (+6)</t>
  </si>
  <si>
    <t>XP_027431203.1&amp;XP_027431213.1&amp;XP_027431218.1&amp;XP_027431225.1&amp;XP_027431233.1&amp;XP_027431243.1&amp;XP_027431260.1</t>
  </si>
  <si>
    <t>oxidation resistance protein 1 isoform X1 [Zalophus californianus]_x0001_XP_027431194.1 oxidation resistance protein 1 isoform X1 [Zalophus californianus]</t>
  </si>
  <si>
    <t>XP_027431219.1</t>
  </si>
  <si>
    <t>heparin cofactor 2 [Zalophus californianus]</t>
  </si>
  <si>
    <t>XP_027431236.1 (+6)</t>
  </si>
  <si>
    <t>XP_027431236.1&amp;XP_027431237.1&amp;XP_027431238.1&amp;XP_027431239.1&amp;XP_027431240.1&amp;XP_027431241.1&amp;XP_027431242.1</t>
  </si>
  <si>
    <t>receptor-type tyrosine-protein phosphatase mu isoform X1 [Zalophus californianus]</t>
  </si>
  <si>
    <t>XP_027431397.1</t>
  </si>
  <si>
    <t>XP_027431397.1, XP_027472365.1</t>
  </si>
  <si>
    <t>aldehyde dehydrogenase, mitochondrial [Zalophus californianus]</t>
  </si>
  <si>
    <t>XP_027431502.1 (+15)</t>
  </si>
  <si>
    <t>XP_027431502.1&amp;XP_027431503.1&amp;XP_027431505.1&amp;XP_027431506.1&amp;XP_027431507.1&amp;XP_027431508.1&amp;XP_027431509.1&amp;XP_027431510.1&amp;XP_027431511.1&amp;XP_027431512.1&amp;XP_027431513.1&amp;XP_027431514.1&amp;XP_027431515.1&amp;XP_027431516.1&amp;XP_027431517.1&amp;XP_027431518.1</t>
  </si>
  <si>
    <t>band 4.1-like protein 3 isoform X2 [Zalophus californianus]</t>
  </si>
  <si>
    <t>XP_027431603.1 (+1)</t>
  </si>
  <si>
    <t>XP_027431603.1&amp;XP_027431604.1</t>
  </si>
  <si>
    <t>beta-Ala-His dipeptidase isoform X1 [Zalophus californianus]</t>
  </si>
  <si>
    <t>XP_027431619.1 (+1)</t>
  </si>
  <si>
    <t>XP_027431619.1&amp;XP_027431620.1</t>
  </si>
  <si>
    <t>vesicle-associated membrane protein-associated protein A isoform X1 [Zalophus californianus]</t>
  </si>
  <si>
    <t>XP_027431653.1 (+2)</t>
  </si>
  <si>
    <t>XP_027431653.1&amp;XP_027431654.1&amp;XP_027431655.1</t>
  </si>
  <si>
    <t>myomesin-1 isoform X1 [Zalophus californianus]</t>
  </si>
  <si>
    <t>XP_027431657.1 (+2)</t>
  </si>
  <si>
    <t>XP_027431657.1&amp;XP_027431658.1&amp;XP_027431659.1</t>
  </si>
  <si>
    <t>myosin regulatory light polypeptide 9 isoform X1 [Zalophus californianus]</t>
  </si>
  <si>
    <t>XP_027431660.1</t>
  </si>
  <si>
    <t>glutathione hydrolase 1 proenzyme isoform X1 [Zalophus californianus]</t>
  </si>
  <si>
    <t>XP_027431720.1</t>
  </si>
  <si>
    <t>putative phospholipase B-like 2 [Zalophus californianus]</t>
  </si>
  <si>
    <t>XP_027431740.1 (+1)</t>
  </si>
  <si>
    <t>XP_027431740.1&amp;XP_027431741.1</t>
  </si>
  <si>
    <t>immunoglobulin lambda-like polypeptide 5 isoform X1 [Zalophus californianus]</t>
  </si>
  <si>
    <t>XP_027431765.1</t>
  </si>
  <si>
    <t>ATP synthase subunit alpha, mitochondrial [Zalophus californianus]</t>
  </si>
  <si>
    <t>XP_027431766.1 (+1)</t>
  </si>
  <si>
    <t>XP_027431766.1&amp;XP_027431767.1</t>
  </si>
  <si>
    <t>squamous cell carcinoma antigen recognized by T-cells 3 isoform X1 [Zalophus californianus]</t>
  </si>
  <si>
    <t>XP_027431822.1</t>
  </si>
  <si>
    <t>cadherin-2 isoform X1 [Zalophus californianus]</t>
  </si>
  <si>
    <t>XP_027431874.1</t>
  </si>
  <si>
    <t>2'-5'-oligoadenylate synthase 2 [Zalophus californianus]</t>
  </si>
  <si>
    <t>XP_027431878.1 (+3)</t>
  </si>
  <si>
    <t>XP_027431878.1&amp;XP_027431881.1&amp;XP_027431885.1&amp;XP_027431886.1</t>
  </si>
  <si>
    <t>XP_027431878.1, XP_027457553.1, XP_027459016.1</t>
  </si>
  <si>
    <t>serpin B8-like isoform X1 [Zalophus californianus]</t>
  </si>
  <si>
    <t>XP_027431958.1 (+1)</t>
  </si>
  <si>
    <t>XP_027431958.1&amp;XP_027431959.1</t>
  </si>
  <si>
    <t>coronin-1C isoform X1 [Zalophus californianus]</t>
  </si>
  <si>
    <t>XP_027431973.1 (+2)</t>
  </si>
  <si>
    <t>XP_027431973.1&amp;XP_027433115.1&amp;XP_027475529.1</t>
  </si>
  <si>
    <t>ubiquitin-conjugating enzyme E2 L3 isoform X1 [Zalophus californianus]</t>
  </si>
  <si>
    <t>XP_027431976.1</t>
  </si>
  <si>
    <t>XP_027431976.1, XP_027468720.1, XP_027481343.1</t>
  </si>
  <si>
    <t>sarcoplasmic/endoplasmic reticulum calcium ATPase 2 [Zalophus californianus]</t>
  </si>
  <si>
    <t>XP_027432017.1</t>
  </si>
  <si>
    <t>XP_027432017.1, XP_027453777.1</t>
  </si>
  <si>
    <t>tyrosine-protein kinase Yes [Zalophus californianus]_x0001_XP_027432016.1 tyrosine-protein kinase Yes [Zalophus californianus]</t>
  </si>
  <si>
    <t>XP_027432027.1</t>
  </si>
  <si>
    <t>cytosolic non-specific dipeptidase [Zalophus californianus]_x0001_XP_027432026.1 cytosolic non-specific dipeptidase [Zalophus californianus]</t>
  </si>
  <si>
    <t>XP_027432045.1</t>
  </si>
  <si>
    <t>XP_027432045.1, XP_027436783.1</t>
  </si>
  <si>
    <t>fatty acid-binding protein, adipocyte isoform X2 [Zalophus californianus]</t>
  </si>
  <si>
    <t>XP_027432058.1</t>
  </si>
  <si>
    <t>XP_027432058.1, XP_027436783.1</t>
  </si>
  <si>
    <t>fatty acid-binding protein 9-like [Zalophus californianus]</t>
  </si>
  <si>
    <t>XP_027432076.1</t>
  </si>
  <si>
    <t>D-dopachrome decarboxylase [Zalophus californianus]</t>
  </si>
  <si>
    <t>XP_027432086.1</t>
  </si>
  <si>
    <t>XP_027432086.1, XP_027475200.1</t>
  </si>
  <si>
    <t>cadherin-7 [Zalophus californianus]</t>
  </si>
  <si>
    <t>XP_027432097.1</t>
  </si>
  <si>
    <t>ubiquitin recognition factor in ER-associated degradation protein 1 isoform X1 [Zalophus californianus]</t>
  </si>
  <si>
    <t>XP_027432136.1</t>
  </si>
  <si>
    <t>cytochrome b5 isoform X1 [Zalophus californianus]</t>
  </si>
  <si>
    <t>XP_027432175.1 (+1)</t>
  </si>
  <si>
    <t>XP_027432175.1&amp;XP_027432176.1</t>
  </si>
  <si>
    <t>scavenger receptor class F member 2 isoform X1 [Zalophus californianus]</t>
  </si>
  <si>
    <t>XP_027432177.1</t>
  </si>
  <si>
    <t>serpin B10 [Zalophus californianus]</t>
  </si>
  <si>
    <t>XP_027432197.1</t>
  </si>
  <si>
    <t>protein ERGIC-53 [Zalophus californianus]_x0001_XP_027432196.1 protein ERGIC-53 [Zalophus californianus]</t>
  </si>
  <si>
    <t>XP_027432210.1 (+2)</t>
  </si>
  <si>
    <t>XP_027432210.1&amp;XP_027432211.1&amp;XP_027432212.1</t>
  </si>
  <si>
    <t>RNA-binding protein EWS isoform X1 [Zalophus californianus]</t>
  </si>
  <si>
    <t>XP_027432228.1</t>
  </si>
  <si>
    <t>XP_027432228.1, XP_027481502.1, XP_027481505.1</t>
  </si>
  <si>
    <t>crk-like protein [Zalophus californianus]</t>
  </si>
  <si>
    <t>XP_027432229.1</t>
  </si>
  <si>
    <t>4-hydroxyphenylpyruvate dioxygenase [Zalophus californianus]</t>
  </si>
  <si>
    <t>XP_027432230.1</t>
  </si>
  <si>
    <t>serine--tRNA ligase, cytoplasmic isoform X2 [Zalophus californianus]</t>
  </si>
  <si>
    <t>XP_027432264.1 (+2)</t>
  </si>
  <si>
    <t>XP_027432264.1&amp;XP_027435596.1&amp;XP_027474873.1</t>
  </si>
  <si>
    <t>40S ribosomal protein S25-like isoform X2 [Zalophus californianus]_x0001_XP_027432263.1 40S ribosomal protein S25-like isoform X1 [Zalophus californianus]</t>
  </si>
  <si>
    <t>XP_027432269.1</t>
  </si>
  <si>
    <t>beta-ureidopropionase isoform X1 [Zalophus californianus]</t>
  </si>
  <si>
    <t>XP_027432286.1</t>
  </si>
  <si>
    <t>transmembrane protein 119 [Zalophus californianus]</t>
  </si>
  <si>
    <t>XP_027432310.1</t>
  </si>
  <si>
    <t>XP_027432310.1, XP_027480861.1</t>
  </si>
  <si>
    <t>dynein light chain 1, cytoplasmic [Zalophus californianus]</t>
  </si>
  <si>
    <t>XP_027432317.1</t>
  </si>
  <si>
    <t>transthyretin [Zalophus californianus]</t>
  </si>
  <si>
    <t>XP_027432327.1 (+1)</t>
  </si>
  <si>
    <t>XP_027432327.1&amp;XP_027432328.1</t>
  </si>
  <si>
    <t>vacuolar protein sorting-associated protein 4B isoform X1 [Zalophus californianus]</t>
  </si>
  <si>
    <t>XP_027432329.1</t>
  </si>
  <si>
    <t>cathepsin S [Zalophus californianus]</t>
  </si>
  <si>
    <t>XP_027432336.1 (+1)</t>
  </si>
  <si>
    <t>XP_027432336.1&amp;XP_027432337.1</t>
  </si>
  <si>
    <t>phospholipase A2 isoform X1 [Zalophus californianus]</t>
  </si>
  <si>
    <t>XP_027432356.1 (+1)</t>
  </si>
  <si>
    <t>XP_027432356.1&amp;XP_027432358.1</t>
  </si>
  <si>
    <t>vacuolar protein sorting-associated protein 37B isoform X1 [Zalophus californianus]</t>
  </si>
  <si>
    <t>XP_027432382.1 (+1)</t>
  </si>
  <si>
    <t>XP_027432382.1&amp;XP_027432383.1</t>
  </si>
  <si>
    <t>asparagine--tRNA ligase, cytoplasmic isoform X1 [Zalophus californianus]</t>
  </si>
  <si>
    <t>XP_027432395.1</t>
  </si>
  <si>
    <t>serpin B5 [Zalophus californianus]</t>
  </si>
  <si>
    <t>XP_027432416.1</t>
  </si>
  <si>
    <t>myosin regulatory light chain 2, ventricular/cardiac muscle isoform [Zalophus californianus]</t>
  </si>
  <si>
    <t>XP_027432468.1</t>
  </si>
  <si>
    <t>XP_027432468.1, XP_027460189.1</t>
  </si>
  <si>
    <t>phosphatidylethanolamine-binding protein 1 [Zalophus californianus]</t>
  </si>
  <si>
    <t>XP_027432471.1</t>
  </si>
  <si>
    <t>twisted gastrulation protein homolog 1 [Zalophus californianus]_x0001_XP_027432470.1 twisted gastrulation protein homolog 1 [Zalophus californianus]</t>
  </si>
  <si>
    <t>XP_027432525.1 (+1)</t>
  </si>
  <si>
    <t>XP_027432525.1&amp;XP_027432528.1</t>
  </si>
  <si>
    <t>XP_027432525.1, XP_027480727.1</t>
  </si>
  <si>
    <t>AP-1 complex subunit beta-1 isoform X2 [Zalophus californianus]</t>
  </si>
  <si>
    <t>XP_027432574.1</t>
  </si>
  <si>
    <t>desmoglein-1 [Zalophus californianus]</t>
  </si>
  <si>
    <t>XP_027432584.1</t>
  </si>
  <si>
    <t>laminin subunit alpha-3 isoform X1 [Zalophus californianus]</t>
  </si>
  <si>
    <t>XP_027432585.1</t>
  </si>
  <si>
    <t>inositol monophosphatase 1 [Zalophus californianus]</t>
  </si>
  <si>
    <t>XP_027432596.1</t>
  </si>
  <si>
    <t>ras-related protein Rab-35 isoform X1 [Zalophus californianus]</t>
  </si>
  <si>
    <t>XP_027432678.1</t>
  </si>
  <si>
    <t>P2X purinoceptor 4 [Zalophus californianus]</t>
  </si>
  <si>
    <t>XP_027432679.1 (+1)</t>
  </si>
  <si>
    <t>XP_027432679.1&amp;XP_027432687.1</t>
  </si>
  <si>
    <t>palmitoyl-protein thioesterase 1 isoform X1 [Zalophus californianus]</t>
  </si>
  <si>
    <t>XP_027432703.1</t>
  </si>
  <si>
    <t>60S ribosomal protein L6 [Zalophus californianus]</t>
  </si>
  <si>
    <t>XP_027432752.1</t>
  </si>
  <si>
    <t>vacuolar protein sorting-associated protein 29 isoform X1 [Zalophus californianus]</t>
  </si>
  <si>
    <t>XP_027432756.1</t>
  </si>
  <si>
    <t>transmembrane emp24 domain-containing protein 2 [Zalophus californianus]</t>
  </si>
  <si>
    <t>XP_027432794.1 (+1)</t>
  </si>
  <si>
    <t>XP_027432794.1&amp;XP_027432795.1</t>
  </si>
  <si>
    <t>XP_027432794.1, XP_027445244.1, XP_027445304.1, XP_027446516.1, XP_027464505.1</t>
  </si>
  <si>
    <t>heterogeneous nuclear ribonucleoprotein A1-like isoform X1 [Zalophus californianus]</t>
  </si>
  <si>
    <t>XP_027432797.1 (+2)</t>
  </si>
  <si>
    <t>XP_027432797.1&amp;XP_027432798.1&amp;XP_027450057.1</t>
  </si>
  <si>
    <t>GTP-binding nuclear protein Ran isoform X1 [Zalophus californianus]_x0001_XP_027432796.1 GTP-binding nuclear protein Ran isoform X1 [Zalophus californianus]</t>
  </si>
  <si>
    <t>XP_027432815.1</t>
  </si>
  <si>
    <t>tumor necrosis factor receptor superfamily member 11A [Zalophus californianus]</t>
  </si>
  <si>
    <t>XP_027432831.1 (+3)</t>
  </si>
  <si>
    <t>XP_027432831.1&amp;XP_027432832.1&amp;XP_027432833.1&amp;XP_027432834.1</t>
  </si>
  <si>
    <t>desmocollin-2 isoform X1 [Zalophus californianus]</t>
  </si>
  <si>
    <t>XP_027432844.1</t>
  </si>
  <si>
    <t>density-regulated protein [Zalophus californianus]_x0001_XP_027432843.1 density-regulated protein [Zalophus californianus]_x0001_XP_027432842.1 density-regulated protein [Zalophus californianus]_x0001_XP_027432841.1 density-regulated protein [Zalophus californianus]</t>
  </si>
  <si>
    <t>XP_027432845.1</t>
  </si>
  <si>
    <t>26S proteasome non-ATPase regulatory subunit 9 [Zalophus californianus]</t>
  </si>
  <si>
    <t>XP_027432854.1</t>
  </si>
  <si>
    <t>3-ketoacyl-CoA thiolase, mitochondrial [Zalophus californianus]</t>
  </si>
  <si>
    <t>XP_027432871.1</t>
  </si>
  <si>
    <t>ran-specific GTPase-activating protein [Zalophus californianus]</t>
  </si>
  <si>
    <t>XP_027433051.1</t>
  </si>
  <si>
    <t>glutathione S-transferase theta-1-like [Zalophus californianus]</t>
  </si>
  <si>
    <t>XP_027433072.1 (+1)</t>
  </si>
  <si>
    <t>XP_027433072.1&amp;XP_027454509.1</t>
  </si>
  <si>
    <t>actin-related protein 2/3 complex subunit 3 [Zalophus californianus]</t>
  </si>
  <si>
    <t>XP_027433122.1 (+1)</t>
  </si>
  <si>
    <t>XP_027433122.1&amp;XP_027433123.1</t>
  </si>
  <si>
    <t>thioredoxin-like protein 1 isoform X1 [Zalophus californianus]</t>
  </si>
  <si>
    <t>XP_027433124.1 (+1)</t>
  </si>
  <si>
    <t>XP_027433124.1&amp;XP_027433125.1</t>
  </si>
  <si>
    <t>EMILIN-2 isoform X1 [Zalophus californianus]</t>
  </si>
  <si>
    <t>XP_027433126.1 (+1)</t>
  </si>
  <si>
    <t>XP_027433126.1&amp;XP_027433128.1</t>
  </si>
  <si>
    <t>collectin-12 isoform X1 [Zalophus californianus]</t>
  </si>
  <si>
    <t>XP_027433161.1 (+7)</t>
  </si>
  <si>
    <t>XP_027433161.1&amp;XP_027433162.1&amp;XP_027433163.1&amp;XP_027433164.1&amp;XP_027433165.1&amp;XP_027433166.1&amp;XP_027433167.1&amp;XP_027433168.1</t>
  </si>
  <si>
    <t>CAP-Gly domain-containing linker protein 1 isoform X8 [Zalophus californianus]</t>
  </si>
  <si>
    <t>XP_027433212.1 (+3)</t>
  </si>
  <si>
    <t>XP_027433212.1&amp;XP_027441520.1&amp;XP_027476805.1&amp;XP_027481307.1</t>
  </si>
  <si>
    <t>ubiquitin [Zalophus californianus]</t>
  </si>
  <si>
    <t>XP_027433213.1 (+1)</t>
  </si>
  <si>
    <t>XP_027433213.1&amp;XP_027433214.1</t>
  </si>
  <si>
    <t>sodium/glucose cotransporter 1 isoform X1 [Zalophus californianus]</t>
  </si>
  <si>
    <t>XP_027433263.1</t>
  </si>
  <si>
    <t>malectin [Zalophus californianus]</t>
  </si>
  <si>
    <t>XP_027433302.1</t>
  </si>
  <si>
    <t>selenoprotein M [Zalophus californianus]</t>
  </si>
  <si>
    <t>XP_027433303.1</t>
  </si>
  <si>
    <t>endoplasmic reticulum resident protein 29 [Zalophus californianus]</t>
  </si>
  <si>
    <t>XP_027433390.1</t>
  </si>
  <si>
    <t>60S acidic ribosomal protein P0 [Zalophus californianus]</t>
  </si>
  <si>
    <t>XP_027433450.1 (+2)</t>
  </si>
  <si>
    <t>XP_027433450.1&amp;XP_027433452.1&amp;XP_027433457.1</t>
  </si>
  <si>
    <t>galactosylceramide sulfotransferase isoform X1 [Zalophus californianus]</t>
  </si>
  <si>
    <t>XP_027433461.1 (+1)</t>
  </si>
  <si>
    <t>XP_027433461.1&amp;XP_027433462.1</t>
  </si>
  <si>
    <t>desmocollin-3 isoform X1 [Zalophus californianus]</t>
  </si>
  <si>
    <t>XP_027433493.1</t>
  </si>
  <si>
    <t>XP_027433493.1, XP_027440944.1, XP_027459671.1</t>
  </si>
  <si>
    <t>chloride intracellular channel protein 4 [Zalophus californianus]</t>
  </si>
  <si>
    <t>XP_027433507.1 (+3)</t>
  </si>
  <si>
    <t>XP_027433507.1&amp;XP_027433509.1&amp;XP_027433510.1&amp;XP_027433511.1</t>
  </si>
  <si>
    <t>caspase-4 isoform X1 [Zalophus californianus]</t>
  </si>
  <si>
    <t>XP_027433528.1</t>
  </si>
  <si>
    <t>very-long-chain 3-oxoacyl-CoA reductase [Zalophus californianus]</t>
  </si>
  <si>
    <t>XP_027433542.1 (+1)</t>
  </si>
  <si>
    <t>XP_027433542.1&amp;XP_027433543.1</t>
  </si>
  <si>
    <t>DNA damage-binding protein 1 isoform X1 [Zalophus californianus]</t>
  </si>
  <si>
    <t>XP_027433551.1 (+1)</t>
  </si>
  <si>
    <t>XP_027433551.1&amp;XP_027433552.1</t>
  </si>
  <si>
    <t>triokinase/FMN cyclase isoform X1 [Zalophus californianus]_x0001_XP_027433550.1 triokinase/FMN cyclase isoform X1 [Zalophus californianus]_x0001_XP_027433549.1 triokinase/FMN cyclase isoform X1 [Zalophus californianus]_x0001_XP_027433548.1 triokinase/FMN cyclase isoform X1 [Zalophus californianus]_x0001_XP_027433545.1 triokinase/FMN cyclase isoform X1 [Zalophus californianus]_x0001_XP_027433544.1 triokinase/FMN cyclase isoform X1 [Zalophus californianus]</t>
  </si>
  <si>
    <t>XP_027433569.1 (+2)</t>
  </si>
  <si>
    <t>XP_027433569.1&amp;XP_027433570.1&amp;XP_027433572.1</t>
  </si>
  <si>
    <t>uroplakin-2 isoform X1 [Zalophus californianus]</t>
  </si>
  <si>
    <t>XP_027433574.1 (+1)</t>
  </si>
  <si>
    <t>XP_027433574.1&amp;XP_027433575.1</t>
  </si>
  <si>
    <t>spondin-1 isoform X1 [Zalophus californianus]</t>
  </si>
  <si>
    <t>XP_027433576.1</t>
  </si>
  <si>
    <t>XP_027433576.1, XP_027474796.1</t>
  </si>
  <si>
    <t>ras-related protein R-Ras2 isoform X1 [Zalophus californianus]</t>
  </si>
  <si>
    <t>XP_027433598.1 (+1)</t>
  </si>
  <si>
    <t>XP_027433598.1&amp;XP_027433599.1</t>
  </si>
  <si>
    <t>mas-related G-protein coupled receptor member F isoform X1 [Zalophus californianus]</t>
  </si>
  <si>
    <t>XP_027433602.1 (+2)</t>
  </si>
  <si>
    <t>XP_027433602.1&amp;XP_027433603.1&amp;XP_027433604.1</t>
  </si>
  <si>
    <t>cadherin-related family member 5 isoform X1 [Zalophus californianus]</t>
  </si>
  <si>
    <t>XP_027433659.1 (+1)</t>
  </si>
  <si>
    <t>XP_027433659.1&amp;XP_027463415.1</t>
  </si>
  <si>
    <t>retinoid-binding protein 7 [Zalophus californianus]</t>
  </si>
  <si>
    <t>XP_027433683.1</t>
  </si>
  <si>
    <t>CD59 glycoprotein [Zalophus californianus]</t>
  </si>
  <si>
    <t>XP_027433695.1</t>
  </si>
  <si>
    <t>cystathionine gamma-lyase [Zalophus californianus]</t>
  </si>
  <si>
    <t>XP_027433746.1</t>
  </si>
  <si>
    <t>XP_027424539.1, XP_027433746.1, XP_027459622.1, XP_027459628.1, XP_027463555.1, XP_027470871.1</t>
  </si>
  <si>
    <t>heat shock cognate 71 kDa protein-like, partial [Zalophus californianus]</t>
  </si>
  <si>
    <t>XP_027433747.1</t>
  </si>
  <si>
    <t>acyl-protein thioesterase 2 [Zalophus californianus]</t>
  </si>
  <si>
    <t>XP_027433752.1</t>
  </si>
  <si>
    <t>platelet-activating factor acetylhydrolase IB subunit beta [Zalophus californianus]</t>
  </si>
  <si>
    <t>XP_027433779.1 (+2)</t>
  </si>
  <si>
    <t>XP_027433779.1&amp;XP_027464238.1&amp;XP_027474674.1</t>
  </si>
  <si>
    <t>glycine cleavage system H protein, mitochondrial-like [Zalophus californianus]</t>
  </si>
  <si>
    <t>XP_027433789.1</t>
  </si>
  <si>
    <t>secretoglobin family 1D member 2-like [Zalophus californianus]</t>
  </si>
  <si>
    <t>XP_027433797.1 (+1)</t>
  </si>
  <si>
    <t>XP_027433797.1&amp;XP_027433798.1</t>
  </si>
  <si>
    <t>protocadherin-16 isoform X1 [Zalophus californianus]</t>
  </si>
  <si>
    <t>XP_027433806.1</t>
  </si>
  <si>
    <t>enhancer of rudimentary homolog [Zalophus californianus]_x0001_XP_027426016.1 enhancer of rudimentary homolog [Zalophus californianus]</t>
  </si>
  <si>
    <t>XP_027433844.1 (+1)</t>
  </si>
  <si>
    <t>XP_027433844.1&amp;XP_027433845.1</t>
  </si>
  <si>
    <t>cofilin-1 isoform X1 [Zalophus californianus]</t>
  </si>
  <si>
    <t>XP_027433851.1</t>
  </si>
  <si>
    <t>XP_027433851.1, XP_027457158.1, XP_027463881.1</t>
  </si>
  <si>
    <t>radixin isoform X3 [Zalophus californianus]</t>
  </si>
  <si>
    <t>XP_027433852.1</t>
  </si>
  <si>
    <t>XP_027433852.1, XP_027471337.1</t>
  </si>
  <si>
    <t>PITH domain-containing protein 1 isoform X1 [Zalophus californianus]</t>
  </si>
  <si>
    <t>XP_027433883.1 (+1)</t>
  </si>
  <si>
    <t>XP_027433883.1&amp;XP_027433884.1</t>
  </si>
  <si>
    <t>cysteine and histidine-rich domain-containing protein 1 isoform X1 [Zalophus californianus]</t>
  </si>
  <si>
    <t>XP_027433927.1</t>
  </si>
  <si>
    <t>dihydrolipoyllysine-residue acetyltransferase component of pyruvate dehydrogenase complex, mitochondrial [Zalophus californianus]</t>
  </si>
  <si>
    <t>XP_027433939.1</t>
  </si>
  <si>
    <t>interleukin-18 [Zalophus californianus]</t>
  </si>
  <si>
    <t>XP_027433968.1</t>
  </si>
  <si>
    <t>glutathione S-transferase Mu 3 [Zalophus californianus]</t>
  </si>
  <si>
    <t>XP_027433979.1 (+2)</t>
  </si>
  <si>
    <t>XP_027433979.1&amp;XP_027433982.1&amp;XP_027433983.1</t>
  </si>
  <si>
    <t>epidermal growth factor receptor kinase substrate 8-like protein 2 isoform X1 [Zalophus californianus]_x0001_XP_027433978.1 epidermal growth factor receptor kinase substrate 8-like protein 2 isoform X1 [Zalophus californianus]</t>
  </si>
  <si>
    <t>XP_027434055.1 (+1)</t>
  </si>
  <si>
    <t>XP_027434055.1&amp;XP_027434056.1</t>
  </si>
  <si>
    <t>lysosomal acid phosphatase isoform X1 [Zalophus californianus]</t>
  </si>
  <si>
    <t>XP_027434073.1 (+1)</t>
  </si>
  <si>
    <t>XP_027434073.1&amp;XP_027434074.1</t>
  </si>
  <si>
    <t>protein kinase C and casein kinase substrate in neurons protein 3 isoform X1 [Zalophus californianus]</t>
  </si>
  <si>
    <t>XP_027434080.1 (+5)</t>
  </si>
  <si>
    <t>XP_027434080.1&amp;XP_027434081.1&amp;XP_027434082.1&amp;XP_027434083.1&amp;XP_027434084.1&amp;XP_027434085.1</t>
  </si>
  <si>
    <t>transcriptional coactivator YAP1 isoform X1 [Zalophus californianus]</t>
  </si>
  <si>
    <t>XP_027434089.1 (+2)</t>
  </si>
  <si>
    <t>XP_027434089.1&amp;XP_027434090.1&amp;XP_027434091.1</t>
  </si>
  <si>
    <t>serine-protein kinase ATM isoform X1 [Zalophus californianus]_x0001_XP_027434088.1 serine-protein kinase ATM isoform X1 [Zalophus californianus]_x0001_XP_027434087.1 serine-protein kinase ATM isoform X1 [Zalophus californianus]</t>
  </si>
  <si>
    <t>XP_027434102.1 (+1)</t>
  </si>
  <si>
    <t>XP_027434102.1&amp;XP_027434104.1</t>
  </si>
  <si>
    <t>neutral alpha-glucosidase AB isoform X2 [Zalophus californianus]</t>
  </si>
  <si>
    <t>XP_027434150.1 (+12)</t>
  </si>
  <si>
    <t>XP_027434150.1&amp;XP_027434151.1&amp;XP_027434152.1&amp;XP_027434153.1&amp;XP_027434154.1&amp;XP_027434155.1&amp;XP_027434156.1&amp;XP_027434157.1&amp;XP_027434158.1&amp;XP_027434159.1&amp;XP_027434160.1&amp;XP_027434161.1&amp;XP_027434162.1</t>
  </si>
  <si>
    <t>CD44 antigen isoform X1 [Zalophus californianus]</t>
  </si>
  <si>
    <t>XP_027434201.1 (+1)</t>
  </si>
  <si>
    <t>XP_027434201.1&amp;XP_027434202.1</t>
  </si>
  <si>
    <t>EH domain-containing protein 1 isoform X1 [Zalophus californianus]</t>
  </si>
  <si>
    <t>XP_027434212.1 (+2)</t>
  </si>
  <si>
    <t>XP_027434212.1&amp;XP_027434213.1&amp;XP_027434217.1</t>
  </si>
  <si>
    <t>frizzled-4 isoform X1 [Zalophus californianus]</t>
  </si>
  <si>
    <t>XP_027434256.1</t>
  </si>
  <si>
    <t>gastric intrinsic factor [Zalophus californianus]</t>
  </si>
  <si>
    <t>XP_027434258.1 (+2)</t>
  </si>
  <si>
    <t>XP_027434258.1&amp;XP_027434259.1&amp;XP_027434260.1</t>
  </si>
  <si>
    <t>syntaxin-3 isoform X1 [Zalophus californianus]</t>
  </si>
  <si>
    <t>XP_027434381.1 (+1)</t>
  </si>
  <si>
    <t>XP_027434381.1&amp;XP_027434382.1</t>
  </si>
  <si>
    <t>XP_027434381.1, XP_027450702.1</t>
  </si>
  <si>
    <t>receptor-type tyrosine-protein phosphatase eta isoform X1 [Zalophus californianus]</t>
  </si>
  <si>
    <t>XP_027434429.1</t>
  </si>
  <si>
    <t>40S ribosomal protein S3 isoform X1 [Zalophus californianus]</t>
  </si>
  <si>
    <t>XP_027434478.1</t>
  </si>
  <si>
    <t>XP_027434478.1, XP_027442501.1, XP_027465300.1</t>
  </si>
  <si>
    <t>peroxiredoxin-1 [Zalophus californianus]_x0001_XP_027434469.1 peroxiredoxin-1 [Zalophus californianus]</t>
  </si>
  <si>
    <t>XP_027434489.1</t>
  </si>
  <si>
    <t>sortilin-related receptor [Zalophus californianus]_x0001_XP_027434488.1 sortilin-related receptor [Zalophus californianus]_x0001_XP_027434487.1 sortilin-related receptor [Zalophus californianus]</t>
  </si>
  <si>
    <t>XP_027434694.1</t>
  </si>
  <si>
    <t>neuroblast differentiation-associated protein AHNAK isoform X1 [Zalophus californianus]_x0001_XP_027434693.1 neuroblast differentiation-associated protein AHNAK isoform X3 [Zalophus californianus]_x0001_XP_027434692.1 neuroblast differentiation-associated protein AHNAK isoform X2 [Zalophus californianus]_x0001_XP_027434691.1 neuroblast differentiation-associated protein AHNAK isoform X1 [Zalophus californianus]</t>
  </si>
  <si>
    <t>XP_027434727.1 (+10)</t>
  </si>
  <si>
    <t>XP_027434727.1&amp;XP_027434735.1&amp;XP_027434736.1&amp;XP_027434738.1&amp;XP_027434740.1&amp;XP_027434742.1&amp;XP_027434744.1&amp;XP_027434746.1&amp;XP_027434747.1&amp;XP_027434749.1&amp;XP_027434750.1</t>
  </si>
  <si>
    <t>neural cell adhesion molecule 1 isoform X2 [Zalophus californianus]</t>
  </si>
  <si>
    <t>XP_027434751.1</t>
  </si>
  <si>
    <t>glycogen phosphorylase, muscle form [Zalophus californianus]</t>
  </si>
  <si>
    <t>XP_027434845.1 (+1)</t>
  </si>
  <si>
    <t>XP_027434845.1&amp;XP_027434848.1</t>
  </si>
  <si>
    <t>ribonuclease inhibitor isoform X2 [Zalophus californianus]</t>
  </si>
  <si>
    <t>XP_027434860.1 (+1)</t>
  </si>
  <si>
    <t>XP_027434860.1&amp;XP_027482232.1</t>
  </si>
  <si>
    <t>ubiquitin-like protein fubi and ribosomal protein S30 [Zalophus californianus]</t>
  </si>
  <si>
    <t>XP_027434921.1</t>
  </si>
  <si>
    <t>XP_027434921.1, XP_027474279.1</t>
  </si>
  <si>
    <t>troponin T, fast skeletal muscle [Zalophus californianus]</t>
  </si>
  <si>
    <t>XP_027434937.1</t>
  </si>
  <si>
    <t>zinc finger protein-like 1 [Zalophus californianus]_x0001_XP_027434936.1 zinc finger protein-like 1 [Zalophus californianus]_x0001_XP_027434935.1 zinc finger protein-like 1 [Zalophus californianus]</t>
  </si>
  <si>
    <t>XP_027434949.1 (+2)</t>
  </si>
  <si>
    <t>XP_027434949.1&amp;XP_027434951.1&amp;XP_027434952.1</t>
  </si>
  <si>
    <t>junctional adhesion molecule-like isoform X1 [Zalophus californianus]</t>
  </si>
  <si>
    <t>XP_027434975.1</t>
  </si>
  <si>
    <t>thy-1 membrane glycoprotein [Zalophus californianus]_x0001_XP_027434974.1 thy-1 membrane glycoprotein [Zalophus californianus]_x0001_XP_027434973.1 thy-1 membrane glycoprotein [Zalophus californianus]</t>
  </si>
  <si>
    <t>XP_027434977.1 (+7)</t>
  </si>
  <si>
    <t>XP_027434977.1&amp;XP_027434979.1&amp;XP_027434980.1&amp;XP_027434981.1&amp;XP_027434982.1&amp;XP_027434983.1&amp;XP_027434984.1&amp;XP_027434985.1</t>
  </si>
  <si>
    <t>cell adhesion molecule 1 isoform X1 [Zalophus californianus]</t>
  </si>
  <si>
    <t>XP_027435007.1</t>
  </si>
  <si>
    <t>methylosome subunit pICln [Zalophus californianus]</t>
  </si>
  <si>
    <t>XP_027435072.1</t>
  </si>
  <si>
    <t>dipeptidyl peptidase 1 isoform X1 [Zalophus californianus]</t>
  </si>
  <si>
    <t>XP_027435074.1</t>
  </si>
  <si>
    <t>transaldolase [Zalophus californianus]</t>
  </si>
  <si>
    <t>XP_027435110.1 (+1)</t>
  </si>
  <si>
    <t>XP_027435110.1&amp;XP_027435111.1</t>
  </si>
  <si>
    <t>CXADR-like membrane protein isoform X1 [Zalophus californianus]</t>
  </si>
  <si>
    <t>XP_027435127.1</t>
  </si>
  <si>
    <t>ubiquitin thioesterase OTUB1 [Zalophus californianus]</t>
  </si>
  <si>
    <t>XP_027435131.1</t>
  </si>
  <si>
    <t>182 kDa tankyrase-1-binding protein [Zalophus californianus]_x0001_XP_027435130.1 182 kDa tankyrase-1-binding protein [Zalophus californianus]_x0001_XP_027435129.1 182 kDa tankyrase-1-binding protein [Zalophus californianus]_x0001_XP_027435128.1 182 kDa tankyrase-1-binding protein [Zalophus californianus]</t>
  </si>
  <si>
    <t>XP_027435137.1 (+1)</t>
  </si>
  <si>
    <t>XP_027435137.1&amp;XP_027435138.1</t>
  </si>
  <si>
    <t>ADM isoform X1 [Zalophus californianus]</t>
  </si>
  <si>
    <t>XP_027435143.1</t>
  </si>
  <si>
    <t>A disintegrin and metalloproteinase with thrombospondin motifs 15 [Zalophus californianus]</t>
  </si>
  <si>
    <t>XP_027435144.1</t>
  </si>
  <si>
    <t>A disintegrin and metalloproteinase with thrombospondin motifs 8 [Zalophus californianus]</t>
  </si>
  <si>
    <t>XP_027435148.1</t>
  </si>
  <si>
    <t>XP_027435148.1, XP_027439551.1</t>
  </si>
  <si>
    <t>amyloid-like protein 2 isoform X1 [Zalophus californianus]</t>
  </si>
  <si>
    <t>XP_027435156.1</t>
  </si>
  <si>
    <t>acetyl-CoA acetyltransferase, mitochondrial [Zalophus californianus]</t>
  </si>
  <si>
    <t>XP_027435222.1</t>
  </si>
  <si>
    <t>elongation factor 1-gamma [Zalophus californianus]</t>
  </si>
  <si>
    <t>XP_027435231.1 (+1)</t>
  </si>
  <si>
    <t>XP_027435231.1&amp;XP_027435232.1</t>
  </si>
  <si>
    <t>junctional adhesion molecule C isoform X1 [Zalophus californianus]</t>
  </si>
  <si>
    <t>XP_027435246.1 (+2)</t>
  </si>
  <si>
    <t>XP_027435246.1&amp;XP_027435248.1&amp;XP_027435251.1</t>
  </si>
  <si>
    <t>dipeptidyl peptidase 3 isoform X1 [Zalophus californianus]</t>
  </si>
  <si>
    <t>XP_027435256.1</t>
  </si>
  <si>
    <t>complement C1q tumor necrosis factor-related protein 5 [Zalophus californianus]</t>
  </si>
  <si>
    <t>XP_027435291.1</t>
  </si>
  <si>
    <t>small acidic protein [Zalophus californianus]</t>
  </si>
  <si>
    <t>XP_027435300.1</t>
  </si>
  <si>
    <t>sodium/potassium-transporting ATPase subunit gamma isoform X1 [Zalophus californianus]</t>
  </si>
  <si>
    <t>XP_027435316.1</t>
  </si>
  <si>
    <t>stromelysin-1 [Zalophus californianus]</t>
  </si>
  <si>
    <t>XP_027435317.1</t>
  </si>
  <si>
    <t>XP_027435317.1, XP_027459622.1, XP_027463555.1</t>
  </si>
  <si>
    <t>heat shock cognate 71 kDa protein-like [Zalophus californianus]</t>
  </si>
  <si>
    <t>XP_027435318.1</t>
  </si>
  <si>
    <t>AH receptor-interacting protein isoform X1 [Zalophus californianus]</t>
  </si>
  <si>
    <t>XP_027435334.1</t>
  </si>
  <si>
    <t>XP_027435334.1, XP_027436318.1</t>
  </si>
  <si>
    <t>mucin-5B [Zalophus californianus]</t>
  </si>
  <si>
    <t>XP_027435358.1</t>
  </si>
  <si>
    <t>glutathione S-transferase P [Zalophus californianus]</t>
  </si>
  <si>
    <t>XP_027435373.1</t>
  </si>
  <si>
    <t>tumor susceptibility gene 101 protein isoform X1 [Zalophus californianus]</t>
  </si>
  <si>
    <t>XP_027435379.1</t>
  </si>
  <si>
    <t>60S acidic ribosomal protein P2 [Zalophus californianus]</t>
  </si>
  <si>
    <t>XP_027435392.1</t>
  </si>
  <si>
    <t>signal peptide, CUB and EGF-like domain-containing protein 2 isoform X1 [Zalophus californianus]</t>
  </si>
  <si>
    <t>XP_027435395.1</t>
  </si>
  <si>
    <t>quinone oxidoreductase isoform X1 [Zalophus californianus]_x0001_XP_027479809.1 quinone oxidoreductase isoform X1 [Zalophus californianus]</t>
  </si>
  <si>
    <t>XP_027435419.1</t>
  </si>
  <si>
    <t>XP_027435419.1, XP_027435422.1</t>
  </si>
  <si>
    <t>RNA-binding protein 14 isoform X1 [Zalophus californianus]</t>
  </si>
  <si>
    <t>XP_027435422.1 (+1)</t>
  </si>
  <si>
    <t>XP_027435422.1&amp;XP_027435423.1</t>
  </si>
  <si>
    <t>RNA-binding protein 4 isoform X4 [Zalophus californianus]</t>
  </si>
  <si>
    <t>XP_027435434.1 (+3)</t>
  </si>
  <si>
    <t>XP_027435434.1&amp;XP_027435435.1&amp;XP_027435436.1&amp;XP_027435437.1</t>
  </si>
  <si>
    <t>AP-2 complex subunit alpha-2 isoform X1 [Zalophus californianus]</t>
  </si>
  <si>
    <t>XP_027435457.1</t>
  </si>
  <si>
    <t>lymphatic vessel endothelial hyaluronic acid receptor 1 [Zalophus californianus]</t>
  </si>
  <si>
    <t>XP_027435462.1 (+1)</t>
  </si>
  <si>
    <t>XP_027435462.1&amp;XP_027435463.1</t>
  </si>
  <si>
    <t>out at first protein homolog isoform X1 [Zalophus californianus]</t>
  </si>
  <si>
    <t>XP_027435464.1</t>
  </si>
  <si>
    <t>EGF-containing fibulin-like extracellular matrix protein 2 [Zalophus californianus]</t>
  </si>
  <si>
    <t>XP_027435469.1 (+3)</t>
  </si>
  <si>
    <t>XP_027435469.1&amp;XP_027435470.1&amp;XP_027435471.1&amp;XP_027435472.1</t>
  </si>
  <si>
    <t>cell surface glycoprotein MUC18 isoform X1 [Zalophus californianus]</t>
  </si>
  <si>
    <t>XP_027435477.1</t>
  </si>
  <si>
    <t>peroxiredoxin-5, mitochondrial [Zalophus californianus]</t>
  </si>
  <si>
    <t>XP_027435502.1</t>
  </si>
  <si>
    <t>apolipoprotein C-III [Zalophus californianus]</t>
  </si>
  <si>
    <t>XP_027435513.1</t>
  </si>
  <si>
    <t>pepsin A [Zalophus californianus]</t>
  </si>
  <si>
    <t>XP_027435520.1 (+1)</t>
  </si>
  <si>
    <t>XP_027435520.1&amp;XP_027435522.1</t>
  </si>
  <si>
    <t>latent-transforming growth factor beta-binding protein 3 isoform X1 [Zalophus californianus]</t>
  </si>
  <si>
    <t>XP_027435548.1</t>
  </si>
  <si>
    <t>endosialin [Zalophus californianus]</t>
  </si>
  <si>
    <t>XP_027435571.1</t>
  </si>
  <si>
    <t>oxysterol-binding protein 1 [Zalophus californianus]</t>
  </si>
  <si>
    <t>XP_027435625.1 (+1)</t>
  </si>
  <si>
    <t>XP_027435625.1&amp;XP_027435626.1</t>
  </si>
  <si>
    <t>ester hydrolase C11orf54 homolog isoform X1 [Zalophus californianus]_x0001_XP_027435624.1 ester hydrolase C11orf54 homolog isoform X1 [Zalophus californianus]_x0001_XP_027435623.1 ester hydrolase C11orf54 homolog isoform X1 [Zalophus californianus]_x0001_XP_027435622.1 ester hydrolase C11orf54 homolog isoform X1 [Zalophus californianus]</t>
  </si>
  <si>
    <t>XP_027435638.1 (+1)</t>
  </si>
  <si>
    <t>XP_027435638.1&amp;XP_027435639.1</t>
  </si>
  <si>
    <t>src substrate cortactin isoform X1 [Zalophus californianus]_x0001_XP_027435637.1 src substrate cortactin isoform X1 [Zalophus californianus]</t>
  </si>
  <si>
    <t>XP_027435648.1 (+1)</t>
  </si>
  <si>
    <t>XP_027435648.1&amp;XP_027435649.1</t>
  </si>
  <si>
    <t>transcobalamin-1-like isoform X1 [Zalophus californianus]</t>
  </si>
  <si>
    <t>XP_027435683.1</t>
  </si>
  <si>
    <t>apolipoprotein A-IV [Zalophus californianus]</t>
  </si>
  <si>
    <t>XP_027435685.1</t>
  </si>
  <si>
    <t>reticulon-4 receptor-like 2 [Zalophus californianus]</t>
  </si>
  <si>
    <t>XP_027435686.1 (+1)</t>
  </si>
  <si>
    <t>XP_027435686.1&amp;XP_027435687.1</t>
  </si>
  <si>
    <t>transmembrane protein 132A isoform X1 [Zalophus californianus]</t>
  </si>
  <si>
    <t>XP_027435713.1</t>
  </si>
  <si>
    <t>XP_027435713.1, XP_027446447.1</t>
  </si>
  <si>
    <t>LOW QUALITY PROTEIN: aspartyl aminopeptidase-like [Zalophus californianus]</t>
  </si>
  <si>
    <t>XP_027435728.1 (+1)</t>
  </si>
  <si>
    <t>XP_027435728.1&amp;XP_027435731.1</t>
  </si>
  <si>
    <t>insulin-like growth factor II isoform X1 [Zalophus californianus]</t>
  </si>
  <si>
    <t>XP_027435748.1 (+1)</t>
  </si>
  <si>
    <t>XP_027435748.1&amp;XP_027435749.1</t>
  </si>
  <si>
    <t>EH domain-binding protein 1-like protein 1 isoform X1 [Zalophus californianus]</t>
  </si>
  <si>
    <t>XP_027435823.1</t>
  </si>
  <si>
    <t>caveolae-associated protein 3 [Zalophus californianus]</t>
  </si>
  <si>
    <t>XP_027435826.1</t>
  </si>
  <si>
    <t>cathepsin D [Zalophus californianus]</t>
  </si>
  <si>
    <t>XP_027435874.1</t>
  </si>
  <si>
    <t>solute carrier family 22 member 11 [Zalophus californianus]</t>
  </si>
  <si>
    <t>XP_027435879.1</t>
  </si>
  <si>
    <t>uteroglobin [Zalophus californianus]</t>
  </si>
  <si>
    <t>XP_027435908.1</t>
  </si>
  <si>
    <t>barrier-to-autointegration factor [Zalophus californianus]_x0001_XP_027446542.1 barrier-to-autointegration factor [Zalophus californianus]</t>
  </si>
  <si>
    <t>XP_027435935.1</t>
  </si>
  <si>
    <t>plasma protease C1 inhibitor [Zalophus californianus]_x0001_XP_027435934.1 plasma protease C1 inhibitor [Zalophus californianus]</t>
  </si>
  <si>
    <t>XP_027435938.1 (+5)</t>
  </si>
  <si>
    <t>XP_027435938.1&amp;XP_027435940.1&amp;XP_027435941.1&amp;XP_027435942.1&amp;XP_027435943.1&amp;XP_027435947.1</t>
  </si>
  <si>
    <t>XP_027435938.1, XP_027436639.1</t>
  </si>
  <si>
    <t>neurotrimin isoform X1 [Zalophus californianus]</t>
  </si>
  <si>
    <t>XP_027436019.1</t>
  </si>
  <si>
    <t>endothelial cell-selective adhesion molecule-like isoform X1 [Zalophus californianus]</t>
  </si>
  <si>
    <t>XP_027436021.1</t>
  </si>
  <si>
    <t>V-set and immunoglobulin domain-containing protein 2 [Zalophus californianus]</t>
  </si>
  <si>
    <t>XP_027436025.1</t>
  </si>
  <si>
    <t>thymosin beta-10 [Zalophus californianus]_x0001_XP_027480029.1 thymosin beta-10 [Zalophus californianus]_x0001_XP_027478040.1 thymosin beta-10 [Zalophus californianus]</t>
  </si>
  <si>
    <t>XP_027436052.1</t>
  </si>
  <si>
    <t>sodium-coupled monocarboxylate transporter 2 [Zalophus californianus]</t>
  </si>
  <si>
    <t>XP_027436060.1</t>
  </si>
  <si>
    <t>toll-interacting protein isoform X1 [Zalophus californianus]</t>
  </si>
  <si>
    <t>XP_027436075.1</t>
  </si>
  <si>
    <t>splicing factor 3B subunit 2 isoform X2 [Zalophus californianus]</t>
  </si>
  <si>
    <t>XP_027436105.1</t>
  </si>
  <si>
    <t>CD81 antigen [Zalophus californianus]</t>
  </si>
  <si>
    <t>XP_027436133.1</t>
  </si>
  <si>
    <t>transgelin [Zalophus californianus]</t>
  </si>
  <si>
    <t>XP_027436164.1</t>
  </si>
  <si>
    <t>calpain-1 catalytic subunit [Zalophus californianus]_x0001_XP_027436163.1 calpain-1 catalytic subunit [Zalophus californianus]_x0001_XP_027436162.1 calpain-1 catalytic subunit [Zalophus californianus]_x0001_XP_027436161.1 calpain-1 catalytic subunit [Zalophus californianus]</t>
  </si>
  <si>
    <t>XP_027436173.1</t>
  </si>
  <si>
    <t>troponin I, fast skeletal muscle [Zalophus californianus]</t>
  </si>
  <si>
    <t>XP_027436180.1</t>
  </si>
  <si>
    <t>cystatin-M [Zalophus californianus]</t>
  </si>
  <si>
    <t>XP_027436198.1</t>
  </si>
  <si>
    <t>beta-1,4-glucuronyltransferase 1 [Zalophus californianus]</t>
  </si>
  <si>
    <t>XP_027436212.1 (+6)</t>
  </si>
  <si>
    <t>XP_027436212.1&amp;XP_027436216.1&amp;XP_027436218.1&amp;XP_027436219.1&amp;XP_027436220.1&amp;XP_027436221.1&amp;XP_027436222.1</t>
  </si>
  <si>
    <t>catenin delta-1 isoform X1 [Zalophus californianus]</t>
  </si>
  <si>
    <t>XP_027436230.1</t>
  </si>
  <si>
    <t>endonuclease domain-containing 1 protein [Zalophus californianus]</t>
  </si>
  <si>
    <t>XP_027436280.1</t>
  </si>
  <si>
    <t>XP_027436280.1, XP_027448153.1, XP_027448840.1, XP_027460289.1, XP_027465830.1</t>
  </si>
  <si>
    <t>GTPase HRas isoform X1 [Zalophus californianus]_x0001_XP_027436279.1 GTPase HRas isoform X1 [Zalophus californianus]_x0001_XP_027436278.1 GTPase HRas isoform X1 [Zalophus californianus]</t>
  </si>
  <si>
    <t>XP_027436293.1</t>
  </si>
  <si>
    <t>hypoxia up-regulated protein 1 [Zalophus californianus]_x0001_XP_027436292.1 hypoxia up-regulated protein 1 [Zalophus californianus]_x0001_XP_027436291.1 hypoxia up-regulated protein 1 [Zalophus californianus]</t>
  </si>
  <si>
    <t>XP_027436318.1</t>
  </si>
  <si>
    <t>mucin-5AC [Zalophus californianus]</t>
  </si>
  <si>
    <t>XP_027436319.1</t>
  </si>
  <si>
    <t>mucin-2-like [Zalophus californianus]</t>
  </si>
  <si>
    <t>XP_027436336.1</t>
  </si>
  <si>
    <t>solute carrier family 22 member 10-like [Zalophus californianus]</t>
  </si>
  <si>
    <t>XP_027436361.1 (+1)</t>
  </si>
  <si>
    <t>XP_027436361.1&amp;XP_027436362.1</t>
  </si>
  <si>
    <t>cysteine and glycine-rich protein 3 isoform X1 [Zalophus californianus]</t>
  </si>
  <si>
    <t>XP_027436377.1</t>
  </si>
  <si>
    <t>fatty acid-binding protein 5 [Zalophus californianus]</t>
  </si>
  <si>
    <t>XP_027436378.1</t>
  </si>
  <si>
    <t>XP_027436378.1, XP_027436841.1, XP_027436856.1, XP_027437311.1, XP_027470065.1, XP_027470067.1, XP_027472812.1, XP_027476181.1</t>
  </si>
  <si>
    <t>serum amyloid A protein-like [Zalophus californianus]</t>
  </si>
  <si>
    <t>XP_027436382.1</t>
  </si>
  <si>
    <t>smoothelin-like protein 1 [Zalophus californianus]</t>
  </si>
  <si>
    <t>XP_027436385.1</t>
  </si>
  <si>
    <t>layilin isoform X1 [Zalophus californianus]</t>
  </si>
  <si>
    <t>XP_027436393.1 (+2)</t>
  </si>
  <si>
    <t>XP_027436393.1&amp;XP_027436394.1&amp;XP_027436395.1</t>
  </si>
  <si>
    <t>solute carrier family 22 member 12 isoform X1 [Zalophus californianus]</t>
  </si>
  <si>
    <t>XP_027436446.1</t>
  </si>
  <si>
    <t>bone marrow proteoglycan-like [Zalophus californianus]</t>
  </si>
  <si>
    <t>XP_027436475.1</t>
  </si>
  <si>
    <t>alpha-crystallin B chain [Zalophus californianus]</t>
  </si>
  <si>
    <t>XP_027436505.1</t>
  </si>
  <si>
    <t>apolipoprotein A-I [Zalophus californianus]</t>
  </si>
  <si>
    <t>XP_027436515.1</t>
  </si>
  <si>
    <t>XP_027436515.1, XP_027437306.1</t>
  </si>
  <si>
    <t>neutrophil collagenase [Zalophus californianus]</t>
  </si>
  <si>
    <t>XP_027436533.1</t>
  </si>
  <si>
    <t>hemopexin [Zalophus californianus]</t>
  </si>
  <si>
    <t>XP_027436545.1</t>
  </si>
  <si>
    <t>stress-induced-phosphoprotein 1 [Zalophus californianus]</t>
  </si>
  <si>
    <t>XP_027436570.1 (+1)</t>
  </si>
  <si>
    <t>XP_027436570.1&amp;XP_027436571.1</t>
  </si>
  <si>
    <t>roundabout homolog 4 isoform X1 [Zalophus californianus]</t>
  </si>
  <si>
    <t>XP_027436573.1</t>
  </si>
  <si>
    <t>glycine N-acyltransferase-like [Zalophus californianus]</t>
  </si>
  <si>
    <t>XP_027436598.1</t>
  </si>
  <si>
    <t>nectin-1 [Zalophus californianus]</t>
  </si>
  <si>
    <t>XP_027436599.1 (+1)</t>
  </si>
  <si>
    <t>XP_027436599.1&amp;XP_027436601.1</t>
  </si>
  <si>
    <t>low-density lipoprotein receptor class A domain-containing protein 3 isoform X1 [Zalophus californianus]</t>
  </si>
  <si>
    <t>XP_027436639.1 (+4)</t>
  </si>
  <si>
    <t>XP_027436639.1&amp;XP_027436640.1&amp;XP_027436641.1&amp;XP_027436643.1&amp;XP_027436644.1</t>
  </si>
  <si>
    <t>opioid-binding protein/cell adhesion molecule isoform X1 [Zalophus californianus]</t>
  </si>
  <si>
    <t>XP_027436663.1 (+1)</t>
  </si>
  <si>
    <t>XP_027436663.1&amp;XP_027436664.1</t>
  </si>
  <si>
    <t>nuclear mitotic apparatus protein 1 isoform X1 [Zalophus californianus]_x0001_XP_027436662.1 nuclear mitotic apparatus protein 1 isoform X1 [Zalophus californianus]_x0001_XP_027436661.1 nuclear mitotic apparatus protein 1 isoform X1 [Zalophus californianus]_x0001_XP_027436660.1 nuclear mitotic apparatus protein 1 isoform X1 [Zalophus californianus]_x0001_XP_027436659.1 nuclear mitotic apparatus protein 1 isoform X1 [Zalophus californianus]_x0001_XP_027436658.1 nuclear mitotic apparatus protein 1 isoform X1 [Zalophus californianus]_x0001_XP_027436657.1 nuclear mitotic apparatus protein 1 isoform X1 [Zalophus californianus]_x0001_XP_027436656.1 nuclear mitotic apparatus protein 1 isoform X1 [Zalophus californianus]</t>
  </si>
  <si>
    <t>XP_027436677.1</t>
  </si>
  <si>
    <t>XP_027436677.1, XP_027436678.1</t>
  </si>
  <si>
    <t>folate receptor alpha-like [Zalophus californianus]_x0001_XP_027436676.1 folate receptor alpha-like [Zalophus californianus]</t>
  </si>
  <si>
    <t>XP_027436678.1</t>
  </si>
  <si>
    <t>folate receptor beta [Zalophus californianus]</t>
  </si>
  <si>
    <t>XP_027436710.1 (+1)</t>
  </si>
  <si>
    <t>XP_027436710.1&amp;XP_027436711.1</t>
  </si>
  <si>
    <t>interleukin-18-binding protein isoform X1 [Zalophus californianus]</t>
  </si>
  <si>
    <t>XP_027436734.1</t>
  </si>
  <si>
    <t>4F2 cell-surface antigen heavy chain [Zalophus californianus]</t>
  </si>
  <si>
    <t>XP_027436758.1</t>
  </si>
  <si>
    <t>ATP synthase subunit g, mitochondrial [Zalophus californianus]_x0001_XP_027455729.1 ATP synthase subunit g, mitochondrial [Zalophus californianus]</t>
  </si>
  <si>
    <t>XP_027436783.1</t>
  </si>
  <si>
    <t>XP_027432045.1, XP_027432058.1, XP_027436783.1</t>
  </si>
  <si>
    <t>fatty acid-binding protein, heart [Zalophus californianus]</t>
  </si>
  <si>
    <t>XP_027436806.1</t>
  </si>
  <si>
    <t>transcription initiation factor IIB [Zalophus californianus]</t>
  </si>
  <si>
    <t>XP_027436809.1</t>
  </si>
  <si>
    <t>ras-related protein Rab-1B [Zalophus californianus]</t>
  </si>
  <si>
    <t>XP_027436826.1</t>
  </si>
  <si>
    <t>26S proteasome regulatory subunit 6A [Zalophus californianus]</t>
  </si>
  <si>
    <t>XP_027436838.1</t>
  </si>
  <si>
    <t>XP_027436838.1, XP_027450700.1</t>
  </si>
  <si>
    <t>alcohol dehydrogenase [NADP(+)] isoform X1 [Zalophus californianus]</t>
  </si>
  <si>
    <t>XP_027436839.1</t>
  </si>
  <si>
    <t>coronin-1B [Zalophus californianus]</t>
  </si>
  <si>
    <t>XP_027436841.1</t>
  </si>
  <si>
    <t>XP_027436378.1, XP_027436841.1, XP_027437311.1, XP_027470065.1, XP_027470067.1, XP_027472812.1, XP_027476181.1</t>
  </si>
  <si>
    <t>serum amyloid A-2 protein-like [Zalophus californianus]</t>
  </si>
  <si>
    <t>XP_027436848.1</t>
  </si>
  <si>
    <t>proteasome subunit alpha type-1 [Zalophus californianus]</t>
  </si>
  <si>
    <t>XP_027436849.1</t>
  </si>
  <si>
    <t>tripeptidyl-peptidase 1 [Zalophus californianus]</t>
  </si>
  <si>
    <t>XP_027436856.1</t>
  </si>
  <si>
    <t>XP_027436378.1, XP_027436856.1, XP_027437311.1, XP_027470065.1, XP_027470067.1, XP_027472812.1, XP_027476181.1</t>
  </si>
  <si>
    <t>XP_027436872.1 (+1)</t>
  </si>
  <si>
    <t>XP_027436872.1&amp;XP_027436873.1</t>
  </si>
  <si>
    <t>dickkopf-related protein 3 isoform X1 [Zalophus californianus]</t>
  </si>
  <si>
    <t>XP_027436879.1</t>
  </si>
  <si>
    <t>cathepsin F [Zalophus californianus]</t>
  </si>
  <si>
    <t>XP_027436885.1 (+2)</t>
  </si>
  <si>
    <t>XP_027436885.1&amp;XP_027436886.1&amp;XP_027436887.1</t>
  </si>
  <si>
    <t>copper chaperone for superoxide dismutase isoform X1 [Zalophus californianus]</t>
  </si>
  <si>
    <t>XP_027436912.1 (+1)</t>
  </si>
  <si>
    <t>XP_027436912.1&amp;XP_027436915.1</t>
  </si>
  <si>
    <t>peptidyl-prolyl cis-trans isomerase FKBP2 isoform X1 [Zalophus californianus]</t>
  </si>
  <si>
    <t>XP_027436924.1 (+3)</t>
  </si>
  <si>
    <t>XP_027436924.1&amp;XP_027436925.1&amp;XP_027436926.1&amp;XP_027436927.1</t>
  </si>
  <si>
    <t>lymphocyte-specific protein 1 isoform X1 [Zalophus californianus]</t>
  </si>
  <si>
    <t>XP_027436965.1</t>
  </si>
  <si>
    <t>mth938 domain-containing protein [Zalophus californianus]_x0001_XP_027436964.1 mth938 domain-containing protein [Zalophus californianus]</t>
  </si>
  <si>
    <t>XP_027437042.1</t>
  </si>
  <si>
    <t>prothrombin isoform X1 [Zalophus californianus]</t>
  </si>
  <si>
    <t>XP_027437113.1</t>
  </si>
  <si>
    <t>myelin protein zero-like protein 2 [Zalophus californianus]</t>
  </si>
  <si>
    <t>XP_027437145.1 (+1)</t>
  </si>
  <si>
    <t>XP_027437145.1&amp;XP_027437146.1</t>
  </si>
  <si>
    <t>nucleobindin-2 isoform X1 [Zalophus californianus]_x0001_XP_027437144.1 nucleobindin-2 isoform X1 [Zalophus californianus]</t>
  </si>
  <si>
    <t>XP_027437149.1</t>
  </si>
  <si>
    <t>40S ribosomal protein S13 [Zalophus californianus]</t>
  </si>
  <si>
    <t>XP_027437178.1</t>
  </si>
  <si>
    <t>catalase [Zalophus californianus]</t>
  </si>
  <si>
    <t>XP_027437222.1 (+1)</t>
  </si>
  <si>
    <t>XP_027437222.1&amp;XP_027437230.1</t>
  </si>
  <si>
    <t>ephrin type-B receptor 2 isoform X1 [Zalophus californianus]</t>
  </si>
  <si>
    <t>XP_027437223.1</t>
  </si>
  <si>
    <t>rho-related GTP-binding protein RhoG [Zalophus californianus]</t>
  </si>
  <si>
    <t>XP_027437294.1</t>
  </si>
  <si>
    <t>ragulator complex protein LAMTOR5 [Zalophus californianus]</t>
  </si>
  <si>
    <t>XP_027437306.1</t>
  </si>
  <si>
    <t>interstitial collagenase [Zalophus californianus]</t>
  </si>
  <si>
    <t>XP_027437311.1</t>
  </si>
  <si>
    <t>serum amyloid A-1 protein isoform X2 [Zalophus californianus]_x0001_XP_027437310.1 serum amyloid A-1 protein isoform X1 [Zalophus californianus]_x0001_XP_027437307.1 serum amyloid A-1 protein isoform X1 [Zalophus californianus]</t>
  </si>
  <si>
    <t>XP_027437324.1 (+1)</t>
  </si>
  <si>
    <t>XP_027437324.1&amp;XP_027437336.1</t>
  </si>
  <si>
    <t>pyruvate carboxylase, mitochondrial isoform X1 [Zalophus californianus]</t>
  </si>
  <si>
    <t>XP_027437424.1</t>
  </si>
  <si>
    <t>XP_027437424.1, XP_027457485.1, XP_027459720.1</t>
  </si>
  <si>
    <t>putative HLA class I histocompatibility antigen, alpha chain H [Zalophus californianus]</t>
  </si>
  <si>
    <t>XP_027437434.1</t>
  </si>
  <si>
    <t>XP_027437434.1, XP_027437451.1, XP_027437459.1, XP_027437460.1, XP_027457485.1, XP_027459720.1</t>
  </si>
  <si>
    <t>saoe class I histocompatibility antigen, A alpha chain-like, partial [Zalophus californianus]</t>
  </si>
  <si>
    <t>XP_027437447.1</t>
  </si>
  <si>
    <t>cystatin-C-like [Zalophus californianus]_x0001_XP_027477921.1 cystatin-C-like [Zalophus californianus]</t>
  </si>
  <si>
    <t>XP_027437449.1</t>
  </si>
  <si>
    <t>XP_027437449.1, XP_027439077.1, XP_027458582.1, XP_027471764.1, XP_027473223.1, XP_027478147.1</t>
  </si>
  <si>
    <t>tubulin beta-7 chain-like [Zalophus californianus]</t>
  </si>
  <si>
    <t>XP_027437451.1</t>
  </si>
  <si>
    <t>HLA class I histocompatibility antigen, Cw-14 alpha chain-like, partial [Zalophus californianus]</t>
  </si>
  <si>
    <t>XP_027437459.1</t>
  </si>
  <si>
    <t>HLA class I histocompatibility antigen, B-41 alpha chain-like, partial [Zalophus californianus]</t>
  </si>
  <si>
    <t>XP_027437460.1</t>
  </si>
  <si>
    <t>HLA class I histocompatibility antigen, Cw-18 alpha chain-like, partial [Zalophus californianus]</t>
  </si>
  <si>
    <t>XP_027437468.1</t>
  </si>
  <si>
    <t>complement component C8 beta chain isoform X1 [Zalophus californianus]</t>
  </si>
  <si>
    <t>XP_027437536.1</t>
  </si>
  <si>
    <t>cystatin-B [Zalophus californianus]</t>
  </si>
  <si>
    <t>XP_027437540.1 (+2)</t>
  </si>
  <si>
    <t>XP_027437540.1&amp;XP_027480357.1&amp;XP_027480358.1</t>
  </si>
  <si>
    <t>XP_027437540.1, XP_027438670.1</t>
  </si>
  <si>
    <t>small ubiquitin-related modifier 2-like [Zalophus californianus]</t>
  </si>
  <si>
    <t>XP_027437542.1 (+1)</t>
  </si>
  <si>
    <t>XP_027437542.1&amp;XP_027437544.1</t>
  </si>
  <si>
    <t>2-hydroxyacyl-CoA lyase 1 isoform X1 [Zalophus californianus]</t>
  </si>
  <si>
    <t>XP_027437547.1 (+2)</t>
  </si>
  <si>
    <t>XP_027437547.1&amp;XP_027437548.1&amp;XP_027437551.1</t>
  </si>
  <si>
    <t>biotinidase isoform X1 [Zalophus californianus]</t>
  </si>
  <si>
    <t>XP_027437579.1 (+1)</t>
  </si>
  <si>
    <t>XP_027437579.1&amp;XP_027437580.1</t>
  </si>
  <si>
    <t>26S proteasome non-ATPase regulatory subunit 4 isoform X1 [Zalophus californianus]</t>
  </si>
  <si>
    <t>XP_027437582.1</t>
  </si>
  <si>
    <t>enteropeptidase [Zalophus californianus]</t>
  </si>
  <si>
    <t>XP_027437619.1 (+1)</t>
  </si>
  <si>
    <t>XP_027437619.1&amp;XP_027437623.1</t>
  </si>
  <si>
    <t>type 2 lactosamine alpha-2,3-sialyltransferase isoform X1 [Zalophus californianus]_x0001_XP_027437618.1 type 2 lactosamine alpha-2,3-sialyltransferase isoform X1 [Zalophus californianus]_x0001_XP_027437617.1 type 2 lactosamine alpha-2,3-sialyltransferase isoform X1 [Zalophus californianus]_x0001_XP_027437615.1 type 2 lactosamine alpha-2,3-sialyltransferase isoform X1 [Zalophus californianus]_x0001_XP_027437614.1 type 2 lactosamine alpha-2,3-sialyltransferase isoform X1 [Zalophus californianus]_x0001_XP_027437613.1 type 2 lactosamine alpha-2,3-sialyltransferase isoform X1 [Zalophus californianus]</t>
  </si>
  <si>
    <t>XP_027437663.1</t>
  </si>
  <si>
    <t>ceruloplasmin-like [Zalophus californianus]</t>
  </si>
  <si>
    <t>XP_027437749.1</t>
  </si>
  <si>
    <t>carboxypeptidase Q isoform X1 [Zalophus californianus]_x0001_XP_027437691.1 carboxypeptidase Q isoform X1 [Zalophus californianus]_x0001_XP_027437658.1 carboxypeptidase Q isoform X1 [Zalophus californianus]</t>
  </si>
  <si>
    <t>XP_027437806.1 (+3)</t>
  </si>
  <si>
    <t>XP_027437806.1&amp;XP_027437807.1&amp;XP_027437808.1&amp;XP_027437809.1</t>
  </si>
  <si>
    <t>protein TFG isoform X1 [Zalophus californianus]_x0001_XP_027437805.1 protein TFG isoform X1 [Zalophus californianus]_x0001_XP_027437804.1 protein TFG isoform X1 [Zalophus californianus]_x0001_XP_027437803.1 protein TFG isoform X1 [Zalophus californianus]_x0001_XP_027437802.1 protein TFG isoform X1 [Zalophus californianus]_x0001_XP_027437801.1 protein TFG isoform X1 [Zalophus californianus]_x0001_XP_027437799.1 protein TFG isoform X1 [Zalophus californianus]_x0001_XP_027437798.1 protein TFG isoform X1 [Zalophus californianus]</t>
  </si>
  <si>
    <t>XP_027437812.1</t>
  </si>
  <si>
    <t>syntaxin-binding protein 2 [Zalophus californianus]</t>
  </si>
  <si>
    <t>XP_027437821.1</t>
  </si>
  <si>
    <t>receptor-type tyrosine-protein phosphatase S [Zalophus californianus]</t>
  </si>
  <si>
    <t>XP_027437826.1</t>
  </si>
  <si>
    <t>junctional sarcoplasmic reticulum protein 1 [Zalophus californianus]</t>
  </si>
  <si>
    <t>XP_027437830.1</t>
  </si>
  <si>
    <t>neutrophil elastase-like [Zalophus californianus]</t>
  </si>
  <si>
    <t>XP_027437833.1</t>
  </si>
  <si>
    <t>ephrin-A2, partial [Zalophus californianus]</t>
  </si>
  <si>
    <t>XP_027437885.1</t>
  </si>
  <si>
    <t>guanidinoacetate N-methyltransferase [Zalophus californianus]</t>
  </si>
  <si>
    <t>XP_027437898.1</t>
  </si>
  <si>
    <t>transmembrane protein 43 [Zalophus californianus]</t>
  </si>
  <si>
    <t>XP_027437935.1</t>
  </si>
  <si>
    <t>syndecan-2 [Zalophus californianus]</t>
  </si>
  <si>
    <t>XP_027437980.1</t>
  </si>
  <si>
    <t>protein NOV homolog [Zalophus californianus]</t>
  </si>
  <si>
    <t>XP_027437981.1 (+1)</t>
  </si>
  <si>
    <t>XP_027437981.1&amp;XP_027437982.1</t>
  </si>
  <si>
    <t>PEST proteolytic signal-containing nuclear protein isoform X1 [Zalophus californianus]</t>
  </si>
  <si>
    <t>XP_027437984.1</t>
  </si>
  <si>
    <t>60S ribosomal protein L24 [Zalophus californianus]</t>
  </si>
  <si>
    <t>XP_027438095.1</t>
  </si>
  <si>
    <t>complement C1q subcomponent subunit B [Zalophus californianus]</t>
  </si>
  <si>
    <t>XP_027438098.1 (+1)</t>
  </si>
  <si>
    <t>XP_027438098.1&amp;XP_027438099.1</t>
  </si>
  <si>
    <t>transferrin receptor protein 1 isoform X1 [Zalophus californianus]_x0001_XP_027438097.1 transferrin receptor protein 1 isoform X1 [Zalophus californianus]_x0001_XP_027438096.1 transferrin receptor protein 1 isoform X1 [Zalophus californianus]</t>
  </si>
  <si>
    <t>XP_027438106.1 (+3)</t>
  </si>
  <si>
    <t>XP_027438106.1&amp;XP_027438107.1&amp;XP_027438108.1&amp;XP_027438109.1</t>
  </si>
  <si>
    <t>CD97 antigen isoform X1 [Zalophus californianus]</t>
  </si>
  <si>
    <t>XP_027438125.1 (+1)</t>
  </si>
  <si>
    <t>XP_027438125.1&amp;XP_027438126.1</t>
  </si>
  <si>
    <t>PDZ domain-containing protein GIPC1 isoform X1 [Zalophus californianus]_x0001_XP_027438124.1 PDZ domain-containing protein GIPC1 isoform X1 [Zalophus californianus]_x0001_XP_027438123.1 PDZ domain-containing protein GIPC1 isoform X1 [Zalophus californianus]_x0001_XP_027438122.1 PDZ domain-containing protein GIPC1 isoform X1 [Zalophus californianus]_x0001_XP_027438121.1 PDZ domain-containing protein GIPC1 isoform X1 [Zalophus californianus]_x0001_XP_027438120.1 PDZ domain-containing protein GIPC1 isoform X1 [Zalophus californianus]_x0001_XP_027438119.1 PDZ domain-containing protein GIPC1 isoform X1 [Zalophus californianus]</t>
  </si>
  <si>
    <t>XP_027438134.1</t>
  </si>
  <si>
    <t>angiopoietin-related protein 4 [Zalophus californianus]</t>
  </si>
  <si>
    <t>XP_027438148.1</t>
  </si>
  <si>
    <t>XP_027438148.1, XP_027453069.1</t>
  </si>
  <si>
    <t>transforming protein RhoA [Zalophus californianus]_x0001_XP_027438147.1 transforming protein RhoA [Zalophus californianus]</t>
  </si>
  <si>
    <t>XP_027438152.1</t>
  </si>
  <si>
    <t>xin actin-binding repeat-containing protein 1 isoform X1 [Zalophus californianus]_x0001_XP_027438151.1 xin actin-binding repeat-containing protein 1 isoform X1 [Zalophus californianus]</t>
  </si>
  <si>
    <t>XP_027438174.1</t>
  </si>
  <si>
    <t>microtubule-associated protein 4 isoform X2 [Zalophus californianus]</t>
  </si>
  <si>
    <t>XP_027438178.1 (+2)</t>
  </si>
  <si>
    <t>XP_027438178.1&amp;XP_027438180.1&amp;XP_027438181.1</t>
  </si>
  <si>
    <t>XP_027438178.1, XP_027439285.1</t>
  </si>
  <si>
    <t>intercellular adhesion molecule 3 isoform X1 [Zalophus californianus]</t>
  </si>
  <si>
    <t>XP_027438230.1 (+1)</t>
  </si>
  <si>
    <t>XP_027438230.1&amp;XP_027438231.1</t>
  </si>
  <si>
    <t>glycogenin-1 isoform X1 [Zalophus californianus]</t>
  </si>
  <si>
    <t>XP_027438269.1</t>
  </si>
  <si>
    <t>60S ribosomal protein L15 [Zalophus californianus]</t>
  </si>
  <si>
    <t>XP_027438277.1</t>
  </si>
  <si>
    <t>protein phosphatase inhibitor 2 [Zalophus californianus]</t>
  </si>
  <si>
    <t>XP_027438278.1</t>
  </si>
  <si>
    <t>apolipoprotein D [Zalophus californianus]</t>
  </si>
  <si>
    <t>XP_027438316.1</t>
  </si>
  <si>
    <t>transketolase isoform X1 [Zalophus californianus]</t>
  </si>
  <si>
    <t>XP_027438356.1 (+2)</t>
  </si>
  <si>
    <t>XP_027438356.1&amp;XP_027438357.1&amp;XP_027438358.1</t>
  </si>
  <si>
    <t>XP_027438356.1, XP_027462506.1</t>
  </si>
  <si>
    <t>lamin-B2 isoform X1 [Zalophus californianus]</t>
  </si>
  <si>
    <t>XP_027438452.1</t>
  </si>
  <si>
    <t>cAMP-dependent protein kinase type II-alpha regulatory subunit isoform X1 [Zalophus californianus]</t>
  </si>
  <si>
    <t>XP_027438476.1 (+2)</t>
  </si>
  <si>
    <t>XP_027438476.1&amp;XP_027438477.1&amp;XP_027438478.1</t>
  </si>
  <si>
    <t>filamin-B isoform X4 [Zalophus californianus]</t>
  </si>
  <si>
    <t>XP_027438480.1</t>
  </si>
  <si>
    <t>ELAV-like protein 1 [Zalophus californianus]</t>
  </si>
  <si>
    <t>XP_027438670.1</t>
  </si>
  <si>
    <t>small ubiquitin-related modifier 3 [Zalophus californianus]</t>
  </si>
  <si>
    <t>XP_027438691.1 (+3)</t>
  </si>
  <si>
    <t>XP_027438691.1&amp;XP_027438692.1&amp;XP_027438694.1&amp;XP_027438695.1</t>
  </si>
  <si>
    <t>adhesion G protein-coupled receptor L1 isoform X1 [Zalophus californianus]</t>
  </si>
  <si>
    <t>XP_027438706.1</t>
  </si>
  <si>
    <t>coiled-coil domain-containing protein 80 [Zalophus californianus]</t>
  </si>
  <si>
    <t>XP_027438726.1</t>
  </si>
  <si>
    <t>elongation factor 2 [Zalophus californianus]</t>
  </si>
  <si>
    <t>XP_027438730.1</t>
  </si>
  <si>
    <t>3-ketoacyl-CoA thiolase, peroxisomal isoform X1 [Zalophus californianus]</t>
  </si>
  <si>
    <t>XP_027438732.1 (+2)</t>
  </si>
  <si>
    <t>XP_027438732.1&amp;XP_027438733.1&amp;XP_027438734.1</t>
  </si>
  <si>
    <t>myeloid differentiation primary response protein MyD88 isoform X1 [Zalophus californianus]</t>
  </si>
  <si>
    <t>XP_027438740.1</t>
  </si>
  <si>
    <t>small integral membrane protein 24 [Zalophus californianus]</t>
  </si>
  <si>
    <t>XP_027438742.1 (+5)</t>
  </si>
  <si>
    <t>XP_027438742.1&amp;XP_027438745.1&amp;XP_027438749.1&amp;XP_027438750.1&amp;XP_027438751.1&amp;XP_027438752.1</t>
  </si>
  <si>
    <t>coxsackievirus and adenovirus receptor isoform X1 [Zalophus californianus]</t>
  </si>
  <si>
    <t>XP_027438758.1 (+1)</t>
  </si>
  <si>
    <t>XP_027438758.1&amp;XP_027438759.1</t>
  </si>
  <si>
    <t>chondrolectin isoform X1 [Zalophus californianus]</t>
  </si>
  <si>
    <t>XP_027438762.1 (+9)</t>
  </si>
  <si>
    <t>XP_027438762.1&amp;XP_027438764.1&amp;XP_027438765.1&amp;XP_027438766.1&amp;XP_027438767.1&amp;XP_027438768.1&amp;XP_027438769.1&amp;XP_027438770.1&amp;XP_027438772.1&amp;XP_027438773.1</t>
  </si>
  <si>
    <t>XP_027438762.1, XP_027442100.1, XP_027471337.1</t>
  </si>
  <si>
    <t>collagen alpha-1(XVIII) chain isoform X1 [Zalophus californianus]</t>
  </si>
  <si>
    <t>XP_027438793.1</t>
  </si>
  <si>
    <t>LOW QUALITY PROTEIN: mucin-16-like [Zalophus californianus]</t>
  </si>
  <si>
    <t>XP_027438927.1 (+2)</t>
  </si>
  <si>
    <t>XP_027438927.1&amp;XP_027438928.1&amp;XP_027438929.1</t>
  </si>
  <si>
    <t>nectin-3 isoform X1 [Zalophus californianus]</t>
  </si>
  <si>
    <t>XP_027438961.1 (+6)</t>
  </si>
  <si>
    <t>XP_027438961.1&amp;XP_027438962.1&amp;XP_027438963.1&amp;XP_027438964.1&amp;XP_027438965.1&amp;XP_027438966.1&amp;XP_027438968.1</t>
  </si>
  <si>
    <t>interleukin enhancer-binding factor 3 isoform X1 [Zalophus californianus]</t>
  </si>
  <si>
    <t>XP_027438967.1</t>
  </si>
  <si>
    <t>WNT1-inducible-signaling pathway protein 1 [Zalophus californianus]</t>
  </si>
  <si>
    <t>XP_027438969.1</t>
  </si>
  <si>
    <t>beta-galactosidase isoform X1 [Zalophus californianus]</t>
  </si>
  <si>
    <t>XP_027439002.1</t>
  </si>
  <si>
    <t>programmed cell death 6-interacting protein isoform X2 [Zalophus californianus]</t>
  </si>
  <si>
    <t>XP_027439044.1 (+1)</t>
  </si>
  <si>
    <t>XP_027439044.1&amp;XP_027446043.1</t>
  </si>
  <si>
    <t>protein S100-A10 isoform X1 [Zalophus californianus]</t>
  </si>
  <si>
    <t>XP_027439049.1</t>
  </si>
  <si>
    <t>coatomer subunit beta' [Zalophus californianus]</t>
  </si>
  <si>
    <t>XP_027439097.1</t>
  </si>
  <si>
    <t>XP_027425226.1, XP_027425228.1, XP_027425237.1, XP_027425238.1, XP_027439097.1, XP_027466026.1, XP_027466028.1, XP_027466032.1, XP_027466033.1, XP_027470294.1</t>
  </si>
  <si>
    <t>tropomyosin alpha-4 chain isoform X2 [Zalophus californianus]</t>
  </si>
  <si>
    <t>XP_027439113.1</t>
  </si>
  <si>
    <t>pyruvate dehydrogenase E1 component subunit beta, mitochondrial [Zalophus californianus]</t>
  </si>
  <si>
    <t>XP_027439195.1 (+1)</t>
  </si>
  <si>
    <t>XP_027439195.1&amp;XP_027439196.1</t>
  </si>
  <si>
    <t>protein HEG homolog 1 isoform X1 [Zalophus californianus]</t>
  </si>
  <si>
    <t>XP_027439217.1</t>
  </si>
  <si>
    <t>musculoskeletal embryonic nuclear protein 1 [Zalophus californianus]</t>
  </si>
  <si>
    <t>XP_027439222.1 (+1)</t>
  </si>
  <si>
    <t>XP_027439222.1&amp;XP_027439223.1</t>
  </si>
  <si>
    <t>inosine-5'-monophosphate dehydrogenase 2 isoform X1 [Zalophus californianus]</t>
  </si>
  <si>
    <t>XP_027439285.1</t>
  </si>
  <si>
    <t>intercellular adhesion molecule 1 [Zalophus californianus]</t>
  </si>
  <si>
    <t>XP_027439287.1 (+3)</t>
  </si>
  <si>
    <t>XP_027439287.1&amp;XP_027439288.1&amp;XP_027439291.1&amp;XP_027439292.1</t>
  </si>
  <si>
    <t>TRAF2 and NCK-interacting protein kinase isoform X1 [Zalophus californianus]</t>
  </si>
  <si>
    <t>XP_027439306.1</t>
  </si>
  <si>
    <t>protein-arginine deiminase type-4 [Zalophus californianus]</t>
  </si>
  <si>
    <t>XP_027439308.1 (+2)</t>
  </si>
  <si>
    <t>XP_027439308.1&amp;XP_027439309.1&amp;XP_027439310.1</t>
  </si>
  <si>
    <t>protein shisa-5 isoform X1 [Zalophus californianus]</t>
  </si>
  <si>
    <t>XP_027439416.1 (+1)</t>
  </si>
  <si>
    <t>XP_027439416.1&amp;XP_027439417.1</t>
  </si>
  <si>
    <t>XP_027439416.1, XP_027439418.1</t>
  </si>
  <si>
    <t>serotransferrin isoform X1 [Zalophus californianus]</t>
  </si>
  <si>
    <t>XP_027439418.1</t>
  </si>
  <si>
    <t>XP_027439416.1, XP_027439418.1, XP_027443479.1</t>
  </si>
  <si>
    <t>LOW QUALITY PROTEIN: serotransferrin-like [Zalophus californianus]</t>
  </si>
  <si>
    <t>XP_027439468.1</t>
  </si>
  <si>
    <t>calcyphosin [Zalophus californianus]_x0001_XP_027439467.1 calcyphosin [Zalophus californianus]_x0001_XP_027439466.1 calcyphosin [Zalophus californianus]</t>
  </si>
  <si>
    <t>XP_027439520.1 (+3)</t>
  </si>
  <si>
    <t>XP_027439520.1&amp;XP_027439523.1&amp;XP_027439525.1&amp;XP_027439529.1</t>
  </si>
  <si>
    <t>heterogeneous nuclear ribonucleoprotein M isoform X1 [Zalophus californianus]</t>
  </si>
  <si>
    <t>XP_027439551.1 (+3)</t>
  </si>
  <si>
    <t>XP_027439551.1&amp;XP_027439552.1&amp;XP_027439553.1&amp;XP_027439554.1</t>
  </si>
  <si>
    <t>amyloid-beta A4 protein isoform X1 [Zalophus californianus]</t>
  </si>
  <si>
    <t>XP_027439563.1</t>
  </si>
  <si>
    <t>protein FAM3D isoform X2 [Zalophus californianus]</t>
  </si>
  <si>
    <t>XP_027439580.1</t>
  </si>
  <si>
    <t>heat shock protein beta-7 [Zalophus californianus]</t>
  </si>
  <si>
    <t>XP_027439596.1 (+1)</t>
  </si>
  <si>
    <t>XP_027439596.1&amp;XP_027439597.1</t>
  </si>
  <si>
    <t>XP_027424108.1, XP_027424308.1, XP_027439596.1</t>
  </si>
  <si>
    <t>eukaryotic initiation factor 4A-II isoform X1 [Zalophus californianus]</t>
  </si>
  <si>
    <t>XP_027439655.1</t>
  </si>
  <si>
    <t>hepatocyte growth factor-like protein [Zalophus californianus]_x0001_XP_027439654.1 hepatocyte growth factor-like protein [Zalophus californianus]</t>
  </si>
  <si>
    <t>XP_027439676.1</t>
  </si>
  <si>
    <t>protein CDV3 homolog isoform X1 [Zalophus californianus]</t>
  </si>
  <si>
    <t>XP_027439720.1 (+2)</t>
  </si>
  <si>
    <t>XP_027439720.1&amp;XP_027439721.1&amp;XP_027439722.1</t>
  </si>
  <si>
    <t>glutamine amidotransferase-like class 1 domain-containing protein 3A, mitochondrial isoform X1 [Zalophus californianus]</t>
  </si>
  <si>
    <t>XP_027439754.1 (+8)</t>
  </si>
  <si>
    <t>XP_027439754.1&amp;XP_027439755.1&amp;XP_027439756.1&amp;XP_027439757.1&amp;XP_027439758.1&amp;XP_027439759.1&amp;XP_027439760.1&amp;XP_027439762.1&amp;XP_027439763.1</t>
  </si>
  <si>
    <t>myosin light chain kinase, smooth muscle isoform X1 [Zalophus californianus]</t>
  </si>
  <si>
    <t>XP_027439774.1</t>
  </si>
  <si>
    <t>XP_027439774.1, XP_027459012.1</t>
  </si>
  <si>
    <t>complement C3 [Zalophus californianus]</t>
  </si>
  <si>
    <t>XP_027439775.1 (+1)</t>
  </si>
  <si>
    <t>XP_027439775.1&amp;XP_027439776.1</t>
  </si>
  <si>
    <t>XP_027439775.1, XP_027465713.1</t>
  </si>
  <si>
    <t>cAMP-dependent protein kinase catalytic subunit alpha isoform X1 [Zalophus californianus]</t>
  </si>
  <si>
    <t>XP_027439827.1 (+1)</t>
  </si>
  <si>
    <t>XP_027439827.1&amp;XP_027439829.1</t>
  </si>
  <si>
    <t>XP_027439827.1, XP_027470122.1</t>
  </si>
  <si>
    <t>angiopoietin-related protein 6 isoform X1 [Zalophus californianus]</t>
  </si>
  <si>
    <t>XP_027439831.1</t>
  </si>
  <si>
    <t>eukaryotic translation initiation factor 3 subunit G isoform X2 [Zalophus californianus]</t>
  </si>
  <si>
    <t>XP_027439861.1</t>
  </si>
  <si>
    <t>myeloid-derived growth factor [Zalophus californianus]</t>
  </si>
  <si>
    <t>XP_027439876.1 (+9)</t>
  </si>
  <si>
    <t>XP_027439876.1&amp;XP_027439877.1&amp;XP_027439878.1&amp;XP_027439879.1&amp;XP_027439882.1&amp;XP_027439883.1&amp;XP_027439884.1&amp;XP_027439885.1&amp;XP_027439887.1&amp;XP_027439888.1</t>
  </si>
  <si>
    <t>eukaryotic translation initiation factor 4 gamma 1 isoform X1 [Zalophus californianus]_x0001_XP_027439875.1 eukaryotic translation initiation factor 4 gamma 1 isoform X1 [Zalophus californianus]</t>
  </si>
  <si>
    <t>XP_027439900.1</t>
  </si>
  <si>
    <t>pyridoxal kinase [Zalophus californianus]</t>
  </si>
  <si>
    <t>XP_027439967.1</t>
  </si>
  <si>
    <t>60S ribosomal protein L32 [Zalophus californianus]_x0001_XP_027439966.1 60S ribosomal protein L32 [Zalophus californianus]</t>
  </si>
  <si>
    <t>XP_027439980.1 (+2)</t>
  </si>
  <si>
    <t>XP_027439980.1&amp;XP_027442687.1&amp;XP_027442688.1</t>
  </si>
  <si>
    <t>LOW QUALITY PROTEIN: succinate--CoA ligase [GDP-forming] subunit beta, mitochondrial-like [Zalophus californianus]</t>
  </si>
  <si>
    <t>XP_027440005.1</t>
  </si>
  <si>
    <t>DNA-directed RNA polymerases I, II, and III subunit RPABC3 [Zalophus californianus]</t>
  </si>
  <si>
    <t>XP_027440015.1</t>
  </si>
  <si>
    <t>XP_027440015.1, XP_027445174.1, XP_027464901.1</t>
  </si>
  <si>
    <t>plastin-1 [Zalophus californianus]_x0001_XP_027440014.1 plastin-1 [Zalophus californianus]_x0001_XP_027440012.1 plastin-1 [Zalophus californianus]_x0001_XP_027440011.1 plastin-1 [Zalophus californianus]</t>
  </si>
  <si>
    <t>XP_027440040.1</t>
  </si>
  <si>
    <t>retinol-binding protein 1 [Zalophus californianus]</t>
  </si>
  <si>
    <t>XP_027440066.1 (+1)</t>
  </si>
  <si>
    <t>XP_027440066.1&amp;XP_027440067.1</t>
  </si>
  <si>
    <t>carboxypeptidase B isoform X1 [Zalophus californianus]</t>
  </si>
  <si>
    <t>XP_027440087.1</t>
  </si>
  <si>
    <t>vitamin K-dependent protein S [Zalophus californianus]</t>
  </si>
  <si>
    <t>XP_027440103.1 (+3)</t>
  </si>
  <si>
    <t>XP_027440103.1&amp;XP_027440105.1&amp;XP_027440106.1&amp;XP_027440107.1</t>
  </si>
  <si>
    <t>A disintegrin and metalloproteinase with thrombospondin motifs 5 isoform X1 [Zalophus californianus]</t>
  </si>
  <si>
    <t>XP_027440131.1</t>
  </si>
  <si>
    <t>lymphocyte antigen 6H [Zalophus californianus]_x0001_XP_027440122.1 lymphocyte antigen 6H [Zalophus californianus]_x0001_XP_027440111.1 lymphocyte antigen 6H [Zalophus californianus]</t>
  </si>
  <si>
    <t>XP_027440140.1 (+1)</t>
  </si>
  <si>
    <t>XP_027440140.1&amp;XP_027440141.1</t>
  </si>
  <si>
    <t>phospholipid hydroperoxide glutathione peroxidase isoform X1 [Zalophus californianus]</t>
  </si>
  <si>
    <t>XP_027440158.1</t>
  </si>
  <si>
    <t>perilipin-4 isoform X1 [Zalophus californianus]</t>
  </si>
  <si>
    <t>XP_027440190.1 (+1)</t>
  </si>
  <si>
    <t>XP_027440190.1&amp;XP_027440191.1</t>
  </si>
  <si>
    <t>cyclic AMP-responsive element-binding protein 3-like protein 3 isoform X1 [Zalophus californianus]</t>
  </si>
  <si>
    <t>XP_027440197.1 (+1)</t>
  </si>
  <si>
    <t>XP_027440197.1&amp;XP_027440198.1</t>
  </si>
  <si>
    <t>endophilin-A2 isoform X1 [Zalophus californianus]</t>
  </si>
  <si>
    <t>XP_027440215.1</t>
  </si>
  <si>
    <t>troponin C, slow skeletal and cardiac muscles [Zalophus californianus]</t>
  </si>
  <si>
    <t>XP_027440218.1</t>
  </si>
  <si>
    <t>hematopoietic lineage cell-specific protein [Zalophus californianus]</t>
  </si>
  <si>
    <t>XP_027440258.1</t>
  </si>
  <si>
    <t>filaggrin-2 [Zalophus californianus]</t>
  </si>
  <si>
    <t>XP_027440266.1 (+3)</t>
  </si>
  <si>
    <t>XP_027440266.1&amp;XP_027440267.1&amp;XP_027440268.1&amp;XP_027440269.1</t>
  </si>
  <si>
    <t>XP_027440266.1, XP_027462679.1</t>
  </si>
  <si>
    <t>mannan-binding lectin serine protease 1 isoform X1 [Zalophus californianus]</t>
  </si>
  <si>
    <t>XP_027440368.1 (+2)</t>
  </si>
  <si>
    <t>XP_027440368.1&amp;XP_027440369.1&amp;XP_027440372.1</t>
  </si>
  <si>
    <t>Golgi integral membrane protein 4 isoform X1 [Zalophus californianus]</t>
  </si>
  <si>
    <t>XP_027440377.1</t>
  </si>
  <si>
    <t>unconventional myosin-If [Zalophus californianus]</t>
  </si>
  <si>
    <t>XP_027440395.1</t>
  </si>
  <si>
    <t>LOW QUALITY PROTEIN: ATP synthase subunit delta, mitochondrial [Zalophus californianus]</t>
  </si>
  <si>
    <t>XP_027440399.1 (+1)</t>
  </si>
  <si>
    <t>XP_027440399.1&amp;XP_027440400.1</t>
  </si>
  <si>
    <t>latexin isoform X1 [Zalophus californianus]_x0001_XP_027440398.1 latexin isoform X1 [Zalophus californianus]</t>
  </si>
  <si>
    <t>XP_027440515.1</t>
  </si>
  <si>
    <t>cartilage oligomeric matrix protein [Zalophus californianus]</t>
  </si>
  <si>
    <t>XP_027440570.1</t>
  </si>
  <si>
    <t>peptidyl-prolyl cis-trans isomerase NIMA-interacting 1 [Zalophus californianus]</t>
  </si>
  <si>
    <t>XP_027440587.1</t>
  </si>
  <si>
    <t>resistin [Zalophus californianus]</t>
  </si>
  <si>
    <t>XP_027440598.1 (+1)</t>
  </si>
  <si>
    <t>XP_027440598.1&amp;XP_027440599.1</t>
  </si>
  <si>
    <t>neprilysin isoform X1 [Zalophus californianus]_x0001_XP_027440597.1 neprilysin isoform X1 [Zalophus californianus]_x0001_XP_027440596.1 neprilysin isoform X1 [Zalophus californianus]_x0001_XP_027440595.1 neprilysin isoform X1 [Zalophus californianus]_x0001_XP_027440594.1 neprilysin isoform X1 [Zalophus californianus]</t>
  </si>
  <si>
    <t>XP_027440635.1 (+2)</t>
  </si>
  <si>
    <t>XP_027440635.1&amp;XP_027440636.1&amp;XP_027440637.1</t>
  </si>
  <si>
    <t>polypyrimidine tract-binding protein 1 isoform X1 [Zalophus californianus]</t>
  </si>
  <si>
    <t>XP_027440639.1</t>
  </si>
  <si>
    <t>leucine-rich alpha-2-glycoprotein [Zalophus californianus]</t>
  </si>
  <si>
    <t>XP_027440659.1</t>
  </si>
  <si>
    <t>multivesicular body subunit 12A [Zalophus californianus]</t>
  </si>
  <si>
    <t>XP_027440673.1 (+1)</t>
  </si>
  <si>
    <t>XP_027440673.1&amp;XP_027440674.1</t>
  </si>
  <si>
    <t>ICOS ligand isoform X4 [Zalophus californianus]</t>
  </si>
  <si>
    <t>XP_027440724.1</t>
  </si>
  <si>
    <t>actin-related protein 2/3 complex subunit 4 [Zalophus californianus]</t>
  </si>
  <si>
    <t>XP_027440773.1</t>
  </si>
  <si>
    <t>XP_027430512.1, XP_027430801.1, XP_027440773.1</t>
  </si>
  <si>
    <t>sucrase-isomaltase, intestinal isoform X1 [Zalophus californianus]</t>
  </si>
  <si>
    <t>XP_027440778.1</t>
  </si>
  <si>
    <t>deoxyribonuclease-2-alpha [Zalophus californianus]</t>
  </si>
  <si>
    <t>XP_027440792.1 (+1)</t>
  </si>
  <si>
    <t>XP_027440792.1&amp;XP_027440794.1</t>
  </si>
  <si>
    <t>aminoacylase-1 isoform X1 [Zalophus californianus]</t>
  </si>
  <si>
    <t>XP_027440797.1</t>
  </si>
  <si>
    <t>protein ABHD14B [Zalophus californianus]</t>
  </si>
  <si>
    <t>XP_027440829.1</t>
  </si>
  <si>
    <t>DNA polymerase theta [Zalophus californianus]</t>
  </si>
  <si>
    <t>XP_027440832.1 (+1)</t>
  </si>
  <si>
    <t>XP_027440832.1&amp;XP_027440833.1</t>
  </si>
  <si>
    <t>cytochrome b-c1 complex subunit 1, mitochondrial isoform X1 [Zalophus californianus]</t>
  </si>
  <si>
    <t>XP_027440854.1</t>
  </si>
  <si>
    <t>XP_027440854.1, XP_027448848.1</t>
  </si>
  <si>
    <t>ADP-ribosylation factor 4 [Zalophus californianus]</t>
  </si>
  <si>
    <t>XP_027440857.1 (+1)</t>
  </si>
  <si>
    <t>XP_027440857.1&amp;XP_027440858.1</t>
  </si>
  <si>
    <t>mucosal addressin cell adhesion molecule 1 isoform X1 [Zalophus californianus]</t>
  </si>
  <si>
    <t>XP_027440870.1</t>
  </si>
  <si>
    <t>nuclear pore membrane glycoprotein 210 isoform X1 [Zalophus californianus]</t>
  </si>
  <si>
    <t>XP_027440893.1</t>
  </si>
  <si>
    <t>dystroglycan isoform X1 [Zalophus californianus]_x0001_XP_027440892.1 dystroglycan isoform X1 [Zalophus californianus]_x0001_XP_027440891.1 dystroglycan isoform X1 [Zalophus californianus]</t>
  </si>
  <si>
    <t>XP_027440917.1</t>
  </si>
  <si>
    <t>CD320 antigen [Zalophus californianus]</t>
  </si>
  <si>
    <t>XP_027440919.1 (+2)</t>
  </si>
  <si>
    <t>XP_027440919.1&amp;XP_027440920.1&amp;XP_027440921.1</t>
  </si>
  <si>
    <t>CD209 antigen isoform X1 [Zalophus californianus]</t>
  </si>
  <si>
    <t>XP_027440931.1</t>
  </si>
  <si>
    <t>LOW QUALITY PROTEIN: transcription factor BTF3-like [Zalophus californianus]</t>
  </si>
  <si>
    <t>XP_027440935.1</t>
  </si>
  <si>
    <t>acetolactate synthase-like protein [Zalophus californianus]</t>
  </si>
  <si>
    <t>XP_027440944.1</t>
  </si>
  <si>
    <t>chloride intracellular channel protein 6 [Zalophus californianus]</t>
  </si>
  <si>
    <t>XP_027440945.1</t>
  </si>
  <si>
    <t>S-phase kinase-associated protein 1 [Zalophus californianus]_x0001_XP_027460112.1 S-phase kinase-associated protein 1 [Zalophus californianus]</t>
  </si>
  <si>
    <t>XP_027440954.1</t>
  </si>
  <si>
    <t>coatomer subunit epsilon [Zalophus californianus]</t>
  </si>
  <si>
    <t>XP_027440973.1</t>
  </si>
  <si>
    <t>tetranectin [Zalophus californianus]</t>
  </si>
  <si>
    <t>XP_027441000.1 (+1)</t>
  </si>
  <si>
    <t>XP_027441000.1&amp;XP_027441001.1</t>
  </si>
  <si>
    <t>CD166 antigen isoform X1 [Zalophus californianus]</t>
  </si>
  <si>
    <t>XP_027441020.1</t>
  </si>
  <si>
    <t>guanine nucleotide-binding protein G(i) subunit alpha-2 [Zalophus californianus]</t>
  </si>
  <si>
    <t>XP_027441032.1</t>
  </si>
  <si>
    <t>A disintegrin and metalloproteinase with thrombospondin motifs 1 [Zalophus californianus]</t>
  </si>
  <si>
    <t>XP_027441041.1 (+1)</t>
  </si>
  <si>
    <t>XP_027441041.1&amp;XP_027441043.1</t>
  </si>
  <si>
    <t>far upstream element-binding protein 2 isoform X1 [Zalophus californianus]</t>
  </si>
  <si>
    <t>XP_027441063.1</t>
  </si>
  <si>
    <t>caspase-14 [Zalophus californianus]</t>
  </si>
  <si>
    <t>XP_027441135.1</t>
  </si>
  <si>
    <t>mucin-13 [Zalophus californianus]</t>
  </si>
  <si>
    <t>XP_027441176.1 (+2)</t>
  </si>
  <si>
    <t>XP_027441176.1&amp;XP_027441177.1&amp;XP_027441178.1</t>
  </si>
  <si>
    <t>interleukin-1 receptor accessory protein isoform X1 [Zalophus californianus]</t>
  </si>
  <si>
    <t>XP_027441182.1</t>
  </si>
  <si>
    <t>leucine-rich repeat-containing protein 15 [Zalophus californianus]</t>
  </si>
  <si>
    <t>XP_027441216.1 (+5)</t>
  </si>
  <si>
    <t>XP_027441216.1&amp;XP_027441217.1&amp;XP_027441218.1&amp;XP_027441219.1&amp;XP_027441220.1&amp;XP_027441221.1</t>
  </si>
  <si>
    <t>limbic system-associated membrane protein isoform X1 [Zalophus californianus]</t>
  </si>
  <si>
    <t>XP_027441248.1 (+1)</t>
  </si>
  <si>
    <t>XP_027441248.1&amp;XP_027441250.1</t>
  </si>
  <si>
    <t>basic helix-loop-helix domain-containing protein USF3 isoform X1 [Zalophus californianus]_x0001_XP_027441247.1 basic helix-loop-helix domain-containing protein USF3 isoform X1 [Zalophus californianus]_x0001_XP_027441246.1 basic helix-loop-helix domain-containing protein USF3 isoform X1 [Zalophus californianus]</t>
  </si>
  <si>
    <t>XP_027441282.1</t>
  </si>
  <si>
    <t>NADH dehydrogenase [ubiquinone] 1 alpha subcomplex subunit 7 [Zalophus californianus]</t>
  </si>
  <si>
    <t>XP_027441283.1</t>
  </si>
  <si>
    <t>40S ribosomal protein S28 [Zalophus californianus]</t>
  </si>
  <si>
    <t>XP_027441316.1</t>
  </si>
  <si>
    <t>cathelicidin antimicrobial peptide [Zalophus californianus]</t>
  </si>
  <si>
    <t>XP_027441332.1</t>
  </si>
  <si>
    <t>acyl-CoA dehydrogenase family member 9, mitochondrial [Zalophus californianus]</t>
  </si>
  <si>
    <t>XP_027441464.1</t>
  </si>
  <si>
    <t>catenin beta-1 [Zalophus californianus]_x0001_XP_027441463.1 catenin beta-1 [Zalophus californianus]_x0001_XP_027441462.1 catenin beta-1 [Zalophus californianus]</t>
  </si>
  <si>
    <t>XP_027441474.1 (+1)</t>
  </si>
  <si>
    <t>XP_027441474.1&amp;XP_027441475.1</t>
  </si>
  <si>
    <t>alpha-2-HS-glycoprotein isoform X1 [Zalophus californianus]</t>
  </si>
  <si>
    <t>XP_027441582.1</t>
  </si>
  <si>
    <t>glycerol-3-phosphate dehydrogenase 1-like protein [Zalophus californianus]</t>
  </si>
  <si>
    <t>XP_027441630.1</t>
  </si>
  <si>
    <t>XP_027441630.1, XP_027444006.1, XP_027448342.1</t>
  </si>
  <si>
    <t>myosin light chain 3 isoform X2 [Zalophus californianus]</t>
  </si>
  <si>
    <t>XP_027441657.1</t>
  </si>
  <si>
    <t>XP_027441657.1, XP_027471976.1</t>
  </si>
  <si>
    <t>guanine nucleotide-binding protein subunit alpha-11 [Zalophus californianus]</t>
  </si>
  <si>
    <t>XP_027441677.1</t>
  </si>
  <si>
    <t>cytosolic 10-formyltetrahydrofolate dehydrogenase isoform X1 [Zalophus californianus]</t>
  </si>
  <si>
    <t>XP_027441735.1 (+3)</t>
  </si>
  <si>
    <t>XP_027441735.1&amp;XP_027441736.1&amp;XP_027441737.1&amp;XP_027441738.1</t>
  </si>
  <si>
    <t>glutaryl-CoA dehydrogenase, mitochondrial isoform X1 [Zalophus californianus]</t>
  </si>
  <si>
    <t>XP_027441747.1</t>
  </si>
  <si>
    <t>cystatin-A [Zalophus californianus]</t>
  </si>
  <si>
    <t>XP_027441748.1 (+1)</t>
  </si>
  <si>
    <t>XP_027441748.1&amp;XP_027441749.1</t>
  </si>
  <si>
    <t>LIM and cysteine-rich domains protein 1 isoform X1 [Zalophus californianus]</t>
  </si>
  <si>
    <t>XP_027441761.1 (+1)</t>
  </si>
  <si>
    <t>XP_027441761.1&amp;XP_027441762.1</t>
  </si>
  <si>
    <t>complement factor D isoform X1 [Zalophus californianus]</t>
  </si>
  <si>
    <t>XP_027441778.1</t>
  </si>
  <si>
    <t>coatomer subunit gamma-1 [Zalophus californianus]</t>
  </si>
  <si>
    <t>XP_027441779.1</t>
  </si>
  <si>
    <t>trefoil factor 3 [Zalophus californianus]</t>
  </si>
  <si>
    <t>XP_027441802.1</t>
  </si>
  <si>
    <t>neural cell adhesion molecule L1-like protein isoform X1 [Zalophus californianus]_x0001_XP_027441801.1 neural cell adhesion molecule L1-like protein isoform X1 [Zalophus californianus]_x0001_XP_027441800.1 neural cell adhesion molecule L1-like protein isoform X1 [Zalophus californianus]_x0001_XP_027441799.1 neural cell adhesion molecule L1-like protein isoform X1 [Zalophus californianus]_x0001_XP_027441798.1 neural cell adhesion molecule L1-like protein isoform X1 [Zalophus californianus]_x0001_XP_027441797.1 neural cell adhesion molecule L1-like protein isoform X1 [Zalophus californianus]_x0001_XP_027441796.1 neural cell adhesion molecule L1-like protein isoform X1 [Zalophus californianus]_x0001_XP_027441795.1 neural cell adhesion molecule L1-like protein isoform X1 [Zalophus californianus]_x0001_XP_027441794.1 neural cell adhesion molecule L1-like protein isoform X1 [Zalophus californianus]_x0001_XP_027441793.1 neural cell adhesion molecule L1-like protein isoform X1 [Zalophus californianus]_x0001_XP_027441792.1 neural cell adhesion molecule L1-like protein isoform X1 [Zalophus californianus]_x0001_XP_027441791.1 neural cell adhesion molecule L1-like protein isoform X1 [Zalophus californianus]_x0001_XP_027441790.1 neural cell adhesion molecule L1-like protein isoform X1 [Zalophus californianus]_x0001_XP_027441789.1 neural cell adhesion molecule L1-like protein isoform X1 [Zalophus californianus]_x0001_XP_027441788.1 neural cell adhesion molecule L1-like protein isoform X1 [Zalophus californianus]_x0001_XP_027441787.1 neural cell adhesion molecule L1-like protein isoform X1 [Zalophus californianus]</t>
  </si>
  <si>
    <t>XP_027441855.1 (+1)</t>
  </si>
  <si>
    <t>XP_027441855.1&amp;XP_027441856.1</t>
  </si>
  <si>
    <t>twinfilin-2 isoform X2 [Zalophus californianus]</t>
  </si>
  <si>
    <t>XP_027441861.1 (+4)</t>
  </si>
  <si>
    <t>XP_027441861.1&amp;XP_027441862.1&amp;XP_027441863.1&amp;XP_027441864.1&amp;XP_027441865.1</t>
  </si>
  <si>
    <t>lysosome-associated membrane glycoprotein 3 isoform X1 [Zalophus californianus]</t>
  </si>
  <si>
    <t>XP_027441900.1</t>
  </si>
  <si>
    <t>XP_027441900.1, XP_027441901.1</t>
  </si>
  <si>
    <t>collagen alpha-2(VI) chain isoform X1 [Zalophus californianus]</t>
  </si>
  <si>
    <t>XP_027441901.1</t>
  </si>
  <si>
    <t>collagen alpha-2(VI) chain isoform X2 [Zalophus californianus]</t>
  </si>
  <si>
    <t>XP_027441910.1</t>
  </si>
  <si>
    <t>superoxide dismutase [Cu-Zn] [Zalophus californianus]</t>
  </si>
  <si>
    <t>XP_027441922.1 (+1)</t>
  </si>
  <si>
    <t>XP_027441922.1&amp;XP_027441923.1</t>
  </si>
  <si>
    <t>N-acetylmuramoyl-L-alanine amidase isoform X1 [Zalophus californianus]</t>
  </si>
  <si>
    <t>XP_027441932.1 (+8)</t>
  </si>
  <si>
    <t>XP_027441932.1&amp;XP_027441933.1&amp;XP_027441934.1&amp;XP_027441935.1&amp;XP_027441936.1&amp;XP_027442094.1&amp;XP_027461845.1&amp;XP_027461846.1&amp;XP_027479992.1</t>
  </si>
  <si>
    <t>ras-related protein Rab-3D isoform X1 [Zalophus californianus]_x0001_XP_027441931.1 ras-related protein Rab-3D isoform X1 [Zalophus californianus]</t>
  </si>
  <si>
    <t>XP_027442003.1</t>
  </si>
  <si>
    <t>ras-related protein Rab-7a [Zalophus californianus]_x0001_XP_027442002.1 ras-related protein Rab-7a [Zalophus californianus]</t>
  </si>
  <si>
    <t>XP_027442052.1 (+1)</t>
  </si>
  <si>
    <t>XP_027442052.1&amp;XP_027442054.1</t>
  </si>
  <si>
    <t>hyaluronidase-1 isoform X1 [Zalophus californianus]_x0001_XP_027442051.1 hyaluronidase-1 isoform X1 [Zalophus californianus]_x0001_XP_027442050.1 hyaluronidase-1 isoform X1 [Zalophus californianus]</t>
  </si>
  <si>
    <t>XP_027442093.1</t>
  </si>
  <si>
    <t>calmodulin regulator protein PCP4 [Zalophus californianus]</t>
  </si>
  <si>
    <t>XP_027442100.1 (+3)</t>
  </si>
  <si>
    <t>XP_027442100.1&amp;XP_027442101.1&amp;XP_027442102.1&amp;XP_027442103.1</t>
  </si>
  <si>
    <t>collagen alpha-3(V) chain isoform X1 [Zalophus californianus]</t>
  </si>
  <si>
    <t>XP_027442107.1</t>
  </si>
  <si>
    <t>trefoil factor 2 [Zalophus californianus]</t>
  </si>
  <si>
    <t>XP_027442108.1</t>
  </si>
  <si>
    <t>trefoil factor 1 [Zalophus californianus]</t>
  </si>
  <si>
    <t>XP_027442179.1 (+1)</t>
  </si>
  <si>
    <t>XP_027442179.1&amp;XP_027442181.1</t>
  </si>
  <si>
    <t>XP_027442179.1, XP_027451215.1</t>
  </si>
  <si>
    <t>ATP-dependent 6-phosphofructokinase, liver type isoform X1 [Zalophus californianus]</t>
  </si>
  <si>
    <t>XP_027442183.1</t>
  </si>
  <si>
    <t>26S proteasome non-ATPase regulatory subunit 2 [Zalophus californianus]</t>
  </si>
  <si>
    <t>XP_027442227.1 (+5)</t>
  </si>
  <si>
    <t>XP_027442227.1&amp;XP_027442229.1&amp;XP_027442230.1&amp;XP_027442231.1&amp;XP_027442235.1&amp;XP_027442236.1</t>
  </si>
  <si>
    <t>brother of CDO isoform X1 [Zalophus californianus]</t>
  </si>
  <si>
    <t>XP_027442277.1 (+1)</t>
  </si>
  <si>
    <t>XP_027442277.1&amp;XP_027442278.1</t>
  </si>
  <si>
    <t>procollagen-lysine,2-oxoglutarate 5-dioxygenase 2 isoform X1 [Zalophus californianus]</t>
  </si>
  <si>
    <t>XP_027442282.1 (+1)</t>
  </si>
  <si>
    <t>XP_027442282.1&amp;XP_027442284.1</t>
  </si>
  <si>
    <t>formylglycine-generating enzyme isoform X1 [Zalophus californianus]</t>
  </si>
  <si>
    <t>XP_027442329.1 (+1)</t>
  </si>
  <si>
    <t>XP_027442329.1&amp;XP_027442339.1</t>
  </si>
  <si>
    <t>multimerin-2 isoform X1 [Zalophus californianus]_x0001_XP_027442320.1 multimerin-2 isoform X1 [Zalophus californianus]_x0001_XP_027442316.1 multimerin-2 isoform X1 [Zalophus californianus]</t>
  </si>
  <si>
    <t>XP_027442344.1 (+1)</t>
  </si>
  <si>
    <t>XP_027442344.1&amp;XP_027442345.1</t>
  </si>
  <si>
    <t>inter-alpha-trypsin inhibitor heavy chain H1 isoform X1 [Zalophus californianus]</t>
  </si>
  <si>
    <t>XP_027442361.1 (+1)</t>
  </si>
  <si>
    <t>XP_027442361.1&amp;XP_027442362.1</t>
  </si>
  <si>
    <t>XP_027442361.1, XP_027471298.1</t>
  </si>
  <si>
    <t>UV excision repair protein RAD23 homolog A isoform X1 [Zalophus californianus]</t>
  </si>
  <si>
    <t>XP_027442387.1</t>
  </si>
  <si>
    <t>inter-alpha-trypsin inhibitor heavy chain H3 [Zalophus californianus]</t>
  </si>
  <si>
    <t>XP_027442399.1 (+3)</t>
  </si>
  <si>
    <t>XP_027442399.1&amp;XP_027442404.1&amp;XP_027442422.1&amp;XP_027442432.1</t>
  </si>
  <si>
    <t>LIM domain-binding protein 3 isoform X3 [Zalophus californianus]</t>
  </si>
  <si>
    <t>XP_027442413.1</t>
  </si>
  <si>
    <t>histone H1x [Zalophus californianus]</t>
  </si>
  <si>
    <t>XP_027442441.1</t>
  </si>
  <si>
    <t>LOW QUALITY PROTEIN: SH3 domain-binding glutamic acid-rich protein [Zalophus californianus]</t>
  </si>
  <si>
    <t>XP_027442454.1 (+1)</t>
  </si>
  <si>
    <t>XP_027442454.1&amp;XP_027442455.1</t>
  </si>
  <si>
    <t>microtubule-associated protein 1S isoform X1 [Zalophus californianus]</t>
  </si>
  <si>
    <t>XP_027442462.1</t>
  </si>
  <si>
    <t>glutathione peroxidase 1 [Zalophus californianus]</t>
  </si>
  <si>
    <t>XP_027442501.1</t>
  </si>
  <si>
    <t>peroxiredoxin-2 [Zalophus californianus]</t>
  </si>
  <si>
    <t>XP_027442510.1</t>
  </si>
  <si>
    <t>uroplakin-1b [Zalophus californianus]</t>
  </si>
  <si>
    <t>XP_027442515.1 (+1)</t>
  </si>
  <si>
    <t>XP_027442515.1&amp;XP_027442516.1</t>
  </si>
  <si>
    <t>fibulin-2 isoform X1 [Zalophus californianus]</t>
  </si>
  <si>
    <t>XP_027442550.1</t>
  </si>
  <si>
    <t>dolichyl-diphosphooligosaccharide--protein glycosyltransferase subunit 1 [Zalophus californianus]</t>
  </si>
  <si>
    <t>XP_027442577.1 (+4)</t>
  </si>
  <si>
    <t>XP_027442577.1&amp;XP_027442578.1&amp;XP_027442579.1&amp;XP_027442580.1&amp;XP_027442581.1</t>
  </si>
  <si>
    <t>leucine-rich repeats and immunoglobulin-like domains protein 1 isoform X1 [Zalophus californianus]</t>
  </si>
  <si>
    <t>XP_027442589.1</t>
  </si>
  <si>
    <t>60S ribosomal protein L29 [Zalophus californianus]</t>
  </si>
  <si>
    <t>XP_027442590.1</t>
  </si>
  <si>
    <t>collagen alpha-1(VI) chain [Zalophus californianus]</t>
  </si>
  <si>
    <t>XP_027442622.1</t>
  </si>
  <si>
    <t>myopalladin [Zalophus californianus]</t>
  </si>
  <si>
    <t>XP_027442623.1 (+1)</t>
  </si>
  <si>
    <t>XP_027442623.1&amp;XP_027442624.1</t>
  </si>
  <si>
    <t>lysosomal alpha-mannosidase isoform X1 [Zalophus californianus]</t>
  </si>
  <si>
    <t>XP_027442628.1</t>
  </si>
  <si>
    <t>T-complex protein 1 subunit theta [Zalophus californianus]</t>
  </si>
  <si>
    <t>XP_027442636.1</t>
  </si>
  <si>
    <t>retinoic acid receptor responder protein 1 [Zalophus californianus]</t>
  </si>
  <si>
    <t>XP_027442637.1</t>
  </si>
  <si>
    <t>carboxypeptidase N subunit 2 [Zalophus californianus]</t>
  </si>
  <si>
    <t>XP_027442719.1</t>
  </si>
  <si>
    <t>neurogenic locus notch homolog protein 3 [Zalophus californianus]</t>
  </si>
  <si>
    <t>XP_027442725.1</t>
  </si>
  <si>
    <t>solute carrier family 15 member 2 [Zalophus californianus]</t>
  </si>
  <si>
    <t>XP_027442793.1 (+3)</t>
  </si>
  <si>
    <t>XP_027442793.1&amp;XP_027442794.1&amp;XP_027442795.1&amp;XP_027442796.1</t>
  </si>
  <si>
    <t>ceruloplasmin isoform X1 [Zalophus californianus]</t>
  </si>
  <si>
    <t>XP_027442815.1</t>
  </si>
  <si>
    <t>follistatin-related protein 1 [Zalophus californianus]</t>
  </si>
  <si>
    <t>XP_027442819.1</t>
  </si>
  <si>
    <t>leucine-rich repeat neuronal protein 1 [Zalophus californianus]_x0001_XP_027442818.1 leucine-rich repeat neuronal protein 1 [Zalophus californianus]</t>
  </si>
  <si>
    <t>XP_027442828.1</t>
  </si>
  <si>
    <t>adiponectin [Zalophus californianus]_x0001_XP_027442826.1 adiponectin [Zalophus californianus]_x0001_XP_027442825.1 adiponectin [Zalophus californianus]_x0001_XP_027442824.1 adiponectin [Zalophus californianus]</t>
  </si>
  <si>
    <t>XP_027442843.1 (+1)</t>
  </si>
  <si>
    <t>XP_027442843.1&amp;XP_027442845.1</t>
  </si>
  <si>
    <t>protein kinase C delta type isoform X3 [Zalophus californianus]</t>
  </si>
  <si>
    <t>XP_027442848.1</t>
  </si>
  <si>
    <t>hsp90 co-chaperone Cdc37 [Zalophus californianus]</t>
  </si>
  <si>
    <t>XP_027442868.1</t>
  </si>
  <si>
    <t>basigin [Zalophus californianus]</t>
  </si>
  <si>
    <t>XP_027442871.1</t>
  </si>
  <si>
    <t>ATP synthase subunit O, mitochondrial isoform X1 [Zalophus californianus]</t>
  </si>
  <si>
    <t>XP_027442873.1</t>
  </si>
  <si>
    <t>solute carrier family 22 member 13 [Zalophus californianus]</t>
  </si>
  <si>
    <t>XP_027442907.1 (+4)</t>
  </si>
  <si>
    <t>XP_027442907.1&amp;XP_027442908.1&amp;XP_027442910.1&amp;XP_027442911.1&amp;XP_027442912.1</t>
  </si>
  <si>
    <t>OX-2 membrane glycoprotein-like isoform X1 [Zalophus californianus]</t>
  </si>
  <si>
    <t>XP_027442913.1 (+1)</t>
  </si>
  <si>
    <t>XP_027442913.1&amp;XP_027442914.1</t>
  </si>
  <si>
    <t>XP_027442968.1</t>
  </si>
  <si>
    <t>cytochrome c oxidase copper chaperone [Zalophus californianus]</t>
  </si>
  <si>
    <t>XP_027443010.1</t>
  </si>
  <si>
    <t>glucosidase 2 subunit beta [Zalophus californianus]</t>
  </si>
  <si>
    <t>XP_027443046.1</t>
  </si>
  <si>
    <t>fetuin-B [Zalophus californianus]</t>
  </si>
  <si>
    <t>XP_027443047.1 (+1)</t>
  </si>
  <si>
    <t>XP_027443047.1&amp;XP_027443048.1</t>
  </si>
  <si>
    <t>ruvB-like 1 isoform X1 [Zalophus californianus]</t>
  </si>
  <si>
    <t>XP_027443054.1 (+1)</t>
  </si>
  <si>
    <t>XP_027443054.1&amp;XP_027443056.1</t>
  </si>
  <si>
    <t>omega-amidase NIT2 isoform X1 [Zalophus californianus]</t>
  </si>
  <si>
    <t>XP_027443079.1 (+7)</t>
  </si>
  <si>
    <t>XP_027443079.1&amp;XP_027443080.1&amp;XP_027443081.1&amp;XP_027443083.1&amp;XP_027443084.1&amp;XP_027443085.1&amp;XP_027443086.1&amp;XP_027443087.1</t>
  </si>
  <si>
    <t>dynamin-2 isoform X1 [Zalophus californianus]</t>
  </si>
  <si>
    <t>XP_027443116.1 (+1)</t>
  </si>
  <si>
    <t>XP_027443116.1&amp;XP_027443119.1</t>
  </si>
  <si>
    <t>integrin beta-2 isoform X1 [Zalophus californianus]</t>
  </si>
  <si>
    <t>XP_027443146.1 (+2)</t>
  </si>
  <si>
    <t>XP_027443146.1&amp;XP_027443155.1&amp;XP_027443158.1</t>
  </si>
  <si>
    <t>lipoma-preferred partner isoform X1 [Zalophus californianus]_x0001_XP_027443145.1 lipoma-preferred partner isoform X1 [Zalophus californianus]_x0001_XP_027443144.1 lipoma-preferred partner isoform X1 [Zalophus californianus]_x0001_XP_027443143.1 lipoma-preferred partner isoform X1 [Zalophus californianus]_x0001_XP_027443142.1 lipoma-preferred partner isoform X1 [Zalophus californianus]_x0001_XP_027443141.1 lipoma-preferred partner isoform X1 [Zalophus californianus]_x0001_XP_027443140.1 lipoma-preferred partner isoform X1 [Zalophus californianus]</t>
  </si>
  <si>
    <t>XP_027443170.1 (+1)</t>
  </si>
  <si>
    <t>XP_027443170.1&amp;XP_027443171.1</t>
  </si>
  <si>
    <t>xylulose kinase isoform X1 [Zalophus californianus]_x0001_XP_027443169.1 xylulose kinase isoform X1 [Zalophus californianus]</t>
  </si>
  <si>
    <t>XP_027443195.1 (+3)</t>
  </si>
  <si>
    <t>XP_027443195.1&amp;XP_027443205.1&amp;XP_027443212.1&amp;XP_027443221.1</t>
  </si>
  <si>
    <t>myoferlin isoform X1 [Zalophus californianus]</t>
  </si>
  <si>
    <t>XP_027443197.1</t>
  </si>
  <si>
    <t>collagen alpha-1(VII) chain [Zalophus californianus]</t>
  </si>
  <si>
    <t>XP_027443264.1 (+4)</t>
  </si>
  <si>
    <t>XP_027443264.1&amp;XP_027443265.1&amp;XP_027443266.1&amp;XP_027443267.1&amp;XP_027443268.1</t>
  </si>
  <si>
    <t>receptor-type tyrosine-protein phosphatase gamma isoform X1 [Zalophus californianus]</t>
  </si>
  <si>
    <t>XP_027443290.1 (+1)</t>
  </si>
  <si>
    <t>XP_027443290.1&amp;XP_027443291.1</t>
  </si>
  <si>
    <t>cholinesterase isoform X1 [Zalophus californianus]</t>
  </si>
  <si>
    <t>XP_027443326.1</t>
  </si>
  <si>
    <t>carbonyl reductase [NADPH] 3 [Zalophus californianus]</t>
  </si>
  <si>
    <t>XP_027443383.1</t>
  </si>
  <si>
    <t>calponin-2 [Zalophus californianus]</t>
  </si>
  <si>
    <t>XP_027443397.1</t>
  </si>
  <si>
    <t>methylthioribose-1-phosphate isomerase [Zalophus californianus]_x0001_XP_027443395.1 methylthioribose-1-phosphate isomerase [Zalophus californianus]</t>
  </si>
  <si>
    <t>XP_027443401.1</t>
  </si>
  <si>
    <t>calreticulin [Zalophus californianus]</t>
  </si>
  <si>
    <t>XP_027443411.1</t>
  </si>
  <si>
    <t>retinol-binding protein 2 [Zalophus californianus]</t>
  </si>
  <si>
    <t>XP_027443471.1 (+1)</t>
  </si>
  <si>
    <t>XP_027443471.1&amp;XP_027443472.1</t>
  </si>
  <si>
    <t>neuroserpin isoform X1 [Zalophus californianus]</t>
  </si>
  <si>
    <t>XP_027443479.1</t>
  </si>
  <si>
    <t>XP_027439418.1, XP_027443479.1</t>
  </si>
  <si>
    <t>lactotransferrin [Zalophus californianus]</t>
  </si>
  <si>
    <t>XP_027443498.1</t>
  </si>
  <si>
    <t>serine/threonine-protein kinase PAK 2 isoform X1 [Zalophus californianus]</t>
  </si>
  <si>
    <t>XP_027443544.1 (+1)</t>
  </si>
  <si>
    <t>XP_027443544.1&amp;XP_027443545.1</t>
  </si>
  <si>
    <t>ephrin type-B receptor 3 isoform X1 [Zalophus californianus]</t>
  </si>
  <si>
    <t>XP_027443553.1</t>
  </si>
  <si>
    <t>follistatin-related protein 3 [Zalophus californianus]</t>
  </si>
  <si>
    <t>XP_027443554.1</t>
  </si>
  <si>
    <t>mucin-4 isoform X1 [Zalophus californianus]</t>
  </si>
  <si>
    <t>XP_027443566.1</t>
  </si>
  <si>
    <t>60S ribosomal protein L14 [Zalophus californianus]</t>
  </si>
  <si>
    <t>XP_027443581.1 (+1)</t>
  </si>
  <si>
    <t>XP_027443581.1&amp;XP_027443582.1</t>
  </si>
  <si>
    <t>6-phosphogluconolactonase isoform X1 [Zalophus californianus]</t>
  </si>
  <si>
    <t>XP_027443600.1</t>
  </si>
  <si>
    <t>procollagen C-endopeptidase enhancer 2 [Zalophus californianus]</t>
  </si>
  <si>
    <t>XP_027443623.1</t>
  </si>
  <si>
    <t>V-type proton ATPase catalytic subunit A [Zalophus californianus]_x0001_XP_027443622.1 V-type proton ATPase catalytic subunit A [Zalophus californianus]_x0001_XP_027443621.1 V-type proton ATPase catalytic subunit A [Zalophus californianus]</t>
  </si>
  <si>
    <t>XP_027443651.1 (+2)</t>
  </si>
  <si>
    <t>XP_027443651.1&amp;XP_027443652.1&amp;XP_027443653.1</t>
  </si>
  <si>
    <t>sodium- and chloride-dependent transporter XTRP3 isoform X1 [Zalophus californianus]</t>
  </si>
  <si>
    <t>XP_027443654.1</t>
  </si>
  <si>
    <t>cartilage intermediate layer protein 2 [Zalophus californianus]</t>
  </si>
  <si>
    <t>XP_027443693.1</t>
  </si>
  <si>
    <t>growth/differentiation factor 15 [Zalophus californianus]</t>
  </si>
  <si>
    <t>XP_027443734.1</t>
  </si>
  <si>
    <t>clarin-3 [Zalophus californianus]</t>
  </si>
  <si>
    <t>XP_027443742.1</t>
  </si>
  <si>
    <t>4-hydroxy-2-oxoglutarate aldolase, mitochondrial isoform X1 [Zalophus californianus]</t>
  </si>
  <si>
    <t>XP_027443765.1</t>
  </si>
  <si>
    <t>olfactomedin-4 [Zalophus californianus]</t>
  </si>
  <si>
    <t>XP_027443796.1 (+1)</t>
  </si>
  <si>
    <t>XP_027443796.1&amp;XP_027443797.1</t>
  </si>
  <si>
    <t>coagulation factor X isoform X1 [Zalophus californianus]</t>
  </si>
  <si>
    <t>XP_027443807.1 (+2)</t>
  </si>
  <si>
    <t>XP_027443807.1&amp;XP_027443808.1&amp;XP_027443809.1</t>
  </si>
  <si>
    <t>macrophage receptor MARCO isoform X1 [Zalophus californianus]</t>
  </si>
  <si>
    <t>XP_027443827.1</t>
  </si>
  <si>
    <t>intestinal-type alkaline phosphatase [Zalophus californianus]</t>
  </si>
  <si>
    <t>XP_027443900.1</t>
  </si>
  <si>
    <t>collagen alpha-3(VI) chain isoform X1 [Zalophus californianus]_x0001_XP_027443899.1 collagen alpha-3(VI) chain isoform X1 [Zalophus californianus]_x0001_XP_027443897.1 collagen alpha-3(VI) chain isoform X1 [Zalophus californianus]_x0001_XP_027443896.1 collagen alpha-3(VI) chain isoform X1 [Zalophus californianus]_x0001_XP_027443895.1 collagen alpha-3(VI) chain isoform X1 [Zalophus californianus]_x0001_XP_027443894.1 collagen alpha-3(VI) chain isoform X1 [Zalophus californianus]</t>
  </si>
  <si>
    <t>XP_027443934.1 (+2)</t>
  </si>
  <si>
    <t>XP_027443934.1&amp;XP_027443935.1&amp;XP_027443942.1</t>
  </si>
  <si>
    <t>gamma-glutamylaminecyclotransferase isoform X1 [Zalophus californianus]_x0001_XP_027443933.1 gamma-glutamylaminecyclotransferase isoform X1 [Zalophus californianus]_x0001_XP_027443932.1 gamma-glutamylaminecyclotransferase isoform X1 [Zalophus californianus]</t>
  </si>
  <si>
    <t>XP_027444006.1</t>
  </si>
  <si>
    <t>XP_027441630.1, XP_027444006.1, XP_027446567.1, XP_027448342.1</t>
  </si>
  <si>
    <t>myosin light chain 1/3, skeletal muscle isoform isoform X1 [Zalophus californianus]</t>
  </si>
  <si>
    <t>XP_027444018.1</t>
  </si>
  <si>
    <t>inhibin alpha chain [Zalophus californianus]</t>
  </si>
  <si>
    <t>XP_027444026.1</t>
  </si>
  <si>
    <t>BTB/POZ domain-containing protein KCTD12 [Zalophus californianus]</t>
  </si>
  <si>
    <t>XP_027444038.1 (+1)</t>
  </si>
  <si>
    <t>XP_027444038.1&amp;XP_027444039.1</t>
  </si>
  <si>
    <t>tissue factor pathway inhibitor isoform X1 [Zalophus californianus]_x0001_XP_027444037.1 tissue factor pathway inhibitor isoform X1 [Zalophus californianus]_x0001_XP_027444036.1 tissue factor pathway inhibitor isoform X1 [Zalophus californianus]</t>
  </si>
  <si>
    <t>XP_027444081.1</t>
  </si>
  <si>
    <t>splicing factor 3B subunit 1 isoform X1 [Zalophus californianus]</t>
  </si>
  <si>
    <t>XP_027444116.1 (+3)</t>
  </si>
  <si>
    <t>XP_027444116.1&amp;XP_027444117.1&amp;XP_027444118.1&amp;XP_027444119.1</t>
  </si>
  <si>
    <t>lysosome-associated membrane glycoprotein 1 isoform X1 [Zalophus californianus]</t>
  </si>
  <si>
    <t>XP_027444172.1</t>
  </si>
  <si>
    <t>translationally-controlled tumor protein [Zalophus californianus]</t>
  </si>
  <si>
    <t>XP_027444278.1 (+2)</t>
  </si>
  <si>
    <t>XP_027444278.1&amp;XP_027444280.1&amp;XP_027444281.1</t>
  </si>
  <si>
    <t>myc box-dependent-interacting protein 1 isoform X13 [Zalophus californianus]</t>
  </si>
  <si>
    <t>XP_027444445.1 (+2)</t>
  </si>
  <si>
    <t>XP_027444445.1&amp;XP_027444446.1&amp;XP_027444447.1</t>
  </si>
  <si>
    <t>heterogeneous nuclear ribonucleoprotein A3 isoform X1 [Zalophus californianus]_x0001_XP_027444444.1 heterogeneous nuclear ribonucleoprotein A3 isoform X1 [Zalophus californianus]</t>
  </si>
  <si>
    <t>XP_027444501.1</t>
  </si>
  <si>
    <t>actin-related protein 3 isoform X1 [Zalophus californianus]</t>
  </si>
  <si>
    <t>XP_027444504.1 (+7)</t>
  </si>
  <si>
    <t>XP_027444504.1&amp;XP_027444505.1&amp;XP_027444506.1&amp;XP_027444507.1&amp;XP_027444508.1&amp;XP_027444509.1&amp;XP_027444510.1&amp;XP_027444511.1</t>
  </si>
  <si>
    <t>unconventional myosin-VIIb isoform X1 [Zalophus californianus]</t>
  </si>
  <si>
    <t>XP_027444610.1 (+4)</t>
  </si>
  <si>
    <t>XP_027444610.1&amp;XP_027444611.1&amp;XP_027444612.1&amp;XP_027444622.1&amp;XP_027444623.1</t>
  </si>
  <si>
    <t>leucine-rich repeat flightless-interacting protein 1 isoform X27 [Zalophus californianus]</t>
  </si>
  <si>
    <t>XP_027444644.1 (+4)</t>
  </si>
  <si>
    <t>XP_027444644.1&amp;XP_027444704.1&amp;XP_027444773.1&amp;XP_027444860.1&amp;XP_027444944.1</t>
  </si>
  <si>
    <t>transforming growth factor beta receptor type 3 isoform X1 [Zalophus californianus]_x0001_XP_027444544.1 transforming growth factor beta receptor type 3 isoform X1 [Zalophus californianus]_x0001_XP_027444452.1 transforming growth factor beta receptor type 3 isoform X1 [Zalophus californianus]_x0001_XP_027444369.1 transforming growth factor beta receptor type 3 isoform X1 [Zalophus californianus]</t>
  </si>
  <si>
    <t>XP_027444729.1</t>
  </si>
  <si>
    <t>signal transducer and activator of transcription 1-alpha/beta [Zalophus californianus]_x0001_XP_027444728.1 signal transducer and activator of transcription 1-alpha/beta [Zalophus californianus]</t>
  </si>
  <si>
    <t>XP_027444757.1</t>
  </si>
  <si>
    <t>PDZ and LIM domain protein 1 [Zalophus californianus]</t>
  </si>
  <si>
    <t>XP_027444759.1</t>
  </si>
  <si>
    <t>actin-related protein 2/3 complex subunit 2 [Zalophus californianus]_x0001_XP_027444758.1 actin-related protein 2/3 complex subunit 2 [Zalophus californianus]</t>
  </si>
  <si>
    <t>XP_027444779.1</t>
  </si>
  <si>
    <t>calcium-binding protein 39 [Zalophus californianus]_x0001_XP_027444778.1 calcium-binding protein 39 [Zalophus californianus]</t>
  </si>
  <si>
    <t>XP_027444795.1</t>
  </si>
  <si>
    <t>glypican-1 [Zalophus californianus]</t>
  </si>
  <si>
    <t>XP_027444899.1 (+1)</t>
  </si>
  <si>
    <t>XP_027444899.1&amp;XP_027444900.1</t>
  </si>
  <si>
    <t>XP_027444899.1, XP_027480783.1</t>
  </si>
  <si>
    <t>septin-2 isoform X1 [Zalophus californianus]_x0001_XP_027444898.1 septin-2 isoform X1 [Zalophus californianus]</t>
  </si>
  <si>
    <t>XP_027444912.1 (+5)</t>
  </si>
  <si>
    <t>XP_027444912.1&amp;XP_027444913.1&amp;XP_027444914.1&amp;XP_027444916.1&amp;XP_027444917.1&amp;XP_027444918.1</t>
  </si>
  <si>
    <t>protein phosphatase 1 regulatory subunit 7 isoform X1 [Zalophus californianus]</t>
  </si>
  <si>
    <t>XP_027444924.1</t>
  </si>
  <si>
    <t>CONT_073|gi|87303|pir||JS0487, CONT_120|gi|125108|sp|P08729|K2C7_HUMAN, XP_027444924.1, XP_027448173.1, XP_027448189.1, XP_027449096.1, XP_027450073.1, XP_027450614.1</t>
  </si>
  <si>
    <t>desmin [Zalophus californianus]</t>
  </si>
  <si>
    <t>XP_027444959.1</t>
  </si>
  <si>
    <t>integral membrane protein 2B [Zalophus californianus]</t>
  </si>
  <si>
    <t>XP_027445023.1 (+12)</t>
  </si>
  <si>
    <t>XP_027445023.1&amp;XP_027445024.1&amp;XP_027445027.1&amp;XP_027445028.1&amp;XP_027445029.1&amp;XP_027445030.1&amp;XP_027445031.1&amp;XP_027445032.1&amp;XP_027445033.1&amp;XP_027445034.1&amp;XP_027445035.1&amp;XP_027445036.1&amp;XP_027445037.1</t>
  </si>
  <si>
    <t>LIM domain only protein 7 isoform X2 [Zalophus californianus]</t>
  </si>
  <si>
    <t>XP_027445042.1</t>
  </si>
  <si>
    <t>26S proteasome non-ATPase regulatory subunit 1 [Zalophus californianus]</t>
  </si>
  <si>
    <t>XP_027445083.1 (+1)</t>
  </si>
  <si>
    <t>XP_027445083.1&amp;XP_027445084.1</t>
  </si>
  <si>
    <t>serine/threonine-protein kinase 24 isoform X1 [Zalophus californianus]</t>
  </si>
  <si>
    <t>XP_027445112.1</t>
  </si>
  <si>
    <t>XP_027445112.1, XP_027448210.1, XP_027458029.1</t>
  </si>
  <si>
    <t>LOW QUALITY PROTEIN: nuclease-sensitive element-binding protein 1-like [Zalophus californianus]</t>
  </si>
  <si>
    <t>XP_027445165.1</t>
  </si>
  <si>
    <t>XP_027445165.1, XP_027481676.1</t>
  </si>
  <si>
    <t>nebulin [Zalophus californianus]</t>
  </si>
  <si>
    <t>XP_027445174.1</t>
  </si>
  <si>
    <t>plastin-2 [Zalophus californianus]_x0001_XP_027445173.1 plastin-2 [Zalophus californianus]</t>
  </si>
  <si>
    <t>XP_027445187.1</t>
  </si>
  <si>
    <t>ubiquitin carboxyl-terminal hydrolase isozyme L3 isoform X2 [Zalophus californianus]</t>
  </si>
  <si>
    <t>XP_027445194.1</t>
  </si>
  <si>
    <t>alpha-1,6-mannosylglycoprotein 6-beta-N-acetylglucosaminyltransferase A [Zalophus californianus]_x0001_XP_027445193.1 alpha-1,6-mannosylglycoprotein 6-beta-N-acetylglucosaminyltransferase A [Zalophus californianus]_x0001_XP_027445192.1 alpha-1,6-mannosylglycoprotein 6-beta-N-acetylglucosaminyltransferase A [Zalophus californianus]_x0001_XP_027445191.1 alpha-1,6-mannosylglycoprotein 6-beta-N-acetylglucosaminyltransferase A [Zalophus californianus]</t>
  </si>
  <si>
    <t>XP_027445216.1 (+2)</t>
  </si>
  <si>
    <t>XP_027445216.1&amp;XP_027445218.1&amp;XP_027445219.1</t>
  </si>
  <si>
    <t>low-density lipoprotein receptor-related protein 2 isoform X1 [Zalophus californianus]</t>
  </si>
  <si>
    <t>XP_027445244.1</t>
  </si>
  <si>
    <t>heterogeneous nuclear ribonucleoprotein A1-like [Zalophus californianus]</t>
  </si>
  <si>
    <t>XP_027445304.1</t>
  </si>
  <si>
    <t>XP_027429417.1, XP_027432794.1, XP_027445244.1, XP_027445304.1, XP_027446516.1, XP_027464505.1</t>
  </si>
  <si>
    <t>XP_027445314.1</t>
  </si>
  <si>
    <t>insulin-like growth factor-binding protein 5 [Zalophus californianus]</t>
  </si>
  <si>
    <t>XP_027445327.1 (+2)</t>
  </si>
  <si>
    <t>XP_027445327.1&amp;XP_027445328.1&amp;XP_027445329.1</t>
  </si>
  <si>
    <t>unconventional myosin-Ib isoform X1 [Zalophus californianus]_x0001_XP_027445326.1 unconventional myosin-Ib isoform X1 [Zalophus californianus]</t>
  </si>
  <si>
    <t>XP_027445445.1</t>
  </si>
  <si>
    <t>XP_027445445.1, XP_027462891.1, XP_027463777.1</t>
  </si>
  <si>
    <t>heterogeneous nuclear ribonucleoprotein F isoform X1 [Zalophus californianus]_x0001_XP_027445434.1 heterogeneous nuclear ribonucleoprotein F isoform X1 [Zalophus californianus]_x0001_XP_027445427.1 heterogeneous nuclear ribonucleoprotein F isoform X1 [Zalophus californianus]_x0001_XP_027445417.1 heterogeneous nuclear ribonucleoprotein F isoform X1 [Zalophus californianus]_x0001_XP_027445409.1 heterogeneous nuclear ribonucleoprotein F isoform X2 [Zalophus californianus]_x0001_XP_027445402.1 heterogeneous nuclear ribonucleoprotein F isoform X1 [Zalophus californianus]_x0001_XP_027445391.1 heterogeneous nuclear ribonucleoprotein F isoform X1 [Zalophus californianus]</t>
  </si>
  <si>
    <t>XP_027445478.1</t>
  </si>
  <si>
    <t>elongation factor 1-beta [Zalophus californianus]</t>
  </si>
  <si>
    <t>XP_027445494.1</t>
  </si>
  <si>
    <t>secretogranin-2 [Zalophus californianus]_x0001_XP_027445493.1 secretogranin-2 [Zalophus californianus]</t>
  </si>
  <si>
    <t>XP_027445563.1</t>
  </si>
  <si>
    <t>lymphocyte antigen 75-like [Zalophus californianus]</t>
  </si>
  <si>
    <t>XP_027445624.1 (+1)</t>
  </si>
  <si>
    <t>XP_027445624.1&amp;XP_027445625.1</t>
  </si>
  <si>
    <t>ephrin type-A receptor 4 isoform X1 [Zalophus californianus]</t>
  </si>
  <si>
    <t>XP_027445634.1</t>
  </si>
  <si>
    <t>villin-1 [Zalophus californianus]</t>
  </si>
  <si>
    <t>XP_027445656.1 (+10)</t>
  </si>
  <si>
    <t>XP_027445656.1&amp;XP_027445657.1&amp;XP_027445658.1&amp;XP_027445659.1&amp;XP_027445660.1&amp;XP_027445661.1&amp;XP_027445662.1&amp;XP_027445663.1&amp;XP_027445664.1&amp;XP_027445666.1&amp;XP_027445667.1</t>
  </si>
  <si>
    <t>cordon-bleu protein-like 1 isoform X1 [Zalophus californianus]</t>
  </si>
  <si>
    <t>XP_027445676.1 (+3)</t>
  </si>
  <si>
    <t>XP_027445676.1&amp;XP_027445685.1&amp;XP_027445694.1&amp;XP_027445702.1</t>
  </si>
  <si>
    <t>stromal cell-derived factor 1 isoform X1 [Zalophus californianus]</t>
  </si>
  <si>
    <t>XP_027445707.1</t>
  </si>
  <si>
    <t>bifunctional purine biosynthesis protein PURH [Zalophus californianus]</t>
  </si>
  <si>
    <t>XP_027445725.1</t>
  </si>
  <si>
    <t>glycerol-3-phosphate dehydrogenase, mitochondrial [Zalophus californianus]_x0001_XP_027445723.1 glycerol-3-phosphate dehydrogenase, mitochondrial [Zalophus californianus]_x0001_XP_027445722.1 glycerol-3-phosphate dehydrogenase, mitochondrial [Zalophus californianus]_x0001_XP_027445721.1 glycerol-3-phosphate dehydrogenase, mitochondrial [Zalophus californianus]</t>
  </si>
  <si>
    <t>XP_027445738.1</t>
  </si>
  <si>
    <t>ubiquitin-fold modifier 1 [Zalophus californianus]</t>
  </si>
  <si>
    <t>XP_027445755.1</t>
  </si>
  <si>
    <t>NADH-ubiquinone oxidoreductase 75 kDa subunit, mitochondrial [Zalophus californianus]_x0001_XP_027445754.1 NADH-ubiquinone oxidoreductase 75 kDa subunit, mitochondrial [Zalophus californianus]_x0001_XP_027445753.1 NADH-ubiquinone oxidoreductase 75 kDa subunit, mitochondrial [Zalophus californianus]_x0001_XP_027445752.1 NADH-ubiquinone oxidoreductase 75 kDa subunit, mitochondrial [Zalophus californianus]_x0001_XP_027445751.1 NADH-ubiquinone oxidoreductase 75 kDa subunit, mitochondrial [Zalophus californianus]_x0001_XP_027445750.1 NADH-ubiquinone oxidoreductase 75 kDa subunit, mitochondrial [Zalophus californianus]</t>
  </si>
  <si>
    <t>XP_027445769.1</t>
  </si>
  <si>
    <t>ephrin-B2 isoform X2 [Zalophus californianus]</t>
  </si>
  <si>
    <t>XP_027445774.1</t>
  </si>
  <si>
    <t>small ubiquitin-related modifier 1 [Zalophus californianus]</t>
  </si>
  <si>
    <t>XP_027445886.1</t>
  </si>
  <si>
    <t>XP_027445886.1, XP_027473608.1</t>
  </si>
  <si>
    <t>tubulin-specific chaperone E [Zalophus californianus]</t>
  </si>
  <si>
    <t>XP_027445894.1</t>
  </si>
  <si>
    <t>transmembrane 9 superfamily member 2 [Zalophus californianus]</t>
  </si>
  <si>
    <t>XP_027445909.1</t>
  </si>
  <si>
    <t>lambda-crystallin homolog [Zalophus californianus]</t>
  </si>
  <si>
    <t>XP_027445980.1</t>
  </si>
  <si>
    <t>carboxypeptidase B2 [Zalophus californianus]</t>
  </si>
  <si>
    <t>XP_027446009.1</t>
  </si>
  <si>
    <t>XP_027446009.1, XP_027455879.1</t>
  </si>
  <si>
    <t>high mobility group protein B1 [Zalophus californianus]_x0001_XP_027446008.1 high mobility group protein B1 [Zalophus californianus]</t>
  </si>
  <si>
    <t>XP_027446045.1</t>
  </si>
  <si>
    <t>secreted phosphoprotein 24 [Zalophus californianus]</t>
  </si>
  <si>
    <t>XP_027446074.1 (+1)</t>
  </si>
  <si>
    <t>XP_027446074.1&amp;XP_027446076.1</t>
  </si>
  <si>
    <t>coagulation factor VII isoform X1 [Zalophus californianus]</t>
  </si>
  <si>
    <t>XP_027446187.1</t>
  </si>
  <si>
    <t>thymosin beta-4 [Zalophus californianus]_x0001_XP_027462426.1 thymosin beta-4 [Zalophus californianus]_x0001_XP_027473798.1 thymosin beta-4 [Zalophus californianus]_x0001_XP_027471283.1 thymosin beta-4 [Zalophus californianus]</t>
  </si>
  <si>
    <t>XP_027446214.1 (+1)</t>
  </si>
  <si>
    <t>XP_027446214.1&amp;XP_027446215.1</t>
  </si>
  <si>
    <t>S-formylglutathione hydrolase isoform X1 [Zalophus californianus]_x0001_XP_027446213.1 S-formylglutathione hydrolase isoform X1 [Zalophus californianus]_x0001_XP_027446212.1 S-formylglutathione hydrolase isoform X1 [Zalophus californianus]_x0001_XP_027446211.1 S-formylglutathione hydrolase isoform X1 [Zalophus californianus]_x0001_XP_027446210.1 S-formylglutathione hydrolase isoform X1 [Zalophus californianus]</t>
  </si>
  <si>
    <t>XP_027446216.1 (+2)</t>
  </si>
  <si>
    <t>XP_027446216.1&amp;XP_027446218.1&amp;XP_027446219.1</t>
  </si>
  <si>
    <t>NEDD8-conjugating enzyme UBE2F isoform X1 [Zalophus californianus]</t>
  </si>
  <si>
    <t>XP_027446235.1</t>
  </si>
  <si>
    <t>NHL repeat-containing protein 3 [Zalophus californianus]</t>
  </si>
  <si>
    <t>XP_027446242.1</t>
  </si>
  <si>
    <t>isocitrate dehydrogenase [NADP] cytoplasmic [Zalophus californianus]_x0001_XP_027446241.1 isocitrate dehydrogenase [NADP] cytoplasmic [Zalophus californianus]_x0001_XP_027446240.1 isocitrate dehydrogenase [NADP] cytoplasmic [Zalophus californianus]_x0001_XP_027446239.1 isocitrate dehydrogenase [NADP] cytoplasmic [Zalophus californianus]</t>
  </si>
  <si>
    <t>XP_027446243.1</t>
  </si>
  <si>
    <t>nucleolin [Zalophus californianus]</t>
  </si>
  <si>
    <t>XP_027446253.1 (+4)</t>
  </si>
  <si>
    <t>XP_027446253.1&amp;XP_027446254.1&amp;XP_027446255.1&amp;XP_027446256.1&amp;XP_027446257.1</t>
  </si>
  <si>
    <t>fibrous sheath-interacting protein 2 isoform X1 [Zalophus californianus]</t>
  </si>
  <si>
    <t>XP_027446258.1</t>
  </si>
  <si>
    <t>collagen alpha-1(III) chain [Zalophus californianus]</t>
  </si>
  <si>
    <t>XP_027446268.1 (+3)</t>
  </si>
  <si>
    <t>XP_027446268.1&amp;XP_027446269.1&amp;XP_027446271.1&amp;XP_027446272.1</t>
  </si>
  <si>
    <t>cytoplasmic dynein 1 intermediate chain 2 isoform X1 [Zalophus californianus]_x0001_XP_027446266.1 cytoplasmic dynein 1 intermediate chain 2 isoform X1 [Zalophus californianus]</t>
  </si>
  <si>
    <t>XP_027446285.1</t>
  </si>
  <si>
    <t>multidrug resistance-associated protein 4 isoform X1 [Zalophus californianus]</t>
  </si>
  <si>
    <t>XP_027446309.1</t>
  </si>
  <si>
    <t>Golgi reassembly-stacking protein 2 [Zalophus californianus]</t>
  </si>
  <si>
    <t>XP_027446367.1 (+1)</t>
  </si>
  <si>
    <t>XP_027446367.1&amp;XP_027446368.1</t>
  </si>
  <si>
    <t>collagen alpha-2(V) chain isoform X1 [Zalophus californianus]</t>
  </si>
  <si>
    <t>XP_027446447.1</t>
  </si>
  <si>
    <t>aspartyl aminopeptidase [Zalophus californianus]</t>
  </si>
  <si>
    <t>XP_027446450.1 (+2)</t>
  </si>
  <si>
    <t>XP_027446450.1&amp;XP_027449656.1&amp;XP_027473691.1</t>
  </si>
  <si>
    <t>ATPase inhibitor, mitochondrial-like, partial [Zalophus californianus]</t>
  </si>
  <si>
    <t>XP_027446461.1</t>
  </si>
  <si>
    <t>LOW QUALITY PROTEIN: titin [Zalophus californianus]</t>
  </si>
  <si>
    <t>XP_027446477.1</t>
  </si>
  <si>
    <t>UDP-glucose:glycoprotein glucosyltransferase 1 [Zalophus californianus]</t>
  </si>
  <si>
    <t>XP_027446506.1</t>
  </si>
  <si>
    <t>collagen alpha-2(IV) chain [Zalophus californianus]</t>
  </si>
  <si>
    <t>XP_027446516.1</t>
  </si>
  <si>
    <t>XP_027446567.1 (+1)</t>
  </si>
  <si>
    <t>XP_027446567.1&amp;XP_027446568.1</t>
  </si>
  <si>
    <t>XP_027444006.1, XP_027446567.1</t>
  </si>
  <si>
    <t>inactive phospholipase C-like protein 1 isoform X1 [Zalophus californianus]</t>
  </si>
  <si>
    <t>XP_027446638.1</t>
  </si>
  <si>
    <t>integral membrane protein 2C [Zalophus californianus]</t>
  </si>
  <si>
    <t>XP_027446654.1 (+1)</t>
  </si>
  <si>
    <t>XP_027446654.1&amp;XP_027482053.1</t>
  </si>
  <si>
    <t>frizzled-7 [Zalophus californianus]</t>
  </si>
  <si>
    <t>XP_027446693.1</t>
  </si>
  <si>
    <t>UBX domain-containing protein 4 [Zalophus californianus]</t>
  </si>
  <si>
    <t>XP_027446782.1 (+1)</t>
  </si>
  <si>
    <t>XP_027446782.1&amp;XP_027446783.1</t>
  </si>
  <si>
    <t>XP_027446782.1, XP_027446784.1</t>
  </si>
  <si>
    <t>periostin isoform X1 [Zalophus californianus]</t>
  </si>
  <si>
    <t>XP_027446784.1 (+1)</t>
  </si>
  <si>
    <t>XP_027446784.1&amp;XP_027446785.1</t>
  </si>
  <si>
    <t>periostin isoform X3 [Zalophus californianus]</t>
  </si>
  <si>
    <t>XP_027446823.1</t>
  </si>
  <si>
    <t>growth arrest-specific protein 6 [Zalophus californianus]</t>
  </si>
  <si>
    <t>XP_027446836.1</t>
  </si>
  <si>
    <t>dipeptidyl peptidase 4 isoform X1 [Zalophus californianus]</t>
  </si>
  <si>
    <t>XP_027446888.1</t>
  </si>
  <si>
    <t>neutral ceramidase [Zalophus californianus]</t>
  </si>
  <si>
    <t>XP_027446943.1</t>
  </si>
  <si>
    <t>insulin-like growth factor-binding protein 2 isoform X1 [Zalophus californianus]</t>
  </si>
  <si>
    <t>XP_027446981.1 (+1)</t>
  </si>
  <si>
    <t>XP_027446981.1&amp;XP_027446983.1</t>
  </si>
  <si>
    <t>glucagon isoform X1 [Zalophus californianus]</t>
  </si>
  <si>
    <t>XP_027447021.1</t>
  </si>
  <si>
    <t>protein SGT1 homolog [Zalophus californianus]</t>
  </si>
  <si>
    <t>XP_027447042.1 (+1)</t>
  </si>
  <si>
    <t>XP_027447042.1&amp;XP_027447044.1</t>
  </si>
  <si>
    <t>XP_027447042.1, XP_027450065.1, XP_027455939.1, XP_027472818.1, XP_027479674.1</t>
  </si>
  <si>
    <t>tubulin alpha-4A chain isoform X2 [Zalophus californianus]_x0001_XP_027447041.1 tubulin alpha-4A chain isoform X1 [Zalophus californianus]</t>
  </si>
  <si>
    <t>XP_027447066.1</t>
  </si>
  <si>
    <t>synaptopodin 2-like protein isoform X1 [Zalophus californianus]</t>
  </si>
  <si>
    <t>XP_027447090.1</t>
  </si>
  <si>
    <t>secreted frizzled-related protein 3 [Zalophus californianus]_x0001_XP_027447089.1 secreted frizzled-related protein 3 [Zalophus californianus]</t>
  </si>
  <si>
    <t>XP_027447124.1 (+2)</t>
  </si>
  <si>
    <t>XP_027447124.1&amp;XP_027447128.1&amp;XP_027447131.1</t>
  </si>
  <si>
    <t>TSC22 domain family protein 1 isoform X1 [Zalophus californianus]</t>
  </si>
  <si>
    <t>XP_027447165.1 (+1)</t>
  </si>
  <si>
    <t>XP_027447165.1&amp;XP_027447166.1</t>
  </si>
  <si>
    <t>vitamin K-dependent protein C isoform X1 [Zalophus californianus]</t>
  </si>
  <si>
    <t>XP_027447229.1</t>
  </si>
  <si>
    <t>60 kDa heat shock protein, mitochondrial [Zalophus californianus]_x0001_XP_027447226.1 60 kDa heat shock protein, mitochondrial [Zalophus californianus]</t>
  </si>
  <si>
    <t>XP_027447232.1</t>
  </si>
  <si>
    <t>10 kDa heat shock protein, mitochondrial isoform X3 [Zalophus californianus]</t>
  </si>
  <si>
    <t>XP_027447263.1 (+1)</t>
  </si>
  <si>
    <t>XP_027447263.1&amp;XP_027447264.1</t>
  </si>
  <si>
    <t>bone morphogenetic protein receptor type-2 isoform X1 [Zalophus californianus]</t>
  </si>
  <si>
    <t>XP_027447355.1</t>
  </si>
  <si>
    <t>inactive pancreatic lipase-related protein 1 [Zalophus californianus]</t>
  </si>
  <si>
    <t>XP_027447375.1 (+3)</t>
  </si>
  <si>
    <t>XP_027447375.1&amp;XP_027447377.1&amp;XP_027447378.1&amp;XP_027447379.1</t>
  </si>
  <si>
    <t>shootin-1 isoform X1 [Zalophus californianus]_x0001_XP_027447374.1 shootin-1 isoform X1 [Zalophus californianus]</t>
  </si>
  <si>
    <t>XP_027447486.1 (+1)</t>
  </si>
  <si>
    <t>XP_027447486.1&amp;XP_027447487.1</t>
  </si>
  <si>
    <t>cysteine sulfinic acid decarboxylase isoform X2 [Zalophus californianus]</t>
  </si>
  <si>
    <t>XP_027447613.1 (+1)</t>
  </si>
  <si>
    <t>XP_027447613.1&amp;XP_027447614.1</t>
  </si>
  <si>
    <t>T-complex protein 1 subunit beta isoform X1 [Zalophus californianus]</t>
  </si>
  <si>
    <t>XP_027447617.1 (+1)</t>
  </si>
  <si>
    <t>XP_027447617.1&amp;XP_027447618.1</t>
  </si>
  <si>
    <t>ubiquitin carboxyl-terminal hydrolase 5 isoform X1 [Zalophus californianus]</t>
  </si>
  <si>
    <t>XP_027447624.1</t>
  </si>
  <si>
    <t>phosphoglycerate mutase 1 [Zalophus californianus]</t>
  </si>
  <si>
    <t>XP_027447627.1</t>
  </si>
  <si>
    <t>triosephosphate isomerase [Zalophus californianus]</t>
  </si>
  <si>
    <t>XP_027447763.1</t>
  </si>
  <si>
    <t>hsc70-interacting protein isoform X1 [Zalophus californianus]</t>
  </si>
  <si>
    <t>XP_027447790.1 (+1)</t>
  </si>
  <si>
    <t>XP_027447790.1&amp;XP_027447793.1</t>
  </si>
  <si>
    <t>thioredoxin reductase 1, cytoplasmic isoform X1 [Zalophus californianus]</t>
  </si>
  <si>
    <t>XP_027447846.1</t>
  </si>
  <si>
    <t>myosin-9 [Zalophus californianus]</t>
  </si>
  <si>
    <t>XP_027447853.1</t>
  </si>
  <si>
    <t>prolow-density lipoprotein receptor-related protein 1 [Zalophus californianus]</t>
  </si>
  <si>
    <t>XP_027447877.1 (+1)</t>
  </si>
  <si>
    <t>XP_027447877.1&amp;XP_027447878.1</t>
  </si>
  <si>
    <t>ADP-sugar pyrophosphatase isoform X1 [Zalophus californianus]_x0001_XP_027447876.1 ADP-sugar pyrophosphatase isoform X1 [Zalophus californianus]_x0001_XP_027447874.1 ADP-sugar pyrophosphatase isoform X1 [Zalophus californianus]_x0001_XP_027447873.1 ADP-sugar pyrophosphatase isoform X1 [Zalophus californianus]</t>
  </si>
  <si>
    <t>XP_027447957.1 (+6)</t>
  </si>
  <si>
    <t>XP_027447957.1&amp;XP_027447958.1&amp;XP_027447959.1&amp;XP_027447960.1&amp;XP_027447961.1&amp;XP_027447963.1&amp;XP_027447964.1</t>
  </si>
  <si>
    <t>XP_027447957.1, XP_027476508.1</t>
  </si>
  <si>
    <t>poly(rC)-binding protein 2 isoform X1 [Zalophus californianus]_x0001_XP_027447956.1 poly(rC)-binding protein 2 isoform X1 [Zalophus californianus]</t>
  </si>
  <si>
    <t>XP_027447973.1</t>
  </si>
  <si>
    <t>hyaluronan-binding protein 2 [Zalophus californianus]</t>
  </si>
  <si>
    <t>XP_027448032.1</t>
  </si>
  <si>
    <t>60S ribosomal protein L3 [Zalophus californianus]</t>
  </si>
  <si>
    <t>XP_027448052.1</t>
  </si>
  <si>
    <t>nascent polypeptide-associated complex subunit alpha [Zalophus californianus]_x0001_XP_027448051.1 nascent polypeptide-associated complex subunit alpha [Zalophus californianus]_x0001_XP_027448050.1 nascent polypeptide-associated complex subunit alpha [Zalophus californianus]</t>
  </si>
  <si>
    <t>XP_027448059.1 (+1)</t>
  </si>
  <si>
    <t>XP_027448059.1&amp;XP_027448060.1</t>
  </si>
  <si>
    <t>kinesin-1 heavy chain isoform X1 [Zalophus californianus]</t>
  </si>
  <si>
    <t>XP_027448081.1</t>
  </si>
  <si>
    <t>XP_027424274.1, XP_027439048.1, XP_027448081.1</t>
  </si>
  <si>
    <t>ras-related protein Rab-5B [Zalophus californianus]_x0001_XP_027448080.1 ras-related protein Rab-5B [Zalophus californianus]</t>
  </si>
  <si>
    <t>XP_027448114.1</t>
  </si>
  <si>
    <t>integrin beta-1 isoform X2 [Zalophus californianus]</t>
  </si>
  <si>
    <t>XP_027448153.1</t>
  </si>
  <si>
    <t>ras-related protein Rap-1b [Zalophus californianus]</t>
  </si>
  <si>
    <t>XP_027448160.1</t>
  </si>
  <si>
    <t>SAP domain-containing ribonucleoprotein [Zalophus californianus]</t>
  </si>
  <si>
    <t>XP_027448168.1 (+1)</t>
  </si>
  <si>
    <t>XP_027448168.1&amp;XP_027448169.1</t>
  </si>
  <si>
    <t>keratin, type II cytoskeletal 2 epidermal isoform X1 [Zalophus californianus]</t>
  </si>
  <si>
    <t>XP_027448170.1 (+2)</t>
  </si>
  <si>
    <t>XP_027448170.1&amp;XP_027448171.1&amp;XP_027448172.1</t>
  </si>
  <si>
    <t>keratin, type II cytoskeletal 1 isoform X1 [Zalophus californianus]</t>
  </si>
  <si>
    <t>XP_027448173.1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</si>
  <si>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CONT_119|gi|547753|sp|P19013|K2C4_HUMAN, CONT_120|gi|125108|sp|P08729|K2C7_HUMAN, CONT_129|gi|1346344|sp|P02538|K2CA_HUMAN, CONT_130|gi|1346345|sp|P04259|K2CB_HUMAN, CONT_131|gi|1346346|sp|P48666|K2CC_HUMAN, CONT_132|gi|1346348|sp|P48668|K2CE_HUMAN, CONT_133|gi|1346349|sp|P48669|K2CF_HUMAN, CONT_142|gi|88053|pir||A29666, XP_027444924.1, XP_027448168.1, XP_027448170.1, XP_027448173.1, XP_027448174.1, XP_027448175.1, XP_027448177.1, XP_027448178.1, XP_027448179.1, XP_027448180.1, XP_027448181.1, XP_027448183.1, XP_027448185.1, XP_027448187.1, XP_027448189.1, XP_027448197.1, XP_027448199.1, XP_027449096.1, XP_027449970.1, XP_027450073.1, XP_027450614.1</t>
  </si>
  <si>
    <t>keratin, type II cytoskeletal 1b-like [Zalophus californianus]</t>
  </si>
  <si>
    <t>XP_027448175.1</t>
  </si>
  <si>
    <t>keratin, type II cytoskeletal 6A [Zalophus californianus]</t>
  </si>
  <si>
    <t>XP_027448178.1</t>
  </si>
  <si>
    <t>keratin, type II cytoskeletal 3 [Zalophus californianus]</t>
  </si>
  <si>
    <t>XP_027448183.1 (+1)</t>
  </si>
  <si>
    <t>XP_027448183.1&amp;XP_027448184.1</t>
  </si>
  <si>
    <t>keratin, type II cytoskeletal 75 isoform X1 [Zalophus californianus]</t>
  </si>
  <si>
    <t>XP_027448187.1</t>
  </si>
  <si>
    <t>LOW QUALITY PROTEIN: keratin, type II cytoskeletal 5-like [Zalophus californianus]</t>
  </si>
  <si>
    <t>XP_027448188.1 (+1)</t>
  </si>
  <si>
    <t>XP_027448188.1&amp;XP_027448194.1</t>
  </si>
  <si>
    <t>keratin, type II cuticular Hb6 [Zalophus californianus]</t>
  </si>
  <si>
    <t>XP_027448199.1</t>
  </si>
  <si>
    <t>keratin, type II cytoskeletal 4 [Zalophus californianus]</t>
  </si>
  <si>
    <t>XP_027448210.1</t>
  </si>
  <si>
    <t>Y-box-binding protein 3 isoform X2 [Zalophus californianus]</t>
  </si>
  <si>
    <t>XP_027448211.1 (+2)</t>
  </si>
  <si>
    <t>XP_027448211.1&amp;XP_027448212.1&amp;XP_027448213.1</t>
  </si>
  <si>
    <t>cysteine and glycine-rich protein 2 isoform X1 [Zalophus californianus]</t>
  </si>
  <si>
    <t>XP_027448258.1</t>
  </si>
  <si>
    <t>leukotriene A-4 hydrolase isoform X1 [Zalophus californianus]</t>
  </si>
  <si>
    <t>XP_027448269.1</t>
  </si>
  <si>
    <t>tRNA-splicing ligase RtcB homolog [Zalophus californianus]</t>
  </si>
  <si>
    <t>XP_027448276.1</t>
  </si>
  <si>
    <t>nascent polypeptide-associated complex subunit alpha, muscle-specific form-like, partial [Zalophus californianus]</t>
  </si>
  <si>
    <t>XP_027448319.1 (+4)</t>
  </si>
  <si>
    <t>XP_027448319.1&amp;XP_027448320.1&amp;XP_027448321.1&amp;XP_027448322.1&amp;XP_027448323.1</t>
  </si>
  <si>
    <t>protein phosphatase 1 regulatory subunit 12A isoform X1 [Zalophus californianus]</t>
  </si>
  <si>
    <t>XP_027448341.1</t>
  </si>
  <si>
    <t>myosin light chain 6B [Zalophus californianus]</t>
  </si>
  <si>
    <t>XP_027448342.1 (+3)</t>
  </si>
  <si>
    <t>XP_027448342.1&amp;XP_027448343.1&amp;XP_027448344.1&amp;XP_027448345.1</t>
  </si>
  <si>
    <t>myosin light polypeptide 6 isoform X1 [Zalophus californianus]</t>
  </si>
  <si>
    <t>XP_027448365.1 (+1)</t>
  </si>
  <si>
    <t>XP_027448365.1&amp;XP_027448366.1</t>
  </si>
  <si>
    <t>cullin-associated NEDD8-dissociated protein 1 isoform X1 [Zalophus californianus]</t>
  </si>
  <si>
    <t>XP_027448401.1 (+2)</t>
  </si>
  <si>
    <t>XP_027448401.1&amp;XP_027448402.1&amp;XP_027448403.1</t>
  </si>
  <si>
    <t>eukaryotic translation initiation factor 4B isoform X1 [Zalophus californianus]</t>
  </si>
  <si>
    <t>XP_027448423.1</t>
  </si>
  <si>
    <t>glycerol-3-phosphate dehydrogenase [NAD(+)], cytoplasmic [Zalophus californianus]</t>
  </si>
  <si>
    <t>XP_027448459.1 (+2)</t>
  </si>
  <si>
    <t>XP_027448459.1&amp;XP_027448461.1&amp;XP_027448462.1</t>
  </si>
  <si>
    <t>thymopoietin isoform X2 [Zalophus californianus]</t>
  </si>
  <si>
    <t>XP_027448589.1 (+1)</t>
  </si>
  <si>
    <t>XP_027448589.1&amp;XP_027448590.1</t>
  </si>
  <si>
    <t>V-type proton ATPase subunit E 1 isoform X1 [Zalophus californianus]</t>
  </si>
  <si>
    <t>XP_027448611.1</t>
  </si>
  <si>
    <t>peptidyl-prolyl cis-trans isomerase FKBP4 [Zalophus californianus]</t>
  </si>
  <si>
    <t>XP_027448676.1 (+2)</t>
  </si>
  <si>
    <t>XP_027448676.1&amp;XP_027448677.1&amp;XP_027448678.1</t>
  </si>
  <si>
    <t>thiosulfate sulfurtransferase isoform X1 [Zalophus californianus]</t>
  </si>
  <si>
    <t>XP_027448679.1</t>
  </si>
  <si>
    <t>3-mercaptopyruvate sulfurtransferase isoform X1 [Zalophus californianus]</t>
  </si>
  <si>
    <t>XP_027448682.1 (+2)</t>
  </si>
  <si>
    <t>XP_027448682.1&amp;XP_027448683.1&amp;XP_027448686.1</t>
  </si>
  <si>
    <t>activin receptor type-1B isoform X1 [Zalophus californianus]</t>
  </si>
  <si>
    <t>XP_027448763.1</t>
  </si>
  <si>
    <t>plexin-B2 [Zalophus californianus]_x0001_XP_027448762.1 plexin-B2 [Zalophus californianus]_x0001_XP_027448761.1 plexin-B2 [Zalophus californianus]_x0001_XP_027448759.1 plexin-B2 [Zalophus californianus]_x0001_XP_027448758.1 plexin-B2 [Zalophus californianus]_x0001_XP_027448757.1 plexin-B2 [Zalophus californianus]</t>
  </si>
  <si>
    <t>XP_027448769.1</t>
  </si>
  <si>
    <t>ADP-ribosylation factor GTPase-activating protein 3 isoform X1 [Zalophus californianus]</t>
  </si>
  <si>
    <t>XP_027448782.1</t>
  </si>
  <si>
    <t>plexin domain-containing protein 2 [Zalophus californianus]</t>
  </si>
  <si>
    <t>XP_027448840.1 (+1)</t>
  </si>
  <si>
    <t>XP_027448840.1&amp;XP_027448841.1</t>
  </si>
  <si>
    <t>GTPase KRas isoform X1 [Zalophus californianus]_x0001_XP_027448839.1 GTPase KRas isoform X1 [Zalophus californianus]_x0001_XP_027448838.1 GTPase KRas isoform X1 [Zalophus californianus]</t>
  </si>
  <si>
    <t>XP_027448848.1 (+1)</t>
  </si>
  <si>
    <t>XP_027448848.1&amp;XP_027480197.1</t>
  </si>
  <si>
    <t>ADP-ribosylation factor 3 [Zalophus californianus]</t>
  </si>
  <si>
    <t>XP_027448857.1 (+1)</t>
  </si>
  <si>
    <t>XP_027448857.1&amp;XP_027448858.1</t>
  </si>
  <si>
    <t>extended synaptotagmin-1 isoform X1 [Zalophus californianus]</t>
  </si>
  <si>
    <t>XP_027448885.1 (+4)</t>
  </si>
  <si>
    <t>XP_027448885.1&amp;XP_027448887.1&amp;XP_027448888.1&amp;XP_027448889.1&amp;XP_027448890.1</t>
  </si>
  <si>
    <t>microfibrillar-associated protein 5 isoform X1 [Zalophus californianus]</t>
  </si>
  <si>
    <t>XP_027448949.1 (+2)</t>
  </si>
  <si>
    <t>XP_027448949.1&amp;XP_027448950.1&amp;XP_027448953.1</t>
  </si>
  <si>
    <t>serine/threonine-protein kinase receptor R3 isoform X1 [Zalophus californianus]</t>
  </si>
  <si>
    <t>XP_027448971.1</t>
  </si>
  <si>
    <t>glutamate dehydrogenase 1, mitochondrial [Zalophus californianus]</t>
  </si>
  <si>
    <t>XP_027449050.1 (+2)</t>
  </si>
  <si>
    <t>XP_027449050.1&amp;XP_027449060.1&amp;XP_027449069.1</t>
  </si>
  <si>
    <t>prosaposin isoform X1 [Zalophus californianus]</t>
  </si>
  <si>
    <t>XP_027449053.1 (+4)</t>
  </si>
  <si>
    <t>XP_027449053.1&amp;XP_027449054.1&amp;XP_027449055.1&amp;XP_027449056.1&amp;XP_027449057.1</t>
  </si>
  <si>
    <t>protein kinase C and casein kinase substrate in neurons protein 2 isoform X1 [Zalophus californianus]_x0001_XP_027449052.1 protein kinase C and casein kinase substrate in neurons protein 2 isoform X1 [Zalophus californianus]_x0001_XP_027449051.1 protein kinase C and casein kinase substrate in neurons protein 2 isoform X1 [Zalophus californianus]_x0001_XP_027449049.1 protein kinase C and casein kinase substrate in neurons protein 2 isoform X1 [Zalophus californianus]_x0001_XP_027449048.1 protein kinase C and casein kinase substrate in neurons protein 2 isoform X1 [Zalophus californianus]_x0001_XP_027449047.1 protein kinase C and casein kinase substrate in neurons protein 2 isoform X1 [Zalophus californianus]_x0001_XP_027449046.1 protein kinase C and casein kinase substrate in neurons protein 2 isoform X1 [Zalophus californianus]</t>
  </si>
  <si>
    <t>XP_027449096.1</t>
  </si>
  <si>
    <t>vimentin [Zalophus californianus]</t>
  </si>
  <si>
    <t>XP_027449127.1</t>
  </si>
  <si>
    <t>MANSC domain-containing protein 1 [Zalophus californianus]_x0001_XP_027449126.1 MANSC domain-containing protein 1 [Zalophus californianus]</t>
  </si>
  <si>
    <t>XP_027449132.1</t>
  </si>
  <si>
    <t>contactin-1 isoform X1 [Zalophus californianus]_x0001_XP_027449131.1 contactin-1 isoform X1 [Zalophus californianus]_x0001_XP_027449130.1 contactin-1 isoform X1 [Zalophus californianus]</t>
  </si>
  <si>
    <t>XP_027449134.1</t>
  </si>
  <si>
    <t>prostaglandin E synthase 3 [Zalophus californianus]</t>
  </si>
  <si>
    <t>XP_027449182.1</t>
  </si>
  <si>
    <t>collagen alpha-1(II) chain [Zalophus californianus]</t>
  </si>
  <si>
    <t>XP_027449191.1</t>
  </si>
  <si>
    <t>lumican [Zalophus californianus]</t>
  </si>
  <si>
    <t>XP_027449213.1 (+1)</t>
  </si>
  <si>
    <t>XP_027449213.1&amp;XP_027449214.1</t>
  </si>
  <si>
    <t>bridging integrator 2 isoform X1 [Zalophus californianus]</t>
  </si>
  <si>
    <t>XP_027449220.1</t>
  </si>
  <si>
    <t>XP_027449220.1, XP_027450149.1</t>
  </si>
  <si>
    <t>lysozyme C, milk isozyme-like [Zalophus californianus]</t>
  </si>
  <si>
    <t>XP_027449262.1</t>
  </si>
  <si>
    <t>acyl-CoA-binding domain-containing protein 7 [Zalophus californianus]</t>
  </si>
  <si>
    <t>XP_027449449.1</t>
  </si>
  <si>
    <t>ubiquitin-conjugating enzyme E2 N isoform X2 [Zalophus californianus]</t>
  </si>
  <si>
    <t>XP_027449451.1 (+1)</t>
  </si>
  <si>
    <t>XP_027449451.1&amp;XP_027449452.1</t>
  </si>
  <si>
    <t>XP_027449451.1, XP_027459278.1</t>
  </si>
  <si>
    <t>diphosphoinositol polyphosphate phosphohydrolase 2 isoform X1 [Zalophus californianus]</t>
  </si>
  <si>
    <t>XP_027449501.1</t>
  </si>
  <si>
    <t>tumor necrosis factor receptor superfamily member 1A [Zalophus californianus]</t>
  </si>
  <si>
    <t>XP_027449524.1</t>
  </si>
  <si>
    <t>sorting and assembly machinery component 50 homolog [Zalophus californianus]</t>
  </si>
  <si>
    <t>XP_027449537.1</t>
  </si>
  <si>
    <t>XP_027449537.1, XP_027457521.1</t>
  </si>
  <si>
    <t>endoplasmin [Zalophus californianus]</t>
  </si>
  <si>
    <t>XP_027449550.1</t>
  </si>
  <si>
    <t>inter-alpha-trypsin inhibitor heavy chain H2 isoform X1 [Zalophus californianus]</t>
  </si>
  <si>
    <t>XP_027449556.1</t>
  </si>
  <si>
    <t>parathyroid hormone-related protein [Zalophus californianus]_x0001_XP_027449555.1 parathyroid hormone-related protein [Zalophus californianus]_x0001_XP_027449553.1 parathyroid hormone-related protein [Zalophus californianus]_x0001_XP_027449552.1 parathyroid hormone-related protein [Zalophus californianus]</t>
  </si>
  <si>
    <t>XP_027449566.1 (+2)</t>
  </si>
  <si>
    <t>XP_027449566.1&amp;XP_027449567.1&amp;XP_027449568.1</t>
  </si>
  <si>
    <t>amiloride-sensitive sodium channel subunit alpha isoform X1 [Zalophus californianus]_x0001_XP_027449565.1 amiloride-sensitive sodium channel subunit alpha isoform X1 [Zalophus californianus]</t>
  </si>
  <si>
    <t>XP_027449569.1 (+1)</t>
  </si>
  <si>
    <t>XP_027449569.1&amp;XP_027449570.1</t>
  </si>
  <si>
    <t>tumor necrosis factor receptor superfamily member 3 isoform X1 [Zalophus californianus]</t>
  </si>
  <si>
    <t>XP_027449572.1</t>
  </si>
  <si>
    <t>prohibitin-2 [Zalophus californianus]_x0001_XP_027449167.1 prohibitin-2 [Zalophus californianus]</t>
  </si>
  <si>
    <t>XP_027449573.1 (+1)</t>
  </si>
  <si>
    <t>XP_027449573.1&amp;XP_027455941.1</t>
  </si>
  <si>
    <t>XP_027449573.1, XP_027469009.1</t>
  </si>
  <si>
    <t>voltage-dependent anion-selective channel protein 3 [Zalophus californianus]_x0001_XP_027455943.1 voltage-dependent anion-selective channel protein 3 isoform X2 [Zalophus californianus]_x0001_XP_027455942.1 voltage-dependent anion-selective channel protein 3 isoform X2 [Zalophus californianus]</t>
  </si>
  <si>
    <t>XP_027449625.1 (+1)</t>
  </si>
  <si>
    <t>XP_027449625.1&amp;XP_027465384.1</t>
  </si>
  <si>
    <t>ATP synthase subunit gamma, mitochondrial isoform X1 [Zalophus californianus]</t>
  </si>
  <si>
    <t>XP_027449647.1 (+1)</t>
  </si>
  <si>
    <t>XP_027449647.1&amp;XP_027449648.1</t>
  </si>
  <si>
    <t>2-amino-3-ketobutyrate coenzyme A ligase, mitochondrial isoform X1 [Zalophus californianus]</t>
  </si>
  <si>
    <t>XP_027449650.1</t>
  </si>
  <si>
    <t>matrix Gla protein [Zalophus californianus]</t>
  </si>
  <si>
    <t>XP_027449660.1</t>
  </si>
  <si>
    <t>NADH dehydrogenase [ubiquinone] 1 alpha subcomplex subunit 12 [Zalophus californianus]</t>
  </si>
  <si>
    <t>XP_027449689.1</t>
  </si>
  <si>
    <t>insulin-like growth factor-binding protein 6 [Zalophus californianus]</t>
  </si>
  <si>
    <t>XP_027449696.1</t>
  </si>
  <si>
    <t>CD27 antigen isoform X1 [Zalophus californianus]</t>
  </si>
  <si>
    <t>XP_027449701.1 (+5)</t>
  </si>
  <si>
    <t>XP_027449701.1&amp;XP_027449702.1&amp;XP_027449703.1&amp;XP_027449704.1&amp;XP_027449705.1&amp;XP_027449706.1</t>
  </si>
  <si>
    <t>scavenger receptor cysteine-rich type 1 protein M130 isoform X1 [Zalophus californianus]</t>
  </si>
  <si>
    <t>XP_027449708.1</t>
  </si>
  <si>
    <t>complement C1s subcomponent [Zalophus californianus]</t>
  </si>
  <si>
    <t>XP_027449712.1 (+1)</t>
  </si>
  <si>
    <t>XP_027449712.1&amp;XP_027449713.1</t>
  </si>
  <si>
    <t>epidermal growth factor receptor kinase substrate 8 isoform X2 [Zalophus californianus]</t>
  </si>
  <si>
    <t>XP_027449714.1</t>
  </si>
  <si>
    <t>N-acetylglucosamine-6-sulfatase [Zalophus californianus]</t>
  </si>
  <si>
    <t>XP_027449716.1 (+1)</t>
  </si>
  <si>
    <t>XP_027449716.1&amp;XP_027449802.1</t>
  </si>
  <si>
    <t>adaptin ear-binding coat-associated protein 2 isoform X1 [Zalophus californianus]</t>
  </si>
  <si>
    <t>XP_027449744.1 (+3)</t>
  </si>
  <si>
    <t>XP_027449744.1&amp;XP_027449745.1&amp;XP_027449746.1&amp;XP_027449747.1</t>
  </si>
  <si>
    <t>tumor necrosis factor receptor superfamily member 13C isoform X1 [Zalophus californianus]</t>
  </si>
  <si>
    <t>XP_027449765.1</t>
  </si>
  <si>
    <t>XP_027449765.1, XP_027449870.1</t>
  </si>
  <si>
    <t>pregnancy zone protein-like isoform X1 [Zalophus californianus]</t>
  </si>
  <si>
    <t>XP_027449767.1</t>
  </si>
  <si>
    <t>myoglobin [Zalophus californianus]</t>
  </si>
  <si>
    <t>XP_027449827.1 (+1)</t>
  </si>
  <si>
    <t>XP_027449827.1&amp;XP_027449828.1</t>
  </si>
  <si>
    <t>phosphate carrier protein, mitochondrial isoform X1 [Zalophus californianus]_x0001_XP_027449826.1 phosphate carrier protein, mitochondrial isoform X1 [Zalophus californianus]_x0001_XP_027449825.1 phosphate carrier protein, mitochondrial isoform X1 [Zalophus californianus]</t>
  </si>
  <si>
    <t>XP_027449870.1 (+1)</t>
  </si>
  <si>
    <t>XP_027449870.1&amp;XP_027449872.1</t>
  </si>
  <si>
    <t>alpha-2-macroglobulin-like isoform X1 [Zalophus californianus]</t>
  </si>
  <si>
    <t>XP_027449890.1 (+1)</t>
  </si>
  <si>
    <t>XP_027449890.1&amp;XP_027449891.1</t>
  </si>
  <si>
    <t>citrate synthase, mitochondrial isoform X1 [Zalophus californianus]</t>
  </si>
  <si>
    <t>XP_027449895.1 (+1)</t>
  </si>
  <si>
    <t>XP_027449895.1&amp;XP_027449896.1</t>
  </si>
  <si>
    <t>protein canopy homolog 2 isoform X1 [Zalophus californianus]</t>
  </si>
  <si>
    <t>XP_027449902.1</t>
  </si>
  <si>
    <t>60S ribosomal protein L10 [Zalophus californianus]_x0001_XP_027464700.1 60S ribosomal protein L10 isoform X1 [Zalophus californianus]</t>
  </si>
  <si>
    <t>XP_027449903.1</t>
  </si>
  <si>
    <t>XP_027449903.1, XP_027449906.1</t>
  </si>
  <si>
    <t>fibulin-1 isoform X1 [Zalophus californianus]</t>
  </si>
  <si>
    <t>XP_027449906.1</t>
  </si>
  <si>
    <t>fibulin-1 isoform X3 [Zalophus californianus]</t>
  </si>
  <si>
    <t>XP_027449909.1 (+1)</t>
  </si>
  <si>
    <t>XP_027449909.1&amp;XP_027449910.1</t>
  </si>
  <si>
    <t>LIM domain and actin-binding protein 1 isoform X1 [Zalophus californianus]</t>
  </si>
  <si>
    <t>XP_027449924.1 (+1)</t>
  </si>
  <si>
    <t>XP_027449924.1&amp;XP_027449925.1</t>
  </si>
  <si>
    <t>XP_027449924.1, XP_027451312.1, XP_027451349.1</t>
  </si>
  <si>
    <t>complement C1r subcomponent isoform X1 [Zalophus californianus]</t>
  </si>
  <si>
    <t>XP_027449970.1</t>
  </si>
  <si>
    <t>CONT_049|gi|88052|pir||A32568, CONT_064|gi|254622|bbs|112352, CONT_070|gi|547752|sp|Q01546|K22O_HUMAN, CONT_073|gi|87303|pir||JS0487, CONT_079|gi|125105|sp|P13647|K2C5_HUMAN, CONT_088|gi|1346343|sp|P04264|K2C1_HUMAN, CONT_089|gi|71536|pir||KRHU2, CONT_120|gi|125108|sp|P08729|K2C7_HUMAN, CONT_129|gi|1346344|sp|P02538|K2CA_HUMAN, CONT_130|gi|1346345|sp|P04259|K2CB_HUMAN, CONT_131|gi|1346346|sp|P48666|K2CC_HUMAN, CONT_132|gi|1346348|sp|P48668|K2CE_HUMAN, CONT_133|gi|1346349|sp|P48669|K2CF_HUMAN, CONT_142|gi|88053|pir||A29666, XP_027448168.1, XP_027448170.1, XP_027448173.1, XP_027448174.1, XP_027448175.1, XP_027448177.1, XP_027448178.1, XP_027448179.1, XP_027448180.1, XP_027448181.1, XP_027448183.1, XP_027448185.1, XP_027448187.1, XP_027448189.1, XP_027448197.1, XP_027448199.1, XP_027449970.1, XP_027450614.1</t>
  </si>
  <si>
    <t>keratin, type II cytoskeletal 78 [Zalophus californianus]</t>
  </si>
  <si>
    <t>XP_027450006.1 (+4)</t>
  </si>
  <si>
    <t>XP_027450006.1&amp;XP_027450007.1&amp;XP_027450008.1&amp;XP_027450009.1&amp;XP_027450010.1</t>
  </si>
  <si>
    <t>insulin-like growth factor I isoform X1 [Zalophus californianus]</t>
  </si>
  <si>
    <t>XP_027450033.1</t>
  </si>
  <si>
    <t>lymphocyte activation gene 3 protein [Zalophus californianus]</t>
  </si>
  <si>
    <t>XP_027450065.1 (+1)</t>
  </si>
  <si>
    <t>XP_027450065.1&amp;XP_027450066.1</t>
  </si>
  <si>
    <t>XP_027447042.1, XP_027450065.1, XP_027455939.1, XP_027472818.1</t>
  </si>
  <si>
    <t>tubulin alpha-1C chain-like, partial [Zalophus californianus]</t>
  </si>
  <si>
    <t>XP_027450073.1</t>
  </si>
  <si>
    <t>CONT_073|gi|87303|pir||JS0487, CONT_120|gi|125108|sp|P08729|K2C7_HUMAN, CONT_129|gi|1346344|sp|P02538|K2CA_HUMAN, CONT_130|gi|1346345|sp|P04259|K2CB_HUMAN, CONT_131|gi|1346346|sp|P48666|K2CC_HUMAN, CONT_132|gi|1346348|sp|P48668|K2CE_HUMAN, CONT_133|gi|1346349|sp|P48669|K2CF_HUMAN, CONT_137|gi|1346347|sp|P48667|K2CD_HUMAN, XP_027444924.1, XP_027448173.1, XP_027448183.1, XP_027448187.1, XP_027448189.1, XP_027449096.1, XP_027450073.1, XP_027450614.1</t>
  </si>
  <si>
    <t>keratin, type II cuticular Hb5-like [Zalophus californianus]</t>
  </si>
  <si>
    <t>XP_027450112.1</t>
  </si>
  <si>
    <t>plexin-C1 [Zalophus californianus]</t>
  </si>
  <si>
    <t>XP_027450117.1</t>
  </si>
  <si>
    <t>XP_027450117.1, XP_027473077.1</t>
  </si>
  <si>
    <t>myosin-binding protein C, slow-type [Zalophus californianus]</t>
  </si>
  <si>
    <t>XP_027450149.1</t>
  </si>
  <si>
    <t>lysozyme C [Zalophus californianus]</t>
  </si>
  <si>
    <t>XP_027450186.1</t>
  </si>
  <si>
    <t>STE20-like serine/threonine-protein kinase isoform X1 [Zalophus californianus]</t>
  </si>
  <si>
    <t>XP_027450201.1</t>
  </si>
  <si>
    <t>LOW QUALITY PROTEIN: apolipoprotein F [Zalophus californianus]</t>
  </si>
  <si>
    <t>XP_027450218.1</t>
  </si>
  <si>
    <t>twinfilin-1 isoform X1 [Zalophus californianus]</t>
  </si>
  <si>
    <t>XP_027450231.1 (+2)</t>
  </si>
  <si>
    <t>XP_027450231.1&amp;XP_027450240.1&amp;XP_027450248.1</t>
  </si>
  <si>
    <t>CDGSH iron-sulfur domain-containing protein 1 isoform X1 [Zalophus californianus]_x0001_XP_027450220.1 CDGSH iron-sulfur domain-containing protein 1 isoform X1 [Zalophus californianus]_x0001_XP_027450211.1 CDGSH iron-sulfur domain-containing protein 1 isoform X1 [Zalophus californianus]</t>
  </si>
  <si>
    <t>XP_027450318.1</t>
  </si>
  <si>
    <t>phosphatidylinositol 5-phosphate 4-kinase type-2 gamma [Zalophus californianus]</t>
  </si>
  <si>
    <t>XP_027450325.1</t>
  </si>
  <si>
    <t>aconitate hydratase, mitochondrial [Zalophus californianus]</t>
  </si>
  <si>
    <t>XP_027450384.1</t>
  </si>
  <si>
    <t>signal peptide, CUB and EGF-like domain-containing protein 1 isoform X1 [Zalophus californianus]</t>
  </si>
  <si>
    <t>XP_027450391.1</t>
  </si>
  <si>
    <t>ATP synthase subunit beta, mitochondrial [Zalophus californianus]</t>
  </si>
  <si>
    <t>XP_027450394.1</t>
  </si>
  <si>
    <t>galectin-1 [Zalophus californianus]</t>
  </si>
  <si>
    <t>XP_027450401.1 (+1)</t>
  </si>
  <si>
    <t>XP_027450401.1&amp;XP_027450403.1</t>
  </si>
  <si>
    <t>alpha-N-acetylgalactosaminidase isoform X1 [Zalophus californianus]</t>
  </si>
  <si>
    <t>XP_027450430.1</t>
  </si>
  <si>
    <t>isopentenyl-diphosphate Delta-isomerase 1 [Zalophus californianus]</t>
  </si>
  <si>
    <t>XP_027450504.1</t>
  </si>
  <si>
    <t>growth/differentiation factor 2 [Zalophus californianus]</t>
  </si>
  <si>
    <t>XP_027450523.1</t>
  </si>
  <si>
    <t>sodium-coupled monocarboxylate transporter 1 [Zalophus californianus]</t>
  </si>
  <si>
    <t>XP_027450525.1 (+1)</t>
  </si>
  <si>
    <t>XP_027450525.1&amp;XP_027450526.1</t>
  </si>
  <si>
    <t>dynactin subunit 2 isoform X1 [Zalophus californianus]</t>
  </si>
  <si>
    <t>XP_027450598.1</t>
  </si>
  <si>
    <t>NADH-cytochrome b5 reductase 3 [Zalophus californianus]</t>
  </si>
  <si>
    <t>XP_027450641.1</t>
  </si>
  <si>
    <t>phosphotriesterase-related protein isoform X1 [Zalophus californianus]_x0001_XP_027450640.1 phosphotriesterase-related protein isoform X1 [Zalophus californianus]</t>
  </si>
  <si>
    <t>XP_027450644.1</t>
  </si>
  <si>
    <t>complement C1q-like protein 3 [Zalophus californianus]</t>
  </si>
  <si>
    <t>XP_027450647.1 (+2)</t>
  </si>
  <si>
    <t>XP_027450647.1&amp;XP_027450648.1&amp;XP_027450649.1</t>
  </si>
  <si>
    <t>target of Myb protein 1 isoform X1 [Zalophus californianus]</t>
  </si>
  <si>
    <t>XP_027450694.1</t>
  </si>
  <si>
    <t>ras-related C3 botulinum toxin substrate 2 isoform X1 [Zalophus californianus]</t>
  </si>
  <si>
    <t>XP_027450700.1 (+1)</t>
  </si>
  <si>
    <t>XP_027450700.1&amp;XP_027450701.1</t>
  </si>
  <si>
    <t>1,5-anhydro-D-fructose reductase-like isoform X1 [Zalophus californianus]_x0001_XP_027450699.1 1,5-anhydro-D-fructose reductase-like isoform X1 [Zalophus californianus]_x0001_XP_027450698.1 1,5-anhydro-D-fructose reductase-like isoform X1 [Zalophus californianus]_x0001_XP_027450697.1 1,5-anhydro-D-fructose reductase-like isoform X1 [Zalophus californianus]</t>
  </si>
  <si>
    <t>XP_027450702.1 (+2)</t>
  </si>
  <si>
    <t>XP_027450702.1&amp;XP_027450703.1&amp;XP_027450704.1</t>
  </si>
  <si>
    <t>receptor-type tyrosine-protein phosphatase O isoform X1 [Zalophus californianus]</t>
  </si>
  <si>
    <t>XP_027450706.1</t>
  </si>
  <si>
    <t>annexin A8 [Zalophus californianus]</t>
  </si>
  <si>
    <t>XP_027450745.1</t>
  </si>
  <si>
    <t>XP_027435738.1, XP_027450745.1</t>
  </si>
  <si>
    <t>L-lactate dehydrogenase B chain [Zalophus californianus]</t>
  </si>
  <si>
    <t>XP_027450764.1</t>
  </si>
  <si>
    <t>tetraspanin-8 [Zalophus californianus]</t>
  </si>
  <si>
    <t>XP_027450775.1 (+1)</t>
  </si>
  <si>
    <t>XP_027450775.1&amp;XP_027450776.1</t>
  </si>
  <si>
    <t>platelet-derived growth factor subunit B isoform X1 [Zalophus californianus]_x0001_XP_027450774.1 platelet-derived growth factor subunit B isoform X1 [Zalophus californianus]</t>
  </si>
  <si>
    <t>XP_027450831.1 (+1)</t>
  </si>
  <si>
    <t>XP_027450831.1&amp;XP_027450832.1</t>
  </si>
  <si>
    <t>XP_027450831.1, XP_027463351.1</t>
  </si>
  <si>
    <t>probable ATP-dependent RNA helicase DDX17 isoform X1 [Zalophus californianus]</t>
  </si>
  <si>
    <t>XP_027450896.1</t>
  </si>
  <si>
    <t>alpha-actinin-2 isoform X1 [Zalophus californianus]</t>
  </si>
  <si>
    <t>XP_027450967.1</t>
  </si>
  <si>
    <t>uroplakin-3a isoform X1 [Zalophus californianus]</t>
  </si>
  <si>
    <t>XP_027450975.1</t>
  </si>
  <si>
    <t>syntenin-1 [Zalophus californianus]_x0001_XP_027467876.1 syntenin-1 isoform X1 [Zalophus californianus]</t>
  </si>
  <si>
    <t>XP_027450979.1</t>
  </si>
  <si>
    <t>microsomal glutathione S-transferase 1 [Zalophus californianus]_x0001_XP_027450978.1 microsomal glutathione S-transferase 1 [Zalophus californianus]</t>
  </si>
  <si>
    <t>XP_027451002.1 (+1)</t>
  </si>
  <si>
    <t>XP_027451002.1&amp;XP_027451003.1</t>
  </si>
  <si>
    <t>angiopoietin-related protein 5-like isoform X1 [Zalophus californianus]</t>
  </si>
  <si>
    <t>XP_027451004.1</t>
  </si>
  <si>
    <t>von Willebrand factor isoform X1 [Zalophus californianus]</t>
  </si>
  <si>
    <t>XP_027451011.1</t>
  </si>
  <si>
    <t>prefoldin subunit 5 [Zalophus californianus]_x0001_XP_027440837.1 prefoldin subunit 5 [Zalophus californianus]</t>
  </si>
  <si>
    <t>XP_027451046.1 (+1)</t>
  </si>
  <si>
    <t>XP_027451046.1&amp;XP_027451047.1</t>
  </si>
  <si>
    <t>rho GDP-dissociation inhibitor 2 isoform X1 [Zalophus californianus]</t>
  </si>
  <si>
    <t>XP_027451090.1</t>
  </si>
  <si>
    <t>coatomer subunit zeta-1 isoform X2 [Zalophus californianus]</t>
  </si>
  <si>
    <t>XP_027451120.1</t>
  </si>
  <si>
    <t>XP_027451120.1, XP_027464627.1</t>
  </si>
  <si>
    <t>rab GDP dissociation inhibitor beta [Zalophus californianus]</t>
  </si>
  <si>
    <t>XP_027451125.1 (+2)</t>
  </si>
  <si>
    <t>XP_027451125.1&amp;XP_027451126.1&amp;XP_027451127.1</t>
  </si>
  <si>
    <t>nucleosome assembly protein 1-like 1 isoform X1 [Zalophus californianus]_x0001_XP_027451124.1 nucleosome assembly protein 1-like 1 isoform X1 [Zalophus californianus]_x0001_XP_027451123.1 nucleosome assembly protein 1-like 1 isoform X1 [Zalophus californianus]</t>
  </si>
  <si>
    <t>XP_027451188.1</t>
  </si>
  <si>
    <t>40S ribosomal protein S26 [Zalophus californianus]</t>
  </si>
  <si>
    <t>XP_027451206.1 (+1)</t>
  </si>
  <si>
    <t>XP_027451206.1&amp;XP_027451207.1</t>
  </si>
  <si>
    <t>BH3-interacting domain death agonist isoform X1 [Zalophus californianus]</t>
  </si>
  <si>
    <t>XP_027451210.1</t>
  </si>
  <si>
    <t>tetratricopeptide repeat protein 38 [Zalophus californianus]</t>
  </si>
  <si>
    <t>XP_027451215.1 (+7)</t>
  </si>
  <si>
    <t>XP_027451215.1&amp;XP_027451216.1&amp;XP_027451217.1&amp;XP_027451218.1&amp;XP_027451219.1&amp;XP_027451220.1&amp;XP_027451221.1&amp;XP_027451222.1</t>
  </si>
  <si>
    <t>ATP-dependent 6-phosphofructokinase, platelet type isoform X1 [Zalophus californianus]</t>
  </si>
  <si>
    <t>XP_027451224.1</t>
  </si>
  <si>
    <t>CD63 antigen [Zalophus californianus]</t>
  </si>
  <si>
    <t>XP_027451239.1</t>
  </si>
  <si>
    <t>calmodulin-like [Zalophus californianus]</t>
  </si>
  <si>
    <t>XP_027451249.1</t>
  </si>
  <si>
    <t>BMP and activin membrane-bound inhibitor homolog [Zalophus californianus]</t>
  </si>
  <si>
    <t>XP_027451312.1</t>
  </si>
  <si>
    <t>XP_027449924.1, XP_027451312.1</t>
  </si>
  <si>
    <t>complement C1r subcomponent-like protein [Zalophus californianus]</t>
  </si>
  <si>
    <t>XP_027451334.1</t>
  </si>
  <si>
    <t>histone H1.0 [Zalophus californianus]</t>
  </si>
  <si>
    <t>XP_027451349.1</t>
  </si>
  <si>
    <t>XP_027449924.1, XP_027451349.1</t>
  </si>
  <si>
    <t>cubilin [Zalophus californianus]</t>
  </si>
  <si>
    <t>XP_027451372.1</t>
  </si>
  <si>
    <t>frizzled-8 [Zalophus californianus]</t>
  </si>
  <si>
    <t>XP_027451406.1</t>
  </si>
  <si>
    <t>heme oxygenase 1 [Zalophus californianus]</t>
  </si>
  <si>
    <t>XP_027451451.1</t>
  </si>
  <si>
    <t>adenosine deaminase 2 isoform X1 [Zalophus californianus]_x0001_XP_027451448.1 adenosine deaminase 2 isoform X1 [Zalophus californianus]_x0001_XP_027451447.1 adenosine deaminase 2 isoform X1 [Zalophus californianus]_x0001_XP_027451446.1 adenosine deaminase 2 isoform X1 [Zalophus californianus]_x0001_XP_027451445.1 adenosine deaminase 2 isoform X1 [Zalophus californianus]</t>
  </si>
  <si>
    <t>XP_027451489.1</t>
  </si>
  <si>
    <t>heme-binding protein 1 [Zalophus californianus]</t>
  </si>
  <si>
    <t>XP_027451520.1</t>
  </si>
  <si>
    <t>parvalbumin alpha [Zalophus californianus]_x0001_XP_027451518.1 parvalbumin alpha [Zalophus californianus]</t>
  </si>
  <si>
    <t>XP_027451521.1</t>
  </si>
  <si>
    <t>aquaporin-2 [Zalophus californianus]</t>
  </si>
  <si>
    <t>XP_027451535.1</t>
  </si>
  <si>
    <t>inhibin beta E chain [Zalophus californianus]</t>
  </si>
  <si>
    <t>XP_027451539.1</t>
  </si>
  <si>
    <t>arylsulfatase A [Zalophus californianus]_x0001_XP_027451537.1 arylsulfatase A [Zalophus californianus]_x0001_XP_027451536.1 arylsulfatase A [Zalophus californianus]</t>
  </si>
  <si>
    <t>XP_027451592.1</t>
  </si>
  <si>
    <t>SH3 domain-binding protein 1 isoform X1 [Zalophus californianus]</t>
  </si>
  <si>
    <t>XP_027451634.1</t>
  </si>
  <si>
    <t>nidogen-1 [Zalophus californianus]</t>
  </si>
  <si>
    <t>XP_027451657.1 (+1)</t>
  </si>
  <si>
    <t>XP_027451657.1&amp;XP_027451658.1</t>
  </si>
  <si>
    <t>vinculin isoform X1 [Zalophus californianus]</t>
  </si>
  <si>
    <t>XP_027451666.1 (+5)</t>
  </si>
  <si>
    <t>XP_027451666.1&amp;XP_027451667.1&amp;XP_027451668.1&amp;XP_027451669.1&amp;XP_027451670.1&amp;XP_027451671.1</t>
  </si>
  <si>
    <t>adenosine kinase isoform X1 [Zalophus californianus]</t>
  </si>
  <si>
    <t>XP_027451720.1 (+1)</t>
  </si>
  <si>
    <t>XP_027451720.1&amp;XP_027451722.1</t>
  </si>
  <si>
    <t>pancreatic triacylglycerol lipase isoform X1 [Zalophus californianus]</t>
  </si>
  <si>
    <t>XP_027451781.1</t>
  </si>
  <si>
    <t>voltage-dependent anion-selective channel protein 2 [Zalophus californianus]</t>
  </si>
  <si>
    <t>XP_027451901.1</t>
  </si>
  <si>
    <t>myozenin-1 [Zalophus californianus]</t>
  </si>
  <si>
    <t>XP_027451954.1 (+1)</t>
  </si>
  <si>
    <t>XP_027451954.1&amp;XP_027451963.1</t>
  </si>
  <si>
    <t>mannosyl-oligosaccharide 1,2-alpha-mannosidase IC isoform X1 [Zalophus californianus]</t>
  </si>
  <si>
    <t>XP_027451959.1 (+2)</t>
  </si>
  <si>
    <t>XP_027451959.1&amp;XP_027451960.1&amp;XP_027451961.1</t>
  </si>
  <si>
    <t>inactive carboxypeptidase-like protein X2 isoform X1 [Zalophus californianus]</t>
  </si>
  <si>
    <t>XP_027451990.1 (+1)</t>
  </si>
  <si>
    <t>XP_027451990.1&amp;XP_027451991.1</t>
  </si>
  <si>
    <t>testican-2 isoform X1 [Zalophus californianus]</t>
  </si>
  <si>
    <t>XP_027452001.1</t>
  </si>
  <si>
    <t>pterin-4-alpha-carbinolamine dehydratase [Zalophus californianus]</t>
  </si>
  <si>
    <t>XP_027452072.1 (+2)</t>
  </si>
  <si>
    <t>XP_027452072.1&amp;XP_027452073.1&amp;XP_027452074.1</t>
  </si>
  <si>
    <t>hexokinase-1 isoform X1 [Zalophus californianus]</t>
  </si>
  <si>
    <t>XP_027452080.1</t>
  </si>
  <si>
    <t>protein FAM49B isoform X3 [Zalophus californianus]</t>
  </si>
  <si>
    <t>XP_027452089.1 (+1)</t>
  </si>
  <si>
    <t>XP_027452089.1&amp;XP_027452090.1</t>
  </si>
  <si>
    <t>phenazine biosynthesis-like domain-containing protein isoform X1 [Zalophus californianus]</t>
  </si>
  <si>
    <t>XP_027452096.1</t>
  </si>
  <si>
    <t>inorganic pyrophosphatase [Zalophus californianus]</t>
  </si>
  <si>
    <t>XP_027452101.1 (+2)</t>
  </si>
  <si>
    <t>XP_027452101.1&amp;XP_027452102.1&amp;XP_027452104.1</t>
  </si>
  <si>
    <t>glutaredoxin-3 isoform X1 [Zalophus californianus]</t>
  </si>
  <si>
    <t>XP_027452131.1 (+4)</t>
  </si>
  <si>
    <t>XP_027452131.1&amp;XP_027452133.1&amp;XP_027452134.1&amp;XP_027452135.1&amp;XP_027452136.1</t>
  </si>
  <si>
    <t>disintegrin and metalloproteinase domain-containing protein 12 isoform X1 [Zalophus californianus]</t>
  </si>
  <si>
    <t>XP_027452150.1</t>
  </si>
  <si>
    <t>NHL repeat-containing protein 2 [Zalophus californianus]</t>
  </si>
  <si>
    <t>XP_027452152.1</t>
  </si>
  <si>
    <t>XP_027452152.1, XP_027452153.1</t>
  </si>
  <si>
    <t>BAG family molecular chaperone regulator 3 isoform X1 [Zalophus californianus]</t>
  </si>
  <si>
    <t>XP_027452153.1</t>
  </si>
  <si>
    <t>BAG family molecular chaperone regulator 3 isoform X2 [Zalophus californianus]</t>
  </si>
  <si>
    <t>XP_027452190.1 (+1)</t>
  </si>
  <si>
    <t>XP_027452190.1&amp;XP_027452198.1</t>
  </si>
  <si>
    <t>6-phosphogluconate dehydrogenase, decarboxylating isoform X1 [Zalophus californianus]</t>
  </si>
  <si>
    <t>XP_027452251.1 (+1)</t>
  </si>
  <si>
    <t>XP_027452251.1&amp;XP_027452252.1</t>
  </si>
  <si>
    <t>serine protease HTRA1 isoform X1 [Zalophus californianus]</t>
  </si>
  <si>
    <t>XP_027452298.1</t>
  </si>
  <si>
    <t>XP_027452298.1, XP_027456154.1</t>
  </si>
  <si>
    <t>annexin A11 [Zalophus californianus]_x0001_XP_027452297.1 annexin A11 [Zalophus californianus]</t>
  </si>
  <si>
    <t>XP_027452390.1</t>
  </si>
  <si>
    <t>glutathione S-transferase omega-1 [Zalophus californianus]</t>
  </si>
  <si>
    <t>XP_027452391.1</t>
  </si>
  <si>
    <t>retinol-binding protein 4 [Zalophus californianus]</t>
  </si>
  <si>
    <t>XP_027452404.1 (+1)</t>
  </si>
  <si>
    <t>XP_027452404.1&amp;XP_027452405.1</t>
  </si>
  <si>
    <t>xaa-Pro aminopeptidase 1 isoform X1 [Zalophus californianus]</t>
  </si>
  <si>
    <t>XP_027452409.1 (+2)</t>
  </si>
  <si>
    <t>XP_027452409.1&amp;XP_027452410.1&amp;XP_027452411.1</t>
  </si>
  <si>
    <t>vacuolar protein sorting-associated protein 26A isoform X1 [Zalophus californianus]</t>
  </si>
  <si>
    <t>XP_027452416.1</t>
  </si>
  <si>
    <t>aspartate aminotransferase, cytoplasmic [Zalophus californianus]</t>
  </si>
  <si>
    <t>XP_027452417.1</t>
  </si>
  <si>
    <t>XP_027426213.1, XP_027432596.1, XP_027436809.1, XP_027441932.1, XP_027452417.1, XP_027472554.1, XP_027477380.1, XP_027478972.1</t>
  </si>
  <si>
    <t>ras-related protein Rab-4A isoform X1 [Zalophus californianus]</t>
  </si>
  <si>
    <t>XP_027452476.1</t>
  </si>
  <si>
    <t>coatomer subunit delta isoform X1 [Zalophus californianus]</t>
  </si>
  <si>
    <t>XP_027452504.1</t>
  </si>
  <si>
    <t>lysosomal acid lipase/cholesteryl ester hydrolase [Zalophus californianus]_x0001_XP_027452503.1 lysosomal acid lipase/cholesteryl ester hydrolase [Zalophus californianus]</t>
  </si>
  <si>
    <t>XP_027452633.1 (+2)</t>
  </si>
  <si>
    <t>XP_027452633.1&amp;XP_027452634.1&amp;XP_027452635.1</t>
  </si>
  <si>
    <t>2-aminoethanethiol dioxygenase isoform X1 [Zalophus californianus]</t>
  </si>
  <si>
    <t>XP_027452658.1</t>
  </si>
  <si>
    <t>proline-rich acidic protein 1 [Zalophus californianus]</t>
  </si>
  <si>
    <t>XP_027452692.1 (+3)</t>
  </si>
  <si>
    <t>XP_027452692.1&amp;XP_027452693.1&amp;XP_027452696.1&amp;XP_027452697.1</t>
  </si>
  <si>
    <t>heterogeneous nuclear ribonucleoprotein H3 isoform X1 [Zalophus californianus]_x0001_XP_027452691.1 heterogeneous nuclear ribonucleoprotein H3 isoform X1 [Zalophus californianus]_x0001_XP_027452690.1 heterogeneous nuclear ribonucleoprotein H3 isoform X1 [Zalophus californianus]_x0001_XP_027452688.1 heterogeneous nuclear ribonucleoprotein H3 isoform X1 [Zalophus californianus]</t>
  </si>
  <si>
    <t>XP_027452724.1</t>
  </si>
  <si>
    <t>aflatoxin B1 aldehyde reductase member 4 [Zalophus californianus]</t>
  </si>
  <si>
    <t>XP_027452750.1 (+19)</t>
  </si>
  <si>
    <t>XP_027452750.1&amp;XP_027452751.1&amp;XP_027452752.1&amp;XP_027452753.1&amp;XP_027452754.1&amp;XP_027452755.1&amp;XP_027452756.1&amp;XP_027452757.1&amp;XP_027452758.1&amp;XP_027452760.1&amp;XP_027452761.1&amp;XP_027452762.1&amp;XP_027452763.1&amp;XP_027452764.1&amp;XP_027452765.1&amp;XP_027452766.1&amp;XP_027452767.1&amp;XP_027452768.1&amp;XP_027452769.1&amp;XP_027452770.1</t>
  </si>
  <si>
    <t>actin-binding LIM protein 1 isoform X1 [Zalophus californianus]</t>
  </si>
  <si>
    <t>XP_027452794.1 (+1)</t>
  </si>
  <si>
    <t>XP_027452794.1&amp;XP_027452795.1</t>
  </si>
  <si>
    <t>disintegrin and metalloproteinase domain-containing protein 8 isoform X1 [Zalophus californianus]</t>
  </si>
  <si>
    <t>XP_027452850.1</t>
  </si>
  <si>
    <t>enoyl-CoA hydratase, mitochondrial [Zalophus californianus]</t>
  </si>
  <si>
    <t>XP_027452873.1</t>
  </si>
  <si>
    <t>gamma-synuclein [Zalophus californianus]</t>
  </si>
  <si>
    <t>XP_027452874.1</t>
  </si>
  <si>
    <t>adipogenesis regulatory factor [Zalophus californianus]</t>
  </si>
  <si>
    <t>XP_027452908.1</t>
  </si>
  <si>
    <t>pulmonary surfactant-associated protein D [Zalophus californianus]</t>
  </si>
  <si>
    <t>XP_027452943.1 (+1)</t>
  </si>
  <si>
    <t>XP_027452943.1&amp;XP_027452944.1</t>
  </si>
  <si>
    <t>thioredoxin-dependent peroxide reductase, mitochondrial isoform X1 [Zalophus californianus]</t>
  </si>
  <si>
    <t>XP_027452951.1</t>
  </si>
  <si>
    <t>phospholysine phosphohistidine inorganic pyrophosphate phosphatase isoform X1 [Zalophus californianus]</t>
  </si>
  <si>
    <t>XP_027452965.1</t>
  </si>
  <si>
    <t>angiotensinogen isoform X1 [Zalophus californianus]</t>
  </si>
  <si>
    <t>XP_027452987.1</t>
  </si>
  <si>
    <t>urokinase-type plasminogen activator [Zalophus californianus]</t>
  </si>
  <si>
    <t>XP_027453002.1 (+1)</t>
  </si>
  <si>
    <t>XP_027453002.1&amp;XP_027478782.1</t>
  </si>
  <si>
    <t>alpha-centractin [Zalophus californianus]</t>
  </si>
  <si>
    <t>XP_027453012.1 (+1)</t>
  </si>
  <si>
    <t>XP_027453012.1&amp;XP_027453013.1</t>
  </si>
  <si>
    <t>annexin A7 isoform X1 [Zalophus californianus]</t>
  </si>
  <si>
    <t>XP_027453019.1</t>
  </si>
  <si>
    <t>carboxypeptidase N catalytic chain isoform X1 [Zalophus californianus]</t>
  </si>
  <si>
    <t>XP_027453028.1 (+1)</t>
  </si>
  <si>
    <t>XP_027453028.1&amp;XP_027453037.1</t>
  </si>
  <si>
    <t>F-actin-capping protein subunit alpha-1 isoform X1 [Zalophus californianus]</t>
  </si>
  <si>
    <t>XP_027453069.1</t>
  </si>
  <si>
    <t>rho-related GTP-binding protein RhoC [Zalophus californianus]</t>
  </si>
  <si>
    <t>XP_027453163.1</t>
  </si>
  <si>
    <t>dentin matrix acidic phosphoprotein 1 [Zalophus californianus]_x0001_XP_027453162.1 dentin matrix acidic phosphoprotein 1 [Zalophus californianus]_x0001_XP_027453161.1 dentin matrix acidic phosphoprotein 1 [Zalophus californianus]</t>
  </si>
  <si>
    <t>XP_027453310.1</t>
  </si>
  <si>
    <t>beta-defensin 1 [Zalophus californianus]</t>
  </si>
  <si>
    <t>XP_027453317.1</t>
  </si>
  <si>
    <t>fatty acid-binding protein, intestinal [Zalophus californianus]</t>
  </si>
  <si>
    <t>XP_027453355.1 (+1)</t>
  </si>
  <si>
    <t>XP_027453355.1&amp;XP_027453357.1</t>
  </si>
  <si>
    <t>XP_027453355.1, XP_027461402.1</t>
  </si>
  <si>
    <t>heterogeneous nuclear ribonucleoprotein D0 isoform X1 [Zalophus californianus]</t>
  </si>
  <si>
    <t>XP_027453370.1 (+1)</t>
  </si>
  <si>
    <t>XP_027453370.1&amp;XP_027453371.1</t>
  </si>
  <si>
    <t>clusterin isoform X1 [Zalophus californianus]</t>
  </si>
  <si>
    <t>XP_027453373.1</t>
  </si>
  <si>
    <t>XP_027453373.1, XP_027465270.1</t>
  </si>
  <si>
    <t>extracellular superoxide dismutase [Cu-Zn] isoform X2 [Zalophus californianus]</t>
  </si>
  <si>
    <t>XP_027453443.1 (+11)</t>
  </si>
  <si>
    <t>XP_027453443.1&amp;XP_027453444.1&amp;XP_027453445.1&amp;XP_027453446.1&amp;XP_027453447.1&amp;XP_027453449.1&amp;XP_027453450.1&amp;XP_027453451.1&amp;XP_027453452.1&amp;XP_027453453.1&amp;XP_027453454.1&amp;XP_027453455.1</t>
  </si>
  <si>
    <t>ankyrin-1 isoform X1 [Zalophus californianus]</t>
  </si>
  <si>
    <t>XP_027453461.1 (+4)</t>
  </si>
  <si>
    <t>XP_027453461.1&amp;XP_027453462.1&amp;XP_027453463.1&amp;XP_027453464.1&amp;XP_027453465.1</t>
  </si>
  <si>
    <t>synaptopodin-2 isoform X1 [Zalophus californianus]</t>
  </si>
  <si>
    <t>XP_027453470.1 (+1)</t>
  </si>
  <si>
    <t>XP_027453470.1&amp;XP_027453472.1</t>
  </si>
  <si>
    <t>myozenin-2 isoform X1 [Zalophus californianus]</t>
  </si>
  <si>
    <t>XP_027453493.1 (+1)</t>
  </si>
  <si>
    <t>XP_027453493.1&amp;XP_027453501.1</t>
  </si>
  <si>
    <t>protein NDRG1 isoform X1 [Zalophus californianus]</t>
  </si>
  <si>
    <t>XP_027453526.1</t>
  </si>
  <si>
    <t>OCIA domain-containing protein 1 isoform X1 [Zalophus californianus]_x0001_XP_027453518.1 OCIA domain-containing protein 1 isoform X1 [Zalophus californianus]_x0001_XP_027453517.1 OCIA domain-containing protein 1 isoform X1 [Zalophus californianus]_x0001_XP_027453516.1 OCIA domain-containing protein 1 isoform X1 [Zalophus californianus]_x0001_XP_027453515.1 OCIA domain-containing protein 1 isoform X1 [Zalophus californianus]</t>
  </si>
  <si>
    <t>XP_027453537.1 (+1)</t>
  </si>
  <si>
    <t>XP_027453537.1&amp;XP_027453538.1</t>
  </si>
  <si>
    <t>alpha-L-iduronidase isoform X1 [Zalophus californianus]</t>
  </si>
  <si>
    <t>XP_027453625.1 (+2)</t>
  </si>
  <si>
    <t>XP_027453625.1&amp;XP_027453626.1&amp;XP_027453628.1</t>
  </si>
  <si>
    <t>angiopoietin-2 isoform X1 [Zalophus californianus]</t>
  </si>
  <si>
    <t>XP_027453647.1 (+2)</t>
  </si>
  <si>
    <t>XP_027453647.1&amp;XP_027453648.1&amp;XP_027453649.1</t>
  </si>
  <si>
    <t>lipopolysaccharide-responsive and beige-like anchor protein isoform X1 [Zalophus californianus]</t>
  </si>
  <si>
    <t>XP_027453707.1</t>
  </si>
  <si>
    <t>complement factor I [Zalophus californianus]</t>
  </si>
  <si>
    <t>XP_027453732.1</t>
  </si>
  <si>
    <t>insulin-like growth factor-binding protein 7 [Zalophus californianus]</t>
  </si>
  <si>
    <t>XP_027453738.1 (+2)</t>
  </si>
  <si>
    <t>XP_027453738.1&amp;XP_027453739.1&amp;XP_027453740.1</t>
  </si>
  <si>
    <t>SPARC-like protein 1 isoform X1 [Zalophus californianus]_x0001_XP_027453737.1 SPARC-like protein 1 isoform X1 [Zalophus californianus]_x0001_XP_027453736.1 SPARC-like protein 1 isoform X1 [Zalophus californianus]_x0001_XP_027453734.1 SPARC-like protein 1 isoform X1 [Zalophus californianus]_x0001_XP_027453733.1 SPARC-like protein 1 isoform X1 [Zalophus californianus]</t>
  </si>
  <si>
    <t>XP_027453770.1 (+1)</t>
  </si>
  <si>
    <t>XP_027453770.1&amp;XP_027453772.1</t>
  </si>
  <si>
    <t>mast/stem cell growth factor receptor Kit isoform X2 [Zalophus californianus]</t>
  </si>
  <si>
    <t>XP_027453777.1 (+6)</t>
  </si>
  <si>
    <t>XP_027453777.1&amp;XP_027453778.1&amp;XP_027453779.1&amp;XP_027453780.1&amp;XP_027453781.1&amp;XP_027453783.1&amp;XP_027453784.1</t>
  </si>
  <si>
    <t>fibroblast growth factor receptor 1 isoform X3 [Zalophus californianus]</t>
  </si>
  <si>
    <t>XP_027453794.1 (+2)</t>
  </si>
  <si>
    <t>XP_027453794.1&amp;XP_027453795.1&amp;XP_027453798.1</t>
  </si>
  <si>
    <t>scavenger receptor class A member 3 isoform X1 [Zalophus californianus]</t>
  </si>
  <si>
    <t>XP_027453834.1 (+2)</t>
  </si>
  <si>
    <t>XP_027453834.1&amp;XP_027453843.1&amp;XP_027453861.1</t>
  </si>
  <si>
    <t>60S ribosomal protein L5 isoform X1 [Zalophus californianus]</t>
  </si>
  <si>
    <t>XP_027453891.1</t>
  </si>
  <si>
    <t>fibrinogen beta chain [Zalophus californianus]</t>
  </si>
  <si>
    <t>XP_027453901.1</t>
  </si>
  <si>
    <t>anthrax toxin receptor 2 [Zalophus californianus]</t>
  </si>
  <si>
    <t>XP_027453908.1 (+1)</t>
  </si>
  <si>
    <t>XP_027453908.1&amp;XP_027453910.1</t>
  </si>
  <si>
    <t>kinesin-like protein KIF13B isoform X1 [Zalophus californianus]</t>
  </si>
  <si>
    <t>XP_027453948.1 (+4)</t>
  </si>
  <si>
    <t>XP_027453948.1&amp;XP_027453949.1&amp;XP_027453951.1&amp;XP_027453953.1&amp;XP_027453954.1</t>
  </si>
  <si>
    <t>electrogenic sodium bicarbonate cotransporter 1 isoform X1 [Zalophus californianus]</t>
  </si>
  <si>
    <t>XP_027453993.1</t>
  </si>
  <si>
    <t>stathmin [Zalophus californianus]_x0001_XP_027458723.1 stathmin [Zalophus californianus]_x0001_XP_027458716.1 stathmin [Zalophus californianus]_x0001_XP_027458707.1 stathmin [Zalophus californianus]_x0001_XP_027458697.1 stathmin [Zalophus californianus]_x0001_XP_027458690.1 stathmin [Zalophus californianus]_x0001_XP_027458683.1 stathmin [Zalophus californianus]</t>
  </si>
  <si>
    <t>XP_027454008.1</t>
  </si>
  <si>
    <t>lipoprotein lipase [Zalophus californianus]</t>
  </si>
  <si>
    <t>XP_027454056.1</t>
  </si>
  <si>
    <t>homeodomain-only protein [Zalophus californianus]_x0001_XP_027454055.1 homeodomain-only protein [Zalophus californianus]_x0001_XP_027454054.1 homeodomain-only protein [Zalophus californianus]_x0001_XP_027454052.1 homeodomain-only protein [Zalophus californianus]_x0001_XP_027454051.1 homeodomain-only protein [Zalophus californianus]_x0001_XP_027454050.1 homeodomain-only protein [Zalophus californianus]</t>
  </si>
  <si>
    <t>XP_027454057.1 (+1)</t>
  </si>
  <si>
    <t>XP_027454057.1&amp;XP_027478976.1</t>
  </si>
  <si>
    <t>serine protease inhibitor Kazal-type 2 isoform X1 [Zalophus californianus]</t>
  </si>
  <si>
    <t>XP_027454117.1 (+2)</t>
  </si>
  <si>
    <t>XP_027454117.1&amp;XP_027454118.1&amp;XP_027454123.1</t>
  </si>
  <si>
    <t>enolase-phosphatase E1 isoform X1 [Zalophus californianus]</t>
  </si>
  <si>
    <t>XP_027454138.1</t>
  </si>
  <si>
    <t>glutathione reductase, mitochondrial isoform X1 [Zalophus californianus]</t>
  </si>
  <si>
    <t>XP_027454139.1 (+2)</t>
  </si>
  <si>
    <t>XP_027454139.1&amp;XP_027454145.1&amp;XP_027454146.1</t>
  </si>
  <si>
    <t>lymphocyte function-associated antigen 3 isoform X1 [Zalophus californianus]</t>
  </si>
  <si>
    <t>XP_027454171.1</t>
  </si>
  <si>
    <t>WD repeat-containing protein 1 [Zalophus californianus]</t>
  </si>
  <si>
    <t>XP_027454212.1 (+1)</t>
  </si>
  <si>
    <t>XP_027454212.1&amp;XP_027454213.1</t>
  </si>
  <si>
    <t>multifunctional protein ADE2 isoform X1 [Zalophus californianus]</t>
  </si>
  <si>
    <t>XP_027454217.1 (+2)</t>
  </si>
  <si>
    <t>XP_027454217.1&amp;XP_027454218.1&amp;XP_027454219.1</t>
  </si>
  <si>
    <t>bone morphogenetic protein 1 isoform X1 [Zalophus californianus]</t>
  </si>
  <si>
    <t>XP_027454228.1 (+1)</t>
  </si>
  <si>
    <t>XP_027454228.1&amp;XP_027454230.1</t>
  </si>
  <si>
    <t>indoleamine 2,3-dioxygenase 2 isoform X1 [Zalophus californianus]</t>
  </si>
  <si>
    <t>XP_027454276.1</t>
  </si>
  <si>
    <t>rab11 family-interacting protein 1 isoform X1 [Zalophus californianus]</t>
  </si>
  <si>
    <t>XP_027454280.1</t>
  </si>
  <si>
    <t>protein S100-P [Zalophus californianus]</t>
  </si>
  <si>
    <t>XP_027454328.1</t>
  </si>
  <si>
    <t>3-hydroxybutyrate dehydrogenase type 2 isoform X1 [Zalophus californianus]</t>
  </si>
  <si>
    <t>XP_027454339.1 (+1)</t>
  </si>
  <si>
    <t>XP_027454339.1&amp;XP_027454343.1</t>
  </si>
  <si>
    <t>ubiquitin-conjugating enzyme E2 D3 isoform X1 [Zalophus californianus]_x0001_XP_027454338.1 ubiquitin-conjugating enzyme E2 D3 isoform X1 [Zalophus californianus]_x0001_XP_027454337.1 ubiquitin-conjugating enzyme E2 D3 isoform X1 [Zalophus californianus]_x0001_XP_027454335.1 ubiquitin-conjugating enzyme E2 D3 isoform X1 [Zalophus californianus]_x0001_XP_027454334.1 ubiquitin-conjugating enzyme E2 D3 isoform X1 [Zalophus californianus]</t>
  </si>
  <si>
    <t>XP_027454350.1</t>
  </si>
  <si>
    <t>transcription factor BTF3 homolog 4 [Zalophus californianus]_x0001_XP_027454345.1 transcription factor BTF3 homolog 4 [Zalophus californianus]_x0001_XP_027454336.1 transcription factor BTF3 homolog 4 [Zalophus californianus]</t>
  </si>
  <si>
    <t>XP_027454527.1</t>
  </si>
  <si>
    <t>pleckstrin homology domain-containing family A member 2 [Zalophus californianus]_x0001_XP_027454526.1 pleckstrin homology domain-containing family A member 2 [Zalophus californianus]</t>
  </si>
  <si>
    <t>XP_027454562.1 (+1)</t>
  </si>
  <si>
    <t>XP_027454562.1&amp;XP_027454563.1</t>
  </si>
  <si>
    <t>microsomal triglyceride transfer protein large subunit isoform X1 [Zalophus californianus]</t>
  </si>
  <si>
    <t>XP_027454613.1</t>
  </si>
  <si>
    <t>cytosol aminopeptidase [Zalophus californianus]</t>
  </si>
  <si>
    <t>XP_027454631.1</t>
  </si>
  <si>
    <t>ubiquitin carboxyl-terminal hydrolase isozyme L1 [Zalophus californianus]</t>
  </si>
  <si>
    <t>XP_027454635.1</t>
  </si>
  <si>
    <t>starch-binding domain-containing protein 1 isoform X1 [Zalophus californianus]</t>
  </si>
  <si>
    <t>XP_027454693.1</t>
  </si>
  <si>
    <t>PDZ and LIM domain protein 3 isoform X1 [Zalophus californianus]</t>
  </si>
  <si>
    <t>XP_027454752.1</t>
  </si>
  <si>
    <t>membrane-associated progesterone receptor component 2 [Zalophus californianus]</t>
  </si>
  <si>
    <t>XP_027454765.1 (+7)</t>
  </si>
  <si>
    <t>XP_027454765.1&amp;XP_027454766.1&amp;XP_027454767.1&amp;XP_027454768.1&amp;XP_027454770.1&amp;XP_027454771.1&amp;XP_027454772.1&amp;XP_027454773.1</t>
  </si>
  <si>
    <t>alpha-adducin isoform X1 [Zalophus californianus]_x0001_XP_027454763.1 alpha-adducin isoform X1 [Zalophus californianus]_x0001_XP_027454762.1 alpha-adducin isoform X1 [Zalophus californianus]</t>
  </si>
  <si>
    <t>XP_027454793.1 (+1)</t>
  </si>
  <si>
    <t>XP_027454793.1&amp;XP_027454795.1</t>
  </si>
  <si>
    <t>erlin-2 isoform X1 [Zalophus californianus]</t>
  </si>
  <si>
    <t>XP_027454801.1</t>
  </si>
  <si>
    <t>cathepsin B [Zalophus californianus]</t>
  </si>
  <si>
    <t>XP_027454812.1 (+1)</t>
  </si>
  <si>
    <t>XP_027454812.1&amp;XP_027454818.1</t>
  </si>
  <si>
    <t>calsyntenin-1 isoform X1 [Zalophus californianus]</t>
  </si>
  <si>
    <t>XP_027454839.1 (+1)</t>
  </si>
  <si>
    <t>XP_027454839.1&amp;XP_027454841.1</t>
  </si>
  <si>
    <t>ADAM DEC1 isoform X1 [Zalophus californianus]</t>
  </si>
  <si>
    <t>XP_027454849.1</t>
  </si>
  <si>
    <t>ATP synthase F(0) complex subunit B1, mitochondrial [Zalophus californianus]</t>
  </si>
  <si>
    <t>XP_027454861.1 (+1)</t>
  </si>
  <si>
    <t>XP_027454861.1&amp;XP_027454862.1</t>
  </si>
  <si>
    <t>hydroxyacyl-coenzyme A dehydrogenase, mitochondrial isoform X1 [Zalophus californianus]</t>
  </si>
  <si>
    <t>XP_027454871.1</t>
  </si>
  <si>
    <t>hepatocyte growth factor activator [Zalophus californianus]</t>
  </si>
  <si>
    <t>XP_027454878.1</t>
  </si>
  <si>
    <t>XP_027454878.1, XP_027464855.1, XP_027465219.1</t>
  </si>
  <si>
    <t>ADP/ATP translocase 1 [Zalophus californianus]</t>
  </si>
  <si>
    <t>XP_027454897.1</t>
  </si>
  <si>
    <t>XP_027454897.1, XP_027477397.1</t>
  </si>
  <si>
    <t>V-type proton ATPase subunit B, brain isoform [Zalophus californianus]</t>
  </si>
  <si>
    <t>XP_027454935.1</t>
  </si>
  <si>
    <t>scrapie-responsive protein 1 [Zalophus californianus]</t>
  </si>
  <si>
    <t>XP_027454953.1</t>
  </si>
  <si>
    <t>growth-regulated protein homolog beta-like [Zalophus californianus]</t>
  </si>
  <si>
    <t>XP_027454968.1 (+1)</t>
  </si>
  <si>
    <t>XP_027454968.1&amp;XP_027454969.1</t>
  </si>
  <si>
    <t>eukaryotic translation initiation factor 4E isoform X1 [Zalophus californianus]</t>
  </si>
  <si>
    <t>XP_027455015.1 (+3)</t>
  </si>
  <si>
    <t>XP_027455015.1&amp;XP_027455016.1&amp;XP_027455017.1&amp;XP_027455019.1</t>
  </si>
  <si>
    <t>XP_027455015.1, XP_027474404.1</t>
  </si>
  <si>
    <t>coagulation factor XI isoform X1 [Zalophus californianus]</t>
  </si>
  <si>
    <t>XP_027455037.1</t>
  </si>
  <si>
    <t>XP_027455037.1, XP_027455039.1</t>
  </si>
  <si>
    <t>ecto-ADP-ribosyltransferase 3 isoform X1 [Zalophus californianus]_x0001_XP_027455036.1 ecto-ADP-ribosyltransferase 3 isoform X1 [Zalophus californianus]</t>
  </si>
  <si>
    <t>XP_027455039.1</t>
  </si>
  <si>
    <t>ecto-ADP-ribosyltransferase 3 isoform X3 [Zalophus californianus]</t>
  </si>
  <si>
    <t>XP_027455046.1</t>
  </si>
  <si>
    <t>eukaryotic translation initiation factor 4E-binding protein 1 [Zalophus californianus]</t>
  </si>
  <si>
    <t>XP_027455089.1 (+1)</t>
  </si>
  <si>
    <t>XP_027455089.1&amp;XP_027455090.1</t>
  </si>
  <si>
    <t>carboxypeptidase Z isoform X1 [Zalophus californianus]</t>
  </si>
  <si>
    <t>XP_027455145.1</t>
  </si>
  <si>
    <t>fibrinogen gamma chain isoform X1 [Zalophus californianus]</t>
  </si>
  <si>
    <t>XP_027455166.1</t>
  </si>
  <si>
    <t>alpha-endosulfine [Zalophus californianus]</t>
  </si>
  <si>
    <t>XP_027455223.1 (+1)</t>
  </si>
  <si>
    <t>XP_027455223.1&amp;XP_027455230.1</t>
  </si>
  <si>
    <t>podocan isoform X1 [Zalophus californianus]_x0001_XP_027455209.1 podocan isoform X1 [Zalophus californianus]_x0001_XP_027455190.1 podocan isoform X1 [Zalophus californianus]</t>
  </si>
  <si>
    <t>XP_027455275.1</t>
  </si>
  <si>
    <t>tissue-type plasminogen activator [Zalophus californianus]_x0001_XP_027455274.1 tissue-type plasminogen activator [Zalophus californianus]</t>
  </si>
  <si>
    <t>XP_027455285.1 (+1)</t>
  </si>
  <si>
    <t>XP_027455285.1&amp;XP_027455286.1</t>
  </si>
  <si>
    <t>ubiquitin-conjugating enzyme E2 K isoform X1 [Zalophus californianus]</t>
  </si>
  <si>
    <t>XP_027455319.1</t>
  </si>
  <si>
    <t>acid ceramidase [Zalophus californianus]</t>
  </si>
  <si>
    <t>XP_027455382.1</t>
  </si>
  <si>
    <t>N-acylethanolamine-hydrolyzing acid amidase [Zalophus californianus]</t>
  </si>
  <si>
    <t>XP_027455476.1 (+5)</t>
  </si>
  <si>
    <t>XP_027455476.1&amp;XP_027455489.1&amp;XP_027455498.1&amp;XP_027455506.1&amp;XP_027455514.1&amp;XP_027455518.1</t>
  </si>
  <si>
    <t>far upstream element-binding protein 1 isoform X1 [Zalophus californianus]</t>
  </si>
  <si>
    <t>XP_027455517.1</t>
  </si>
  <si>
    <t>glutamyl aminopeptidase [Zalophus californianus]</t>
  </si>
  <si>
    <t>XP_027455593.1</t>
  </si>
  <si>
    <t>phosphoglucomutase-2 [Zalophus californianus]</t>
  </si>
  <si>
    <t>XP_027455597.1</t>
  </si>
  <si>
    <t>cytokine-like protein 1 [Zalophus californianus]</t>
  </si>
  <si>
    <t>XP_027455598.1</t>
  </si>
  <si>
    <t>stanniocalcin-1 [Zalophus californianus]</t>
  </si>
  <si>
    <t>XP_027455599.1</t>
  </si>
  <si>
    <t>annexin A10 [Zalophus californianus]</t>
  </si>
  <si>
    <t>XP_027455602.1</t>
  </si>
  <si>
    <t>fibrinogen alpha chain [Zalophus californianus]</t>
  </si>
  <si>
    <t>XP_027455616.1</t>
  </si>
  <si>
    <t>immunoglobulin J chain [Zalophus californianus]</t>
  </si>
  <si>
    <t>XP_027455618.1</t>
  </si>
  <si>
    <t>alcohol dehydrogenase class-3 [Zalophus californianus]</t>
  </si>
  <si>
    <t>XP_027455683.1</t>
  </si>
  <si>
    <t>fibrinogen-like protein 1 [Zalophus californianus]</t>
  </si>
  <si>
    <t>XP_027455725.1 (+1)</t>
  </si>
  <si>
    <t>XP_027455725.1&amp;XP_027455726.1</t>
  </si>
  <si>
    <t>alpha-synuclein isoform X1 [Zalophus californianus]_x0001_XP_027455724.1 alpha-synuclein isoform X1 [Zalophus californianus]_x0001_XP_027455723.1 alpha-synuclein isoform X1 [Zalophus californianus]_x0001_XP_027455722.1 alpha-synuclein isoform X1 [Zalophus californianus]_x0001_XP_027455721.1 alpha-synuclein isoform X1 [Zalophus californianus]_x0001_XP_027455720.1 alpha-synuclein isoform X1 [Zalophus californianus]</t>
  </si>
  <si>
    <t>XP_027455730.1 (+2)</t>
  </si>
  <si>
    <t>XP_027455730.1&amp;XP_027455731.1&amp;XP_027455732.1</t>
  </si>
  <si>
    <t>serine protease HTRA3 isoform X1 [Zalophus californianus]</t>
  </si>
  <si>
    <t>XP_027455734.1</t>
  </si>
  <si>
    <t>N(4)-(beta-N-acetylglucosaminyl)-L-asparaginase [Zalophus californianus]</t>
  </si>
  <si>
    <t>XP_027455738.1</t>
  </si>
  <si>
    <t>vitamin D-binding protein [Zalophus californianus]_x0001_XP_027455737.1 vitamin D-binding protein [Zalophus californianus]</t>
  </si>
  <si>
    <t>XP_027455755.1</t>
  </si>
  <si>
    <t>60S ribosomal protein L34 [Zalophus californianus]</t>
  </si>
  <si>
    <t>XP_027455764.1 (+14)</t>
  </si>
  <si>
    <t>XP_027455764.1&amp;XP_027455766.1&amp;XP_027455767.1&amp;XP_027455769.1&amp;XP_027455770.1&amp;XP_027455771.1&amp;XP_027455772.1&amp;XP_027455773.1&amp;XP_027455774.1&amp;XP_027455775.1&amp;XP_027455776.1&amp;XP_027455778.1&amp;XP_027455780.1&amp;XP_027455781.1&amp;XP_027455782.1</t>
  </si>
  <si>
    <t>protein transport protein Sec31A isoform X1 [Zalophus californianus]_x0001_XP_027455763.1 protein transport protein Sec31A isoform X1 [Zalophus californianus]_x0001_XP_027455762.1 protein transport protein Sec31A isoform X1 [Zalophus californianus]</t>
  </si>
  <si>
    <t>XP_027455784.1</t>
  </si>
  <si>
    <t>annexin A5 isoform X1 [Zalophus californianus]</t>
  </si>
  <si>
    <t>XP_027455788.1 (+1)</t>
  </si>
  <si>
    <t>XP_027455788.1&amp;XP_027455789.1</t>
  </si>
  <si>
    <t>ectonucleotide pyrophosphatase/phosphodiesterase family member 6 isoform X2 [Zalophus californianus]_x0001_XP_027455787.1 ectonucleotide pyrophosphatase/phosphodiesterase family member 6 isoform X1 [Zalophus californianus]</t>
  </si>
  <si>
    <t>XP_027455812.1</t>
  </si>
  <si>
    <t>platelet-derived growth factor receptor alpha [Zalophus californianus]_x0001_XP_027455811.1 platelet-derived growth factor receptor alpha [Zalophus californianus]_x0001_XP_027455810.1 platelet-derived growth factor receptor alpha [Zalophus californianus]</t>
  </si>
  <si>
    <t>XP_027455841.1</t>
  </si>
  <si>
    <t>XP_027455841.1, XP_027455842.1</t>
  </si>
  <si>
    <t>scavenger receptor class A member 5 isoform X1 [Zalophus californianus]</t>
  </si>
  <si>
    <t>XP_027455842.1</t>
  </si>
  <si>
    <t>scavenger receptor class A member 5 isoform X2 [Zalophus californianus]</t>
  </si>
  <si>
    <t>XP_027455879.1</t>
  </si>
  <si>
    <t>high mobility group protein B2 [Zalophus californianus]</t>
  </si>
  <si>
    <t>XP_027455928.1</t>
  </si>
  <si>
    <t>carbonic anhydrase 1 isoform X2 [Zalophus californianus]</t>
  </si>
  <si>
    <t>XP_027455930.1</t>
  </si>
  <si>
    <t>regulator of G-protein signaling 12 [Zalophus californianus]</t>
  </si>
  <si>
    <t>XP_027455961.1</t>
  </si>
  <si>
    <t>dihydropteridine reductase [Zalophus californianus]</t>
  </si>
  <si>
    <t>XP_027456033.1 (+3)</t>
  </si>
  <si>
    <t>XP_027456033.1&amp;XP_027456034.1&amp;XP_027456035.1&amp;XP_027456037.1</t>
  </si>
  <si>
    <t>A disintegrin and metalloproteinase with thrombospondin motifs 3 isoform X1 [Zalophus californianus]</t>
  </si>
  <si>
    <t>XP_027456080.1 (+1)</t>
  </si>
  <si>
    <t>XP_027456080.1&amp;XP_027456081.1</t>
  </si>
  <si>
    <t>afamin isoform X1 [Zalophus californianus]</t>
  </si>
  <si>
    <t>XP_027456084.1</t>
  </si>
  <si>
    <t>XP_027456084.1, XP_027458525.1, XP_027476813.1, XP_027479283.1</t>
  </si>
  <si>
    <t>elongation factor 1-alpha 1-like [Zalophus californianus]</t>
  </si>
  <si>
    <t>XP_027456154.1</t>
  </si>
  <si>
    <t>annexin A3 [Zalophus californianus]</t>
  </si>
  <si>
    <t>XP_027456155.1</t>
  </si>
  <si>
    <t>secreted frizzled-related protein 1 [Zalophus californianus]</t>
  </si>
  <si>
    <t>XP_027456178.1 (+1)</t>
  </si>
  <si>
    <t>XP_027456178.1&amp;XP_027456179.1</t>
  </si>
  <si>
    <t>myomesin-2 isoform X1 [Zalophus californianus]_x0001_XP_027456177.1 myomesin-2 isoform X1 [Zalophus californianus]</t>
  </si>
  <si>
    <t>XP_027456259.1</t>
  </si>
  <si>
    <t>pro-epidermal growth factor isoform X1 [Zalophus californianus]</t>
  </si>
  <si>
    <t>XP_027456452.1 (+1)</t>
  </si>
  <si>
    <t>XP_027456452.1&amp;XP_027456453.1</t>
  </si>
  <si>
    <t>general vesicular transport factor p115 isoform X1 [Zalophus californianus]</t>
  </si>
  <si>
    <t>XP_027456474.1</t>
  </si>
  <si>
    <t>mitochondrial peptide methionine sulfoxide reductase isoform X1 [Zalophus californianus]</t>
  </si>
  <si>
    <t>XP_027456534.1</t>
  </si>
  <si>
    <t>multimerin-1 [Zalophus californianus]</t>
  </si>
  <si>
    <t>XP_027456550.1</t>
  </si>
  <si>
    <t>alcohol dehydrogenase 1B [Zalophus californianus]</t>
  </si>
  <si>
    <t>XP_027456698.1 (+1)</t>
  </si>
  <si>
    <t>XP_027456698.1&amp;XP_027456699.1</t>
  </si>
  <si>
    <t>phosphoacetylglucosamine mutase isoform X1 [Zalophus californianus]_x0001_XP_027456697.1 phosphoacetylglucosamine mutase isoform X1 [Zalophus californianus]</t>
  </si>
  <si>
    <t>XP_027456708.1 (+2)</t>
  </si>
  <si>
    <t>XP_027456708.1&amp;XP_027456716.1&amp;XP_027456717.1</t>
  </si>
  <si>
    <t>unconventional myosin-VI isoform X3 [Zalophus californianus]</t>
  </si>
  <si>
    <t>XP_027456771.1</t>
  </si>
  <si>
    <t>XP_027456771.1, XP_027456773.1</t>
  </si>
  <si>
    <t>tenascin-X isoform X1 [Zalophus californianus]_x0001_XP_027456770.1 tenascin-X isoform X1 [Zalophus californianus]_x0001_XP_027456769.1 tenascin-X isoform X1 [Zalophus californianus]_x0001_XP_027456768.1 tenascin-X isoform X1 [Zalophus californianus]</t>
  </si>
  <si>
    <t>XP_027456773.1</t>
  </si>
  <si>
    <t>tenascin-X isoform X3 [Zalophus californianus]</t>
  </si>
  <si>
    <t>XP_027456791.1 (+1)</t>
  </si>
  <si>
    <t>XP_027456791.1&amp;XP_027456792.1</t>
  </si>
  <si>
    <t>promotilin isoform X1 [Zalophus californianus]</t>
  </si>
  <si>
    <t>XP_027456795.1</t>
  </si>
  <si>
    <t>cytochrome c1, heme protein, mitochondrial [Zalophus californianus]</t>
  </si>
  <si>
    <t>XP_027456859.1 (+1)</t>
  </si>
  <si>
    <t>XP_027456859.1&amp;XP_027456867.1</t>
  </si>
  <si>
    <t>vacuolar protein sorting-associated protein 28 homolog isoform X1 [Zalophus californianus]_x0001_XP_027456852.1 vacuolar protein sorting-associated protein 28 homolog isoform X1 [Zalophus californianus]</t>
  </si>
  <si>
    <t>XP_027456929.1 (+3)</t>
  </si>
  <si>
    <t>XP_027456929.1&amp;XP_027456930.1&amp;XP_027456931.1&amp;XP_027456932.1</t>
  </si>
  <si>
    <t>XP_027456929.1, XP_027459535.1</t>
  </si>
  <si>
    <t>heterogeneous nuclear ribonucleoprotein Q isoform X1 [Zalophus californianus]</t>
  </si>
  <si>
    <t>XP_027456946.1 (+13)</t>
  </si>
  <si>
    <t>XP_027456946.1&amp;XP_027456948.1&amp;XP_027456950.1&amp;XP_027456951.1&amp;XP_027456952.1&amp;XP_027456953.1&amp;XP_027456954.1&amp;XP_027456955.1&amp;XP_027456956.1&amp;XP_027456958.1&amp;XP_027456959.1&amp;XP_027456960.1&amp;XP_027456961.1&amp;XP_027456962.1</t>
  </si>
  <si>
    <t>band 4.1-like protein 2 isoform X1 [Zalophus californianus]_x0001_XP_027456945.1 band 4.1-like protein 2 isoform X1 [Zalophus californianus]_x0001_XP_027456944.1 band 4.1-like protein 2 isoform X1 [Zalophus californianus]_x0001_XP_027456943.1 band 4.1-like protein 2 isoform X1 [Zalophus californianus]_x0001_XP_027456942.1 band 4.1-like protein 2 isoform X1 [Zalophus californianus]_x0001_XP_027456941.1 band 4.1-like protein 2 isoform X1 [Zalophus californianus]_x0001_XP_027456940.1 band 4.1-like protein 2 isoform X1 [Zalophus californianus]_x0001_XP_027456939.1 band 4.1-like protein 2 isoform X1 [Zalophus californianus]</t>
  </si>
  <si>
    <t>XP_027457001.1 (+3)</t>
  </si>
  <si>
    <t>XP_027457001.1&amp;XP_027457002.1&amp;XP_027457003.1&amp;XP_027457004.1</t>
  </si>
  <si>
    <t>CD2-associated protein isoform X1 [Zalophus californianus]</t>
  </si>
  <si>
    <t>XP_027457023.1</t>
  </si>
  <si>
    <t>sodium/potassium-transporting ATPase subunit alpha-1 [Zalophus californianus]</t>
  </si>
  <si>
    <t>XP_027457052.1</t>
  </si>
  <si>
    <t>superoxide dismutase [Mn], mitochondrial [Zalophus californianus]</t>
  </si>
  <si>
    <t>XP_027457059.1</t>
  </si>
  <si>
    <t>glutathione S-transferase A4 [Zalophus californianus]_x0001_XP_027457058.1 glutathione S-transferase A4 [Zalophus californianus]</t>
  </si>
  <si>
    <t>XP_027457062.1</t>
  </si>
  <si>
    <t>mannosyl-oligosaccharide 1,2-alpha-mannosidase IA isoform X1 [Zalophus californianus]_x0001_XP_027457061.1 mannosyl-oligosaccharide 1,2-alpha-mannosidase IA isoform X1 [Zalophus californianus]</t>
  </si>
  <si>
    <t>XP_027457158.1</t>
  </si>
  <si>
    <t>ezrin isoform X1 [Zalophus californianus]_x0001_XP_027457157.1 ezrin isoform X1 [Zalophus californianus]_x0001_XP_027457156.1 ezrin isoform X1 [Zalophus californianus]</t>
  </si>
  <si>
    <t>XP_027457280.1</t>
  </si>
  <si>
    <t>bcl-2-associated transcription factor 1 [Zalophus californianus]</t>
  </si>
  <si>
    <t>XP_027457287.1 (+1)</t>
  </si>
  <si>
    <t>XP_027457287.1&amp;XP_027457288.1</t>
  </si>
  <si>
    <t>cation-independent mannose-6-phosphate receptor isoform X1 [Zalophus californianus]</t>
  </si>
  <si>
    <t>XP_027457384.1 (+4)</t>
  </si>
  <si>
    <t>XP_027457384.1&amp;XP_027457386.1&amp;XP_027457388.1&amp;XP_027457390.1&amp;XP_027457391.1</t>
  </si>
  <si>
    <t>mitogen-activated protein kinase 14 isoform X1 [Zalophus californianus]_x0001_XP_027457383.1 mitogen-activated protein kinase 14 isoform X1 [Zalophus californianus]</t>
  </si>
  <si>
    <t>XP_027457399.1 (+1)</t>
  </si>
  <si>
    <t>XP_027457399.1&amp;XP_027457400.1</t>
  </si>
  <si>
    <t>phosphatidylinositol-glycan-specific phospholipase D isoform X1 [Zalophus californianus]</t>
  </si>
  <si>
    <t>XP_027457485.1</t>
  </si>
  <si>
    <t>XP_027437424.1, XP_027437434.1, XP_027437451.1, XP_027437459.1, XP_027437460.1, XP_027457485.1, XP_027459720.1</t>
  </si>
  <si>
    <t>LOW QUALITY PROTEIN: HLA class I histocompatibility antigen, B-45 alpha chain-like [Zalophus californianus]</t>
  </si>
  <si>
    <t>XP_027457487.1</t>
  </si>
  <si>
    <t>thioredoxin domain-containing protein 5 isoform X1 [Zalophus californianus]</t>
  </si>
  <si>
    <t>XP_027457505.1 (+1)</t>
  </si>
  <si>
    <t>XP_027457505.1&amp;XP_027457506.1</t>
  </si>
  <si>
    <t>E3 UFM1-protein ligase 1 isoform X1 [Zalophus californianus]</t>
  </si>
  <si>
    <t>XP_027457553.1</t>
  </si>
  <si>
    <t>serpin B9 [Zalophus californianus]_x0001_XP_027457552.1 serpin B9 [Zalophus californianus]_x0001_XP_027457551.1 serpin B9 [Zalophus californianus]</t>
  </si>
  <si>
    <t>XP_027457579.1</t>
  </si>
  <si>
    <t>2'-deoxynucleoside 5'-phosphate N-hydrolase 1 [Zalophus californianus]</t>
  </si>
  <si>
    <t>XP_027457585.1 (+1)</t>
  </si>
  <si>
    <t>XP_027457585.1&amp;XP_027457586.1</t>
  </si>
  <si>
    <t>glutamate--cysteine ligase catalytic subunit isoform X1 [Zalophus californianus]</t>
  </si>
  <si>
    <t>XP_027457674.1</t>
  </si>
  <si>
    <t>XP_027457674.1, XP_027457675.1</t>
  </si>
  <si>
    <t>high mobility group protein HMG-I/HMG-Y isoform X1 [Zalophus californianus]</t>
  </si>
  <si>
    <t>XP_027457675.1</t>
  </si>
  <si>
    <t>high mobility group protein HMG-I/HMG-Y isoform X2 [Zalophus californianus]</t>
  </si>
  <si>
    <t>XP_027457692.1</t>
  </si>
  <si>
    <t>C-_U-editing enzyme APOBEC-2 [Zalophus californianus]</t>
  </si>
  <si>
    <t>XP_027457701.1</t>
  </si>
  <si>
    <t>40S ribosomal protein S18 isoform X2 [Zalophus californianus]_x0001_XP_027457700.1 40S ribosomal protein S18 isoform X1 [Zalophus californianus]</t>
  </si>
  <si>
    <t>XP_027457702.1</t>
  </si>
  <si>
    <t>T-complex protein 1 subunit alpha [Zalophus californianus]</t>
  </si>
  <si>
    <t>XP_027457703.1</t>
  </si>
  <si>
    <t>acetyl-CoA acetyltransferase, cytosolic [Zalophus californianus]</t>
  </si>
  <si>
    <t>XP_027457733.1</t>
  </si>
  <si>
    <t>desmoplakin isoform X1 [Zalophus californianus]</t>
  </si>
  <si>
    <t>XP_027457737.1</t>
  </si>
  <si>
    <t>platelet-activating factor acetylhydrolase isoform X1 [Zalophus californianus]_x0001_XP_027457736.1 platelet-activating factor acetylhydrolase isoform X1 [Zalophus californianus]_x0001_XP_027457735.1 platelet-activating factor acetylhydrolase isoform X1 [Zalophus californianus]</t>
  </si>
  <si>
    <t>XP_027457752.1</t>
  </si>
  <si>
    <t>beta/gamma crystallin domain-containing protein 1 [Zalophus californianus]</t>
  </si>
  <si>
    <t>XP_027457781.1 (+1)</t>
  </si>
  <si>
    <t>XP_027457781.1&amp;XP_027457783.1</t>
  </si>
  <si>
    <t>collagen alpha-1(XII) chain isoform X1 [Zalophus californianus]</t>
  </si>
  <si>
    <t>XP_027457892.1 (+1)</t>
  </si>
  <si>
    <t>XP_027457892.1&amp;XP_027457893.1</t>
  </si>
  <si>
    <t>60S ribosomal protein L10a isoform X1 [Zalophus californianus]</t>
  </si>
  <si>
    <t>XP_027457907.1</t>
  </si>
  <si>
    <t>XP_027457907.1, XP_027470444.1, XP_027471511.1</t>
  </si>
  <si>
    <t>heterogeneous nuclear ribonucleoprotein K [Zalophus californianus]</t>
  </si>
  <si>
    <t>XP_027457924.1</t>
  </si>
  <si>
    <t>serine/arginine-rich splicing factor 3 [Zalophus californianus]</t>
  </si>
  <si>
    <t>XP_027457936.1</t>
  </si>
  <si>
    <t>myristoylated alanine-rich C-kinase substrate isoform X1 [Zalophus californianus]</t>
  </si>
  <si>
    <t>XP_027457979.1 (+1)</t>
  </si>
  <si>
    <t>XP_027457979.1&amp;XP_027457981.1</t>
  </si>
  <si>
    <t>sodium-dependent phosphate transport protein 4 isoform X1 [Zalophus californianus]</t>
  </si>
  <si>
    <t>XP_027457994.1</t>
  </si>
  <si>
    <t>endogenous retrovirus group V member 2 Env polyprotein-like [Zalophus californianus]</t>
  </si>
  <si>
    <t>XP_027458014.1</t>
  </si>
  <si>
    <t>tyrosine-protein kinase receptor Tie-1 [Zalophus californianus]</t>
  </si>
  <si>
    <t>XP_027458029.1</t>
  </si>
  <si>
    <t>nuclease-sensitive element-binding protein 1 [Zalophus californianus]</t>
  </si>
  <si>
    <t>XP_027458031.1</t>
  </si>
  <si>
    <t>XP_027458026.1, XP_027458031.1</t>
  </si>
  <si>
    <t>epididymal secretory glutathione peroxidase [Zalophus californianus]</t>
  </si>
  <si>
    <t>XP_027458039.1 (+1)</t>
  </si>
  <si>
    <t>XP_027458039.1&amp;XP_027458080.1</t>
  </si>
  <si>
    <t>XP_027450981.1, XP_027458039.1, XP_027458079.1, XP_027460189.1</t>
  </si>
  <si>
    <t>histone H3.1 isoform X3 [Zalophus californianus]</t>
  </si>
  <si>
    <t>XP_027458041.1 (+3)</t>
  </si>
  <si>
    <t>XP_027458041.1&amp;XP_027458051.1&amp;XP_027458052.1&amp;XP_027480157.1</t>
  </si>
  <si>
    <t>histone H2A type 1-B/E isoform X2 [Zalophus californianus]_x0001_XP_027458040.1 histone H2A type 1-B/E isoform X1 [Zalophus californianus]</t>
  </si>
  <si>
    <t>XP_027458047.1 (+1)</t>
  </si>
  <si>
    <t>XP_027458047.1&amp;XP_027458050.1</t>
  </si>
  <si>
    <t>histone H2B type 1-M [Zalophus californianus]_x0001_XP_027458046.1 histone H2B type 1-M [Zalophus californianus]</t>
  </si>
  <si>
    <t>XP_027458075.1</t>
  </si>
  <si>
    <t>high mobility group nucleosome-binding domain-containing protein 4 [Zalophus californianus]_x0001_XP_027458073.1 high mobility group nucleosome-binding domain-containing protein 4 [Zalophus californianus]_x0001_XP_027458072.1 high mobility group nucleosome-binding domain-containing protein 4 [Zalophus californianus]_x0001_XP_027458071.1 high mobility group nucleosome-binding domain-containing protein 4 [Zalophus californianus]_x0001_XP_027458070.1 high mobility group nucleosome-binding domain-containing protein 4 [Zalophus californianus]_x0001_XP_027458069.1 high mobility group nucleosome-binding domain-containing protein 4 [Zalophus californianus]_x0001_XP_027458068.1 high mobility group nucleosome-binding domain-containing protein 4 [Zalophus californianus]_x0001_XP_027458067.1 high mobility group nucleosome-binding domain-containing protein 4 [Zalophus californianus]_x0001_XP_027458066.1 high mobility group nucleosome-binding domain-containing protein 4 [Zalophus californianus]_x0001_XP_027458065.1 high mobility group nucleosome-binding domain-containing protein 4 [Zalophus californianus]</t>
  </si>
  <si>
    <t>XP_027458115.1 (+2)</t>
  </si>
  <si>
    <t>XP_027458115.1&amp;XP_027458116.1&amp;XP_027458122.1</t>
  </si>
  <si>
    <t>epithelial discoidin domain-containing receptor 1 isoform X2 [Zalophus californianus]</t>
  </si>
  <si>
    <t>XP_027458123.1</t>
  </si>
  <si>
    <t>40S ribosomal protein S12 [Zalophus californianus]</t>
  </si>
  <si>
    <t>XP_027458167.1</t>
  </si>
  <si>
    <t>syntaxin-7 [Zalophus californianus]</t>
  </si>
  <si>
    <t>XP_027458177.1</t>
  </si>
  <si>
    <t>fatty acid-binding protein, brain [Zalophus californianus]</t>
  </si>
  <si>
    <t>XP_027458190.1</t>
  </si>
  <si>
    <t>coagulation factor XIII A chain [Zalophus californianus]</t>
  </si>
  <si>
    <t>XP_027458262.1</t>
  </si>
  <si>
    <t>complement C1q subcomponent subunit A [Zalophus californianus]</t>
  </si>
  <si>
    <t>XP_027458321.1</t>
  </si>
  <si>
    <t>phostensin [Zalophus californianus]</t>
  </si>
  <si>
    <t>XP_027458354.1 (+1)</t>
  </si>
  <si>
    <t>XP_027458354.1&amp;XP_027468442.1</t>
  </si>
  <si>
    <t>40S ribosomal protein S2-like [Zalophus californianus]</t>
  </si>
  <si>
    <t>XP_027458362.1</t>
  </si>
  <si>
    <t>chymotrypsin-C [Zalophus californianus]</t>
  </si>
  <si>
    <t>XP_027458416.1</t>
  </si>
  <si>
    <t>40S ribosomal protein S8 [Zalophus californianus]_x0001_XP_027459401.1 40S ribosomal protein S8 [Zalophus californianus]</t>
  </si>
  <si>
    <t>XP_027458454.1</t>
  </si>
  <si>
    <t>acid sphingomyelinase-like phosphodiesterase 3a [Zalophus californianus]</t>
  </si>
  <si>
    <t>XP_027458493.1</t>
  </si>
  <si>
    <t>peptidase inhibitor 16 isoform X1 [Zalophus californianus]</t>
  </si>
  <si>
    <t>XP_027458523.1 (+1)</t>
  </si>
  <si>
    <t>XP_027458523.1&amp;XP_027458524.1</t>
  </si>
  <si>
    <t>glycoprotein integral membrane protein 1 isoform X1 [Zalophus californianus]</t>
  </si>
  <si>
    <t>XP_027458536.1</t>
  </si>
  <si>
    <t>meprin A subunit alpha isoform X1 [Zalophus californianus]</t>
  </si>
  <si>
    <t>XP_027458547.1</t>
  </si>
  <si>
    <t>selenoprotein F [Zalophus californianus]</t>
  </si>
  <si>
    <t>XP_027458564.1 (+2)</t>
  </si>
  <si>
    <t>XP_027458564.1&amp;XP_027458565.1&amp;XP_027458567.1</t>
  </si>
  <si>
    <t>serpin B6 isoform X1 [Zalophus californianus]</t>
  </si>
  <si>
    <t>XP_027458582.1 (+1)</t>
  </si>
  <si>
    <t>XP_027458582.1&amp;XP_027458584.1</t>
  </si>
  <si>
    <t>XP_027437449.1, XP_027439077.1, XP_027458582.1, XP_027459898.1, XP_027471764.1, XP_027473223.1, XP_027478147.1</t>
  </si>
  <si>
    <t>tubulin beta-2B chain-like isoform X1 [Zalophus californianus]</t>
  </si>
  <si>
    <t>XP_027458588.1</t>
  </si>
  <si>
    <t>aldehyde dehydrogenase family 8 member A1 [Zalophus californianus]</t>
  </si>
  <si>
    <t>XP_027458613.1</t>
  </si>
  <si>
    <t>colipase [Zalophus californianus]</t>
  </si>
  <si>
    <t>XP_027458632.1</t>
  </si>
  <si>
    <t>protein-L-isoaspartate(D-aspartate) O-methyltransferase isoform X1 [Zalophus californianus]</t>
  </si>
  <si>
    <t>XP_027458656.1 (+1)</t>
  </si>
  <si>
    <t>XP_027458656.1&amp;XP_027458659.1</t>
  </si>
  <si>
    <t>glutathione S-transferase A1 isoform X1 [Zalophus californianus]</t>
  </si>
  <si>
    <t>XP_027458657.1</t>
  </si>
  <si>
    <t>vascular cell adhesion protein 1 [Zalophus californianus]</t>
  </si>
  <si>
    <t>XP_027458669.1</t>
  </si>
  <si>
    <t>heme-binding protein 2 [Zalophus californianus]</t>
  </si>
  <si>
    <t>XP_027458681.1 (+1)</t>
  </si>
  <si>
    <t>XP_027458681.1&amp;XP_027458682.1</t>
  </si>
  <si>
    <t>vacuolar protein sorting-associated protein VTA1 homolog isoform X1 [Zalophus californianus]</t>
  </si>
  <si>
    <t>XP_027458694.1</t>
  </si>
  <si>
    <t>complement C4-B-like [Zalophus californianus]</t>
  </si>
  <si>
    <t>XP_027458747.1</t>
  </si>
  <si>
    <t>VIP peptides [Zalophus californianus]</t>
  </si>
  <si>
    <t>XP_027458767.1</t>
  </si>
  <si>
    <t>succinate-semialdehyde dehydrogenase, mitochondrial [Zalophus californianus]</t>
  </si>
  <si>
    <t>XP_027458787.1</t>
  </si>
  <si>
    <t>tapasin [Zalophus californianus]</t>
  </si>
  <si>
    <t>XP_027458818.1</t>
  </si>
  <si>
    <t>ribonuclease T2 [Zalophus californianus]_x0001_XP_027458817.1 ribonuclease T2 [Zalophus californianus]</t>
  </si>
  <si>
    <t>XP_027458845.1 (+1)</t>
  </si>
  <si>
    <t>XP_027458845.1&amp;XP_027458846.1</t>
  </si>
  <si>
    <t>lymphocyte antigen 86 isoform X1 [Zalophus californianus]</t>
  </si>
  <si>
    <t>XP_027458886.1</t>
  </si>
  <si>
    <t>protein delta homolog 2 [Zalophus californianus]</t>
  </si>
  <si>
    <t>XP_027458918.1 (+3)</t>
  </si>
  <si>
    <t>XP_027458918.1&amp;XP_027458919.1&amp;XP_027458920.1&amp;XP_027458921.1</t>
  </si>
  <si>
    <t>ephrin type-A receptor 7 isoform X1 [Zalophus californianus]</t>
  </si>
  <si>
    <t>XP_027458923.1</t>
  </si>
  <si>
    <t>fibronectin type III domain-containing protein 1 [Zalophus californianus]</t>
  </si>
  <si>
    <t>XP_027458998.1</t>
  </si>
  <si>
    <t>connective tissue growth factor [Zalophus californianus]</t>
  </si>
  <si>
    <t>XP_027459012.1</t>
  </si>
  <si>
    <t>CD109 antigen isoform X1 [Zalophus californianus]</t>
  </si>
  <si>
    <t>XP_027459016.1</t>
  </si>
  <si>
    <t>leukocyte elastase inhibitor [Zalophus californianus]_x0001_XP_027459015.1 leukocyte elastase inhibitor [Zalophus californianus]</t>
  </si>
  <si>
    <t>XP_027459037.1</t>
  </si>
  <si>
    <t>peptidyl-prolyl cis-trans isomerase-like 1 [Zalophus californianus]</t>
  </si>
  <si>
    <t>XP_027459077.1</t>
  </si>
  <si>
    <t>proteasome subunit beta type-1 isoform X1 [Zalophus californianus]</t>
  </si>
  <si>
    <t>XP_027459115.1</t>
  </si>
  <si>
    <t>enoyl-CoA delta isomerase 2, mitochondrial [Zalophus californianus]_x0001_XP_027459114.1 enoyl-CoA delta isomerase 2, mitochondrial [Zalophus californianus]_x0001_XP_027459113.1 enoyl-CoA delta isomerase 2, mitochondrial [Zalophus californianus]</t>
  </si>
  <si>
    <t>XP_027459155.1 (+1)</t>
  </si>
  <si>
    <t>XP_027459155.1&amp;XP_027459157.1</t>
  </si>
  <si>
    <t>prolyl endopeptidase isoform X1 [Zalophus californianus]</t>
  </si>
  <si>
    <t>XP_027459158.1</t>
  </si>
  <si>
    <t>trem-like transcript 1 protein isoform X1 [Zalophus californianus]</t>
  </si>
  <si>
    <t>XP_027459184.1</t>
  </si>
  <si>
    <t>ectonucleotide pyrophosphatase/phosphodiesterase family member 3 [Zalophus californianus]</t>
  </si>
  <si>
    <t>XP_027459192.1</t>
  </si>
  <si>
    <t>plasminogen isoform X1 [Zalophus californianus]</t>
  </si>
  <si>
    <t>XP_027459210.1</t>
  </si>
  <si>
    <t>ectonucleotide pyrophosphatase/phosphodiesterase family member 1 isoform X1 [Zalophus californianus]</t>
  </si>
  <si>
    <t>XP_027459252.1</t>
  </si>
  <si>
    <t>thrombospondin-2 [Zalophus californianus]</t>
  </si>
  <si>
    <t>XP_027459254.1</t>
  </si>
  <si>
    <t>A-kinase anchor protein 12 isoform X1 [Zalophus californianus]</t>
  </si>
  <si>
    <t>XP_027459268.1</t>
  </si>
  <si>
    <t>XP_027459268.1, XP_027464935.1</t>
  </si>
  <si>
    <t>sorting nexin-3 isoform X1 [Zalophus californianus]</t>
  </si>
  <si>
    <t>XP_027459270.1</t>
  </si>
  <si>
    <t>pantetheinase [Zalophus californianus]</t>
  </si>
  <si>
    <t>XP_027459278.1</t>
  </si>
  <si>
    <t>diphosphoinositol polyphosphate phosphohydrolase 1 [Zalophus californianus]</t>
  </si>
  <si>
    <t>XP_027459295.1</t>
  </si>
  <si>
    <t>eukaryotic translation elongation factor 1 epsilon-1 [Zalophus californianus]</t>
  </si>
  <si>
    <t>XP_027459299.1</t>
  </si>
  <si>
    <t>corneodesmosin [Zalophus californianus]</t>
  </si>
  <si>
    <t>XP_027459444.1 (+1)</t>
  </si>
  <si>
    <t>XP_027459444.1&amp;XP_027459445.1</t>
  </si>
  <si>
    <t>GDP-mannose 4,6 dehydratase isoform X1 [Zalophus californianus]</t>
  </si>
  <si>
    <t>XP_027459449.1 (+5)</t>
  </si>
  <si>
    <t>XP_027459449.1&amp;XP_027459450.1&amp;XP_027459451.1&amp;XP_027459453.1&amp;XP_027459455.1&amp;XP_027459456.1</t>
  </si>
  <si>
    <t>XP_027459449.1, XP_027460947.1</t>
  </si>
  <si>
    <t>high mobility group nucleosome-binding domain-containing protein 3 isoform X1 [Zalophus californianus]</t>
  </si>
  <si>
    <t>XP_027459462.1 (+1)</t>
  </si>
  <si>
    <t>XP_027459462.1&amp;XP_027459463.1</t>
  </si>
  <si>
    <t>inactive tyrosine-protein kinase 7 isoform X1 [Zalophus californianus]</t>
  </si>
  <si>
    <t>XP_027459529.1</t>
  </si>
  <si>
    <t>costars family protein ABRACL [Zalophus californianus]</t>
  </si>
  <si>
    <t>XP_027459535.1 (+1)</t>
  </si>
  <si>
    <t>XP_027459535.1&amp;XP_027459543.1</t>
  </si>
  <si>
    <t>heterogeneous nuclear ribonucleoprotein R isoform X1 [Zalophus californianus]_x0001_XP_027459528.1 heterogeneous nuclear ribonucleoprotein R isoform X1 [Zalophus californianus]</t>
  </si>
  <si>
    <t>XP_027459570.1</t>
  </si>
  <si>
    <t>lactoylglutathione lyase isoform X1 [Zalophus californianus]</t>
  </si>
  <si>
    <t>XP_027459573.1 (+3)</t>
  </si>
  <si>
    <t>XP_027459573.1&amp;XP_027459574.1&amp;XP_027459575.1&amp;XP_027459576.1</t>
  </si>
  <si>
    <t>valine--tRNA ligase isoform X1 [Zalophus californianus]</t>
  </si>
  <si>
    <t>XP_027459613.1</t>
  </si>
  <si>
    <t>complement C2 [Zalophus californianus]</t>
  </si>
  <si>
    <t>XP_027459616.1</t>
  </si>
  <si>
    <t>complement factor B isoform X1 [Zalophus californianus]</t>
  </si>
  <si>
    <t>XP_027459618.1</t>
  </si>
  <si>
    <t>choline transporter-like protein 4 isoform X1 [Zalophus californianus]</t>
  </si>
  <si>
    <t>XP_027459622.1 (+2)</t>
  </si>
  <si>
    <t>XP_027459622.1&amp;XP_027459623.1&amp;XP_027459625.1</t>
  </si>
  <si>
    <t>XP_027424539.1, XP_027433746.1, XP_027435317.1, XP_027459622.1, XP_027459628.1, XP_027462638.1, XP_027463555.1, XP_027470871.1</t>
  </si>
  <si>
    <t>heat shock 70 kDa protein 1-like isoform X1 [Zalophus californianus]</t>
  </si>
  <si>
    <t>XP_027459628.1</t>
  </si>
  <si>
    <t>heat shock 70 kDa protein 1 isoform X2 [Zalophus californianus]_x0001_XP_027459626.1 heat shock 70 kDa protein 1 isoform X1 [Zalophus californianus]</t>
  </si>
  <si>
    <t>XP_027459639.1</t>
  </si>
  <si>
    <t>spliceosome RNA helicase DDX39B [Zalophus californianus]</t>
  </si>
  <si>
    <t>XP_027459663.1</t>
  </si>
  <si>
    <t>N(G),N(G)-dimethylarginine dimethylaminohydrolase 2 [Zalophus californianus]_x0001_XP_027459662.1 N(G),N(G)-dimethylarginine dimethylaminohydrolase 2 [Zalophus californianus]_x0001_XP_027459661.1 N(G),N(G)-dimethylarginine dimethylaminohydrolase 2 [Zalophus californianus]</t>
  </si>
  <si>
    <t>XP_027459671.1</t>
  </si>
  <si>
    <t>chloride intracellular channel protein 1 [Zalophus californianus]</t>
  </si>
  <si>
    <t>XP_027459676.1 (+2)</t>
  </si>
  <si>
    <t>XP_027459676.1&amp;XP_027459687.1&amp;XP_027459706.1</t>
  </si>
  <si>
    <t>putative hydroxypyruvate isomerase isoform X1 [Zalophus californianus]</t>
  </si>
  <si>
    <t>XP_027459699.1</t>
  </si>
  <si>
    <t>apolipoprotein M isoform X1 [Zalophus californianus]_x0001_XP_027459698.1 apolipoprotein M isoform X1 [Zalophus californianus]</t>
  </si>
  <si>
    <t>XP_027459720.1</t>
  </si>
  <si>
    <t>LOW QUALITY PROTEIN: HLA class I histocompatibility antigen, alpha chain G-like [Zalophus californianus]</t>
  </si>
  <si>
    <t>XP_027459721.1</t>
  </si>
  <si>
    <t>proteasome subunit beta type-8 [Zalophus californianus]</t>
  </si>
  <si>
    <t>XP_027459746.1</t>
  </si>
  <si>
    <t>XP_027459746.1, XP_027477309.1</t>
  </si>
  <si>
    <t>ubiquitin-conjugating enzyme E2 variant 2 isoform X1 [Zalophus californianus]</t>
  </si>
  <si>
    <t>XP_027459849.1 (+3)</t>
  </si>
  <si>
    <t>XP_027459849.1&amp;XP_027464724.1&amp;XP_027471214.1&amp;XP_027471215.1</t>
  </si>
  <si>
    <t>protein SET-like, partial [Zalophus californianus]</t>
  </si>
  <si>
    <t>XP_027459852.1</t>
  </si>
  <si>
    <t>SH3 domain-binding glutamic acid-rich-like protein 2 [Zalophus californianus]</t>
  </si>
  <si>
    <t>XP_027459865.1</t>
  </si>
  <si>
    <t>cysteine-rich secretory protein 2-like [Zalophus californianus]</t>
  </si>
  <si>
    <t>XP_027459870.1</t>
  </si>
  <si>
    <t>vascular endothelial growth factor A [Zalophus californianus]</t>
  </si>
  <si>
    <t>XP_027459878.1</t>
  </si>
  <si>
    <t>EF-hand domain-containing protein D2 [Zalophus californianus]</t>
  </si>
  <si>
    <t>XP_027459898.1</t>
  </si>
  <si>
    <t>XP_027439077.1, XP_027458582.1, XP_027459898.1, XP_027471764.1, XP_027473223.1</t>
  </si>
  <si>
    <t>tubulin beta chain [Zalophus californianus]</t>
  </si>
  <si>
    <t>XP_027459907.1 (+1)</t>
  </si>
  <si>
    <t>XP_027459907.1&amp;XP_027459917.1</t>
  </si>
  <si>
    <t>plasminogen activator inhibitor 1 RNA-binding protein isoform X1 [Zalophus californianus]</t>
  </si>
  <si>
    <t>XP_027459998.1 (+1)</t>
  </si>
  <si>
    <t>XP_027459998.1&amp;XP_027459999.1</t>
  </si>
  <si>
    <t>heterochromatin protein 1-binding protein 3 isoform X1 [Zalophus californianus]_x0001_XP_027459997.1 heterochromatin protein 1-binding protein 3 isoform X1 [Zalophus californianus]_x0001_XP_027459996.1 heterochromatin protein 1-binding protein 3 isoform X1 [Zalophus californianus]_x0001_XP_027459994.1 heterochromatin protein 1-binding protein 3 isoform X1 [Zalophus californianus]_x0001_XP_027459993.1 heterochromatin protein 1-binding protein 3 isoform X1 [Zalophus californianus]</t>
  </si>
  <si>
    <t>XP_027460085.1</t>
  </si>
  <si>
    <t>proproteinase E-like [Zalophus californianus]</t>
  </si>
  <si>
    <t>XP_027460118.1 (+1)</t>
  </si>
  <si>
    <t>XP_027460118.1&amp;XP_027460119.1</t>
  </si>
  <si>
    <t>succinate dehydrogenase [ubiquinone] flavoprotein subunit, mitochondrial isoform X1 [Zalophus californianus]</t>
  </si>
  <si>
    <t>XP_027460189.1</t>
  </si>
  <si>
    <t>XP_027432468.1, XP_027458039.1, XP_027458079.1, XP_027460189.1</t>
  </si>
  <si>
    <t>LOW QUALITY PROTEIN: phosphatidylethanolamine-binding protein 1-like [Zalophus californianus]</t>
  </si>
  <si>
    <t>XP_027460210.1 (+2)</t>
  </si>
  <si>
    <t>XP_027460210.1&amp;XP_027460212.1&amp;XP_027460218.1</t>
  </si>
  <si>
    <t>GDH/6PGL endoplasmic bifunctional protein isoform X1 [Zalophus californianus]_x0001_XP_027460208.1 GDH/6PGL endoplasmic bifunctional protein isoform X1 [Zalophus californianus]</t>
  </si>
  <si>
    <t>XP_027460216.1</t>
  </si>
  <si>
    <t>beta-hexosaminidase subunit beta, partial [Zalophus californianus]</t>
  </si>
  <si>
    <t>XP_027460229.1</t>
  </si>
  <si>
    <t>serine protease inhibitor Kazal-type 5 [Zalophus californianus]</t>
  </si>
  <si>
    <t>XP_027460279.1</t>
  </si>
  <si>
    <t>eukaryotic translation initiation factor 5B-like [Zalophus californianus]</t>
  </si>
  <si>
    <t>XP_027460284.1</t>
  </si>
  <si>
    <t>ly6/PLAUR domain-containing protein 8 [Zalophus californianus]</t>
  </si>
  <si>
    <t>XP_027460289.1</t>
  </si>
  <si>
    <t>ras-related protein Rap-1A isoform X1 [Zalophus californianus]_x0001_XP_027460283.1 ras-related protein Rap-1A isoform X1 [Zalophus californianus]_x0001_XP_027460278.1 ras-related protein Rap-1A isoform X1 [Zalophus californianus]</t>
  </si>
  <si>
    <t>XP_027460344.1 (+2)</t>
  </si>
  <si>
    <t>XP_027460344.1&amp;XP_027460360.1&amp;XP_027470629.1</t>
  </si>
  <si>
    <t>60S ribosomal protein L7 isoform X1 [Zalophus californianus]</t>
  </si>
  <si>
    <t>XP_027460375.1</t>
  </si>
  <si>
    <t>LOW QUALITY PROTEIN: 45 kDa calcium-binding protein [Zalophus californianus]</t>
  </si>
  <si>
    <t>XP_027460407.1</t>
  </si>
  <si>
    <t>transcriptional activator protein Pur-alpha [Zalophus californianus]_x0001_XP_027460406.1 transcriptional activator protein Pur-alpha [Zalophus californianus]_x0001_XP_027460405.1 transcriptional activator protein Pur-alpha [Zalophus californianus]_x0001_XP_027460404.1 transcriptional activator protein Pur-alpha [Zalophus californianus]_x0001_XP_027460402.1 transcriptional activator protein Pur-alpha [Zalophus californianus]</t>
  </si>
  <si>
    <t>XP_027460411.1 (+3)</t>
  </si>
  <si>
    <t>XP_027460411.1&amp;XP_027460414.1&amp;XP_027460415.1&amp;XP_027460416.1</t>
  </si>
  <si>
    <t>XP_027427272.1, XP_027458041.1, XP_027460411.1</t>
  </si>
  <si>
    <t>core histone macro-H2A.1 isoform X1 [Zalophus californianus]_x0001_XP_027460410.1 core histone macro-H2A.1 isoform X1 [Zalophus californianus]_x0001_XP_027460409.1 core histone macro-H2A.1 isoform X1 [Zalophus californianus]</t>
  </si>
  <si>
    <t>XP_027460482.1 (+1)</t>
  </si>
  <si>
    <t>XP_027460482.1&amp;XP_027460484.1</t>
  </si>
  <si>
    <t>solute carrier family 12 member 2 isoform X1 [Zalophus californianus]</t>
  </si>
  <si>
    <t>XP_027460532.1</t>
  </si>
  <si>
    <t>A disintegrin and metalloproteinase with thrombospondin motifs 2 [Zalophus californianus]</t>
  </si>
  <si>
    <t>XP_027460645.1</t>
  </si>
  <si>
    <t>peroxisomal multifunctional enzyme type 2 [Zalophus californianus]</t>
  </si>
  <si>
    <t>XP_027460703.1</t>
  </si>
  <si>
    <t>creatine kinase S-type, mitochondrial [Zalophus californianus]_x0001_XP_027460702.1 creatine kinase S-type, mitochondrial [Zalophus californianus]</t>
  </si>
  <si>
    <t>XP_027460718.1</t>
  </si>
  <si>
    <t>complement component C7 isoform X1 [Zalophus californianus]</t>
  </si>
  <si>
    <t>XP_027460735.1 (+2)</t>
  </si>
  <si>
    <t>XP_027460735.1&amp;XP_027460736.1&amp;XP_027460739.1</t>
  </si>
  <si>
    <t>synaptopodin isoform X1 [Zalophus californianus]_x0001_XP_027460734.1 synaptopodin isoform X1 [Zalophus californianus]</t>
  </si>
  <si>
    <t>XP_027460745.1</t>
  </si>
  <si>
    <t>transmembrane emp24 domain-containing protein 7 [Zalophus californianus]</t>
  </si>
  <si>
    <t>XP_027460746.1 (+3)</t>
  </si>
  <si>
    <t>XP_027460746.1&amp;XP_027460747.1&amp;XP_027460748.1&amp;XP_027460749.1</t>
  </si>
  <si>
    <t>sorting nexin-18 isoform X1 [Zalophus californianus]</t>
  </si>
  <si>
    <t>XP_027460918.1</t>
  </si>
  <si>
    <t>heat shock 70 kDa protein 4 isoform X1 [Zalophus californianus]</t>
  </si>
  <si>
    <t>XP_027460947.1</t>
  </si>
  <si>
    <t>non-histone chromosomal protein HMG-17 [Zalophus californianus]_x0001_XP_027459517.1 non-histone chromosomal protein HMG-17 [Zalophus californianus]</t>
  </si>
  <si>
    <t>XP_027460953.1</t>
  </si>
  <si>
    <t>basement membrane-specific heparan sulfate proteoglycan core protein isoform X2 [Zalophus californianus]</t>
  </si>
  <si>
    <t>XP_027461012.1</t>
  </si>
  <si>
    <t>sideroflexin-1 [Zalophus californianus]_x0001_XP_027461011.1 sideroflexin-1 [Zalophus californianus]</t>
  </si>
  <si>
    <t>XP_027461025.1 (+1)</t>
  </si>
  <si>
    <t>XP_027461025.1&amp;XP_027461026.1</t>
  </si>
  <si>
    <t>disabled homolog 2 isoform X1 [Zalophus californianus]</t>
  </si>
  <si>
    <t>XP_027461032.1 (+4)</t>
  </si>
  <si>
    <t>XP_027461032.1&amp;XP_027461034.1&amp;XP_027461035.1&amp;XP_027461036.1&amp;XP_027461038.1</t>
  </si>
  <si>
    <t>semaphorin-5A isoform X1 [Zalophus californianus]_x0001_XP_027461031.1 semaphorin-5A isoform X1 [Zalophus californianus]_x0001_XP_027461030.1 semaphorin-5A isoform X1 [Zalophus californianus]_x0001_XP_027461029.1 semaphorin-5A isoform X1 [Zalophus californianus]_x0001_XP_027461028.1 semaphorin-5A isoform X1 [Zalophus californianus]_x0001_XP_027461027.1 semaphorin-5A isoform X1 [Zalophus californianus]</t>
  </si>
  <si>
    <t>XP_027461118.1</t>
  </si>
  <si>
    <t>calnexin [Zalophus californianus]</t>
  </si>
  <si>
    <t>XP_027461143.1 (+1)</t>
  </si>
  <si>
    <t>XP_027461143.1&amp;XP_027461144.1</t>
  </si>
  <si>
    <t>transportin-1 isoform X1 [Zalophus californianus]</t>
  </si>
  <si>
    <t>XP_027461152.1 (+3)</t>
  </si>
  <si>
    <t>XP_027461152.1&amp;XP_027461153.1&amp;XP_027461154.1&amp;XP_027461155.1</t>
  </si>
  <si>
    <t>clathrin interactor 1 isoform X1 [Zalophus californianus]</t>
  </si>
  <si>
    <t>XP_027461194.1</t>
  </si>
  <si>
    <t>alpha-aminoadipic semialdehyde dehydrogenase [Zalophus californianus]_x0001_XP_027461193.1 alpha-aminoadipic semialdehyde dehydrogenase [Zalophus californianus]</t>
  </si>
  <si>
    <t>XP_027461225.1</t>
  </si>
  <si>
    <t>NAD(P) transhydrogenase, mitochondrial [Zalophus californianus]_x0001_XP_027461223.1 NAD(P) transhydrogenase, mitochondrial [Zalophus californianus]_x0001_XP_027461222.1 NAD(P) transhydrogenase, mitochondrial [Zalophus californianus]_x0001_XP_027461221.1 NAD(P) transhydrogenase, mitochondrial [Zalophus californianus]_x0001_XP_027461220.1 NAD(P) transhydrogenase, mitochondrial [Zalophus californianus]_x0001_XP_027461219.1 NAD(P) transhydrogenase, mitochondrial [Zalophus californianus]</t>
  </si>
  <si>
    <t>XP_027461237.1</t>
  </si>
  <si>
    <t>vesicular integral-membrane protein VIP36 isoform X2 [Zalophus californianus]</t>
  </si>
  <si>
    <t>XP_027461311.1</t>
  </si>
  <si>
    <t>LOW QUALITY PROTEIN: monocyte differentiation antigen CD14 [Zalophus californianus]</t>
  </si>
  <si>
    <t>XP_027461402.1 (+2)</t>
  </si>
  <si>
    <t>XP_027461402.1&amp;XP_027461403.1&amp;XP_027461404.1</t>
  </si>
  <si>
    <t>heterogeneous nuclear ribonucleoprotein A/B isoform X1 [Zalophus californianus]</t>
  </si>
  <si>
    <t>XP_027461438.1</t>
  </si>
  <si>
    <t>XP_027461438.1, XP_027478121.1</t>
  </si>
  <si>
    <t>annexin A6 isoform X1 [Zalophus californianus]</t>
  </si>
  <si>
    <t>XP_027461474.1</t>
  </si>
  <si>
    <t>complement component C6 [Zalophus californianus]</t>
  </si>
  <si>
    <t>XP_027461499.1 (+1)</t>
  </si>
  <si>
    <t>XP_027461499.1&amp;XP_027461501.1</t>
  </si>
  <si>
    <t>SPARC isoform X1 [Zalophus californianus]_x0001_XP_027461498.1 SPARC isoform X1 [Zalophus californianus]_x0001_XP_027461496.1 SPARC isoform X1 [Zalophus californianus]</t>
  </si>
  <si>
    <t>XP_027461502.1</t>
  </si>
  <si>
    <t>copper transport protein ATOX1 isoform X1 [Zalophus californianus]</t>
  </si>
  <si>
    <t>XP_027461506.1 (+1)</t>
  </si>
  <si>
    <t>XP_027461506.1&amp;XP_027461507.1</t>
  </si>
  <si>
    <t>PDZ and LIM domain protein 4 isoform X1 [Zalophus californianus]</t>
  </si>
  <si>
    <t>XP_027461519.1</t>
  </si>
  <si>
    <t>cardiomyopathy-associated protein 5 [Zalophus californianus]</t>
  </si>
  <si>
    <t>XP_027461630.1 (+1)</t>
  </si>
  <si>
    <t>XP_027461630.1&amp;XP_027461632.1</t>
  </si>
  <si>
    <t>nucleophosmin isoform X1 [Zalophus californianus]</t>
  </si>
  <si>
    <t>XP_027461673.1 (+1)</t>
  </si>
  <si>
    <t>XP_027461673.1&amp;XP_027461674.1</t>
  </si>
  <si>
    <t>alanine--glyoxylate aminotransferase 2, mitochondrial isoform X2 [Zalophus californianus]</t>
  </si>
  <si>
    <t>XP_027461700.1</t>
  </si>
  <si>
    <t>coagulation factor XII [Zalophus californianus]</t>
  </si>
  <si>
    <t>XP_027461729.1</t>
  </si>
  <si>
    <t>sodium-dependent phosphate transport protein 2A [Zalophus californianus]_x0001_XP_027461728.1 sodium-dependent phosphate transport protein 2A [Zalophus californianus]</t>
  </si>
  <si>
    <t>XP_027461781.1</t>
  </si>
  <si>
    <t>threonine--tRNA ligase, cytoplasmic [Zalophus californianus]</t>
  </si>
  <si>
    <t>XP_027461808.1 (+1)</t>
  </si>
  <si>
    <t>XP_027461808.1&amp;XP_027461811.1</t>
  </si>
  <si>
    <t>versican core protein isoform X1 [Zalophus californianus]</t>
  </si>
  <si>
    <t>XP_027461847.1</t>
  </si>
  <si>
    <t>XP_027461847.1, XP_027467007.1</t>
  </si>
  <si>
    <t>polyadenylate-binding protein 1 isoform X1 [Zalophus californianus]_x0001_XP_027461842.1 polyadenylate-binding protein 1 isoform X1 [Zalophus californianus]</t>
  </si>
  <si>
    <t>XP_027461849.1</t>
  </si>
  <si>
    <t>proteinase-activated receptor 1 [Zalophus californianus]</t>
  </si>
  <si>
    <t>XP_027461890.1 (+1)</t>
  </si>
  <si>
    <t>XP_027461890.1&amp;XP_027461891.1</t>
  </si>
  <si>
    <t>succinyl-CoA:3-ketoacid coenzyme A transferase 1, mitochondrial isoform X1 [Zalophus californianus]</t>
  </si>
  <si>
    <t>XP_027461950.1</t>
  </si>
  <si>
    <t>programmed cell death protein 6 isoform X1 [Zalophus californianus]</t>
  </si>
  <si>
    <t>XP_027461969.1</t>
  </si>
  <si>
    <t>ephrin-A5 isoform X1 [Zalophus californianus]_x0001_XP_027461968.1 ephrin-A5 isoform X1 [Zalophus californianus]</t>
  </si>
  <si>
    <t>XP_027462002.1 (+2)</t>
  </si>
  <si>
    <t>XP_027462002.1&amp;XP_027462003.1&amp;XP_027462005.1</t>
  </si>
  <si>
    <t>dihydropyrimidinase-related protein 3 isoform X1 [Zalophus californianus]</t>
  </si>
  <si>
    <t>XP_027462011.1</t>
  </si>
  <si>
    <t>LOW QUALITY PROTEIN: serine protease inhibitor Kazal-type 7 [Zalophus californianus]</t>
  </si>
  <si>
    <t>XP_027462034.1</t>
  </si>
  <si>
    <t>receptor of activated protein C kinase 1 [Zalophus californianus]</t>
  </si>
  <si>
    <t>XP_027462044.1</t>
  </si>
  <si>
    <t>serine/threonine-protein phosphatase 2A catalytic subunit alpha isoform [Zalophus californianus]</t>
  </si>
  <si>
    <t>XP_027462055.1</t>
  </si>
  <si>
    <t>sodium-dependent neutral amino acid transporter B(0)AT1 [Zalophus californianus]</t>
  </si>
  <si>
    <t>XP_027462072.1</t>
  </si>
  <si>
    <t>sequestosome-1 isoform X1 [Zalophus californianus]</t>
  </si>
  <si>
    <t>XP_027462092.1 (+1)</t>
  </si>
  <si>
    <t>XP_027462092.1&amp;XP_027462123.1</t>
  </si>
  <si>
    <t>AP-4 complex subunit beta-1 isoform X1 [Zalophus californianus]_x0001_XP_027462086.1 AP-4 complex subunit beta-1 isoform X1 [Zalophus californianus]_x0001_XP_027462078.1 AP-4 complex subunit beta-1 isoform X1 [Zalophus californianus]_x0001_XP_027462070.1 AP-4 complex subunit beta-1 isoform X1 [Zalophus californianus]</t>
  </si>
  <si>
    <t>XP_027462155.1 (+2)</t>
  </si>
  <si>
    <t>XP_027462155.1&amp;XP_027462157.1&amp;XP_027462158.1</t>
  </si>
  <si>
    <t>protocadherin-1 isoform X1 [Zalophus californianus]</t>
  </si>
  <si>
    <t>XP_027462159.1 (+1)</t>
  </si>
  <si>
    <t>XP_027462159.1&amp;XP_027462161.1</t>
  </si>
  <si>
    <t>protocadherin alpha-C2 isoform X1 [Zalophus californianus]</t>
  </si>
  <si>
    <t>XP_027462163.1</t>
  </si>
  <si>
    <t>LOW QUALITY PROTEIN: protocadherin gamma-C3-like [Zalophus californianus]</t>
  </si>
  <si>
    <t>XP_027462166.1</t>
  </si>
  <si>
    <t>LOW QUALITY PROTEIN: protocadherin gamma-B1-like [Zalophus californianus]</t>
  </si>
  <si>
    <t>XP_027462190.1</t>
  </si>
  <si>
    <t>cadherin-17 [Zalophus californianus]</t>
  </si>
  <si>
    <t>XP_027462207.1</t>
  </si>
  <si>
    <t>receptor expression-enhancing protein 5 [Zalophus californianus]</t>
  </si>
  <si>
    <t>XP_027462221.1</t>
  </si>
  <si>
    <t>inactive sodium-dependent neutral amino acid transporter B(0)AT3 [Zalophus californianus]</t>
  </si>
  <si>
    <t>XP_027462234.1</t>
  </si>
  <si>
    <t>serine protease inhibitor Kazal-type 1 [Zalophus californianus]</t>
  </si>
  <si>
    <t>XP_027462241.1</t>
  </si>
  <si>
    <t>marginal zone B- and B1-cell-specific protein [Zalophus californianus]</t>
  </si>
  <si>
    <t>XP_027462273.1 (+1)</t>
  </si>
  <si>
    <t>XP_027462273.1&amp;XP_027462274.1</t>
  </si>
  <si>
    <t>complement component C9 isoform X1 [Zalophus californianus]_x0001_XP_027462272.1 complement component C9 isoform X1 [Zalophus californianus]</t>
  </si>
  <si>
    <t>XP_027462334.1</t>
  </si>
  <si>
    <t>betaine--homocysteine S-methyltransferase 1 [Zalophus californianus]</t>
  </si>
  <si>
    <t>XP_027462374.1</t>
  </si>
  <si>
    <t>XP_027428539.1, XP_027452914.1, XP_027462374.1, XP_027468104.1</t>
  </si>
  <si>
    <t>beta-actin-like protein 2 isoform X1 [Zalophus californianus]</t>
  </si>
  <si>
    <t>XP_027462442.1 (+1)</t>
  </si>
  <si>
    <t>XP_027462442.1&amp;XP_027462444.1</t>
  </si>
  <si>
    <t>matrin-3 isoform X1 [Zalophus californianus]_x0001_XP_027462441.1 matrin-3 isoform X1 [Zalophus californianus]_x0001_XP_027462440.1 matrin-3 isoform X1 [Zalophus californianus]_x0001_XP_027462439.1 matrin-3 isoform X1 [Zalophus californianus]_x0001_XP_027462437.1 matrin-3 isoform X1 [Zalophus californianus]</t>
  </si>
  <si>
    <t>XP_027462463.1</t>
  </si>
  <si>
    <t>protein-lysine 6-oxidase isoform X1 [Zalophus californianus]</t>
  </si>
  <si>
    <t>XP_027462466.1</t>
  </si>
  <si>
    <t>hexokinase-3 [Zalophus californianus]</t>
  </si>
  <si>
    <t>XP_027462496.1</t>
  </si>
  <si>
    <t>T-complex protein 1 subunit epsilon [Zalophus californianus]</t>
  </si>
  <si>
    <t>XP_027462506.1</t>
  </si>
  <si>
    <t>lamin-B1 [Zalophus californianus]</t>
  </si>
  <si>
    <t>XP_027462531.1</t>
  </si>
  <si>
    <t>cadherin-related family member 2 [Zalophus californianus]</t>
  </si>
  <si>
    <t>XP_027462548.1</t>
  </si>
  <si>
    <t>proheparin-binding EGF-like growth factor [Zalophus californianus]</t>
  </si>
  <si>
    <t>XP_027462552.1 (+1)</t>
  </si>
  <si>
    <t>XP_027462552.1&amp;XP_027462553.1</t>
  </si>
  <si>
    <t>cadherin-6 isoform X1 [Zalophus californianus]_x0001_XP_027462551.1 cadherin-6 isoform X1 [Zalophus californianus]</t>
  </si>
  <si>
    <t>XP_027462583.1</t>
  </si>
  <si>
    <t>tubulin-specific chaperone A isoform X2 [Zalophus californianus]</t>
  </si>
  <si>
    <t>XP_027462637.1</t>
  </si>
  <si>
    <t>XP_027462637.1, XP_027478000.1</t>
  </si>
  <si>
    <t>catenin alpha-1 [Zalophus californianus]_x0001_XP_027462636.1 catenin alpha-1 [Zalophus californianus]_x0001_XP_027462635.1 catenin alpha-1 [Zalophus californianus]</t>
  </si>
  <si>
    <t>XP_027462638.1</t>
  </si>
  <si>
    <t>XP_027424539.1, XP_027459622.1, XP_027459628.1, XP_027462638.1</t>
  </si>
  <si>
    <t>stress-70 protein, mitochondrial [Zalophus californianus]</t>
  </si>
  <si>
    <t>XP_027462679.1</t>
  </si>
  <si>
    <t>LOW QUALITY PROTEIN: mannan-binding lectin serine protease 2 [Zalophus californianus]</t>
  </si>
  <si>
    <t>XP_027462685.1 (+1)</t>
  </si>
  <si>
    <t>XP_027462685.1&amp;XP_027462686.1</t>
  </si>
  <si>
    <t>PDZ and LIM domain protein 7 isoform X8 [Zalophus californianus]</t>
  </si>
  <si>
    <t>XP_027462692.1</t>
  </si>
  <si>
    <t>cell division control protein 42 homolog [Zalophus californianus]</t>
  </si>
  <si>
    <t>XP_027462696.1</t>
  </si>
  <si>
    <t>glutaredoxin-1 [Zalophus californianus]_x0001_XP_027462695.1 glutaredoxin-1 [Zalophus californianus]</t>
  </si>
  <si>
    <t>XP_027462714.1</t>
  </si>
  <si>
    <t>XP_027462714.1, XP_027462716.1</t>
  </si>
  <si>
    <t>myotilin isoform X1 [Zalophus californianus]</t>
  </si>
  <si>
    <t>XP_027462716.1</t>
  </si>
  <si>
    <t>myotilin isoform X2 [Zalophus californianus]</t>
  </si>
  <si>
    <t>XP_027462718.1</t>
  </si>
  <si>
    <t>ganglioside GM2 activator [Zalophus californianus]_x0001_XP_027462717.1 ganglioside GM2 activator [Zalophus californianus]</t>
  </si>
  <si>
    <t>XP_027462720.1 (+1)</t>
  </si>
  <si>
    <t>XP_027462720.1&amp;XP_027462722.1</t>
  </si>
  <si>
    <t>membrane protein FAM174A isoform X1 [Zalophus californianus]</t>
  </si>
  <si>
    <t>XP_027462760.1</t>
  </si>
  <si>
    <t>isochorismatase domain-containing protein 1 isoform X1 [Zalophus californianus]</t>
  </si>
  <si>
    <t>XP_027462801.1</t>
  </si>
  <si>
    <t>brain acid soluble protein 1 [Zalophus californianus]_x0001_XP_027462800.1 brain acid soluble protein 1 [Zalophus californianus]_x0001_XP_027462799.1 brain acid soluble protein 1 [Zalophus californianus]</t>
  </si>
  <si>
    <t>XP_027462837.1 (+3)</t>
  </si>
  <si>
    <t>XP_027462837.1&amp;XP_027462846.1&amp;XP_027462852.1&amp;XP_027462858.1</t>
  </si>
  <si>
    <t>hemojuvelin isoform X1 [Zalophus californianus]_x0001_XP_027462830.1 hemojuvelin isoform X1 [Zalophus californianus]</t>
  </si>
  <si>
    <t>XP_027462849.1</t>
  </si>
  <si>
    <t>peptidyl-prolyl cis-trans isomerase C [Zalophus californianus]</t>
  </si>
  <si>
    <t>XP_027462850.1</t>
  </si>
  <si>
    <t>transforming growth factor-beta-induced protein ig-h3 [Zalophus californianus]</t>
  </si>
  <si>
    <t>XP_027462867.1 (+1)</t>
  </si>
  <si>
    <t>XP_027462867.1&amp;XP_027462868.1</t>
  </si>
  <si>
    <t>drebrin isoform X1 [Zalophus californianus]</t>
  </si>
  <si>
    <t>XP_027462870.1</t>
  </si>
  <si>
    <t>T-cell immunoglobulin and mucin domain-containing protein 4 [Zalophus californianus]</t>
  </si>
  <si>
    <t>XP_027462891.1 (+3)</t>
  </si>
  <si>
    <t>XP_027462891.1&amp;XP_027462892.1&amp;XP_027462893.1&amp;XP_027462894.1</t>
  </si>
  <si>
    <t>heterogeneous nuclear ribonucleoprotein H isoform X1 [Zalophus californianus]</t>
  </si>
  <si>
    <t>XP_027462898.1</t>
  </si>
  <si>
    <t>endothelial cell-specific molecule 1 [Zalophus californianus]</t>
  </si>
  <si>
    <t>XP_027462899.1 (+3)</t>
  </si>
  <si>
    <t>XP_027462899.1&amp;XP_027462900.1&amp;XP_027462901.1&amp;XP_027462902.1</t>
  </si>
  <si>
    <t>hepatitis A virus cellular receptor 1 isoform X1 [Zalophus californianus]</t>
  </si>
  <si>
    <t>XP_027462915.1</t>
  </si>
  <si>
    <t>follistatin-related protein 4 [Zalophus californianus]</t>
  </si>
  <si>
    <t>XP_027462919.1 (+1)</t>
  </si>
  <si>
    <t>XP_027462919.1&amp;XP_027462920.1</t>
  </si>
  <si>
    <t>thrombospondin-4 isoform X1 [Zalophus californianus]</t>
  </si>
  <si>
    <t>XP_027462926.1 (+1)</t>
  </si>
  <si>
    <t>XP_027462926.1&amp;XP_027462927.1</t>
  </si>
  <si>
    <t>stimulator of interferon genes protein isoform X1 [Zalophus californianus]</t>
  </si>
  <si>
    <t>XP_027462946.1</t>
  </si>
  <si>
    <t>carboxymethylenebutenolidase homolog [Zalophus californianus]_x0001_XP_027462945.1 carboxymethylenebutenolidase homolog [Zalophus californianus]</t>
  </si>
  <si>
    <t>XP_027462972.1</t>
  </si>
  <si>
    <t>liver-expressed antimicrobial peptide 2 [Zalophus californianus]</t>
  </si>
  <si>
    <t>XP_027462990.1</t>
  </si>
  <si>
    <t>interleukin-6 receptor subunit beta isoform X1 [Zalophus californianus]_x0001_XP_027462989.1 interleukin-6 receptor subunit beta isoform X1 [Zalophus californianus]</t>
  </si>
  <si>
    <t>XP_027463043.1</t>
  </si>
  <si>
    <t>chloride channel CLIC-like protein 1 [Zalophus californianus]_x0001_XP_027463042.1 chloride channel CLIC-like protein 1 [Zalophus californianus]</t>
  </si>
  <si>
    <t>XP_027463100.1 (+2)</t>
  </si>
  <si>
    <t>XP_027463100.1&amp;XP_027463102.1&amp;XP_027463103.1</t>
  </si>
  <si>
    <t>zinc finger protein 185 isoform X1 [Zalophus californianus]</t>
  </si>
  <si>
    <t>XP_027463109.1</t>
  </si>
  <si>
    <t>xaa-Pro aminopeptidase 2 [Zalophus californianus]</t>
  </si>
  <si>
    <t>XP_027463138.1</t>
  </si>
  <si>
    <t>ubiquitin-like modifier-activating enzyme 1 [Zalophus californianus]_x0001_XP_027463137.1 ubiquitin-like modifier-activating enzyme 1 [Zalophus californianus]_x0001_XP_027463136.1 ubiquitin-like modifier-activating enzyme 1 [Zalophus californianus]_x0001_XP_027463135.1 ubiquitin-like modifier-activating enzyme 1 [Zalophus californianus]_x0001_XP_027463134.1 ubiquitin-like modifier-activating enzyme 1 [Zalophus californianus]_x0001_XP_027463133.1 ubiquitin-like modifier-activating enzyme 1 [Zalophus californianus]</t>
  </si>
  <si>
    <t>XP_027463185.1</t>
  </si>
  <si>
    <t>properdin [Zalophus californianus]</t>
  </si>
  <si>
    <t>XP_027463189.1 (+1)</t>
  </si>
  <si>
    <t>XP_027463189.1&amp;XP_027463192.1</t>
  </si>
  <si>
    <t>regucalcin isoform X1 [Zalophus californianus]</t>
  </si>
  <si>
    <t>XP_027463195.1</t>
  </si>
  <si>
    <t>metalloproteinase inhibitor 1 [Zalophus californianus]</t>
  </si>
  <si>
    <t>XP_027463226.1</t>
  </si>
  <si>
    <t>26S proteasome non-ATPase regulatory subunit 10 isoform X1 [Zalophus californianus]</t>
  </si>
  <si>
    <t>XP_027463255.1</t>
  </si>
  <si>
    <t>cytochrome b-245 heavy chain [Zalophus californianus]</t>
  </si>
  <si>
    <t>XP_027463351.1 (+1)</t>
  </si>
  <si>
    <t>XP_027463351.1&amp;XP_027463352.1</t>
  </si>
  <si>
    <t>ATP-dependent RNA helicase DDX3X isoform X1 [Zalophus californianus]</t>
  </si>
  <si>
    <t>XP_027463372.1</t>
  </si>
  <si>
    <t>histidine triad nucleotide-binding protein 1 [Zalophus californianus]_x0001_XP_027460806.1 histidine triad nucleotide-binding protein 1 [Zalophus californianus]</t>
  </si>
  <si>
    <t>XP_027463379.1</t>
  </si>
  <si>
    <t>ras-related protein Rab-2A [Zalophus californianus]</t>
  </si>
  <si>
    <t>XP_027463450.1</t>
  </si>
  <si>
    <t>LOW QUALITY PROTEIN: N-acylglucosamine 2-epimerase [Zalophus californianus]</t>
  </si>
  <si>
    <t>XP_027463528.1 (+2)</t>
  </si>
  <si>
    <t>XP_027463528.1&amp;XP_027463529.1&amp;XP_027463531.1</t>
  </si>
  <si>
    <t>lysosome-associated membrane glycoprotein 2 isoform X1 [Zalophus californianus]</t>
  </si>
  <si>
    <t>XP_027463555.1</t>
  </si>
  <si>
    <t>XP_027424539.1, XP_027433746.1, XP_027435317.1, XP_027459622.1, XP_027459628.1, XP_027463555.1, XP_027470871.1</t>
  </si>
  <si>
    <t>LOW QUALITY PROTEIN: heat shock cognate 71 kDa protein-like [Zalophus californianus]</t>
  </si>
  <si>
    <t>XP_027463599.1 (+2)</t>
  </si>
  <si>
    <t>XP_027463599.1&amp;XP_027463610.1&amp;XP_027463620.1</t>
  </si>
  <si>
    <t>dnaJ homolog subfamily C member 11 isoform X1 [Zalophus californianus]</t>
  </si>
  <si>
    <t>XP_027463611.1 (+5)</t>
  </si>
  <si>
    <t>XP_027463611.1&amp;XP_027463612.1&amp;XP_027463613.1&amp;XP_027463614.1&amp;XP_027463615.1&amp;XP_027463617.1</t>
  </si>
  <si>
    <t>glycerol kinase isoform X1 [Zalophus californianus]</t>
  </si>
  <si>
    <t>XP_027463624.1</t>
  </si>
  <si>
    <t>methyl-CpG-binding protein 2 [Zalophus californianus]</t>
  </si>
  <si>
    <t>XP_027463639.1 (+2)</t>
  </si>
  <si>
    <t>XP_027463639.1&amp;XP_027463640.1&amp;XP_027463641.1</t>
  </si>
  <si>
    <t>glucose-6-phosphate 1-dehydrogenase isoform X1 [Zalophus californianus]</t>
  </si>
  <si>
    <t>XP_027463665.1 (+1)</t>
  </si>
  <si>
    <t>XP_027463665.1&amp;XP_027463666.1</t>
  </si>
  <si>
    <t>pseudouridine-5'-phosphatase isoform X1 [Zalophus californianus]</t>
  </si>
  <si>
    <t>XP_027463673.1</t>
  </si>
  <si>
    <t>apoptosis-inducing factor 1, mitochondrial isoform X1 [Zalophus californianus]</t>
  </si>
  <si>
    <t>XP_027463677.1 (+1)</t>
  </si>
  <si>
    <t>XP_027463677.1&amp;XP_027463678.1</t>
  </si>
  <si>
    <t>pyruvate dehydrogenase E1 component subunit alpha, somatic form, mitochondrial isoform X1 [Zalophus californianus]</t>
  </si>
  <si>
    <t>XP_027463683.1</t>
  </si>
  <si>
    <t>membrane-associated progesterone receptor component 1 [Zalophus californianus]</t>
  </si>
  <si>
    <t>XP_027463720.1</t>
  </si>
  <si>
    <t>guanine nucleotide-binding protein G(k) subunit alpha [Zalophus californianus]</t>
  </si>
  <si>
    <t>XP_027463722.1</t>
  </si>
  <si>
    <t>small muscular protein [Zalophus californianus]_x0001_XP_027463721.1 small muscular protein [Zalophus californianus]</t>
  </si>
  <si>
    <t>XP_027463723.1</t>
  </si>
  <si>
    <t>XP_027463723.1, XP_027463724.1</t>
  </si>
  <si>
    <t>CD99 antigen isoform X1 [Zalophus californianus]</t>
  </si>
  <si>
    <t>XP_027463724.1</t>
  </si>
  <si>
    <t>CD99 antigen isoform X2 [Zalophus californianus]</t>
  </si>
  <si>
    <t>XP_027463748.1 (+2)</t>
  </si>
  <si>
    <t>XP_027463748.1&amp;XP_027463765.1&amp;XP_027463791.1</t>
  </si>
  <si>
    <t>elongation factor 1-delta isoform X1 [Zalophus californianus]</t>
  </si>
  <si>
    <t>XP_027463777.1</t>
  </si>
  <si>
    <t>heterogeneous nuclear ribonucleoprotein H2 [Zalophus californianus]_x0001_XP_027463776.1 heterogeneous nuclear ribonucleoprotein H2 [Zalophus californianus]</t>
  </si>
  <si>
    <t>XP_027463778.1</t>
  </si>
  <si>
    <t>alpha-galactosidase A [Zalophus californianus]</t>
  </si>
  <si>
    <t>XP_027463788.1 (+1)</t>
  </si>
  <si>
    <t>XP_027463788.1&amp;XP_027463789.1</t>
  </si>
  <si>
    <t>filamin-A isoform X1 [Zalophus californianus]_x0001_XP_027463787.1 filamin-A isoform X1 [Zalophus californianus]</t>
  </si>
  <si>
    <t>XP_027463807.1 (+2)</t>
  </si>
  <si>
    <t>XP_027463807.1&amp;XP_027463816.1&amp;XP_027463825.1</t>
  </si>
  <si>
    <t>nicotinate phosphoribosyltransferase isoform X1 [Zalophus californianus]</t>
  </si>
  <si>
    <t>XP_027463881.1</t>
  </si>
  <si>
    <t>moesin [Zalophus californianus]</t>
  </si>
  <si>
    <t>XP_027463884.1 (+2)</t>
  </si>
  <si>
    <t>XP_027463884.1&amp;XP_027463886.1&amp;XP_027463890.1</t>
  </si>
  <si>
    <t>four and a half LIM domains protein 1 isoform X1 [Zalophus californianus]</t>
  </si>
  <si>
    <t>XP_027463892.1</t>
  </si>
  <si>
    <t>ribose-phosphate pyrophosphokinase 2 [Zalophus californianus]</t>
  </si>
  <si>
    <t>XP_027463927.1</t>
  </si>
  <si>
    <t>glypican-3 [Zalophus californianus]</t>
  </si>
  <si>
    <t>XP_027463997.1</t>
  </si>
  <si>
    <t>V-type proton ATPase subunit S1 [Zalophus californianus]</t>
  </si>
  <si>
    <t>XP_027464050.1 (+2)</t>
  </si>
  <si>
    <t>XP_027464050.1&amp;XP_027464051.1&amp;XP_027464052.1</t>
  </si>
  <si>
    <t>coagulation factor IX isoform X1 [Zalophus californianus]</t>
  </si>
  <si>
    <t>XP_027464070.1</t>
  </si>
  <si>
    <t>gap junction beta-1 protein [Zalophus californianus]_x0001_XP_027464069.1 gap junction beta-1 protein [Zalophus californianus]</t>
  </si>
  <si>
    <t>XP_027464096.1</t>
  </si>
  <si>
    <t>calcium-activated chloride channel regulator 1 [Zalophus californianus]</t>
  </si>
  <si>
    <t>XP_027464114.1 (+1)</t>
  </si>
  <si>
    <t>XP_027464114.1&amp;XP_027464115.1</t>
  </si>
  <si>
    <t>renin receptor isoform X1 [Zalophus californianus]</t>
  </si>
  <si>
    <t>XP_027464165.1 (+6)</t>
  </si>
  <si>
    <t>XP_027464165.1&amp;XP_027464167.1&amp;XP_027464168.1&amp;XP_027464169.1&amp;XP_027464170.1&amp;XP_027464171.1&amp;XP_027464172.1</t>
  </si>
  <si>
    <t>coagulation factor VIII isoform X1 [Zalophus californianus]</t>
  </si>
  <si>
    <t>XP_027464182.1 (+2)</t>
  </si>
  <si>
    <t>XP_027464182.1&amp;XP_027464191.1&amp;XP_027464199.1</t>
  </si>
  <si>
    <t>protein LZIC isoform X1 [Zalophus californianus]</t>
  </si>
  <si>
    <t>XP_027464185.1</t>
  </si>
  <si>
    <t>hypoxanthine-guanine phosphoribosyltransferase isoform X3 [Zalophus californianus]</t>
  </si>
  <si>
    <t>XP_027464218.1</t>
  </si>
  <si>
    <t>RNA-binding motif protein, X chromosome [Zalophus californianus]</t>
  </si>
  <si>
    <t>XP_027464356.1 (+1)</t>
  </si>
  <si>
    <t>XP_027464356.1&amp;XP_027464362.1</t>
  </si>
  <si>
    <t>adenylate kinase 2, mitochondrial isoform X1 [Zalophus californianus]</t>
  </si>
  <si>
    <t>XP_027464359.1</t>
  </si>
  <si>
    <t>collectrin [Zalophus californianus]</t>
  </si>
  <si>
    <t>XP_027464371.1</t>
  </si>
  <si>
    <t>40S ribosomal protein S4, X isoform [Zalophus californianus]</t>
  </si>
  <si>
    <t>XP_027464485.1 (+1)</t>
  </si>
  <si>
    <t>XP_027464485.1&amp;XP_027464510.1</t>
  </si>
  <si>
    <t>adenylyl cyclase-associated protein 1 isoform X1 [Zalophus californianus]_x0001_XP_027464480.1 adenylyl cyclase-associated protein 1 isoform X1 [Zalophus californianus]_x0001_XP_027464473.1 adenylyl cyclase-associated protein 1 isoform X1 [Zalophus californianus]_x0001_XP_027464464.1 adenylyl cyclase-associated protein 1 isoform X1 [Zalophus californianus]</t>
  </si>
  <si>
    <t>XP_027464505.1</t>
  </si>
  <si>
    <t>heterogeneous nuclear ribonucleoprotein A1 [Zalophus californianus]</t>
  </si>
  <si>
    <t>XP_027464608.1</t>
  </si>
  <si>
    <t>non-POU domain-containing octamer-binding protein [Zalophus californianus]_x0001_XP_027464607.1 non-POU domain-containing octamer-binding protein [Zalophus californianus]_x0001_XP_027464606.1 non-POU domain-containing octamer-binding protein [Zalophus californianus]_x0001_XP_027464605.1 non-POU domain-containing octamer-binding protein [Zalophus californianus]_x0001_XP_027464604.1 non-POU domain-containing octamer-binding protein [Zalophus californianus]_x0001_XP_027464603.1 non-POU domain-containing octamer-binding protein [Zalophus californianus]</t>
  </si>
  <si>
    <t>XP_027464612.1</t>
  </si>
  <si>
    <t>KH domain-containing, RNA-binding, signal transduction-associated protein 1 [Zalophus californianus]</t>
  </si>
  <si>
    <t>XP_027464627.1</t>
  </si>
  <si>
    <t>rab GDP dissociation inhibitor alpha isoform X1 [Zalophus californianus]</t>
  </si>
  <si>
    <t>XP_027464728.1</t>
  </si>
  <si>
    <t>tumor necrosis factor receptor superfamily member 27 [Zalophus californianus]</t>
  </si>
  <si>
    <t>XP_027464762.1</t>
  </si>
  <si>
    <t>arylsulfatase F [Zalophus californianus]</t>
  </si>
  <si>
    <t>XP_027464768.1</t>
  </si>
  <si>
    <t>pirin [Zalophus californianus]_x0001_XP_027464767.1 pirin [Zalophus californianus]_x0001_XP_027464766.1 pirin [Zalophus californianus]</t>
  </si>
  <si>
    <t>XP_027464774.1</t>
  </si>
  <si>
    <t>3-hydroxyacyl-CoA dehydrogenase type-2 isoform X1 [Zalophus californianus]</t>
  </si>
  <si>
    <t>XP_027464855.1 (+1)</t>
  </si>
  <si>
    <t>XP_027464855.1&amp;XP_027469586.1</t>
  </si>
  <si>
    <t>ADP/ATP translocase 3 [Zalophus californianus]</t>
  </si>
  <si>
    <t>XP_027464901.1</t>
  </si>
  <si>
    <t>plastin-3 isoform X2 [Zalophus californianus]</t>
  </si>
  <si>
    <t>XP_027464912.1 (+1)</t>
  </si>
  <si>
    <t>XP_027464912.1&amp;XP_027464914.1</t>
  </si>
  <si>
    <t>SLIT and NTRK-like protein 4 isoform X1 [Zalophus californianus]</t>
  </si>
  <si>
    <t>XP_027464935.1</t>
  </si>
  <si>
    <t>sorting nexin-12 isoform X1 [Zalophus californianus]</t>
  </si>
  <si>
    <t>XP_027464980.1</t>
  </si>
  <si>
    <t>CTP synthase 2 [Zalophus californianus]_x0001_XP_027464979.1 CTP synthase 2 [Zalophus californianus]_x0001_XP_027464978.1 CTP synthase 2 [Zalophus californianus]</t>
  </si>
  <si>
    <t>XP_027464993.1</t>
  </si>
  <si>
    <t>proteolipid protein 2 [Zalophus californianus]</t>
  </si>
  <si>
    <t>XP_027465050.1 (+1)</t>
  </si>
  <si>
    <t>XP_027465050.1&amp;XP_027465051.1</t>
  </si>
  <si>
    <t>N-alpha-acetyltransferase 10 isoform X1 [Zalophus californianus]</t>
  </si>
  <si>
    <t>XP_027465075.1</t>
  </si>
  <si>
    <t>ephrin-B1 [Zalophus californianus]</t>
  </si>
  <si>
    <t>XP_027465121.1 (+1)</t>
  </si>
  <si>
    <t>XP_027465121.1&amp;XP_027465122.1</t>
  </si>
  <si>
    <t>glypican-4 isoform X1 [Zalophus californianus]</t>
  </si>
  <si>
    <t>XP_027465140.1</t>
  </si>
  <si>
    <t>deoxyribonuclease-1-like 1 [Zalophus californianus]_x0001_XP_027465139.1 deoxyribonuclease-1-like 1 [Zalophus californianus]</t>
  </si>
  <si>
    <t>XP_027465176.1 (+6)</t>
  </si>
  <si>
    <t>XP_027465176.1&amp;XP_027465177.1&amp;XP_027465178.1&amp;XP_027465180.1&amp;XP_027465181.1&amp;XP_027465182.1&amp;XP_027465183.1</t>
  </si>
  <si>
    <t>chordin-like protein 1 isoform X1 [Zalophus californianus]</t>
  </si>
  <si>
    <t>XP_027465190.1 (+3)</t>
  </si>
  <si>
    <t>XP_027465190.1&amp;XP_027465191.1&amp;XP_027465192.1&amp;XP_027465193.1</t>
  </si>
  <si>
    <t>collagen alpha-5(IV) chain isoform X1 [Zalophus californianus]</t>
  </si>
  <si>
    <t>XP_027465219.1</t>
  </si>
  <si>
    <t>ADP/ATP translocase 2 [Zalophus californianus]</t>
  </si>
  <si>
    <t>XP_027465222.1 (+1)</t>
  </si>
  <si>
    <t>XP_027465222.1&amp;XP_027465224.1</t>
  </si>
  <si>
    <t>neural cell adhesion molecule L1 isoform X1 [Zalophus californianus]</t>
  </si>
  <si>
    <t>XP_027465270.1 (+26)</t>
  </si>
  <si>
    <t>XP_027465270.1&amp;XP_027465279.1&amp;XP_027465289.1&amp;XP_027465296.1&amp;XP_027465302.1&amp;XP_027465309.1&amp;XP_027465319.1&amp;XP_027465337.1&amp;XP_027465346.1&amp;XP_027465352.1&amp;XP_027465356.1&amp;XP_027465365.1&amp;XP_027465372.1&amp;XP_027465381.1&amp;XP_027465391.1&amp;XP_027465400.1&amp;XP_027465409.1&amp;XP_027465414.1&amp;XP_027465423.1&amp;XP_027465430.1&amp;XP_027465436.1&amp;XP_027465446.1&amp;XP_027465456.1&amp;XP_027465461.1&amp;XP_027465468.1&amp;XP_027465477.1&amp;XP_027465485.1</t>
  </si>
  <si>
    <t>XP_027453373.1, XP_027465270.1, XP_027470081.1</t>
  </si>
  <si>
    <t>plectin isoform X1 [Zalophus californianus]</t>
  </si>
  <si>
    <t>XP_027465275.1</t>
  </si>
  <si>
    <t>SH3 domain-binding glutamic acid-rich-like protein [Zalophus californianus]</t>
  </si>
  <si>
    <t>XP_027465282.1</t>
  </si>
  <si>
    <t>B-cell receptor-associated protein 31 [Zalophus californianus]_x0001_XP_027465281.1 B-cell receptor-associated protein 31 [Zalophus californianus]_x0001_XP_027465280.1 B-cell receptor-associated protein 31 [Zalophus californianus]_x0001_XP_027465278.1 B-cell receptor-associated protein 31 [Zalophus californianus]_x0001_XP_027465277.1 B-cell receptor-associated protein 31 [Zalophus californianus]_x0001_XP_027465276.1 B-cell receptor-associated protein 31 [Zalophus californianus]</t>
  </si>
  <si>
    <t>XP_027465300.1 (+1)</t>
  </si>
  <si>
    <t>XP_027465300.1&amp;XP_027465303.1</t>
  </si>
  <si>
    <t>peroxiredoxin-4 isoform X1 [Zalophus californianus]</t>
  </si>
  <si>
    <t>XP_027465324.1</t>
  </si>
  <si>
    <t>phosphoglycerate kinase 1 [Zalophus californianus]</t>
  </si>
  <si>
    <t>XP_027465354.1</t>
  </si>
  <si>
    <t>angiotensin-converting enzyme 2 [Zalophus californianus]_x0001_XP_027465353.1 angiotensin-converting enzyme 2 [Zalophus californianus]</t>
  </si>
  <si>
    <t>XP_027465426.1 (+2)</t>
  </si>
  <si>
    <t>XP_027465426.1&amp;XP_027465427.1&amp;XP_027465428.1</t>
  </si>
  <si>
    <t>V-set and immunoglobulin domain-containing protein 4 isoform X1 [Zalophus californianus]</t>
  </si>
  <si>
    <t>XP_027465515.1</t>
  </si>
  <si>
    <t>neutrophil cytosol factor 1 [Zalophus californianus]</t>
  </si>
  <si>
    <t>XP_027465538.1</t>
  </si>
  <si>
    <t>dermatopontin [Zalophus californianus]</t>
  </si>
  <si>
    <t>XP_027465559.1 (+1)</t>
  </si>
  <si>
    <t>XP_027465559.1&amp;XP_027479701.1</t>
  </si>
  <si>
    <t>coiled-coil-helix-coiled-coil-helix domain-containing protein 2 [Zalophus californianus]</t>
  </si>
  <si>
    <t>XP_027465581.1 (+2)</t>
  </si>
  <si>
    <t>XP_027465581.1&amp;XP_027465582.1&amp;XP_027465584.1</t>
  </si>
  <si>
    <t>XP_027465581.1, XP_027468147.1</t>
  </si>
  <si>
    <t>complement factor H-related protein 5 isoform X1 [Zalophus californianus]</t>
  </si>
  <si>
    <t>XP_027465585.1</t>
  </si>
  <si>
    <t>SLAM family member 5-like [Zalophus californianus]</t>
  </si>
  <si>
    <t>XP_027465636.1</t>
  </si>
  <si>
    <t>elongin-B [Zalophus californianus]</t>
  </si>
  <si>
    <t>XP_027465664.1 (+1)</t>
  </si>
  <si>
    <t>XP_027465664.1&amp;XP_027465668.1</t>
  </si>
  <si>
    <t>protein S100-A2 isoform X1 [Zalophus californianus]</t>
  </si>
  <si>
    <t>XP_027465683.1</t>
  </si>
  <si>
    <t>major vault protein [Zalophus californianus]</t>
  </si>
  <si>
    <t>XP_027465701.1 (+3)</t>
  </si>
  <si>
    <t>XP_027465701.1&amp;XP_027465702.1&amp;XP_027465704.1&amp;XP_027465705.1</t>
  </si>
  <si>
    <t>troponin I, slow skeletal muscle isoform X1 [Zalophus californianus]</t>
  </si>
  <si>
    <t>XP_027465713.1 (+5)</t>
  </si>
  <si>
    <t>XP_027465713.1&amp;XP_027465719.1&amp;XP_027465726.1&amp;XP_027465733.1&amp;XP_027465741.1&amp;XP_027465747.1</t>
  </si>
  <si>
    <t>cAMP-dependent protein kinase catalytic subunit beta isoform X1 [Zalophus californianus]</t>
  </si>
  <si>
    <t>XP_027465721.1 (+1)</t>
  </si>
  <si>
    <t>XP_027465721.1&amp;XP_027465722.1</t>
  </si>
  <si>
    <t>aminopeptidase B isoform X1 [Zalophus californianus]</t>
  </si>
  <si>
    <t>XP_027465742.1 (+3)</t>
  </si>
  <si>
    <t>XP_027465742.1&amp;XP_027465743.1&amp;XP_027465744.1&amp;XP_027465745.1</t>
  </si>
  <si>
    <t>serine/arginine repetitive matrix protein 2 isoform X1 [Zalophus californianus]_x0001_XP_027465740.1 serine/arginine repetitive matrix protein 2 isoform X1 [Zalophus californianus]_x0001_XP_027465739.1 serine/arginine repetitive matrix protein 2 isoform X1 [Zalophus californianus]</t>
  </si>
  <si>
    <t>XP_027465823.1 (+2)</t>
  </si>
  <si>
    <t>XP_027465823.1&amp;XP_027465824.1&amp;XP_027465825.1</t>
  </si>
  <si>
    <t>coatomer subunit alpha isoform X1 [Zalophus californianus]</t>
  </si>
  <si>
    <t>XP_027465826.1</t>
  </si>
  <si>
    <t>nicastrin [Zalophus californianus]</t>
  </si>
  <si>
    <t>XP_027465830.1</t>
  </si>
  <si>
    <t>GTPase NRas [Zalophus californianus]</t>
  </si>
  <si>
    <t>XP_027465845.1</t>
  </si>
  <si>
    <t>myelin protein zero-like protein 1 [Zalophus californianus]</t>
  </si>
  <si>
    <t>XP_027465860.1</t>
  </si>
  <si>
    <t>vasorin [Zalophus californianus]</t>
  </si>
  <si>
    <t>XP_027465883.1</t>
  </si>
  <si>
    <t>D-3-phosphoglycerate dehydrogenase [Zalophus californianus]</t>
  </si>
  <si>
    <t>XP_027465899.1</t>
  </si>
  <si>
    <t>metallo-beta-lactamase domain-containing protein 1 [Zalophus californianus]</t>
  </si>
  <si>
    <t>XP_027465985.1</t>
  </si>
  <si>
    <t>sodium/potassium-transporting ATPase subunit beta-1 [Zalophus californianus]</t>
  </si>
  <si>
    <t>XP_027466038.1</t>
  </si>
  <si>
    <t>medium-chain specific acyl-CoA dehydrogenase, mitochondrial [Zalophus californianus]</t>
  </si>
  <si>
    <t>XP_027466085.1</t>
  </si>
  <si>
    <t>G-protein coupled receptor family C group 5 member B [Zalophus californianus]</t>
  </si>
  <si>
    <t>XP_027466124.1</t>
  </si>
  <si>
    <t>laminin subunit gamma-2 [Zalophus californianus]_x0001_XP_027466123.1 laminin subunit gamma-2 [Zalophus californianus]</t>
  </si>
  <si>
    <t>XP_027466125.1 (+1)</t>
  </si>
  <si>
    <t>XP_027466125.1&amp;XP_027466126.1</t>
  </si>
  <si>
    <t>neutrophil cytosol factor 2 isoform X1 [Zalophus californianus]</t>
  </si>
  <si>
    <t>XP_027466181.1</t>
  </si>
  <si>
    <t>zinc-alpha-2-glycoprotein [Zalophus californianus]</t>
  </si>
  <si>
    <t>XP_027466234.1 (+1)</t>
  </si>
  <si>
    <t>XP_027466234.1&amp;XP_027466235.1</t>
  </si>
  <si>
    <t>glutamine synthetase isoform X1 [Zalophus californianus]</t>
  </si>
  <si>
    <t>XP_027466283.1</t>
  </si>
  <si>
    <t>pyruvate kinase PKLR [Zalophus californianus]</t>
  </si>
  <si>
    <t>XP_027466284.1 (+1)</t>
  </si>
  <si>
    <t>XP_027466284.1&amp;XP_027466290.1</t>
  </si>
  <si>
    <t>V-type proton ATPase subunit H isoform X1 [Zalophus californianus]_x0001_XP_027466275.1 V-type proton ATPase subunit H isoform X1 [Zalophus californianus]_x0001_XP_027466267.1 V-type proton ATPase subunit H isoform X1 [Zalophus californianus]</t>
  </si>
  <si>
    <t>XP_027466339.1</t>
  </si>
  <si>
    <t>BRO1 domain-containing protein BROX isoform X1 [Zalophus californianus]_x0001_XP_027466338.1 BRO1 domain-containing protein BROX isoform X1 [Zalophus californianus]_x0001_XP_027466336.1 BRO1 domain-containing protein BROX isoform X1 [Zalophus californianus]_x0001_XP_027466335.1 BRO1 domain-containing protein BROX isoform X1 [Zalophus californianus]_x0001_XP_027466334.1 BRO1 domain-containing protein BROX isoform X1 [Zalophus californianus]_x0001_XP_027466333.1 BRO1 domain-containing protein BROX isoform X1 [Zalophus californianus]_x0001_XP_027466332.1 BRO1 domain-containing protein BROX isoform X1 [Zalophus californianus]_x0001_XP_027466331.1 BRO1 domain-containing protein BROX isoform X1 [Zalophus californianus]_x0001_XP_027466330.1 BRO1 domain-containing protein BROX isoform X1 [Zalophus californianus]</t>
  </si>
  <si>
    <t>XP_027466344.1</t>
  </si>
  <si>
    <t>laminin subunit gamma-1 isoform X1 [Zalophus californianus]</t>
  </si>
  <si>
    <t>XP_027466363.1</t>
  </si>
  <si>
    <t>argininosuccinate lyase [Zalophus californianus]</t>
  </si>
  <si>
    <t>XP_027466382.1</t>
  </si>
  <si>
    <t>polyserase-2 [Zalophus californianus]</t>
  </si>
  <si>
    <t>XP_027466443.1 (+11)</t>
  </si>
  <si>
    <t>XP_027466443.1&amp;XP_027466444.1&amp;XP_027466445.1&amp;XP_027466447.1&amp;XP_027466448.1&amp;XP_027466449.1&amp;XP_027466450.1&amp;XP_027466452.1&amp;XP_027466453.1&amp;XP_027466454.1&amp;XP_027466455.1&amp;XP_027466456.1</t>
  </si>
  <si>
    <t>disintegrin and metalloproteinase domain-containing protein 15 isoform X1 [Zalophus californianus]</t>
  </si>
  <si>
    <t>XP_027466490.1</t>
  </si>
  <si>
    <t>XP_027466490.1, XP_027466502.1</t>
  </si>
  <si>
    <t>carbonic anhydrase 3 [Zalophus californianus]</t>
  </si>
  <si>
    <t>XP_027466500.1</t>
  </si>
  <si>
    <t>eukaryotic peptide chain release factor GTP-binding subunit ERF3A [Zalophus californianus]</t>
  </si>
  <si>
    <t>XP_027466502.1</t>
  </si>
  <si>
    <t>carbonic anhydrase 2 [Zalophus californianus]</t>
  </si>
  <si>
    <t>XP_027466563.1</t>
  </si>
  <si>
    <t>elongation factor Tu, mitochondrial [Zalophus californianus]</t>
  </si>
  <si>
    <t>XP_027466621.1</t>
  </si>
  <si>
    <t>lamin [Zalophus californianus]</t>
  </si>
  <si>
    <t>XP_027466624.1</t>
  </si>
  <si>
    <t>T-complex protein 1 subunit gamma [Zalophus californianus]</t>
  </si>
  <si>
    <t>XP_027466692.1 (+3)</t>
  </si>
  <si>
    <t>XP_027466692.1&amp;XP_027466693.1&amp;XP_027466694.1&amp;XP_027466695.1</t>
  </si>
  <si>
    <t>Fc receptor-like protein 1 isoform X1 [Zalophus californianus]</t>
  </si>
  <si>
    <t>XP_027466697.1</t>
  </si>
  <si>
    <t>A disintegrin and metalloproteinase with thrombospondin motifs 4 [Zalophus californianus]</t>
  </si>
  <si>
    <t>XP_027466711.1</t>
  </si>
  <si>
    <t>ubiquitin-fold modifier-conjugating enzyme 1 [Zalophus californianus]</t>
  </si>
  <si>
    <t>XP_027466757.1</t>
  </si>
  <si>
    <t>cysteine and glycine-rich protein 1 [Zalophus californianus]</t>
  </si>
  <si>
    <t>XP_027466768.1</t>
  </si>
  <si>
    <t>thiosulfate:glutathione sulfurtransferase [Zalophus californianus]</t>
  </si>
  <si>
    <t>XP_027466784.1</t>
  </si>
  <si>
    <t>actin-related protein 2/3 complex subunit 1B [Zalophus californianus]_x0001_XP_027466783.1 actin-related protein 2/3 complex subunit 1B [Zalophus californianus]</t>
  </si>
  <si>
    <t>XP_027466793.1</t>
  </si>
  <si>
    <t>28 kDa heat- and acid-stable phosphoprotein [Zalophus californianus]</t>
  </si>
  <si>
    <t>XP_027466827.1 (+1)</t>
  </si>
  <si>
    <t>XP_027466827.1&amp;XP_027466828.1</t>
  </si>
  <si>
    <t>nuclear ubiquitous casein and cyclin-dependent kinase substrate 1 isoform X1 [Zalophus californianus]</t>
  </si>
  <si>
    <t>XP_027466897.1 (+2)</t>
  </si>
  <si>
    <t>XP_027466897.1&amp;XP_027466898.1&amp;XP_027466899.1</t>
  </si>
  <si>
    <t>transmembrane protein PVRIG isoform X1 [Zalophus californianus]</t>
  </si>
  <si>
    <t>XP_027466900.1 (+1)</t>
  </si>
  <si>
    <t>XP_027466900.1&amp;XP_027466901.1</t>
  </si>
  <si>
    <t>paired immunoglobulin-like type 2 receptor beta isoform X1 [Zalophus californianus]</t>
  </si>
  <si>
    <t>XP_027466939.1</t>
  </si>
  <si>
    <t>N-acetylglucosamine-1-phosphotransferase subunit gamma [Zalophus californianus]_x0001_XP_027466938.1 N-acetylglucosamine-1-phosphotransferase subunit gamma [Zalophus californianus]</t>
  </si>
  <si>
    <t>XP_027466955.1 (+1)</t>
  </si>
  <si>
    <t>XP_027466955.1&amp;XP_027466964.1</t>
  </si>
  <si>
    <t>calponin-3 isoform X1 [Zalophus californianus]</t>
  </si>
  <si>
    <t>XP_027466965.1 (+4)</t>
  </si>
  <si>
    <t>XP_027466965.1&amp;XP_027466966.1&amp;XP_027466967.1&amp;XP_027466968.1&amp;XP_027466969.1</t>
  </si>
  <si>
    <t>complement decay-accelerating factor isoform X1 [Zalophus californianus]</t>
  </si>
  <si>
    <t>XP_027467002.1</t>
  </si>
  <si>
    <t>xylosyltransferase 1 [Zalophus californianus]</t>
  </si>
  <si>
    <t>XP_027467004.1 (+1)</t>
  </si>
  <si>
    <t>XP_027467004.1&amp;XP_027467005.1</t>
  </si>
  <si>
    <t>WD repeat domain phosphoinositide-interacting protein 2 isoform X1 [Zalophus californianus]</t>
  </si>
  <si>
    <t>XP_027467006.1</t>
  </si>
  <si>
    <t>phosphomannomutase 2 [Zalophus californianus]</t>
  </si>
  <si>
    <t>XP_027467007.1 (+3)</t>
  </si>
  <si>
    <t>XP_027467007.1&amp;XP_027467017.1&amp;XP_027467026.1&amp;XP_027467036.1</t>
  </si>
  <si>
    <t>polyadenylate-binding protein 4 isoform X1 [Zalophus californianus]_x0001_XP_027467003.1 polyadenylate-binding protein 4 isoform X1 [Zalophus californianus]_x0001_XP_027466994.1 polyadenylate-binding protein 4 isoform X1 [Zalophus californianus]</t>
  </si>
  <si>
    <t>XP_027467009.1</t>
  </si>
  <si>
    <t>calcium-regulated heat-stable protein 1 [Zalophus californianus]_x0001_XP_027467008.1 calcium-regulated heat-stable protein 1 [Zalophus californianus]</t>
  </si>
  <si>
    <t>XP_027467014.1 (+2)</t>
  </si>
  <si>
    <t>XP_027467014.1&amp;XP_027467015.1&amp;XP_027467018.1</t>
  </si>
  <si>
    <t>interleukin-4 receptor subunit alpha isoform X1 [Zalophus californianus]_x0001_XP_027467013.1 interleukin-4 receptor subunit alpha isoform X1 [Zalophus californianus]_x0001_XP_027467012.1 interleukin-4 receptor subunit alpha isoform X1 [Zalophus californianus]_x0001_XP_027467011.1 interleukin-4 receptor subunit alpha isoform X1 [Zalophus californianus]_x0001_XP_027467010.1 interleukin-4 receptor subunit alpha isoform X1 [Zalophus californianus]</t>
  </si>
  <si>
    <t>XP_027467038.1</t>
  </si>
  <si>
    <t>calcyclin-binding protein [Zalophus californianus]</t>
  </si>
  <si>
    <t>XP_027467039.1</t>
  </si>
  <si>
    <t>myosin-binding protein H [Zalophus californianus]</t>
  </si>
  <si>
    <t>XP_027467064.1</t>
  </si>
  <si>
    <t>fumarate hydratase, mitochondrial [Zalophus californianus]</t>
  </si>
  <si>
    <t>XP_027467080.1</t>
  </si>
  <si>
    <t>hemicentin-1 [Zalophus californianus]</t>
  </si>
  <si>
    <t>XP_027467087.1</t>
  </si>
  <si>
    <t>sodium/glucose cotransporter 2 isoform X2 [Zalophus californianus]</t>
  </si>
  <si>
    <t>XP_027467096.1 (+1)</t>
  </si>
  <si>
    <t>XP_027467096.1&amp;XP_027467103.1</t>
  </si>
  <si>
    <t>myosin regulatory light chain 2, skeletal muscle isoform isoform X1 [Zalophus californianus]</t>
  </si>
  <si>
    <t>XP_027467104.1 (+1)</t>
  </si>
  <si>
    <t>XP_027467104.1&amp;XP_027467105.1</t>
  </si>
  <si>
    <t>cell adhesion molecule 3 isoform X1 [Zalophus californianus]</t>
  </si>
  <si>
    <t>XP_027467180.1</t>
  </si>
  <si>
    <t>brain-specific angiogenesis inhibitor 1-associated protein 2-like protein 1 [Zalophus californianus]</t>
  </si>
  <si>
    <t>XP_027467200.1</t>
  </si>
  <si>
    <t>ras-related C3 botulinum toxin substrate 1 [Zalophus californianus]</t>
  </si>
  <si>
    <t>XP_027467202.1 (+11)</t>
  </si>
  <si>
    <t>XP_027467202.1&amp;XP_027467203.1&amp;XP_027467204.1&amp;XP_027467205.1&amp;XP_027467206.1&amp;XP_027467207.1&amp;XP_027467208.1&amp;XP_027467210.1&amp;XP_027467211.1&amp;XP_027467212.1&amp;XP_027467213.1&amp;XP_027467214.1</t>
  </si>
  <si>
    <t>protein enabled homolog isoform X1 [Zalophus californianus]</t>
  </si>
  <si>
    <t>XP_027467259.1</t>
  </si>
  <si>
    <t>junctional adhesion molecule A isoform X3 [Zalophus californianus]</t>
  </si>
  <si>
    <t>XP_027467260.1 (+1)</t>
  </si>
  <si>
    <t>XP_027467260.1&amp;XP_027467261.1</t>
  </si>
  <si>
    <t>bifunctional glutamate/proline--tRNA ligase isoform X1 [Zalophus californianus]</t>
  </si>
  <si>
    <t>XP_027467263.1 (+1)</t>
  </si>
  <si>
    <t>XP_027467263.1&amp;XP_027467265.1</t>
  </si>
  <si>
    <t>XP_027467263.1, XP_027472409.1, XP_027481784.1</t>
  </si>
  <si>
    <t>fructose-bisphosphate aldolase A isoform X1 [Zalophus californianus]</t>
  </si>
  <si>
    <t>XP_027467284.1</t>
  </si>
  <si>
    <t>transgelin-2 [Zalophus californianus]</t>
  </si>
  <si>
    <t>XP_027467285.1 (+1)</t>
  </si>
  <si>
    <t>XP_027467285.1&amp;XP_027467286.1</t>
  </si>
  <si>
    <t>eukaryotic translation initiation factor 4H isoform X1 [Zalophus californianus]</t>
  </si>
  <si>
    <t>XP_027467329.1</t>
  </si>
  <si>
    <t>involucrin [Zalophus californianus]</t>
  </si>
  <si>
    <t>XP_027467334.1</t>
  </si>
  <si>
    <t>astrocytic phosphoprotein PEA-15 [Zalophus californianus]</t>
  </si>
  <si>
    <t>XP_027467377.1</t>
  </si>
  <si>
    <t>heat shock protein beta-1 [Zalophus californianus]</t>
  </si>
  <si>
    <t>XP_027467393.1</t>
  </si>
  <si>
    <t>protein Niban [Zalophus californianus]</t>
  </si>
  <si>
    <t>XP_027467505.1</t>
  </si>
  <si>
    <t>14-3-3 protein gamma [Zalophus californianus]</t>
  </si>
  <si>
    <t>XP_027467579.1</t>
  </si>
  <si>
    <t>procollagen C-endopeptidase enhancer 1 [Zalophus californianus]</t>
  </si>
  <si>
    <t>XP_027467635.1</t>
  </si>
  <si>
    <t>cytochrome b-c1 complex subunit 2, mitochondrial [Zalophus californianus]</t>
  </si>
  <si>
    <t>XP_027467638.1 (+3)</t>
  </si>
  <si>
    <t>XP_027467638.1&amp;XP_027467639.1&amp;XP_027467642.1&amp;XP_027467644.1</t>
  </si>
  <si>
    <t>protein S100-A13 isoform X1 [Zalophus californianus]</t>
  </si>
  <si>
    <t>XP_027467645.1</t>
  </si>
  <si>
    <t>protein S100-A1 [Zalophus californianus]</t>
  </si>
  <si>
    <t>XP_027467657.1</t>
  </si>
  <si>
    <t>guanine nucleotide-binding protein G(I)/G(S)/G(O) subunit gamma-12 isoform X7 [Zalophus californianus]_x0001_XP_027467646.1 guanine nucleotide-binding protein G(I)/G(S)/G(O) subunit gamma-12 isoform X7 [Zalophus californianus]_x0001_XP_027467637.1 guanine nucleotide-binding protein G(I)/G(S)/G(O) subunit gamma-12 isoform X7 [Zalophus californianus]_x0001_XP_027467627.1 guanine nucleotide-binding protein G(I)/G(S)/G(O) subunit gamma-12 isoform X7 [Zalophus californianus]</t>
  </si>
  <si>
    <t>XP_027467688.1</t>
  </si>
  <si>
    <t>LOW QUALITY PROTEIN: zymogen granule protein 16 homolog B [Zalophus californianus]</t>
  </si>
  <si>
    <t>XP_027467719.1</t>
  </si>
  <si>
    <t>peroxiredoxin-6 [Zalophus californianus]_x0001_XP_027467718.1 peroxiredoxin-6 [Zalophus californianus]</t>
  </si>
  <si>
    <t>XP_027467721.1</t>
  </si>
  <si>
    <t>ladinin-1 [Zalophus californianus]</t>
  </si>
  <si>
    <t>XP_027467728.1</t>
  </si>
  <si>
    <t>XP_027467728.1, XP_027467770.1</t>
  </si>
  <si>
    <t>complement factor H [Zalophus californianus]</t>
  </si>
  <si>
    <t>XP_027467766.1</t>
  </si>
  <si>
    <t>ephrin-A1 [Zalophus californianus]</t>
  </si>
  <si>
    <t>XP_027467770.1</t>
  </si>
  <si>
    <t>complement factor H-like isoform X2 [Zalophus californianus]</t>
  </si>
  <si>
    <t>XP_027467776.1 (+1)</t>
  </si>
  <si>
    <t>XP_027467776.1&amp;XP_027467777.1</t>
  </si>
  <si>
    <t>XP_027426213.1, XP_027432596.1, XP_027436809.1, XP_027441932.1, XP_027467776.1, XP_027477380.1, XP_027478972.1</t>
  </si>
  <si>
    <t>ras-related protein Rab-13 isoform X1 [Zalophus californianus]</t>
  </si>
  <si>
    <t>XP_027467779.1</t>
  </si>
  <si>
    <t>protein CYR61 [Zalophus californianus]</t>
  </si>
  <si>
    <t>XP_027467798.1</t>
  </si>
  <si>
    <t>4-aminobutyrate aminotransferase, mitochondrial isoform X2 [Zalophus californianus]</t>
  </si>
  <si>
    <t>XP_027467800.1</t>
  </si>
  <si>
    <t>MARCKS-related protein [Zalophus californianus]</t>
  </si>
  <si>
    <t>XP_027467813.1</t>
  </si>
  <si>
    <t>actin-related protein 2/3 complex subunit 5 isoform X3 [Zalophus californianus]</t>
  </si>
  <si>
    <t>XP_027467822.1</t>
  </si>
  <si>
    <t>brain-specific serine protease 4-like [Zalophus californianus]</t>
  </si>
  <si>
    <t>XP_027467825.1</t>
  </si>
  <si>
    <t>XP_027426862.1, XP_027447846.1, XP_027467825.1, XP_027469898.1, XP_027473072.1, XP_027480955.1, XP_027480956.1, XP_027480959.1, XP_027481358.1, XP_027481764.1</t>
  </si>
  <si>
    <t>myosin-16 [Zalophus californianus]</t>
  </si>
  <si>
    <t>XP_027467826.1 (+2)</t>
  </si>
  <si>
    <t>XP_027467826.1&amp;XP_027467827.1&amp;XP_027467828.1</t>
  </si>
  <si>
    <t>RNA-binding protein FUS isoform X1 [Zalophus californianus]</t>
  </si>
  <si>
    <t>XP_027467839.1</t>
  </si>
  <si>
    <t>podocin [Zalophus californianus]</t>
  </si>
  <si>
    <t>XP_027467855.1</t>
  </si>
  <si>
    <t>protein S100-A9 [Zalophus californianus]_x0001_XP_027467854.1 protein S100-A9 [Zalophus californianus]</t>
  </si>
  <si>
    <t>XP_027467881.1</t>
  </si>
  <si>
    <t>enoyl-CoA delta isomerase 1, mitochondrial [Zalophus californianus]</t>
  </si>
  <si>
    <t>XP_027467931.1</t>
  </si>
  <si>
    <t>amiloride-sensitive sodium channel subunit gamma [Zalophus californianus]</t>
  </si>
  <si>
    <t>XP_027467938.1 (+1)</t>
  </si>
  <si>
    <t>XP_027467938.1&amp;XP_027467939.1</t>
  </si>
  <si>
    <t>heterogeneous nuclear ribonucleoprotein U isoform X1 [Zalophus californianus]</t>
  </si>
  <si>
    <t>XP_027467964.1</t>
  </si>
  <si>
    <t>THUMP domain-containing protein 1 [Zalophus californianus]_x0001_XP_027467963.1 THUMP domain-containing protein 1 [Zalophus californianus]</t>
  </si>
  <si>
    <t>XP_027467965.1</t>
  </si>
  <si>
    <t>ketimine reductase mu-crystallin [Zalophus californianus]</t>
  </si>
  <si>
    <t>XP_027468030.1</t>
  </si>
  <si>
    <t>plakophilin-1 [Zalophus californianus]</t>
  </si>
  <si>
    <t>XP_027468036.1 (+1)</t>
  </si>
  <si>
    <t>XP_027468036.1&amp;XP_027468037.1</t>
  </si>
  <si>
    <t>Na(+)/H(+) exchange regulatory cofactor NHE-RF2 isoform X1 [Zalophus californianus]</t>
  </si>
  <si>
    <t>XP_027468048.1</t>
  </si>
  <si>
    <t>serum amyloid P-component [Zalophus californianus]</t>
  </si>
  <si>
    <t>XP_027468054.1</t>
  </si>
  <si>
    <t>apoptosis-associated speck-like protein containing a CARD [Zalophus californianus]</t>
  </si>
  <si>
    <t>XP_027468089.1</t>
  </si>
  <si>
    <t>myocilin [Zalophus californianus]</t>
  </si>
  <si>
    <t>XP_027468094.1</t>
  </si>
  <si>
    <t>SH3 domain-binding glutamic acid-rich-like protein 3 [Zalophus californianus]</t>
  </si>
  <si>
    <t>XP_027468104.1 (+1)</t>
  </si>
  <si>
    <t>XP_027468104.1&amp;XP_027482209.1</t>
  </si>
  <si>
    <t>actin, cytoplasmic 1 [Zalophus californianus]_x0001_XP_027468103.1 actin, cytoplasmic 1 [Zalophus californianus]</t>
  </si>
  <si>
    <t>XP_027468110.1 (+1)</t>
  </si>
  <si>
    <t>XP_027468110.1&amp;XP_027468112.1</t>
  </si>
  <si>
    <t>nectin-4 isoform X2 [Zalophus californianus]</t>
  </si>
  <si>
    <t>XP_027468143.1</t>
  </si>
  <si>
    <t>mucin-1 isoform X1 [Zalophus californianus]</t>
  </si>
  <si>
    <t>XP_027468147.1</t>
  </si>
  <si>
    <t>complement factor H-related protein 2-like isoform X1 [Zalophus californianus]</t>
  </si>
  <si>
    <t>XP_027468187.1 (+2)</t>
  </si>
  <si>
    <t>XP_027468187.1&amp;XP_027468189.1&amp;XP_027468190.1</t>
  </si>
  <si>
    <t>coagulation factor XIII B chain isoform X1 [Zalophus californianus]</t>
  </si>
  <si>
    <t>XP_027468217.1</t>
  </si>
  <si>
    <t>neurosecretory protein VGF [Zalophus californianus]_x0001_XP_027468216.1 neurosecretory protein VGF [Zalophus californianus]</t>
  </si>
  <si>
    <t>XP_027468262.1</t>
  </si>
  <si>
    <t>immunoglobulin superfamily member 8 [Zalophus californianus]_x0001_XP_027468261.1 immunoglobulin superfamily member 8 [Zalophus californianus]</t>
  </si>
  <si>
    <t>XP_027468264.1 (+3)</t>
  </si>
  <si>
    <t>XP_027468264.1&amp;XP_027468265.1&amp;XP_027468266.1&amp;XP_027468268.1</t>
  </si>
  <si>
    <t>nucleoprotein TPR isoform X1 [Zalophus californianus]</t>
  </si>
  <si>
    <t>XP_027468270.1</t>
  </si>
  <si>
    <t>proteoglycan 4 isoform X1 [Zalophus californianus]_x0001_XP_027468269.1 proteoglycan 4 isoform X1 [Zalophus californianus]</t>
  </si>
  <si>
    <t>XP_027468300.1</t>
  </si>
  <si>
    <t>dual specificity protein phosphatase 23 [Zalophus californianus]</t>
  </si>
  <si>
    <t>XP_027468303.1</t>
  </si>
  <si>
    <t>nicotinate-nucleotide pyrophosphorylase [carboxylating] [Zalophus californianus]</t>
  </si>
  <si>
    <t>XP_027468328.1</t>
  </si>
  <si>
    <t>40S ribosomal protein S27 [Zalophus californianus]_x0001_XP_027468220.1 40S ribosomal protein S27 [Zalophus californianus]</t>
  </si>
  <si>
    <t>XP_027468342.1 (+4)</t>
  </si>
  <si>
    <t>XP_027468342.1&amp;XP_027468343.1&amp;XP_027468344.1&amp;XP_027468345.1&amp;XP_027468346.1</t>
  </si>
  <si>
    <t>XP_027468342.1, XP_027474279.1</t>
  </si>
  <si>
    <t>troponin T, cardiac muscle isoform X1 [Zalophus californianus]</t>
  </si>
  <si>
    <t>XP_027468358.1</t>
  </si>
  <si>
    <t>frizzled-9 [Zalophus californianus]</t>
  </si>
  <si>
    <t>XP_027468385.1 (+1)</t>
  </si>
  <si>
    <t>XP_027468385.1&amp;XP_027468386.1</t>
  </si>
  <si>
    <t>kin of IRRE-like protein 1 isoform X3 [Zalophus californianus]</t>
  </si>
  <si>
    <t>XP_027468413.1</t>
  </si>
  <si>
    <t>sodium/glucose cotransporter 4 isoform X1 [Zalophus californianus]</t>
  </si>
  <si>
    <t>XP_027468431.1</t>
  </si>
  <si>
    <t>lamin-B receptor [Zalophus californianus]_x0001_XP_027468430.1 lamin-B receptor [Zalophus californianus]_x0001_XP_027468429.1 lamin-B receptor [Zalophus californianus]</t>
  </si>
  <si>
    <t>XP_027468433.1</t>
  </si>
  <si>
    <t>malate dehydrogenase, mitochondrial [Zalophus californianus]</t>
  </si>
  <si>
    <t>XP_027468443.1</t>
  </si>
  <si>
    <t>NADH dehydrogenase [ubiquinone] 1 beta subcomplex subunit 10 [Zalophus californianus]</t>
  </si>
  <si>
    <t>XP_027468444.1 (+2)</t>
  </si>
  <si>
    <t>XP_027468444.1&amp;XP_027468451.1&amp;XP_027468458.1</t>
  </si>
  <si>
    <t>espin isoform X5 [Zalophus californianus]</t>
  </si>
  <si>
    <t>XP_027468493.1</t>
  </si>
  <si>
    <t>acyl-coenzyme A synthetase ACSM1, mitochondrial isoform X1 [Zalophus californianus]_x0001_XP_027468492.1 acyl-coenzyme A synthetase ACSM1, mitochondrial isoform X1 [Zalophus californianus]_x0001_XP_027468491.1 acyl-coenzyme A synthetase ACSM1, mitochondrial isoform X1 [Zalophus californianus]</t>
  </si>
  <si>
    <t>XP_027468508.1</t>
  </si>
  <si>
    <t>sulfhydryl oxidase 1 [Zalophus californianus]</t>
  </si>
  <si>
    <t>XP_027468510.1 (+1)</t>
  </si>
  <si>
    <t>XP_027468510.1&amp;XP_027468511.1</t>
  </si>
  <si>
    <t>torsin-1A-interacting protein 1 isoform X1 [Zalophus californianus]</t>
  </si>
  <si>
    <t>XP_027468516.1</t>
  </si>
  <si>
    <t>torsin-1A-interacting protein 2-like [Zalophus californianus]_x0001_XP_027468515.1 torsin-1A-interacting protein 2-like [Zalophus californianus]_x0001_XP_027468513.1 torsin-1A-interacting protein 2-like [Zalophus californianus]_x0001_XP_027468512.1 torsin-1A-interacting protein 2-like [Zalophus californianus]</t>
  </si>
  <si>
    <t>XP_027468523.1</t>
  </si>
  <si>
    <t>sulfotransferase 1A1 [Zalophus californianus]_x0001_XP_027468522.1 sulfotransferase 1A1 [Zalophus californianus]_x0001_XP_027468521.1 sulfotransferase 1A1 [Zalophus californianus]_x0001_XP_027468520.1 sulfotransferase 1A1 [Zalophus californianus]_x0001_XP_027468519.1 sulfotransferase 1A1 [Zalophus californianus]_x0001_XP_027468518.1 sulfotransferase 1A1 [Zalophus californianus]</t>
  </si>
  <si>
    <t>XP_027468544.1</t>
  </si>
  <si>
    <t>coagulation factor V [Zalophus californianus]</t>
  </si>
  <si>
    <t>XP_027468567.1</t>
  </si>
  <si>
    <t>protein S100-A8 [Zalophus californianus]</t>
  </si>
  <si>
    <t>XP_027468598.1 (+6)</t>
  </si>
  <si>
    <t>XP_027468598.1&amp;XP_027468599.1&amp;XP_027468601.1&amp;XP_027468603.1&amp;XP_027468606.1&amp;XP_027468608.1&amp;XP_027468610.1</t>
  </si>
  <si>
    <t>elastin isoform X1 [Zalophus californianus]</t>
  </si>
  <si>
    <t>XP_027468686.1</t>
  </si>
  <si>
    <t>ectonucleotide pyrophosphatase/phosphodiesterase family member 7-like [Zalophus californianus]</t>
  </si>
  <si>
    <t>XP_027468692.1</t>
  </si>
  <si>
    <t>ferritin heavy chain-like isoform X2 [Zalophus californianus]_x0001_XP_027468685.1 ferritin heavy chain-like isoform X1 [Zalophus californianus]</t>
  </si>
  <si>
    <t>XP_027468717.1 (+1)</t>
  </si>
  <si>
    <t>XP_027468717.1&amp;XP_027468718.1</t>
  </si>
  <si>
    <t>platelet-derived growth factor subunit A isoform X1 [Zalophus californianus]</t>
  </si>
  <si>
    <t>XP_027468720.1 (+1)</t>
  </si>
  <si>
    <t>XP_027468720.1&amp;XP_027468721.1</t>
  </si>
  <si>
    <t>sarcoplasmic/endoplasmic reticulum calcium ATPase 1 isoform X1 [Zalophus californianus]_x0001_XP_027468719.1 sarcoplasmic/endoplasmic reticulum calcium ATPase 1 isoform X1 [Zalophus californianus]</t>
  </si>
  <si>
    <t>XP_027468737.1</t>
  </si>
  <si>
    <t>protein S100-A12 [Zalophus californianus]</t>
  </si>
  <si>
    <t>XP_027468789.1</t>
  </si>
  <si>
    <t>jupiter microtubule associated homolog 2 [Zalophus californianus]</t>
  </si>
  <si>
    <t>XP_027468831.1</t>
  </si>
  <si>
    <t>pancreatic secretory granule membrane major glycoprotein GP2 [Zalophus californianus]</t>
  </si>
  <si>
    <t>XP_027468898.1</t>
  </si>
  <si>
    <t>uncharacterized protein LOC113933204 [Zalophus californianus]</t>
  </si>
  <si>
    <t>XP_027468908.1</t>
  </si>
  <si>
    <t>interleukin enhancer-binding factor 2 [Zalophus californianus]</t>
  </si>
  <si>
    <t>XP_027468924.1 (+1)</t>
  </si>
  <si>
    <t>XP_027468924.1&amp;XP_027468925.1</t>
  </si>
  <si>
    <t>capZ-interacting protein isoform X1 [Zalophus californianus]</t>
  </si>
  <si>
    <t>XP_027468928.1</t>
  </si>
  <si>
    <t>extracellular serine/threonine protein kinase FAM20C [Zalophus californianus]</t>
  </si>
  <si>
    <t>XP_027468946.1</t>
  </si>
  <si>
    <t>tumor necrosis factor receptor superfamily member 12A [Zalophus californianus]</t>
  </si>
  <si>
    <t>XP_027468955.1 (+7)</t>
  </si>
  <si>
    <t>XP_027468955.1&amp;XP_027468956.1&amp;XP_027468957.1&amp;XP_027468958.1&amp;XP_027468959.1&amp;XP_027468960.1&amp;XP_027468962.1&amp;XP_027468963.1</t>
  </si>
  <si>
    <t>integrin alpha-M isoform X1 [Zalophus californianus]</t>
  </si>
  <si>
    <t>XP_027468987.1 (+2)</t>
  </si>
  <si>
    <t>XP_027468987.1&amp;XP_027468988.1&amp;XP_027468989.1</t>
  </si>
  <si>
    <t>ubiquitin-associated protein 2-like isoform X12 [Zalophus californianus]</t>
  </si>
  <si>
    <t>XP_027468993.1</t>
  </si>
  <si>
    <t>lysophospholipase D GDPD3 isoform X2 [Zalophus californianus]</t>
  </si>
  <si>
    <t>XP_027468994.1</t>
  </si>
  <si>
    <t>mitogen-activated protein kinase 3 [Zalophus californianus]</t>
  </si>
  <si>
    <t>XP_027469009.1</t>
  </si>
  <si>
    <t>voltage-dependent anion-selective channel protein 1 [Zalophus californianus]_x0001_XP_027461064.1 voltage-dependent anion-selective channel protein 1 isoform X1 [Zalophus californianus]_x0001_XP_027461063.1 voltage-dependent anion-selective channel protein 1 isoform X1 [Zalophus californianus]</t>
  </si>
  <si>
    <t>XP_027469034.1</t>
  </si>
  <si>
    <t>apolipoprotein B receptor [Zalophus californianus]</t>
  </si>
  <si>
    <t>XP_027469045.1</t>
  </si>
  <si>
    <t>prolargin [Zalophus californianus]_x0001_XP_027469044.1 prolargin [Zalophus californianus]</t>
  </si>
  <si>
    <t>XP_027469051.1 (+1)</t>
  </si>
  <si>
    <t>XP_027469051.1&amp;XP_027473569.1</t>
  </si>
  <si>
    <t>NAD(P)H-hydrate epimerase isoform X1 [Zalophus californianus]</t>
  </si>
  <si>
    <t>XP_027469062.1 (+1)</t>
  </si>
  <si>
    <t>XP_027469062.1&amp;XP_027469064.1</t>
  </si>
  <si>
    <t>sodium/myo-inositol cotransporter 2 isoform X1 [Zalophus californianus]</t>
  </si>
  <si>
    <t>XP_027469076.1 (+2)</t>
  </si>
  <si>
    <t>XP_027469076.1&amp;XP_027469078.1&amp;XP_027469083.1</t>
  </si>
  <si>
    <t>polymeric immunoglobulin receptor isoform X1 [Zalophus californianus]</t>
  </si>
  <si>
    <t>XP_027469086.1</t>
  </si>
  <si>
    <t>fascin [Zalophus californianus]</t>
  </si>
  <si>
    <t>XP_027469122.1</t>
  </si>
  <si>
    <t>proteasome assembly chaperone 3 [Zalophus californianus]_x0001_XP_027469121.1 proteasome assembly chaperone 3 [Zalophus californianus]_x0001_XP_027469120.1 proteasome assembly chaperone 3 [Zalophus californianus]</t>
  </si>
  <si>
    <t>XP_027469141.1 (+1)</t>
  </si>
  <si>
    <t>XP_027469141.1&amp;XP_027469142.1</t>
  </si>
  <si>
    <t>ephrin type-B receptor 4 isoform X1 [Zalophus californianus]</t>
  </si>
  <si>
    <t>XP_027469148.1 (+1)</t>
  </si>
  <si>
    <t>XP_027469148.1&amp;XP_027469149.1</t>
  </si>
  <si>
    <t>multifunctional procollagen lysine hydroxylase and glycosyltransferase LH3 isoform X1 [Zalophus californianus]</t>
  </si>
  <si>
    <t>XP_027469176.1</t>
  </si>
  <si>
    <t>40S ribosomal protein S15a [Zalophus californianus]_x0001_XP_027456153.1 40S ribosomal protein S15a [Zalophus californianus]</t>
  </si>
  <si>
    <t>XP_027469186.1</t>
  </si>
  <si>
    <t>apolipoprotein R-like [Zalophus californianus]</t>
  </si>
  <si>
    <t>XP_027469198.1</t>
  </si>
  <si>
    <t>antithrombin-III isoform X1 [Zalophus californianus]</t>
  </si>
  <si>
    <t>XP_027469250.1</t>
  </si>
  <si>
    <t>3'(2'),5'-bisphosphate nucleotidase 1 [Zalophus californianus]_x0001_XP_027469249.1 3'(2'),5'-bisphosphate nucleotidase 1 [Zalophus californianus]_x0001_XP_027469248.1 3'(2'),5'-bisphosphate nucleotidase 1 [Zalophus californianus]</t>
  </si>
  <si>
    <t>XP_027469256.1</t>
  </si>
  <si>
    <t>LOW QUALITY PROTEIN: insulin-like growth factor-binding protein complex acid labile subunit [Zalophus californianus]</t>
  </si>
  <si>
    <t>XP_027469265.1 (+1)</t>
  </si>
  <si>
    <t>XP_027469265.1&amp;XP_027469267.1</t>
  </si>
  <si>
    <t>hydroxyacylglutathione hydrolase, mitochondrial isoform X1 [Zalophus californianus]</t>
  </si>
  <si>
    <t>XP_027469328.1 (+1)</t>
  </si>
  <si>
    <t>XP_027469328.1&amp;XP_027469329.1</t>
  </si>
  <si>
    <t>periplakin isoform X1 [Zalophus californianus]</t>
  </si>
  <si>
    <t>XP_027469341.1</t>
  </si>
  <si>
    <t>vacuolar protein sorting-associated protein 37D [Zalophus californianus]</t>
  </si>
  <si>
    <t>XP_027469386.1</t>
  </si>
  <si>
    <t>protein CREG1 [Zalophus californianus]</t>
  </si>
  <si>
    <t>XP_027469387.1</t>
  </si>
  <si>
    <t>CD5 antigen-like [Zalophus californianus]</t>
  </si>
  <si>
    <t>XP_027469399.1</t>
  </si>
  <si>
    <t>olfactomedin-like protein 3 [Zalophus californianus]</t>
  </si>
  <si>
    <t>XP_027469406.1</t>
  </si>
  <si>
    <t>XP_027465539.1, XP_027469223.1, XP_027469225.1, XP_027469406.1</t>
  </si>
  <si>
    <t>hemoglobin subunit alpha [Zalophus californianus]</t>
  </si>
  <si>
    <t>XP_027469526.1</t>
  </si>
  <si>
    <t>4-trimethylaminobutyraldehyde dehydrogenase isoform X1 [Zalophus californianus]</t>
  </si>
  <si>
    <t>XP_027469532.1 (+1)</t>
  </si>
  <si>
    <t>XP_027469532.1&amp;XP_027469534.1</t>
  </si>
  <si>
    <t>tumor necrosis factor receptor superfamily member 17 isoform X1 [Zalophus californianus]_x0001_XP_027469531.1 tumor necrosis factor receptor superfamily member 17 isoform X1 [Zalophus californianus]</t>
  </si>
  <si>
    <t>XP_027469587.1 (+2)</t>
  </si>
  <si>
    <t>XP_027469587.1&amp;XP_027469588.1&amp;XP_027469590.1</t>
  </si>
  <si>
    <t>SLAM family member 5 isoform X1 [Zalophus californianus]</t>
  </si>
  <si>
    <t>XP_027469663.1</t>
  </si>
  <si>
    <t>beta-glucuronidase isoform X1 [Zalophus californianus]</t>
  </si>
  <si>
    <t>XP_027469690.1</t>
  </si>
  <si>
    <t>neudesin [Zalophus californianus]</t>
  </si>
  <si>
    <t>XP_027469743.1</t>
  </si>
  <si>
    <t>40S ribosomal protein S20 isoform X2 [Zalophus californianus]_x0001_XP_027469735.1 40S ribosomal protein S20 isoform X1 [Zalophus californianus]</t>
  </si>
  <si>
    <t>XP_027469778.1</t>
  </si>
  <si>
    <t>hepatoma-derived growth factor isoform X1 [Zalophus californianus]</t>
  </si>
  <si>
    <t>XP_027469787.1 (+1)</t>
  </si>
  <si>
    <t>XP_027469787.1&amp;XP_027469788.1</t>
  </si>
  <si>
    <t>C4b-binding protein alpha chain-like isoform X1 [Zalophus californianus]</t>
  </si>
  <si>
    <t>XP_027469841.1</t>
  </si>
  <si>
    <t>bolA-like protein 2 [Zalophus californianus]</t>
  </si>
  <si>
    <t>XP_027469854.1 (+1)</t>
  </si>
  <si>
    <t>XP_027469854.1&amp;XP_027469855.1</t>
  </si>
  <si>
    <t>coronin-1A isoform X1 [Zalophus californianus]</t>
  </si>
  <si>
    <t>XP_027469883.1 (+1)</t>
  </si>
  <si>
    <t>XP_027469883.1&amp;XP_027469892.1</t>
  </si>
  <si>
    <t>phosphoserine phosphatase isoform X2 [Zalophus californianus]</t>
  </si>
  <si>
    <t>XP_027469893.1 (+2)</t>
  </si>
  <si>
    <t>XP_027469893.1&amp;XP_027469894.1&amp;XP_027469895.1</t>
  </si>
  <si>
    <t>inactive C-alpha-formylglycine-generating enzyme 2 isoform X1 [Zalophus californianus]</t>
  </si>
  <si>
    <t>XP_027469898.1 (+2)</t>
  </si>
  <si>
    <t>XP_027469898.1&amp;XP_027469900.1&amp;XP_027469901.1</t>
  </si>
  <si>
    <t>myosin-11 isoform X1 [Zalophus californianus]</t>
  </si>
  <si>
    <t>XP_027469907.1</t>
  </si>
  <si>
    <t>LOW QUALITY PROTEIN: specifically androgen-regulated gene protein [Zalophus californianus]</t>
  </si>
  <si>
    <t>XP_027469914.1</t>
  </si>
  <si>
    <t>uromodulin [Zalophus californianus]_x0001_XP_027469913.1 uromodulin [Zalophus californianus]</t>
  </si>
  <si>
    <t>XP_027469942.1</t>
  </si>
  <si>
    <t>XP_027469942.1, XP_027481651.1</t>
  </si>
  <si>
    <t>guanine nucleotide-binding protein G(I)/G(S)/G(T) subunit beta-2 [Zalophus californianus]</t>
  </si>
  <si>
    <t>XP_027469971.1 (+2)</t>
  </si>
  <si>
    <t>XP_027469971.1&amp;XP_027469973.1&amp;XP_027469974.1</t>
  </si>
  <si>
    <t>deoxyribonuclease-1 isoform X1 [Zalophus californianus]_x0001_XP_027469970.1 deoxyribonuclease-1 isoform X1 [Zalophus californianus]_x0001_XP_027469969.1 deoxyribonuclease-1 isoform X1 [Zalophus californianus]_x0001_XP_027469968.1 deoxyribonuclease-1 isoform X1 [Zalophus californianus]_x0001_XP_027469967.1 deoxyribonuclease-1 isoform X1 [Zalophus californianus]_x0001_XP_027469966.1 deoxyribonuclease-1 isoform X1 [Zalophus californianus]_x0001_XP_027469965.1 deoxyribonuclease-1 isoform X1 [Zalophus californianus]_x0001_XP_027469964.1 deoxyribonuclease-1 isoform X1 [Zalophus californianus]_x0001_XP_027469963.1 deoxyribonuclease-1 isoform X1 [Zalophus californianus]_x0001_XP_027469962.1 deoxyribonuclease-1 isoform X1 [Zalophus californianus]_x0001_XP_027469960.1 deoxyribonuclease-1 isoform X1 [Zalophus californianus]_x0001_XP_027469959.1 deoxyribonuclease-1 isoform X1 [Zalophus californianus]</t>
  </si>
  <si>
    <t>XP_027469979.1</t>
  </si>
  <si>
    <t>protein S100-A4 [Zalophus californianus]_x0001_XP_027469978.1 protein S100-A4 [Zalophus californianus]</t>
  </si>
  <si>
    <t>XP_027469982.1</t>
  </si>
  <si>
    <t>serine/threonine-protein phosphatase CPPED1 isoform X1 [Zalophus californianus]</t>
  </si>
  <si>
    <t>XP_027470000.1</t>
  </si>
  <si>
    <t>LOW QUALITY PROTEIN: leukosialin [Zalophus californianus]</t>
  </si>
  <si>
    <t>XP_027470065.1</t>
  </si>
  <si>
    <t>serum amyloid A-1 protein-like [Zalophus californianus]</t>
  </si>
  <si>
    <t>XP_027470067.1</t>
  </si>
  <si>
    <t>XP_027470081.1</t>
  </si>
  <si>
    <t>XP_027465270.1, XP_027470081.1</t>
  </si>
  <si>
    <t>epiplakin-like [Zalophus californianus]</t>
  </si>
  <si>
    <t>XP_027470096.1</t>
  </si>
  <si>
    <t>bis(5'-nucleosyl)-tetraphosphatase [asymmetrical] [Zalophus californianus]_x0001_XP_027470095.1 bis(5'-nucleosyl)-tetraphosphatase [asymmetrical] [Zalophus californianus]</t>
  </si>
  <si>
    <t>XP_027470122.1</t>
  </si>
  <si>
    <t>angiopoietin-related protein 2 [Zalophus californianus]</t>
  </si>
  <si>
    <t>XP_027470126.1</t>
  </si>
  <si>
    <t>60S ribosomal protein L12 [Zalophus californianus]</t>
  </si>
  <si>
    <t>XP_027470155.1</t>
  </si>
  <si>
    <t>carbonic anhydrase 4-like [Zalophus californianus]_x0001_XP_027459006.1 carbonic anhydrase 4-like [Zalophus californianus]</t>
  </si>
  <si>
    <t>XP_027470179.1</t>
  </si>
  <si>
    <t>mimecan [Zalophus californianus]</t>
  </si>
  <si>
    <t>XP_027470208.1 (+2)</t>
  </si>
  <si>
    <t>XP_027470208.1&amp;XP_027470209.1&amp;XP_027470210.1</t>
  </si>
  <si>
    <t>probable ATP-dependent RNA helicase DDX58 isoform X1 [Zalophus californianus]</t>
  </si>
  <si>
    <t>XP_027470214.1</t>
  </si>
  <si>
    <t>cytoplasmic aconitate hydratase [Zalophus californianus]_x0001_XP_027470213.1 cytoplasmic aconitate hydratase [Zalophus californianus]_x0001_XP_027470212.1 cytoplasmic aconitate hydratase [Zalophus californianus]_x0001_XP_027470211.1 cytoplasmic aconitate hydratase [Zalophus californianus]</t>
  </si>
  <si>
    <t>XP_027470269.1 (+1)</t>
  </si>
  <si>
    <t>XP_027470269.1&amp;XP_027470271.1</t>
  </si>
  <si>
    <t>talin-1 isoform X1 [Zalophus californianus]_x0001_XP_027470268.1 talin-1 isoform X1 [Zalophus californianus]</t>
  </si>
  <si>
    <t>XP_027470292.1</t>
  </si>
  <si>
    <t>calbindin [Zalophus californianus]</t>
  </si>
  <si>
    <t>XP_027470294.1 (+1)</t>
  </si>
  <si>
    <t>XP_027470294.1&amp;XP_027470295.1</t>
  </si>
  <si>
    <t>tropomyosin beta chain isoform X3 [Zalophus californianus]</t>
  </si>
  <si>
    <t>XP_027470336.1</t>
  </si>
  <si>
    <t>serine/threonine-protein phosphatase 2A activator isoform X2 [Zalophus californianus]</t>
  </si>
  <si>
    <t>XP_027470405.1</t>
  </si>
  <si>
    <t>proenkephalin-A [Zalophus californianus]</t>
  </si>
  <si>
    <t>XP_027470444.1</t>
  </si>
  <si>
    <t>XP_027457907.1, XP_027470444.1</t>
  </si>
  <si>
    <t>heterogeneous nuclear ribonucleoprotein K, partial [Zalophus californianus]</t>
  </si>
  <si>
    <t>XP_027470467.1</t>
  </si>
  <si>
    <t>dnaJ homolog subfamily A member 1 [Zalophus californianus]</t>
  </si>
  <si>
    <t>XP_027470482.1</t>
  </si>
  <si>
    <t>tenascin [Zalophus californianus]</t>
  </si>
  <si>
    <t>XP_027470504.1</t>
  </si>
  <si>
    <t>niban-like protein 1 [Zalophus californianus]</t>
  </si>
  <si>
    <t>XP_027470546.1 (+3)</t>
  </si>
  <si>
    <t>XP_027470546.1&amp;XP_027470547.1&amp;XP_027470548.1&amp;XP_027470549.1</t>
  </si>
  <si>
    <t>protein crumbs homolog 2 isoform X1 [Zalophus californianus]</t>
  </si>
  <si>
    <t>XP_027470618.1 (+4)</t>
  </si>
  <si>
    <t>XP_027470618.1&amp;XP_027470619.1&amp;XP_027470620.1&amp;XP_027470621.1&amp;XP_027470622.1</t>
  </si>
  <si>
    <t>endoglin isoform X1 [Zalophus californianus]</t>
  </si>
  <si>
    <t>XP_027470633.1</t>
  </si>
  <si>
    <t>GTP:AMP phosphotransferase AK3, mitochondrial isoform X3 [Zalophus californianus]</t>
  </si>
  <si>
    <t>XP_027470637.1</t>
  </si>
  <si>
    <t>erythrocyte band 7 integral membrane protein [Zalophus californianus]</t>
  </si>
  <si>
    <t>XP_027470642.1</t>
  </si>
  <si>
    <t>beta-1,4-galactosyltransferase 1 isoform X2 [Zalophus californianus]</t>
  </si>
  <si>
    <t>XP_027470645.1</t>
  </si>
  <si>
    <t>charged multivesicular body protein 5 [Zalophus californianus]_x0001_XP_027470644.1 charged multivesicular body protein 5 [Zalophus californianus]</t>
  </si>
  <si>
    <t>XP_027470652.1</t>
  </si>
  <si>
    <t>transitional endoplasmic reticulum ATPase isoform X1 [Zalophus californianus]</t>
  </si>
  <si>
    <t>XP_027470704.1 (+3)</t>
  </si>
  <si>
    <t>XP_027470704.1&amp;XP_027470706.1&amp;XP_027470710.1&amp;XP_027470711.1</t>
  </si>
  <si>
    <t>perilipin-2 isoform X1 [Zalophus californianus]</t>
  </si>
  <si>
    <t>XP_027470724.1</t>
  </si>
  <si>
    <t>sialic acid synthase [Zalophus californianus]</t>
  </si>
  <si>
    <t>XP_027470767.1</t>
  </si>
  <si>
    <t>Golgi membrane protein 1 isoform X1 [Zalophus californianus]_x0001_XP_027470766.1 Golgi membrane protein 1 isoform X1 [Zalophus californianus]</t>
  </si>
  <si>
    <t>XP_027470769.1</t>
  </si>
  <si>
    <t>guanine deaminase isoform X1 [Zalophus californianus]</t>
  </si>
  <si>
    <t>XP_027470808.1 (+1)</t>
  </si>
  <si>
    <t>XP_027470808.1&amp;XP_027470811.1</t>
  </si>
  <si>
    <t>26S proteasome non-ATPase regulatory subunit 5 isoform X1 [Zalophus californianus]</t>
  </si>
  <si>
    <t>XP_027470836.1 (+2)</t>
  </si>
  <si>
    <t>XP_027470836.1&amp;XP_027470838.1&amp;XP_027470839.1</t>
  </si>
  <si>
    <t>kynurenine--oxoglutarate transaminase 1 isoform X1 [Zalophus californianus]</t>
  </si>
  <si>
    <t>XP_027470871.1</t>
  </si>
  <si>
    <t>endoplasmic reticulum chaperone BiP [Zalophus californianus]</t>
  </si>
  <si>
    <t>XP_027470950.1</t>
  </si>
  <si>
    <t>alpha-1-acid glycoprotein 1 [Zalophus californianus]</t>
  </si>
  <si>
    <t>XP_027471014.1 (+1)</t>
  </si>
  <si>
    <t>XP_027471014.1&amp;XP_027471015.1</t>
  </si>
  <si>
    <t>kinesin-like protein KIF12 isoform X1 [Zalophus californianus]</t>
  </si>
  <si>
    <t>XP_027471018.1</t>
  </si>
  <si>
    <t>protein AMBP [Zalophus californianus]_x0001_XP_027471016.1 protein AMBP [Zalophus californianus]</t>
  </si>
  <si>
    <t>XP_027471021.1</t>
  </si>
  <si>
    <t>60S ribosomal protein L35 [Zalophus californianus]</t>
  </si>
  <si>
    <t>XP_027471073.1</t>
  </si>
  <si>
    <t>argininosuccinate synthase [Zalophus californianus]</t>
  </si>
  <si>
    <t>XP_027471095.1 (+1)</t>
  </si>
  <si>
    <t>XP_027471095.1&amp;XP_027471096.1</t>
  </si>
  <si>
    <t>ubiquitin-related modifier 1 isoform X1 [Zalophus californianus]</t>
  </si>
  <si>
    <t>XP_027471106.1 (+1)</t>
  </si>
  <si>
    <t>XP_027471106.1&amp;XP_027471134.1</t>
  </si>
  <si>
    <t>F-actin-capping protein subunit beta isoform X2 [Zalophus californianus]</t>
  </si>
  <si>
    <t>XP_027471109.1</t>
  </si>
  <si>
    <t>clathrin light chain A isoform X5 [Zalophus californianus]</t>
  </si>
  <si>
    <t>XP_027471142.1</t>
  </si>
  <si>
    <t>endoplasmic reticulum resident protein 44 [Zalophus californianus]</t>
  </si>
  <si>
    <t>XP_027471170.1 (+1)</t>
  </si>
  <si>
    <t>XP_027471170.1&amp;XP_027471179.1</t>
  </si>
  <si>
    <t>tumor necrosis factor receptor superfamily member 1B isoform X1 [Zalophus californianus]</t>
  </si>
  <si>
    <t>XP_027471219.1 (+1)</t>
  </si>
  <si>
    <t>XP_027471219.1&amp;XP_027471225.1</t>
  </si>
  <si>
    <t>calcium-binding mitochondrial carrier protein SCaMC-1 isoform X1 [Zalophus californianus]</t>
  </si>
  <si>
    <t>XP_027471226.1</t>
  </si>
  <si>
    <t>XP_027471226.1, XP_027472496.1</t>
  </si>
  <si>
    <t>tyrosine-protein kinase transmembrane receptor ROR2 [Zalophus californianus]</t>
  </si>
  <si>
    <t>XP_027471228.1 (+4)</t>
  </si>
  <si>
    <t>XP_027471228.1&amp;XP_027471229.1&amp;XP_027471230.1&amp;XP_027471233.1&amp;XP_027471236.1</t>
  </si>
  <si>
    <t>tight junction protein ZO-2 isoform X1 [Zalophus californianus]</t>
  </si>
  <si>
    <t>XP_027471237.1 (+19)</t>
  </si>
  <si>
    <t>XP_027471237.1&amp;XP_027471239.1&amp;XP_027471240.1&amp;XP_027471242.1&amp;XP_027471243.1&amp;XP_027471244.1&amp;XP_027471245.1&amp;XP_027471246.1&amp;XP_027471247.1&amp;XP_027471248.1&amp;XP_027471249.1&amp;XP_027471251.1&amp;XP_027471252.1&amp;XP_027471255.1&amp;XP_027471256.1&amp;XP_027471258.1&amp;XP_027471259.1&amp;XP_027471260.1&amp;XP_027471261.1&amp;XP_027471277.1</t>
  </si>
  <si>
    <t>receptor-type tyrosine-protein phosphatase delta isoform X1 [Zalophus californianus]</t>
  </si>
  <si>
    <t>XP_027471298.1 (+1)</t>
  </si>
  <si>
    <t>XP_027471298.1&amp;XP_027471299.1</t>
  </si>
  <si>
    <t>UV excision repair protein RAD23 homolog B isoform X1 [Zalophus californianus]</t>
  </si>
  <si>
    <t>XP_027471337.1 (+1)</t>
  </si>
  <si>
    <t>XP_027471337.1&amp;XP_027471338.1</t>
  </si>
  <si>
    <t>XP_027433852.1, XP_027438762.1, XP_027442100.1, XP_027471337.1</t>
  </si>
  <si>
    <t>collagen alpha-1(XV) chain isoform X1 [Zalophus californianus]</t>
  </si>
  <si>
    <t>XP_027471359.1 (+2)</t>
  </si>
  <si>
    <t>XP_027471359.1&amp;XP_027471360.1&amp;XP_027471361.1</t>
  </si>
  <si>
    <t>stomatin-like protein 2, mitochondrial isoform X1 [Zalophus californianus]</t>
  </si>
  <si>
    <t>XP_027471368.1</t>
  </si>
  <si>
    <t>caveolae-associated protein 4 [Zalophus californianus]</t>
  </si>
  <si>
    <t>XP_027471375.1</t>
  </si>
  <si>
    <t>ubiquilin-1 isoform X1 [Zalophus californianus]</t>
  </si>
  <si>
    <t>XP_027471391.1 (+6)</t>
  </si>
  <si>
    <t>XP_027471391.1&amp;XP_027471392.1&amp;XP_027471393.1&amp;XP_027471398.1&amp;XP_027471399.1&amp;XP_027471401.1&amp;XP_027471402.1</t>
  </si>
  <si>
    <t>A-kinase anchor protein 2 isoform X2 [Zalophus californianus]</t>
  </si>
  <si>
    <t>XP_027471482.1 (+1)</t>
  </si>
  <si>
    <t>XP_027471482.1&amp;XP_027480717.1</t>
  </si>
  <si>
    <t>hydroxysteroid dehydrogenase-like protein 2 isoform X1 [Zalophus californianus]</t>
  </si>
  <si>
    <t>XP_027471511.1 (+1)</t>
  </si>
  <si>
    <t>XP_027471511.1&amp;XP_027471512.1</t>
  </si>
  <si>
    <t>XP_027457907.1, XP_027471511.1</t>
  </si>
  <si>
    <t>heterogeneous nuclear ribonucleoprotein K-like isoform X1 [Zalophus californianus]</t>
  </si>
  <si>
    <t>XP_027471610.1</t>
  </si>
  <si>
    <t>60S ribosomal protein L7a [Zalophus californianus]</t>
  </si>
  <si>
    <t>XP_027471631.1</t>
  </si>
  <si>
    <t>cornifin-A-like [Zalophus californianus]</t>
  </si>
  <si>
    <t>XP_027471632.1 (+1)</t>
  </si>
  <si>
    <t>XP_027471632.1&amp;XP_027471633.1</t>
  </si>
  <si>
    <t>neurogenic locus notch homolog protein 1 isoform X1 [Zalophus californianus]</t>
  </si>
  <si>
    <t>XP_027471718.1</t>
  </si>
  <si>
    <t>sodium-dependent phosphate transport protein 2C [Zalophus californianus]</t>
  </si>
  <si>
    <t>XP_027471750.1</t>
  </si>
  <si>
    <t>dipeptidyl peptidase 2 [Zalophus californianus]_x0001_XP_027471748.1 dipeptidyl peptidase 2 [Zalophus californianus]</t>
  </si>
  <si>
    <t>XP_027471762.1</t>
  </si>
  <si>
    <t>2-iminobutanoate/2-iminopropanoate deaminase [Zalophus californianus]</t>
  </si>
  <si>
    <t>XP_027471795.1 (+3)</t>
  </si>
  <si>
    <t>XP_027471795.1&amp;XP_027471796.1&amp;XP_027471797.1&amp;XP_027471798.1</t>
  </si>
  <si>
    <t>neural proliferation differentiation and control protein 1 isoform X1 [Zalophus californianus]</t>
  </si>
  <si>
    <t>XP_027471822.1</t>
  </si>
  <si>
    <t>lipocalin-like 1 protein isoform X2 [Zalophus californianus]</t>
  </si>
  <si>
    <t>XP_027471826.1</t>
  </si>
  <si>
    <t>complement component C8 gamma chain [Zalophus californianus]</t>
  </si>
  <si>
    <t>XP_027471827.1</t>
  </si>
  <si>
    <t>prostaglandin-H2 D-isomerase [Zalophus californianus]</t>
  </si>
  <si>
    <t>XP_027471841.1</t>
  </si>
  <si>
    <t>14 kDa phosphohistidine phosphatase [Zalophus californianus]</t>
  </si>
  <si>
    <t>XP_027471878.1</t>
  </si>
  <si>
    <t>phosphoserine aminotransferase [Zalophus californianus]_x0001_XP_027429073.1 phosphoserine aminotransferase [Zalophus californianus]</t>
  </si>
  <si>
    <t>XP_027471976.1</t>
  </si>
  <si>
    <t>guanine nucleotide-binding protein G(q) subunit alpha [Zalophus californianus]</t>
  </si>
  <si>
    <t>XP_027471977.1</t>
  </si>
  <si>
    <t>gelsolin [Zalophus californianus]</t>
  </si>
  <si>
    <t>XP_027472037.1</t>
  </si>
  <si>
    <t>keratinocyte proline-rich protein [Zalophus californianus]</t>
  </si>
  <si>
    <t>XP_027472044.1</t>
  </si>
  <si>
    <t>V-type proton ATPase subunit G 1 [Zalophus californianus]_x0001_XP_027475520.1 V-type proton ATPase subunit G 1 [Zalophus californianus]</t>
  </si>
  <si>
    <t>XP_027472045.1</t>
  </si>
  <si>
    <t>multiple epidermal growth factor-like domains protein 9 [Zalophus californianus]</t>
  </si>
  <si>
    <t>XP_027472149.1</t>
  </si>
  <si>
    <t>ciliary neurotrophic factor receptor subunit alpha [Zalophus californianus]_x0001_XP_027472148.1 ciliary neurotrophic factor receptor subunit alpha [Zalophus californianus]_x0001_XP_027472147.1 ciliary neurotrophic factor receptor subunit alpha [Zalophus californianus]_x0001_XP_027472146.1 ciliary neurotrophic factor receptor subunit alpha [Zalophus californianus]_x0001_XP_027472145.1 ciliary neurotrophic factor receptor subunit alpha [Zalophus californianus]</t>
  </si>
  <si>
    <t>XP_027472254.1</t>
  </si>
  <si>
    <t>glyoxylate reductase/hydroxypyruvate reductase [Zalophus californianus]</t>
  </si>
  <si>
    <t>XP_027472262.1</t>
  </si>
  <si>
    <t>neutrophil gelatinase-associated lipocalin isoform X1 [Zalophus californianus]</t>
  </si>
  <si>
    <t>XP_027472365.1</t>
  </si>
  <si>
    <t>retinal dehydrogenase 1 [Zalophus californianus]</t>
  </si>
  <si>
    <t>XP_027472397.1</t>
  </si>
  <si>
    <t>complement C5 [Zalophus californianus]</t>
  </si>
  <si>
    <t>XP_027472409.1</t>
  </si>
  <si>
    <t>fructose-bisphosphate aldolase B [Zalophus californianus]</t>
  </si>
  <si>
    <t>XP_027472423.1</t>
  </si>
  <si>
    <t>annexin A1 [Zalophus californianus]</t>
  </si>
  <si>
    <t>XP_027472478.1</t>
  </si>
  <si>
    <t>thioredoxin isoform X1 [Zalophus californianus]_x0001_XP_027457416.1 thioredoxin [Zalophus californianus]</t>
  </si>
  <si>
    <t>XP_027472481.1</t>
  </si>
  <si>
    <t>tumor-associated calcium signal transducer 2 [Zalophus californianus]</t>
  </si>
  <si>
    <t>XP_027472496.1</t>
  </si>
  <si>
    <t>LOW QUALITY PROTEIN: inactive tyrosine-protein kinase transmembrane receptor ROR1 [Zalophus californianus]</t>
  </si>
  <si>
    <t>XP_027472513.1</t>
  </si>
  <si>
    <t>XP_027472513.1, XP_027472771.1</t>
  </si>
  <si>
    <t>fructose-1,6-bisphosphatase 1 [Zalophus californianus]</t>
  </si>
  <si>
    <t>XP_027472514.1</t>
  </si>
  <si>
    <t>osteoclast-stimulating factor 1 [Zalophus californianus]</t>
  </si>
  <si>
    <t>XP_027472530.1</t>
  </si>
  <si>
    <t>leucine-rich repeat-containing protein 19 [Zalophus californianus]</t>
  </si>
  <si>
    <t>XP_027472533.1</t>
  </si>
  <si>
    <t>S-methyl-5'-thioadenosine phosphorylase [Zalophus californianus]</t>
  </si>
  <si>
    <t>XP_027472545.1</t>
  </si>
  <si>
    <t>cathepsin L2 [Zalophus californianus]_x0001_XP_027472544.1 cathepsin L2 [Zalophus californianus]_x0001_XP_027472543.1 cathepsin L2 [Zalophus californianus]_x0001_XP_027472542.1 cathepsin L2 [Zalophus californianus]</t>
  </si>
  <si>
    <t>XP_027472554.1</t>
  </si>
  <si>
    <t>ras-related protein Rab-14 [Zalophus californianus]</t>
  </si>
  <si>
    <t>XP_027472634.1 (+1)</t>
  </si>
  <si>
    <t>XP_027472634.1&amp;XP_027472636.1</t>
  </si>
  <si>
    <t>adenylate kinase isoenzyme 1 isoform X1 [Zalophus californianus]</t>
  </si>
  <si>
    <t>XP_027472668.1</t>
  </si>
  <si>
    <t>growth arrest-specific protein 1 [Zalophus californianus]</t>
  </si>
  <si>
    <t>XP_027472677.1</t>
  </si>
  <si>
    <t>hemicentin-2 [Zalophus californianus]</t>
  </si>
  <si>
    <t>XP_027472722.1 (+7)</t>
  </si>
  <si>
    <t>XP_027472722.1&amp;XP_027472723.1&amp;XP_027472724.1&amp;XP_027472725.1&amp;XP_027472726.1&amp;XP_027472727.1&amp;XP_027472728.1&amp;XP_027472729.1</t>
  </si>
  <si>
    <t>spectrin alpha chain, non-erythrocytic 1 isoform X1 [Zalophus californianus]</t>
  </si>
  <si>
    <t>XP_027472761.1 (+1)</t>
  </si>
  <si>
    <t>XP_027472761.1&amp;XP_027472762.1</t>
  </si>
  <si>
    <t>sushi domain-containing protein 3 isoform X1 [Zalophus californianus]</t>
  </si>
  <si>
    <t>XP_027472771.1</t>
  </si>
  <si>
    <t>fructose-1,6-bisphosphatase isozyme 2 isoform X2 [Zalophus californianus]</t>
  </si>
  <si>
    <t>XP_027472812.1</t>
  </si>
  <si>
    <t>serum amyloid A-2 protein [Zalophus californianus]</t>
  </si>
  <si>
    <t>XP_027472834.1 (+1)</t>
  </si>
  <si>
    <t>XP_027472834.1&amp;XP_027472835.1</t>
  </si>
  <si>
    <t>cadherin-16 isoform X1 [Zalophus californianus]</t>
  </si>
  <si>
    <t>XP_027472864.1</t>
  </si>
  <si>
    <t>cadherin-15 [Zalophus californianus]</t>
  </si>
  <si>
    <t>XP_027472994.1</t>
  </si>
  <si>
    <t>copine-3 [Zalophus californianus]</t>
  </si>
  <si>
    <t>XP_027473041.1</t>
  </si>
  <si>
    <t>60S ribosomal protein L13 [Zalophus californianus]</t>
  </si>
  <si>
    <t>XP_027473072.1</t>
  </si>
  <si>
    <t>myosin-14 isoform X2 [Zalophus californianus]</t>
  </si>
  <si>
    <t>XP_027473077.1 (+1)</t>
  </si>
  <si>
    <t>XP_027473077.1&amp;XP_027473078.1</t>
  </si>
  <si>
    <t>myosin-binding protein C, fast-type isoform X1 [Zalophus californianus]</t>
  </si>
  <si>
    <t>XP_027473129.1 (+1)</t>
  </si>
  <si>
    <t>XP_027473129.1&amp;XP_027473130.1</t>
  </si>
  <si>
    <t>putative L-aspartate dehydrogenase isoform X1 [Zalophus californianus]</t>
  </si>
  <si>
    <t>XP_027473142.1</t>
  </si>
  <si>
    <t>kallikrein-1 isoform X2 [Zalophus californianus]</t>
  </si>
  <si>
    <t>XP_027473155.1</t>
  </si>
  <si>
    <t>phosphoglucomutase-1 isoform X2 [Zalophus californianus]</t>
  </si>
  <si>
    <t>XP_027473161.1</t>
  </si>
  <si>
    <t>kallikrein-6 [Zalophus californianus]_x0001_XP_027473160.1 kallikrein-6 [Zalophus californianus]</t>
  </si>
  <si>
    <t>XP_027473185.1</t>
  </si>
  <si>
    <t>creatine kinase M-type [Zalophus californianus]_x0001_XP_027473184.1 creatine kinase M-type [Zalophus californianus]</t>
  </si>
  <si>
    <t>XP_027473202.1</t>
  </si>
  <si>
    <t>solute carrier family 12 member 3 [Zalophus californianus]</t>
  </si>
  <si>
    <t>XP_027473206.1</t>
  </si>
  <si>
    <t>IST1 homolog, partial [Zalophus californianus]</t>
  </si>
  <si>
    <t>XP_027473223.1</t>
  </si>
  <si>
    <t>tubulin beta-3 chain [Zalophus californianus]</t>
  </si>
  <si>
    <t>XP_027473241.1</t>
  </si>
  <si>
    <t>XP_027473241.1, XP_027475715.1</t>
  </si>
  <si>
    <t>carcinoembryonic antigen-related cell adhesion molecule 1-like isoform X1 [Zalophus californianus]</t>
  </si>
  <si>
    <t>XP_027473267.1</t>
  </si>
  <si>
    <t>XP_027424666.1, XP_027426852.1, XP_027450896.1, XP_027473267.1</t>
  </si>
  <si>
    <t>alpha-actinin-4 isoform X1 [Zalophus californianus]</t>
  </si>
  <si>
    <t>XP_027473277.1</t>
  </si>
  <si>
    <t>adhesion G-protein coupled receptor G1 [Zalophus californianus]_x0001_XP_027473276.1 adhesion G-protein coupled receptor G1 [Zalophus californianus]_x0001_XP_027473274.1 adhesion G-protein coupled receptor G1 [Zalophus californianus]_x0001_XP_027473273.1 adhesion G-protein coupled receptor G1 [Zalophus californianus]_x0001_XP_027473272.1 adhesion G-protein coupled receptor G1 [Zalophus californianus]_x0001_XP_027473271.1 adhesion G-protein coupled receptor G1 [Zalophus californianus]</t>
  </si>
  <si>
    <t>XP_027473341.1 (+1)</t>
  </si>
  <si>
    <t>XP_027473341.1&amp;XP_027473342.1</t>
  </si>
  <si>
    <t>glia maturation factor gamma isoform X1 [Zalophus californianus]</t>
  </si>
  <si>
    <t>XP_027473344.1 (+2)</t>
  </si>
  <si>
    <t>XP_027473344.1&amp;XP_027473345.1&amp;XP_027473346.1</t>
  </si>
  <si>
    <t>ryanodine receptor 1 isoform X1 [Zalophus californianus]</t>
  </si>
  <si>
    <t>XP_027473391.1</t>
  </si>
  <si>
    <t>phospholipase D3 [Zalophus californianus]_x0001_XP_027473390.1 phospholipase D3 [Zalophus californianus]_x0001_XP_027473389.1 phospholipase D3 [Zalophus californianus]</t>
  </si>
  <si>
    <t>XP_027473418.1</t>
  </si>
  <si>
    <t>Golgi apparatus protein 1 [Zalophus californianus]</t>
  </si>
  <si>
    <t>XP_027473432.1 (+4)</t>
  </si>
  <si>
    <t>XP_027473432.1&amp;XP_027473433.1&amp;XP_027473434.1&amp;XP_027473435.1&amp;XP_027473436.1</t>
  </si>
  <si>
    <t>nephrin isoform X1 [Zalophus californianus]</t>
  </si>
  <si>
    <t>XP_027473595.1</t>
  </si>
  <si>
    <t>suprabasin [Zalophus californianus]</t>
  </si>
  <si>
    <t>XP_027473608.1 (+2)</t>
  </si>
  <si>
    <t>XP_027473608.1&amp;XP_027473617.1&amp;XP_027473631.1</t>
  </si>
  <si>
    <t>macrophage colony-stimulating factor 1 isoform X1 [Zalophus californianus]</t>
  </si>
  <si>
    <t>XP_027473645.1</t>
  </si>
  <si>
    <t>dermokine [Zalophus californianus]</t>
  </si>
  <si>
    <t>XP_027473667.1 (+1)</t>
  </si>
  <si>
    <t>XP_027473667.1&amp;XP_027473668.1</t>
  </si>
  <si>
    <t>serine protease hepsin isoform X1 [Zalophus californianus]</t>
  </si>
  <si>
    <t>XP_027473724.1 (+2)</t>
  </si>
  <si>
    <t>XP_027473724.1&amp;XP_027473725.1&amp;XP_027473726.1</t>
  </si>
  <si>
    <t>uroplakin-1a isoform X1 [Zalophus californianus]</t>
  </si>
  <si>
    <t>XP_027473740.1</t>
  </si>
  <si>
    <t>tubulin-folding cofactor B isoform X1 [Zalophus californianus]</t>
  </si>
  <si>
    <t>XP_027473752.1</t>
  </si>
  <si>
    <t>heat shock protein beta-6 [Zalophus californianus]</t>
  </si>
  <si>
    <t>XP_027473784.1</t>
  </si>
  <si>
    <t>cytochrome c oxidase subunit 6B1 [Zalophus californianus]_x0001_XP_027473783.1 cytochrome c oxidase subunit 6B1 [Zalophus californianus]_x0001_XP_027469899.1 cytochrome c oxidase subunit 6B1 [Zalophus californianus]</t>
  </si>
  <si>
    <t>XP_027473785.1</t>
  </si>
  <si>
    <t>hepcidin [Zalophus californianus]</t>
  </si>
  <si>
    <t>XP_027473792.1</t>
  </si>
  <si>
    <t>trans-1,2-dihydrobenzene-1,2-diol dehydrogenase [Zalophus californianus]</t>
  </si>
  <si>
    <t>XP_027473793.1 (+2)</t>
  </si>
  <si>
    <t>XP_027473793.1&amp;XP_027473794.1&amp;XP_027473795.1</t>
  </si>
  <si>
    <t>apoptosis regulator BAX isoform X1 [Zalophus californianus]</t>
  </si>
  <si>
    <t>XP_027473797.1</t>
  </si>
  <si>
    <t>ferritin light chain [Zalophus californianus]</t>
  </si>
  <si>
    <t>XP_027473858.1 (+1)</t>
  </si>
  <si>
    <t>XP_027473858.1&amp;XP_027477434.1</t>
  </si>
  <si>
    <t>elongin-C isoform X2 [Zalophus californianus]</t>
  </si>
  <si>
    <t>XP_027473861.1</t>
  </si>
  <si>
    <t>adenine phosphoribosyltransferase [Zalophus californianus]</t>
  </si>
  <si>
    <t>XP_027473873.1 (+2)</t>
  </si>
  <si>
    <t>XP_027473873.1&amp;XP_027473874.1&amp;XP_027473875.1</t>
  </si>
  <si>
    <t>2-oxoisovalerate dehydrogenase subunit alpha, mitochondrial isoform X1 [Zalophus californianus]</t>
  </si>
  <si>
    <t>XP_027473912.1</t>
  </si>
  <si>
    <t>EH domain-containing protein 2 [Zalophus californianus]</t>
  </si>
  <si>
    <t>XP_027473916.1</t>
  </si>
  <si>
    <t>glucose-6-phosphate isomerase [Zalophus californianus]</t>
  </si>
  <si>
    <t>XP_027473938.1</t>
  </si>
  <si>
    <t>nuclear transport factor 2 [Zalophus californianus]_x0001_XP_027473937.1 nuclear transport factor 2 [Zalophus californianus]_x0001_XP_027473936.1 nuclear transport factor 2 [Zalophus californianus]_x0001_XP_027463033.1 nuclear transport factor 2 [Zalophus californianus]</t>
  </si>
  <si>
    <t>XP_027473968.1</t>
  </si>
  <si>
    <t>phospholipase A2 inhibitor and Ly6/PLAUR domain-containing protein [Zalophus californianus]_x0001_XP_027473967.1 phospholipase A2 inhibitor and Ly6/PLAUR domain-containing protein [Zalophus californianus]</t>
  </si>
  <si>
    <t>XP_027473987.1 (+1)</t>
  </si>
  <si>
    <t>XP_027473987.1&amp;XP_027473988.1</t>
  </si>
  <si>
    <t>cadherin-5 isoform X1 [Zalophus californianus]</t>
  </si>
  <si>
    <t>XP_027474058.1 (+1)</t>
  </si>
  <si>
    <t>XP_027474058.1&amp;XP_027474059.1</t>
  </si>
  <si>
    <t>soluble scavenger receptor cysteine-rich domain-containing protein SSC5D isoform X1 [Zalophus californianus]</t>
  </si>
  <si>
    <t>XP_027474137.1 (+1)</t>
  </si>
  <si>
    <t>XP_027474137.1&amp;XP_027474138.1</t>
  </si>
  <si>
    <t>serine/threonine-protein phosphatase 2A 65 kDa regulatory subunit A alpha isoform isoform X1 [Zalophus californianus]</t>
  </si>
  <si>
    <t>XP_027474173.1</t>
  </si>
  <si>
    <t>dihydropyrimidine dehydrogenase [NADP(+)] isoform X1 [Zalophus californianus]</t>
  </si>
  <si>
    <t>XP_027474188.1 (+1)</t>
  </si>
  <si>
    <t>XP_027474188.1&amp;XP_027474189.1</t>
  </si>
  <si>
    <t>splicing factor U2AF 65 kDa subunit isoform X1 [Zalophus californianus]</t>
  </si>
  <si>
    <t>XP_027474275.1 (+1)</t>
  </si>
  <si>
    <t>XP_027474275.1&amp;XP_027474276.1</t>
  </si>
  <si>
    <t>osteoclast-associated immunoglobulin-like receptor isoform X1 [Zalophus californianus]</t>
  </si>
  <si>
    <t>XP_027474279.1</t>
  </si>
  <si>
    <t>XP_027434921.1, XP_027468342.1, XP_027474279.1</t>
  </si>
  <si>
    <t>troponin T, slow skeletal muscle [Zalophus californianus]</t>
  </si>
  <si>
    <t>XP_027474286.1</t>
  </si>
  <si>
    <t>ribosome maturation protein SBDS [Zalophus californianus]_x0001_XP_027469184.1 ribosome maturation protein SBDS [Zalophus californianus]</t>
  </si>
  <si>
    <t>XP_027474305.1</t>
  </si>
  <si>
    <t>40S ribosomal protein S9 [Zalophus californianus]</t>
  </si>
  <si>
    <t>XP_027474309.1</t>
  </si>
  <si>
    <t>60S ribosomal protein L28 [Zalophus californianus]</t>
  </si>
  <si>
    <t>XP_027474320.1</t>
  </si>
  <si>
    <t>Na(+)/H(+) exchange regulatory cofactor NHE-RF3 [Zalophus californianus]_x0001_XP_027474316.1 Na(+)/H(+) exchange regulatory cofactor NHE-RF3 [Zalophus californianus]_x0001_XP_027474308.1 Na(+)/H(+) exchange regulatory cofactor NHE-RF3 [Zalophus californianus]</t>
  </si>
  <si>
    <t>XP_027474323.1</t>
  </si>
  <si>
    <t>T-cell-interacting, activating receptor on myeloid cells protein 1-like [Zalophus californianus]</t>
  </si>
  <si>
    <t>XP_027474349.1</t>
  </si>
  <si>
    <t>rRNA 2'-O-methyltransferase fibrillarin [Zalophus californianus]</t>
  </si>
  <si>
    <t>XP_027474404.1 (+1)</t>
  </si>
  <si>
    <t>XP_027474404.1&amp;XP_027474405.1</t>
  </si>
  <si>
    <t>haptoglobin isoform X1 [Zalophus californianus]</t>
  </si>
  <si>
    <t>XP_027474407.1</t>
  </si>
  <si>
    <t>cytochrome c oxidase subunit 4 isoform 1, mitochondrial [Zalophus californianus]</t>
  </si>
  <si>
    <t>XP_027474444.1 (+1)</t>
  </si>
  <si>
    <t>XP_027474444.1&amp;XP_027474446.1</t>
  </si>
  <si>
    <t>vacuolar protein sorting-associated protein 35 isoform X1 [Zalophus californianus]</t>
  </si>
  <si>
    <t>XP_027474509.1 (+1)</t>
  </si>
  <si>
    <t>XP_027474509.1&amp;XP_027474511.1</t>
  </si>
  <si>
    <t>alanine--tRNA ligase, cytoplasmic isoform X1 [Zalophus californianus]</t>
  </si>
  <si>
    <t>XP_027474512.1 (+1)</t>
  </si>
  <si>
    <t>XP_027474512.1&amp;XP_027474513.1</t>
  </si>
  <si>
    <t>U1 small nuclear ribonucleoprotein 70 kDa isoform X1 [Zalophus californianus]</t>
  </si>
  <si>
    <t>XP_027474519.1</t>
  </si>
  <si>
    <t>small nuclear ribonucleoprotein Sm D2 isoform X2 [Zalophus californianus]_x0001_XP_027474517.1 small nuclear ribonucleoprotein Sm D2 isoform X1 [Zalophus californianus]</t>
  </si>
  <si>
    <t>XP_027474525.1</t>
  </si>
  <si>
    <t>XP_027474525.1, XP_027474651.1</t>
  </si>
  <si>
    <t>cadherin-1 isoform X1 [Zalophus californianus]</t>
  </si>
  <si>
    <t>XP_027474592.1</t>
  </si>
  <si>
    <t>core-binding factor subunit beta isoform X2 [Zalophus californianus]</t>
  </si>
  <si>
    <t>XP_027474641.1</t>
  </si>
  <si>
    <t>syncollin [Zalophus californianus]</t>
  </si>
  <si>
    <t>XP_027474643.1 (+1)</t>
  </si>
  <si>
    <t>XP_027474643.1&amp;XP_027474644.1</t>
  </si>
  <si>
    <t>cell adhesion molecule 4 isoform X1 [Zalophus californianus]</t>
  </si>
  <si>
    <t>XP_027474651.1</t>
  </si>
  <si>
    <t>cadherin-3 [Zalophus californianus]</t>
  </si>
  <si>
    <t>XP_027474675.1</t>
  </si>
  <si>
    <t>basal cell adhesion molecule [Zalophus californianus]</t>
  </si>
  <si>
    <t>XP_027474677.1</t>
  </si>
  <si>
    <t>chymotrypsinogen B isoform X1 [Zalophus californianus]</t>
  </si>
  <si>
    <t>XP_027474697.1</t>
  </si>
  <si>
    <t>programmed cell death protein 5 [Zalophus californianus]</t>
  </si>
  <si>
    <t>XP_027474744.1</t>
  </si>
  <si>
    <t>xaa-Pro dipeptidase isoform X1 [Zalophus californianus]</t>
  </si>
  <si>
    <t>XP_027474796.1</t>
  </si>
  <si>
    <t>ras-related protein R-Ras isoform X1 [Zalophus californianus]</t>
  </si>
  <si>
    <t>XP_027474810.1</t>
  </si>
  <si>
    <t>cytochrome b-c1 complex subunit Rieske, mitochondrial [Zalophus californianus]</t>
  </si>
  <si>
    <t>XP_027474811.1</t>
  </si>
  <si>
    <t>14-3-3 protein sigma [Zalophus californianus]</t>
  </si>
  <si>
    <t>XP_027474816.1 (+1)</t>
  </si>
  <si>
    <t>XP_027474816.1&amp;XP_027474817.1</t>
  </si>
  <si>
    <t>apolipoprotein C-I isoform X1 [Zalophus californianus]</t>
  </si>
  <si>
    <t>XP_027474854.1 (+1)</t>
  </si>
  <si>
    <t>XP_027474854.1&amp;XP_027474855.1</t>
  </si>
  <si>
    <t>heterogeneous nuclear ribonucleoprotein L isoform X1 [Zalophus californianus]</t>
  </si>
  <si>
    <t>XP_027474908.1</t>
  </si>
  <si>
    <t>CD177 antigen isoform X1 [Zalophus californianus]</t>
  </si>
  <si>
    <t>XP_027474947.1</t>
  </si>
  <si>
    <t>dipeptidase 1 [Zalophus californianus]_x0001_XP_027474946.1 dipeptidase 1 [Zalophus californianus]_x0001_XP_027474945.1 dipeptidase 1 [Zalophus californianus]</t>
  </si>
  <si>
    <t>XP_027474973.1</t>
  </si>
  <si>
    <t>reticulocalbin-3 [Zalophus californianus]_x0001_XP_027474972.1 reticulocalbin-3 [Zalophus californianus]</t>
  </si>
  <si>
    <t>XP_027474974.1</t>
  </si>
  <si>
    <t>XP_027474974.1, XP_027477796.1</t>
  </si>
  <si>
    <t>72 kDa type IV collagenase [Zalophus californianus]</t>
  </si>
  <si>
    <t>XP_027475014.1 (+1)</t>
  </si>
  <si>
    <t>XP_027475014.1&amp;XP_027475015.1</t>
  </si>
  <si>
    <t>cadherin-13 isoform X1 [Zalophus californianus]</t>
  </si>
  <si>
    <t>XP_027475022.1</t>
  </si>
  <si>
    <t>phosphatidylcholine-sterol acyltransferase [Zalophus californianus]</t>
  </si>
  <si>
    <t>XP_027475046.1</t>
  </si>
  <si>
    <t>40S ribosomal protein S16 [Zalophus californianus]</t>
  </si>
  <si>
    <t>XP_027475052.1 (+1)</t>
  </si>
  <si>
    <t>XP_027475052.1&amp;XP_027475053.1</t>
  </si>
  <si>
    <t>transcription elongation factor SPT5 isoform X1 [Zalophus californianus]_x0001_XP_027475051.1 transcription elongation factor SPT5 isoform X1 [Zalophus californianus]</t>
  </si>
  <si>
    <t>XP_027475104.1</t>
  </si>
  <si>
    <t>apolipoprotein C-II [Zalophus californianus]</t>
  </si>
  <si>
    <t>XP_027475128.1</t>
  </si>
  <si>
    <t>nucleobindin-1 isoform X1 [Zalophus californianus]</t>
  </si>
  <si>
    <t>XP_027475131.1</t>
  </si>
  <si>
    <t>branched-chain-amino-acid aminotransferase, mitochondrial isoform X1 [Zalophus californianus]</t>
  </si>
  <si>
    <t>XP_027475144.1</t>
  </si>
  <si>
    <t>platelet glycoprotein VI [Zalophus californianus]</t>
  </si>
  <si>
    <t>XP_027475147.1</t>
  </si>
  <si>
    <t>60S ribosomal protein L22 [Zalophus californianus]</t>
  </si>
  <si>
    <t>XP_027475192.1 (+1)</t>
  </si>
  <si>
    <t>XP_027475192.1&amp;XP_027475213.1</t>
  </si>
  <si>
    <t>UPF0587 protein C1orf123 homolog isoform X1 [Zalophus californianus]</t>
  </si>
  <si>
    <t>XP_027475200.1</t>
  </si>
  <si>
    <t>cadherin-11 [Zalophus californianus]_x0001_XP_027475199.1 cadherin-11 [Zalophus californianus]_x0001_XP_027475197.1 cadherin-11 [Zalophus californianus]_x0001_XP_027475196.1 cadherin-11 [Zalophus californianus]_x0001_XP_027475195.1 cadherin-11 [Zalophus californianus]</t>
  </si>
  <si>
    <t>XP_027475256.1</t>
  </si>
  <si>
    <t>peptidoglycan recognition protein 1 [Zalophus californianus]</t>
  </si>
  <si>
    <t>XP_027475258.1 (+1)</t>
  </si>
  <si>
    <t>XP_027475258.1&amp;XP_027475259.1</t>
  </si>
  <si>
    <t>tyrosine-protein kinase receptor UFO isoform X1 [Zalophus californianus]</t>
  </si>
  <si>
    <t>XP_027475292.1 (+1)</t>
  </si>
  <si>
    <t>XP_027475292.1&amp;XP_027475293.1</t>
  </si>
  <si>
    <t>aspartate aminotransferase, mitochondrial isoform X1 [Zalophus californianus]</t>
  </si>
  <si>
    <t>XP_027475311.1</t>
  </si>
  <si>
    <t>flavin reductase (NADPH) [Zalophus californianus]</t>
  </si>
  <si>
    <t>XP_027475326.1 (+3)</t>
  </si>
  <si>
    <t>XP_027475326.1&amp;XP_027475337.1&amp;XP_027475353.1&amp;XP_027475360.1</t>
  </si>
  <si>
    <t>tumor protein D52 isoform X1 [Zalophus californianus]</t>
  </si>
  <si>
    <t>XP_027475352.1</t>
  </si>
  <si>
    <t>chymotrypsinogen B-like [Zalophus californianus]</t>
  </si>
  <si>
    <t>XP_027475354.1</t>
  </si>
  <si>
    <t>coactosin-like protein [Zalophus californianus]</t>
  </si>
  <si>
    <t>XP_027475357.1</t>
  </si>
  <si>
    <t>alpha-soluble NSF attachment protein isoform X1 [Zalophus californianus]</t>
  </si>
  <si>
    <t>XP_027475373.1 (+1)</t>
  </si>
  <si>
    <t>XP_027475373.1&amp;XP_027475374.1</t>
  </si>
  <si>
    <t>XP_027475373.1, XP_027475581.1</t>
  </si>
  <si>
    <t>nectin-2 isoform X1 [Zalophus californianus]</t>
  </si>
  <si>
    <t>XP_027475381.1</t>
  </si>
  <si>
    <t>NAD(P)H dehydrogenase [quinone] 1 [Zalophus californianus]</t>
  </si>
  <si>
    <t>XP_027475401.1</t>
  </si>
  <si>
    <t>sarcoplasmic reticulum histidine-rich calcium-binding protein isoform X1 [Zalophus californianus]</t>
  </si>
  <si>
    <t>XP_027475452.1</t>
  </si>
  <si>
    <t>transcription intermediary factor 1-beta isoform X1 [Zalophus californianus]</t>
  </si>
  <si>
    <t>XP_027475504.1</t>
  </si>
  <si>
    <t>alpha-1B-glycoprotein isoform X1 [Zalophus californianus]</t>
  </si>
  <si>
    <t>XP_027475515.1 (+1)</t>
  </si>
  <si>
    <t>XP_027475515.1&amp;XP_027475517.1</t>
  </si>
  <si>
    <t>charged multivesicular body protein 2a isoform X1 [Zalophus californianus]</t>
  </si>
  <si>
    <t>XP_027475524.1</t>
  </si>
  <si>
    <t>40S ribosomal protein S5 [Zalophus californianus]</t>
  </si>
  <si>
    <t>XP_027475546.1</t>
  </si>
  <si>
    <t>kunitz-type protease inhibitor 2 isoform X1 [Zalophus californianus]</t>
  </si>
  <si>
    <t>XP_027475574.1</t>
  </si>
  <si>
    <t>apolipoprotein E [Zalophus californianus]_x0001_XP_027475573.1 apolipoprotein E [Zalophus californianus]</t>
  </si>
  <si>
    <t>XP_027475581.1</t>
  </si>
  <si>
    <t>poliovirus receptor [Zalophus californianus]</t>
  </si>
  <si>
    <t>XP_027475616.1</t>
  </si>
  <si>
    <t>F-box only protein 50 [Zalophus californianus]</t>
  </si>
  <si>
    <t>XP_027475638.1</t>
  </si>
  <si>
    <t>latent-transforming growth factor beta-binding protein 4 isoform X2 [Zalophus californianus]</t>
  </si>
  <si>
    <t>XP_027475689.1 (+1)</t>
  </si>
  <si>
    <t>XP_027475689.1&amp;XP_027475697.1</t>
  </si>
  <si>
    <t>sodium/hydrogen exchanger 1 isoform X1 [Zalophus californianus]</t>
  </si>
  <si>
    <t>XP_027475703.1 (+1)</t>
  </si>
  <si>
    <t>XP_027475703.1&amp;XP_027475704.1</t>
  </si>
  <si>
    <t>IgGFc-binding protein isoform X1 [Zalophus californianus]</t>
  </si>
  <si>
    <t>XP_027475715.1</t>
  </si>
  <si>
    <t>carcinoembryonic antigen-related cell adhesion molecule 1-like [Zalophus californianus]</t>
  </si>
  <si>
    <t>XP_027475725.1</t>
  </si>
  <si>
    <t>cytochrome b-245 light chain [Zalophus californianus]</t>
  </si>
  <si>
    <t>XP_027475732.1</t>
  </si>
  <si>
    <t>40S ribosomal protein S11 [Zalophus californianus]</t>
  </si>
  <si>
    <t>XP_027475736.1</t>
  </si>
  <si>
    <t>igLON family member 5 [Zalophus californianus]</t>
  </si>
  <si>
    <t>XP_027475738.1</t>
  </si>
  <si>
    <t>electron transfer flavoprotein subunit beta [Zalophus californianus]</t>
  </si>
  <si>
    <t>XP_027475796.1</t>
  </si>
  <si>
    <t>anamorsin [Zalophus californianus]_x0001_XP_027475795.1 anamorsin [Zalophus californianus]_x0001_XP_027475794.1 anamorsin [Zalophus californianus]</t>
  </si>
  <si>
    <t>XP_027475838.1</t>
  </si>
  <si>
    <t>delta(3,5)-Delta(2,4)-dienoyl-CoA isomerase, mitochondrial [Zalophus californianus]</t>
  </si>
  <si>
    <t>XP_027475839.1</t>
  </si>
  <si>
    <t>galectin-4 [Zalophus californianus]</t>
  </si>
  <si>
    <t>XP_027475844.1</t>
  </si>
  <si>
    <t>immortalization up-regulated protein [Zalophus californianus]</t>
  </si>
  <si>
    <t>XP_027475873.1</t>
  </si>
  <si>
    <t>platelet-activating factor acetylhydrolase IB subunit gamma [Zalophus californianus]</t>
  </si>
  <si>
    <t>XP_027475895.1</t>
  </si>
  <si>
    <t>26S proteasome regulatory subunit 6B [Zalophus californianus]</t>
  </si>
  <si>
    <t>XP_027475930.1</t>
  </si>
  <si>
    <t>V-type proton ATPase subunit d 1 [Zalophus californianus]</t>
  </si>
  <si>
    <t>XP_027475972.1</t>
  </si>
  <si>
    <t>nucleolar protein 3 [Zalophus californianus]_x0001_XP_027475971.1 nucleolar protein 3 [Zalophus californianus]</t>
  </si>
  <si>
    <t>XP_027476017.1</t>
  </si>
  <si>
    <t>relA-associated inhibitor [Zalophus californianus]_x0001_XP_027476016.1 relA-associated inhibitor [Zalophus californianus]_x0001_XP_027476015.1 relA-associated inhibitor [Zalophus californianus]_x0001_XP_027476013.1 relA-associated inhibitor [Zalophus californianus]</t>
  </si>
  <si>
    <t>XP_027476035.1</t>
  </si>
  <si>
    <t>group XV phospholipase A2 isoform X1 [Zalophus californianus]</t>
  </si>
  <si>
    <t>XP_027476040.1</t>
  </si>
  <si>
    <t>urokinase plasminogen activator surface receptor [Zalophus californianus]</t>
  </si>
  <si>
    <t>XP_027476050.1 (+1)</t>
  </si>
  <si>
    <t>XP_027476050.1&amp;XP_027476051.1</t>
  </si>
  <si>
    <t>FH1/FH2 domain-containing protein 1 isoform X1 [Zalophus californianus]</t>
  </si>
  <si>
    <t>XP_027476143.1</t>
  </si>
  <si>
    <t>fibroblast growth factor 21 [Zalophus californianus]_x0001_XP_027476142.1 fibroblast growth factor 21 [Zalophus californianus]</t>
  </si>
  <si>
    <t>XP_027476181.1</t>
  </si>
  <si>
    <t>XP_027476197.1 (+1)</t>
  </si>
  <si>
    <t>XP_027476197.1&amp;XP_027476198.1</t>
  </si>
  <si>
    <t>EMILIN-1 isoform X1 [Zalophus californianus]</t>
  </si>
  <si>
    <t>XP_027476239.1</t>
  </si>
  <si>
    <t>T-complex protein 1 subunit delta [Zalophus californianus]</t>
  </si>
  <si>
    <t>XP_027476241.1</t>
  </si>
  <si>
    <t>N-acetyllactosaminide beta-1,3-N-acetylglucosaminyltransferase 2 [Zalophus californianus]_x0001_XP_027476240.1 N-acetyllactosaminide beta-1,3-N-acetylglucosaminyltransferase 2 [Zalophus californianus]</t>
  </si>
  <si>
    <t>XP_027476294.1 (+1)</t>
  </si>
  <si>
    <t>XP_027476294.1&amp;XP_027476305.1</t>
  </si>
  <si>
    <t>neuronal growth regulator 1 isoform X1 [Zalophus californianus]</t>
  </si>
  <si>
    <t>XP_027476329.1 (+1)</t>
  </si>
  <si>
    <t>XP_027476329.1&amp;XP_027476343.1</t>
  </si>
  <si>
    <t>cAMP-dependent protein kinase inhibitor alpha isoform X1 [Zalophus californianus]</t>
  </si>
  <si>
    <t>XP_027476350.1</t>
  </si>
  <si>
    <t>endothelin-3 isoform X1 [Zalophus californianus]</t>
  </si>
  <si>
    <t>XP_027476352.1 (+3)</t>
  </si>
  <si>
    <t>XP_027476352.1&amp;XP_027476353.1&amp;XP_027476354.1&amp;XP_027476355.1</t>
  </si>
  <si>
    <t>guanine nucleotide-binding protein G(s) subunit alpha isoforms XLas isoform X1 [Zalophus californianus]</t>
  </si>
  <si>
    <t>XP_027476362.1</t>
  </si>
  <si>
    <t>neuroendocrine secretory protein 55 [Zalophus californianus]</t>
  </si>
  <si>
    <t>XP_027476370.1</t>
  </si>
  <si>
    <t>fatty acid-binding protein, liver [Zalophus californianus]</t>
  </si>
  <si>
    <t>XP_027476413.1</t>
  </si>
  <si>
    <t>protein disulfide-isomerase A6 [Zalophus californianus]</t>
  </si>
  <si>
    <t>XP_027476456.1</t>
  </si>
  <si>
    <t>glycosylphosphatidylinositol-anchored high density lipoprotein-binding protein 1 [Zalophus californianus]</t>
  </si>
  <si>
    <t>XP_027476457.1</t>
  </si>
  <si>
    <t>troponin C, skeletal muscle [Zalophus californianus]</t>
  </si>
  <si>
    <t>XP_027476483.1</t>
  </si>
  <si>
    <t>adenosylhomocysteinase [Zalophus californianus]</t>
  </si>
  <si>
    <t>XP_027476508.1</t>
  </si>
  <si>
    <t>poly(rC)-binding protein 1 [Zalophus californianus]</t>
  </si>
  <si>
    <t>XP_027476517.1</t>
  </si>
  <si>
    <t>retroviral-like aspartic protease 1 [Zalophus californianus]_x0001_XP_027476516.1 retroviral-like aspartic protease 1 [Zalophus californianus]_x0001_XP_027476514.1 retroviral-like aspartic protease 1 [Zalophus californianus]_x0001_XP_027476513.1 retroviral-like aspartic protease 1 [Zalophus californianus]_x0001_XP_027476512.1 retroviral-like aspartic protease 1 [Zalophus californianus]_x0001_XP_027476511.1 retroviral-like aspartic protease 1 [Zalophus californianus]_x0001_XP_027476510.1 retroviral-like aspartic protease 1 [Zalophus californianus]_x0001_XP_027476509.1 retroviral-like aspartic protease 1 [Zalophus californianus]</t>
  </si>
  <si>
    <t>XP_027476536.1</t>
  </si>
  <si>
    <t>EGF-containing fibulin-like extracellular matrix protein 1 [Zalophus californianus]_x0001_XP_027476535.1 EGF-containing fibulin-like extracellular matrix protein 1 [Zalophus californianus]_x0001_XP_027476534.1 EGF-containing fibulin-like extracellular matrix protein 1 [Zalophus californianus]</t>
  </si>
  <si>
    <t>XP_027476564.1 (+1)</t>
  </si>
  <si>
    <t>XP_027476564.1&amp;XP_027476565.1</t>
  </si>
  <si>
    <t>angiopoietin-4 isoform X1 [Zalophus californianus]</t>
  </si>
  <si>
    <t>XP_027476605.1 (+1)</t>
  </si>
  <si>
    <t>XP_027476605.1&amp;XP_027476606.1</t>
  </si>
  <si>
    <t>acetyl-coenzyme A synthetase, cytoplasmic isoform X1 [Zalophus californianus]</t>
  </si>
  <si>
    <t>XP_027476610.1</t>
  </si>
  <si>
    <t>glutathione synthetase isoform X1 [Zalophus californianus]_x0001_XP_027476609.1 glutathione synthetase isoform X1 [Zalophus californianus]</t>
  </si>
  <si>
    <t>XP_027476618.1</t>
  </si>
  <si>
    <t>xanthine dehydrogenase/oxidase [Zalophus californianus]</t>
  </si>
  <si>
    <t>XP_027476688.1 (+1)</t>
  </si>
  <si>
    <t>XP_027476688.1&amp;XP_027476689.1</t>
  </si>
  <si>
    <t>acetyl-coenzyme A synthetase 2-like, mitochondrial isoform X1 [Zalophus californianus]</t>
  </si>
  <si>
    <t>XP_027476734.1</t>
  </si>
  <si>
    <t>tumor necrosis factor receptor superfamily member 6B [Zalophus californianus]</t>
  </si>
  <si>
    <t>XP_027476738.1 (+6)</t>
  </si>
  <si>
    <t>XP_027476738.1&amp;XP_027476739.1&amp;XP_027476740.1&amp;XP_027476742.1&amp;XP_027476743.1&amp;XP_027476744.1&amp;XP_027476745.1</t>
  </si>
  <si>
    <t>rho-associated protein kinase 2 isoform X1 [Zalophus californianus]</t>
  </si>
  <si>
    <t>XP_027476798.1</t>
  </si>
  <si>
    <t>angiopoietin-related protein 3 [Zalophus californianus]</t>
  </si>
  <si>
    <t>XP_027476893.1</t>
  </si>
  <si>
    <t>succinate--CoA ligase [ADP/GDP-forming] subunit alpha, mitochondrial [Zalophus californianus]</t>
  </si>
  <si>
    <t>XP_027476907.1 (+2)</t>
  </si>
  <si>
    <t>XP_027476907.1&amp;XP_027476908.1&amp;XP_027476909.1</t>
  </si>
  <si>
    <t>dolichyl-diphosphooligosaccharide--protein glycosyltransferase subunit 2 isoform X1 [Zalophus californianus]</t>
  </si>
  <si>
    <t>XP_027476940.1 (+3)</t>
  </si>
  <si>
    <t>XP_027476940.1&amp;XP_027476941.1&amp;XP_027476942.1&amp;XP_027476943.1</t>
  </si>
  <si>
    <t>attractin isoform X1 [Zalophus californianus]</t>
  </si>
  <si>
    <t>XP_027477043.1 (+1)</t>
  </si>
  <si>
    <t>XP_027477043.1&amp;XP_027477052.1</t>
  </si>
  <si>
    <t>syntaxin-12 isoform X1 [Zalophus californianus]</t>
  </si>
  <si>
    <t>XP_027477055.1 (+1)</t>
  </si>
  <si>
    <t>XP_027477055.1&amp;XP_027477056.1</t>
  </si>
  <si>
    <t>XP_027477055.1, XP_027479607.1</t>
  </si>
  <si>
    <t>tyrosine-protein phosphatase non-receptor type substrate 1 isoform X1 [Zalophus californianus]_x0001_XP_027477054.1 tyrosine-protein phosphatase non-receptor type substrate 1 isoform X1 [Zalophus californianus]</t>
  </si>
  <si>
    <t>XP_027477086.1</t>
  </si>
  <si>
    <t>putative hydrolase RBBP9 [Zalophus californianus]</t>
  </si>
  <si>
    <t>XP_027477133.1</t>
  </si>
  <si>
    <t>aldose 1-epimerase isoform X1 [Zalophus californianus]</t>
  </si>
  <si>
    <t>XP_027477145.1 (+6)</t>
  </si>
  <si>
    <t>XP_027477145.1&amp;XP_027477146.1&amp;XP_027477148.1&amp;XP_027477149.1&amp;XP_027477150.1&amp;XP_027477151.1&amp;XP_027477152.1</t>
  </si>
  <si>
    <t>MICOS complex subunit MIC60 isoform X1 [Zalophus californianus]</t>
  </si>
  <si>
    <t>XP_027477160.1</t>
  </si>
  <si>
    <t>vesicle-associated membrane protein-associated protein B/C [Zalophus californianus]</t>
  </si>
  <si>
    <t>XP_027477190.1</t>
  </si>
  <si>
    <t>ephrin type-A receptor 2 isoform X1 [Zalophus californianus]</t>
  </si>
  <si>
    <t>XP_027477192.1</t>
  </si>
  <si>
    <t>lysosomal protective protein [Zalophus californianus]</t>
  </si>
  <si>
    <t>XP_027477194.1</t>
  </si>
  <si>
    <t>phospholipid transfer protein [Zalophus californianus]_x0001_XP_027477193.1 phospholipid transfer protein [Zalophus californianus]</t>
  </si>
  <si>
    <t>XP_027477203.1</t>
  </si>
  <si>
    <t>breast carcinoma-amplified sequence 1 isoform X2 [Zalophus californianus]</t>
  </si>
  <si>
    <t>XP_027477230.1</t>
  </si>
  <si>
    <t>glutamine--fructose-6-phosphate aminotransferase [isomerizing] 1 [Zalophus californianus]</t>
  </si>
  <si>
    <t>XP_027477231.1 (+1)</t>
  </si>
  <si>
    <t>XP_027477231.1&amp;XP_027477233.1</t>
  </si>
  <si>
    <t>latent-transforming growth factor beta-binding protein 1 isoform X1 [Zalophus californianus]</t>
  </si>
  <si>
    <t>XP_027477245.1</t>
  </si>
  <si>
    <t>microtubule-associated protein RP/EB family member 1 [Zalophus californianus]_x0001_XP_027477243.1 microtubule-associated protein RP/EB family member 1 [Zalophus californianus]_x0001_XP_027477242.1 microtubule-associated protein RP/EB family member 1 [Zalophus californianus]_x0001_XP_027454898.1 microtubule-associated protein RP/EB family member 1 [Zalophus californianus]</t>
  </si>
  <si>
    <t>XP_027477264.1</t>
  </si>
  <si>
    <t>actin-related protein 2 isoform X2 [Zalophus californianus]</t>
  </si>
  <si>
    <t>XP_027477265.1</t>
  </si>
  <si>
    <t>14-3-3 protein theta [Zalophus californianus]</t>
  </si>
  <si>
    <t>XP_027477289.1 (+1)</t>
  </si>
  <si>
    <t>XP_027477289.1&amp;XP_027477293.1</t>
  </si>
  <si>
    <t>cell growth regulator with EF hand domain protein 1 isoform X1 [Zalophus californianus]</t>
  </si>
  <si>
    <t>XP_027477295.1</t>
  </si>
  <si>
    <t>anthrax toxin receptor 1 [Zalophus californianus]</t>
  </si>
  <si>
    <t>XP_027477309.1</t>
  </si>
  <si>
    <t>ubiquitin-conjugating enzyme E2 variant 1 isoform X1 [Zalophus californianus]</t>
  </si>
  <si>
    <t>XP_027477332.1</t>
  </si>
  <si>
    <t>secreted Ly-6/uPAR domain-containing protein 2-like [Zalophus californianus]</t>
  </si>
  <si>
    <t>XP_027477366.1</t>
  </si>
  <si>
    <t>14-3-3 protein beta/alpha [Zalophus californianus]</t>
  </si>
  <si>
    <t>XP_027477380.1</t>
  </si>
  <si>
    <t>ras-related protein Rab-10 [Zalophus californianus]</t>
  </si>
  <si>
    <t>XP_027477397.1</t>
  </si>
  <si>
    <t>V-type proton ATPase subunit B, kidney isoform [Zalophus californianus]</t>
  </si>
  <si>
    <t>XP_027477409.1</t>
  </si>
  <si>
    <t>protein-glutamine gamma-glutamyltransferase 2 [Zalophus californianus]</t>
  </si>
  <si>
    <t>XP_027477571.1 (+2)</t>
  </si>
  <si>
    <t>XP_027477571.1&amp;XP_027477572.1&amp;XP_027477573.1</t>
  </si>
  <si>
    <t>heat shock 70 kDa protein 12B isoform X1 [Zalophus californianus]_x0001_XP_027477570.1 heat shock 70 kDa protein 12B isoform X1 [Zalophus californianus]</t>
  </si>
  <si>
    <t>XP_027477593.1</t>
  </si>
  <si>
    <t>protein transport protein Sec23B [Zalophus californianus]_x0001_XP_027477592.1 protein transport protein Sec23B [Zalophus californianus]</t>
  </si>
  <si>
    <t>XP_027477621.1 (+1)</t>
  </si>
  <si>
    <t>XP_027477621.1&amp;XP_027477622.1</t>
  </si>
  <si>
    <t>syndecan-4 isoform X1 [Zalophus californianus]</t>
  </si>
  <si>
    <t>XP_027477624.1</t>
  </si>
  <si>
    <t>apolipoprotein B-100 isoform X2 [Zalophus californianus]</t>
  </si>
  <si>
    <t>XP_027477626.1</t>
  </si>
  <si>
    <t>deoxynucleoside triphosphate triphosphohydrolase SAMHD1 [Zalophus californianus]</t>
  </si>
  <si>
    <t>XP_027477658.1</t>
  </si>
  <si>
    <t>cytochrome c oxidase subunit 5B, mitochondrial [Zalophus californianus]</t>
  </si>
  <si>
    <t>XP_027477679.1 (+1)</t>
  </si>
  <si>
    <t>XP_027477679.1&amp;XP_027477680.1</t>
  </si>
  <si>
    <t>NSFL1 cofactor p47 isoform X1 [Zalophus californianus]</t>
  </si>
  <si>
    <t>XP_027477702.1 (+2)</t>
  </si>
  <si>
    <t>XP_027477702.1&amp;XP_027477703.1&amp;XP_027477705.1</t>
  </si>
  <si>
    <t>rab11 family-interacting protein 5 isoform X1 [Zalophus californianus]</t>
  </si>
  <si>
    <t>XP_027477780.1</t>
  </si>
  <si>
    <t>complement component C1q receptor [Zalophus californianus]</t>
  </si>
  <si>
    <t>XP_027477796.1</t>
  </si>
  <si>
    <t>matrix metalloproteinase-9 isoform X1 [Zalophus californianus]</t>
  </si>
  <si>
    <t>XP_027477813.1 (+2)</t>
  </si>
  <si>
    <t>XP_027477813.1&amp;XP_027477814.1&amp;XP_027477815.1</t>
  </si>
  <si>
    <t>adenosine deaminase isoform X1 [Zalophus californianus]</t>
  </si>
  <si>
    <t>XP_027477840.1</t>
  </si>
  <si>
    <t>cathepsin Z [Zalophus californianus]</t>
  </si>
  <si>
    <t>XP_027477841.1</t>
  </si>
  <si>
    <t>prominin-2 [Zalophus californianus]</t>
  </si>
  <si>
    <t>XP_027477881.1</t>
  </si>
  <si>
    <t>serine/threonine-protein phosphatase PP1-beta catalytic subunit [Zalophus californianus]_x0001_XP_027477879.1 serine/threonine-protein phosphatase PP1-beta catalytic subunit [Zalophus californianus]</t>
  </si>
  <si>
    <t>XP_027477887.1 (+1)</t>
  </si>
  <si>
    <t>XP_027477887.1&amp;XP_027477888.1</t>
  </si>
  <si>
    <t>dynein light chain roadblock-type 1 isoform X1 [Zalophus californianus]</t>
  </si>
  <si>
    <t>XP_027477904.1 (+3)</t>
  </si>
  <si>
    <t>XP_027477904.1&amp;XP_027477906.1&amp;XP_027477907.1&amp;XP_027477909.1</t>
  </si>
  <si>
    <t>RNA-binding protein Raly isoform X1 [Zalophus californianus]_x0001_XP_027477903.1 RNA-binding protein Raly isoform X1 [Zalophus californianus]_x0001_XP_027477902.1 RNA-binding protein Raly isoform X1 [Zalophus californianus]_x0001_XP_027477901.1 RNA-binding protein Raly isoform X1 [Zalophus californianus]_x0001_XP_027477899.1 RNA-binding protein Raly isoform X1 [Zalophus californianus]_x0001_XP_027477898.1 RNA-binding protein Raly isoform X1 [Zalophus californianus]_x0001_XP_027477897.1 RNA-binding protein Raly isoform X1 [Zalophus californianus]_x0001_XP_027477896.1 RNA-binding protein Raly isoform X1 [Zalophus californianus]_x0001_XP_027477895.1 RNA-binding protein Raly isoform X1 [Zalophus californianus]_x0001_XP_027477894.1 RNA-binding protein Raly isoform X1 [Zalophus californianus]_x0001_XP_027477893.1 RNA-binding protein Raly isoform X1 [Zalophus californianus]</t>
  </si>
  <si>
    <t>XP_027477919.1</t>
  </si>
  <si>
    <t>sulfotransferase 1C4-like [Zalophus californianus]</t>
  </si>
  <si>
    <t>XP_027477922.1</t>
  </si>
  <si>
    <t>1,2-dihydroxy-3-keto-5-methylthiopentene dioxygenase [Zalophus californianus]</t>
  </si>
  <si>
    <t>XP_027477958.1</t>
  </si>
  <si>
    <t>loricrin [Zalophus californianus]</t>
  </si>
  <si>
    <t>XP_027477970.1 (+1)</t>
  </si>
  <si>
    <t>XP_027477970.1&amp;XP_027477971.1</t>
  </si>
  <si>
    <t>spectrin beta chain, non-erythrocytic 1 isoform X1 [Zalophus californianus]_x0001_XP_027477968.1 spectrin beta chain, non-erythrocytic 1 isoform X1 [Zalophus californianus]_x0001_XP_027477967.1 spectrin beta chain, non-erythrocytic 1 isoform X1 [Zalophus californianus]</t>
  </si>
  <si>
    <t>XP_027478000.1 (+4)</t>
  </si>
  <si>
    <t>XP_027478000.1&amp;XP_027478002.1&amp;XP_027478003.1&amp;XP_027478006.1&amp;XP_027478007.1</t>
  </si>
  <si>
    <t>catenin alpha-2 isoform X1 [Zalophus californianus]</t>
  </si>
  <si>
    <t>XP_027478032.1 (+1)</t>
  </si>
  <si>
    <t>XP_027478032.1&amp;XP_027478033.1</t>
  </si>
  <si>
    <t>proteasome inhibitor PI31 subunit isoform X1 [Zalophus californianus]</t>
  </si>
  <si>
    <t>XP_027478059.1 (+1)</t>
  </si>
  <si>
    <t>XP_027478059.1&amp;XP_027478063.1</t>
  </si>
  <si>
    <t>AP2-associated protein kinase 1 isoform X2 [Zalophus californianus]</t>
  </si>
  <si>
    <t>XP_027478121.1</t>
  </si>
  <si>
    <t>annexin A4 [Zalophus californianus]</t>
  </si>
  <si>
    <t>XP_027478147.1 (+1)</t>
  </si>
  <si>
    <t>XP_027478147.1&amp;XP_027478149.1</t>
  </si>
  <si>
    <t>tubulin beta-1 chain isoform X1 [Zalophus californianus]</t>
  </si>
  <si>
    <t>XP_027478160.1</t>
  </si>
  <si>
    <t>elafin [Zalophus californianus]_x0001_XP_027478159.1 elafin [Zalophus californianus]</t>
  </si>
  <si>
    <t>XP_027478169.1</t>
  </si>
  <si>
    <t>WNT1-inducible-signaling pathway protein 2 [Zalophus californianus]</t>
  </si>
  <si>
    <t>XP_027478204.1</t>
  </si>
  <si>
    <t>endothelial protein C receptor [Zalophus californianus]</t>
  </si>
  <si>
    <t>XP_027478349.1</t>
  </si>
  <si>
    <t>glutaminyl-peptide cyclotransferase isoform X1 [Zalophus californianus]</t>
  </si>
  <si>
    <t>XP_027478359.1 (+3)</t>
  </si>
  <si>
    <t>XP_027478359.1&amp;XP_027478360.1&amp;XP_027478361.1&amp;XP_027478362.1</t>
  </si>
  <si>
    <t>serine/arginine-rich splicing factor 7 isoform X1 [Zalophus californianus]</t>
  </si>
  <si>
    <t>XP_027478400.1</t>
  </si>
  <si>
    <t>serine/arginine-rich splicing factor 6 [Zalophus californianus]</t>
  </si>
  <si>
    <t>XP_027478408.1</t>
  </si>
  <si>
    <t>sialoadhesin [Zalophus californianus]</t>
  </si>
  <si>
    <t>XP_027478465.1</t>
  </si>
  <si>
    <t>XP_027478465.1, XP_027478466.1</t>
  </si>
  <si>
    <t>low molecular weight phosphotyrosine protein phosphatase isoform X1 [Zalophus californianus]</t>
  </si>
  <si>
    <t>XP_027478466.1</t>
  </si>
  <si>
    <t>low molecular weight phosphotyrosine protein phosphatase isoform X2 [Zalophus californianus]</t>
  </si>
  <si>
    <t>XP_027478473.1</t>
  </si>
  <si>
    <t>protease-associated domain-containing protein 1 [Zalophus californianus]</t>
  </si>
  <si>
    <t>XP_027478496.1 (+1)</t>
  </si>
  <si>
    <t>XP_027478496.1&amp;XP_027478497.1</t>
  </si>
  <si>
    <t>UTP--glucose-1-phosphate uridylyltransferase isoform X1 [Zalophus californianus]</t>
  </si>
  <si>
    <t>XP_027478499.1</t>
  </si>
  <si>
    <t>malate dehydrogenase, cytoplasmic [Zalophus californianus]</t>
  </si>
  <si>
    <t>XP_027478539.1 (+1)</t>
  </si>
  <si>
    <t>XP_027478539.1&amp;XP_027478540.1</t>
  </si>
  <si>
    <t>interleukin-1 receptor-like 1 isoform X1 [Zalophus californianus]</t>
  </si>
  <si>
    <t>XP_027478563.1</t>
  </si>
  <si>
    <t>WAP four-disulfide core domain protein 2 [Zalophus californianus]</t>
  </si>
  <si>
    <t>XP_027478600.1 (+1)</t>
  </si>
  <si>
    <t>XP_027478600.1&amp;XP_027478601.1</t>
  </si>
  <si>
    <t>glycogen phosphorylase, brain form isoform X1 [Zalophus californianus]</t>
  </si>
  <si>
    <t>XP_027478609.1</t>
  </si>
  <si>
    <t>protein S100-A11-like [Zalophus californianus]_x0001_XP_027436364.1 protein S100-A11 [Zalophus californianus]</t>
  </si>
  <si>
    <t>XP_027478618.1</t>
  </si>
  <si>
    <t>myosin light chain kinase 2, skeletal/cardiac muscle [Zalophus californianus]</t>
  </si>
  <si>
    <t>XP_027478634.1</t>
  </si>
  <si>
    <t>XP_027478634.1, XP_027478765.1</t>
  </si>
  <si>
    <t>vasopressin-neurophysin 2-copeptin [Zalophus californianus]</t>
  </si>
  <si>
    <t>XP_027478659.1 (+3)</t>
  </si>
  <si>
    <t>XP_027478659.1&amp;XP_027478660.1&amp;XP_027478661.1&amp;XP_027478662.1</t>
  </si>
  <si>
    <t>cysteine-rich motor neuron 1 protein isoform X1 [Zalophus californianus]</t>
  </si>
  <si>
    <t>XP_027478681.1 (+3)</t>
  </si>
  <si>
    <t>XP_027478681.1&amp;XP_027478686.1&amp;XP_027478696.1&amp;XP_027478706.1</t>
  </si>
  <si>
    <t>agrin isoform X7 [Zalophus californianus]</t>
  </si>
  <si>
    <t>XP_027478683.1</t>
  </si>
  <si>
    <t>WAP four-disulfide core domain protein 5 [Zalophus californianus]</t>
  </si>
  <si>
    <t>XP_027478711.1 (+1)</t>
  </si>
  <si>
    <t>XP_027478711.1&amp;XP_027478714.1</t>
  </si>
  <si>
    <t>bactericidal permeability-increasing protein isoform X1 [Zalophus californianus]</t>
  </si>
  <si>
    <t>XP_027478715.1</t>
  </si>
  <si>
    <t>lipopolysaccharide-binding protein isoform X1 [Zalophus californianus]</t>
  </si>
  <si>
    <t>XP_027478746.1</t>
  </si>
  <si>
    <t>ubiquitin-like protein ISG15 [Zalophus californianus]</t>
  </si>
  <si>
    <t>XP_027478760.1 (+2)</t>
  </si>
  <si>
    <t>XP_027478760.1&amp;XP_027478761.1&amp;XP_027478762.1</t>
  </si>
  <si>
    <t>metal transporter CNNM3 isoform X1 [Zalophus californianus]</t>
  </si>
  <si>
    <t>XP_027478765.1</t>
  </si>
  <si>
    <t>oxytocin-neurophysin 1 [Zalophus californianus]</t>
  </si>
  <si>
    <t>XP_027478783.1 (+4)</t>
  </si>
  <si>
    <t>XP_027478783.1&amp;XP_027478793.1&amp;XP_027478800.1&amp;XP_027478809.1&amp;XP_027478819.1</t>
  </si>
  <si>
    <t>cadherin EGF LAG seven-pass G-type receptor 2 isoform X1 [Zalophus californianus]</t>
  </si>
  <si>
    <t>XP_027478799.1</t>
  </si>
  <si>
    <t>interleukin-36 receptor antagonist protein [Zalophus californianus]</t>
  </si>
  <si>
    <t>XP_027478818.1 (+1)</t>
  </si>
  <si>
    <t>XP_027478818.1&amp;XP_027478820.1</t>
  </si>
  <si>
    <t>endoplasmic reticulum lectin 1 isoform X1 [Zalophus californianus]</t>
  </si>
  <si>
    <t>XP_027478849.1</t>
  </si>
  <si>
    <t>EH domain-containing protein 3 [Zalophus californianus]</t>
  </si>
  <si>
    <t>XP_027478909.1</t>
  </si>
  <si>
    <t>peptidyl-prolyl cis-trans isomerase FKBP1A [Zalophus californianus]</t>
  </si>
  <si>
    <t>XP_027478912.1 (+1)</t>
  </si>
  <si>
    <t>XP_027478912.1&amp;XP_027478913.1</t>
  </si>
  <si>
    <t>destrin isoform X1 [Zalophus californianus]</t>
  </si>
  <si>
    <t>XP_027478922.1</t>
  </si>
  <si>
    <t>antileukoproteinase-like [Zalophus californianus]</t>
  </si>
  <si>
    <t>XP_027478938.1</t>
  </si>
  <si>
    <t>thrombomodulin [Zalophus californianus]</t>
  </si>
  <si>
    <t>XP_027478946.1</t>
  </si>
  <si>
    <t>major prion protein [Zalophus californianus]_x0001_XP_027478945.1 major prion protein [Zalophus californianus]_x0001_XP_027478944.1 major prion protein [Zalophus californianus]</t>
  </si>
  <si>
    <t>XP_027478958.1</t>
  </si>
  <si>
    <t>non-specific lipid-transfer protein isoform X1 [Zalophus californianus]</t>
  </si>
  <si>
    <t>XP_027478972.1</t>
  </si>
  <si>
    <t>ras-related protein Rab-1A [Zalophus californianus]</t>
  </si>
  <si>
    <t>XP_027478973.1</t>
  </si>
  <si>
    <t>acylphosphatase-2 isoform X1 [Zalophus californianus]</t>
  </si>
  <si>
    <t>XP_027479010.1 (+3)</t>
  </si>
  <si>
    <t>XP_027479010.1&amp;XP_027479011.1&amp;XP_027479012.1&amp;XP_027479013.1</t>
  </si>
  <si>
    <t>tumor necrosis factor receptor superfamily member 5 isoform X1 [Zalophus californianus]</t>
  </si>
  <si>
    <t>XP_027479022.1</t>
  </si>
  <si>
    <t>LOW QUALITY PROTEIN: extracellular matrix protein 1 [Zalophus californianus]</t>
  </si>
  <si>
    <t>XP_027479045.1</t>
  </si>
  <si>
    <t>3-hydroxyanthranilate 3,4-dioxygenase isoform X1 [Zalophus californianus]</t>
  </si>
  <si>
    <t>XP_027479062.1</t>
  </si>
  <si>
    <t>eukaryotic translation initiation factor 6 isoform X2 [Zalophus californianus]</t>
  </si>
  <si>
    <t>XP_027479079.1</t>
  </si>
  <si>
    <t>T-complex protein 1 subunit eta [Zalophus californianus]</t>
  </si>
  <si>
    <t>XP_027479154.1 (+5)</t>
  </si>
  <si>
    <t>XP_027479154.1&amp;XP_027479155.1&amp;XP_027479156.1&amp;XP_027479157.1&amp;XP_027479159.1&amp;XP_027479160.1</t>
  </si>
  <si>
    <t>phospholipase B1, membrane-associated isoform X1 [Zalophus californianus]_x0001_XP_027479153.1 phospholipase B1, membrane-associated isoform X1 [Zalophus californianus]_x0001_XP_027479151.1 phospholipase B1, membrane-associated isoform X1 [Zalophus californianus]_x0001_XP_027479150.1 phospholipase B1, membrane-associated isoform X1 [Zalophus californianus]</t>
  </si>
  <si>
    <t>XP_027479283.1</t>
  </si>
  <si>
    <t>elongation factor 1-alpha 2 [Zalophus californianus]</t>
  </si>
  <si>
    <t>XP_027479285.1</t>
  </si>
  <si>
    <t>charged multivesicular body protein 4b [Zalophus californianus]</t>
  </si>
  <si>
    <t>XP_027479341.1</t>
  </si>
  <si>
    <t>interleukin-1 receptor antagonist protein [Zalophus californianus]</t>
  </si>
  <si>
    <t>XP_027479375.1 (+2)</t>
  </si>
  <si>
    <t>XP_027479375.1&amp;XP_027479376.1&amp;XP_027479377.1</t>
  </si>
  <si>
    <t>fumarylacetoacetate hydrolase domain-containing protein 2A isoform X1 [Zalophus californianus]_x0001_XP_027479374.1 fumarylacetoacetate hydrolase domain-containing protein 2A isoform X1 [Zalophus californianus]_x0001_XP_027479373.1 fumarylacetoacetate hydrolase domain-containing protein 2A isoform X1 [Zalophus californianus]</t>
  </si>
  <si>
    <t>XP_027479471.1</t>
  </si>
  <si>
    <t>galectin-related protein [Zalophus californianus]</t>
  </si>
  <si>
    <t>XP_027479473.1</t>
  </si>
  <si>
    <t>40S ribosomal protein S21 [Zalophus californianus]</t>
  </si>
  <si>
    <t>XP_027479484.1</t>
  </si>
  <si>
    <t>matrilin-4 [Zalophus californianus]_x0001_XP_027479483.1 matrilin-4 [Zalophus californianus]</t>
  </si>
  <si>
    <t>XP_027479541.1</t>
  </si>
  <si>
    <t>reticulon-4 isoform X1 [Zalophus californianus]</t>
  </si>
  <si>
    <t>XP_027479575.1</t>
  </si>
  <si>
    <t>macrophage-capping protein [Zalophus californianus]_x0001_XP_027479574.1 macrophage-capping protein [Zalophus californianus]_x0001_XP_027479573.1 macrophage-capping protein [Zalophus californianus]_x0001_XP_027479572.1 macrophage-capping protein [Zalophus californianus]_x0001_XP_027479571.1 macrophage-capping protein [Zalophus californianus]</t>
  </si>
  <si>
    <t>XP_027479580.1 (+1)</t>
  </si>
  <si>
    <t>XP_027479580.1&amp;XP_027479581.1</t>
  </si>
  <si>
    <t>leucine-rich repeat neuronal protein 4 isoform X1 [Zalophus californianus]</t>
  </si>
  <si>
    <t>XP_027479607.1 (+4)</t>
  </si>
  <si>
    <t>XP_027479607.1&amp;XP_027479608.1&amp;XP_027479609.1&amp;XP_027479610.1&amp;XP_027479611.1</t>
  </si>
  <si>
    <t>signal-regulatory protein beta-1-like isoform X1 [Zalophus californianus]</t>
  </si>
  <si>
    <t>XP_027479621.1</t>
  </si>
  <si>
    <t>matrilin-3 [Zalophus californianus]</t>
  </si>
  <si>
    <t>XP_027479623.1</t>
  </si>
  <si>
    <t>LOW QUALITY PROTEIN: pro-opiomelanocortin [Zalophus californianus]</t>
  </si>
  <si>
    <t>XP_027479657.1</t>
  </si>
  <si>
    <t>60S ribosomal protein L8 [Zalophus californianus]</t>
  </si>
  <si>
    <t>XP_027479667.1</t>
  </si>
  <si>
    <t>protein-glutamine gamma-glutamyltransferase 6 [Zalophus californianus]</t>
  </si>
  <si>
    <t>XP_027479674.1</t>
  </si>
  <si>
    <t>XP_027447042.1, XP_027455939.1, XP_027472818.1, XP_027479674.1</t>
  </si>
  <si>
    <t>tubulin alpha-1 chain-like [Zalophus californianus]</t>
  </si>
  <si>
    <t>XP_027479689.1</t>
  </si>
  <si>
    <t>WAP four-disulfide core domain protein 10A-like [Zalophus californianus]</t>
  </si>
  <si>
    <t>XP_027479708.1</t>
  </si>
  <si>
    <t>proteasome subunit alpha type-7 [Zalophus californianus]</t>
  </si>
  <si>
    <t>XP_027479710.1</t>
  </si>
  <si>
    <t>ribosome-binding protein 1 [Zalophus californianus]</t>
  </si>
  <si>
    <t>XP_027479723.1</t>
  </si>
  <si>
    <t>laminin subunit alpha-5 [Zalophus californianus]</t>
  </si>
  <si>
    <t>XP_027479760.1</t>
  </si>
  <si>
    <t>phosphoenolpyruvate carboxykinase, cytosolic [GTP] [Zalophus californianus]</t>
  </si>
  <si>
    <t>XP_027479772.1</t>
  </si>
  <si>
    <t>prostaglandin F2 receptor negative regulator [Zalophus californianus]</t>
  </si>
  <si>
    <t>XP_027479820.1 (+7)</t>
  </si>
  <si>
    <t>XP_027479820.1&amp;XP_027479826.1&amp;XP_027479827.1&amp;XP_027479828.1&amp;XP_027479829.1&amp;XP_027479830.1&amp;XP_027479831.1&amp;XP_027479833.1</t>
  </si>
  <si>
    <t>interleukin-1 receptor type 1 isoform X1 [Zalophus californianus]</t>
  </si>
  <si>
    <t>XP_027479845.1</t>
  </si>
  <si>
    <t>gastrokine-1 [Zalophus californianus]</t>
  </si>
  <si>
    <t>XP_027479850.1 (+2)</t>
  </si>
  <si>
    <t>XP_027479850.1&amp;XP_027479851.1&amp;XP_027479852.1</t>
  </si>
  <si>
    <t>syndecan-1 isoform X1 [Zalophus californianus]</t>
  </si>
  <si>
    <t>XP_027479853.1 (+4)</t>
  </si>
  <si>
    <t>XP_027479853.1&amp;XP_027479855.1&amp;XP_027479856.1&amp;XP_027479857.1&amp;XP_027479858.1</t>
  </si>
  <si>
    <t>peroxidasin homolog isoform X1 [Zalophus californianus]</t>
  </si>
  <si>
    <t>XP_027479878.1</t>
  </si>
  <si>
    <t>ribose-5-phosphate isomerase [Zalophus californianus]</t>
  </si>
  <si>
    <t>XP_027479886.1 (+1)</t>
  </si>
  <si>
    <t>XP_027479886.1&amp;XP_027479887.1</t>
  </si>
  <si>
    <t>secretogranin-1 isoform X1 [Zalophus californianus]</t>
  </si>
  <si>
    <t>XP_027479911.1</t>
  </si>
  <si>
    <t>fibulin-7 [Zalophus californianus]</t>
  </si>
  <si>
    <t>XP_027479922.1</t>
  </si>
  <si>
    <t>pulmonary surfactant-associated protein B [Zalophus californianus]</t>
  </si>
  <si>
    <t>XP_027479960.1</t>
  </si>
  <si>
    <t>junctophilin-2 isoform X1 [Zalophus californianus]</t>
  </si>
  <si>
    <t>XP_027479965.1 (+1)</t>
  </si>
  <si>
    <t>XP_027479965.1&amp;XP_027479966.1</t>
  </si>
  <si>
    <t>T-cell surface glycoprotein CD8 alpha chain isoform X1 [Zalophus californianus]_x0001_XP_027479964.1 T-cell surface glycoprotein CD8 alpha chain isoform X1 [Zalophus californianus]</t>
  </si>
  <si>
    <t>XP_027479990.1 (+1)</t>
  </si>
  <si>
    <t>XP_027479990.1&amp;XP_027479991.1</t>
  </si>
  <si>
    <t>trifunctional enzyme subunit alpha, mitochondrial isoform X1 [Zalophus californianus]</t>
  </si>
  <si>
    <t>XP_027479993.1</t>
  </si>
  <si>
    <t>trifunctional enzyme subunit beta, mitochondrial [Zalophus californianus]</t>
  </si>
  <si>
    <t>XP_027480009.1</t>
  </si>
  <si>
    <t>epithelial cell adhesion molecule [Zalophus californianus]</t>
  </si>
  <si>
    <t>XP_027480023.1</t>
  </si>
  <si>
    <t>neutral and basic amino acid transport protein rBAT [Zalophus californianus]</t>
  </si>
  <si>
    <t>XP_027480035.1</t>
  </si>
  <si>
    <t>sepiapterin reductase isoform X1 [Zalophus californianus]</t>
  </si>
  <si>
    <t>XP_027480043.1</t>
  </si>
  <si>
    <t>transcription elongation factor A protein 1 [Zalophus californianus]</t>
  </si>
  <si>
    <t>XP_027480060.1</t>
  </si>
  <si>
    <t>probable aminopeptidase NPEPL1 [Zalophus californianus]</t>
  </si>
  <si>
    <t>XP_027480191.1</t>
  </si>
  <si>
    <t>regenerating islet-derived protein 4 [Zalophus californianus]</t>
  </si>
  <si>
    <t>XP_027480199.1</t>
  </si>
  <si>
    <t>obscurin-like [Zalophus californianus]</t>
  </si>
  <si>
    <t>XP_027480200.1</t>
  </si>
  <si>
    <t>obscurin [Zalophus californianus]</t>
  </si>
  <si>
    <t>XP_027480204.1</t>
  </si>
  <si>
    <t>butyrophilin-like protein 10 [Zalophus californianus]</t>
  </si>
  <si>
    <t>XP_027480285.1 (+4)</t>
  </si>
  <si>
    <t>XP_027480285.1&amp;XP_027480286.1&amp;XP_027480287.1&amp;XP_027480288.1&amp;XP_027480289.1</t>
  </si>
  <si>
    <t>CMRF35-like molecule 9 isoform X1 [Zalophus californianus]</t>
  </si>
  <si>
    <t>XP_027480361.1</t>
  </si>
  <si>
    <t>jupiter microtubule associated homolog 1 [Zalophus californianus]</t>
  </si>
  <si>
    <t>XP_027480456.1</t>
  </si>
  <si>
    <t>band 3 anion transport protein [Zalophus californianus]</t>
  </si>
  <si>
    <t>XP_027480464.1</t>
  </si>
  <si>
    <t>keratin, type I cytoskeletal 9 [Zalophus californianus]</t>
  </si>
  <si>
    <t>XP_027480468.1</t>
  </si>
  <si>
    <t>tumor necrosis factor receptor superfamily member 16 [Zalophus californianus]</t>
  </si>
  <si>
    <t>XP_027480473.1</t>
  </si>
  <si>
    <t>eosinophil peroxidase [Zalophus californianus]</t>
  </si>
  <si>
    <t>XP_027480532.1</t>
  </si>
  <si>
    <t>unconventional myosin-XVIIIa isoform X11 [Zalophus californianus]</t>
  </si>
  <si>
    <t>XP_027480555.1 (+1)</t>
  </si>
  <si>
    <t>XP_027480555.1&amp;XP_027480556.1</t>
  </si>
  <si>
    <t>tax1-binding protein 3 isoform X1 [Zalophus californianus]</t>
  </si>
  <si>
    <t>XP_027480559.1</t>
  </si>
  <si>
    <t>angiotensin-converting enzyme isoform X1 [Zalophus californianus]</t>
  </si>
  <si>
    <t>XP_027480570.1</t>
  </si>
  <si>
    <t>vesicle-associated membrane protein 2 [Zalophus californianus]</t>
  </si>
  <si>
    <t>XP_027480571.1 (+3)</t>
  </si>
  <si>
    <t>XP_027480571.1&amp;XP_027480572.1&amp;XP_027480573.1&amp;XP_027480575.1</t>
  </si>
  <si>
    <t>E3 ubiquitin/ISG15 ligase TRIM25 isoform X1 [Zalophus californianus]</t>
  </si>
  <si>
    <t>XP_027480592.1 (+1)</t>
  </si>
  <si>
    <t>XP_027480592.1&amp;XP_027480593.1</t>
  </si>
  <si>
    <t>glyoxalase domain-containing protein 4 isoform X1 [Zalophus californianus]</t>
  </si>
  <si>
    <t>XP_027480594.1 (+3)</t>
  </si>
  <si>
    <t>XP_027480594.1&amp;XP_027480600.1&amp;XP_027480609.1&amp;XP_027480620.1</t>
  </si>
  <si>
    <t>collagen alpha-1(XIV) chain isoform X1 [Zalophus californianus]</t>
  </si>
  <si>
    <t>XP_027480595.1</t>
  </si>
  <si>
    <t>insulin-like growth factor-binding protein 4 [Zalophus californianus]</t>
  </si>
  <si>
    <t>XP_027480605.1 (+3)</t>
  </si>
  <si>
    <t>XP_027480605.1&amp;XP_027480606.1&amp;XP_027480610.1&amp;XP_027480615.1</t>
  </si>
  <si>
    <t>platelet endothelial cell adhesion molecule isoform X2 [Zalophus californianus]</t>
  </si>
  <si>
    <t>XP_027480638.1</t>
  </si>
  <si>
    <t>neuferricin [Zalophus californianus]</t>
  </si>
  <si>
    <t>XP_027480645.1</t>
  </si>
  <si>
    <t>keratin, type I cytoskeletal 20 [Zalophus californianus]</t>
  </si>
  <si>
    <t>XP_027480687.1</t>
  </si>
  <si>
    <t>guanine nucleotide-binding protein subunit alpha-13 [Zalophus californianus]</t>
  </si>
  <si>
    <t>XP_027480719.1 (+1)</t>
  </si>
  <si>
    <t>XP_027480719.1&amp;XP_027480720.1</t>
  </si>
  <si>
    <t>clathrin heavy chain 1 isoform X1 [Zalophus californianus]</t>
  </si>
  <si>
    <t>XP_027480727.1 (+1)</t>
  </si>
  <si>
    <t>XP_027480727.1&amp;XP_027480728.1</t>
  </si>
  <si>
    <t>AP-2 complex subunit beta isoform X3 [Zalophus californianus]</t>
  </si>
  <si>
    <t>XP_027480783.1</t>
  </si>
  <si>
    <t>LOW QUALITY PROTEIN: septin-9 [Zalophus californianus]</t>
  </si>
  <si>
    <t>XP_027480821.1</t>
  </si>
  <si>
    <t>sodium/glucose cotransporter 5 [Zalophus californianus]</t>
  </si>
  <si>
    <t>XP_027480832.1 (+2)</t>
  </si>
  <si>
    <t>XP_027480832.1&amp;XP_027480833.1&amp;XP_027480834.1</t>
  </si>
  <si>
    <t>unconventional myosin-Id isoform X1 [Zalophus californianus]</t>
  </si>
  <si>
    <t>XP_027480856.1</t>
  </si>
  <si>
    <t>C-X-C motif chemokine 16 [Zalophus californianus]</t>
  </si>
  <si>
    <t>XP_027480861.1</t>
  </si>
  <si>
    <t>dynein light chain 2, cytoplasmic [Zalophus californianus]_x0001_XP_027480860.1 dynein light chain 2, cytoplasmic [Zalophus californianus]_x0001_XP_027480859.1 dynein light chain 2, cytoplasmic [Zalophus californianus]</t>
  </si>
  <si>
    <t>XP_027480862.1</t>
  </si>
  <si>
    <t>envoplakin [Zalophus californianus]</t>
  </si>
  <si>
    <t>XP_027480936.1 (+3)</t>
  </si>
  <si>
    <t>XP_027480936.1&amp;XP_027480937.1&amp;XP_027480938.1&amp;XP_027480939.1</t>
  </si>
  <si>
    <t>vesicle-fusing ATPase isoform X1 [Zalophus californianus]</t>
  </si>
  <si>
    <t>XP_027480955.1</t>
  </si>
  <si>
    <t>myosin-4 [Zalophus californianus]</t>
  </si>
  <si>
    <t>XP_027480956.1 (+2)</t>
  </si>
  <si>
    <t>XP_027480956.1&amp;XP_027480957.1&amp;XP_027480958.1</t>
  </si>
  <si>
    <t>myosin-8 isoform X1 [Zalophus californianus]</t>
  </si>
  <si>
    <t>XP_027480959.1 (+2)</t>
  </si>
  <si>
    <t>XP_027480959.1&amp;XP_027480960.1&amp;XP_027480961.1</t>
  </si>
  <si>
    <t>myosin-1 isoform X1 [Zalophus californianus]</t>
  </si>
  <si>
    <t>XP_027480963.1</t>
  </si>
  <si>
    <t>XP_027426862.1, XP_027447846.1, XP_027469898.1, XP_027473072.1, XP_027480955.1, XP_027480956.1, XP_027480959.1, XP_027480963.1, XP_027481358.1, XP_027481764.1</t>
  </si>
  <si>
    <t>LOW QUALITY PROTEIN: myosin-13-like [Zalophus californianus]</t>
  </si>
  <si>
    <t>XP_027481140.1 (+2)</t>
  </si>
  <si>
    <t>XP_027481140.1&amp;XP_027481141.1&amp;XP_027481142.1</t>
  </si>
  <si>
    <t>very long-chain specific acyl-CoA dehydrogenase, mitochondrial isoform X1 [Zalophus californianus]</t>
  </si>
  <si>
    <t>XP_027481150.1</t>
  </si>
  <si>
    <t>thioredoxin domain-containing protein 17 isoform X1 [Zalophus californianus]</t>
  </si>
  <si>
    <t>XP_027481170.1</t>
  </si>
  <si>
    <t>cAMP-dependent protein kinase type I-alpha regulatory subunit [Zalophus californianus]_x0001_XP_027481169.1 cAMP-dependent protein kinase type I-alpha regulatory subunit [Zalophus californianus]_x0001_XP_027481168.1 cAMP-dependent protein kinase type I-alpha regulatory subunit [Zalophus californianus]</t>
  </si>
  <si>
    <t>XP_027481171.1 (+3)</t>
  </si>
  <si>
    <t>XP_027481171.1&amp;XP_027481172.1&amp;XP_027481174.1&amp;XP_027481175.1</t>
  </si>
  <si>
    <t>flotillin-2 isoform X1 [Zalophus californianus]</t>
  </si>
  <si>
    <t>XP_027481194.1</t>
  </si>
  <si>
    <t>collagen triple helix repeat-containing protein 1 [Zalophus californianus]</t>
  </si>
  <si>
    <t>XP_027481195.1 (+1)</t>
  </si>
  <si>
    <t>XP_027481195.1&amp;XP_027481196.1</t>
  </si>
  <si>
    <t>importin subunit beta-1 isoform X1 [Zalophus californianus]</t>
  </si>
  <si>
    <t>XP_027481230.1</t>
  </si>
  <si>
    <t>vitronectin [Zalophus californianus]</t>
  </si>
  <si>
    <t>XP_027481244.1 (+3)</t>
  </si>
  <si>
    <t>XP_027481244.1&amp;XP_027481245.1&amp;XP_027481246.1&amp;XP_027481247.1</t>
  </si>
  <si>
    <t>TOM1-like protein 2 isoform X1 [Zalophus californianus]</t>
  </si>
  <si>
    <t>XP_027481312.1</t>
  </si>
  <si>
    <t>centromere protein V [Zalophus californianus]</t>
  </si>
  <si>
    <t>XP_027481343.1 (+7)</t>
  </si>
  <si>
    <t>XP_027481343.1&amp;XP_027481344.1&amp;XP_027481345.1&amp;XP_027481346.1&amp;XP_027481347.1&amp;XP_027481348.1&amp;XP_027481349.1&amp;XP_027481350.1</t>
  </si>
  <si>
    <t>sarcoplasmic/endoplasmic reticulum calcium ATPase 3 isoform X1 [Zalophus californianus]</t>
  </si>
  <si>
    <t>XP_027481358.1</t>
  </si>
  <si>
    <t>myosin-2 [Zalophus californianus]</t>
  </si>
  <si>
    <t>XP_027481390.1 (+1)</t>
  </si>
  <si>
    <t>XP_027481390.1&amp;XP_027481391.1</t>
  </si>
  <si>
    <t>puromycin-sensitive aminopeptidase isoform X1 [Zalophus californianus]</t>
  </si>
  <si>
    <t>XP_027481394.1</t>
  </si>
  <si>
    <t>lysosomal alpha-glucosidase [Zalophus californianus]</t>
  </si>
  <si>
    <t>XP_027481395.1 (+1)</t>
  </si>
  <si>
    <t>XP_027481395.1&amp;XP_027481396.1</t>
  </si>
  <si>
    <t>acyl-CoA synthetase family member 2, mitochondrial isoform X1 [Zalophus californianus]</t>
  </si>
  <si>
    <t>XP_027481417.1</t>
  </si>
  <si>
    <t>ATP synthase subunit d, mitochondrial [Zalophus californianus]</t>
  </si>
  <si>
    <t>XP_027481443.1</t>
  </si>
  <si>
    <t>carboxypeptidase D [Zalophus californianus]</t>
  </si>
  <si>
    <t>XP_027481452.1</t>
  </si>
  <si>
    <t>fatty acid synthase [Zalophus californianus]</t>
  </si>
  <si>
    <t>XP_027481464.1 (+3)</t>
  </si>
  <si>
    <t>XP_027481464.1&amp;XP_027481465.1&amp;XP_027481466.1&amp;XP_027481467.1</t>
  </si>
  <si>
    <t>signal transducer and activator of transcription 3 isoform X1 [Zalophus californianus]</t>
  </si>
  <si>
    <t>XP_027481480.1</t>
  </si>
  <si>
    <t>esterase OVCA2 [Zalophus californianus]</t>
  </si>
  <si>
    <t>XP_027481506.1</t>
  </si>
  <si>
    <t>14-3-3 protein epsilon [Zalophus californianus]</t>
  </si>
  <si>
    <t>XP_027481507.1</t>
  </si>
  <si>
    <t>60S ribosomal protein L19 [Zalophus californianus]</t>
  </si>
  <si>
    <t>XP_027481508.1</t>
  </si>
  <si>
    <t>myb-binding protein 1A [Zalophus californianus]</t>
  </si>
  <si>
    <t>XP_027481537.1</t>
  </si>
  <si>
    <t>proteasome subunit beta type-3 [Zalophus californianus]</t>
  </si>
  <si>
    <t>XP_027481566.1</t>
  </si>
  <si>
    <t>pre-mRNA-processing-splicing factor 8 [Zalophus californianus]_x0001_XP_027481565.1 pre-mRNA-processing-splicing factor 8 [Zalophus californianus]</t>
  </si>
  <si>
    <t>XP_027481586.1</t>
  </si>
  <si>
    <t>pigment epithelium-derived factor [Zalophus californianus]_x0001_XP_027481585.1 pigment epithelium-derived factor [Zalophus californianus]_x0001_XP_027481584.1 pigment epithelium-derived factor [Zalophus californianus]</t>
  </si>
  <si>
    <t>XP_027481642.1</t>
  </si>
  <si>
    <t>serine/arginine-rich splicing factor 2 [Zalophus californianus]_x0001_XP_027481641.1 serine/arginine-rich splicing factor 2 [Zalophus californianus]</t>
  </si>
  <si>
    <t>XP_027481651.1</t>
  </si>
  <si>
    <t>guanine nucleotide-binding protein G(I)/G(S)/G(T) subunit beta-1 [Zalophus californianus]_x0001_XP_027481643.1 guanine nucleotide-binding protein G(I)/G(S)/G(T) subunit beta-1 [Zalophus californianus]_x0001_XP_027481637.1 guanine nucleotide-binding protein G(I)/G(S)/G(T) subunit beta-1 [Zalophus californianus]_x0001_XP_027481628.1 guanine nucleotide-binding protein G(I)/G(S)/G(T) subunit beta-1 [Zalophus californianus]</t>
  </si>
  <si>
    <t>XP_027481676.1</t>
  </si>
  <si>
    <t>LIM and SH3 domain protein 1 isoform X1 [Zalophus californianus]</t>
  </si>
  <si>
    <t>XP_027481679.1 (+1)</t>
  </si>
  <si>
    <t>XP_027481679.1&amp;XP_027481681.1</t>
  </si>
  <si>
    <t>MAGUK p55 subfamily member 3 isoform X1 [Zalophus californianus]</t>
  </si>
  <si>
    <t>XP_027481684.1 (+3)</t>
  </si>
  <si>
    <t>XP_027481684.1&amp;XP_027481685.1&amp;XP_027481686.1&amp;XP_027481687.1</t>
  </si>
  <si>
    <t>CMRF35-like molecule 1 isoform X1 [Zalophus californianus]</t>
  </si>
  <si>
    <t>XP_027481693.1</t>
  </si>
  <si>
    <t>Na(+)/H(+) exchange regulatory cofactor NHE-RF1 [Zalophus californianus]</t>
  </si>
  <si>
    <t>XP_027481695.1 (+1)</t>
  </si>
  <si>
    <t>XP_027481695.1&amp;XP_027481696.1</t>
  </si>
  <si>
    <t>growth factor receptor-bound protein 2 isoform X1 [Zalophus californianus]_x0001_XP_027481694.1 growth factor receptor-bound protein 2 isoform X1 [Zalophus californianus]</t>
  </si>
  <si>
    <t>XP_027481699.1</t>
  </si>
  <si>
    <t>secernin-2 isoform X1 [Zalophus californianus]</t>
  </si>
  <si>
    <t>XP_027481764.1</t>
  </si>
  <si>
    <t>myosin-3 [Zalophus californianus]</t>
  </si>
  <si>
    <t>XP_027481773.1</t>
  </si>
  <si>
    <t>beta-2-glycoprotein 1 isoform X1 [Zalophus californianus]</t>
  </si>
  <si>
    <t>XP_027481784.1</t>
  </si>
  <si>
    <t>fructose-bisphosphate aldolase C [Zalophus californianus]</t>
  </si>
  <si>
    <t>XP_027481797.1 (+13)</t>
  </si>
  <si>
    <t>XP_027481797.1&amp;XP_027481798.1&amp;XP_027481800.1&amp;XP_027481801.1&amp;XP_027481804.1&amp;XP_027481805.1&amp;XP_027481806.1&amp;XP_027481807.1&amp;XP_027481808.1&amp;XP_027481809.1&amp;XP_027481810.1&amp;XP_027481811.1&amp;XP_027481812.1&amp;XP_027481813.1</t>
  </si>
  <si>
    <t>synergin gamma isoform X1 [Zalophus californianus]</t>
  </si>
  <si>
    <t>XP_027481844.1</t>
  </si>
  <si>
    <t>asialoglycoprotein receptor 1 isoform X2 [Zalophus californianus]</t>
  </si>
  <si>
    <t>XP_027481847.1</t>
  </si>
  <si>
    <t>CONT_046|gi|88041|pir||A31994, CONT_047|gi|88042|pir||S14666, CONT_074|gi|1070608|pir||KRHU9, CONT_082|gi|125080|sp|P02533|K1CN_HUMAN, CONT_092|gi|71528|pir||KRHU0, CONT_094|gi|547751|sp|Q04695|K1CQ_HUMAN, CONT_101|gi|125081|sp|P19012|K1CO_HUMAN, CONT_122|gi|88057|pir||A33652, CONT_156|gi|1363944|pir||JC4313, XP_027423764.1, XP_027423767.1, XP_027423980.1, XP_027423981.1, XP_027449634.1, XP_027449844.1, XP_027480639.1, XP_027480644.1, XP_027481847.1, XP_027481944.1, XP_027481947.1, XP_027482028.1</t>
  </si>
  <si>
    <t>keratin, type I cuticular Ha1 [Zalophus californianus]</t>
  </si>
  <si>
    <t>XP_027481884.1 (+1)</t>
  </si>
  <si>
    <t>XP_027481884.1&amp;XP_027481887.1</t>
  </si>
  <si>
    <t>somatotropin isoform X1 [Zalophus californianus]</t>
  </si>
  <si>
    <t>XP_027481944.1 (+2)</t>
  </si>
  <si>
    <t>XP_027481944.1&amp;XP_027481945.1&amp;XP_027481946.1</t>
  </si>
  <si>
    <t>keratin, type I cytoskeletal 42 isoform X1 [Zalophus californianus]</t>
  </si>
  <si>
    <t>XP_027481983.1 (+3)</t>
  </si>
  <si>
    <t>XP_027481983.1&amp;XP_027481984.1&amp;XP_027481985.1&amp;XP_027481986.1</t>
  </si>
  <si>
    <t>fatty aldehyde dehydrogenase isoform X1 [Zalophus californianus]_x0001_XP_027481982.1 fatty aldehyde dehydrogenase isoform X1 [Zalophus californianus]_x0001_XP_027481980.1 fatty aldehyde dehydrogenase isoform X1 [Zalophus californianus]</t>
  </si>
  <si>
    <t>XP_027482008.1</t>
  </si>
  <si>
    <t>CMRF35-like molecule 7 [Zalophus californianus]</t>
  </si>
  <si>
    <t>XP_027482009.1 (+1)</t>
  </si>
  <si>
    <t>XP_027482009.1&amp;XP_027482010.1</t>
  </si>
  <si>
    <t>C-C motif chemokine 15-like isoform X1 [Zalophus californianus]</t>
  </si>
  <si>
    <t>XP_027482011.1</t>
  </si>
  <si>
    <t>regakine-1-like [Zalophus californianus]</t>
  </si>
  <si>
    <t>XP_027482013.1 (+1)</t>
  </si>
  <si>
    <t>XP_027482013.1&amp;XP_027482014.1</t>
  </si>
  <si>
    <t>alpha-sarcoglycan isoform X1 [Zalophus californianus]</t>
  </si>
  <si>
    <t>XP_027482022.1 (+1)</t>
  </si>
  <si>
    <t>XP_027482022.1&amp;XP_027482049.1</t>
  </si>
  <si>
    <t>acidic leucine-rich nuclear phosphoprotein 32 family member E isoform X1 [Zalophus californianus]</t>
  </si>
  <si>
    <t>XP_027482028.1</t>
  </si>
  <si>
    <t>keratin, type I cytoskeletal 13 [Zalophus californianus]</t>
  </si>
  <si>
    <t>XP_027482044.1</t>
  </si>
  <si>
    <t>plexin domain-containing protein 1 [Zalophus californianus]</t>
  </si>
  <si>
    <t>XP_027482052.1</t>
  </si>
  <si>
    <t>CONT_046|gi|88041|pir||A31994, CONT_047|gi|88042|pir||S14666, CONT_082|gi|125080|sp|P02533|K1CN_HUMAN, CONT_092|gi|71528|pir||KRHU0, CONT_156|gi|1363944|pir||JC4313, XP_027423981.1, XP_027480639.1, XP_027480644.1, XP_027482012.1, XP_027482052.1</t>
  </si>
  <si>
    <t>keratin, type I cytoskeletal 25 [Zalophus californianus]</t>
  </si>
  <si>
    <t>XP_027482060.1</t>
  </si>
  <si>
    <t>metalloproteinase inhibitor 2 [Zalophus californianus]</t>
  </si>
  <si>
    <t>XP_027482065.1 (+10)</t>
  </si>
  <si>
    <t>XP_027482065.1&amp;XP_027482072.1&amp;XP_027482081.1&amp;XP_027482090.1&amp;XP_027482098.1&amp;XP_027482107.1&amp;XP_027482116.1&amp;XP_027482149.1&amp;XP_027482160.1&amp;XP_027482170.1&amp;XP_027482176.1</t>
  </si>
  <si>
    <t>poly(U)-binding-splicing factor PUF60 isoform X1 [Zalophus californianus]</t>
  </si>
  <si>
    <t>XP_027482080.1</t>
  </si>
  <si>
    <t>vitelline membrane outer layer protein 1 homolog [Zalophus californianus]</t>
  </si>
  <si>
    <t>XP_027482096.1 (+2)</t>
  </si>
  <si>
    <t>XP_027482096.1&amp;XP_027482099.1&amp;XP_027482101.1</t>
  </si>
  <si>
    <t>solute carrier family 13 member 2 isoform X1 [Zalophus californianus]</t>
  </si>
  <si>
    <t>XP_027482120.1</t>
  </si>
  <si>
    <t>XP_027482120.1, XP_027482123.1</t>
  </si>
  <si>
    <t>nucleoside diphosphate kinase B [Zalophus californianus]</t>
  </si>
  <si>
    <t>XP_027482123.1</t>
  </si>
  <si>
    <t>nucleoside diphosphate kinase A [Zalophus californianus]_x0001_XP_027482122.1 nucleoside diphosphate kinase A [Zalophus californianus]_x0001_XP_027482121.1 nucleoside diphosphate kinase A [Zalophus californianus]</t>
  </si>
  <si>
    <t>XP_027482135.1 (+4)</t>
  </si>
  <si>
    <t>XP_027482135.1&amp;XP_027482136.1&amp;XP_027482137.1&amp;XP_027482138.1&amp;XP_027482139.1</t>
  </si>
  <si>
    <t>hepatocyte growth factor-regulated tyrosine kinase substrate isoform X1 [Zalophus californianus]</t>
  </si>
  <si>
    <t>XP_027482144.1</t>
  </si>
  <si>
    <t>N-sulphoglucosamine sulphohydrolase isoform X1 [Zalophus californianus]</t>
  </si>
  <si>
    <t>XP_027482148.1</t>
  </si>
  <si>
    <t>L-xylulose reductase [Zalophus californianus]</t>
  </si>
  <si>
    <t>XP_027482195.1</t>
  </si>
  <si>
    <t>C-C motif chemokine 14-like [Zalophus californianus]</t>
  </si>
  <si>
    <t>XP_027482196.1</t>
  </si>
  <si>
    <t>C-C motif chemokine 16 [Zalophus californianus]</t>
  </si>
  <si>
    <t>XP_027482215.1</t>
  </si>
  <si>
    <t>acid sphingomyelinase-like phosphodiesterase 3b isoform X2 [Zalophus californianus]</t>
  </si>
  <si>
    <t>XP_027482234.1</t>
  </si>
  <si>
    <t>programmed cell death protein 10 [Zalophus californianus]_x0001_XP_027442318.1 programmed cell death protein 10 [Zalophus californianus]_x0001_XP_027442317.1 programmed cell death protein 10 [Zalophus californianus]_x0001_XP_027442315.1 programmed cell death protein 10 [Zalophus californianus]_x0001_XP_027442314.1 programmed cell death protein 10 [Zalophus californianus]</t>
  </si>
  <si>
    <t>XP_027482242.1</t>
  </si>
  <si>
    <t>migration and invasion enhancer 1 [Zalophus californianus]</t>
  </si>
  <si>
    <t>XP_027482243.1</t>
  </si>
  <si>
    <t>protein disulfide-isomerase [Zalophus californianus]</t>
  </si>
  <si>
    <t>XP_027482267.1 (+1)</t>
  </si>
  <si>
    <t>XP_027482267.1&amp;XP_027482268.1</t>
  </si>
  <si>
    <t>26S proteasome non-ATPase regulatory subunit 11 isoform X1 [Zalophus californianus]</t>
  </si>
  <si>
    <t>XP_027482406.1</t>
  </si>
  <si>
    <t>alpha-N-acetylglucosaminidase [Zalophus californianus]</t>
  </si>
  <si>
    <t>YP_778698.1</t>
  </si>
  <si>
    <t>cytochrome c oxidase subunit II (mitochondrion) [Zalophus californianus]</t>
  </si>
  <si>
    <t>YP_778699.1</t>
  </si>
  <si>
    <t>ATP synthase F0 subunit 8 (mitochondrion) [Zalophus californianus]</t>
  </si>
  <si>
    <t>XP_027454972.1_family</t>
  </si>
  <si>
    <t>XP_027454972.1&amp;CONT_017|gi|113576|sp|P02768|ALBU_HUMAN</t>
  </si>
  <si>
    <t>CONT_016|gi|113574|sp|P02769|ALBU_BOVIN&amp;CONT_015|gi|229552|prf||754920A, CONT_018|gi|113580|sp|P02770|ALBU_RAT, XP_027454972.1&amp;CONT_017|gi|113576|sp|P02768|ALBU_HUMAN</t>
  </si>
  <si>
    <t>serum albumin [Zalophus californianus]</t>
  </si>
  <si>
    <t>CONT_016|gi|113574|sp|P02769|ALBU_BOVIN_family</t>
  </si>
  <si>
    <t>CONT_016|gi|113574|sp|P02769|ALBU_BOVIN&amp;CONT_015|gi|229552|prf||754920A</t>
  </si>
  <si>
    <t>SERUM ALBUMIN PRECURSOR [Bos taurus].</t>
  </si>
  <si>
    <t>CONT_092|gi|71528|pir||KRHU0_family</t>
  </si>
  <si>
    <t>CONT_092|gi|71528|pir||KRHU0&amp;CONT_047|gi|88042|pir||S14666</t>
  </si>
  <si>
    <t>CONT_046|gi|88041|pir||A31994, CONT_050|gi|280816|pir||A37343, CONT_068|gi|1082558|pir||S41161,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XP_027480464.1, XP_027480639.1&amp;XP_027482012.1, XP_027481847.1, XP_027481944.1, XP_027482028.1, XP_027482052.1</t>
  </si>
  <si>
    <t>keratin 10, type I, cytoskeletal (clone lambda-KH10-5) [Homo sapiens].</t>
  </si>
  <si>
    <t>XP_027449634.1_family</t>
  </si>
  <si>
    <t>XP_027449634.1&amp;XP_027449844.1</t>
  </si>
  <si>
    <t>CONT_046|gi|88041|pir||A31994,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XP_027480639.1&amp;XP_027482012.1, XP_027481847.1, XP_027481944.1, XP_027482028.1</t>
  </si>
  <si>
    <t>keratin, type I cytoskeletal 18 [Zalophus californianus]</t>
  </si>
  <si>
    <t>CONT_156|gi|1363944|pir||JC4313_family</t>
  </si>
  <si>
    <t>CONT_156|gi|1363944|pir||JC4313&amp;CONT_122|gi|88057|pir||A33652&amp;XP_027480644.1</t>
  </si>
  <si>
    <t>type I keratin 16 [human, epidermal keratinocytes, Peptide, 473 aa].</t>
  </si>
  <si>
    <t>XP_027480639.1_family</t>
  </si>
  <si>
    <t>XP_027480639.1&amp;XP_027482012.1</t>
  </si>
  <si>
    <t>CONT_046|gi|88041|pir||A31994, CONT_068|gi|1082558|pir||S41161,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XP_027480464.1, XP_027480639.1&amp;XP_027482012.1, XP_027481847.1, XP_027481944.1, XP_027482028.1, XP_027482052.1</t>
  </si>
  <si>
    <t>keratin, type I cytoskeletal 10 isoform X1 [Zalophus californianus]</t>
  </si>
  <si>
    <t>CONT_094|gi|547751|sp|Q04695|K1CQ_HUMAN_family</t>
  </si>
  <si>
    <t>CONT_094|gi|547751|sp|Q04695|K1CQ_HUMAN&amp;XP_027481947.1</t>
  </si>
  <si>
    <t>CONT_046|gi|88041|pir||A31994, CONT_050|gi|280816|pir||A37343, CONT_068|gi|1082558|pir||S41161, CONT_074|gi|1070608|pir||KRHU9, CONT_082|gi|125080|sp|P02533|K1CN_HUMAN, CONT_092|gi|71528|pir||KRHU0&amp;CONT_047|gi|88042|pir||S14666, CONT_094|gi|547751|sp|Q04695|K1CQ_HUMAN&amp;XP_027481947.1, CONT_101|gi|125081|sp|P19012|K1CO_HUMAN, CONT_156|gi|1363944|pir||JC4313&amp;CONT_122|gi|88057|pir||A33652&amp;XP_027480644.1, XP_027423764.1, XP_027423767.1, XP_027423980.1, XP_027423981.1, XP_027449634.1&amp;XP_027449844.1, XP_027480464.1, XP_027480639.1&amp;XP_027482012.1, XP_027481847.1, XP_027481944.1, XP_027482028.1</t>
  </si>
  <si>
    <t>KERATIN, TYPE I CYTOSKELETAL 17 (CYTOKERATIN 17) (K17) (CK 17) (39.1) (VERSION 1) [Homo sapiens].</t>
  </si>
  <si>
    <t>CONT_088|gi|1346343|sp|P04264|K2C1_HUMAN_family</t>
  </si>
  <si>
    <t>CONT_088|gi|1346343|sp|P04264|K2C1_HUMAN&amp;CONT_089|gi|71536|pir||KRHU2</t>
  </si>
  <si>
    <t>CONT_049|gi|88052|pir||A32568, CONT_064|gi|254622|bbs|112352, CONT_070|gi|547752|sp|Q01546|K22O_HUMAN, CONT_073|gi|87303|pir||JS0487, CONT_079|gi|125105|sp|P13647|K2C5_HUMAN, CONT_088|gi|1346343|sp|P04264|K2C1_HUMAN&amp;CONT_089|gi|71536|pir||KRHU2, CONT_119|gi|547753|sp|P19013|K2C4_HUMAN, CONT_131|gi|1346346|sp|P48666|K2CC_HUMAN&amp;CONT_129|gi|1346344|sp|P02538|K2CA_HUMAN&amp;CONT_130|gi|1346345|sp|P04259|K2CB_HUMAN&amp;CONT_132|gi|1346348|sp|P48668|K2CE_HUMAN&amp;CONT_137|gi|1346347|sp|P48667|K2CD_HUMAN, CONT_133|gi|1346349|sp|P48669|K2CF_HUMAN, CONT_142|gi|88053|pir||A29666, XP_027448168.1, XP_027448170.1, XP_027448173.1, XP_027448174.1&amp;XP_027448197.1, XP_027448175.1, XP_027448178.1, XP_027448181.1&amp;XP_027448185.1&amp;XP_027448180.1&amp;XP_027448179.1, XP_027448183.1, XP_027448187.1, XP_027448189.1&amp;CONT_120|gi|125108|sp|P08729|K2C7_HUMAN, XP_027448199.1, XP_027449970.1, XP_027450614.1&amp;XP_027448177.1</t>
  </si>
  <si>
    <t>KERATIN, TYPE II CYTOSKELETAL 1 (CYTOKERATIN 1) (K1) (CK 1) (67 KD CYTOKERATIN) (HAIR ALPHA PROTEIN) [Homo sapiens].</t>
  </si>
  <si>
    <t>XP_027450614.1_family</t>
  </si>
  <si>
    <t>XP_027450614.1&amp;XP_027448177.1</t>
  </si>
  <si>
    <t>CONT_049|gi|88052|pir||A32568, CONT_064|gi|254622|bbs|112352, CONT_070|gi|547752|sp|Q01546|K22O_HUMAN, CONT_073|gi|87303|pir||JS0487, CONT_079|gi|125105|sp|P13647|K2C5_HUMAN, CONT_088|gi|1346343|sp|P04264|K2C1_HUMAN&amp;CONT_089|gi|71536|pir||KRHU2, CONT_119|gi|547753|sp|P19013|K2C4_HUMAN, CONT_131|gi|1346346|sp|P48666|K2CC_HUMAN&amp;CONT_129|gi|1346344|sp|P02538|K2CA_HUMAN&amp;CONT_130|gi|1346345|sp|P04259|K2CB_HUMAN&amp;CONT_132|gi|1346348|sp|P48668|K2CE_HUMAN&amp;CONT_137|gi|1346347|sp|P48667|K2CD_HUMAN, CONT_133|gi|1346349|sp|P48669|K2CF_HUMAN, CONT_142|gi|88053|pir||A29666, XP_027444924.1, XP_027448168.1, XP_027448170.1, XP_027448173.1, XP_027448174.1&amp;XP_027448197.1, XP_027448175.1, XP_027448178.1, XP_027448181.1&amp;XP_027448185.1&amp;XP_027448180.1&amp;XP_027448179.1, XP_027448183.1, XP_027448187.1, XP_027448189.1&amp;CONT_120|gi|125108|sp|P08729|K2C7_HUMAN, XP_027448199.1, XP_027449096.1, XP_027449970.1, XP_027450073.1, XP_027450614.1&amp;XP_027448177.1</t>
  </si>
  <si>
    <t>keratin, type II cytoskeletal 8 [Zalophus californianus]</t>
  </si>
  <si>
    <t>XP_027448189.1_family</t>
  </si>
  <si>
    <t>XP_027448189.1&amp;CONT_120|gi|125108|sp|P08729|K2C7_HUMAN</t>
  </si>
  <si>
    <t>keratin, type II cytoskeletal 7 [Zalophus californianus]</t>
  </si>
  <si>
    <t>XP_027448174.1_family</t>
  </si>
  <si>
    <t>XP_027448174.1&amp;XP_027448197.1</t>
  </si>
  <si>
    <t>keratin, type II cytoskeletal 5 [Zalophus californianus]</t>
  </si>
  <si>
    <t>XP_027448181.1_family</t>
  </si>
  <si>
    <t>XP_027448181.1&amp;XP_027448185.1&amp;XP_027448180.1&amp;XP_027448179.1</t>
  </si>
  <si>
    <t>keratin, type II cytoskeletal 71 [Zalophus californianus]</t>
  </si>
  <si>
    <t>CONT_131|gi|1346346|sp|P48666|K2CC_HUMAN_family</t>
  </si>
  <si>
    <t>CONT_131|gi|1346346|sp|P48666|K2CC_HUMAN&amp;CONT_129|gi|1346344|sp|P02538|K2CA_HUMAN&amp;CONT_130|gi|1346345|sp|P04259|K2CB_HUMAN&amp;CONT_132|gi|1346348|sp|P48668|K2CE_HUMAN&amp;CONT_137|gi|1346347|sp|P48667|K2CD_HUMAN</t>
  </si>
  <si>
    <t>CONT_049|gi|88052|pir||A32568, CONT_064|gi|254622|bbs|112352, CONT_070|gi|547752|sp|Q01546|K22O_HUMAN, CONT_073|gi|87303|pir||JS0487, CONT_079|gi|125105|sp|P13647|K2C5_HUMAN, CONT_088|gi|1346343|sp|P04264|K2C1_HUMAN&amp;CONT_089|gi|71536|pir||KRHU2, CONT_119|gi|547753|sp|P19013|K2C4_HUMAN, CONT_131|gi|1346346|sp|P48666|K2CC_HUMAN&amp;CONT_129|gi|1346344|sp|P02538|K2CA_HUMAN&amp;CONT_130|gi|1346345|sp|P04259|K2CB_HUMAN&amp;CONT_132|gi|1346348|sp|P48668|K2CE_HUMAN&amp;CONT_137|gi|1346347|sp|P48667|K2CD_HUMAN, CONT_133|gi|1346349|sp|P48669|K2CF_HUMAN, CONT_142|gi|88053|pir||A29666, XP_027448168.1, XP_027448170.1, XP_027448173.1, XP_027448174.1&amp;XP_027448197.1, XP_027448175.1, XP_027448178.1, XP_027448181.1&amp;XP_027448185.1&amp;XP_027448180.1&amp;XP_027448179.1, XP_027448183.1, XP_027448187.1, XP_027448189.1&amp;CONT_120|gi|125108|sp|P08729|K2C7_HUMAN, XP_027448199.1, XP_027449970.1, XP_027450073.1, XP_027450614.1&amp;XP_027448177.1</t>
  </si>
  <si>
    <t>KERATIN, TYPE II CYTOSKELETAL 6C (CYTOKERATIN 6C) (CK 6C) (K6C KERATIN) [Homo sapiens].</t>
  </si>
  <si>
    <t>XP_027469891.1_family</t>
  </si>
  <si>
    <t>XP_027469891.1&amp;XP_027423498.1</t>
  </si>
  <si>
    <t>alpha-enolase [Zalophus californianus]_x0001_XP_027469881.1 alpha-enolase [Zalophus californianus]_x0001_XP_027469871.1 alpha-enolase [Zalophus californianus]</t>
  </si>
  <si>
    <t>XP_027424308.1_family</t>
  </si>
  <si>
    <t>XP_027424308.1&amp;XP_027424108.1</t>
  </si>
  <si>
    <t>XP_027424308.1&amp;XP_027424108.1, XP_027439596.1</t>
  </si>
  <si>
    <t>eukaryotic initiation factor 4A-I [Zalophus californianus]</t>
  </si>
  <si>
    <t>XP_027424274.1_family</t>
  </si>
  <si>
    <t>XP_027424274.1&amp;XP_027439048.1</t>
  </si>
  <si>
    <t>XP_027424274.1&amp;XP_027439048.1, XP_027448081.1</t>
  </si>
  <si>
    <t>ras-related protein Rab-5C [Zalophus californianus]</t>
  </si>
  <si>
    <t>XP_027466032.1_family</t>
  </si>
  <si>
    <t>XP_027466032.1&amp;XP_027466033.1</t>
  </si>
  <si>
    <t>XP_027425226.1&amp;XP_027425228.1, XP_027425238.1&amp;XP_027425237.1, XP_027439097.1, XP_027466026.1&amp;XP_027466028.1, XP_027466032.1&amp;XP_027466033.1, XP_027470294.1</t>
  </si>
  <si>
    <t>tropomyosin alpha-3 chain isoform X6 [Zalophus californianus]</t>
  </si>
  <si>
    <t>XP_027466026.1_family</t>
  </si>
  <si>
    <t>XP_027466026.1&amp;XP_027466028.1</t>
  </si>
  <si>
    <t>tropomyosin alpha-3 chain isoform X1 [Zalophus californianus]</t>
  </si>
  <si>
    <t>XP_027425238.1_family</t>
  </si>
  <si>
    <t>XP_027425238.1&amp;XP_027425237.1</t>
  </si>
  <si>
    <t>tropomyosin alpha-1 chain isoform X16 [Zalophus californianus]</t>
  </si>
  <si>
    <t>XP_027425226.1_family</t>
  </si>
  <si>
    <t>XP_027425226.1&amp;XP_027425228.1</t>
  </si>
  <si>
    <t>tropomyosin alpha-1 chain isoform X4 [Zalophus californianus]</t>
  </si>
  <si>
    <t>XP_027426193.1_family</t>
  </si>
  <si>
    <t>XP_027426193.1&amp;XP_027446920.1</t>
  </si>
  <si>
    <t>XP_027426193.1&amp;XP_027446920.1, XP_027457521.1&amp;XP_027469958.1</t>
  </si>
  <si>
    <t>heat shock protein HSP 90-alpha [Zalophus californianus]</t>
  </si>
  <si>
    <t>XP_027457521.1_family</t>
  </si>
  <si>
    <t>XP_027457521.1&amp;XP_027469958.1</t>
  </si>
  <si>
    <t>XP_027426193.1&amp;XP_027446920.1, XP_027449537.1, XP_027457521.1&amp;XP_027469958.1</t>
  </si>
  <si>
    <t>heat shock protein HSP 90-beta [Zalophus californianus]</t>
  </si>
  <si>
    <t>XP_027452914.1_family</t>
  </si>
  <si>
    <t>XP_027452914.1&amp;XP_027428539.1</t>
  </si>
  <si>
    <t>XP_027452914.1&amp;XP_027428539.1, XP_027462374.1, XP_027468104.1</t>
  </si>
  <si>
    <t>actin, alpha skeletal muscle [Zalophus californianus]</t>
  </si>
  <si>
    <t>XP_027452654.1_family</t>
  </si>
  <si>
    <t>XP_027452654.1&amp;XP_027428745.1</t>
  </si>
  <si>
    <t>deleted in malignant brain tumors 1 protein [Zalophus californianus]</t>
  </si>
  <si>
    <t>XP_027430801.1_family</t>
  </si>
  <si>
    <t>XP_027430801.1&amp;XP_027430512.1</t>
  </si>
  <si>
    <t>XP_027430801.1&amp;XP_027430512.1, XP_027440773.1</t>
  </si>
  <si>
    <t>maltase-glucoamylase, intestinal isoform X1 [Zalophus californianus]</t>
  </si>
  <si>
    <t>XP_027481505.1_family</t>
  </si>
  <si>
    <t>XP_027481505.1&amp;XP_027481502.1</t>
  </si>
  <si>
    <t>XP_027432228.1, XP_027481505.1&amp;XP_027481502.1</t>
  </si>
  <si>
    <t>adapter molecule crk isoform X3 [Zalophus californianus]</t>
  </si>
  <si>
    <t>XP_027450981.1_family</t>
  </si>
  <si>
    <t>XP_027450981.1&amp;XP_027458079.1</t>
  </si>
  <si>
    <t>XP_027450981.1&amp;XP_027458079.1, XP_027458039.1, XP_027460189.1</t>
  </si>
  <si>
    <t>histone H3.3-like [Zalophus californianus]</t>
  </si>
  <si>
    <t>XP_027435288.1_family</t>
  </si>
  <si>
    <t>XP_027435288.1&amp;XP_027435289.1&amp;XP_027435286.1&amp;XP_027435285.1</t>
  </si>
  <si>
    <t>hemoglobin subunit beta isoform X2 [Zalophus californianus]_x0001_XP_027435287.1 hemoglobin subunit beta isoform X1 [Zalophus californianus]</t>
  </si>
  <si>
    <t>XP_027435738.1_family</t>
  </si>
  <si>
    <t>XP_027435738.1&amp;XP_027446495.1</t>
  </si>
  <si>
    <t>XP_027435738.1&amp;XP_027446495.1, XP_027450745.1</t>
  </si>
  <si>
    <t>L-lactate dehydrogenase A chain [Zalophus californianus]</t>
  </si>
  <si>
    <t>XP_027471764.1_family</t>
  </si>
  <si>
    <t>XP_027471764.1&amp;XP_027439077.1</t>
  </si>
  <si>
    <t>XP_027437449.1, XP_027458582.1, XP_027459898.1, XP_027471764.1&amp;XP_027439077.1, XP_027473223.1, XP_027478147.1</t>
  </si>
  <si>
    <t>tubulin beta-4B chain [Zalophus californianus]</t>
  </si>
  <si>
    <t>XP_027437462.1_family</t>
  </si>
  <si>
    <t>XP_027437462.1&amp;XP_027458025.1</t>
  </si>
  <si>
    <t>histone H1.3 [Zalophus californianus]</t>
  </si>
  <si>
    <t>XP_027437676.1_family</t>
  </si>
  <si>
    <t>XP_027437676.1&amp;XP_027449897.1&amp;XP_027477746.1</t>
  </si>
  <si>
    <t>40S ribosomal protein SA [Zalophus californianus]</t>
  </si>
  <si>
    <t>XP_027439213.1_family</t>
  </si>
  <si>
    <t>XP_027439213.1&amp;XP_027439210.1&amp;XP_027439212.1</t>
  </si>
  <si>
    <t>inter-alpha-trypsin inhibitor heavy chain H4 isoform X4 [Zalophus californianus]</t>
  </si>
  <si>
    <t>XP_027441824.1_family</t>
  </si>
  <si>
    <t>XP_027441824.1&amp;XP_027441823.1</t>
  </si>
  <si>
    <t>perilipin-3 isoform X2 [Zalophus californianus]</t>
  </si>
  <si>
    <t>XP_027442755.1_family</t>
  </si>
  <si>
    <t>XP_027442755.1&amp;XP_027442754.1</t>
  </si>
  <si>
    <t>kininogen-1 isoform X2 [Zalophus californianus]</t>
  </si>
  <si>
    <t>XP_027443517.1_family</t>
  </si>
  <si>
    <t>XP_027443517.1&amp;XP_027443518.1</t>
  </si>
  <si>
    <t>profilin-2 isoform X1 [Zalophus californianus]</t>
  </si>
  <si>
    <t>XP_027443977.1_family</t>
  </si>
  <si>
    <t>XP_027443977.1&amp;XP_027443974.1</t>
  </si>
  <si>
    <t>fibronectin isoform X3 [Zalophus californianus]</t>
  </si>
  <si>
    <t>XP_027445447.1_family</t>
  </si>
  <si>
    <t>XP_027445447.1&amp;XP_027457109.1</t>
  </si>
  <si>
    <t>acyl-CoA-binding protein [Zalophus californianus]</t>
  </si>
  <si>
    <t>XP_027450691.1_family</t>
  </si>
  <si>
    <t>XP_027450691.1&amp;XP_027446892.1&amp;XP_027445522.1&amp;XP_027446896.1&amp;XP_027473677.1</t>
  </si>
  <si>
    <t>glyceraldehyde-3-phosphate dehydrogenase [Zalophus californianus]</t>
  </si>
  <si>
    <t>XP_027455939.1_family</t>
  </si>
  <si>
    <t>XP_027455939.1&amp;XP_027472818.1</t>
  </si>
  <si>
    <t>XP_027447042.1, XP_027450065.1, XP_027455939.1&amp;XP_027472818.1, XP_027479674.1</t>
  </si>
  <si>
    <t>LOW QUALITY PROTEIN: tubulin alpha-1B chain-like [Zalophus californianus]</t>
  </si>
  <si>
    <t>XP_027453328.1_family</t>
  </si>
  <si>
    <t>XP_027453328.1&amp;XP_027453335.1&amp;XP_027453327.1</t>
  </si>
  <si>
    <t>PDZ and LIM domain protein 5 isoform X9 [Zalophus californianus]</t>
  </si>
  <si>
    <t>XP_027454574.1_family</t>
  </si>
  <si>
    <t>XP_027454574.1&amp;XP_027456719.1</t>
  </si>
  <si>
    <t>40S ribosomal protein S3a [Zalophus californianus]</t>
  </si>
  <si>
    <t>XP_027455736.1_family</t>
  </si>
  <si>
    <t>XP_027455736.1&amp;XP_027455735.1</t>
  </si>
  <si>
    <t>osteopontin isoform X2 [Zalophus californianus]</t>
  </si>
  <si>
    <t>XP_027476813.1_family</t>
  </si>
  <si>
    <t>XP_027476813.1&amp;XP_027458525.1</t>
  </si>
  <si>
    <t>XP_027456084.1, XP_027476813.1&amp;XP_027458525.1, XP_027479283.1</t>
  </si>
  <si>
    <t>LOW QUALITY PROTEIN: elongation factor 1-alpha 1-like [Zalophus californianus]</t>
  </si>
  <si>
    <t>XP_027461658.1_family</t>
  </si>
  <si>
    <t>XP_027461658.1&amp;XP_027458026.1</t>
  </si>
  <si>
    <t>XP_027458031.1, XP_027461658.1&amp;XP_027458026.1</t>
  </si>
  <si>
    <t>glutathione peroxidase 3 [Zalophus californianus]</t>
  </si>
  <si>
    <t>XP_027461074.1_family</t>
  </si>
  <si>
    <t>XP_027461074.1&amp;XP_027461073.1</t>
  </si>
  <si>
    <t>solute carrier family 23 member 1 isoform X2 [Zalophus californianus]</t>
  </si>
  <si>
    <t>XP_027461123.1_family</t>
  </si>
  <si>
    <t>XP_027461123.1&amp;XP_027461124.1</t>
  </si>
  <si>
    <t>calpastatin isoform X1 [Zalophus californianus]</t>
  </si>
  <si>
    <t>XP_027461564.1_family</t>
  </si>
  <si>
    <t>XP_027461564.1&amp;XP_027461560.1</t>
  </si>
  <si>
    <t>peptidyl-glycine alpha-amidating monooxygenase isoform X7 [Zalophus californianus]</t>
  </si>
  <si>
    <t>XP_027469223.1_family</t>
  </si>
  <si>
    <t>XP_027469223.1&amp;XP_027465539.1&amp;XP_027469225.1</t>
  </si>
  <si>
    <t>XP_027469223.1&amp;XP_027465539.1&amp;XP_027469225.1, XP_027469406.1</t>
  </si>
  <si>
    <t>hemoglobin subunit alpha-1 [Zalophus californianus]</t>
  </si>
  <si>
    <t>XP_027470236.1_family</t>
  </si>
  <si>
    <t>XP_027470236.1&amp;XP_027470234.1</t>
  </si>
  <si>
    <t>A disintegrin and metalloproteinase with thrombospondin motifs 13 isoform X5 [Zalophus californianus]</t>
  </si>
  <si>
    <t>XP_027473731.1_family</t>
  </si>
  <si>
    <t>XP_027473731.1&amp;XP_027473732.1</t>
  </si>
  <si>
    <t>calpain small subunit 1 isoform X1 [Zalophus californianus]</t>
  </si>
  <si>
    <t>XP_027475298.1_family</t>
  </si>
  <si>
    <t>XP_027475298.1&amp;XP_027475300.1</t>
  </si>
  <si>
    <t>vasodilator-stimulated phosphoprotein isoform X1 [Zalophus californianus]</t>
  </si>
  <si>
    <t>XP_027477087.1_family</t>
  </si>
  <si>
    <t>XP_027477087.1&amp;XP_027477089.1</t>
  </si>
  <si>
    <t>immunoglobulin kappa light chain-like isoform X1 [Zalophus californianus]</t>
  </si>
  <si>
    <t>XP_027477283.1_family</t>
  </si>
  <si>
    <t>XP_027477283.1&amp;XP_027477285.1</t>
  </si>
  <si>
    <t>ketohexokinase isoform X1 [Zalophus californianus]</t>
  </si>
  <si>
    <t>XP_027478978.1_family</t>
  </si>
  <si>
    <t>XP_027478978.1&amp;XP_027478545.1</t>
  </si>
  <si>
    <t>lithostathine-like isoform X1 [Zalophus californianus]</t>
  </si>
  <si>
    <t>XP_027480774.1_family</t>
  </si>
  <si>
    <t>XP_027480774.1&amp;XP_027480779.1</t>
  </si>
  <si>
    <t>galectin-3-binding protein isoform X1 [Zalophus californianus]</t>
  </si>
  <si>
    <t>Lepto-03</t>
  </si>
  <si>
    <t>Lepto-05</t>
  </si>
  <si>
    <t>Lepto-06</t>
  </si>
  <si>
    <t>Control-09</t>
  </si>
  <si>
    <t>Lepto-14</t>
  </si>
  <si>
    <t>Lepto-15</t>
  </si>
  <si>
    <t>Lepto-17</t>
  </si>
  <si>
    <t>Control-18</t>
  </si>
  <si>
    <t>Control-19</t>
  </si>
  <si>
    <t>Control-20</t>
  </si>
  <si>
    <t>Lepto-01</t>
  </si>
  <si>
    <t>Lepto-02</t>
  </si>
  <si>
    <t>Lepto-04</t>
  </si>
  <si>
    <t>Control-08</t>
  </si>
  <si>
    <t>Control-10</t>
  </si>
  <si>
    <t>Control-11</t>
  </si>
  <si>
    <t>Control-12</t>
  </si>
  <si>
    <t>Lepto-13</t>
  </si>
  <si>
    <t>Lepto-16</t>
  </si>
  <si>
    <t>Ranker</t>
  </si>
  <si>
    <t>x</t>
  </si>
  <si>
    <t>contam</t>
  </si>
  <si>
    <t>JPRTop30</t>
  </si>
  <si>
    <t>10?</t>
  </si>
  <si>
    <t>14?</t>
  </si>
  <si>
    <t>13? Or 22?</t>
  </si>
  <si>
    <t>27?</t>
  </si>
  <si>
    <t>31?</t>
  </si>
  <si>
    <t>33?</t>
  </si>
  <si>
    <t>AverageSpC</t>
  </si>
  <si>
    <t>Quantifiable</t>
  </si>
  <si>
    <t>yes</t>
  </si>
  <si>
    <t>no</t>
  </si>
  <si>
    <t>Missing</t>
  </si>
  <si>
    <t>FracMissing</t>
  </si>
  <si>
    <t>FracTotSpC</t>
  </si>
  <si>
    <t>TotalCounts:</t>
  </si>
  <si>
    <t>Number of protein IDs:</t>
  </si>
  <si>
    <t>Average</t>
  </si>
  <si>
    <t>SD</t>
  </si>
  <si>
    <t>Color key: warning</t>
  </si>
  <si>
    <t>Color key: serious warning</t>
  </si>
  <si>
    <t>Major step</t>
  </si>
  <si>
    <t>Details</t>
  </si>
  <si>
    <t>Load results data and save in Excel format</t>
  </si>
  <si>
    <t>Open "grouped_protein_summary_9.txt" file and save as Excel file "PXD009019_grouped_protein_summary_9.xlsx"</t>
  </si>
  <si>
    <t>Add sample labels in Row 4</t>
  </si>
  <si>
    <t>Add labels above Total, Unique, and Corrected SpC count columns</t>
  </si>
  <si>
    <t>Sort columns left-to-right by sample names (Controls then Lepto samples)</t>
  </si>
  <si>
    <t>Control-08_tmm</t>
  </si>
  <si>
    <t>Control-09_tmm</t>
  </si>
  <si>
    <t>Control-10_tmm</t>
  </si>
  <si>
    <t>Control-11_tmm</t>
  </si>
  <si>
    <t>Control-12_tmm</t>
  </si>
  <si>
    <t>Control-18_tmm</t>
  </si>
  <si>
    <t>Control-19_tmm</t>
  </si>
  <si>
    <t>Control-20_tmm</t>
  </si>
  <si>
    <t>Lepto-01_tmm</t>
  </si>
  <si>
    <t>Lepto-03_tmm</t>
  </si>
  <si>
    <t>Lepto-04_tmm</t>
  </si>
  <si>
    <t>Lepto-05_tmm</t>
  </si>
  <si>
    <t>Lepto-13_tmm</t>
  </si>
  <si>
    <t>Lepto-14_tmm</t>
  </si>
  <si>
    <t>Lepto-15_tmm</t>
  </si>
  <si>
    <t>Lepto-17_tmm</t>
  </si>
  <si>
    <t>logFC</t>
  </si>
  <si>
    <t>FC</t>
  </si>
  <si>
    <t>PValue</t>
  </si>
  <si>
    <t>FDR</t>
  </si>
  <si>
    <t>ave_Control</t>
  </si>
  <si>
    <t>ave_Lepto</t>
  </si>
  <si>
    <t>direction</t>
  </si>
  <si>
    <t>candidate</t>
  </si>
  <si>
    <t>Acc</t>
  </si>
  <si>
    <t>up</t>
  </si>
  <si>
    <t>down</t>
  </si>
  <si>
    <t>high</t>
  </si>
  <si>
    <t>low</t>
  </si>
  <si>
    <t>med</t>
  </si>
  <si>
    <t>query_acc</t>
  </si>
  <si>
    <t>query_desc</t>
  </si>
  <si>
    <t>hit_acc</t>
  </si>
  <si>
    <t>hit_desc</t>
  </si>
  <si>
    <t>blast_scores</t>
  </si>
  <si>
    <t>match_status</t>
  </si>
  <si>
    <t>query_aa</t>
  </si>
  <si>
    <t>hit_aa</t>
  </si>
  <si>
    <t>alignment_aa</t>
  </si>
  <si>
    <t>identity_aa</t>
  </si>
  <si>
    <t>positive_aa</t>
  </si>
  <si>
    <t>pc_identity</t>
  </si>
  <si>
    <t>pc_postive</t>
  </si>
  <si>
    <t>bit_score</t>
  </si>
  <si>
    <t>sp|A4D1P6|WDR91_HUMAN</t>
  </si>
  <si>
    <t>WD repeat-containing protein 91 OS=Homo sapiens OX=9606 GN=WDR91 PE=1 SV=2</t>
  </si>
  <si>
    <t>ident:19/134 pos:33/134 query:134 hit:747 align:72 bit:30.8</t>
  </si>
  <si>
    <t>Partial_match_hit</t>
  </si>
  <si>
    <t>tr|A0A1W2PP80|A0A1W2PP80_HUMAN</t>
  </si>
  <si>
    <t>Protein SCO2 homolog, mitochondrial (Fragment) OS=Homo sapiens OX=9606 GN=SCO2 PE=4 SV=1</t>
  </si>
  <si>
    <t>ident:16/285 pos:26/285 query:285 hit:73 align:46 bit:27.7</t>
  </si>
  <si>
    <t>Partial_match_query</t>
  </si>
  <si>
    <t>sp|Q6UXZ3|CLM5_HUMAN</t>
  </si>
  <si>
    <t>CMRF35-like molecule 5 OS=Homo sapiens OX=9606 GN=CD300LD PE=1 SV=1</t>
  </si>
  <si>
    <t>ident:80/183 pos:98/183 query:183 hit:194 align:144 bit:153.3</t>
  </si>
  <si>
    <t>OK</t>
  </si>
  <si>
    <t>sp|P05164|PERM_HUMAN</t>
  </si>
  <si>
    <t>Myeloperoxidase OS=Homo sapiens OX=9606 GN=MPO PE=1 SV=1</t>
  </si>
  <si>
    <t>ident:613/719 pos:650/719 query:719 hit:745 align:703 bit:1256.9</t>
  </si>
  <si>
    <t>XP_027423310.1</t>
  </si>
  <si>
    <t>sp|Q9UBG0|MRC2_HUMAN</t>
  </si>
  <si>
    <t>C-type mannose receptor 2 OS=Homo sapiens OX=9606 GN=MRC2 PE=1 SV=2</t>
  </si>
  <si>
    <t>ident:1391/1483 pos:1417/1483 query:1483 hit:1479 align:1483 bit:2795.8</t>
  </si>
  <si>
    <t>XP_027423353.1</t>
  </si>
  <si>
    <t>sp|P63241|IF5A1_HUMAN</t>
  </si>
  <si>
    <t>Eukaryotic translation initiation factor 5A-1 OS=Homo sapiens OX=9606 GN=EIF5A PE=1 SV=2</t>
  </si>
  <si>
    <t>ident:154/184 pos:154/184 query:184 hit:154 align:154 bit:318.2</t>
  </si>
  <si>
    <t>ectonucleotide pyrophosphatase/phosphodiesterase family member 7 [Zalophus californianus]</t>
  </si>
  <si>
    <t>sp|Q6UWV6|ENPP7_HUMAN</t>
  </si>
  <si>
    <t>Ectonucleotide pyrophosphatase/phosphodiesterase family member 7 OS=Homo sapiens OX=9606 GN=ENPP7 PE=1 SV=3</t>
  </si>
  <si>
    <t>ident:356/457 pos:386/457 query:457 hit:458 align:440 bit:747.7</t>
  </si>
  <si>
    <t>sp|P02452|CO1A1_HUMAN</t>
  </si>
  <si>
    <t>Collagen alpha-1(I) chain OS=Homo sapiens OX=9606 GN=COL1A1 PE=1 SV=5</t>
  </si>
  <si>
    <t>ident:1426/1460 pos:1441/1460 query:1460 hit:1464 align:1464 bit:2568.9</t>
  </si>
  <si>
    <t>sp|Q99536|VAT1_HUMAN</t>
  </si>
  <si>
    <t>Synaptic vesicle membrane protein VAT-1 homolog OS=Homo sapiens OX=9606 GN=VAT1 PE=1 SV=2</t>
  </si>
  <si>
    <t>ident:355/400 pos:369/400 query:400 hit:393 align:402 bit:680.2</t>
  </si>
  <si>
    <t>XP_027423386.1</t>
  </si>
  <si>
    <t>sp|Q9UKL6|PPCT_HUMAN</t>
  </si>
  <si>
    <t>Phosphatidylcholine transfer protein OS=Homo sapiens OX=9606 GN=PCTP PE=1 SV=1</t>
  </si>
  <si>
    <t>ident:169/214 pos:191/214 query:214 hit:214 align:214 bit:364.8</t>
  </si>
  <si>
    <t>sp|Q63HM1|KFA_HUMAN</t>
  </si>
  <si>
    <t>Kynurenine formamidase OS=Homo sapiens OX=9606 GN=AFMID PE=2 SV=2</t>
  </si>
  <si>
    <t>ident:233/306 pos:260/306 query:306 hit:303 align:304 bit:488.8</t>
  </si>
  <si>
    <t>XP_027423397.1</t>
  </si>
  <si>
    <t>sp|Q9HBR0|S38AA_HUMAN</t>
  </si>
  <si>
    <t>Putative sodium-coupled neutral amino acid transporter 10 OS=Homo sapiens OX=9606 GN=SLC38A10 PE=1 SV=2</t>
  </si>
  <si>
    <t>ident:809/1063 pos:880/1063 query:1063 hit:1119 align:1132 bit:1438.3</t>
  </si>
  <si>
    <t>XP_027423400.1</t>
  </si>
  <si>
    <t>sp|P61254|RL26_HUMAN</t>
  </si>
  <si>
    <t>60S ribosomal protein L26 OS=Homo sapiens OX=9606 GN=RPL26 PE=1 SV=1</t>
  </si>
  <si>
    <t>ident:145/145 pos:145/145 query:145 hit:145 align:145 bit:290.4</t>
  </si>
  <si>
    <t>intercellular adhesion molecule 2 [Zalophus californianus]</t>
  </si>
  <si>
    <t>sp|P13598|ICAM2_HUMAN</t>
  </si>
  <si>
    <t>Intercellular adhesion molecule 2 OS=Homo sapiens OX=9606 GN=ICAM2 PE=1 SV=2</t>
  </si>
  <si>
    <t>ident:160/268 pos:194/268 query:268 hit:275 align:265 bit:323.6</t>
  </si>
  <si>
    <t>sp|Q14162|SREC_HUMAN</t>
  </si>
  <si>
    <t>Scavenger receptor class F member 1 OS=Homo sapiens OX=9606 GN=SCARF1 PE=1 SV=3</t>
  </si>
  <si>
    <t>ident:638/828 pos:679/828 query:828 hit:830 align:818 bit:1185.2</t>
  </si>
  <si>
    <t>XP_027423465.1</t>
  </si>
  <si>
    <t>sp|Q9NQ84|GPC5C_HUMAN</t>
  </si>
  <si>
    <t>G-protein coupled receptor family C group 5 member C OS=Homo sapiens OX=9606 GN=GPRC5C PE=1 SV=2</t>
  </si>
  <si>
    <t>ident:397/467 pos:410/467 query:467 hit:441 align:432 bit:783.1</t>
  </si>
  <si>
    <t>sp|P07737|PROF1_HUMAN</t>
  </si>
  <si>
    <t>Profilin-1 OS=Homo sapiens OX=9606 GN=PFN1 PE=1 SV=2</t>
  </si>
  <si>
    <t>ident:134/140 pos:138/140 query:140 hit:140 align:140 bit:283.5</t>
  </si>
  <si>
    <t>XP_027423519.1</t>
  </si>
  <si>
    <t>sp|P51570|GALK1_HUMAN</t>
  </si>
  <si>
    <t>Galactokinase OS=Homo sapiens OX=9606 GN=GALK1 PE=1 SV=1</t>
  </si>
  <si>
    <t>ident:360/392 pos:373/392 query:392 hit:392 align:390 bit:728.8</t>
  </si>
  <si>
    <t>sp|Q8IWT0|ARCH_HUMAN</t>
  </si>
  <si>
    <t>Protein archease OS=Homo sapiens OX=9606 GN=ZBTB8OS PE=1 SV=2</t>
  </si>
  <si>
    <t>ident:163/166 pos:163/166 query:166 hit:167 align:167 bit:334.7</t>
  </si>
  <si>
    <t>XP_027423573.1</t>
  </si>
  <si>
    <t>V-type proton ATPase 116 kDa subunit a isoform X1 [Zalophus californianus]</t>
  </si>
  <si>
    <t>sp|Q93050|VPP1_HUMAN</t>
  </si>
  <si>
    <t>V-type proton ATPase 116 kDa subunit a isoform 1 OS=Homo sapiens OX=9606 GN=ATP6V0A1 PE=1 SV=3</t>
  </si>
  <si>
    <t>ident:815/845 pos:826/845 query:845 hit:837 align:845 bit:1686.0</t>
  </si>
  <si>
    <t>sp|Q6NZI2|CAVN1_HUMAN</t>
  </si>
  <si>
    <t>Caveolae-associated protein 1 OS=Homo sapiens OX=9606 GN=CAVIN1 PE=1 SV=1</t>
  </si>
  <si>
    <t>ident:368/390 pos:375/390 query:390 hit:390 align:390 bit:666.4</t>
  </si>
  <si>
    <t>sp|Q969T7|5NT3B_HUMAN</t>
  </si>
  <si>
    <t>7-methylguanosine phosphate-specific 5'-nucleotidase OS=Homo sapiens OX=9606 GN=NT5C3B PE=1 SV=4</t>
  </si>
  <si>
    <t>ident:278/300 pos:289/300 query:300 hit:300 align:299 bit:582.0</t>
  </si>
  <si>
    <t>sp|Q9BQB4|SOST_HUMAN</t>
  </si>
  <si>
    <t>Sclerostin OS=Homo sapiens OX=9606 GN=SOST PE=1 SV=1</t>
  </si>
  <si>
    <t>ident:189/213 pos:190/213 query:213 hit:213 align:199 bit:359.0</t>
  </si>
  <si>
    <t>sp|Q13867|BLMH_HUMAN</t>
  </si>
  <si>
    <t>Bleomycin hydrolase OS=Homo sapiens OX=9606 GN=BLMH PE=1 SV=1</t>
  </si>
  <si>
    <t>ident:433/455 pos:448/455 query:455 hit:455 align:454 bit:925.6</t>
  </si>
  <si>
    <t>XP_027423665.1</t>
  </si>
  <si>
    <t>sp|O00159|MYO1C_HUMAN</t>
  </si>
  <si>
    <t>Unconventional myosin-Ic OS=Homo sapiens OX=9606 GN=MYO1C PE=1 SV=4</t>
  </si>
  <si>
    <t>ident:1036/1063 pos:1052/1063 query:1063 hit:1063 align:1063 bit:2157.1</t>
  </si>
  <si>
    <t>XP_027423678.1</t>
  </si>
  <si>
    <t>E3 ubiquitin-protein ligase RNF167 isoform X1 [Zalophus californianus]</t>
  </si>
  <si>
    <t>sp|Q9H6Y7|RN167_HUMAN</t>
  </si>
  <si>
    <t>E3 ubiquitin-protein ligase RNF167 OS=Homo sapiens OX=9606 GN=RNF167 PE=1 SV=1</t>
  </si>
  <si>
    <t>ident:304/348 pos:313/348 query:348 hit:350 align:333 bit:604.4</t>
  </si>
  <si>
    <t>sp|P62829|RL23_HUMAN</t>
  </si>
  <si>
    <t>60S ribosomal protein L23 OS=Homo sapiens OX=9606 GN=RPL23 PE=1 SV=1</t>
  </si>
  <si>
    <t>ident:140/140 pos:140/140 query:140 hit:140 align:140 bit:280.4</t>
  </si>
  <si>
    <t>serine hydroxymethyltransferase, cytosolic [Zalophus californianus]</t>
  </si>
  <si>
    <t>sp|P34896|GLYC_HUMAN</t>
  </si>
  <si>
    <t>Serine hydroxymethyltransferase, cytosolic OS=Homo sapiens OX=9606 GN=SHMT1 PE=1 SV=1</t>
  </si>
  <si>
    <t>ident:448/484 pos:464/484 query:484 hit:483 align:484 bit:914.8</t>
  </si>
  <si>
    <t>XP_027423697.1</t>
  </si>
  <si>
    <t>sp|O43242|PSMD3_HUMAN</t>
  </si>
  <si>
    <t>26S proteasome non-ATPase regulatory subunit 3 OS=Homo sapiens OX=9606 GN=PSMD3 PE=1 SV=2</t>
  </si>
  <si>
    <t>ident:498/554 pos:503/554 query:554 hit:534 align:510 bit:1027.3</t>
  </si>
  <si>
    <t>sp|P07359|GP1BA_HUMAN</t>
  </si>
  <si>
    <t>Platelet glycoprotein Ib alpha chain OS=Homo sapiens OX=9606 GN=GP1BA PE=1 SV=2</t>
  </si>
  <si>
    <t>ident:360/612 pos:412/612 query:612 hit:652 align:644 bit:602.1</t>
  </si>
  <si>
    <t>sp|Q9HA64|KT3K_HUMAN</t>
  </si>
  <si>
    <t>Ketosamine-3-kinase OS=Homo sapiens OX=9606 GN=FN3KRP PE=1 SV=2</t>
  </si>
  <si>
    <t>ident:274/309 pos:292/309 query:309 hit:309 align:309 bit:582.0</t>
  </si>
  <si>
    <t>junction plakoglobin [Zalophus californianus]</t>
  </si>
  <si>
    <t>sp|P14923|PLAK_HUMAN</t>
  </si>
  <si>
    <t>Junction plakoglobin OS=Homo sapiens OX=9606 GN=JUP PE=1 SV=3</t>
  </si>
  <si>
    <t>ident:733/744 pos:739/744 query:744 hit:745 align:745 bit:1515.0</t>
  </si>
  <si>
    <t>sp|Q00169|PIPNA_HUMAN</t>
  </si>
  <si>
    <t>Phosphatidylinositol transfer protein alpha isoform OS=Homo sapiens OX=9606 GN=PITPNA PE=1 SV=2</t>
  </si>
  <si>
    <t>ident:269/270 pos:270/270 query:270 hit:270 align:270 bit:563.9</t>
  </si>
  <si>
    <t>XP_027423893.1</t>
  </si>
  <si>
    <t>sp|P62195|PRS8_HUMAN</t>
  </si>
  <si>
    <t>26S proteasome regulatory subunit 8 OS=Homo sapiens OX=9606 GN=PSMC5 PE=1 SV=1</t>
  </si>
  <si>
    <t>ident:406/406 pos:406/406 query:406 hit:406 align:406 bit:827.0</t>
  </si>
  <si>
    <t>sp|P60763|RAC3_HUMAN</t>
  </si>
  <si>
    <t>Ras-related C3 botulinum toxin substrate 3 OS=Homo sapiens OX=9606 GN=RAC3 PE=1 SV=1</t>
  </si>
  <si>
    <t>ident:192/192 pos:192/192 query:192 hit:192 align:192 bit:398.3</t>
  </si>
  <si>
    <t>sp|Q86V81|THOC4_HUMAN</t>
  </si>
  <si>
    <t>THO complex subunit 4 OS=Homo sapiens OX=9606 GN=ALYREF PE=1 SV=3</t>
  </si>
  <si>
    <t>ident:248/256 pos:252/256 query:256 hit:257 align:257 bit:484.6</t>
  </si>
  <si>
    <t>sp|P35232|PHB_HUMAN</t>
  </si>
  <si>
    <t>Prohibitin OS=Homo sapiens OX=9606 GN=PHB PE=1 SV=1</t>
  </si>
  <si>
    <t>ident:270/272 pos:271/272 query:272 hit:272 align:272 bit:544.7</t>
  </si>
  <si>
    <t>XP_027423976.1</t>
  </si>
  <si>
    <t>sp|Q969T9|WBP2_HUMAN</t>
  </si>
  <si>
    <t>WW domain-binding protein 2 OS=Homo sapiens OX=9606 GN=WBP2 PE=1 SV=1</t>
  </si>
  <si>
    <t>ident:252/261 pos:259/261 query:261 hit:261 align:261 bit:506.1</t>
  </si>
  <si>
    <t>sp|P61353|RL27_HUMAN</t>
  </si>
  <si>
    <t>60S ribosomal protein L27 OS=Homo sapiens OX=9606 GN=RPL27 PE=1 SV=2</t>
  </si>
  <si>
    <t>ident:136/136 pos:136/136 query:136 hit:136 align:136 bit:273.5</t>
  </si>
  <si>
    <t>XP_027424002.1</t>
  </si>
  <si>
    <t>sp|O00182|LEG9_HUMAN</t>
  </si>
  <si>
    <t>Galectin-9 OS=Homo sapiens OX=9606 GN=LGALS9 PE=1 SV=2</t>
  </si>
  <si>
    <t>ident:270/355 pos:300/355 query:355 hit:355 align:355 bit:565.5</t>
  </si>
  <si>
    <t>XP_027424004.1</t>
  </si>
  <si>
    <t>sp|Q9BSA4|TTYH2_HUMAN</t>
  </si>
  <si>
    <t>Protein tweety homolog 2 OS=Homo sapiens OX=9606 GN=TTYH2 PE=1 SV=3</t>
  </si>
  <si>
    <t>ident:464/534 pos:501/534 query:534 hit:534 align:534 bit:897.9</t>
  </si>
  <si>
    <t>sp|P52565|GDIR1_HUMAN</t>
  </si>
  <si>
    <t>Rho GDP-dissociation inhibitor 1 OS=Homo sapiens OX=9606 GN=ARHGDIA PE=1 SV=3</t>
  </si>
  <si>
    <t>ident:197/204 pos:201/204 query:204 hit:204 align:204 bit:409.5</t>
  </si>
  <si>
    <t>60S ribosomal protein L38 [Zalophus californianus]</t>
  </si>
  <si>
    <t>sp|P63173|RL38_HUMAN</t>
  </si>
  <si>
    <t>60S ribosomal protein L38 OS=Homo sapiens OX=9606 GN=RPL38 PE=1 SV=2</t>
  </si>
  <si>
    <t>ident:70/70 pos:70/70 query:70 hit:70 align:70 bit:137.5</t>
  </si>
  <si>
    <t>sp|P01298|PAHO_HUMAN</t>
  </si>
  <si>
    <t>Pancreatic prohormone OS=Homo sapiens OX=9606 GN=PPY PE=1 SV=1</t>
  </si>
  <si>
    <t>ident:73/95 pos:78/95 query:95 hit:95 align:95 bit:131.0</t>
  </si>
  <si>
    <t>XP_027424206.1</t>
  </si>
  <si>
    <t>sp|Q8WVN6|SCTM1_HUMAN</t>
  </si>
  <si>
    <t>Secreted and transmembrane protein 1 OS=Homo sapiens OX=9606 GN=SECTM1 PE=1 SV=2</t>
  </si>
  <si>
    <t>ident:63/480 pos:75/480 query:480 hit:248 align:112 bit:124.0</t>
  </si>
  <si>
    <t>Partial_match_both</t>
  </si>
  <si>
    <t>XP_027424274.1</t>
  </si>
  <si>
    <t>sp|P51148|RAB5C_HUMAN</t>
  </si>
  <si>
    <t>Ras-related protein Rab-5C OS=Homo sapiens OX=9606 GN=RAB5C PE=1 SV=2</t>
  </si>
  <si>
    <t>ident:214/216 pos:214/216 query:216 hit:216 align:216 bit:446.8</t>
  </si>
  <si>
    <t>XP_027424308.1</t>
  </si>
  <si>
    <t>sp|P60842|IF4A1_HUMAN</t>
  </si>
  <si>
    <t>Eukaryotic initiation factor 4A-I OS=Homo sapiens OX=9606 GN=EIF4A1 PE=1 SV=1</t>
  </si>
  <si>
    <t>ident:406/406 pos:406/406 query:406 hit:406 align:406 bit:841.3</t>
  </si>
  <si>
    <t>XP_027424323.1</t>
  </si>
  <si>
    <t>sp|P08697|A2AP_HUMAN</t>
  </si>
  <si>
    <t>Alpha-2-antiplasmin OS=Homo sapiens OX=9606 GN=SERPINF2 PE=1 SV=3</t>
  </si>
  <si>
    <t>ident:396/588 pos:428/588 query:588 hit:491 align:491 bit:791.2</t>
  </si>
  <si>
    <t>sp|Q07021|C1QBP_HUMAN</t>
  </si>
  <si>
    <t>Complement component 1 Q subcomponent-binding protein, mitochondrial OS=Homo sapiens OX=9606 GN=C1QBP PE=1 SV=1</t>
  </si>
  <si>
    <t>ident:247/272 pos:257/272 query:272 hit:282 align:282 bit:464.5</t>
  </si>
  <si>
    <t>XP_027424347.1</t>
  </si>
  <si>
    <t>sp|P28799|GRN_HUMAN</t>
  </si>
  <si>
    <t>Progranulin OS=Homo sapiens OX=9606 GN=GRN PE=1 SV=2</t>
  </si>
  <si>
    <t>ident:472/587 pos:519/587 query:587 hit:593 align:593 bit:954.1</t>
  </si>
  <si>
    <t>asialoglycoprotein receptor 2 isoform X1 [Zalophus californianus]</t>
  </si>
  <si>
    <t>sp|P07307|ASGR2_HUMAN</t>
  </si>
  <si>
    <t>Asialoglycoprotein receptor 2 OS=Homo sapiens OX=9606 GN=ASGR2 PE=1 SV=2</t>
  </si>
  <si>
    <t>ident:204/302 pos:234/302 query:302 hit:311 align:309 bit:418.3</t>
  </si>
  <si>
    <t>arachidonate 15-lipoxygenase [Zalophus californianus]</t>
  </si>
  <si>
    <t>sp|P16050|LOX15_HUMAN</t>
  </si>
  <si>
    <t>Arachidonate 15-lipoxygenase OS=Homo sapiens OX=9606 GN=ALOX15 PE=1 SV=3</t>
  </si>
  <si>
    <t>ident:557/663 pos:618/663 query:663 hit:662 align:663 bit:1164.1</t>
  </si>
  <si>
    <t>XP_027424389.1</t>
  </si>
  <si>
    <t>sp|Q92681|RSCA1_HUMAN</t>
  </si>
  <si>
    <t>Regulatory solute carrier protein family 1 member 1 OS=Homo sapiens OX=9606 GN=RSC1A1 PE=2 SV=1</t>
  </si>
  <si>
    <t>ident:446/1024 pos:511/1024 query:1024 hit:617 align:620 bit:818.1</t>
  </si>
  <si>
    <t>XP_027424423.1</t>
  </si>
  <si>
    <t>sp|Q2TAL5|SMTL2_HUMAN</t>
  </si>
  <si>
    <t>Smoothelin-like protein 2 OS=Homo sapiens OX=9606 GN=SMTNL2 PE=2 SV=1</t>
  </si>
  <si>
    <t>ident:382/453 pos:410/453 query:453 hit:461 align:464 bit:690.3</t>
  </si>
  <si>
    <t>sp|P10645|CMGA_HUMAN</t>
  </si>
  <si>
    <t>Chromogranin-A OS=Homo sapiens OX=9606 GN=CHGA PE=1 SV=7</t>
  </si>
  <si>
    <t>ident:360/449 pos:388/449 query:449 hit:457 align:462 bit:599.0</t>
  </si>
  <si>
    <t>sp|P54652|HSP72_HUMAN</t>
  </si>
  <si>
    <t>Heat shock-related 70 kDa protein 2 OS=Homo sapiens OX=9606 GN=HSPA2 PE=1 SV=1</t>
  </si>
  <si>
    <t>ident:634/637 pos:635/637 query:637 hit:639 align:639 bit:1295.8</t>
  </si>
  <si>
    <t>sp|P30038|AL4A1_HUMAN</t>
  </si>
  <si>
    <t>Delta-1-pyrroline-5-carboxylate dehydrogenase, mitochondrial OS=Homo sapiens OX=9606 GN=ALDH4A1 PE=1 SV=3</t>
  </si>
  <si>
    <t>ident:525/563 pos:547/563 query:563 hit:563 align:563 bit:1103.2</t>
  </si>
  <si>
    <t>sp|P41271|NBL1_HUMAN</t>
  </si>
  <si>
    <t>Neuroblastoma suppressor of tumorigenicity 1 OS=Homo sapiens OX=9606 GN=NBL1 PE=1 SV=2</t>
  </si>
  <si>
    <t>ident:170/175 pos:171/175 query:175 hit:181 align:180 bit:337.8</t>
  </si>
  <si>
    <t>sp|P16112|PGCA_HUMAN</t>
  </si>
  <si>
    <t>Aggrecan core protein OS=Homo sapiens OX=9606 GN=ACAN PE=1 SV=3</t>
  </si>
  <si>
    <t>ident:1737/2244 pos:1882/2244 query:2244 hit:2530 align:2568 bit:2973.0</t>
  </si>
  <si>
    <t>XP_027424614.1</t>
  </si>
  <si>
    <t>sp|Q13228|SBP1_HUMAN</t>
  </si>
  <si>
    <t>Methanethiol oxidase OS=Homo sapiens OX=9606 GN=SELENBP1 PE=1 SV=2</t>
  </si>
  <si>
    <t>ident:439/472 pos:459/472 query:472 hit:472 align:472 bit:918.7</t>
  </si>
  <si>
    <t>sp|O15061|SYNEM_HUMAN</t>
  </si>
  <si>
    <t>Synemin OS=Homo sapiens OX=9606 GN=SYNM PE=1 SV=2</t>
  </si>
  <si>
    <t>ident:874/1265 pos:998/1265 query:1265 hit:1565 align:1215 bit:1619.4</t>
  </si>
  <si>
    <t>sp|Q8TDY8|IGDC4_HUMAN</t>
  </si>
  <si>
    <t>Immunoglobulin superfamily DCC subclass member 4 OS=Homo sapiens OX=9606 GN=IGDCC4 PE=1 SV=1</t>
  </si>
  <si>
    <t>ident:1130/1248 pos:1167/1248 query:1248 hit:1250 align:1250 bit:2241.8</t>
  </si>
  <si>
    <t>sp|P28070|PSB4_HUMAN</t>
  </si>
  <si>
    <t>Proteasome subunit beta type-4 OS=Homo sapiens OX=9606 GN=PSMB4 PE=1 SV=4</t>
  </si>
  <si>
    <t>ident:247/264 pos:253/264 query:264 hit:264 align:264 bit:505.8</t>
  </si>
  <si>
    <t>cysteine-rich protein 1 [Zalophus californianus]</t>
  </si>
  <si>
    <t>sp|P50238|CRIP1_HUMAN</t>
  </si>
  <si>
    <t>Cysteine-rich protein 1 OS=Homo sapiens OX=9606 GN=CRIP1 PE=1 SV=3</t>
  </si>
  <si>
    <t>ident:75/77 pos:77/77 query:77 hit:77 align:77 bit:157.1</t>
  </si>
  <si>
    <t>XP_027424666.1</t>
  </si>
  <si>
    <t>spectrin beta chain, erythrocytic isoform X1 [Zalophus californianus]</t>
  </si>
  <si>
    <t>sp|P11277|SPTB1_HUMAN</t>
  </si>
  <si>
    <t>Spectrin beta chain, erythrocytic OS=Homo sapiens OX=9606 GN=SPTB PE=1 SV=5</t>
  </si>
  <si>
    <t>ident:1936/2326 pos:2028/2326 query:2326 hit:2137 align:2134 bit:3919.4</t>
  </si>
  <si>
    <t>sp|Q9Y266|NUDC_HUMAN</t>
  </si>
  <si>
    <t>Nuclear migration protein nudC OS=Homo sapiens OX=9606 GN=NUDC PE=1 SV=1</t>
  </si>
  <si>
    <t>ident:312/333 pos:323/333 query:333 hit:331 align:333 bit:610.9</t>
  </si>
  <si>
    <t>sp|P39687|AN32A_HUMAN</t>
  </si>
  <si>
    <t>Acidic leucine-rich nuclear phosphoprotein 32 family member A OS=Homo sapiens OX=9606 GN=ANP32A PE=1 SV=1</t>
  </si>
  <si>
    <t>ident:225/249 pos:235/249 query:249 hit:249 align:239 bit:299.3</t>
  </si>
  <si>
    <t>XP_027424712.1</t>
  </si>
  <si>
    <t>sp|Q13822|ENPP2_HUMAN</t>
  </si>
  <si>
    <t>Ectonucleotide pyrophosphatase/phosphodiesterase family member 2 OS=Homo sapiens OX=9606 GN=ENPP2 PE=1 SV=3</t>
  </si>
  <si>
    <t>ident:824/940 pos:848/940 query:940 hit:863 align:940 bit:1706.0</t>
  </si>
  <si>
    <t>XP_027424781.1</t>
  </si>
  <si>
    <t>frizzled-6 isoform X1 [Zalophus californianus]</t>
  </si>
  <si>
    <t>sp|O60353|FZD6_HUMAN</t>
  </si>
  <si>
    <t>Frizzled-6 OS=Homo sapiens OX=9606 GN=FZD6 PE=1 SV=2</t>
  </si>
  <si>
    <t>ident:643/712 pos:666/712 query:712 hit:706 align:712 bit:1310.4</t>
  </si>
  <si>
    <t>XP_027424819.1</t>
  </si>
  <si>
    <t>sp|Q8TD55|PKHO2_HUMAN</t>
  </si>
  <si>
    <t>Pleckstrin homology domain-containing family O member 2 OS=Homo sapiens OX=9606 GN=PLEKHO2 PE=1 SV=1</t>
  </si>
  <si>
    <t>ident:409/498 pos:429/498 query:498 hit:490 align:499 bit:771.5</t>
  </si>
  <si>
    <t>sp|P23246|SFPQ_HUMAN</t>
  </si>
  <si>
    <t>Splicing factor, proline- and glutamine-rich OS=Homo sapiens OX=9606 GN=SFPQ PE=1 SV=2</t>
  </si>
  <si>
    <t>ident:690/700 pos:691/700 query:700 hit:707 align:707 bit:1322.4</t>
  </si>
  <si>
    <t>XP_027424866.1</t>
  </si>
  <si>
    <t>sp|Q14204|DYHC1_HUMAN</t>
  </si>
  <si>
    <t>Cytoplasmic dynein 1 heavy chain 1 OS=Homo sapiens OX=9606 GN=DYNC1H1 PE=1 SV=5</t>
  </si>
  <si>
    <t>ident:4606/4646 pos:4628/4646 query:4646 hit:4646 align:4646 bit:9572.2</t>
  </si>
  <si>
    <t>XP_027424926.1</t>
  </si>
  <si>
    <t>sp|P05154|IPSP_HUMAN</t>
  </si>
  <si>
    <t>Plasma serine protease inhibitor OS=Homo sapiens OX=9606 GN=SERPINA5 PE=1 SV=3</t>
  </si>
  <si>
    <t>ident:293/423 pos:343/423 query:423 hit:406 align:396 bit:609.8</t>
  </si>
  <si>
    <t>alpha-1-antichymotrypsin [Zalophus californianus]</t>
  </si>
  <si>
    <t>sp|P01011|AACT_HUMAN</t>
  </si>
  <si>
    <t>Alpha-1-antichymotrypsin OS=Homo sapiens OX=9606 GN=SERPINA3 PE=1 SV=2</t>
  </si>
  <si>
    <t>ident:270/421 pos:320/421 query:421 hit:423 align:408 bit:552.4</t>
  </si>
  <si>
    <t>XP_027424965.1</t>
  </si>
  <si>
    <t>sp|Q86UP2|KTN1_HUMAN</t>
  </si>
  <si>
    <t>Kinectin OS=Homo sapiens OX=9606 GN=KTN1 PE=1 SV=1</t>
  </si>
  <si>
    <t>ident:1270/1368 pos:1320/1368 query:1368 hit:1357 align:1357 bit:2377.1</t>
  </si>
  <si>
    <t>semaphorin-4B [Zalophus californianus]</t>
  </si>
  <si>
    <t>sp|Q9NPR2|SEM4B_HUMAN</t>
  </si>
  <si>
    <t>Semaphorin-4B OS=Homo sapiens OX=9606 GN=SEMA4B PE=1 SV=4</t>
  </si>
  <si>
    <t>ident:691/830 pos:741/830 query:830 hit:837 align:798 bit:1432.5</t>
  </si>
  <si>
    <t>calmodulin-1 [Zalophus californianus]</t>
  </si>
  <si>
    <t>sp|P0DP25|CALM3_HUMAN</t>
  </si>
  <si>
    <t>Calmodulin-3 OS=Homo sapiens OX=9606 GN=CALM3 PE=1 SV=1</t>
  </si>
  <si>
    <t>ident:149/149 pos:149/149 query:149 hit:149 align:149 bit:298.9</t>
  </si>
  <si>
    <t>sp|Q9BXJ7|AMNLS_HUMAN</t>
  </si>
  <si>
    <t>Protein amnionless OS=Homo sapiens OX=9606 GN=AMN PE=1 SV=2</t>
  </si>
  <si>
    <t>ident:283/458 pos:300/458 query:458 hit:453 align:358 bit:561.2</t>
  </si>
  <si>
    <t>sp|P18283|GPX2_HUMAN</t>
  </si>
  <si>
    <t>Glutathione peroxidase 2 OS=Homo sapiens OX=9606 GN=GPX2 PE=1 SV=3</t>
  </si>
  <si>
    <t>ident:185/190 pos:188/190 query:190 hit:190 align:190 bit:386.3</t>
  </si>
  <si>
    <t>XP_027425134.1</t>
  </si>
  <si>
    <t>sp|Q14767|LTBP2_HUMAN</t>
  </si>
  <si>
    <t>Latent-transforming growth factor beta-binding protein 2 OS=Homo sapiens OX=9606 GN=LTBP2 PE=1 SV=3</t>
  </si>
  <si>
    <t>ident:1552/1817 pos:1643/1817 query:1817 hit:1821 align:1825 bit:3123.9</t>
  </si>
  <si>
    <t>DNA-(apurinic or apyrimidinic site) lyase [Zalophus californianus]</t>
  </si>
  <si>
    <t>sp|P27695|APEX1_HUMAN</t>
  </si>
  <si>
    <t>DNA-(apurinic or apyrimidinic site) lyase OS=Homo sapiens OX=9606 GN=APEX1 PE=1 SV=2</t>
  </si>
  <si>
    <t>ident:302/317 pos:308/317 query:317 hit:318 align:318 bit:605.9</t>
  </si>
  <si>
    <t>XP_027425165.1</t>
  </si>
  <si>
    <t>tryptophan--tRNA ligase, cytoplasmic isoform X1 [Zalophus californianus]</t>
  </si>
  <si>
    <t>sp|P23381|SYWC_HUMAN</t>
  </si>
  <si>
    <t>Tryptophan--tRNA ligase, cytoplasmic OS=Homo sapiens OX=9606 GN=WARS PE=1 SV=2</t>
  </si>
  <si>
    <t>ident:448/482 pos:454/482 query:482 hit:471 align:473 bit:927.9</t>
  </si>
  <si>
    <t>sp|P07996|TSP1_HUMAN</t>
  </si>
  <si>
    <t>Thrombospondin-1 OS=Homo sapiens OX=9606 GN=THBS1 PE=1 SV=2</t>
  </si>
  <si>
    <t>ident:1132/1170 pos:1157/1170 query:1170 hit:1170 align:1169 bit:2356.2</t>
  </si>
  <si>
    <t>XP_027425209.1</t>
  </si>
  <si>
    <t>sp|Q9UKV3|ACINU_HUMAN</t>
  </si>
  <si>
    <t>Apoptotic chromatin condensation inducer in the nucleus OS=Homo sapiens OX=9606 GN=ACIN1 PE=1 SV=2</t>
  </si>
  <si>
    <t>ident:1226/1341 pos:1272/1341 query:1341 hit:1341 align:1345 bit:1854.3</t>
  </si>
  <si>
    <t>sp|P25788|PSA3_HUMAN</t>
  </si>
  <si>
    <t>Proteasome subunit alpha type-3 OS=Homo sapiens OX=9606 GN=PSMA3 PE=1 SV=2</t>
  </si>
  <si>
    <t>ident:252/255 pos:254/255 query:255 hit:255 align:255 bit:523.5</t>
  </si>
  <si>
    <t>XP_027425226.1</t>
  </si>
  <si>
    <t>sp|P09493|TPM1_HUMAN</t>
  </si>
  <si>
    <t>Tropomyosin alpha-1 chain OS=Homo sapiens OX=9606 GN=TPM1 PE=1 SV=2</t>
  </si>
  <si>
    <t>ident:282/284 pos:283/284 query:284 hit:284 align:284 bit:523.9</t>
  </si>
  <si>
    <t>XP_027425238.1</t>
  </si>
  <si>
    <t>sp|P67936|TPM4_HUMAN</t>
  </si>
  <si>
    <t>Tropomyosin alpha-4 chain OS=Homo sapiens OX=9606 GN=TPM4 PE=1 SV=3</t>
  </si>
  <si>
    <t>ident:204/248 pos:228/248 query:248 hit:248 align:248 bit:362.8</t>
  </si>
  <si>
    <t>XP_027425253.1</t>
  </si>
  <si>
    <t>sp|Q9UI08|EVL_HUMAN</t>
  </si>
  <si>
    <t>Ena/VASP-like protein OS=Homo sapiens OX=9606 GN=EVL PE=1 SV=2</t>
  </si>
  <si>
    <t>ident:396/418 pos:409/418 query:418 hit:416 align:418 bit:703.0</t>
  </si>
  <si>
    <t>sp|P30047|GFRP_HUMAN</t>
  </si>
  <si>
    <t>GTP cyclohydrolase 1 feedback regulatory protein OS=Homo sapiens OX=9606 GN=GCHFR PE=1 SV=3</t>
  </si>
  <si>
    <t>ident:75/84 pos:80/84 query:84 hit:84 align:84 bit:161.8</t>
  </si>
  <si>
    <t>XP_027425320.1</t>
  </si>
  <si>
    <t>sp|P62491|RB11A_HUMAN</t>
  </si>
  <si>
    <t>Ras-related protein Rab-11A OS=Homo sapiens OX=9606 GN=RAB11A PE=1 SV=3</t>
  </si>
  <si>
    <t>ident:216/216 pos:216/216 query:216 hit:216 align:216 bit:451.8</t>
  </si>
  <si>
    <t>sp|P30101|PDIA3_HUMAN</t>
  </si>
  <si>
    <t>Protein disulfide-isomerase A3 OS=Homo sapiens OX=9606 GN=PDIA3 PE=1 SV=4</t>
  </si>
  <si>
    <t>ident:480/505 pos:493/505 query:505 hit:505 align:505 bit:967.2</t>
  </si>
  <si>
    <t>sp|Q9NX55|HYPK_HUMAN</t>
  </si>
  <si>
    <t>Huntingtin-interacting protein K OS=Homo sapiens OX=9606 GN=HYPK PE=1 SV=2</t>
  </si>
  <si>
    <t>ident:121/121 pos:121/121 query:121 hit:129 align:121 bit:238.0</t>
  </si>
  <si>
    <t>XP_027425347.1</t>
  </si>
  <si>
    <t>sp|P07311|ACYP1_HUMAN</t>
  </si>
  <si>
    <t>Acylphosphatase-1 OS=Homo sapiens OX=9606 GN=ACYP1 PE=1 SV=2</t>
  </si>
  <si>
    <t>ident:92/171 pos:98/171 query:171 hit:99 align:99 bit:196.4</t>
  </si>
  <si>
    <t>XP_027425396.1</t>
  </si>
  <si>
    <t>sp|Q14005|IL16_HUMAN</t>
  </si>
  <si>
    <t>Pro-interleukin-16 OS=Homo sapiens OX=9606 GN=IL16 PE=1 SV=4</t>
  </si>
  <si>
    <t>ident:890/1517 pos:948/1517 query:1517 hit:1332 align:1138 bit:1575.8</t>
  </si>
  <si>
    <t>sp|Q16822|PCKGM_HUMAN</t>
  </si>
  <si>
    <t>Phosphoenolpyruvate carboxykinase [GTP], mitochondrial OS=Homo sapiens OX=9606 GN=PCK2 PE=1 SV=4</t>
  </si>
  <si>
    <t>ident:613/640 pos:627/640 query:640 hit:640 align:640 bit:1262.3</t>
  </si>
  <si>
    <t>sp|P46940|IQGA1_HUMAN</t>
  </si>
  <si>
    <t>Ras GTPase-activating-like protein IQGAP1 OS=Homo sapiens OX=9606 GN=IQGAP1 PE=1 SV=1</t>
  </si>
  <si>
    <t>ident:1599/1657 pos:1632/1657 query:1657 hit:1657 align:1657 bit:3323.5</t>
  </si>
  <si>
    <t>sp|Q02252|MMSA_HUMAN</t>
  </si>
  <si>
    <t>Methylmalonate-semialdehyde dehydrogenase [acylating], mitochondrial OS=Homo sapiens OX=9606 GN=ALDH6A1 PE=1 SV=2</t>
  </si>
  <si>
    <t>ident:515/534 pos:527/534 query:534 hit:535 align:534 bit:1072.8</t>
  </si>
  <si>
    <t>XP_027425723.1</t>
  </si>
  <si>
    <t>sp|Q92859|NEO1_HUMAN</t>
  </si>
  <si>
    <t>Neogenin OS=Homo sapiens OX=9606 GN=NEO1 PE=1 SV=2</t>
  </si>
  <si>
    <t>ident:1409/1480 pos:1434/1480 query:1480 hit:1461 align:1481 bit:2904.4</t>
  </si>
  <si>
    <t>XP_027425734.1</t>
  </si>
  <si>
    <t>sp|Q14112|NID2_HUMAN</t>
  </si>
  <si>
    <t>Nidogen-2 OS=Homo sapiens OX=9606 GN=NID2 PE=1 SV=3</t>
  </si>
  <si>
    <t>ident:1138/1468 pos:1207/1468 query:1468 hit:1375 align:1408 bit:2290.4</t>
  </si>
  <si>
    <t>XP_027425741.1</t>
  </si>
  <si>
    <t>fibrillin-1 isoform X1 [Zalophus californianus]</t>
  </si>
  <si>
    <t>sp|P35555|FBN1_HUMAN</t>
  </si>
  <si>
    <t>Fibrillin-1 OS=Homo sapiens OX=9606 GN=FBN1 PE=1 SV=4</t>
  </si>
  <si>
    <t>ident:2790/2868 pos:2829/2868 query:2868 hit:2871 align:2871 bit:5631.6</t>
  </si>
  <si>
    <t>XP_027425744.1</t>
  </si>
  <si>
    <t>sp|Q07157|ZO1_HUMAN</t>
  </si>
  <si>
    <t>Tight junction protein ZO-1 OS=Homo sapiens OX=9606 GN=TJP1 PE=1 SV=3</t>
  </si>
  <si>
    <t>ident:1625/1863 pos:1669/1863 query:1863 hit:1748 align:1761 bit:3259.9</t>
  </si>
  <si>
    <t>sp|Q13596|SNX1_HUMAN</t>
  </si>
  <si>
    <t>Sorting nexin-1 OS=Homo sapiens OX=9606 GN=SNX1 PE=1 SV=3</t>
  </si>
  <si>
    <t>ident:508/520 pos:510/520 query:520 hit:522 align:522 bit:1028.1</t>
  </si>
  <si>
    <t>sp|P23284|PPIB_HUMAN</t>
  </si>
  <si>
    <t>Peptidyl-prolyl cis-trans isomerase B OS=Homo sapiens OX=9606 GN=PPIB PE=1 SV=2</t>
  </si>
  <si>
    <t>ident:207/216 pos:210/216 query:216 hit:216 align:216 bit:420.2</t>
  </si>
  <si>
    <t>XP_027425813.1</t>
  </si>
  <si>
    <t>sp|O43708|MAAI_HUMAN</t>
  </si>
  <si>
    <t>Maleylacetoacetate isomerase OS=Homo sapiens OX=9606 GN=GSTZ1 PE=1 SV=3</t>
  </si>
  <si>
    <t>ident:184/217 pos:197/217 query:217 hit:216 align:215 bit:382.9</t>
  </si>
  <si>
    <t>XP_027425830.1</t>
  </si>
  <si>
    <t>sp|P62888|RL30_HUMAN</t>
  </si>
  <si>
    <t>60S ribosomal protein L30 OS=Homo sapiens OX=9606 GN=RPL30 PE=1 SV=2</t>
  </si>
  <si>
    <t>ident:114/115 pos:114/115 query:115 hit:115 align:115 bit:234.2</t>
  </si>
  <si>
    <t>XP_027425835.1</t>
  </si>
  <si>
    <t>sp|Q96PC5|MIA2_HUMAN</t>
  </si>
  <si>
    <t>Melanoma inhibitory activity protein 2 OS=Homo sapiens OX=9606 GN=MIA2 PE=1 SV=4</t>
  </si>
  <si>
    <t>ident:1140/1418 pos:1235/1418 query:1418 hit:1412 align:1434 bit:2115.1</t>
  </si>
  <si>
    <t>glucosamine 6-phosphate N-acetyltransferase [Zalophus californianus]</t>
  </si>
  <si>
    <t>sp|Q96EK6|GNA1_HUMAN</t>
  </si>
  <si>
    <t>Glucosamine 6-phosphate N-acetyltransferase OS=Homo sapiens OX=9606 GN=GNPNAT1 PE=1 SV=1</t>
  </si>
  <si>
    <t>ident:183/184 pos:184/184 query:184 hit:184 align:184 bit:381.7</t>
  </si>
  <si>
    <t>XP_027425859.1</t>
  </si>
  <si>
    <t>sp|P34949|MPI_HUMAN</t>
  </si>
  <si>
    <t>Mannose-6-phosphate isomerase OS=Homo sapiens OX=9606 GN=MPI PE=1 SV=2</t>
  </si>
  <si>
    <t>ident:373/448 pos:392/448 query:448 hit:423 align:418 bit:778.9</t>
  </si>
  <si>
    <t>sp|P01009|A1AT_HUMAN</t>
  </si>
  <si>
    <t>Alpha-1-antitrypsin OS=Homo sapiens OX=9606 GN=SERPINA1 PE=1 SV=3</t>
  </si>
  <si>
    <t>ident:294/428 pos:342/428 query:428 hit:418 align:428 bit:585.5</t>
  </si>
  <si>
    <t>XP_027425923.1</t>
  </si>
  <si>
    <t>sp|O14672|ADA10_HUMAN</t>
  </si>
  <si>
    <t>Disintegrin and metalloproteinase domain-containing protein 10 OS=Homo sapiens OX=9606 GN=ADAM10 PE=1 SV=1</t>
  </si>
  <si>
    <t>ident:670/868 pos:682/868 query:868 hit:748 align:717 bit:1401.7</t>
  </si>
  <si>
    <t>peptidyl-prolyl cis-trans isomerase H [Zalophus californianus]</t>
  </si>
  <si>
    <t>sp|O43447|PPIH_HUMAN</t>
  </si>
  <si>
    <t>Peptidyl-prolyl cis-trans isomerase H OS=Homo sapiens OX=9606 GN=PPIH PE=1 SV=1</t>
  </si>
  <si>
    <t>ident:177/194 pos:177/194 query:194 hit:177 align:177 bit:364.0</t>
  </si>
  <si>
    <t>sp|Q16661|GUC2B_HUMAN</t>
  </si>
  <si>
    <t>Guanylate cyclase activator 2B OS=Homo sapiens OX=9606 GN=GUCA2B PE=1 SV=1</t>
  </si>
  <si>
    <t>ident:67/110 pos:78/110 query:110 hit:112 align:91 bit:146.0</t>
  </si>
  <si>
    <t>furin [Zalophus californianus]</t>
  </si>
  <si>
    <t>sp|P09958|FURIN_HUMAN</t>
  </si>
  <si>
    <t>Furin OS=Homo sapiens OX=9606 GN=FURIN PE=1 SV=2</t>
  </si>
  <si>
    <t>ident:748/792 pos:758/792 query:792 hit:794 align:794 bit:1499.2</t>
  </si>
  <si>
    <t>sp|P05198|IF2A_HUMAN</t>
  </si>
  <si>
    <t>Eukaryotic translation initiation factor 2 subunit 1 OS=Homo sapiens OX=9606 GN=EIF2S1 PE=1 SV=3</t>
  </si>
  <si>
    <t>ident:311/315 pos:313/315 query:315 hit:315 align:315 bit:635.6</t>
  </si>
  <si>
    <t>sp|Q9Y5K8|VATD_HUMAN</t>
  </si>
  <si>
    <t>V-type proton ATPase subunit D OS=Homo sapiens OX=9606 GN=ATP6V1D PE=1 SV=1</t>
  </si>
  <si>
    <t>ident:246/247 pos:247/247 query:247 hit:247 align:247 bit:492.7</t>
  </si>
  <si>
    <t>sp|P62330|ARF6_HUMAN</t>
  </si>
  <si>
    <t>ADP-ribosylation factor 6 OS=Homo sapiens OX=9606 GN=ARF6 PE=1 SV=2</t>
  </si>
  <si>
    <t>ident:175/175 pos:175/175 query:175 hit:175 align:175 bit:364.4</t>
  </si>
  <si>
    <t>XP_027426071.1</t>
  </si>
  <si>
    <t>sp|P36957|ODO2_HUMAN</t>
  </si>
  <si>
    <t>Dihydrolipoyllysine-residue succinyltransferase component of 2-oxoglutarate dehydrogenase complex, mitochondrial OS=Homo sapiens OX=9606 GN=DLST PE=1 SV=4</t>
  </si>
  <si>
    <t>ident:429/455 pos:444/455 query:455 hit:453 align:455 bit:788.1</t>
  </si>
  <si>
    <t>XP_027426090.1</t>
  </si>
  <si>
    <t>sp|Q13621|S12A1_HUMAN</t>
  </si>
  <si>
    <t>Solute carrier family 12 member 1 OS=Homo sapiens OX=9606 GN=SLC12A1 PE=1 SV=2</t>
  </si>
  <si>
    <t>ident:1050/1100 pos:1075/1100 query:1100 hit:1099 align:1100 bit:2104.7</t>
  </si>
  <si>
    <t>sp|P17931|LEG3_HUMAN</t>
  </si>
  <si>
    <t>Galectin-3 OS=Homo sapiens OX=9606 GN=LGALS3 PE=1 SV=5</t>
  </si>
  <si>
    <t>ident:211/294 pos:229/294 query:294 hit:250 align:294 bit:391.7</t>
  </si>
  <si>
    <t>sp|Q9UBX5|FBLN5_HUMAN</t>
  </si>
  <si>
    <t>Fibulin-5 OS=Homo sapiens OX=9606 GN=FBLN5 PE=1 SV=1</t>
  </si>
  <si>
    <t>ident:419/426 pos:421/426 query:426 hit:448 align:448 bit:844.0</t>
  </si>
  <si>
    <t>XP_027426193.1</t>
  </si>
  <si>
    <t>sp|P07900|HS90A_HUMAN</t>
  </si>
  <si>
    <t>Heat shock protein HSP 90-alpha OS=Homo sapiens OX=9606 GN=HSP90AA1 PE=1 SV=5</t>
  </si>
  <si>
    <t>ident:689/761 pos:697/761 query:761 hit:732 align:699 bit:1411.7</t>
  </si>
  <si>
    <t>sp|A0A0B4J1X5|HV374_HUMAN</t>
  </si>
  <si>
    <t>Immunoglobulin heavy variable 3-74 OS=Homo sapiens OX=9606 GN=IGHV3-74 PE=3 SV=1</t>
  </si>
  <si>
    <t>ident:102/247 pos:106/247 query:247 hit:117 align:116 bit:210.3</t>
  </si>
  <si>
    <t>sp|Q8IVF2|AHNK2_HUMAN</t>
  </si>
  <si>
    <t>Protein AHNAK2 OS=Homo sapiens OX=9606 GN=AHNAK2 PE=1 SV=2</t>
  </si>
  <si>
    <t>ident:2745/6266 pos:3580/6266 query:6266 hit:5795 align:5433 bit:4543.0</t>
  </si>
  <si>
    <t>sp|Q02809|PLOD1_HUMAN</t>
  </si>
  <si>
    <t>Procollagen-lysine,2-oxoglutarate 5-dioxygenase 1 OS=Homo sapiens OX=9606 GN=PLOD1 PE=1 SV=2</t>
  </si>
  <si>
    <t>ident:682/727 pos:707/727 query:727 hit:727 align:727 bit:1411.4</t>
  </si>
  <si>
    <t>XP_027426211.1</t>
  </si>
  <si>
    <t>sp|P07355|ANXA2_HUMAN</t>
  </si>
  <si>
    <t>Annexin A2 OS=Homo sapiens OX=9606 GN=ANXA2 PE=1 SV=2</t>
  </si>
  <si>
    <t>ident:333/351 pos:336/351 query:351 hit:339 align:339 bit:684.1</t>
  </si>
  <si>
    <t>sp|Q92930|RAB8B_HUMAN</t>
  </si>
  <si>
    <t>Ras-related protein Rab-8B OS=Homo sapiens OX=9606 GN=RAB8B PE=1 SV=2</t>
  </si>
  <si>
    <t>ident:204/207 pos:206/207 query:207 hit:207 align:207 bit:418.7</t>
  </si>
  <si>
    <t>XP_027426267.1</t>
  </si>
  <si>
    <t>sp|P34096|RNAS4_HUMAN</t>
  </si>
  <si>
    <t>Ribonuclease 4 OS=Homo sapiens OX=9606 GN=RNASE4 PE=1 SV=3</t>
  </si>
  <si>
    <t>ident:131/309 pos:136/309 query:309 hit:147 align:146 bit:243.4</t>
  </si>
  <si>
    <t>angiogenin [Zalophus californianus]</t>
  </si>
  <si>
    <t>sp|P03950|ANGI_HUMAN</t>
  </si>
  <si>
    <t>Angiogenin OS=Homo sapiens OX=9606 GN=ANG PE=1 SV=1</t>
  </si>
  <si>
    <t>ident:112/146 pos:130/146 query:146 hit:147 align:145 bit:213.0</t>
  </si>
  <si>
    <t>XP_027426315.1</t>
  </si>
  <si>
    <t>sp|Q9UN36|NDRG2_HUMAN</t>
  </si>
  <si>
    <t>Protein NDRG2 OS=Homo sapiens OX=9606 GN=NDRG2 PE=1 SV=2</t>
  </si>
  <si>
    <t>ident:357/371 pos:364/371 query:371 hit:371 align:371 bit:752.7</t>
  </si>
  <si>
    <t>XP_027426344.1</t>
  </si>
  <si>
    <t>sp|Q86TY3|ARMD4_HUMAN</t>
  </si>
  <si>
    <t>Armadillo-like helical domain-containing protein 4 OS=Homo sapiens OX=9606 GN=ARMH4 PE=1 SV=1</t>
  </si>
  <si>
    <t>ident:578/779 pos:647/779 query:779 hit:774 align:780 bit:1047.3</t>
  </si>
  <si>
    <t>sp|P0DJD8|PEPA3_HUMAN</t>
  </si>
  <si>
    <t>Pepsin A-3 OS=Homo sapiens OX=9606 GN=PGA3 PE=1 SV=1</t>
  </si>
  <si>
    <t>ident:212/381 pos:272/381 query:381 hit:388 align:367 bit:433.3</t>
  </si>
  <si>
    <t>sp|Q9H223|EHD4_HUMAN</t>
  </si>
  <si>
    <t>EH domain-containing protein 4 OS=Homo sapiens OX=9606 GN=EHD4 PE=1 SV=1</t>
  </si>
  <si>
    <t>ident:528/541 pos:536/541 query:541 hit:541 align:541 bit:1097.8</t>
  </si>
  <si>
    <t>XP_027426400.1</t>
  </si>
  <si>
    <t>sp|P11586|C1TC_HUMAN</t>
  </si>
  <si>
    <t>C-1-tetrahydrofolate synthase, cytoplasmic OS=Homo sapiens OX=9606 GN=MTHFD1 PE=1 SV=3</t>
  </si>
  <si>
    <t>ident:878/935 pos:916/935 query:935 hit:935 align:935 bit:1781.9</t>
  </si>
  <si>
    <t>sp|Q92820|GGH_HUMAN</t>
  </si>
  <si>
    <t>Gamma-glutamyl hydrolase OS=Homo sapiens OX=9606 GN=GGH PE=1 SV=2</t>
  </si>
  <si>
    <t>ident:234/319 pos:260/319 query:319 hit:318 align:302 bit:484.2</t>
  </si>
  <si>
    <t>sp|P05386|RLA1_HUMAN</t>
  </si>
  <si>
    <t>60S acidic ribosomal protein P1 OS=Homo sapiens OX=9606 GN=RPLP1 PE=1 SV=1</t>
  </si>
  <si>
    <t>ident:112/114 pos:112/114 query:114 hit:114 align:114 bit:222.2</t>
  </si>
  <si>
    <t>sp|Q9GZM7|TINAL_HUMAN</t>
  </si>
  <si>
    <t>Tubulointerstitial nephritis antigen-like OS=Homo sapiens OX=9606 GN=TINAGL1 PE=1 SV=1</t>
  </si>
  <si>
    <t>ident:414/465 pos:428/465 query:465 hit:467 align:446 bit:867.1</t>
  </si>
  <si>
    <t>sp|P49755|TMEDA_HUMAN</t>
  </si>
  <si>
    <t>Transmembrane emp24 domain-containing protein 10 OS=Homo sapiens OX=9606 GN=TMED10 PE=1 SV=2</t>
  </si>
  <si>
    <t>ident:211/219 pos:215/219 query:219 hit:219 align:219 bit:435.6</t>
  </si>
  <si>
    <t>sp|Q02747|GUC2A_HUMAN</t>
  </si>
  <si>
    <t>Guanylin OS=Homo sapiens OX=9606 GN=GUCA2A PE=1 SV=2</t>
  </si>
  <si>
    <t>ident:82/111 pos:89/111 query:111 hit:115 align:115 bit:160.2</t>
  </si>
  <si>
    <t>sp|P06865|HEXA_HUMAN</t>
  </si>
  <si>
    <t>Beta-hexosaminidase subunit alpha OS=Homo sapiens OX=9606 GN=HEXA PE=1 SV=2</t>
  </si>
  <si>
    <t>ident:440/529 pos:480/529 query:529 hit:529 align:529 bit:918.7</t>
  </si>
  <si>
    <t>sp|Q08170|SRSF4_HUMAN</t>
  </si>
  <si>
    <t>Serine/arginine-rich splicing factor 4 OS=Homo sapiens OX=9606 GN=SRSF4 PE=1 SV=2</t>
  </si>
  <si>
    <t>ident:393/490 pos:411/490 query:490 hit:494 align:456 bit:474.2</t>
  </si>
  <si>
    <t>XP_027426659.1</t>
  </si>
  <si>
    <t>sp|P40227|TCPZ_HUMAN</t>
  </si>
  <si>
    <t>T-complex protein 1 subunit zeta OS=Homo sapiens OX=9606 GN=CCT6A PE=1 SV=3</t>
  </si>
  <si>
    <t>ident:517/531 pos:531/531 query:531 hit:531 align:531 bit:1065.5</t>
  </si>
  <si>
    <t>creatine kinase U-type, mitochondrial isoform X1 [Zalophus californianus]</t>
  </si>
  <si>
    <t>sp|P12532|KCRU_HUMAN</t>
  </si>
  <si>
    <t>Creatine kinase U-type, mitochondrial OS=Homo sapiens OX=9606 GN=CKMT1B PE=1 SV=1</t>
  </si>
  <si>
    <t>ident:408/417 pos:414/417 query:417 hit:417 align:417 bit:845.5</t>
  </si>
  <si>
    <t>sp|P09668|CATH_HUMAN</t>
  </si>
  <si>
    <t>Pro-cathepsin H OS=Homo sapiens OX=9606 GN=CTSH PE=1 SV=4</t>
  </si>
  <si>
    <t>ident:291/335 pos:304/335 query:335 hit:335 align:335 bit:617.8</t>
  </si>
  <si>
    <t>XP_027426676.1</t>
  </si>
  <si>
    <t>sp|P52943|CRIP2_HUMAN</t>
  </si>
  <si>
    <t>Cysteine-rich protein 2 OS=Homo sapiens OX=9606 GN=CRIP2 PE=1 SV=1</t>
  </si>
  <si>
    <t>ident:186/222 pos:190/222 query:222 hit:208 align:200 bit:379.4</t>
  </si>
  <si>
    <t>XP_027426681.1</t>
  </si>
  <si>
    <t>sp|P29122|PCSK6_HUMAN</t>
  </si>
  <si>
    <t>Proprotein convertase subtilisin/kexin type 6 OS=Homo sapiens OX=9606 GN=PCSK6 PE=1 SV=1</t>
  </si>
  <si>
    <t>ident:867/964 pos:896/964 query:964 hit:969 align:930 bit:1808.1</t>
  </si>
  <si>
    <t>XP_027426684.1</t>
  </si>
  <si>
    <t>sp|Q96L96|ALPK3_HUMAN</t>
  </si>
  <si>
    <t>Alpha-protein kinase 3 OS=Homo sapiens OX=9606 GN=ALPK3 PE=1 SV=2</t>
  </si>
  <si>
    <t>ident:1278/1757 pos:1361/1757 query:1757 hit:1907 align:1651 bit:2307.3</t>
  </si>
  <si>
    <t>sp|Q9C002|NMES1_HUMAN</t>
  </si>
  <si>
    <t>Normal mucosa of esophagus-specific gene 1 protein OS=Homo sapiens OX=9606 GN=NMES1 PE=1 SV=1</t>
  </si>
  <si>
    <t>ident:67/83 pos:75/83 query:83 hit:83 align:83 bit:142.5</t>
  </si>
  <si>
    <t>XP_027426708.1</t>
  </si>
  <si>
    <t>sp|P60900|PSA6_HUMAN</t>
  </si>
  <si>
    <t>Proteasome subunit alpha type-6 OS=Homo sapiens OX=9606 GN=PSMA6 PE=1 SV=1</t>
  </si>
  <si>
    <t>ident:245/246 pos:246/246 query:246 hit:246 align:246 bit:512.7</t>
  </si>
  <si>
    <t>sp|P26440|IVD_HUMAN</t>
  </si>
  <si>
    <t>Isovaleryl-CoA dehydrogenase, mitochondrial OS=Homo sapiens OX=9606 GN=IVD PE=1 SV=2</t>
  </si>
  <si>
    <t>ident:394/426 pos:409/426 query:426 hit:426 align:426 bit:822.8</t>
  </si>
  <si>
    <t>XP_027426782.1</t>
  </si>
  <si>
    <t>sp|Q9H4F8|SMOC1_HUMAN</t>
  </si>
  <si>
    <t>SPARC-related modular calcium-binding protein 1 OS=Homo sapiens OX=9606 GN=SMOC1 PE=1 SV=1</t>
  </si>
  <si>
    <t>ident:426/446 pos:430/446 query:446 hit:434 align:446 bit:875.5</t>
  </si>
  <si>
    <t>XP_027426786.1</t>
  </si>
  <si>
    <t>sp|Q9Y639|NPTN_HUMAN</t>
  </si>
  <si>
    <t>Neuroplastin OS=Homo sapiens OX=9606 GN=NPTN PE=1 SV=2</t>
  </si>
  <si>
    <t>ident:389/398 pos:397/398 query:398 hit:398 align:398 bit:816.2</t>
  </si>
  <si>
    <t>sp|P48735|IDHP_HUMAN</t>
  </si>
  <si>
    <t>Isocitrate dehydrogenase [NADP], mitochondrial OS=Homo sapiens OX=9606 GN=IDH2 PE=1 SV=2</t>
  </si>
  <si>
    <t>ident:429/451 pos:442/451 query:451 hit:452 align:451 bit:907.5</t>
  </si>
  <si>
    <t>sp|Q15836|VAMP3_HUMAN</t>
  </si>
  <si>
    <t>Vesicle-associated membrane protein 3 OS=Homo sapiens OX=9606 GN=VAMP3 PE=1 SV=3</t>
  </si>
  <si>
    <t>ident:76/104 pos:79/104 query:104 hit:100 align:82 bit:159.5</t>
  </si>
  <si>
    <t>XP_027426852.1</t>
  </si>
  <si>
    <t>sp|P12814|ACTN1_HUMAN</t>
  </si>
  <si>
    <t>Alpha-actinin-1 OS=Homo sapiens OX=9606 GN=ACTN1 PE=1 SV=2</t>
  </si>
  <si>
    <t>ident:886/914 pos:889/914 query:914 hit:892 align:914 bit:1842.0</t>
  </si>
  <si>
    <t>sp|P13533|MYH6_HUMAN</t>
  </si>
  <si>
    <t>Myosin-6 OS=Homo sapiens OX=9606 GN=MYH6 PE=1 SV=5</t>
  </si>
  <si>
    <t>ident:1871/1939 pos:1900/1939 query:1939 hit:1939 align:1939 bit:3816.5</t>
  </si>
  <si>
    <t>XP_027426865.1</t>
  </si>
  <si>
    <t>sp|O14498|ISLR_HUMAN</t>
  </si>
  <si>
    <t>Immunoglobulin superfamily containing leucine-rich repeat protein OS=Homo sapiens OX=9606 GN=ISLR PE=2 SV=1</t>
  </si>
  <si>
    <t>ident:366/434 pos:374/434 query:434 hit:428 align:401 bit:726.9</t>
  </si>
  <si>
    <t>sp|Q96AZ6|ISG20_HUMAN</t>
  </si>
  <si>
    <t>Interferon-stimulated gene 20 kDa protein OS=Homo sapiens OX=9606 GN=ISG20 PE=1 SV=2</t>
  </si>
  <si>
    <t>ident:141/171 pos:151/171 query:171 hit:181 align:171 bit:288.5</t>
  </si>
  <si>
    <t>sp|P29762|RABP1_HUMAN</t>
  </si>
  <si>
    <t>Cellular retinoic acid-binding protein 1 OS=Homo sapiens OX=9606 GN=CRABP1 PE=1 SV=2</t>
  </si>
  <si>
    <t>ident:137/137 pos:137/137 query:137 hit:137 align:137 bit:287.0</t>
  </si>
  <si>
    <t>XP_027426902.1</t>
  </si>
  <si>
    <t>sp|O95971|BY55_HUMAN</t>
  </si>
  <si>
    <t>CD160 antigen OS=Homo sapiens OX=9606 GN=CD160 PE=1 SV=1</t>
  </si>
  <si>
    <t>ident:128/190 pos:143/190 query:190 hit:181 align:178 bit:257.7</t>
  </si>
  <si>
    <t>sp|P16930|FAAA_HUMAN</t>
  </si>
  <si>
    <t>Fumarylacetoacetase OS=Homo sapiens OX=9606 GN=FAH PE=1 SV=2</t>
  </si>
  <si>
    <t>ident:380/419 pos:399/419 query:419 hit:419 align:419 bit:802.4</t>
  </si>
  <si>
    <t>XP_027426934.1</t>
  </si>
  <si>
    <t>40S ribosomal protein S14-like isoform X3 [Zalophus californianus]</t>
  </si>
  <si>
    <t>sp|P62263|RS14_HUMAN</t>
  </si>
  <si>
    <t>40S ribosomal protein S14 OS=Homo sapiens OX=9606 GN=RPS14 PE=1 SV=3</t>
  </si>
  <si>
    <t>ident:149/151 pos:149/151 query:151 hit:151 align:151 bit:303.9</t>
  </si>
  <si>
    <t>corticosteroid-binding globulin-like isoform X1 [Zalophus californianus]</t>
  </si>
  <si>
    <t>sp|P08185|CBG_HUMAN</t>
  </si>
  <si>
    <t>Corticosteroid-binding globulin OS=Homo sapiens OX=9606 GN=SERPINA6 PE=1 SV=1</t>
  </si>
  <si>
    <t>ident:268/405 pos:310/405 query:405 hit:405 align:392 bit:551.6</t>
  </si>
  <si>
    <t>sp|P60983|GMFB_HUMAN</t>
  </si>
  <si>
    <t>Glia maturation factor beta OS=Homo sapiens OX=9606 GN=GMFB PE=1 SV=2</t>
  </si>
  <si>
    <t>ident:142/142 pos:142/142 query:142 hit:142 align:142 bit:293.9</t>
  </si>
  <si>
    <t>putative transmembrane protein INAFM2 [Zalophus californianus]</t>
  </si>
  <si>
    <t>sp|P0DMQ5|INAM2_HUMAN</t>
  </si>
  <si>
    <t>Putative transmembrane protein INAFM2 OS=Homo sapiens OX=9606 GN=INAFM2 PE=2 SV=1</t>
  </si>
  <si>
    <t>ident:142/152 pos:144/152 query:152 hit:153 align:153 bit:210.3</t>
  </si>
  <si>
    <t>sp|Q96NR8|RDH12_HUMAN</t>
  </si>
  <si>
    <t>Retinol dehydrogenase 12 OS=Homo sapiens OX=9606 GN=RDH12 PE=1 SV=3</t>
  </si>
  <si>
    <t>ident:283/316 pos:297/316 query:316 hit:316 align:316 bit:568.9</t>
  </si>
  <si>
    <t>sp|P14618|KPYM_HUMAN</t>
  </si>
  <si>
    <t>Pyruvate kinase PKM OS=Homo sapiens OX=9606 GN=PKM PE=1 SV=4</t>
  </si>
  <si>
    <t>ident:520/531 pos:525/531 query:531 hit:531 align:531 bit:1077.0</t>
  </si>
  <si>
    <t>sp|Q96EM0|T3HPD_HUMAN</t>
  </si>
  <si>
    <t>Trans-3-hydroxy-L-proline dehydratase OS=Homo sapiens OX=9606 GN=L3HYPDH PE=1 SV=2</t>
  </si>
  <si>
    <t>ident:323/363 pos:337/363 query:363 hit:354 align:354 bit:671.4</t>
  </si>
  <si>
    <t>sp|O75339|CILP1_HUMAN</t>
  </si>
  <si>
    <t>Cartilage intermediate layer protein 1 OS=Homo sapiens OX=9606 GN=CILP PE=1 SV=4</t>
  </si>
  <si>
    <t>ident:1075/1193 pos:1122/1193 query:1193 hit:1184 align:1184 bit:2267.7</t>
  </si>
  <si>
    <t>protein/nucleic acid deglycase DJ-1 [Zalophus californianus]</t>
  </si>
  <si>
    <t>sp|Q99497|PARK7_HUMAN</t>
  </si>
  <si>
    <t>Protein/nucleic acid deglycase DJ-1 OS=Homo sapiens OX=9606 GN=PARK7 PE=1 SV=2</t>
  </si>
  <si>
    <t>ident:182/189 pos:186/189 query:189 hit:189 align:189 bit:370.2</t>
  </si>
  <si>
    <t>XP_027427189.1</t>
  </si>
  <si>
    <t>sp|Q99538|LGMN_HUMAN</t>
  </si>
  <si>
    <t>Legumain OS=Homo sapiens OX=9606 GN=LGMN PE=1 SV=1</t>
  </si>
  <si>
    <t>ident:361/457 pos:393/457 query:457 hit:433 align:421 bit:777.7</t>
  </si>
  <si>
    <t>XP_027427191.1</t>
  </si>
  <si>
    <t>sp|P07998|RNAS1_HUMAN</t>
  </si>
  <si>
    <t>Ribonuclease pancreatic OS=Homo sapiens OX=9606 GN=RNASE1 PE=1 SV=4</t>
  </si>
  <si>
    <t>ident:111/179 pos:125/179 query:179 hit:156 align:152 bit:197.6</t>
  </si>
  <si>
    <t>XP_027427230.1</t>
  </si>
  <si>
    <t>sp|Q9Y281|COF2_HUMAN</t>
  </si>
  <si>
    <t>Cofilin-2 OS=Homo sapiens OX=9606 GN=CFL2 PE=1 SV=1</t>
  </si>
  <si>
    <t>ident:166/166 pos:166/166 query:166 hit:166 align:166 bit:337.0</t>
  </si>
  <si>
    <t>sp|Q6UVK1|CSPG4_HUMAN</t>
  </si>
  <si>
    <t>Chondroitin sulfate proteoglycan 4 OS=Homo sapiens OX=9606 GN=CSPG4 PE=1 SV=2</t>
  </si>
  <si>
    <t>ident:2040/2323 pos:2153/2323 query:2323 hit:2322 align:2323 bit:4008.4</t>
  </si>
  <si>
    <t>XP_027427272.1</t>
  </si>
  <si>
    <t>histone H2A type 2-A [Zalophus californianus]</t>
  </si>
  <si>
    <t>sp|Q6FI13|H2A2A_HUMAN</t>
  </si>
  <si>
    <t>Histone H2A type 2-A OS=Homo sapiens OX=9606 GN=HIST2H2AA4 PE=1 SV=3</t>
  </si>
  <si>
    <t>ident:130/130 pos:130/130 query:130 hit:130 align:130 bit:258.8</t>
  </si>
  <si>
    <t>XP_027427285.1</t>
  </si>
  <si>
    <t>histone H2B type 2-E [Zalophus californianus]</t>
  </si>
  <si>
    <t>sp|Q16778|H2B2E_HUMAN</t>
  </si>
  <si>
    <t>Histone H2B type 2-E OS=Homo sapiens OX=9606 GN=HIST2H2BE PE=1 SV=3</t>
  </si>
  <si>
    <t>ident:126/126 pos:126/126 query:126 hit:126 align:126 bit:254.2</t>
  </si>
  <si>
    <t>sp|P80370|DLK1_HUMAN</t>
  </si>
  <si>
    <t>Protein delta homolog 1 OS=Homo sapiens OX=9606 GN=DLK1 PE=1 SV=3</t>
  </si>
  <si>
    <t>ident:333/383 pos:352/383 query:383 hit:383 align:383 bit:670.6</t>
  </si>
  <si>
    <t>XP_027427320.1</t>
  </si>
  <si>
    <t>prostaglandin reductase 2 isoform X1 [Zalophus californianus]</t>
  </si>
  <si>
    <t>sp|Q8N8N7|PTGR2_HUMAN</t>
  </si>
  <si>
    <t>Prostaglandin reductase 2 OS=Homo sapiens OX=9606 GN=PTGR2 PE=1 SV=1</t>
  </si>
  <si>
    <t>ident:320/351 pos:334/351 query:351 hit:351 align:351 bit:666.0</t>
  </si>
  <si>
    <t>sp|Q99523|SORT_HUMAN</t>
  </si>
  <si>
    <t>Sortilin OS=Homo sapiens OX=9606 GN=SORT1 PE=1 SV=3</t>
  </si>
  <si>
    <t>ident:783/877 pos:801/877 query:877 hit:831 align:833 bit:1555.4</t>
  </si>
  <si>
    <t>sp|P28066|PSA5_HUMAN</t>
  </si>
  <si>
    <t>Proteasome subunit alpha type-5 OS=Homo sapiens OX=9606 GN=PSMA5 PE=1 SV=3</t>
  </si>
  <si>
    <t>ident:241/241 pos:241/241 query:241 hit:241 align:241 bit:498.0</t>
  </si>
  <si>
    <t>XP_027427409.1</t>
  </si>
  <si>
    <t>sp|P11171|41_HUMAN</t>
  </si>
  <si>
    <t>Protein 4.1 OS=Homo sapiens OX=9606 GN=EPB41 PE=1 SV=4</t>
  </si>
  <si>
    <t>ident:675/1079 pos:686/1079 query:1079 hit:864 align:729 bit:1341.2</t>
  </si>
  <si>
    <t>sp|Q9NYL9|TMOD3_HUMAN</t>
  </si>
  <si>
    <t>Tropomodulin-3 OS=Homo sapiens OX=9606 GN=TMOD3 PE=1 SV=1</t>
  </si>
  <si>
    <t>ident:334/352 pos:342/352 query:352 hit:352 align:352 bit:683.7</t>
  </si>
  <si>
    <t>sp|P25789|PSA4_HUMAN</t>
  </si>
  <si>
    <t>Proteasome subunit alpha type-4 OS=Homo sapiens OX=9606 GN=PSMA4 PE=1 SV=1</t>
  </si>
  <si>
    <t>ident:259/261 pos:259/261 query:261 hit:261 align:261 bit:536.2</t>
  </si>
  <si>
    <t>XP_027427483.1</t>
  </si>
  <si>
    <t>sp|P36578|RL4_HUMAN</t>
  </si>
  <si>
    <t>60S ribosomal protein L4 OS=Homo sapiens OX=9606 GN=RPL4 PE=1 SV=5</t>
  </si>
  <si>
    <t>ident:399/420 pos:406/420 query:420 hit:427 align:427 bit:719.5</t>
  </si>
  <si>
    <t>sp|Q08397|LOXL1_HUMAN</t>
  </si>
  <si>
    <t>Lysyl oxidase homolog 1 OS=Homo sapiens OX=9606 GN=LOXL1 PE=1 SV=2</t>
  </si>
  <si>
    <t>ident:531/586 pos:544/586 query:586 hit:574 align:588 bit:995.3</t>
  </si>
  <si>
    <t>sp|P00491|PNPH_HUMAN</t>
  </si>
  <si>
    <t>Purine nucleoside phosphorylase OS=Homo sapiens OX=9606 GN=PNP PE=1 SV=2</t>
  </si>
  <si>
    <t>ident:247/289 pos:265/289 query:289 hit:289 align:289 bit:524.2</t>
  </si>
  <si>
    <t>XP_027427580.1</t>
  </si>
  <si>
    <t>sp|O95433|AHSA1_HUMAN</t>
  </si>
  <si>
    <t>Activator of 90 kDa heat shock protein ATPase homolog 1 OS=Homo sapiens OX=9606 GN=AHSA1 PE=1 SV=1</t>
  </si>
  <si>
    <t>ident:325/338 pos:334/338 query:338 hit:338 align:338 bit:679.1</t>
  </si>
  <si>
    <t>protein-glutamine gamma-glutamyltransferase K [Zalophus californianus]</t>
  </si>
  <si>
    <t>sp|P22735|TGM1_HUMAN</t>
  </si>
  <si>
    <t>Protein-glutamine gamma-glutamyltransferase K OS=Homo sapiens OX=9606 GN=TGM1 PE=1 SV=4</t>
  </si>
  <si>
    <t>ident:748/819 pos:774/819 query:819 hit:817 align:820 bit:1486.5</t>
  </si>
  <si>
    <t>sp|P20674|COX5A_HUMAN</t>
  </si>
  <si>
    <t>Cytochrome c oxidase subunit 5A, mitochondrial OS=Homo sapiens OX=9606 GN=COX5A PE=1 SV=2</t>
  </si>
  <si>
    <t>ident:135/152 pos:140/152 query:152 hit:150 align:152 bit:279.3</t>
  </si>
  <si>
    <t>XP_027427620.1</t>
  </si>
  <si>
    <t>sp|P13804|ETFA_HUMAN</t>
  </si>
  <si>
    <t>Electron transfer flavoprotein subunit alpha, mitochondrial OS=Homo sapiens OX=9606 GN=ETFA PE=1 SV=1</t>
  </si>
  <si>
    <t>ident:303/340 pos:313/340 query:340 hit:333 align:322 bit:621.3</t>
  </si>
  <si>
    <t>XP_027427638.1</t>
  </si>
  <si>
    <t>sp|O60565|GREM1_HUMAN</t>
  </si>
  <si>
    <t>Gremlin-1 OS=Homo sapiens OX=9606 GN=GREM1 PE=1 SV=1</t>
  </si>
  <si>
    <t>ident:182/240 pos:183/240 query:240 hit:184 align:184 bit:379.8</t>
  </si>
  <si>
    <t>XP_027427644.1</t>
  </si>
  <si>
    <t>sp|O15127|SCAM2_HUMAN</t>
  </si>
  <si>
    <t>Secretory carrier-associated membrane protein 2 OS=Homo sapiens OX=9606 GN=SCAMP2 PE=1 SV=2</t>
  </si>
  <si>
    <t>ident:303/372 pos:316/372 query:372 hit:329 align:372 bit:585.5</t>
  </si>
  <si>
    <t>sp|Q93091|RNAS6_HUMAN</t>
  </si>
  <si>
    <t>Ribonuclease K6 OS=Homo sapiens OX=9606 GN=RNASE6 PE=1 SV=2</t>
  </si>
  <si>
    <t>ident:80/153 pos:100/153 query:153 hit:150 align:146 bit:144.8</t>
  </si>
  <si>
    <t>sp|P63104|1433Z_HUMAN</t>
  </si>
  <si>
    <t>14-3-3 protein zeta/delta OS=Homo sapiens OX=9606 GN=YWHAZ PE=1 SV=1</t>
  </si>
  <si>
    <t>ident:245/245 pos:245/245 query:245 hit:245 align:245 bit:502.3</t>
  </si>
  <si>
    <t>ident:84/151 pos:101/151 query:151 hit:150 align:143 bit:169.5</t>
  </si>
  <si>
    <t>XP_027427687.1</t>
  </si>
  <si>
    <t>heterogeneous nuclear ribonucleoproteins C1/C2 isoform X1 [Zalophus californianus]</t>
  </si>
  <si>
    <t>sp|P07910|HNRPC_HUMAN</t>
  </si>
  <si>
    <t>Heterogeneous nuclear ribonucleoproteins C1/C2 OS=Homo sapiens OX=9606 GN=HNRNPC PE=1 SV=4</t>
  </si>
  <si>
    <t>ident:301/307 pos:303/307 query:307 hit:306 align:307 bit:604.4</t>
  </si>
  <si>
    <t>sp|P28074|PSB5_HUMAN</t>
  </si>
  <si>
    <t>Proteasome subunit beta type-5 OS=Homo sapiens OX=9606 GN=PSMB5 PE=1 SV=3</t>
  </si>
  <si>
    <t>ident:254/263 pos:256/263 query:263 hit:263 align:263 bit:514.2</t>
  </si>
  <si>
    <t>XP_027427782.1</t>
  </si>
  <si>
    <t>sp|P50440|GATM_HUMAN</t>
  </si>
  <si>
    <t>Glycine amidinotransferase, mitochondrial OS=Homo sapiens OX=9606 GN=GATM PE=1 SV=1</t>
  </si>
  <si>
    <t>ident:405/423 pos:416/423 query:423 hit:423 align:423 bit:839.3</t>
  </si>
  <si>
    <t>sulfide:quinone oxidoreductase, mitochondrial [Zalophus californianus]</t>
  </si>
  <si>
    <t>sp|Q9Y6N5|SQOR_HUMAN</t>
  </si>
  <si>
    <t>Sulfide:quinone oxidoreductase, mitochondrial OS=Homo sapiens OX=9606 GN=SQOR PE=1 SV=1</t>
  </si>
  <si>
    <t>ident:415/450 pos:432/450 query:450 hit:450 align:450 bit:863.2</t>
  </si>
  <si>
    <t>sp|P08311|CATG_HUMAN</t>
  </si>
  <si>
    <t>Cathepsin G OS=Homo sapiens OX=9606 GN=CTSG PE=1 SV=2</t>
  </si>
  <si>
    <t>ident:150/251 pos:178/251 query:251 hit:255 align:234 bit:295.0</t>
  </si>
  <si>
    <t>sp|P61769|B2MG_HUMAN</t>
  </si>
  <si>
    <t>Beta-2-microglobulin OS=Homo sapiens OX=9606 GN=B2M PE=1 SV=1</t>
  </si>
  <si>
    <t>ident:75/118 pos:89/118 query:118 hit:119 align:101 bit:167.5</t>
  </si>
  <si>
    <t>perilipin-1 [Zalophus californianus]</t>
  </si>
  <si>
    <t>sp|O60240|PLIN1_HUMAN</t>
  </si>
  <si>
    <t>Perilipin-1 OS=Homo sapiens OX=9606 GN=PLIN1 PE=1 SV=2</t>
  </si>
  <si>
    <t>ident:428/515 pos:451/515 query:515 hit:522 align:522 bit:782.7</t>
  </si>
  <si>
    <t>sp|P61916|NPC2_HUMAN</t>
  </si>
  <si>
    <t>NPC intracellular cholesterol transporter 2 OS=Homo sapiens OX=9606 GN=NPC2 PE=1 SV=1</t>
  </si>
  <si>
    <t>ident:121/149 pos:133/149 query:149 hit:151 align:147 bit:233.0</t>
  </si>
  <si>
    <t>papilin [Zalophus californianus]</t>
  </si>
  <si>
    <t>sp|O95428|PPN_HUMAN</t>
  </si>
  <si>
    <t>Papilin OS=Homo sapiens OX=9606 GN=PAPLN PE=2 SV=4</t>
  </si>
  <si>
    <t>ident:988/1277 pos:1068/1277 query:1277 hit:1278 align:1269 bit:1980.3</t>
  </si>
  <si>
    <t>sp|Q06323|PSME1_HUMAN</t>
  </si>
  <si>
    <t>Proteasome activator complex subunit 1 OS=Homo sapiens OX=9606 GN=PSME1 PE=1 SV=1</t>
  </si>
  <si>
    <t>ident:246/249 pos:248/249 query:249 hit:249 align:249 bit:503.1</t>
  </si>
  <si>
    <t>XP_027428090.1</t>
  </si>
  <si>
    <t>sp|Q14257|RCN2_HUMAN</t>
  </si>
  <si>
    <t>Reticulocalbin-2 OS=Homo sapiens OX=9606 GN=RCN2 PE=1 SV=1</t>
  </si>
  <si>
    <t>ident:287/317 pos:298/317 query:317 hit:317 align:317 bit:545.4</t>
  </si>
  <si>
    <t>sp|O43405|COCH_HUMAN</t>
  </si>
  <si>
    <t>Cochlin OS=Homo sapiens OX=9606 GN=COCH PE=1 SV=1</t>
  </si>
  <si>
    <t>ident:531/550 pos:537/550 query:550 hit:550 align:550 bit:1096.7</t>
  </si>
  <si>
    <t>sp|P12277|KCRB_HUMAN</t>
  </si>
  <si>
    <t>Creatine kinase B-type OS=Homo sapiens OX=9606 GN=CKB PE=1 SV=1</t>
  </si>
  <si>
    <t>ident:371/381 pos:377/381 query:381 hit:381 align:381 bit:775.4</t>
  </si>
  <si>
    <t>XP_027428160.1</t>
  </si>
  <si>
    <t>sp|P06737|PYGL_HUMAN</t>
  </si>
  <si>
    <t>Glycogen phosphorylase, liver form OS=Homo sapiens OX=9606 GN=PYGL PE=1 SV=4</t>
  </si>
  <si>
    <t>ident:796/903 pos:828/903 query:903 hit:847 align:850 bit:1627.5</t>
  </si>
  <si>
    <t>lactadherin [Zalophus californianus]</t>
  </si>
  <si>
    <t>sp|Q08431|MFGM_HUMAN</t>
  </si>
  <si>
    <t>Lactadherin OS=Homo sapiens OX=9606 GN=MFGE8 PE=1 SV=3</t>
  </si>
  <si>
    <t>ident:243/430 pos:278/430 query:430 hit:387 align:362 bit:511.1</t>
  </si>
  <si>
    <t>XP_027428290.1</t>
  </si>
  <si>
    <t>sp|O94760|DDAH1_HUMAN</t>
  </si>
  <si>
    <t>N(G),N(G)-dimethylarginine dimethylaminohydrolase 1 OS=Homo sapiens OX=9606 GN=DDAH1 PE=1 SV=3</t>
  </si>
  <si>
    <t>ident:270/285 pos:277/285 query:285 hit:285 align:285 bit:557.8</t>
  </si>
  <si>
    <t>XP_027428304.1</t>
  </si>
  <si>
    <t>sp|P46776|RL27A_HUMAN</t>
  </si>
  <si>
    <t>60S ribosomal protein L27a OS=Homo sapiens OX=9606 GN=RPL27A PE=1 SV=2</t>
  </si>
  <si>
    <t>ident:141/148 pos:143/148 query:148 hit:148 align:148 bit:288.1</t>
  </si>
  <si>
    <t>sp|P05186|PPBT_HUMAN</t>
  </si>
  <si>
    <t>Alkaline phosphatase, tissue-nonspecific isozyme OS=Homo sapiens OX=9606 GN=ALPL PE=1 SV=4</t>
  </si>
  <si>
    <t>ident:468/524 pos:491/524 query:524 hit:524 align:504 bit:995.3</t>
  </si>
  <si>
    <t>sp|Q00796|DHSO_HUMAN</t>
  </si>
  <si>
    <t>Sorbitol dehydrogenase OS=Homo sapiens OX=9606 GN=SORD PE=1 SV=4</t>
  </si>
  <si>
    <t>ident:318/356 pos:339/356 query:356 hit:357 align:355 bit:664.1</t>
  </si>
  <si>
    <t>sp|Q9P2T1|GMPR2_HUMAN</t>
  </si>
  <si>
    <t>GMP reductase 2 OS=Homo sapiens OX=9606 GN=GMPR2 PE=1 SV=1</t>
  </si>
  <si>
    <t>ident:331/349 pos:343/349 query:349 hit:348 align:347 bit:689.9</t>
  </si>
  <si>
    <t>sp|Q9UL46|PSME2_HUMAN</t>
  </si>
  <si>
    <t>Proteasome activator complex subunit 2 OS=Homo sapiens OX=9606 GN=PSME2 PE=1 SV=4</t>
  </si>
  <si>
    <t>ident:231/239 pos:235/239 query:239 hit:239 align:239 bit:475.3</t>
  </si>
  <si>
    <t>XP_027428463.1</t>
  </si>
  <si>
    <t>sp|Q86V88|MGDP1_HUMAN</t>
  </si>
  <si>
    <t>Magnesium-dependent phosphatase 1 OS=Homo sapiens OX=9606 GN=MDP1 PE=1 SV=1</t>
  </si>
  <si>
    <t>ident:142/164 pos:153/164 query:164 hit:176 align:164 bit:303.1</t>
  </si>
  <si>
    <t>XP_027428467.1</t>
  </si>
  <si>
    <t>sp|Q15843|NEDD8_HUMAN</t>
  </si>
  <si>
    <t>NEDD8 OS=Homo sapiens OX=9606 GN=NEDD8 PE=1 SV=1</t>
  </si>
  <si>
    <t>ident:81/81 pos:81/81 query:81 hit:81 align:81 bit:159.8</t>
  </si>
  <si>
    <t>sp|P05408|7B2_HUMAN</t>
  </si>
  <si>
    <t>Neuroendocrine protein 7B2 OS=Homo sapiens OX=9606 GN=SCG5 PE=1 SV=2</t>
  </si>
  <si>
    <t>ident:198/212 pos:202/212 query:212 hit:212 align:212 bit:416.8</t>
  </si>
  <si>
    <t>sp|P20142|PEPC_HUMAN</t>
  </si>
  <si>
    <t>Gastricsin OS=Homo sapiens OX=9606 GN=PGC PE=1 SV=1</t>
  </si>
  <si>
    <t>ident:236/449 pos:297/449 query:449 hit:388 align:375 bit:500.0</t>
  </si>
  <si>
    <t>sp|P29622|KAIN_HUMAN</t>
  </si>
  <si>
    <t>Kallistatin OS=Homo sapiens OX=9606 GN=SERPINA4 PE=1 SV=3</t>
  </si>
  <si>
    <t>ident:309/427 pos:364/427 query:427 hit:427 align:426 bit:612.1</t>
  </si>
  <si>
    <t>XP_027428571.1</t>
  </si>
  <si>
    <t>sp|P07357|CO8A_HUMAN</t>
  </si>
  <si>
    <t>Complement component C8 alpha chain OS=Homo sapiens OX=9606 GN=C8A PE=1 SV=2</t>
  </si>
  <si>
    <t>ident:473/605 pos:524/605 query:605 hit:584 align:605 bit:958.7</t>
  </si>
  <si>
    <t>sp|O43278|SPIT1_HUMAN</t>
  </si>
  <si>
    <t>Kunitz-type protease inhibitor 1 OS=Homo sapiens OX=9606 GN=SPINT1 PE=1 SV=2</t>
  </si>
  <si>
    <t>ident:423/527 pos:456/527 query:527 hit:529 align:542 bit:788.1</t>
  </si>
  <si>
    <t>XP_027428591.1</t>
  </si>
  <si>
    <t>sp|Q96HE7|ERO1A_HUMAN</t>
  </si>
  <si>
    <t>ERO1-like protein alpha OS=Homo sapiens OX=9606 GN=ERO1A PE=1 SV=2</t>
  </si>
  <si>
    <t>ident:451/468 pos:458/468 query:468 hit:468 align:468 bit:938.7</t>
  </si>
  <si>
    <t>XP_027428593.1</t>
  </si>
  <si>
    <t>sp|P62333|PRS10_HUMAN</t>
  </si>
  <si>
    <t>26S proteasome regulatory subunit 10B OS=Homo sapiens OX=9606 GN=PSMC6 PE=1 SV=1</t>
  </si>
  <si>
    <t>ident:389/403 pos:389/403 query:403 hit:389 align:389 bit:795.8</t>
  </si>
  <si>
    <t>sp|Q86T13|CLC14_HUMAN</t>
  </si>
  <si>
    <t>C-type lectin domain family 14 member A OS=Homo sapiens OX=9606 GN=CLEC14A PE=1 SV=1</t>
  </si>
  <si>
    <t>ident:393/489 pos:415/489 query:489 hit:490 align:490 bit:770.0</t>
  </si>
  <si>
    <t>sp|P15144|AMPN_HUMAN</t>
  </si>
  <si>
    <t>Aminopeptidase N OS=Homo sapiens OX=9606 GN=ANPEP PE=1 SV=4</t>
  </si>
  <si>
    <t>ident:751/974 pos:843/974 query:974 hit:967 align:974 bit:1545.4</t>
  </si>
  <si>
    <t>sp|Q13113|PDZ1I_HUMAN</t>
  </si>
  <si>
    <t>PDZK1-interacting protein 1 OS=Homo sapiens OX=9606 GN=PDZK1IP1 PE=1 SV=1</t>
  </si>
  <si>
    <t>ident:96/113 pos:103/113 query:113 hit:114 align:114 bit:191.0</t>
  </si>
  <si>
    <t>sp|P62937|PPIA_HUMAN</t>
  </si>
  <si>
    <t>Peptidyl-prolyl cis-trans isomerase A OS=Homo sapiens OX=9606 GN=PPIA PE=1 SV=2</t>
  </si>
  <si>
    <t>ident:120/121 pos:121/121 query:121 hit:165 align:121 bit:251.5</t>
  </si>
  <si>
    <t>sp|P08123|CO1A2_HUMAN</t>
  </si>
  <si>
    <t>Collagen alpha-2(I) chain OS=Homo sapiens OX=9606 GN=COL1A2 PE=1 SV=7</t>
  </si>
  <si>
    <t>ident:1281/1367 pos:1314/1367 query:1367 hit:1366 align:1367 bit:1764.6</t>
  </si>
  <si>
    <t>sp|P07478|TRY2_HUMAN</t>
  </si>
  <si>
    <t>Trypsin-2 OS=Homo sapiens OX=9606 GN=PRSS2 PE=1 SV=1</t>
  </si>
  <si>
    <t>ident:174/217 pos:195/217 query:217 hit:247 align:216 bit:370.5</t>
  </si>
  <si>
    <t>XP_027428865.1</t>
  </si>
  <si>
    <t>sp|Q99969|RARR2_HUMAN</t>
  </si>
  <si>
    <t>Retinoic acid receptor responder protein 2 OS=Homo sapiens OX=9606 GN=RARRES2 PE=1 SV=1</t>
  </si>
  <si>
    <t>ident:129/226 pos:146/226 query:226 hit:163 align:163 bit:271.2</t>
  </si>
  <si>
    <t>XP_027428940.1</t>
  </si>
  <si>
    <t>sp|P00533|EGFR_HUMAN</t>
  </si>
  <si>
    <t>Epidermal growth factor receptor OS=Homo sapiens OX=9606 GN=EGFR PE=1 SV=2</t>
  </si>
  <si>
    <t>ident:1110/1207 pos:1154/1207 query:1207 hit:1210 align:1210 bit:2257.6</t>
  </si>
  <si>
    <t>XP_027428984.1</t>
  </si>
  <si>
    <t>sp|Q9H3S4|TPK1_HUMAN</t>
  </si>
  <si>
    <t>Thiamin pyrophosphokinase 1 OS=Homo sapiens OX=9606 GN=TPK1 PE=1 SV=1</t>
  </si>
  <si>
    <t>ident:212/243 pos:225/243 query:243 hit:243 align:243 bit:445.7</t>
  </si>
  <si>
    <t>sp|P35998|PRS7_HUMAN</t>
  </si>
  <si>
    <t>26S proteasome regulatory subunit 7 OS=Homo sapiens OX=9606 GN=PSMC2 PE=1 SV=3</t>
  </si>
  <si>
    <t>ident:433/433 pos:433/433 query:433 hit:433 align:433 bit:888.6</t>
  </si>
  <si>
    <t>sp|Q9UBF2|COPG2_HUMAN</t>
  </si>
  <si>
    <t>Coatomer subunit gamma-2 OS=Homo sapiens OX=9606 GN=COPG2 PE=1 SV=1</t>
  </si>
  <si>
    <t>ident:845/871 pos:863/871 query:871 hit:871 align:871 bit:1761.9</t>
  </si>
  <si>
    <t>sp|P48052|CBPA2_HUMAN</t>
  </si>
  <si>
    <t>Carboxypeptidase A2 OS=Homo sapiens OX=9606 GN=CPA2 PE=1 SV=3</t>
  </si>
  <si>
    <t>ident:375/417 pos:394/417 query:417 hit:419 align:417 bit:798.1</t>
  </si>
  <si>
    <t>XP_027429015.1</t>
  </si>
  <si>
    <t>sp|Q02218|ODO1_HUMAN</t>
  </si>
  <si>
    <t>2-oxoglutarate dehydrogenase, mitochondrial OS=Homo sapiens OX=9606 GN=OGDH PE=1 SV=3</t>
  </si>
  <si>
    <t>ident:993/1038 pos:1009/1038 query:1038 hit:1023 align:1038 bit:2081.6</t>
  </si>
  <si>
    <t>XP_027429025.1</t>
  </si>
  <si>
    <t>sp|Q96HN2|SAHH3_HUMAN</t>
  </si>
  <si>
    <t>Adenosylhomocysteinase 3 OS=Homo sapiens OX=9606 GN=AHCYL2 PE=1 SV=1</t>
  </si>
  <si>
    <t>ident:604/611 pos:605/611 query:611 hit:611 align:611 bit:1263.4</t>
  </si>
  <si>
    <t>sp|Q9UM22|EPDR1_HUMAN</t>
  </si>
  <si>
    <t>Mammalian ependymin-related protein 1 OS=Homo sapiens OX=9606 GN=EPDR1 PE=1 SV=2</t>
  </si>
  <si>
    <t>ident:183/249 pos:195/249 query:249 hit:224 align:249 bit:356.3</t>
  </si>
  <si>
    <t>XP_027429085.1</t>
  </si>
  <si>
    <t>sp|P0DP58|LYNX1_HUMAN</t>
  </si>
  <si>
    <t>Ly-6/neurotoxin-like protein 1 OS=Homo sapiens OX=9606 GN=LYNX1 PE=1 SV=1</t>
  </si>
  <si>
    <t>ident:99/172 pos:104/172 query:172 hit:116 align:116 bit:187.2</t>
  </si>
  <si>
    <t>zyxin [Zalophus californianus]</t>
  </si>
  <si>
    <t>sp|Q15942|ZYX_HUMAN</t>
  </si>
  <si>
    <t>Zyxin OS=Homo sapiens OX=9606 GN=ZYX PE=1 SV=1</t>
  </si>
  <si>
    <t>ident:518/577 pos:530/577 query:577 hit:572 align:581 bit:839.7</t>
  </si>
  <si>
    <t>XP_027429254.1</t>
  </si>
  <si>
    <t>sp|P08183|MDR1_HUMAN</t>
  </si>
  <si>
    <t>Multidrug resistance protein 1 OS=Homo sapiens OX=9606 GN=ABCB1 PE=1 SV=3</t>
  </si>
  <si>
    <t>ident:1161/1280 pos:1218/1280 query:1280 hit:1280 align:1281 bit:2362.0</t>
  </si>
  <si>
    <t>lymphocyte antigen 6H-like [Zalophus californianus]</t>
  </si>
  <si>
    <t>sp|Q16553|LY6E_HUMAN</t>
  </si>
  <si>
    <t>Lymphocyte antigen 6E OS=Homo sapiens OX=9606 GN=LY6E PE=2 SV=1</t>
  </si>
  <si>
    <t>ident:36/137 pos:55/137 query:137 hit:131 align:117 bit:38.9</t>
  </si>
  <si>
    <t>Poor_match</t>
  </si>
  <si>
    <t>sp|Q14210|LY6D_HUMAN</t>
  </si>
  <si>
    <t>Lymphocyte antigen 6D OS=Homo sapiens OX=9606 GN=LY6D PE=1 SV=1</t>
  </si>
  <si>
    <t>ident:79/128 pos:100/128 query:128 hit:128 align:128 bit:120.2</t>
  </si>
  <si>
    <t>sp|P07477|TRY1_HUMAN</t>
  </si>
  <si>
    <t>Trypsin-1 OS=Homo sapiens OX=9606 GN=PRSS1 PE=1 SV=1</t>
  </si>
  <si>
    <t>ident:170/246 pos:200/246 query:246 hit:247 align:246 bit:371.3</t>
  </si>
  <si>
    <t>anterior gradient protein 2 homolog [Zalophus californianus]</t>
  </si>
  <si>
    <t>sp|O95994|AGR2_HUMAN</t>
  </si>
  <si>
    <t>Anterior gradient protein 2 homolog OS=Homo sapiens OX=9606 GN=AGR2 PE=1 SV=1</t>
  </si>
  <si>
    <t>ident:167/175 pos:169/175 query:175 hit:175 align:175 bit:343.6</t>
  </si>
  <si>
    <t>sp|P55000|SLUR1_HUMAN</t>
  </si>
  <si>
    <t>Secreted Ly-6/uPAR-related protein 1 OS=Homo sapiens OX=9606 GN=SLURP1 PE=1 SV=2</t>
  </si>
  <si>
    <t>ident:60/103 pos:77/103 query:103 hit:103 align:98 bit:133.7</t>
  </si>
  <si>
    <t>XP_027429369.1</t>
  </si>
  <si>
    <t>phosphatidylcholine translocator ABCB4 isoform X1 [Zalophus californianus]</t>
  </si>
  <si>
    <t>sp|P21439|MDR3_HUMAN</t>
  </si>
  <si>
    <t>Phosphatidylcholine translocator ABCB4 OS=Homo sapiens OX=9606 GN=ABCB4 PE=1 SV=2</t>
  </si>
  <si>
    <t>ident:1171/1280 pos:1229/1280 query:1280 hit:1286 align:1288 bit:2395.2</t>
  </si>
  <si>
    <t>XP_027429381.1</t>
  </si>
  <si>
    <t>myomesin-3 isoform X1 [Zalophus californianus]</t>
  </si>
  <si>
    <t>sp|Q5VTT5|MYOM3_HUMAN</t>
  </si>
  <si>
    <t>Myomesin-3 OS=Homo sapiens OX=9606 GN=MYOM3 PE=1 SV=1</t>
  </si>
  <si>
    <t>ident:1268/1449 pos:1350/1449 query:1449 hit:1437 align:1437 bit:2540.8</t>
  </si>
  <si>
    <t>sp|Q9Y2Q3|GSTK1_HUMAN</t>
  </si>
  <si>
    <t>Glutathione S-transferase kappa 1 OS=Homo sapiens OX=9606 GN=GSTK1 PE=1 SV=3</t>
  </si>
  <si>
    <t>ident:192/226 pos:214/226 query:226 hit:226 align:226 bit:416.4</t>
  </si>
  <si>
    <t>sp|P12273|PIP_HUMAN</t>
  </si>
  <si>
    <t>Prolactin-inducible protein OS=Homo sapiens OX=9606 GN=PIP PE=1 SV=1</t>
  </si>
  <si>
    <t>ident:82/145 pos:104/145 query:145 hit:146 align:145 bit:154.8</t>
  </si>
  <si>
    <t>cytochrome c [Zalophus californianus]</t>
  </si>
  <si>
    <t>sp|P99999|CYC_HUMAN</t>
  </si>
  <si>
    <t>Cytochrome c OS=Homo sapiens OX=9606 GN=CYCS PE=1 SV=2</t>
  </si>
  <si>
    <t>ident:94/105 pos:98/105 query:105 hit:105 align:105 bit:196.4</t>
  </si>
  <si>
    <t>heterogeneous nuclear ribonucleoproteins A2/B1 isoform X1 [Zalophus californianus]</t>
  </si>
  <si>
    <t>sp|P22626|ROA2_HUMAN</t>
  </si>
  <si>
    <t>Heterogeneous nuclear ribonucleoproteins A2/B1 OS=Homo sapiens OX=9606 GN=HNRNPA2B1 PE=1 SV=2</t>
  </si>
  <si>
    <t>ident:353/353 pos:353/353 query:353 hit:353 align:353 bit:690.3</t>
  </si>
  <si>
    <t>XP_027429423.1</t>
  </si>
  <si>
    <t>chromobox protein homolog 3 [Zalophus californianus]</t>
  </si>
  <si>
    <t>sp|Q13185|CBX3_HUMAN</t>
  </si>
  <si>
    <t>Chromobox protein homolog 3 OS=Homo sapiens OX=9606 GN=CBX3 PE=1 SV=4</t>
  </si>
  <si>
    <t>ident:183/183 pos:183/183 query:183 hit:183 align:183 bit:373.6</t>
  </si>
  <si>
    <t>sp|P47755|CAZA2_HUMAN</t>
  </si>
  <si>
    <t>F-actin-capping protein subunit alpha-2 OS=Homo sapiens OX=9606 GN=CAPZA2 PE=1 SV=3</t>
  </si>
  <si>
    <t>ident:283/286 pos:284/286 query:286 hit:286 align:286 bit:593.2</t>
  </si>
  <si>
    <t>XP_027429527.1</t>
  </si>
  <si>
    <t>sp|P48307|TFPI2_HUMAN</t>
  </si>
  <si>
    <t>Tissue factor pathway inhibitor 2 OS=Homo sapiens OX=9606 GN=TFPI2 PE=1 SV=1</t>
  </si>
  <si>
    <t>ident:138/239 pos:155/239 query:239 hit:235 align:193 bit:282.0</t>
  </si>
  <si>
    <t>sterile alpha motif domain-containing protein 9-like [Zalophus californianus]</t>
  </si>
  <si>
    <t>sp|Q8IVG5|SAM9L_HUMAN</t>
  </si>
  <si>
    <t>Sterile alpha motif domain-containing protein 9-like OS=Homo sapiens OX=9606 GN=SAMD9L PE=1 SV=2</t>
  </si>
  <si>
    <t>ident:1236/1584 pos:1398/1584 query:1584 hit:1584 align:1585 bit:2546.5</t>
  </si>
  <si>
    <t>XP_027429584.1</t>
  </si>
  <si>
    <t>sp|P54289|CA2D1_HUMAN</t>
  </si>
  <si>
    <t>Voltage-dependent calcium channel subunit alpha-2/delta-1 OS=Homo sapiens OX=9606 GN=CACNA2D1 PE=1 SV=3</t>
  </si>
  <si>
    <t>ident:1073/1105 pos:1085/1105 query:1105 hit:1103 align:1107 bit:2221.4</t>
  </si>
  <si>
    <t>XP_027429595.1</t>
  </si>
  <si>
    <t>transmembrane emp24 domain-containing protein 4 isoform X1 [Zalophus californianus]</t>
  </si>
  <si>
    <t>sp|Q7Z7H5|TMED4_HUMAN</t>
  </si>
  <si>
    <t>Transmembrane emp24 domain-containing protein 4 OS=Homo sapiens OX=9606 GN=TMED4 PE=1 SV=1</t>
  </si>
  <si>
    <t>ident:214/235 pos:219/235 query:235 hit:227 align:229 bit:428.7</t>
  </si>
  <si>
    <t>sp|P15259|PGAM2_HUMAN</t>
  </si>
  <si>
    <t>Phosphoglycerate mutase 2 OS=Homo sapiens OX=9606 GN=PGAM2 PE=1 SV=3</t>
  </si>
  <si>
    <t>ident:239/253 pos:246/253 query:253 hit:253 align:253 bit:504.6</t>
  </si>
  <si>
    <t>XP_027429640.1</t>
  </si>
  <si>
    <t>sp|P21709|EPHA1_HUMAN</t>
  </si>
  <si>
    <t>Ephrin type-A receptor 1 OS=Homo sapiens OX=9606 GN=EPHA1 PE=1 SV=4</t>
  </si>
  <si>
    <t>ident:875/976 pos:914/976 query:976 hit:976 align:976 bit:1748.4</t>
  </si>
  <si>
    <t>sp|Q14314|FGL2_HUMAN</t>
  </si>
  <si>
    <t>Fibroleukin OS=Homo sapiens OX=9606 GN=FGL2 PE=1 SV=1</t>
  </si>
  <si>
    <t>ident:392/440 pos:413/440 query:440 hit:439 align:440 bit:825.9</t>
  </si>
  <si>
    <t>pro-neuropeptide Y [Zalophus californianus]</t>
  </si>
  <si>
    <t>sp|P01303|NPY_HUMAN</t>
  </si>
  <si>
    <t>Pro-neuropeptide Y OS=Homo sapiens OX=9606 GN=NPY PE=1 SV=1</t>
  </si>
  <si>
    <t>ident:95/97 pos:97/97 query:97 hit:97 align:97 bit:194.1</t>
  </si>
  <si>
    <t>sp|P58546|MTPN_HUMAN</t>
  </si>
  <si>
    <t>Myotrophin OS=Homo sapiens OX=9606 GN=MTPN PE=1 SV=2</t>
  </si>
  <si>
    <t>ident:118/118 pos:118/118 query:118 hit:118 align:118 bit:241.9</t>
  </si>
  <si>
    <t>sp|O00592|PODXL_HUMAN</t>
  </si>
  <si>
    <t>Podocalyxin OS=Homo sapiens OX=9606 GN=PODXL PE=1 SV=2</t>
  </si>
  <si>
    <t>ident:228/569 pos:269/569 query:569 hit:558 align:414 bit:394.8</t>
  </si>
  <si>
    <t>XP_027429748.1</t>
  </si>
  <si>
    <t>LOW QUALITY PROTEIN: vacuolar protein sorting-associated protein 4A-like [Zalophus californianus]</t>
  </si>
  <si>
    <t>sp|Q9UN37|VPS4A_HUMAN</t>
  </si>
  <si>
    <t>Vacuolar protein sorting-associated protein 4A OS=Homo sapiens OX=9606 GN=VPS4A PE=1 SV=1</t>
  </si>
  <si>
    <t>ident:433/437 pos:436/437 query:437 hit:437 align:437 bit:902.9</t>
  </si>
  <si>
    <t>uridine phosphorylase 1 isoform X1 [Zalophus californianus]</t>
  </si>
  <si>
    <t>sp|Q16831|UPP1_HUMAN</t>
  </si>
  <si>
    <t>Uridine phosphorylase 1 OS=Homo sapiens OX=9606 GN=UPP1 PE=1 SV=1</t>
  </si>
  <si>
    <t>ident:220/316 pos:269/316 query:316 hit:310 align:310 bit:478.8</t>
  </si>
  <si>
    <t>sp|P63096|GNAI1_HUMAN</t>
  </si>
  <si>
    <t>Guanine nucleotide-binding protein G(i) subunit alpha-1 OS=Homo sapiens OX=9606 GN=GNAI1 PE=1 SV=2</t>
  </si>
  <si>
    <t>ident:353/354 pos:353/354 query:354 hit:354 align:354 bit:734.6</t>
  </si>
  <si>
    <t>sp|P08833|IBP1_HUMAN</t>
  </si>
  <si>
    <t>Insulin-like growth factor-binding protein 1 OS=Homo sapiens OX=9606 GN=IGFBP1 PE=1 SV=1</t>
  </si>
  <si>
    <t>ident:164/255 pos:192/255 query:255 hit:259 align:263 bit:300.8</t>
  </si>
  <si>
    <t>XP_027429876.1</t>
  </si>
  <si>
    <t>solute carrier family 13 member 1 isoform X1 [Zalophus californianus]</t>
  </si>
  <si>
    <t>sp|Q9BZW2|S13A1_HUMAN</t>
  </si>
  <si>
    <t>Solute carrier family 13 member 1 OS=Homo sapiens OX=9606 GN=SLC13A1 PE=1 SV=1</t>
  </si>
  <si>
    <t>ident:524/592 pos:550/592 query:592 hit:595 align:595 bit:1027.3</t>
  </si>
  <si>
    <t>sp|O75223|GGCT_HUMAN</t>
  </si>
  <si>
    <t>Gamma-glutamylcyclotransferase OS=Homo sapiens OX=9606 GN=GGCT PE=1 SV=1</t>
  </si>
  <si>
    <t>ident:162/188 pos:174/188 query:188 hit:188 align:187 bit:342.0</t>
  </si>
  <si>
    <t>sp|P13667|PDIA4_HUMAN</t>
  </si>
  <si>
    <t>Protein disulfide-isomerase A4 OS=Homo sapiens OX=9606 GN=PDIA4 PE=1 SV=2</t>
  </si>
  <si>
    <t>ident:561/640 pos:598/640 query:640 hit:645 align:645 bit:1105.1</t>
  </si>
  <si>
    <t>sp|P25787|PSA2_HUMAN</t>
  </si>
  <si>
    <t>Proteasome subunit alpha type-2 OS=Homo sapiens OX=9606 GN=PSMA2 PE=1 SV=2</t>
  </si>
  <si>
    <t>ident:234/234 pos:234/234 query:234 hit:234 align:234 bit:486.1</t>
  </si>
  <si>
    <t>XP_027429978.1</t>
  </si>
  <si>
    <t>sp|Q71UI9|H2AV_HUMAN</t>
  </si>
  <si>
    <t>Histone H2A.V OS=Homo sapiens OX=9606 GN=H2AFV PE=1 SV=3</t>
  </si>
  <si>
    <t>ident:128/128 pos:128/128 query:128 hit:128 align:128 bit:251.9</t>
  </si>
  <si>
    <t>XP_027429998.1</t>
  </si>
  <si>
    <t>sp|Q9NPH0|PPA6_HUMAN</t>
  </si>
  <si>
    <t>Lysophosphatidic acid phosphatase type 6 OS=Homo sapiens OX=9606 GN=ACP6 PE=1 SV=3</t>
  </si>
  <si>
    <t>ident:354/429 pos:385/429 query:429 hit:428 align:429 bit:724.2</t>
  </si>
  <si>
    <t>sp|P30085|KCY_HUMAN</t>
  </si>
  <si>
    <t>UMP-CMP kinase OS=Homo sapiens OX=9606 GN=CMPK1 PE=1 SV=3</t>
  </si>
  <si>
    <t>ident:193/228 pos:195/228 query:228 hit:196 align:196 bit:398.3</t>
  </si>
  <si>
    <t>protein FAM3C [Zalophus californianus]</t>
  </si>
  <si>
    <t>sp|Q92520|FAM3C_HUMAN</t>
  </si>
  <si>
    <t>Protein FAM3C OS=Homo sapiens OX=9606 GN=FAM3C PE=1 SV=1</t>
  </si>
  <si>
    <t>ident:224/227 pos:226/227 query:227 hit:227 align:227 bit:465.7</t>
  </si>
  <si>
    <t>sp|P29972|AQP1_HUMAN</t>
  </si>
  <si>
    <t>Aquaporin-1 OS=Homo sapiens OX=9606 GN=AQP1 PE=1 SV=3</t>
  </si>
  <si>
    <t>ident:247/271 pos:257/271 query:271 hit:269 align:271 bit:499.2</t>
  </si>
  <si>
    <t>sp|P11233|RALA_HUMAN</t>
  </si>
  <si>
    <t>Ras-related protein Ral-A OS=Homo sapiens OX=9606 GN=RALA PE=1 SV=1</t>
  </si>
  <si>
    <t>ident:204/206 pos:205/206 query:206 hit:206 align:206 bit:419.5</t>
  </si>
  <si>
    <t>XP_027430296.1</t>
  </si>
  <si>
    <t>caldesmon isoform X1 [Zalophus californianus]</t>
  </si>
  <si>
    <t>sp|Q05682|CALD1_HUMAN</t>
  </si>
  <si>
    <t>Caldesmon OS=Homo sapiens OX=9606 GN=CALD1 PE=1 SV=3</t>
  </si>
  <si>
    <t>ident:221/745 pos:249/745 query:745 hit:793 align:291 bit:266.2</t>
  </si>
  <si>
    <t>sp|P30626|SORCN_HUMAN</t>
  </si>
  <si>
    <t>Sorcin OS=Homo sapiens OX=9606 GN=SRI PE=1 SV=1</t>
  </si>
  <si>
    <t>ident:195/198 pos:197/198 query:198 hit:198 align:198 bit:407.9</t>
  </si>
  <si>
    <t>sp|Q9UGI8|TES_HUMAN</t>
  </si>
  <si>
    <t>Testin OS=Homo sapiens OX=9606 GN=TES PE=1 SV=1</t>
  </si>
  <si>
    <t>ident:398/421 pos:405/421 query:421 hit:421 align:421 bit:829.3</t>
  </si>
  <si>
    <t>sp|P15121|ALDR_HUMAN</t>
  </si>
  <si>
    <t>Aldo-keto reductase family 1 member B1 OS=Homo sapiens OX=9606 GN=AKR1B1 PE=1 SV=3</t>
  </si>
  <si>
    <t>ident:282/316 pos:301/316 query:316 hit:316 align:316 bit:570.5</t>
  </si>
  <si>
    <t>XP_027430406.1</t>
  </si>
  <si>
    <t>putative RNA-binding protein Luc7-like 2 isoform X1 [Zalophus californianus]</t>
  </si>
  <si>
    <t>sp|Q9Y383|LC7L2_HUMAN</t>
  </si>
  <si>
    <t>Putative RNA-binding protein Luc7-like 2 OS=Homo sapiens OX=9606 GN=LUC7L2 PE=1 SV=2</t>
  </si>
  <si>
    <t>ident:388/392 pos:390/392 query:392 hit:392 align:392 bit:757.7</t>
  </si>
  <si>
    <t>sp|P53004|BIEA_HUMAN</t>
  </si>
  <si>
    <t>Biliverdin reductase A OS=Homo sapiens OX=9606 GN=BLVRA PE=1 SV=2</t>
  </si>
  <si>
    <t>ident:276/296 pos:288/296 query:296 hit:296 align:296 bit:543.9</t>
  </si>
  <si>
    <t>XP_027430444.1</t>
  </si>
  <si>
    <t>sp|Q14315|FLNC_HUMAN</t>
  </si>
  <si>
    <t>Filamin-C OS=Homo sapiens OX=9606 GN=FLNC PE=1 SV=3</t>
  </si>
  <si>
    <t>ident:2666/2719 pos:2686/2719 query:2719 hit:2725 align:2726 bit:5432.8</t>
  </si>
  <si>
    <t>XP_027430451.1</t>
  </si>
  <si>
    <t>sp|P13569|CFTR_HUMAN</t>
  </si>
  <si>
    <t>Cystic fibrosis transmembrane conductance regulator OS=Homo sapiens OX=9606 GN=CFTR PE=1 SV=3</t>
  </si>
  <si>
    <t>ident:1349/1482 pos:1416/1482 query:1482 hit:1480 align:1483 bit:2734.1</t>
  </si>
  <si>
    <t>sp|P17936|IBP3_HUMAN</t>
  </si>
  <si>
    <t>Insulin-like growth factor-binding protein 3 OS=Homo sapiens OX=9606 GN=IGFBP3 PE=1 SV=2</t>
  </si>
  <si>
    <t>ident:242/293 pos:261/293 query:293 hit:291 align:293 bit:479.9</t>
  </si>
  <si>
    <t>sp|Q8WW52|F151A_HUMAN</t>
  </si>
  <si>
    <t>Protein FAM151A OS=Homo sapiens OX=9606 GN=FAM151A PE=2 SV=2</t>
  </si>
  <si>
    <t>ident:427/589 pos:488/589 query:589 hit:585 align:589 bit:852.0</t>
  </si>
  <si>
    <t>sp|P15085|CBPA1_HUMAN</t>
  </si>
  <si>
    <t>Carboxypeptidase A1 OS=Homo sapiens OX=9606 GN=CPA1 PE=1 SV=2</t>
  </si>
  <si>
    <t>ident:344/556 pos:369/556 query:556 hit:419 align:397 bit:733.0</t>
  </si>
  <si>
    <t>XP_027430577.1</t>
  </si>
  <si>
    <t>sp|Q9HBG4|VPP4_HUMAN</t>
  </si>
  <si>
    <t>V-type proton ATPase 116 kDa subunit a isoform 4 OS=Homo sapiens OX=9606 GN=ATP6V0A4 PE=1 SV=2</t>
  </si>
  <si>
    <t>ident:756/840 pos:790/840 query:840 hit:840 align:840 bit:1574.3</t>
  </si>
  <si>
    <t>sp|P07942|LAMB1_HUMAN</t>
  </si>
  <si>
    <t>Laminin subunit beta-1 OS=Homo sapiens OX=9606 GN=LAMB1 PE=1 SV=2</t>
  </si>
  <si>
    <t>ident:1671/1786 pos:1735/1786 query:1786 hit:1786 align:1786 bit:3499.9</t>
  </si>
  <si>
    <t>sp|P09622|DLDH_HUMAN</t>
  </si>
  <si>
    <t>Dihydrolipoyl dehydrogenase, mitochondrial OS=Homo sapiens OX=9606 GN=DLD PE=1 SV=2</t>
  </si>
  <si>
    <t>ident:501/509 pos:506/509 query:509 hit:509 align:509 bit:1032.7</t>
  </si>
  <si>
    <t>sp|Q9UJU6|DBNL_HUMAN</t>
  </si>
  <si>
    <t>Drebrin-like protein OS=Homo sapiens OX=9606 GN=DBNL PE=1 SV=1</t>
  </si>
  <si>
    <t>ident:366/426 pos:389/426 query:426 hit:430 align:437 bit:694.9</t>
  </si>
  <si>
    <t>XP_027430642.1</t>
  </si>
  <si>
    <t>sp|Q07020|RL18_HUMAN</t>
  </si>
  <si>
    <t>60S ribosomal protein L18 OS=Homo sapiens OX=9606 GN=RPL18 PE=1 SV=2</t>
  </si>
  <si>
    <t>ident:184/188 pos:187/188 query:188 hit:188 align:188 bit:372.1</t>
  </si>
  <si>
    <t>XP_027430644.1</t>
  </si>
  <si>
    <t>sp|P23786|CPT2_HUMAN</t>
  </si>
  <si>
    <t>Carnitine O-palmitoyltransferase 2, mitochondrial OS=Homo sapiens OX=9606 GN=CPT2 PE=1 SV=2</t>
  </si>
  <si>
    <t>ident:583/659 pos:623/659 query:659 hit:658 align:659 bit:1237.6</t>
  </si>
  <si>
    <t>bisphosphoglycerate mutase [Zalophus californianus]</t>
  </si>
  <si>
    <t>sp|P07738|PMGE_HUMAN</t>
  </si>
  <si>
    <t>Bisphosphoglycerate mutase OS=Homo sapiens OX=9606 GN=BPGM PE=1 SV=2</t>
  </si>
  <si>
    <t>ident:244/260 pos:252/260 query:260 hit:259 align:256 bit:511.5</t>
  </si>
  <si>
    <t>XP_027430728.1</t>
  </si>
  <si>
    <t>sp|Q2UY09|COSA1_HUMAN</t>
  </si>
  <si>
    <t>Collagen alpha-1(XXVIII) chain OS=Homo sapiens OX=9606 GN=COL28A1 PE=2 SV=2</t>
  </si>
  <si>
    <t>ident:986/1148 pos:1049/1148 query:1148 hit:1125 align:1148 bit:1657.5</t>
  </si>
  <si>
    <t>sp|Q16181|SEPT7_HUMAN</t>
  </si>
  <si>
    <t>Septin-7 OS=Homo sapiens OX=9606 GN=SEPT7 PE=1 SV=2</t>
  </si>
  <si>
    <t>ident:433/434 pos:433/434 query:434 hit:437 align:437 bit:895.2</t>
  </si>
  <si>
    <t>XP_027430800.1</t>
  </si>
  <si>
    <t>sp|Q9BRK3|MXRA8_HUMAN</t>
  </si>
  <si>
    <t>Matrix remodeling-associated protein 8 OS=Homo sapiens OX=9606 GN=MXRA8 PE=1 SV=1</t>
  </si>
  <si>
    <t>ident:369/445 pos:386/445 query:445 hit:442 align:432 bit:691.8</t>
  </si>
  <si>
    <t>XP_027430801.1</t>
  </si>
  <si>
    <t>sp|O43451|MGA_HUMAN</t>
  </si>
  <si>
    <t>Maltase-glucoamylase, intestinal OS=Homo sapiens OX=9606 GN=MGAM PE=1 SV=5</t>
  </si>
  <si>
    <t>ident:1584/1837 pos:1708/1837 query:1837 hit:1857 align:1857 bit:3341.2</t>
  </si>
  <si>
    <t>ephrin type-B receptor 6 isoform X1 [Zalophus californianus]</t>
  </si>
  <si>
    <t>sp|O15197|EPHB6_HUMAN</t>
  </si>
  <si>
    <t>Ephrin type-B receptor 6 OS=Homo sapiens OX=9606 GN=EPHB6 PE=1 SV=4</t>
  </si>
  <si>
    <t>ident:941/1014 pos:972/1014 query:1014 hit:1021 align:1023 bit:1826.6</t>
  </si>
  <si>
    <t>XP_027430864.1</t>
  </si>
  <si>
    <t>sp|Q6FHJ7|SFRP4_HUMAN</t>
  </si>
  <si>
    <t>Secreted frizzled-related protein 4 OS=Homo sapiens OX=9606 GN=SFRP4 PE=1 SV=2</t>
  </si>
  <si>
    <t>ident:332/346 pos:337/346 query:346 hit:346 align:346 bit:647.1</t>
  </si>
  <si>
    <t>sp|Q14956|GPNMB_HUMAN</t>
  </si>
  <si>
    <t>Transmembrane glycoprotein NMB OS=Homo sapiens OX=9606 GN=GPNMB PE=1 SV=2</t>
  </si>
  <si>
    <t>ident:428/556 pos:475/556 query:556 hit:572 align:569 bit:825.9</t>
  </si>
  <si>
    <t>sp|P43490|NAMPT_HUMAN</t>
  </si>
  <si>
    <t>Nicotinamide phosphoribosyltransferase OS=Homo sapiens OX=9606 GN=NAMPT PE=1 SV=1</t>
  </si>
  <si>
    <t>ident:468/491 pos:483/491 query:491 hit:491 align:491 bit:951.8</t>
  </si>
  <si>
    <t>sp|Q16563|SYPL1_HUMAN</t>
  </si>
  <si>
    <t>Synaptophysin-like protein 1 OS=Homo sapiens OX=9606 GN=SYPL1 PE=1 SV=1</t>
  </si>
  <si>
    <t>ident:228/257 pos:238/257 query:257 hit:259 align:259 bit:468.0</t>
  </si>
  <si>
    <t>XP_027430922.1</t>
  </si>
  <si>
    <t>sp|Q9HD15|SRA1_HUMAN</t>
  </si>
  <si>
    <t>Steroid receptor RNA activator 1 OS=Homo sapiens OX=9606 GN=SRA1 PE=1 SV=1</t>
  </si>
  <si>
    <t>ident:186/220 pos:205/220 query:220 hit:236 align:220 bit:356.3</t>
  </si>
  <si>
    <t>XP_027430953.1</t>
  </si>
  <si>
    <t>sp|Q9UGT4|SUSD2_HUMAN</t>
  </si>
  <si>
    <t>Sushi domain-containing protein 2 OS=Homo sapiens OX=9606 GN=SUSD2 PE=1 SV=1</t>
  </si>
  <si>
    <t>ident:629/831 pos:696/831 query:831 hit:822 align:814 bit:1286.2</t>
  </si>
  <si>
    <t>sp|Q15459|SF3A1_HUMAN</t>
  </si>
  <si>
    <t>Splicing factor 3A subunit 1 OS=Homo sapiens OX=9606 GN=SF3A1 PE=1 SV=1</t>
  </si>
  <si>
    <t>ident:782/793 pos:787/793 query:793 hit:793 align:793 bit:1563.5</t>
  </si>
  <si>
    <t>XP_027431012.1</t>
  </si>
  <si>
    <t>sp|Q16820|MEP1B_HUMAN</t>
  </si>
  <si>
    <t>Meprin A subunit beta OS=Homo sapiens OX=9606 GN=MEP1B PE=1 SV=3</t>
  </si>
  <si>
    <t>ident:602/704 pos:640/704 query:704 hit:701 align:704 bit:1261.9</t>
  </si>
  <si>
    <t>XP_027431057.1</t>
  </si>
  <si>
    <t>sp|P48739|PIPNB_HUMAN</t>
  </si>
  <si>
    <t>Phosphatidylinositol transfer protein beta isoform OS=Homo sapiens OX=9606 GN=PITPNB PE=1 SV=2</t>
  </si>
  <si>
    <t>ident:263/272 pos:266/272 query:272 hit:271 align:269 bit:554.3</t>
  </si>
  <si>
    <t>XP_027431086.1</t>
  </si>
  <si>
    <t>sp|P54578|UBP14_HUMAN</t>
  </si>
  <si>
    <t>Ubiquitin carboxyl-terminal hydrolase 14 OS=Homo sapiens OX=9606 GN=USP14 PE=1 SV=3</t>
  </si>
  <si>
    <t>ident:489/494 pos:492/494 query:494 hit:494 align:494 bit:1018.5</t>
  </si>
  <si>
    <t>XP_027431096.1</t>
  </si>
  <si>
    <t>sp|Q9NNW7|TRXR2_HUMAN</t>
  </si>
  <si>
    <t>Thioredoxin reductase 2, mitochondrial OS=Homo sapiens OX=9606 GN=TXNRD2 PE=1 SV=3</t>
  </si>
  <si>
    <t>ident:451/523 pos:485/523 query:523 hit:524 align:524 bit:902.9</t>
  </si>
  <si>
    <t>sp|P04066|FUCO_HUMAN</t>
  </si>
  <si>
    <t>Tissue alpha-L-fucosidase OS=Homo sapiens OX=9606 GN=FUCA1 PE=1 SV=4</t>
  </si>
  <si>
    <t>ident:377/467 pos:404/467 query:467 hit:466 align:439 bit:798.5</t>
  </si>
  <si>
    <t>sp|Q7LBR1|CHM1B_HUMAN</t>
  </si>
  <si>
    <t>Charged multivesicular body protein 1b OS=Homo sapiens OX=9606 GN=CHMP1B PE=1 SV=1</t>
  </si>
  <si>
    <t>ident:196/199 pos:197/199 query:199 hit:199 align:199 bit:397.9</t>
  </si>
  <si>
    <t>sp|Q96FE7|P3IP1_HUMAN</t>
  </si>
  <si>
    <t>Phosphoinositide-3-kinase-interacting protein 1 OS=Homo sapiens OX=9606 GN=PIK3IP1 PE=1 SV=2</t>
  </si>
  <si>
    <t>ident:223/288 pos:237/288 query:288 hit:263 align:295 bit:423.7</t>
  </si>
  <si>
    <t>sp|Q08554|DSC1_HUMAN</t>
  </si>
  <si>
    <t>Desmocollin-1 OS=Homo sapiens OX=9606 GN=DSC1 PE=1 SV=2</t>
  </si>
  <si>
    <t>ident:740/1001 pos:801/1001 query:1001 hit:894 align:870 bit:1538.1</t>
  </si>
  <si>
    <t>XP_027431203.1</t>
  </si>
  <si>
    <t>oxidation resistance protein 1 isoform X1 [Zalophus californianus]</t>
  </si>
  <si>
    <t>sp|Q8N573|OXR1_HUMAN</t>
  </si>
  <si>
    <t>Oxidation resistance protein 1 OS=Homo sapiens OX=9606 GN=OXR1 PE=1 SV=2</t>
  </si>
  <si>
    <t>ident:786/873 pos:816/873 query:873 hit:874 align:867 bit:1568.1</t>
  </si>
  <si>
    <t>sp|P05546|HEP2_HUMAN</t>
  </si>
  <si>
    <t>Heparin cofactor 2 OS=Homo sapiens OX=9606 GN=SERPIND1 PE=1 SV=3</t>
  </si>
  <si>
    <t>ident:424/496 pos:452/496 query:496 hit:499 align:499 bit:883.2</t>
  </si>
  <si>
    <t>XP_027431236.1</t>
  </si>
  <si>
    <t>sp|P28827|PTPRM_HUMAN</t>
  </si>
  <si>
    <t>Receptor-type tyrosine-protein phosphatase mu OS=Homo sapiens OX=9606 GN=PTPRM PE=1 SV=2</t>
  </si>
  <si>
    <t>ident:1428/1507 pos:1445/1507 query:1507 hit:1452 align:1507 bit:2977.2</t>
  </si>
  <si>
    <t>sp|P05091|ALDH2_HUMAN</t>
  </si>
  <si>
    <t>Aldehyde dehydrogenase, mitochondrial OS=Homo sapiens OX=9606 GN=ALDH2 PE=1 SV=2</t>
  </si>
  <si>
    <t>ident:491/521 pos:505/521 query:521 hit:517 align:521 bit:1025.0</t>
  </si>
  <si>
    <t>XP_027431502.1</t>
  </si>
  <si>
    <t>sp|Q9Y2J2|E41L3_HUMAN</t>
  </si>
  <si>
    <t>Band 4.1-like protein 3 OS=Homo sapiens OX=9606 GN=EPB41L3 PE=1 SV=2</t>
  </si>
  <si>
    <t>ident:482/976 pos:495/976 query:976 hit:1087 align:514 bit:910.2</t>
  </si>
  <si>
    <t>XP_027431603.1</t>
  </si>
  <si>
    <t>sp|Q96KN2|CNDP1_HUMAN</t>
  </si>
  <si>
    <t>Beta-Ala-His dipeptidase OS=Homo sapiens OX=9606 GN=CNDP1 PE=1 SV=4</t>
  </si>
  <si>
    <t>ident:425/507 pos:464/507 query:507 hit:507 align:508 bit:865.5</t>
  </si>
  <si>
    <t>XP_027431619.1</t>
  </si>
  <si>
    <t>sp|Q9P0L0|VAPA_HUMAN</t>
  </si>
  <si>
    <t>Vesicle-associated membrane protein-associated protein A OS=Homo sapiens OX=9606 GN=VAPA PE=1 SV=3</t>
  </si>
  <si>
    <t>ident:244/294 pos:245/294 query:294 hit:249 align:294 bit:485.3</t>
  </si>
  <si>
    <t>XP_027431653.1</t>
  </si>
  <si>
    <t>sp|P52179|MYOM1_HUMAN</t>
  </si>
  <si>
    <t>Myomesin-1 OS=Homo sapiens OX=9606 GN=MYOM1 PE=1 SV=2</t>
  </si>
  <si>
    <t>ident:1496/1787 pos:1580/1787 query:1787 hit:1685 align:1694 bit:3085.4</t>
  </si>
  <si>
    <t>XP_027431657.1</t>
  </si>
  <si>
    <t>sp|O14950|ML12B_HUMAN</t>
  </si>
  <si>
    <t>Myosin regulatory light chain 12B OS=Homo sapiens OX=9606 GN=MYL12B PE=1 SV=2</t>
  </si>
  <si>
    <t>ident:170/178 pos:171/178 query:178 hit:172 align:172 bit:351.3</t>
  </si>
  <si>
    <t>sp|P19440|GGT1_HUMAN</t>
  </si>
  <si>
    <t>Glutathione hydrolase 1 proenzyme OS=Homo sapiens OX=9606 GN=GGT1 PE=1 SV=2</t>
  </si>
  <si>
    <t>ident:478/569 pos:513/569 query:569 hit:569 align:547 bit:997.3</t>
  </si>
  <si>
    <t>sp|Q8NHP8|PLBL2_HUMAN</t>
  </si>
  <si>
    <t>Putative phospholipase B-like 2 OS=Homo sapiens OX=9606 GN=PLBD2 PE=1 SV=2</t>
  </si>
  <si>
    <t>ident:494/589 pos:530/589 query:589 hit:589 align:589 bit:990.7</t>
  </si>
  <si>
    <t>XP_027431740.1</t>
  </si>
  <si>
    <t>sp|P0CG04|IGLC1_HUMAN</t>
  </si>
  <si>
    <t>Immunoglobulin lambda constant 1 OS=Homo sapiens OX=9606 GN=IGLC1 PE=1 SV=1</t>
  </si>
  <si>
    <t>ident:83/191 pos:92/191 query:191 hit:106 align:106 bit:166.8</t>
  </si>
  <si>
    <t>sp|P25705|ATPA_HUMAN</t>
  </si>
  <si>
    <t>ATP synthase subunit alpha, mitochondrial OS=Homo sapiens OX=9606 GN=ATP5F1A PE=1 SV=1</t>
  </si>
  <si>
    <t>ident:540/553 pos:547/553 query:553 hit:553 align:553 bit:1095.1</t>
  </si>
  <si>
    <t>XP_027431766.1</t>
  </si>
  <si>
    <t>sp|Q15020|SART3_HUMAN</t>
  </si>
  <si>
    <t>Squamous cell carcinoma antigen recognized by T-cells 3 OS=Homo sapiens OX=9606 GN=SART3 PE=1 SV=1</t>
  </si>
  <si>
    <t>ident:877/981 pos:912/981 query:981 hit:963 align:982 bit:1739.9</t>
  </si>
  <si>
    <t>sp|P19022|CADH2_HUMAN</t>
  </si>
  <si>
    <t>Cadherin-2 OS=Homo sapiens OX=9606 GN=CDH2 PE=1 SV=4</t>
  </si>
  <si>
    <t>ident:886/906 pos:897/906 query:906 hit:906 align:906 bit:1827.8</t>
  </si>
  <si>
    <t>sp|P29728|OAS2_HUMAN</t>
  </si>
  <si>
    <t>2'-5'-oligoadenylate synthase 2 OS=Homo sapiens OX=9606 GN=OAS2 PE=1 SV=3</t>
  </si>
  <si>
    <t>ident:503/711 pos:578/711 query:711 hit:719 align:712 bit:1012.3</t>
  </si>
  <si>
    <t>XP_027431878.1</t>
  </si>
  <si>
    <t>sp|P50452|SPB8_HUMAN</t>
  </si>
  <si>
    <t>Serpin B8 OS=Homo sapiens OX=9606 GN=SERPINB8 PE=1 SV=2</t>
  </si>
  <si>
    <t>ident:313/414 pos:339/414 query:414 hit:374 align:374 bit:634.8</t>
  </si>
  <si>
    <t>XP_027431958.1</t>
  </si>
  <si>
    <t>sp|Q9ULV4|COR1C_HUMAN</t>
  </si>
  <si>
    <t>Coronin-1C OS=Homo sapiens OX=9606 GN=CORO1C PE=1 SV=1</t>
  </si>
  <si>
    <t>ident:467/496 pos:471/496 query:496 hit:474 align:474 bit:980.7</t>
  </si>
  <si>
    <t>XP_027431973.1</t>
  </si>
  <si>
    <t>sp|P68036|UB2L3_HUMAN</t>
  </si>
  <si>
    <t>Ubiquitin-conjugating enzyme E2 L3 OS=Homo sapiens OX=9606 GN=UBE2L3 PE=1 SV=1</t>
  </si>
  <si>
    <t>ident:154/178 pos:154/178 query:178 hit:154 align:178 bit:305.8</t>
  </si>
  <si>
    <t>sp|P16615|AT2A2_HUMAN</t>
  </si>
  <si>
    <t>Sarcoplasmic/endoplasmic reticulum calcium ATPase 2 OS=Homo sapiens OX=9606 GN=ATP2A2 PE=1 SV=1</t>
  </si>
  <si>
    <t>ident:982/997 pos:991/997 query:997 hit:1042 align:994 bit:2030.4</t>
  </si>
  <si>
    <t>tyrosine-protein kinase Yes [Zalophus californianus]</t>
  </si>
  <si>
    <t>sp|P07947|YES_HUMAN</t>
  </si>
  <si>
    <t>Tyrosine-protein kinase Yes OS=Homo sapiens OX=9606 GN=YES1 PE=1 SV=3</t>
  </si>
  <si>
    <t>ident:531/541 pos:535/541 query:541 hit:543 align:543 bit:1107.0</t>
  </si>
  <si>
    <t>cytosolic non-specific dipeptidase [Zalophus californianus]</t>
  </si>
  <si>
    <t>sp|Q96KP4|CNDP2_HUMAN</t>
  </si>
  <si>
    <t>Cytosolic non-specific dipeptidase OS=Homo sapiens OX=9606 GN=CNDP2 PE=1 SV=2</t>
  </si>
  <si>
    <t>ident:431/473 pos:461/473 query:473 hit:475 align:473 bit:909.8</t>
  </si>
  <si>
    <t>sp|P15090|FABP4_HUMAN</t>
  </si>
  <si>
    <t>Fatty acid-binding protein, adipocyte OS=Homo sapiens OX=9606 GN=FABP4 PE=1 SV=3</t>
  </si>
  <si>
    <t>ident:125/132 pos:127/132 query:132 hit:132 align:132 bit:253.4</t>
  </si>
  <si>
    <t>sp|Q0Z7S8|FABP9_HUMAN</t>
  </si>
  <si>
    <t>Fatty acid-binding protein 9 OS=Homo sapiens OX=9606 GN=FABP9 PE=1 SV=1</t>
  </si>
  <si>
    <t>ident:99/132 pos:117/132 query:132 hit:132 align:132 bit:209.5</t>
  </si>
  <si>
    <t>sp|P30046|DOPD_HUMAN</t>
  </si>
  <si>
    <t>D-dopachrome decarboxylase OS=Homo sapiens OX=9606 GN=DDT PE=1 SV=3</t>
  </si>
  <si>
    <t>ident:102/118 pos:107/118 query:118 hit:118 align:118 bit:210.3</t>
  </si>
  <si>
    <t>sp|Q9ULB5|CADH7_HUMAN</t>
  </si>
  <si>
    <t>Cadherin-7 OS=Homo sapiens OX=9606 GN=CDH7 PE=2 SV=2</t>
  </si>
  <si>
    <t>ident:777/785 pos:782/785 query:785 hit:785 align:785 bit:1605.1</t>
  </si>
  <si>
    <t>sp|Q92890|UFD1_HUMAN</t>
  </si>
  <si>
    <t>Ubiquitin recognition factor in ER-associated degradation protein 1 OS=Homo sapiens OX=9606 GN=UFD1 PE=1 SV=3</t>
  </si>
  <si>
    <t>ident:306/307 pos:306/307 query:307 hit:307 align:307 bit:636.7</t>
  </si>
  <si>
    <t>sp|P00167|CYB5_HUMAN</t>
  </si>
  <si>
    <t>Cytochrome b5 OS=Homo sapiens OX=9606 GN=CYB5A PE=1 SV=2</t>
  </si>
  <si>
    <t>ident:118/134 pos:125/134 query:134 hit:134 align:134 bit:250.0</t>
  </si>
  <si>
    <t>XP_027432175.1</t>
  </si>
  <si>
    <t>sp|Q96GP6|SREC2_HUMAN</t>
  </si>
  <si>
    <t>Scavenger receptor class F member 2 OS=Homo sapiens OX=9606 GN=SCARF2 PE=1 SV=5</t>
  </si>
  <si>
    <t>ident:802/870 pos:815/870 query:870 hit:871 align:871 bit:1362.8</t>
  </si>
  <si>
    <t>sp|P48595|SPB10_HUMAN</t>
  </si>
  <si>
    <t>Serpin B10 OS=Homo sapiens OX=9606 GN=SERPINB10 PE=1 SV=1</t>
  </si>
  <si>
    <t>ident:321/397 pos:357/397 query:397 hit:397 align:397 bit:678.3</t>
  </si>
  <si>
    <t>protein ERGIC-53 [Zalophus californianus]</t>
  </si>
  <si>
    <t>sp|P49257|LMAN1_HUMAN</t>
  </si>
  <si>
    <t>Protein ERGIC-53 OS=Homo sapiens OX=9606 GN=LMAN1 PE=1 SV=2</t>
  </si>
  <si>
    <t>ident:469/518 pos:492/518 query:518 hit:510 align:518 bit:950.7</t>
  </si>
  <si>
    <t>XP_027432210.1</t>
  </si>
  <si>
    <t>sp|Q01844|EWS_HUMAN</t>
  </si>
  <si>
    <t>RNA-binding protein EWS OS=Homo sapiens OX=9606 GN=EWSR1 PE=1 SV=1</t>
  </si>
  <si>
    <t>ident:649/1056 pos:651/1056 query:1056 hit:656 align:659 bit:1249.6</t>
  </si>
  <si>
    <t>sp|P46109|CRKL_HUMAN</t>
  </si>
  <si>
    <t>Crk-like protein OS=Homo sapiens OX=9606 GN=CRKL PE=1 SV=1</t>
  </si>
  <si>
    <t>ident:296/303 pos:299/303 query:303 hit:303 align:303 bit:620.2</t>
  </si>
  <si>
    <t>sp|P32754|HPPD_HUMAN</t>
  </si>
  <si>
    <t>4-hydroxyphenylpyruvate dioxygenase OS=Homo sapiens OX=9606 GN=HPD PE=1 SV=2</t>
  </si>
  <si>
    <t>ident:357/393 pos:378/393 query:393 hit:393 align:393 bit:757.7</t>
  </si>
  <si>
    <t>sp|P49591|SYSC_HUMAN</t>
  </si>
  <si>
    <t>Serine--tRNA ligase, cytoplasmic OS=Homo sapiens OX=9606 GN=SARS PE=1 SV=3</t>
  </si>
  <si>
    <t>ident:499/513 pos:505/513 query:513 hit:514 align:514 bit:1035.8</t>
  </si>
  <si>
    <t>XP_027432264.1</t>
  </si>
  <si>
    <t>40S ribosomal protein S25-like isoform X2 [Zalophus californianus]</t>
  </si>
  <si>
    <t>sp|P62851|RS25_HUMAN</t>
  </si>
  <si>
    <t>40S ribosomal protein S25 OS=Homo sapiens OX=9606 GN=RPS25 PE=1 SV=1</t>
  </si>
  <si>
    <t>ident:124/125 pos:125/125 query:125 hit:125 align:125 bit:244.6</t>
  </si>
  <si>
    <t>sp|Q9UBR1|BUP1_HUMAN</t>
  </si>
  <si>
    <t>Beta-ureidopropionase OS=Homo sapiens OX=9606 GN=UPB1 PE=1 SV=1</t>
  </si>
  <si>
    <t>ident:346/384 pos:366/384 query:384 hit:384 align:384 bit:736.5</t>
  </si>
  <si>
    <t>sp|Q4V9L6|TM119_HUMAN</t>
  </si>
  <si>
    <t>Transmembrane protein 119 OS=Homo sapiens OX=9606 GN=TMEM119 PE=1 SV=1</t>
  </si>
  <si>
    <t>ident:201/279 pos:213/279 query:279 hit:283 align:255 bit:352.1</t>
  </si>
  <si>
    <t>sp|P63167|DYL1_HUMAN</t>
  </si>
  <si>
    <t>Dynein light chain 1, cytoplasmic OS=Homo sapiens OX=9606 GN=DYNLL1 PE=1 SV=1</t>
  </si>
  <si>
    <t>ident:89/89 pos:89/89 query:89 hit:89 align:89 bit:189.1</t>
  </si>
  <si>
    <t>sp|P02766|TTHY_HUMAN</t>
  </si>
  <si>
    <t>Transthyretin OS=Homo sapiens OX=9606 GN=TTR PE=1 SV=1</t>
  </si>
  <si>
    <t>ident:126/147 pos:138/147 query:147 hit:147 align:147 bit:244.2</t>
  </si>
  <si>
    <t>XP_027432327.1</t>
  </si>
  <si>
    <t>sp|O75351|VPS4B_HUMAN</t>
  </si>
  <si>
    <t>Vacuolar protein sorting-associated protein 4B OS=Homo sapiens OX=9606 GN=VPS4B PE=1 SV=2</t>
  </si>
  <si>
    <t>ident:426/444 pos:434/444 query:444 hit:444 align:444 bit:884.8</t>
  </si>
  <si>
    <t>sp|P25774|CATS_HUMAN</t>
  </si>
  <si>
    <t>Cathepsin S OS=Homo sapiens OX=9606 GN=CTSS PE=1 SV=3</t>
  </si>
  <si>
    <t>ident:293/340 pos:312/340 query:340 hit:331 align:330 bit:622.9</t>
  </si>
  <si>
    <t>XP_027432336.1</t>
  </si>
  <si>
    <t>sp|P04054|PA21B_HUMAN</t>
  </si>
  <si>
    <t>Phospholipase A2 OS=Homo sapiens OX=9606 GN=PLA2G1B PE=1 SV=3</t>
  </si>
  <si>
    <t>ident:113/147 pos:121/147 query:147 hit:148 align:130 bit:240.3</t>
  </si>
  <si>
    <t>XP_027432356.1</t>
  </si>
  <si>
    <t>sp|Q9H9H4|VP37B_HUMAN</t>
  </si>
  <si>
    <t>Vacuolar protein sorting-associated protein 37B OS=Homo sapiens OX=9606 GN=VPS37B PE=1 SV=1</t>
  </si>
  <si>
    <t>ident:260/287 pos:269/287 query:287 hit:285 align:287 bit:434.5</t>
  </si>
  <si>
    <t>XP_027432382.1</t>
  </si>
  <si>
    <t>sp|O43776|SYNC_HUMAN</t>
  </si>
  <si>
    <t>Asparagine--tRNA ligase, cytoplasmic OS=Homo sapiens OX=9606 GN=NARS PE=1 SV=1</t>
  </si>
  <si>
    <t>ident:524/559 pos:544/559 query:559 hit:548 align:548 bit:1108.6</t>
  </si>
  <si>
    <t>sp|P36952|SPB5_HUMAN</t>
  </si>
  <si>
    <t>Serpin B5 OS=Homo sapiens OX=9606 GN=SERPINB5 PE=1 SV=2</t>
  </si>
  <si>
    <t>ident:343/375 pos:362/375 query:375 hit:375 align:375 bit:717.2</t>
  </si>
  <si>
    <t>sp|P10916|MLRV_HUMAN</t>
  </si>
  <si>
    <t>Myosin regulatory light chain 2, ventricular/cardiac muscle isoform OS=Homo sapiens OX=9606 GN=MYL2 PE=1 SV=3</t>
  </si>
  <si>
    <t>ident:162/166 pos:165/166 query:166 hit:166 align:166 bit:331.6</t>
  </si>
  <si>
    <t>sp|P30086|PEBP1_HUMAN</t>
  </si>
  <si>
    <t>Phosphatidylethanolamine-binding protein 1 OS=Homo sapiens OX=9606 GN=PEBP1 PE=1 SV=3</t>
  </si>
  <si>
    <t>ident:172/187 pos:174/187 query:187 hit:187 align:187 bit:353.6</t>
  </si>
  <si>
    <t>twisted gastrulation protein homolog 1 [Zalophus californianus]</t>
  </si>
  <si>
    <t>sp|Q9GZX9|TWSG1_HUMAN</t>
  </si>
  <si>
    <t>Twisted gastrulation protein homolog 1 OS=Homo sapiens OX=9606 GN=TWSG1 PE=1 SV=1</t>
  </si>
  <si>
    <t>ident:215/223 pos:218/223 query:223 hit:223 align:223 bit:444.5</t>
  </si>
  <si>
    <t>XP_027432525.1</t>
  </si>
  <si>
    <t>sp|Q10567|AP1B1_HUMAN</t>
  </si>
  <si>
    <t>AP-1 complex subunit beta-1 OS=Homo sapiens OX=9606 GN=AP1B1 PE=1 SV=2</t>
  </si>
  <si>
    <t>ident:930/946 pos:933/946 query:946 hit:949 align:949 bit:1901.3</t>
  </si>
  <si>
    <t>sp|Q02413|DSG1_HUMAN</t>
  </si>
  <si>
    <t>Desmoglein-1 OS=Homo sapiens OX=9606 GN=DSG1 PE=1 SV=2</t>
  </si>
  <si>
    <t>ident:872/1063 pos:942/1063 query:1063 hit:1049 align:1068 bit:1736.8</t>
  </si>
  <si>
    <t>sp|Q16787|LAMA3_HUMAN</t>
  </si>
  <si>
    <t>Laminin subunit alpha-3 OS=Homo sapiens OX=9606 GN=LAMA3 PE=1 SV=2</t>
  </si>
  <si>
    <t>ident:2728/3334 pos:2989/3334 query:3334 hit:3333 align:3307 bit:5684.0</t>
  </si>
  <si>
    <t>sp|P29218|IMPA1_HUMAN</t>
  </si>
  <si>
    <t>Inositol monophosphatase 1 OS=Homo sapiens OX=9606 GN=IMPA1 PE=1 SV=1</t>
  </si>
  <si>
    <t>ident:253/277 pos:267/277 query:277 hit:277 align:277 bit:535.4</t>
  </si>
  <si>
    <t>sp|Q15286|RAB35_HUMAN</t>
  </si>
  <si>
    <t>Ras-related protein Rab-35 OS=Homo sapiens OX=9606 GN=RAB35 PE=1 SV=1</t>
  </si>
  <si>
    <t>ident:201/201 pos:201/201 query:201 hit:201 align:201 bit:415.6</t>
  </si>
  <si>
    <t>sp|Q99571|P2RX4_HUMAN</t>
  </si>
  <si>
    <t>P2X purinoceptor 4 OS=Homo sapiens OX=9606 GN=P2RX4 PE=1 SV=2</t>
  </si>
  <si>
    <t>ident:347/388 pos:371/388 query:388 hit:388 align:388 bit:748.0</t>
  </si>
  <si>
    <t>XP_027432679.1</t>
  </si>
  <si>
    <t>sp|P50897|PPT1_HUMAN</t>
  </si>
  <si>
    <t>Palmitoyl-protein thioesterase 1 OS=Homo sapiens OX=9606 GN=PPT1 PE=1 SV=1</t>
  </si>
  <si>
    <t>ident:284/306 pos:295/306 query:306 hit:306 align:305 bit:601.7</t>
  </si>
  <si>
    <t>sp|Q02878|RL6_HUMAN</t>
  </si>
  <si>
    <t>60S ribosomal protein L6 OS=Homo sapiens OX=9606 GN=RPL6 PE=1 SV=3</t>
  </si>
  <si>
    <t>ident:274/288 pos:282/288 query:288 hit:288 align:288 bit:513.8</t>
  </si>
  <si>
    <t>sp|Q9UBQ0|VPS29_HUMAN</t>
  </si>
  <si>
    <t>Vacuolar protein sorting-associated protein 29 OS=Homo sapiens OX=9606 GN=VPS29 PE=1 SV=1</t>
  </si>
  <si>
    <t>ident:180/186 pos:180/186 query:186 hit:182 align:180 bit:373.2</t>
  </si>
  <si>
    <t>sp|Q15363|TMED2_HUMAN</t>
  </si>
  <si>
    <t>Transmembrane emp24 domain-containing protein 2 OS=Homo sapiens OX=9606 GN=TMED2 PE=1 SV=1</t>
  </si>
  <si>
    <t>ident:200/201 pos:200/201 query:201 hit:201 align:201 bit:415.2</t>
  </si>
  <si>
    <t>XP_027432794.1</t>
  </si>
  <si>
    <t>sp|Q32P51|RA1L2_HUMAN</t>
  </si>
  <si>
    <t>Heterogeneous nuclear ribonucleoprotein A1-like 2 OS=Homo sapiens OX=9606 GN=HNRNPA1L2 PE=2 SV=2</t>
  </si>
  <si>
    <t>ident:303/320 pos:309/320 query:320 hit:320 align:320 bit:486.9</t>
  </si>
  <si>
    <t>XP_027432797.1</t>
  </si>
  <si>
    <t>GTP-binding nuclear protein Ran isoform X1 [Zalophus californianus]</t>
  </si>
  <si>
    <t>sp|P62826|RAN_HUMAN</t>
  </si>
  <si>
    <t>GTP-binding nuclear protein Ran OS=Homo sapiens OX=9606 GN=RAN PE=1 SV=3</t>
  </si>
  <si>
    <t>ident:203/233 pos:203/233 query:233 hit:216 align:204 bit:424.9</t>
  </si>
  <si>
    <t>sp|Q9Y6Q6|TNR11_HUMAN</t>
  </si>
  <si>
    <t>Tumor necrosis factor receptor superfamily member 11A OS=Homo sapiens OX=9606 GN=TNFRSF11A PE=1 SV=1</t>
  </si>
  <si>
    <t>ident:414/571 pos:452/571 query:571 hit:616 align:576 bit:776.9</t>
  </si>
  <si>
    <t>XP_027432831.1</t>
  </si>
  <si>
    <t>sp|Q02487|DSC2_HUMAN</t>
  </si>
  <si>
    <t>Desmocollin-2 OS=Homo sapiens OX=9606 GN=DSC2 PE=1 SV=1</t>
  </si>
  <si>
    <t>ident:736/902 pos:809/902 query:902 hit:901 align:902 bit:1503.4</t>
  </si>
  <si>
    <t>density-regulated protein [Zalophus californianus]</t>
  </si>
  <si>
    <t>sp|O43583|DENR_HUMAN</t>
  </si>
  <si>
    <t>Density-regulated protein OS=Homo sapiens OX=9606 GN=DENR PE=1 SV=2</t>
  </si>
  <si>
    <t>ident:193/198 pos:194/198 query:198 hit:198 align:198 bit:394.0</t>
  </si>
  <si>
    <t>sp|O00233|PSMD9_HUMAN</t>
  </si>
  <si>
    <t>26S proteasome non-ATPase regulatory subunit 9 OS=Homo sapiens OX=9606 GN=PSMD9 PE=1 SV=3</t>
  </si>
  <si>
    <t>ident:200/253 pos:210/253 query:253 hit:223 align:223 bit:418.7</t>
  </si>
  <si>
    <t>sp|P42765|THIM_HUMAN</t>
  </si>
  <si>
    <t>3-ketoacyl-CoA thiolase, mitochondrial OS=Homo sapiens OX=9606 GN=ACAA2 PE=1 SV=2</t>
  </si>
  <si>
    <t>ident:353/397 pos:380/397 query:397 hit:397 align:397 bit:745.0</t>
  </si>
  <si>
    <t>sp|P43487|RANG_HUMAN</t>
  </si>
  <si>
    <t>Ran-specific GTPase-activating protein OS=Homo sapiens OX=9606 GN=RANBP1 PE=1 SV=1</t>
  </si>
  <si>
    <t>ident:189/208 pos:190/208 query:208 hit:201 align:195 bit:383.6</t>
  </si>
  <si>
    <t>sp|P30711|GSTT1_HUMAN</t>
  </si>
  <si>
    <t>Glutathione S-transferase theta-1 OS=Homo sapiens OX=9606 GN=GSTT1 PE=1 SV=4</t>
  </si>
  <si>
    <t>ident:128/242 pos:162/242 query:242 hit:240 align:234 bit:251.1</t>
  </si>
  <si>
    <t>XP_027433072.1</t>
  </si>
  <si>
    <t>sp|O15145|ARPC3_HUMAN</t>
  </si>
  <si>
    <t>Actin-related protein 2/3 complex subunit 3 OS=Homo sapiens OX=9606 GN=ARPC3 PE=1 SV=3</t>
  </si>
  <si>
    <t>ident:178/178 pos:178/178 query:178 hit:178 align:178 bit:373.2</t>
  </si>
  <si>
    <t>XP_027433122.1</t>
  </si>
  <si>
    <t>sp|O43396|TXNL1_HUMAN</t>
  </si>
  <si>
    <t>Thioredoxin-like protein 1 OS=Homo sapiens OX=9606 GN=TXNL1 PE=1 SV=3</t>
  </si>
  <si>
    <t>ident:280/292 pos:281/292 query:292 hit:289 align:282 bit:583.6</t>
  </si>
  <si>
    <t>XP_027433124.1</t>
  </si>
  <si>
    <t>sp|Q9BXX0|EMIL2_HUMAN</t>
  </si>
  <si>
    <t>EMILIN-2 OS=Homo sapiens OX=9606 GN=EMILIN2 PE=1 SV=3</t>
  </si>
  <si>
    <t>ident:870/1091 pos:943/1091 query:1091 hit:1053 align:1092 bit:1713.0</t>
  </si>
  <si>
    <t>XP_027433126.1</t>
  </si>
  <si>
    <t>sp|Q5KU26|COL12_HUMAN</t>
  </si>
  <si>
    <t>Collectin-12 OS=Homo sapiens OX=9606 GN=COLEC12 PE=1 SV=3</t>
  </si>
  <si>
    <t>ident:718/742 pos:732/742 query:742 hit:742 align:742 bit:1486.1</t>
  </si>
  <si>
    <t>XP_027433161.1</t>
  </si>
  <si>
    <t>sp|P30622|CLIP1_HUMAN</t>
  </si>
  <si>
    <t>CAP-Gly domain-containing linker protein 1 OS=Homo sapiens OX=9606 GN=CLIP1 PE=1 SV=2</t>
  </si>
  <si>
    <t>ident:1326/1440 pos:1377/1440 query:1440 hit:1438 align:1440 bit:2587.4</t>
  </si>
  <si>
    <t>XP_027433212.1</t>
  </si>
  <si>
    <t>sp|P62987|RL40_HUMAN</t>
  </si>
  <si>
    <t>Ubiquitin-60S ribosomal protein L40 OS=Homo sapiens OX=9606 GN=UBA52 PE=1 SV=2</t>
  </si>
  <si>
    <t>ident:76/77 pos:77/77 query:77 hit:128 align:77 bit:157.1</t>
  </si>
  <si>
    <t>XP_027433213.1</t>
  </si>
  <si>
    <t>sp|P13866|SC5A1_HUMAN</t>
  </si>
  <si>
    <t>Sodium/glucose cotransporter 1 OS=Homo sapiens OX=9606 GN=SLC5A1 PE=1 SV=1</t>
  </si>
  <si>
    <t>ident:579/662 pos:623/662 query:662 hit:664 align:664 bit:1167.5</t>
  </si>
  <si>
    <t>sp|Q14165|MLEC_HUMAN</t>
  </si>
  <si>
    <t>Malectin OS=Homo sapiens OX=9606 GN=MLEC PE=1 SV=1</t>
  </si>
  <si>
    <t>ident:283/294 pos:286/294 query:294 hit:292 align:297 bit:571.2</t>
  </si>
  <si>
    <t>sp|Q8WWX9|SELM_HUMAN</t>
  </si>
  <si>
    <t>Selenoprotein M OS=Homo sapiens OX=9606 GN=SELENOM PE=1 SV=3</t>
  </si>
  <si>
    <t>ident:103/142 pos:105/142 query:142 hit:145 align:119 bit:211.5</t>
  </si>
  <si>
    <t>sp|P30040|ERP29_HUMAN</t>
  </si>
  <si>
    <t>Endoplasmic reticulum resident protein 29 OS=Homo sapiens OX=9606 GN=ERP29 PE=1 SV=4</t>
  </si>
  <si>
    <t>ident:242/261 pos:252/261 query:261 hit:261 align:261 bit:469.9</t>
  </si>
  <si>
    <t>sp|P05388|RLA0_HUMAN</t>
  </si>
  <si>
    <t>60S acidic ribosomal protein P0 OS=Homo sapiens OX=9606 GN=RPLP0 PE=1 SV=1</t>
  </si>
  <si>
    <t>ident:310/317 pos:312/317 query:317 hit:317 align:317 bit:639.0</t>
  </si>
  <si>
    <t>XP_027433450.1</t>
  </si>
  <si>
    <t>sp|Q99999|G3ST1_HUMAN</t>
  </si>
  <si>
    <t>Galactosylceramide sulfotransferase OS=Homo sapiens OX=9606 GN=GAL3ST1 PE=1 SV=1</t>
  </si>
  <si>
    <t>ident:372/463 pos:384/463 query:463 hit:423 align:421 bit:769.2</t>
  </si>
  <si>
    <t>XP_027433461.1</t>
  </si>
  <si>
    <t>sp|Q14574|DSC3_HUMAN</t>
  </si>
  <si>
    <t>Desmocollin-3 OS=Homo sapiens OX=9606 GN=DSC3 PE=1 SV=3</t>
  </si>
  <si>
    <t>ident:748/896 pos:813/896 query:896 hit:896 align:897 bit:1566.6</t>
  </si>
  <si>
    <t>sp|Q9Y696|CLIC4_HUMAN</t>
  </si>
  <si>
    <t>Chloride intracellular channel protein 4 OS=Homo sapiens OX=9606 GN=CLIC4 PE=1 SV=4</t>
  </si>
  <si>
    <t>ident:249/253 pos:252/253 query:253 hit:253 align:253 bit:513.1</t>
  </si>
  <si>
    <t>XP_027433507.1</t>
  </si>
  <si>
    <t>sp|P49662|CASP4_HUMAN</t>
  </si>
  <si>
    <t>Caspase-4 OS=Homo sapiens OX=9606 GN=CASP4 PE=1 SV=1</t>
  </si>
  <si>
    <t>ident:238/400 pos:282/400 query:400 hit:377 align:400 bit:476.1</t>
  </si>
  <si>
    <t>sp|Q53GQ0|DHB12_HUMAN</t>
  </si>
  <si>
    <t>Very-long-chain 3-oxoacyl-CoA reductase OS=Homo sapiens OX=9606 GN=HSD17B12 PE=1 SV=2</t>
  </si>
  <si>
    <t>ident:262/312 pos:288/312 query:312 hit:312 align:312 bit:550.4</t>
  </si>
  <si>
    <t>XP_027433542.1</t>
  </si>
  <si>
    <t>sp|Q16531|DDB1_HUMAN</t>
  </si>
  <si>
    <t>DNA damage-binding protein 1 OS=Homo sapiens OX=9606 GN=DDB1 PE=1 SV=1</t>
  </si>
  <si>
    <t>ident:1135/1140 pos:1135/1140 query:1140 hit:1140 align:1140 bit:2349.7</t>
  </si>
  <si>
    <t>XP_027433551.1</t>
  </si>
  <si>
    <t>triokinase/FMN cyclase isoform X1 [Zalophus californianus]</t>
  </si>
  <si>
    <t>sp|Q3LXA3|TKFC_HUMAN</t>
  </si>
  <si>
    <t>Triokinase/FMN cyclase OS=Homo sapiens OX=9606 GN=TKFC PE=1 SV=2</t>
  </si>
  <si>
    <t>ident:524/578 pos:549/578 query:578 hit:575 align:574 bit:1006.5</t>
  </si>
  <si>
    <t>XP_027433569.1</t>
  </si>
  <si>
    <t>sp|O00526|UPK2_HUMAN</t>
  </si>
  <si>
    <t>Uroplakin-2 OS=Homo sapiens OX=9606 GN=UPK2 PE=1 SV=2</t>
  </si>
  <si>
    <t>ident:105/246 pos:111/246 query:246 hit:184 align:115 bit:209.5</t>
  </si>
  <si>
    <t>XP_027433574.1</t>
  </si>
  <si>
    <t>sp|Q9HCB6|SPON1_HUMAN</t>
  </si>
  <si>
    <t>Spondin-1 OS=Homo sapiens OX=9606 GN=SPON1 PE=1 SV=2</t>
  </si>
  <si>
    <t>ident:788/807 pos:803/807 query:807 hit:807 align:807 bit:1640.5</t>
  </si>
  <si>
    <t>sp|P62070|RRAS2_HUMAN</t>
  </si>
  <si>
    <t>Ras-related protein R-Ras2 OS=Homo sapiens OX=9606 GN=RRAS2 PE=1 SV=1</t>
  </si>
  <si>
    <t>ident:204/204 pos:204/204 query:204 hit:204 align:204 bit:422.9</t>
  </si>
  <si>
    <t>XP_027433598.1</t>
  </si>
  <si>
    <t>sp|Q96AM1|MRGRF_HUMAN</t>
  </si>
  <si>
    <t>Mas-related G-protein coupled receptor member F OS=Homo sapiens OX=9606 GN=MRGPRF PE=2 SV=1</t>
  </si>
  <si>
    <t>ident:304/393 pos:320/393 query:393 hit:343 align:343 bit:582.8</t>
  </si>
  <si>
    <t>XP_027433602.1</t>
  </si>
  <si>
    <t>sp|Q9HBB8|CDHR5_HUMAN</t>
  </si>
  <si>
    <t>Cadherin-related family member 5 OS=Homo sapiens OX=9606 GN=CDHR5 PE=1 SV=3</t>
  </si>
  <si>
    <t>ident:514/772 pos:587/772 query:772 hit:845 align:858 bit:832.8</t>
  </si>
  <si>
    <t>XP_027433659.1</t>
  </si>
  <si>
    <t>sp|Q96R05|RET7_HUMAN</t>
  </si>
  <si>
    <t>Retinoid-binding protein 7 OS=Homo sapiens OX=9606 GN=RBP7 PE=1 SV=1</t>
  </si>
  <si>
    <t>ident:125/134 pos:128/134 query:134 hit:134 align:134 bit:265.8</t>
  </si>
  <si>
    <t>sp|P13987|CD59_HUMAN</t>
  </si>
  <si>
    <t>CD59 glycoprotein OS=Homo sapiens OX=9606 GN=CD59 PE=1 SV=1</t>
  </si>
  <si>
    <t>ident:50/160 pos:70/160 query:160 hit:128 align:166 bit:65.5</t>
  </si>
  <si>
    <t>sp|P32929|CGL_HUMAN</t>
  </si>
  <si>
    <t>Cystathionine gamma-lyase OS=Homo sapiens OX=9606 GN=CTH PE=1 SV=3</t>
  </si>
  <si>
    <t>ident:369/405 pos:384/405 query:405 hit:405 align:402 bit:750.4</t>
  </si>
  <si>
    <t>sp|P11142|HSP7C_HUMAN</t>
  </si>
  <si>
    <t>Heat shock cognate 71 kDa protein OS=Homo sapiens OX=9606 GN=HSPA8 PE=1 SV=1</t>
  </si>
  <si>
    <t>ident:253/253 pos:253/253 query:253 hit:646 align:253 bit:525.8</t>
  </si>
  <si>
    <t>sp|O95372|LYPA2_HUMAN</t>
  </si>
  <si>
    <t>Acyl-protein thioesterase 2 OS=Homo sapiens OX=9606 GN=LYPLA2 PE=1 SV=1</t>
  </si>
  <si>
    <t>ident:230/231 pos:231/231 query:231 hit:231 align:231 bit:473.8</t>
  </si>
  <si>
    <t>sp|P68402|PA1B2_HUMAN</t>
  </si>
  <si>
    <t>Platelet-activating factor acetylhydrolase IB subunit beta OS=Homo sapiens OX=9606 GN=PAFAH1B2 PE=1 SV=1</t>
  </si>
  <si>
    <t>ident:228/256 pos:228/256 query:256 hit:229 align:229 bit:472.6</t>
  </si>
  <si>
    <t>XP_027433779.1</t>
  </si>
  <si>
    <t>sp|P23434|GCSH_HUMAN</t>
  </si>
  <si>
    <t>Glycine cleavage system H protein, mitochondrial OS=Homo sapiens OX=9606 GN=GCSH PE=1 SV=2</t>
  </si>
  <si>
    <t>ident:151/171 pos:158/171 query:171 hit:173 align:173 bit:300.8</t>
  </si>
  <si>
    <t>sp|O95969|SG1D2_HUMAN</t>
  </si>
  <si>
    <t>Secretoglobin family 1D member 2 OS=Homo sapiens OX=9606 GN=SCGB1D2 PE=2 SV=1</t>
  </si>
  <si>
    <t>ident:45/90 pos:61/90 query:90 hit:90 align:90 bit:87.0</t>
  </si>
  <si>
    <t>XP_027433797.1</t>
  </si>
  <si>
    <t>sp|Q96JQ0|PCD16_HUMAN</t>
  </si>
  <si>
    <t>Protocadherin-16 OS=Homo sapiens OX=9606 GN=DCHS1 PE=1 SV=1</t>
  </si>
  <si>
    <t>ident:3121/3339 pos:3198/3339 query:3339 hit:3298 align:3298 bit:5919.4</t>
  </si>
  <si>
    <t>enhancer of rudimentary homolog [Zalophus californianus]</t>
  </si>
  <si>
    <t>sp|P84090|ERH_HUMAN</t>
  </si>
  <si>
    <t>Enhancer of rudimentary homolog OS=Homo sapiens OX=9606 GN=ERH PE=1 SV=1</t>
  </si>
  <si>
    <t>ident:104/104 pos:104/104 query:104 hit:104 align:104 bit:221.1</t>
  </si>
  <si>
    <t>XP_027433844.1</t>
  </si>
  <si>
    <t>sp|P23528|COF1_HUMAN</t>
  </si>
  <si>
    <t>Cofilin-1 OS=Homo sapiens OX=9606 GN=CFL1 PE=1 SV=3</t>
  </si>
  <si>
    <t>ident:166/267 pos:166/267 query:267 hit:166 align:166 bit:335.9</t>
  </si>
  <si>
    <t>sp|P35241|RADI_HUMAN</t>
  </si>
  <si>
    <t>Radixin OS=Homo sapiens OX=9606 GN=RDX PE=1 SV=1</t>
  </si>
  <si>
    <t>ident:574/602 pos:578/602 query:602 hit:583 align:579 bit:1171.8</t>
  </si>
  <si>
    <t>sp|Q9GZP4|PITH1_HUMAN</t>
  </si>
  <si>
    <t>PITH domain-containing protein 1 OS=Homo sapiens OX=9606 GN=PITHD1 PE=1 SV=1</t>
  </si>
  <si>
    <t>ident:208/211 pos:210/211 query:211 hit:211 align:211 bit:439.1</t>
  </si>
  <si>
    <t>XP_027433883.1</t>
  </si>
  <si>
    <t>sp|Q9UHD1|CHRD1_HUMAN</t>
  </si>
  <si>
    <t>Cysteine and histidine-rich domain-containing protein 1 OS=Homo sapiens OX=9606 GN=CHORDC1 PE=1 SV=2</t>
  </si>
  <si>
    <t>ident:312/340 pos:320/340 query:340 hit:332 align:340 bit:647.1</t>
  </si>
  <si>
    <t>sp|P10515|ODP2_HUMAN</t>
  </si>
  <si>
    <t>Dihydrolipoyllysine-residue acetyltransferase component of pyruvate dehydrogenase complex, mitochondrial OS=Homo sapiens OX=9606 GN=DLAT PE=1 SV=3</t>
  </si>
  <si>
    <t>ident:579/647 pos:601/647 query:647 hit:647 align:647 bit:1085.1</t>
  </si>
  <si>
    <t>sp|Q14116|IL18_HUMAN</t>
  </si>
  <si>
    <t>Interleukin-18 OS=Homo sapiens OX=9606 GN=IL18 PE=1 SV=1</t>
  </si>
  <si>
    <t>ident:150/193 pos:175/193 query:193 hit:193 align:192 bit:316.2</t>
  </si>
  <si>
    <t>sp|P21266|GSTM3_HUMAN</t>
  </si>
  <si>
    <t>Glutathione S-transferase Mu 3 OS=Homo sapiens OX=9606 GN=GSTM3 PE=1 SV=3</t>
  </si>
  <si>
    <t>ident:201/226 pos:215/226 query:226 hit:225 align:221 bit:430.6</t>
  </si>
  <si>
    <t>XP_027433979.1</t>
  </si>
  <si>
    <t>epidermal growth factor receptor kinase substrate 8-like protein 2 isoform X1 [Zalophus californianus]</t>
  </si>
  <si>
    <t>sp|Q9H6S3|ES8L2_HUMAN</t>
  </si>
  <si>
    <t>Epidermal growth factor receptor kinase substrate 8-like protein 2 OS=Homo sapiens OX=9606 GN=EPS8L2 PE=1 SV=2</t>
  </si>
  <si>
    <t>ident:624/717 pos:660/717 query:717 hit:715 align:716 bit:1232.2</t>
  </si>
  <si>
    <t>XP_027434055.1</t>
  </si>
  <si>
    <t>sp|P11117|PPAL_HUMAN</t>
  </si>
  <si>
    <t>Lysosomal acid phosphatase OS=Homo sapiens OX=9606 GN=ACP2 PE=1 SV=3</t>
  </si>
  <si>
    <t>ident:353/450 pos:368/450 query:450 hit:423 align:379 bit:716.1</t>
  </si>
  <si>
    <t>XP_027434073.1</t>
  </si>
  <si>
    <t>sp|Q9UKS6|PACN3_HUMAN</t>
  </si>
  <si>
    <t>Protein kinase C and casein kinase substrate in neurons protein 3 OS=Homo sapiens OX=9606 GN=PACSIN3 PE=1 SV=2</t>
  </si>
  <si>
    <t>ident:411/430 pos:417/430 query:430 hit:424 align:430 bit:836.6</t>
  </si>
  <si>
    <t>XP_027434080.1</t>
  </si>
  <si>
    <t>sp|P46937|YAP1_HUMAN</t>
  </si>
  <si>
    <t>Transcriptional coactivator YAP1 OS=Homo sapiens OX=9606 GN=YAP1 PE=1 SV=2</t>
  </si>
  <si>
    <t>ident:436/512 pos:445/512 query:512 hit:504 align:458 bit:859.8</t>
  </si>
  <si>
    <t>XP_027434089.1</t>
  </si>
  <si>
    <t>serine-protein kinase ATM isoform X1 [Zalophus californianus]</t>
  </si>
  <si>
    <t>sp|Q13315|ATM_HUMAN</t>
  </si>
  <si>
    <t>Serine-protein kinase ATM OS=Homo sapiens OX=9606 GN=ATM PE=1 SV=4</t>
  </si>
  <si>
    <t>ident:2729/3053 pos:2873/3053 query:3053 hit:3056 align:3057 bit:5655.9</t>
  </si>
  <si>
    <t>XP_027434102.1</t>
  </si>
  <si>
    <t>sp|Q14697|GANAB_HUMAN</t>
  </si>
  <si>
    <t>Neutral alpha-glucosidase AB OS=Homo sapiens OX=9606 GN=GANAB PE=1 SV=3</t>
  </si>
  <si>
    <t>ident:873/944 pos:909/944 query:944 hit:944 align:931 bit:1823.1</t>
  </si>
  <si>
    <t>XP_027434150.1</t>
  </si>
  <si>
    <t>sp|P16070|CD44_HUMAN</t>
  </si>
  <si>
    <t>CD44 antigen OS=Homo sapiens OX=9606 GN=CD44 PE=1 SV=3</t>
  </si>
  <si>
    <t>ident:539/742 pos:583/742 query:742 hit:742 align:786 bit:928.3</t>
  </si>
  <si>
    <t>XP_027434201.1</t>
  </si>
  <si>
    <t>sp|Q9H4M9|EHD1_HUMAN</t>
  </si>
  <si>
    <t>EH domain-containing protein 1 OS=Homo sapiens OX=9606 GN=EHD1 PE=1 SV=2</t>
  </si>
  <si>
    <t>ident:532/612 pos:533/612 query:612 hit:534 align:534 bit:1095.9</t>
  </si>
  <si>
    <t>XP_027434212.1</t>
  </si>
  <si>
    <t>sp|Q9ULV1|FZD4_HUMAN</t>
  </si>
  <si>
    <t>Frizzled-4 OS=Homo sapiens OX=9606 GN=FZD4 PE=1 SV=2</t>
  </si>
  <si>
    <t>ident:508/530 pos:510/530 query:530 hit:537 align:516 bit:1048.1</t>
  </si>
  <si>
    <t>sp|P27352|IF_HUMAN</t>
  </si>
  <si>
    <t>Cobalamin binding intrinsic factor OS=Homo sapiens OX=9606 GN=CBLIF PE=1 SV=2</t>
  </si>
  <si>
    <t>ident:333/417 pos:368/417 query:417 hit:417 align:417 bit:689.9</t>
  </si>
  <si>
    <t>XP_027434258.1</t>
  </si>
  <si>
    <t>sp|Q13277|STX3_HUMAN</t>
  </si>
  <si>
    <t>Syntaxin-3 OS=Homo sapiens OX=9606 GN=STX3 PE=1 SV=3</t>
  </si>
  <si>
    <t>ident:229/302 pos:235/302 query:302 hit:289 align:244 bit:459.9</t>
  </si>
  <si>
    <t>XP_027434381.1</t>
  </si>
  <si>
    <t>sp|Q12913|PTPRJ_HUMAN</t>
  </si>
  <si>
    <t>Receptor-type tyrosine-protein phosphatase eta OS=Homo sapiens OX=9606 GN=PTPRJ PE=1 SV=3</t>
  </si>
  <si>
    <t>ident:894/1215 pos:990/1215 query:1215 hit:1337 align:1215 bit:1778.5</t>
  </si>
  <si>
    <t>sp|P23396|RS3_HUMAN</t>
  </si>
  <si>
    <t>40S ribosomal protein S3 OS=Homo sapiens OX=9606 GN=RPS3 PE=1 SV=2</t>
  </si>
  <si>
    <t>ident:242/243 pos:243/243 query:243 hit:243 align:243 bit:490.7</t>
  </si>
  <si>
    <t>peroxiredoxin-1 [Zalophus californianus]</t>
  </si>
  <si>
    <t>sp|Q06830|PRDX1_HUMAN</t>
  </si>
  <si>
    <t>Peroxiredoxin-1 OS=Homo sapiens OX=9606 GN=PRDX1 PE=1 SV=1</t>
  </si>
  <si>
    <t>ident:195/199 pos:198/199 query:199 hit:199 align:199 bit:407.5</t>
  </si>
  <si>
    <t>sortilin-related receptor [Zalophus californianus]</t>
  </si>
  <si>
    <t>sp|Q92673|SORL_HUMAN</t>
  </si>
  <si>
    <t>Sortilin-related receptor OS=Homo sapiens OX=9606 GN=SORL1 PE=1 SV=2</t>
  </si>
  <si>
    <t>ident:2085/2211 pos:2149/2211 query:2211 hit:2214 align:2214 bit:4376.6</t>
  </si>
  <si>
    <t>neuroblast differentiation-associated protein AHNAK isoform X1 [Zalophus californianus]</t>
  </si>
  <si>
    <t>sp|Q09666|AHNK_HUMAN</t>
  </si>
  <si>
    <t>Neuroblast differentiation-associated protein AHNAK OS=Homo sapiens OX=9606 GN=AHNAK PE=1 SV=2</t>
  </si>
  <si>
    <t>ident:4442/6009 pos:4981/6009 query:6009 hit:5890 align:5818 bit:8075.7</t>
  </si>
  <si>
    <t>XP_027434727.1</t>
  </si>
  <si>
    <t>sp|P13591|NCAM1_HUMAN</t>
  </si>
  <si>
    <t>Neural cell adhesion molecule 1 OS=Homo sapiens OX=9606 GN=NCAM1 PE=1 SV=3</t>
  </si>
  <si>
    <t>ident:794/1157 pos:810/1157 query:1157 hit:858 align:854 bit:1599.0</t>
  </si>
  <si>
    <t>sp|P11217|PYGM_HUMAN</t>
  </si>
  <si>
    <t>Glycogen phosphorylase, muscle form OS=Homo sapiens OX=9606 GN=PYGM PE=1 SV=6</t>
  </si>
  <si>
    <t>ident:808/842 pos:832/842 query:842 hit:842 align:842 bit:1661.7</t>
  </si>
  <si>
    <t>XP_027434845.1</t>
  </si>
  <si>
    <t>sp|P13489|RINI_HUMAN</t>
  </si>
  <si>
    <t>Ribonuclease inhibitor OS=Homo sapiens OX=9606 GN=RNH1 PE=1 SV=2</t>
  </si>
  <si>
    <t>ident:328/495 pos:386/495 query:495 hit:461 align:455 bit:633.6</t>
  </si>
  <si>
    <t>XP_027434860.1</t>
  </si>
  <si>
    <t>sp|P35544|UBIM_HUMAN</t>
  </si>
  <si>
    <t>Ubiquitin-like protein FUBI OS=Homo sapiens OX=9606 GN=FAU PE=1 SV=1</t>
  </si>
  <si>
    <t>ident:71/133 pos:71/133 query:133 hit:74 align:74 bit:142.1</t>
  </si>
  <si>
    <t>sp|P45378|TNNT3_HUMAN</t>
  </si>
  <si>
    <t>Troponin T, fast skeletal muscle OS=Homo sapiens OX=9606 GN=TNNT3 PE=1 SV=3</t>
  </si>
  <si>
    <t>ident:211/225 pos:217/225 query:225 hit:269 align:221 bit:396.7</t>
  </si>
  <si>
    <t>zinc finger protein-like 1 [Zalophus californianus]</t>
  </si>
  <si>
    <t>sp|O95159|ZFPL1_HUMAN</t>
  </si>
  <si>
    <t>Zinc finger protein-like 1 OS=Homo sapiens OX=9606 GN=ZFPL1 PE=1 SV=2</t>
  </si>
  <si>
    <t>ident:293/312 pos:302/312 query:312 hit:310 align:312 bit:554.7</t>
  </si>
  <si>
    <t>XP_027434949.1</t>
  </si>
  <si>
    <t>sp|Q86YT9|JAML_HUMAN</t>
  </si>
  <si>
    <t>Junctional adhesion molecule-like OS=Homo sapiens OX=9606 GN=JAML PE=1 SV=1</t>
  </si>
  <si>
    <t>ident:261/403 pos:297/403 query:403 hit:394 align:370 bit:451.1</t>
  </si>
  <si>
    <t>thy-1 membrane glycoprotein [Zalophus californianus]</t>
  </si>
  <si>
    <t>sp|P04216|THY1_HUMAN</t>
  </si>
  <si>
    <t>Thy-1 membrane glycoprotein OS=Homo sapiens OX=9606 GN=THY1 PE=1 SV=2</t>
  </si>
  <si>
    <t>ident:131/161 pos:144/161 query:161 hit:161 align:161 bit:250.0</t>
  </si>
  <si>
    <t>XP_027434977.1</t>
  </si>
  <si>
    <t>sp|Q9BY67|CADM1_HUMAN</t>
  </si>
  <si>
    <t>Cell adhesion molecule 1 OS=Homo sapiens OX=9606 GN=CADM1 PE=1 SV=2</t>
  </si>
  <si>
    <t>ident:438/475 pos:439/475 query:475 hit:442 align:475 bit:894.0</t>
  </si>
  <si>
    <t>sp|P54105|ICLN_HUMAN</t>
  </si>
  <si>
    <t>Methylosome subunit pICln OS=Homo sapiens OX=9606 GN=CLNS1A PE=1 SV=1</t>
  </si>
  <si>
    <t>ident:212/235 pos:221/235 query:235 hit:237 align:237 bit:382.1</t>
  </si>
  <si>
    <t>sp|P53634|CATC_HUMAN</t>
  </si>
  <si>
    <t>Dipeptidyl peptidase 1 OS=Homo sapiens OX=9606 GN=CTSC PE=1 SV=2</t>
  </si>
  <si>
    <t>ident:386/461 pos:416/461 query:461 hit:463 align:463 bit:805.1</t>
  </si>
  <si>
    <t>sp|P37837|TALDO_HUMAN</t>
  </si>
  <si>
    <t>Transaldolase OS=Homo sapiens OX=9606 GN=TALDO1 PE=1 SV=2</t>
  </si>
  <si>
    <t>ident:321/337 pos:331/337 query:337 hit:337 align:337 bit:670.2</t>
  </si>
  <si>
    <t>XP_027435110.1</t>
  </si>
  <si>
    <t>sp|Q9H6B4|CLMP_HUMAN</t>
  </si>
  <si>
    <t>CXADR-like membrane protein OS=Homo sapiens OX=9606 GN=CLMP PE=1 SV=1</t>
  </si>
  <si>
    <t>ident:330/368 pos:343/368 query:368 hit:373 align:357 bit:610.5</t>
  </si>
  <si>
    <t>sp|Q96FW1|OTUB1_HUMAN</t>
  </si>
  <si>
    <t>Ubiquitin thioesterase OTUB1 OS=Homo sapiens OX=9606 GN=OTUB1 PE=1 SV=2</t>
  </si>
  <si>
    <t>ident:271/271 pos:271/271 query:271 hit:271 align:271 bit:561.2</t>
  </si>
  <si>
    <t>182 kDa tankyrase-1-binding protein [Zalophus californianus]</t>
  </si>
  <si>
    <t>sp|Q9C0C2|TB182_HUMAN</t>
  </si>
  <si>
    <t>182 kDa tankyrase-1-binding protein OS=Homo sapiens OX=9606 GN=TNKS1BP1 PE=1 SV=4</t>
  </si>
  <si>
    <t>ident:1308/1754 pos:1406/1754 query:1754 hit:1729 align:1769 bit:2214.5</t>
  </si>
  <si>
    <t>XP_027435137.1</t>
  </si>
  <si>
    <t>sp|P35318|ADML_HUMAN</t>
  </si>
  <si>
    <t>ADM OS=Homo sapiens OX=9606 GN=ADM PE=1 SV=1</t>
  </si>
  <si>
    <t>ident:155/188 pos:161/188 query:188 hit:185 align:175 bit:317.0</t>
  </si>
  <si>
    <t>sp|Q8TE58|ATS15_HUMAN</t>
  </si>
  <si>
    <t>A disintegrin and metalloproteinase with thrombospondin motifs 15 OS=Homo sapiens OX=9606 GN=ADAMTS15 PE=2 SV=1</t>
  </si>
  <si>
    <t>ident:893/950 pos:909/950 query:950 hit:950 align:950 bit:1811.2</t>
  </si>
  <si>
    <t>sp|Q9UP79|ATS8_HUMAN</t>
  </si>
  <si>
    <t>A disintegrin and metalloproteinase with thrombospondin motifs 8 OS=Homo sapiens OX=9606 GN=ADAMTS8 PE=2 SV=2</t>
  </si>
  <si>
    <t>ident:786/916 pos:819/916 query:916 hit:889 align:877 bit:1590.9</t>
  </si>
  <si>
    <t>sp|Q06481|APLP2_HUMAN</t>
  </si>
  <si>
    <t>Amyloid-like protein 2 OS=Homo sapiens OX=9606 GN=APLP2 PE=1 SV=2</t>
  </si>
  <si>
    <t>ident:702/763 pos:719/763 query:763 hit:763 align:738 bit:1374.0</t>
  </si>
  <si>
    <t>sp|P24752|THIL_HUMAN</t>
  </si>
  <si>
    <t>Acetyl-CoA acetyltransferase, mitochondrial OS=Homo sapiens OX=9606 GN=ACAT1 PE=1 SV=1</t>
  </si>
  <si>
    <t>ident:378/427 pos:398/427 query:427 hit:427 align:427 bit:785.0</t>
  </si>
  <si>
    <t>sp|P26641|EF1G_HUMAN</t>
  </si>
  <si>
    <t>Elongation factor 1-gamma OS=Homo sapiens OX=9606 GN=EEF1G PE=1 SV=3</t>
  </si>
  <si>
    <t>ident:430/437 pos:435/437 query:437 hit:437 align:437 bit:898.3</t>
  </si>
  <si>
    <t>XP_027435231.1</t>
  </si>
  <si>
    <t>sp|Q9BX67|JAM3_HUMAN</t>
  </si>
  <si>
    <t>Junctional adhesion molecule C OS=Homo sapiens OX=9606 GN=JAM3 PE=1 SV=1</t>
  </si>
  <si>
    <t>ident:290/310 pos:302/310 query:310 hit:310 align:310 bit:570.9</t>
  </si>
  <si>
    <t>XP_027435246.1</t>
  </si>
  <si>
    <t>sp|Q9NY33|DPP3_HUMAN</t>
  </si>
  <si>
    <t>Dipeptidyl peptidase 3 OS=Homo sapiens OX=9606 GN=DPP3 PE=1 SV=2</t>
  </si>
  <si>
    <t>ident:692/757 pos:712/757 query:757 hit:737 align:737 bit:1421.0</t>
  </si>
  <si>
    <t>sp|Q9BXJ0|C1QT5_HUMAN</t>
  </si>
  <si>
    <t>Complement C1q tumor necrosis factor-related protein 5 OS=Homo sapiens OX=9606 GN=C1QTNF5 PE=1 SV=1</t>
  </si>
  <si>
    <t>ident:234/243 pos:238/243 query:243 hit:243 align:243 bit:422.6</t>
  </si>
  <si>
    <t>sp|O00193|SMAP_HUMAN</t>
  </si>
  <si>
    <t>Small acidic protein OS=Homo sapiens OX=9606 GN=SMAP PE=1 SV=1</t>
  </si>
  <si>
    <t>ident:181/182 pos:181/182 query:182 hit:183 align:183 bit:359.8</t>
  </si>
  <si>
    <t>sp|P54710|ATNG_HUMAN</t>
  </si>
  <si>
    <t>Sodium/potassium-transporting ATPase subunit gamma OS=Homo sapiens OX=9606 GN=FXYD2 PE=1 SV=3</t>
  </si>
  <si>
    <t>ident:45/64 pos:53/64 query:64 hit:66 align:57 bit:102.4</t>
  </si>
  <si>
    <t>sp|P08254|MMP3_HUMAN</t>
  </si>
  <si>
    <t>Stromelysin-1 OS=Homo sapiens OX=9606 GN=MMP3 PE=1 SV=2</t>
  </si>
  <si>
    <t>ident:380/476 pos:418/476 query:476 hit:477 align:477 bit:760.4</t>
  </si>
  <si>
    <t>ident:237/237 pos:237/237 query:237 hit:646 align:237 bit:489.2</t>
  </si>
  <si>
    <t>sp|O00170|AIP_HUMAN</t>
  </si>
  <si>
    <t>AH receptor-interacting protein OS=Homo sapiens OX=9606 GN=AIP PE=1 SV=2</t>
  </si>
  <si>
    <t>ident:310/330 pos:322/330 query:330 hit:330 align:330 bit:655.2</t>
  </si>
  <si>
    <t>sp|Q9HC84|MUC5B_HUMAN</t>
  </si>
  <si>
    <t>Mucin-5B OS=Homo sapiens OX=9606 GN=MUC5B PE=1 SV=3</t>
  </si>
  <si>
    <t>ident:795/3320 pos:890/3320 query:3320 hit:5762 align:1024 bit:1696.0</t>
  </si>
  <si>
    <t>sp|P09211|GSTP1_HUMAN</t>
  </si>
  <si>
    <t>Glutathione S-transferase P OS=Homo sapiens OX=9606 GN=GSTP1 PE=1 SV=2</t>
  </si>
  <si>
    <t>ident:176/210 pos:194/210 query:210 hit:210 align:210 bit:372.9</t>
  </si>
  <si>
    <t>sp|Q99816|TS101_HUMAN</t>
  </si>
  <si>
    <t>Tumor susceptibility gene 101 protein OS=Homo sapiens OX=9606 GN=TSG101 PE=1 SV=2</t>
  </si>
  <si>
    <t>ident:382/391 pos:386/391 query:391 hit:390 align:391 bit:783.5</t>
  </si>
  <si>
    <t>sp|P05387|RLA2_HUMAN</t>
  </si>
  <si>
    <t>60S acidic ribosomal protein P2 OS=Homo sapiens OX=9606 GN=RPLP2 PE=1 SV=1</t>
  </si>
  <si>
    <t>ident:113/115 pos:115/115 query:115 hit:115 align:115 bit:217.6</t>
  </si>
  <si>
    <t>sp|Q9NQ36|SCUB2_HUMAN</t>
  </si>
  <si>
    <t>Signal peptide, CUB and EGF-like domain-containing protein 2 OS=Homo sapiens OX=9606 GN=SCUBE2 PE=1 SV=3</t>
  </si>
  <si>
    <t>ident:911/1025 pos:939/1025 query:1025 hit:999 align:1028 bit:1849.3</t>
  </si>
  <si>
    <t>quinone oxidoreductase isoform X1 [Zalophus californianus]</t>
  </si>
  <si>
    <t>sp|Q08257|QOR_HUMAN</t>
  </si>
  <si>
    <t>Quinone oxidoreductase OS=Homo sapiens OX=9606 GN=CRYZ PE=1 SV=1</t>
  </si>
  <si>
    <t>ident:300/330 pos:316/330 query:330 hit:329 align:329 bit:617.8</t>
  </si>
  <si>
    <t>sp|Q96PK6|RBM14_HUMAN</t>
  </si>
  <si>
    <t>RNA-binding protein 14 OS=Homo sapiens OX=9606 GN=RBM14 PE=1 SV=2</t>
  </si>
  <si>
    <t>ident:666/669 pos:667/669 query:669 hit:669 align:669 bit:1303.9</t>
  </si>
  <si>
    <t>XP_027435422.1</t>
  </si>
  <si>
    <t>sp|Q9BWF3|RBM4_HUMAN</t>
  </si>
  <si>
    <t>RNA-binding protein 4 OS=Homo sapiens OX=9606 GN=RBM4 PE=1 SV=1</t>
  </si>
  <si>
    <t>ident:362/481 pos:362/481 query:481 hit:364 align:365 bit:746.9</t>
  </si>
  <si>
    <t>XP_027435434.1</t>
  </si>
  <si>
    <t>sp|O94973|AP2A2_HUMAN</t>
  </si>
  <si>
    <t>AP-2 complex subunit alpha-2 OS=Homo sapiens OX=9606 GN=AP2A2 PE=1 SV=2</t>
  </si>
  <si>
    <t>ident:887/944 pos:901/944 query:944 hit:939 align:917 bit:1822.8</t>
  </si>
  <si>
    <t>sp|Q9Y5Y7|LYVE1_HUMAN</t>
  </si>
  <si>
    <t>Lymphatic vessel endothelial hyaluronic acid receptor 1 OS=Homo sapiens OX=9606 GN=LYVE1 PE=1 SV=2</t>
  </si>
  <si>
    <t>ident:236/325 pos:265/325 query:325 hit:322 align:327 bit:438.7</t>
  </si>
  <si>
    <t>XP_027435462.1</t>
  </si>
  <si>
    <t>sp|Q86UD1|OAF_HUMAN</t>
  </si>
  <si>
    <t>Out at first protein homolog OS=Homo sapiens OX=9606 GN=OAF PE=2 SV=1</t>
  </si>
  <si>
    <t>ident:221/378 pos:231/378 query:378 hit:273 align:246 bit:463.8</t>
  </si>
  <si>
    <t>sp|O95967|FBLN4_HUMAN</t>
  </si>
  <si>
    <t>EGF-containing fibulin-like extracellular matrix protein 2 OS=Homo sapiens OX=9606 GN=EFEMP2 PE=1 SV=3</t>
  </si>
  <si>
    <t>ident:395/471 pos:410/471 query:471 hit:443 align:447 bit:745.3</t>
  </si>
  <si>
    <t>XP_027435469.1</t>
  </si>
  <si>
    <t>sp|P43121|MUC18_HUMAN</t>
  </si>
  <si>
    <t>Cell surface glycoprotein MUC18 OS=Homo sapiens OX=9606 GN=MCAM PE=1 SV=2</t>
  </si>
  <si>
    <t>ident:510/658 pos:552/658 query:658 hit:646 align:637 bit:1020.8</t>
  </si>
  <si>
    <t>sp|P30044|PRDX5_HUMAN</t>
  </si>
  <si>
    <t>Peroxiredoxin-5, mitochondrial OS=Homo sapiens OX=9606 GN=PRDX5 PE=1 SV=4</t>
  </si>
  <si>
    <t>ident:155/319 pos:164/319 query:319 hit:214 align:178 bit:318.5</t>
  </si>
  <si>
    <t>sp|P02656|APOC3_HUMAN</t>
  </si>
  <si>
    <t>Apolipoprotein C-III OS=Homo sapiens OX=9606 GN=APOC3 PE=1 SV=1</t>
  </si>
  <si>
    <t>ident:74/100 pos:80/100 query:100 hit:99 align:96 bit:116.7</t>
  </si>
  <si>
    <t>sp|P0DJD7|PEPA4_HUMAN</t>
  </si>
  <si>
    <t>Pepsin A-4 OS=Homo sapiens OX=9606 GN=PGA4 PE=1 SV=1</t>
  </si>
  <si>
    <t>ident:314/386 pos:357/386 query:386 hit:388 align:388 bit:646.7</t>
  </si>
  <si>
    <t>XP_027435520.1</t>
  </si>
  <si>
    <t>sp|Q9NS15|LTBP3_HUMAN</t>
  </si>
  <si>
    <t>Latent-transforming growth factor beta-binding protein 3 OS=Homo sapiens OX=9606 GN=LTBP3 PE=1 SV=4</t>
  </si>
  <si>
    <t>ident:1248/1298 pos:1265/1298 query:1298 hit:1303 align:1303 bit:2372.4</t>
  </si>
  <si>
    <t>sp|Q9HCU0|CD248_HUMAN</t>
  </si>
  <si>
    <t>Endosialin OS=Homo sapiens OX=9606 GN=CD248 PE=1 SV=1</t>
  </si>
  <si>
    <t>ident:604/775 pos:641/775 query:775 hit:757 align:767 bit:1136.7</t>
  </si>
  <si>
    <t>sp|P22059|OSBP1_HUMAN</t>
  </si>
  <si>
    <t>Oxysterol-binding protein 1 OS=Homo sapiens OX=9606 GN=OSBP PE=1 SV=1</t>
  </si>
  <si>
    <t>ident:789/807 pos:799/807 query:807 hit:807 align:807 bit:1656.0</t>
  </si>
  <si>
    <t>XP_027435625.1</t>
  </si>
  <si>
    <t>ester hydrolase C11orf54 homolog isoform X1 [Zalophus californianus]</t>
  </si>
  <si>
    <t>sp|Q9H0W9|CK054_HUMAN</t>
  </si>
  <si>
    <t>Ester hydrolase C11orf54 OS=Homo sapiens OX=9606 GN=C11orf54 PE=1 SV=1</t>
  </si>
  <si>
    <t>ident:287/315 pos:297/315 query:315 hit:315 align:315 bit:597.8</t>
  </si>
  <si>
    <t>XP_027435638.1</t>
  </si>
  <si>
    <t>src substrate cortactin isoform X1 [Zalophus californianus]</t>
  </si>
  <si>
    <t>sp|Q14247|SRC8_HUMAN</t>
  </si>
  <si>
    <t>Src substrate cortactin OS=Homo sapiens OX=9606 GN=CTTN PE=1 SV=2</t>
  </si>
  <si>
    <t>ident:492/539 pos:518/539 query:539 hit:550 align:549 bit:1017.7</t>
  </si>
  <si>
    <t>XP_027435648.1</t>
  </si>
  <si>
    <t>sp|P20061|TCO1_HUMAN</t>
  </si>
  <si>
    <t>Transcobalamin-1 OS=Homo sapiens OX=9606 GN=TCN1 PE=1 SV=2</t>
  </si>
  <si>
    <t>ident:281/434 pos:334/434 query:434 hit:433 align:434 bit:563.9</t>
  </si>
  <si>
    <t>sp|P06727|APOA4_HUMAN</t>
  </si>
  <si>
    <t>Apolipoprotein A-IV OS=Homo sapiens OX=9606 GN=APOA4 PE=1 SV=3</t>
  </si>
  <si>
    <t>ident:301/382 pos:337/382 query:382 hit:396 align:373 bit:609.8</t>
  </si>
  <si>
    <t>sp|Q86UN3|R4RL2_HUMAN</t>
  </si>
  <si>
    <t>Reticulon-4 receptor-like 2 OS=Homo sapiens OX=9606 GN=RTN4RL2 PE=1 SV=1</t>
  </si>
  <si>
    <t>ident:409/420 pos:412/420 query:420 hit:420 align:420 bit:810.1</t>
  </si>
  <si>
    <t>XP_027435686.1</t>
  </si>
  <si>
    <t>sp|Q24JP5|T132A_HUMAN</t>
  </si>
  <si>
    <t>Transmembrane protein 132A OS=Homo sapiens OX=9606 GN=TMEM132A PE=1 SV=1</t>
  </si>
  <si>
    <t>ident:922/1027 pos:953/1027 query:1027 hit:1023 align:1027 bit:1779.6</t>
  </si>
  <si>
    <t>sp|Q9ULA0|DNPEP_HUMAN</t>
  </si>
  <si>
    <t>Aspartyl aminopeptidase OS=Homo sapiens OX=9606 GN=DNPEP PE=1 SV=1</t>
  </si>
  <si>
    <t>ident:419/473 pos:442/473 query:473 hit:475 align:475 bit:869.4</t>
  </si>
  <si>
    <t>XP_027435728.1</t>
  </si>
  <si>
    <t>sp|P01344|IGF2_HUMAN</t>
  </si>
  <si>
    <t>Insulin-like growth factor II OS=Homo sapiens OX=9606 GN=IGF2 PE=1 SV=1</t>
  </si>
  <si>
    <t>ident:166/238 pos:170/238 query:238 hit:180 align:182 bit:335.9</t>
  </si>
  <si>
    <t>XP_027435738.1</t>
  </si>
  <si>
    <t>sp|P00338|LDHA_HUMAN</t>
  </si>
  <si>
    <t>L-lactate dehydrogenase A chain OS=Homo sapiens OX=9606 GN=LDHA PE=1 SV=2</t>
  </si>
  <si>
    <t>ident:319/332 pos:327/332 query:332 hit:332 align:332 bit:660.2</t>
  </si>
  <si>
    <t>XP_027435748.1</t>
  </si>
  <si>
    <t>sp|Q8N3D4|EH1L1_HUMAN</t>
  </si>
  <si>
    <t>EH domain-binding protein 1-like protein 1 OS=Homo sapiens OX=9606 GN=EHBP1L1 PE=1 SV=2</t>
  </si>
  <si>
    <t>ident:1111/1473 pos:1188/1473 query:1473 hit:1523 align:1566 bit:1842.0</t>
  </si>
  <si>
    <t>sp|Q969G5|CAVN3_HUMAN</t>
  </si>
  <si>
    <t>Caveolae-associated protein 3 OS=Homo sapiens OX=9606 GN=CAVIN3 PE=1 SV=3</t>
  </si>
  <si>
    <t>ident:231/261 pos:241/261 query:261 hit:261 align:261 bit:404.8</t>
  </si>
  <si>
    <t>sp|P07339|CATD_HUMAN</t>
  </si>
  <si>
    <t>Cathepsin D OS=Homo sapiens OX=9606 GN=CTSD PE=1 SV=1</t>
  </si>
  <si>
    <t>ident:361/410 pos:384/410 query:410 hit:412 align:412 bit:725.7</t>
  </si>
  <si>
    <t>sp|Q9NSA0|S22AB_HUMAN</t>
  </si>
  <si>
    <t>Solute carrier family 22 member 11 OS=Homo sapiens OX=9606 GN=SLC22A11 PE=1 SV=1</t>
  </si>
  <si>
    <t>ident:400/556 pos:469/556 query:556 hit:550 align:554 bit:818.5</t>
  </si>
  <si>
    <t>sp|P11684|UTER_HUMAN</t>
  </si>
  <si>
    <t>Uteroglobin OS=Homo sapiens OX=9606 GN=SCGB1A1 PE=1 SV=1</t>
  </si>
  <si>
    <t>ident:53/91 pos:67/91 query:91 hit:91 align:90 bit:108.2</t>
  </si>
  <si>
    <t>barrier-to-autointegration factor [Zalophus californianus]</t>
  </si>
  <si>
    <t>sp|O75531|BAF_HUMAN</t>
  </si>
  <si>
    <t>Barrier-to-autointegration factor OS=Homo sapiens OX=9606 GN=BANF1 PE=1 SV=1</t>
  </si>
  <si>
    <t>ident:89/89 pos:89/89 query:89 hit:89 align:89 bit:183.7</t>
  </si>
  <si>
    <t>plasma protease C1 inhibitor [Zalophus californianus]</t>
  </si>
  <si>
    <t>sp|P05155|IC1_HUMAN</t>
  </si>
  <si>
    <t>Plasma protease C1 inhibitor OS=Homo sapiens OX=9606 GN=SERPING1 PE=1 SV=2</t>
  </si>
  <si>
    <t>ident:336/476 pos:384/476 query:476 hit:500 align:484 bit:629.8</t>
  </si>
  <si>
    <t>XP_027435938.1</t>
  </si>
  <si>
    <t>sp|Q9P121|NTRI_HUMAN</t>
  </si>
  <si>
    <t>Neurotrimin OS=Homo sapiens OX=9606 GN=NTM PE=1 SV=1</t>
  </si>
  <si>
    <t>ident:305/367 pos:309/367 query:367 hit:344 align:340 bit:619.4</t>
  </si>
  <si>
    <t>sp|Q96AP7|ESAM_HUMAN</t>
  </si>
  <si>
    <t>Endothelial cell-selective adhesion molecule OS=Homo sapiens OX=9606 GN=ESAM PE=1 SV=1</t>
  </si>
  <si>
    <t>ident:322/393 pos:345/393 query:393 hit:390 align:393 bit:532.3</t>
  </si>
  <si>
    <t>sp|Q96IQ7|VSIG2_HUMAN</t>
  </si>
  <si>
    <t>V-set and immunoglobulin domain-containing protein 2 OS=Homo sapiens OX=9606 GN=VSIG2 PE=1 SV=1</t>
  </si>
  <si>
    <t>ident:288/329 pos:308/329 query:329 hit:327 align:329 bit:560.1</t>
  </si>
  <si>
    <t>thymosin beta-10 [Zalophus californianus]</t>
  </si>
  <si>
    <t>sp|P63313|TYB10_HUMAN</t>
  </si>
  <si>
    <t>Thymosin beta-10 OS=Homo sapiens OX=9606 GN=TMSB10 PE=1 SV=2</t>
  </si>
  <si>
    <t>ident:44/44 pos:44/44 query:44 hit:44 align:44 bit:87.0</t>
  </si>
  <si>
    <t>sp|Q1EHB4|SC5AC_HUMAN</t>
  </si>
  <si>
    <t>Sodium-coupled monocarboxylate transporter 2 OS=Homo sapiens OX=9606 GN=SLC5A12 PE=2 SV=2</t>
  </si>
  <si>
    <t>ident:559/619 pos:587/619 query:619 hit:618 align:619 bit:1155.6</t>
  </si>
  <si>
    <t>sp|Q9H0E2|TOLIP_HUMAN</t>
  </si>
  <si>
    <t>Toll-interacting protein OS=Homo sapiens OX=9606 GN=TOLLIP PE=1 SV=1</t>
  </si>
  <si>
    <t>ident:247/274 pos:263/274 query:274 hit:274 align:273 bit:523.1</t>
  </si>
  <si>
    <t>sp|Q13435|SF3B2_HUMAN</t>
  </si>
  <si>
    <t>Splicing factor 3B subunit 2 OS=Homo sapiens OX=9606 GN=SF3B2 PE=1 SV=2</t>
  </si>
  <si>
    <t>ident:882/895 pos:886/895 query:895 hit:895 align:898 bit:1758.8</t>
  </si>
  <si>
    <t>sp|P60033|CD81_HUMAN</t>
  </si>
  <si>
    <t>CD81 antigen OS=Homo sapiens OX=9606 GN=CD81 PE=1 SV=1</t>
  </si>
  <si>
    <t>ident:229/236 pos:234/236 query:236 hit:236 align:236 bit:471.9</t>
  </si>
  <si>
    <t>sp|Q01995|TAGL_HUMAN</t>
  </si>
  <si>
    <t>Transgelin OS=Homo sapiens OX=9606 GN=TAGLN PE=1 SV=4</t>
  </si>
  <si>
    <t>ident:196/201 pos:200/201 query:201 hit:201 align:201 bit:410.2</t>
  </si>
  <si>
    <t>calpain-1 catalytic subunit [Zalophus californianus]</t>
  </si>
  <si>
    <t>sp|P07384|CAN1_HUMAN</t>
  </si>
  <si>
    <t>Calpain-1 catalytic subunit OS=Homo sapiens OX=9606 GN=CAPN1 PE=1 SV=1</t>
  </si>
  <si>
    <t>ident:691/715 pos:706/715 query:715 hit:714 align:715 bit:1437.2</t>
  </si>
  <si>
    <t>sp|P48788|TNNI2_HUMAN</t>
  </si>
  <si>
    <t>Troponin I, fast skeletal muscle OS=Homo sapiens OX=9606 GN=TNNI2 PE=1 SV=2</t>
  </si>
  <si>
    <t>ident:171/189 pos:178/189 query:189 hit:182 align:178 bit:354.0</t>
  </si>
  <si>
    <t>sp|Q15828|CYTM_HUMAN</t>
  </si>
  <si>
    <t>Cystatin-M OS=Homo sapiens OX=9606 GN=CST6 PE=1 SV=1</t>
  </si>
  <si>
    <t>ident:114/150 pos:129/150 query:150 hit:149 align:149 bit:217.6</t>
  </si>
  <si>
    <t>sp|O43505|B4GA1_HUMAN</t>
  </si>
  <si>
    <t>Beta-1,4-glucuronyltransferase 1 OS=Homo sapiens OX=9606 GN=B4GAT1 PE=1 SV=1</t>
  </si>
  <si>
    <t>ident:408/415 pos:410/415 query:415 hit:415 align:415 bit:847.4</t>
  </si>
  <si>
    <t>XP_027436212.1</t>
  </si>
  <si>
    <t>sp|O60716|CTND1_HUMAN</t>
  </si>
  <si>
    <t>Catenin delta-1 OS=Homo sapiens OX=9606 GN=CTNND1 PE=1 SV=1</t>
  </si>
  <si>
    <t>ident:892/912 pos:901/912 query:912 hit:968 align:912 bit:1848.9</t>
  </si>
  <si>
    <t>sp|O94919|ENDD1_HUMAN</t>
  </si>
  <si>
    <t>Endonuclease domain-containing 1 protein OS=Homo sapiens OX=9606 GN=ENDOD1 PE=1 SV=2</t>
  </si>
  <si>
    <t>ident:391/500 pos:447/500 query:500 hit:500 align:500 bit:821.6</t>
  </si>
  <si>
    <t>GTPase HRas isoform X1 [Zalophus californianus]</t>
  </si>
  <si>
    <t>sp|P01112|RASH_HUMAN</t>
  </si>
  <si>
    <t>GTPase HRas OS=Homo sapiens OX=9606 GN=HRAS PE=1 SV=1</t>
  </si>
  <si>
    <t>ident:185/189 pos:188/189 query:189 hit:189 align:189 bit:386.7</t>
  </si>
  <si>
    <t>hypoxia up-regulated protein 1 [Zalophus californianus]</t>
  </si>
  <si>
    <t>sp|Q9Y4L1|HYOU1_HUMAN</t>
  </si>
  <si>
    <t>Hypoxia up-regulated protein 1 OS=Homo sapiens OX=9606 GN=HYOU1 PE=1 SV=1</t>
  </si>
  <si>
    <t>ident:923/997 pos:945/997 query:997 hit:999 align:1000 bit:1819.3</t>
  </si>
  <si>
    <t>sp|P98088|MUC5A_HUMAN</t>
  </si>
  <si>
    <t>Mucin-5AC OS=Homo sapiens OX=9606 GN=MUC5AC PE=1 SV=4</t>
  </si>
  <si>
    <t>ident:1301/2746 pos:1473/2746 query:2746 hit:5654 align:1876 bit:2589.7</t>
  </si>
  <si>
    <t>sp|Q02817|MUC2_HUMAN</t>
  </si>
  <si>
    <t>Mucin-2 OS=Homo sapiens OX=9606 GN=MUC2 PE=1 SV=2</t>
  </si>
  <si>
    <t>ident:1066/2257 pos:1155/2257 query:2257 hit:5179 align:1263 bit:2253.4</t>
  </si>
  <si>
    <t>sp|Q63ZE4|S22AA_HUMAN</t>
  </si>
  <si>
    <t>Solute carrier family 22 member 10 OS=Homo sapiens OX=9606 GN=SLC22A10 PE=2 SV=2</t>
  </si>
  <si>
    <t>ident:368/545 pos:444/545 query:545 hit:541 align:534 bit:774.6</t>
  </si>
  <si>
    <t>XP_027436361.1</t>
  </si>
  <si>
    <t>sp|P50461|CSRP3_HUMAN</t>
  </si>
  <si>
    <t>Cysteine and glycine-rich protein 3 OS=Homo sapiens OX=9606 GN=CSRP3 PE=1 SV=1</t>
  </si>
  <si>
    <t>ident:192/194 pos:193/194 query:194 hit:194 align:194 bit:396.7</t>
  </si>
  <si>
    <t>sp|Q01469|FABP5_HUMAN</t>
  </si>
  <si>
    <t>Fatty acid-binding protein 5 OS=Homo sapiens OX=9606 GN=FABP5 PE=1 SV=3</t>
  </si>
  <si>
    <t>ident:120/135 pos:132/135 query:135 hit:135 align:135 bit:256.1</t>
  </si>
  <si>
    <t>sp|P0DJI8|SAA1_HUMAN</t>
  </si>
  <si>
    <t>Serum amyloid A-1 protein OS=Homo sapiens OX=9606 GN=SAA1 PE=1 SV=1</t>
  </si>
  <si>
    <t>ident:93/193 pos:100/193 query:193 hit:122 align:130 bit:184.5</t>
  </si>
  <si>
    <t>sp|A8MU46|SMTL1_HUMAN</t>
  </si>
  <si>
    <t>Smoothelin-like protein 1 OS=Homo sapiens OX=9606 GN=SMTNL1 PE=1 SV=2</t>
  </si>
  <si>
    <t>ident:351/495 pos:391/495 query:495 hit:494 align:510 bit:592.4</t>
  </si>
  <si>
    <t>sp|Q6UX15|LAYN_HUMAN</t>
  </si>
  <si>
    <t>Layilin OS=Homo sapiens OX=9606 GN=LAYN PE=2 SV=1</t>
  </si>
  <si>
    <t>ident:302/372 pos:327/372 query:372 hit:382 align:382 bit:578.9</t>
  </si>
  <si>
    <t>XP_027436393.1</t>
  </si>
  <si>
    <t>sp|Q96S37|S22AC_HUMAN</t>
  </si>
  <si>
    <t>Solute carrier family 22 member 12 OS=Homo sapiens OX=9606 GN=SLC22A12 PE=1 SV=1</t>
  </si>
  <si>
    <t>ident:458/553 pos:490/553 query:553 hit:553 align:553 bit:883.6</t>
  </si>
  <si>
    <t>sp|P13727|PRG2_HUMAN</t>
  </si>
  <si>
    <t>Bone marrow proteoglycan OS=Homo sapiens OX=9606 GN=PRG2 PE=1 SV=2</t>
  </si>
  <si>
    <t>ident:136/226 pos:162/226 query:226 hit:222 align:226 bit:217.6</t>
  </si>
  <si>
    <t>sp|P02511|CRYAB_HUMAN</t>
  </si>
  <si>
    <t>Alpha-crystallin B chain OS=Homo sapiens OX=9606 GN=CRYAB PE=1 SV=2</t>
  </si>
  <si>
    <t>ident:172/175 pos:172/175 query:175 hit:175 align:175 bit:347.8</t>
  </si>
  <si>
    <t>sp|P02647|APOA1_HUMAN</t>
  </si>
  <si>
    <t>Apolipoprotein A-I OS=Homo sapiens OX=9606 GN=APOA1 PE=1 SV=1</t>
  </si>
  <si>
    <t>ident:223/266 pos:243/266 query:266 hit:267 align:267 bit:451.1</t>
  </si>
  <si>
    <t>sp|P22894|MMP8_HUMAN</t>
  </si>
  <si>
    <t>Neutrophil collagenase OS=Homo sapiens OX=9606 GN=MMP8 PE=1 SV=1</t>
  </si>
  <si>
    <t>ident:352/477 pos:393/477 query:477 hit:467 align:452 bit:749.6</t>
  </si>
  <si>
    <t>sp|P02790|HEMO_HUMAN</t>
  </si>
  <si>
    <t>Hemopexin OS=Homo sapiens OX=9606 GN=HPX PE=1 SV=2</t>
  </si>
  <si>
    <t>ident:373/463 pos:406/463 query:463 hit:462 align:464 bit:776.5</t>
  </si>
  <si>
    <t>sp|P31948|STIP1_HUMAN</t>
  </si>
  <si>
    <t>Stress-induced-phosphoprotein 1 OS=Homo sapiens OX=9606 GN=STIP1 PE=1 SV=1</t>
  </si>
  <si>
    <t>ident:528/543 pos:537/543 query:543 hit:543 align:543 bit:1090.9</t>
  </si>
  <si>
    <t>XP_027436570.1</t>
  </si>
  <si>
    <t>sp|Q8WZ75|ROBO4_HUMAN</t>
  </si>
  <si>
    <t>Roundabout homolog 4 OS=Homo sapiens OX=9606 GN=ROBO4 PE=1 SV=1</t>
  </si>
  <si>
    <t>ident:832/1003 pos:868/1003 query:1003 hit:1007 align:981 bit:1483.8</t>
  </si>
  <si>
    <t>sp|Q6IB77|GLYAT_HUMAN</t>
  </si>
  <si>
    <t>Glycine N-acyltransferase OS=Homo sapiens OX=9606 GN=GLYAT PE=1 SV=3</t>
  </si>
  <si>
    <t>ident:228/295 pos:253/295 query:295 hit:296 align:295 bit:485.3</t>
  </si>
  <si>
    <t>sp|Q15223|NECT1_HUMAN</t>
  </si>
  <si>
    <t>Nectin-1 OS=Homo sapiens OX=9606 GN=NECTIN1 PE=1 SV=3</t>
  </si>
  <si>
    <t>ident:501/516 pos:511/516 query:516 hit:517 align:517 bit:1047.3</t>
  </si>
  <si>
    <t>XP_027436599.1</t>
  </si>
  <si>
    <t>sp|Q86YD5|LRAD3_HUMAN</t>
  </si>
  <si>
    <t>Low-density lipoprotein receptor class A domain-containing protein 3 OS=Homo sapiens OX=9606 GN=LDLRAD3 PE=2 SV=3</t>
  </si>
  <si>
    <t>ident:326/346 pos:331/346 query:346 hit:345 align:346 bit:589.0</t>
  </si>
  <si>
    <t>XP_027436639.1</t>
  </si>
  <si>
    <t>sp|Q14982|OPCM_HUMAN</t>
  </si>
  <si>
    <t>Opioid-binding protein/cell adhesion molecule OS=Homo sapiens OX=9606 GN=OPCML PE=1 SV=1</t>
  </si>
  <si>
    <t>ident:285/374 pos:292/374 query:374 hit:345 align:307 bit:591.7</t>
  </si>
  <si>
    <t>XP_027436663.1</t>
  </si>
  <si>
    <t>nuclear mitotic apparatus protein 1 isoform X1 [Zalophus californianus]</t>
  </si>
  <si>
    <t>sp|Q14980|NUMA1_HUMAN</t>
  </si>
  <si>
    <t>Nuclear mitotic apparatus protein 1 OS=Homo sapiens OX=9606 GN=NUMA1 PE=1 SV=2</t>
  </si>
  <si>
    <t>ident:1880/2108 pos:1985/2108 query:2108 hit:2115 align:2126 bit:3498.4</t>
  </si>
  <si>
    <t>folate receptor alpha-like [Zalophus californianus]</t>
  </si>
  <si>
    <t>sp|P15328|FOLR1_HUMAN</t>
  </si>
  <si>
    <t>Folate receptor alpha OS=Homo sapiens OX=9606 GN=FOLR1 PE=1 SV=3</t>
  </si>
  <si>
    <t>ident:188/254 pos:210/254 query:254 hit:257 align:245 bit:389.4</t>
  </si>
  <si>
    <t>sp|P14207|FOLR2_HUMAN</t>
  </si>
  <si>
    <t>Folate receptor beta OS=Homo sapiens OX=9606 GN=FOLR2 PE=1 SV=4</t>
  </si>
  <si>
    <t>ident:194/253 pos:209/253 query:253 hit:255 align:231 bit:418.3</t>
  </si>
  <si>
    <t>XP_027436710.1</t>
  </si>
  <si>
    <t>sp|O95998|I18BP_HUMAN</t>
  </si>
  <si>
    <t>Interleukin-18-binding protein OS=Homo sapiens OX=9606 GN=IL18BP PE=1 SV=2</t>
  </si>
  <si>
    <t>ident:129/188 pos:143/188 query:188 hit:194 align:186 bit:246.5</t>
  </si>
  <si>
    <t>sp|P08195|4F2_HUMAN</t>
  </si>
  <si>
    <t>4F2 cell-surface antigen heavy chain OS=Homo sapiens OX=9606 GN=SLC3A2 PE=1 SV=3</t>
  </si>
  <si>
    <t>ident:432/533 pos:465/533 query:533 hit:630 align:533 bit:815.1</t>
  </si>
  <si>
    <t>ATP synthase subunit g, mitochondrial [Zalophus californianus]</t>
  </si>
  <si>
    <t>sp|O75964|ATP5L_HUMAN</t>
  </si>
  <si>
    <t>ATP synthase subunit g, mitochondrial OS=Homo sapiens OX=9606 GN=ATP5MG PE=1 SV=3</t>
  </si>
  <si>
    <t>ident:94/103 pos:98/103 query:103 hit:103 align:103 bit:192.2</t>
  </si>
  <si>
    <t>sp|P05413|FABPH_HUMAN</t>
  </si>
  <si>
    <t>Fatty acid-binding protein, heart OS=Homo sapiens OX=9606 GN=FABP3 PE=1 SV=4</t>
  </si>
  <si>
    <t>ident:119/133 pos:128/133 query:133 hit:133 align:133 bit:250.4</t>
  </si>
  <si>
    <t>sp|Q00403|TF2B_HUMAN</t>
  </si>
  <si>
    <t>Transcription initiation factor IIB OS=Homo sapiens OX=9606 GN=GTF2B PE=1 SV=1</t>
  </si>
  <si>
    <t>ident:316/316 pos:316/316 query:316 hit:316 align:316 bit:652.9</t>
  </si>
  <si>
    <t>sp|Q9H0U4|RAB1B_HUMAN</t>
  </si>
  <si>
    <t>Ras-related protein Rab-1B OS=Homo sapiens OX=9606 GN=RAB1B PE=1 SV=1</t>
  </si>
  <si>
    <t>ident:201/201 pos:201/201 query:201 hit:201 align:201 bit:417.2</t>
  </si>
  <si>
    <t>sp|P17980|PRS6A_HUMAN</t>
  </si>
  <si>
    <t>26S proteasome regulatory subunit 6A OS=Homo sapiens OX=9606 GN=PSMC3 PE=1 SV=3</t>
  </si>
  <si>
    <t>ident:437/439 pos:438/439 query:439 hit:439 align:439 bit:896.3</t>
  </si>
  <si>
    <t>sp|P14550|AK1A1_HUMAN</t>
  </si>
  <si>
    <t>Aldo-keto reductase family 1 member A1 OS=Homo sapiens OX=9606 GN=AKR1A1 PE=1 SV=3</t>
  </si>
  <si>
    <t>ident:311/325 pos:321/325 query:325 hit:325 align:325 bit:649.8</t>
  </si>
  <si>
    <t>sp|Q9BR76|COR1B_HUMAN</t>
  </si>
  <si>
    <t>Coronin-1B OS=Homo sapiens OX=9606 GN=CORO1B PE=1 SV=1</t>
  </si>
  <si>
    <t>ident:461/489 pos:468/489 query:489 hit:489 align:489 bit:947.2</t>
  </si>
  <si>
    <t>ident:99/129 pos:107/129 query:129 hit:122 align:130 bit:191.0</t>
  </si>
  <si>
    <t>sp|P25786|PSA1_HUMAN</t>
  </si>
  <si>
    <t>Proteasome subunit alpha type-1 OS=Homo sapiens OX=9606 GN=PSMA1 PE=1 SV=1</t>
  </si>
  <si>
    <t>ident:262/263 pos:262/263 query:263 hit:263 align:263 bit:549.3</t>
  </si>
  <si>
    <t>sp|O14773|TPP1_HUMAN</t>
  </si>
  <si>
    <t>Tripeptidyl-peptidase 1 OS=Homo sapiens OX=9606 GN=TPP1 PE=1 SV=2</t>
  </si>
  <si>
    <t>ident:512/572 pos:538/572 query:572 hit:563 align:563 bit:1040.0</t>
  </si>
  <si>
    <t>ident:93/130 pos:101/130 query:130 hit:122 align:130 bit:184.1</t>
  </si>
  <si>
    <t>XP_027436872.1</t>
  </si>
  <si>
    <t>sp|Q9UBP4|DKK3_HUMAN</t>
  </si>
  <si>
    <t>Dickkopf-related protein 3 OS=Homo sapiens OX=9606 GN=DKK3 PE=1 SV=2</t>
  </si>
  <si>
    <t>ident:279/377 pos:294/377 query:377 hit:350 align:319 bit:536.2</t>
  </si>
  <si>
    <t>sp|Q9UBX1|CATF_HUMAN</t>
  </si>
  <si>
    <t>Cathepsin F OS=Homo sapiens OX=9606 GN=CTSF PE=1 SV=1</t>
  </si>
  <si>
    <t>ident:375/459 pos:411/459 query:459 hit:484 align:484 bit:733.0</t>
  </si>
  <si>
    <t>XP_027436885.1</t>
  </si>
  <si>
    <t>sp|O14618|CCS_HUMAN</t>
  </si>
  <si>
    <t>Copper chaperone for superoxide dismutase OS=Homo sapiens OX=9606 GN=CCS PE=1 SV=1</t>
  </si>
  <si>
    <t>ident:250/274 pos:261/274 query:274 hit:274 align:274 bit:508.4</t>
  </si>
  <si>
    <t>XP_027436912.1</t>
  </si>
  <si>
    <t>sp|P26885|FKBP2_HUMAN</t>
  </si>
  <si>
    <t>Peptidyl-prolyl cis-trans isomerase FKBP2 OS=Homo sapiens OX=9606 GN=FKBP2 PE=1 SV=2</t>
  </si>
  <si>
    <t>ident:137/162 pos:139/162 query:162 hit:142 align:142 bit:277.3</t>
  </si>
  <si>
    <t>XP_027436924.1</t>
  </si>
  <si>
    <t>sp|P33241|LSP1_HUMAN</t>
  </si>
  <si>
    <t>Lymphocyte-specific protein 1 OS=Homo sapiens OX=9606 GN=LSP1 PE=1 SV=1</t>
  </si>
  <si>
    <t>ident:243/367 pos:266/367 query:367 hit:339 align:339 bit:422.6</t>
  </si>
  <si>
    <t>mth938 domain-containing protein [Zalophus californianus]</t>
  </si>
  <si>
    <t>sp|Q9H7C9|AAMDC_HUMAN</t>
  </si>
  <si>
    <t>Mth938 domain-containing protein OS=Homo sapiens OX=9606 GN=AAMDC PE=1 SV=1</t>
  </si>
  <si>
    <t>ident:110/122 pos:116/122 query:122 hit:122 align:122 bit:231.1</t>
  </si>
  <si>
    <t>sp|P00734|THRB_HUMAN</t>
  </si>
  <si>
    <t>Prothrombin OS=Homo sapiens OX=9606 GN=F2 PE=1 SV=2</t>
  </si>
  <si>
    <t>ident:514/622 pos:558/622 query:622 hit:622 align:622 bit:1081.2</t>
  </si>
  <si>
    <t>sp|O60487|MPZL2_HUMAN</t>
  </si>
  <si>
    <t>Myelin protein zero-like protein 2 OS=Homo sapiens OX=9606 GN=MPZL2 PE=1 SV=1</t>
  </si>
  <si>
    <t>ident:190/215 pos:202/215 query:215 hit:215 align:215 bit:386.0</t>
  </si>
  <si>
    <t>XP_027437145.1</t>
  </si>
  <si>
    <t>nucleobindin-2 isoform X1 [Zalophus californianus]</t>
  </si>
  <si>
    <t>sp|P80303|NUCB2_HUMAN</t>
  </si>
  <si>
    <t>Nucleobindin-2 OS=Homo sapiens OX=9606 GN=NUCB2 PE=1 SV=3</t>
  </si>
  <si>
    <t>ident:395/420 pos:408/420 query:420 hit:420 align:420 bit:741.9</t>
  </si>
  <si>
    <t>sp|P62277|RS13_HUMAN</t>
  </si>
  <si>
    <t>40S ribosomal protein S13 OS=Homo sapiens OX=9606 GN=RPS13 PE=1 SV=2</t>
  </si>
  <si>
    <t>ident:151/151 pos:151/151 query:151 hit:151 align:151 bit:305.1</t>
  </si>
  <si>
    <t>sp|P04040|CATA_HUMAN</t>
  </si>
  <si>
    <t>Catalase OS=Homo sapiens OX=9606 GN=CAT PE=1 SV=3</t>
  </si>
  <si>
    <t>ident:475/527 pos:503/527 query:527 hit:527 align:527 bit:1015.8</t>
  </si>
  <si>
    <t>XP_027437222.1</t>
  </si>
  <si>
    <t>sp|P29323|EPHB2_HUMAN</t>
  </si>
  <si>
    <t>Ephrin type-B receptor 2 OS=Homo sapiens OX=9606 GN=EPHB2 PE=1 SV=5</t>
  </si>
  <si>
    <t>ident:959/964 pos:962/964 query:964 hit:1055 align:963 bit:2012.7</t>
  </si>
  <si>
    <t>sp|P84095|RHOG_HUMAN</t>
  </si>
  <si>
    <t>Rho-related GTP-binding protein RhoG OS=Homo sapiens OX=9606 GN=RHOG PE=1 SV=1</t>
  </si>
  <si>
    <t>ident:190/191 pos:191/191 query:191 hit:191 align:191 bit:398.7</t>
  </si>
  <si>
    <t>sp|O43504|LTOR5_HUMAN</t>
  </si>
  <si>
    <t>Ragulator complex protein LAMTOR5 OS=Homo sapiens OX=9606 GN=LAMTOR5 PE=1 SV=1</t>
  </si>
  <si>
    <t>ident:91/91 pos:91/91 query:91 hit:91 align:91 bit:186.0</t>
  </si>
  <si>
    <t>sp|P03956|MMP1_HUMAN</t>
  </si>
  <si>
    <t>Interstitial collagenase OS=Homo sapiens OX=9606 GN=MMP1 PE=1 SV=3</t>
  </si>
  <si>
    <t>ident:358/466 pos:400/466 query:466 hit:469 align:455 bit:760.0</t>
  </si>
  <si>
    <t>serum amyloid A-1 protein isoform X2 [Zalophus californianus]</t>
  </si>
  <si>
    <t>ident:97/129 pos:105/129 query:129 hit:122 align:130 bit:188.7</t>
  </si>
  <si>
    <t>XP_027437324.1</t>
  </si>
  <si>
    <t>sp|P11498|PYC_HUMAN</t>
  </si>
  <si>
    <t>Pyruvate carboxylase, mitochondrial OS=Homo sapiens OX=9606 GN=PC PE=1 SV=2</t>
  </si>
  <si>
    <t>ident:1142/1190 pos:1162/1190 query:1190 hit:1178 align:1178 bit:2370.1</t>
  </si>
  <si>
    <t>sp|P01891|1A68_HUMAN</t>
  </si>
  <si>
    <t>HLA class I histocompatibility antigen, A-68 alpha chain OS=Homo sapiens OX=9606 GN=HLA-A PE=1 SV=4</t>
  </si>
  <si>
    <t>ident:102/160 pos:117/160 query:160 hit:365 align:148 bit:209.9</t>
  </si>
  <si>
    <t>ident:159/244 pos:178/244 query:244 hit:365 align:205 bit:334.7</t>
  </si>
  <si>
    <t>cystatin-C-like [Zalophus californianus]</t>
  </si>
  <si>
    <t>sp|P01034|CYTC_HUMAN</t>
  </si>
  <si>
    <t>Cystatin-C OS=Homo sapiens OX=9606 GN=CST3 PE=1 SV=1</t>
  </si>
  <si>
    <t>ident:87/149 pos:103/149 query:149 hit:146 align:128 bit:192.2</t>
  </si>
  <si>
    <t>sp|P07437|TBB5_HUMAN</t>
  </si>
  <si>
    <t>Tubulin beta chain OS=Homo sapiens OX=9606 GN=TUBB PE=1 SV=2</t>
  </si>
  <si>
    <t>ident:298/298 pos:298/298 query:298 hit:444 align:298 bit:626.7</t>
  </si>
  <si>
    <t>sp|Q31612|1B73_HUMAN</t>
  </si>
  <si>
    <t>HLA class I histocompatibility antigen, B-73 alpha chain OS=Homo sapiens OX=9606 GN=HLA-B PE=1 SV=1</t>
  </si>
  <si>
    <t>ident:140/217 pos:153/217 query:217 hit:363 align:178 bit:285.4</t>
  </si>
  <si>
    <t>ident:147/303 pos:164/303 query:303 hit:363 align:183 bit:308.5</t>
  </si>
  <si>
    <t>sp|Q95604|1C17_HUMAN</t>
  </si>
  <si>
    <t>HLA class I histocompatibility antigen, Cw-17 alpha chain OS=Homo sapiens OX=9606 GN=HLA-C PE=1 SV=1</t>
  </si>
  <si>
    <t>ident:149/302 pos:163/302 query:302 hit:372 align:183 bit:308.9</t>
  </si>
  <si>
    <t>XP_027437462.1</t>
  </si>
  <si>
    <t>sp|P16402|H13_HUMAN</t>
  </si>
  <si>
    <t>Histone H1.3 OS=Homo sapiens OX=9606 GN=HIST1H1D PE=1 SV=2</t>
  </si>
  <si>
    <t>ident:133/221 pos:137/221 query:221 hit:221 align:148 bit:183.3</t>
  </si>
  <si>
    <t>sp|P07358|CO8B_HUMAN</t>
  </si>
  <si>
    <t>Complement component C8 beta chain OS=Homo sapiens OX=9606 GN=C8B PE=1 SV=3</t>
  </si>
  <si>
    <t>ident:496/590 pos:526/590 query:590 hit:591 align:590 bit:1049.7</t>
  </si>
  <si>
    <t>sp|P04080|CYTB_HUMAN</t>
  </si>
  <si>
    <t>Cystatin-B OS=Homo sapiens OX=9606 GN=CSTB PE=1 SV=2</t>
  </si>
  <si>
    <t>ident:76/98 pos:88/98 query:98 hit:98 align:98 bit:167.9</t>
  </si>
  <si>
    <t>XP_027437540.1</t>
  </si>
  <si>
    <t>sp|P61956|SUMO2_HUMAN</t>
  </si>
  <si>
    <t>Small ubiquitin-related modifier 2 OS=Homo sapiens OX=9606 GN=SUMO2 PE=1 SV=3</t>
  </si>
  <si>
    <t>ident:72/76 pos:74/76 query:76 hit:95 align:95 bit:141.0</t>
  </si>
  <si>
    <t>XP_027437542.1</t>
  </si>
  <si>
    <t>sp|Q9UJ83|HACL1_HUMAN</t>
  </si>
  <si>
    <t>2-hydroxyacyl-CoA lyase 1 OS=Homo sapiens OX=9606 GN=HACL1 PE=1 SV=2</t>
  </si>
  <si>
    <t>ident:506/590 pos:541/590 query:590 hit:578 align:572 bit:1065.1</t>
  </si>
  <si>
    <t>XP_027437547.1</t>
  </si>
  <si>
    <t>sp|P43251|BTD_HUMAN</t>
  </si>
  <si>
    <t>Biotinidase OS=Homo sapiens OX=9606 GN=BTD PE=1 SV=2</t>
  </si>
  <si>
    <t>ident:442/532 pos:490/532 query:532 hit:543 align:531 bit:953.7</t>
  </si>
  <si>
    <t>XP_027437579.1</t>
  </si>
  <si>
    <t>sp|P55036|PSMD4_HUMAN</t>
  </si>
  <si>
    <t>26S proteasome non-ATPase regulatory subunit 4 OS=Homo sapiens OX=9606 GN=PSMD4 PE=1 SV=1</t>
  </si>
  <si>
    <t>ident:373/412 pos:374/412 query:412 hit:377 align:412 bit:748.0</t>
  </si>
  <si>
    <t>sp|P98073|ENTK_HUMAN</t>
  </si>
  <si>
    <t>Enteropeptidase OS=Homo sapiens OX=9606 GN=TMPRSS15 PE=1 SV=3</t>
  </si>
  <si>
    <t>ident:862/1034 pos:930/1034 query:1034 hit:1019 align:1034 bit:1812.3</t>
  </si>
  <si>
    <t>XP_027437619.1</t>
  </si>
  <si>
    <t>type 2 lactosamine alpha-2,3-sialyltransferase isoform X1 [Zalophus californianus]</t>
  </si>
  <si>
    <t>sp|Q9Y274|SIA10_HUMAN</t>
  </si>
  <si>
    <t>Type 2 lactosamine alpha-2,3-sialyltransferase OS=Homo sapiens OX=9606 GN=ST3GAL6 PE=1 SV=1</t>
  </si>
  <si>
    <t>ident:312/331 pos:321/331 query:331 hit:331 align:330 bit:653.7</t>
  </si>
  <si>
    <t>sp|P00450|CERU_HUMAN</t>
  </si>
  <si>
    <t>Ceruloplasmin OS=Homo sapiens OX=9606 GN=CP PE=1 SV=1</t>
  </si>
  <si>
    <t>ident:637/1050 pos:810/1050 query:1050 hit:1065 align:1063 bit:1340.5</t>
  </si>
  <si>
    <t>XP_027437676.1</t>
  </si>
  <si>
    <t>sp|P08865|RSSA_HUMAN</t>
  </si>
  <si>
    <t>40S ribosomal protein SA OS=Homo sapiens OX=9606 GN=RPSA PE=1 SV=4</t>
  </si>
  <si>
    <t>ident:279/285 pos:280/285 query:285 hit:295 align:295 bit:565.1</t>
  </si>
  <si>
    <t>carboxypeptidase Q isoform X1 [Zalophus californianus]</t>
  </si>
  <si>
    <t>sp|Q9Y646|CBPQ_HUMAN</t>
  </si>
  <si>
    <t>Carboxypeptidase Q OS=Homo sapiens OX=9606 GN=CPQ PE=1 SV=1</t>
  </si>
  <si>
    <t>ident:429/472 pos:445/472 query:472 hit:472 align:472 bit:859.0</t>
  </si>
  <si>
    <t>XP_027437806.1</t>
  </si>
  <si>
    <t>protein TFG isoform X1 [Zalophus californianus]</t>
  </si>
  <si>
    <t>sp|Q92734|TFG_HUMAN</t>
  </si>
  <si>
    <t>Protein TFG OS=Homo sapiens OX=9606 GN=TFG PE=1 SV=2</t>
  </si>
  <si>
    <t>ident:377/404 pos:383/404 query:404 hit:400 align:404 bit:584.7</t>
  </si>
  <si>
    <t>sp|Q15833|STXB2_HUMAN</t>
  </si>
  <si>
    <t>Syntaxin-binding protein 2 OS=Homo sapiens OX=9606 GN=STXBP2 PE=1 SV=2</t>
  </si>
  <si>
    <t>ident:526/624 pos:549/624 query:624 hit:593 align:625 bit:1056.2</t>
  </si>
  <si>
    <t>sp|Q13332|PTPRS_HUMAN</t>
  </si>
  <si>
    <t>Receptor-type tyrosine-protein phosphatase S OS=Homo sapiens OX=9606 GN=PTPRS PE=1 SV=3</t>
  </si>
  <si>
    <t>ident:1824/2029 pos:1853/2029 query:2029 hit:1948 align:1871 bit:3787.7</t>
  </si>
  <si>
    <t>sp|Q96MG2|JSPR1_HUMAN</t>
  </si>
  <si>
    <t>Junctional sarcoplasmic reticulum protein 1 OS=Homo sapiens OX=9606 GN=JSRP1 PE=1 SV=1</t>
  </si>
  <si>
    <t>ident:220/413 pos:245/413 query:413 hit:331 align:340 bit:281.2</t>
  </si>
  <si>
    <t>sp|P08246|ELNE_HUMAN</t>
  </si>
  <si>
    <t>Neutrophil elastase OS=Homo sapiens OX=9606 GN=ELANE PE=1 SV=1</t>
  </si>
  <si>
    <t>ident:193/265 pos:219/265 query:265 hit:267 align:266 bit:373.2</t>
  </si>
  <si>
    <t>sp|O43921|EFNA2_HUMAN</t>
  </si>
  <si>
    <t>Ephrin-A2 OS=Homo sapiens OX=9606 GN=EFNA2 PE=1 SV=1</t>
  </si>
  <si>
    <t>ident:148/152 pos:150/152 query:152 hit:213 align:152 bit:304.7</t>
  </si>
  <si>
    <t>sp|Q14353|GAMT_HUMAN</t>
  </si>
  <si>
    <t>Guanidinoacetate N-methyltransferase OS=Homo sapiens OX=9606 GN=GAMT PE=1 SV=1</t>
  </si>
  <si>
    <t>ident:215/236 pos:224/236 query:236 hit:236 align:235 bit:433.3</t>
  </si>
  <si>
    <t>sp|Q9BTV4|TMM43_HUMAN</t>
  </si>
  <si>
    <t>Transmembrane protein 43 OS=Homo sapiens OX=9606 GN=TMEM43 PE=1 SV=1</t>
  </si>
  <si>
    <t>ident:368/400 pos:381/400 query:400 hit:400 align:400 bit:769.2</t>
  </si>
  <si>
    <t>sp|P34741|SDC2_HUMAN</t>
  </si>
  <si>
    <t>Syndecan-2 OS=Homo sapiens OX=9606 GN=SDC2 PE=1 SV=2</t>
  </si>
  <si>
    <t>ident:192/201 pos:196/201 query:201 hit:201 align:201 bit:365.9</t>
  </si>
  <si>
    <t>sp|P48745|CCN3_HUMAN</t>
  </si>
  <si>
    <t>CCN family member 3 OS=Homo sapiens OX=9606 GN=CCN3 PE=1 SV=1</t>
  </si>
  <si>
    <t>ident:296/353 pos:319/353 query:353 hit:357 align:357 bit:582.8</t>
  </si>
  <si>
    <t>XP_027437981.1</t>
  </si>
  <si>
    <t>sp|Q8WW12|PCNP_HUMAN</t>
  </si>
  <si>
    <t>PEST proteolytic signal-containing nuclear protein OS=Homo sapiens OX=9606 GN=PCNP PE=1 SV=2</t>
  </si>
  <si>
    <t>ident:176/178 pos:177/178 query:178 hit:178 align:178 bit:352.1</t>
  </si>
  <si>
    <t>sp|P83731|RL24_HUMAN</t>
  </si>
  <si>
    <t>60S ribosomal protein L24 OS=Homo sapiens OX=9606 GN=RPL24 PE=1 SV=1</t>
  </si>
  <si>
    <t>ident:157/157 pos:157/157 query:157 hit:157 align:157 bit:315.1</t>
  </si>
  <si>
    <t>sp|P02746|C1QB_HUMAN</t>
  </si>
  <si>
    <t>Complement C1q subcomponent subunit B OS=Homo sapiens OX=9606 GN=C1QB PE=1 SV=3</t>
  </si>
  <si>
    <t>ident:200/249 pos:211/249 query:249 hit:253 align:231 bit:365.9</t>
  </si>
  <si>
    <t>XP_027438098.1</t>
  </si>
  <si>
    <t>transferrin receptor protein 1 isoform X1 [Zalophus californianus]</t>
  </si>
  <si>
    <t>sp|P02786|TFR1_HUMAN</t>
  </si>
  <si>
    <t>Transferrin receptor protein 1 OS=Homo sapiens OX=9606 GN=TFRC PE=1 SV=2</t>
  </si>
  <si>
    <t>ident:600/770 pos:694/770 query:770 hit:760 align:770 bit:1278.8</t>
  </si>
  <si>
    <t>XP_027438106.1</t>
  </si>
  <si>
    <t>sp|P48960|CD97_HUMAN</t>
  </si>
  <si>
    <t>CD97 antigen OS=Homo sapiens OX=9606 GN=CD97 PE=1 SV=4</t>
  </si>
  <si>
    <t>ident:579/830 pos:668/830 query:830 hit:835 align:826 bit:1168.3</t>
  </si>
  <si>
    <t>XP_027438125.1</t>
  </si>
  <si>
    <t>PDZ domain-containing protein GIPC1 isoform X1 [Zalophus californianus]</t>
  </si>
  <si>
    <t>sp|O14908|GIPC1_HUMAN</t>
  </si>
  <si>
    <t>PDZ domain-containing protein GIPC1 OS=Homo sapiens OX=9606 GN=GIPC1 PE=1 SV=2</t>
  </si>
  <si>
    <t>ident:323/368 pos:328/368 query:368 hit:333 align:368 bit:561.6</t>
  </si>
  <si>
    <t>sp|Q9BY76|ANGL4_HUMAN</t>
  </si>
  <si>
    <t>Angiopoietin-related protein 4 OS=Homo sapiens OX=9606 GN=ANGPTL4 PE=1 SV=2</t>
  </si>
  <si>
    <t>ident:333/412 pos:355/412 query:412 hit:406 align:412 bit:673.7</t>
  </si>
  <si>
    <t>transforming protein RhoA [Zalophus californianus]</t>
  </si>
  <si>
    <t>sp|P61586|RHOA_HUMAN</t>
  </si>
  <si>
    <t>Transforming protein RhoA OS=Homo sapiens OX=9606 GN=RHOA PE=1 SV=1</t>
  </si>
  <si>
    <t>ident:193/193 pos:193/193 query:193 hit:193 align:193 bit:400.6</t>
  </si>
  <si>
    <t>xin actin-binding repeat-containing protein 1 isoform X1 [Zalophus californianus]</t>
  </si>
  <si>
    <t>sp|Q702N8|XIRP1_HUMAN</t>
  </si>
  <si>
    <t>Xin actin-binding repeat-containing protein 1 OS=Homo sapiens OX=9606 GN=XIRP1 PE=1 SV=1</t>
  </si>
  <si>
    <t>ident:1425/1845 pos:1523/1845 query:1845 hit:1843 align:1858 bit:2578.9</t>
  </si>
  <si>
    <t>sp|P27816|MAP4_HUMAN</t>
  </si>
  <si>
    <t>Microtubule-associated protein 4 OS=Homo sapiens OX=9606 GN=MAP4 PE=1 SV=3</t>
  </si>
  <si>
    <t>ident:837/1133 pos:929/1133 query:1133 hit:1152 align:1171 bit:1521.5</t>
  </si>
  <si>
    <t>XP_027438178.1</t>
  </si>
  <si>
    <t>sp|P32942|ICAM3_HUMAN</t>
  </si>
  <si>
    <t>Intercellular adhesion molecule 3 OS=Homo sapiens OX=9606 GN=ICAM3 PE=1 SV=2</t>
  </si>
  <si>
    <t>ident:334/492 pos:388/492 query:492 hit:547 align:488 bit:655.2</t>
  </si>
  <si>
    <t>XP_027438230.1</t>
  </si>
  <si>
    <t>sp|P46976|GLYG_HUMAN</t>
  </si>
  <si>
    <t>Glycogenin-1 OS=Homo sapiens OX=9606 GN=GYG1 PE=1 SV=4</t>
  </si>
  <si>
    <t>ident:327/350 pos:339/350 query:350 hit:350 align:350 bit:687.6</t>
  </si>
  <si>
    <t>sp|P61313|RL15_HUMAN</t>
  </si>
  <si>
    <t>60S ribosomal protein L15 OS=Homo sapiens OX=9606 GN=RPL15 PE=1 SV=2</t>
  </si>
  <si>
    <t>ident:204/204 pos:204/204 query:204 hit:204 align:204 bit:417.2</t>
  </si>
  <si>
    <t>sp|P41236|IPP2_HUMAN</t>
  </si>
  <si>
    <t>Protein phosphatase inhibitor 2 OS=Homo sapiens OX=9606 GN=PPP1R2 PE=1 SV=2</t>
  </si>
  <si>
    <t>ident:177/205 pos:190/205 query:205 hit:205 align:205 bit:345.5</t>
  </si>
  <si>
    <t>sp|P05090|APOD_HUMAN</t>
  </si>
  <si>
    <t>Apolipoprotein D OS=Homo sapiens OX=9606 GN=APOD PE=1 SV=1</t>
  </si>
  <si>
    <t>ident:138/188 pos:154/188 query:188 hit:189 align:173 bit:300.4</t>
  </si>
  <si>
    <t>sp|P29401|TKT_HUMAN</t>
  </si>
  <si>
    <t>Transketolase OS=Homo sapiens OX=9606 GN=TKT PE=1 SV=3</t>
  </si>
  <si>
    <t>ident:572/623 pos:597/623 query:623 hit:623 align:623 bit:1213.0</t>
  </si>
  <si>
    <t>XP_027438356.1</t>
  </si>
  <si>
    <t>sp|Q03252|LMNB2_HUMAN</t>
  </si>
  <si>
    <t>Lamin-B2 OS=Homo sapiens OX=9606 GN=LMNB2 PE=1 SV=4</t>
  </si>
  <si>
    <t>ident:550/651 pos:575/651 query:651 hit:620 align:651 bit:975.7</t>
  </si>
  <si>
    <t>sp|P13861|KAP2_HUMAN</t>
  </si>
  <si>
    <t>cAMP-dependent protein kinase type II-alpha regulatory subunit OS=Homo sapiens OX=9606 GN=PRKAR2A PE=1 SV=2</t>
  </si>
  <si>
    <t>ident:365/401 pos:381/401 query:401 hit:404 align:404 bit:726.1</t>
  </si>
  <si>
    <t>XP_027438476.1</t>
  </si>
  <si>
    <t>sp|O75369|FLNB_HUMAN</t>
  </si>
  <si>
    <t>Filamin-B OS=Homo sapiens OX=9606 GN=FLNB PE=1 SV=2</t>
  </si>
  <si>
    <t>ident:2532/2602 pos:2578/2602 query:2602 hit:2602 align:2602 bit:5194.8</t>
  </si>
  <si>
    <t>sp|Q15717|ELAV1_HUMAN</t>
  </si>
  <si>
    <t>ELAV-like protein 1 OS=Homo sapiens OX=9606 GN=ELAVL1 PE=1 SV=2</t>
  </si>
  <si>
    <t>ident:325/326 pos:325/326 query:326 hit:326 align:326 bit:679.5</t>
  </si>
  <si>
    <t>sp|P55854|SUMO3_HUMAN</t>
  </si>
  <si>
    <t>Small ubiquitin-related modifier 3 OS=Homo sapiens OX=9606 GN=SUMO3 PE=1 SV=2</t>
  </si>
  <si>
    <t>ident:94/111 pos:95/111 query:111 hit:103 align:98 bit:195.7</t>
  </si>
  <si>
    <t>XP_027438691.1</t>
  </si>
  <si>
    <t>sp|O94910|AGRL1_HUMAN</t>
  </si>
  <si>
    <t>Adhesion G protein-coupled receptor L1 OS=Homo sapiens OX=9606 GN=ADGRL1 PE=1 SV=1</t>
  </si>
  <si>
    <t>ident:1455/1474 pos:1462/1474 query:1474 hit:1474 align:1475 bit:3010.3</t>
  </si>
  <si>
    <t>sp|Q76M96|CCD80_HUMAN</t>
  </si>
  <si>
    <t>Coiled-coil domain-containing protein 80 OS=Homo sapiens OX=9606 GN=CCDC80 PE=1 SV=1</t>
  </si>
  <si>
    <t>ident:842/956 pos:875/956 query:956 hit:950 align:958 bit:1578.9</t>
  </si>
  <si>
    <t>sp|P13639|EF2_HUMAN</t>
  </si>
  <si>
    <t>Elongation factor 2 OS=Homo sapiens OX=9606 GN=EEF2 PE=1 SV=4</t>
  </si>
  <si>
    <t>ident:854/858 pos:858/858 query:858 hit:858 align:858 bit:1774.2</t>
  </si>
  <si>
    <t>sp|P09110|THIK_HUMAN</t>
  </si>
  <si>
    <t>3-ketoacyl-CoA thiolase, peroxisomal OS=Homo sapiens OX=9606 GN=ACAA1 PE=1 SV=2</t>
  </si>
  <si>
    <t>ident:396/426 pos:406/426 query:426 hit:424 align:426 bit:790.0</t>
  </si>
  <si>
    <t>XP_027438732.1</t>
  </si>
  <si>
    <t>sp|Q99836|MYD88_HUMAN</t>
  </si>
  <si>
    <t>Myeloid differentiation primary response protein MyD88 OS=Homo sapiens OX=9606 GN=MYD88 PE=1 SV=1</t>
  </si>
  <si>
    <t>ident:262/296 pos:269/296 query:296 hit:296 align:281 bit:540.0</t>
  </si>
  <si>
    <t>sp|O75264|SIM24_HUMAN</t>
  </si>
  <si>
    <t>Small integral membrane protein 24 OS=Homo sapiens OX=9606 GN=SMIM24 PE=2 SV=2</t>
  </si>
  <si>
    <t>ident:81/129 pos:98/129 query:129 hit:130 align:130 bit:118.6</t>
  </si>
  <si>
    <t>XP_027438742.1</t>
  </si>
  <si>
    <t>sp|P78310|CXAR_HUMAN</t>
  </si>
  <si>
    <t>Coxsackievirus and adenovirus receptor OS=Homo sapiens OX=9606 GN=CXADR PE=1 SV=1</t>
  </si>
  <si>
    <t>ident:303/462 pos:318/462 query:462 hit:365 align:339 bit:617.1</t>
  </si>
  <si>
    <t>XP_027438758.1</t>
  </si>
  <si>
    <t>sp|Q9H9P2|CHODL_HUMAN</t>
  </si>
  <si>
    <t>Chondrolectin OS=Homo sapiens OX=9606 GN=CHODL PE=2 SV=2</t>
  </si>
  <si>
    <t>ident:261/273 pos:264/273 query:273 hit:273 align:273 bit:501.9</t>
  </si>
  <si>
    <t>XP_027438762.1</t>
  </si>
  <si>
    <t>sp|P39060|COIA1_HUMAN</t>
  </si>
  <si>
    <t>Collagen alpha-1(XVIII) chain OS=Homo sapiens OX=9606 GN=COL18A1 PE=1 SV=5</t>
  </si>
  <si>
    <t>ident:1283/1733 pos:1392/1733 query:1733 hit:1754 align:1759 bit:1818.5</t>
  </si>
  <si>
    <t>sp|Q8WXI7|MUC16_HUMAN</t>
  </si>
  <si>
    <t>Mucin-16 OS=Homo sapiens OX=9606 GN=MUC16 PE=1 SV=3</t>
  </si>
  <si>
    <t>ident:1636/3295 pos:2025/3295 query:3295 hit:14507 align:3436 bit:2377.8</t>
  </si>
  <si>
    <t>XP_027438927.1</t>
  </si>
  <si>
    <t>sp|Q9NQS3|NECT3_HUMAN</t>
  </si>
  <si>
    <t>Nectin-3 OS=Homo sapiens OX=9606 GN=NECTIN3 PE=1 SV=1</t>
  </si>
  <si>
    <t>ident:496/518 pos:501/518 query:518 hit:549 align:509 bit:1028.8</t>
  </si>
  <si>
    <t>XP_027438961.1</t>
  </si>
  <si>
    <t>sp|Q12906|ILF3_HUMAN</t>
  </si>
  <si>
    <t>Interleukin enhancer-binding factor 3 OS=Homo sapiens OX=9606 GN=ILF3 PE=1 SV=3</t>
  </si>
  <si>
    <t>ident:868/900 pos:882/900 query:900 hit:894 align:900 bit:1764.2</t>
  </si>
  <si>
    <t>sp|O95388|WISP1_HUMAN</t>
  </si>
  <si>
    <t>WNT1-inducible-signaling pathway protein 1 OS=Homo sapiens OX=9606 GN=WISP1 PE=1 SV=1</t>
  </si>
  <si>
    <t>ident:317/367 pos:333/367 query:367 hit:367 align:367 bit:644.0</t>
  </si>
  <si>
    <t>sp|P16278|BGAL_HUMAN</t>
  </si>
  <si>
    <t>Beta-galactosidase OS=Homo sapiens OX=9606 GN=GLB1 PE=1 SV=2</t>
  </si>
  <si>
    <t>ident:534/669 pos:580/669 query:669 hit:677 align:638 bit:1117.5</t>
  </si>
  <si>
    <t>sp|Q8WUM4|PDC6I_HUMAN</t>
  </si>
  <si>
    <t>Programmed cell death 6-interacting protein OS=Homo sapiens OX=9606 GN=PDCD6IP PE=1 SV=1</t>
  </si>
  <si>
    <t>ident:838/869 pos:850/869 query:869 hit:868 align:869 bit:1723.4</t>
  </si>
  <si>
    <t>XP_027439044.1</t>
  </si>
  <si>
    <t>sp|P60903|S10AA_HUMAN</t>
  </si>
  <si>
    <t>Protein S100-A10 OS=Homo sapiens OX=9606 GN=S100A10 PE=1 SV=2</t>
  </si>
  <si>
    <t>ident:96/113 pos:97/113 query:113 hit:97 align:97 bit:202.6</t>
  </si>
  <si>
    <t>sp|P35606|COPB2_HUMAN</t>
  </si>
  <si>
    <t>Coatomer subunit beta' OS=Homo sapiens OX=9606 GN=COPB2 PE=1 SV=2</t>
  </si>
  <si>
    <t>ident:894/905 pos:901/905 query:905 hit:906 align:906 bit:1868.2</t>
  </si>
  <si>
    <t>ident:248/248 pos:248/248 query:248 hit:248 align:248 bit:467.2</t>
  </si>
  <si>
    <t>sp|P11177|ODPB_HUMAN</t>
  </si>
  <si>
    <t>Pyruvate dehydrogenase E1 component subunit beta, mitochondrial OS=Homo sapiens OX=9606 GN=PDHB PE=1 SV=3</t>
  </si>
  <si>
    <t>ident:343/359 pos:353/359 query:359 hit:359 align:359 bit:716.8</t>
  </si>
  <si>
    <t>XP_027439195.1</t>
  </si>
  <si>
    <t>sp|Q9ULI3|HEG1_HUMAN</t>
  </si>
  <si>
    <t>Protein HEG homolog 1 OS=Homo sapiens OX=9606 GN=HEG1 PE=1 SV=3</t>
  </si>
  <si>
    <t>ident:654/1470 pos:706/1470 query:1470 hit:1381 align:858 bit:1188.3</t>
  </si>
  <si>
    <t>XP_027439213.1</t>
  </si>
  <si>
    <t>sp|Q14624|ITIH4_HUMAN</t>
  </si>
  <si>
    <t>Inter-alpha-trypsin inhibitor heavy chain H4 OS=Homo sapiens OX=9606 GN=ITIH4 PE=1 SV=4</t>
  </si>
  <si>
    <t>ident:676/921 pos:766/921 query:921 hit:930 align:933 bit:1333.5</t>
  </si>
  <si>
    <t>sp|Q8IVN3|MSTN1_HUMAN</t>
  </si>
  <si>
    <t>Musculoskeletal embryonic nuclear protein 1 OS=Homo sapiens OX=9606 GN=MUSTN1 PE=3 SV=2</t>
  </si>
  <si>
    <t>ident:74/82 pos:77/82 query:82 hit:82 align:82 bit:152.5</t>
  </si>
  <si>
    <t>XP_027439222.1</t>
  </si>
  <si>
    <t>sp|P12268|IMDH2_HUMAN</t>
  </si>
  <si>
    <t>Inosine-5'-monophosphate dehydrogenase 2 OS=Homo sapiens OX=9606 GN=IMPDH2 PE=1 SV=2</t>
  </si>
  <si>
    <t>ident:509/538 pos:511/538 query:538 hit:514 align:538 bit:1026.2</t>
  </si>
  <si>
    <t>sp|P05362|ICAM1_HUMAN</t>
  </si>
  <si>
    <t>Intercellular adhesion molecule 1 OS=Homo sapiens OX=9606 GN=ICAM1 PE=1 SV=2</t>
  </si>
  <si>
    <t>ident:317/533 pos:379/533 query:533 hit:532 align:515 bit:617.5</t>
  </si>
  <si>
    <t>XP_027439287.1</t>
  </si>
  <si>
    <t>sp|Q9UKE5|TNIK_HUMAN</t>
  </si>
  <si>
    <t>TRAF2 and NCK-interacting protein kinase OS=Homo sapiens OX=9606 GN=TNIK PE=1 SV=1</t>
  </si>
  <si>
    <t>ident:1349/1360 pos:1355/1360 query:1360 hit:1360 align:1360 bit:2798.5</t>
  </si>
  <si>
    <t>sp|Q9UM07|PADI4_HUMAN</t>
  </si>
  <si>
    <t>Protein-arginine deiminase type-4 OS=Homo sapiens OX=9606 GN=PADI4 PE=1 SV=2</t>
  </si>
  <si>
    <t>ident:509/665 pos:579/665 query:665 hit:663 align:668 bit:1040.8</t>
  </si>
  <si>
    <t>XP_027439308.1</t>
  </si>
  <si>
    <t>sp|Q8N114|SHSA5_HUMAN</t>
  </si>
  <si>
    <t>Protein shisa-5 OS=Homo sapiens OX=9606 GN=SHISA5 PE=1 SV=1</t>
  </si>
  <si>
    <t>ident:179/264 pos:188/264 query:264 hit:240 align:216 bit:242.7</t>
  </si>
  <si>
    <t>XP_027439416.1</t>
  </si>
  <si>
    <t>sp|P02787|TRFE_HUMAN</t>
  </si>
  <si>
    <t>Serotransferrin OS=Homo sapiens OX=9606 GN=TF PE=1 SV=3</t>
  </si>
  <si>
    <t>ident:444/699 pos:534/699 query:699 hit:698 align:708 bit:903.7</t>
  </si>
  <si>
    <t>ident:496/1006 pos:581/1006 query:1006 hit:698 align:702 bit:1024.2</t>
  </si>
  <si>
    <t>calcyphosin [Zalophus californianus]</t>
  </si>
  <si>
    <t>sp|Q13938|CAYP1_HUMAN</t>
  </si>
  <si>
    <t>Calcyphosin OS=Homo sapiens OX=9606 GN=CAPS PE=1 SV=2</t>
  </si>
  <si>
    <t>ident:168/189 pos:181/189 query:189 hit:275 align:189 bit:342.0</t>
  </si>
  <si>
    <t>XP_027439520.1</t>
  </si>
  <si>
    <t>sp|P52272|HNRPM_HUMAN</t>
  </si>
  <si>
    <t>Heterogeneous nuclear ribonucleoprotein M OS=Homo sapiens OX=9606 GN=HNRNPM PE=1 SV=3</t>
  </si>
  <si>
    <t>ident:725/763 pos:726/763 query:763 hit:730 align:763 bit:1411.0</t>
  </si>
  <si>
    <t>XP_027439551.1</t>
  </si>
  <si>
    <t>sp|P05067|A4_HUMAN</t>
  </si>
  <si>
    <t>Amyloid-beta precursor protein OS=Homo sapiens OX=9606 GN=APP PE=1 SV=3</t>
  </si>
  <si>
    <t>ident:725/770 pos:733/770 query:770 hit:770 align:752 bit:1379.0</t>
  </si>
  <si>
    <t>sp|Q96BQ1|FAM3D_HUMAN</t>
  </si>
  <si>
    <t>Protein FAM3D OS=Homo sapiens OX=9606 GN=FAM3D PE=1 SV=1</t>
  </si>
  <si>
    <t>ident:172/231 pos:194/231 query:231 hit:224 align:222 bit:359.0</t>
  </si>
  <si>
    <t>sp|Q9UBY9|HSPB7_HUMAN</t>
  </si>
  <si>
    <t>Heat shock protein beta-7 OS=Homo sapiens OX=9606 GN=HSPB7 PE=1 SV=1</t>
  </si>
  <si>
    <t>ident:159/168 pos:165/168 query:168 hit:170 align:170 bit:298.1</t>
  </si>
  <si>
    <t>XP_027439596.1</t>
  </si>
  <si>
    <t>sp|Q14240|IF4A2_HUMAN</t>
  </si>
  <si>
    <t>Eukaryotic initiation factor 4A-II OS=Homo sapiens OX=9606 GN=EIF4A2 PE=1 SV=2</t>
  </si>
  <si>
    <t>ident:407/408 pos:407/408 query:408 hit:407 align:408 bit:839.7</t>
  </si>
  <si>
    <t>hepatocyte growth factor-like protein [Zalophus californianus]</t>
  </si>
  <si>
    <t>sp|P26927|HGFL_HUMAN</t>
  </si>
  <si>
    <t>Hepatocyte growth factor-like protein OS=Homo sapiens OX=9606 GN=MST1 PE=1 SV=2</t>
  </si>
  <si>
    <t>ident:629/793 pos:662/793 query:793 hit:711 align:711 bit:1298.5</t>
  </si>
  <si>
    <t>sp|Q9UKY7|CDV3_HUMAN</t>
  </si>
  <si>
    <t>Protein CDV3 homolog OS=Homo sapiens OX=9606 GN=CDV3 PE=1 SV=1</t>
  </si>
  <si>
    <t>ident:242/257 pos:247/257 query:257 hit:258 align:258 bit:384.4</t>
  </si>
  <si>
    <t>XP_027439720.1</t>
  </si>
  <si>
    <t>sp|A0A0B4J2D5|GAL3B_HUMAN</t>
  </si>
  <si>
    <t>Glutamine amidotransferase-like class 1 domain-containing protein 3B, mitochondrial OS=Homo sapiens OX=9606 GN=GATD3B PE=1 SV=1</t>
  </si>
  <si>
    <t>ident:235/264 pos:248/264 query:264 hit:268 align:268 bit:469.9</t>
  </si>
  <si>
    <t>XP_027439754.1</t>
  </si>
  <si>
    <t>sp|Q15746|MYLK_HUMAN</t>
  </si>
  <si>
    <t>Myosin light chain kinase, smooth muscle OS=Homo sapiens OX=9606 GN=MYLK PE=1 SV=4</t>
  </si>
  <si>
    <t>ident:1609/2039 pos:1705/2039 query:2039 hit:1914 align:2015 bit:3196.0</t>
  </si>
  <si>
    <t>sp|P01024|CO3_HUMAN</t>
  </si>
  <si>
    <t>Complement C3 OS=Homo sapiens OX=9606 GN=C3 PE=1 SV=2</t>
  </si>
  <si>
    <t>ident:1237/1661 pos:1437/1661 query:1661 hit:1663 align:1665 bit:2582.4</t>
  </si>
  <si>
    <t>XP_027439775.1</t>
  </si>
  <si>
    <t>sp|P17612|KAPCA_HUMAN</t>
  </si>
  <si>
    <t>cAMP-dependent protein kinase catalytic subunit alpha OS=Homo sapiens OX=9606 GN=PRKACA PE=1 SV=2</t>
  </si>
  <si>
    <t>ident:309/326 pos:311/326 query:326 hit:351 align:313 bit:641.7</t>
  </si>
  <si>
    <t>XP_027439827.1</t>
  </si>
  <si>
    <t>sp|Q8NI99|ANGL6_HUMAN</t>
  </si>
  <si>
    <t>Angiopoietin-related protein 6 OS=Homo sapiens OX=9606 GN=ANGPTL6 PE=1 SV=1</t>
  </si>
  <si>
    <t>ident:396/473 pos:412/473 query:473 hit:470 align:455 bit:756.1</t>
  </si>
  <si>
    <t>sp|O75821|EIF3G_HUMAN</t>
  </si>
  <si>
    <t>Eukaryotic translation initiation factor 3 subunit G OS=Homo sapiens OX=9606 GN=EIF3G PE=1 SV=2</t>
  </si>
  <si>
    <t>ident:319/320 pos:319/320 query:320 hit:320 align:320 bit:659.1</t>
  </si>
  <si>
    <t>sp|Q969H8|MYDGF_HUMAN</t>
  </si>
  <si>
    <t>Myeloid-derived growth factor OS=Homo sapiens OX=9606 GN=MYDGF PE=1 SV=1</t>
  </si>
  <si>
    <t>ident:150/270 pos:156/270 query:270 hit:173 align:173 bit:297.7</t>
  </si>
  <si>
    <t>XP_027439876.1</t>
  </si>
  <si>
    <t>eukaryotic translation initiation factor 4 gamma 1 isoform X1 [Zalophus californianus]</t>
  </si>
  <si>
    <t>sp|Q04637|IF4G1_HUMAN</t>
  </si>
  <si>
    <t>Eukaryotic translation initiation factor 4 gamma 1 OS=Homo sapiens OX=9606 GN=EIF4G1 PE=1 SV=4</t>
  </si>
  <si>
    <t>ident:1506/1611 pos:1534/1611 query:1611 hit:1599 align:1613 bit:2822.3</t>
  </si>
  <si>
    <t>sp|O00764|PDXK_HUMAN</t>
  </si>
  <si>
    <t>Pyridoxal kinase OS=Homo sapiens OX=9606 GN=PDXK PE=1 SV=1</t>
  </si>
  <si>
    <t>ident:271/312 pos:294/312 query:312 hit:312 align:312 bit:575.5</t>
  </si>
  <si>
    <t>60S ribosomal protein L32 [Zalophus californianus]</t>
  </si>
  <si>
    <t>sp|P62910|RL32_HUMAN</t>
  </si>
  <si>
    <t>60S ribosomal protein L32 OS=Homo sapiens OX=9606 GN=RPL32 PE=1 SV=2</t>
  </si>
  <si>
    <t>ident:135/135 pos:135/135 query:135 hit:135 align:135 bit:275.4</t>
  </si>
  <si>
    <t>XP_027439980.1</t>
  </si>
  <si>
    <t>sp|Q96I99|SUCB2_HUMAN</t>
  </si>
  <si>
    <t>Succinate--CoA ligase [GDP-forming] subunit beta, mitochondrial OS=Homo sapiens OX=9606 GN=SUCLG2 PE=1 SV=2</t>
  </si>
  <si>
    <t>ident:382/413 pos:391/413 query:413 hit:432 align:413 bit:771.5</t>
  </si>
  <si>
    <t>sp|P52434|RPAB3_HUMAN</t>
  </si>
  <si>
    <t>DNA-directed RNA polymerases I, II, and III subunit RPABC3 OS=Homo sapiens OX=9606 GN=POLR2H PE=1 SV=4</t>
  </si>
  <si>
    <t>ident:150/150 pos:150/150 query:150 hit:150 align:150 bit:305.8</t>
  </si>
  <si>
    <t>plastin-1 [Zalophus californianus]</t>
  </si>
  <si>
    <t>sp|Q14651|PLSI_HUMAN</t>
  </si>
  <si>
    <t>Plastin-1 OS=Homo sapiens OX=9606 GN=PLS1 PE=1 SV=2</t>
  </si>
  <si>
    <t>ident:596/629 pos:610/629 query:629 hit:629 align:630 bit:1214.5</t>
  </si>
  <si>
    <t>sp|P09455|RET1_HUMAN</t>
  </si>
  <si>
    <t>Retinol-binding protein 1 OS=Homo sapiens OX=9606 GN=RBP1 PE=1 SV=2</t>
  </si>
  <si>
    <t>ident:131/135 pos:133/135 query:135 hit:135 align:135 bit:273.5</t>
  </si>
  <si>
    <t>XP_027440066.1</t>
  </si>
  <si>
    <t>sp|P15086|CBPB1_HUMAN</t>
  </si>
  <si>
    <t>Carboxypeptidase B OS=Homo sapiens OX=9606 GN=CPB1 PE=1 SV=4</t>
  </si>
  <si>
    <t>ident:356/417 pos:390/417 query:417 hit:417 align:417 bit:769.6</t>
  </si>
  <si>
    <t>sp|P07225|PROS_HUMAN</t>
  </si>
  <si>
    <t>Vitamin K-dependent protein S OS=Homo sapiens OX=9606 GN=PROS1 PE=1 SV=1</t>
  </si>
  <si>
    <t>ident:565/675 pos:610/675 query:675 hit:676 align:676 bit:1171.8</t>
  </si>
  <si>
    <t>XP_027440103.1</t>
  </si>
  <si>
    <t>sp|Q9UNA0|ATS5_HUMAN</t>
  </si>
  <si>
    <t>A disintegrin and metalloproteinase with thrombospondin motifs 5 OS=Homo sapiens OX=9606 GN=ADAMTS5 PE=1 SV=2</t>
  </si>
  <si>
    <t>ident:864/928 pos:878/928 query:928 hit:930 align:930 bit:1721.8</t>
  </si>
  <si>
    <t>lymphocyte antigen 6H [Zalophus californianus]</t>
  </si>
  <si>
    <t>sp|O94772|LY6H_HUMAN</t>
  </si>
  <si>
    <t>Lymphocyte antigen 6H OS=Homo sapiens OX=9606 GN=LY6H PE=1 SV=1</t>
  </si>
  <si>
    <t>ident:131/140 pos:131/140 query:140 hit:140 align:140 bit:215.3</t>
  </si>
  <si>
    <t>XP_027440140.1</t>
  </si>
  <si>
    <t>sp|P36969|GPX4_HUMAN</t>
  </si>
  <si>
    <t>Phospholipid hydroperoxide glutathione peroxidase OS=Homo sapiens OX=9606 GN=GPX4 PE=1 SV=3</t>
  </si>
  <si>
    <t>ident:159/241 pos:165/241 query:241 hit:197 align:169 bit:343.2</t>
  </si>
  <si>
    <t>sp|Q96Q06|PLIN4_HUMAN</t>
  </si>
  <si>
    <t>Perilipin-4 OS=Homo sapiens OX=9606 GN=PLIN4 PE=1 SV=2</t>
  </si>
  <si>
    <t>ident:852/1218 pos:1017/1218 query:1218 hit:1357 align:1358 bit:1519.6</t>
  </si>
  <si>
    <t>XP_027440190.1</t>
  </si>
  <si>
    <t>sp|Q68CJ9|CR3L3_HUMAN</t>
  </si>
  <si>
    <t>Cyclic AMP-responsive element-binding protein 3-like protein 3 OS=Homo sapiens OX=9606 GN=CREB3L3 PE=1 SV=2</t>
  </si>
  <si>
    <t>ident:349/481 pos:378/481 query:481 hit:461 align:483 bit:664.1</t>
  </si>
  <si>
    <t>XP_027440197.1</t>
  </si>
  <si>
    <t>sp|Q99961|SH3G1_HUMAN</t>
  </si>
  <si>
    <t>Endophilin-A2 OS=Homo sapiens OX=9606 GN=SH3GL1 PE=1 SV=1</t>
  </si>
  <si>
    <t>ident:358/404 pos:361/404 query:404 hit:368 align:404 bit:717.6</t>
  </si>
  <si>
    <t>sp|P63316|TNNC1_HUMAN</t>
  </si>
  <si>
    <t>Troponin C, slow skeletal and cardiac muscles OS=Homo sapiens OX=9606 GN=TNNC1 PE=1 SV=1</t>
  </si>
  <si>
    <t>ident:160/161 pos:161/161 query:161 hit:161 align:161 bit:317.0</t>
  </si>
  <si>
    <t>sp|P14317|HCLS1_HUMAN</t>
  </si>
  <si>
    <t>Hematopoietic lineage cell-specific protein OS=Homo sapiens OX=9606 GN=HCLS1 PE=1 SV=3</t>
  </si>
  <si>
    <t>ident:408/476 pos:430/476 query:476 hit:486 align:486 bit:756.9</t>
  </si>
  <si>
    <t>sp|Q5D862|FILA2_HUMAN</t>
  </si>
  <si>
    <t>Filaggrin-2 OS=Homo sapiens OX=9606 GN=FLG2 PE=1 SV=1</t>
  </si>
  <si>
    <t>ident:596/3257 pos:734/3257 query:3257 hit:2391 align:1138 bit:697.2</t>
  </si>
  <si>
    <t>XP_027440266.1</t>
  </si>
  <si>
    <t>sp|P48740|MASP1_HUMAN</t>
  </si>
  <si>
    <t>Mannan-binding lectin serine protease 1 OS=Homo sapiens OX=9606 GN=MASP1 PE=1 SV=3</t>
  </si>
  <si>
    <t>ident:498/728 pos:557/728 query:728 hit:699 align:725 bit:989.2</t>
  </si>
  <si>
    <t>XP_027440368.1</t>
  </si>
  <si>
    <t>sp|O00461|GOLI4_HUMAN</t>
  </si>
  <si>
    <t>Golgi integral membrane protein 4 OS=Homo sapiens OX=9606 GN=GOLIM4 PE=1 SV=1</t>
  </si>
  <si>
    <t>ident:610/694 pos:636/694 query:694 hit:696 align:697 bit:1100.5</t>
  </si>
  <si>
    <t>sp|O00160|MYO1F_HUMAN</t>
  </si>
  <si>
    <t>Unconventional myosin-If OS=Homo sapiens OX=9606 GN=MYO1F PE=1 SV=3</t>
  </si>
  <si>
    <t>ident:1047/1097 pos:1073/1097 query:1097 hit:1098 align:1098 bit:2151.3</t>
  </si>
  <si>
    <t>sp|P30049|ATPD_HUMAN</t>
  </si>
  <si>
    <t>ATP synthase subunit delta, mitochondrial OS=Homo sapiens OX=9606 GN=ATP5F1D PE=1 SV=2</t>
  </si>
  <si>
    <t>ident:151/219 pos:157/219 query:219 hit:168 align:168 bit:275.4</t>
  </si>
  <si>
    <t>XP_027440399.1</t>
  </si>
  <si>
    <t>latexin isoform X1 [Zalophus californianus]</t>
  </si>
  <si>
    <t>sp|Q9BS40|LXN_HUMAN</t>
  </si>
  <si>
    <t>Latexin OS=Homo sapiens OX=9606 GN=LXN PE=1 SV=2</t>
  </si>
  <si>
    <t>ident:195/222 pos:208/222 query:222 hit:222 align:222 bit:412.9</t>
  </si>
  <si>
    <t>sp|P49747|COMP_HUMAN</t>
  </si>
  <si>
    <t>Cartilage oligomeric matrix protein OS=Homo sapiens OX=9606 GN=COMP PE=1 SV=2</t>
  </si>
  <si>
    <t>ident:705/756 pos:721/756 query:756 hit:757 align:757 bit:1327.4</t>
  </si>
  <si>
    <t>sp|Q13526|PIN1_HUMAN</t>
  </si>
  <si>
    <t>Peptidyl-prolyl cis-trans isomerase NIMA-interacting 1 OS=Homo sapiens OX=9606 GN=PIN1 PE=1 SV=1</t>
  </si>
  <si>
    <t>ident:161/163 pos:161/163 query:163 hit:163 align:163 bit:334.3</t>
  </si>
  <si>
    <t>sp|Q9HD89|RETN_HUMAN</t>
  </si>
  <si>
    <t>Resistin OS=Homo sapiens OX=9606 GN=RETN PE=1 SV=1</t>
  </si>
  <si>
    <t>ident:69/110 pos:76/110 query:110 hit:108 align:89 bit:145.2</t>
  </si>
  <si>
    <t>XP_027440598.1</t>
  </si>
  <si>
    <t>neprilysin isoform X1 [Zalophus californianus]</t>
  </si>
  <si>
    <t>sp|P08473|NEP_HUMAN</t>
  </si>
  <si>
    <t>Neprilysin OS=Homo sapiens OX=9606 GN=MME PE=1 SV=2</t>
  </si>
  <si>
    <t>ident:704/768 pos:729/768 query:768 hit:750 align:769 bit:1454.1</t>
  </si>
  <si>
    <t>XP_027440635.1</t>
  </si>
  <si>
    <t>sp|P26599|PTBP1_HUMAN</t>
  </si>
  <si>
    <t>Polypyrimidine tract-binding protein 1 OS=Homo sapiens OX=9606 GN=PTBP1 PE=1 SV=1</t>
  </si>
  <si>
    <t>ident:520/557 pos:528/557 query:557 hit:531 align:557 bit:1055.0</t>
  </si>
  <si>
    <t>sp|P02750|A2GL_HUMAN</t>
  </si>
  <si>
    <t>Leucine-rich alpha-2-glycoprotein OS=Homo sapiens OX=9606 GN=LRG1 PE=1 SV=2</t>
  </si>
  <si>
    <t>ident:260/354 pos:290/354 query:354 hit:347 align:347 bit:499.2</t>
  </si>
  <si>
    <t>sp|Q96EY5|MB12A_HUMAN</t>
  </si>
  <si>
    <t>Multivesicular body subunit 12A OS=Homo sapiens OX=9606 GN=MVB12A PE=1 SV=1</t>
  </si>
  <si>
    <t>ident:248/273 pos:257/273 query:273 hit:273 align:273 bit:501.1</t>
  </si>
  <si>
    <t>XP_027440673.1</t>
  </si>
  <si>
    <t>sp|O75144|ICOSL_HUMAN</t>
  </si>
  <si>
    <t>ICOS ligand OS=Homo sapiens OX=9606 GN=ICOSLG PE=1 SV=2</t>
  </si>
  <si>
    <t>ident:178/317 pos:213/317 query:317 hit:302 align:306 bit:308.5</t>
  </si>
  <si>
    <t>sp|P59998|ARPC4_HUMAN</t>
  </si>
  <si>
    <t>Actin-related protein 2/3 complex subunit 4 OS=Homo sapiens OX=9606 GN=ARPC4 PE=1 SV=3</t>
  </si>
  <si>
    <t>ident:168/168 pos:168/168 query:168 hit:168 align:168 bit:341.7</t>
  </si>
  <si>
    <t>sp|P14410|SUIS_HUMAN</t>
  </si>
  <si>
    <t>Sucrase-isomaltase, intestinal OS=Homo sapiens OX=9606 GN=SI PE=1 SV=6</t>
  </si>
  <si>
    <t>ident:1525/1827 pos:1659/1827 query:1827 hit:1827 align:1827 bit:3220.6</t>
  </si>
  <si>
    <t>sp|O00115|DNS2A_HUMAN</t>
  </si>
  <si>
    <t>Deoxyribonuclease-2-alpha OS=Homo sapiens OX=9606 GN=DNASE2 PE=1 SV=2</t>
  </si>
  <si>
    <t>ident:263/357 pos:292/357 query:357 hit:360 align:345 bit:537.7</t>
  </si>
  <si>
    <t>XP_027440792.1</t>
  </si>
  <si>
    <t>sp|Q03154|ACY1_HUMAN</t>
  </si>
  <si>
    <t>Aminoacylase-1 OS=Homo sapiens OX=9606 GN=ACY1 PE=1 SV=1</t>
  </si>
  <si>
    <t>ident:365/442 pos:384/442 query:442 hit:408 align:408 bit:765.4</t>
  </si>
  <si>
    <t>sp|Q96IU4|ABHEB_HUMAN</t>
  </si>
  <si>
    <t>Protein ABHD14B OS=Homo sapiens OX=9606 GN=ABHD14B PE=1 SV=1</t>
  </si>
  <si>
    <t>ident:182/210 pos:190/210 query:210 hit:210 align:208 bit:367.1</t>
  </si>
  <si>
    <t>sp|O75417|DPOLQ_HUMAN</t>
  </si>
  <si>
    <t>DNA polymerase theta OS=Homo sapiens OX=9606 GN=POLQ PE=1 SV=2</t>
  </si>
  <si>
    <t>ident:2120/2595 pos:2281/2595 query:2595 hit:2590 align:2603 bit:4182.9</t>
  </si>
  <si>
    <t>XP_027440832.1</t>
  </si>
  <si>
    <t>sp|P31930|QCR1_HUMAN</t>
  </si>
  <si>
    <t>Cytochrome b-c1 complex subunit 1, mitochondrial OS=Homo sapiens OX=9606 GN=UQCRC1 PE=1 SV=3</t>
  </si>
  <si>
    <t>ident:433/481 pos:451/481 query:481 hit:480 align:481 bit:905.2</t>
  </si>
  <si>
    <t>sp|P18085|ARF4_HUMAN</t>
  </si>
  <si>
    <t>ADP-ribosylation factor 4 OS=Homo sapiens OX=9606 GN=ARF4 PE=1 SV=3</t>
  </si>
  <si>
    <t>ident:174/180 pos:177/180 query:180 hit:180 align:180 bit:359.0</t>
  </si>
  <si>
    <t>XP_027440857.1</t>
  </si>
  <si>
    <t>sp|Q13477|MADCA_HUMAN</t>
  </si>
  <si>
    <t>Mucosal addressin cell adhesion molecule 1 OS=Homo sapiens OX=9606 GN=MADCAM1 PE=1 SV=2</t>
  </si>
  <si>
    <t>ident:196/381 pos:225/381 query:381 hit:382 align:369 bit:274.2</t>
  </si>
  <si>
    <t>sp|Q8TEM1|PO210_HUMAN</t>
  </si>
  <si>
    <t>Nuclear pore membrane glycoprotein 210 OS=Homo sapiens OX=9606 GN=NUP210 PE=1 SV=3</t>
  </si>
  <si>
    <t>ident:1625/1887 pos:1751/1887 query:1887 hit:1887 align:1889 bit:3269.2</t>
  </si>
  <si>
    <t>dystroglycan isoform X1 [Zalophus californianus]</t>
  </si>
  <si>
    <t>sp|Q14118|DAG1_HUMAN</t>
  </si>
  <si>
    <t>Dystroglycan OS=Homo sapiens OX=9606 GN=DAG1 PE=1 SV=2</t>
  </si>
  <si>
    <t>ident:851/892 pos:868/892 query:892 hit:895 align:895 bit:1572.4</t>
  </si>
  <si>
    <t>sp|Q9NPF0|CD320_HUMAN</t>
  </si>
  <si>
    <t>CD320 antigen OS=Homo sapiens OX=9606 GN=CD320 PE=1 SV=1</t>
  </si>
  <si>
    <t>ident:142/258 pos:160/258 query:258 hit:282 align:242 bit:219.9</t>
  </si>
  <si>
    <t>XP_027440919.1</t>
  </si>
  <si>
    <t>sp|Q9NNX6|CD209_HUMAN</t>
  </si>
  <si>
    <t>CD209 antigen OS=Homo sapiens OX=9606 GN=CD209 PE=1 SV=1</t>
  </si>
  <si>
    <t>ident:80/249 pos:111/249 query:249 hit:404 align:162 bit:183.3</t>
  </si>
  <si>
    <t>sp|P20290|BTF3_HUMAN</t>
  </si>
  <si>
    <t>Transcription factor BTF3 OS=Homo sapiens OX=9606 GN=BTF3 PE=1 SV=1</t>
  </si>
  <si>
    <t>ident:160/162 pos:162/162 query:162 hit:206 align:162 bit:325.9</t>
  </si>
  <si>
    <t>sp|A1L0T0|ILVBL_HUMAN</t>
  </si>
  <si>
    <t>Acetolactate synthase-like protein OS=Homo sapiens OX=9606 GN=ILVBL PE=1 SV=2</t>
  </si>
  <si>
    <t>ident:569/632 pos:606/632 query:632 hit:632 align:632 bit:1175.6</t>
  </si>
  <si>
    <t>sp|Q96NY7|CLIC6_HUMAN</t>
  </si>
  <si>
    <t>Chloride intracellular channel protein 6 OS=Homo sapiens OX=9606 GN=CLIC6 PE=2 SV=3</t>
  </si>
  <si>
    <t>ident:341/593 pos:356/593 query:593 hit:704 align:443 bit:622.5</t>
  </si>
  <si>
    <t>S-phase kinase-associated protein 1 [Zalophus californianus]</t>
  </si>
  <si>
    <t>sp|P63208|SKP1_HUMAN</t>
  </si>
  <si>
    <t>S-phase kinase-associated protein 1 OS=Homo sapiens OX=9606 GN=SKP1 PE=1 SV=2</t>
  </si>
  <si>
    <t>ident:163/163 pos:163/163 query:163 hit:163 align:163 bit:330.5</t>
  </si>
  <si>
    <t>sp|O14579|COPE_HUMAN</t>
  </si>
  <si>
    <t>Coatomer subunit epsilon OS=Homo sapiens OX=9606 GN=COPE PE=1 SV=3</t>
  </si>
  <si>
    <t>ident:254/342 pos:263/342 query:342 hit:308 align:269 bit:522.7</t>
  </si>
  <si>
    <t>sp|P05452|TETN_HUMAN</t>
  </si>
  <si>
    <t>Tetranectin OS=Homo sapiens OX=9606 GN=CLEC3B PE=1 SV=3</t>
  </si>
  <si>
    <t>ident:181/202 pos:184/202 query:202 hit:202 align:202 bit:355.5</t>
  </si>
  <si>
    <t>XP_027441000.1</t>
  </si>
  <si>
    <t>sp|Q13740|CD166_HUMAN</t>
  </si>
  <si>
    <t>CD166 antigen OS=Homo sapiens OX=9606 GN=ALCAM PE=1 SV=2</t>
  </si>
  <si>
    <t>ident:555/583 pos:568/583 query:583 hit:583 align:583 bit:1156.3</t>
  </si>
  <si>
    <t>sp|P04899|GNAI2_HUMAN</t>
  </si>
  <si>
    <t>Guanine nucleotide-binding protein G(i) subunit alpha-2 OS=Homo sapiens OX=9606 GN=GNAI2 PE=1 SV=3</t>
  </si>
  <si>
    <t>ident:354/355 pos:355/355 query:355 hit:355 align:355 bit:740.3</t>
  </si>
  <si>
    <t>sp|Q9UHI8|ATS1_HUMAN</t>
  </si>
  <si>
    <t>A disintegrin and metalloproteinase with thrombospondin motifs 1 OS=Homo sapiens OX=9606 GN=ADAMTS1 PE=1 SV=4</t>
  </si>
  <si>
    <t>ident:818/952 pos:858/952 query:952 hit:967 align:959 bit:1660.6</t>
  </si>
  <si>
    <t>XP_027441041.1</t>
  </si>
  <si>
    <t>sp|Q92945|FUBP2_HUMAN</t>
  </si>
  <si>
    <t>Far upstream element-binding protein 2 OS=Homo sapiens OX=9606 GN=KHSRP PE=1 SV=4</t>
  </si>
  <si>
    <t>ident:706/748 pos:707/748 query:748 hit:711 align:713 bit:1356.3</t>
  </si>
  <si>
    <t>sp|P31944|CASPE_HUMAN</t>
  </si>
  <si>
    <t>Caspase-14 OS=Homo sapiens OX=9606 GN=CASP14 PE=1 SV=2</t>
  </si>
  <si>
    <t>ident:203/242 pos:221/242 query:242 hit:242 align:242 bit:426.0</t>
  </si>
  <si>
    <t>sp|Q9H3R2|MUC13_HUMAN</t>
  </si>
  <si>
    <t>Mucin-13 OS=Homo sapiens OX=9606 GN=MUC13 PE=1 SV=3</t>
  </si>
  <si>
    <t>ident:206/382 pos:265/382 query:382 hit:512 align:378 bit:412.9</t>
  </si>
  <si>
    <t>XP_027441176.1</t>
  </si>
  <si>
    <t>sp|Q9NPH3|IL1AP_HUMAN</t>
  </si>
  <si>
    <t>Interleukin-1 receptor accessory protein OS=Homo sapiens OX=9606 GN=IL1RAP PE=1 SV=2</t>
  </si>
  <si>
    <t>ident:450/687 pos:506/687 query:687 hit:570 align:567 bit:924.5</t>
  </si>
  <si>
    <t>sp|Q8TF66|LRC15_HUMAN</t>
  </si>
  <si>
    <t>Leucine-rich repeat-containing protein 15 OS=Homo sapiens OX=9606 GN=LRRC15 PE=2 SV=2</t>
  </si>
  <si>
    <t>ident:518/580 pos:550/580 query:580 hit:581 align:581 bit:1030.0</t>
  </si>
  <si>
    <t>XP_027441216.1</t>
  </si>
  <si>
    <t>sp|Q13449|LSAMP_HUMAN</t>
  </si>
  <si>
    <t>Limbic system-associated membrane protein OS=Homo sapiens OX=9606 GN=LSAMP PE=1 SV=2</t>
  </si>
  <si>
    <t>ident:333/361 pos:336/361 query:361 hit:338 align:361 bit:672.9</t>
  </si>
  <si>
    <t>XP_027441248.1</t>
  </si>
  <si>
    <t>basic helix-loop-helix domain-containing protein USF3 isoform X1 [Zalophus californianus]</t>
  </si>
  <si>
    <t>sp|Q68DE3|USF3_HUMAN</t>
  </si>
  <si>
    <t>Basic helix-loop-helix domain-containing protein USF3 OS=Homo sapiens OX=9606 GN=USF3 PE=1 SV=4</t>
  </si>
  <si>
    <t>ident:1969/2233 pos:2058/2233 query:2233 hit:2245 align:2246 bit:3711.4</t>
  </si>
  <si>
    <t>sp|O95182|NDUA7_HUMAN</t>
  </si>
  <si>
    <t>NADH dehydrogenase [ubiquinone] 1 alpha subcomplex subunit 7 OS=Homo sapiens OX=9606 GN=NDUFA7 PE=1 SV=3</t>
  </si>
  <si>
    <t>ident:100/113 pos:106/113 query:113 hit:113 align:113 bit:210.7</t>
  </si>
  <si>
    <t>sp|P62857|RS28_HUMAN</t>
  </si>
  <si>
    <t>40S ribosomal protein S28 OS=Homo sapiens OX=9606 GN=RPS28 PE=1 SV=1</t>
  </si>
  <si>
    <t>ident:69/69 pos:69/69 query:69 hit:69 align:69 bit:137.1</t>
  </si>
  <si>
    <t>sp|P49913|CAMP_HUMAN</t>
  </si>
  <si>
    <t>Cathelicidin antimicrobial peptide OS=Homo sapiens OX=9606 GN=CAMP PE=1 SV=1</t>
  </si>
  <si>
    <t>ident:96/170 pos:123/170 query:170 hit:170 align:171 bit:167.5</t>
  </si>
  <si>
    <t>sp|Q9H845|ACAD9_HUMAN</t>
  </si>
  <si>
    <t>Acyl-CoA dehydrogenase family member 9, mitochondrial OS=Homo sapiens OX=9606 GN=ACAD9 PE=1 SV=1</t>
  </si>
  <si>
    <t>ident:537/626 pos:576/626 query:626 hit:621 align:622 bit:1126.7</t>
  </si>
  <si>
    <t>catenin beta-1 [Zalophus californianus]</t>
  </si>
  <si>
    <t>sp|P35222|CTNB1_HUMAN</t>
  </si>
  <si>
    <t>Catenin beta-1 OS=Homo sapiens OX=9606 GN=CTNNB1 PE=1 SV=1</t>
  </si>
  <si>
    <t>ident:780/781 pos:781/781 query:781 hit:781 align:781 bit:1616.3</t>
  </si>
  <si>
    <t>XP_027441474.1</t>
  </si>
  <si>
    <t>sp|P02765|FETUA_HUMAN</t>
  </si>
  <si>
    <t>Alpha-2-HS-glycoprotein OS=Homo sapiens OX=9606 GN=AHSG PE=1 SV=2</t>
  </si>
  <si>
    <t>ident:253/364 pos:285/364 query:364 hit:367 align:367 bit:465.7</t>
  </si>
  <si>
    <t>sp|Q8N335|GPD1L_HUMAN</t>
  </si>
  <si>
    <t>Glycerol-3-phosphate dehydrogenase 1-like protein OS=Homo sapiens OX=9606 GN=GPD1L PE=1 SV=1</t>
  </si>
  <si>
    <t>ident:335/351 pos:346/351 query:351 hit:351 align:350 bit:695.7</t>
  </si>
  <si>
    <t>sp|P08590|MYL3_HUMAN</t>
  </si>
  <si>
    <t>Myosin light chain 3 OS=Homo sapiens OX=9606 GN=MYL3 PE=1 SV=3</t>
  </si>
  <si>
    <t>ident:156/198 pos:160/198 query:198 hit:195 align:160 bit:328.6</t>
  </si>
  <si>
    <t>sp|P29992|GNA11_HUMAN</t>
  </si>
  <si>
    <t>Guanine nucleotide-binding protein subunit alpha-11 OS=Homo sapiens OX=9606 GN=GNA11 PE=1 SV=2</t>
  </si>
  <si>
    <t>ident:353/359 pos:356/359 query:359 hit:359 align:359 bit:733.8</t>
  </si>
  <si>
    <t>sp|O75891|AL1L1_HUMAN</t>
  </si>
  <si>
    <t>Cytosolic 10-formyltetrahydrofolate dehydrogenase OS=Homo sapiens OX=9606 GN=ALDH1L1 PE=1 SV=2</t>
  </si>
  <si>
    <t>ident:839/902 pos:875/902 query:902 hit:902 align:902 bit:1729.2</t>
  </si>
  <si>
    <t>XP_027441735.1</t>
  </si>
  <si>
    <t>sp|Q92947|GCDH_HUMAN</t>
  </si>
  <si>
    <t>Glutaryl-CoA dehydrogenase, mitochondrial OS=Homo sapiens OX=9606 GN=GCDH PE=1 SV=1</t>
  </si>
  <si>
    <t>ident:370/497 pos:390/497 query:497 hit:438 align:417 bit:776.5</t>
  </si>
  <si>
    <t>sp|P01040|CYTA_HUMAN</t>
  </si>
  <si>
    <t>Cystatin-A OS=Homo sapiens OX=9606 GN=CSTA PE=1 SV=1</t>
  </si>
  <si>
    <t>ident:76/98 pos:85/98 query:98 hit:98 align:98 bit:160.6</t>
  </si>
  <si>
    <t>XP_027441748.1</t>
  </si>
  <si>
    <t>sp|Q9NZU5|LMCD1_HUMAN</t>
  </si>
  <si>
    <t>LIM and cysteine-rich domains protein 1 OS=Homo sapiens OX=9606 GN=LMCD1 PE=1 SV=1</t>
  </si>
  <si>
    <t>ident:337/363 pos:346/363 query:363 hit:365 align:365 bit:699.5</t>
  </si>
  <si>
    <t>XP_027441761.1</t>
  </si>
  <si>
    <t>sp|P00746|CFAD_HUMAN</t>
  </si>
  <si>
    <t>Complement factor D OS=Homo sapiens OX=9606 GN=CFD PE=1 SV=5</t>
  </si>
  <si>
    <t>ident:209/259 pos:224/259 query:259 hit:253 align:247 bit:426.8</t>
  </si>
  <si>
    <t>sp|Q9Y678|COPG1_HUMAN</t>
  </si>
  <si>
    <t>Coatomer subunit gamma-1 OS=Homo sapiens OX=9606 GN=COPG1 PE=1 SV=1</t>
  </si>
  <si>
    <t>ident:865/874 pos:868/874 query:874 hit:874 align:874 bit:1796.9</t>
  </si>
  <si>
    <t>sp|Q07654|TFF3_HUMAN</t>
  </si>
  <si>
    <t>Trefoil factor 3 OS=Homo sapiens OX=9606 GN=TFF3 PE=1 SV=2</t>
  </si>
  <si>
    <t>ident:56/80 pos:62/80 query:80 hit:94 align:80 bit:107.8</t>
  </si>
  <si>
    <t>neural cell adhesion molecule L1-like protein isoform X1 [Zalophus californianus]</t>
  </si>
  <si>
    <t>sp|O00533|NCHL1_HUMAN</t>
  </si>
  <si>
    <t>Neural cell adhesion molecule L1-like protein OS=Homo sapiens OX=9606 GN=CHL1 PE=1 SV=4</t>
  </si>
  <si>
    <t>ident:1100/1225 pos:1151/1225 query:1225 hit:1208 align:1225 bit:2280.0</t>
  </si>
  <si>
    <t>XP_027441824.1</t>
  </si>
  <si>
    <t>sp|O60664|PLIN3_HUMAN</t>
  </si>
  <si>
    <t>Perilipin-3 OS=Homo sapiens OX=9606 GN=PLIN3 PE=1 SV=3</t>
  </si>
  <si>
    <t>ident:354/456 pos:386/456 query:456 hit:434 align:412 bit:708.0</t>
  </si>
  <si>
    <t>XP_027441855.1</t>
  </si>
  <si>
    <t>sp|Q6IBS0|TWF2_HUMAN</t>
  </si>
  <si>
    <t>Twinfilin-2 OS=Homo sapiens OX=9606 GN=TWF2 PE=1 SV=2</t>
  </si>
  <si>
    <t>ident:335/349 pos:343/349 query:349 hit:349 align:349 bit:697.6</t>
  </si>
  <si>
    <t>XP_027441861.1</t>
  </si>
  <si>
    <t>sp|Q9UQV4|LAMP3_HUMAN</t>
  </si>
  <si>
    <t>Lysosome-associated membrane glycoprotein 3 OS=Homo sapiens OX=9606 GN=LAMP3 PE=1 SV=3</t>
  </si>
  <si>
    <t>ident:256/452 pos:280/452 query:452 hit:416 align:368 bit:445.3</t>
  </si>
  <si>
    <t>sp|P12110|CO6A2_HUMAN</t>
  </si>
  <si>
    <t>Collagen alpha-2(VI) chain OS=Homo sapiens OX=9606 GN=COL6A2 PE=1 SV=4</t>
  </si>
  <si>
    <t>ident:905/1016 pos:960/1016 query:1016 hit:1019 align:1019 bit:1683.7</t>
  </si>
  <si>
    <t>ident:738/915 pos:780/915 query:915 hit:1019 align:821 bit:1333.9</t>
  </si>
  <si>
    <t>sp|P00441|SODC_HUMAN</t>
  </si>
  <si>
    <t>Superoxide dismutase [Cu-Zn] OS=Homo sapiens OX=9606 GN=SOD1 PE=1 SV=2</t>
  </si>
  <si>
    <t>ident:125/153 pos:137/153 query:153 hit:154 align:154 bit:248.8</t>
  </si>
  <si>
    <t>XP_027441922.1</t>
  </si>
  <si>
    <t>sp|Q96PD5|PGRP2_HUMAN</t>
  </si>
  <si>
    <t>N-acetylmuramoyl-L-alanine amidase OS=Homo sapiens OX=9606 GN=PGLYRP2 PE=1 SV=1</t>
  </si>
  <si>
    <t>ident:426/622 pos:465/622 query:622 hit:576 align:581 bit:833.6</t>
  </si>
  <si>
    <t>XP_027441932.1</t>
  </si>
  <si>
    <t>ras-related protein Rab-3D isoform X1 [Zalophus californianus]</t>
  </si>
  <si>
    <t>sp|O95716|RAB3D_HUMAN</t>
  </si>
  <si>
    <t>Ras-related protein Rab-3D OS=Homo sapiens OX=9606 GN=RAB3D PE=1 SV=1</t>
  </si>
  <si>
    <t>ident:175/376 pos:177/376 query:376 hit:219 align:183 bit:365.2</t>
  </si>
  <si>
    <t>ras-related protein Rab-7a [Zalophus californianus]</t>
  </si>
  <si>
    <t>sp|P51149|RAB7A_HUMAN</t>
  </si>
  <si>
    <t>Ras-related protein Rab-7a OS=Homo sapiens OX=9606 GN=RAB7A PE=1 SV=1</t>
  </si>
  <si>
    <t>ident:207/207 pos:207/207 query:207 hit:207 align:207 bit:431.0</t>
  </si>
  <si>
    <t>XP_027442052.1</t>
  </si>
  <si>
    <t>hyaluronidase-1 isoform X1 [Zalophus californianus]</t>
  </si>
  <si>
    <t>sp|Q12794|HYAL1_HUMAN</t>
  </si>
  <si>
    <t>Hyaluronidase-1 OS=Homo sapiens OX=9606 GN=HYAL1 PE=1 SV=2</t>
  </si>
  <si>
    <t>ident:362/778 pos:393/778 query:778 hit:435 align:434 bit:739.2</t>
  </si>
  <si>
    <t>sp|P48539|PCP4_HUMAN</t>
  </si>
  <si>
    <t>Calmodulin regulator protein PCP4 OS=Homo sapiens OX=9606 GN=PCP4 PE=1 SV=3</t>
  </si>
  <si>
    <t>ident:62/62 pos:62/62 query:62 hit:62 align:62 bit:123.6</t>
  </si>
  <si>
    <t>XP_027442100.1</t>
  </si>
  <si>
    <t>sp|P25940|CO5A3_HUMAN</t>
  </si>
  <si>
    <t>Collagen alpha-3(V) chain OS=Homo sapiens OX=9606 GN=COL5A3 PE=1 SV=3</t>
  </si>
  <si>
    <t>ident:1559/1749 pos:1617/1749 query:1749 hit:1745 align:1749 bit:2098.9</t>
  </si>
  <si>
    <t>sp|Q03403|TFF2_HUMAN</t>
  </si>
  <si>
    <t>Trefoil factor 2 OS=Homo sapiens OX=9606 GN=TFF2 PE=1 SV=2</t>
  </si>
  <si>
    <t>ident:81/132 pos:92/132 query:132 hit:129 align:108 bit:177.9</t>
  </si>
  <si>
    <t>sp|P04155|TFF1_HUMAN</t>
  </si>
  <si>
    <t>Trefoil factor 1 OS=Homo sapiens OX=9606 GN=TFF1 PE=1 SV=1</t>
  </si>
  <si>
    <t>ident:46/81 pos:59/81 query:81 hit:84 align:81 bit:102.8</t>
  </si>
  <si>
    <t>XP_027442179.1</t>
  </si>
  <si>
    <t>sp|P17858|PFKAL_HUMAN</t>
  </si>
  <si>
    <t>ATP-dependent 6-phosphofructokinase, liver type OS=Homo sapiens OX=9606 GN=PFKL PE=1 SV=6</t>
  </si>
  <si>
    <t>ident:736/798 pos:753/798 query:798 hit:780 align:798 bit:1513.4</t>
  </si>
  <si>
    <t>sp|Q13200|PSMD2_HUMAN</t>
  </si>
  <si>
    <t>26S proteasome non-ATPase regulatory subunit 2 OS=Homo sapiens OX=9606 GN=PSMD2 PE=1 SV=3</t>
  </si>
  <si>
    <t>ident:900/908 pos:902/908 query:908 hit:908 align:908 bit:1855.1</t>
  </si>
  <si>
    <t>XP_027442227.1</t>
  </si>
  <si>
    <t>sp|Q9BWV1|BOC_HUMAN</t>
  </si>
  <si>
    <t>Brother of CDO OS=Homo sapiens OX=9606 GN=BOC PE=1 SV=1</t>
  </si>
  <si>
    <t>ident:991/1174 pos:1026/1174 query:1174 hit:1114 align:1116 bit:1964.5</t>
  </si>
  <si>
    <t>XP_027442277.1</t>
  </si>
  <si>
    <t>sp|O00469|PLOD2_HUMAN</t>
  </si>
  <si>
    <t>Procollagen-lysine,2-oxoglutarate 5-dioxygenase 2 OS=Homo sapiens OX=9606 GN=PLOD2 PE=1 SV=2</t>
  </si>
  <si>
    <t>ident:702/758 pos:726/758 query:758 hit:737 align:758 bit:1461.8</t>
  </si>
  <si>
    <t>XP_027442282.1</t>
  </si>
  <si>
    <t>sp|Q8NBK3|SUMF1_HUMAN</t>
  </si>
  <si>
    <t>Formylglycine-generating enzyme OS=Homo sapiens OX=9606 GN=SUMF1 PE=1 SV=3</t>
  </si>
  <si>
    <t>ident:335/376 pos:345/376 query:376 hit:374 align:374 bit:664.5</t>
  </si>
  <si>
    <t>XP_027442329.1</t>
  </si>
  <si>
    <t>multimerin-2 isoform X1 [Zalophus californianus]</t>
  </si>
  <si>
    <t>sp|Q9H8L6|MMRN2_HUMAN</t>
  </si>
  <si>
    <t>Multimerin-2 OS=Homo sapiens OX=9606 GN=MMRN2 PE=1 SV=2</t>
  </si>
  <si>
    <t>ident:673/993 pos:736/993 query:993 hit:949 align:896 bit:1308.9</t>
  </si>
  <si>
    <t>XP_027442344.1</t>
  </si>
  <si>
    <t>sp|P19827|ITIH1_HUMAN</t>
  </si>
  <si>
    <t>Inter-alpha-trypsin inhibitor heavy chain H1 OS=Homo sapiens OX=9606 GN=ITIH1 PE=1 SV=3</t>
  </si>
  <si>
    <t>ident:771/921 pos:835/921 query:921 hit:911 align:922 bit:1604.3</t>
  </si>
  <si>
    <t>XP_027442361.1</t>
  </si>
  <si>
    <t>sp|P54725|RD23A_HUMAN</t>
  </si>
  <si>
    <t>UV excision repair protein RAD23 homolog A OS=Homo sapiens OX=9606 GN=RAD23A PE=1 SV=1</t>
  </si>
  <si>
    <t>ident:353/363 pos:353/363 query:363 hit:363 align:363 bit:715.7</t>
  </si>
  <si>
    <t>sp|Q06033|ITIH3_HUMAN</t>
  </si>
  <si>
    <t>Inter-alpha-trypsin inhibitor heavy chain H3 OS=Homo sapiens OX=9606 GN=ITIH3 PE=1 SV=2</t>
  </si>
  <si>
    <t>ident:785/891 pos:834/891 query:891 hit:890 align:891 bit:1621.3</t>
  </si>
  <si>
    <t>XP_027442399.1</t>
  </si>
  <si>
    <t>sp|O75112|LDB3_HUMAN</t>
  </si>
  <si>
    <t>LIM domain-binding protein 3 OS=Homo sapiens OX=9606 GN=LDB3 PE=1 SV=2</t>
  </si>
  <si>
    <t>ident:578/674 pos:605/674 query:674 hit:727 align:727 bit:1056.2</t>
  </si>
  <si>
    <t>sp|Q92522|H1X_HUMAN</t>
  </si>
  <si>
    <t>Histone H1x OS=Homo sapiens OX=9606 GN=H1FX PE=1 SV=1</t>
  </si>
  <si>
    <t>ident:194/213 pos:201/213 query:213 hit:213 align:213 bit:264.6</t>
  </si>
  <si>
    <t>sp|P55822|SH3BG_HUMAN</t>
  </si>
  <si>
    <t>SH3 domain-binding glutamic acid-rich protein OS=Homo sapiens OX=9606 GN=SH3BGR PE=2 SV=3</t>
  </si>
  <si>
    <t>ident:146/427 pos:154/427 query:427 hit:239 align:215 bit:267.7</t>
  </si>
  <si>
    <t>XP_027442454.1</t>
  </si>
  <si>
    <t>sp|Q66K74|MAP1S_HUMAN</t>
  </si>
  <si>
    <t>Microtubule-associated protein 1S OS=Homo sapiens OX=9606 GN=MAP1S PE=1 SV=2</t>
  </si>
  <si>
    <t>ident:871/1064 pos:908/1064 query:1064 hit:1059 align:1056 bit:1634.4</t>
  </si>
  <si>
    <t>sp|P07203|GPX1_HUMAN</t>
  </si>
  <si>
    <t>Glutathione peroxidase 1 OS=Homo sapiens OX=9606 GN=GPX1 PE=1 SV=4</t>
  </si>
  <si>
    <t>ident:179/208 pos:184/208 query:208 hit:203 align:190 bit:373.2</t>
  </si>
  <si>
    <t>sp|P32119|PRDX2_HUMAN</t>
  </si>
  <si>
    <t>Peroxiredoxin-2 OS=Homo sapiens OX=9606 GN=PRDX2 PE=1 SV=5</t>
  </si>
  <si>
    <t>ident:187/198 pos:189/198 query:198 hit:198 align:198 bit:386.0</t>
  </si>
  <si>
    <t>sp|O75841|UPK1B_HUMAN</t>
  </si>
  <si>
    <t>Uroplakin-1b OS=Homo sapiens OX=9606 GN=UPK1B PE=1 SV=5</t>
  </si>
  <si>
    <t>ident:244/260 pos:256/260 query:260 hit:260 align:260 bit:519.2</t>
  </si>
  <si>
    <t>XP_027442515.1</t>
  </si>
  <si>
    <t>sp|P98095|FBLN2_HUMAN</t>
  </si>
  <si>
    <t>Fibulin-2 OS=Homo sapiens OX=9606 GN=FBLN2 PE=1 SV=2</t>
  </si>
  <si>
    <t>ident:832/1228 pos:919/1228 query:1228 hit:1184 align:1249 bit:1476.8</t>
  </si>
  <si>
    <t>sp|P04843|RPN1_HUMAN</t>
  </si>
  <si>
    <t>Dolichyl-diphosphooligosaccharide--protein glycosyltransferase subunit 1 OS=Homo sapiens OX=9606 GN=RPN1 PE=1 SV=1</t>
  </si>
  <si>
    <t>ident:587/607 pos:596/607 query:607 hit:607 align:607 bit:1211.4</t>
  </si>
  <si>
    <t>XP_027442577.1</t>
  </si>
  <si>
    <t>sp|Q96JA1|LRIG1_HUMAN</t>
  </si>
  <si>
    <t>Leucine-rich repeats and immunoglobulin-like domains protein 1 OS=Homo sapiens OX=9606 GN=LRIG1 PE=1 SV=2</t>
  </si>
  <si>
    <t>ident:917/1102 pos:979/1102 query:1102 hit:1093 align:1103 bit:1780.4</t>
  </si>
  <si>
    <t>sp|P47914|RL29_HUMAN</t>
  </si>
  <si>
    <t>60S ribosomal protein L29 OS=Homo sapiens OX=9606 GN=RPL29 PE=1 SV=2</t>
  </si>
  <si>
    <t>ident:145/161 pos:146/161 query:161 hit:159 align:163 bit:237.7</t>
  </si>
  <si>
    <t>sp|P12109|CO6A1_HUMAN</t>
  </si>
  <si>
    <t>Collagen alpha-1(VI) chain OS=Homo sapiens OX=9606 GN=COL6A1 PE=1 SV=3</t>
  </si>
  <si>
    <t>ident:917/1027 pos:954/1027 query:1027 hit:1028 align:1014 bit:1699.9</t>
  </si>
  <si>
    <t>sp|Q86TC9|MYPN_HUMAN</t>
  </si>
  <si>
    <t>Myopalladin OS=Homo sapiens OX=9606 GN=MYPN PE=1 SV=2</t>
  </si>
  <si>
    <t>ident:1233/1320 pos:1261/1320 query:1320 hit:1320 align:1320 bit:2473.3</t>
  </si>
  <si>
    <t>XP_027442623.1</t>
  </si>
  <si>
    <t>sp|O00754|MA2B1_HUMAN</t>
  </si>
  <si>
    <t>Lysosomal alpha-mannosidase OS=Homo sapiens OX=9606 GN=MAN2B1 PE=1 SV=3</t>
  </si>
  <si>
    <t>ident:821/1008 pos:886/1008 query:1008 hit:1011 align:1011 bit:1647.9</t>
  </si>
  <si>
    <t>sp|P50990|TCPQ_HUMAN</t>
  </si>
  <si>
    <t>T-complex protein 1 subunit theta OS=Homo sapiens OX=9606 GN=CCT8 PE=1 SV=4</t>
  </si>
  <si>
    <t>ident:542/548 pos:546/548 query:548 hit:548 align:548 bit:1120.9</t>
  </si>
  <si>
    <t>sp|P49788|TIG1_HUMAN</t>
  </si>
  <si>
    <t>Retinoic acid receptor responder protein 1 OS=Homo sapiens OX=9606 GN=RARRES1 PE=1 SV=2</t>
  </si>
  <si>
    <t>ident:225/291 pos:245/291 query:291 hit:294 align:296 bit:431.4</t>
  </si>
  <si>
    <t>sp|P22792|CPN2_HUMAN</t>
  </si>
  <si>
    <t>Carboxypeptidase N subunit 2 OS=Homo sapiens OX=9606 GN=CPN2 PE=1 SV=3</t>
  </si>
  <si>
    <t>ident:432/547 pos:476/547 query:547 hit:545 align:546 bit:819.3</t>
  </si>
  <si>
    <t>sp|Q9UM47|NOTC3_HUMAN</t>
  </si>
  <si>
    <t>Neurogenic locus notch homolog protein 3 OS=Homo sapiens OX=9606 GN=NOTCH3 PE=1 SV=2</t>
  </si>
  <si>
    <t>ident:2145/2322 pos:2188/2322 query:2322 hit:2321 align:2281 bit:4155.5</t>
  </si>
  <si>
    <t>sp|Q16348|S15A2_HUMAN</t>
  </si>
  <si>
    <t>Solute carrier family 15 member 2 OS=Homo sapiens OX=9606 GN=SLC15A2 PE=1 SV=2</t>
  </si>
  <si>
    <t>ident:645/729 pos:681/729 query:729 hit:729 align:729 bit:1306.2</t>
  </si>
  <si>
    <t>XP_027442755.1</t>
  </si>
  <si>
    <t>sp|P01042|KNG1_HUMAN</t>
  </si>
  <si>
    <t>Kininogen-1 OS=Homo sapiens OX=9606 GN=KNG1 PE=1 SV=2</t>
  </si>
  <si>
    <t>ident:300/426 pos:349/426 query:426 hit:644 align:401 bit:644.0</t>
  </si>
  <si>
    <t>XP_027442793.1</t>
  </si>
  <si>
    <t>ident:937/1094 pos:997/1094 query:1094 hit:1065 align:1061 bit:1975.3</t>
  </si>
  <si>
    <t>sp|Q12841|FSTL1_HUMAN</t>
  </si>
  <si>
    <t>Follistatin-related protein 1 OS=Homo sapiens OX=9606 GN=FSTL1 PE=1 SV=1</t>
  </si>
  <si>
    <t>ident:280/362 pos:285/362 query:362 hit:308 align:289 bit:585.5</t>
  </si>
  <si>
    <t>leucine-rich repeat neuronal protein 1 [Zalophus californianus]</t>
  </si>
  <si>
    <t>sp|Q6UXK5|LRRN1_HUMAN</t>
  </si>
  <si>
    <t>Leucine-rich repeat neuronal protein 1 OS=Homo sapiens OX=9606 GN=LRRN1 PE=1 SV=1</t>
  </si>
  <si>
    <t>ident:694/716 pos:708/716 query:716 hit:716 align:716 bit:1445.2</t>
  </si>
  <si>
    <t>adiponectin [Zalophus californianus]</t>
  </si>
  <si>
    <t>sp|Q15848|ADIPO_HUMAN</t>
  </si>
  <si>
    <t>Adiponectin OS=Homo sapiens OX=9606 GN=ADIPOQ PE=1 SV=1</t>
  </si>
  <si>
    <t>ident:195/244 pos:211/244 query:244 hit:244 align:231 bit:406.8</t>
  </si>
  <si>
    <t>XP_027442843.1</t>
  </si>
  <si>
    <t>sp|Q05655|KPCD_HUMAN</t>
  </si>
  <si>
    <t>Protein kinase C delta type OS=Homo sapiens OX=9606 GN=PRKCD PE=1 SV=2</t>
  </si>
  <si>
    <t>ident:613/671 pos:639/671 query:671 hit:676 align:676 bit:1275.4</t>
  </si>
  <si>
    <t>sp|Q16543|CDC37_HUMAN</t>
  </si>
  <si>
    <t>Hsp90 co-chaperone Cdc37 OS=Homo sapiens OX=9606 GN=CDC37 PE=1 SV=1</t>
  </si>
  <si>
    <t>ident:365/380 pos:372/380 query:380 hit:378 align:380 bit:745.7</t>
  </si>
  <si>
    <t>sp|P35613|BASI_HUMAN</t>
  </si>
  <si>
    <t>Basigin OS=Homo sapiens OX=9606 GN=BSG PE=1 SV=2</t>
  </si>
  <si>
    <t>ident:156/268 pos:197/268 query:268 hit:385 align:244 bit:334.0</t>
  </si>
  <si>
    <t>sp|P48047|ATPO_HUMAN</t>
  </si>
  <si>
    <t>ATP synthase subunit O, mitochondrial OS=Homo sapiens OX=9606 GN=ATP5PO PE=1 SV=1</t>
  </si>
  <si>
    <t>ident:183/213 pos:205/213 query:213 hit:213 align:213 bit:387.5</t>
  </si>
  <si>
    <t>sp|Q9Y226|S22AD_HUMAN</t>
  </si>
  <si>
    <t>Solute carrier family 22 member 13 OS=Homo sapiens OX=9606 GN=SLC22A13 PE=2 SV=2</t>
  </si>
  <si>
    <t>ident:447/551 pos:494/551 query:551 hit:551 align:550 bit:928.3</t>
  </si>
  <si>
    <t>XP_027442907.1</t>
  </si>
  <si>
    <t>sp|P41217|OX2G_HUMAN</t>
  </si>
  <si>
    <t>OX-2 membrane glycoprotein OS=Homo sapiens OX=9606 GN=CD200 PE=1 SV=4</t>
  </si>
  <si>
    <t>ident:49/294 pos:77/294 query:294 hit:278 align:155 bit:85.1</t>
  </si>
  <si>
    <t>XP_027442913.1</t>
  </si>
  <si>
    <t>ident:206/267 pos:226/267 query:267 hit:278 align:267 bit:383.6</t>
  </si>
  <si>
    <t>sp|Q14061|COX17_HUMAN</t>
  </si>
  <si>
    <t>Cytochrome c oxidase copper chaperone OS=Homo sapiens OX=9606 GN=COX17 PE=1 SV=2</t>
  </si>
  <si>
    <t>ident:57/63 pos:60/63 query:63 hit:63 align:63 bit:117.5</t>
  </si>
  <si>
    <t>sp|P14314|GLU2B_HUMAN</t>
  </si>
  <si>
    <t>Glucosidase 2 subunit beta OS=Homo sapiens OX=9606 GN=PRKCSH PE=1 SV=2</t>
  </si>
  <si>
    <t>ident:459/537 pos:479/537 query:537 hit:528 align:528 bit:867.5</t>
  </si>
  <si>
    <t>sp|Q9UGM5|FETUB_HUMAN</t>
  </si>
  <si>
    <t>Fetuin-B OS=Homo sapiens OX=9606 GN=FETUB PE=1 SV=2</t>
  </si>
  <si>
    <t>ident:260/384 pos:304/384 query:384 hit:382 align:373 bit:501.1</t>
  </si>
  <si>
    <t>XP_027443047.1</t>
  </si>
  <si>
    <t>sp|Q9Y265|RUVB1_HUMAN</t>
  </si>
  <si>
    <t>RuvB-like 1 OS=Homo sapiens OX=9606 GN=RUVBL1 PE=1 SV=1</t>
  </si>
  <si>
    <t>ident:456/456 pos:456/456 query:456 hit:456 align:456 bit:929.5</t>
  </si>
  <si>
    <t>XP_027443054.1</t>
  </si>
  <si>
    <t>sp|Q9NQR4|NIT2_HUMAN</t>
  </si>
  <si>
    <t>Omega-amidase NIT2 OS=Homo sapiens OX=9606 GN=NIT2 PE=1 SV=1</t>
  </si>
  <si>
    <t>ident:250/315 pos:266/315 query:315 hit:276 align:276 bit:533.1</t>
  </si>
  <si>
    <t>XP_027443079.1</t>
  </si>
  <si>
    <t>sp|P50570|DYN2_HUMAN</t>
  </si>
  <si>
    <t>Dynamin-2 OS=Homo sapiens OX=9606 GN=DNM2 PE=1 SV=2</t>
  </si>
  <si>
    <t>ident:844/870 pos:856/870 query:870 hit:870 align:870 bit:1744.5</t>
  </si>
  <si>
    <t>XP_027443116.1</t>
  </si>
  <si>
    <t>sp|P05107|ITB2_HUMAN</t>
  </si>
  <si>
    <t>Integrin beta-2 OS=Homo sapiens OX=9606 GN=ITGB2 PE=1 SV=2</t>
  </si>
  <si>
    <t>ident:627/795 pos:680/795 query:795 hit:769 align:748 bit:1306.6</t>
  </si>
  <si>
    <t>XP_027443146.1</t>
  </si>
  <si>
    <t>lipoma-preferred partner isoform X1 [Zalophus californianus]</t>
  </si>
  <si>
    <t>sp|Q93052|LPP_HUMAN</t>
  </si>
  <si>
    <t>Lipoma-preferred partner OS=Homo sapiens OX=9606 GN=LPP PE=1 SV=1</t>
  </si>
  <si>
    <t>ident:564/623 pos:572/623 query:623 hit:612 align:614 bit:1127.1</t>
  </si>
  <si>
    <t>XP_027443170.1</t>
  </si>
  <si>
    <t>xylulose kinase isoform X1 [Zalophus californianus]</t>
  </si>
  <si>
    <t>sp|O75191|XYLB_HUMAN</t>
  </si>
  <si>
    <t>Xylulose kinase OS=Homo sapiens OX=9606 GN=XYLB PE=1 SV=3</t>
  </si>
  <si>
    <t>ident:483/533 pos:507/533 query:533 hit:536 align:536 bit:1006.1</t>
  </si>
  <si>
    <t>XP_027443195.1</t>
  </si>
  <si>
    <t>sp|Q9NZM1|MYOF_HUMAN</t>
  </si>
  <si>
    <t>Myoferlin OS=Homo sapiens OX=9606 GN=MYOF PE=1 SV=1</t>
  </si>
  <si>
    <t>ident:1932/2079 pos:2002/2079 query:2079 hit:2061 align:2080 bit:3903.6</t>
  </si>
  <si>
    <t>sp|Q02388|CO7A1_HUMAN</t>
  </si>
  <si>
    <t>Collagen alpha-1(VII) chain OS=Homo sapiens OX=9606 GN=COL7A1 PE=1 SV=2</t>
  </si>
  <si>
    <t>ident:2577/2939 pos:2701/2939 query:2939 hit:2944 align:2946 bit:4134.3</t>
  </si>
  <si>
    <t>XP_027443264.1</t>
  </si>
  <si>
    <t>sp|P23470|PTPRG_HUMAN</t>
  </si>
  <si>
    <t>Receptor-type tyrosine-protein phosphatase gamma OS=Homo sapiens OX=9606 GN=PTPRG PE=1 SV=4</t>
  </si>
  <si>
    <t>ident:1364/1468 pos:1396/1468 query:1468 hit:1445 align:1470 bit:2787.7</t>
  </si>
  <si>
    <t>XP_027443290.1</t>
  </si>
  <si>
    <t>sp|P06276|CHLE_HUMAN</t>
  </si>
  <si>
    <t>Cholinesterase OS=Homo sapiens OX=9606 GN=BCHE PE=1 SV=1</t>
  </si>
  <si>
    <t>ident:525/643 pos:548/643 query:643 hit:602 align:602 bit:1084.7</t>
  </si>
  <si>
    <t>sp|O75828|CBR3_HUMAN</t>
  </si>
  <si>
    <t>Carbonyl reductase [NADPH] 3 OS=Homo sapiens OX=9606 GN=CBR3 PE=1 SV=3</t>
  </si>
  <si>
    <t>ident:237/277 pos:251/277 query:277 hit:277 align:277 bit:488.4</t>
  </si>
  <si>
    <t>sp|Q99439|CNN2_HUMAN</t>
  </si>
  <si>
    <t>Calponin-2 OS=Homo sapiens OX=9606 GN=CNN2 PE=1 SV=4</t>
  </si>
  <si>
    <t>ident:296/310 pos:299/310 query:310 hit:309 align:310 bit:614.4</t>
  </si>
  <si>
    <t>methylthioribose-1-phosphate isomerase [Zalophus californianus]</t>
  </si>
  <si>
    <t>sp|Q9BV20|MTNA_HUMAN</t>
  </si>
  <si>
    <t>Methylthioribose-1-phosphate isomerase OS=Homo sapiens OX=9606 GN=MRI1 PE=1 SV=1</t>
  </si>
  <si>
    <t>ident:329/358 pos:341/358 query:358 hit:369 align:358 bit:642.9</t>
  </si>
  <si>
    <t>sp|P27797|CALR_HUMAN</t>
  </si>
  <si>
    <t>Calreticulin OS=Homo sapiens OX=9606 GN=CALR PE=1 SV=1</t>
  </si>
  <si>
    <t>ident:335/411 pos:340/411 query:411 hit:417 align:345 bit:694.1</t>
  </si>
  <si>
    <t>sp|P50120|RET2_HUMAN</t>
  </si>
  <si>
    <t>Retinol-binding protein 2 OS=Homo sapiens OX=9606 GN=RBP2 PE=1 SV=3</t>
  </si>
  <si>
    <t>ident:117/134 pos:127/134 query:134 hit:134 align:134 bit:247.3</t>
  </si>
  <si>
    <t>XP_027443471.1</t>
  </si>
  <si>
    <t>sp|Q99574|NEUS_HUMAN</t>
  </si>
  <si>
    <t>Neuroserpin OS=Homo sapiens OX=9606 GN=SERPINI1 PE=1 SV=1</t>
  </si>
  <si>
    <t>ident:377/445 pos:397/445 query:445 hit:410 align:410 bit:791.2</t>
  </si>
  <si>
    <t>sp|P02788|TRFL_HUMAN</t>
  </si>
  <si>
    <t>Lactotransferrin OS=Homo sapiens OX=9606 GN=LTF PE=1 SV=6</t>
  </si>
  <si>
    <t>ident:508/708 pos:585/708 query:708 hit:710 align:699 bit:1069.3</t>
  </si>
  <si>
    <t>sp|Q13177|PAK2_HUMAN</t>
  </si>
  <si>
    <t>Serine/threonine-protein kinase PAK 2 OS=Homo sapiens OX=9606 GN=PAK2 PE=1 SV=3</t>
  </si>
  <si>
    <t>ident:510/524 pos:517/524 query:524 hit:524 align:524 bit:1052.0</t>
  </si>
  <si>
    <t>XP_027443517.1</t>
  </si>
  <si>
    <t>sp|P35080|PROF2_HUMAN</t>
  </si>
  <si>
    <t>Profilin-2 OS=Homo sapiens OX=9606 GN=PFN2 PE=1 SV=3</t>
  </si>
  <si>
    <t>ident:139/140 pos:140/140 query:140 hit:140 align:140 bit:287.7</t>
  </si>
  <si>
    <t>XP_027443544.1</t>
  </si>
  <si>
    <t>sp|P54753|EPHB3_HUMAN</t>
  </si>
  <si>
    <t>Ephrin type-B receptor 3 OS=Homo sapiens OX=9606 GN=EPHB3 PE=1 SV=2</t>
  </si>
  <si>
    <t>ident:975/1040 pos:985/1040 query:1040 hit:998 align:1041 bit:1990.7</t>
  </si>
  <si>
    <t>sp|O95633|FSTL3_HUMAN</t>
  </si>
  <si>
    <t>Follistatin-related protein 3 OS=Homo sapiens OX=9606 GN=FSTL3 PE=1 SV=1</t>
  </si>
  <si>
    <t>ident:237/262 pos:248/262 query:262 hit:263 align:263 bit:478.8</t>
  </si>
  <si>
    <t>sp|Q99102|MUC4_HUMAN</t>
  </si>
  <si>
    <t>Mucin-4 OS=Homo sapiens OX=9606 GN=MUC4 PE=1 SV=4</t>
  </si>
  <si>
    <t>ident:825/1177 pos:928/1177 query:1177 hit:2169 align:1149 bit:1724.5</t>
  </si>
  <si>
    <t>sp|P50914|RL14_HUMAN</t>
  </si>
  <si>
    <t>60S ribosomal protein L14 OS=Homo sapiens OX=9606 GN=RPL14 PE=1 SV=4</t>
  </si>
  <si>
    <t>ident:197/210 pos:200/210 query:210 hit:215 align:215 bit:364.8</t>
  </si>
  <si>
    <t>XP_027443581.1</t>
  </si>
  <si>
    <t>sp|O95336|6PGL_HUMAN</t>
  </si>
  <si>
    <t>6-phosphogluconolactonase OS=Homo sapiens OX=9606 GN=PGLS PE=1 SV=2</t>
  </si>
  <si>
    <t>ident:247/297 pos:253/297 query:297 hit:258 align:258 bit:474.6</t>
  </si>
  <si>
    <t>sp|Q9UKZ9|PCOC2_HUMAN</t>
  </si>
  <si>
    <t>Procollagen C-endopeptidase enhancer 2 OS=Homo sapiens OX=9606 GN=PCOLCE2 PE=1 SV=1</t>
  </si>
  <si>
    <t>ident:393/415 pos:403/415 query:415 hit:415 align:415 bit:762.7</t>
  </si>
  <si>
    <t>V-type proton ATPase catalytic subunit A [Zalophus californianus]</t>
  </si>
  <si>
    <t>sp|P38606|VATA_HUMAN</t>
  </si>
  <si>
    <t>V-type proton ATPase catalytic subunit A OS=Homo sapiens OX=9606 GN=ATP6V1A PE=1 SV=2</t>
  </si>
  <si>
    <t>ident:609/618 pos:617/618 query:618 hit:617 align:617 bit:1268.5</t>
  </si>
  <si>
    <t>XP_027443651.1</t>
  </si>
  <si>
    <t>sp|Q9NP91|S6A20_HUMAN</t>
  </si>
  <si>
    <t>Sodium- and chloride-dependent transporter XTRP3 OS=Homo sapiens OX=9606 GN=SLC6A20 PE=1 SV=1</t>
  </si>
  <si>
    <t>ident:538/592 pos:565/592 query:592 hit:592 align:592 bit:1097.0</t>
  </si>
  <si>
    <t>sp|Q8IUL8|CILP2_HUMAN</t>
  </si>
  <si>
    <t>Cartilage intermediate layer protein 2 OS=Homo sapiens OX=9606 GN=CILP2 PE=2 SV=2</t>
  </si>
  <si>
    <t>ident:1037/1157 pos:1082/1157 query:1157 hit:1156 align:1157 bit:2094.3</t>
  </si>
  <si>
    <t>sp|Q99988|GDF15_HUMAN</t>
  </si>
  <si>
    <t>Growth/differentiation factor 15 OS=Homo sapiens OX=9606 GN=GDF15 PE=1 SV=3</t>
  </si>
  <si>
    <t>ident:204/308 pos:235/308 query:308 hit:308 align:311 bit:360.9</t>
  </si>
  <si>
    <t>sp|Q8NCR9|CLRN3_HUMAN</t>
  </si>
  <si>
    <t>Clarin-3 OS=Homo sapiens OX=9606 GN=CLRN3 PE=2 SV=1</t>
  </si>
  <si>
    <t>ident:170/229 pos:191/229 query:229 hit:226 align:229 bit:311.2</t>
  </si>
  <si>
    <t>sp|Q86XE5|HOGA1_HUMAN</t>
  </si>
  <si>
    <t>4-hydroxy-2-oxoglutarate aldolase, mitochondrial OS=Homo sapiens OX=9606 GN=HOGA1 PE=1 SV=1</t>
  </si>
  <si>
    <t>ident:305/327 pos:318/327 query:327 hit:327 align:327 bit:636.3</t>
  </si>
  <si>
    <t>sp|Q6UX06|OLFM4_HUMAN</t>
  </si>
  <si>
    <t>Olfactomedin-4 OS=Homo sapiens OX=9606 GN=OLFM4 PE=1 SV=1</t>
  </si>
  <si>
    <t>ident:392/504 pos:425/504 query:504 hit:510 align:495 bit:745.3</t>
  </si>
  <si>
    <t>XP_027443796.1</t>
  </si>
  <si>
    <t>sp|P00742|FA10_HUMAN</t>
  </si>
  <si>
    <t>Coagulation factor X OS=Homo sapiens OX=9606 GN=F10 PE=1 SV=2</t>
  </si>
  <si>
    <t>ident:363/486 pos:406/486 query:486 hit:488 align:483 bit:726.5</t>
  </si>
  <si>
    <t>XP_027443807.1</t>
  </si>
  <si>
    <t>sp|Q9UEW3|MARCO_HUMAN</t>
  </si>
  <si>
    <t>Macrophage receptor MARCO OS=Homo sapiens OX=9606 GN=MARCO PE=1 SV=1</t>
  </si>
  <si>
    <t>ident:326/476 pos:373/476 query:476 hit:520 align:522 bit:584.7</t>
  </si>
  <si>
    <t>sp|P09923|PPBI_HUMAN</t>
  </si>
  <si>
    <t>Intestinal-type alkaline phosphatase OS=Homo sapiens OX=9606 GN=ALPI PE=1 SV=2</t>
  </si>
  <si>
    <t>ident:408/536 pos:438/536 query:536 hit:528 align:491 bit:849.7</t>
  </si>
  <si>
    <t>collagen alpha-3(VI) chain isoform X1 [Zalophus californianus]</t>
  </si>
  <si>
    <t>sp|P12111|CO6A3_HUMAN</t>
  </si>
  <si>
    <t>Collagen alpha-3(VI) chain OS=Homo sapiens OX=9606 GN=COL6A3 PE=1 SV=5</t>
  </si>
  <si>
    <t>ident:2820/3179 pos:2984/3179 query:3179 hit:3177 align:3189 bit:5504.1</t>
  </si>
  <si>
    <t>XP_027443934.1</t>
  </si>
  <si>
    <t>gamma-glutamylaminecyclotransferase isoform X1 [Zalophus californianus]</t>
  </si>
  <si>
    <t>sp|Q9BVM4|GGACT_HUMAN</t>
  </si>
  <si>
    <t>Gamma-glutamylaminecyclotransferase OS=Homo sapiens OX=9606 GN=GGACT PE=1 SV=2</t>
  </si>
  <si>
    <t>ident:113/177 pos:126/177 query:177 hit:153 align:156 bit:224.2</t>
  </si>
  <si>
    <t>XP_027443977.1</t>
  </si>
  <si>
    <t>sp|P02751|FINC_HUMAN</t>
  </si>
  <si>
    <t>Fibronectin OS=Homo sapiens OX=9606 GN=FN1 PE=1 SV=4</t>
  </si>
  <si>
    <t>ident:1961/2387 pos:2103/2387 query:2387 hit:2386 align:2396 bit:3941.7</t>
  </si>
  <si>
    <t>sp|P05976|MYL1_HUMAN</t>
  </si>
  <si>
    <t>Myosin light chain 1/3, skeletal muscle isoform OS=Homo sapiens OX=9606 GN=MYL1 PE=2 SV=3</t>
  </si>
  <si>
    <t>ident:181/192 pos:184/192 query:192 hit:194 align:193 bit:317.0</t>
  </si>
  <si>
    <t>sp|P05111|INHA_HUMAN</t>
  </si>
  <si>
    <t>Inhibin alpha chain OS=Homo sapiens OX=9606 GN=INHA PE=1 SV=1</t>
  </si>
  <si>
    <t>ident:289/368 pos:307/368 query:368 hit:366 align:355 bit:570.9</t>
  </si>
  <si>
    <t>sp|Q96CX2|KCD12_HUMAN</t>
  </si>
  <si>
    <t>BTB/POZ domain-containing protein KCTD12 OS=Homo sapiens OX=9606 GN=KCTD12 PE=1 SV=1</t>
  </si>
  <si>
    <t>ident:322/327 pos:324/327 query:327 hit:325 align:327 bit:644.4</t>
  </si>
  <si>
    <t>XP_027444038.1</t>
  </si>
  <si>
    <t>tissue factor pathway inhibitor isoform X1 [Zalophus californianus]</t>
  </si>
  <si>
    <t>sp|P10646|TFPI1_HUMAN</t>
  </si>
  <si>
    <t>Tissue factor pathway inhibitor OS=Homo sapiens OX=9606 GN=TFPI PE=1 SV=1</t>
  </si>
  <si>
    <t>ident:215/334 pos:248/334 query:334 hit:304 align:335 bit:398.7</t>
  </si>
  <si>
    <t>sp|O75533|SF3B1_HUMAN</t>
  </si>
  <si>
    <t>Splicing factor 3B subunit 1 OS=Homo sapiens OX=9606 GN=SF3B1 PE=1 SV=3</t>
  </si>
  <si>
    <t>ident:1304/1360 pos:1304/1360 query:1360 hit:1304 align:1304 bit:2701.8</t>
  </si>
  <si>
    <t>XP_027444116.1</t>
  </si>
  <si>
    <t>sp|P11279|LAMP1_HUMAN</t>
  </si>
  <si>
    <t>Lysosome-associated membrane glycoprotein 1 OS=Homo sapiens OX=9606 GN=LAMP1 PE=1 SV=3</t>
  </si>
  <si>
    <t>ident:329/413 pos:369/413 query:413 hit:417 align:417 bit:617.1</t>
  </si>
  <si>
    <t>sp|P13693|TCTP_HUMAN</t>
  </si>
  <si>
    <t>Translationally-controlled tumor protein OS=Homo sapiens OX=9606 GN=TPT1 PE=1 SV=1</t>
  </si>
  <si>
    <t>ident:172/172 pos:172/172 query:172 hit:172 align:172 bit:355.1</t>
  </si>
  <si>
    <t>XP_027444278.1</t>
  </si>
  <si>
    <t>sp|O00499|BIN1_HUMAN</t>
  </si>
  <si>
    <t>Myc box-dependent-interacting protein 1 OS=Homo sapiens OX=9606 GN=BIN1 PE=1 SV=1</t>
  </si>
  <si>
    <t>ident:327/441 pos:329/441 query:441 hit:593 align:335 bit:669.8</t>
  </si>
  <si>
    <t>XP_027444445.1</t>
  </si>
  <si>
    <t>heterogeneous nuclear ribonucleoprotein A3 isoform X1 [Zalophus californianus]</t>
  </si>
  <si>
    <t>sp|P51991|ROA3_HUMAN</t>
  </si>
  <si>
    <t>Heterogeneous nuclear ribonucleoprotein A3 OS=Homo sapiens OX=9606 GN=HNRNPA3 PE=1 SV=2</t>
  </si>
  <si>
    <t>ident:377/378 pos:377/378 query:378 hit:378 align:379 bit:717.6</t>
  </si>
  <si>
    <t>sp|P61158|ARP3_HUMAN</t>
  </si>
  <si>
    <t>Actin-related protein 3 OS=Homo sapiens OX=9606 GN=ACTR3 PE=1 SV=3</t>
  </si>
  <si>
    <t>ident:418/418 pos:418/418 query:418 hit:418 align:418 bit:869.0</t>
  </si>
  <si>
    <t>XP_027444504.1</t>
  </si>
  <si>
    <t>sp|Q6PIF6|MYO7B_HUMAN</t>
  </si>
  <si>
    <t>Unconventional myosin-VIIb OS=Homo sapiens OX=9606 GN=MYO7B PE=1 SV=2</t>
  </si>
  <si>
    <t>ident:1809/2188 pos:1946/2188 query:2188 hit:2116 align:2128 bit:3751.8</t>
  </si>
  <si>
    <t>XP_027444610.1</t>
  </si>
  <si>
    <t>sp|Q32MZ4|LRRF1_HUMAN</t>
  </si>
  <si>
    <t>Leucine-rich repeat flightless-interacting protein 1 OS=Homo sapiens OX=9606 GN=LRRFIP1 PE=1 SV=2</t>
  </si>
  <si>
    <t>ident:213/899 pos:267/899 query:899 hit:808 align:395 bit:323.9</t>
  </si>
  <si>
    <t>XP_027444644.1</t>
  </si>
  <si>
    <t>transforming growth factor beta receptor type 3 isoform X1 [Zalophus californianus]</t>
  </si>
  <si>
    <t>sp|Q03167|TGBR3_HUMAN</t>
  </si>
  <si>
    <t>Transforming growth factor beta receptor type 3 OS=Homo sapiens OX=9606 GN=TGFBR3 PE=1 SV=3</t>
  </si>
  <si>
    <t>ident:751/859 pos:800/859 query:859 hit:851 align:851 bit:1560.0</t>
  </si>
  <si>
    <t>signal transducer and activator of transcription 1-alpha/beta [Zalophus californianus]</t>
  </si>
  <si>
    <t>sp|P42224|STAT1_HUMAN</t>
  </si>
  <si>
    <t>Signal transducer and activator of transcription 1-alpha/beta OS=Homo sapiens OX=9606 GN=STAT1 PE=1 SV=2</t>
  </si>
  <si>
    <t>ident:729/750 pos:740/750 query:750 hit:750 align:750 bit:1513.4</t>
  </si>
  <si>
    <t>sp|O00151|PDLI1_HUMAN</t>
  </si>
  <si>
    <t>PDZ and LIM domain protein 1 OS=Homo sapiens OX=9606 GN=PDLIM1 PE=1 SV=4</t>
  </si>
  <si>
    <t>ident:306/330 pos:319/330 query:330 hit:329 align:330 bit:644.4</t>
  </si>
  <si>
    <t>actin-related protein 2/3 complex subunit 2 [Zalophus californianus]</t>
  </si>
  <si>
    <t>sp|O15144|ARPC2_HUMAN</t>
  </si>
  <si>
    <t>Actin-related protein 2/3 complex subunit 2 OS=Homo sapiens OX=9606 GN=ARPC2 PE=1 SV=1</t>
  </si>
  <si>
    <t>ident:300/300 pos:300/300 query:300 hit:300 align:300 bit:622.1</t>
  </si>
  <si>
    <t>calcium-binding protein 39 [Zalophus californianus]</t>
  </si>
  <si>
    <t>sp|Q9Y376|CAB39_HUMAN</t>
  </si>
  <si>
    <t>Calcium-binding protein 39 OS=Homo sapiens OX=9606 GN=CAB39 PE=1 SV=1</t>
  </si>
  <si>
    <t>ident:339/341 pos:340/341 query:341 hit:341 align:341 bit:698.0</t>
  </si>
  <si>
    <t>sp|P35052|GPC1_HUMAN</t>
  </si>
  <si>
    <t>Glypican-1 OS=Homo sapiens OX=9606 GN=GPC1 PE=1 SV=2</t>
  </si>
  <si>
    <t>ident:468/598 pos:497/598 query:598 hit:558 align:598 bit:847.8</t>
  </si>
  <si>
    <t>XP_027444899.1</t>
  </si>
  <si>
    <t>septin-2 isoform X1 [Zalophus californianus]</t>
  </si>
  <si>
    <t>sp|Q15019|SEPT2_HUMAN</t>
  </si>
  <si>
    <t>Septin-2 OS=Homo sapiens OX=9606 GN=SEPT2 PE=1 SV=1</t>
  </si>
  <si>
    <t>ident:355/362 pos:359/362 query:362 hit:361 align:362 bit:734.2</t>
  </si>
  <si>
    <t>XP_027444912.1</t>
  </si>
  <si>
    <t>sp|Q15435|PP1R7_HUMAN</t>
  </si>
  <si>
    <t>Protein phosphatase 1 regulatory subunit 7 OS=Homo sapiens OX=9606 GN=PPP1R7 PE=1 SV=1</t>
  </si>
  <si>
    <t>ident:340/364 pos:351/364 query:364 hit:360 align:364 bit:635.6</t>
  </si>
  <si>
    <t>sp|P17661|DESM_HUMAN</t>
  </si>
  <si>
    <t>Desmin OS=Homo sapiens OX=9606 GN=DES PE=1 SV=3</t>
  </si>
  <si>
    <t>ident:459/470 pos:466/470 query:470 hit:470 align:470 bit:938.7</t>
  </si>
  <si>
    <t>sp|Q9Y287|ITM2B_HUMAN</t>
  </si>
  <si>
    <t>Integral membrane protein 2B OS=Homo sapiens OX=9606 GN=ITM2B PE=1 SV=1</t>
  </si>
  <si>
    <t>ident:255/266 pos:260/266 query:266 hit:266 align:265 bit:532.3</t>
  </si>
  <si>
    <t>XP_027445023.1</t>
  </si>
  <si>
    <t>sp|Q8WWI1|LMO7_HUMAN</t>
  </si>
  <si>
    <t>LIM domain only protein 7 OS=Homo sapiens OX=9606 GN=LMO7 PE=1 SV=3</t>
  </si>
  <si>
    <t>ident:1101/1399 pos:1166/1399 query:1399 hit:1683 align:1351 bit:2097.0</t>
  </si>
  <si>
    <t>sp|Q99460|PSMD1_HUMAN</t>
  </si>
  <si>
    <t>26S proteasome non-ATPase regulatory subunit 1 OS=Homo sapiens OX=9606 GN=PSMD1 PE=1 SV=2</t>
  </si>
  <si>
    <t>ident:946/953 pos:949/953 query:953 hit:953 align:953 bit:1968.4</t>
  </si>
  <si>
    <t>XP_027445083.1</t>
  </si>
  <si>
    <t>sp|Q9Y6E0|STK24_HUMAN</t>
  </si>
  <si>
    <t>Serine/threonine-protein kinase 24 OS=Homo sapiens OX=9606 GN=STK24 PE=1 SV=1</t>
  </si>
  <si>
    <t>ident:424/445 pos:432/445 query:445 hit:443 align:445 bit:822.0</t>
  </si>
  <si>
    <t>sp|P67809|YBOX1_HUMAN</t>
  </si>
  <si>
    <t>Nuclease-sensitive element-binding protein 1 OS=Homo sapiens OX=9606 GN=YBX1 PE=1 SV=3</t>
  </si>
  <si>
    <t>ident:316/328 pos:319/328 query:328 hit:324 align:328 bit:618.2</t>
  </si>
  <si>
    <t>sp|P20929|NEBU_HUMAN</t>
  </si>
  <si>
    <t>Nebulin OS=Homo sapiens OX=9606 GN=NEB PE=1 SV=5</t>
  </si>
  <si>
    <t>ident:6260/6674 pos:6494/6674 query:6674 hit:6669 align:6674 bit:13006.2</t>
  </si>
  <si>
    <t>plastin-2 [Zalophus californianus]</t>
  </si>
  <si>
    <t>sp|P13796|PLSL_HUMAN</t>
  </si>
  <si>
    <t>Plastin-2 OS=Homo sapiens OX=9606 GN=LCP1 PE=1 SV=6</t>
  </si>
  <si>
    <t>ident:616/627 pos:624/627 query:627 hit:627 align:627 bit:1274.6</t>
  </si>
  <si>
    <t>sp|P15374|UCHL3_HUMAN</t>
  </si>
  <si>
    <t>Ubiquitin carboxyl-terminal hydrolase isozyme L3 OS=Homo sapiens OX=9606 GN=UCHL3 PE=1 SV=1</t>
  </si>
  <si>
    <t>ident:230/230 pos:230/230 query:230 hit:230 align:230 bit:481.1</t>
  </si>
  <si>
    <t>alpha-1,6-mannosylglycoprotein 6-beta-N-acetylglucosaminyltransferase A [Zalophus californianus]</t>
  </si>
  <si>
    <t>sp|Q09328|MGT5A_HUMAN</t>
  </si>
  <si>
    <t>Alpha-1,6-mannosylglycoprotein 6-beta-N-acetylglucosaminyltransferase A OS=Homo sapiens OX=9606 GN=MGAT5 PE=1 SV=1</t>
  </si>
  <si>
    <t>ident:728/741 pos:738/741 query:741 hit:741 align:741 bit:1530.4</t>
  </si>
  <si>
    <t>XP_027445216.1</t>
  </si>
  <si>
    <t>sp|P98164|LRP2_HUMAN</t>
  </si>
  <si>
    <t>Low-density lipoprotein receptor-related protein 2 OS=Homo sapiens OX=9606 GN=LRP2 PE=1 SV=3</t>
  </si>
  <si>
    <t>ident:3669/4651 pos:4080/4651 query:4651 hit:4655 align:4657 bit:7709.8</t>
  </si>
  <si>
    <t>ident:280/300 pos:285/300 query:300 hit:320 align:300 bit:458.0</t>
  </si>
  <si>
    <t>ident:265/312 pos:269/312 query:312 hit:320 align:312 bit:409.5</t>
  </si>
  <si>
    <t>sp|P24593|IBP5_HUMAN</t>
  </si>
  <si>
    <t>Insulin-like growth factor-binding protein 5 OS=Homo sapiens OX=9606 GN=IGFBP5 PE=1 SV=1</t>
  </si>
  <si>
    <t>ident:264/271 pos:268/271 query:271 hit:272 align:271 bit:545.8</t>
  </si>
  <si>
    <t>XP_027445327.1</t>
  </si>
  <si>
    <t>unconventional myosin-Ib isoform X1 [Zalophus californianus]</t>
  </si>
  <si>
    <t>sp|O43795|MYO1B_HUMAN</t>
  </si>
  <si>
    <t>Unconventional myosin-Ib OS=Homo sapiens OX=9606 GN=MYO1B PE=1 SV=3</t>
  </si>
  <si>
    <t>ident:1118/1136 pos:1125/1136 query:1136 hit:1136 align:1136 bit:2322.3</t>
  </si>
  <si>
    <t>heterogeneous nuclear ribonucleoprotein F isoform X1 [Zalophus californianus]</t>
  </si>
  <si>
    <t>sp|P52597|HNRPF_HUMAN</t>
  </si>
  <si>
    <t>Heterogeneous nuclear ribonucleoprotein F OS=Homo sapiens OX=9606 GN=HNRNPF PE=1 SV=3</t>
  </si>
  <si>
    <t>ident:406/414 pos:409/414 query:414 hit:415 align:415 bit:838.6</t>
  </si>
  <si>
    <t>XP_027445447.1</t>
  </si>
  <si>
    <t>sp|P07108|ACBP_HUMAN</t>
  </si>
  <si>
    <t>Acyl-CoA-binding protein OS=Homo sapiens OX=9606 GN=DBI PE=1 SV=2</t>
  </si>
  <si>
    <t>ident:73/87 pos:81/87 query:87 hit:87 align:87 bit:159.5</t>
  </si>
  <si>
    <t>sp|P24534|EF1B_HUMAN</t>
  </si>
  <si>
    <t>Elongation factor 1-beta OS=Homo sapiens OX=9606 GN=EEF1B2 PE=1 SV=3</t>
  </si>
  <si>
    <t>ident:221/225 pos:223/225 query:225 hit:225 align:225 bit:446.0</t>
  </si>
  <si>
    <t>secretogranin-2 [Zalophus californianus]</t>
  </si>
  <si>
    <t>sp|P13521|SCG2_HUMAN</t>
  </si>
  <si>
    <t>Secretogranin-2 OS=Homo sapiens OX=9606 GN=SCG2 PE=1 SV=2</t>
  </si>
  <si>
    <t>ident:560/618 pos:584/618 query:618 hit:617 align:619 bit:1124.8</t>
  </si>
  <si>
    <t>sp|O60449|LY75_HUMAN</t>
  </si>
  <si>
    <t>Lymphocyte antigen 75 OS=Homo sapiens OX=9606 GN=LY75 PE=1 SV=3</t>
  </si>
  <si>
    <t>ident:1370/1875 pos:1503/1875 query:1875 hit:1722 align:1665 bit:2914.4</t>
  </si>
  <si>
    <t>XP_027445624.1</t>
  </si>
  <si>
    <t>sp|P54764|EPHA4_HUMAN</t>
  </si>
  <si>
    <t>Ephrin type-A receptor 4 OS=Homo sapiens OX=9606 GN=EPHA4 PE=1 SV=1</t>
  </si>
  <si>
    <t>ident:973/986 pos:980/986 query:986 hit:986 align:986 bit:2033.5</t>
  </si>
  <si>
    <t>sp|P09327|VILI_HUMAN</t>
  </si>
  <si>
    <t>Villin-1 OS=Homo sapiens OX=9606 GN=VIL1 PE=1 SV=4</t>
  </si>
  <si>
    <t>ident:740/827 pos:778/827 query:827 hit:827 align:827 bit:1558.9</t>
  </si>
  <si>
    <t>XP_027445656.1</t>
  </si>
  <si>
    <t>sp|Q53SF7|COBL1_HUMAN</t>
  </si>
  <si>
    <t>Cordon-bleu protein-like 1 OS=Homo sapiens OX=9606 GN=COBLL1 PE=1 SV=2</t>
  </si>
  <si>
    <t>ident:911/1244 pos:997/1244 query:1244 hit:1204 align:1218 bit:1723.4</t>
  </si>
  <si>
    <t>XP_027445676.1</t>
  </si>
  <si>
    <t>sp|P48061|SDF1_HUMAN</t>
  </si>
  <si>
    <t>Stromal cell-derived factor 1 OS=Homo sapiens OX=9606 GN=CXCL12 PE=1 SV=1</t>
  </si>
  <si>
    <t>ident:84/163 pos:86/163 query:163 hit:93 align:88 bit:159.8</t>
  </si>
  <si>
    <t>sp|P31939|PUR9_HUMAN</t>
  </si>
  <si>
    <t>Bifunctional purine biosynthesis protein PURH OS=Homo sapiens OX=9606 GN=ATIC PE=1 SV=3</t>
  </si>
  <si>
    <t>ident:562/592 pos:584/592 query:592 hit:592 align:592 bit:1181.4</t>
  </si>
  <si>
    <t>glycerol-3-phosphate dehydrogenase, mitochondrial [Zalophus californianus]</t>
  </si>
  <si>
    <t>sp|P43304|GPDM_HUMAN</t>
  </si>
  <si>
    <t>Glycerol-3-phosphate dehydrogenase, mitochondrial OS=Homo sapiens OX=9606 GN=GPD2 PE=1 SV=3</t>
  </si>
  <si>
    <t>ident:705/727 pos:718/727 query:727 hit:727 align:727 bit:1473.0</t>
  </si>
  <si>
    <t>sp|P61960|UFM1_HUMAN</t>
  </si>
  <si>
    <t>Ubiquitin-fold modifier 1 OS=Homo sapiens OX=9606 GN=UFM1 PE=1 SV=1</t>
  </si>
  <si>
    <t>ident:85/85 pos:85/85 query:85 hit:85 align:85 bit:173.7</t>
  </si>
  <si>
    <t>NADH-ubiquinone oxidoreductase 75 kDa subunit, mitochondrial [Zalophus californianus]</t>
  </si>
  <si>
    <t>sp|P28331|NDUS1_HUMAN</t>
  </si>
  <si>
    <t>NADH-ubiquinone oxidoreductase 75 kDa subunit, mitochondrial OS=Homo sapiens OX=9606 GN=NDUFS1 PE=1 SV=3</t>
  </si>
  <si>
    <t>ident:707/727 pos:719/727 query:727 hit:727 align:727 bit:1472.6</t>
  </si>
  <si>
    <t>sp|P52799|EFNB2_HUMAN</t>
  </si>
  <si>
    <t>Ephrin-B2 OS=Homo sapiens OX=9606 GN=EFNB2 PE=1 SV=1</t>
  </si>
  <si>
    <t>ident:322/333 pos:329/333 query:333 hit:333 align:333 bit:677.6</t>
  </si>
  <si>
    <t>sp|P63165|SUMO1_HUMAN</t>
  </si>
  <si>
    <t>Small ubiquitin-related modifier 1 OS=Homo sapiens OX=9606 GN=SUMO1 PE=1 SV=1</t>
  </si>
  <si>
    <t>ident:100/101 pos:101/101 query:101 hit:101 align:101 bit:208.4</t>
  </si>
  <si>
    <t>sp|Q15813|TBCE_HUMAN</t>
  </si>
  <si>
    <t>Tubulin-specific chaperone E OS=Homo sapiens OX=9606 GN=TBCE PE=1 SV=1</t>
  </si>
  <si>
    <t>ident:440/529 pos:483/529 query:529 hit:527 align:528 bit:911.0</t>
  </si>
  <si>
    <t>sp|Q99805|TM9S2_HUMAN</t>
  </si>
  <si>
    <t>Transmembrane 9 superfamily member 2 OS=Homo sapiens OX=9606 GN=TM9SF2 PE=1 SV=1</t>
  </si>
  <si>
    <t>ident:643/663 pos:649/663 query:663 hit:663 align:663 bit:1333.5</t>
  </si>
  <si>
    <t>sp|Q9Y2S2|CRYL1_HUMAN</t>
  </si>
  <si>
    <t>Lambda-crystallin homolog OS=Homo sapiens OX=9606 GN=CRYL1 PE=1 SV=3</t>
  </si>
  <si>
    <t>ident:265/319 pos:291/319 query:319 hit:319 align:319 bit:560.8</t>
  </si>
  <si>
    <t>sp|Q96IY4|CBPB2_HUMAN</t>
  </si>
  <si>
    <t>Carboxypeptidase B2 OS=Homo sapiens OX=9606 GN=CPB2 PE=1 SV=2</t>
  </si>
  <si>
    <t>ident:339/423 pos:373/423 query:423 hit:423 align:423 bit:718.8</t>
  </si>
  <si>
    <t>high mobility group protein B1 [Zalophus californianus]</t>
  </si>
  <si>
    <t>sp|P09429|HMGB1_HUMAN</t>
  </si>
  <si>
    <t>High mobility group protein B1 OS=Homo sapiens OX=9606 GN=HMGB1 PE=1 SV=3</t>
  </si>
  <si>
    <t>ident:215/215 pos:215/215 query:215 hit:215 align:215 bit:420.6</t>
  </si>
  <si>
    <t>sp|Q13103|SPP24_HUMAN</t>
  </si>
  <si>
    <t>Secreted phosphoprotein 24 OS=Homo sapiens OX=9606 GN=SPP2 PE=1 SV=1</t>
  </si>
  <si>
    <t>ident:128/183 pos:146/183 query:183 hit:211 align:194 bit:231.5</t>
  </si>
  <si>
    <t>XP_027446074.1</t>
  </si>
  <si>
    <t>sp|P08709|FA7_HUMAN</t>
  </si>
  <si>
    <t>Coagulation factor VII OS=Homo sapiens OX=9606 GN=F7 PE=1 SV=1</t>
  </si>
  <si>
    <t>ident:313/446 pos:362/446 query:446 hit:466 align:426 bit:679.5</t>
  </si>
  <si>
    <t>thymosin beta-4 [Zalophus californianus]</t>
  </si>
  <si>
    <t>sp|P62328|TYB4_HUMAN</t>
  </si>
  <si>
    <t>Thymosin beta-4 OS=Homo sapiens OX=9606 GN=TMSB4X PE=1 SV=2</t>
  </si>
  <si>
    <t>ident:44/44 pos:44/44 query:44 hit:44 align:44 bit:85.5</t>
  </si>
  <si>
    <t>XP_027446214.1</t>
  </si>
  <si>
    <t>S-formylglutathione hydrolase isoform X1 [Zalophus californianus]</t>
  </si>
  <si>
    <t>sp|P10768|ESTD_HUMAN</t>
  </si>
  <si>
    <t>S-formylglutathione hydrolase OS=Homo sapiens OX=9606 GN=ESD PE=1 SV=2</t>
  </si>
  <si>
    <t>ident:277/282 pos:281/282 query:282 hit:282 align:282 bit:586.6</t>
  </si>
  <si>
    <t>XP_027446216.1</t>
  </si>
  <si>
    <t>sp|Q969M7|UBE2F_HUMAN</t>
  </si>
  <si>
    <t>NEDD8-conjugating enzyme UBE2F OS=Homo sapiens OX=9606 GN=UBE2F PE=1 SV=1</t>
  </si>
  <si>
    <t>ident:179/211 pos:184/211 query:211 hit:185 align:211 bit:363.6</t>
  </si>
  <si>
    <t>sp|Q5JS37|NHLC3_HUMAN</t>
  </si>
  <si>
    <t>NHL repeat-containing protein 3 OS=Homo sapiens OX=9606 GN=NHLRC3 PE=2 SV=1</t>
  </si>
  <si>
    <t>ident:299/347 pos:325/347 query:347 hit:347 align:347 bit:637.9</t>
  </si>
  <si>
    <t>isocitrate dehydrogenase [NADP] cytoplasmic [Zalophus californianus]</t>
  </si>
  <si>
    <t>sp|O75874|IDHC_HUMAN</t>
  </si>
  <si>
    <t>Isocitrate dehydrogenase [NADP] cytoplasmic OS=Homo sapiens OX=9606 GN=IDH1 PE=1 SV=2</t>
  </si>
  <si>
    <t>ident:396/414 pos:407/414 query:414 hit:414 align:414 bit:836.6</t>
  </si>
  <si>
    <t>sp|P19338|NUCL_HUMAN</t>
  </si>
  <si>
    <t>Nucleolin OS=Homo sapiens OX=9606 GN=NCL PE=1 SV=3</t>
  </si>
  <si>
    <t>ident:573/714 pos:619/714 query:714 hit:710 align:657 bit:874.4</t>
  </si>
  <si>
    <t>XP_027446253.1</t>
  </si>
  <si>
    <t>sp|Q5CZC0|FSIP2_HUMAN</t>
  </si>
  <si>
    <t>Fibrous sheath-interacting protein 2 OS=Homo sapiens OX=9606 GN=FSIP2 PE=2 SV=4</t>
  </si>
  <si>
    <t>ident:4921/6964 pos:5671/6964 query:6964 hit:6907 align:7002 bit:9435.1</t>
  </si>
  <si>
    <t>sp|P02461|CO3A1_HUMAN</t>
  </si>
  <si>
    <t>Collagen alpha-1(III) chain OS=Homo sapiens OX=9606 GN=COL3A1 PE=1 SV=4</t>
  </si>
  <si>
    <t>ident:1359/1466 pos:1405/1466 query:1466 hit:1466 align:1466 bit:1594.7</t>
  </si>
  <si>
    <t>XP_027446268.1</t>
  </si>
  <si>
    <t>cytoplasmic dynein 1 intermediate chain 2 isoform X1 [Zalophus californianus]</t>
  </si>
  <si>
    <t>sp|Q13409|DC1I2_HUMAN</t>
  </si>
  <si>
    <t>Cytoplasmic dynein 1 intermediate chain 2 OS=Homo sapiens OX=9606 GN=DYNC1I2 PE=1 SV=3</t>
  </si>
  <si>
    <t>ident:628/632 pos:631/632 query:632 hit:638 align:638 bit:1304.7</t>
  </si>
  <si>
    <t>sp|O15439|MRP4_HUMAN</t>
  </si>
  <si>
    <t>Multidrug resistance-associated protein 4 OS=Homo sapiens OX=9606 GN=ABCC4 PE=1 SV=3</t>
  </si>
  <si>
    <t>ident:1182/1323 pos:1245/1323 query:1323 hit:1325 align:1325 bit:2420.2</t>
  </si>
  <si>
    <t>sp|Q9H8Y8|GORS2_HUMAN</t>
  </si>
  <si>
    <t>Golgi reassembly-stacking protein 2 OS=Homo sapiens OX=9606 GN=GORASP2 PE=1 SV=3</t>
  </si>
  <si>
    <t>ident:412/453 pos:426/453 query:453 hit:452 align:453 bit:766.9</t>
  </si>
  <si>
    <t>XP_027446367.1</t>
  </si>
  <si>
    <t>sp|P05997|CO5A2_HUMAN</t>
  </si>
  <si>
    <t>Collagen alpha-2(V) chain OS=Homo sapiens OX=9606 GN=COL5A2 PE=1 SV=3</t>
  </si>
  <si>
    <t>ident:1455/1499 pos:1473/1499 query:1499 hit:1499 align:1499 bit:2658.2</t>
  </si>
  <si>
    <t>ident:418/484 pos:436/484 query:484 hit:475 align:474 bit:862.1</t>
  </si>
  <si>
    <t>XP_027446450.1</t>
  </si>
  <si>
    <t>sp|Q9UII2|ATIF1_HUMAN</t>
  </si>
  <si>
    <t>ATPase inhibitor, mitochondrial OS=Homo sapiens OX=9606 GN=ATP5IF1 PE=1 SV=1</t>
  </si>
  <si>
    <t>ident:84/99 pos:91/99 query:99 hit:106 align:102 bit:162.9</t>
  </si>
  <si>
    <t>sp|Q8WZ42|TITIN_HUMAN</t>
  </si>
  <si>
    <t>Titin OS=Homo sapiens OX=9606 GN=TTN PE=1 SV=4</t>
  </si>
  <si>
    <t>ident:21851/34239 pos:22572/34239 query:34239 hit:34350 align:23335 bit:44359.6</t>
  </si>
  <si>
    <t>sp|Q9NYU2|UGGG1_HUMAN</t>
  </si>
  <si>
    <t>UDP-glucose:glycoprotein glucosyltransferase 1 OS=Homo sapiens OX=9606 GN=UGGT1 PE=1 SV=3</t>
  </si>
  <si>
    <t>ident:1463/1542 pos:1501/1542 query:1542 hit:1555 align:1557 bit:2949.5</t>
  </si>
  <si>
    <t>sp|P08572|CO4A2_HUMAN</t>
  </si>
  <si>
    <t>Collagen alpha-2(IV) chain OS=Homo sapiens OX=9606 GN=COL4A2 PE=1 SV=4</t>
  </si>
  <si>
    <t>ident:1244/1592 pos:1329/1592 query:1592 hit:1712 align:1559 bit:1736.8</t>
  </si>
  <si>
    <t>ident:235/274 pos:243/274 query:274 hit:320 align:275 bit:377.1</t>
  </si>
  <si>
    <t>XP_027446567.1</t>
  </si>
  <si>
    <t>sp|Q15111|PLCL1_HUMAN</t>
  </si>
  <si>
    <t>Inactive phospholipase C-like protein 1 OS=Homo sapiens OX=9606 GN=PLCL1 PE=1 SV=3</t>
  </si>
  <si>
    <t>ident:1063/1096 pos:1079/1096 query:1096 hit:1095 align:1096 bit:2209.9</t>
  </si>
  <si>
    <t>sp|Q9NQX7|ITM2C_HUMAN</t>
  </si>
  <si>
    <t>Integral membrane protein 2C OS=Homo sapiens OX=9606 GN=ITM2C PE=1 SV=1</t>
  </si>
  <si>
    <t>ident:253/265 pos:259/265 query:265 hit:267 align:267 bit:483.0</t>
  </si>
  <si>
    <t>XP_027446654.1</t>
  </si>
  <si>
    <t>sp|O75084|FZD7_HUMAN</t>
  </si>
  <si>
    <t>Frizzled-7 OS=Homo sapiens OX=9606 GN=FZD7 PE=1 SV=2</t>
  </si>
  <si>
    <t>ident:562/574 pos:566/574 query:574 hit:574 align:574 bit:1156.3</t>
  </si>
  <si>
    <t>sp|Q92575|UBXN4_HUMAN</t>
  </si>
  <si>
    <t>UBX domain-containing protein 4 OS=Homo sapiens OX=9606 GN=UBXN4 PE=1 SV=2</t>
  </si>
  <si>
    <t>ident:469/507 pos:480/507 query:507 hit:508 align:508 bit:873.6</t>
  </si>
  <si>
    <t>XP_027446782.1</t>
  </si>
  <si>
    <t>sp|Q15063|POSTN_HUMAN</t>
  </si>
  <si>
    <t>Periostin OS=Homo sapiens OX=9606 GN=POSTN PE=1 SV=2</t>
  </si>
  <si>
    <t>ident:800/836 pos:823/836 query:836 hit:836 align:836 bit:1643.2</t>
  </si>
  <si>
    <t>XP_027446784.1</t>
  </si>
  <si>
    <t>ident:773/808 pos:796/808 query:808 hit:836 align:836 bit:1574.3</t>
  </si>
  <si>
    <t>sp|Q14393|GAS6_HUMAN</t>
  </si>
  <si>
    <t>Growth arrest-specific protein 6 OS=Homo sapiens OX=9606 GN=GAS6 PE=1 SV=3</t>
  </si>
  <si>
    <t>ident:538/674 pos:582/674 query:674 hit:678 align:637 bit:1140.2</t>
  </si>
  <si>
    <t>sp|P27487|DPP4_HUMAN</t>
  </si>
  <si>
    <t>Dipeptidyl peptidase 4 OS=Homo sapiens OX=9606 GN=DPP4 PE=1 SV=2</t>
  </si>
  <si>
    <t>ident:680/765 pos:721/765 query:765 hit:766 align:766 bit:1423.7</t>
  </si>
  <si>
    <t>sp|Q9NR71|ASAH2_HUMAN</t>
  </si>
  <si>
    <t>Neutral ceramidase OS=Homo sapiens OX=9606 GN=ASAH2 PE=1 SV=2</t>
  </si>
  <si>
    <t>ident:635/748 pos:684/748 query:748 hit:780 align:779 bit:1328.2</t>
  </si>
  <si>
    <t>sp|P18065|IBP2_HUMAN</t>
  </si>
  <si>
    <t>Insulin-like growth factor-binding protein 2 OS=Homo sapiens OX=9606 GN=IGFBP2 PE=1 SV=2</t>
  </si>
  <si>
    <t>ident:268/327 pos:275/327 query:327 hit:325 align:294 bit:518.5</t>
  </si>
  <si>
    <t>XP_027446981.1</t>
  </si>
  <si>
    <t>sp|P01275|GLUC_HUMAN</t>
  </si>
  <si>
    <t>Glucagon OS=Homo sapiens OX=9606 GN=GCG PE=1 SV=3</t>
  </si>
  <si>
    <t>ident:168/180 pos:175/180 query:180 hit:180 align:180 bit:354.8</t>
  </si>
  <si>
    <t>sp|Q9Y2Z0|SGT1_HUMAN</t>
  </si>
  <si>
    <t>Protein SGT1 homolog OS=Homo sapiens OX=9606 GN=SUGT1 PE=1 SV=3</t>
  </si>
  <si>
    <t>ident:299/337 pos:312/337 query:337 hit:365 align:358 bit:575.5</t>
  </si>
  <si>
    <t>XP_027447042.1</t>
  </si>
  <si>
    <t>tubulin alpha-4A chain isoform X2 [Zalophus californianus]</t>
  </si>
  <si>
    <t>sp|P68366|TBA4A_HUMAN</t>
  </si>
  <si>
    <t>Tubulin alpha-4A chain OS=Homo sapiens OX=9606 GN=TUBA4A PE=1 SV=1</t>
  </si>
  <si>
    <t>ident:447/487 pos:447/487 query:487 hit:448 align:447 bit:937.2</t>
  </si>
  <si>
    <t>sp|Q9H987|SYP2L_HUMAN</t>
  </si>
  <si>
    <t>Synaptopodin 2-like protein OS=Homo sapiens OX=9606 GN=SYNPO2L PE=2 SV=3</t>
  </si>
  <si>
    <t>ident:898/970 pos:915/970 query:970 hit:977 align:981 bit:1464.1</t>
  </si>
  <si>
    <t>secreted frizzled-related protein 3 [Zalophus californianus]</t>
  </si>
  <si>
    <t>sp|Q92765|SFRP3_HUMAN</t>
  </si>
  <si>
    <t>Secreted frizzled-related protein 3 OS=Homo sapiens OX=9606 GN=FRZB PE=1 SV=2</t>
  </si>
  <si>
    <t>ident:314/325 pos:322/325 query:325 hit:325 align:325 bit:655.6</t>
  </si>
  <si>
    <t>XP_027447124.1</t>
  </si>
  <si>
    <t>sp|Q15714|T22D1_HUMAN</t>
  </si>
  <si>
    <t>TSC22 domain family protein 1 OS=Homo sapiens OX=9606 GN=TSC22D1 PE=1 SV=3</t>
  </si>
  <si>
    <t>ident:932/1047 pos:960/1047 query:1047 hit:1073 align:1074 bit:1427.5</t>
  </si>
  <si>
    <t>XP_027447165.1</t>
  </si>
  <si>
    <t>sp|P04070|PROC_HUMAN</t>
  </si>
  <si>
    <t>Vitamin K-dependent protein C OS=Homo sapiens OX=9606 GN=PROC PE=1 SV=1</t>
  </si>
  <si>
    <t>ident:368/477 pos:401/477 query:477 hit:461 align:461 bit:771.9</t>
  </si>
  <si>
    <t>60 kDa heat shock protein, mitochondrial [Zalophus californianus]</t>
  </si>
  <si>
    <t>sp|P10809|CH60_HUMAN</t>
  </si>
  <si>
    <t>60 kDa heat shock protein, mitochondrial OS=Homo sapiens OX=9606 GN=HSPD1 PE=1 SV=2</t>
  </si>
  <si>
    <t>ident:562/573 pos:567/573 query:573 hit:573 align:573 bit:1124.0</t>
  </si>
  <si>
    <t>sp|P61604|CH10_HUMAN</t>
  </si>
  <si>
    <t>10 kDa heat shock protein, mitochondrial OS=Homo sapiens OX=9606 GN=HSPE1 PE=1 SV=2</t>
  </si>
  <si>
    <t>ident:102/102 pos:102/102 query:102 hit:102 align:102 bit:199.5</t>
  </si>
  <si>
    <t>XP_027447263.1</t>
  </si>
  <si>
    <t>sp|Q13873|BMPR2_HUMAN</t>
  </si>
  <si>
    <t>Bone morphogenetic protein receptor type-2 OS=Homo sapiens OX=9606 GN=BMPR2 PE=1 SV=2</t>
  </si>
  <si>
    <t>ident:1008/1038 pos:1015/1038 query:1038 hit:1038 align:1038 bit:2105.5</t>
  </si>
  <si>
    <t>sp|P54315|LIPR1_HUMAN</t>
  </si>
  <si>
    <t>Inactive pancreatic lipase-related protein 1 OS=Homo sapiens OX=9606 GN=PNLIPRP1 PE=1 SV=1</t>
  </si>
  <si>
    <t>ident:385/467 pos:425/467 query:467 hit:467 align:467 bit:835.1</t>
  </si>
  <si>
    <t>XP_027447375.1</t>
  </si>
  <si>
    <t>shootin-1 isoform X1 [Zalophus californianus]</t>
  </si>
  <si>
    <t>sp|A0MZ66|SHOT1_HUMAN</t>
  </si>
  <si>
    <t>Shootin-1 OS=Homo sapiens OX=9606 GN=SHTN1 PE=1 SV=4</t>
  </si>
  <si>
    <t>ident:535/663 pos:560/663 query:663 hit:631 align:594 bit:974.9</t>
  </si>
  <si>
    <t>XP_027447486.1</t>
  </si>
  <si>
    <t>sp|Q9Y600|CSAD_HUMAN</t>
  </si>
  <si>
    <t>Cysteine sulfinic acid decarboxylase OS=Homo sapiens OX=9606 GN=CSAD PE=1 SV=2</t>
  </si>
  <si>
    <t>ident:390/449 pos:409/449 query:449 hit:493 align:493 bit:778.5</t>
  </si>
  <si>
    <t>XP_027447613.1</t>
  </si>
  <si>
    <t>sp|P78371|TCPB_HUMAN</t>
  </si>
  <si>
    <t>T-complex protein 1 subunit beta OS=Homo sapiens OX=9606 GN=CCT2 PE=1 SV=4</t>
  </si>
  <si>
    <t>ident:526/535 pos:535/535 query:535 hit:535 align:535 bit:1072.4</t>
  </si>
  <si>
    <t>XP_027447617.1</t>
  </si>
  <si>
    <t>sp|P45974|UBP5_HUMAN</t>
  </si>
  <si>
    <t>Ubiquitin carboxyl-terminal hydrolase 5 OS=Homo sapiens OX=9606 GN=USP5 PE=1 SV=2</t>
  </si>
  <si>
    <t>ident:841/891 pos:848/891 query:891 hit:858 align:858 bit:1747.6</t>
  </si>
  <si>
    <t>sp|P18669|PGAM1_HUMAN</t>
  </si>
  <si>
    <t>Phosphoglycerate mutase 1 OS=Homo sapiens OX=9606 GN=PGAM1 PE=1 SV=2</t>
  </si>
  <si>
    <t>ident:251/254 pos:252/254 query:254 hit:254 align:254 bit:522.7</t>
  </si>
  <si>
    <t>sp|P60174|TPIS_HUMAN</t>
  </si>
  <si>
    <t>Triosephosphate isomerase OS=Homo sapiens OX=9606 GN=TPI1 PE=1 SV=3</t>
  </si>
  <si>
    <t>ident:270/286 pos:276/286 query:286 hit:286 align:286 bit:554.3</t>
  </si>
  <si>
    <t>sp|P50502|F10A1_HUMAN</t>
  </si>
  <si>
    <t>Hsc70-interacting protein OS=Homo sapiens OX=9606 GN=ST13 PE=1 SV=2</t>
  </si>
  <si>
    <t>ident:354/369 pos:360/369 query:369 hit:369 align:369 bit:605.9</t>
  </si>
  <si>
    <t>XP_027447790.1</t>
  </si>
  <si>
    <t>sp|Q16881|TRXR1_HUMAN</t>
  </si>
  <si>
    <t>Thioredoxin reductase 1, cytoplasmic OS=Homo sapiens OX=9606 GN=TXNRD1 PE=1 SV=3</t>
  </si>
  <si>
    <t>ident:479/610 pos:497/610 query:610 hit:649 align:509 bit:973.8</t>
  </si>
  <si>
    <t>sp|P35579|MYH9_HUMAN</t>
  </si>
  <si>
    <t>Myosin-9 OS=Homo sapiens OX=9606 GN=MYH9 PE=1 SV=4</t>
  </si>
  <si>
    <t>ident:1924/1960 pos:1943/1960 query:1960 hit:1960 align:1960 bit:3897.8</t>
  </si>
  <si>
    <t>sp|Q07954|LRP1_HUMAN</t>
  </si>
  <si>
    <t>Prolow-density lipoprotein receptor-related protein 1 OS=Homo sapiens OX=9606 GN=LRP1 PE=1 SV=2</t>
  </si>
  <si>
    <t>ident:4478/4544 pos:4513/4544 query:4544 hit:4544 align:4544 bit:9290.6</t>
  </si>
  <si>
    <t>XP_027447877.1</t>
  </si>
  <si>
    <t>ADP-sugar pyrophosphatase isoform X1 [Zalophus californianus]</t>
  </si>
  <si>
    <t>sp|Q9UKK9|NUDT5_HUMAN</t>
  </si>
  <si>
    <t>ADP-sugar pyrophosphatase OS=Homo sapiens OX=9606 GN=NUDT5 PE=1 SV=1</t>
  </si>
  <si>
    <t>ident:200/219 pos:209/219 query:219 hit:219 align:219 bit:421.8</t>
  </si>
  <si>
    <t>XP_027447957.1</t>
  </si>
  <si>
    <t>poly(rC)-binding protein 2 isoform X1 [Zalophus californianus]</t>
  </si>
  <si>
    <t>sp|Q15366|PCBP2_HUMAN</t>
  </si>
  <si>
    <t>Poly(rC)-binding protein 2 OS=Homo sapiens OX=9606 GN=PCBP2 PE=1 SV=1</t>
  </si>
  <si>
    <t>ident:365/366 pos:365/366 query:366 hit:365 align:366 bit:738.0</t>
  </si>
  <si>
    <t>sp|Q14520|HABP2_HUMAN</t>
  </si>
  <si>
    <t>Hyaluronan-binding protein 2 OS=Homo sapiens OX=9606 GN=HABP2 PE=1 SV=1</t>
  </si>
  <si>
    <t>ident:472/558 pos:507/558 query:558 hit:560 align:560 bit:1008.8</t>
  </si>
  <si>
    <t>sp|P39023|RL3_HUMAN</t>
  </si>
  <si>
    <t>60S ribosomal protein L3 OS=Homo sapiens OX=9606 GN=RPL3 PE=1 SV=2</t>
  </si>
  <si>
    <t>ident:398/403 pos:402/403 query:403 hit:403 align:403 bit:822.8</t>
  </si>
  <si>
    <t>nascent polypeptide-associated complex subunit alpha [Zalophus californianus]</t>
  </si>
  <si>
    <t>sp|Q9BZK3|NACP4_HUMAN</t>
  </si>
  <si>
    <t>Putative nascent polypeptide-associated complex subunit alpha-like protein OS=Homo sapiens OX=9606 GN=NACA4P PE=5 SV=1</t>
  </si>
  <si>
    <t>ident:193/215 pos:200/215 query:215 hit:213 align:215 bit:372.1</t>
  </si>
  <si>
    <t>XP_027448059.1</t>
  </si>
  <si>
    <t>sp|P33176|KINH_HUMAN</t>
  </si>
  <si>
    <t>Kinesin-1 heavy chain OS=Homo sapiens OX=9606 GN=KIF5B PE=1 SV=1</t>
  </si>
  <si>
    <t>ident:950/963 pos:956/963 query:963 hit:963 align:963 bit:1961.8</t>
  </si>
  <si>
    <t>ras-related protein Rab-5B [Zalophus californianus]</t>
  </si>
  <si>
    <t>sp|P61020|RAB5B_HUMAN</t>
  </si>
  <si>
    <t>Ras-related protein Rab-5B OS=Homo sapiens OX=9606 GN=RAB5B PE=1 SV=1</t>
  </si>
  <si>
    <t>ident:215/215 pos:215/215 query:215 hit:215 align:215 bit:450.7</t>
  </si>
  <si>
    <t>sp|P05556|ITB1_HUMAN</t>
  </si>
  <si>
    <t>Integrin beta-1 OS=Homo sapiens OX=9606 GN=ITGB1 PE=1 SV=2</t>
  </si>
  <si>
    <t>ident:760/798 pos:780/798 query:798 hit:798 align:798 bit:1550.0</t>
  </si>
  <si>
    <t>sp|P61224|RAP1B_HUMAN</t>
  </si>
  <si>
    <t>Ras-related protein Rap-1b OS=Homo sapiens OX=9606 GN=RAP1B PE=1 SV=1</t>
  </si>
  <si>
    <t>ident:182/184 pos:183/184 query:184 hit:184 align:184 bit:377.1</t>
  </si>
  <si>
    <t>sp|P82979|SARNP_HUMAN</t>
  </si>
  <si>
    <t>SAP domain-containing ribonucleoprotein OS=Homo sapiens OX=9606 GN=SARNP PE=1 SV=3</t>
  </si>
  <si>
    <t>ident:204/210 pos:207/210 query:210 hit:210 align:210 bit:403.7</t>
  </si>
  <si>
    <t>sp|P16989|YBOX3_HUMAN</t>
  </si>
  <si>
    <t>Y-box-binding protein 3 OS=Homo sapiens OX=9606 GN=YBX3 PE=1 SV=4</t>
  </si>
  <si>
    <t>ident:268/310 pos:275/310 query:310 hit:372 align:381 bit:317.4</t>
  </si>
  <si>
    <t>XP_027448211.1</t>
  </si>
  <si>
    <t>sp|Q16527|CSRP2_HUMAN</t>
  </si>
  <si>
    <t>Cysteine and glycine-rich protein 2 OS=Homo sapiens OX=9606 GN=CSRP2 PE=1 SV=3</t>
  </si>
  <si>
    <t>ident:191/221 pos:192/221 query:221 hit:193 align:221 bit:381.7</t>
  </si>
  <si>
    <t>sp|P09960|LKHA4_HUMAN</t>
  </si>
  <si>
    <t>Leukotriene A-4 hydrolase OS=Homo sapiens OX=9606 GN=LTA4H PE=1 SV=2</t>
  </si>
  <si>
    <t>ident:576/611 pos:596/611 query:611 hit:611 align:611 bit:1218.0</t>
  </si>
  <si>
    <t>sp|Q9Y3I0|RTCB_HUMAN</t>
  </si>
  <si>
    <t>tRNA-splicing ligase RtcB homolog OS=Homo sapiens OX=9606 GN=RTCB PE=1 SV=1</t>
  </si>
  <si>
    <t>ident:503/505 pos:505/505 query:505 hit:505 align:505 bit:1049.3</t>
  </si>
  <si>
    <t>sp|E9PAV3|NACAM_HUMAN</t>
  </si>
  <si>
    <t>Nascent polypeptide-associated complex subunit alpha, muscle-specific form OS=Homo sapiens OX=9606 GN=NACA PE=1 SV=1</t>
  </si>
  <si>
    <t>ident:756/1191 pos:827/1191 query:1191 hit:2078 align:1252 bit:912.9</t>
  </si>
  <si>
    <t>XP_027448319.1</t>
  </si>
  <si>
    <t>sp|O14974|MYPT1_HUMAN</t>
  </si>
  <si>
    <t>Protein phosphatase 1 regulatory subunit 12A OS=Homo sapiens OX=9606 GN=PPP1R12A PE=1 SV=1</t>
  </si>
  <si>
    <t>ident:1010/1029 pos:1024/1029 query:1029 hit:1030 align:1030 bit:2064.7</t>
  </si>
  <si>
    <t>sp|P14649|MYL6B_HUMAN</t>
  </si>
  <si>
    <t>Myosin light chain 6B OS=Homo sapiens OX=9606 GN=MYL6B PE=1 SV=1</t>
  </si>
  <si>
    <t>ident:192/209 pos:197/209 query:209 hit:208 align:210 bit:365.9</t>
  </si>
  <si>
    <t>XP_027448342.1</t>
  </si>
  <si>
    <t>sp|P60660|MYL6_HUMAN</t>
  </si>
  <si>
    <t>Myosin light polypeptide 6 OS=Homo sapiens OX=9606 GN=MYL6 PE=1 SV=2</t>
  </si>
  <si>
    <t>ident:145/160 pos:147/160 query:160 hit:151 align:150 bit:300.8</t>
  </si>
  <si>
    <t>XP_027448365.1</t>
  </si>
  <si>
    <t>sp|Q86VP6|CAND1_HUMAN</t>
  </si>
  <si>
    <t>Cullin-associated NEDD8-dissociated protein 1 OS=Homo sapiens OX=9606 GN=CAND1 PE=1 SV=2</t>
  </si>
  <si>
    <t>ident:1230/1230 pos:1230/1230 query:1230 hit:1230 align:1230 bit:2516.5</t>
  </si>
  <si>
    <t>XP_027448401.1</t>
  </si>
  <si>
    <t>sp|P23588|IF4B_HUMAN</t>
  </si>
  <si>
    <t>Eukaryotic translation initiation factor 4B OS=Homo sapiens OX=9606 GN=EIF4B PE=1 SV=2</t>
  </si>
  <si>
    <t>ident:584/616 pos:595/616 query:616 hit:611 align:617 bit:1015.0</t>
  </si>
  <si>
    <t>sp|P21695|GPDA_HUMAN</t>
  </si>
  <si>
    <t>Glycerol-3-phosphate dehydrogenase [NAD(+)], cytoplasmic OS=Homo sapiens OX=9606 GN=GPD1 PE=1 SV=4</t>
  </si>
  <si>
    <t>ident:322/349 pos:337/349 query:349 hit:349 align:349 bit:669.1</t>
  </si>
  <si>
    <t>XP_027448459.1</t>
  </si>
  <si>
    <t>sp|P42166|LAP2A_HUMAN</t>
  </si>
  <si>
    <t>Lamina-associated polypeptide 2, isoform alpha OS=Homo sapiens OX=9606 GN=TMPO PE=1 SV=2</t>
  </si>
  <si>
    <t>ident:178/454 pos:180/454 query:454 hit:694 align:186 bit:316.2</t>
  </si>
  <si>
    <t>XP_027448589.1</t>
  </si>
  <si>
    <t>sp|P36543|VATE1_HUMAN</t>
  </si>
  <si>
    <t>V-type proton ATPase subunit E 1 OS=Homo sapiens OX=9606 GN=ATP6V1E1 PE=1 SV=1</t>
  </si>
  <si>
    <t>ident:222/226 pos:225/226 query:226 hit:226 align:226 bit:448.0</t>
  </si>
  <si>
    <t>sp|Q02790|FKBP4_HUMAN</t>
  </si>
  <si>
    <t>Peptidyl-prolyl cis-trans isomerase FKBP4 OS=Homo sapiens OX=9606 GN=FKBP4 PE=1 SV=3</t>
  </si>
  <si>
    <t>ident:426/459 pos:449/459 query:459 hit:459 align:459 bit:896.0</t>
  </si>
  <si>
    <t>XP_027448676.1</t>
  </si>
  <si>
    <t>sp|Q16762|THTR_HUMAN</t>
  </si>
  <si>
    <t>Thiosulfate sulfurtransferase OS=Homo sapiens OX=9606 GN=TST PE=1 SV=4</t>
  </si>
  <si>
    <t>ident:272/362 pos:285/362 query:362 hit:297 align:297 bit:569.3</t>
  </si>
  <si>
    <t>sp|P25325|THTM_HUMAN</t>
  </si>
  <si>
    <t>3-mercaptopyruvate sulfurtransferase OS=Homo sapiens OX=9606 GN=MPST PE=1 SV=3</t>
  </si>
  <si>
    <t>ident:268/320 pos:279/320 query:320 hit:297 align:297 bit:555.8</t>
  </si>
  <si>
    <t>XP_027448682.1</t>
  </si>
  <si>
    <t>sp|P36896|ACV1B_HUMAN</t>
  </si>
  <si>
    <t>Activin receptor type-1B OS=Homo sapiens OX=9606 GN=ACVR1B PE=1 SV=1</t>
  </si>
  <si>
    <t>ident:497/505 pos:502/505 query:505 hit:505 align:505 bit:1042.3</t>
  </si>
  <si>
    <t>plexin-B2 [Zalophus californianus]</t>
  </si>
  <si>
    <t>sp|O15031|PLXB2_HUMAN</t>
  </si>
  <si>
    <t>Plexin-B2 OS=Homo sapiens OX=9606 GN=PLXNB2 PE=1 SV=3</t>
  </si>
  <si>
    <t>ident:1646/1841 pos:1721/1841 query:1841 hit:1838 align:1841 bit:3411.7</t>
  </si>
  <si>
    <t>sp|Q9NP61|ARFG3_HUMAN</t>
  </si>
  <si>
    <t>ADP-ribosylation factor GTPase-activating protein 3 OS=Homo sapiens OX=9606 GN=ARFGAP3 PE=1 SV=1</t>
  </si>
  <si>
    <t>ident:454/517 pos:483/517 query:517 hit:516 align:517 bit:874.8</t>
  </si>
  <si>
    <t>sp|Q6UX71|PXDC2_HUMAN</t>
  </si>
  <si>
    <t>Plexin domain-containing protein 2 OS=Homo sapiens OX=9606 GN=PLXDC2 PE=1 SV=1</t>
  </si>
  <si>
    <t>ident:490/529 pos:509/529 query:529 hit:529 align:529 bit:994.2</t>
  </si>
  <si>
    <t>XP_027448840.1</t>
  </si>
  <si>
    <t>GTPase KRas isoform X1 [Zalophus californianus]</t>
  </si>
  <si>
    <t>sp|P01116|RASK_HUMAN</t>
  </si>
  <si>
    <t>GTPase KRas OS=Homo sapiens OX=9606 GN=KRAS PE=1 SV=1</t>
  </si>
  <si>
    <t>ident:187/189 pos:189/189 query:189 hit:189 align:189 bit:389.4</t>
  </si>
  <si>
    <t>XP_027448848.1</t>
  </si>
  <si>
    <t>sp|P61204|ARF3_HUMAN</t>
  </si>
  <si>
    <t>ADP-ribosylation factor 3 OS=Homo sapiens OX=9606 GN=ARF3 PE=1 SV=2</t>
  </si>
  <si>
    <t>ident:181/181 pos:181/181 query:181 hit:181 align:181 bit:373.2</t>
  </si>
  <si>
    <t>XP_027448857.1</t>
  </si>
  <si>
    <t>sp|Q9BSJ8|ESYT1_HUMAN</t>
  </si>
  <si>
    <t>Extended synaptotagmin-1 OS=Homo sapiens OX=9606 GN=ESYT1 PE=1 SV=1</t>
  </si>
  <si>
    <t>ident:999/1100 pos:1052/1100 query:1100 hit:1104 align:1104 bit:1922.9</t>
  </si>
  <si>
    <t>XP_027448885.1</t>
  </si>
  <si>
    <t>sp|Q13361|MFAP5_HUMAN</t>
  </si>
  <si>
    <t>Microfibrillar-associated protein 5 OS=Homo sapiens OX=9606 GN=MFAP5 PE=1 SV=1</t>
  </si>
  <si>
    <t>ident:144/170 pos:153/170 query:170 hit:173 align:173 bit:298.9</t>
  </si>
  <si>
    <t>XP_027448949.1</t>
  </si>
  <si>
    <t>sp|P37023|ACVL1_HUMAN</t>
  </si>
  <si>
    <t>Serine/threonine-protein kinase receptor R3 OS=Homo sapiens OX=9606 GN=ACVRL1 PE=1 SV=2</t>
  </si>
  <si>
    <t>ident:475/558 pos:485/558 query:558 hit:503 align:504 bit:953.0</t>
  </si>
  <si>
    <t>sp|P00367|DHE3_HUMAN</t>
  </si>
  <si>
    <t>Glutamate dehydrogenase 1, mitochondrial OS=Homo sapiens OX=9606 GN=GLUD1 PE=1 SV=2</t>
  </si>
  <si>
    <t>ident:546/559 pos:550/559 query:559 hit:558 align:559 bit:1129.0</t>
  </si>
  <si>
    <t>XP_027449050.1</t>
  </si>
  <si>
    <t>sp|P07602|SAP_HUMAN</t>
  </si>
  <si>
    <t>Prosaposin OS=Homo sapiens OX=9606 GN=PSAP PE=1 SV=2</t>
  </si>
  <si>
    <t>ident:448/527 pos:488/527 query:527 hit:524 align:527 bit:910.6</t>
  </si>
  <si>
    <t>XP_027449053.1</t>
  </si>
  <si>
    <t>protein kinase C and casein kinase substrate in neurons protein 2 isoform X1 [Zalophus californianus]</t>
  </si>
  <si>
    <t>sp|Q9UNF0|PACN2_HUMAN</t>
  </si>
  <si>
    <t>Protein kinase C and casein kinase substrate in neurons protein 2 OS=Homo sapiens OX=9606 GN=PACSIN2 PE=1 SV=2</t>
  </si>
  <si>
    <t>ident:446/488 pos:465/488 query:488 hit:486 align:488 bit:909.1</t>
  </si>
  <si>
    <t>sp|P08670|VIME_HUMAN</t>
  </si>
  <si>
    <t>Vimentin OS=Homo sapiens OX=9606 GN=VIM PE=1 SV=4</t>
  </si>
  <si>
    <t>ident:452/466 pos:461/466 query:466 hit:466 align:466 bit:921.0</t>
  </si>
  <si>
    <t>MANSC domain-containing protein 1 [Zalophus californianus]</t>
  </si>
  <si>
    <t>sp|Q9H8J5|MANS1_HUMAN</t>
  </si>
  <si>
    <t>MANSC domain-containing protein 1 OS=Homo sapiens OX=9606 GN=MANSC1 PE=2 SV=1</t>
  </si>
  <si>
    <t>ident:298/443 pos:337/443 query:443 hit:431 align:445 bit:532.3</t>
  </si>
  <si>
    <t>contactin-1 isoform X1 [Zalophus californianus]</t>
  </si>
  <si>
    <t>sp|Q12860|CNTN1_HUMAN</t>
  </si>
  <si>
    <t>Contactin-1 OS=Homo sapiens OX=9606 GN=CNTN1 PE=1 SV=1</t>
  </si>
  <si>
    <t>ident:986/1018 pos:1001/1018 query:1018 hit:1018 align:1016 bit:2055.8</t>
  </si>
  <si>
    <t>sp|Q15185|TEBP_HUMAN</t>
  </si>
  <si>
    <t>Prostaglandin E synthase 3 OS=Homo sapiens OX=9606 GN=PTGES3 PE=1 SV=1</t>
  </si>
  <si>
    <t>ident:160/160 pos:160/160 query:160 hit:160 align:160 bit:325.9</t>
  </si>
  <si>
    <t>sp|P02458|CO2A1_HUMAN</t>
  </si>
  <si>
    <t>Collagen alpha-1(II) chain OS=Homo sapiens OX=9606 GN=COL2A1 PE=1 SV=3</t>
  </si>
  <si>
    <t>ident:1461/1487 pos:1475/1487 query:1487 hit:1487 align:1487 bit:2639.4</t>
  </si>
  <si>
    <t>sp|P51884|LUM_HUMAN</t>
  </si>
  <si>
    <t>Lumican OS=Homo sapiens OX=9606 GN=LUM PE=1 SV=2</t>
  </si>
  <si>
    <t>ident:306/338 pos:327/338 query:338 hit:338 align:338 bit:638.3</t>
  </si>
  <si>
    <t>XP_027449213.1</t>
  </si>
  <si>
    <t>sp|Q9UBW5|BIN2_HUMAN</t>
  </si>
  <si>
    <t>Bridging integrator 2 OS=Homo sapiens OX=9606 GN=BIN2 PE=1 SV=3</t>
  </si>
  <si>
    <t>ident:447/555 pos:486/555 query:555 hit:565 align:550 bit:782.3</t>
  </si>
  <si>
    <t>sp|P61626|LYSC_HUMAN</t>
  </si>
  <si>
    <t>Lysozyme C OS=Homo sapiens OX=9606 GN=LYZ PE=1 SV=1</t>
  </si>
  <si>
    <t>ident:77/148 pos:98/148 query:148 hit:148 align:145 bit:164.5</t>
  </si>
  <si>
    <t>sp|Q8N6N7|ACBD7_HUMAN</t>
  </si>
  <si>
    <t>Acyl-CoA-binding domain-containing protein 7 OS=Homo sapiens OX=9606 GN=ACBD7 PE=1 SV=1</t>
  </si>
  <si>
    <t>ident:75/89 pos:79/89 query:89 hit:88 align:87 bit:153.7</t>
  </si>
  <si>
    <t>sp|P61088|UBE2N_HUMAN</t>
  </si>
  <si>
    <t>Ubiquitin-conjugating enzyme E2 N OS=Homo sapiens OX=9606 GN=UBE2N PE=1 SV=1</t>
  </si>
  <si>
    <t>ident:152/152 pos:152/152 query:152 hit:152 align:152 bit:314.3</t>
  </si>
  <si>
    <t>XP_027449451.1</t>
  </si>
  <si>
    <t>sp|A0A024RBG1|NUD4B_HUMAN</t>
  </si>
  <si>
    <t>Diphosphoinositol polyphosphate phosphohydrolase NUDT4B OS=Homo sapiens OX=9606 GN=NUDT4B PE=3 SV=1</t>
  </si>
  <si>
    <t>ident:178/181 pos:179/181 query:181 hit:181 align:181 bit:374.8</t>
  </si>
  <si>
    <t>sp|P19438|TNR1A_HUMAN</t>
  </si>
  <si>
    <t>Tumor necrosis factor receptor superfamily member 1A OS=Homo sapiens OX=9606 GN=TNFRSF1A PE=1 SV=1</t>
  </si>
  <si>
    <t>ident:335/445 pos:369/445 query:445 hit:455 align:459 bit:620.5</t>
  </si>
  <si>
    <t>sp|Q9Y512|SAM50_HUMAN</t>
  </si>
  <si>
    <t>Sorting and assembly machinery component 50 homolog OS=Homo sapiens OX=9606 GN=SAMM50 PE=1 SV=3</t>
  </si>
  <si>
    <t>ident:453/469 pos:463/469 query:469 hit:469 align:469 bit:943.3</t>
  </si>
  <si>
    <t>sp|P14625|ENPL_HUMAN</t>
  </si>
  <si>
    <t>Endoplasmin OS=Homo sapiens OX=9606 GN=HSP90B1 PE=1 SV=1</t>
  </si>
  <si>
    <t>ident:788/803 pos:797/803 query:803 hit:803 align:804 bit:1607.0</t>
  </si>
  <si>
    <t>sp|P19823|ITIH2_HUMAN</t>
  </si>
  <si>
    <t>Inter-alpha-trypsin inhibitor heavy chain H2 OS=Homo sapiens OX=9606 GN=ITIH2 PE=1 SV=2</t>
  </si>
  <si>
    <t>ident:818/946 pos:884/946 query:946 hit:946 align:946 bit:1731.5</t>
  </si>
  <si>
    <t>parathyroid hormone-related protein [Zalophus californianus]</t>
  </si>
  <si>
    <t>sp|P12272|PTHR_HUMAN</t>
  </si>
  <si>
    <t>Parathyroid hormone-related protein OS=Homo sapiens OX=9606 GN=PTHLH PE=1 SV=1</t>
  </si>
  <si>
    <t>ident:161/177 pos:165/177 query:177 hit:177 align:177 bit:273.1</t>
  </si>
  <si>
    <t>XP_027449566.1</t>
  </si>
  <si>
    <t>amiloride-sensitive sodium channel subunit alpha isoform X1 [Zalophus californianus]</t>
  </si>
  <si>
    <t>sp|P37088|SCNNA_HUMAN</t>
  </si>
  <si>
    <t>Amiloride-sensitive sodium channel subunit alpha OS=Homo sapiens OX=9606 GN=SCNN1A PE=1 SV=1</t>
  </si>
  <si>
    <t>ident:555/707 pos:578/707 query:707 hit:669 align:633 bit:1154.0</t>
  </si>
  <si>
    <t>XP_027449569.1</t>
  </si>
  <si>
    <t>sp|P36941|TNR3_HUMAN</t>
  </si>
  <si>
    <t>Tumor necrosis factor receptor superfamily member 3 OS=Homo sapiens OX=9606 GN=LTBR PE=1 SV=1</t>
  </si>
  <si>
    <t>ident:285/402 pos:318/402 query:402 hit:435 align:386 bit:518.5</t>
  </si>
  <si>
    <t>prohibitin-2 [Zalophus californianus]</t>
  </si>
  <si>
    <t>sp|Q99623|PHB2_HUMAN</t>
  </si>
  <si>
    <t>Prohibitin-2 OS=Homo sapiens OX=9606 GN=PHB2 PE=1 SV=2</t>
  </si>
  <si>
    <t>ident:297/299 pos:298/299 query:299 hit:299 align:299 bit:601.7</t>
  </si>
  <si>
    <t>XP_027449573.1</t>
  </si>
  <si>
    <t>voltage-dependent anion-selective channel protein 3 [Zalophus californianus]</t>
  </si>
  <si>
    <t>sp|Q9Y277|VDAC3_HUMAN</t>
  </si>
  <si>
    <t>Voltage-dependent anion-selective channel protein 3 OS=Homo sapiens OX=9606 GN=VDAC3 PE=1 SV=1</t>
  </si>
  <si>
    <t>ident:279/283 pos:281/283 query:283 hit:283 align:283 bit:568.9</t>
  </si>
  <si>
    <t>XP_027449625.1</t>
  </si>
  <si>
    <t>sp|P36542|ATPG_HUMAN</t>
  </si>
  <si>
    <t>ATP synthase subunit gamma, mitochondrial OS=Homo sapiens OX=9606 GN=ATP5F1C PE=1 SV=1</t>
  </si>
  <si>
    <t>ident:286/298 pos:293/298 query:298 hit:298 align:298 bit:589.0</t>
  </si>
  <si>
    <t>XP_027449647.1</t>
  </si>
  <si>
    <t>sp|O75600|KBL_HUMAN</t>
  </si>
  <si>
    <t>2-amino-3-ketobutyrate coenzyme A ligase, mitochondrial OS=Homo sapiens OX=9606 GN=GCAT PE=1 SV=1</t>
  </si>
  <si>
    <t>ident:355/385 pos:363/385 query:385 hit:419 align:419 bit:699.1</t>
  </si>
  <si>
    <t>sp|P08493|MGP_HUMAN</t>
  </si>
  <si>
    <t>Matrix Gla protein OS=Homo sapiens OX=9606 GN=MGP PE=1 SV=2</t>
  </si>
  <si>
    <t>ident:81/103 pos:93/103 query:103 hit:103 align:103 bit:161.4</t>
  </si>
  <si>
    <t>sp|Q9UI09|NDUAC_HUMAN</t>
  </si>
  <si>
    <t>NADH dehydrogenase [ubiquinone] 1 alpha subcomplex subunit 12 OS=Homo sapiens OX=9606 GN=NDUFA12 PE=1 SV=1</t>
  </si>
  <si>
    <t>ident:133/145 pos:140/145 query:145 hit:145 align:145 bit:287.3</t>
  </si>
  <si>
    <t>sp|P24592|IBP6_HUMAN</t>
  </si>
  <si>
    <t>Insulin-like growth factor-binding protein 6 OS=Homo sapiens OX=9606 GN=IGFBP6 PE=1 SV=1</t>
  </si>
  <si>
    <t>ident:185/287 pos:193/287 query:287 hit:240 align:218 bit:367.5</t>
  </si>
  <si>
    <t>sp|P26842|CD27_HUMAN</t>
  </si>
  <si>
    <t>CD27 antigen OS=Homo sapiens OX=9606 GN=CD27 PE=1 SV=2</t>
  </si>
  <si>
    <t>ident:193/261 pos:210/261 query:261 hit:260 align:258 bit:390.2</t>
  </si>
  <si>
    <t>XP_027449701.1</t>
  </si>
  <si>
    <t>sp|Q86VB7|C163A_HUMAN</t>
  </si>
  <si>
    <t>Scavenger receptor cysteine-rich type 1 protein M130 OS=Homo sapiens OX=9606 GN=CD163 PE=1 SV=2</t>
  </si>
  <si>
    <t>ident:929/1133 pos:1012/1133 query:1133 hit:1156 align:1139 bit:1912.1</t>
  </si>
  <si>
    <t>sp|P09871|C1S_HUMAN</t>
  </si>
  <si>
    <t>Complement C1s subcomponent OS=Homo sapiens OX=9606 GN=C1S PE=1 SV=1</t>
  </si>
  <si>
    <t>ident:560/695 pos:617/695 query:695 hit:688 align:689 bit:1181.4</t>
  </si>
  <si>
    <t>XP_027449712.1</t>
  </si>
  <si>
    <t>sp|Q12929|EPS8_HUMAN</t>
  </si>
  <si>
    <t>Epidermal growth factor receptor kinase substrate 8 OS=Homo sapiens OX=9606 GN=EPS8 PE=1 SV=1</t>
  </si>
  <si>
    <t>ident:761/820 pos:787/820 query:820 hit:822 align:822 bit:1442.9</t>
  </si>
  <si>
    <t>sp|P15586|GNS_HUMAN</t>
  </si>
  <si>
    <t>N-acetylglucosamine-6-sulfatase OS=Homo sapiens OX=9606 GN=GNS PE=1 SV=3</t>
  </si>
  <si>
    <t>ident:516/551 pos:528/551 query:551 hit:552 align:552 bit:1062.8</t>
  </si>
  <si>
    <t>XP_027449716.1</t>
  </si>
  <si>
    <t>sp|Q9NVZ3|NECP2_HUMAN</t>
  </si>
  <si>
    <t>Adaptin ear-binding coat-associated protein 2 OS=Homo sapiens OX=9606 GN=NECAP2 PE=1 SV=1</t>
  </si>
  <si>
    <t>ident:246/267 pos:253/267 query:267 hit:263 align:267 bit:494.6</t>
  </si>
  <si>
    <t>XP_027449744.1</t>
  </si>
  <si>
    <t>sp|Q96RJ3|TR13C_HUMAN</t>
  </si>
  <si>
    <t>Tumor necrosis factor receptor superfamily member 13C OS=Homo sapiens OX=9606 GN=TNFRSF13C PE=1 SV=1</t>
  </si>
  <si>
    <t>ident:132/213 pos:137/213 query:213 hit:184 align:217 bit:167.2</t>
  </si>
  <si>
    <t>sp|P01023|A2MG_HUMAN</t>
  </si>
  <si>
    <t>Alpha-2-macroglobulin OS=Homo sapiens OX=9606 GN=A2M PE=1 SV=3</t>
  </si>
  <si>
    <t>ident:899/1478 pos:1106/1478 query:1478 hit:1474 align:1463 bit:1780.0</t>
  </si>
  <si>
    <t>sp|P02144|MYG_HUMAN</t>
  </si>
  <si>
    <t>Myoglobin OS=Homo sapiens OX=9606 GN=MB PE=1 SV=2</t>
  </si>
  <si>
    <t>ident:135/163 pos:143/163 query:163 hit:154 align:154 bit:278.5</t>
  </si>
  <si>
    <t>XP_027449827.1</t>
  </si>
  <si>
    <t>phosphate carrier protein, mitochondrial isoform X1 [Zalophus californianus]</t>
  </si>
  <si>
    <t>sp|Q00325|MPCP_HUMAN</t>
  </si>
  <si>
    <t>Phosphate carrier protein, mitochondrial OS=Homo sapiens OX=9606 GN=SLC25A3 PE=1 SV=2</t>
  </si>
  <si>
    <t>ident:346/362 pos:349/362 query:362 hit:362 align:362 bit:665.6</t>
  </si>
  <si>
    <t>XP_027449870.1</t>
  </si>
  <si>
    <t>ident:1194/1480 pos:1320/1480 query:1480 hit:1474 align:1473 bit:2443.3</t>
  </si>
  <si>
    <t>XP_027449890.1</t>
  </si>
  <si>
    <t>sp|O75390|CISY_HUMAN</t>
  </si>
  <si>
    <t>Citrate synthase, mitochondrial OS=Homo sapiens OX=9606 GN=CS PE=1 SV=2</t>
  </si>
  <si>
    <t>ident:439/466 pos:446/466 query:466 hit:466 align:455 bit:919.1</t>
  </si>
  <si>
    <t>XP_027449895.1</t>
  </si>
  <si>
    <t>tr|F8W031|F8W031_HUMAN</t>
  </si>
  <si>
    <t>Uncharacterized protein (Fragment) OS=Homo sapiens OX=9606 PE=1 SV=1</t>
  </si>
  <si>
    <t>ident:165/195 pos:167/195 query:195 hit:263 align:168 bit:344.7</t>
  </si>
  <si>
    <t>60S ribosomal protein L10 [Zalophus californianus]</t>
  </si>
  <si>
    <t>sp|P27635|RL10_HUMAN</t>
  </si>
  <si>
    <t>60S ribosomal protein L10 OS=Homo sapiens OX=9606 GN=RPL10 PE=1 SV=4</t>
  </si>
  <si>
    <t>ident:214/214 pos:214/214 query:214 hit:214 align:214 bit:444.9</t>
  </si>
  <si>
    <t>sp|P23142|FBLN1_HUMAN</t>
  </si>
  <si>
    <t>Fibulin-1 OS=Homo sapiens OX=9606 GN=FBLN1 PE=1 SV=4</t>
  </si>
  <si>
    <t>ident:638/705 pos:668/705 query:705 hit:703 align:706 bit:1279.2</t>
  </si>
  <si>
    <t>ident:542/685 pos:584/685 query:685 hit:703 align:702 bit:1028.8</t>
  </si>
  <si>
    <t>XP_027449909.1</t>
  </si>
  <si>
    <t>sp|Q9UHB6|LIMA1_HUMAN</t>
  </si>
  <si>
    <t>LIM domain and actin-binding protein 1 OS=Homo sapiens OX=9606 GN=LIMA1 PE=1 SV=1</t>
  </si>
  <si>
    <t>ident:626/758 pos:678/758 query:758 hit:759 align:759 bit:1250.3</t>
  </si>
  <si>
    <t>XP_027449924.1</t>
  </si>
  <si>
    <t>sp|P00736|C1R_HUMAN</t>
  </si>
  <si>
    <t>Complement C1r subcomponent OS=Homo sapiens OX=9606 GN=C1R PE=1 SV=2</t>
  </si>
  <si>
    <t>ident:598/713 pos:651/713 query:713 hit:705 align:704 bit:1286.2</t>
  </si>
  <si>
    <t>XP_027450006.1</t>
  </si>
  <si>
    <t>sp|P05019|IGF1_HUMAN</t>
  </si>
  <si>
    <t>Insulin-like growth factor I OS=Homo sapiens OX=9606 GN=IGF1 PE=1 SV=1</t>
  </si>
  <si>
    <t>ident:172/187 pos:175/187 query:187 hit:195 align:187 bit:351.7</t>
  </si>
  <si>
    <t>sp|P18627|LAG3_HUMAN</t>
  </si>
  <si>
    <t>Lymphocyte activation gene 3 protein OS=Homo sapiens OX=9606 GN=LAG3 PE=1 SV=5</t>
  </si>
  <si>
    <t>ident:356/463 pos:377/463 query:463 hit:525 align:500 bit:626.3</t>
  </si>
  <si>
    <t>XP_027450065.1</t>
  </si>
  <si>
    <t>sp|Q9BQE3|TBA1C_HUMAN</t>
  </si>
  <si>
    <t>Tubulin alpha-1C chain OS=Homo sapiens OX=9606 GN=TUBA1C PE=1 SV=1</t>
  </si>
  <si>
    <t>ident:189/189 pos:189/189 query:189 hit:449 align:189 bit:396.4</t>
  </si>
  <si>
    <t>sp|O60486|PLXC1_HUMAN</t>
  </si>
  <si>
    <t>Plexin-C1 OS=Homo sapiens OX=9606 GN=PLXNC1 PE=1 SV=1</t>
  </si>
  <si>
    <t>ident:1406/1575 pos:1468/1575 query:1575 hit:1568 align:1577 bit:2811.6</t>
  </si>
  <si>
    <t>sp|Q00872|MYPC1_HUMAN</t>
  </si>
  <si>
    <t>Myosin-binding protein C, slow-type OS=Homo sapiens OX=9606 GN=MYBPC1 PE=1 SV=2</t>
  </si>
  <si>
    <t>ident:1029/1202 pos:1072/1202 query:1202 hit:1141 align:1103 bit:2158.3</t>
  </si>
  <si>
    <t>ident:116/148 pos:133/148 query:148 hit:148 align:148 bit:255.0</t>
  </si>
  <si>
    <t>sp|Q9H2G2|SLK_HUMAN</t>
  </si>
  <si>
    <t>STE20-like serine/threonine-protein kinase OS=Homo sapiens OX=9606 GN=SLK PE=1 SV=1</t>
  </si>
  <si>
    <t>ident:1119/1241 pos:1171/1241 query:1241 hit:1235 align:1242 bit:2199.5</t>
  </si>
  <si>
    <t>sp|Q13790|APOF_HUMAN</t>
  </si>
  <si>
    <t>Apolipoprotein F OS=Homo sapiens OX=9606 GN=APOF PE=1 SV=2</t>
  </si>
  <si>
    <t>ident:197/281 pos:220/281 query:281 hit:326 align:283 bit:348.2</t>
  </si>
  <si>
    <t>sp|Q12792|TWF1_HUMAN</t>
  </si>
  <si>
    <t>Twinfilin-1 OS=Homo sapiens OX=9606 GN=TWF1 PE=1 SV=3</t>
  </si>
  <si>
    <t>ident:340/350 pos:347/350 query:350 hit:350 align:350 bit:710.3</t>
  </si>
  <si>
    <t>XP_027450231.1</t>
  </si>
  <si>
    <t>CDGSH iron-sulfur domain-containing protein 1 isoform X1 [Zalophus californianus]</t>
  </si>
  <si>
    <t>sp|Q9NZ45|CISD1_HUMAN</t>
  </si>
  <si>
    <t>CDGSH iron-sulfur domain-containing protein 1 OS=Homo sapiens OX=9606 GN=CISD1 PE=1 SV=1</t>
  </si>
  <si>
    <t>ident:93/111 pos:98/111 query:111 hit:108 align:98 bit:204.9</t>
  </si>
  <si>
    <t>sp|Q8TBX8|PI42C_HUMAN</t>
  </si>
  <si>
    <t>Phosphatidylinositol 5-phosphate 4-kinase type-2 gamma OS=Homo sapiens OX=9606 GN=PIP4K2C PE=1 SV=3</t>
  </si>
  <si>
    <t>ident:411/421 pos:416/421 query:421 hit:421 align:421 bit:849.7</t>
  </si>
  <si>
    <t>sp|Q99798|ACON_HUMAN</t>
  </si>
  <si>
    <t>Aconitate hydratase, mitochondrial OS=Homo sapiens OX=9606 GN=ACO2 PE=1 SV=2</t>
  </si>
  <si>
    <t>ident:754/781 pos:769/781 query:781 hit:780 align:780 bit:1570.8</t>
  </si>
  <si>
    <t>sp|Q8IWY4|SCUB1_HUMAN</t>
  </si>
  <si>
    <t>Signal peptide, CUB and EGF-like domain-containing protein 1 OS=Homo sapiens OX=9606 GN=SCUBE1 PE=1 SV=3</t>
  </si>
  <si>
    <t>ident:922/1017 pos:945/1017 query:1017 hit:988 align:1018 bit:1892.1</t>
  </si>
  <si>
    <t>sp|P06576|ATPB_HUMAN</t>
  </si>
  <si>
    <t>ATP synthase subunit beta, mitochondrial OS=Homo sapiens OX=9606 GN=ATP5F1B PE=1 SV=3</t>
  </si>
  <si>
    <t>ident:510/528 pos:514/528 query:528 hit:529 align:528 bit:1020.8</t>
  </si>
  <si>
    <t>sp|P09382|LEG1_HUMAN</t>
  </si>
  <si>
    <t>Galectin-1 OS=Homo sapiens OX=9606 GN=LGALS1 PE=1 SV=2</t>
  </si>
  <si>
    <t>ident:112/135 pos:122/135 query:135 hit:135 align:135 bit:242.7</t>
  </si>
  <si>
    <t>XP_027450401.1</t>
  </si>
  <si>
    <t>sp|P17050|NAGAB_HUMAN</t>
  </si>
  <si>
    <t>Alpha-N-acetylgalactosaminidase OS=Homo sapiens OX=9606 GN=NAGA PE=1 SV=2</t>
  </si>
  <si>
    <t>ident:354/411 pos:382/411 query:411 hit:411 align:411 bit:753.1</t>
  </si>
  <si>
    <t>sp|Q13907|IDI1_HUMAN</t>
  </si>
  <si>
    <t>Isopentenyl-diphosphate Delta-isomerase 1 OS=Homo sapiens OX=9606 GN=IDI1 PE=1 SV=2</t>
  </si>
  <si>
    <t>ident:199/280 pos:213/280 query:280 hit:227 align:227 bit:406.4</t>
  </si>
  <si>
    <t>sp|Q9UK05|GDF2_HUMAN</t>
  </si>
  <si>
    <t>Growth/differentiation factor 2 OS=Homo sapiens OX=9606 GN=GDF2 PE=1 SV=1</t>
  </si>
  <si>
    <t>ident:358/428 pos:390/428 query:428 hit:429 align:429 bit:748.8</t>
  </si>
  <si>
    <t>sp|Q8N695|SC5A8_HUMAN</t>
  </si>
  <si>
    <t>Sodium-coupled monocarboxylate transporter 1 OS=Homo sapiens OX=9606 GN=SLC5A8 PE=1 SV=2</t>
  </si>
  <si>
    <t>ident:555/611 pos:585/611 query:611 hit:610 align:611 bit:1139.8</t>
  </si>
  <si>
    <t>XP_027450525.1</t>
  </si>
  <si>
    <t>sp|Q13561|DCTN2_HUMAN</t>
  </si>
  <si>
    <t>Dynactin subunit 2 OS=Homo sapiens OX=9606 GN=DCTN2 PE=1 SV=4</t>
  </si>
  <si>
    <t>ident:388/405 pos:395/405 query:405 hit:401 align:405 bit:778.5</t>
  </si>
  <si>
    <t>sp|P00387|NB5R3_HUMAN</t>
  </si>
  <si>
    <t>NADH-cytochrome b5 reductase 3 OS=Homo sapiens OX=9606 GN=CYB5R3 PE=1 SV=3</t>
  </si>
  <si>
    <t>ident:280/301 pos:294/301 query:301 hit:301 align:301 bit:589.7</t>
  </si>
  <si>
    <t>phosphotriesterase-related protein isoform X1 [Zalophus californianus]</t>
  </si>
  <si>
    <t>sp|Q96BW5|PTER_HUMAN</t>
  </si>
  <si>
    <t>Phosphotriesterase-related protein OS=Homo sapiens OX=9606 GN=PTER PE=1 SV=1</t>
  </si>
  <si>
    <t>ident:307/349 pos:328/349 query:349 hit:349 align:349 bit:626.3</t>
  </si>
  <si>
    <t>sp|Q5VWW1|C1QL3_HUMAN</t>
  </si>
  <si>
    <t>Complement C1q-like protein 3 OS=Homo sapiens OX=9606 GN=C1QL3 PE=2 SV=1</t>
  </si>
  <si>
    <t>ident:254/255 pos:255/255 query:255 hit:255 align:255 bit:519.6</t>
  </si>
  <si>
    <t>XP_027450647.1</t>
  </si>
  <si>
    <t>sp|O60784|TOM1_HUMAN</t>
  </si>
  <si>
    <t>Target of Myb protein 1 OS=Homo sapiens OX=9606 GN=TOM1 PE=1 SV=2</t>
  </si>
  <si>
    <t>ident:445/513 pos:460/513 query:513 hit:492 align:513 bit:870.9</t>
  </si>
  <si>
    <t>XP_027450691.1</t>
  </si>
  <si>
    <t>sp|P04406|G3P_HUMAN</t>
  </si>
  <si>
    <t>Glyceraldehyde-3-phosphate dehydrogenase OS=Homo sapiens OX=9606 GN=GAPDH PE=1 SV=3</t>
  </si>
  <si>
    <t>ident:319/333 pos:323/333 query:333 hit:335 align:332 bit:659.1</t>
  </si>
  <si>
    <t>sp|P15153|RAC2_HUMAN</t>
  </si>
  <si>
    <t>Ras-related C3 botulinum toxin substrate 2 OS=Homo sapiens OX=9606 GN=RAC2 PE=1 SV=1</t>
  </si>
  <si>
    <t>ident:188/192 pos:190/192 query:192 hit:192 align:192 bit:390.6</t>
  </si>
  <si>
    <t>XP_027450700.1</t>
  </si>
  <si>
    <t>1,5-anhydro-D-fructose reductase-like isoform X1 [Zalophus californianus]</t>
  </si>
  <si>
    <t>sp|Q96JD6|AKCL2_HUMAN</t>
  </si>
  <si>
    <t>1,5-anhydro-D-fructose reductase OS=Homo sapiens OX=9606 GN=AKR1E2 PE=1 SV=2</t>
  </si>
  <si>
    <t>ident:235/316 pos:268/316 query:316 hit:320 align:335 bit:487.6</t>
  </si>
  <si>
    <t>XP_027450702.1</t>
  </si>
  <si>
    <t>sp|Q16827|PTPRO_HUMAN</t>
  </si>
  <si>
    <t>Receptor-type tyrosine-protein phosphatase O OS=Homo sapiens OX=9606 GN=PTPRO PE=1 SV=2</t>
  </si>
  <si>
    <t>ident:1166/1216 pos:1190/1216 query:1216 hit:1216 align:1216 bit:2388.2</t>
  </si>
  <si>
    <t>sp|P13928|ANXA8_HUMAN</t>
  </si>
  <si>
    <t>Annexin A8 OS=Homo sapiens OX=9606 GN=ANXA8 PE=1 SV=3</t>
  </si>
  <si>
    <t>ident:305/327 pos:316/327 query:327 hit:327 align:326 bit:634.8</t>
  </si>
  <si>
    <t>sp|P07195|LDHB_HUMAN</t>
  </si>
  <si>
    <t>L-lactate dehydrogenase B chain OS=Homo sapiens OX=9606 GN=LDHB PE=1 SV=2</t>
  </si>
  <si>
    <t>ident:333/334 pos:334/334 query:334 hit:334 align:334 bit:680.2</t>
  </si>
  <si>
    <t>sp|P19075|TSN8_HUMAN</t>
  </si>
  <si>
    <t>Tetraspanin-8 OS=Homo sapiens OX=9606 GN=TSPAN8 PE=1 SV=1</t>
  </si>
  <si>
    <t>ident:164/238 pos:191/238 query:238 hit:237 align:238 bit:302.4</t>
  </si>
  <si>
    <t>XP_027450775.1</t>
  </si>
  <si>
    <t>platelet-derived growth factor subunit B isoform X1 [Zalophus californianus]</t>
  </si>
  <si>
    <t>sp|P01127|PDGFB_HUMAN</t>
  </si>
  <si>
    <t>Platelet-derived growth factor subunit B OS=Homo sapiens OX=9606 GN=PDGFB PE=1 SV=1</t>
  </si>
  <si>
    <t>ident:225/242 pos:230/242 query:242 hit:241 align:242 bit:459.9</t>
  </si>
  <si>
    <t>XP_027450831.1</t>
  </si>
  <si>
    <t>sp|Q92841|DDX17_HUMAN</t>
  </si>
  <si>
    <t>Probable ATP-dependent RNA helicase DDX17 OS=Homo sapiens OX=9606 GN=DDX17 PE=1 SV=2</t>
  </si>
  <si>
    <t>ident:649/652 pos:649/652 query:652 hit:729 align:652 bit:1346.3</t>
  </si>
  <si>
    <t>sp|P35609|ACTN2_HUMAN</t>
  </si>
  <si>
    <t>Alpha-actinin-2 OS=Homo sapiens OX=9606 GN=ACTN2 PE=1 SV=1</t>
  </si>
  <si>
    <t>ident:886/894 pos:891/894 query:894 hit:894 align:894 bit:1848.9</t>
  </si>
  <si>
    <t>sp|O75631|UPK3A_HUMAN</t>
  </si>
  <si>
    <t>Uroplakin-3a OS=Homo sapiens OX=9606 GN=UPK3A PE=1 SV=3</t>
  </si>
  <si>
    <t>ident:241/287 pos:260/287 query:287 hit:287 align:287 bit:501.5</t>
  </si>
  <si>
    <t>syntenin-1 [Zalophus californianus]</t>
  </si>
  <si>
    <t>sp|O00560|SDCB1_HUMAN</t>
  </si>
  <si>
    <t>Syntenin-1 OS=Homo sapiens OX=9606 GN=SDCBP PE=1 SV=1</t>
  </si>
  <si>
    <t>ident:283/298 pos:291/298 query:298 hit:298 align:298 bit:589.7</t>
  </si>
  <si>
    <t>microsomal glutathione S-transferase 1 [Zalophus californianus]</t>
  </si>
  <si>
    <t>sp|P10620|MGST1_HUMAN</t>
  </si>
  <si>
    <t>Microsomal glutathione S-transferase 1 OS=Homo sapiens OX=9606 GN=MGST1 PE=1 SV=1</t>
  </si>
  <si>
    <t>ident:140/155 pos:148/155 query:155 hit:155 align:155 bit:292.4</t>
  </si>
  <si>
    <t>XP_027450981.1</t>
  </si>
  <si>
    <t>sp|P84243|H33_HUMAN</t>
  </si>
  <si>
    <t>Histone H3.3 OS=Homo sapiens OX=9606 GN=H3F3B PE=1 SV=2</t>
  </si>
  <si>
    <t>ident:126/136 pos:129/136 query:136 hit:136 align:136 bit:252.7</t>
  </si>
  <si>
    <t>XP_027451002.1</t>
  </si>
  <si>
    <t>sp|Q86XS5|ANGL5_HUMAN</t>
  </si>
  <si>
    <t>Angiopoietin-related protein 5 OS=Homo sapiens OX=9606 GN=ANGPTL5 PE=1 SV=3</t>
  </si>
  <si>
    <t>ident:104/280 pos:140/280 query:280 hit:388 align:242 bit:170.6</t>
  </si>
  <si>
    <t>sp|P04275|VWF_HUMAN</t>
  </si>
  <si>
    <t>von Willebrand factor OS=Homo sapiens OX=9606 GN=VWF PE=1 SV=4</t>
  </si>
  <si>
    <t>ident:2404/2813 pos:2576/2813 query:2813 hit:2813 align:2813 bit:4970.2</t>
  </si>
  <si>
    <t>prefoldin subunit 5 [Zalophus californianus]</t>
  </si>
  <si>
    <t>sp|Q99471|PFD5_HUMAN</t>
  </si>
  <si>
    <t>Prefoldin subunit 5 OS=Homo sapiens OX=9606 GN=PFDN5 PE=1 SV=2</t>
  </si>
  <si>
    <t>ident:152/154 pos:154/154 query:154 hit:154 align:154 bit:311.2</t>
  </si>
  <si>
    <t>XP_027451046.1</t>
  </si>
  <si>
    <t>sp|P52566|GDIR2_HUMAN</t>
  </si>
  <si>
    <t>Rho GDP-dissociation inhibitor 2 OS=Homo sapiens OX=9606 GN=ARHGDIB PE=1 SV=3</t>
  </si>
  <si>
    <t>ident:185/208 pos:188/208 query:208 hit:201 align:201 bit:367.1</t>
  </si>
  <si>
    <t>sp|P61923|COPZ1_HUMAN</t>
  </si>
  <si>
    <t>Coatomer subunit zeta-1 OS=Homo sapiens OX=9606 GN=COPZ1 PE=1 SV=1</t>
  </si>
  <si>
    <t>ident:177/177 pos:177/177 query:177 hit:177 align:177 bit:360.9</t>
  </si>
  <si>
    <t>sp|P50395|GDIB_HUMAN</t>
  </si>
  <si>
    <t>Rab GDP dissociation inhibitor beta OS=Homo sapiens OX=9606 GN=GDI2 PE=1 SV=2</t>
  </si>
  <si>
    <t>ident:435/445 pos:441/445 query:445 hit:445 align:445 bit:897.9</t>
  </si>
  <si>
    <t>XP_027451125.1</t>
  </si>
  <si>
    <t>nucleosome assembly protein 1-like 1 isoform X1 [Zalophus californianus]</t>
  </si>
  <si>
    <t>sp|P55209|NP1L1_HUMAN</t>
  </si>
  <si>
    <t>Nucleosome assembly protein 1-like 1 OS=Homo sapiens OX=9606 GN=NAP1L1 PE=1 SV=1</t>
  </si>
  <si>
    <t>ident:389/391 pos:390/391 query:391 hit:391 align:391 bit:789.6</t>
  </si>
  <si>
    <t>sp|P62854|RS26_HUMAN</t>
  </si>
  <si>
    <t>40S ribosomal protein S26 OS=Homo sapiens OX=9606 GN=RPS26 PE=1 SV=3</t>
  </si>
  <si>
    <t>ident:115/115 pos:115/115 query:115 hit:115 align:115 bit:230.3</t>
  </si>
  <si>
    <t>XP_027451206.1</t>
  </si>
  <si>
    <t>sp|P55957|BID_HUMAN</t>
  </si>
  <si>
    <t>BH3-interacting domain death agonist OS=Homo sapiens OX=9606 GN=BID PE=1 SV=1</t>
  </si>
  <si>
    <t>ident:127/197 pos:157/197 query:197 hit:195 align:195 bit:220.3</t>
  </si>
  <si>
    <t>sp|Q5R3I4|TTC38_HUMAN</t>
  </si>
  <si>
    <t>Tetratricopeptide repeat protein 38 OS=Homo sapiens OX=9606 GN=TTC38 PE=1 SV=1</t>
  </si>
  <si>
    <t>ident:422/469 pos:449/469 query:469 hit:469 align:469 bit:894.0</t>
  </si>
  <si>
    <t>XP_027451215.1</t>
  </si>
  <si>
    <t>sp|Q01813|PFKAP_HUMAN</t>
  </si>
  <si>
    <t>ATP-dependent 6-phosphofructokinase, platelet type OS=Homo sapiens OX=9606 GN=PFKP PE=1 SV=2</t>
  </si>
  <si>
    <t>ident:621/770 pos:650/770 query:770 hit:784 align:754 bit:1228.8</t>
  </si>
  <si>
    <t>sp|P08962|CD63_HUMAN</t>
  </si>
  <si>
    <t>CD63 antigen OS=Homo sapiens OX=9606 GN=CD63 PE=1 SV=2</t>
  </si>
  <si>
    <t>ident:209/238 pos:219/238 query:238 hit:238 align:238 bit:420.2</t>
  </si>
  <si>
    <t>ident:84/149 pos:116/149 query:149 hit:149 align:149 bit:177.9</t>
  </si>
  <si>
    <t>sp|Q13145|BAMBI_HUMAN</t>
  </si>
  <si>
    <t>BMP and activin membrane-bound inhibitor homolog OS=Homo sapiens OX=9606 GN=BAMBI PE=1 SV=1</t>
  </si>
  <si>
    <t>ident:250/260 pos:257/260 query:260 hit:260 align:260 bit:525.0</t>
  </si>
  <si>
    <t>sp|Q9NZP8|C1RL_HUMAN</t>
  </si>
  <si>
    <t>Complement C1r subcomponent-like protein OS=Homo sapiens OX=9606 GN=C1RL PE=1 SV=2</t>
  </si>
  <si>
    <t>ident:366/491 pos:413/491 query:491 hit:487 align:481 bit:770.8</t>
  </si>
  <si>
    <t>sp|P07305|H10_HUMAN</t>
  </si>
  <si>
    <t>Histone H1.0 OS=Homo sapiens OX=9606 GN=H1F0 PE=1 SV=3</t>
  </si>
  <si>
    <t>ident:187/194 pos:191/194 query:194 hit:194 align:194 bit:342.8</t>
  </si>
  <si>
    <t>sp|O60494|CUBN_HUMAN</t>
  </si>
  <si>
    <t>Cubilin OS=Homo sapiens OX=9606 GN=CUBN PE=1 SV=5</t>
  </si>
  <si>
    <t>ident:2995/3620 pos:3261/3620 query:3620 hit:3623 align:3621 bit:6266.4</t>
  </si>
  <si>
    <t>sp|Q9H461|FZD8_HUMAN</t>
  </si>
  <si>
    <t>Frizzled-8 OS=Homo sapiens OX=9606 GN=FZD8 PE=1 SV=1</t>
  </si>
  <si>
    <t>ident:674/691 pos:676/691 query:691 hit:694 align:696 bit:1349.7</t>
  </si>
  <si>
    <t>sp|P09601|HMOX1_HUMAN</t>
  </si>
  <si>
    <t>Heme oxygenase 1 OS=Homo sapiens OX=9606 GN=HMOX1 PE=1 SV=1</t>
  </si>
  <si>
    <t>ident:241/322 pos:263/322 query:322 hit:288 align:288 bit:500.0</t>
  </si>
  <si>
    <t>adenosine deaminase 2 isoform X1 [Zalophus californianus]</t>
  </si>
  <si>
    <t>sp|Q9NZK5|ADA2_HUMAN</t>
  </si>
  <si>
    <t>Adenosine deaminase 2 OS=Homo sapiens OX=9606 GN=ADA2 PE=1 SV=2</t>
  </si>
  <si>
    <t>ident:361/523 pos:439/523 query:523 hit:511 align:514 bit:782.3</t>
  </si>
  <si>
    <t>sp|Q9NRV9|HEBP1_HUMAN</t>
  </si>
  <si>
    <t>Heme-binding protein 1 OS=Homo sapiens OX=9606 GN=HEBP1 PE=1 SV=1</t>
  </si>
  <si>
    <t>ident:162/189 pos:175/189 query:189 hit:189 align:188 bit:348.6</t>
  </si>
  <si>
    <t>parvalbumin alpha [Zalophus californianus]</t>
  </si>
  <si>
    <t>sp|P20472|PRVA_HUMAN</t>
  </si>
  <si>
    <t>Parvalbumin alpha OS=Homo sapiens OX=9606 GN=PVALB PE=1 SV=2</t>
  </si>
  <si>
    <t>ident:102/110 pos:106/110 query:110 hit:110 align:110 bit:199.1</t>
  </si>
  <si>
    <t>sp|P41181|AQP2_HUMAN</t>
  </si>
  <si>
    <t>Aquaporin-2 OS=Homo sapiens OX=9606 GN=AQP2 PE=1 SV=1</t>
  </si>
  <si>
    <t>ident:258/271 pos:264/271 query:271 hit:271 align:271 bit:522.7</t>
  </si>
  <si>
    <t>sp|P58166|INHBE_HUMAN</t>
  </si>
  <si>
    <t>Inhibin beta E chain OS=Homo sapiens OX=9606 GN=INHBE PE=1 SV=1</t>
  </si>
  <si>
    <t>ident:298/351 pos:310/351 query:351 hit:350 align:351 bit:571.6</t>
  </si>
  <si>
    <t>arylsulfatase A [Zalophus californianus]</t>
  </si>
  <si>
    <t>sp|P15289|ARSA_HUMAN</t>
  </si>
  <si>
    <t>Arylsulfatase A OS=Homo sapiens OX=9606 GN=ARSA PE=1 SV=3</t>
  </si>
  <si>
    <t>ident:443/507 pos:463/507 query:507 hit:507 align:488 bit:877.5</t>
  </si>
  <si>
    <t>sp|Q9Y3L3|3BP1_HUMAN</t>
  </si>
  <si>
    <t>SH3 domain-binding protein 1 OS=Homo sapiens OX=9606 GN=SH3BP1 PE=1 SV=3</t>
  </si>
  <si>
    <t>ident:617/699 pos:642/699 query:699 hit:701 align:705 bit:1001.1</t>
  </si>
  <si>
    <t>sp|P14543|NID1_HUMAN</t>
  </si>
  <si>
    <t>Nidogen-1 OS=Homo sapiens OX=9606 GN=NID1 PE=1 SV=3</t>
  </si>
  <si>
    <t>ident:1098/1241 pos:1149/1241 query:1241 hit:1247 align:1247 bit:2227.2</t>
  </si>
  <si>
    <t>XP_027451657.1</t>
  </si>
  <si>
    <t>sp|P18206|VINC_HUMAN</t>
  </si>
  <si>
    <t>Vinculin OS=Homo sapiens OX=9606 GN=VCL PE=1 SV=4</t>
  </si>
  <si>
    <t>ident:1122/1183 pos:1129/1183 query:1183 hit:1134 align:1134 bit:2286.5</t>
  </si>
  <si>
    <t>XP_027451666.1</t>
  </si>
  <si>
    <t>sp|P55263|ADK_HUMAN</t>
  </si>
  <si>
    <t>Adenosine kinase OS=Homo sapiens OX=9606 GN=ADK PE=1 SV=2</t>
  </si>
  <si>
    <t>ident:331/362 pos:349/362 query:362 hit:362 align:362 bit:703.7</t>
  </si>
  <si>
    <t>XP_027451720.1</t>
  </si>
  <si>
    <t>sp|P16233|LIPP_HUMAN</t>
  </si>
  <si>
    <t>Pancreatic triacylglycerol lipase OS=Homo sapiens OX=9606 GN=PNLIP PE=1 SV=1</t>
  </si>
  <si>
    <t>ident:386/470 pos:421/470 query:470 hit:465 align:459 bit:824.7</t>
  </si>
  <si>
    <t>sp|P45880|VDAC2_HUMAN</t>
  </si>
  <si>
    <t>Voltage-dependent anion-selective channel protein 2 OS=Homo sapiens OX=9606 GN=VDAC2 PE=1 SV=2</t>
  </si>
  <si>
    <t>ident:290/294 pos:293/294 query:294 hit:294 align:294 bit:598.2</t>
  </si>
  <si>
    <t>sp|Q9NP98|MYOZ1_HUMAN</t>
  </si>
  <si>
    <t>Myozenin-1 OS=Homo sapiens OX=9606 GN=MYOZ1 PE=1 SV=1</t>
  </si>
  <si>
    <t>ident:266/296 pos:272/296 query:296 hit:299 align:299 bit:484.6</t>
  </si>
  <si>
    <t>XP_027451954.1</t>
  </si>
  <si>
    <t>sp|Q9NR34|MA1C1_HUMAN</t>
  </si>
  <si>
    <t>Mannosyl-oligosaccharide 1,2-alpha-mannosidase IC OS=Homo sapiens OX=9606 GN=MAN1C1 PE=1 SV=1</t>
  </si>
  <si>
    <t>ident:539/666 pos:558/666 query:666 hit:630 align:592 bit:1053.1</t>
  </si>
  <si>
    <t>XP_027451959.1</t>
  </si>
  <si>
    <t>sp|Q8N436|CPXM2_HUMAN</t>
  </si>
  <si>
    <t>Inactive carboxypeptidase-like protein X2 OS=Homo sapiens OX=9606 GN=CPXM2 PE=2 SV=3</t>
  </si>
  <si>
    <t>ident:697/759 pos:725/759 query:759 hit:756 align:759 bit:1426.0</t>
  </si>
  <si>
    <t>XP_027451990.1</t>
  </si>
  <si>
    <t>sp|Q92563|TICN2_HUMAN</t>
  </si>
  <si>
    <t>Testican-2 OS=Homo sapiens OX=9606 GN=SPOCK2 PE=1 SV=1</t>
  </si>
  <si>
    <t>ident:369/426 pos:375/426 query:426 hit:424 align:393 bit:740.7</t>
  </si>
  <si>
    <t>sp|P61457|PHS_HUMAN</t>
  </si>
  <si>
    <t>Pterin-4-alpha-carbinolamine dehydratase OS=Homo sapiens OX=9606 GN=PCBD1 PE=1 SV=2</t>
  </si>
  <si>
    <t>ident:103/104 pos:104/104 query:104 hit:104 align:104 bit:217.2</t>
  </si>
  <si>
    <t>XP_027452072.1</t>
  </si>
  <si>
    <t>sp|P19367|HXK1_HUMAN</t>
  </si>
  <si>
    <t>Hexokinase-1 OS=Homo sapiens OX=9606 GN=HK1 PE=1 SV=3</t>
  </si>
  <si>
    <t>ident:880/917 pos:902/917 query:917 hit:917 align:917 bit:1828.9</t>
  </si>
  <si>
    <t>sp|Q9NUQ9|FA49B_HUMAN</t>
  </si>
  <si>
    <t>Protein FAM49B OS=Homo sapiens OX=9606 GN=FAM49B PE=1 SV=1</t>
  </si>
  <si>
    <t>ident:313/324 pos:315/324 query:324 hit:324 align:324 bit:649.0</t>
  </si>
  <si>
    <t>XP_027452089.1</t>
  </si>
  <si>
    <t>sp|P30039|PBLD_HUMAN</t>
  </si>
  <si>
    <t>Phenazine biosynthesis-like domain-containing protein OS=Homo sapiens OX=9606 GN=PBLD PE=1 SV=2</t>
  </si>
  <si>
    <t>ident:263/288 pos:276/288 query:288 hit:288 align:288 bit:555.8</t>
  </si>
  <si>
    <t>sp|Q15181|IPYR_HUMAN</t>
  </si>
  <si>
    <t>Inorganic pyrophosphatase OS=Homo sapiens OX=9606 GN=PPA1 PE=1 SV=2</t>
  </si>
  <si>
    <t>ident:278/289 pos:287/289 query:289 hit:289 align:289 bit:583.2</t>
  </si>
  <si>
    <t>XP_027452101.1</t>
  </si>
  <si>
    <t>sp|O76003|GLRX3_HUMAN</t>
  </si>
  <si>
    <t>Glutaredoxin-3 OS=Homo sapiens OX=9606 GN=GLRX3 PE=1 SV=2</t>
  </si>
  <si>
    <t>ident:296/334 pos:308/334 query:334 hit:335 align:318 bit:617.5</t>
  </si>
  <si>
    <t>XP_027452131.1</t>
  </si>
  <si>
    <t>sp|O43184|ADA12_HUMAN</t>
  </si>
  <si>
    <t>Disintegrin and metalloproteinase domain-containing protein 12 OS=Homo sapiens OX=9606 GN=ADAM12 PE=1 SV=3</t>
  </si>
  <si>
    <t>ident:754/920 pos:808/920 query:920 hit:909 align:923 bit:1486.5</t>
  </si>
  <si>
    <t>sp|Q8NBF2|NHLC2_HUMAN</t>
  </si>
  <si>
    <t>NHL repeat-containing protein 2 OS=Homo sapiens OX=9606 GN=NHLRC2 PE=1 SV=1</t>
  </si>
  <si>
    <t>ident:660/725 pos:696/725 query:725 hit:726 align:726 bit:1377.8</t>
  </si>
  <si>
    <t>sp|O95817|BAG3_HUMAN</t>
  </si>
  <si>
    <t>BAG family molecular chaperone regulator 3 OS=Homo sapiens OX=9606 GN=BAG3 PE=1 SV=3</t>
  </si>
  <si>
    <t>ident:467/578 pos:497/578 query:578 hit:575 align:579 bit:835.1</t>
  </si>
  <si>
    <t>ident:466/577 pos:497/577 query:577 hit:575 align:579 bit:828.5</t>
  </si>
  <si>
    <t>XP_027452190.1</t>
  </si>
  <si>
    <t>sp|P52209|6PGD_HUMAN</t>
  </si>
  <si>
    <t>6-phosphogluconate dehydrogenase, decarboxylating OS=Homo sapiens OX=9606 GN=PGD PE=1 SV=3</t>
  </si>
  <si>
    <t>ident:463/483 pos:476/483 query:483 hit:483 align:483 bit:942.6</t>
  </si>
  <si>
    <t>XP_027452251.1</t>
  </si>
  <si>
    <t>sp|Q92743|HTRA1_HUMAN</t>
  </si>
  <si>
    <t>Serine protease HTRA1 OS=Homo sapiens OX=9606 GN=HTRA1 PE=1 SV=1</t>
  </si>
  <si>
    <t>ident:456/492 pos:466/492 query:492 hit:480 align:496 bit:881.7</t>
  </si>
  <si>
    <t>annexin A11 [Zalophus californianus]</t>
  </si>
  <si>
    <t>sp|P50995|ANX11_HUMAN</t>
  </si>
  <si>
    <t>Annexin A11 OS=Homo sapiens OX=9606 GN=ANXA11 PE=1 SV=1</t>
  </si>
  <si>
    <t>ident:436/504 pos:453/504 query:504 hit:505 align:469 bit:826.6</t>
  </si>
  <si>
    <t>sp|P78417|GSTO1_HUMAN</t>
  </si>
  <si>
    <t>Glutathione S-transferase omega-1 OS=Homo sapiens OX=9606 GN=GSTO1 PE=1 SV=2</t>
  </si>
  <si>
    <t>ident:204/241 pos:219/241 query:241 hit:241 align:241 bit:426.4</t>
  </si>
  <si>
    <t>sp|P02753|RET4_HUMAN</t>
  </si>
  <si>
    <t>Retinol-binding protein 4 OS=Homo sapiens OX=9606 GN=RBP4 PE=1 SV=3</t>
  </si>
  <si>
    <t>ident:185/201 pos:194/201 query:201 hit:201 align:201 bit:382.5</t>
  </si>
  <si>
    <t>XP_027452404.1</t>
  </si>
  <si>
    <t>sp|Q9NQW7|XPP1_HUMAN</t>
  </si>
  <si>
    <t>Xaa-Pro aminopeptidase 1 OS=Homo sapiens OX=9606 GN=XPNPEP1 PE=1 SV=3</t>
  </si>
  <si>
    <t>ident:609/666 pos:615/666 query:666 hit:623 align:623 bit:1272.7</t>
  </si>
  <si>
    <t>XP_027452409.1</t>
  </si>
  <si>
    <t>sp|O75436|VP26A_HUMAN</t>
  </si>
  <si>
    <t>Vacuolar protein sorting-associated protein 26A OS=Homo sapiens OX=9606 GN=VPS26A PE=1 SV=2</t>
  </si>
  <si>
    <t>ident:324/360 pos:326/360 query:360 hit:327 align:326 bit:669.1</t>
  </si>
  <si>
    <t>sp|P17174|AATC_HUMAN</t>
  </si>
  <si>
    <t>Aspartate aminotransferase, cytoplasmic OS=Homo sapiens OX=9606 GN=GOT1 PE=1 SV=3</t>
  </si>
  <si>
    <t>ident:385/413 pos:400/413 query:413 hit:413 align:413 bit:807.7</t>
  </si>
  <si>
    <t>sp|P20338|RAB4A_HUMAN</t>
  </si>
  <si>
    <t>Ras-related protein Rab-4A OS=Homo sapiens OX=9606 GN=RAB4A PE=1 SV=3</t>
  </si>
  <si>
    <t>ident:217/218 pos:218/218 query:218 hit:218 align:218 bit:452.6</t>
  </si>
  <si>
    <t>sp|P48444|COPD_HUMAN</t>
  </si>
  <si>
    <t>Coatomer subunit delta OS=Homo sapiens OX=9606 GN=ARCN1 PE=1 SV=1</t>
  </si>
  <si>
    <t>ident:497/511 pos:509/511 query:511 hit:511 align:511 bit:1038.1</t>
  </si>
  <si>
    <t>lysosomal acid lipase/cholesteryl ester hydrolase [Zalophus californianus]</t>
  </si>
  <si>
    <t>sp|P38571|LICH_HUMAN</t>
  </si>
  <si>
    <t>Lysosomal acid lipase/cholesteryl ester hydrolase OS=Homo sapiens OX=9606 GN=LIPA PE=1 SV=2</t>
  </si>
  <si>
    <t>ident:322/399 pos:355/399 query:399 hit:399 align:398 bit:687.2</t>
  </si>
  <si>
    <t>XP_027452633.1</t>
  </si>
  <si>
    <t>sp|Q96SZ5|AEDO_HUMAN</t>
  </si>
  <si>
    <t>2-aminoethanethiol dioxygenase OS=Homo sapiens OX=9606 GN=ADO PE=1 SV=2</t>
  </si>
  <si>
    <t>ident:237/271 pos:247/271 query:271 hit:270 align:258 bit:441.4</t>
  </si>
  <si>
    <t>XP_027452654.1</t>
  </si>
  <si>
    <t>sp|Q9UGM3|DMBT1_HUMAN</t>
  </si>
  <si>
    <t>Deleted in malignant brain tumors 1 protein OS=Homo sapiens OX=9606 GN=DMBT1 PE=1 SV=2</t>
  </si>
  <si>
    <t>ident:1637/2150 pos:1775/2150 query:2150 hit:2413 align:2223 bit:3182.9</t>
  </si>
  <si>
    <t>sp|Q96NZ9|PRAP1_HUMAN</t>
  </si>
  <si>
    <t>Proline-rich acidic protein 1 OS=Homo sapiens OX=9606 GN=PRAP1 PE=1 SV=2</t>
  </si>
  <si>
    <t>ident:84/156 pos:96/156 query:156 hit:151 align:158 bit:104.8</t>
  </si>
  <si>
    <t>XP_027452692.1</t>
  </si>
  <si>
    <t>heterogeneous nuclear ribonucleoprotein H3 isoform X1 [Zalophus californianus]</t>
  </si>
  <si>
    <t>sp|P31942|HNRH3_HUMAN</t>
  </si>
  <si>
    <t>Heterogeneous nuclear ribonucleoprotein H3 OS=Homo sapiens OX=9606 GN=HNRNPH3 PE=1 SV=2</t>
  </si>
  <si>
    <t>ident:346/346 pos:346/346 query:346 hit:346 align:346 bit:678.3</t>
  </si>
  <si>
    <t>sp|Q8NHP1|ARK74_HUMAN</t>
  </si>
  <si>
    <t>Aflatoxin B1 aldehyde reductase member 4 OS=Homo sapiens OX=9606 GN=AKR7L PE=2 SV=7</t>
  </si>
  <si>
    <t>ident:284/373 pos:299/373 query:373 hit:331 align:338 bit:599.7</t>
  </si>
  <si>
    <t>XP_027452750.1</t>
  </si>
  <si>
    <t>sp|O14639|ABLM1_HUMAN</t>
  </si>
  <si>
    <t>Actin-binding LIM protein 1 OS=Homo sapiens OX=9606 GN=ABLIM1 PE=1 SV=3</t>
  </si>
  <si>
    <t>ident:724/848 pos:746/848 query:848 hit:778 align:848 bit:1472.6</t>
  </si>
  <si>
    <t>XP_027452794.1</t>
  </si>
  <si>
    <t>sp|P78325|ADAM8_HUMAN</t>
  </si>
  <si>
    <t>Disintegrin and metalloproteinase domain-containing protein 8 OS=Homo sapiens OX=9606 GN=ADAM8 PE=1 SV=2</t>
  </si>
  <si>
    <t>ident:532/836 pos:608/836 query:836 hit:824 align:826 bit:1030.8</t>
  </si>
  <si>
    <t>sp|P30084|ECHM_HUMAN</t>
  </si>
  <si>
    <t>Enoyl-CoA hydratase, mitochondrial OS=Homo sapiens OX=9606 GN=ECHS1 PE=1 SV=4</t>
  </si>
  <si>
    <t>ident:249/290 pos:266/290 query:290 hit:290 align:290 bit:509.2</t>
  </si>
  <si>
    <t>sp|O76070|SYUG_HUMAN</t>
  </si>
  <si>
    <t>Gamma-synuclein OS=Homo sapiens OX=9606 GN=SNCG PE=1 SV=2</t>
  </si>
  <si>
    <t>ident:110/129 pos:120/129 query:129 hit:127 align:129 bit:191.8</t>
  </si>
  <si>
    <t>sp|Q15847|ADIRF_HUMAN</t>
  </si>
  <si>
    <t>Adipogenesis regulatory factor OS=Homo sapiens OX=9606 GN=ADIRF PE=1 SV=1</t>
  </si>
  <si>
    <t>ident:65/75 pos:72/75 query:75 hit:76 align:75 bit:105.1</t>
  </si>
  <si>
    <t>sp|P35247|SFTPD_HUMAN</t>
  </si>
  <si>
    <t>Pulmonary surfactant-associated protein D OS=Homo sapiens OX=9606 GN=SFTPD PE=1 SV=3</t>
  </si>
  <si>
    <t>ident:283/375 pos:310/375 query:375 hit:375 align:363 bit:502.3</t>
  </si>
  <si>
    <t>XP_027452914.1</t>
  </si>
  <si>
    <t>sp|P68133|ACTS_HUMAN</t>
  </si>
  <si>
    <t>Actin, alpha skeletal muscle OS=Homo sapiens OX=9606 GN=ACTA1 PE=1 SV=1</t>
  </si>
  <si>
    <t>ident:347/377 pos:347/377 query:377 hit:377 align:377 bit:716.5</t>
  </si>
  <si>
    <t>XP_027452943.1</t>
  </si>
  <si>
    <t>sp|P30048|PRDX3_HUMAN</t>
  </si>
  <si>
    <t>Thioredoxin-dependent peroxide reductase, mitochondrial OS=Homo sapiens OX=9606 GN=PRDX3 PE=1 SV=3</t>
  </si>
  <si>
    <t>ident:237/262 pos:243/262 query:262 hit:256 align:262 bit:479.6</t>
  </si>
  <si>
    <t>sp|Q9H008|LHPP_HUMAN</t>
  </si>
  <si>
    <t>Phospholysine phosphohistidine inorganic pyrophosphate phosphatase OS=Homo sapiens OX=9606 GN=LHPP PE=1 SV=2</t>
  </si>
  <si>
    <t>ident:231/270 pos:249/270 query:270 hit:270 align:270 bit:459.9</t>
  </si>
  <si>
    <t>sp|P01019|ANGT_HUMAN</t>
  </si>
  <si>
    <t>Angiotensinogen OS=Homo sapiens OX=9606 GN=AGT PE=1 SV=1</t>
  </si>
  <si>
    <t>ident:335/477 pos:392/477 query:477 hit:485 align:476 bit:684.9</t>
  </si>
  <si>
    <t>sp|P00749|UROK_HUMAN</t>
  </si>
  <si>
    <t>Urokinase-type plasminogen activator OS=Homo sapiens OX=9606 GN=PLAU PE=1 SV=2</t>
  </si>
  <si>
    <t>ident:332/432 pos:366/432 query:432 hit:431 align:416 bit:698.4</t>
  </si>
  <si>
    <t>XP_027453002.1</t>
  </si>
  <si>
    <t>sp|P61163|ACTZ_HUMAN</t>
  </si>
  <si>
    <t>Alpha-centractin OS=Homo sapiens OX=9606 GN=ACTR1A PE=1 SV=1</t>
  </si>
  <si>
    <t>ident:343/343 pos:343/343 query:343 hit:376 align:343 bit:708.4</t>
  </si>
  <si>
    <t>XP_027453012.1</t>
  </si>
  <si>
    <t>sp|P20073|ANXA7_HUMAN</t>
  </si>
  <si>
    <t>Annexin A7 OS=Homo sapiens OX=9606 GN=ANXA7 PE=1 SV=3</t>
  </si>
  <si>
    <t>ident:446/488 pos:470/488 query:488 hit:488 align:488 bit:816.6</t>
  </si>
  <si>
    <t>sp|P15169|CBPN_HUMAN</t>
  </si>
  <si>
    <t>Carboxypeptidase N catalytic chain OS=Homo sapiens OX=9606 GN=CPN1 PE=1 SV=1</t>
  </si>
  <si>
    <t>ident:367/442 pos:391/442 query:442 hit:458 align:419 bit:783.9</t>
  </si>
  <si>
    <t>XP_027453028.1</t>
  </si>
  <si>
    <t>sp|P52907|CAZA1_HUMAN</t>
  </si>
  <si>
    <t>F-actin-capping protein subunit alpha-1 OS=Homo sapiens OX=9606 GN=CAPZA1 PE=1 SV=3</t>
  </si>
  <si>
    <t>ident:280/286 pos:284/286 query:286 hit:286 align:286 bit:592.4</t>
  </si>
  <si>
    <t>sp|P08134|RHOC_HUMAN</t>
  </si>
  <si>
    <t>Rho-related GTP-binding protein RhoC OS=Homo sapiens OX=9606 GN=RHOC PE=1 SV=1</t>
  </si>
  <si>
    <t>dentin matrix acidic phosphoprotein 1 [Zalophus californianus]</t>
  </si>
  <si>
    <t>sp|Q13316|DMP1_HUMAN</t>
  </si>
  <si>
    <t>Dentin matrix acidic phosphoprotein 1 OS=Homo sapiens OX=9606 GN=DMP1 PE=1 SV=2</t>
  </si>
  <si>
    <t>ident:398/518 pos:443/518 query:518 hit:513 align:521 bit:531.6</t>
  </si>
  <si>
    <t>sp|P60022|DEFB1_HUMAN</t>
  </si>
  <si>
    <t>Beta-defensin 1 OS=Homo sapiens OX=9606 GN=DEFB1 PE=1 SV=1</t>
  </si>
  <si>
    <t>ident:33/69 pos:39/69 query:69 hit:68 align:52 bit:75.1</t>
  </si>
  <si>
    <t>sp|P12104|FABPI_HUMAN</t>
  </si>
  <si>
    <t>Fatty acid-binding protein, intestinal OS=Homo sapiens OX=9606 GN=FABP2 PE=1 SV=2</t>
  </si>
  <si>
    <t>ident:110/132 pos:123/132 query:132 hit:132 align:132 bit:233.4</t>
  </si>
  <si>
    <t>XP_027453328.1</t>
  </si>
  <si>
    <t>sp|Q96HC4|PDLI5_HUMAN</t>
  </si>
  <si>
    <t>PDZ and LIM domain protein 5 OS=Homo sapiens OX=9606 GN=PDLIM5 PE=1 SV=5</t>
  </si>
  <si>
    <t>ident:541/607 pos:561/607 query:607 hit:596 align:607 bit:1119.0</t>
  </si>
  <si>
    <t>XP_027453355.1</t>
  </si>
  <si>
    <t>sp|Q14103|HNRPD_HUMAN</t>
  </si>
  <si>
    <t>Heterogeneous nuclear ribonucleoprotein D0 OS=Homo sapiens OX=9606 GN=HNRNPD PE=1 SV=1</t>
  </si>
  <si>
    <t>ident:352/356 pos:354/356 query:356 hit:355 align:356 bit:714.5</t>
  </si>
  <si>
    <t>XP_027453370.1</t>
  </si>
  <si>
    <t>sp|P10909|CLUS_HUMAN</t>
  </si>
  <si>
    <t>Clusterin OS=Homo sapiens OX=9606 GN=CLU PE=1 SV=1</t>
  </si>
  <si>
    <t>ident:343/444 pos:391/444 query:444 hit:449 align:448 bit:705.3</t>
  </si>
  <si>
    <t>sp|P08294|SODE_HUMAN</t>
  </si>
  <si>
    <t>Extracellular superoxide dismutase [Cu-Zn] OS=Homo sapiens OX=9606 GN=SOD3 PE=1 SV=2</t>
  </si>
  <si>
    <t>ident:183/303 pos:198/303 query:303 hit:240 align:231 bit:367.5</t>
  </si>
  <si>
    <t>XP_027453443.1</t>
  </si>
  <si>
    <t>sp|P16157|ANK1_HUMAN</t>
  </si>
  <si>
    <t>Ankyrin-1 OS=Homo sapiens OX=9606 GN=ANK1 PE=1 SV=3</t>
  </si>
  <si>
    <t>ident:1729/1943 pos:1788/1943 query:1943 hit:1881 align:1876 bit:3522.2</t>
  </si>
  <si>
    <t>XP_027453461.1</t>
  </si>
  <si>
    <t>sp|Q9UMS6|SYNP2_HUMAN</t>
  </si>
  <si>
    <t>Synaptopodin-2 OS=Homo sapiens OX=9606 GN=SYNPO2 PE=1 SV=2</t>
  </si>
  <si>
    <t>ident:931/1264 pos:991/1264 query:1264 hit:1093 align:1085 bit:1726.8</t>
  </si>
  <si>
    <t>XP_027453470.1</t>
  </si>
  <si>
    <t>sp|Q9NPC6|MYOZ2_HUMAN</t>
  </si>
  <si>
    <t>Myozenin-2 OS=Homo sapiens OX=9606 GN=MYOZ2 PE=1 SV=1</t>
  </si>
  <si>
    <t>ident:243/264 pos:257/264 query:264 hit:264 align:264 bit:513.1</t>
  </si>
  <si>
    <t>XP_027453493.1</t>
  </si>
  <si>
    <t>sp|Q92597|NDRG1_HUMAN</t>
  </si>
  <si>
    <t>Protein NDRG1 OS=Homo sapiens OX=9606 GN=NDRG1 PE=1 SV=1</t>
  </si>
  <si>
    <t>ident:367/384 pos:375/384 query:384 hit:394 align:394 bit:770.0</t>
  </si>
  <si>
    <t>OCIA domain-containing protein 1 isoform X1 [Zalophus californianus]</t>
  </si>
  <si>
    <t>sp|Q9NX40|OCAD1_HUMAN</t>
  </si>
  <si>
    <t>OCIA domain-containing protein 1 OS=Homo sapiens OX=9606 GN=OCIAD1 PE=1 SV=1</t>
  </si>
  <si>
    <t>ident:227/247 pos:233/247 query:247 hit:245 align:247 bit:470.7</t>
  </si>
  <si>
    <t>XP_027453537.1</t>
  </si>
  <si>
    <t>sp|P35475|IDUA_HUMAN</t>
  </si>
  <si>
    <t>Alpha-L-iduronidase OS=Homo sapiens OX=9606 GN=IDUA PE=1 SV=2</t>
  </si>
  <si>
    <t>ident:528/690 pos:555/690 query:690 hit:653 align:662 bit:1060.1</t>
  </si>
  <si>
    <t>XP_027453625.1</t>
  </si>
  <si>
    <t>sp|O15123|ANGP2_HUMAN</t>
  </si>
  <si>
    <t>Angiopoietin-2 OS=Homo sapiens OX=9606 GN=ANGPT2 PE=1 SV=1</t>
  </si>
  <si>
    <t>ident:457/495 pos:480/495 query:495 hit:496 align:496 bit:963.8</t>
  </si>
  <si>
    <t>XP_027453647.1</t>
  </si>
  <si>
    <t>sp|P50851|LRBA_HUMAN</t>
  </si>
  <si>
    <t>Lipopolysaccharide-responsive and beige-like anchor protein OS=Homo sapiens OX=9606 GN=LRBA PE=1 SV=4</t>
  </si>
  <si>
    <t>ident:2624/2859 pos:2707/2859 query:2859 hit:2863 align:2872 bit:5316.9</t>
  </si>
  <si>
    <t>sp|P05156|CFAI_HUMAN</t>
  </si>
  <si>
    <t>Complement factor I OS=Homo sapiens OX=9606 GN=CFI PE=1 SV=2</t>
  </si>
  <si>
    <t>ident:419/635 pos:487/635 query:635 hit:583 align:609 bit:881.3</t>
  </si>
  <si>
    <t>sp|Q16270|IBP7_HUMAN</t>
  </si>
  <si>
    <t>Insulin-like growth factor-binding protein 7 OS=Homo sapiens OX=9606 GN=IGFBP7 PE=1 SV=1</t>
  </si>
  <si>
    <t>ident:253/270 pos:257/270 query:270 hit:282 align:270 bit:366.7</t>
  </si>
  <si>
    <t>XP_027453738.1</t>
  </si>
  <si>
    <t>SPARC-like protein 1 isoform X1 [Zalophus californianus]</t>
  </si>
  <si>
    <t>sp|Q14515|SPRL1_HUMAN</t>
  </si>
  <si>
    <t>SPARC-like protein 1 OS=Homo sapiens OX=9606 GN=SPARCL1 PE=1 SV=2</t>
  </si>
  <si>
    <t>ident:508/666 pos:567/666 query:666 hit:664 align:677 bit:968.4</t>
  </si>
  <si>
    <t>XP_027453770.1</t>
  </si>
  <si>
    <t>sp|P10721|KIT_HUMAN</t>
  </si>
  <si>
    <t>Mast/stem cell growth factor receptor Kit OS=Homo sapiens OX=9606 GN=KIT PE=1 SV=1</t>
  </si>
  <si>
    <t>ident:873/976 pos:918/976 query:976 hit:976 align:976 bit:1806.6</t>
  </si>
  <si>
    <t>XP_027453777.1</t>
  </si>
  <si>
    <t>sp|P11362|FGFR1_HUMAN</t>
  </si>
  <si>
    <t>Fibroblast growth factor receptor 1 OS=Homo sapiens OX=9606 GN=FGFR1 PE=1 SV=3</t>
  </si>
  <si>
    <t>ident:811/820 pos:817/820 query:820 hit:822 align:822 bit:1688.3</t>
  </si>
  <si>
    <t>XP_027453794.1</t>
  </si>
  <si>
    <t>sp|Q6AZY7|SCAR3_HUMAN</t>
  </si>
  <si>
    <t>Scavenger receptor class A member 3 OS=Homo sapiens OX=9606 GN=SCARA3 PE=1 SV=1</t>
  </si>
  <si>
    <t>ident:535/606 pos:553/606 query:606 hit:606 align:584 bit:949.5</t>
  </si>
  <si>
    <t>XP_027453834.1</t>
  </si>
  <si>
    <t>sp|P46777|RL5_HUMAN</t>
  </si>
  <si>
    <t>60S ribosomal protein L5 OS=Homo sapiens OX=9606 GN=RPL5 PE=1 SV=3</t>
  </si>
  <si>
    <t>ident:296/297 pos:297/297 query:297 hit:297 align:297 bit:614.4</t>
  </si>
  <si>
    <t>sp|P02675|FIBB_HUMAN</t>
  </si>
  <si>
    <t>Fibrinogen beta chain OS=Homo sapiens OX=9606 GN=FGB PE=1 SV=2</t>
  </si>
  <si>
    <t>ident:409/484 pos:447/484 query:484 hit:491 align:484 bit:865.9</t>
  </si>
  <si>
    <t>sp|P58335|ANTR2_HUMAN</t>
  </si>
  <si>
    <t>Anthrax toxin receptor 2 OS=Homo sapiens OX=9606 GN=ANTXR2 PE=1 SV=5</t>
  </si>
  <si>
    <t>ident:440/507 pos:452/507 query:507 hit:489 align:489 bit:792.3</t>
  </si>
  <si>
    <t>XP_027453908.1</t>
  </si>
  <si>
    <t>sp|Q9NQT8|KI13B_HUMAN</t>
  </si>
  <si>
    <t>Kinesin-like protein KIF13B OS=Homo sapiens OX=9606 GN=KIF13B PE=1 SV=2</t>
  </si>
  <si>
    <t>ident:1502/1929 pos:1555/1929 query:1929 hit:1826 align:1640 bit:3002.6</t>
  </si>
  <si>
    <t>XP_027453948.1</t>
  </si>
  <si>
    <t>sp|Q9Y6R1|S4A4_HUMAN</t>
  </si>
  <si>
    <t>Electrogenic sodium bicarbonate cotransporter 1 OS=Homo sapiens OX=9606 GN=SLC4A4 PE=1 SV=1</t>
  </si>
  <si>
    <t>ident:1053/1112 pos:1064/1112 query:1112 hit:1079 align:1081 bit:2169.8</t>
  </si>
  <si>
    <t>stathmin [Zalophus californianus]</t>
  </si>
  <si>
    <t>sp|P16949|STMN1_HUMAN</t>
  </si>
  <si>
    <t>Stathmin OS=Homo sapiens OX=9606 GN=STMN1 PE=1 SV=3</t>
  </si>
  <si>
    <t>ident:149/149 pos:149/149 query:149 hit:149 align:149 bit:285.4</t>
  </si>
  <si>
    <t>sp|P06858|LIPL_HUMAN</t>
  </si>
  <si>
    <t>Lipoprotein lipase OS=Homo sapiens OX=9606 GN=LPL PE=1 SV=1</t>
  </si>
  <si>
    <t>ident:450/478 pos:464/478 query:478 hit:475 align:478 bit:945.3</t>
  </si>
  <si>
    <t>homeodomain-only protein [Zalophus californianus]</t>
  </si>
  <si>
    <t>sp|Q9BPY8|HOP_HUMAN</t>
  </si>
  <si>
    <t>Homeodomain-only protein OS=Homo sapiens OX=9606 GN=HOPX PE=1 SV=1</t>
  </si>
  <si>
    <t>ident:68/73 pos:72/73 query:73 hit:73 align:73 bit:145.2</t>
  </si>
  <si>
    <t>XP_027454057.1</t>
  </si>
  <si>
    <t>sp|P20155|ISK2_HUMAN</t>
  </si>
  <si>
    <t>Serine protease inhibitor Kazal-type 2 OS=Homo sapiens OX=9606 GN=SPINK2 PE=1 SV=2</t>
  </si>
  <si>
    <t>ident:51/125 pos:55/125 query:125 hit:84 align:65 bit:109.0</t>
  </si>
  <si>
    <t>XP_027454117.1</t>
  </si>
  <si>
    <t>sp|Q9UHY7|ENOPH_HUMAN</t>
  </si>
  <si>
    <t>Enolase-phosphatase E1 OS=Homo sapiens OX=9606 GN=ENOPH1 PE=1 SV=1</t>
  </si>
  <si>
    <t>ident:253/260 pos:254/260 query:260 hit:261 align:260 bit:521.2</t>
  </si>
  <si>
    <t>sp|P00390|GSHR_HUMAN</t>
  </si>
  <si>
    <t>Glutathione reductase, mitochondrial OS=Homo sapiens OX=9606 GN=GSR PE=1 SV=2</t>
  </si>
  <si>
    <t>ident:462/519 pos:485/519 query:519 hit:522 align:522 bit:911.0</t>
  </si>
  <si>
    <t>XP_027454139.1</t>
  </si>
  <si>
    <t>sp|P19256|LFA3_HUMAN</t>
  </si>
  <si>
    <t>Lymphocyte function-associated antigen 3 OS=Homo sapiens OX=9606 GN=CD58 PE=1 SV=1</t>
  </si>
  <si>
    <t>ident:120/251 pos:157/251 query:251 hit:250 align:252 bit:214.2</t>
  </si>
  <si>
    <t>sp|O75083|WDR1_HUMAN</t>
  </si>
  <si>
    <t>WD repeat-containing protein 1 OS=Homo sapiens OX=9606 GN=WDR1 PE=1 SV=4</t>
  </si>
  <si>
    <t>ident:588/606 pos:598/606 query:606 hit:606 align:606 bit:1223.8</t>
  </si>
  <si>
    <t>XP_027454212.1</t>
  </si>
  <si>
    <t>sp|P22234|PUR6_HUMAN</t>
  </si>
  <si>
    <t>Multifunctional protein ADE2 OS=Homo sapiens OX=9606 GN=PAICS PE=1 SV=3</t>
  </si>
  <si>
    <t>ident:410/451 pos:418/451 query:451 hit:425 align:425 bit:853.2</t>
  </si>
  <si>
    <t>XP_027454217.1</t>
  </si>
  <si>
    <t>sp|P13497|BMP1_HUMAN</t>
  </si>
  <si>
    <t>Bone morphogenetic protein 1 OS=Homo sapiens OX=9606 GN=BMP1 PE=1 SV=2</t>
  </si>
  <si>
    <t>ident:952/986 pos:966/986 query:986 hit:986 align:988 bit:1976.8</t>
  </si>
  <si>
    <t>XP_027454228.1</t>
  </si>
  <si>
    <t>sp|Q6ZQW0|I23O2_HUMAN</t>
  </si>
  <si>
    <t>Indoleamine 2,3-dioxygenase 2 OS=Homo sapiens OX=9606 GN=IDO2 PE=1 SV=4</t>
  </si>
  <si>
    <t>ident:323/407 pos:359/407 query:407 hit:420 align:406 bit:641.3</t>
  </si>
  <si>
    <t>sp|Q6WKZ4|RFIP1_HUMAN</t>
  </si>
  <si>
    <t>Rab11 family-interacting protein 1 OS=Homo sapiens OX=9606 GN=RAB11FIP1 PE=1 SV=3</t>
  </si>
  <si>
    <t>ident:918/1274 pos:1005/1274 query:1274 hit:1283 align:1289 bit:1629.8</t>
  </si>
  <si>
    <t>sp|P25815|S100P_HUMAN</t>
  </si>
  <si>
    <t>Protein S100-P OS=Homo sapiens OX=9606 GN=S100P PE=1 SV=2</t>
  </si>
  <si>
    <t>ident:76/95 pos:90/95 query:95 hit:95 align:94 bit:165.6</t>
  </si>
  <si>
    <t>sp|Q9BUT1|BDH2_HUMAN</t>
  </si>
  <si>
    <t>3-hydroxybutyrate dehydrogenase type 2 OS=Homo sapiens OX=9606 GN=BDH2 PE=1 SV=2</t>
  </si>
  <si>
    <t>ident:229/245 pos:238/245 query:245 hit:245 align:245 bit:459.5</t>
  </si>
  <si>
    <t>XP_027454339.1</t>
  </si>
  <si>
    <t>ubiquitin-conjugating enzyme E2 D3 isoform X1 [Zalophus californianus]</t>
  </si>
  <si>
    <t>sp|P61077|UB2D3_HUMAN</t>
  </si>
  <si>
    <t>Ubiquitin-conjugating enzyme E2 D3 OS=Homo sapiens OX=9606 GN=UBE2D3 PE=1 SV=1</t>
  </si>
  <si>
    <t>ident:144/148 pos:147/148 query:148 hit:147 align:147 bit:305.1</t>
  </si>
  <si>
    <t>transcription factor BTF3 homolog 4 [Zalophus californianus]</t>
  </si>
  <si>
    <t>sp|Q96K17|BT3L4_HUMAN</t>
  </si>
  <si>
    <t>Transcription factor BTF3 homolog 4 OS=Homo sapiens OX=9606 GN=BTF3L4 PE=1 SV=1</t>
  </si>
  <si>
    <t>ident:158/158 pos:158/158 query:158 hit:158 align:158 bit:318.9</t>
  </si>
  <si>
    <t>pleckstrin homology domain-containing family A member 2 [Zalophus californianus]</t>
  </si>
  <si>
    <t>sp|Q9HB19|PKHA2_HUMAN</t>
  </si>
  <si>
    <t>Pleckstrin homology domain-containing family A member 2 OS=Homo sapiens OX=9606 GN=PLEKHA2 PE=1 SV=2</t>
  </si>
  <si>
    <t>ident:386/425 pos:404/425 query:425 hit:425 align:425 bit:788.1</t>
  </si>
  <si>
    <t>XP_027454562.1</t>
  </si>
  <si>
    <t>sp|P55157|MTP_HUMAN</t>
  </si>
  <si>
    <t>Microsomal triglyceride transfer protein large subunit OS=Homo sapiens OX=9606 GN=MTTP PE=1 SV=1</t>
  </si>
  <si>
    <t>ident:802/894 pos:845/894 query:894 hit:894 align:894 bit:1667.9</t>
  </si>
  <si>
    <t>XP_027454574.1</t>
  </si>
  <si>
    <t>sp|P61247|RS3A_HUMAN</t>
  </si>
  <si>
    <t>40S ribosomal protein S3a OS=Homo sapiens OX=9606 GN=RPS3A PE=1 SV=2</t>
  </si>
  <si>
    <t>ident:264/264 pos:264/264 query:264 hit:264 align:264 bit:545.8</t>
  </si>
  <si>
    <t>sp|P28838|AMPL_HUMAN</t>
  </si>
  <si>
    <t>Cytosol aminopeptidase OS=Homo sapiens OX=9606 GN=LAP3 PE=1 SV=3</t>
  </si>
  <si>
    <t>ident:476/519 pos:507/519 query:519 hit:519 align:519 bit:986.1</t>
  </si>
  <si>
    <t>sp|P09936|UCHL1_HUMAN</t>
  </si>
  <si>
    <t>Ubiquitin carboxyl-terminal hydrolase isozyme L1 OS=Homo sapiens OX=9606 GN=UCHL1 PE=1 SV=2</t>
  </si>
  <si>
    <t>ident:214/223 pos:220/223 query:223 hit:223 align:223 bit:448.0</t>
  </si>
  <si>
    <t>sp|O95210|STBD1_HUMAN</t>
  </si>
  <si>
    <t>Starch-binding domain-containing protein 1 OS=Homo sapiens OX=9606 GN=STBD1 PE=1 SV=1</t>
  </si>
  <si>
    <t>ident:253/379 pos:298/379 query:379 hit:358 align:360 bit:503.4</t>
  </si>
  <si>
    <t>sp|Q53GG5|PDLI3_HUMAN</t>
  </si>
  <si>
    <t>PDZ and LIM domain protein 3 OS=Homo sapiens OX=9606 GN=PDLIM3 PE=1 SV=1</t>
  </si>
  <si>
    <t>ident:336/364 pos:349/364 query:364 hit:364 align:364 bit:686.8</t>
  </si>
  <si>
    <t>sp|O15173|PGRC2_HUMAN</t>
  </si>
  <si>
    <t>Membrane-associated progesterone receptor component 2 OS=Homo sapiens OX=9606 GN=PGRMC2 PE=1 SV=1</t>
  </si>
  <si>
    <t>ident:215/247 pos:217/247 query:247 hit:223 align:223 bit:429.9</t>
  </si>
  <si>
    <t>XP_027454765.1</t>
  </si>
  <si>
    <t>alpha-adducin isoform X1 [Zalophus californianus]</t>
  </si>
  <si>
    <t>sp|P35611|ADDA_HUMAN</t>
  </si>
  <si>
    <t>Alpha-adducin OS=Homo sapiens OX=9606 GN=ADD1 PE=1 SV=2</t>
  </si>
  <si>
    <t>ident:682/804 pos:701/804 query:804 hit:737 align:806 bit:1323.9</t>
  </si>
  <si>
    <t>XP_027454793.1</t>
  </si>
  <si>
    <t>sp|O94905|ERLN2_HUMAN</t>
  </si>
  <si>
    <t>Erlin-2 OS=Homo sapiens OX=9606 GN=ERLIN2 PE=1 SV=1</t>
  </si>
  <si>
    <t>ident:324/353 pos:333/353 query:353 hit:339 align:339 bit:664.5</t>
  </si>
  <si>
    <t>sp|P07858|CATB_HUMAN</t>
  </si>
  <si>
    <t>Cathepsin B OS=Homo sapiens OX=9606 GN=CTSB PE=1 SV=3</t>
  </si>
  <si>
    <t>ident:282/339 pos:316/339 query:339 hit:339 align:339 bit:609.0</t>
  </si>
  <si>
    <t>XP_027454812.1</t>
  </si>
  <si>
    <t>sp|O94985|CSTN1_HUMAN</t>
  </si>
  <si>
    <t>Calsyntenin-1 OS=Homo sapiens OX=9606 GN=CLSTN1 PE=1 SV=1</t>
  </si>
  <si>
    <t>ident:840/952 pos:888/952 query:952 hit:981 align:956 bit:1713.0</t>
  </si>
  <si>
    <t>XP_027454839.1</t>
  </si>
  <si>
    <t>sp|O15204|ADEC1_HUMAN</t>
  </si>
  <si>
    <t>ADAM DEC1 OS=Homo sapiens OX=9606 GN=ADAMDEC1 PE=1 SV=2</t>
  </si>
  <si>
    <t>ident:371/470 pos:407/470 query:470 hit:470 align:471 bit:765.8</t>
  </si>
  <si>
    <t>sp|P24539|AT5F1_HUMAN</t>
  </si>
  <si>
    <t>ATP synthase F(0) complex subunit B1, mitochondrial OS=Homo sapiens OX=9606 GN=ATP5PB PE=1 SV=2</t>
  </si>
  <si>
    <t>ident:220/256 pos:237/256 query:256 hit:256 align:256 bit:441.0</t>
  </si>
  <si>
    <t>XP_027454861.1</t>
  </si>
  <si>
    <t>sp|Q16836|HCDH_HUMAN</t>
  </si>
  <si>
    <t>Hydroxyacyl-coenzyme A dehydrogenase, mitochondrial OS=Homo sapiens OX=9606 GN=HADH PE=1 SV=3</t>
  </si>
  <si>
    <t>ident:292/314 pos:307/314 query:314 hit:314 align:314 bit:583.6</t>
  </si>
  <si>
    <t>sp|Q04756|HGFA_HUMAN</t>
  </si>
  <si>
    <t>Hepatocyte growth factor activator OS=Homo sapiens OX=9606 GN=HGFAC PE=1 SV=1</t>
  </si>
  <si>
    <t>ident:528/656 pos:553/656 query:656 hit:655 align:639 bit:1057.7</t>
  </si>
  <si>
    <t>sp|P12235|ADT1_HUMAN</t>
  </si>
  <si>
    <t>ADP/ATP translocase 1 OS=Homo sapiens OX=9606 GN=SLC25A4 PE=1 SV=4</t>
  </si>
  <si>
    <t>ident:289/298 pos:293/298 query:298 hit:298 align:298 bit:593.6</t>
  </si>
  <si>
    <t>sp|P21281|VATB2_HUMAN</t>
  </si>
  <si>
    <t>V-type proton ATPase subunit B, brain isoform OS=Homo sapiens OX=9606 GN=ATP6V1B2 PE=1 SV=3</t>
  </si>
  <si>
    <t>ident:507/511 pos:509/511 query:511 hit:511 align:511 bit:1049.3</t>
  </si>
  <si>
    <t>sp|O75711|SCRG1_HUMAN</t>
  </si>
  <si>
    <t>Scrapie-responsive protein 1 OS=Homo sapiens OX=9606 GN=SCRG1 PE=1 SV=1</t>
  </si>
  <si>
    <t>ident:86/98 pos:91/98 query:98 hit:98 align:98 bit:186.8</t>
  </si>
  <si>
    <t>sp|P19875|CXCL2_HUMAN</t>
  </si>
  <si>
    <t>C-X-C motif chemokine 2 OS=Homo sapiens OX=9606 GN=CXCL2 PE=1 SV=1</t>
  </si>
  <si>
    <t>ident:80/107 pos:87/107 query:107 hit:107 align:107 bit:132.1</t>
  </si>
  <si>
    <t>XP_027454968.1</t>
  </si>
  <si>
    <t>sp|P06730|IF4E_HUMAN</t>
  </si>
  <si>
    <t>Eukaryotic translation initiation factor 4E OS=Homo sapiens OX=9606 GN=EIF4E PE=1 SV=2</t>
  </si>
  <si>
    <t>ident:214/217 pos:215/217 query:217 hit:217 align:217 bit:449.5</t>
  </si>
  <si>
    <t>XP_027454972.1</t>
  </si>
  <si>
    <t>sp|P02768|ALBU_HUMAN</t>
  </si>
  <si>
    <t>Serum albumin OS=Homo sapiens OX=9606 GN=ALB PE=1 SV=2</t>
  </si>
  <si>
    <t>ident:481/608 pos:539/608 query:608 hit:609 align:608 bit:1019.6</t>
  </si>
  <si>
    <t>XP_027455015.1</t>
  </si>
  <si>
    <t>sp|P03951|FA11_HUMAN</t>
  </si>
  <si>
    <t>Coagulation factor XI OS=Homo sapiens OX=9606 GN=F11 PE=1 SV=1</t>
  </si>
  <si>
    <t>ident:549/652 pos:587/652 query:652 hit:625 align:645 bit:1159.0</t>
  </si>
  <si>
    <t>ecto-ADP-ribosyltransferase 3 isoform X1 [Zalophus californianus]</t>
  </si>
  <si>
    <t>sp|Q13508|NAR3_HUMAN</t>
  </si>
  <si>
    <t>Ecto-ADP-ribosyltransferase 3 OS=Homo sapiens OX=9606 GN=ART3 PE=1 SV=2</t>
  </si>
  <si>
    <t>ident:293/391 pos:327/391 query:391 hit:389 align:400 bit:573.2</t>
  </si>
  <si>
    <t>ident:288/380 pos:321/380 query:380 hit:389 align:389 bit:566.6</t>
  </si>
  <si>
    <t>sp|Q13541|4EBP1_HUMAN</t>
  </si>
  <si>
    <t>Eukaryotic translation initiation factor 4E-binding protein 1 OS=Homo sapiens OX=9606 GN=EIF4EBP1 PE=1 SV=3</t>
  </si>
  <si>
    <t>ident:111/118 pos:115/118 query:118 hit:118 align:118 bit:224.6</t>
  </si>
  <si>
    <t>XP_027455089.1</t>
  </si>
  <si>
    <t>sp|Q66K79|CBPZ_HUMAN</t>
  </si>
  <si>
    <t>Carboxypeptidase Z OS=Homo sapiens OX=9606 GN=CPZ PE=1 SV=2</t>
  </si>
  <si>
    <t>ident:560/656 pos:586/656 query:656 hit:652 align:638 bit:1165.2</t>
  </si>
  <si>
    <t>sp|P02679|FIBG_HUMAN</t>
  </si>
  <si>
    <t>Fibrinogen gamma chain OS=Homo sapiens OX=9606 GN=FGG PE=1 SV=3</t>
  </si>
  <si>
    <t>ident:382/445 pos:415/445 query:445 hit:453 align:445 bit:823.9</t>
  </si>
  <si>
    <t>sp|O43768|ENSA_HUMAN</t>
  </si>
  <si>
    <t>Alpha-endosulfine OS=Homo sapiens OX=9606 GN=ENSA PE=1 SV=1</t>
  </si>
  <si>
    <t>ident:121/121 pos:121/121 query:121 hit:121 align:121 bit:243.0</t>
  </si>
  <si>
    <t>XP_027455223.1</t>
  </si>
  <si>
    <t>podocan isoform X1 [Zalophus californianus]</t>
  </si>
  <si>
    <t>sp|Q7Z5L7|PODN_HUMAN</t>
  </si>
  <si>
    <t>Podocan OS=Homo sapiens OX=9606 GN=PODN PE=1 SV=2</t>
  </si>
  <si>
    <t>ident:559/678 pos:572/678 query:678 hit:613 align:595 bit:1060.4</t>
  </si>
  <si>
    <t>tissue-type plasminogen activator [Zalophus californianus]</t>
  </si>
  <si>
    <t>sp|P00750|TPA_HUMAN</t>
  </si>
  <si>
    <t>Tissue-type plasminogen activator OS=Homo sapiens OX=9606 GN=PLAT PE=1 SV=1</t>
  </si>
  <si>
    <t>ident:452/560 pos:492/560 query:560 hit:562 align:559 bit:961.4</t>
  </si>
  <si>
    <t>XP_027455285.1</t>
  </si>
  <si>
    <t>sp|P61086|UBE2K_HUMAN</t>
  </si>
  <si>
    <t>Ubiquitin-conjugating enzyme E2 K OS=Homo sapiens OX=9606 GN=UBE2K PE=1 SV=3</t>
  </si>
  <si>
    <t>ident:200/200 pos:200/200 query:200 hit:200 align:200 bit:414.8</t>
  </si>
  <si>
    <t>sp|Q13510|ASAH1_HUMAN</t>
  </si>
  <si>
    <t>Acid ceramidase OS=Homo sapiens OX=9606 GN=ASAH1 PE=1 SV=5</t>
  </si>
  <si>
    <t>ident:341/395 pos:373/395 query:395 hit:395 align:395 bit:720.3</t>
  </si>
  <si>
    <t>sp|Q02083|NAAA_HUMAN</t>
  </si>
  <si>
    <t>N-acylethanolamine-hydrolyzing acid amidase OS=Homo sapiens OX=9606 GN=NAAA PE=1 SV=3</t>
  </si>
  <si>
    <t>ident:276/356 pos:299/356 query:356 hit:359 align:326 bit:591.3</t>
  </si>
  <si>
    <t>XP_027455476.1</t>
  </si>
  <si>
    <t>sp|Q96AE4|FUBP1_HUMAN</t>
  </si>
  <si>
    <t>Far upstream element-binding protein 1 OS=Homo sapiens OX=9606 GN=FUBP1 PE=1 SV=3</t>
  </si>
  <si>
    <t>ident:640/711 pos:641/711 query:711 hit:644 align:686 bit:1244.6</t>
  </si>
  <si>
    <t>sp|Q07075|AMPE_HUMAN</t>
  </si>
  <si>
    <t>Glutamyl aminopeptidase OS=Homo sapiens OX=9606 GN=ENPEP PE=1 SV=3</t>
  </si>
  <si>
    <t>ident:805/945 pos:870/945 query:945 hit:957 align:953 bit:1656.3</t>
  </si>
  <si>
    <t>sp|Q96G03|PGM2_HUMAN</t>
  </si>
  <si>
    <t>Phosphoglucomutase-2 OS=Homo sapiens OX=9606 GN=PGM2 PE=1 SV=4</t>
  </si>
  <si>
    <t>ident:565/615 pos:585/615 query:615 hit:612 align:611 bit:1186.8</t>
  </si>
  <si>
    <t>sp|Q9NRR1|CYTL1_HUMAN</t>
  </si>
  <si>
    <t>Cytokine-like protein 1 OS=Homo sapiens OX=9606 GN=CYTL1 PE=1 SV=1</t>
  </si>
  <si>
    <t>ident:94/134 pos:101/134 query:134 hit:136 align:116 bit:195.3</t>
  </si>
  <si>
    <t>sp|P52823|STC1_HUMAN</t>
  </si>
  <si>
    <t>Stanniocalcin-1 OS=Homo sapiens OX=9606 GN=STC1 PE=1 SV=1</t>
  </si>
  <si>
    <t>ident:243/247 pos:245/247 query:247 hit:247 align:247 bit:505.4</t>
  </si>
  <si>
    <t>sp|Q9UJ72|ANX10_HUMAN</t>
  </si>
  <si>
    <t>Annexin A10 OS=Homo sapiens OX=9606 GN=ANXA10 PE=1 SV=3</t>
  </si>
  <si>
    <t>ident:304/324 pos:318/324 query:324 hit:324 align:324 bit:650.2</t>
  </si>
  <si>
    <t>sp|P02671|FIBA_HUMAN</t>
  </si>
  <si>
    <t>Fibrinogen alpha chain OS=Homo sapiens OX=9606 GN=FGA PE=1 SV=2</t>
  </si>
  <si>
    <t>ident:624/872 pos:709/872 query:872 hit:866 align:892 bit:1188.3</t>
  </si>
  <si>
    <t>sp|P01591|IGJ_HUMAN</t>
  </si>
  <si>
    <t>Immunoglobulin J chain OS=Homo sapiens OX=9606 GN=JCHAIN PE=1 SV=4</t>
  </si>
  <si>
    <t>ident:135/158 pos:144/158 query:158 hit:159 align:160 bit:277.3</t>
  </si>
  <si>
    <t>sp|P11766|ADHX_HUMAN</t>
  </si>
  <si>
    <t>Alcohol dehydrogenase class-3 OS=Homo sapiens OX=9606 GN=ADH5 PE=1 SV=4</t>
  </si>
  <si>
    <t>ident:354/394 pos:366/394 query:394 hit:374 align:374 bit:706.4</t>
  </si>
  <si>
    <t>sp|Q08830|FGL1_HUMAN</t>
  </si>
  <si>
    <t>Fibrinogen-like protein 1 OS=Homo sapiens OX=9606 GN=FGL1 PE=1 SV=3</t>
  </si>
  <si>
    <t>ident:271/312 pos:284/312 query:312 hit:312 align:312 bit:570.5</t>
  </si>
  <si>
    <t>XP_027455725.1</t>
  </si>
  <si>
    <t>alpha-synuclein isoform X1 [Zalophus californianus]</t>
  </si>
  <si>
    <t>sp|P37840|SYUA_HUMAN</t>
  </si>
  <si>
    <t>Alpha-synuclein OS=Homo sapiens OX=9606 GN=SNCA PE=1 SV=1</t>
  </si>
  <si>
    <t>ident:134/140 pos:135/140 query:140 hit:140 align:140 bit:256.5</t>
  </si>
  <si>
    <t>XP_027455730.1</t>
  </si>
  <si>
    <t>sp|P83110|HTRA3_HUMAN</t>
  </si>
  <si>
    <t>Serine protease HTRA3 OS=Homo sapiens OX=9606 GN=HTRA3 PE=1 SV=2</t>
  </si>
  <si>
    <t>ident:406/495 pos:417/495 query:495 hit:453 align:435 bit:833.9</t>
  </si>
  <si>
    <t>sp|P20933|ASPG_HUMAN</t>
  </si>
  <si>
    <t>N(4)-(beta-N-acetylglucosaminyl)-L-asparaginase OS=Homo sapiens OX=9606 GN=AGA PE=1 SV=2</t>
  </si>
  <si>
    <t>ident:286/346 pos:303/346 query:346 hit:346 align:327 bit:582.8</t>
  </si>
  <si>
    <t>XP_027455736.1</t>
  </si>
  <si>
    <t>sp|P10451|OSTP_HUMAN</t>
  </si>
  <si>
    <t>Osteopontin OS=Homo sapiens OX=9606 GN=SPP1 PE=1 SV=1</t>
  </si>
  <si>
    <t>ident:168/272 pos:204/272 query:272 hit:314 align:314 bit:279.3</t>
  </si>
  <si>
    <t>vitamin D-binding protein [Zalophus californianus]</t>
  </si>
  <si>
    <t>sp|P02774|VTDB_HUMAN</t>
  </si>
  <si>
    <t>Vitamin D-binding protein OS=Homo sapiens OX=9606 GN=GC PE=1 SV=2</t>
  </si>
  <si>
    <t>ident:394/488 pos:434/488 query:488 hit:474 align:474 bit:827.4</t>
  </si>
  <si>
    <t>sp|P49207|RL34_HUMAN</t>
  </si>
  <si>
    <t>60S ribosomal protein L34 OS=Homo sapiens OX=9606 GN=RPL34 PE=1 SV=3</t>
  </si>
  <si>
    <t>ident:117/117 pos:117/117 query:117 hit:117 align:117 bit:233.4</t>
  </si>
  <si>
    <t>XP_027455764.1</t>
  </si>
  <si>
    <t>protein transport protein Sec31A isoform X1 [Zalophus californianus]</t>
  </si>
  <si>
    <t>sp|O94979|SC31A_HUMAN</t>
  </si>
  <si>
    <t>Protein transport protein Sec31A OS=Homo sapiens OX=9606 GN=SEC31A PE=1 SV=3</t>
  </si>
  <si>
    <t>ident:1157/1234 pos:1183/1234 query:1234 hit:1220 align:1234 bit:2311.9</t>
  </si>
  <si>
    <t>sp|P08758|ANXA5_HUMAN</t>
  </si>
  <si>
    <t>Annexin A5 OS=Homo sapiens OX=9606 GN=ANXA5 PE=1 SV=2</t>
  </si>
  <si>
    <t>ident:305/321 pos:312/321 query:321 hit:320 align:317 bit:624.0</t>
  </si>
  <si>
    <t>XP_027455788.1</t>
  </si>
  <si>
    <t>ectonucleotide pyrophosphatase/phosphodiesterase family member 6 isoform X2 [Zalophus californianus]</t>
  </si>
  <si>
    <t>sp|Q6UWR7|ENPP6_HUMAN</t>
  </si>
  <si>
    <t>Ectonucleotide pyrophosphatase/phosphodiesterase family member 6 OS=Homo sapiens OX=9606 GN=ENPP6 PE=1 SV=2</t>
  </si>
  <si>
    <t>ident:402/440 pos:411/440 query:440 hit:440 align:429 bit:823.2</t>
  </si>
  <si>
    <t>platelet-derived growth factor receptor alpha [Zalophus californianus]</t>
  </si>
  <si>
    <t>sp|P16234|PGFRA_HUMAN</t>
  </si>
  <si>
    <t>Platelet-derived growth factor receptor alpha OS=Homo sapiens OX=9606 GN=PDGFRA PE=1 SV=1</t>
  </si>
  <si>
    <t>ident:1042/1089 pos:1068/1089 query:1089 hit:1089 align:1089 bit:2117.4</t>
  </si>
  <si>
    <t>sp|Q6ZMJ2|SCAR5_HUMAN</t>
  </si>
  <si>
    <t>Scavenger receptor class A member 5 OS=Homo sapiens OX=9606 GN=SCARA5 PE=2 SV=1</t>
  </si>
  <si>
    <t>ident:455/495 pos:468/495 query:495 hit:495 align:495 bit:894.4</t>
  </si>
  <si>
    <t>ident:457/494 pos:470/494 query:494 hit:495 align:495 bit:895.2</t>
  </si>
  <si>
    <t>sp|P26583|HMGB2_HUMAN</t>
  </si>
  <si>
    <t>High mobility group protein B2 OS=Homo sapiens OX=9606 GN=HMGB2 PE=1 SV=2</t>
  </si>
  <si>
    <t>ident:157/181 pos:158/181 query:181 hit:209 align:159 bit:320.9</t>
  </si>
  <si>
    <t>sp|P00915|CAH1_HUMAN</t>
  </si>
  <si>
    <t>Carbonic anhydrase 1 OS=Homo sapiens OX=9606 GN=CA1 PE=1 SV=2</t>
  </si>
  <si>
    <t>ident:221/261 pos:240/261 query:261 hit:261 align:261 bit:473.0</t>
  </si>
  <si>
    <t>sp|O14924|RGS12_HUMAN</t>
  </si>
  <si>
    <t>Regulator of G-protein signaling 12 OS=Homo sapiens OX=9606 GN=RGS12 PE=1 SV=1</t>
  </si>
  <si>
    <t>ident:1145/1369 pos:1225/1369 query:1369 hit:1447 align:1447 bit:2249.2</t>
  </si>
  <si>
    <t>XP_027455939.1</t>
  </si>
  <si>
    <t>sp|P68363|TBA1B_HUMAN</t>
  </si>
  <si>
    <t>Tubulin alpha-1B chain OS=Homo sapiens OX=9606 GN=TUBA1B PE=1 SV=1</t>
  </si>
  <si>
    <t>ident:275/344 pos:276/344 query:344 hit:451 align:280 bit:574.3</t>
  </si>
  <si>
    <t>sp|P09417|DHPR_HUMAN</t>
  </si>
  <si>
    <t>Dihydropteridine reductase OS=Homo sapiens OX=9606 GN=QDPR PE=1 SV=2</t>
  </si>
  <si>
    <t>ident:233/242 pos:239/242 query:242 hit:244 align:241 bit:486.1</t>
  </si>
  <si>
    <t>XP_027456033.1</t>
  </si>
  <si>
    <t>sp|O15072|ATS3_HUMAN</t>
  </si>
  <si>
    <t>A disintegrin and metalloproteinase with thrombospondin motifs 3 OS=Homo sapiens OX=9606 GN=ADAMTS3 PE=1 SV=4</t>
  </si>
  <si>
    <t>ident:1078/1201 pos:1126/1201 query:1201 hit:1205 align:1205 bit:2259.2</t>
  </si>
  <si>
    <t>XP_027456080.1</t>
  </si>
  <si>
    <t>sp|P43652|AFAM_HUMAN</t>
  </si>
  <si>
    <t>Afamin OS=Homo sapiens OX=9606 GN=AFM PE=1 SV=1</t>
  </si>
  <si>
    <t>ident:441/604 pos:518/604 query:604 hit:599 align:597 bit:937.2</t>
  </si>
  <si>
    <t>sp|P68104|EF1A1_HUMAN</t>
  </si>
  <si>
    <t>Elongation factor 1-alpha 1 OS=Homo sapiens OX=9606 GN=EEF1A1 PE=1 SV=1</t>
  </si>
  <si>
    <t>ident:253/352 pos:254/352 query:352 hit:462 align:257 bit:521.2</t>
  </si>
  <si>
    <t>sp|P12429|ANXA3_HUMAN</t>
  </si>
  <si>
    <t>Annexin A3 OS=Homo sapiens OX=9606 GN=ANXA3 PE=1 SV=3</t>
  </si>
  <si>
    <t>ident:297/323 pos:309/323 query:323 hit:323 align:323 bit:608.2</t>
  </si>
  <si>
    <t>sp|Q8N474|SFRP1_HUMAN</t>
  </si>
  <si>
    <t>Secreted frizzled-related protein 1 OS=Homo sapiens OX=9606 GN=SFRP1 PE=1 SV=1</t>
  </si>
  <si>
    <t>ident:302/314 pos:303/314 query:314 hit:314 align:314 bit:626.7</t>
  </si>
  <si>
    <t>XP_027456178.1</t>
  </si>
  <si>
    <t>myomesin-2 isoform X1 [Zalophus californianus]</t>
  </si>
  <si>
    <t>sp|P54296|MYOM2_HUMAN</t>
  </si>
  <si>
    <t>Myomesin-2 OS=Homo sapiens OX=9606 GN=MYOM2 PE=1 SV=2</t>
  </si>
  <si>
    <t>ident:1287/1468 pos:1397/1468 query:1468 hit:1465 align:1468 bit:2727.6</t>
  </si>
  <si>
    <t>sp|P01133|EGF_HUMAN</t>
  </si>
  <si>
    <t>Pro-epidermal growth factor OS=Homo sapiens OX=9606 GN=EGF PE=1 SV=2</t>
  </si>
  <si>
    <t>ident:947/1206 pos:1042/1206 query:1206 hit:1207 align:1199 bit:1928.7</t>
  </si>
  <si>
    <t>XP_027456452.1</t>
  </si>
  <si>
    <t>sp|O60763|USO1_HUMAN</t>
  </si>
  <si>
    <t>General vesicular transport factor p115 OS=Homo sapiens OX=9606 GN=USO1 PE=1 SV=2</t>
  </si>
  <si>
    <t>ident:905/970 pos:929/970 query:970 hit:962 align:970 bit:1726.5</t>
  </si>
  <si>
    <t>sp|Q9UJ68|MSRA_HUMAN</t>
  </si>
  <si>
    <t>Mitochondrial peptide methionine sulfoxide reductase OS=Homo sapiens OX=9606 GN=MSRA PE=1 SV=1</t>
  </si>
  <si>
    <t>ident:202/233 pos:213/233 query:233 hit:235 align:235 bit:423.7</t>
  </si>
  <si>
    <t>sp|Q13201|MMRN1_HUMAN</t>
  </si>
  <si>
    <t>Multimerin-1 OS=Homo sapiens OX=9606 GN=MMRN1 PE=1 SV=3</t>
  </si>
  <si>
    <t>ident:971/1217 pos:1085/1217 query:1217 hit:1228 align:1233 bit:2023.0</t>
  </si>
  <si>
    <t>sp|P00325|ADH1B_HUMAN</t>
  </si>
  <si>
    <t>Alcohol dehydrogenase 1B OS=Homo sapiens OX=9606 GN=ADH1B PE=1 SV=2</t>
  </si>
  <si>
    <t>ident:320/375 pos:351/375 query:375 hit:375 align:375 bit:668.3</t>
  </si>
  <si>
    <t>XP_027456698.1</t>
  </si>
  <si>
    <t>phosphoacetylglucosamine mutase isoform X1 [Zalophus californianus]</t>
  </si>
  <si>
    <t>sp|O95394|AGM1_HUMAN</t>
  </si>
  <si>
    <t>Phosphoacetylglucosamine mutase OS=Homo sapiens OX=9606 GN=PGM3 PE=1 SV=1</t>
  </si>
  <si>
    <t>ident:499/542 pos:519/542 query:542 hit:542 align:542 bit:1045.0</t>
  </si>
  <si>
    <t>XP_027456708.1</t>
  </si>
  <si>
    <t>sp|Q9UM54|MYO6_HUMAN</t>
  </si>
  <si>
    <t>Unconventional myosin-VI OS=Homo sapiens OX=9606 GN=MYO6 PE=1 SV=4</t>
  </si>
  <si>
    <t>ident:1241/1288 pos:1264/1288 query:1288 hit:1294 align:1298 bit:2574.3</t>
  </si>
  <si>
    <t>tenascin-X isoform X1 [Zalophus californianus]</t>
  </si>
  <si>
    <t>sp|P22105|TENX_HUMAN</t>
  </si>
  <si>
    <t>Tenascin-X OS=Homo sapiens OX=9606 GN=TNXB PE=1 SV=5</t>
  </si>
  <si>
    <t>ident:1761/3358 pos:2076/3358 query:3358 hit:4244 align:3290 bit:3014.9</t>
  </si>
  <si>
    <t>ident:1707/3064 pos:2001/3064 query:3064 hit:4244 align:3024 bit:3057.7</t>
  </si>
  <si>
    <t>XP_027456791.1</t>
  </si>
  <si>
    <t>sp|P12872|MOTI_HUMAN</t>
  </si>
  <si>
    <t>Promotilin OS=Homo sapiens OX=9606 GN=MLN PE=1 SV=1</t>
  </si>
  <si>
    <t>ident:82/117 pos:97/117 query:117 hit:115 align:109 bit:168.7</t>
  </si>
  <si>
    <t>sp|P08574|CY1_HUMAN</t>
  </si>
  <si>
    <t>Cytochrome c1, heme protein, mitochondrial OS=Homo sapiens OX=9606 GN=CYC1 PE=1 SV=3</t>
  </si>
  <si>
    <t>ident:300/325 pos:312/325 query:325 hit:325 align:325 bit:560.5</t>
  </si>
  <si>
    <t>XP_027456859.1</t>
  </si>
  <si>
    <t>vacuolar protein sorting-associated protein 28 homolog isoform X1 [Zalophus californianus]</t>
  </si>
  <si>
    <t>sp|Q9UK41|VPS28_HUMAN</t>
  </si>
  <si>
    <t>Vacuolar protein sorting-associated protein 28 homolog OS=Homo sapiens OX=9606 GN=VPS28 PE=1 SV=1</t>
  </si>
  <si>
    <t>ident:217/221 pos:221/221 query:221 hit:221 align:221 bit:458.0</t>
  </si>
  <si>
    <t>XP_027456929.1</t>
  </si>
  <si>
    <t>sp|O60506|HNRPQ_HUMAN</t>
  </si>
  <si>
    <t>Heterogeneous nuclear ribonucleoprotein Q OS=Homo sapiens OX=9606 GN=SYNCRIP PE=1 SV=2</t>
  </si>
  <si>
    <t>ident:623/623 pos:623/623 query:623 hit:623 align:623 bit:1283.5</t>
  </si>
  <si>
    <t>XP_027456946.1</t>
  </si>
  <si>
    <t>band 4.1-like protein 2 isoform X1 [Zalophus californianus]</t>
  </si>
  <si>
    <t>sp|O43491|E41L2_HUMAN</t>
  </si>
  <si>
    <t>Band 4.1-like protein 2 OS=Homo sapiens OX=9606 GN=EPB41L2 PE=1 SV=1</t>
  </si>
  <si>
    <t>ident:614/1102 pos:641/1102 query:1102 hit:1005 align:682 bit:1266.5</t>
  </si>
  <si>
    <t>XP_027457001.1</t>
  </si>
  <si>
    <t>sp|Q9Y5K6|CD2AP_HUMAN</t>
  </si>
  <si>
    <t>CD2-associated protein OS=Homo sapiens OX=9606 GN=CD2AP PE=1 SV=1</t>
  </si>
  <si>
    <t>ident:584/639 pos:608/639 query:639 hit:639 align:639 bit:1070.1</t>
  </si>
  <si>
    <t>sp|P05023|AT1A1_HUMAN</t>
  </si>
  <si>
    <t>Sodium/potassium-transporting ATPase subunit alpha-1 OS=Homo sapiens OX=9606 GN=ATP1A1 PE=1 SV=1</t>
  </si>
  <si>
    <t>ident:968/982 pos:978/982 query:982 hit:1023 align:1023 bit:1993.8</t>
  </si>
  <si>
    <t>sp|P04179|SODM_HUMAN</t>
  </si>
  <si>
    <t>Superoxide dismutase [Mn], mitochondrial OS=Homo sapiens OX=9606 GN=SOD2 PE=1 SV=3</t>
  </si>
  <si>
    <t>ident:198/222 pos:203/222 query:222 hit:222 align:222 bit:417.2</t>
  </si>
  <si>
    <t>glutathione S-transferase A4 [Zalophus californianus]</t>
  </si>
  <si>
    <t>sp|O15217|GSTA4_HUMAN</t>
  </si>
  <si>
    <t>Glutathione S-transferase A4 OS=Homo sapiens OX=9606 GN=GSTA4 PE=1 SV=1</t>
  </si>
  <si>
    <t>ident:208/222 pos:217/222 query:222 hit:222 align:222 bit:428.3</t>
  </si>
  <si>
    <t>mannosyl-oligosaccharide 1,2-alpha-mannosidase IA isoform X1 [Zalophus californianus]</t>
  </si>
  <si>
    <t>sp|P33908|MA1A1_HUMAN</t>
  </si>
  <si>
    <t>Mannosyl-oligosaccharide 1,2-alpha-mannosidase IA OS=Homo sapiens OX=9606 GN=MAN1A1 PE=1 SV=3</t>
  </si>
  <si>
    <t>ident:609/659 pos:630/659 query:659 hit:653 align:659 bit:1211.8</t>
  </si>
  <si>
    <t>ezrin isoform X1 [Zalophus californianus]</t>
  </si>
  <si>
    <t>sp|P15311|EZRI_HUMAN</t>
  </si>
  <si>
    <t>Ezrin OS=Homo sapiens OX=9606 GN=EZR PE=1 SV=4</t>
  </si>
  <si>
    <t>ident:564/586 pos:579/586 query:586 hit:586 align:586 bit:1162.5</t>
  </si>
  <si>
    <t>sp|Q9NYF8|BCLF1_HUMAN</t>
  </si>
  <si>
    <t>Bcl-2-associated transcription factor 1 OS=Homo sapiens OX=9606 GN=BCLAF1 PE=1 SV=2</t>
  </si>
  <si>
    <t>ident:896/921 pos:903/921 query:921 hit:920 align:921 bit:1788.5</t>
  </si>
  <si>
    <t>XP_027457287.1</t>
  </si>
  <si>
    <t>sp|P11717|MPRI_HUMAN</t>
  </si>
  <si>
    <t>Cation-independent mannose-6-phosphate receptor OS=Homo sapiens OX=9606 GN=IGF2R PE=1 SV=3</t>
  </si>
  <si>
    <t>ident:2129/2502 pos:2276/2502 query:2502 hit:2491 align:2505 bit:4371.6</t>
  </si>
  <si>
    <t>XP_027457384.1</t>
  </si>
  <si>
    <t>mitogen-activated protein kinase 14 isoform X1 [Zalophus californianus]</t>
  </si>
  <si>
    <t>sp|Q16539|MK14_HUMAN</t>
  </si>
  <si>
    <t>Mitogen-activated protein kinase 14 OS=Homo sapiens OX=9606 GN=MAPK14 PE=1 SV=3</t>
  </si>
  <si>
    <t>ident:322/367 pos:323/367 query:367 hit:360 align:329 bit:662.1</t>
  </si>
  <si>
    <t>XP_027457399.1</t>
  </si>
  <si>
    <t>sp|P80108|PHLD_HUMAN</t>
  </si>
  <si>
    <t>Phosphatidylinositol-glycan-specific phospholipase D OS=Homo sapiens OX=9606 GN=GPLD1 PE=1 SV=3</t>
  </si>
  <si>
    <t>ident:694/843 pos:761/843 query:843 hit:840 align:837 bit:1443.3</t>
  </si>
  <si>
    <t>ident:267/379 pos:298/379 query:379 hit:365 align:365 bit:550.4</t>
  </si>
  <si>
    <t>sp|Q8NBS9|TXND5_HUMAN</t>
  </si>
  <si>
    <t>Thioredoxin domain-containing protein 5 OS=Homo sapiens OX=9606 GN=TXNDC5 PE=1 SV=2</t>
  </si>
  <si>
    <t>ident:379/433 pos:392/433 query:433 hit:432 align:434 bit:718.4</t>
  </si>
  <si>
    <t>XP_027457505.1</t>
  </si>
  <si>
    <t>sp|O94874|UFL1_HUMAN</t>
  </si>
  <si>
    <t>E3 UFM1-protein ligase 1 OS=Homo sapiens OX=9606 GN=UFL1 PE=1 SV=2</t>
  </si>
  <si>
    <t>ident:735/792 pos:770/792 query:792 hit:794 align:794 bit:1478.4</t>
  </si>
  <si>
    <t>XP_027457521.1</t>
  </si>
  <si>
    <t>sp|P08238|HS90B_HUMAN</t>
  </si>
  <si>
    <t>Heat shock protein HSP 90-beta OS=Homo sapiens OX=9606 GN=HSP90AB1 PE=1 SV=4</t>
  </si>
  <si>
    <t>ident:722/724 pos:723/724 query:724 hit:724 align:724 bit:1476.8</t>
  </si>
  <si>
    <t>serpin B9 [Zalophus californianus]</t>
  </si>
  <si>
    <t>sp|P50453|SPB9_HUMAN</t>
  </si>
  <si>
    <t>Serpin B9 OS=Homo sapiens OX=9606 GN=SERPINB9 PE=1 SV=1</t>
  </si>
  <si>
    <t>ident:296/375 pos:336/375 query:375 hit:376 align:376 bit:625.2</t>
  </si>
  <si>
    <t>sp|O43598|DNPH1_HUMAN</t>
  </si>
  <si>
    <t>2'-deoxynucleoside 5'-phosphate N-hydrolase 1 OS=Homo sapiens OX=9606 GN=DNPH1 PE=1 SV=1</t>
  </si>
  <si>
    <t>ident:143/166 pos:150/166 query:166 hit:174 align:165 bit:280.8</t>
  </si>
  <si>
    <t>XP_027457585.1</t>
  </si>
  <si>
    <t>sp|P48506|GSH1_HUMAN</t>
  </si>
  <si>
    <t>Glutamate--cysteine ligase catalytic subunit OS=Homo sapiens OX=9606 GN=GCLC PE=1 SV=2</t>
  </si>
  <si>
    <t>ident:618/637 pos:625/637 query:637 hit:637 align:637 bit:1297.0</t>
  </si>
  <si>
    <t>sp|P17096|HMGA1_HUMAN</t>
  </si>
  <si>
    <t>High mobility group protein HMG-I/HMG-Y OS=Homo sapiens OX=9606 GN=HMGA1 PE=1 SV=3</t>
  </si>
  <si>
    <t>ident:107/107 pos:107/107 query:107 hit:107 align:107 bit:196.8</t>
  </si>
  <si>
    <t>ident:96/96 pos:96/96 query:96 hit:107 align:107 bit:166.4</t>
  </si>
  <si>
    <t>sp|Q9Y235|ABEC2_HUMAN</t>
  </si>
  <si>
    <t>C-&gt;U-editing enzyme APOBEC-2 OS=Homo sapiens OX=9606 GN=APOBEC2 PE=1 SV=1</t>
  </si>
  <si>
    <t>ident:200/230 pos:208/230 query:230 hit:224 align:210 bit:401.4</t>
  </si>
  <si>
    <t>40S ribosomal protein S18 isoform X2 [Zalophus californianus]</t>
  </si>
  <si>
    <t>sp|P62269|RS18_HUMAN</t>
  </si>
  <si>
    <t>40S ribosomal protein S18 OS=Homo sapiens OX=9606 GN=RPS18 PE=1 SV=3</t>
  </si>
  <si>
    <t>ident:152/152 pos:152/152 query:152 hit:152 align:152 bit:307.4</t>
  </si>
  <si>
    <t>sp|P17987|TCPA_HUMAN</t>
  </si>
  <si>
    <t>T-complex protein 1 subunit alpha OS=Homo sapiens OX=9606 GN=TCP1 PE=1 SV=1</t>
  </si>
  <si>
    <t>ident:542/556 pos:551/556 query:556 hit:556 align:556 bit:1112.1</t>
  </si>
  <si>
    <t>sp|Q9BWD1|THIC_HUMAN</t>
  </si>
  <si>
    <t>Acetyl-CoA acetyltransferase, cytosolic OS=Homo sapiens OX=9606 GN=ACAT2 PE=1 SV=2</t>
  </si>
  <si>
    <t>ident:352/397 pos:370/397 query:397 hit:397 align:396 bit:723.0</t>
  </si>
  <si>
    <t>sp|P15924|DESP_HUMAN</t>
  </si>
  <si>
    <t>Desmoplakin OS=Homo sapiens OX=9606 GN=DSP PE=1 SV=3</t>
  </si>
  <si>
    <t>ident:2740/2897 pos:2817/2897 query:2897 hit:2871 align:2897 bit:5518.7</t>
  </si>
  <si>
    <t>platelet-activating factor acetylhydrolase isoform X1 [Zalophus californianus]</t>
  </si>
  <si>
    <t>sp|Q13093|PAFA_HUMAN</t>
  </si>
  <si>
    <t>Platelet-activating factor acetylhydrolase OS=Homo sapiens OX=9606 GN=PLA2G7 PE=1 SV=1</t>
  </si>
  <si>
    <t>ident:364/440 pos:403/440 query:440 hit:441 align:440 bit:777.7</t>
  </si>
  <si>
    <t>sp|Q9Y4K1|CRBG1_HUMAN</t>
  </si>
  <si>
    <t>Beta/gamma crystallin domain-containing protein 1 OS=Homo sapiens OX=9606 GN=CRYBG1 PE=1 SV=3</t>
  </si>
  <si>
    <t>ident:1403/2022 pos:1511/2022 query:2022 hit:1723 align:1738 bit:2747.2</t>
  </si>
  <si>
    <t>XP_027457781.1</t>
  </si>
  <si>
    <t>sp|Q99715|COCA1_HUMAN</t>
  </si>
  <si>
    <t>Collagen alpha-1(XII) chain OS=Homo sapiens OX=9606 GN=COL12A1 PE=1 SV=2</t>
  </si>
  <si>
    <t>ident:2898/3120 pos:2975/3120 query:3120 hit:3063 align:3062 bit:5522.2</t>
  </si>
  <si>
    <t>XP_027457892.1</t>
  </si>
  <si>
    <t>sp|P62906|RL10A_HUMAN</t>
  </si>
  <si>
    <t>60S ribosomal protein L10a OS=Homo sapiens OX=9606 GN=RPL10A PE=1 SV=2</t>
  </si>
  <si>
    <t>ident:215/251 pos:215/251 query:251 hit:217 align:215 bit:439.5</t>
  </si>
  <si>
    <t>sp|P61978|HNRPK_HUMAN</t>
  </si>
  <si>
    <t>Heterogeneous nuclear ribonucleoprotein K OS=Homo sapiens OX=9606 GN=HNRNPK PE=1 SV=1</t>
  </si>
  <si>
    <t>ident:450/464 pos:452/464 query:464 hit:463 align:459 bit:909.4</t>
  </si>
  <si>
    <t>sp|P84103|SRSF3_HUMAN</t>
  </si>
  <si>
    <t>Serine/arginine-rich splicing factor 3 OS=Homo sapiens OX=9606 GN=SRSF3 PE=1 SV=1</t>
  </si>
  <si>
    <t>ident:164/164 pos:164/164 query:164 hit:164 align:164 bit:315.8</t>
  </si>
  <si>
    <t>sp|P29966|MARCS_HUMAN</t>
  </si>
  <si>
    <t>Myristoylated alanine-rich C-kinase substrate OS=Homo sapiens OX=9606 GN=MARCKS PE=1 SV=4</t>
  </si>
  <si>
    <t>ident:292/333 pos:299/333 query:333 hit:332 align:325 bit:201.4</t>
  </si>
  <si>
    <t>XP_027457979.1</t>
  </si>
  <si>
    <t>sp|O00476|NPT4_HUMAN</t>
  </si>
  <si>
    <t>Sodium-dependent phosphate transport protein 4 OS=Homo sapiens OX=9606 GN=SLC17A3 PE=1 SV=2</t>
  </si>
  <si>
    <t>ident:231/497 pos:271/497 query:497 hit:420 align:322 bit:495.7</t>
  </si>
  <si>
    <t>sp|B6SEH9|ERVV2_HUMAN</t>
  </si>
  <si>
    <t>Endogenous retrovirus group V member 2 Env polyprotein OS=Homo sapiens OX=9606 GN=ERVV-2 PE=2 SV=1</t>
  </si>
  <si>
    <t>ident:195/446 pos:253/446 query:446 hit:535 align:430 bit:355.9</t>
  </si>
  <si>
    <t>sp|P35590|TIE1_HUMAN</t>
  </si>
  <si>
    <t>Tyrosine-protein kinase receptor Tie-1 OS=Homo sapiens OX=9606 GN=TIE1 PE=1 SV=1</t>
  </si>
  <si>
    <t>ident:1021/1113 pos:1055/1113 query:1113 hit:1138 align:1143 bit:2050.4</t>
  </si>
  <si>
    <t>ident:181/280 pos:181/280 query:280 hit:324 align:181 bit:369.0</t>
  </si>
  <si>
    <t>sp|O75715|GPX5_HUMAN</t>
  </si>
  <si>
    <t>Epididymal secretory glutathione peroxidase OS=Homo sapiens OX=9606 GN=GPX5 PE=1 SV=1</t>
  </si>
  <si>
    <t>ident:171/221 pos:196/221 query:221 hit:221 align:221 bit:368.2</t>
  </si>
  <si>
    <t>XP_027458039.1</t>
  </si>
  <si>
    <t>sp|P68431|H31_HUMAN</t>
  </si>
  <si>
    <t>Histone H3.1 OS=Homo sapiens OX=9606 GN=HIST1H3J PE=1 SV=2</t>
  </si>
  <si>
    <t>ident:118/224 pos:119/224 query:224 hit:136 align:122 bit:235.7</t>
  </si>
  <si>
    <t>XP_027458041.1</t>
  </si>
  <si>
    <t>histone H2A type 1-B/E isoform X2 [Zalophus californianus]</t>
  </si>
  <si>
    <t>sp|P04908|H2A1B_HUMAN</t>
  </si>
  <si>
    <t>Histone H2A type 1-B/E OS=Homo sapiens OX=9606 GN=HIST1H2AE PE=1 SV=2</t>
  </si>
  <si>
    <t>ident:130/130 pos:130/130 query:130 hit:130 align:130 bit:258.1</t>
  </si>
  <si>
    <t>XP_027458047.1</t>
  </si>
  <si>
    <t>histone H2B type 1-M [Zalophus californianus]</t>
  </si>
  <si>
    <t>sp|P58876|H2B1D_HUMAN</t>
  </si>
  <si>
    <t>Histone H2B type 1-D OS=Homo sapiens OX=9606 GN=HIST1H2BD PE=1 SV=2</t>
  </si>
  <si>
    <t>high mobility group nucleosome-binding domain-containing protein 4 [Zalophus californianus]</t>
  </si>
  <si>
    <t>sp|O00479|HMGN4_HUMAN</t>
  </si>
  <si>
    <t>High mobility group nucleosome-binding domain-containing protein 4 OS=Homo sapiens OX=9606 GN=HMGN4 PE=1 SV=3</t>
  </si>
  <si>
    <t>ident:81/90 pos:84/90 query:90 hit:90 align:90 bit:116.3</t>
  </si>
  <si>
    <t>XP_027458115.1</t>
  </si>
  <si>
    <t>sp|Q08345|DDR1_HUMAN</t>
  </si>
  <si>
    <t>Epithelial discoidin domain-containing receptor 1 OS=Homo sapiens OX=9606 GN=DDR1 PE=1 SV=1</t>
  </si>
  <si>
    <t>ident:838/895 pos:852/895 query:895 hit:913 align:902 bit:1529.2</t>
  </si>
  <si>
    <t>sp|P25398|RS12_HUMAN</t>
  </si>
  <si>
    <t>40S ribosomal protein S12 OS=Homo sapiens OX=9606 GN=RPS12 PE=1 SV=3</t>
  </si>
  <si>
    <t>ident:132/132 pos:132/132 query:132 hit:132 align:132 bit:265.8</t>
  </si>
  <si>
    <t>sp|O15400|STX7_HUMAN</t>
  </si>
  <si>
    <t>Syntaxin-7 OS=Homo sapiens OX=9606 GN=STX7 PE=1 SV=4</t>
  </si>
  <si>
    <t>ident:243/261 pos:249/261 query:261 hit:261 align:257 bit:458.4</t>
  </si>
  <si>
    <t>sp|O15540|FABP7_HUMAN</t>
  </si>
  <si>
    <t>Fatty acid-binding protein, brain OS=Homo sapiens OX=9606 GN=FABP7 PE=1 SV=3</t>
  </si>
  <si>
    <t>ident:125/132 pos:128/132 query:132 hit:132 align:132 bit:260.4</t>
  </si>
  <si>
    <t>sp|P00488|F13A_HUMAN</t>
  </si>
  <si>
    <t>Coagulation factor XIII A chain OS=Homo sapiens OX=9606 GN=F13A1 PE=1 SV=4</t>
  </si>
  <si>
    <t>ident:641/732 pos:702/732 query:732 hit:732 align:731 bit:1380.5</t>
  </si>
  <si>
    <t>sp|P02745|C1QA_HUMAN</t>
  </si>
  <si>
    <t>Complement C1q subcomponent subunit A OS=Homo sapiens OX=9606 GN=C1QA PE=1 SV=2</t>
  </si>
  <si>
    <t>ident:198/538 pos:220/538 query:538 hit:245 align:244 bit:391.3</t>
  </si>
  <si>
    <t>sp|Q6NYC8|PPR18_HUMAN</t>
  </si>
  <si>
    <t>Phostensin OS=Homo sapiens OX=9606 GN=PPP1R18 PE=1 SV=1</t>
  </si>
  <si>
    <t>ident:530/624 pos:557/624 query:624 hit:613 align:624 bit:857.4</t>
  </si>
  <si>
    <t>XP_027458354.1</t>
  </si>
  <si>
    <t>sp|P15880|RS2_HUMAN</t>
  </si>
  <si>
    <t>40S ribosomal protein S2 OS=Homo sapiens OX=9606 GN=RPS2 PE=1 SV=2</t>
  </si>
  <si>
    <t>ident:283/296 pos:284/296 query:296 hit:293 align:296 bit:559.3</t>
  </si>
  <si>
    <t>sp|Q99895|CTRC_HUMAN</t>
  </si>
  <si>
    <t>Chymotrypsin-C OS=Homo sapiens OX=9606 GN=CTRC PE=1 SV=2</t>
  </si>
  <si>
    <t>ident:224/268 pos:243/268 query:268 hit:268 align:267 bit:468.0</t>
  </si>
  <si>
    <t>40S ribosomal protein S8 [Zalophus californianus]</t>
  </si>
  <si>
    <t>sp|P62241|RS8_HUMAN</t>
  </si>
  <si>
    <t>40S ribosomal protein S8 OS=Homo sapiens OX=9606 GN=RPS8 PE=1 SV=2</t>
  </si>
  <si>
    <t>ident:208/208 pos:208/208 query:208 hit:208 align:208 bit:423.7</t>
  </si>
  <si>
    <t>sp|Q92484|ASM3A_HUMAN</t>
  </si>
  <si>
    <t>Acid sphingomyelinase-like phosphodiesterase 3a OS=Homo sapiens OX=9606 GN=SMPDL3A PE=1 SV=2</t>
  </si>
  <si>
    <t>ident:383/453 pos:414/453 query:453 hit:453 align:450 bit:810.4</t>
  </si>
  <si>
    <t>sp|Q6UXB8|PI16_HUMAN</t>
  </si>
  <si>
    <t>Peptidase inhibitor 16 OS=Homo sapiens OX=9606 GN=PI16 PE=1 SV=1</t>
  </si>
  <si>
    <t>ident:337/456 pos:364/456 query:456 hit:463 align:425 bit:665.2</t>
  </si>
  <si>
    <t>XP_027458523.1</t>
  </si>
  <si>
    <t>sp|Q9NU53|GINM1_HUMAN</t>
  </si>
  <si>
    <t>Glycoprotein integral membrane protein 1 OS=Homo sapiens OX=9606 GN=GINM1 PE=2 SV=1</t>
  </si>
  <si>
    <t>ident:286/331 pos:303/331 query:331 hit:330 align:331 bit:558.9</t>
  </si>
  <si>
    <t>sp|Q16819|MEP1A_HUMAN</t>
  </si>
  <si>
    <t>Meprin A subunit alpha OS=Homo sapiens OX=9606 GN=MEP1A PE=1 SV=2</t>
  </si>
  <si>
    <t>ident:628/753 pos:684/753 query:753 hit:746 align:749 bit:1349.7</t>
  </si>
  <si>
    <t>sp|O60613|SEP15_HUMAN</t>
  </si>
  <si>
    <t>Selenoprotein F OS=Homo sapiens OX=9606 GN=SELENOF PE=1 SV=4</t>
  </si>
  <si>
    <t>ident:156/165 pos:158/165 query:165 hit:165 align:165 bit:314.7</t>
  </si>
  <si>
    <t>XP_027458564.1</t>
  </si>
  <si>
    <t>sp|P35237|SPB6_HUMAN</t>
  </si>
  <si>
    <t>Serpin B6 OS=Homo sapiens OX=9606 GN=SERPINB6 PE=1 SV=3</t>
  </si>
  <si>
    <t>ident:309/445 pos:341/445 query:445 hit:376 align:377 bit:623.2</t>
  </si>
  <si>
    <t>XP_027458582.1</t>
  </si>
  <si>
    <t>sp|Q9BVA1|TBB2B_HUMAN</t>
  </si>
  <si>
    <t>Tubulin beta-2B chain OS=Homo sapiens OX=9606 GN=TUBB2B PE=1 SV=1</t>
  </si>
  <si>
    <t>ident:269/330 pos:270/330 query:330 hit:445 align:276 bit:570.1</t>
  </si>
  <si>
    <t>sp|Q9H2A2|AL8A1_HUMAN</t>
  </si>
  <si>
    <t>2-aminomuconic semialdehyde dehydrogenase OS=Homo sapiens OX=9606 GN=ALDH8A1 PE=1 SV=1</t>
  </si>
  <si>
    <t>ident:433/487 pos:470/487 query:487 hit:487 align:487 bit:926.0</t>
  </si>
  <si>
    <t>sp|P04118|COL_HUMAN</t>
  </si>
  <si>
    <t>Colipase OS=Homo sapiens OX=9606 GN=CLPS PE=1 SV=2</t>
  </si>
  <si>
    <t>ident:90/112 pos:101/112 query:112 hit:112 align:112 bit:195.7</t>
  </si>
  <si>
    <t>sp|P22061|PIMT_HUMAN</t>
  </si>
  <si>
    <t>Protein-L-isoaspartate(D-aspartate) O-methyltransferase OS=Homo sapiens OX=9606 GN=PCMT1 PE=1 SV=4</t>
  </si>
  <si>
    <t>ident:219/286 pos:223/286 query:286 hit:227 align:225 bit:456.4</t>
  </si>
  <si>
    <t>XP_027458656.1</t>
  </si>
  <si>
    <t>sp|P08263|GSTA1_HUMAN</t>
  </si>
  <si>
    <t>Glutathione S-transferase A1 OS=Homo sapiens OX=9606 GN=GSTA1 PE=1 SV=3</t>
  </si>
  <si>
    <t>ident:186/248 pos:208/248 query:248 hit:222 align:222 bit:393.7</t>
  </si>
  <si>
    <t>sp|P19320|VCAM1_HUMAN</t>
  </si>
  <si>
    <t>Vascular cell adhesion protein 1 OS=Homo sapiens OX=9606 GN=VCAM1 PE=1 SV=1</t>
  </si>
  <si>
    <t>ident:601/735 pos:662/735 query:735 hit:739 align:735 bit:1242.2</t>
  </si>
  <si>
    <t>sp|Q9Y5Z4|HEBP2_HUMAN</t>
  </si>
  <si>
    <t>Heme-binding protein 2 OS=Homo sapiens OX=9606 GN=HEBP2 PE=1 SV=1</t>
  </si>
  <si>
    <t>ident:186/205 pos:194/205 query:205 hit:205 align:205 bit:371.7</t>
  </si>
  <si>
    <t>XP_027458681.1</t>
  </si>
  <si>
    <t>sp|Q9NP79|VTA1_HUMAN</t>
  </si>
  <si>
    <t>Vacuolar protein sorting-associated protein VTA1 homolog OS=Homo sapiens OX=9606 GN=VTA1 PE=1 SV=1</t>
  </si>
  <si>
    <t>ident:278/306 pos:287/306 query:306 hit:307 align:295 bit:556.2</t>
  </si>
  <si>
    <t>sp|P0C0L5|CO4B_HUMAN</t>
  </si>
  <si>
    <t>Complement C4-B OS=Homo sapiens OX=9606 GN=C4B_2 PE=1 SV=2</t>
  </si>
  <si>
    <t>ident:1454/1742 pos:1570/1742 query:1742 hit:1744 align:1745 bit:2885.9</t>
  </si>
  <si>
    <t>sp|P01282|VIP_HUMAN</t>
  </si>
  <si>
    <t>VIP peptides OS=Homo sapiens OX=9606 GN=VIP PE=1 SV=1</t>
  </si>
  <si>
    <t>ident:145/170 pos:157/170 query:170 hit:170 align:170 bit:277.7</t>
  </si>
  <si>
    <t>sp|P51649|SSDH_HUMAN</t>
  </si>
  <si>
    <t>Succinate-semialdehyde dehydrogenase, mitochondrial OS=Homo sapiens OX=9606 GN=ALDH5A1 PE=1 SV=2</t>
  </si>
  <si>
    <t>ident:456/523 pos:483/523 query:523 hit:535 align:535 bit:874.4</t>
  </si>
  <si>
    <t>sp|O15533|TPSN_HUMAN</t>
  </si>
  <si>
    <t>Tapasin OS=Homo sapiens OX=9606 GN=TAPBP PE=1 SV=1</t>
  </si>
  <si>
    <t>ident:362/449 pos:381/449 query:449 hit:448 align:429 bit:697.6</t>
  </si>
  <si>
    <t>ribonuclease T2 [Zalophus californianus]</t>
  </si>
  <si>
    <t>sp|O00584|RNT2_HUMAN</t>
  </si>
  <si>
    <t>Ribonuclease T2 OS=Homo sapiens OX=9606 GN=RNASET2 PE=1 SV=2</t>
  </si>
  <si>
    <t>ident:166/247 pos:186/247 query:247 hit:256 align:229 bit:345.9</t>
  </si>
  <si>
    <t>XP_027458845.1</t>
  </si>
  <si>
    <t>sp|O95711|LY86_HUMAN</t>
  </si>
  <si>
    <t>Lymphocyte antigen 86 OS=Homo sapiens OX=9606 GN=LY86 PE=1 SV=1</t>
  </si>
  <si>
    <t>ident:121/159 pos:136/159 query:159 hit:162 align:162 bit:251.5</t>
  </si>
  <si>
    <t>sp|Q6UY11|DLK2_HUMAN</t>
  </si>
  <si>
    <t>Protein delta homolog 2 OS=Homo sapiens OX=9606 GN=DLK2 PE=2 SV=1</t>
  </si>
  <si>
    <t>ident:355/383 pos:364/383 query:383 hit:383 align:383 bit:678.7</t>
  </si>
  <si>
    <t>XP_027458918.1</t>
  </si>
  <si>
    <t>sp|Q15375|EPHA7_HUMAN</t>
  </si>
  <si>
    <t>Ephrin type-A receptor 7 OS=Homo sapiens OX=9606 GN=EPHA7 PE=1 SV=3</t>
  </si>
  <si>
    <t>ident:995/998 pos:998/998 query:998 hit:998 align:998 bit:2087.8</t>
  </si>
  <si>
    <t>sp|Q4ZHG4|FNDC1_HUMAN</t>
  </si>
  <si>
    <t>Fibronectin type III domain-containing protein 1 OS=Homo sapiens OX=9606 GN=FNDC1 PE=2 SV=4</t>
  </si>
  <si>
    <t>ident:1051/1923 pos:1157/1923 query:1923 hit:1894 align:1514 bit:1761.1</t>
  </si>
  <si>
    <t>sp|P29279|CCN2_HUMAN</t>
  </si>
  <si>
    <t>CCN family member 2 OS=Homo sapiens OX=9606 GN=CCN2 PE=1 SV=2</t>
  </si>
  <si>
    <t>ident:324/351 pos:337/351 query:351 hit:349 align:351 bit:664.1</t>
  </si>
  <si>
    <t>sp|Q6YHK3|CD109_HUMAN</t>
  </si>
  <si>
    <t>CD109 antigen OS=Homo sapiens OX=9606 GN=CD109 PE=1 SV=2</t>
  </si>
  <si>
    <t>ident:1269/1445 pos:1349/1445 query:1445 hit:1445 align:1445 bit:2616.7</t>
  </si>
  <si>
    <t>leukocyte elastase inhibitor [Zalophus californianus]</t>
  </si>
  <si>
    <t>sp|P30740|ILEU_HUMAN</t>
  </si>
  <si>
    <t>Leukocyte elastase inhibitor OS=Homo sapiens OX=9606 GN=SERPINB1 PE=1 SV=1</t>
  </si>
  <si>
    <t>ident:319/378 pos:353/378 query:378 hit:379 align:379 bit:635.2</t>
  </si>
  <si>
    <t>sp|Q9Y3C6|PPIL1_HUMAN</t>
  </si>
  <si>
    <t>Peptidyl-prolyl cis-trans isomerase-like 1 OS=Homo sapiens OX=9606 GN=PPIL1 PE=1 SV=1</t>
  </si>
  <si>
    <t>ident:165/166 pos:165/166 query:166 hit:166 align:166 bit:345.9</t>
  </si>
  <si>
    <t>sp|P20618|PSB1_HUMAN</t>
  </si>
  <si>
    <t>Proteasome subunit beta type-1 OS=Homo sapiens OX=9606 GN=PSMB1 PE=1 SV=2</t>
  </si>
  <si>
    <t>ident:223/241 pos:229/241 query:241 hit:241 align:241 bit:466.8</t>
  </si>
  <si>
    <t>enoyl-CoA delta isomerase 2, mitochondrial [Zalophus californianus]</t>
  </si>
  <si>
    <t>sp|O75521|ECI2_HUMAN</t>
  </si>
  <si>
    <t>Enoyl-CoA delta isomerase 2, mitochondrial OS=Homo sapiens OX=9606 GN=ECI2 PE=1 SV=4</t>
  </si>
  <si>
    <t>ident:292/359 pos:324/359 query:359 hit:394 align:359 bit:606.3</t>
  </si>
  <si>
    <t>XP_027459155.1</t>
  </si>
  <si>
    <t>sp|P48147|PPCE_HUMAN</t>
  </si>
  <si>
    <t>Prolyl endopeptidase OS=Homo sapiens OX=9606 GN=PREP PE=1 SV=2</t>
  </si>
  <si>
    <t>ident:687/710 pos:701/710 query:710 hit:710 align:709 bit:1443.3</t>
  </si>
  <si>
    <t>sp|Q86YW5|TRML1_HUMAN</t>
  </si>
  <si>
    <t>Trem-like transcript 1 protein OS=Homo sapiens OX=9606 GN=TREML1 PE=1 SV=2</t>
  </si>
  <si>
    <t>ident:212/308 pos:241/308 query:308 hit:311 align:297 bit:390.6</t>
  </si>
  <si>
    <t>sp|O14638|ENPP3_HUMAN</t>
  </si>
  <si>
    <t>Ectonucleotide pyrophosphatase/phosphodiesterase family member 3 OS=Homo sapiens OX=9606 GN=ENPP3 PE=1 SV=2</t>
  </si>
  <si>
    <t>ident:741/874 pos:820/874 query:874 hit:875 align:875 bit:1578.2</t>
  </si>
  <si>
    <t>sp|P00747|PLMN_HUMAN</t>
  </si>
  <si>
    <t>Plasminogen OS=Homo sapiens OX=9606 GN=PLG PE=1 SV=2</t>
  </si>
  <si>
    <t>ident:665/812 pos:732/812 query:812 hit:810 align:812 bit:1378.6</t>
  </si>
  <si>
    <t>sp|P22413|ENPP1_HUMAN</t>
  </si>
  <si>
    <t>Ectonucleotide pyrophosphatase/phosphodiesterase family member 1 OS=Homo sapiens OX=9606 GN=ENPP1 PE=1 SV=2</t>
  </si>
  <si>
    <t>ident:805/925 pos:862/925 query:925 hit:925 align:925 bit:1684.8</t>
  </si>
  <si>
    <t>sp|P35442|TSP2_HUMAN</t>
  </si>
  <si>
    <t>Thrombospondin-2 OS=Homo sapiens OX=9606 GN=THBS2 PE=1 SV=2</t>
  </si>
  <si>
    <t>ident:1062/1172 pos:1101/1172 query:1172 hit:1172 align:1172 bit:2134.4</t>
  </si>
  <si>
    <t>sp|Q02952|AKA12_HUMAN</t>
  </si>
  <si>
    <t>A-kinase anchor protein 12 OS=Homo sapiens OX=9606 GN=AKAP12 PE=1 SV=4</t>
  </si>
  <si>
    <t>ident:1212/1751 pos:1382/1751 query:1751 hit:1782 align:1793 bit:1993.8</t>
  </si>
  <si>
    <t>sp|O60493|SNX3_HUMAN</t>
  </si>
  <si>
    <t>Sorting nexin-3 OS=Homo sapiens OX=9606 GN=SNX3 PE=1 SV=3</t>
  </si>
  <si>
    <t>ident:162/162 pos:162/162 query:162 hit:162 align:162 bit:335.9</t>
  </si>
  <si>
    <t>sp|O95497|VNN1_HUMAN</t>
  </si>
  <si>
    <t>Pantetheinase OS=Homo sapiens OX=9606 GN=VNN1 PE=1 SV=2</t>
  </si>
  <si>
    <t>ident:406/494 pos:447/494 query:494 hit:513 align:490 bit:863.6</t>
  </si>
  <si>
    <t>sp|O95989|NUDT3_HUMAN</t>
  </si>
  <si>
    <t>Diphosphoinositol polyphosphate phosphohydrolase 1 OS=Homo sapiens OX=9606 GN=NUDT3 PE=1 SV=1</t>
  </si>
  <si>
    <t>ident:169/172 pos:170/172 query:172 hit:172 align:172 bit:352.8</t>
  </si>
  <si>
    <t>sp|O43324|MCA3_HUMAN</t>
  </si>
  <si>
    <t>Eukaryotic translation elongation factor 1 epsilon-1 OS=Homo sapiens OX=9606 GN=EEF1E1 PE=1 SV=1</t>
  </si>
  <si>
    <t>ident:169/174 pos:173/174 query:174 hit:174 align:174 bit:350.1</t>
  </si>
  <si>
    <t>sp|Q15517|CDSN_HUMAN</t>
  </si>
  <si>
    <t>Corneodesmosin OS=Homo sapiens OX=9606 GN=CDSN PE=1 SV=3</t>
  </si>
  <si>
    <t>ident:275/501 pos:298/501 query:501 hit:529 align:369 bit:437.6</t>
  </si>
  <si>
    <t>XP_027459444.1</t>
  </si>
  <si>
    <t>sp|O60547|GMDS_HUMAN</t>
  </si>
  <si>
    <t>GDP-mannose 4,6 dehydratase OS=Homo sapiens OX=9606 GN=GMDS PE=1 SV=1</t>
  </si>
  <si>
    <t>ident:366/372 pos:367/372 query:372 hit:372 align:372 bit:765.8</t>
  </si>
  <si>
    <t>XP_027459449.1</t>
  </si>
  <si>
    <t>sp|Q15651|HMGN3_HUMAN</t>
  </si>
  <si>
    <t>High mobility group nucleosome-binding domain-containing protein 3 OS=Homo sapiens OX=9606 GN=HMGN3 PE=1 SV=2</t>
  </si>
  <si>
    <t>ident:95/204 pos:98/204 query:204 hit:99 align:128 bit:133.7</t>
  </si>
  <si>
    <t>XP_027459462.1</t>
  </si>
  <si>
    <t>sp|Q13308|PTK7_HUMAN</t>
  </si>
  <si>
    <t>Inactive tyrosine-protein kinase 7 OS=Homo sapiens OX=9606 GN=PTK7 PE=1 SV=2</t>
  </si>
  <si>
    <t>ident:980/1092 pos:1009/1092 query:1092 hit:1070 align:1042 bit:2058.5</t>
  </si>
  <si>
    <t>sp|Q9P1F3|ABRAL_HUMAN</t>
  </si>
  <si>
    <t>Costars family protein ABRACL OS=Homo sapiens OX=9606 GN=ABRACL PE=1 SV=1</t>
  </si>
  <si>
    <t>ident:80/81 pos:81/81 query:81 hit:81 align:81 bit:162.5</t>
  </si>
  <si>
    <t>XP_027459535.1</t>
  </si>
  <si>
    <t>heterogeneous nuclear ribonucleoprotein R isoform X1 [Zalophus californianus]</t>
  </si>
  <si>
    <t>sp|O43390|HNRPR_HUMAN</t>
  </si>
  <si>
    <t>Heterogeneous nuclear ribonucleoprotein R OS=Homo sapiens OX=9606 GN=HNRNPR PE=1 SV=1</t>
  </si>
  <si>
    <t>ident:633/636 pos:633/636 query:636 hit:633 align:636 bit:1290.0</t>
  </si>
  <si>
    <t>sp|Q04760|LGUL_HUMAN</t>
  </si>
  <si>
    <t>Lactoylglutathione lyase OS=Homo sapiens OX=9606 GN=GLO1 PE=1 SV=4</t>
  </si>
  <si>
    <t>ident:165/184 pos:174/184 query:184 hit:184 align:184 bit:352.4</t>
  </si>
  <si>
    <t>XP_027459573.1</t>
  </si>
  <si>
    <t>sp|P26640|SYVC_HUMAN</t>
  </si>
  <si>
    <t>Valine--tRNA ligase OS=Homo sapiens OX=9606 GN=VARS PE=1 SV=4</t>
  </si>
  <si>
    <t>ident:1197/1297 pos:1228/1297 query:1297 hit:1264 align:1297 bit:2379.0</t>
  </si>
  <si>
    <t>sp|P06681|CO2_HUMAN</t>
  </si>
  <si>
    <t>Complement C2 OS=Homo sapiens OX=9606 GN=C2 PE=1 SV=2</t>
  </si>
  <si>
    <t>ident:631/769 pos:693/769 query:769 hit:752 align:752 bit:1325.1</t>
  </si>
  <si>
    <t>sp|P00751|CFAB_HUMAN</t>
  </si>
  <si>
    <t>Complement factor B OS=Homo sapiens OX=9606 GN=CFB PE=1 SV=2</t>
  </si>
  <si>
    <t>ident:635/768 pos:699/768 query:768 hit:764 align:768 bit:1354.3</t>
  </si>
  <si>
    <t>sp|Q53GD3|CTL4_HUMAN</t>
  </si>
  <si>
    <t>Choline transporter-like protein 4 OS=Homo sapiens OX=9606 GN=SLC44A4 PE=1 SV=2</t>
  </si>
  <si>
    <t>ident:611/710 pos:655/710 query:710 hit:710 align:711 bit:1179.5</t>
  </si>
  <si>
    <t>XP_027459622.1</t>
  </si>
  <si>
    <t>sp|P34931|HS71L_HUMAN</t>
  </si>
  <si>
    <t>Heat shock 70 kDa protein 1-like OS=Homo sapiens OX=9606 GN=HSPA1L PE=1 SV=2</t>
  </si>
  <si>
    <t>ident:618/661 pos:628/661 query:661 hit:641 align:641 bit:1280.8</t>
  </si>
  <si>
    <t>heat shock 70 kDa protein 1 isoform X2 [Zalophus californianus]</t>
  </si>
  <si>
    <t>sp|P0DMV9|HS71B_HUMAN</t>
  </si>
  <si>
    <t>Heat shock 70 kDa protein 1B OS=Homo sapiens OX=9606 GN=HSPA1B PE=1 SV=1</t>
  </si>
  <si>
    <t>ident:635/641 pos:638/641 query:641 hit:641 align:641 bit:1304.7</t>
  </si>
  <si>
    <t>sp|Q13838|DX39B_HUMAN</t>
  </si>
  <si>
    <t>Spliceosome RNA helicase DDX39B OS=Homo sapiens OX=9606 GN=DDX39B PE=1 SV=1</t>
  </si>
  <si>
    <t>ident:427/428 pos:428/428 query:428 hit:428 align:428 bit:882.1</t>
  </si>
  <si>
    <t>N(G),N(G)-dimethylarginine dimethylaminohydrolase 2 [Zalophus californianus]</t>
  </si>
  <si>
    <t>sp|O95865|DDAH2_HUMAN</t>
  </si>
  <si>
    <t>N(G),N(G)-dimethylarginine dimethylaminohydrolase 2 OS=Homo sapiens OX=9606 GN=DDAH2 PE=1 SV=1</t>
  </si>
  <si>
    <t>ident:281/285 pos:284/285 query:285 hit:285 align:285 bit:555.1</t>
  </si>
  <si>
    <t>sp|O00299|CLIC1_HUMAN</t>
  </si>
  <si>
    <t>Chloride intracellular channel protein 1 OS=Homo sapiens OX=9606 GN=CLIC1 PE=1 SV=4</t>
  </si>
  <si>
    <t>ident:236/240 pos:238/240 query:240 hit:241 align:241 bit:484.6</t>
  </si>
  <si>
    <t>XP_027459676.1</t>
  </si>
  <si>
    <t>sp|Q5T013|HYI_HUMAN</t>
  </si>
  <si>
    <t>Putative hydroxypyruvate isomerase OS=Homo sapiens OX=9606 GN=HYI PE=1 SV=2</t>
  </si>
  <si>
    <t>ident:236/278 pos:251/278 query:278 hit:277 align:266 bit:461.1</t>
  </si>
  <si>
    <t>apolipoprotein M isoform X1 [Zalophus californianus]</t>
  </si>
  <si>
    <t>sp|O95445|APOM_HUMAN</t>
  </si>
  <si>
    <t>Apolipoprotein M OS=Homo sapiens OX=9606 GN=APOM PE=1 SV=2</t>
  </si>
  <si>
    <t>ident:167/188 pos:177/188 query:188 hit:188 align:188 bit:356.7</t>
  </si>
  <si>
    <t>sp|P17693|HLAG_HUMAN</t>
  </si>
  <si>
    <t>HLA class I histocompatibility antigen, alpha chain G OS=Homo sapiens OX=9606 GN=HLA-G PE=1 SV=1</t>
  </si>
  <si>
    <t>ident:194/374 pos:216/374 query:374 hit:338 align:272 bit:397.9</t>
  </si>
  <si>
    <t>sp|P28062|PSB8_HUMAN</t>
  </si>
  <si>
    <t>Proteasome subunit beta type-8 OS=Homo sapiens OX=9606 GN=PSMB8 PE=1 SV=3</t>
  </si>
  <si>
    <t>ident:242/276 pos:257/276 query:276 hit:276 align:276 bit:509.6</t>
  </si>
  <si>
    <t>sp|Q15819|UB2V2_HUMAN</t>
  </si>
  <si>
    <t>Ubiquitin-conjugating enzyme E2 variant 2 OS=Homo sapiens OX=9606 GN=UBE2V2 PE=1 SV=4</t>
  </si>
  <si>
    <t>ident:145/145 pos:145/145 query:145 hit:145 align:145 bit:298.1</t>
  </si>
  <si>
    <t>XP_027459849.1</t>
  </si>
  <si>
    <t>sp|Q01105|SET_HUMAN</t>
  </si>
  <si>
    <t>Protein SET OS=Homo sapiens OX=9606 GN=SET PE=1 SV=3</t>
  </si>
  <si>
    <t>ident:196/349 pos:196/349 query:349 hit:290 align:198 bit:404.4</t>
  </si>
  <si>
    <t>sp|Q9UJC5|SH3L2_HUMAN</t>
  </si>
  <si>
    <t>SH3 domain-binding glutamic acid-rich-like protein 2 OS=Homo sapiens OX=9606 GN=SH3BGRL2 PE=1 SV=2</t>
  </si>
  <si>
    <t>ident:103/230 pos:106/230 query:230 hit:107 align:107 bit:220.3</t>
  </si>
  <si>
    <t>sp|P16562|CRIS2_HUMAN</t>
  </si>
  <si>
    <t>Cysteine-rich secretory protein 2 OS=Homo sapiens OX=9606 GN=CRISP2 PE=1 SV=1</t>
  </si>
  <si>
    <t>ident:141/247 pos:173/247 query:247 hit:243 align:244 bit:280.0</t>
  </si>
  <si>
    <t>sp|P15692|VEGFA_HUMAN</t>
  </si>
  <si>
    <t>Vascular endothelial growth factor A OS=Homo sapiens OX=9606 GN=VEGFA PE=1 SV=2</t>
  </si>
  <si>
    <t>ident:204/473 pos:207/473 query:473 hit:232 align:232 bit:368.6</t>
  </si>
  <si>
    <t>sp|Q96C19|EFHD2_HUMAN</t>
  </si>
  <si>
    <t>EF-hand domain-containing protein D2 OS=Homo sapiens OX=9606 GN=EFHD2 PE=1 SV=1</t>
  </si>
  <si>
    <t>ident:232/243 pos:235/243 query:243 hit:240 align:243 bit:455.3</t>
  </si>
  <si>
    <t>ident:159/175 pos:159/175 query:175 hit:444 align:161 bit:334.7</t>
  </si>
  <si>
    <t>XP_027459907.1</t>
  </si>
  <si>
    <t>sp|Q8NC51|PAIRB_HUMAN</t>
  </si>
  <si>
    <t>Plasminogen activator inhibitor 1 RNA-binding protein OS=Homo sapiens OX=9606 GN=SERBP1 PE=1 SV=2</t>
  </si>
  <si>
    <t>ident:404/407 pos:404/407 query:407 hit:408 align:408 bit:804.7</t>
  </si>
  <si>
    <t>XP_027459998.1</t>
  </si>
  <si>
    <t>heterochromatin protein 1-binding protein 3 isoform X1 [Zalophus californianus]</t>
  </si>
  <si>
    <t>sp|Q5SSJ5|HP1B3_HUMAN</t>
  </si>
  <si>
    <t>Heterochromatin protein 1-binding protein 3 OS=Homo sapiens OX=9606 GN=HP1BP3 PE=1 SV=1</t>
  </si>
  <si>
    <t>ident:530/558 pos:540/558 query:558 hit:553 align:558 bit:962.2</t>
  </si>
  <si>
    <t>sp|P08861|CEL3B_HUMAN</t>
  </si>
  <si>
    <t>Chymotrypsin-like elastase family member 3B OS=Homo sapiens OX=9606 GN=CELA3B PE=1 SV=3</t>
  </si>
  <si>
    <t>ident:226/270 pos:248/270 query:270 hit:270 align:270 bit:453.0</t>
  </si>
  <si>
    <t>XP_027460118.1</t>
  </si>
  <si>
    <t>sp|P31040|SDHA_HUMAN</t>
  </si>
  <si>
    <t>Succinate dehydrogenase [ubiquinone] flavoprotein subunit, mitochondrial OS=Homo sapiens OX=9606 GN=SDHA PE=1 SV=2</t>
  </si>
  <si>
    <t>ident:637/665 pos:649/665 query:665 hit:664 align:665 bit:1294.3</t>
  </si>
  <si>
    <t>ident:119/327 pos:134/327 query:327 hit:187 align:186 bit:228.4</t>
  </si>
  <si>
    <t>XP_027460210.1</t>
  </si>
  <si>
    <t>GDH/6PGL endoplasmic bifunctional protein isoform X1 [Zalophus californianus]</t>
  </si>
  <si>
    <t>sp|O95479|G6PE_HUMAN</t>
  </si>
  <si>
    <t>GDH/6PGL endoplasmic bifunctional protein OS=Homo sapiens OX=9606 GN=H6PD PE=1 SV=2</t>
  </si>
  <si>
    <t>ident:674/809 pos:729/809 query:809 hit:791 align:791 bit:1407.1</t>
  </si>
  <si>
    <t>sp|P07686|HEXB_HUMAN</t>
  </si>
  <si>
    <t>Beta-hexosaminidase subunit beta OS=Homo sapiens OX=9606 GN=HEXB PE=1 SV=3</t>
  </si>
  <si>
    <t>ident:384/580 pos:440/580 query:580 hit:556 align:510 bit:830.1</t>
  </si>
  <si>
    <t>sp|Q9NQ38|ISK5_HUMAN</t>
  </si>
  <si>
    <t>Serine protease inhibitor Kazal-type 5 OS=Homo sapiens OX=9606 GN=SPINK5 PE=1 SV=2</t>
  </si>
  <si>
    <t>ident:844/1109 pos:941/1109 query:1109 hit:1064 align:1070 bit:1603.2</t>
  </si>
  <si>
    <t>sp|P20962|PTMS_HUMAN</t>
  </si>
  <si>
    <t>Parathymosin OS=Homo sapiens OX=9606 GN=PTMS PE=1 SV=2</t>
  </si>
  <si>
    <t>ident:86/198 pos:92/198 query:198 hit:102 align:97 bit:64.3</t>
  </si>
  <si>
    <t>sp|Q6UX82|LYPD8_HUMAN</t>
  </si>
  <si>
    <t>Ly6/PLAUR domain-containing protein 8 OS=Homo sapiens OX=9606 GN=LYPD8 PE=1 SV=2</t>
  </si>
  <si>
    <t>ident:137/254 pos:164/254 query:254 hit:237 align:224 bit:238.0</t>
  </si>
  <si>
    <t>ras-related protein Rap-1A isoform X1 [Zalophus californianus]</t>
  </si>
  <si>
    <t>sp|P62834|RAP1A_HUMAN</t>
  </si>
  <si>
    <t>Ras-related protein Rap-1A OS=Homo sapiens OX=9606 GN=RAP1A PE=1 SV=1</t>
  </si>
  <si>
    <t>ident:184/184 pos:184/184 query:184 hit:184 align:184 bit:378.6</t>
  </si>
  <si>
    <t>XP_027460344.1</t>
  </si>
  <si>
    <t>sp|P18124|RL7_HUMAN</t>
  </si>
  <si>
    <t>60S ribosomal protein L7 OS=Homo sapiens OX=9606 GN=RPL7 PE=1 SV=1</t>
  </si>
  <si>
    <t>ident:240/283 pos:242/283 query:283 hit:248 align:243 bit:486.9</t>
  </si>
  <si>
    <t>sp|Q9BRK5|CAB45_HUMAN</t>
  </si>
  <si>
    <t>45 kDa calcium-binding protein OS=Homo sapiens OX=9606 GN=SDF4 PE=1 SV=1</t>
  </si>
  <si>
    <t>ident:308/426 pos:333/426 query:426 hit:362 align:359 bit:641.7</t>
  </si>
  <si>
    <t>transcriptional activator protein Pur-alpha [Zalophus californianus]</t>
  </si>
  <si>
    <t>sp|Q00577|PURA_HUMAN</t>
  </si>
  <si>
    <t>Transcriptional activator protein Pur-alpha OS=Homo sapiens OX=9606 GN=PURA PE=1 SV=2</t>
  </si>
  <si>
    <t>ident:322/323 pos:322/323 query:323 hit:322 align:323 bit:648.3</t>
  </si>
  <si>
    <t>XP_027460411.1</t>
  </si>
  <si>
    <t>core histone macro-H2A.1 isoform X1 [Zalophus californianus]</t>
  </si>
  <si>
    <t>sp|O75367|H2AY_HUMAN</t>
  </si>
  <si>
    <t>Core histone macro-H2A.1 OS=Homo sapiens OX=9606 GN=H2AFY PE=1 SV=4</t>
  </si>
  <si>
    <t>ident:372/372 pos:372/372 query:372 hit:372 align:372 bit:748.0</t>
  </si>
  <si>
    <t>XP_027460482.1</t>
  </si>
  <si>
    <t>sp|P55011|S12A2_HUMAN</t>
  </si>
  <si>
    <t>Solute carrier family 12 member 2 OS=Homo sapiens OX=9606 GN=SLC12A2 PE=1 SV=1</t>
  </si>
  <si>
    <t>ident:1150/1205 pos:1172/1205 query:1205 hit:1212 align:1213 bit:2245.3</t>
  </si>
  <si>
    <t>sp|O95450|ATS2_HUMAN</t>
  </si>
  <si>
    <t>A disintegrin and metalloproteinase with thrombospondin motifs 2 OS=Homo sapiens OX=9606 GN=ADAMTS2 PE=2 SV=2</t>
  </si>
  <si>
    <t>ident:1105/1216 pos:1146/1216 query:1216 hit:1211 align:1216 bit:2204.1</t>
  </si>
  <si>
    <t>sp|P51659|DHB4_HUMAN</t>
  </si>
  <si>
    <t>Peroxisomal multifunctional enzyme type 2 OS=Homo sapiens OX=9606 GN=HSD17B4 PE=1 SV=3</t>
  </si>
  <si>
    <t>ident:634/737 pos:681/737 query:737 hit:736 align:737 bit:1322.0</t>
  </si>
  <si>
    <t>creatine kinase S-type, mitochondrial [Zalophus californianus]</t>
  </si>
  <si>
    <t>sp|P17540|KCRS_HUMAN</t>
  </si>
  <si>
    <t>Creatine kinase S-type, mitochondrial OS=Homo sapiens OX=9606 GN=CKMT2 PE=1 SV=2</t>
  </si>
  <si>
    <t>ident:396/419 pos:406/419 query:419 hit:419 align:419 bit:832.0</t>
  </si>
  <si>
    <t>sp|P10643|CO7_HUMAN</t>
  </si>
  <si>
    <t>Complement component C7 OS=Homo sapiens OX=9606 GN=C7 PE=1 SV=2</t>
  </si>
  <si>
    <t>ident:710/843 pos:762/843 query:843 hit:843 align:842 bit:1432.9</t>
  </si>
  <si>
    <t>XP_027460735.1</t>
  </si>
  <si>
    <t>synaptopodin isoform X1 [Zalophus californianus]</t>
  </si>
  <si>
    <t>sp|Q8N3V7|SYNPO_HUMAN</t>
  </si>
  <si>
    <t>Synaptopodin OS=Homo sapiens OX=9606 GN=SYNPO PE=1 SV=2</t>
  </si>
  <si>
    <t>ident:757/1164 pos:803/1164 query:1164 hit:929 align:910 bit:1420.6</t>
  </si>
  <si>
    <t>sp|Q9Y3B3|TMED7_HUMAN</t>
  </si>
  <si>
    <t>Transmembrane emp24 domain-containing protein 7 OS=Homo sapiens OX=9606 GN=TMED7 PE=1 SV=2</t>
  </si>
  <si>
    <t>ident:220/224 pos:220/224 query:224 hit:224 align:224 bit:460.7</t>
  </si>
  <si>
    <t>XP_027460746.1</t>
  </si>
  <si>
    <t>sp|Q96RF0|SNX18_HUMAN</t>
  </si>
  <si>
    <t>Sorting nexin-18 OS=Homo sapiens OX=9606 GN=SNX18 PE=1 SV=2</t>
  </si>
  <si>
    <t>ident:531/624 pos:531/624 query:624 hit:628 align:542 bit:1087.8</t>
  </si>
  <si>
    <t>sp|P34932|HSP74_HUMAN</t>
  </si>
  <si>
    <t>Heat shock 70 kDa protein 4 OS=Homo sapiens OX=9606 GN=HSPA4 PE=1 SV=4</t>
  </si>
  <si>
    <t>ident:812/838 pos:824/838 query:838 hit:840 align:840 bit:1672.5</t>
  </si>
  <si>
    <t>non-histone chromosomal protein HMG-17 [Zalophus californianus]</t>
  </si>
  <si>
    <t>sp|P05204|HMGN2_HUMAN</t>
  </si>
  <si>
    <t>Non-histone chromosomal protein HMG-17 OS=Homo sapiens OX=9606 GN=HMGN2 PE=1 SV=3</t>
  </si>
  <si>
    <t>ident:89/90 pos:90/90 query:90 hit:90 align:90 bit:159.1</t>
  </si>
  <si>
    <t>sp|P98160|PGBM_HUMAN</t>
  </si>
  <si>
    <t>Basement membrane-specific heparan sulfate proteoglycan core protein OS=Homo sapiens OX=9606 GN=HSPG2 PE=1 SV=4</t>
  </si>
  <si>
    <t>ident:3958/4401 pos:4120/4401 query:4401 hit:4391 align:4382 bit:8116.5</t>
  </si>
  <si>
    <t>sideroflexin-1 [Zalophus californianus]</t>
  </si>
  <si>
    <t>sp|Q9H9B4|SFXN1_HUMAN</t>
  </si>
  <si>
    <t>Sideroflexin-1 OS=Homo sapiens OX=9606 GN=SFXN1 PE=1 SV=4</t>
  </si>
  <si>
    <t>ident:316/322 pos:322/322 query:322 hit:322 align:322 bit:662.9</t>
  </si>
  <si>
    <t>XP_027461025.1</t>
  </si>
  <si>
    <t>sp|P98082|DAB2_HUMAN</t>
  </si>
  <si>
    <t>Disabled homolog 2 OS=Homo sapiens OX=9606 GN=DAB2 PE=1 SV=3</t>
  </si>
  <si>
    <t>ident:672/770 pos:690/770 query:770 hit:770 align:743 bit:1264.6</t>
  </si>
  <si>
    <t>XP_027461032.1</t>
  </si>
  <si>
    <t>semaphorin-5A isoform X1 [Zalophus californianus]</t>
  </si>
  <si>
    <t>sp|Q13591|SEM5A_HUMAN</t>
  </si>
  <si>
    <t>Semaphorin-5A OS=Homo sapiens OX=9606 GN=SEMA5A PE=1 SV=3</t>
  </si>
  <si>
    <t>ident:1020/1073 pos:1046/1073 query:1073 hit:1074 align:1074 bit:2142.5</t>
  </si>
  <si>
    <t>XP_027461074.1</t>
  </si>
  <si>
    <t>sp|Q9UHI7|S23A1_HUMAN</t>
  </si>
  <si>
    <t>Solute carrier family 23 member 1 OS=Homo sapiens OX=9606 GN=SLC23A1 PE=1 SV=3</t>
  </si>
  <si>
    <t>ident:559/640 pos:577/640 query:640 hit:598 align:604 bit:1120.2</t>
  </si>
  <si>
    <t>sp|P27824|CALX_HUMAN</t>
  </si>
  <si>
    <t>Calnexin OS=Homo sapiens OX=9606 GN=CANX PE=1 SV=2</t>
  </si>
  <si>
    <t>ident:564/593 pos:586/593 query:593 hit:592 align:594 bit:1068.1</t>
  </si>
  <si>
    <t>XP_027461123.1</t>
  </si>
  <si>
    <t>sp|P20810|ICAL_HUMAN</t>
  </si>
  <si>
    <t>Calpastatin OS=Homo sapiens OX=9606 GN=CAST PE=1 SV=4</t>
  </si>
  <si>
    <t>ident:555/800 pos:609/800 query:800 hit:708 align:713 bit:956.8</t>
  </si>
  <si>
    <t>XP_027461143.1</t>
  </si>
  <si>
    <t>sp|Q92973|TNPO1_HUMAN</t>
  </si>
  <si>
    <t>Transportin-1 OS=Homo sapiens OX=9606 GN=TNPO1 PE=1 SV=2</t>
  </si>
  <si>
    <t>ident:898/898 pos:898/898 query:898 hit:898 align:898 bit:1855.9</t>
  </si>
  <si>
    <t>XP_027461152.1</t>
  </si>
  <si>
    <t>sp|Q14677|EPN4_HUMAN</t>
  </si>
  <si>
    <t>Clathrin interactor 1 OS=Homo sapiens OX=9606 GN=CLINT1 PE=1 SV=1</t>
  </si>
  <si>
    <t>ident:610/643 pos:619/643 query:643 hit:625 align:643 bit:1251.1</t>
  </si>
  <si>
    <t>alpha-aminoadipic semialdehyde dehydrogenase [Zalophus californianus]</t>
  </si>
  <si>
    <t>sp|P49419|AL7A1_HUMAN</t>
  </si>
  <si>
    <t>Alpha-aminoadipic semialdehyde dehydrogenase OS=Homo sapiens OX=9606 GN=ALDH7A1 PE=1 SV=5</t>
  </si>
  <si>
    <t>ident:516/539 pos:529/539 query:539 hit:539 align:539 bit:1070.1</t>
  </si>
  <si>
    <t>NAD(P) transhydrogenase, mitochondrial [Zalophus californianus]</t>
  </si>
  <si>
    <t>sp|Q13423|NNTM_HUMAN</t>
  </si>
  <si>
    <t>NAD(P) transhydrogenase, mitochondrial OS=Homo sapiens OX=9606 GN=NNT PE=1 SV=3</t>
  </si>
  <si>
    <t>ident:1049/1086 pos:1068/1086 query:1086 hit:1086 align:1086 bit:2130.5</t>
  </si>
  <si>
    <t>sp|Q12907|LMAN2_HUMAN</t>
  </si>
  <si>
    <t>Vesicular integral-membrane protein VIP36 OS=Homo sapiens OX=9606 GN=LMAN2 PE=1 SV=1</t>
  </si>
  <si>
    <t>ident:293/322 pos:296/322 query:322 hit:356 align:303 bit:611.7</t>
  </si>
  <si>
    <t>sp|P08571|CD14_HUMAN</t>
  </si>
  <si>
    <t>Monocyte differentiation antigen CD14 OS=Homo sapiens OX=9606 GN=CD14 PE=1 SV=2</t>
  </si>
  <si>
    <t>ident:257/470 pos:289/470 query:470 hit:375 align:358 bit:515.0</t>
  </si>
  <si>
    <t>XP_027461402.1</t>
  </si>
  <si>
    <t>sp|Q99729|ROAA_HUMAN</t>
  </si>
  <si>
    <t>Heterogeneous nuclear ribonucleoprotein A/B OS=Homo sapiens OX=9606 GN=HNRNPAB PE=1 SV=2</t>
  </si>
  <si>
    <t>ident:313/361 pos:319/361 query:361 hit:332 align:333 bit:626.3</t>
  </si>
  <si>
    <t>sp|P08133|ANXA6_HUMAN</t>
  </si>
  <si>
    <t>Annexin A6 OS=Homo sapiens OX=9606 GN=ANXA6 PE=1 SV=3</t>
  </si>
  <si>
    <t>ident:643/673 pos:660/673 query:673 hit:673 align:673 bit:1327.4</t>
  </si>
  <si>
    <t>sp|P13671|CO6_HUMAN</t>
  </si>
  <si>
    <t>Complement component C6 OS=Homo sapiens OX=9606 GN=C6 PE=1 SV=3</t>
  </si>
  <si>
    <t>ident:772/950 pos:852/950 query:950 hit:934 align:936 bit:1609.0</t>
  </si>
  <si>
    <t>XP_027461499.1</t>
  </si>
  <si>
    <t>SPARC isoform X1 [Zalophus californianus]</t>
  </si>
  <si>
    <t>sp|P09486|SPRC_HUMAN</t>
  </si>
  <si>
    <t>SPARC OS=Homo sapiens OX=9606 GN=SPARC PE=1 SV=1</t>
  </si>
  <si>
    <t>ident:295/304 pos:300/304 query:304 hit:303 align:304 bit:609.8</t>
  </si>
  <si>
    <t>sp|O00244|ATOX1_HUMAN</t>
  </si>
  <si>
    <t>Copper transport protein ATOX1 OS=Homo sapiens OX=9606 GN=ATOX1 PE=1 SV=1</t>
  </si>
  <si>
    <t>ident:55/68 pos:60/68 query:68 hit:68 align:66 bit:117.1</t>
  </si>
  <si>
    <t>XP_027461506.1</t>
  </si>
  <si>
    <t>sp|P50479|PDLI4_HUMAN</t>
  </si>
  <si>
    <t>PDZ and LIM domain protein 4 OS=Homo sapiens OX=9606 GN=PDLIM4 PE=1 SV=2</t>
  </si>
  <si>
    <t>ident:302/348 pos:306/348 query:348 hit:330 align:348 bit:574.7</t>
  </si>
  <si>
    <t>sp|Q8N3K9|CMYA5_HUMAN</t>
  </si>
  <si>
    <t>Cardiomyopathy-associated protein 5 OS=Homo sapiens OX=9606 GN=CMYA5 PE=1 SV=3</t>
  </si>
  <si>
    <t>ident:1853/3982 pos:2108/3982 query:3982 hit:4069 align:2718 bit:3221.4</t>
  </si>
  <si>
    <t>XP_027461564.1</t>
  </si>
  <si>
    <t>sp|P19021|AMD_HUMAN</t>
  </si>
  <si>
    <t>Peptidyl-glycine alpha-amidating monooxygenase OS=Homo sapiens OX=9606 GN=PAM PE=1 SV=2</t>
  </si>
  <si>
    <t>ident:773/936 pos:797/936 query:936 hit:973 align:869 bit:1583.9</t>
  </si>
  <si>
    <t>XP_027461630.1</t>
  </si>
  <si>
    <t>sp|P06748|NPM_HUMAN</t>
  </si>
  <si>
    <t>Nucleophosmin OS=Homo sapiens OX=9606 GN=NPM1 PE=1 SV=2</t>
  </si>
  <si>
    <t>ident:289/294 pos:292/294 query:294 hit:294 align:295 bit:581.3</t>
  </si>
  <si>
    <t>XP_027461658.1</t>
  </si>
  <si>
    <t>sp|P22352|GPX3_HUMAN</t>
  </si>
  <si>
    <t>Glutathione peroxidase 3 OS=Homo sapiens OX=9606 GN=GPX3 PE=1 SV=2</t>
  </si>
  <si>
    <t>ident:203/226 pos:215/226 query:226 hit:226 align:226 bit:402.9</t>
  </si>
  <si>
    <t>XP_027461673.1</t>
  </si>
  <si>
    <t>sp|Q9BYV1|AGT2_HUMAN</t>
  </si>
  <si>
    <t>Alanine--glyoxylate aminotransferase 2, mitochondrial OS=Homo sapiens OX=9606 GN=AGXT2 PE=1 SV=1</t>
  </si>
  <si>
    <t>ident:441/514 pos:471/514 query:514 hit:514 align:514 bit:926.4</t>
  </si>
  <si>
    <t>sp|P00748|FA12_HUMAN</t>
  </si>
  <si>
    <t>Coagulation factor XII OS=Homo sapiens OX=9606 GN=F12 PE=1 SV=3</t>
  </si>
  <si>
    <t>ident:451/598 pos:501/598 query:598 hit:615 align:618 bit:894.0</t>
  </si>
  <si>
    <t>sodium-dependent phosphate transport protein 2A [Zalophus californianus]</t>
  </si>
  <si>
    <t>sp|Q06495|NPT2A_HUMAN</t>
  </si>
  <si>
    <t>Sodium-dependent phosphate transport protein 2A OS=Homo sapiens OX=9606 GN=SLC34A1 PE=1 SV=1</t>
  </si>
  <si>
    <t>ident:588/639 pos:612/639 query:639 hit:639 align:639 bit:1122.1</t>
  </si>
  <si>
    <t>sp|P26639|SYTC_HUMAN</t>
  </si>
  <si>
    <t>Threonine--tRNA ligase, cytoplasmic OS=Homo sapiens OX=9606 GN=TARS PE=1 SV=3</t>
  </si>
  <si>
    <t>ident:692/723 pos:706/723 query:723 hit:723 align:723 bit:1418.3</t>
  </si>
  <si>
    <t>XP_027461808.1</t>
  </si>
  <si>
    <t>sp|P13611|CSPG2_HUMAN</t>
  </si>
  <si>
    <t>Versican core protein OS=Homo sapiens OX=9606 GN=VCAN PE=1 SV=3</t>
  </si>
  <si>
    <t>ident:2605/3401 pos:2884/3401 query:3401 hit:3396 align:3430 bit:5023.8</t>
  </si>
  <si>
    <t>polyadenylate-binding protein 1 isoform X1 [Zalophus californianus]</t>
  </si>
  <si>
    <t>sp|P11940|PABP1_HUMAN</t>
  </si>
  <si>
    <t>Polyadenylate-binding protein 1 OS=Homo sapiens OX=9606 GN=PABPC1 PE=1 SV=2</t>
  </si>
  <si>
    <t>ident:635/636 pos:635/636 query:636 hit:636 align:636 bit:1318.1</t>
  </si>
  <si>
    <t>sp|P25116|PAR1_HUMAN</t>
  </si>
  <si>
    <t>Proteinase-activated receptor 1 OS=Homo sapiens OX=9606 GN=F2R PE=1 SV=2</t>
  </si>
  <si>
    <t>ident:371/427 pos:397/427 query:427 hit:425 align:427 bit:712.6</t>
  </si>
  <si>
    <t>XP_027461890.1</t>
  </si>
  <si>
    <t>sp|P55809|SCOT1_HUMAN</t>
  </si>
  <si>
    <t>Succinyl-CoA:3-ketoacid coenzyme A transferase 1, mitochondrial OS=Homo sapiens OX=9606 GN=OXCT1 PE=1 SV=1</t>
  </si>
  <si>
    <t>ident:474/520 pos:498/520 query:520 hit:520 align:518 bit:988.8</t>
  </si>
  <si>
    <t>sp|O75340|PDCD6_HUMAN</t>
  </si>
  <si>
    <t>Programmed cell death protein 6 OS=Homo sapiens OX=9606 GN=PDCD6 PE=1 SV=1</t>
  </si>
  <si>
    <t>ident:121/121 pos:121/121 query:121 hit:191 align:121 bit:249.6</t>
  </si>
  <si>
    <t>ephrin-A5 isoform X1 [Zalophus californianus]</t>
  </si>
  <si>
    <t>sp|P52803|EFNA5_HUMAN</t>
  </si>
  <si>
    <t>Ephrin-A5 OS=Homo sapiens OX=9606 GN=EFNA5 PE=1 SV=1</t>
  </si>
  <si>
    <t>ident:228/228 pos:228/228 query:228 hit:228 align:228 bit:478.0</t>
  </si>
  <si>
    <t>XP_027462002.1</t>
  </si>
  <si>
    <t>sp|Q14195|DPYL3_HUMAN</t>
  </si>
  <si>
    <t>Dihydropyrimidinase-related protein 3 OS=Homo sapiens OX=9606 GN=DPYSL3 PE=1 SV=1</t>
  </si>
  <si>
    <t>ident:553/687 pos:557/687 query:687 hit:570 align:561 bit:1154.4</t>
  </si>
  <si>
    <t>sp|P58062|ISK7_HUMAN</t>
  </si>
  <si>
    <t>Serine protease inhibitor Kazal-type 7 OS=Homo sapiens OX=9606 GN=SPINK7 PE=1 SV=1</t>
  </si>
  <si>
    <t>ident:67/90 pos:76/90 query:90 hit:85 align:90 bit:137.1</t>
  </si>
  <si>
    <t>sp|P63244|RACK1_HUMAN</t>
  </si>
  <si>
    <t>Receptor of activated protein C kinase 1 OS=Homo sapiens OX=9606 GN=RACK1 PE=1 SV=3</t>
  </si>
  <si>
    <t>ident:317/317 pos:317/317 query:317 hit:317 align:317 bit:653.7</t>
  </si>
  <si>
    <t>sp|P67775|PP2AA_HUMAN</t>
  </si>
  <si>
    <t>Serine/threonine-protein phosphatase 2A catalytic subunit alpha isoform OS=Homo sapiens OX=9606 GN=PPP2CA PE=1 SV=1</t>
  </si>
  <si>
    <t>ident:309/309 pos:309/309 query:309 hit:309 align:309 bit:649.4</t>
  </si>
  <si>
    <t>sp|Q695T7|S6A19_HUMAN</t>
  </si>
  <si>
    <t>Sodium-dependent neutral amino acid transporter B(0)AT1 OS=Homo sapiens OX=9606 GN=SLC6A19 PE=1 SV=1</t>
  </si>
  <si>
    <t>ident:545/634 pos:596/634 query:634 hit:634 align:633 bit:1126.3</t>
  </si>
  <si>
    <t>sp|Q13501|SQSTM_HUMAN</t>
  </si>
  <si>
    <t>Sequestosome-1 OS=Homo sapiens OX=9606 GN=SQSTM1 PE=1 SV=1</t>
  </si>
  <si>
    <t>ident:383/439 pos:401/439 query:439 hit:440 align:439 bit:721.5</t>
  </si>
  <si>
    <t>XP_027462092.1</t>
  </si>
  <si>
    <t>AP-4 complex subunit beta-1 isoform X1 [Zalophus californianus]</t>
  </si>
  <si>
    <t>sp|Q9Y6B7|AP4B1_HUMAN</t>
  </si>
  <si>
    <t>AP-4 complex subunit beta-1 OS=Homo sapiens OX=9606 GN=AP4B1 PE=1 SV=2</t>
  </si>
  <si>
    <t>ident:579/769 pos:585/769 query:769 hit:739 align:595 bit:1179.5</t>
  </si>
  <si>
    <t>XP_027462155.1</t>
  </si>
  <si>
    <t>sp|Q08174|PCDH1_HUMAN</t>
  </si>
  <si>
    <t>Protocadherin-1 OS=Homo sapiens OX=9606 GN=PCDH1 PE=1 SV=2</t>
  </si>
  <si>
    <t>ident:996/1237 pos:1015/1237 query:1237 hit:1060 align:1034 bit:2023.4</t>
  </si>
  <si>
    <t>XP_027462159.1</t>
  </si>
  <si>
    <t>sp|Q9Y5I4|PCDC2_HUMAN</t>
  </si>
  <si>
    <t>Protocadherin alpha-C2 OS=Homo sapiens OX=9606 GN=PCDHAC2 PE=2 SV=1</t>
  </si>
  <si>
    <t>ident:949/1004 pos:977/1004 query:1004 hit:1007 align:1007 bit:1861.3</t>
  </si>
  <si>
    <t>sp|Q9UN70|PCDGK_HUMAN</t>
  </si>
  <si>
    <t>Protocadherin gamma-C3 OS=Homo sapiens OX=9606 GN=PCDHGC3 PE=1 SV=1</t>
  </si>
  <si>
    <t>ident:739/862 pos:764/862 query:862 hit:934 align:810 bit:1435.2</t>
  </si>
  <si>
    <t>sp|Q9Y5G3|PCDGD_HUMAN</t>
  </si>
  <si>
    <t>Protocadherin gamma-B1 OS=Homo sapiens OX=9606 GN=PCDHGB1 PE=2 SV=1</t>
  </si>
  <si>
    <t>ident:643/822 pos:691/822 query:822 hit:927 align:805 bit:1286.2</t>
  </si>
  <si>
    <t>sp|Q12864|CAD17_HUMAN</t>
  </si>
  <si>
    <t>Cadherin-17 OS=Homo sapiens OX=9606 GN=CDH17 PE=2 SV=3</t>
  </si>
  <si>
    <t>ident:672/831 pos:749/831 query:831 hit:832 align:831 bit:1376.7</t>
  </si>
  <si>
    <t>sp|Q00765|REEP5_HUMAN</t>
  </si>
  <si>
    <t>Receptor expression-enhancing protein 5 OS=Homo sapiens OX=9606 GN=REEP5 PE=1 SV=3</t>
  </si>
  <si>
    <t>ident:170/189 pos:180/189 query:189 hit:189 align:189 bit:361.7</t>
  </si>
  <si>
    <t>sp|Q96N87|S6A18_HUMAN</t>
  </si>
  <si>
    <t>Inactive sodium-dependent neutral amino acid transporter B(0)AT3 OS=Homo sapiens OX=9606 GN=SLC6A18 PE=2 SV=2</t>
  </si>
  <si>
    <t>ident:463/625 pos:508/625 query:625 hit:628 align:591 bit:924.1</t>
  </si>
  <si>
    <t>sp|P00995|ISK1_HUMAN</t>
  </si>
  <si>
    <t>Serine protease inhibitor Kazal-type 1 OS=Homo sapiens OX=9606 GN=SPINK1 PE=1 SV=2</t>
  </si>
  <si>
    <t>ident:59/79 pos:64/79 query:79 hit:79 align:79 bit:101.3</t>
  </si>
  <si>
    <t>sp|Q8WU39|MZB1_HUMAN</t>
  </si>
  <si>
    <t>Marginal zone B- and B1-cell-specific protein OS=Homo sapiens OX=9606 GN=MZB1 PE=1 SV=1</t>
  </si>
  <si>
    <t>ident:150/189 pos:162/189 query:189 hit:189 align:177 bit:312.8</t>
  </si>
  <si>
    <t>XP_027462273.1</t>
  </si>
  <si>
    <t>complement component C9 isoform X1 [Zalophus californianus]</t>
  </si>
  <si>
    <t>sp|P02748|CO9_HUMAN</t>
  </si>
  <si>
    <t>Complement component C9 OS=Homo sapiens OX=9606 GN=C9 PE=1 SV=2</t>
  </si>
  <si>
    <t>ident:387/558 pos:452/558 query:558 hit:559 align:520 bit:825.5</t>
  </si>
  <si>
    <t>sp|Q93088|BHMT1_HUMAN</t>
  </si>
  <si>
    <t>Betaine--homocysteine S-methyltransferase 1 OS=Homo sapiens OX=9606 GN=BHMT PE=1 SV=2</t>
  </si>
  <si>
    <t>ident:387/407 pos:395/407 query:407 hit:406 align:405 bit:811.6</t>
  </si>
  <si>
    <t>sp|Q562R1|ACTBL_HUMAN</t>
  </si>
  <si>
    <t>Beta-actin-like protein 2 OS=Homo sapiens OX=9606 GN=ACTBL2 PE=1 SV=2</t>
  </si>
  <si>
    <t>ident:367/376 pos:372/376 query:376 hit:376 align:376 bit:771.2</t>
  </si>
  <si>
    <t>XP_027462442.1</t>
  </si>
  <si>
    <t>matrin-3 isoform X1 [Zalophus californianus]</t>
  </si>
  <si>
    <t>sp|P43243|MATR3_HUMAN</t>
  </si>
  <si>
    <t>Matrin-3 OS=Homo sapiens OX=9606 GN=MATR3 PE=1 SV=2</t>
  </si>
  <si>
    <t>ident:839/897 pos:842/897 query:897 hit:847 align:897 bit:1711.8</t>
  </si>
  <si>
    <t>sp|P28300|LYOX_HUMAN</t>
  </si>
  <si>
    <t>Protein-lysine 6-oxidase OS=Homo sapiens OX=9606 GN=LOX PE=1 SV=2</t>
  </si>
  <si>
    <t>ident:381/415 pos:393/415 query:415 hit:417 align:417 bit:765.4</t>
  </si>
  <si>
    <t>sp|P52790|HXK3_HUMAN</t>
  </si>
  <si>
    <t>Hexokinase-3 OS=Homo sapiens OX=9606 GN=HK3 PE=1 SV=2</t>
  </si>
  <si>
    <t>ident:838/954 pos:869/954 query:954 hit:923 align:924 bit:1650.6</t>
  </si>
  <si>
    <t>sp|P48643|TCPE_HUMAN</t>
  </si>
  <si>
    <t>T-complex protein 1 subunit epsilon OS=Homo sapiens OX=9606 GN=CCT5 PE=1 SV=1</t>
  </si>
  <si>
    <t>ident:528/541 pos:540/541 query:541 hit:541 align:541 bit:1090.9</t>
  </si>
  <si>
    <t>sp|P20700|LMNB1_HUMAN</t>
  </si>
  <si>
    <t>Lamin-B1 OS=Homo sapiens OX=9606 GN=LMNB1 PE=1 SV=2</t>
  </si>
  <si>
    <t>ident:566/586 pos:576/586 query:586 hit:586 align:586 bit:1146.0</t>
  </si>
  <si>
    <t>sp|Q9BYE9|CDHR2_HUMAN</t>
  </si>
  <si>
    <t>Cadherin-related family member 2 OS=Homo sapiens OX=9606 GN=CDHR2 PE=1 SV=2</t>
  </si>
  <si>
    <t>ident:1036/1310 pos:1127/1310 query:1310 hit:1310 align:1311 bit:1978.4</t>
  </si>
  <si>
    <t>sp|Q99075|HBEGF_HUMAN</t>
  </si>
  <si>
    <t>Proheparin-binding EGF-like growth factor OS=Homo sapiens OX=9606 GN=HBEGF PE=1 SV=1</t>
  </si>
  <si>
    <t>ident:184/208 pos:191/208 query:208 hit:208 align:208 bit:319.7</t>
  </si>
  <si>
    <t>XP_027462552.1</t>
  </si>
  <si>
    <t>cadherin-6 isoform X1 [Zalophus californianus]</t>
  </si>
  <si>
    <t>sp|P55285|CADH6_HUMAN</t>
  </si>
  <si>
    <t>Cadherin-6 OS=Homo sapiens OX=9606 GN=CDH6 PE=1 SV=1</t>
  </si>
  <si>
    <t>ident:771/790 pos:783/790 query:790 hit:790 align:790 bit:1604.0</t>
  </si>
  <si>
    <t>sp|O75347|TBCA_HUMAN</t>
  </si>
  <si>
    <t>Tubulin-specific chaperone A OS=Homo sapiens OX=9606 GN=TBCA PE=1 SV=3</t>
  </si>
  <si>
    <t>ident:99/108 pos:104/108 query:108 hit:108 align:108 bit:191.8</t>
  </si>
  <si>
    <t>catenin alpha-1 [Zalophus californianus]</t>
  </si>
  <si>
    <t>sp|P35221|CTNA1_HUMAN</t>
  </si>
  <si>
    <t>Catenin alpha-1 OS=Homo sapiens OX=9606 GN=CTNNA1 PE=1 SV=1</t>
  </si>
  <si>
    <t>ident:900/905 pos:902/905 query:905 hit:906 align:906 bit:1842.0</t>
  </si>
  <si>
    <t>sp|P38646|GRP75_HUMAN</t>
  </si>
  <si>
    <t>Stress-70 protein, mitochondrial OS=Homo sapiens OX=9606 GN=HSPA9 PE=1 SV=2</t>
  </si>
  <si>
    <t>ident:672/679 pos:676/679 query:679 hit:679 align:679 bit:1384.4</t>
  </si>
  <si>
    <t>sp|O00187|MASP2_HUMAN</t>
  </si>
  <si>
    <t>Mannan-binding lectin serine protease 2 OS=Homo sapiens OX=9606 GN=MASP2 PE=1 SV=4</t>
  </si>
  <si>
    <t>ident:569/684 pos:615/684 query:684 hit:686 align:686 bit:1178.7</t>
  </si>
  <si>
    <t>XP_027462685.1</t>
  </si>
  <si>
    <t>sp|Q9NR12|PDLI7_HUMAN</t>
  </si>
  <si>
    <t>PDZ and LIM domain protein 7 OS=Homo sapiens OX=9606 GN=PDLIM7 PE=1 SV=1</t>
  </si>
  <si>
    <t>ident:403/430 pos:409/430 query:430 hit:457 align:464 bit:798.1</t>
  </si>
  <si>
    <t>sp|P60953|CDC42_HUMAN</t>
  </si>
  <si>
    <t>Cell division control protein 42 homolog OS=Homo sapiens OX=9606 GN=CDC42 PE=1 SV=2</t>
  </si>
  <si>
    <t>ident:191/191 pos:191/191 query:191 hit:191 align:191 bit:392.9</t>
  </si>
  <si>
    <t>glutaredoxin-1 [Zalophus californianus]</t>
  </si>
  <si>
    <t>sp|P35754|GLRX1_HUMAN</t>
  </si>
  <si>
    <t>Glutaredoxin-1 OS=Homo sapiens OX=9606 GN=GLRX PE=1 SV=2</t>
  </si>
  <si>
    <t>ident:85/106 pos:95/106 query:106 hit:106 align:106 bit:180.6</t>
  </si>
  <si>
    <t>sp|Q9UBF9|MYOTI_HUMAN</t>
  </si>
  <si>
    <t>Myotilin OS=Homo sapiens OX=9606 GN=MYOT PE=1 SV=2</t>
  </si>
  <si>
    <t>ident:460/499 pos:477/499 query:499 hit:498 align:499 bit:961.8</t>
  </si>
  <si>
    <t>ident:459/498 pos:476/498 query:498 hit:498 align:498 bit:963.8</t>
  </si>
  <si>
    <t>ganglioside GM2 activator [Zalophus californianus]</t>
  </si>
  <si>
    <t>sp|P17900|SAP3_HUMAN</t>
  </si>
  <si>
    <t>Ganglioside GM2 activator OS=Homo sapiens OX=9606 GN=GM2A PE=1 SV=4</t>
  </si>
  <si>
    <t>ident:109/193 pos:134/193 query:193 hit:193 align:164 bit:241.9</t>
  </si>
  <si>
    <t>XP_027462720.1</t>
  </si>
  <si>
    <t>sp|Q8TBP5|F174A_HUMAN</t>
  </si>
  <si>
    <t>Membrane protein FAM174A OS=Homo sapiens OX=9606 GN=FAM174A PE=2 SV=1</t>
  </si>
  <si>
    <t>ident:160/213 pos:165/213 query:213 hit:190 align:192 bit:202.2</t>
  </si>
  <si>
    <t>sp|Q96CN7|ISOC1_HUMAN</t>
  </si>
  <si>
    <t>Isochorismatase domain-containing protein 1 OS=Homo sapiens OX=9606 GN=ISOC1 PE=1 SV=3</t>
  </si>
  <si>
    <t>ident:291/298 pos:294/298 query:298 hit:298 align:298 bit:591.3</t>
  </si>
  <si>
    <t>brain acid soluble protein 1 [Zalophus californianus]</t>
  </si>
  <si>
    <t>sp|P80723|BASP1_HUMAN</t>
  </si>
  <si>
    <t>Brain acid soluble protein 1 OS=Homo sapiens OX=9606 GN=BASP1 PE=1 SV=2</t>
  </si>
  <si>
    <t>ident:136/219 pos:152/219 query:219 hit:227 align:222 bit:109.4</t>
  </si>
  <si>
    <t>XP_027462837.1</t>
  </si>
  <si>
    <t>hemojuvelin isoform X1 [Zalophus californianus]</t>
  </si>
  <si>
    <t>sp|Q6ZVN8|RGMC_HUMAN</t>
  </si>
  <si>
    <t>Hemojuvelin OS=Homo sapiens OX=9606 GN=HJV PE=1 SV=1</t>
  </si>
  <si>
    <t>ident:394/427 pos:405/427 query:427 hit:426 align:424 bit:685.6</t>
  </si>
  <si>
    <t>sp|P45877|PPIC_HUMAN</t>
  </si>
  <si>
    <t>Peptidyl-prolyl cis-trans isomerase C OS=Homo sapiens OX=9606 GN=PPIC PE=1 SV=1</t>
  </si>
  <si>
    <t>ident:195/212 pos:204/212 query:212 hit:212 align:212 bit:400.2</t>
  </si>
  <si>
    <t>sp|Q15582|BGH3_HUMAN</t>
  </si>
  <si>
    <t>Transforming growth factor-beta-induced protein ig-h3 OS=Homo sapiens OX=9606 GN=TGFBI PE=1 SV=1</t>
  </si>
  <si>
    <t>ident:613/683 pos:644/683 query:683 hit:683 align:660 bit:1284.2</t>
  </si>
  <si>
    <t>XP_027462867.1</t>
  </si>
  <si>
    <t>sp|Q16643|DREB_HUMAN</t>
  </si>
  <si>
    <t>Drebrin OS=Homo sapiens OX=9606 GN=DBN1 PE=1 SV=4</t>
  </si>
  <si>
    <t>ident:581/698 pos:592/698 query:698 hit:649 align:694 bit:973.0</t>
  </si>
  <si>
    <t>sp|Q96H15|TIMD4_HUMAN</t>
  </si>
  <si>
    <t>T-cell immunoglobulin and mucin domain-containing protein 4 OS=Homo sapiens OX=9606 GN=TIMD4 PE=1 SV=2</t>
  </si>
  <si>
    <t>ident:199/333 pos:232/333 query:333 hit:378 align:379 bit:301.2</t>
  </si>
  <si>
    <t>XP_027462891.1</t>
  </si>
  <si>
    <t>sp|P31943|HNRH1_HUMAN</t>
  </si>
  <si>
    <t>Heterogeneous nuclear ribonucleoprotein H OS=Homo sapiens OX=9606 GN=HNRNPH1 PE=1 SV=4</t>
  </si>
  <si>
    <t>ident:437/472 pos:438/472 query:472 hit:449 align:446 bit:897.5</t>
  </si>
  <si>
    <t>sp|Q9NQ30|ESM1_HUMAN</t>
  </si>
  <si>
    <t>Endothelial cell-specific molecule 1 OS=Homo sapiens OX=9606 GN=ESM1 PE=1 SV=2</t>
  </si>
  <si>
    <t>ident:154/183 pos:165/183 query:183 hit:184 align:185 bit:293.5</t>
  </si>
  <si>
    <t>XP_027462899.1</t>
  </si>
  <si>
    <t>sp|Q96D42|HAVR1_HUMAN</t>
  </si>
  <si>
    <t>Hepatitis A virus cellular receptor 1 OS=Homo sapiens OX=9606 GN=HAVCR1 PE=1 SV=3</t>
  </si>
  <si>
    <t>ident:72/302 pos:91/302 query:302 hit:364 align:130 bit:152.1</t>
  </si>
  <si>
    <t>sp|Q6MZW2|FSTL4_HUMAN</t>
  </si>
  <si>
    <t>Follistatin-related protein 4 OS=Homo sapiens OX=9606 GN=FSTL4 PE=2 SV=3</t>
  </si>
  <si>
    <t>ident:713/842 pos:775/842 query:842 hit:842 align:842 bit:1501.5</t>
  </si>
  <si>
    <t>XP_027462919.1</t>
  </si>
  <si>
    <t>sp|P35443|TSP4_HUMAN</t>
  </si>
  <si>
    <t>Thrombospondin-4 OS=Homo sapiens OX=9606 GN=THBS4 PE=1 SV=2</t>
  </si>
  <si>
    <t>ident:899/961 pos:927/961 query:961 hit:961 align:961 bit:1744.2</t>
  </si>
  <si>
    <t>XP_027462926.1</t>
  </si>
  <si>
    <t>sp|Q86WV6|STING_HUMAN</t>
  </si>
  <si>
    <t>Stimulator of interferon genes protein OS=Homo sapiens OX=9606 GN=TMEM173 PE=1 SV=1</t>
  </si>
  <si>
    <t>ident:291/411 pos:322/411 query:411 hit:379 align:412 bit:549.7</t>
  </si>
  <si>
    <t>carboxymethylenebutenolidase homolog [Zalophus californianus]</t>
  </si>
  <si>
    <t>sp|Q96DG6|CMBL_HUMAN</t>
  </si>
  <si>
    <t>Carboxymethylenebutenolidase homolog OS=Homo sapiens OX=9606 GN=CMBL PE=1 SV=1</t>
  </si>
  <si>
    <t>ident:211/245 pos:232/245 query:245 hit:245 align:245 bit:461.1</t>
  </si>
  <si>
    <t>sp|Q969E1|LEAP2_HUMAN</t>
  </si>
  <si>
    <t>Liver-expressed antimicrobial peptide 2 OS=Homo sapiens OX=9606 GN=LEAP2 PE=1 SV=1</t>
  </si>
  <si>
    <t>ident:66/77 pos:70/77 query:77 hit:77 align:77 bit:132.9</t>
  </si>
  <si>
    <t>interleukin-6 receptor subunit beta isoform X1 [Zalophus californianus]</t>
  </si>
  <si>
    <t>sp|P40189|IL6RB_HUMAN</t>
  </si>
  <si>
    <t>Interleukin-6 receptor subunit beta OS=Homo sapiens OX=9606 GN=IL6ST PE=1 SV=2</t>
  </si>
  <si>
    <t>ident:831/918 pos:864/918 query:918 hit:918 align:919 bit:1677.5</t>
  </si>
  <si>
    <t>chloride channel CLIC-like protein 1 [Zalophus californianus]</t>
  </si>
  <si>
    <t>sp|Q96S66|CLCC1_HUMAN</t>
  </si>
  <si>
    <t>Chloride channel CLIC-like protein 1 OS=Homo sapiens OX=9606 GN=CLCC1 PE=1 SV=1</t>
  </si>
  <si>
    <t>ident:434/546 pos:473/546 query:546 hit:551 align:538 bit:862.4</t>
  </si>
  <si>
    <t>XP_027463100.1</t>
  </si>
  <si>
    <t>sp|O15231|ZN185_HUMAN</t>
  </si>
  <si>
    <t>Zinc finger protein 185 OS=Homo sapiens OX=9606 GN=ZNF185 PE=1 SV=3</t>
  </si>
  <si>
    <t>ident:502/656 pos:547/656 query:656 hit:689 align:690 bit:946.4</t>
  </si>
  <si>
    <t>sp|O43895|XPP2_HUMAN</t>
  </si>
  <si>
    <t>Xaa-Pro aminopeptidase 2 OS=Homo sapiens OX=9606 GN=XPNPEP2 PE=1 SV=3</t>
  </si>
  <si>
    <t>ident:572/675 pos:613/675 query:675 hit:674 align:675 bit:1196.4</t>
  </si>
  <si>
    <t>ubiquitin-like modifier-activating enzyme 1 [Zalophus californianus]</t>
  </si>
  <si>
    <t>sp|P22314|UBA1_HUMAN</t>
  </si>
  <si>
    <t>Ubiquitin-like modifier-activating enzyme 1 OS=Homo sapiens OX=9606 GN=UBA1 PE=1 SV=3</t>
  </si>
  <si>
    <t>ident:1030/1058 pos:1046/1058 query:1058 hit:1058 align:1058 bit:2156.3</t>
  </si>
  <si>
    <t>sp|P27918|PROP_HUMAN</t>
  </si>
  <si>
    <t>Properdin OS=Homo sapiens OX=9606 GN=CFP PE=1 SV=2</t>
  </si>
  <si>
    <t>ident:337/464 pos:375/464 query:464 hit:469 align:445 bit:662.9</t>
  </si>
  <si>
    <t>XP_027463189.1</t>
  </si>
  <si>
    <t>sp|Q15493|RGN_HUMAN</t>
  </si>
  <si>
    <t>Regucalcin OS=Homo sapiens OX=9606 GN=RGN PE=1 SV=1</t>
  </si>
  <si>
    <t>ident:271/307 pos:287/307 query:307 hit:299 align:299 bit:574.7</t>
  </si>
  <si>
    <t>sp|P01033|TIMP1_HUMAN</t>
  </si>
  <si>
    <t>Metalloproteinase inhibitor 1 OS=Homo sapiens OX=9606 GN=TIMP1 PE=1 SV=1</t>
  </si>
  <si>
    <t>ident:168/207 pos:181/207 query:207 hit:207 align:207 bit:356.7</t>
  </si>
  <si>
    <t>sp|O75832|PSD10_HUMAN</t>
  </si>
  <si>
    <t>26S proteasome non-ATPase regulatory subunit 10 OS=Homo sapiens OX=9606 GN=PSMD10 PE=1 SV=1</t>
  </si>
  <si>
    <t>ident:224/226 pos:225/226 query:226 hit:226 align:226 bit:461.5</t>
  </si>
  <si>
    <t>sp|P04839|CY24B_HUMAN</t>
  </si>
  <si>
    <t>Cytochrome b-245 heavy chain OS=Homo sapiens OX=9606 GN=CYBB PE=1 SV=2</t>
  </si>
  <si>
    <t>ident:520/570 pos:540/570 query:570 hit:570 align:570 bit:1063.1</t>
  </si>
  <si>
    <t>XP_027463351.1</t>
  </si>
  <si>
    <t>sp|O00571|DDX3X_HUMAN</t>
  </si>
  <si>
    <t>ATP-dependent RNA helicase DDX3X OS=Homo sapiens OX=9606 GN=DDX3X PE=1 SV=3</t>
  </si>
  <si>
    <t>ident:661/662 pos:661/662 query:662 hit:662 align:662 bit:1358.6</t>
  </si>
  <si>
    <t>histidine triad nucleotide-binding protein 1 [Zalophus californianus]</t>
  </si>
  <si>
    <t>sp|P49773|HINT1_HUMAN</t>
  </si>
  <si>
    <t>Histidine triad nucleotide-binding protein 1 OS=Homo sapiens OX=9606 GN=HINT1 PE=1 SV=2</t>
  </si>
  <si>
    <t>ident:119/126 pos:122/126 query:126 hit:126 align:126 bit:246.1</t>
  </si>
  <si>
    <t>sp|P61019|RAB2A_HUMAN</t>
  </si>
  <si>
    <t>Ras-related protein Rab-2A OS=Homo sapiens OX=9606 GN=RAB2A PE=1 SV=1</t>
  </si>
  <si>
    <t>ident:212/212 pos:212/212 query:212 hit:212 align:212 bit:441.8</t>
  </si>
  <si>
    <t>sp|P51606|RENBP_HUMAN</t>
  </si>
  <si>
    <t>N-acylglucosamine 2-epimerase OS=Homo sapiens OX=9606 GN=RENBP PE=1 SV=2</t>
  </si>
  <si>
    <t>ident:309/387 pos:323/387 query:387 hit:427 align:409 bit:607.4</t>
  </si>
  <si>
    <t>XP_027463528.1</t>
  </si>
  <si>
    <t>sp|P13473|LAMP2_HUMAN</t>
  </si>
  <si>
    <t>Lysosome-associated membrane glycoprotein 2 OS=Homo sapiens OX=9606 GN=LAMP2 PE=1 SV=2</t>
  </si>
  <si>
    <t>ident:349/412 pos:367/412 query:412 hit:410 align:412 bit:689.1</t>
  </si>
  <si>
    <t>ident:633/646 pos:637/646 query:646 hit:646 align:646 bit:1300.8</t>
  </si>
  <si>
    <t>XP_027463599.1</t>
  </si>
  <si>
    <t>sp|Q9NVH1|DJC11_HUMAN</t>
  </si>
  <si>
    <t>DnaJ homolog subfamily C member 11 OS=Homo sapiens OX=9606 GN=DNAJC11 PE=1 SV=2</t>
  </si>
  <si>
    <t>ident:545/559 pos:556/559 query:559 hit:559 align:559 bit:1141.3</t>
  </si>
  <si>
    <t>XP_027463611.1</t>
  </si>
  <si>
    <t>sp|P32189|GLPK_HUMAN</t>
  </si>
  <si>
    <t>Glycerol kinase OS=Homo sapiens OX=9606 GN=GK PE=1 SV=3</t>
  </si>
  <si>
    <t>ident:541/587 pos:552/587 query:587 hit:559 align:587 bit:1111.7</t>
  </si>
  <si>
    <t>sp|P51608|MECP2_HUMAN</t>
  </si>
  <si>
    <t>Methyl-CpG-binding protein 2 OS=Homo sapiens OX=9606 GN=MECP2 PE=1 SV=1</t>
  </si>
  <si>
    <t>ident:459/499 pos:463/499 query:499 hit:486 align:478 bit:894.8</t>
  </si>
  <si>
    <t>XP_027463639.1</t>
  </si>
  <si>
    <t>sp|P11413|G6PD_HUMAN</t>
  </si>
  <si>
    <t>Glucose-6-phosphate 1-dehydrogenase OS=Homo sapiens OX=9606 GN=G6PD PE=1 SV=4</t>
  </si>
  <si>
    <t>ident:488/555 pos:504/555 query:555 hit:515 align:515 bit:1034.2</t>
  </si>
  <si>
    <t>XP_027463665.1</t>
  </si>
  <si>
    <t>sp|Q08623|HDHD1_HUMAN</t>
  </si>
  <si>
    <t>Pseudouridine-5'-phosphatase OS=Homo sapiens OX=9606 GN=PUDP PE=1 SV=3</t>
  </si>
  <si>
    <t>ident:196/231 pos:211/231 query:231 hit:228 align:225 bit:407.9</t>
  </si>
  <si>
    <t>sp|O95831|AIFM1_HUMAN</t>
  </si>
  <si>
    <t>Apoptosis-inducing factor 1, mitochondrial OS=Homo sapiens OX=9606 GN=AIFM1 PE=1 SV=1</t>
  </si>
  <si>
    <t>ident:581/613 pos:596/613 query:613 hit:613 align:613 bit:1154.4</t>
  </si>
  <si>
    <t>XP_027463677.1</t>
  </si>
  <si>
    <t>sp|P08559|ODPA_HUMAN</t>
  </si>
  <si>
    <t>Pyruvate dehydrogenase E1 component subunit alpha, somatic form, mitochondrial OS=Homo sapiens OX=9606 GN=PDHA1 PE=1 SV=3</t>
  </si>
  <si>
    <t>ident:385/390 pos:389/390 query:390 hit:390 align:390 bit:808.5</t>
  </si>
  <si>
    <t>sp|O00264|PGRC1_HUMAN</t>
  </si>
  <si>
    <t>Membrane-associated progesterone receptor component 1 OS=Homo sapiens OX=9606 GN=PGRMC1 PE=1 SV=3</t>
  </si>
  <si>
    <t>ident:187/195 pos:191/195 query:195 hit:195 align:195 bit:352.1</t>
  </si>
  <si>
    <t>sp|P08754|GNAI3_HUMAN</t>
  </si>
  <si>
    <t>Guanine nucleotide-binding protein G(k) subunit alpha OS=Homo sapiens OX=9606 GN=GNAI3 PE=1 SV=3</t>
  </si>
  <si>
    <t>ident:351/354 pos:354/354 query:354 hit:354 align:354 bit:731.1</t>
  </si>
  <si>
    <t>small muscular protein [Zalophus californianus]</t>
  </si>
  <si>
    <t>sp|Q9UHP9|SMPX_HUMAN</t>
  </si>
  <si>
    <t>Small muscular protein OS=Homo sapiens OX=9606 GN=SMPX PE=2 SV=3</t>
  </si>
  <si>
    <t>ident:84/86 pos:85/86 query:86 hit:88 align:86 bit:166.4</t>
  </si>
  <si>
    <t>sp|P14209|CD99_HUMAN</t>
  </si>
  <si>
    <t>CD99 antigen OS=Homo sapiens OX=9606 GN=CD99 PE=1 SV=1</t>
  </si>
  <si>
    <t>ident:102/186 pos:122/186 query:186 hit:185 align:162 bit:102.1</t>
  </si>
  <si>
    <t>ident:101/185 pos:121/185 query:185 hit:185 align:161 bit:103.6</t>
  </si>
  <si>
    <t>XP_027463748.1</t>
  </si>
  <si>
    <t>sp|P29692|EF1D_HUMAN</t>
  </si>
  <si>
    <t>Elongation factor 1-delta OS=Homo sapiens OX=9606 GN=EEF1D PE=1 SV=5</t>
  </si>
  <si>
    <t>ident:250/644 pos:263/644 query:644 hit:281 align:281 bit:463.8</t>
  </si>
  <si>
    <t>heterogeneous nuclear ribonucleoprotein H2 [Zalophus californianus]</t>
  </si>
  <si>
    <t>sp|P55795|HNRH2_HUMAN</t>
  </si>
  <si>
    <t>Heterogeneous nuclear ribonucleoprotein H2 OS=Homo sapiens OX=9606 GN=HNRNPH2 PE=1 SV=1</t>
  </si>
  <si>
    <t>ident:448/449 pos:449/449 query:449 hit:449 align:449 bit:924.1</t>
  </si>
  <si>
    <t>sp|P06280|AGAL_HUMAN</t>
  </si>
  <si>
    <t>Alpha-galactosidase A OS=Homo sapiens OX=9606 GN=GLA PE=1 SV=1</t>
  </si>
  <si>
    <t>ident:350/420 pos:380/420 query:420 hit:429 align:410 bit:742.7</t>
  </si>
  <si>
    <t>XP_027463788.1</t>
  </si>
  <si>
    <t>filamin-A isoform X1 [Zalophus californianus]</t>
  </si>
  <si>
    <t>sp|P21333|FLNA_HUMAN</t>
  </si>
  <si>
    <t>Filamin-A OS=Homo sapiens OX=9606 GN=FLNA PE=1 SV=4</t>
  </si>
  <si>
    <t>ident:2584/2646 pos:2607/2646 query:2646 hit:2647 align:2647 bit:5279.1</t>
  </si>
  <si>
    <t>XP_027463807.1</t>
  </si>
  <si>
    <t>sp|Q6XQN6|PNCB_HUMAN</t>
  </si>
  <si>
    <t>Nicotinate phosphoribosyltransferase OS=Homo sapiens OX=9606 GN=NAPRT PE=1 SV=2</t>
  </si>
  <si>
    <t>ident:471/542 pos:502/542 query:542 hit:538 align:541 bit:927.9</t>
  </si>
  <si>
    <t>sp|P26038|MOES_HUMAN</t>
  </si>
  <si>
    <t>Moesin OS=Homo sapiens OX=9606 GN=MSN PE=1 SV=3</t>
  </si>
  <si>
    <t>ident:574/577 pos:576/577 query:577 hit:577 align:577 bit:1172.9</t>
  </si>
  <si>
    <t>XP_027463884.1</t>
  </si>
  <si>
    <t>sp|Q13642|FHL1_HUMAN</t>
  </si>
  <si>
    <t>Four and a half LIM domains protein 1 OS=Homo sapiens OX=9606 GN=FHL1 PE=1 SV=4</t>
  </si>
  <si>
    <t>ident:233/309 pos:241/309 query:309 hit:323 align:277 bit:464.5</t>
  </si>
  <si>
    <t>sp|P11908|PRPS2_HUMAN</t>
  </si>
  <si>
    <t>Ribose-phosphate pyrophosphokinase 2 OS=Homo sapiens OX=9606 GN=PRPS2 PE=1 SV=2</t>
  </si>
  <si>
    <t>ident:315/318 pos:317/318 query:318 hit:318 align:318 bit:650.2</t>
  </si>
  <si>
    <t>sp|P51654|GPC3_HUMAN</t>
  </si>
  <si>
    <t>Glypican-3 OS=Homo sapiens OX=9606 GN=GPC3 PE=1 SV=1</t>
  </si>
  <si>
    <t>ident:554/580 pos:563/580 query:580 hit:580 align:580 bit:1141.0</t>
  </si>
  <si>
    <t>sp|Q15904|VAS1_HUMAN</t>
  </si>
  <si>
    <t>V-type proton ATPase subunit S1 OS=Homo sapiens OX=9606 GN=ATP6AP1 PE=1 SV=2</t>
  </si>
  <si>
    <t>ident:423/464 pos:440/464 query:464 hit:470 align:469 bit:853.2</t>
  </si>
  <si>
    <t>XP_027464050.1</t>
  </si>
  <si>
    <t>sp|P00740|FA9_HUMAN</t>
  </si>
  <si>
    <t>Coagulation factor IX OS=Homo sapiens OX=9606 GN=F9 PE=1 SV=2</t>
  </si>
  <si>
    <t>ident:389/459 pos:416/459 query:459 hit:461 align:461 bit:808.5</t>
  </si>
  <si>
    <t>gap junction beta-1 protein [Zalophus californianus]</t>
  </si>
  <si>
    <t>sp|P08034|CXB1_HUMAN</t>
  </si>
  <si>
    <t>Gap junction beta-1 protein OS=Homo sapiens OX=9606 GN=GJB1 PE=1 SV=1</t>
  </si>
  <si>
    <t>ident:278/283 pos:279/283 query:283 hit:283 align:283 bit:579.7</t>
  </si>
  <si>
    <t>sp|A8K7I4|CLCA1_HUMAN</t>
  </si>
  <si>
    <t>Calcium-activated chloride channel regulator 1 OS=Homo sapiens OX=9606 GN=CLCA1 PE=1 SV=3</t>
  </si>
  <si>
    <t>ident:740/913 pos:811/913 query:913 hit:914 align:914 bit:1551.2</t>
  </si>
  <si>
    <t>XP_027464114.1</t>
  </si>
  <si>
    <t>sp|O75787|RENR_HUMAN</t>
  </si>
  <si>
    <t>Renin receptor OS=Homo sapiens OX=9606 GN=ATP6AP2 PE=1 SV=2</t>
  </si>
  <si>
    <t>ident:329/351 pos:340/351 query:351 hit:350 align:350 bit:650.2</t>
  </si>
  <si>
    <t>XP_027464165.1</t>
  </si>
  <si>
    <t>sp|P00451|FA8_HUMAN</t>
  </si>
  <si>
    <t>Coagulation factor VIII OS=Homo sapiens OX=9606 GN=F8 PE=1 SV=1</t>
  </si>
  <si>
    <t>ident:1874/2344 pos:2061/2344 query:2344 hit:2351 align:2361 bit:3877.0</t>
  </si>
  <si>
    <t>XP_027464182.1</t>
  </si>
  <si>
    <t>sp|Q8WZA0|LZIC_HUMAN</t>
  </si>
  <si>
    <t>Protein LZIC OS=Homo sapiens OX=9606 GN=LZIC PE=1 SV=1</t>
  </si>
  <si>
    <t>ident:177/200 pos:179/200 query:200 hit:190 align:181 bit:350.9</t>
  </si>
  <si>
    <t>sp|P00492|HPRT_HUMAN</t>
  </si>
  <si>
    <t>Hypoxanthine-guanine phosphoribosyltransferase OS=Homo sapiens OX=9606 GN=HPRT1 PE=1 SV=2</t>
  </si>
  <si>
    <t>ident:210/218 pos:215/218 query:218 hit:218 align:218 bit:431.4</t>
  </si>
  <si>
    <t>sp|P38159|RBMX_HUMAN</t>
  </si>
  <si>
    <t>RNA-binding motif protein, X chromosome OS=Homo sapiens OX=9606 GN=RBMX PE=1 SV=3</t>
  </si>
  <si>
    <t>ident:289/289 pos:289/289 query:289 hit:391 align:289 bit:549.7</t>
  </si>
  <si>
    <t>XP_027464356.1</t>
  </si>
  <si>
    <t>sp|P54819|KAD2_HUMAN</t>
  </si>
  <si>
    <t>Adenylate kinase 2, mitochondrial OS=Homo sapiens OX=9606 GN=AK2 PE=1 SV=2</t>
  </si>
  <si>
    <t>ident:225/241 pos:233/241 query:241 hit:239 align:241 bit:461.8</t>
  </si>
  <si>
    <t>sp|Q9HBJ8|CLTRN_HUMAN</t>
  </si>
  <si>
    <t>Collectrin OS=Homo sapiens OX=9606 GN=CLTRN PE=1 SV=1</t>
  </si>
  <si>
    <t>ident:206/222 pos:211/222 query:222 hit:222 align:222 bit:408.3</t>
  </si>
  <si>
    <t>sp|P62701|RS4X_HUMAN</t>
  </si>
  <si>
    <t>40S ribosomal protein S4, X isoform OS=Homo sapiens OX=9606 GN=RPS4X PE=1 SV=2</t>
  </si>
  <si>
    <t>ident:263/263 pos:263/263 query:263 hit:263 align:263 bit:537.7</t>
  </si>
  <si>
    <t>XP_027464485.1</t>
  </si>
  <si>
    <t>adenylyl cyclase-associated protein 1 isoform X1 [Zalophus californianus]</t>
  </si>
  <si>
    <t>sp|Q01518|CAP1_HUMAN</t>
  </si>
  <si>
    <t>Adenylyl cyclase-associated protein 1 OS=Homo sapiens OX=9606 GN=CAP1 PE=1 SV=5</t>
  </si>
  <si>
    <t>ident:447/474 pos:455/474 query:474 hit:475 align:475 bit:886.7</t>
  </si>
  <si>
    <t>ident:298/320 pos:301/320 query:320 hit:320 align:320 bit:465.7</t>
  </si>
  <si>
    <t>non-POU domain-containing octamer-binding protein [Zalophus californianus]</t>
  </si>
  <si>
    <t>sp|Q15233|NONO_HUMAN</t>
  </si>
  <si>
    <t>Non-POU domain-containing octamer-binding protein OS=Homo sapiens OX=9606 GN=NONO PE=1 SV=4</t>
  </si>
  <si>
    <t>ident:470/470 pos:470/470 query:470 hit:471 align:471 bit:954.1</t>
  </si>
  <si>
    <t>sp|Q07666|KHDR1_HUMAN</t>
  </si>
  <si>
    <t>KH domain-containing, RNA-binding, signal transduction-associated protein 1 OS=Homo sapiens OX=9606 GN=KHDRBS1 PE=1 SV=1</t>
  </si>
  <si>
    <t>ident:441/443 pos:442/443 query:443 hit:443 align:443 bit:887.1</t>
  </si>
  <si>
    <t>sp|P31150|GDIA_HUMAN</t>
  </si>
  <si>
    <t>Rab GDP dissociation inhibitor alpha OS=Homo sapiens OX=9606 GN=GDI1 PE=1 SV=2</t>
  </si>
  <si>
    <t>ident:440/447 pos:446/447 query:447 hit:447 align:447 bit:917.5</t>
  </si>
  <si>
    <t>sp|Q9HAV5|TNR27_HUMAN</t>
  </si>
  <si>
    <t>Tumor necrosis factor receptor superfamily member 27 OS=Homo sapiens OX=9606 GN=EDA2R PE=1 SV=2</t>
  </si>
  <si>
    <t>ident:258/318 pos:280/318 query:318 hit:297 align:318 bit:533.9</t>
  </si>
  <si>
    <t>sp|P54793|ARSF_HUMAN</t>
  </si>
  <si>
    <t>Arylsulfatase F OS=Homo sapiens OX=9606 GN=ARSF PE=1 SV=4</t>
  </si>
  <si>
    <t>ident:441/617 pos:501/617 query:617 hit:590 align:578 bit:906.7</t>
  </si>
  <si>
    <t>pirin [Zalophus californianus]</t>
  </si>
  <si>
    <t>sp|O00625|PIR_HUMAN</t>
  </si>
  <si>
    <t>Pirin OS=Homo sapiens OX=9606 GN=PIR PE=1 SV=1</t>
  </si>
  <si>
    <t>ident:279/290 pos:285/290 query:290 hit:290 align:290 bit:582.4</t>
  </si>
  <si>
    <t>sp|Q99714|HCD2_HUMAN</t>
  </si>
  <si>
    <t>3-hydroxyacyl-CoA dehydrogenase type-2 OS=Homo sapiens OX=9606 GN=HSD17B10 PE=1 SV=3</t>
  </si>
  <si>
    <t>ident:239/261 pos:249/261 query:261 hit:261 align:261 bit:481.5</t>
  </si>
  <si>
    <t>XP_027464855.1</t>
  </si>
  <si>
    <t>sp|P12236|ADT3_HUMAN</t>
  </si>
  <si>
    <t>ADP/ATP translocase 3 OS=Homo sapiens OX=9606 GN=SLC25A6 PE=1 SV=4</t>
  </si>
  <si>
    <t>ident:293/298 pos:297/298 query:298 hit:298 align:298 bit:603.6</t>
  </si>
  <si>
    <t>sp|P13797|PLST_HUMAN</t>
  </si>
  <si>
    <t>Plastin-3 OS=Homo sapiens OX=9606 GN=PLS3 PE=1 SV=4</t>
  </si>
  <si>
    <t>ident:628/630 pos:630/630 query:630 hit:630 align:630 bit:1298.1</t>
  </si>
  <si>
    <t>XP_027464912.1</t>
  </si>
  <si>
    <t>sp|Q8IW52|SLIK4_HUMAN</t>
  </si>
  <si>
    <t>SLIT and NTRK-like protein 4 OS=Homo sapiens OX=9606 GN=SLITRK4 PE=1 SV=1</t>
  </si>
  <si>
    <t>ident:816/968 pos:829/968 query:968 hit:837 align:838 bit:1667.9</t>
  </si>
  <si>
    <t>sp|Q9UMY4|SNX12_HUMAN</t>
  </si>
  <si>
    <t>Sorting nexin-12 OS=Homo sapiens OX=9606 GN=SNX12 PE=1 SV=3</t>
  </si>
  <si>
    <t>ident:159/162 pos:159/162 query:162 hit:172 align:159 bit:330.9</t>
  </si>
  <si>
    <t>CTP synthase 2 [Zalophus californianus]</t>
  </si>
  <si>
    <t>sp|Q9NRF8|PYRG2_HUMAN</t>
  </si>
  <si>
    <t>CTP synthase 2 OS=Homo sapiens OX=9606 GN=CTPS2 PE=1 SV=1</t>
  </si>
  <si>
    <t>ident:562/586 pos:571/586 query:586 hit:586 align:586 bit:1166.4</t>
  </si>
  <si>
    <t>sp|Q04941|PLP2_HUMAN</t>
  </si>
  <si>
    <t>Proteolipid protein 2 OS=Homo sapiens OX=9606 GN=PLP2 PE=1 SV=1</t>
  </si>
  <si>
    <t>ident:142/152 pos:148/152 query:152 hit:152 align:152 bit:295.0</t>
  </si>
  <si>
    <t>XP_027465050.1</t>
  </si>
  <si>
    <t>sp|P41227|NAA10_HUMAN</t>
  </si>
  <si>
    <t>N-alpha-acetyltransferase 10 OS=Homo sapiens OX=9606 GN=NAA10 PE=1 SV=1</t>
  </si>
  <si>
    <t>ident:232/235 pos:234/235 query:235 hit:235 align:235 bit:483.4</t>
  </si>
  <si>
    <t>sp|P98172|EFNB1_HUMAN</t>
  </si>
  <si>
    <t>Ephrin-B1 OS=Homo sapiens OX=9606 GN=EFNB1 PE=1 SV=1</t>
  </si>
  <si>
    <t>ident:338/346 pos:340/346 query:346 hit:346 align:346 bit:704.9</t>
  </si>
  <si>
    <t>XP_027465121.1</t>
  </si>
  <si>
    <t>sp|O75487|GPC4_HUMAN</t>
  </si>
  <si>
    <t>Glypican-4 OS=Homo sapiens OX=9606 GN=GPC4 PE=1 SV=4</t>
  </si>
  <si>
    <t>ident:513/556 pos:532/556 query:556 hit:556 align:556 bit:1027.7</t>
  </si>
  <si>
    <t>deoxyribonuclease-1-like 1 [Zalophus californianus]</t>
  </si>
  <si>
    <t>sp|P49184|DNSL1_HUMAN</t>
  </si>
  <si>
    <t>Deoxyribonuclease-1-like 1 OS=Homo sapiens OX=9606 GN=DNASE1L1 PE=1 SV=1</t>
  </si>
  <si>
    <t>ident:224/299 pos:245/299 query:299 hit:302 align:282 bit:456.8</t>
  </si>
  <si>
    <t>XP_027465176.1</t>
  </si>
  <si>
    <t>sp|Q9BU40|CRDL1_HUMAN</t>
  </si>
  <si>
    <t>Chordin-like protein 1 OS=Homo sapiens OX=9606 GN=CHRDL1 PE=1 SV=2</t>
  </si>
  <si>
    <t>ident:446/528 pos:451/528 query:528 hit:456 align:459 bit:920.2</t>
  </si>
  <si>
    <t>XP_027465190.1</t>
  </si>
  <si>
    <t>sp|P02462|CO4A1_HUMAN</t>
  </si>
  <si>
    <t>Collagen alpha-1(IV) chain OS=Homo sapiens OX=9606 GN=COL4A1 PE=1 SV=4</t>
  </si>
  <si>
    <t>ident:1017/1691 pos:1150/1691 query:1691 hit:1669 align:1708 bit:1043.5</t>
  </si>
  <si>
    <t>sp|P05141|ADT2_HUMAN</t>
  </si>
  <si>
    <t>ADP/ATP translocase 2 OS=Homo sapiens OX=9606 GN=SLC25A5 PE=1 SV=7</t>
  </si>
  <si>
    <t>ident:290/298 pos:295/298 query:298 hit:298 align:298 bit:597.0</t>
  </si>
  <si>
    <t>XP_027465222.1</t>
  </si>
  <si>
    <t>sp|P32004|L1CAM_HUMAN</t>
  </si>
  <si>
    <t>Neural cell adhesion molecule L1 OS=Homo sapiens OX=9606 GN=L1CAM PE=1 SV=2</t>
  </si>
  <si>
    <t>ident:1152/1256 pos:1196/1256 query:1256 hit:1257 align:1257 bit:2329.3</t>
  </si>
  <si>
    <t>XP_027465270.1</t>
  </si>
  <si>
    <t>sp|Q15149|PLEC_HUMAN</t>
  </si>
  <si>
    <t>Plectin OS=Homo sapiens OX=9606 GN=PLEC PE=1 SV=3</t>
  </si>
  <si>
    <t>ident:4336/4703 pos:4498/4703 query:4703 hit:4684 align:4706 bit:8178.2</t>
  </si>
  <si>
    <t>sp|O75368|SH3L1_HUMAN</t>
  </si>
  <si>
    <t>SH3 domain-binding glutamic acid-rich-like protein OS=Homo sapiens OX=9606 GN=SH3BGRL PE=1 SV=1</t>
  </si>
  <si>
    <t>ident:112/114 pos:113/114 query:114 hit:114 align:114 bit:230.7</t>
  </si>
  <si>
    <t>B-cell receptor-associated protein 31 [Zalophus californianus]</t>
  </si>
  <si>
    <t>sp|P51572|BAP31_HUMAN</t>
  </si>
  <si>
    <t>B-cell receptor-associated protein 31 OS=Homo sapiens OX=9606 GN=BCAP31 PE=1 SV=3</t>
  </si>
  <si>
    <t>ident:227/246 pos:234/246 query:246 hit:246 align:246 bit:399.8</t>
  </si>
  <si>
    <t>XP_027465300.1</t>
  </si>
  <si>
    <t>sp|Q13162|PRDX4_HUMAN</t>
  </si>
  <si>
    <t>Peroxiredoxin-4 OS=Homo sapiens OX=9606 GN=PRDX4 PE=1 SV=1</t>
  </si>
  <si>
    <t>ident:258/273 pos:262/273 query:273 hit:271 align:273 bit:521.2</t>
  </si>
  <si>
    <t>sp|P00558|PGK1_HUMAN</t>
  </si>
  <si>
    <t>Phosphoglycerate kinase 1 OS=Homo sapiens OX=9606 GN=PGK1 PE=1 SV=3</t>
  </si>
  <si>
    <t>ident:404/417 pos:414/417 query:417 hit:417 align:417 bit:827.8</t>
  </si>
  <si>
    <t>angiotensin-converting enzyme 2 [Zalophus californianus]</t>
  </si>
  <si>
    <t>sp|Q9BYF1|ACE2_HUMAN</t>
  </si>
  <si>
    <t>Angiotensin-converting enzyme 2 OS=Homo sapiens OX=9606 GN=ACE2 PE=1 SV=2</t>
  </si>
  <si>
    <t>ident:660/806 pos:729/806 query:806 hit:805 align:793 bit:1382.1</t>
  </si>
  <si>
    <t>XP_027465426.1</t>
  </si>
  <si>
    <t>sp|Q9Y279|VSIG4_HUMAN</t>
  </si>
  <si>
    <t>V-set and immunoglobulin domain-containing protein 4 OS=Homo sapiens OX=9606 GN=VSIG4 PE=1 SV=1</t>
  </si>
  <si>
    <t>ident:323/399 pos:352/399 query:399 hit:399 align:386 bit:654.1</t>
  </si>
  <si>
    <t>sp|P14598|NCF1_HUMAN</t>
  </si>
  <si>
    <t>Neutrophil cytosol factor 1 OS=Homo sapiens OX=9606 GN=NCF1 PE=1 SV=4</t>
  </si>
  <si>
    <t>ident:339/389 pos:365/389 query:389 hit:390 align:391 bit:712.6</t>
  </si>
  <si>
    <t>sp|Q07507|DERM_HUMAN</t>
  </si>
  <si>
    <t>Dermatopontin OS=Homo sapiens OX=9606 GN=DPT PE=1 SV=2</t>
  </si>
  <si>
    <t>ident:192/201 pos:199/201 query:201 hit:201 align:201 bit:387.5</t>
  </si>
  <si>
    <t>XP_027465559.1</t>
  </si>
  <si>
    <t>sp|Q9Y6H1|CHCH2_HUMAN</t>
  </si>
  <si>
    <t>Coiled-coil-helix-coiled-coil-helix domain-containing protein 2 OS=Homo sapiens OX=9606 GN=CHCHD2 PE=1 SV=1</t>
  </si>
  <si>
    <t>ident:131/154 pos:139/154 query:154 hit:151 align:153 bit:209.5</t>
  </si>
  <si>
    <t>XP_027465581.1</t>
  </si>
  <si>
    <t>sp|Q9BXR6|FHR5_HUMAN</t>
  </si>
  <si>
    <t>Complement factor H-related protein 5 OS=Homo sapiens OX=9606 GN=CFHR5 PE=1 SV=1</t>
  </si>
  <si>
    <t>ident:378/580 pos:448/580 query:580 hit:569 align:575 bit:784.6</t>
  </si>
  <si>
    <t>sp|Q9HBG7|LY9_HUMAN</t>
  </si>
  <si>
    <t>T-lymphocyte surface antigen Ly-9 OS=Homo sapiens OX=9606 GN=LY9 PE=1 SV=3</t>
  </si>
  <si>
    <t>ident:35/183 pos:63/183 query:183 hit:655 align:136 bit:48.5</t>
  </si>
  <si>
    <t>sp|Q15370|ELOB_HUMAN</t>
  </si>
  <si>
    <t>Elongin-B OS=Homo sapiens OX=9606 GN=ELOB PE=1 SV=1</t>
  </si>
  <si>
    <t>ident:115/118 pos:116/118 query:118 hit:118 align:118 bit:235.0</t>
  </si>
  <si>
    <t>XP_027465664.1</t>
  </si>
  <si>
    <t>sp|P29034|S10A2_HUMAN</t>
  </si>
  <si>
    <t>Protein S100-A2 OS=Homo sapiens OX=9606 GN=S100A2 PE=1 SV=3</t>
  </si>
  <si>
    <t>ident:86/105 pos:90/105 query:105 hit:98 align:97 bit:179.1</t>
  </si>
  <si>
    <t>sp|Q14764|MVP_HUMAN</t>
  </si>
  <si>
    <t>Major vault protein OS=Homo sapiens OX=9606 GN=MVP PE=1 SV=4</t>
  </si>
  <si>
    <t>ident:791/891 pos:827/891 query:891 hit:893 align:891 bit:1537.3</t>
  </si>
  <si>
    <t>XP_027465701.1</t>
  </si>
  <si>
    <t>sp|P19237|TNNI1_HUMAN</t>
  </si>
  <si>
    <t>Troponin I, slow skeletal muscle OS=Homo sapiens OX=9606 GN=TNNI1 PE=1 SV=3</t>
  </si>
  <si>
    <t>ident:183/228 pos:185/228 query:228 hit:187 align:187 bit:368.6</t>
  </si>
  <si>
    <t>XP_027465713.1</t>
  </si>
  <si>
    <t>sp|P22694|KAPCB_HUMAN</t>
  </si>
  <si>
    <t>cAMP-dependent protein kinase catalytic subunit beta OS=Homo sapiens OX=9606 GN=PRKACB PE=1 SV=2</t>
  </si>
  <si>
    <t>ident:332/397 pos:334/397 query:397 hit:351 align:337 bit:693.7</t>
  </si>
  <si>
    <t>XP_027465721.1</t>
  </si>
  <si>
    <t>sp|Q9H4A4|AMPB_HUMAN</t>
  </si>
  <si>
    <t>Aminopeptidase B OS=Homo sapiens OX=9606 GN=RNPEP PE=1 SV=2</t>
  </si>
  <si>
    <t>ident:579/696 pos:610/696 query:696 hit:650 align:636 bit:1211.4</t>
  </si>
  <si>
    <t>XP_027465742.1</t>
  </si>
  <si>
    <t>serine/arginine repetitive matrix protein 2 isoform X1 [Zalophus californianus]</t>
  </si>
  <si>
    <t>sp|Q9UQ35|SRRM2_HUMAN</t>
  </si>
  <si>
    <t>Serine/arginine repetitive matrix protein 2 OS=Homo sapiens OX=9606 GN=SRRM2 PE=1 SV=2</t>
  </si>
  <si>
    <t>ident:1043/2750 pos:1092/2750 query:2750 hit:2752 align:1232 bit:1245.0</t>
  </si>
  <si>
    <t>XP_027465823.1</t>
  </si>
  <si>
    <t>sp|P53621|COPA_HUMAN</t>
  </si>
  <si>
    <t>Coatomer subunit alpha OS=Homo sapiens OX=9606 GN=COPA PE=1 SV=2</t>
  </si>
  <si>
    <t>ident:1212/1233 pos:1221/1233 query:1233 hit:1224 align:1233 bit:2528.4</t>
  </si>
  <si>
    <t>sp|Q92542|NICA_HUMAN</t>
  </si>
  <si>
    <t>Nicastrin OS=Homo sapiens OX=9606 GN=NCSTN PE=1 SV=2</t>
  </si>
  <si>
    <t>ident:644/709 pos:673/709 query:709 hit:709 align:709 bit:1351.3</t>
  </si>
  <si>
    <t>sp|P01111|RASN_HUMAN</t>
  </si>
  <si>
    <t>GTPase NRas OS=Homo sapiens OX=9606 GN=NRAS PE=1 SV=1</t>
  </si>
  <si>
    <t>ident:188/189 pos:189/189 query:189 hit:189 align:189 bit:391.3</t>
  </si>
  <si>
    <t>sp|O95297|MPZL1_HUMAN</t>
  </si>
  <si>
    <t>Myelin protein zero-like protein 1 OS=Homo sapiens OX=9606 GN=MPZL1 PE=1 SV=1</t>
  </si>
  <si>
    <t>ident:253/269 pos:256/269 query:269 hit:269 align:269 bit:478.8</t>
  </si>
  <si>
    <t>sp|Q6EMK4|VASN_HUMAN</t>
  </si>
  <si>
    <t>Vasorin OS=Homo sapiens OX=9606 GN=VASN PE=1 SV=1</t>
  </si>
  <si>
    <t>ident:569/676 pos:590/676 query:676 hit:673 align:653 bit:950.3</t>
  </si>
  <si>
    <t>sp|O43175|SERA_HUMAN</t>
  </si>
  <si>
    <t>D-3-phosphoglycerate dehydrogenase OS=Homo sapiens OX=9606 GN=PHGDH PE=1 SV=4</t>
  </si>
  <si>
    <t>ident:503/533 pos:517/533 query:533 hit:533 align:533 bit:1016.1</t>
  </si>
  <si>
    <t>sp|A4D2B0|MBLC1_HUMAN</t>
  </si>
  <si>
    <t>Metallo-beta-lactamase domain-containing protein 1 OS=Homo sapiens OX=9606 GN=MBLAC1 PE=1 SV=1</t>
  </si>
  <si>
    <t>ident:217/250 pos:223/250 query:250 hit:266 align:244 bit:385.6</t>
  </si>
  <si>
    <t>sp|P05026|AT1B1_HUMAN</t>
  </si>
  <si>
    <t>Sodium/potassium-transporting ATPase subunit beta-1 OS=Homo sapiens OX=9606 GN=ATP1B1 PE=1 SV=1</t>
  </si>
  <si>
    <t>ident:283/303 pos:298/303 query:303 hit:303 align:303 bit:588.2</t>
  </si>
  <si>
    <t>XP_027466026.1</t>
  </si>
  <si>
    <t>sp|P06753|TPM3_HUMAN</t>
  </si>
  <si>
    <t>Tropomyosin alpha-3 chain OS=Homo sapiens OX=9606 GN=TPM3 PE=1 SV=2</t>
  </si>
  <si>
    <t>ident:250/285 pos:262/285 query:285 hit:285 align:285 bit:431.0</t>
  </si>
  <si>
    <t>XP_027466032.1</t>
  </si>
  <si>
    <t>ident:188/248 pos:223/248 query:248 hit:248 align:246 bit:336.6</t>
  </si>
  <si>
    <t>sp|P11310|ACADM_HUMAN</t>
  </si>
  <si>
    <t>Medium-chain specific acyl-CoA dehydrogenase, mitochondrial OS=Homo sapiens OX=9606 GN=ACADM PE=1 SV=1</t>
  </si>
  <si>
    <t>ident:379/421 pos:401/421 query:421 hit:421 align:421 bit:798.5</t>
  </si>
  <si>
    <t>sp|Q9NZH0|GPC5B_HUMAN</t>
  </si>
  <si>
    <t>G-protein coupled receptor family C group 5 member B OS=Homo sapiens OX=9606 GN=GPRC5B PE=2 SV=2</t>
  </si>
  <si>
    <t>ident:348/387 pos:365/387 query:387 hit:403 align:395 bit:652.1</t>
  </si>
  <si>
    <t>laminin subunit gamma-2 [Zalophus californianus]</t>
  </si>
  <si>
    <t>sp|Q13753|LAMC2_HUMAN</t>
  </si>
  <si>
    <t>Laminin subunit gamma-2 OS=Homo sapiens OX=9606 GN=LAMC2 PE=1 SV=2</t>
  </si>
  <si>
    <t>ident:1024/1191 pos:1101/1191 query:1191 hit:1193 align:1194 bit:2130.5</t>
  </si>
  <si>
    <t>XP_027466125.1</t>
  </si>
  <si>
    <t>sp|P19878|NCF2_HUMAN</t>
  </si>
  <si>
    <t>Neutrophil cytosol factor 2 OS=Homo sapiens OX=9606 GN=NCF2 PE=1 SV=2</t>
  </si>
  <si>
    <t>ident:401/529 pos:426/529 query:529 hit:526 align:458 bit:800.4</t>
  </si>
  <si>
    <t>sp|P25311|ZA2G_HUMAN</t>
  </si>
  <si>
    <t>Zinc-alpha-2-glycoprotein OS=Homo sapiens OX=9606 GN=AZGP1 PE=1 SV=2</t>
  </si>
  <si>
    <t>ident:193/311 pos:231/311 query:311 hit:298 align:300 bit:382.1</t>
  </si>
  <si>
    <t>XP_027466234.1</t>
  </si>
  <si>
    <t>sp|P15104|GLNA_HUMAN</t>
  </si>
  <si>
    <t>Glutamine synthetase OS=Homo sapiens OX=9606 GN=GLUL PE=1 SV=4</t>
  </si>
  <si>
    <t>ident:361/413 pos:367/413 query:413 hit:373 align:373 bit:772.7</t>
  </si>
  <si>
    <t>sp|P30613|KPYR_HUMAN</t>
  </si>
  <si>
    <t>Pyruvate kinase PKLR OS=Homo sapiens OX=9606 GN=PKLR PE=1 SV=2</t>
  </si>
  <si>
    <t>ident:504/542 pos:520/542 query:542 hit:574 align:541 bit:1026.2</t>
  </si>
  <si>
    <t>XP_027466284.1</t>
  </si>
  <si>
    <t>V-type proton ATPase subunit H isoform X1 [Zalophus californianus]</t>
  </si>
  <si>
    <t>sp|Q9UI12|VATH_HUMAN</t>
  </si>
  <si>
    <t>V-type proton ATPase subunit H OS=Homo sapiens OX=9606 GN=ATP6V1H PE=1 SV=1</t>
  </si>
  <si>
    <t>ident:478/483 pos:479/483 query:483 hit:483 align:483 bit:995.0</t>
  </si>
  <si>
    <t>BRO1 domain-containing protein BROX isoform X1 [Zalophus californianus]</t>
  </si>
  <si>
    <t>sp|Q5VW32|BROX_HUMAN</t>
  </si>
  <si>
    <t>BRO1 domain-containing protein BROX OS=Homo sapiens OX=9606 GN=BROX PE=1 SV=1</t>
  </si>
  <si>
    <t>ident:394/411 pos:406/411 query:411 hit:411 align:411 bit:832.4</t>
  </si>
  <si>
    <t>sp|P11047|LAMC1_HUMAN</t>
  </si>
  <si>
    <t>Laminin subunit gamma-1 OS=Homo sapiens OX=9606 GN=LAMC1 PE=1 SV=3</t>
  </si>
  <si>
    <t>ident:1515/1608 pos:1571/1608 query:1608 hit:1609 align:1609 bit:3115.5</t>
  </si>
  <si>
    <t>sp|P04424|ARLY_HUMAN</t>
  </si>
  <si>
    <t>Argininosuccinate lyase OS=Homo sapiens OX=9606 GN=ASL PE=1 SV=4</t>
  </si>
  <si>
    <t>ident:416/441 pos:425/441 query:441 hit:464 align:464 bit:837.0</t>
  </si>
  <si>
    <t>sp|Q5K4E3|POLS2_HUMAN</t>
  </si>
  <si>
    <t>Polyserase-2 OS=Homo sapiens OX=9606 GN=PRSS36 PE=1 SV=2</t>
  </si>
  <si>
    <t>ident:729/1337 pos:767/1337 query:1337 hit:855 align:855 bit:1411.7</t>
  </si>
  <si>
    <t>XP_027466443.1</t>
  </si>
  <si>
    <t>sp|Q13444|ADA15_HUMAN</t>
  </si>
  <si>
    <t>Disintegrin and metalloproteinase domain-containing protein 15 OS=Homo sapiens OX=9606 GN=ADAM15 PE=1 SV=4</t>
  </si>
  <si>
    <t>ident:688/867 pos:745/867 query:867 hit:863 align:853 bit:1253.4</t>
  </si>
  <si>
    <t>sp|P07451|CAH3_HUMAN</t>
  </si>
  <si>
    <t>Carbonic anhydrase 3 OS=Homo sapiens OX=9606 GN=CA3 PE=1 SV=3</t>
  </si>
  <si>
    <t>ident:231/260 pos:240/260 query:260 hit:260 align:260 bit:490.3</t>
  </si>
  <si>
    <t>sp|Q8IYD1|ERF3B_HUMAN</t>
  </si>
  <si>
    <t>Eukaryotic peptide chain release factor GTP-binding subunit ERF3B OS=Homo sapiens OX=9606 GN=GSPT2 PE=1 SV=2</t>
  </si>
  <si>
    <t>ident:544/642 pos:568/642 query:642 hit:628 align:625 bit:1083.2</t>
  </si>
  <si>
    <t>sp|P00918|CAH2_HUMAN</t>
  </si>
  <si>
    <t>Carbonic anhydrase 2 OS=Homo sapiens OX=9606 GN=CA2 PE=1 SV=2</t>
  </si>
  <si>
    <t>ident:231/260 pos:243/260 query:260 hit:260 align:260 bit:483.4</t>
  </si>
  <si>
    <t>sp|P49411|EFTU_HUMAN</t>
  </si>
  <si>
    <t>Elongation factor Tu, mitochondrial OS=Homo sapiens OX=9606 GN=TUFM PE=1 SV=2</t>
  </si>
  <si>
    <t>ident:420/452 pos:433/452 query:452 hit:452 align:451 bit:833.2</t>
  </si>
  <si>
    <t>sp|P02545|LMNA_HUMAN</t>
  </si>
  <si>
    <t>Prelamin-A/C OS=Homo sapiens OX=9606 GN=LMNA PE=1 SV=1</t>
  </si>
  <si>
    <t>ident:647/665 pos:657/665 query:665 hit:664 align:665 bit:1311.6</t>
  </si>
  <si>
    <t>sp|P49368|TCPG_HUMAN</t>
  </si>
  <si>
    <t>T-complex protein 1 subunit gamma OS=Homo sapiens OX=9606 GN=CCT3 PE=1 SV=4</t>
  </si>
  <si>
    <t>ident:534/545 pos:540/545 query:545 hit:545 align:545 bit:1101.3</t>
  </si>
  <si>
    <t>XP_027466692.1</t>
  </si>
  <si>
    <t>sp|Q96LA6|FCRL1_HUMAN</t>
  </si>
  <si>
    <t>Fc receptor-like protein 1 OS=Homo sapiens OX=9606 GN=FCRL1 PE=1 SV=1</t>
  </si>
  <si>
    <t>ident:277/548 pos:328/548 query:548 hit:429 align:461 bit:530.8</t>
  </si>
  <si>
    <t>sp|O75173|ATS4_HUMAN</t>
  </si>
  <si>
    <t>A disintegrin and metalloproteinase with thrombospondin motifs 4 OS=Homo sapiens OX=9606 GN=ADAMTS4 PE=1 SV=3</t>
  </si>
  <si>
    <t>ident:778/841 pos:799/841 query:841 hit:837 align:841 bit:1499.2</t>
  </si>
  <si>
    <t>sp|Q9Y3C8|UFC1_HUMAN</t>
  </si>
  <si>
    <t>Ubiquitin-fold modifier-conjugating enzyme 1 OS=Homo sapiens OX=9606 GN=UFC1 PE=1 SV=3</t>
  </si>
  <si>
    <t>ident:167/167 pos:167/167 query:167 hit:167 align:167 bit:349.7</t>
  </si>
  <si>
    <t>sp|P21291|CSRP1_HUMAN</t>
  </si>
  <si>
    <t>Cysteine and glycine-rich protein 1 OS=Homo sapiens OX=9606 GN=CSRP1 PE=1 SV=3</t>
  </si>
  <si>
    <t>ident:190/193 pos:192/193 query:193 hit:193 align:193 bit:386.3</t>
  </si>
  <si>
    <t>sp|Q8NFU3|TSTD1_HUMAN</t>
  </si>
  <si>
    <t>Thiosulfate:glutathione sulfurtransferase OS=Homo sapiens OX=9606 GN=TSTD1 PE=1 SV=3</t>
  </si>
  <si>
    <t>ident:103/137 pos:111/137 query:137 hit:115 align:114 bit:211.1</t>
  </si>
  <si>
    <t>actin-related protein 2/3 complex subunit 1B [Zalophus californianus]</t>
  </si>
  <si>
    <t>sp|O15143|ARC1B_HUMAN</t>
  </si>
  <si>
    <t>Actin-related protein 2/3 complex subunit 1B OS=Homo sapiens OX=9606 GN=ARPC1B PE=1 SV=3</t>
  </si>
  <si>
    <t>ident:362/372 pos:364/372 query:372 hit:372 align:372 bit:756.1</t>
  </si>
  <si>
    <t>sp|Q13442|HAP28_HUMAN</t>
  </si>
  <si>
    <t>28 kDa heat- and acid-stable phosphoprotein OS=Homo sapiens OX=9606 GN=PDAP1 PE=1 SV=1</t>
  </si>
  <si>
    <t>ident:180/182 pos:181/182 query:182 hit:181 align:182 bit:345.5</t>
  </si>
  <si>
    <t>XP_027466827.1</t>
  </si>
  <si>
    <t>sp|Q9H1E3|NUCKS_HUMAN</t>
  </si>
  <si>
    <t>Nuclear ubiquitous casein and cyclin-dependent kinase substrate 1 OS=Homo sapiens OX=9606 GN=NUCKS1 PE=1 SV=1</t>
  </si>
  <si>
    <t>ident:237/243 pos:239/243 query:243 hit:243 align:243 bit:451.4</t>
  </si>
  <si>
    <t>XP_027466897.1</t>
  </si>
  <si>
    <t>sp|Q6DKI7|PVRIG_HUMAN</t>
  </si>
  <si>
    <t>Transmembrane protein PVRIG OS=Homo sapiens OX=9606 GN=PVRIG PE=1 SV=1</t>
  </si>
  <si>
    <t>ident:201/333 pos:222/333 query:333 hit:326 align:326 bit:342.4</t>
  </si>
  <si>
    <t>XP_027466900.1</t>
  </si>
  <si>
    <t>sp|Q9UKJ0|PILRB_HUMAN</t>
  </si>
  <si>
    <t>Paired immunoglobulin-like type 2 receptor beta OS=Homo sapiens OX=9606 GN=PILRB PE=1 SV=1</t>
  </si>
  <si>
    <t>ident:106/219 pos:133/219 query:219 hit:227 align:206 bit:170.2</t>
  </si>
  <si>
    <t>N-acetylglucosamine-1-phosphotransferase subunit gamma [Zalophus californianus]</t>
  </si>
  <si>
    <t>sp|Q9UJJ9|GNPTG_HUMAN</t>
  </si>
  <si>
    <t>N-acetylglucosamine-1-phosphotransferase subunit gamma OS=Homo sapiens OX=9606 GN=GNPTG PE=1 SV=1</t>
  </si>
  <si>
    <t>ident:227/305 pos:253/305 query:305 hit:305 align:279 bit:481.5</t>
  </si>
  <si>
    <t>XP_027466955.1</t>
  </si>
  <si>
    <t>sp|Q15417|CNN3_HUMAN</t>
  </si>
  <si>
    <t>Calponin-3 OS=Homo sapiens OX=9606 GN=CNN3 PE=1 SV=1</t>
  </si>
  <si>
    <t>ident:327/329 pos:327/329 query:329 hit:329 align:329 bit:682.2</t>
  </si>
  <si>
    <t>XP_027466965.1</t>
  </si>
  <si>
    <t>sp|P08174|DAF_HUMAN</t>
  </si>
  <si>
    <t>Complement decay-accelerating factor OS=Homo sapiens OX=9606 GN=CD55 PE=1 SV=4</t>
  </si>
  <si>
    <t>ident:166/627 pos:212/627 query:627 hit:381 align:301 bit:362.8</t>
  </si>
  <si>
    <t>sp|Q86Y38|XYLT1_HUMAN</t>
  </si>
  <si>
    <t>Xylosyltransferase 1 OS=Homo sapiens OX=9606 GN=XYLT1 PE=1 SV=1</t>
  </si>
  <si>
    <t>ident:897/952 pos:916/952 query:952 hit:959 align:959 bit:1751.9</t>
  </si>
  <si>
    <t>XP_027467004.1</t>
  </si>
  <si>
    <t>sp|Q9Y4P8|WIPI2_HUMAN</t>
  </si>
  <si>
    <t>WD repeat domain phosphoinositide-interacting protein 2 OS=Homo sapiens OX=9606 GN=WIPI2 PE=1 SV=1</t>
  </si>
  <si>
    <t>ident:416/436 pos:426/436 query:436 hit:454 align:454 bit:860.9</t>
  </si>
  <si>
    <t>sp|O15305|PMM2_HUMAN</t>
  </si>
  <si>
    <t>Phosphomannomutase 2 OS=Homo sapiens OX=9606 GN=PMM2 PE=1 SV=1</t>
  </si>
  <si>
    <t>ident:225/251 pos:235/251 query:251 hit:246 align:246 bit:471.1</t>
  </si>
  <si>
    <t>XP_027467007.1</t>
  </si>
  <si>
    <t>polyadenylate-binding protein 4 isoform X1 [Zalophus californianus]</t>
  </si>
  <si>
    <t>sp|Q13310|PABP4_HUMAN</t>
  </si>
  <si>
    <t>Polyadenylate-binding protein 4 OS=Homo sapiens OX=9606 GN=PABPC4 PE=1 SV=1</t>
  </si>
  <si>
    <t>ident:638/660 pos:641/660 query:660 hit:644 align:660 bit:1315.1</t>
  </si>
  <si>
    <t>calcium-regulated heat-stable protein 1 [Zalophus californianus]</t>
  </si>
  <si>
    <t>sp|Q9Y2V2|CHSP1_HUMAN</t>
  </si>
  <si>
    <t>Calcium-regulated heat-stable protein 1 OS=Homo sapiens OX=9606 GN=CARHSP1 PE=1 SV=2</t>
  </si>
  <si>
    <t>ident:142/147 pos:145/147 query:147 hit:147 align:147 bit:273.9</t>
  </si>
  <si>
    <t>XP_027467014.1</t>
  </si>
  <si>
    <t>interleukin-4 receptor subunit alpha isoform X1 [Zalophus californianus]</t>
  </si>
  <si>
    <t>sp|P24394|IL4RA_HUMAN</t>
  </si>
  <si>
    <t>Interleukin-4 receptor subunit alpha OS=Homo sapiens OX=9606 GN=IL4R PE=1 SV=1</t>
  </si>
  <si>
    <t>ident:516/796 pos:593/796 query:796 hit:825 align:825 bit:938.3</t>
  </si>
  <si>
    <t>sp|Q9HB71|CYBP_HUMAN</t>
  </si>
  <si>
    <t>Calcyclin-binding protein OS=Homo sapiens OX=9606 GN=CACYBP PE=1 SV=2</t>
  </si>
  <si>
    <t>ident:225/230 pos:227/230 query:230 hit:228 align:230 bit:455.3</t>
  </si>
  <si>
    <t>sp|Q13203|MYBPH_HUMAN</t>
  </si>
  <si>
    <t>Myosin-binding protein H OS=Homo sapiens OX=9606 GN=MYBPH PE=1 SV=4</t>
  </si>
  <si>
    <t>ident:406/508 pos:431/508 query:508 hit:477 align:508 bit:806.2</t>
  </si>
  <si>
    <t>sp|P07954|FUMH_HUMAN</t>
  </si>
  <si>
    <t>Fumarate hydratase, mitochondrial OS=Homo sapiens OX=9606 GN=FH PE=1 SV=3</t>
  </si>
  <si>
    <t>ident:477/508 pos:489/508 query:508 hit:510 align:510 bit:950.7</t>
  </si>
  <si>
    <t>sp|Q96RW7|HMCN1_HUMAN</t>
  </si>
  <si>
    <t>Hemicentin-1 OS=Homo sapiens OX=9606 GN=HMCN1 PE=1 SV=2</t>
  </si>
  <si>
    <t>ident:5149/5635 pos:5374/5635 query:5635 hit:5635 align:5635 bit:10680.8</t>
  </si>
  <si>
    <t>sp|P31639|SC5A2_HUMAN</t>
  </si>
  <si>
    <t>Sodium/glucose cotransporter 2 OS=Homo sapiens OX=9606 GN=SLC5A2 PE=1 SV=1</t>
  </si>
  <si>
    <t>ident:622/673 pos:639/673 query:673 hit:672 align:673 bit:1201.0</t>
  </si>
  <si>
    <t>XP_027467096.1</t>
  </si>
  <si>
    <t>sp|Q96A32|MLRS_HUMAN</t>
  </si>
  <si>
    <t>Myosin regulatory light chain 2, skeletal muscle isoform OS=Homo sapiens OX=9606 GN=MYLPF PE=2 SV=1</t>
  </si>
  <si>
    <t>ident:164/194 pos:168/194 query:194 hit:169 align:170 bit:337.8</t>
  </si>
  <si>
    <t>XP_027467104.1</t>
  </si>
  <si>
    <t>sp|Q8N126|CADM3_HUMAN</t>
  </si>
  <si>
    <t>Cell adhesion molecule 3 OS=Homo sapiens OX=9606 GN=CADM3 PE=1 SV=1</t>
  </si>
  <si>
    <t>ident:380/430 pos:388/430 query:430 hit:398 align:432 bit:718.4</t>
  </si>
  <si>
    <t>sp|Q9UHR4|BI2L1_HUMAN</t>
  </si>
  <si>
    <t>Brain-specific angiogenesis inhibitor 1-associated protein 2-like protein 1 OS=Homo sapiens OX=9606 GN=BAIAP2L1 PE=1 SV=2</t>
  </si>
  <si>
    <t>ident:454/511 pos:483/511 query:511 hit:511 align:511 bit:938.3</t>
  </si>
  <si>
    <t>sp|P63000|RAC1_HUMAN</t>
  </si>
  <si>
    <t>Ras-related C3 botulinum toxin substrate 1 OS=Homo sapiens OX=9606 GN=RAC1 PE=1 SV=1</t>
  </si>
  <si>
    <t>ident:192/192 pos:192/192 query:192 hit:192 align:192 bit:397.1</t>
  </si>
  <si>
    <t>XP_027467202.1</t>
  </si>
  <si>
    <t>sp|Q8N8S7|ENAH_HUMAN</t>
  </si>
  <si>
    <t>Protein enabled homolog OS=Homo sapiens OX=9606 GN=ENAH PE=1 SV=2</t>
  </si>
  <si>
    <t>ident:294/847 pos:300/847 query:847 hit:591 align:326 bit:461.5</t>
  </si>
  <si>
    <t>sp|Q9Y624|JAM1_HUMAN</t>
  </si>
  <si>
    <t>Junctional adhesion molecule A OS=Homo sapiens OX=9606 GN=F11R PE=1 SV=1</t>
  </si>
  <si>
    <t>ident:178/240 pos:201/240 query:240 hit:299 align:231 bit:371.7</t>
  </si>
  <si>
    <t>XP_027467260.1</t>
  </si>
  <si>
    <t>sp|P07814|SYEP_HUMAN</t>
  </si>
  <si>
    <t>Bifunctional glutamate/proline--tRNA ligase OS=Homo sapiens OX=9606 GN=EPRS PE=1 SV=5</t>
  </si>
  <si>
    <t>ident:1408/1508 pos:1465/1508 query:1508 hit:1512 align:1512 bit:2882.8</t>
  </si>
  <si>
    <t>XP_027467263.1</t>
  </si>
  <si>
    <t>sp|P04075|ALDOA_HUMAN</t>
  </si>
  <si>
    <t>Fructose-bisphosphate aldolase A OS=Homo sapiens OX=9606 GN=ALDOA PE=1 SV=2</t>
  </si>
  <si>
    <t>ident:360/416 pos:362/416 query:416 hit:364 align:364 bit:749.2</t>
  </si>
  <si>
    <t>sp|P37802|TAGL2_HUMAN</t>
  </si>
  <si>
    <t>Transgelin-2 OS=Homo sapiens OX=9606 GN=TAGLN2 PE=1 SV=3</t>
  </si>
  <si>
    <t>ident:197/199 pos:197/199 query:199 hit:199 align:199 bit:408.7</t>
  </si>
  <si>
    <t>XP_027467285.1</t>
  </si>
  <si>
    <t>sp|Q15056|IF4H_HUMAN</t>
  </si>
  <si>
    <t>Eukaryotic translation initiation factor 4H OS=Homo sapiens OX=9606 GN=EIF4H PE=1 SV=5</t>
  </si>
  <si>
    <t>ident:245/248 pos:245/248 query:248 hit:248 align:248 bit:485.0</t>
  </si>
  <si>
    <t>sp|P07476|INVO_HUMAN</t>
  </si>
  <si>
    <t>Involucrin OS=Homo sapiens OX=9606 GN=IVL PE=1 SV=2</t>
  </si>
  <si>
    <t>ident:48/346 pos:57/346 query:346 hit:585 align:71 bit:102.1</t>
  </si>
  <si>
    <t>sp|Q15121|PEA15_HUMAN</t>
  </si>
  <si>
    <t>Astrocytic phosphoprotein PEA-15 OS=Homo sapiens OX=9606 GN=PEA15 PE=1 SV=2</t>
  </si>
  <si>
    <t>ident:129/130 pos:129/130 query:130 hit:130 align:130 bit:260.8</t>
  </si>
  <si>
    <t>sp|P04792|HSPB1_HUMAN</t>
  </si>
  <si>
    <t>Heat shock protein beta-1 OS=Homo sapiens OX=9606 GN=HSPB1 PE=1 SV=2</t>
  </si>
  <si>
    <t>ident:185/207 pos:194/207 query:207 hit:205 align:207 bit:372.5</t>
  </si>
  <si>
    <t>sp|Q9BZQ8|NIBAN_HUMAN</t>
  </si>
  <si>
    <t>Protein Niban OS=Homo sapiens OX=9606 GN=FAM129A PE=1 SV=1</t>
  </si>
  <si>
    <t>ident:721/933 pos:772/933 query:933 hit:928 align:937 bit:1364.4</t>
  </si>
  <si>
    <t>sp|P61981|1433G_HUMAN</t>
  </si>
  <si>
    <t>14-3-3 protein gamma OS=Homo sapiens OX=9606 GN=YWHAG PE=1 SV=2</t>
  </si>
  <si>
    <t>ident:247/247 pos:247/247 query:247 hit:247 align:247 bit:509.6</t>
  </si>
  <si>
    <t>sp|Q15113|PCOC1_HUMAN</t>
  </si>
  <si>
    <t>Procollagen C-endopeptidase enhancer 1 OS=Homo sapiens OX=9606 GN=PCOLCE PE=1 SV=2</t>
  </si>
  <si>
    <t>ident:392/455 pos:406/455 query:455 hit:449 align:457 bit:781.2</t>
  </si>
  <si>
    <t>sp|P22695|QCR2_HUMAN</t>
  </si>
  <si>
    <t>Cytochrome b-c1 complex subunit 2, mitochondrial OS=Homo sapiens OX=9606 GN=UQCRC2 PE=1 SV=3</t>
  </si>
  <si>
    <t>ident:400/453 pos:418/453 query:453 hit:453 align:453 bit:800.4</t>
  </si>
  <si>
    <t>XP_027467638.1</t>
  </si>
  <si>
    <t>sp|Q99584|S10AD_HUMAN</t>
  </si>
  <si>
    <t>Protein S100-A13 OS=Homo sapiens OX=9606 GN=S100A13 PE=1 SV=1</t>
  </si>
  <si>
    <t>ident:77/133 pos:82/133 query:133 hit:98 align:88 bit:158.3</t>
  </si>
  <si>
    <t>sp|P23297|S10A1_HUMAN</t>
  </si>
  <si>
    <t>Protein S100-A1 OS=Homo sapiens OX=9606 GN=S100A1 PE=1 SV=2</t>
  </si>
  <si>
    <t>ident:93/94 pos:93/94 query:94 hit:94 align:94 bit:188.3</t>
  </si>
  <si>
    <t>guanine nucleotide-binding protein G(I)/G(S)/G(O) subunit gamma-12 isoform X7 [Zalophus californianus]</t>
  </si>
  <si>
    <t>sp|Q9UBI6|GBG12_HUMAN</t>
  </si>
  <si>
    <t>Guanine nucleotide-binding protein G(I)/G(S)/G(O) subunit gamma-12 OS=Homo sapiens OX=9606 GN=GNG12 PE=1 SV=3</t>
  </si>
  <si>
    <t>ident:71/72 pos:72/72 query:72 hit:72 align:72 bit:147.5</t>
  </si>
  <si>
    <t>sp|Q96DA0|ZG16B_HUMAN</t>
  </si>
  <si>
    <t>Zymogen granule protein 16 homolog B OS=Homo sapiens OX=9606 GN=ZG16B PE=1 SV=3</t>
  </si>
  <si>
    <t>ident:91/270 pos:119/270 query:270 hit:208 align:185 bit:153.7</t>
  </si>
  <si>
    <t>peroxiredoxin-6 [Zalophus californianus]</t>
  </si>
  <si>
    <t>sp|P30041|PRDX6_HUMAN</t>
  </si>
  <si>
    <t>Peroxiredoxin-6 OS=Homo sapiens OX=9606 GN=PRDX6 PE=1 SV=3</t>
  </si>
  <si>
    <t>ident:210/224 pos:219/224 query:224 hit:224 align:224 bit:435.6</t>
  </si>
  <si>
    <t>sp|O00515|LAD1_HUMAN</t>
  </si>
  <si>
    <t>Ladinin-1 OS=Homo sapiens OX=9606 GN=LAD1 PE=1 SV=2</t>
  </si>
  <si>
    <t>ident:347/503 pos:386/503 query:503 hit:517 align:523 bit:552.4</t>
  </si>
  <si>
    <t>sp|P08603|CFAH_HUMAN</t>
  </si>
  <si>
    <t>Complement factor H OS=Homo sapiens OX=9606 GN=CFH PE=1 SV=4</t>
  </si>
  <si>
    <t>ident:271/447 pos:339/447 query:447 hit:1231 align:443 bit:599.4</t>
  </si>
  <si>
    <t>sp|P20827|EFNA1_HUMAN</t>
  </si>
  <si>
    <t>Ephrin-A1 OS=Homo sapiens OX=9606 GN=EFNA1 PE=1 SV=2</t>
  </si>
  <si>
    <t>ident:83/200 pos:95/200 query:200 hit:205 align:99 bit:193.0</t>
  </si>
  <si>
    <t>ident:515/895 pos:636/895 query:895 hit:1231 align:854 bit:1060.8</t>
  </si>
  <si>
    <t>XP_027467776.1</t>
  </si>
  <si>
    <t>sp|P51153|RAB13_HUMAN</t>
  </si>
  <si>
    <t>Ras-related protein Rab-13 OS=Homo sapiens OX=9606 GN=RAB13 PE=1 SV=1</t>
  </si>
  <si>
    <t>ident:192/236 pos:197/236 query:236 hit:203 align:236 bit:375.9</t>
  </si>
  <si>
    <t>sp|O00622|CCN1_HUMAN</t>
  </si>
  <si>
    <t>CCN family member 1 OS=Homo sapiens OX=9606 GN=CCN1 PE=1 SV=1</t>
  </si>
  <si>
    <t>ident:354/382 pos:360/382 query:382 hit:381 align:382 bit:700.7</t>
  </si>
  <si>
    <t>sp|P80404|GABT_HUMAN</t>
  </si>
  <si>
    <t>4-aminobutyrate aminotransferase, mitochondrial OS=Homo sapiens OX=9606 GN=ABAT PE=1 SV=3</t>
  </si>
  <si>
    <t>ident:476/500 pos:494/500 query:500 hit:500 align:500 bit:1010.8</t>
  </si>
  <si>
    <t>sp|P49006|MRP_HUMAN</t>
  </si>
  <si>
    <t>MARCKS-related protein OS=Homo sapiens OX=9606 GN=MARCKSL1 PE=1 SV=2</t>
  </si>
  <si>
    <t>ident:184/199 pos:188/199 query:199 hit:195 align:200 bit:251.9</t>
  </si>
  <si>
    <t>sp|O15511|ARPC5_HUMAN</t>
  </si>
  <si>
    <t>Actin-related protein 2/3 complex subunit 5 OS=Homo sapiens OX=9606 GN=ARPC5 PE=1 SV=3</t>
  </si>
  <si>
    <t>ident:150/151 pos:151/151 query:151 hit:151 align:151 bit:307.0</t>
  </si>
  <si>
    <t>sp|Q9GZN4|BSSP4_HUMAN</t>
  </si>
  <si>
    <t>Brain-specific serine protease 4 OS=Homo sapiens OX=9606 GN=PRSS22 PE=1 SV=1</t>
  </si>
  <si>
    <t>ident:250/322 pos:271/322 query:322 hit:317 align:314 bit:513.8</t>
  </si>
  <si>
    <t>sp|P12883|MYH7_HUMAN</t>
  </si>
  <si>
    <t>Myosin-7 OS=Homo sapiens OX=9606 GN=MYH7 PE=1 SV=5</t>
  </si>
  <si>
    <t>ident:1189/1945 pos:1513/1945 query:1945 hit:1935 align:1923 bit:2335.4</t>
  </si>
  <si>
    <t>XP_027467826.1</t>
  </si>
  <si>
    <t>sp|P35637|FUS_HUMAN</t>
  </si>
  <si>
    <t>RNA-binding protein FUS OS=Homo sapiens OX=9606 GN=FUS PE=1 SV=1</t>
  </si>
  <si>
    <t>ident:264/517 pos:264/517 query:517 hit:526 align:265 bit:334.0</t>
  </si>
  <si>
    <t>sp|Q9NP85|PODO_HUMAN</t>
  </si>
  <si>
    <t>Podocin OS=Homo sapiens OX=9606 GN=NPHS2 PE=1 SV=1</t>
  </si>
  <si>
    <t>ident:331/378 pos:346/378 query:378 hit:383 align:365 bit:646.0</t>
  </si>
  <si>
    <t>protein S100-A9 [Zalophus californianus]</t>
  </si>
  <si>
    <t>sp|P06702|S10A9_HUMAN</t>
  </si>
  <si>
    <t>Protein S100-A9 OS=Homo sapiens OX=9606 GN=S100A9 PE=1 SV=1</t>
  </si>
  <si>
    <t>ident:74/137 pos:87/137 query:137 hit:114 align:113 bit:143.3</t>
  </si>
  <si>
    <t>sp|P42126|ECI1_HUMAN</t>
  </si>
  <si>
    <t>Enoyl-CoA delta isomerase 1, mitochondrial OS=Homo sapiens OX=9606 GN=ECI1 PE=1 SV=1</t>
  </si>
  <si>
    <t>ident:224/302 pos:257/302 query:302 hit:302 align:302 bit:472.2</t>
  </si>
  <si>
    <t>sp|P51170|SCNNG_HUMAN</t>
  </si>
  <si>
    <t>Amiloride-sensitive sodium channel subunit gamma OS=Homo sapiens OX=9606 GN=SCNN1G PE=1 SV=4</t>
  </si>
  <si>
    <t>ident:572/649 pos:602/649 query:649 hit:649 align:651 bit:1199.5</t>
  </si>
  <si>
    <t>XP_027467938.1</t>
  </si>
  <si>
    <t>sp|Q00839|HNRPU_HUMAN</t>
  </si>
  <si>
    <t>Heterogeneous nuclear ribonucleoprotein U OS=Homo sapiens OX=9606 GN=HNRNPU PE=1 SV=6</t>
  </si>
  <si>
    <t>ident:813/825 pos:820/825 query:825 hit:825 align:825 bit:1674.8</t>
  </si>
  <si>
    <t>THUMP domain-containing protein 1 [Zalophus californianus]</t>
  </si>
  <si>
    <t>sp|Q9NXG2|THUM1_HUMAN</t>
  </si>
  <si>
    <t>THUMP domain-containing protein 1 OS=Homo sapiens OX=9606 GN=THUMPD1 PE=1 SV=2</t>
  </si>
  <si>
    <t>ident:320/357 pos:330/357 query:357 hit:353 align:358 bit:642.5</t>
  </si>
  <si>
    <t>sp|Q14894|CRYM_HUMAN</t>
  </si>
  <si>
    <t>Ketimine reductase mu-crystallin OS=Homo sapiens OX=9606 GN=CRYM PE=1 SV=1</t>
  </si>
  <si>
    <t>ident:290/314 pos:304/314 query:314 hit:314 align:314 bit:605.9</t>
  </si>
  <si>
    <t>sp|Q13835|PKP1_HUMAN</t>
  </si>
  <si>
    <t>Plakophilin-1 OS=Homo sapiens OX=9606 GN=PKP1 PE=1 SV=2</t>
  </si>
  <si>
    <t>ident:693/727 pos:710/727 query:727 hit:747 align:748 bit:1411.7</t>
  </si>
  <si>
    <t>XP_027468036.1</t>
  </si>
  <si>
    <t>sp|Q15599|NHRF2_HUMAN</t>
  </si>
  <si>
    <t>Na(+)/H(+) exchange regulatory cofactor NHE-RF2 OS=Homo sapiens OX=9606 GN=SLC9A3R2 PE=1 SV=2</t>
  </si>
  <si>
    <t>ident:320/338 pos:325/338 query:338 hit:337 align:338 bit:627.1</t>
  </si>
  <si>
    <t>sp|P02743|SAMP_HUMAN</t>
  </si>
  <si>
    <t>Serum amyloid P-component OS=Homo sapiens OX=9606 GN=APCS PE=1 SV=2</t>
  </si>
  <si>
    <t>ident:158/224 pos:187/224 query:224 hit:223 align:223 bit:335.1</t>
  </si>
  <si>
    <t>sp|Q9ULZ3|ASC_HUMAN</t>
  </si>
  <si>
    <t>Apoptosis-associated speck-like protein containing a CARD OS=Homo sapiens OX=9606 GN=PYCARD PE=1 SV=2</t>
  </si>
  <si>
    <t>ident:144/194 pos:162/194 query:194 hit:195 align:195 bit:274.2</t>
  </si>
  <si>
    <t>sp|Q99972|MYOC_HUMAN</t>
  </si>
  <si>
    <t>Myocilin OS=Homo sapiens OX=9606 GN=MYOC PE=1 SV=2</t>
  </si>
  <si>
    <t>ident:391/490 pos:434/490 query:490 hit:504 align:490 bit:826.6</t>
  </si>
  <si>
    <t>sp|Q9H299|SH3L3_HUMAN</t>
  </si>
  <si>
    <t>SH3 domain-binding glutamic acid-rich-like protein 3 OS=Homo sapiens OX=9606 GN=SH3BGRL3 PE=1 SV=1</t>
  </si>
  <si>
    <t>ident:91/93 pos:92/93 query:93 hit:93 align:93 bit:189.1</t>
  </si>
  <si>
    <t>XP_027468104.1</t>
  </si>
  <si>
    <t>actin, cytoplasmic 1 [Zalophus californianus]</t>
  </si>
  <si>
    <t>sp|P60709|ACTB_HUMAN</t>
  </si>
  <si>
    <t>Actin, cytoplasmic 1 OS=Homo sapiens OX=9606 GN=ACTB PE=1 SV=1</t>
  </si>
  <si>
    <t>ident:375/375 pos:375/375 query:375 hit:375 align:375 bit:785.8</t>
  </si>
  <si>
    <t>XP_027468110.1</t>
  </si>
  <si>
    <t>sp|Q96NY8|NECT4_HUMAN</t>
  </si>
  <si>
    <t>Nectin-4 OS=Homo sapiens OX=9606 GN=NECTIN4 PE=1 SV=1</t>
  </si>
  <si>
    <t>ident:480/509 pos:490/509 query:509 hit:510 align:510 bit:899.4</t>
  </si>
  <si>
    <t>sp|P15941|MUC1_HUMAN</t>
  </si>
  <si>
    <t>Mucin-1 OS=Homo sapiens OX=9606 GN=MUC1 PE=1 SV=3</t>
  </si>
  <si>
    <t>ident:180/350 pos:203/350 query:350 hit:1255 align:246 bit:345.9</t>
  </si>
  <si>
    <t>sp|P36980|FHR2_HUMAN</t>
  </si>
  <si>
    <t>Complement factor H-related protein 2 OS=Homo sapiens OX=9606 GN=CFHR2 PE=1 SV=1</t>
  </si>
  <si>
    <t>ident:167/269 pos:210/269 query:269 hit:270 align:268 bit:367.9</t>
  </si>
  <si>
    <t>XP_027468187.1</t>
  </si>
  <si>
    <t>sp|P05160|F13B_HUMAN</t>
  </si>
  <si>
    <t>Coagulation factor XIII B chain OS=Homo sapiens OX=9606 GN=F13B PE=1 SV=3</t>
  </si>
  <si>
    <t>ident:545/689 pos:589/689 query:689 hit:661 align:650 bit:1150.2</t>
  </si>
  <si>
    <t>neurosecretory protein VGF [Zalophus californianus]</t>
  </si>
  <si>
    <t>sp|O15240|VGF_HUMAN</t>
  </si>
  <si>
    <t>Neurosecretory protein VGF OS=Homo sapiens OX=9606 GN=VGF PE=1 SV=2</t>
  </si>
  <si>
    <t>ident:566/617 pos:582/617 query:617 hit:615 align:617 bit:763.8</t>
  </si>
  <si>
    <t>immunoglobulin superfamily member 8 [Zalophus californianus]</t>
  </si>
  <si>
    <t>sp|Q969P0|IGSF8_HUMAN</t>
  </si>
  <si>
    <t>Immunoglobulin superfamily member 8 OS=Homo sapiens OX=9606 GN=IGSF8 PE=1 SV=1</t>
  </si>
  <si>
    <t>ident:554/611 pos:568/611 query:611 hit:613 align:592 bit:1108.2</t>
  </si>
  <si>
    <t>XP_027468264.1</t>
  </si>
  <si>
    <t>sp|P12270|TPR_HUMAN</t>
  </si>
  <si>
    <t>Nucleoprotein TPR OS=Homo sapiens OX=9606 GN=TPR PE=1 SV=3</t>
  </si>
  <si>
    <t>ident:2299/2516 pos:2338/2516 query:2516 hit:2363 align:2367 bit:4632.4</t>
  </si>
  <si>
    <t>proteoglycan 4 isoform X1 [Zalophus californianus]</t>
  </si>
  <si>
    <t>sp|Q92954|PRG4_HUMAN</t>
  </si>
  <si>
    <t>Proteoglycan 4 OS=Homo sapiens OX=9606 GN=PRG4 PE=1 SV=3</t>
  </si>
  <si>
    <t>ident:578/1140 pos:615/1140 query:1140 hit:1404 align:897 bit:707.2</t>
  </si>
  <si>
    <t>sp|Q9BVJ7|DUS23_HUMAN</t>
  </si>
  <si>
    <t>Dual specificity protein phosphatase 23 OS=Homo sapiens OX=9606 GN=DUSP23 PE=1 SV=1</t>
  </si>
  <si>
    <t>ident:145/150 pos:148/150 query:150 hit:150 align:150 bit:298.9</t>
  </si>
  <si>
    <t>sp|Q15274|NADC_HUMAN</t>
  </si>
  <si>
    <t>Nicotinate-nucleotide pyrophosphorylase [carboxylating] OS=Homo sapiens OX=9606 GN=QPRT PE=1 SV=3</t>
  </si>
  <si>
    <t>ident:258/299 pos:272/299 query:299 hit:297 align:293 bit:498.4</t>
  </si>
  <si>
    <t>40S ribosomal protein S27 [Zalophus californianus]</t>
  </si>
  <si>
    <t>sp|P42677|RS27_HUMAN</t>
  </si>
  <si>
    <t>40S ribosomal protein S27 OS=Homo sapiens OX=9606 GN=RPS27 PE=1 SV=3</t>
  </si>
  <si>
    <t>ident:84/84 pos:84/84 query:84 hit:84 align:84 bit:175.3</t>
  </si>
  <si>
    <t>XP_027468342.1</t>
  </si>
  <si>
    <t>sp|P45379|TNNT2_HUMAN</t>
  </si>
  <si>
    <t>Troponin T, cardiac muscle OS=Homo sapiens OX=9606 GN=TNNT2 PE=1 SV=3</t>
  </si>
  <si>
    <t>ident:255/296 pos:260/296 query:296 hit:298 align:271 bit:370.9</t>
  </si>
  <si>
    <t>sp|O00144|FZD9_HUMAN</t>
  </si>
  <si>
    <t>Frizzled-9 OS=Homo sapiens OX=9606 GN=FZD9 PE=2 SV=1</t>
  </si>
  <si>
    <t>ident:573/598 pos:579/598 query:598 hit:591 align:598 bit:1168.7</t>
  </si>
  <si>
    <t>XP_027468385.1</t>
  </si>
  <si>
    <t>sp|Q96J84|KIRR1_HUMAN</t>
  </si>
  <si>
    <t>Kin of IRRE-like protein 1 OS=Homo sapiens OX=9606 GN=KIRREL1 PE=1 SV=2</t>
  </si>
  <si>
    <t>ident:730/773 pos:744/773 query:773 hit:757 align:773 bit:1515.0</t>
  </si>
  <si>
    <t>sp|Q2M3M2|SC5A9_HUMAN</t>
  </si>
  <si>
    <t>Sodium/glucose cotransporter 4 OS=Homo sapiens OX=9606 GN=SLC5A9 PE=1 SV=2</t>
  </si>
  <si>
    <t>ident:595/679 pos:631/679 query:679 hit:681 align:678 bit:1156.3</t>
  </si>
  <si>
    <t>lamin-B receptor [Zalophus californianus]</t>
  </si>
  <si>
    <t>sp|Q14739|LBR_HUMAN</t>
  </si>
  <si>
    <t>Delta(14)-sterol reductase OS=Homo sapiens OX=9606 GN=LBR PE=1 SV=2</t>
  </si>
  <si>
    <t>ident:506/617 pos:550/617 query:617 hit:615 align:618 bit:972.2</t>
  </si>
  <si>
    <t>sp|P40926|MDHM_HUMAN</t>
  </si>
  <si>
    <t>Malate dehydrogenase, mitochondrial OS=Homo sapiens OX=9606 GN=MDH2 PE=1 SV=3</t>
  </si>
  <si>
    <t>ident:315/338 pos:328/338 query:338 hit:338 align:338 bit:654.4</t>
  </si>
  <si>
    <t>sp|O96000|NDUBA_HUMAN</t>
  </si>
  <si>
    <t>NADH dehydrogenase [ubiquinone] 1 beta subcomplex subunit 10 OS=Homo sapiens OX=9606 GN=NDUFB10 PE=1 SV=3</t>
  </si>
  <si>
    <t>ident:134/176 pos:152/176 query:176 hit:172 align:167 bit:264.2</t>
  </si>
  <si>
    <t>XP_027468444.1</t>
  </si>
  <si>
    <t>sp|B1AK53|ESPN_HUMAN</t>
  </si>
  <si>
    <t>Espin OS=Homo sapiens OX=9606 GN=ESPN PE=1 SV=1</t>
  </si>
  <si>
    <t>ident:748/846 pos:779/846 query:846 hit:854 align:856 bit:1230.3</t>
  </si>
  <si>
    <t>acyl-coenzyme A synthetase ACSM1, mitochondrial isoform X1 [Zalophus californianus]</t>
  </si>
  <si>
    <t>sp|Q08AH1|ACSM1_HUMAN</t>
  </si>
  <si>
    <t>Acyl-coenzyme A synthetase ACSM1, mitochondrial OS=Homo sapiens OX=9606 GN=ACSM1 PE=1 SV=1</t>
  </si>
  <si>
    <t>ident:441/574 pos:490/574 query:574 hit:577 align:577 bit:928.7</t>
  </si>
  <si>
    <t>sp|O00391|QSOX1_HUMAN</t>
  </si>
  <si>
    <t>Sulfhydryl oxidase 1 OS=Homo sapiens OX=9606 GN=QSOX1 PE=1 SV=3</t>
  </si>
  <si>
    <t>ident:560/868 pos:617/868 query:868 hit:747 align:750 bit:1109.4</t>
  </si>
  <si>
    <t>XP_027468510.1</t>
  </si>
  <si>
    <t>sp|Q5JTV8|TOIP1_HUMAN</t>
  </si>
  <si>
    <t>Torsin-1A-interacting protein 1 OS=Homo sapiens OX=9606 GN=TOR1AIP1 PE=1 SV=2</t>
  </si>
  <si>
    <t>ident:477/620 pos:503/620 query:620 hit:583 align:622 bit:887.1</t>
  </si>
  <si>
    <t>torsin-1A-interacting protein 2-like [Zalophus californianus]</t>
  </si>
  <si>
    <t>sp|Q8NFQ8|TOIP2_HUMAN</t>
  </si>
  <si>
    <t>Torsin-1A-interacting protein 2 OS=Homo sapiens OX=9606 GN=TOR1AIP2 PE=1 SV=1</t>
  </si>
  <si>
    <t>ident:342/455 pos:378/455 query:455 hit:470 align:470 bit:647.1</t>
  </si>
  <si>
    <t>sulfotransferase 1A1 [Zalophus californianus]</t>
  </si>
  <si>
    <t>sp|P50225|ST1A1_HUMAN</t>
  </si>
  <si>
    <t>Sulfotransferase 1A1 OS=Homo sapiens OX=9606 GN=SULT1A1 PE=1 SV=3</t>
  </si>
  <si>
    <t>ident:250/295 pos:274/295 query:295 hit:295 align:295 bit:541.6</t>
  </si>
  <si>
    <t>sp|P12259|FA5_HUMAN</t>
  </si>
  <si>
    <t>Coagulation factor V OS=Homo sapiens OX=9606 GN=F5 PE=1 SV=4</t>
  </si>
  <si>
    <t>ident:1077/2313 pos:1181/2313 query:2313 hit:2224 align:1492 bit:2089.3</t>
  </si>
  <si>
    <t>sp|P05109|S10A8_HUMAN</t>
  </si>
  <si>
    <t>Protein S100-A8 OS=Homo sapiens OX=9606 GN=S100A8 PE=1 SV=1</t>
  </si>
  <si>
    <t>ident:67/89 pos:80/89 query:89 hit:93 align:89 bit:144.1</t>
  </si>
  <si>
    <t>XP_027468598.1</t>
  </si>
  <si>
    <t>sp|P15502|ELN_HUMAN</t>
  </si>
  <si>
    <t>Elastin OS=Homo sapiens OX=9606 GN=ELN PE=1 SV=4</t>
  </si>
  <si>
    <t>ident:254/752 pos:264/752 query:752 hit:786 align:328 bit:199.9</t>
  </si>
  <si>
    <t>ident:232/489 pos:297/489 query:489 hit:458 align:392 bit:501.9</t>
  </si>
  <si>
    <t>ferritin heavy chain-like isoform X2 [Zalophus californianus]</t>
  </si>
  <si>
    <t>sp|P02794|FRIH_HUMAN</t>
  </si>
  <si>
    <t>Ferritin heavy chain OS=Homo sapiens OX=9606 GN=FTH1 PE=1 SV=2</t>
  </si>
  <si>
    <t>ident:141/152 pos:146/152 query:152 hit:183 align:151 bit:294.3</t>
  </si>
  <si>
    <t>XP_027468717.1</t>
  </si>
  <si>
    <t>sp|P04085|PDGFA_HUMAN</t>
  </si>
  <si>
    <t>Platelet-derived growth factor subunit A OS=Homo sapiens OX=9606 GN=PDGFA PE=1 SV=1</t>
  </si>
  <si>
    <t>ident:188/211 pos:198/211 query:211 hit:211 align:211 bit:335.5</t>
  </si>
  <si>
    <t>XP_027468720.1</t>
  </si>
  <si>
    <t>sarcoplasmic/endoplasmic reticulum calcium ATPase 1 isoform X1 [Zalophus californianus]</t>
  </si>
  <si>
    <t>sp|O14983|AT2A1_HUMAN</t>
  </si>
  <si>
    <t>Sarcoplasmic/endoplasmic reticulum calcium ATPase 1 OS=Homo sapiens OX=9606 GN=ATP2A1 PE=1 SV=1</t>
  </si>
  <si>
    <t>ident:961/1000 pos:984/1000 query:1000 hit:1001 align:1001 bit:1939.8</t>
  </si>
  <si>
    <t>sp|P80511|S10AC_HUMAN</t>
  </si>
  <si>
    <t>Protein S100-A12 OS=Homo sapiens OX=9606 GN=S100A12 PE=1 SV=2</t>
  </si>
  <si>
    <t>ident:55/92 pos:73/92 query:92 hit:92 align:92 bit:119.0</t>
  </si>
  <si>
    <t>sp|Q9H910|JUPI2_HUMAN</t>
  </si>
  <si>
    <t>Jupiter microtubule associated homolog 2 OS=Homo sapiens OX=9606 GN=JPT2 PE=1 SV=1</t>
  </si>
  <si>
    <t>ident:161/190 pos:169/190 query:190 hit:190 align:190 bit:308.9</t>
  </si>
  <si>
    <t>sp|P55259|GP2_HUMAN</t>
  </si>
  <si>
    <t>Pancreatic secretory granule membrane major glycoprotein GP2 OS=Homo sapiens OX=9606 GN=GP2 PE=2 SV=3</t>
  </si>
  <si>
    <t>ident:395/518 pos:442/518 query:518 hit:537 align:535 bit:786.6</t>
  </si>
  <si>
    <t>sp|P15529|MCP_HUMAN</t>
  </si>
  <si>
    <t>Membrane cofactor protein OS=Homo sapiens OX=9606 GN=CD46 PE=1 SV=3</t>
  </si>
  <si>
    <t>ident:53/362 pos:82/362 query:362 hit:392 align:130 bit:107.8</t>
  </si>
  <si>
    <t>sp|Q12905|ILF2_HUMAN</t>
  </si>
  <si>
    <t>Interleukin enhancer-binding factor 2 OS=Homo sapiens OX=9606 GN=ILF2 PE=1 SV=2</t>
  </si>
  <si>
    <t>ident:390/390 pos:390/390 query:390 hit:390 align:390 bit:801.2</t>
  </si>
  <si>
    <t>XP_027468924.1</t>
  </si>
  <si>
    <t>sp|Q6JBY9|CPZIP_HUMAN</t>
  </si>
  <si>
    <t>CapZ-interacting protein OS=Homo sapiens OX=9606 GN=RCSD1 PE=1 SV=1</t>
  </si>
  <si>
    <t>ident:288/394 pos:317/394 query:394 hit:416 align:419 bit:427.2</t>
  </si>
  <si>
    <t>sp|Q8IXL6|FA20C_HUMAN</t>
  </si>
  <si>
    <t>Extracellular serine/threonine protein kinase FAM20C OS=Homo sapiens OX=9606 GN=FAM20C PE=1 SV=2</t>
  </si>
  <si>
    <t>ident:522/585 pos:551/585 query:585 hit:584 align:585 bit:1052.0</t>
  </si>
  <si>
    <t>sp|Q9NP84|TNR12_HUMAN</t>
  </si>
  <si>
    <t>Tumor necrosis factor receptor superfamily member 12A OS=Homo sapiens OX=9606 GN=TNFRSF12A PE=1 SV=1</t>
  </si>
  <si>
    <t>ident:94/129 pos:96/129 query:129 hit:129 align:106 bit:190.3</t>
  </si>
  <si>
    <t>XP_027468955.1</t>
  </si>
  <si>
    <t>sp|P11215|ITAM_HUMAN</t>
  </si>
  <si>
    <t>Integrin alpha-M OS=Homo sapiens OX=9606 GN=ITGAM PE=1 SV=2</t>
  </si>
  <si>
    <t>ident:872/1154 pos:991/1154 query:1154 hit:1152 align:1154 bit:1798.5</t>
  </si>
  <si>
    <t>XP_027468987.1</t>
  </si>
  <si>
    <t>sp|Q14157|UBP2L_HUMAN</t>
  </si>
  <si>
    <t>Ubiquitin-associated protein 2-like OS=Homo sapiens OX=9606 GN=UBAP2L PE=1 SV=2</t>
  </si>
  <si>
    <t>ident:944/1014 pos:955/1014 query:1014 hit:1087 align:999 bit:1879.4</t>
  </si>
  <si>
    <t>sp|Q7L5L3|GDPD3_HUMAN</t>
  </si>
  <si>
    <t>Lysophospholipase D GDPD3 OS=Homo sapiens OX=9606 GN=GDPD3 PE=2 SV=3</t>
  </si>
  <si>
    <t>ident:241/318 pos:270/318 query:318 hit:318 align:306 bit:506.9</t>
  </si>
  <si>
    <t>sp|P27361|MK03_HUMAN</t>
  </si>
  <si>
    <t>Mitogen-activated protein kinase 3 OS=Homo sapiens OX=9606 GN=MAPK3 PE=1 SV=4</t>
  </si>
  <si>
    <t>ident:367/379 pos:371/379 query:379 hit:379 align:379 bit:767.3</t>
  </si>
  <si>
    <t>voltage-dependent anion-selective channel protein 1 [Zalophus californianus]</t>
  </si>
  <si>
    <t>sp|P21796|VDAC1_HUMAN</t>
  </si>
  <si>
    <t>Voltage-dependent anion-selective channel protein 1 OS=Homo sapiens OX=9606 GN=VDAC1 PE=1 SV=2</t>
  </si>
  <si>
    <t>ident:280/283 pos:283/283 query:283 hit:283 align:283 bit:574.3</t>
  </si>
  <si>
    <t>sp|Q0VD83|APOBR_HUMAN</t>
  </si>
  <si>
    <t>Apolipoprotein B receptor OS=Homo sapiens OX=9606 GN=APOBR PE=1 SV=2</t>
  </si>
  <si>
    <t>ident:648/1162 pos:747/1162 query:1162 hit:1088 align:1172 bit:830.9</t>
  </si>
  <si>
    <t>prolargin [Zalophus californianus]</t>
  </si>
  <si>
    <t>sp|P51888|PRELP_HUMAN</t>
  </si>
  <si>
    <t>Prolargin OS=Homo sapiens OX=9606 GN=PRELP PE=1 SV=1</t>
  </si>
  <si>
    <t>ident:316/377 pos:331/377 query:377 hit:382 align:338 bit:601.3</t>
  </si>
  <si>
    <t>XP_027469051.1</t>
  </si>
  <si>
    <t>sp|Q8NCW5|NNRE_HUMAN</t>
  </si>
  <si>
    <t>NAD(P)H-hydrate epimerase OS=Homo sapiens OX=9606 GN=NAXE PE=1 SV=2</t>
  </si>
  <si>
    <t>ident:238/294 pos:251/294 query:294 hit:288 align:272 bit:495.4</t>
  </si>
  <si>
    <t>XP_027469062.1</t>
  </si>
  <si>
    <t>sp|Q8WWX8|SC5AB_HUMAN</t>
  </si>
  <si>
    <t>Sodium/myo-inositol cotransporter 2 OS=Homo sapiens OX=9606 GN=SLC5A11 PE=1 SV=1</t>
  </si>
  <si>
    <t>ident:587/673 pos:634/673 query:673 hit:675 align:675 bit:1162.5</t>
  </si>
  <si>
    <t>XP_027469076.1</t>
  </si>
  <si>
    <t>sp|P01833|PIGR_HUMAN</t>
  </si>
  <si>
    <t>Polymeric immunoglobulin receptor OS=Homo sapiens OX=9606 GN=PIGR PE=1 SV=4</t>
  </si>
  <si>
    <t>ident:534/812 pos:616/812 query:812 hit:764 align:764 bit:1029.2</t>
  </si>
  <si>
    <t>sp|Q16658|FSCN1_HUMAN</t>
  </si>
  <si>
    <t>Fascin OS=Homo sapiens OX=9606 GN=FSCN1 PE=1 SV=3</t>
  </si>
  <si>
    <t>ident:482/493 pos:489/493 query:493 hit:493 align:493 bit:1013.8</t>
  </si>
  <si>
    <t>proteasome assembly chaperone 3 [Zalophus californianus]</t>
  </si>
  <si>
    <t>sp|Q9BT73|PSMG3_HUMAN</t>
  </si>
  <si>
    <t>Proteasome assembly chaperone 3 OS=Homo sapiens OX=9606 GN=PSMG3 PE=1 SV=1</t>
  </si>
  <si>
    <t>ident:107/122 pos:116/122 query:122 hit:122 align:122 bit:219.2</t>
  </si>
  <si>
    <t>XP_027469141.1</t>
  </si>
  <si>
    <t>sp|P54760|EPHB4_HUMAN</t>
  </si>
  <si>
    <t>Ephrin type-B receptor 4 OS=Homo sapiens OX=9606 GN=EPHB4 PE=1 SV=2</t>
  </si>
  <si>
    <t>ident:958/991 pos:966/991 query:991 hit:987 align:991 bit:1973.8</t>
  </si>
  <si>
    <t>XP_027469148.1</t>
  </si>
  <si>
    <t>sp|O60568|PLOD3_HUMAN</t>
  </si>
  <si>
    <t>Multifunctional procollagen lysine hydroxylase and glycosyltransferase LH3 OS=Homo sapiens OX=9606 GN=PLOD3 PE=1 SV=1</t>
  </si>
  <si>
    <t>ident:688/768 pos:712/768 query:768 hit:738 align:768 bit:1404.0</t>
  </si>
  <si>
    <t>40S ribosomal protein S15a [Zalophus californianus]</t>
  </si>
  <si>
    <t>sp|P62244|RS15A_HUMAN</t>
  </si>
  <si>
    <t>40S ribosomal protein S15a OS=Homo sapiens OX=9606 GN=RPS15A PE=1 SV=2</t>
  </si>
  <si>
    <t>ident:130/130 pos:130/130 query:130 hit:130 align:130 bit:268.1</t>
  </si>
  <si>
    <t>sp|P04003|C4BPA_HUMAN</t>
  </si>
  <si>
    <t>C4b-binding protein alpha chain OS=Homo sapiens OX=9606 GN=C4BPA PE=1 SV=2</t>
  </si>
  <si>
    <t>ident:104/198 pos:123/198 query:198 hit:597 align:156 bit:224.2</t>
  </si>
  <si>
    <t>sp|P01008|ANT3_HUMAN</t>
  </si>
  <si>
    <t>Antithrombin-III OS=Homo sapiens OX=9606 GN=SERPINC1 PE=1 SV=1</t>
  </si>
  <si>
    <t>ident:413/465 pos:437/465 query:465 hit:464 align:463 bit:863.6</t>
  </si>
  <si>
    <t>3'(2'),5'-bisphosphate nucleotidase 1 [Zalophus californianus]</t>
  </si>
  <si>
    <t>sp|O95861|BPNT1_HUMAN</t>
  </si>
  <si>
    <t>3'(2'),5'-bisphosphate nucleotidase 1 OS=Homo sapiens OX=9606 GN=BPNT1 PE=1 SV=1</t>
  </si>
  <si>
    <t>ident:294/308 pos:302/308 query:308 hit:308 align:308 bit:610.1</t>
  </si>
  <si>
    <t>sp|P35858|ALS_HUMAN</t>
  </si>
  <si>
    <t>Insulin-like growth factor-binding protein complex acid labile subunit OS=Homo sapiens OX=9606 GN=IGFALS PE=1 SV=1</t>
  </si>
  <si>
    <t>ident:476/652 pos:520/652 query:652 hit:605 align:605 bit:902.1</t>
  </si>
  <si>
    <t>XP_027469265.1</t>
  </si>
  <si>
    <t>sp|Q16775|GLO2_HUMAN</t>
  </si>
  <si>
    <t>Hydroxyacylglutathione hydrolase, mitochondrial OS=Homo sapiens OX=9606 GN=HAGH PE=1 SV=2</t>
  </si>
  <si>
    <t>ident:279/309 pos:296/309 query:309 hit:308 align:309 bit:583.6</t>
  </si>
  <si>
    <t>XP_027469328.1</t>
  </si>
  <si>
    <t>sp|O60437|PEPL_HUMAN</t>
  </si>
  <si>
    <t>Periplakin OS=Homo sapiens OX=9606 GN=PPL PE=1 SV=4</t>
  </si>
  <si>
    <t>ident:1554/1756 pos:1648/1756 query:1756 hit:1756 align:1756 bit:3055.4</t>
  </si>
  <si>
    <t>sp|Q86XT2|VP37D_HUMAN</t>
  </si>
  <si>
    <t>Vacuolar protein sorting-associated protein 37D OS=Homo sapiens OX=9606 GN=VPS37D PE=1 SV=2</t>
  </si>
  <si>
    <t>ident:246/251 pos:249/251 query:251 hit:251 align:251 bit:477.2</t>
  </si>
  <si>
    <t>sp|O75629|CREG1_HUMAN</t>
  </si>
  <si>
    <t>Protein CREG1 OS=Homo sapiens OX=9606 GN=CREG1 PE=1 SV=1</t>
  </si>
  <si>
    <t>ident:187/221 pos:200/221 query:221 hit:220 align:218 bit:364.8</t>
  </si>
  <si>
    <t>sp|O43866|CD5L_HUMAN</t>
  </si>
  <si>
    <t>CD5 antigen-like OS=Homo sapiens OX=9606 GN=CD5L PE=1 SV=1</t>
  </si>
  <si>
    <t>ident:230/350 pos:270/350 query:350 hit:347 align:356 bit:467.6</t>
  </si>
  <si>
    <t>sp|Q9NRN5|OLFL3_HUMAN</t>
  </si>
  <si>
    <t>Olfactomedin-like protein 3 OS=Homo sapiens OX=9606 GN=OLFML3 PE=2 SV=1</t>
  </si>
  <si>
    <t>ident:394/406 pos:398/406 query:406 hit:406 align:406 bit:813.9</t>
  </si>
  <si>
    <t>sp|P49189|AL9A1_HUMAN</t>
  </si>
  <si>
    <t>4-trimethylaminobutyraldehyde dehydrogenase OS=Homo sapiens OX=9606 GN=ALDH9A1 PE=1 SV=3</t>
  </si>
  <si>
    <t>ident:469/518 pos:481/518 query:518 hit:494 align:494 bit:974.5</t>
  </si>
  <si>
    <t>XP_027469532.1</t>
  </si>
  <si>
    <t>tumor necrosis factor receptor superfamily member 17 isoform X1 [Zalophus californianus]</t>
  </si>
  <si>
    <t>sp|Q02223|TNR17_HUMAN</t>
  </si>
  <si>
    <t>Tumor necrosis factor receptor superfamily member 17 OS=Homo sapiens OX=9606 GN=TNFRSF17 PE=1 SV=2</t>
  </si>
  <si>
    <t>ident:129/197 pos:145/197 query:197 hit:184 align:185 bit:245.0</t>
  </si>
  <si>
    <t>XP_027469587.1</t>
  </si>
  <si>
    <t>sp|Q9UIB8|SLAF5_HUMAN</t>
  </si>
  <si>
    <t>SLAM family member 5 OS=Homo sapiens OX=9606 GN=CD84 PE=1 SV=1</t>
  </si>
  <si>
    <t>ident:232/340 pos:272/340 query:340 hit:345 align:347 bit:458.4</t>
  </si>
  <si>
    <t>sp|P08236|BGLR_HUMAN</t>
  </si>
  <si>
    <t>Beta-glucuronidase OS=Homo sapiens OX=9606 GN=GUSB PE=1 SV=2</t>
  </si>
  <si>
    <t>ident:528/648 pos:574/648 query:648 hit:651 align:646 bit:1104.0</t>
  </si>
  <si>
    <t>sp|Q9UMX5|NENF_HUMAN</t>
  </si>
  <si>
    <t>Neudesin OS=Homo sapiens OX=9606 GN=NENF PE=1 SV=1</t>
  </si>
  <si>
    <t>ident:138/172 pos:142/172 query:172 hit:172 align:148 bit:283.5</t>
  </si>
  <si>
    <t>40S ribosomal protein S20 isoform X2 [Zalophus californianus]</t>
  </si>
  <si>
    <t>sp|P60866|RS20_HUMAN</t>
  </si>
  <si>
    <t>40S ribosomal protein S20 OS=Homo sapiens OX=9606 GN=RPS20 PE=1 SV=1</t>
  </si>
  <si>
    <t>ident:119/119 pos:119/119 query:119 hit:119 align:119 bit:240.7</t>
  </si>
  <si>
    <t>sp|P51858|HDGF_HUMAN</t>
  </si>
  <si>
    <t>Hepatoma-derived growth factor OS=Homo sapiens OX=9606 GN=HDGF PE=1 SV=1</t>
  </si>
  <si>
    <t>ident:224/247 pos:232/247 query:247 hit:240 align:247 bit:387.9</t>
  </si>
  <si>
    <t>XP_027469787.1</t>
  </si>
  <si>
    <t>ident:364/625 pos:456/625 query:625 hit:597 align:595 bit:772.3</t>
  </si>
  <si>
    <t>sp|Q9H3K6|BOLA2_HUMAN</t>
  </si>
  <si>
    <t>BolA-like protein 2 OS=Homo sapiens OX=9606 GN=BOLA2B PE=1 SV=1</t>
  </si>
  <si>
    <t>ident:79/86 pos:82/86 query:86 hit:86 align:86 bit:161.0</t>
  </si>
  <si>
    <t>XP_027469854.1</t>
  </si>
  <si>
    <t>sp|P31146|COR1A_HUMAN</t>
  </si>
  <si>
    <t>Coronin-1A OS=Homo sapiens OX=9606 GN=CORO1A PE=1 SV=4</t>
  </si>
  <si>
    <t>ident:444/474 pos:453/474 query:474 hit:461 align:461 bit:921.0</t>
  </si>
  <si>
    <t>XP_027469883.1</t>
  </si>
  <si>
    <t>sp|P78330|SERB_HUMAN</t>
  </si>
  <si>
    <t>Phosphoserine phosphatase OS=Homo sapiens OX=9606 GN=PSPH PE=1 SV=2</t>
  </si>
  <si>
    <t>ident:202/221 pos:205/221 query:221 hit:225 align:211 bit:419.1</t>
  </si>
  <si>
    <t>XP_027469891.1</t>
  </si>
  <si>
    <t>alpha-enolase [Zalophus californianus]</t>
  </si>
  <si>
    <t>sp|P06733|ENOA_HUMAN</t>
  </si>
  <si>
    <t>Alpha-enolase OS=Homo sapiens OX=9606 GN=ENO1 PE=1 SV=2</t>
  </si>
  <si>
    <t>ident:418/434 pos:429/434 query:434 hit:434 align:434 bit:869.4</t>
  </si>
  <si>
    <t>XP_027469893.1</t>
  </si>
  <si>
    <t>sp|Q8NBJ7|SUMF2_HUMAN</t>
  </si>
  <si>
    <t>Inactive C-alpha-formylglycine-generating enzyme 2 OS=Homo sapiens OX=9606 GN=SUMF2 PE=1 SV=2</t>
  </si>
  <si>
    <t>ident:249/315 pos:263/315 query:315 hit:301 align:285 bit:522.3</t>
  </si>
  <si>
    <t>XP_027469898.1</t>
  </si>
  <si>
    <t>sp|P35749|MYH11_HUMAN</t>
  </si>
  <si>
    <t>Myosin-11 OS=Homo sapiens OX=9606 GN=MYH11 PE=1 SV=3</t>
  </si>
  <si>
    <t>ident:1930/1979 pos:1958/1979 query:1979 hit:1972 align:1979 bit:3902.8</t>
  </si>
  <si>
    <t>sp|Q9BW04|SARG_HUMAN</t>
  </si>
  <si>
    <t>Specifically androgen-regulated gene protein OS=Homo sapiens OX=9606 GN=SARG PE=1 SV=2</t>
  </si>
  <si>
    <t>ident:424/603 pos:469/603 query:603 hit:601 align:612 bit:708.4</t>
  </si>
  <si>
    <t>uromodulin [Zalophus californianus]</t>
  </si>
  <si>
    <t>sp|P07911|UROM_HUMAN</t>
  </si>
  <si>
    <t>Uromodulin OS=Homo sapiens OX=9606 GN=UMOD PE=1 SV=1</t>
  </si>
  <si>
    <t>ident:520/643 pos:555/643 query:643 hit:640 align:621 bit:1077.8</t>
  </si>
  <si>
    <t>sp|P62879|GBB2_HUMAN</t>
  </si>
  <si>
    <t>Guanine nucleotide-binding protein G(I)/G(S)/G(T) subunit beta-2 OS=Homo sapiens OX=9606 GN=GNB2 PE=1 SV=3</t>
  </si>
  <si>
    <t>ident:340/340 pos:340/340 query:340 hit:340 align:340 bit:702.6</t>
  </si>
  <si>
    <t>XP_027469971.1</t>
  </si>
  <si>
    <t>deoxyribonuclease-1 isoform X1 [Zalophus californianus]</t>
  </si>
  <si>
    <t>sp|P24855|DNAS1_HUMAN</t>
  </si>
  <si>
    <t>Deoxyribonuclease-1 OS=Homo sapiens OX=9606 GN=DNASE1 PE=1 SV=1</t>
  </si>
  <si>
    <t>ident:225/331 pos:254/331 query:331 hit:282 align:329 bit:423.3</t>
  </si>
  <si>
    <t>protein S100-A4 [Zalophus californianus]</t>
  </si>
  <si>
    <t>sp|P26447|S10A4_HUMAN</t>
  </si>
  <si>
    <t>Protein S100-A4 OS=Homo sapiens OX=9606 GN=S100A4 PE=1 SV=1</t>
  </si>
  <si>
    <t>ident:98/101 pos:101/101 query:101 hit:101 align:101 bit:205.3</t>
  </si>
  <si>
    <t>sp|Q9BRF8|CPPED_HUMAN</t>
  </si>
  <si>
    <t>Serine/threonine-protein phosphatase CPPED1 OS=Homo sapiens OX=9606 GN=CPPED1 PE=1 SV=3</t>
  </si>
  <si>
    <t>ident:261/313 pos:283/313 query:313 hit:314 align:314 bit:548.5</t>
  </si>
  <si>
    <t>sp|P16150|LEUK_HUMAN</t>
  </si>
  <si>
    <t>Leukosialin OS=Homo sapiens OX=9606 GN=SPN PE=1 SV=1</t>
  </si>
  <si>
    <t>ident:180/451 pos:219/451 query:451 hit:400 align:384 bit:198.4</t>
  </si>
  <si>
    <t>ident:95/129 pos:105/129 query:129 hit:122 align:130 bit:185.7</t>
  </si>
  <si>
    <t>ident:97/129 pos:106/129 query:129 hit:122 align:130 bit:188.7</t>
  </si>
  <si>
    <t>sp|P58107|EPIPL_HUMAN</t>
  </si>
  <si>
    <t>Epiplakin OS=Homo sapiens OX=9606 GN=EPPK1 PE=1 SV=3</t>
  </si>
  <si>
    <t>ident:1683/2345 pos:1943/2345 query:2345 hit:5088 align:2341 bit:3271.9</t>
  </si>
  <si>
    <t>bis(5'-nucleosyl)-tetraphosphatase [asymmetrical] [Zalophus californianus]</t>
  </si>
  <si>
    <t>sp|P50583|AP4A_HUMAN</t>
  </si>
  <si>
    <t>Bis(5'-nucleosyl)-tetraphosphatase [asymmetrical] OS=Homo sapiens OX=9606 GN=NUDT2 PE=1 SV=3</t>
  </si>
  <si>
    <t>ident:132/147 pos:137/147 query:147 hit:147 align:144 bit:277.3</t>
  </si>
  <si>
    <t>sp|Q9UKU9|ANGL2_HUMAN</t>
  </si>
  <si>
    <t>Angiopoietin-related protein 2 OS=Homo sapiens OX=9606 GN=ANGPTL2 PE=1 SV=1</t>
  </si>
  <si>
    <t>ident:478/493 pos:485/493 query:493 hit:493 align:493 bit:1006.1</t>
  </si>
  <si>
    <t>sp|P30050|RL12_HUMAN</t>
  </si>
  <si>
    <t>60S ribosomal protein L12 OS=Homo sapiens OX=9606 GN=RPL12 PE=1 SV=1</t>
  </si>
  <si>
    <t>ident:164/165 pos:165/165 query:165 hit:165 align:165 bit:335.5</t>
  </si>
  <si>
    <t>carbonic anhydrase 4-like [Zalophus californianus]</t>
  </si>
  <si>
    <t>sp|P22748|CAH4_HUMAN</t>
  </si>
  <si>
    <t>Carbonic anhydrase 4 OS=Homo sapiens OX=9606 GN=CA4 PE=1 SV=2</t>
  </si>
  <si>
    <t>ident:230/313 pos:263/313 query:313 hit:312 align:313 bit:460.3</t>
  </si>
  <si>
    <t>sp|P20774|MIME_HUMAN</t>
  </si>
  <si>
    <t>Mimecan OS=Homo sapiens OX=9606 GN=OGN PE=1 SV=1</t>
  </si>
  <si>
    <t>ident:278/298 pos:287/298 query:298 hit:298 align:298 bit:538.1</t>
  </si>
  <si>
    <t>XP_027470208.1</t>
  </si>
  <si>
    <t>sp|O95786|DDX58_HUMAN</t>
  </si>
  <si>
    <t>Probable ATP-dependent RNA helicase DDX58 OS=Homo sapiens OX=9606 GN=DDX58 PE=1 SV=2</t>
  </si>
  <si>
    <t>ident:754/998 pos:837/998 query:998 hit:925 align:931 bit:1582.4</t>
  </si>
  <si>
    <t>cytoplasmic aconitate hydratase [Zalophus californianus]</t>
  </si>
  <si>
    <t>sp|P21399|ACOC_HUMAN</t>
  </si>
  <si>
    <t>Cytoplasmic aconitate hydratase OS=Homo sapiens OX=9606 GN=ACO1 PE=1 SV=3</t>
  </si>
  <si>
    <t>ident:830/889 pos:863/889 query:889 hit:889 align:889 bit:1734.9</t>
  </si>
  <si>
    <t>XP_027470236.1</t>
  </si>
  <si>
    <t>sp|Q76LX8|ATS13_HUMAN</t>
  </si>
  <si>
    <t>A disintegrin and metalloproteinase with thrombospondin motifs 13 OS=Homo sapiens OX=9606 GN=ADAMTS13 PE=1 SV=1</t>
  </si>
  <si>
    <t>ident:976/1502 pos:1067/1502 query:1502 hit:1427 align:1369 bit:1876.7</t>
  </si>
  <si>
    <t>XP_027470269.1</t>
  </si>
  <si>
    <t>talin-1 isoform X1 [Zalophus californianus]</t>
  </si>
  <si>
    <t>sp|Q9Y490|TLN1_HUMAN</t>
  </si>
  <si>
    <t>Talin-1 OS=Homo sapiens OX=9606 GN=TLN1 PE=1 SV=3</t>
  </si>
  <si>
    <t>ident:2522/2558 pos:2534/2558 query:2558 hit:2541 align:2558 bit:5130.8</t>
  </si>
  <si>
    <t>sp|P05937|CALB1_HUMAN</t>
  </si>
  <si>
    <t>Calbindin OS=Homo sapiens OX=9606 GN=CALB1 PE=1 SV=2</t>
  </si>
  <si>
    <t>ident:256/261 pos:258/261 query:261 hit:261 align:261 bit:518.1</t>
  </si>
  <si>
    <t>XP_027470294.1</t>
  </si>
  <si>
    <t>sp|P07951|TPM2_HUMAN</t>
  </si>
  <si>
    <t>Tropomyosin beta chain OS=Homo sapiens OX=9606 GN=TPM2 PE=1 SV=1</t>
  </si>
  <si>
    <t>ident:262/284 pos:271/284 query:284 hit:284 align:284 bit:453.0</t>
  </si>
  <si>
    <t>sp|Q15257|PTPA_HUMAN</t>
  </si>
  <si>
    <t>Serine/threonine-protein phosphatase 2A activator OS=Homo sapiens OX=9606 GN=PTPA PE=1 SV=3</t>
  </si>
  <si>
    <t>ident:316/323 pos:319/323 query:323 hit:358 align:357 bit:645.2</t>
  </si>
  <si>
    <t>sp|P01210|PENK_HUMAN</t>
  </si>
  <si>
    <t>Proenkephalin-A OS=Homo sapiens OX=9606 GN=PENK PE=1 SV=1</t>
  </si>
  <si>
    <t>ident:226/280 pos:242/280 query:280 hit:267 align:267 bit:428.3</t>
  </si>
  <si>
    <t>ident:279/279 pos:279/279 query:279 hit:463 align:279 bit:569.7</t>
  </si>
  <si>
    <t>sp|P31689|DNJA1_HUMAN</t>
  </si>
  <si>
    <t>DnaJ homolog subfamily A member 1 OS=Homo sapiens OX=9606 GN=DNAJA1 PE=1 SV=2</t>
  </si>
  <si>
    <t>ident:389/404 pos:389/404 query:404 hit:397 align:390 bit:798.5</t>
  </si>
  <si>
    <t>sp|P24821|TENA_HUMAN</t>
  </si>
  <si>
    <t>Tenascin OS=Homo sapiens OX=9606 GN=TNC PE=1 SV=3</t>
  </si>
  <si>
    <t>ident:1894/2151 pos:2026/2151 query:2151 hit:2201 align:2201 bit:3917.8</t>
  </si>
  <si>
    <t>sp|Q96TA1|NIBL1_HUMAN</t>
  </si>
  <si>
    <t>Niban-like protein 1 OS=Homo sapiens OX=9606 GN=FAM129B PE=1 SV=3</t>
  </si>
  <si>
    <t>ident:641/736 pos:667/736 query:736 hit:746 align:747 bit:1259.6</t>
  </si>
  <si>
    <t>XP_027470546.1</t>
  </si>
  <si>
    <t>sp|Q5IJ48|CRUM2_HUMAN</t>
  </si>
  <si>
    <t>Protein crumbs homolog 2 OS=Homo sapiens OX=9606 GN=CRB2 PE=1 SV=2</t>
  </si>
  <si>
    <t>ident:1063/1284 pos:1124/1284 query:1284 hit:1285 align:1287 bit:2026.5</t>
  </si>
  <si>
    <t>XP_027470618.1</t>
  </si>
  <si>
    <t>sp|P17813|EGLN_HUMAN</t>
  </si>
  <si>
    <t>Endoglin OS=Homo sapiens OX=9606 GN=ENG PE=1 SV=2</t>
  </si>
  <si>
    <t>ident:453/719 pos:503/719 query:719 hit:658 align:624 bit:856.7</t>
  </si>
  <si>
    <t>sp|Q9UIJ7|KAD3_HUMAN</t>
  </si>
  <si>
    <t>GTP:AMP phosphotransferase AK3, mitochondrial OS=Homo sapiens OX=9606 GN=AK3 PE=1 SV=4</t>
  </si>
  <si>
    <t>ident:216/227 pos:221/227 query:227 hit:227 align:227 bit:447.6</t>
  </si>
  <si>
    <t>sp|P27105|STOM_HUMAN</t>
  </si>
  <si>
    <t>Erythrocyte band 7 integral membrane protein OS=Homo sapiens OX=9606 GN=STOM PE=1 SV=3</t>
  </si>
  <si>
    <t>ident:273/284 pos:278/284 query:284 hit:288 align:284 bit:562.4</t>
  </si>
  <si>
    <t>sp|P15291|B4GT1_HUMAN</t>
  </si>
  <si>
    <t>Beta-1,4-galactosyltransferase 1 OS=Homo sapiens OX=9606 GN=B4GALT1 PE=1 SV=5</t>
  </si>
  <si>
    <t>ident:351/400 pos:373/400 query:400 hit:398 align:400 bit:730.7</t>
  </si>
  <si>
    <t>charged multivesicular body protein 5 [Zalophus californianus]</t>
  </si>
  <si>
    <t>sp|Q9NZZ3|CHMP5_HUMAN</t>
  </si>
  <si>
    <t>Charged multivesicular body protein 5 OS=Homo sapiens OX=9606 GN=CHMP5 PE=1 SV=1</t>
  </si>
  <si>
    <t>ident:218/219 pos:218/219 query:219 hit:219 align:219 bit:438.7</t>
  </si>
  <si>
    <t>sp|P55072|TERA_HUMAN</t>
  </si>
  <si>
    <t>Transitional endoplasmic reticulum ATPase OS=Homo sapiens OX=9606 GN=VCP PE=1 SV=4</t>
  </si>
  <si>
    <t>ident:805/806 pos:805/806 query:806 hit:806 align:806 bit:1644.0</t>
  </si>
  <si>
    <t>XP_027470704.1</t>
  </si>
  <si>
    <t>sp|Q99541|PLIN2_HUMAN</t>
  </si>
  <si>
    <t>Perilipin-2 OS=Homo sapiens OX=9606 GN=PLIN2 PE=1 SV=2</t>
  </si>
  <si>
    <t>ident:390/439 pos:422/439 query:439 hit:437 align:438 bit:787.7</t>
  </si>
  <si>
    <t>sp|Q9NR45|SIAS_HUMAN</t>
  </si>
  <si>
    <t>Sialic acid synthase OS=Homo sapiens OX=9606 GN=NANS PE=1 SV=2</t>
  </si>
  <si>
    <t>ident:341/359 pos:353/359 query:359 hit:359 align:359 bit:718.4</t>
  </si>
  <si>
    <t>Golgi membrane protein 1 isoform X1 [Zalophus californianus]</t>
  </si>
  <si>
    <t>sp|Q8NBJ4|GOLM1_HUMAN</t>
  </si>
  <si>
    <t>Golgi membrane protein 1 OS=Homo sapiens OX=9606 GN=GOLM1 PE=1 SV=1</t>
  </si>
  <si>
    <t>ident:329/403 pos:350/403 query:403 hit:401 align:404 bit:598.6</t>
  </si>
  <si>
    <t>sp|Q9Y2T3|GUAD_HUMAN</t>
  </si>
  <si>
    <t>Guanine deaminase OS=Homo sapiens OX=9606 GN=GDA PE=1 SV=1</t>
  </si>
  <si>
    <t>ident:408/454 pos:430/454 query:454 hit:454 align:454 bit:859.0</t>
  </si>
  <si>
    <t>XP_027470808.1</t>
  </si>
  <si>
    <t>sp|Q16401|PSMD5_HUMAN</t>
  </si>
  <si>
    <t>26S proteasome non-ATPase regulatory subunit 5 OS=Homo sapiens OX=9606 GN=PSMD5 PE=1 SV=3</t>
  </si>
  <si>
    <t>ident:471/504 pos:491/504 query:504 hit:504 align:504 bit:980.7</t>
  </si>
  <si>
    <t>XP_027470836.1</t>
  </si>
  <si>
    <t>sp|Q16773|KAT1_HUMAN</t>
  </si>
  <si>
    <t>Kynurenine--oxoglutarate transaminase 1 OS=Homo sapiens OX=9606 GN=KYAT1 PE=1 SV=1</t>
  </si>
  <si>
    <t>ident:340/444 pos:372/444 query:444 hit:422 align:403 bit:732.2</t>
  </si>
  <si>
    <t>sp|P11021|BIP_HUMAN</t>
  </si>
  <si>
    <t>Endoplasmic reticulum chaperone BiP OS=Homo sapiens OX=9606 GN=HSPA5 PE=1 SV=2</t>
  </si>
  <si>
    <t>ident:648/654 pos:652/654 query:654 hit:654 align:654 bit:1315.4</t>
  </si>
  <si>
    <t>sp|P02763|A1AG1_HUMAN</t>
  </si>
  <si>
    <t>Alpha-1-acid glycoprotein 1 OS=Homo sapiens OX=9606 GN=ORM1 PE=1 SV=1</t>
  </si>
  <si>
    <t>ident:121/206 pos:157/206 query:206 hit:201 align:203 bit:236.9</t>
  </si>
  <si>
    <t>XP_027471014.1</t>
  </si>
  <si>
    <t>sp|Q96FN5|KIF12_HUMAN</t>
  </si>
  <si>
    <t>Kinesin-like protein KIF12 OS=Homo sapiens OX=9606 GN=KIF12 PE=1 SV=3</t>
  </si>
  <si>
    <t>ident:550/703 pos:581/703 query:703 hit:646 align:704 bit:1010.4</t>
  </si>
  <si>
    <t>protein AMBP [Zalophus californianus]</t>
  </si>
  <si>
    <t>sp|P02760|AMBP_HUMAN</t>
  </si>
  <si>
    <t>Protein AMBP OS=Homo sapiens OX=9606 GN=AMBP PE=1 SV=1</t>
  </si>
  <si>
    <t>ident:265/352 pos:297/352 query:352 hit:352 align:334 bit:570.1</t>
  </si>
  <si>
    <t>sp|P42766|RL35_HUMAN</t>
  </si>
  <si>
    <t>60S ribosomal protein L35 OS=Homo sapiens OX=9606 GN=RPL35 PE=1 SV=2</t>
  </si>
  <si>
    <t>ident:122/123 pos:123/123 query:123 hit:123 align:123 bit:235.7</t>
  </si>
  <si>
    <t>sp|P00966|ASSY_HUMAN</t>
  </si>
  <si>
    <t>Argininosuccinate synthase OS=Homo sapiens OX=9606 GN=ASS1 PE=1 SV=2</t>
  </si>
  <si>
    <t>ident:404/412 pos:409/412 query:412 hit:412 align:412 bit:845.5</t>
  </si>
  <si>
    <t>XP_027471095.1</t>
  </si>
  <si>
    <t>sp|Q9BTM9|URM1_HUMAN</t>
  </si>
  <si>
    <t>Ubiquitin-related modifier 1 OS=Homo sapiens OX=9606 GN=URM1 PE=1 SV=1</t>
  </si>
  <si>
    <t>ident:60/193 pos:63/193 query:193 hit:101 align:63 bit:129.8</t>
  </si>
  <si>
    <t>XP_027471106.1</t>
  </si>
  <si>
    <t>sp|P47756|CAPZB_HUMAN</t>
  </si>
  <si>
    <t>F-actin-capping protein subunit beta OS=Homo sapiens OX=9606 GN=CAPZB PE=1 SV=4</t>
  </si>
  <si>
    <t>ident:250/301 pos:257/301 query:301 hit:277 align:269 bit:517.3</t>
  </si>
  <si>
    <t>sp|P09496|CLCA_HUMAN</t>
  </si>
  <si>
    <t>Clathrin light chain A OS=Homo sapiens OX=9606 GN=CLTA PE=1 SV=1</t>
  </si>
  <si>
    <t>ident:216/218 pos:216/218 query:218 hit:248 align:248 bit:421.4</t>
  </si>
  <si>
    <t>sp|Q9BS26|ERP44_HUMAN</t>
  </si>
  <si>
    <t>Endoplasmic reticulum resident protein 44 OS=Homo sapiens OX=9606 GN=ERP44 PE=1 SV=1</t>
  </si>
  <si>
    <t>ident:389/489 pos:399/489 query:489 hit:406 align:406 bit:816.6</t>
  </si>
  <si>
    <t>XP_027471170.1</t>
  </si>
  <si>
    <t>sp|P20333|TNR1B_HUMAN</t>
  </si>
  <si>
    <t>Tumor necrosis factor receptor superfamily member 1B OS=Homo sapiens OX=9606 GN=TNFRSF1B PE=1 SV=3</t>
  </si>
  <si>
    <t>ident:354/464 pos:388/464 query:464 hit:461 align:464 bit:658.7</t>
  </si>
  <si>
    <t>XP_027471219.1</t>
  </si>
  <si>
    <t>sp|Q6NUK1|SCMC1_HUMAN</t>
  </si>
  <si>
    <t>Calcium-binding mitochondrial carrier protein SCaMC-1 OS=Homo sapiens OX=9606 GN=SLC25A24 PE=1 SV=2</t>
  </si>
  <si>
    <t>ident:442/477 pos:460/477 query:477 hit:477 align:477 bit:920.2</t>
  </si>
  <si>
    <t>sp|Q01974|ROR2_HUMAN</t>
  </si>
  <si>
    <t>Tyrosine-protein kinase transmembrane receptor ROR2 OS=Homo sapiens OX=9606 GN=ROR2 PE=1 SV=2</t>
  </si>
  <si>
    <t>ident:868/940 pos:903/940 query:940 hit:943 align:943 bit:1728.4</t>
  </si>
  <si>
    <t>XP_027471228.1</t>
  </si>
  <si>
    <t>sp|Q9UDY2|ZO2_HUMAN</t>
  </si>
  <si>
    <t>Tight junction protein ZO-2 OS=Homo sapiens OX=9606 GN=TJP2 PE=1 SV=2</t>
  </si>
  <si>
    <t>ident:1062/1202 pos:1100/1202 query:1202 hit:1190 align:1183 bit:2028.5</t>
  </si>
  <si>
    <t>XP_027471237.1</t>
  </si>
  <si>
    <t>sp|P23468|PTPRD_HUMAN</t>
  </si>
  <si>
    <t>Receptor-type tyrosine-protein phosphatase delta OS=Homo sapiens OX=9606 GN=PTPRD PE=1 SV=2</t>
  </si>
  <si>
    <t>ident:1891/1933 pos:1903/1933 query:1933 hit:1912 align:1930 bit:3920.6</t>
  </si>
  <si>
    <t>XP_027471298.1</t>
  </si>
  <si>
    <t>sp|P54727|RD23B_HUMAN</t>
  </si>
  <si>
    <t>UV excision repair protein RAD23 homolog B OS=Homo sapiens OX=9606 GN=RAD23B PE=1 SV=1</t>
  </si>
  <si>
    <t>ident:378/408 pos:387/408 query:408 hit:409 align:409 bit:674.5</t>
  </si>
  <si>
    <t>XP_027471337.1</t>
  </si>
  <si>
    <t>sp|P39059|COFA1_HUMAN</t>
  </si>
  <si>
    <t>Collagen alpha-1(XV) chain OS=Homo sapiens OX=9606 GN=COL15A1 PE=1 SV=2</t>
  </si>
  <si>
    <t>ident:1123/1432 pos:1194/1432 query:1432 hit:1388 align:1422 bit:1722.6</t>
  </si>
  <si>
    <t>XP_027471359.1</t>
  </si>
  <si>
    <t>sp|Q9UJZ1|STML2_HUMAN</t>
  </si>
  <si>
    <t>Stomatin-like protein 2, mitochondrial OS=Homo sapiens OX=9606 GN=STOML2 PE=1 SV=1</t>
  </si>
  <si>
    <t>ident:347/386 pos:351/386 query:386 hit:356 align:386 bit:660.6</t>
  </si>
  <si>
    <t>sp|Q5BKX8|CAVN4_HUMAN</t>
  </si>
  <si>
    <t>Caveolae-associated protein 4 OS=Homo sapiens OX=9606 GN=CAVIN4 PE=1 SV=2</t>
  </si>
  <si>
    <t>ident:323/361 pos:341/361 query:361 hit:364 align:362 bit:647.9</t>
  </si>
  <si>
    <t>sp|Q9UMX0|UBQL1_HUMAN</t>
  </si>
  <si>
    <t>Ubiquilin-1 OS=Homo sapiens OX=9606 GN=UBQLN1 PE=1 SV=2</t>
  </si>
  <si>
    <t>ident:566/589 pos:576/589 query:589 hit:589 align:589 bit:1009.2</t>
  </si>
  <si>
    <t>XP_027471391.1</t>
  </si>
  <si>
    <t>sp|Q9Y2D5|AKAP2_HUMAN</t>
  </si>
  <si>
    <t>A-kinase anchor protein 2 OS=Homo sapiens OX=9606 GN=AKAP2 PE=1 SV=3</t>
  </si>
  <si>
    <t>ident:706/1334 pos:735/1334 query:1334 hit:859 align:828 bit:1342.8</t>
  </si>
  <si>
    <t>XP_027471482.1</t>
  </si>
  <si>
    <t>sp|Q6YN16|HSDL2_HUMAN</t>
  </si>
  <si>
    <t>Hydroxysteroid dehydrogenase-like protein 2 OS=Homo sapiens OX=9606 GN=HSDL2 PE=1 SV=1</t>
  </si>
  <si>
    <t>ident:370/418 pos:397/418 query:418 hit:418 align:418 bit:775.0</t>
  </si>
  <si>
    <t>XP_027471511.1</t>
  </si>
  <si>
    <t>ident:122/157 pos:123/157 query:157 hit:463 align:123 bit:251.9</t>
  </si>
  <si>
    <t>sp|P62424|RL7A_HUMAN</t>
  </si>
  <si>
    <t>60S ribosomal protein L7a OS=Homo sapiens OX=9606 GN=RPL7A PE=1 SV=2</t>
  </si>
  <si>
    <t>ident:266/266 pos:266/266 query:266 hit:266 align:266 bit:535.0</t>
  </si>
  <si>
    <t>sp|P22528|SPR1B_HUMAN</t>
  </si>
  <si>
    <t>Cornifin-B OS=Homo sapiens OX=9606 GN=SPRR1B PE=1 SV=2</t>
  </si>
  <si>
    <t>ident:49/113 pos:49/113 query:113 hit:89 align:81 bit:72.8</t>
  </si>
  <si>
    <t>XP_027471632.1</t>
  </si>
  <si>
    <t>sp|P46531|NOTC1_HUMAN</t>
  </si>
  <si>
    <t>Neurogenic locus notch homolog protein 1 OS=Homo sapiens OX=9606 GN=NOTCH1 PE=1 SV=4</t>
  </si>
  <si>
    <t>ident:2285/2567 pos:2390/2567 query:2567 hit:2555 align:2549 bit:4602.7</t>
  </si>
  <si>
    <t>sp|Q8N130|NPT2C_HUMAN</t>
  </si>
  <si>
    <t>Sodium-dependent phosphate transport protein 2C OS=Homo sapiens OX=9606 GN=SLC34A3 PE=1 SV=2</t>
  </si>
  <si>
    <t>ident:482/602 pos:518/602 query:602 hit:599 align:602 bit:820.1</t>
  </si>
  <si>
    <t>dipeptidyl peptidase 2 [Zalophus californianus]</t>
  </si>
  <si>
    <t>sp|Q9UHL4|DPP2_HUMAN</t>
  </si>
  <si>
    <t>Dipeptidyl peptidase 2 OS=Homo sapiens OX=9606 GN=DPP7 PE=1 SV=3</t>
  </si>
  <si>
    <t>ident:386/497 pos:428/497 query:497 hit:492 align:485 bit:779.2</t>
  </si>
  <si>
    <t>sp|P52758|RIDA_HUMAN</t>
  </si>
  <si>
    <t>2-iminobutanoate/2-iminopropanoate deaminase OS=Homo sapiens OX=9606 GN=RIDA PE=1 SV=1</t>
  </si>
  <si>
    <t>ident:120/137 pos:131/137 query:137 hit:137 align:137 bit:254.2</t>
  </si>
  <si>
    <t>XP_027471764.1</t>
  </si>
  <si>
    <t>sp|P68371|TBB4B_HUMAN</t>
  </si>
  <si>
    <t>Tubulin beta-4B chain OS=Homo sapiens OX=9606 GN=TUBB4B PE=1 SV=1</t>
  </si>
  <si>
    <t>ident:445/445 pos:445/445 query:445 hit:445 align:445 bit:936.4</t>
  </si>
  <si>
    <t>XP_027471795.1</t>
  </si>
  <si>
    <t>sp|Q9NQX5|NPDC1_HUMAN</t>
  </si>
  <si>
    <t>Neural proliferation differentiation and control protein 1 OS=Homo sapiens OX=9606 GN=NPDC1 PE=1 SV=2</t>
  </si>
  <si>
    <t>ident:252/326 pos:271/326 query:326 hit:325 align:317 bit:407.5</t>
  </si>
  <si>
    <t>sp|Q6ZST4|LCNL1_HUMAN</t>
  </si>
  <si>
    <t>Lipocalin-like 1 protein OS=Homo sapiens OX=9606 GN=LCNL1 PE=2 SV=2</t>
  </si>
  <si>
    <t>ident:78/184 pos:88/184 query:184 hit:164 align:103 bit:163.7</t>
  </si>
  <si>
    <t>sp|P07360|CO8G_HUMAN</t>
  </si>
  <si>
    <t>Complement component C8 gamma chain OS=Homo sapiens OX=9606 GN=C8G PE=1 SV=3</t>
  </si>
  <si>
    <t>ident:156/201 pos:167/201 query:201 hit:202 align:201 bit:295.8</t>
  </si>
  <si>
    <t>sp|P41222|PTGDS_HUMAN</t>
  </si>
  <si>
    <t>Prostaglandin-H2 D-isomerase OS=Homo sapiens OX=9606 GN=PTGDS PE=1 SV=1</t>
  </si>
  <si>
    <t>ident:144/191 pos:157/191 query:191 hit:190 align:190 bit:302.8</t>
  </si>
  <si>
    <t>sp|Q9NRX4|PHP14_HUMAN</t>
  </si>
  <si>
    <t>14 kDa phosphohistidine phosphatase OS=Homo sapiens OX=9606 GN=PHPT1 PE=1 SV=1</t>
  </si>
  <si>
    <t>ident:109/125 pos:114/125 query:125 hit:125 align:125 bit:221.5</t>
  </si>
  <si>
    <t>phosphoserine aminotransferase [Zalophus californianus]</t>
  </si>
  <si>
    <t>sp|Q9Y617|SERC_HUMAN</t>
  </si>
  <si>
    <t>Phosphoserine aminotransferase OS=Homo sapiens OX=9606 GN=PSAT1 PE=1 SV=2</t>
  </si>
  <si>
    <t>ident:350/370 pos:363/370 query:370 hit:370 align:370 bit:732.2</t>
  </si>
  <si>
    <t>sp|P50148|GNAQ_HUMAN</t>
  </si>
  <si>
    <t>Guanine nucleotide-binding protein G(q) subunit alpha OS=Homo sapiens OX=9606 GN=GNAQ PE=1 SV=4</t>
  </si>
  <si>
    <t>ident:359/359 pos:359/359 query:359 hit:359 align:359 bit:747.7</t>
  </si>
  <si>
    <t>sp|P06396|GELS_HUMAN</t>
  </si>
  <si>
    <t>Gelsolin OS=Homo sapiens OX=9606 GN=GSN PE=1 SV=1</t>
  </si>
  <si>
    <t>ident:728/777 pos:750/777 query:777 hit:782 align:782 bit:1480.3</t>
  </si>
  <si>
    <t>sp|Q5T749|KPRP_HUMAN</t>
  </si>
  <si>
    <t>Keratinocyte proline-rich protein OS=Homo sapiens OX=9606 GN=KPRP PE=1 SV=1</t>
  </si>
  <si>
    <t>ident:406/595 pos:430/595 query:595 hit:579 align:600 bit:608.6</t>
  </si>
  <si>
    <t>V-type proton ATPase subunit G 1 [Zalophus californianus]</t>
  </si>
  <si>
    <t>sp|O75348|VATG1_HUMAN</t>
  </si>
  <si>
    <t>V-type proton ATPase subunit G 1 OS=Homo sapiens OX=9606 GN=ATP6V1G1 PE=1 SV=3</t>
  </si>
  <si>
    <t>ident:115/118 pos:116/118 query:118 hit:118 align:118 bit:231.1</t>
  </si>
  <si>
    <t>sp|Q9H1U4|MEGF9_HUMAN</t>
  </si>
  <si>
    <t>Multiple epidermal growth factor-like domains protein 9 OS=Homo sapiens OX=9606 GN=MEGF9 PE=2 SV=3</t>
  </si>
  <si>
    <t>ident:516/598 pos:547/598 query:598 hit:602 align:602 bit:918.7</t>
  </si>
  <si>
    <t>ciliary neurotrophic factor receptor subunit alpha [Zalophus californianus]</t>
  </si>
  <si>
    <t>sp|P26992|CNTFR_HUMAN</t>
  </si>
  <si>
    <t>Ciliary neurotrophic factor receptor subunit alpha OS=Homo sapiens OX=9606 GN=CNTFR PE=1 SV=2</t>
  </si>
  <si>
    <t>ident:363/371 pos:367/371 query:371 hit:372 align:372 bit:746.1</t>
  </si>
  <si>
    <t>sp|Q9UBQ7|GRHPR_HUMAN</t>
  </si>
  <si>
    <t>Glyoxylate reductase/hydroxypyruvate reductase OS=Homo sapiens OX=9606 GN=GRHPR PE=1 SV=1</t>
  </si>
  <si>
    <t>ident:299/328 pos:318/328 query:328 hit:328 align:328 bit:623.2</t>
  </si>
  <si>
    <t>sp|P80188|NGAL_HUMAN</t>
  </si>
  <si>
    <t>Neutrophil gelatinase-associated lipocalin OS=Homo sapiens OX=9606 GN=LCN2 PE=1 SV=2</t>
  </si>
  <si>
    <t>ident:115/208 pos:142/208 query:208 hit:198 align:179 bit:223.8</t>
  </si>
  <si>
    <t>sp|P00352|AL1A1_HUMAN</t>
  </si>
  <si>
    <t>Retinal dehydrogenase 1 OS=Homo sapiens OX=9606 GN=ALDH1A1 PE=1 SV=2</t>
  </si>
  <si>
    <t>ident:463/501 pos:488/501 query:501 hit:501 align:501 bit:981.1</t>
  </si>
  <si>
    <t>sp|P01031|CO5_HUMAN</t>
  </si>
  <si>
    <t>Complement C5 OS=Homo sapiens OX=9606 GN=C5 PE=1 SV=4</t>
  </si>
  <si>
    <t>ident:1408/1679 pos:1555/1679 query:1679 hit:1676 align:1676 bit:2947.5</t>
  </si>
  <si>
    <t>sp|P05062|ALDOB_HUMAN</t>
  </si>
  <si>
    <t>Fructose-bisphosphate aldolase B OS=Homo sapiens OX=9606 GN=ALDOB PE=1 SV=2</t>
  </si>
  <si>
    <t>ident:347/364 pos:355/364 query:364 hit:364 align:364 bit:728.4</t>
  </si>
  <si>
    <t>sp|P04083|ANXA1_HUMAN</t>
  </si>
  <si>
    <t>Annexin A1 OS=Homo sapiens OX=9606 GN=ANXA1 PE=1 SV=2</t>
  </si>
  <si>
    <t>ident:317/345 pos:330/345 query:345 hit:346 align:344 bit:659.4</t>
  </si>
  <si>
    <t>thioredoxin isoform X1 [Zalophus californianus]</t>
  </si>
  <si>
    <t>sp|P10599|THIO_HUMAN</t>
  </si>
  <si>
    <t>Thioredoxin OS=Homo sapiens OX=9606 GN=TXN PE=1 SV=3</t>
  </si>
  <si>
    <t>ident:100/105 pos:103/105 query:105 hit:105 align:105 bit:208.0</t>
  </si>
  <si>
    <t>sp|P09758|TACD2_HUMAN</t>
  </si>
  <si>
    <t>Tumor-associated calcium signal transducer 2 OS=Homo sapiens OX=9606 GN=TACSTD2 PE=1 SV=3</t>
  </si>
  <si>
    <t>ident:278/323 pos:292/323 query:323 hit:323 align:323 bit:500.7</t>
  </si>
  <si>
    <t>sp|Q01973|ROR1_HUMAN</t>
  </si>
  <si>
    <t>Inactive tyrosine-protein kinase transmembrane receptor ROR1 OS=Homo sapiens OX=9606 GN=ROR1 PE=1 SV=2</t>
  </si>
  <si>
    <t>ident:890/998 pos:901/998 query:998 hit:937 align:907 bit:1868.6</t>
  </si>
  <si>
    <t>sp|P09467|F16P1_HUMAN</t>
  </si>
  <si>
    <t>Fructose-1,6-bisphosphatase 1 OS=Homo sapiens OX=9606 GN=FBP1 PE=1 SV=5</t>
  </si>
  <si>
    <t>ident:312/338 pos:329/338 query:338 hit:338 align:338 bit:625.2</t>
  </si>
  <si>
    <t>sp|Q92882|OSTF1_HUMAN</t>
  </si>
  <si>
    <t>Osteoclast-stimulating factor 1 OS=Homo sapiens OX=9606 GN=OSTF1 PE=1 SV=2</t>
  </si>
  <si>
    <t>ident:210/214 pos:211/214 query:214 hit:214 align:214 bit:438.0</t>
  </si>
  <si>
    <t>sp|Q9H756|LRC19_HUMAN</t>
  </si>
  <si>
    <t>Leucine-rich repeat-containing protein 19 OS=Homo sapiens OX=9606 GN=LRRC19 PE=2 SV=1</t>
  </si>
  <si>
    <t>ident:300/370 pos:328/370 query:370 hit:370 align:370 bit:548.5</t>
  </si>
  <si>
    <t>sp|Q13126|MTAP_HUMAN</t>
  </si>
  <si>
    <t>S-methyl-5'-thioadenosine phosphorylase OS=Homo sapiens OX=9606 GN=MTAP PE=1 SV=2</t>
  </si>
  <si>
    <t>ident:275/283 pos:277/283 query:283 hit:283 align:283 bit:575.1</t>
  </si>
  <si>
    <t>cathepsin L2 [Zalophus californianus]</t>
  </si>
  <si>
    <t>sp|O60911|CATL2_HUMAN</t>
  </si>
  <si>
    <t>Cathepsin L2 OS=Homo sapiens OX=9606 GN=CTSV PE=1 SV=2</t>
  </si>
  <si>
    <t>ident:273/334 pos:298/334 query:334 hit:334 align:335 bit:575.5</t>
  </si>
  <si>
    <t>sp|P61106|RAB14_HUMAN</t>
  </si>
  <si>
    <t>Ras-related protein Rab-14 OS=Homo sapiens OX=9606 GN=RAB14 PE=1 SV=4</t>
  </si>
  <si>
    <t>ident:215/215 pos:215/215 query:215 hit:215 align:215 bit:452.6</t>
  </si>
  <si>
    <t>XP_027472634.1</t>
  </si>
  <si>
    <t>sp|P00568|KAD1_HUMAN</t>
  </si>
  <si>
    <t>Adenylate kinase isoenzyme 1 OS=Homo sapiens OX=9606 GN=AK1 PE=1 SV=3</t>
  </si>
  <si>
    <t>ident:187/210 pos:189/210 query:210 hit:194 align:192 bit:380.6</t>
  </si>
  <si>
    <t>sp|P54826|GAS1_HUMAN</t>
  </si>
  <si>
    <t>Growth arrest-specific protein 1 OS=Homo sapiens OX=9606 GN=GAS1 PE=2 SV=2</t>
  </si>
  <si>
    <t>ident:315/346 pos:318/346 query:346 hit:345 align:339 bit:416.0</t>
  </si>
  <si>
    <t>sp|Q8NDA2|HMCN2_HUMAN</t>
  </si>
  <si>
    <t>Hemicentin-2 OS=Homo sapiens OX=9606 GN=HMCN2 PE=2 SV=3</t>
  </si>
  <si>
    <t>ident:4318/5070 pos:4611/5070 query:5070 hit:5059 align:5079 bit:8756.3</t>
  </si>
  <si>
    <t>XP_027472722.1</t>
  </si>
  <si>
    <t>sp|Q13813|SPTN1_HUMAN</t>
  </si>
  <si>
    <t>Spectrin alpha chain, non-erythrocytic 1 OS=Homo sapiens OX=9606 GN=SPTAN1 PE=1 SV=3</t>
  </si>
  <si>
    <t>ident:2429/2498 pos:2456/2498 query:2498 hit:2472 align:2498 bit:4944.4</t>
  </si>
  <si>
    <t>XP_027472761.1</t>
  </si>
  <si>
    <t>sp|Q96L08|SUSD3_HUMAN</t>
  </si>
  <si>
    <t>Sushi domain-containing protein 3 OS=Homo sapiens OX=9606 GN=SUSD3 PE=2 SV=1</t>
  </si>
  <si>
    <t>ident:148/288 pos:171/288 query:288 hit:255 align:235 bit:274.6</t>
  </si>
  <si>
    <t>sp|O00757|F16P2_HUMAN</t>
  </si>
  <si>
    <t>Fructose-1,6-bisphosphatase isozyme 2 OS=Homo sapiens OX=9606 GN=FBP2 PE=1 SV=2</t>
  </si>
  <si>
    <t>ident:321/335 pos:333/335 query:335 hit:339 align:335 bit:642.5</t>
  </si>
  <si>
    <t>ident:98/129 pos:107/129 query:129 hit:122 align:130 bit:192.6</t>
  </si>
  <si>
    <t>XP_027472834.1</t>
  </si>
  <si>
    <t>sp|O75309|CAD16_HUMAN</t>
  </si>
  <si>
    <t>Cadherin-16 OS=Homo sapiens OX=9606 GN=CDH16 PE=2 SV=1</t>
  </si>
  <si>
    <t>ident:665/878 pos:728/878 query:878 hit:829 align:829 bit:1349.0</t>
  </si>
  <si>
    <t>sp|P55291|CAD15_HUMAN</t>
  </si>
  <si>
    <t>Cadherin-15 OS=Homo sapiens OX=9606 GN=CDH15 PE=1 SV=1</t>
  </si>
  <si>
    <t>ident:658/785 pos:698/785 query:785 hit:814 align:786 bit:1267.3</t>
  </si>
  <si>
    <t>sp|O75131|CPNE3_HUMAN</t>
  </si>
  <si>
    <t>Copine-3 OS=Homo sapiens OX=9606 GN=CPNE3 PE=1 SV=1</t>
  </si>
  <si>
    <t>ident:507/533 pos:524/533 query:533 hit:537 align:533 bit:1023.9</t>
  </si>
  <si>
    <t>sp|P26373|RL13_HUMAN</t>
  </si>
  <si>
    <t>60S ribosomal protein L13 OS=Homo sapiens OX=9606 GN=RPL13 PE=1 SV=4</t>
  </si>
  <si>
    <t>ident:204/211 pos:211/211 query:211 hit:211 align:211 bit:416.8</t>
  </si>
  <si>
    <t>sp|Q7Z406|MYH14_HUMAN</t>
  </si>
  <si>
    <t>Myosin-14 OS=Homo sapiens OX=9606 GN=MYH14 PE=1 SV=2</t>
  </si>
  <si>
    <t>ident:1837/2026 pos:1900/2026 query:2026 hit:1995 align:1978 bit:3308.1</t>
  </si>
  <si>
    <t>XP_027473077.1</t>
  </si>
  <si>
    <t>sp|Q14324|MYPC2_HUMAN</t>
  </si>
  <si>
    <t>Myosin-binding protein C, fast-type OS=Homo sapiens OX=9606 GN=MYBPC2 PE=1 SV=2</t>
  </si>
  <si>
    <t>ident:1029/1140 pos:1083/1140 query:1140 hit:1141 align:1141 bit:2049.6</t>
  </si>
  <si>
    <t>XP_027473129.1</t>
  </si>
  <si>
    <t>sp|A6ND91|ASPD_HUMAN</t>
  </si>
  <si>
    <t>Putative L-aspartate dehydrogenase OS=Homo sapiens OX=9606 GN=ASPDH PE=1 SV=2</t>
  </si>
  <si>
    <t>ident:237/308 pos:245/308 query:308 hit:283 align:274 bit:448.0</t>
  </si>
  <si>
    <t>sp|P06870|KLK1_HUMAN</t>
  </si>
  <si>
    <t>Kallikrein-1 OS=Homo sapiens OX=9606 GN=KLK1 PE=1 SV=2</t>
  </si>
  <si>
    <t>ident:196/261 pos:234/261 query:261 hit:262 align:262 bit:430.3</t>
  </si>
  <si>
    <t>sp|P36871|PGM1_HUMAN</t>
  </si>
  <si>
    <t>Phosphoglucomutase-1 OS=Homo sapiens OX=9606 GN=PGM1 PE=1 SV=3</t>
  </si>
  <si>
    <t>ident:539/562 pos:549/562 query:562 hit:562 align:562 bit:1117.5</t>
  </si>
  <si>
    <t>kallikrein-6 [Zalophus californianus]</t>
  </si>
  <si>
    <t>sp|Q92876|KLK6_HUMAN</t>
  </si>
  <si>
    <t>Kallikrein-6 OS=Homo sapiens OX=9606 GN=KLK6 PE=1 SV=1</t>
  </si>
  <si>
    <t>ident:206/246 pos:224/246 query:246 hit:244 align:244 bit:439.1</t>
  </si>
  <si>
    <t>creatine kinase M-type [Zalophus californianus]</t>
  </si>
  <si>
    <t>sp|P06732|KCRM_HUMAN</t>
  </si>
  <si>
    <t>Creatine kinase M-type OS=Homo sapiens OX=9606 GN=CKM PE=1 SV=2</t>
  </si>
  <si>
    <t>ident:372/381 pos:378/381 query:381 hit:381 align:381 bit:776.9</t>
  </si>
  <si>
    <t>sp|P55017|S12A3_HUMAN</t>
  </si>
  <si>
    <t>Solute carrier family 12 member 3 OS=Homo sapiens OX=9606 GN=SLC12A3 PE=1 SV=3</t>
  </si>
  <si>
    <t>ident:909/1001 pos:941/1001 query:1001 hit:1021 align:1034 bit:1827.8</t>
  </si>
  <si>
    <t>sp|P53990|IST1_HUMAN</t>
  </si>
  <si>
    <t>IST1 homolog OS=Homo sapiens OX=9606 GN=IST1 PE=1 SV=1</t>
  </si>
  <si>
    <t>ident:351/366 pos:355/366 query:366 hit:364 align:366 bit:641.7</t>
  </si>
  <si>
    <t>sp|Q13509|TBB3_HUMAN</t>
  </si>
  <si>
    <t>Tubulin beta-3 chain OS=Homo sapiens OX=9606 GN=TUBB3 PE=1 SV=2</t>
  </si>
  <si>
    <t>ident:450/851 pos:450/851 query:851 hit:450 align:450 bit:949.5</t>
  </si>
  <si>
    <t>sp|P13688|CEAM1_HUMAN</t>
  </si>
  <si>
    <t>Carcinoembryonic antigen-related cell adhesion molecule 1 OS=Homo sapiens OX=9606 GN=CEACAM1 PE=1 SV=2</t>
  </si>
  <si>
    <t>ident:337/522 pos:398/522 query:522 hit:526 align:521 bit:662.9</t>
  </si>
  <si>
    <t>sp|O43707|ACTN4_HUMAN</t>
  </si>
  <si>
    <t>Alpha-actinin-4 OS=Homo sapiens OX=9606 GN=ACTN4 PE=1 SV=2</t>
  </si>
  <si>
    <t>ident:901/911 pos:907/911 query:911 hit:911 align:911 bit:1883.2</t>
  </si>
  <si>
    <t>adhesion G-protein coupled receptor G1 [Zalophus californianus]</t>
  </si>
  <si>
    <t>sp|Q9Y653|AGRG1_HUMAN</t>
  </si>
  <si>
    <t>Adhesion G-protein coupled receptor G1 OS=Homo sapiens OX=9606 GN=ADGRG1 PE=1 SV=2</t>
  </si>
  <si>
    <t>ident:571/687 pos:610/687 query:687 hit:693 align:674 bit:1134.4</t>
  </si>
  <si>
    <t>XP_027473341.1</t>
  </si>
  <si>
    <t>sp|O60234|GMFG_HUMAN</t>
  </si>
  <si>
    <t>Glia maturation factor gamma OS=Homo sapiens OX=9606 GN=GMFG PE=1 SV=1</t>
  </si>
  <si>
    <t>ident:138/174 pos:140/174 query:174 hit:142 align:142 bit:286.2</t>
  </si>
  <si>
    <t>XP_027473344.1</t>
  </si>
  <si>
    <t>sp|P21817|RYR1_HUMAN</t>
  </si>
  <si>
    <t>Ryanodine receptor 1 OS=Homo sapiens OX=9606 GN=RYR1 PE=1 SV=3</t>
  </si>
  <si>
    <t>ident:4865/5048 pos:4927/5048 query:5048 hit:5038 align:5051 bit:10067.9</t>
  </si>
  <si>
    <t>phospholipase D3 [Zalophus californianus]</t>
  </si>
  <si>
    <t>sp|Q8IV08|PLD3_HUMAN</t>
  </si>
  <si>
    <t>Phospholipase D3 OS=Homo sapiens OX=9606 GN=PLD3 PE=1 SV=1</t>
  </si>
  <si>
    <t>ident:472/490 pos:483/490 query:490 hit:490 align:490 bit:990.7</t>
  </si>
  <si>
    <t>sp|Q92896|GSLG1_HUMAN</t>
  </si>
  <si>
    <t>Golgi apparatus protein 1 OS=Homo sapiens OX=9606 GN=GLG1 PE=1 SV=2</t>
  </si>
  <si>
    <t>ident:1150/1180 pos:1161/1180 query:1180 hit:1179 align:1182 bit:2368.6</t>
  </si>
  <si>
    <t>XP_027473432.1</t>
  </si>
  <si>
    <t>sp|O60500|NPHN_HUMAN</t>
  </si>
  <si>
    <t>Nephrin OS=Homo sapiens OX=9606 GN=NPHS1 PE=1 SV=1</t>
  </si>
  <si>
    <t>ident:1080/1244 pos:1147/1244 query:1244 hit:1241 align:1244 bit:2174.4</t>
  </si>
  <si>
    <t>sp|Q6UWP8|SBSN_HUMAN</t>
  </si>
  <si>
    <t>Suprabasin OS=Homo sapiens OX=9606 GN=SBSN PE=1 SV=2</t>
  </si>
  <si>
    <t>ident:423/575 pos:475/575 query:575 hit:590 align:594 bit:744.2</t>
  </si>
  <si>
    <t>XP_027473608.1</t>
  </si>
  <si>
    <t>sp|P09603|CSF1_HUMAN</t>
  </si>
  <si>
    <t>Macrophage colony-stimulating factor 1 OS=Homo sapiens OX=9606 GN=CSF1 PE=1 SV=2</t>
  </si>
  <si>
    <t>ident:424/553 pos:449/553 query:553 hit:554 align:558 bit:751.1</t>
  </si>
  <si>
    <t>sp|Q6E0U4|DMKN_HUMAN</t>
  </si>
  <si>
    <t>Dermokine OS=Homo sapiens OX=9606 GN=DMKN PE=1 SV=3</t>
  </si>
  <si>
    <t>ident:118/500 pos:129/500 query:500 hit:476 align:199 bit:230.3</t>
  </si>
  <si>
    <t>XP_027473667.1</t>
  </si>
  <si>
    <t>sp|P05981|HEPS_HUMAN</t>
  </si>
  <si>
    <t>Serine protease hepsin OS=Homo sapiens OX=9606 GN=HPN PE=1 SV=1</t>
  </si>
  <si>
    <t>ident:397/432 pos:403/432 query:432 hit:417 align:432 bit:780.0</t>
  </si>
  <si>
    <t>XP_027473724.1</t>
  </si>
  <si>
    <t>sp|O00322|UPK1A_HUMAN</t>
  </si>
  <si>
    <t>Uroplakin-1a OS=Homo sapiens OX=9606 GN=UPK1A PE=1 SV=1</t>
  </si>
  <si>
    <t>ident:199/278 pos:204/278 query:278 hit:258 align:208 bit:402.5</t>
  </si>
  <si>
    <t>XP_027473731.1</t>
  </si>
  <si>
    <t>sp|P04632|CPNS1_HUMAN</t>
  </si>
  <si>
    <t>Calpain small subunit 1 OS=Homo sapiens OX=9606 GN=CAPNS1 PE=1 SV=1</t>
  </si>
  <si>
    <t>ident:251/265 pos:254/265 query:265 hit:268 align:268 bit:448.7</t>
  </si>
  <si>
    <t>sp|Q99426|TBCB_HUMAN</t>
  </si>
  <si>
    <t>Tubulin-folding cofactor B OS=Homo sapiens OX=9606 GN=TBCB PE=1 SV=2</t>
  </si>
  <si>
    <t>ident:225/244 pos:235/244 query:244 hit:244 align:244 bit:441.4</t>
  </si>
  <si>
    <t>sp|O14558|HSPB6_HUMAN</t>
  </si>
  <si>
    <t>Heat shock protein beta-6 OS=Homo sapiens OX=9606 GN=HSPB6 PE=1 SV=2</t>
  </si>
  <si>
    <t>ident:132/158 pos:137/158 query:158 hit:160 align:144 bit:262.7</t>
  </si>
  <si>
    <t>cytochrome c oxidase subunit 6B1 [Zalophus californianus]</t>
  </si>
  <si>
    <t>sp|P14854|CX6B1_HUMAN</t>
  </si>
  <si>
    <t>Cytochrome c oxidase subunit 6B1 OS=Homo sapiens OX=9606 GN=COX6B1 PE=1 SV=2</t>
  </si>
  <si>
    <t>ident:74/86 pos:84/86 query:86 hit:86 align:86 bit:168.7</t>
  </si>
  <si>
    <t>sp|P81172|HEPC_HUMAN</t>
  </si>
  <si>
    <t>Hepcidin OS=Homo sapiens OX=9606 GN=HAMP PE=1 SV=2</t>
  </si>
  <si>
    <t>ident:56/83 pos:63/83 query:83 hit:84 align:84 bit:100.9</t>
  </si>
  <si>
    <t>sp|Q9UQ10|DHDH_HUMAN</t>
  </si>
  <si>
    <t>Trans-1,2-dihydrobenzene-1,2-diol dehydrogenase OS=Homo sapiens OX=9606 GN=DHDH PE=1 SV=1</t>
  </si>
  <si>
    <t>ident:292/335 pos:311/335 query:335 hit:334 align:335 bit:604.7</t>
  </si>
  <si>
    <t>XP_027473793.1</t>
  </si>
  <si>
    <t>sp|Q07812|BAX_HUMAN</t>
  </si>
  <si>
    <t>Apoptosis regulator BAX OS=Homo sapiens OX=9606 GN=BAX PE=1 SV=1</t>
  </si>
  <si>
    <t>ident:178/205 pos:179/205 query:205 hit:192 align:181 bit:362.1</t>
  </si>
  <si>
    <t>sp|P02792|FRIL_HUMAN</t>
  </si>
  <si>
    <t>Ferritin light chain OS=Homo sapiens OX=9606 GN=FTL PE=1 SV=2</t>
  </si>
  <si>
    <t>ident:154/175 pos:165/175 query:175 hit:175 align:175 bit:322.8</t>
  </si>
  <si>
    <t>XP_027473858.1</t>
  </si>
  <si>
    <t>sp|Q15369|ELOC_HUMAN</t>
  </si>
  <si>
    <t>Elongin-C OS=Homo sapiens OX=9606 GN=ELOC PE=1 SV=1</t>
  </si>
  <si>
    <t>ident:96/96 pos:96/96 query:96 hit:112 align:96 bit:200.3</t>
  </si>
  <si>
    <t>sp|P07741|APT_HUMAN</t>
  </si>
  <si>
    <t>Adenine phosphoribosyltransferase OS=Homo sapiens OX=9606 GN=APRT PE=1 SV=2</t>
  </si>
  <si>
    <t>ident:157/180 pos:168/180 query:180 hit:180 align:180 bit:318.5</t>
  </si>
  <si>
    <t>XP_027473873.1</t>
  </si>
  <si>
    <t>sp|P12694|ODBA_HUMAN</t>
  </si>
  <si>
    <t>2-oxoisovalerate dehydrogenase subunit alpha, mitochondrial OS=Homo sapiens OX=9606 GN=BCKDHA PE=1 SV=2</t>
  </si>
  <si>
    <t>ident:414/448 pos:430/448 query:448 hit:445 align:446 bit:846.7</t>
  </si>
  <si>
    <t>sp|Q9NZN4|EHD2_HUMAN</t>
  </si>
  <si>
    <t>EH domain-containing protein 2 OS=Homo sapiens OX=9606 GN=EHD2 PE=1 SV=2</t>
  </si>
  <si>
    <t>ident:539/543 pos:542/543 query:543 hit:543 align:543 bit:1108.6</t>
  </si>
  <si>
    <t>sp|P06744|G6PI_HUMAN</t>
  </si>
  <si>
    <t>Glucose-6-phosphate isomerase OS=Homo sapiens OX=9606 GN=GPI PE=1 SV=4</t>
  </si>
  <si>
    <t>ident:518/558 pos:544/558 query:558 hit:558 align:558 bit:1098.2</t>
  </si>
  <si>
    <t>nuclear transport factor 2 [Zalophus californianus]</t>
  </si>
  <si>
    <t>sp|P61970|NTF2_HUMAN</t>
  </si>
  <si>
    <t>Nuclear transport factor 2 OS=Homo sapiens OX=9606 GN=NUTF2 PE=1 SV=1</t>
  </si>
  <si>
    <t>ident:127/127 pos:127/127 query:127 hit:127 align:127 bit:267.3</t>
  </si>
  <si>
    <t>phospholipase A2 inhibitor and Ly6/PLAUR domain-containing protein [Zalophus californianus]</t>
  </si>
  <si>
    <t>sp|A6NC86|PINLY_HUMAN</t>
  </si>
  <si>
    <t>phospholipase A2 inhibitor and Ly6/PLAUR domain-containing protein OS=Homo sapiens OX=9606 GN=PINLYP PE=2 SV=3</t>
  </si>
  <si>
    <t>ident:111/212 pos:146/212 query:212 hit:204 align:205 bit:219.6</t>
  </si>
  <si>
    <t>XP_027473987.1</t>
  </si>
  <si>
    <t>sp|P33151|CADH5_HUMAN</t>
  </si>
  <si>
    <t>Cadherin-5 OS=Homo sapiens OX=9606 GN=CDH5 PE=1 SV=5</t>
  </si>
  <si>
    <t>ident:650/783 pos:717/783 query:783 hit:784 align:786 bit:1306.6</t>
  </si>
  <si>
    <t>XP_027474058.1</t>
  </si>
  <si>
    <t>sp|A1L4H1|SRCRL_HUMAN</t>
  </si>
  <si>
    <t>Soluble scavenger receptor cysteine-rich domain-containing protein SSC5D OS=Homo sapiens OX=9606 GN=SSC5D PE=1 SV=3</t>
  </si>
  <si>
    <t>ident:933/1527 pos:994/1527 query:1527 hit:1573 align:1149 bit:1632.5</t>
  </si>
  <si>
    <t>XP_027474137.1</t>
  </si>
  <si>
    <t>sp|P30153|2AAA_HUMAN</t>
  </si>
  <si>
    <t>Serine/threonine-protein phosphatase 2A 65 kDa regulatory subunit A alpha isoform OS=Homo sapiens OX=9606 GN=PPP2R1A PE=1 SV=4</t>
  </si>
  <si>
    <t>ident:583/590 pos:584/590 query:590 hit:589 align:584 bit:1194.5</t>
  </si>
  <si>
    <t>sp|Q12882|DPYD_HUMAN</t>
  </si>
  <si>
    <t>Dihydropyrimidine dehydrogenase [NADP(+)] OS=Homo sapiens OX=9606 GN=DPYD PE=1 SV=2</t>
  </si>
  <si>
    <t>ident:947/1026 pos:984/1026 query:1026 hit:1025 align:1022 bit:1971.0</t>
  </si>
  <si>
    <t>XP_027474188.1</t>
  </si>
  <si>
    <t>sp|P26368|U2AF2_HUMAN</t>
  </si>
  <si>
    <t>Splicing factor U2AF 65 kDa subunit OS=Homo sapiens OX=9606 GN=U2AF2 PE=1 SV=4</t>
  </si>
  <si>
    <t>ident:475/475 pos:475/475 query:475 hit:475 align:475 bit:988.0</t>
  </si>
  <si>
    <t>XP_027474275.1</t>
  </si>
  <si>
    <t>sp|Q8IYS5|OSCAR_HUMAN</t>
  </si>
  <si>
    <t>Osteoclast-associated immunoglobulin-like receptor OS=Homo sapiens OX=9606 GN=OSCAR PE=1 SV=3</t>
  </si>
  <si>
    <t>ident:177/270 pos:187/270 query:270 hit:282 align:235 bit:321.2</t>
  </si>
  <si>
    <t>sp|P13805|TNNT1_HUMAN</t>
  </si>
  <si>
    <t>Troponin T, slow skeletal muscle OS=Homo sapiens OX=9606 GN=TNNT1 PE=1 SV=4</t>
  </si>
  <si>
    <t>ident:254/262 pos:259/262 query:262 hit:278 align:279 bit:477.2</t>
  </si>
  <si>
    <t>ribosome maturation protein SBDS [Zalophus californianus]</t>
  </si>
  <si>
    <t>sp|Q9Y3A5|SBDS_HUMAN</t>
  </si>
  <si>
    <t>Ribosome maturation protein SBDS OS=Homo sapiens OX=9606 GN=SBDS PE=1 SV=4</t>
  </si>
  <si>
    <t>ident:247/250 pos:250/250 query:250 hit:250 align:250 bit:504.2</t>
  </si>
  <si>
    <t>sp|P46781|RS9_HUMAN</t>
  </si>
  <si>
    <t>40S ribosomal protein S9 OS=Homo sapiens OX=9606 GN=RPS9 PE=1 SV=3</t>
  </si>
  <si>
    <t>ident:194/194 pos:194/194 query:194 hit:194 align:194 bit:387.9</t>
  </si>
  <si>
    <t>sp|P46779|RL28_HUMAN</t>
  </si>
  <si>
    <t>60S ribosomal protein L28 OS=Homo sapiens OX=9606 GN=RPL28 PE=1 SV=3</t>
  </si>
  <si>
    <t>ident:135/137 pos:136/137 query:137 hit:137 align:137 bit:275.0</t>
  </si>
  <si>
    <t>Na(+)/H(+) exchange regulatory cofactor NHE-RF3 [Zalophus californianus]</t>
  </si>
  <si>
    <t>sp|Q5T2W1|NHRF3_HUMAN</t>
  </si>
  <si>
    <t>Na(+)/H(+) exchange regulatory cofactor NHE-RF3 OS=Homo sapiens OX=9606 GN=PDZK1 PE=1 SV=2</t>
  </si>
  <si>
    <t>ident:456/519 pos:482/519 query:519 hit:519 align:520 bit:905.2</t>
  </si>
  <si>
    <t>sp|B6A8C7|TARM1_HUMAN</t>
  </si>
  <si>
    <t>T-cell-interacting, activating receptor on myeloid cells protein 1 OS=Homo sapiens OX=9606 GN=TARM1 PE=1 SV=1</t>
  </si>
  <si>
    <t>ident:141/410 pos:170/410 query:410 hit:271 align:256 bit:272.7</t>
  </si>
  <si>
    <t>sp|P22087|FBRL_HUMAN</t>
  </si>
  <si>
    <t>rRNA 2'-O-methyltransferase fibrillarin OS=Homo sapiens OX=9606 GN=FBL PE=1 SV=2</t>
  </si>
  <si>
    <t>ident:239/313 pos:240/313 query:313 hit:321 align:241 bit:495.0</t>
  </si>
  <si>
    <t>XP_027474404.1</t>
  </si>
  <si>
    <t>sp|P00739|HPTR_HUMAN</t>
  </si>
  <si>
    <t>Haptoglobin-related protein OS=Homo sapiens OX=9606 GN=HPR PE=2 SV=2</t>
  </si>
  <si>
    <t>ident:268/394 pos:302/394 query:394 hit:348 align:345 bit:559.3</t>
  </si>
  <si>
    <t>sp|P13073|COX41_HUMAN</t>
  </si>
  <si>
    <t>Cytochrome c oxidase subunit 4 isoform 1, mitochondrial OS=Homo sapiens OX=9606 GN=COX4I1 PE=1 SV=1</t>
  </si>
  <si>
    <t>ident:135/169 pos:159/169 query:169 hit:169 align:169 bit:298.1</t>
  </si>
  <si>
    <t>XP_027474444.1</t>
  </si>
  <si>
    <t>sp|Q96QK1|VPS35_HUMAN</t>
  </si>
  <si>
    <t>Vacuolar protein sorting-associated protein 35 OS=Homo sapiens OX=9606 GN=VPS35 PE=1 SV=2</t>
  </si>
  <si>
    <t>ident:795/796 pos:796/796 query:796 hit:796 align:796 bit:1647.1</t>
  </si>
  <si>
    <t>XP_027474509.1</t>
  </si>
  <si>
    <t>sp|P49588|SYAC_HUMAN</t>
  </si>
  <si>
    <t>Alanine--tRNA ligase, cytoplasmic OS=Homo sapiens OX=9606 GN=AARS PE=1 SV=2</t>
  </si>
  <si>
    <t>ident:929/994 pos:946/994 query:994 hit:968 align:968 bit:1929.8</t>
  </si>
  <si>
    <t>XP_027474512.1</t>
  </si>
  <si>
    <t>sp|P08621|RU17_HUMAN</t>
  </si>
  <si>
    <t>U1 small nuclear ribonucleoprotein 70 kDa OS=Homo sapiens OX=9606 GN=SNRNP70 PE=1 SV=2</t>
  </si>
  <si>
    <t>ident:431/438 pos:433/438 query:438 hit:437 align:440 bit:815.1</t>
  </si>
  <si>
    <t>small nuclear ribonucleoprotein Sm D2 isoform X2 [Zalophus californianus]</t>
  </si>
  <si>
    <t>sp|P62316|SMD2_HUMAN</t>
  </si>
  <si>
    <t>Small nuclear ribonucleoprotein Sm D2 OS=Homo sapiens OX=9606 GN=SNRPD2 PE=1 SV=1</t>
  </si>
  <si>
    <t>ident:118/118 pos:118/118 query:118 hit:118 align:118 bit:239.2</t>
  </si>
  <si>
    <t>sp|P12830|CADH1_HUMAN</t>
  </si>
  <si>
    <t>Cadherin-1 OS=Homo sapiens OX=9606 GN=CDH1 PE=1 SV=3</t>
  </si>
  <si>
    <t>ident:711/882 pos:771/882 query:882 hit:882 align:862 bit:1361.3</t>
  </si>
  <si>
    <t>sp|Q13951|PEBB_HUMAN</t>
  </si>
  <si>
    <t>Core-binding factor subunit beta OS=Homo sapiens OX=9606 GN=CBFB PE=1 SV=2</t>
  </si>
  <si>
    <t>ident:167/187 pos:167/187 query:187 hit:182 align:170 bit:342.4</t>
  </si>
  <si>
    <t>sp|Q0VAF6|SYCN_HUMAN</t>
  </si>
  <si>
    <t>Syncollin OS=Homo sapiens OX=9606 GN=SYCN PE=2 SV=1</t>
  </si>
  <si>
    <t>ident:105/134 pos:119/134 query:134 hit:134 align:133 bit:206.1</t>
  </si>
  <si>
    <t>XP_027474643.1</t>
  </si>
  <si>
    <t>sp|Q8NFZ8|CADM4_HUMAN</t>
  </si>
  <si>
    <t>Cell adhesion molecule 4 OS=Homo sapiens OX=9606 GN=CADM4 PE=1 SV=1</t>
  </si>
  <si>
    <t>ident:385/388 pos:386/388 query:388 hit:388 align:388 bit:793.1</t>
  </si>
  <si>
    <t>sp|P22223|CADH3_HUMAN</t>
  </si>
  <si>
    <t>Cadherin-3 OS=Homo sapiens OX=9606 GN=CDH3 PE=1 SV=2</t>
  </si>
  <si>
    <t>ident:728/828 pos:763/828 query:828 hit:829 align:835 bit:1375.5</t>
  </si>
  <si>
    <t>sp|P50895|BCAM_HUMAN</t>
  </si>
  <si>
    <t>Basal cell adhesion molecule OS=Homo sapiens OX=9606 GN=BCAM PE=1 SV=2</t>
  </si>
  <si>
    <t>ident:476/627 pos:533/627 query:627 hit:628 align:628 bit:839.7</t>
  </si>
  <si>
    <t>sp|P17538|CTRB1_HUMAN</t>
  </si>
  <si>
    <t>Chymotrypsinogen B OS=Homo sapiens OX=9606 GN=CTRB1 PE=2 SV=2</t>
  </si>
  <si>
    <t>ident:222/263 pos:242/263 query:263 hit:263 align:263 bit:466.1</t>
  </si>
  <si>
    <t>sp|O14737|PDCD5_HUMAN</t>
  </si>
  <si>
    <t>Programmed cell death protein 5 OS=Homo sapiens OX=9606 GN=PDCD5 PE=1 SV=3</t>
  </si>
  <si>
    <t>ident:119/125 pos:123/125 query:125 hit:125 align:125 bit:240.3</t>
  </si>
  <si>
    <t>sp|P12955|PEPD_HUMAN</t>
  </si>
  <si>
    <t>Xaa-Pro dipeptidase OS=Homo sapiens OX=9606 GN=PEPD PE=1 SV=3</t>
  </si>
  <si>
    <t>ident:454/493 pos:477/493 query:493 hit:493 align:493 bit:963.8</t>
  </si>
  <si>
    <t>sp|P10301|RRAS_HUMAN</t>
  </si>
  <si>
    <t>Ras-related protein R-Ras OS=Homo sapiens OX=9606 GN=RRAS PE=1 SV=1</t>
  </si>
  <si>
    <t>ident:213/218 pos:217/218 query:218 hit:218 align:218 bit:439.1</t>
  </si>
  <si>
    <t>sp|P47985|UCRI_HUMAN</t>
  </si>
  <si>
    <t>Cytochrome b-c1 complex subunit Rieske, mitochondrial OS=Homo sapiens OX=9606 GN=UQCRFS1 PE=1 SV=2</t>
  </si>
  <si>
    <t>ident:244/274 pos:260/274 query:274 hit:274 align:274 bit:513.5</t>
  </si>
  <si>
    <t>sp|P31947|1433S_HUMAN</t>
  </si>
  <si>
    <t>14-3-3 protein sigma OS=Homo sapiens OX=9606 GN=SFN PE=1 SV=1</t>
  </si>
  <si>
    <t>ident:241/248 pos:244/248 query:248 hit:248 align:248 bit:496.1</t>
  </si>
  <si>
    <t>XP_027474816.1</t>
  </si>
  <si>
    <t>sp|P02654|APOC1_HUMAN</t>
  </si>
  <si>
    <t>Apolipoprotein C-I OS=Homo sapiens OX=9606 GN=APOC1 PE=1 SV=1</t>
  </si>
  <si>
    <t>ident:62/162 pos:69/162 query:162 hit:83 align:84 bit:93.2</t>
  </si>
  <si>
    <t>XP_027474854.1</t>
  </si>
  <si>
    <t>sp|P14866|HNRPL_HUMAN</t>
  </si>
  <si>
    <t>Heterogeneous nuclear ribonucleoprotein L OS=Homo sapiens OX=9606 GN=HNRNPL PE=1 SV=2</t>
  </si>
  <si>
    <t>ident:587/624 pos:587/624 query:624 hit:589 align:626 bit:1184.9</t>
  </si>
  <si>
    <t>sp|Q8N6Q3|CD177_HUMAN</t>
  </si>
  <si>
    <t>CD177 antigen OS=Homo sapiens OX=9606 GN=CD177 PE=1 SV=2</t>
  </si>
  <si>
    <t>ident:227/468 pos:288/468 query:468 hit:437 align:420 bit:429.1</t>
  </si>
  <si>
    <t>dipeptidase 1 [Zalophus californianus]</t>
  </si>
  <si>
    <t>sp|P16444|DPEP1_HUMAN</t>
  </si>
  <si>
    <t>Dipeptidase 1 OS=Homo sapiens OX=9606 GN=DPEP1 PE=1 SV=3</t>
  </si>
  <si>
    <t>ident:330/410 pos:360/410 query:410 hit:411 align:411 bit:688.3</t>
  </si>
  <si>
    <t>reticulocalbin-3 [Zalophus californianus]</t>
  </si>
  <si>
    <t>sp|Q96D15|RCN3_HUMAN</t>
  </si>
  <si>
    <t>Reticulocalbin-3 OS=Homo sapiens OX=9606 GN=RCN3 PE=1 SV=1</t>
  </si>
  <si>
    <t>ident:316/328 pos:325/328 query:328 hit:328 align:328 bit:651.7</t>
  </si>
  <si>
    <t>sp|P08253|MMP2_HUMAN</t>
  </si>
  <si>
    <t>72 kDa type IV collagenase OS=Homo sapiens OX=9606 GN=MMP2 PE=1 SV=2</t>
  </si>
  <si>
    <t>ident:637/661 pos:647/661 query:661 hit:660 align:659 bit:1323.5</t>
  </si>
  <si>
    <t>XP_027475014.1</t>
  </si>
  <si>
    <t>sp|P55290|CAD13_HUMAN</t>
  </si>
  <si>
    <t>Cadherin-13 OS=Homo sapiens OX=9606 GN=CDH13 PE=1 SV=1</t>
  </si>
  <si>
    <t>ident:686/713 pos:702/713 query:713 hit:713 align:713 bit:1416.4</t>
  </si>
  <si>
    <t>sp|P04180|LCAT_HUMAN</t>
  </si>
  <si>
    <t>Phosphatidylcholine-sterol acyltransferase OS=Homo sapiens OX=9606 GN=LCAT PE=1 SV=1</t>
  </si>
  <si>
    <t>ident:400/440 pos:410/440 query:440 hit:440 align:433 bit:803.5</t>
  </si>
  <si>
    <t>sp|P62249|RS16_HUMAN</t>
  </si>
  <si>
    <t>40S ribosomal protein S16 OS=Homo sapiens OX=9606 GN=RPS16 PE=1 SV=2</t>
  </si>
  <si>
    <t>ident:146/146 pos:146/146 query:146 hit:146 align:146 bit:295.8</t>
  </si>
  <si>
    <t>XP_027475052.1</t>
  </si>
  <si>
    <t>transcription elongation factor SPT5 isoform X1 [Zalophus californianus]</t>
  </si>
  <si>
    <t>sp|O00267|SPT5H_HUMAN</t>
  </si>
  <si>
    <t>Transcription elongation factor SPT5 OS=Homo sapiens OX=9606 GN=SUPT5H PE=1 SV=1</t>
  </si>
  <si>
    <t>ident:1084/1087 pos:1086/1087 query:1087 hit:1087 align:1087 bit:2236.1</t>
  </si>
  <si>
    <t>sp|P02655|APOC2_HUMAN</t>
  </si>
  <si>
    <t>Apolipoprotein C-II OS=Homo sapiens OX=9606 GN=APOC2 PE=1 SV=1</t>
  </si>
  <si>
    <t>ident:62/101 pos:79/101 query:101 hit:101 align:101 bit:116.3</t>
  </si>
  <si>
    <t>sp|Q02818|NUCB1_HUMAN</t>
  </si>
  <si>
    <t>Nucleobindin-1 OS=Homo sapiens OX=9606 GN=NUCB1 PE=1 SV=4</t>
  </si>
  <si>
    <t>ident:417/458 pos:431/458 query:458 hit:461 align:455 bit:733.4</t>
  </si>
  <si>
    <t>sp|O15382|BCAT2_HUMAN</t>
  </si>
  <si>
    <t>Branched-chain-amino-acid aminotransferase, mitochondrial OS=Homo sapiens OX=9606 GN=BCAT2 PE=1 SV=2</t>
  </si>
  <si>
    <t>ident:338/393 pos:364/393 query:393 hit:392 align:393 bit:704.9</t>
  </si>
  <si>
    <t>sp|Q9HCN6|GPVI_HUMAN</t>
  </si>
  <si>
    <t>Platelet glycoprotein VI OS=Homo sapiens OX=9606 GN=GP6 PE=1 SV=4</t>
  </si>
  <si>
    <t>ident:234/338 pos:268/338 query:338 hit:339 align:338 bit:429.5</t>
  </si>
  <si>
    <t>sp|P35268|RL22_HUMAN</t>
  </si>
  <si>
    <t>60S ribosomal protein L22 OS=Homo sapiens OX=9606 GN=RPL22 PE=1 SV=2</t>
  </si>
  <si>
    <t>ident:127/128 pos:127/128 query:128 hit:128 align:128 bit:260.0</t>
  </si>
  <si>
    <t>XP_027475192.1</t>
  </si>
  <si>
    <t>sp|Q9NWV4|CZIB_HUMAN</t>
  </si>
  <si>
    <t>CXXC motif containing zinc binding protein OS=Homo sapiens OX=9606 GN=CZIB PE=1 SV=1</t>
  </si>
  <si>
    <t>ident:153/160 pos:156/160 query:160 hit:160 align:160 bit:323.2</t>
  </si>
  <si>
    <t>cadherin-11 [Zalophus californianus]</t>
  </si>
  <si>
    <t>sp|P55287|CAD11_HUMAN</t>
  </si>
  <si>
    <t>Cadherin-11 OS=Homo sapiens OX=9606 GN=CDH11 PE=1 SV=2</t>
  </si>
  <si>
    <t>ident:782/796 pos:791/796 query:796 hit:796 align:796 bit:1619.4</t>
  </si>
  <si>
    <t>sp|O75594|PGRP1_HUMAN</t>
  </si>
  <si>
    <t>Peptidoglycan recognition protein 1 OS=Homo sapiens OX=9606 GN=PGLYRP1 PE=1 SV=1</t>
  </si>
  <si>
    <t>ident:131/196 pos:147/196 query:196 hit:196 align:194 bit:263.5</t>
  </si>
  <si>
    <t>XP_027475258.1</t>
  </si>
  <si>
    <t>sp|P30530|UFO_HUMAN</t>
  </si>
  <si>
    <t>Tyrosine-protein kinase receptor UFO OS=Homo sapiens OX=9606 GN=AXL PE=1 SV=4</t>
  </si>
  <si>
    <t>ident:812/887 pos:837/887 query:887 hit:894 align:887 bit:1671.0</t>
  </si>
  <si>
    <t>XP_027475292.1</t>
  </si>
  <si>
    <t>sp|P00505|AATM_HUMAN</t>
  </si>
  <si>
    <t>Aspartate aminotransferase, mitochondrial OS=Homo sapiens OX=9606 GN=GOT2 PE=1 SV=3</t>
  </si>
  <si>
    <t>ident:404/430 pos:418/430 query:430 hit:430 align:430 bit:835.9</t>
  </si>
  <si>
    <t>XP_027475298.1</t>
  </si>
  <si>
    <t>sp|P50552|VASP_HUMAN</t>
  </si>
  <si>
    <t>Vasodilator-stimulated phosphoprotein OS=Homo sapiens OX=9606 GN=VASP PE=1 SV=3</t>
  </si>
  <si>
    <t>ident:339/381 pos:349/381 query:381 hit:380 align:383 bit:485.7</t>
  </si>
  <si>
    <t>sp|P30043|BLVRB_HUMAN</t>
  </si>
  <si>
    <t>Flavin reductase (NADPH) OS=Homo sapiens OX=9606 GN=BLVRB PE=1 SV=3</t>
  </si>
  <si>
    <t>ident:194/206 pos:201/206 query:206 hit:206 align:205 bit:397.9</t>
  </si>
  <si>
    <t>XP_027475326.1</t>
  </si>
  <si>
    <t>sp|P55327|TPD52_HUMAN</t>
  </si>
  <si>
    <t>Tumor protein D52 OS=Homo sapiens OX=9606 GN=TPD52 PE=1 SV=2</t>
  </si>
  <si>
    <t>ident:213/271 pos:215/271 query:271 hit:224 align:246 bit:375.2</t>
  </si>
  <si>
    <t>ident:227/264 pos:241/264 query:264 hit:263 align:264 bit:463.0</t>
  </si>
  <si>
    <t>sp|Q14019|COTL1_HUMAN</t>
  </si>
  <si>
    <t>Coactosin-like protein OS=Homo sapiens OX=9606 GN=COTL1 PE=1 SV=3</t>
  </si>
  <si>
    <t>ident:140/142 pos:141/142 query:142 hit:142 align:142 bit:287.0</t>
  </si>
  <si>
    <t>sp|P54920|SNAA_HUMAN</t>
  </si>
  <si>
    <t>Alpha-soluble NSF attachment protein OS=Homo sapiens OX=9606 GN=NAPA PE=1 SV=3</t>
  </si>
  <si>
    <t>ident:286/295 pos:291/295 query:295 hit:295 align:295 bit:593.2</t>
  </si>
  <si>
    <t>XP_027475373.1</t>
  </si>
  <si>
    <t>sp|Q92692|NECT2_HUMAN</t>
  </si>
  <si>
    <t>Nectin-2 OS=Homo sapiens OX=9606 GN=NECTIN2 PE=1 SV=1</t>
  </si>
  <si>
    <t>ident:421/540 pos:457/540 query:540 hit:538 align:541 bit:716.8</t>
  </si>
  <si>
    <t>sp|P15559|NQO1_HUMAN</t>
  </si>
  <si>
    <t>NAD(P)H dehydrogenase [quinone] 1 OS=Homo sapiens OX=9606 GN=NQO1 PE=1 SV=1</t>
  </si>
  <si>
    <t>ident:247/273 pos:254/273 query:273 hit:274 align:273 bit:496.5</t>
  </si>
  <si>
    <t>sp|P23327|SRCH_HUMAN</t>
  </si>
  <si>
    <t>Sarcoplasmic reticulum histidine-rich calcium-binding protein OS=Homo sapiens OX=9606 GN=HRC PE=1 SV=1</t>
  </si>
  <si>
    <t>ident:397/804 pos:461/804 query:804 hit:699 align:653 bit:487.3</t>
  </si>
  <si>
    <t>sp|Q13263|TIF1B_HUMAN</t>
  </si>
  <si>
    <t>Transcription intermediary factor 1-beta OS=Homo sapiens OX=9606 GN=TRIM28 PE=1 SV=5</t>
  </si>
  <si>
    <t>ident:807/834 pos:816/834 query:834 hit:835 align:837 bit:1646.7</t>
  </si>
  <si>
    <t>sp|P04217|A1BG_HUMAN</t>
  </si>
  <si>
    <t>Alpha-1B-glycoprotein OS=Homo sapiens OX=9606 GN=A1BG PE=1 SV=4</t>
  </si>
  <si>
    <t>ident:331/505 pos:379/505 query:505 hit:495 align:507 bit:625.9</t>
  </si>
  <si>
    <t>XP_027475515.1</t>
  </si>
  <si>
    <t>sp|O43633|CHM2A_HUMAN</t>
  </si>
  <si>
    <t>Charged multivesicular body protein 2a OS=Homo sapiens OX=9606 GN=CHMP2A PE=1 SV=1</t>
  </si>
  <si>
    <t>ident:208/252 pos:208/252 query:252 hit:222 align:252 bit:338.6</t>
  </si>
  <si>
    <t>sp|P46782|RS5_HUMAN</t>
  </si>
  <si>
    <t>40S ribosomal protein S5 OS=Homo sapiens OX=9606 GN=RPS5 PE=1 SV=4</t>
  </si>
  <si>
    <t>ident:204/204 pos:204/204 query:204 hit:204 align:204 bit:424.1</t>
  </si>
  <si>
    <t>sp|O43291|SPIT2_HUMAN</t>
  </si>
  <si>
    <t>Kunitz-type protease inhibitor 2 OS=Homo sapiens OX=9606 GN=SPINT2 PE=1 SV=2</t>
  </si>
  <si>
    <t>ident:191/252 pos:208/252 query:252 hit:252 align:252 bit:379.4</t>
  </si>
  <si>
    <t>apolipoprotein E [Zalophus californianus]</t>
  </si>
  <si>
    <t>sp|P02649|APOE_HUMAN</t>
  </si>
  <si>
    <t>Apolipoprotein E OS=Homo sapiens OX=9606 GN=APOE PE=1 SV=1</t>
  </si>
  <si>
    <t>ident:231/329 pos:265/329 query:329 hit:317 align:328 bit:411.8</t>
  </si>
  <si>
    <t>sp|P15151|PVR_HUMAN</t>
  </si>
  <si>
    <t>Poliovirus receptor OS=Homo sapiens OX=9606 GN=PVR PE=1 SV=2</t>
  </si>
  <si>
    <t>ident:230/408 pos:275/408 query:408 hit:417 align:401 bit:423.3</t>
  </si>
  <si>
    <t>sp|Q6ZVX7|FBX50_HUMAN</t>
  </si>
  <si>
    <t>F-box only protein 50 OS=Homo sapiens OX=9606 GN=NCCRP1 PE=1 SV=1</t>
  </si>
  <si>
    <t>ident:223/262 pos:235/262 query:262 hit:275 align:275 bit:394.8</t>
  </si>
  <si>
    <t>sp|Q8N2S1|LTBP4_HUMAN</t>
  </si>
  <si>
    <t>Latent-transforming growth factor beta-binding protein 4 OS=Homo sapiens OX=9606 GN=LTBP4 PE=1 SV=2</t>
  </si>
  <si>
    <t>ident:1389/1548 pos:1412/1548 query:1548 hit:1624 align:1488 bit:2560.4</t>
  </si>
  <si>
    <t>XP_027475689.1</t>
  </si>
  <si>
    <t>sp|P19634|SL9A1_HUMAN</t>
  </si>
  <si>
    <t>Sodium/hydrogen exchanger 1 OS=Homo sapiens OX=9606 GN=SLC9A1 PE=1 SV=2</t>
  </si>
  <si>
    <t>ident:787/816 pos:799/816 query:816 hit:815 align:815 bit:1604.0</t>
  </si>
  <si>
    <t>XP_027475703.1</t>
  </si>
  <si>
    <t>sp|Q9Y6R7|FCGBP_HUMAN</t>
  </si>
  <si>
    <t>IgGFc-binding protein OS=Homo sapiens OX=9606 GN=FCGBP PE=1 SV=3</t>
  </si>
  <si>
    <t>ident:2142/2974 pos:2425/2974 query:2974 hit:5405 align:3039 bit:4234.1</t>
  </si>
  <si>
    <t>ident:279/438 pos:335/438 query:438 hit:526 align:439 bit:552.4</t>
  </si>
  <si>
    <t>sp|P13498|CY24A_HUMAN</t>
  </si>
  <si>
    <t>Cytochrome b-245 light chain OS=Homo sapiens OX=9606 GN=CYBA PE=1 SV=3</t>
  </si>
  <si>
    <t>ident:170/194 pos:178/194 query:194 hit:195 align:195 bit:312.8</t>
  </si>
  <si>
    <t>sp|P62280|RS11_HUMAN</t>
  </si>
  <si>
    <t>40S ribosomal protein S11 OS=Homo sapiens OX=9606 GN=RPS11 PE=1 SV=3</t>
  </si>
  <si>
    <t>ident:158/158 pos:158/158 query:158 hit:158 align:158 bit:325.5</t>
  </si>
  <si>
    <t>sp|A6NGN9|IGLO5_HUMAN</t>
  </si>
  <si>
    <t>IgLON family member 5 OS=Homo sapiens OX=9606 GN=IGLON5 PE=1 SV=4</t>
  </si>
  <si>
    <t>ident:330/336 pos:332/336 query:336 hit:336 align:336 bit:673.7</t>
  </si>
  <si>
    <t>sp|P38117|ETFB_HUMAN</t>
  </si>
  <si>
    <t>Electron transfer flavoprotein subunit beta OS=Homo sapiens OX=9606 GN=ETFB PE=1 SV=3</t>
  </si>
  <si>
    <t>ident:244/255 pos:251/255 query:255 hit:255 align:255 bit:489.6</t>
  </si>
  <si>
    <t>anamorsin [Zalophus californianus]</t>
  </si>
  <si>
    <t>sp|Q6FI81|CPIN1_HUMAN</t>
  </si>
  <si>
    <t>Anamorsin OS=Homo sapiens OX=9606 GN=CIAPIN1 PE=1 SV=2</t>
  </si>
  <si>
    <t>ident:273/312 pos:293/312 query:312 hit:312 align:312 bit:558.1</t>
  </si>
  <si>
    <t>sp|Q13011|ECH1_HUMAN</t>
  </si>
  <si>
    <t>Delta(3,5)-Delta(2,4)-dienoyl-CoA isomerase, mitochondrial OS=Homo sapiens OX=9606 GN=ECH1 PE=1 SV=2</t>
  </si>
  <si>
    <t>ident:256/328 pos:289/328 query:328 hit:328 align:328 bit:515.8</t>
  </si>
  <si>
    <t>sp|P56470|LEG4_HUMAN</t>
  </si>
  <si>
    <t>Galectin-4 OS=Homo sapiens OX=9606 GN=LGALS4 PE=1 SV=1</t>
  </si>
  <si>
    <t>ident:252/310 pos:276/310 query:310 hit:323 align:323 bit:515.0</t>
  </si>
  <si>
    <t>sp|Q9GZP8|IMUP_HUMAN</t>
  </si>
  <si>
    <t>Immortalization up-regulated protein OS=Homo sapiens OX=9606 GN=IMUP PE=1 SV=1</t>
  </si>
  <si>
    <t>ident:41/102 pos:51/102 query:102 hit:106 align:81 bit:38.9</t>
  </si>
  <si>
    <t>sp|Q15102|PA1B3_HUMAN</t>
  </si>
  <si>
    <t>Platelet-activating factor acetylhydrolase IB subunit gamma OS=Homo sapiens OX=9606 GN=PAFAH1B3 PE=1 SV=1</t>
  </si>
  <si>
    <t>ident:224/231 pos:226/231 query:231 hit:231 align:231 bit:458.4</t>
  </si>
  <si>
    <t>sp|P43686|PRS6B_HUMAN</t>
  </si>
  <si>
    <t>26S proteasome regulatory subunit 6B OS=Homo sapiens OX=9606 GN=PSMC4 PE=1 SV=2</t>
  </si>
  <si>
    <t>ident:418/418 pos:418/418 query:418 hit:418 align:418 bit:854.7</t>
  </si>
  <si>
    <t>sp|P61421|VA0D1_HUMAN</t>
  </si>
  <si>
    <t>V-type proton ATPase subunit d 1 OS=Homo sapiens OX=9606 GN=ATP6V0D1 PE=1 SV=1</t>
  </si>
  <si>
    <t>ident:348/351 pos:350/351 query:351 hit:351 align:351 bit:723.0</t>
  </si>
  <si>
    <t>nucleolar protein 3 [Zalophus californianus]</t>
  </si>
  <si>
    <t>tr|H3BUP2|H3BUP2_HUMAN</t>
  </si>
  <si>
    <t>Nucleolar protein 3 (Fragment) OS=Homo sapiens OX=9606 GN=NOL3 PE=1 SV=1</t>
  </si>
  <si>
    <t>ident:134/206 pos:136/206 query:206 hit:174 align:149 bit:240.7</t>
  </si>
  <si>
    <t>relA-associated inhibitor [Zalophus californianus]</t>
  </si>
  <si>
    <t>sp|Q8WUF5|IASPP_HUMAN</t>
  </si>
  <si>
    <t>RelA-associated inhibitor OS=Homo sapiens OX=9606 GN=PPP1R13L PE=1 SV=4</t>
  </si>
  <si>
    <t>ident:739/831 pos:758/831 query:831 hit:828 align:834 bit:1276.5</t>
  </si>
  <si>
    <t>sp|Q8NCC3|PAG15_HUMAN</t>
  </si>
  <si>
    <t>Group XV phospholipase A2 OS=Homo sapiens OX=9606 GN=PLA2G15 PE=1 SV=2</t>
  </si>
  <si>
    <t>ident:350/408 pos:367/408 query:408 hit:412 align:380 bit:732.2</t>
  </si>
  <si>
    <t>sp|Q03405|UPAR_HUMAN</t>
  </si>
  <si>
    <t>Urokinase plasminogen activator surface receptor OS=Homo sapiens OX=9606 GN=PLAUR PE=1 SV=1</t>
  </si>
  <si>
    <t>ident:220/335 pos:255/335 query:335 hit:335 align:324 bit:420.6</t>
  </si>
  <si>
    <t>XP_027476050.1</t>
  </si>
  <si>
    <t>sp|Q9Y613|FHOD1_HUMAN</t>
  </si>
  <si>
    <t>FH1/FH2 domain-containing protein 1 OS=Homo sapiens OX=9606 GN=FHOD1 PE=1 SV=3</t>
  </si>
  <si>
    <t>ident:522/1255 pos:532/1255 query:1255 hit:1164 align:553 bit:1057.0</t>
  </si>
  <si>
    <t>fibroblast growth factor 21 [Zalophus californianus]</t>
  </si>
  <si>
    <t>sp|Q9NSA1|FGF21_HUMAN</t>
  </si>
  <si>
    <t>Fibroblast growth factor 21 OS=Homo sapiens OX=9606 GN=FGF21 PE=1 SV=1</t>
  </si>
  <si>
    <t>ident:169/209 pos:177/209 query:209 hit:209 align:209 bit:304.3</t>
  </si>
  <si>
    <t>ident:75/96 pos:79/96 query:96 hit:122 align:96 bit:149.1</t>
  </si>
  <si>
    <t>XP_027476197.1</t>
  </si>
  <si>
    <t>sp|Q9Y6C2|EMIL1_HUMAN</t>
  </si>
  <si>
    <t>EMILIN-1 OS=Homo sapiens OX=9606 GN=EMILIN1 PE=1 SV=3</t>
  </si>
  <si>
    <t>ident:921/1014 pos:952/1014 query:1014 hit:1016 align:1017 bit:1649.0</t>
  </si>
  <si>
    <t>sp|P50991|TCPD_HUMAN</t>
  </si>
  <si>
    <t>T-complex protein 1 subunit delta OS=Homo sapiens OX=9606 GN=CCT4 PE=1 SV=4</t>
  </si>
  <si>
    <t>ident:529/539 pos:531/539 query:539 hit:539 align:539 bit:1070.1</t>
  </si>
  <si>
    <t>N-acetyllactosaminide beta-1,3-N-acetylglucosaminyltransferase 2 [Zalophus californianus]</t>
  </si>
  <si>
    <t>sp|Q9NY97|B3GN2_HUMAN</t>
  </si>
  <si>
    <t>N-acetyllactosaminide beta-1,3-N-acetylglucosaminyltransferase 2 OS=Homo sapiens OX=9606 GN=B3GNT2 PE=1 SV=2</t>
  </si>
  <si>
    <t>ident:359/397 pos:377/397 query:397 hit:397 align:397 bit:757.3</t>
  </si>
  <si>
    <t>XP_027476294.1</t>
  </si>
  <si>
    <t>sp|Q7Z3B1|NEGR1_HUMAN</t>
  </si>
  <si>
    <t>Neuronal growth regulator 1 OS=Homo sapiens OX=9606 GN=NEGR1 PE=1 SV=3</t>
  </si>
  <si>
    <t>ident:347/354 pos:352/354 query:354 hit:354 align:354 bit:726.9</t>
  </si>
  <si>
    <t>XP_027476329.1</t>
  </si>
  <si>
    <t>sp|P61925|IPKA_HUMAN</t>
  </si>
  <si>
    <t>cAMP-dependent protein kinase inhibitor alpha OS=Homo sapiens OX=9606 GN=PKIA PE=1 SV=2</t>
  </si>
  <si>
    <t>ident:75/120 pos:76/120 query:120 hit:76 align:76 bit:151.0</t>
  </si>
  <si>
    <t>sp|P14138|EDN3_HUMAN</t>
  </si>
  <si>
    <t>Endothelin-3 OS=Homo sapiens OX=9606 GN=EDN3 PE=1 SV=1</t>
  </si>
  <si>
    <t>ident:133/204 pos:144/204 query:204 hit:238 align:202 bit:247.3</t>
  </si>
  <si>
    <t>XP_027476352.1</t>
  </si>
  <si>
    <t>sp|Q5JWF2|GNAS1_HUMAN</t>
  </si>
  <si>
    <t>Guanine nucleotide-binding protein G(s) subunit alpha isoforms XLas OS=Homo sapiens OX=9606 GN=GNAS PE=1 SV=2</t>
  </si>
  <si>
    <t>ident:485/970 pos:491/970 query:970 hit:1037 align:511 bit:956.8</t>
  </si>
  <si>
    <t>sp|Q96RN1|S26A8_HUMAN</t>
  </si>
  <si>
    <t>Testis anion transporter 1 OS=Homo sapiens OX=9606 GN=SLC26A8 PE=1 SV=1</t>
  </si>
  <si>
    <t>ident:26/246 pos:41/246 query:246 hit:970 align:92 bit:43.1</t>
  </si>
  <si>
    <t>sp|P07148|FABPL_HUMAN</t>
  </si>
  <si>
    <t>Fatty acid-binding protein, liver OS=Homo sapiens OX=9606 GN=FABP1 PE=1 SV=1</t>
  </si>
  <si>
    <t>ident:115/127 pos:122/127 query:127 hit:127 align:127 bit:234.2</t>
  </si>
  <si>
    <t>sp|Q15084|PDIA6_HUMAN</t>
  </si>
  <si>
    <t>Protein disulfide-isomerase A6 OS=Homo sapiens OX=9606 GN=PDIA6 PE=1 SV=1</t>
  </si>
  <si>
    <t>ident:413/440 pos:426/440 query:440 hit:440 align:440 bit:830.5</t>
  </si>
  <si>
    <t>sp|Q8IV16|HDBP1_HUMAN</t>
  </si>
  <si>
    <t>Glycosylphosphatidylinositol-anchored high density lipoprotein-binding protein 1 OS=Homo sapiens OX=9606 GN=GPIHBP1 PE=1 SV=2</t>
  </si>
  <si>
    <t>ident:92/170 pos:117/170 query:170 hit:184 align:165 bit:135.2</t>
  </si>
  <si>
    <t>sp|P02585|TNNC2_HUMAN</t>
  </si>
  <si>
    <t>Troponin C, skeletal muscle OS=Homo sapiens OX=9606 GN=TNNC2 PE=1 SV=2</t>
  </si>
  <si>
    <t>ident:143/145 pos:144/145 query:145 hit:160 align:145 bit:283.1</t>
  </si>
  <si>
    <t>sp|P23526|SAHH_HUMAN</t>
  </si>
  <si>
    <t>Adenosylhomocysteinase OS=Homo sapiens OX=9606 GN=AHCY PE=1 SV=4</t>
  </si>
  <si>
    <t>ident:416/432 pos:422/432 query:432 hit:432 align:432 bit:867.5</t>
  </si>
  <si>
    <t>sp|Q15365|PCBP1_HUMAN</t>
  </si>
  <si>
    <t>Poly(rC)-binding protein 1 OS=Homo sapiens OX=9606 GN=PCBP1 PE=1 SV=2</t>
  </si>
  <si>
    <t>ident:356/356 pos:356/356 query:356 hit:356 align:356 bit:727.6</t>
  </si>
  <si>
    <t>retroviral-like aspartic protease 1 [Zalophus californianus]</t>
  </si>
  <si>
    <t>sp|Q53RT3|APRV1_HUMAN</t>
  </si>
  <si>
    <t>Retroviral-like aspartic protease 1 OS=Homo sapiens OX=9606 GN=ASPRV1 PE=1 SV=1</t>
  </si>
  <si>
    <t>ident:227/259 pos:243/259 query:259 hit:343 align:259 bit:472.6</t>
  </si>
  <si>
    <t>EGF-containing fibulin-like extracellular matrix protein 1 [Zalophus californianus]</t>
  </si>
  <si>
    <t>sp|Q12805|FBLN3_HUMAN</t>
  </si>
  <si>
    <t>EGF-containing fibulin-like extracellular matrix protein 1 OS=Homo sapiens OX=9606 GN=EFEMP1 PE=1 SV=2</t>
  </si>
  <si>
    <t>ident:473/502 pos:484/502 query:502 hit:493 align:502 bit:978.4</t>
  </si>
  <si>
    <t>XP_027476564.1</t>
  </si>
  <si>
    <t>sp|Q9Y264|ANGP4_HUMAN</t>
  </si>
  <si>
    <t>Angiopoietin-4 OS=Homo sapiens OX=9606 GN=ANGPT4 PE=1 SV=1</t>
  </si>
  <si>
    <t>ident:348/498 pos:407/498 query:498 hit:503 align:503 bit:657.9</t>
  </si>
  <si>
    <t>XP_027476605.1</t>
  </si>
  <si>
    <t>sp|Q9NR19|ACSA_HUMAN</t>
  </si>
  <si>
    <t>Acetyl-coenzyme A synthetase, cytoplasmic OS=Homo sapiens OX=9606 GN=ACSS2 PE=1 SV=1</t>
  </si>
  <si>
    <t>ident:655/701 pos:677/701 query:701 hit:701 align:701 bit:1344.7</t>
  </si>
  <si>
    <t>glutathione synthetase isoform X1 [Zalophus californianus]</t>
  </si>
  <si>
    <t>sp|P48637|GSHB_HUMAN</t>
  </si>
  <si>
    <t>Glutathione synthetase OS=Homo sapiens OX=9606 GN=GSS PE=1 SV=1</t>
  </si>
  <si>
    <t>ident:434/473 pos:457/473 query:473 hit:474 align:474 bit:887.5</t>
  </si>
  <si>
    <t>sp|P47989|XDH_HUMAN</t>
  </si>
  <si>
    <t>Xanthine dehydrogenase/oxidase OS=Homo sapiens OX=9606 GN=XDH PE=1 SV=4</t>
  </si>
  <si>
    <t>ident:1191/1333 pos:1264/1333 query:1333 hit:1333 align:1333 bit:2450.6</t>
  </si>
  <si>
    <t>XP_027476688.1</t>
  </si>
  <si>
    <t>sp|Q9NUB1|ACS2L_HUMAN</t>
  </si>
  <si>
    <t>Acetyl-coenzyme A synthetase 2-like, mitochondrial OS=Homo sapiens OX=9606 GN=ACSS1 PE=1 SV=2</t>
  </si>
  <si>
    <t>ident:526/680 pos:554/680 query:680 hit:689 align:593 bit:1097.4</t>
  </si>
  <si>
    <t>sp|O95407|TNF6B_HUMAN</t>
  </si>
  <si>
    <t>Tumor necrosis factor receptor superfamily member 6B OS=Homo sapiens OX=9606 GN=TNFRSF6B PE=1 SV=1</t>
  </si>
  <si>
    <t>ident:216/305 pos:221/305 query:305 hit:300 align:266 bit:408.7</t>
  </si>
  <si>
    <t>XP_027476738.1</t>
  </si>
  <si>
    <t>sp|O75116|ROCK2_HUMAN</t>
  </si>
  <si>
    <t>Rho-associated protein kinase 2 OS=Homo sapiens OX=9606 GN=ROCK2 PE=1 SV=4</t>
  </si>
  <si>
    <t>ident:1233/1475 pos:1272/1475 query:1475 hit:1388 align:1454 bit:2374.7</t>
  </si>
  <si>
    <t>sp|Q9Y5C1|ANGL3_HUMAN</t>
  </si>
  <si>
    <t>Angiopoietin-related protein 3 OS=Homo sapiens OX=9606 GN=ANGPTL3 PE=1 SV=1</t>
  </si>
  <si>
    <t>ident:400/459 pos:428/459 query:459 hit:460 align:460 bit:828.5</t>
  </si>
  <si>
    <t>XP_027476813.1</t>
  </si>
  <si>
    <t>ident:450/462 pos:457/462 query:462 hit:462 align:462 bit:929.1</t>
  </si>
  <si>
    <t>sp|P53597|SUCA_HUMAN</t>
  </si>
  <si>
    <t>Succinate--CoA ligase [ADP/GDP-forming] subunit alpha, mitochondrial OS=Homo sapiens OX=9606 GN=SUCLG1 PE=1 SV=4</t>
  </si>
  <si>
    <t>ident:316/346 pos:327/346 query:346 hit:346 align:333 bit:574.7</t>
  </si>
  <si>
    <t>XP_027476907.1</t>
  </si>
  <si>
    <t>sp|P04844|RPN2_HUMAN</t>
  </si>
  <si>
    <t>Dolichyl-diphosphooligosaccharide--protein glycosyltransferase subunit 2 OS=Homo sapiens OX=9606 GN=RPN2 PE=1 SV=3</t>
  </si>
  <si>
    <t>ident:603/647 pos:617/647 query:647 hit:631 align:630 bit:1192.2</t>
  </si>
  <si>
    <t>XP_027476940.1</t>
  </si>
  <si>
    <t>sp|O75882|ATRN_HUMAN</t>
  </si>
  <si>
    <t>Attractin OS=Homo sapiens OX=9606 GN=ATRN PE=1 SV=2</t>
  </si>
  <si>
    <t>ident:1321/1420 pos:1345/1420 query:1420 hit:1429 align:1405 bit:2722.2</t>
  </si>
  <si>
    <t>XP_027477043.1</t>
  </si>
  <si>
    <t>sp|Q86Y82|STX12_HUMAN</t>
  </si>
  <si>
    <t>Syntaxin-12 OS=Homo sapiens OX=9606 GN=STX12 PE=1 SV=1</t>
  </si>
  <si>
    <t>ident:260/274 pos:267/274 query:274 hit:276 align:274 bit:504.6</t>
  </si>
  <si>
    <t>XP_027477055.1</t>
  </si>
  <si>
    <t>tyrosine-protein phosphatase non-receptor type substrate 1 isoform X1 [Zalophus californianus]</t>
  </si>
  <si>
    <t>sp|P78324|SHPS1_HUMAN</t>
  </si>
  <si>
    <t>Tyrosine-protein phosphatase non-receptor type substrate 1 OS=Homo sapiens OX=9606 GN=SIRPA PE=1 SV=2</t>
  </si>
  <si>
    <t>ident:379/510 pos:430/510 query:510 hit:504 align:514 bit:717.2</t>
  </si>
  <si>
    <t>sp|O75884|RBBP9_HUMAN</t>
  </si>
  <si>
    <t>Putative hydrolase RBBP9 OS=Homo sapiens OX=9606 GN=RBBP9 PE=1 SV=2</t>
  </si>
  <si>
    <t>ident:173/186 pos:181/186 query:186 hit:186 align:186 bit:369.8</t>
  </si>
  <si>
    <t>XP_027477087.1</t>
  </si>
  <si>
    <t>sp|P01615|KVD28_HUMAN</t>
  </si>
  <si>
    <t>Immunoglobulin kappa variable 2D-28 OS=Homo sapiens OX=9606 GN=IGKV2D-28 PE=1 SV=2</t>
  </si>
  <si>
    <t>ident:96/243 pos:105/243 query:243 hit:120 align:120 bit:199.5</t>
  </si>
  <si>
    <t>sp|Q96C23|GALM_HUMAN</t>
  </si>
  <si>
    <t>Aldose 1-epimerase OS=Homo sapiens OX=9606 GN=GALM PE=1 SV=1</t>
  </si>
  <si>
    <t>ident:313/342 pos:326/342 query:342 hit:342 align:342 bit:658.3</t>
  </si>
  <si>
    <t>XP_027477145.1</t>
  </si>
  <si>
    <t>sp|Q16891|MIC60_HUMAN</t>
  </si>
  <si>
    <t>MICOS complex subunit MIC60 OS=Homo sapiens OX=9606 GN=IMMT PE=1 SV=1</t>
  </si>
  <si>
    <t>ident:699/753 pos:722/753 query:753 hit:758 align:758 bit:1374.0</t>
  </si>
  <si>
    <t>sp|O95292|VAPB_HUMAN</t>
  </si>
  <si>
    <t>Vesicle-associated membrane protein-associated protein B/C OS=Homo sapiens OX=9606 GN=VAPB PE=1 SV=3</t>
  </si>
  <si>
    <t>ident:228/243 pos:235/243 query:243 hit:243 align:243 bit:454.9</t>
  </si>
  <si>
    <t>sp|P29317|EPHA2_HUMAN</t>
  </si>
  <si>
    <t>Ephrin type-A receptor 2 OS=Homo sapiens OX=9606 GN=EPHA2 PE=1 SV=2</t>
  </si>
  <si>
    <t>ident:927/975 pos:949/975 query:975 hit:976 align:976 bit:1867.4</t>
  </si>
  <si>
    <t>sp|P10619|PPGB_HUMAN</t>
  </si>
  <si>
    <t>Lysosomal protective protein OS=Homo sapiens OX=9606 GN=CTSA PE=1 SV=2</t>
  </si>
  <si>
    <t>ident:420/497 pos:443/497 query:497 hit:480 align:461 bit:889.4</t>
  </si>
  <si>
    <t>phospholipid transfer protein [Zalophus californianus]</t>
  </si>
  <si>
    <t>sp|P55058|PLTP_HUMAN</t>
  </si>
  <si>
    <t>Phospholipid transfer protein OS=Homo sapiens OX=9606 GN=PLTP PE=1 SV=1</t>
  </si>
  <si>
    <t>ident:445/496 pos:458/496 query:496 hit:493 align:480 bit:912.9</t>
  </si>
  <si>
    <t>sp|O75363|BCAS1_HUMAN</t>
  </si>
  <si>
    <t>Breast carcinoma-amplified sequence 1 OS=Homo sapiens OX=9606 GN=BCAS1 PE=1 SV=2</t>
  </si>
  <si>
    <t>ident:421/572 pos:458/572 query:572 hit:584 align:589 bit:776.9</t>
  </si>
  <si>
    <t>sp|Q06210|GFPT1_HUMAN</t>
  </si>
  <si>
    <t>Glutamine--fructose-6-phosphate aminotransferase [isomerizing] 1 OS=Homo sapiens OX=9606 GN=GFPT1 PE=1 SV=3</t>
  </si>
  <si>
    <t>ident:676/681 pos:678/681 query:681 hit:699 align:699 bit:1396.0</t>
  </si>
  <si>
    <t>XP_027477231.1</t>
  </si>
  <si>
    <t>sp|Q14766|LTBP1_HUMAN</t>
  </si>
  <si>
    <t>Latent-transforming growth factor beta-binding protein 1 OS=Homo sapiens OX=9606 GN=LTBP1 PE=1 SV=4</t>
  </si>
  <si>
    <t>ident:1608/1718 pos:1646/1718 query:1718 hit:1721 align:1721 bit:3249.9</t>
  </si>
  <si>
    <t>microtubule-associated protein RP/EB family member 1 [Zalophus californianus]</t>
  </si>
  <si>
    <t>sp|Q15691|MARE1_HUMAN</t>
  </si>
  <si>
    <t>Microtubule-associated protein RP/EB family member 1 OS=Homo sapiens OX=9606 GN=MAPRE1 PE=1 SV=3</t>
  </si>
  <si>
    <t>ident:262/268 pos:265/268 query:268 hit:268 align:268 bit:545.4</t>
  </si>
  <si>
    <t>sp|P61160|ARP2_HUMAN</t>
  </si>
  <si>
    <t>Actin-related protein 2 OS=Homo sapiens OX=9606 GN=ACTR2 PE=1 SV=1</t>
  </si>
  <si>
    <t>ident:394/394 pos:394/394 query:394 hit:394 align:394 bit:812.8</t>
  </si>
  <si>
    <t>sp|P27348|1433T_HUMAN</t>
  </si>
  <si>
    <t>14-3-3 protein theta OS=Homo sapiens OX=9606 GN=YWHAQ PE=1 SV=1</t>
  </si>
  <si>
    <t>ident:245/245 pos:245/245 query:245 hit:245 align:245 bit:503.8</t>
  </si>
  <si>
    <t>XP_027477283.1</t>
  </si>
  <si>
    <t>sp|P50053|KHK_HUMAN</t>
  </si>
  <si>
    <t>Ketohexokinase OS=Homo sapiens OX=9606 GN=KHK PE=1 SV=2</t>
  </si>
  <si>
    <t>ident:261/344 pos:286/344 query:344 hit:298 align:344 bit:531.2</t>
  </si>
  <si>
    <t>XP_027477289.1</t>
  </si>
  <si>
    <t>sp|Q99674|CGRE1_HUMAN</t>
  </si>
  <si>
    <t>Cell growth regulator with EF hand domain protein 1 OS=Homo sapiens OX=9606 GN=CGREF1 PE=2 SV=2</t>
  </si>
  <si>
    <t>ident:195/317 pos:216/317 query:317 hit:301 align:301 bit:340.1</t>
  </si>
  <si>
    <t>sp|Q9H6X2|ANTR1_HUMAN</t>
  </si>
  <si>
    <t>Anthrax toxin receptor 1 OS=Homo sapiens OX=9606 GN=ANTXR1 PE=1 SV=2</t>
  </si>
  <si>
    <t>ident:551/564 pos:558/564 query:564 hit:564 align:564 bit:1141.3</t>
  </si>
  <si>
    <t>sp|Q13404|UB2V1_HUMAN</t>
  </si>
  <si>
    <t>Ubiquitin-conjugating enzyme E2 variant 1 OS=Homo sapiens OX=9606 GN=UBE2V1 PE=1 SV=2</t>
  </si>
  <si>
    <t>ident:147/147 pos:147/147 query:147 hit:147 align:147 bit:303.9</t>
  </si>
  <si>
    <t>sp|P0DP57|SLUR2_HUMAN</t>
  </si>
  <si>
    <t>Secreted Ly-6/uPAR domain-containing protein 2 OS=Homo sapiens OX=9606 GN=SLURP2 PE=1 SV=1</t>
  </si>
  <si>
    <t>ident:49/118 pos:54/118 query:118 hit:97 align:73 bit:100.5</t>
  </si>
  <si>
    <t>sp|P31946|1433B_HUMAN</t>
  </si>
  <si>
    <t>14-3-3 protein beta/alpha OS=Homo sapiens OX=9606 GN=YWHAB PE=1 SV=3</t>
  </si>
  <si>
    <t>ident:244/244 pos:244/244 query:244 hit:246 align:244 bit:503.8</t>
  </si>
  <si>
    <t>sp|P61026|RAB10_HUMAN</t>
  </si>
  <si>
    <t>Ras-related protein Rab-10 OS=Homo sapiens OX=9606 GN=RAB10 PE=1 SV=1</t>
  </si>
  <si>
    <t>ident:200/200 pos:200/200 query:200 hit:200 align:200 bit:412.5</t>
  </si>
  <si>
    <t>sp|P15313|VATB1_HUMAN</t>
  </si>
  <si>
    <t>V-type proton ATPase subunit B, kidney isoform OS=Homo sapiens OX=9606 GN=ATP6V1B1 PE=1 SV=3</t>
  </si>
  <si>
    <t>ident:494/513 pos:504/513 query:513 hit:513 align:513 bit:1028.8</t>
  </si>
  <si>
    <t>sp|P21980|TGM2_HUMAN</t>
  </si>
  <si>
    <t>Protein-glutamine gamma-glutamyltransferase 2 OS=Homo sapiens OX=9606 GN=TGM2 PE=1 SV=2</t>
  </si>
  <si>
    <t>ident:585/687 pos:627/687 query:687 hit:687 align:687 bit:1225.3</t>
  </si>
  <si>
    <t>XP_027477571.1</t>
  </si>
  <si>
    <t>heat shock 70 kDa protein 12B isoform X1 [Zalophus californianus]</t>
  </si>
  <si>
    <t>sp|Q96MM6|HS12B_HUMAN</t>
  </si>
  <si>
    <t>Heat shock 70 kDa protein 12B OS=Homo sapiens OX=9606 GN=HSPA12B PE=1 SV=2</t>
  </si>
  <si>
    <t>ident:661/680 pos:668/680 query:680 hit:686 align:686 bit:1348.2</t>
  </si>
  <si>
    <t>protein transport protein Sec23B [Zalophus californianus]</t>
  </si>
  <si>
    <t>sp|Q15437|SC23B_HUMAN</t>
  </si>
  <si>
    <t>Protein transport protein Sec23B OS=Homo sapiens OX=9606 GN=SEC23B PE=1 SV=2</t>
  </si>
  <si>
    <t>ident:748/767 pos:756/767 query:767 hit:767 align:767 bit:1573.1</t>
  </si>
  <si>
    <t>XP_027477621.1</t>
  </si>
  <si>
    <t>sp|P31431|SDC4_HUMAN</t>
  </si>
  <si>
    <t>Syndecan-4 OS=Homo sapiens OX=9606 GN=SDC4 PE=1 SV=2</t>
  </si>
  <si>
    <t>ident:155/224 pos:163/224 query:224 hit:198 align:178 bit:308.9</t>
  </si>
  <si>
    <t>sp|P04114|APOB_HUMAN</t>
  </si>
  <si>
    <t>Apolipoprotein B-100 OS=Homo sapiens OX=9606 GN=APOB PE=1 SV=2</t>
  </si>
  <si>
    <t>ident:2514/4434 pos:2796/4434 query:4434 hit:4563 align:3163 bit:5206.7</t>
  </si>
  <si>
    <t>sp|Q9Y3Z3|SAMH1_HUMAN</t>
  </si>
  <si>
    <t>Deoxynucleoside triphosphate triphosphohydrolase SAMHD1 OS=Homo sapiens OX=9606 GN=SAMHD1 PE=1 SV=2</t>
  </si>
  <si>
    <t>ident:493/627 pos:557/627 query:627 hit:626 align:627 bit:1047.3</t>
  </si>
  <si>
    <t>sp|P10606|COX5B_HUMAN</t>
  </si>
  <si>
    <t>Cytochrome c oxidase subunit 5B, mitochondrial OS=Homo sapiens OX=9606 GN=COX5B PE=1 SV=2</t>
  </si>
  <si>
    <t>ident:106/129 pos:121/129 query:129 hit:129 align:129 bit:235.0</t>
  </si>
  <si>
    <t>XP_027477679.1</t>
  </si>
  <si>
    <t>sp|Q9UNZ2|NSF1C_HUMAN</t>
  </si>
  <si>
    <t>NSFL1 cofactor p47 OS=Homo sapiens OX=9606 GN=NSFL1C PE=1 SV=2</t>
  </si>
  <si>
    <t>ident:360/372 pos:368/372 query:372 hit:370 align:372 bit:734.2</t>
  </si>
  <si>
    <t>XP_027477702.1</t>
  </si>
  <si>
    <t>sp|Q9BXF6|RFIP5_HUMAN</t>
  </si>
  <si>
    <t>Rab11 family-interacting protein 5 OS=Homo sapiens OX=9606 GN=RAB11FIP5 PE=1 SV=1</t>
  </si>
  <si>
    <t>ident:473/1314 pos:493/1314 query:1314 hit:653 align:523 bit:909.8</t>
  </si>
  <si>
    <t>sp|Q9NPY3|C1QR1_HUMAN</t>
  </si>
  <si>
    <t>Complement component C1q receptor OS=Homo sapiens OX=9606 GN=CD93 PE=1 SV=3</t>
  </si>
  <si>
    <t>ident:490/653 pos:528/653 query:653 hit:652 align:636 bit:879.0</t>
  </si>
  <si>
    <t>sp|P14780|MMP9_HUMAN</t>
  </si>
  <si>
    <t>Matrix metalloproteinase-9 OS=Homo sapiens OX=9606 GN=MMP9 PE=1 SV=3</t>
  </si>
  <si>
    <t>ident:568/704 pos:624/704 query:704 hit:707 align:707 bit:1121.3</t>
  </si>
  <si>
    <t>XP_027477813.1</t>
  </si>
  <si>
    <t>sp|P00813|ADA_HUMAN</t>
  </si>
  <si>
    <t>Adenosine deaminase OS=Homo sapiens OX=9606 GN=ADA PE=1 SV=3</t>
  </si>
  <si>
    <t>ident:280/366 pos:307/366 query:366 hit:363 align:333 bit:592.8</t>
  </si>
  <si>
    <t>sp|Q9UBR2|CATZ_HUMAN</t>
  </si>
  <si>
    <t>Cathepsin Z OS=Homo sapiens OX=9606 GN=CTSZ PE=1 SV=1</t>
  </si>
  <si>
    <t>ident:241/304 pos:261/304 query:304 hit:303 align:283 bit:520.4</t>
  </si>
  <si>
    <t>sp|Q8N271|PROM2_HUMAN</t>
  </si>
  <si>
    <t>Prominin-2 OS=Homo sapiens OX=9606 GN=PROM2 PE=1 SV=1</t>
  </si>
  <si>
    <t>ident:644/829 pos:713/829 query:829 hit:834 align:811 bit:1228.8</t>
  </si>
  <si>
    <t>serine/threonine-protein phosphatase PP1-beta catalytic subunit [Zalophus californianus]</t>
  </si>
  <si>
    <t>sp|P62140|PP1B_HUMAN</t>
  </si>
  <si>
    <t>Serine/threonine-protein phosphatase PP1-beta catalytic subunit OS=Homo sapiens OX=9606 GN=PPP1CB PE=1 SV=3</t>
  </si>
  <si>
    <t>ident:327/327 pos:327/327 query:327 hit:327 align:327 bit:677.6</t>
  </si>
  <si>
    <t>XP_027477887.1</t>
  </si>
  <si>
    <t>sp|Q9NP97|DLRB1_HUMAN</t>
  </si>
  <si>
    <t>Dynein light chain roadblock-type 1 OS=Homo sapiens OX=9606 GN=DYNLRB1 PE=1 SV=3</t>
  </si>
  <si>
    <t>ident:91/99 pos:94/99 query:99 hit:96 align:95 bit:189.9</t>
  </si>
  <si>
    <t>XP_027477904.1</t>
  </si>
  <si>
    <t>RNA-binding protein Raly isoform X1 [Zalophus californianus]</t>
  </si>
  <si>
    <t>sp|Q9UKM9|RALY_HUMAN</t>
  </si>
  <si>
    <t>RNA-binding protein Raly OS=Homo sapiens OX=9606 GN=RALY PE=1 SV=1</t>
  </si>
  <si>
    <t>ident:256/305 pos:265/305 query:305 hit:306 align:318 bit:435.3</t>
  </si>
  <si>
    <t>sp|O75897|ST1C4_HUMAN</t>
  </si>
  <si>
    <t>Sulfotransferase 1C4 OS=Homo sapiens OX=9606 GN=SULT1C4 PE=1 SV=2</t>
  </si>
  <si>
    <t>ident:246/298 pos:277/298 query:298 hit:302 align:297 bit:540.4</t>
  </si>
  <si>
    <t>sp|Q9BV57|MTND_HUMAN</t>
  </si>
  <si>
    <t>1,2-dihydroxy-3-keto-5-methylthiopentene dioxygenase OS=Homo sapiens OX=9606 GN=ADI1 PE=1 SV=1</t>
  </si>
  <si>
    <t>ident:150/179 pos:168/179 query:179 hit:179 align:179 bit:324.3</t>
  </si>
  <si>
    <t>ident:15/329 pos:21/329 query:329 hit:2386 align:41 bit:28.9</t>
  </si>
  <si>
    <t>XP_027477970.1</t>
  </si>
  <si>
    <t>spectrin beta chain, non-erythrocytic 1 isoform X1 [Zalophus californianus]</t>
  </si>
  <si>
    <t>sp|Q01082|SPTB2_HUMAN</t>
  </si>
  <si>
    <t>Spectrin beta chain, non-erythrocytic 1 OS=Homo sapiens OX=9606 GN=SPTBN1 PE=1 SV=2</t>
  </si>
  <si>
    <t>ident:2340/2364 pos:2353/2364 query:2364 hit:2364 align:2364 bit:4828.1</t>
  </si>
  <si>
    <t>XP_027478000.1</t>
  </si>
  <si>
    <t>sp|P26232|CTNA2_HUMAN</t>
  </si>
  <si>
    <t>Catenin alpha-2 OS=Homo sapiens OX=9606 GN=CTNNA2 PE=1 SV=5</t>
  </si>
  <si>
    <t>ident:952/1017 pos:953/1017 query:1017 hit:953 align:992 bit:1942.2</t>
  </si>
  <si>
    <t>XP_027478032.1</t>
  </si>
  <si>
    <t>sp|Q92530|PSMF1_HUMAN</t>
  </si>
  <si>
    <t>Proteasome inhibitor PI31 subunit OS=Homo sapiens OX=9606 GN=PSMF1 PE=1 SV=2</t>
  </si>
  <si>
    <t>ident:245/278 pos:258/278 query:278 hit:271 align:271 bit:505.4</t>
  </si>
  <si>
    <t>XP_027478059.1</t>
  </si>
  <si>
    <t>sp|Q2M2I8|AAK1_HUMAN</t>
  </si>
  <si>
    <t>AP2-associated protein kinase 1 OS=Homo sapiens OX=9606 GN=AAK1 PE=1 SV=3</t>
  </si>
  <si>
    <t>ident:867/1331 pos:879/1331 query:1331 hit:961 align:964 bit:1517.7</t>
  </si>
  <si>
    <t>sp|P09525|ANXA4_HUMAN</t>
  </si>
  <si>
    <t>Annexin A4 OS=Homo sapiens OX=9606 GN=ANXA4 PE=1 SV=4</t>
  </si>
  <si>
    <t>ident:302/319 pos:313/319 query:319 hit:319 align:319 bit:622.5</t>
  </si>
  <si>
    <t>XP_027478147.1</t>
  </si>
  <si>
    <t>sp|Q9H4B7|TBB1_HUMAN</t>
  </si>
  <si>
    <t>Tubulin beta-1 chain OS=Homo sapiens OX=9606 GN=TUBB1 PE=1 SV=1</t>
  </si>
  <si>
    <t>ident:361/456 pos:402/456 query:456 hit:451 align:431 bit:753.4</t>
  </si>
  <si>
    <t>elafin [Zalophus californianus]</t>
  </si>
  <si>
    <t>sp|P19957|ELAF_HUMAN</t>
  </si>
  <si>
    <t>Elafin OS=Homo sapiens OX=9606 GN=PI3 PE=1 SV=3</t>
  </si>
  <si>
    <t>ident:71/101 pos:81/101 query:101 hit:117 align:117 bit:134.4</t>
  </si>
  <si>
    <t>sp|O76076|WISP2_HUMAN</t>
  </si>
  <si>
    <t>WNT1-inducible-signaling pathway protein 2 OS=Homo sapiens OX=9606 GN=WISP2 PE=1 SV=1</t>
  </si>
  <si>
    <t>ident:212/250 pos:222/250 query:250 hit:250 align:250 bit:343.2</t>
  </si>
  <si>
    <t>sp|Q9UNN8|EPCR_HUMAN</t>
  </si>
  <si>
    <t>Endothelial protein C receptor OS=Homo sapiens OX=9606 GN=PROCR PE=1 SV=1</t>
  </si>
  <si>
    <t>ident:171/267 pos:194/267 query:267 hit:238 align:226 bit:358.6</t>
  </si>
  <si>
    <t>sp|Q16769|QPCT_HUMAN</t>
  </si>
  <si>
    <t>Glutaminyl-peptide cyclotransferase OS=Homo sapiens OX=9606 GN=QPCT PE=1 SV=1</t>
  </si>
  <si>
    <t>ident:313/362 pos:333/362 query:362 hit:361 align:362 bit:618.6</t>
  </si>
  <si>
    <t>XP_027478359.1</t>
  </si>
  <si>
    <t>sp|Q16629|SRSF7_HUMAN</t>
  </si>
  <si>
    <t>Serine/arginine-rich splicing factor 7 OS=Homo sapiens OX=9606 GN=SRSF7 PE=1 SV=1</t>
  </si>
  <si>
    <t>ident:234/238 pos:237/238 query:238 hit:238 align:238 bit:435.3</t>
  </si>
  <si>
    <t>sp|Q13247|SRSF6_HUMAN</t>
  </si>
  <si>
    <t>Serine/arginine-rich splicing factor 6 OS=Homo sapiens OX=9606 GN=SRSF6 PE=1 SV=2</t>
  </si>
  <si>
    <t>ident:337/344 pos:339/344 query:344 hit:344 align:346 bit:622.9</t>
  </si>
  <si>
    <t>sp|Q9BZZ2|SN_HUMAN</t>
  </si>
  <si>
    <t>Sialoadhesin OS=Homo sapiens OX=9606 GN=SIGLEC1 PE=1 SV=2</t>
  </si>
  <si>
    <t>ident:1309/1725 pos:1418/1725 query:1725 hit:1709 align:1697 bit:2524.2</t>
  </si>
  <si>
    <t>sp|P24666|PPAC_HUMAN</t>
  </si>
  <si>
    <t>Low molecular weight phosphotyrosine protein phosphatase OS=Homo sapiens OX=9606 GN=ACP1 PE=1 SV=3</t>
  </si>
  <si>
    <t>ident:140/158 pos:150/158 query:158 hit:158 align:157 bit:306.2</t>
  </si>
  <si>
    <t>ident:126/158 pos:137/158 query:158 hit:158 align:157 bit:270.0</t>
  </si>
  <si>
    <t>sp|Q9BSG0|PADC1_HUMAN</t>
  </si>
  <si>
    <t>Protease-associated domain-containing protein 1 OS=Homo sapiens OX=9606 GN=PRADC1 PE=1 SV=1</t>
  </si>
  <si>
    <t>ident:186/188 pos:186/188 query:188 hit:188 align:188 bit:386.7</t>
  </si>
  <si>
    <t>XP_027478496.1</t>
  </si>
  <si>
    <t>sp|Q16851|UGPA_HUMAN</t>
  </si>
  <si>
    <t>UTP--glucose-1-phosphate uridylyltransferase OS=Homo sapiens OX=9606 GN=UGP2 PE=1 SV=5</t>
  </si>
  <si>
    <t>ident:502/508 pos:503/508 query:508 hit:508 align:508 bit:1030.4</t>
  </si>
  <si>
    <t>sp|P40925|MDHC_HUMAN</t>
  </si>
  <si>
    <t>Malate dehydrogenase, cytoplasmic OS=Homo sapiens OX=9606 GN=MDH1 PE=1 SV=4</t>
  </si>
  <si>
    <t>ident:316/334 pos:328/334 query:334 hit:334 align:334 bit:657.5</t>
  </si>
  <si>
    <t>XP_027478539.1</t>
  </si>
  <si>
    <t>sp|Q01638|ILRL1_HUMAN</t>
  </si>
  <si>
    <t>Interleukin-1 receptor-like 1 OS=Homo sapiens OX=9606 GN=IL1RL1 PE=1 SV=4</t>
  </si>
  <si>
    <t>ident:229/326 pos:273/326 query:326 hit:556 align:323 bit:504.2</t>
  </si>
  <si>
    <t>sp|Q14508|WFDC2_HUMAN</t>
  </si>
  <si>
    <t>WAP four-disulfide core domain protein 2 OS=Homo sapiens OX=9606 GN=WFDC2 PE=1 SV=2</t>
  </si>
  <si>
    <t>ident:94/124 pos:104/124 query:124 hit:124 align:124 bit:171.0</t>
  </si>
  <si>
    <t>XP_027478600.1</t>
  </si>
  <si>
    <t>sp|P11216|PYGB_HUMAN</t>
  </si>
  <si>
    <t>Glycogen phosphorylase, brain form OS=Homo sapiens OX=9606 GN=PYGB PE=1 SV=5</t>
  </si>
  <si>
    <t>ident:744/875 pos:761/875 query:875 hit:843 align:771 bit:1560.0</t>
  </si>
  <si>
    <t>protein S100-A11-like [Zalophus californianus]</t>
  </si>
  <si>
    <t>sp|P31949|S10AB_HUMAN</t>
  </si>
  <si>
    <t>Protein S100-A11 OS=Homo sapiens OX=9606 GN=S100A11 PE=1 SV=2</t>
  </si>
  <si>
    <t>ident:84/103 pos:94/103 query:103 hit:105 align:103 bit:178.3</t>
  </si>
  <si>
    <t>sp|Q9H1R3|MYLK2_HUMAN</t>
  </si>
  <si>
    <t>Myosin light chain kinase 2, skeletal/cardiac muscle OS=Homo sapiens OX=9606 GN=MYLK2 PE=1 SV=3</t>
  </si>
  <si>
    <t>ident:533/597 pos:551/597 query:597 hit:596 align:597 bit:1030.0</t>
  </si>
  <si>
    <t>sp|P01185|NEU2_HUMAN</t>
  </si>
  <si>
    <t>Vasopressin-neurophysin 2-copeptin OS=Homo sapiens OX=9606 GN=AVP PE=1 SV=2</t>
  </si>
  <si>
    <t>ident:146/168 pos:151/168 query:168 hit:164 align:168 bit:280.4</t>
  </si>
  <si>
    <t>XP_027478659.1</t>
  </si>
  <si>
    <t>sp|Q9NZV1|CRIM1_HUMAN</t>
  </si>
  <si>
    <t>Cysteine-rich motor neuron 1 protein OS=Homo sapiens OX=9606 GN=CRIM1 PE=1 SV=1</t>
  </si>
  <si>
    <t>ident:943/1036 pos:984/1036 query:1036 hit:1036 align:1037 bit:1872.8</t>
  </si>
  <si>
    <t>XP_027478681.1</t>
  </si>
  <si>
    <t>sp|O00468|AGRIN_HUMAN</t>
  </si>
  <si>
    <t>Agrin OS=Homo sapiens OX=9606 GN=AGRN PE=1 SV=6</t>
  </si>
  <si>
    <t>ident:1727/2055 pos:1817/2055 query:2055 hit:2068 align:2059 bit:3350.1</t>
  </si>
  <si>
    <t>sp|Q8TCV5|WFDC5_HUMAN</t>
  </si>
  <si>
    <t>WAP four-disulfide core domain protein 5 OS=Homo sapiens OX=9606 GN=WFDC5 PE=2 SV=1</t>
  </si>
  <si>
    <t>ident:88/122 pos:98/122 query:122 hit:224 align:122 bit:160.2</t>
  </si>
  <si>
    <t>XP_027478711.1</t>
  </si>
  <si>
    <t>sp|P17213|BPI_HUMAN</t>
  </si>
  <si>
    <t>Bactericidal permeability-increasing protein OS=Homo sapiens OX=9606 GN=BPI PE=1 SV=4</t>
  </si>
  <si>
    <t>ident:336/524 pos:400/524 query:524 hit:487 align:484 bit:689.1</t>
  </si>
  <si>
    <t>sp|P18428|LBP_HUMAN</t>
  </si>
  <si>
    <t>Lipopolysaccharide-binding protein OS=Homo sapiens OX=9606 GN=LBP PE=1 SV=3</t>
  </si>
  <si>
    <t>ident:381/481 pos:428/481 query:481 hit:481 align:480 bit:761.1</t>
  </si>
  <si>
    <t>sp|P05161|ISG15_HUMAN</t>
  </si>
  <si>
    <t>Ubiquitin-like protein ISG15 OS=Homo sapiens OX=9606 GN=ISG15 PE=1 SV=5</t>
  </si>
  <si>
    <t>ident:108/169 pos:126/169 query:169 hit:165 align:168 bit:196.8</t>
  </si>
  <si>
    <t>XP_027478760.1</t>
  </si>
  <si>
    <t>sp|Q8NE01|CNNM3_HUMAN</t>
  </si>
  <si>
    <t>Metal transporter CNNM3 OS=Homo sapiens OX=9606 GN=CNNM3 PE=1 SV=1</t>
  </si>
  <si>
    <t>ident:635/767 pos:645/767 query:767 hit:707 align:734 bit:1108.6</t>
  </si>
  <si>
    <t>sp|P01178|NEU1_HUMAN</t>
  </si>
  <si>
    <t>Oxytocin-neurophysin 1 OS=Homo sapiens OX=9606 GN=OXT PE=1 SV=1</t>
  </si>
  <si>
    <t>ident:109/125 pos:115/125 query:125 hit:125 align:125 bit:191.4</t>
  </si>
  <si>
    <t>XP_027478783.1</t>
  </si>
  <si>
    <t>sp|Q9HCU4|CELR2_HUMAN</t>
  </si>
  <si>
    <t>Cadherin EGF LAG seven-pass G-type receptor 2 OS=Homo sapiens OX=9606 GN=CELSR2 PE=1 SV=1</t>
  </si>
  <si>
    <t>ident:2820/2923 pos:2858/2923 query:2923 hit:2923 align:2927 bit:5787.2</t>
  </si>
  <si>
    <t>sp|Q9UBH0|I36RA_HUMAN</t>
  </si>
  <si>
    <t>Interleukin-36 receptor antagonist protein OS=Homo sapiens OX=9606 GN=IL36RN PE=1 SV=1</t>
  </si>
  <si>
    <t>ident:139/155 pos:144/155 query:155 hit:155 align:155 bit:291.6</t>
  </si>
  <si>
    <t>XP_027478818.1</t>
  </si>
  <si>
    <t>sp|Q96DZ1|ERLEC_HUMAN</t>
  </si>
  <si>
    <t>Endoplasmic reticulum lectin 1 OS=Homo sapiens OX=9606 GN=ERLEC1 PE=1 SV=1</t>
  </si>
  <si>
    <t>ident:466/499 pos:476/499 query:499 hit:483 align:483 bit:975.3</t>
  </si>
  <si>
    <t>sp|Q9NZN3|EHD3_HUMAN</t>
  </si>
  <si>
    <t>EH domain-containing protein 3 OS=Homo sapiens OX=9606 GN=EHD3 PE=1 SV=2</t>
  </si>
  <si>
    <t>ident:526/535 pos:533/535 query:535 hit:535 align:535 bit:1082.0</t>
  </si>
  <si>
    <t>sp|P62942|FKB1A_HUMAN</t>
  </si>
  <si>
    <t>Peptidyl-prolyl cis-trans isomerase FKBP1A OS=Homo sapiens OX=9606 GN=FKBP1A PE=1 SV=2</t>
  </si>
  <si>
    <t>ident:107/108 pos:108/108 query:108 hit:108 align:108 bit:223.8</t>
  </si>
  <si>
    <t>XP_027478912.1</t>
  </si>
  <si>
    <t>sp|P60981|DEST_HUMAN</t>
  </si>
  <si>
    <t>Destrin OS=Homo sapiens OX=9606 GN=DSTN PE=1 SV=3</t>
  </si>
  <si>
    <t>ident:164/191 pos:164/191 query:191 hit:165 align:164 bit:334.7</t>
  </si>
  <si>
    <t>sp|P03973|SLPI_HUMAN</t>
  </si>
  <si>
    <t>Antileukoproteinase OS=Homo sapiens OX=9606 GN=SLPI PE=1 SV=2</t>
  </si>
  <si>
    <t>ident:81/130 pos:95/130 query:130 hit:132 align:131 bit:165.2</t>
  </si>
  <si>
    <t>sp|P07204|TRBM_HUMAN</t>
  </si>
  <si>
    <t>Thrombomodulin OS=Homo sapiens OX=9606 GN=THBD PE=1 SV=2</t>
  </si>
  <si>
    <t>ident:415/667 pos:454/667 query:667 hit:575 align:562 bit:761.1</t>
  </si>
  <si>
    <t>major prion protein [Zalophus californianus]</t>
  </si>
  <si>
    <t>sp|P04156|PRIO_HUMAN</t>
  </si>
  <si>
    <t>Major prion protein OS=Homo sapiens OX=9606 GN=PRNP PE=1 SV=1</t>
  </si>
  <si>
    <t>ident:195/259 pos:216/259 query:259 hit:253 align:256 bit:336.6</t>
  </si>
  <si>
    <t>sp|P22307|NLTP_HUMAN</t>
  </si>
  <si>
    <t>Non-specific lipid-transfer protein OS=Homo sapiens OX=9606 GN=SCP2 PE=1 SV=2</t>
  </si>
  <si>
    <t>ident:487/547 pos:515/547 query:547 hit:547 align:546 bit:975.7</t>
  </si>
  <si>
    <t>sp|P62820|RAB1A_HUMAN</t>
  </si>
  <si>
    <t>Ras-related protein Rab-1A OS=Homo sapiens OX=9606 GN=RAB1A PE=1 SV=3</t>
  </si>
  <si>
    <t>ident:205/205 pos:205/205 query:205 hit:205 align:205 bit:425.6</t>
  </si>
  <si>
    <t>sp|P14621|ACYP2_HUMAN</t>
  </si>
  <si>
    <t>Acylphosphatase-2 OS=Homo sapiens OX=9606 GN=ACYP2 PE=1 SV=2</t>
  </si>
  <si>
    <t>ident:90/127 pos:93/127 query:127 hit:99 align:99 bit:188.3</t>
  </si>
  <si>
    <t>XP_027478978.1</t>
  </si>
  <si>
    <t>sp|Q6UW15|REG3G_HUMAN</t>
  </si>
  <si>
    <t>Regenerating islet-derived protein 3-gamma OS=Homo sapiens OX=9606 GN=REG3G PE=1 SV=1</t>
  </si>
  <si>
    <t>ident:130/175 pos:154/175 query:175 hit:175 align:175 bit:287.3</t>
  </si>
  <si>
    <t>XP_027479010.1</t>
  </si>
  <si>
    <t>sp|P25942|TNR5_HUMAN</t>
  </si>
  <si>
    <t>Tumor necrosis factor receptor superfamily member 5 OS=Homo sapiens OX=9606 GN=CD40 PE=1 SV=1</t>
  </si>
  <si>
    <t>ident:204/277 pos:222/277 query:277 hit:277 align:281 bit:389.4</t>
  </si>
  <si>
    <t>sp|Q16610|ECM1_HUMAN</t>
  </si>
  <si>
    <t>Extracellular matrix protein 1 OS=Homo sapiens OX=9606 GN=ECM1 PE=1 SV=2</t>
  </si>
  <si>
    <t>ident:420/543 pos:457/543 query:543 hit:540 align:544 bit:859.4</t>
  </si>
  <si>
    <t>sp|P46952|3HAO_HUMAN</t>
  </si>
  <si>
    <t>3-hydroxyanthranilate 3,4-dioxygenase OS=Homo sapiens OX=9606 GN=HAAO PE=1 SV=2</t>
  </si>
  <si>
    <t>ident:238/286 pos:263/286 query:286 hit:286 align:286 bit:502.3</t>
  </si>
  <si>
    <t>sp|P56537|IF6_HUMAN</t>
  </si>
  <si>
    <t>Eukaryotic translation initiation factor 6 OS=Homo sapiens OX=9606 GN=EIF6 PE=1 SV=1</t>
  </si>
  <si>
    <t>ident:241/245 pos:243/245 query:245 hit:245 align:245 bit:494.2</t>
  </si>
  <si>
    <t>sp|Q99832|TCPH_HUMAN</t>
  </si>
  <si>
    <t>T-complex protein 1 subunit eta OS=Homo sapiens OX=9606 GN=CCT7 PE=1 SV=2</t>
  </si>
  <si>
    <t>ident:531/543 pos:537/543 query:543 hit:543 align:543 bit:1096.3</t>
  </si>
  <si>
    <t>XP_027479154.1</t>
  </si>
  <si>
    <t>phospholipase B1, membrane-associated isoform X1 [Zalophus californianus]</t>
  </si>
  <si>
    <t>sp|Q6P1J6|PLB1_HUMAN</t>
  </si>
  <si>
    <t>Phospholipase B1, membrane-associated OS=Homo sapiens OX=9606 GN=PLB1 PE=1 SV=3</t>
  </si>
  <si>
    <t>ident:1132/1458 pos:1264/1458 query:1458 hit:1458 align:1462 bit:2315.4</t>
  </si>
  <si>
    <t>sp|Q05639|EF1A2_HUMAN</t>
  </si>
  <si>
    <t>Elongation factor 1-alpha 2 OS=Homo sapiens OX=9606 GN=EEF1A2 PE=1 SV=1</t>
  </si>
  <si>
    <t>ident:462/463 pos:463/463 query:463 hit:463 align:463 bit:951.8</t>
  </si>
  <si>
    <t>sp|Q9H444|CHM4B_HUMAN</t>
  </si>
  <si>
    <t>Charged multivesicular body protein 4b OS=Homo sapiens OX=9606 GN=CHMP4B PE=1 SV=1</t>
  </si>
  <si>
    <t>ident:219/224 pos:221/224 query:224 hit:224 align:224 bit:439.9</t>
  </si>
  <si>
    <t>sp|P18510|IL1RA_HUMAN</t>
  </si>
  <si>
    <t>Interleukin-1 receptor antagonist protein OS=Homo sapiens OX=9606 GN=IL1RN PE=1 SV=1</t>
  </si>
  <si>
    <t>ident:125/223 pos:142/223 query:223 hit:177 align:156 bit:276.9</t>
  </si>
  <si>
    <t>XP_027479375.1</t>
  </si>
  <si>
    <t>fumarylacetoacetate hydrolase domain-containing protein 2A isoform X1 [Zalophus californianus]</t>
  </si>
  <si>
    <t>sp|Q96GK7|FAH2A_HUMAN</t>
  </si>
  <si>
    <t>Fumarylacetoacetate hydrolase domain-containing protein 2A OS=Homo sapiens OX=9606 GN=FAHD2A PE=1 SV=1</t>
  </si>
  <si>
    <t>ident:298/313 pos:307/313 query:313 hit:314 align:314 bit:614.8</t>
  </si>
  <si>
    <t>sp|Q3ZCW2|LEGL_HUMAN</t>
  </si>
  <si>
    <t>Galectin-related protein OS=Homo sapiens OX=9606 GN=LGALSL PE=1 SV=2</t>
  </si>
  <si>
    <t>ident:169/172 pos:169/172 query:172 hit:172 align:172 bit:347.8</t>
  </si>
  <si>
    <t>sp|P63220|RS21_HUMAN</t>
  </si>
  <si>
    <t>40S ribosomal protein S21 OS=Homo sapiens OX=9606 GN=RPS21 PE=1 SV=1</t>
  </si>
  <si>
    <t>ident:83/83 pos:83/83 query:83 hit:83 align:83 bit:172.2</t>
  </si>
  <si>
    <t>matrilin-4 [Zalophus californianus]</t>
  </si>
  <si>
    <t>sp|O95460|MATN4_HUMAN</t>
  </si>
  <si>
    <t>Matrilin-4 OS=Homo sapiens OX=9606 GN=MATN4 PE=1 SV=3</t>
  </si>
  <si>
    <t>ident:559/624 pos:578/624 query:624 hit:622 align:608 bit:1149.0</t>
  </si>
  <si>
    <t>sp|Q9NQC3|RTN4_HUMAN</t>
  </si>
  <si>
    <t>Reticulon-4 OS=Homo sapiens OX=9606 GN=RTN4 PE=1 SV=2</t>
  </si>
  <si>
    <t>ident:1012/1196 pos:1081/1196 query:1196 hit:1192 align:1201 bit:1763.0</t>
  </si>
  <si>
    <t>macrophage-capping protein [Zalophus californianus]</t>
  </si>
  <si>
    <t>sp|P40121|CAPG_HUMAN</t>
  </si>
  <si>
    <t>Macrophage-capping protein OS=Homo sapiens OX=9606 GN=CAPG PE=1 SV=2</t>
  </si>
  <si>
    <t>ident:335/349 pos:342/349 query:349 hit:348 align:349 bit:696.8</t>
  </si>
  <si>
    <t>XP_027479580.1</t>
  </si>
  <si>
    <t>sp|Q8WUT4|LRRN4_HUMAN</t>
  </si>
  <si>
    <t>Leucine-rich repeat neuronal protein 4 OS=Homo sapiens OX=9606 GN=LRRN4 PE=2 SV=3</t>
  </si>
  <si>
    <t>ident:536/757 pos:581/757 query:757 hit:740 align:747 bit:956.8</t>
  </si>
  <si>
    <t>XP_027479607.1</t>
  </si>
  <si>
    <t>sp|O00241|SIRB1_HUMAN</t>
  </si>
  <si>
    <t>Signal-regulatory protein beta-1 OS=Homo sapiens OX=9606 GN=SIRPB1 PE=1 SV=5</t>
  </si>
  <si>
    <t>ident:259/442 pos:312/442 query:442 hit:398 align:399 bit:488.0</t>
  </si>
  <si>
    <t>sp|O15232|MATN3_HUMAN</t>
  </si>
  <si>
    <t>Matrilin-3 OS=Homo sapiens OX=9606 GN=MATN3 PE=1 SV=2</t>
  </si>
  <si>
    <t>ident:400/623 pos:427/623 query:623 hit:486 align:461 bit:839.3</t>
  </si>
  <si>
    <t>sp|P01189|COLI_HUMAN</t>
  </si>
  <si>
    <t>Pro-opiomelanocortin OS=Homo sapiens OX=9606 GN=POMC PE=1 SV=2</t>
  </si>
  <si>
    <t>ident:196/248 pos:209/248 query:248 hit:267 align:272 bit:338.2</t>
  </si>
  <si>
    <t>sp|P62917|RL8_HUMAN</t>
  </si>
  <si>
    <t>60S ribosomal protein L8 OS=Homo sapiens OX=9606 GN=RPL8 PE=1 SV=2</t>
  </si>
  <si>
    <t>ident:257/257 pos:257/257 query:257 hit:257 align:257 bit:517.7</t>
  </si>
  <si>
    <t>sp|O95932|TGM3L_HUMAN</t>
  </si>
  <si>
    <t>Protein-glutamine gamma-glutamyltransferase 6 OS=Homo sapiens OX=9606 GN=TGM6 PE=1 SV=3</t>
  </si>
  <si>
    <t>ident:595/727 pos:648/727 query:727 hit:706 align:703 bit:1229.5</t>
  </si>
  <si>
    <t>ident:178/303 pos:190/303 query:303 hit:449 align:196 bit:389.0</t>
  </si>
  <si>
    <t>sp|Q8NEX6|WFD11_HUMAN</t>
  </si>
  <si>
    <t>Protein WFDC11 OS=Homo sapiens OX=9606 GN=WFDC11 PE=3 SV=1</t>
  </si>
  <si>
    <t>ident:26/117 pos:38/117 query:117 hit:87 align:81 bit:38.9</t>
  </si>
  <si>
    <t>sp|O14818|PSA7_HUMAN</t>
  </si>
  <si>
    <t>Proteasome subunit alpha type-7 OS=Homo sapiens OX=9606 GN=PSMA7 PE=1 SV=1</t>
  </si>
  <si>
    <t>ident:211/251 pos:215/251 query:251 hit:248 align:233 bit:425.2</t>
  </si>
  <si>
    <t>sp|Q9P2E9|RRBP1_HUMAN</t>
  </si>
  <si>
    <t>Ribosome-binding protein 1 OS=Homo sapiens OX=9606 GN=RRBP1 PE=1 SV=5</t>
  </si>
  <si>
    <t>ident:1137/1325 pos:1206/1325 query:1325 hit:1410 align:1412 bit:1922.1</t>
  </si>
  <si>
    <t>sp|O15230|LAMA5_HUMAN</t>
  </si>
  <si>
    <t>Laminin subunit alpha-5 OS=Homo sapiens OX=9606 GN=LAMA5 PE=1 SV=8</t>
  </si>
  <si>
    <t>ident:2969/3707 pos:3210/3707 query:3707 hit:3695 align:3683 bit:5984.4</t>
  </si>
  <si>
    <t>sp|P35558|PCKGC_HUMAN</t>
  </si>
  <si>
    <t>Phosphoenolpyruvate carboxykinase, cytosolic [GTP] OS=Homo sapiens OX=9606 GN=PCK1 PE=1 SV=3</t>
  </si>
  <si>
    <t>ident:558/622 pos:590/622 query:622 hit:622 align:622 bit:1180.2</t>
  </si>
  <si>
    <t>sp|Q9P2B2|FPRP_HUMAN</t>
  </si>
  <si>
    <t>Prostaglandin F2 receptor negative regulator OS=Homo sapiens OX=9606 GN=PTGFRN PE=1 SV=2</t>
  </si>
  <si>
    <t>ident:793/879 pos:835/879 query:879 hit:879 align:879 bit:1622.8</t>
  </si>
  <si>
    <t>XP_027479820.1</t>
  </si>
  <si>
    <t>sp|P14778|IL1R1_HUMAN</t>
  </si>
  <si>
    <t>Interleukin-1 receptor type 1 OS=Homo sapiens OX=9606 GN=IL1R1 PE=1 SV=1</t>
  </si>
  <si>
    <t>ident:434/576 pos:498/576 query:576 hit:569 align:573 bit:921.0</t>
  </si>
  <si>
    <t>sp|Q9NS71|GKN1_HUMAN</t>
  </si>
  <si>
    <t>Gastrokine-1 OS=Homo sapiens OX=9606 GN=GKN1 PE=2 SV=3</t>
  </si>
  <si>
    <t>ident:131/185 pos:158/185 query:185 hit:199 align:185 bit:253.4</t>
  </si>
  <si>
    <t>XP_027479850.1</t>
  </si>
  <si>
    <t>sp|P18827|SDC1_HUMAN</t>
  </si>
  <si>
    <t>Syndecan-1 OS=Homo sapiens OX=9606 GN=SDC1 PE=1 SV=3</t>
  </si>
  <si>
    <t>ident:228/310 pos:240/310 query:310 hit:310 align:288 bit:393.3</t>
  </si>
  <si>
    <t>XP_027479853.1</t>
  </si>
  <si>
    <t>sp|Q92626|PXDN_HUMAN</t>
  </si>
  <si>
    <t>Peroxidasin homolog OS=Homo sapiens OX=9606 GN=PXDN PE=1 SV=2</t>
  </si>
  <si>
    <t>ident:1326/1479 pos:1393/1479 query:1479 hit:1479 align:1479 bit:2767.6</t>
  </si>
  <si>
    <t>sp|P49247|RPIA_HUMAN</t>
  </si>
  <si>
    <t>Ribose-5-phosphate isomerase OS=Homo sapiens OX=9606 GN=RPIA PE=1 SV=3</t>
  </si>
  <si>
    <t>ident:295/311 pos:301/311 query:311 hit:311 align:310 bit:580.9</t>
  </si>
  <si>
    <t>XP_027479886.1</t>
  </si>
  <si>
    <t>sp|P05060|SCG1_HUMAN</t>
  </si>
  <si>
    <t>Secretogranin-1 OS=Homo sapiens OX=9606 GN=CHGB PE=1 SV=2</t>
  </si>
  <si>
    <t>ident:516/670 pos:561/670 query:670 hit:677 align:683 bit:882.1</t>
  </si>
  <si>
    <t>sp|Q53RD9|FBLN7_HUMAN</t>
  </si>
  <si>
    <t>Fibulin-7 OS=Homo sapiens OX=9606 GN=FBLN7 PE=2 SV=1</t>
  </si>
  <si>
    <t>ident:402/441 pos:413/441 query:441 hit:439 align:441 bit:803.5</t>
  </si>
  <si>
    <t>sp|P07988|PSPB_HUMAN</t>
  </si>
  <si>
    <t>Pulmonary surfactant-associated protein B OS=Homo sapiens OX=9606 GN=SFTPB PE=1 SV=3</t>
  </si>
  <si>
    <t>ident:248/364 pos:281/364 query:364 hit:381 align:366 bit:487.3</t>
  </si>
  <si>
    <t>sp|Q9BR39|JPH2_HUMAN</t>
  </si>
  <si>
    <t>Junctophilin-2 OS=Homo sapiens OX=9606 GN=JPH2 PE=1 SV=2</t>
  </si>
  <si>
    <t>ident:628/693 pos:647/693 query:693 hit:696 align:699 bit:1074.7</t>
  </si>
  <si>
    <t>XP_027479965.1</t>
  </si>
  <si>
    <t>T-cell surface glycoprotein CD8 alpha chain isoform X1 [Zalophus californianus]</t>
  </si>
  <si>
    <t>sp|P01732|CD8A_HUMAN</t>
  </si>
  <si>
    <t>T-cell surface glycoprotein CD8 alpha chain OS=Homo sapiens OX=9606 GN=CD8A PE=1 SV=1</t>
  </si>
  <si>
    <t>ident:147/275 pos:171/275 query:275 hit:235 align:219 bit:263.1</t>
  </si>
  <si>
    <t>XP_027479990.1</t>
  </si>
  <si>
    <t>sp|P40939|ECHA_HUMAN</t>
  </si>
  <si>
    <t>Trifunctional enzyme subunit alpha, mitochondrial OS=Homo sapiens OX=9606 GN=HADHA PE=1 SV=2</t>
  </si>
  <si>
    <t>ident:689/763 pos:731/763 query:763 hit:763 align:763 bit:1420.6</t>
  </si>
  <si>
    <t>sp|P55084|ECHB_HUMAN</t>
  </si>
  <si>
    <t>Trifunctional enzyme subunit beta, mitochondrial OS=Homo sapiens OX=9606 GN=HADHB PE=1 SV=3</t>
  </si>
  <si>
    <t>ident:441/474 pos:462/474 query:474 hit:474 align:473 bit:921.8</t>
  </si>
  <si>
    <t>sp|P16422|EPCAM_HUMAN</t>
  </si>
  <si>
    <t>Epithelial cell adhesion molecule OS=Homo sapiens OX=9606 GN=EPCAM PE=1 SV=2</t>
  </si>
  <si>
    <t>ident:255/316 pos:279/316 query:316 hit:314 align:316 bit:469.2</t>
  </si>
  <si>
    <t>sp|Q07837|SLC31_HUMAN</t>
  </si>
  <si>
    <t>Neutral and basic amino acid transport protein rBAT OS=Homo sapiens OX=9606 GN=SLC3A1 PE=1 SV=2</t>
  </si>
  <si>
    <t>ident:571/681 pos:624/681 query:681 hit:685 align:685 bit:1200.3</t>
  </si>
  <si>
    <t>sp|P35270|SPRE_HUMAN</t>
  </si>
  <si>
    <t>Sepiapterin reductase OS=Homo sapiens OX=9606 GN=SPR PE=1 SV=1</t>
  </si>
  <si>
    <t>ident:226/267 pos:246/267 query:267 hit:261 align:259 bit:439.1</t>
  </si>
  <si>
    <t>sp|P23193|TCEA1_HUMAN</t>
  </si>
  <si>
    <t>Transcription elongation factor A protein 1 OS=Homo sapiens OX=9606 GN=TCEA1 PE=1 SV=2</t>
  </si>
  <si>
    <t>ident:292/301 pos:298/301 query:301 hit:301 align:301 bit:604.0</t>
  </si>
  <si>
    <t>sp|Q8NDH3|PEPL1_HUMAN</t>
  </si>
  <si>
    <t>Probable aminopeptidase NPEPL1 OS=Homo sapiens OX=9606 GN=NPEPL1 PE=1 SV=3</t>
  </si>
  <si>
    <t>ident:498/523 pos:513/523 query:523 hit:523 align:523 bit:1003.8</t>
  </si>
  <si>
    <t>sp|Q9BYZ8|REG4_HUMAN</t>
  </si>
  <si>
    <t>Regenerating islet-derived protein 4 OS=Homo sapiens OX=9606 GN=REG4 PE=1 SV=1</t>
  </si>
  <si>
    <t>ident:118/158 pos:141/158 query:158 hit:158 align:158 bit:254.6</t>
  </si>
  <si>
    <t>sp|Q5VST9|OBSCN_HUMAN</t>
  </si>
  <si>
    <t>Obscurin OS=Homo sapiens OX=9606 GN=OBSCN PE=1 SV=3</t>
  </si>
  <si>
    <t>ident:383/580 pos:391/580 query:580 hit:7968 align:419 bit:756.9</t>
  </si>
  <si>
    <t>ident:1887/7102 pos:2122/7102 query:7102 hit:7968 align:2694 bit:3556.5</t>
  </si>
  <si>
    <t>sp|Q13410|BT1A1_HUMAN</t>
  </si>
  <si>
    <t>Butyrophilin subfamily 1 member A1 OS=Homo sapiens OX=9606 GN=BTN1A1 PE=1 SV=3</t>
  </si>
  <si>
    <t>ident:195/509 pos:274/509 query:509 hit:526 align:468 bit:351.3</t>
  </si>
  <si>
    <t>XP_027480285.1</t>
  </si>
  <si>
    <t>sp|Q6UXG3|CLM9_HUMAN</t>
  </si>
  <si>
    <t>CMRF35-like molecule 9 OS=Homo sapiens OX=9606 GN=CD300LG PE=1 SV=2</t>
  </si>
  <si>
    <t>ident:228/368 pos:252/368 query:368 hit:332 align:355 bit:358.2</t>
  </si>
  <si>
    <t>sp|Q9UK76|JUPI1_HUMAN</t>
  </si>
  <si>
    <t>Jupiter microtubule associated homolog 1 OS=Homo sapiens OX=9606 GN=JPT1 PE=1 SV=3</t>
  </si>
  <si>
    <t>ident:142/154 pos:147/154 query:154 hit:154 align:154 bit:241.5</t>
  </si>
  <si>
    <t>sp|P02730|B3AT_HUMAN</t>
  </si>
  <si>
    <t>Band 3 anion transport protein OS=Homo sapiens OX=9606 GN=SLC4A1 PE=1 SV=3</t>
  </si>
  <si>
    <t>ident:786/949 pos:835/949 query:949 hit:911 align:924 bit:1510.0</t>
  </si>
  <si>
    <t>sp|P08138|TNR16_HUMAN</t>
  </si>
  <si>
    <t>Tumor necrosis factor receptor superfamily member 16 OS=Homo sapiens OX=9606 GN=NGFR PE=1 SV=1</t>
  </si>
  <si>
    <t>ident:409/581 pos:415/581 query:581 hit:427 align:429 bit:792.0</t>
  </si>
  <si>
    <t>sp|P11678|PERE_HUMAN</t>
  </si>
  <si>
    <t>Eosinophil peroxidase OS=Homo sapiens OX=9606 GN=EPX PE=1 SV=2</t>
  </si>
  <si>
    <t>ident:578/680 pos:629/680 query:680 hit:715 align:714 bit:1176.4</t>
  </si>
  <si>
    <t>sp|Q92614|MY18A_HUMAN</t>
  </si>
  <si>
    <t>Unconventional myosin-XVIIIa OS=Homo sapiens OX=9606 GN=MYO18A PE=1 SV=3</t>
  </si>
  <si>
    <t>ident:1613/2315 pos:1641/2315 query:2315 hit:2054 align:1692 bit:3280.7</t>
  </si>
  <si>
    <t>XP_027480555.1</t>
  </si>
  <si>
    <t>sp|O14907|TX1B3_HUMAN</t>
  </si>
  <si>
    <t>Tax1-binding protein 3 OS=Homo sapiens OX=9606 GN=TAX1BP3 PE=1 SV=2</t>
  </si>
  <si>
    <t>ident:124/124 pos:124/124 query:124 hit:124 align:124 bit:253.4</t>
  </si>
  <si>
    <t>sp|P12821|ACE_HUMAN</t>
  </si>
  <si>
    <t>Angiotensin-converting enzyme OS=Homo sapiens OX=9606 GN=ACE PE=1 SV=1</t>
  </si>
  <si>
    <t>ident:1087/1311 pos:1189/1311 query:1311 hit:1306 align:1277 bit:2316.2</t>
  </si>
  <si>
    <t>sp|P63027|VAMP2_HUMAN</t>
  </si>
  <si>
    <t>Vesicle-associated membrane protein 2 OS=Homo sapiens OX=9606 GN=VAMP2 PE=1 SV=3</t>
  </si>
  <si>
    <t>ident:115/116 pos:116/116 query:116 hit:116 align:116 bit:235.7</t>
  </si>
  <si>
    <t>XP_027480571.1</t>
  </si>
  <si>
    <t>sp|Q14258|TRI25_HUMAN</t>
  </si>
  <si>
    <t>E3 ubiquitin/ISG15 ligase TRIM25 OS=Homo sapiens OX=9606 GN=TRIM25 PE=1 SV=2</t>
  </si>
  <si>
    <t>ident:499/746 pos:545/746 query:746 hit:630 align:634 bit:1002.7</t>
  </si>
  <si>
    <t>XP_027480592.1</t>
  </si>
  <si>
    <t>sp|Q9HC38|GLOD4_HUMAN</t>
  </si>
  <si>
    <t>Glyoxalase domain-containing protein 4 OS=Homo sapiens OX=9606 GN=GLOD4 PE=1 SV=1</t>
  </si>
  <si>
    <t>ident:267/298 pos:278/298 query:298 hit:313 align:313 bit:542.0</t>
  </si>
  <si>
    <t>XP_027480594.1</t>
  </si>
  <si>
    <t>sp|Q05707|COEA1_HUMAN</t>
  </si>
  <si>
    <t>Collagen alpha-1(XIV) chain OS=Homo sapiens OX=9606 GN=COL14A1 PE=1 SV=3</t>
  </si>
  <si>
    <t>ident:1647/1797 pos:1724/1797 query:1797 hit:1796 align:1797 bit:3087.0</t>
  </si>
  <si>
    <t>sp|P22692|IBP4_HUMAN</t>
  </si>
  <si>
    <t>Insulin-like growth factor-binding protein 4 OS=Homo sapiens OX=9606 GN=IGFBP4 PE=1 SV=2</t>
  </si>
  <si>
    <t>ident:252/258 pos:253/258 query:258 hit:258 align:258 bit:508.8</t>
  </si>
  <si>
    <t>XP_027480605.1</t>
  </si>
  <si>
    <t>sp|P16284|PECA1_HUMAN</t>
  </si>
  <si>
    <t>Platelet endothelial cell adhesion molecule OS=Homo sapiens OX=9606 GN=PECAM1 PE=1 SV=2</t>
  </si>
  <si>
    <t>ident:512/707 pos:594/707 query:707 hit:738 align:740 bit:1002.3</t>
  </si>
  <si>
    <t>sp|Q8WUJ1|NEUFC_HUMAN</t>
  </si>
  <si>
    <t>Neuferricin OS=Homo sapiens OX=9606 GN=CYB5D2 PE=2 SV=1</t>
  </si>
  <si>
    <t>ident:200/265 pos:211/265 query:265 hit:264 align:238 bit:411.0</t>
  </si>
  <si>
    <t>sp|Q14344|GNA13_HUMAN</t>
  </si>
  <si>
    <t>Guanine nucleotide-binding protein subunit alpha-13 OS=Homo sapiens OX=9606 GN=GNA13 PE=1 SV=2</t>
  </si>
  <si>
    <t>ident:369/377 pos:374/377 query:377 hit:377 align:377 bit:766.9</t>
  </si>
  <si>
    <t>XP_027480719.1</t>
  </si>
  <si>
    <t>sp|Q00610|CLH1_HUMAN</t>
  </si>
  <si>
    <t>Clathrin heavy chain 1 OS=Homo sapiens OX=9606 GN=CLTC PE=1 SV=5</t>
  </si>
  <si>
    <t>ident:1674/1682 pos:1674/1682 query:1682 hit:1675 align:1682 bit:3478.3</t>
  </si>
  <si>
    <t>XP_027480727.1</t>
  </si>
  <si>
    <t>sp|P63010|AP2B1_HUMAN</t>
  </si>
  <si>
    <t>AP-2 complex subunit beta OS=Homo sapiens OX=9606 GN=AP2B1 PE=1 SV=1</t>
  </si>
  <si>
    <t>ident:937/951 pos:937/951 query:951 hit:937 align:951 bit:1919.4</t>
  </si>
  <si>
    <t>XP_027480774.1</t>
  </si>
  <si>
    <t>sp|Q08380|LG3BP_HUMAN</t>
  </si>
  <si>
    <t>Galectin-3-binding protein OS=Homo sapiens OX=9606 GN=LGALS3BP PE=1 SV=1</t>
  </si>
  <si>
    <t>ident:415/862 pos:472/862 query:862 hit:585 align:587 bit:842.8</t>
  </si>
  <si>
    <t>sp|Q9UHD8|SEPT9_HUMAN</t>
  </si>
  <si>
    <t>Septin-9 OS=Homo sapiens OX=9606 GN=SEPT9 PE=1 SV=2</t>
  </si>
  <si>
    <t>ident:504/613 pos:519/613 query:613 hit:586 align:561 bit:1015.8</t>
  </si>
  <si>
    <t>sp|A0PJK1|SC5AA_HUMAN</t>
  </si>
  <si>
    <t>Sodium/glucose cotransporter 5 OS=Homo sapiens OX=9606 GN=SLC5A10 PE=1 SV=2</t>
  </si>
  <si>
    <t>ident:554/597 pos:572/597 query:597 hit:596 align:596 bit:1083.2</t>
  </si>
  <si>
    <t>XP_027480832.1</t>
  </si>
  <si>
    <t>sp|O94832|MYO1D_HUMAN</t>
  </si>
  <si>
    <t>Unconventional myosin-Id OS=Homo sapiens OX=9606 GN=MYO1D PE=1 SV=2</t>
  </si>
  <si>
    <t>ident:948/1007 pos:965/1007 query:1007 hit:1006 align:974 bit:1986.5</t>
  </si>
  <si>
    <t>sp|Q9H2A7|CXL16_HUMAN</t>
  </si>
  <si>
    <t>C-X-C motif chemokine 16 OS=Homo sapiens OX=9606 GN=CXCL16 PE=2 SV=4</t>
  </si>
  <si>
    <t>ident:137/250 pos:158/250 query:250 hit:254 align:232 bit:254.2</t>
  </si>
  <si>
    <t>dynein light chain 2, cytoplasmic [Zalophus californianus]</t>
  </si>
  <si>
    <t>sp|Q96FJ2|DYL2_HUMAN</t>
  </si>
  <si>
    <t>Dynein light chain 2, cytoplasmic OS=Homo sapiens OX=9606 GN=DYNLL2 PE=1 SV=1</t>
  </si>
  <si>
    <t>ident:89/89 pos:89/89 query:89 hit:89 align:89 bit:188.7</t>
  </si>
  <si>
    <t>sp|Q92817|EVPL_HUMAN</t>
  </si>
  <si>
    <t>Envoplakin OS=Homo sapiens OX=9606 GN=EVPL PE=1 SV=3</t>
  </si>
  <si>
    <t>ident:1755/2030 pos:1879/2030 query:2030 hit:2033 align:2030 bit:3307.3</t>
  </si>
  <si>
    <t>XP_027480936.1</t>
  </si>
  <si>
    <t>sp|P46459|NSF_HUMAN</t>
  </si>
  <si>
    <t>Vesicle-fusing ATPase OS=Homo sapiens OX=9606 GN=NSF PE=1 SV=3</t>
  </si>
  <si>
    <t>ident:733/761 pos:738/761 query:761 hit:744 align:740 bit:1509.2</t>
  </si>
  <si>
    <t>sp|Q9Y623|MYH4_HUMAN</t>
  </si>
  <si>
    <t>Myosin-4 OS=Homo sapiens OX=9606 GN=MYH4 PE=2 SV=2</t>
  </si>
  <si>
    <t>ident:1836/1939 pos:1898/1939 query:1939 hit:1939 align:1939 bit:3680.9</t>
  </si>
  <si>
    <t>XP_027480956.1</t>
  </si>
  <si>
    <t>sp|P13535|MYH8_HUMAN</t>
  </si>
  <si>
    <t>Myosin-8 OS=Homo sapiens OX=9606 GN=MYH8 PE=1 SV=3</t>
  </si>
  <si>
    <t>ident:1871/1939 pos:1908/1939 query:1939 hit:1937 align:1939 bit:3826.6</t>
  </si>
  <si>
    <t>XP_027480959.1</t>
  </si>
  <si>
    <t>sp|P12882|MYH1_HUMAN</t>
  </si>
  <si>
    <t>Myosin-1 OS=Homo sapiens OX=9606 GN=MYH1 PE=1 SV=3</t>
  </si>
  <si>
    <t>ident:1875/1939 pos:1905/1939 query:1939 hit:1939 align:1939 bit:3842.3</t>
  </si>
  <si>
    <t>sp|Q9UKX3|MYH13_HUMAN</t>
  </si>
  <si>
    <t>Myosin-13 OS=Homo sapiens OX=9606 GN=MYH13 PE=2 SV=2</t>
  </si>
  <si>
    <t>ident:1776/1938 pos:1857/1938 query:1938 hit:1938 align:1938 bit:3534.6</t>
  </si>
  <si>
    <t>XP_027481140.1</t>
  </si>
  <si>
    <t>sp|P49748|ACADV_HUMAN</t>
  </si>
  <si>
    <t>Very long-chain specific acyl-CoA dehydrogenase, mitochondrial OS=Homo sapiens OX=9606 GN=ACADVL PE=1 SV=1</t>
  </si>
  <si>
    <t>ident:598/689 pos:621/689 query:689 hit:655 align:689 bit:1185.6</t>
  </si>
  <si>
    <t>sp|Q9BRA2|TXD17_HUMAN</t>
  </si>
  <si>
    <t>Thioredoxin domain-containing protein 17 OS=Homo sapiens OX=9606 GN=TXNDC17 PE=1 SV=1</t>
  </si>
  <si>
    <t>ident:115/123 pos:117/123 query:123 hit:123 align:123 bit:238.4</t>
  </si>
  <si>
    <t>cAMP-dependent protein kinase type I-alpha regulatory subunit [Zalophus californianus]</t>
  </si>
  <si>
    <t>sp|P10644|KAP0_HUMAN</t>
  </si>
  <si>
    <t>cAMP-dependent protein kinase type I-alpha regulatory subunit OS=Homo sapiens OX=9606 GN=PRKAR1A PE=1 SV=1</t>
  </si>
  <si>
    <t>ident:372/381 pos:375/381 query:381 hit:381 align:381 bit:763.5</t>
  </si>
  <si>
    <t>XP_027481171.1</t>
  </si>
  <si>
    <t>sp|Q14254|FLOT2_HUMAN</t>
  </si>
  <si>
    <t>Flotillin-2 OS=Homo sapiens OX=9606 GN=FLOT2 PE=1 SV=2</t>
  </si>
  <si>
    <t>ident:423/428 pos:425/428 query:428 hit:428 align:427 bit:853.6</t>
  </si>
  <si>
    <t>sp|Q96CG8|CTHR1_HUMAN</t>
  </si>
  <si>
    <t>Collagen triple helix repeat-containing protein 1 OS=Homo sapiens OX=9606 GN=CTHRC1 PE=1 SV=1</t>
  </si>
  <si>
    <t>ident:234/244 pos:237/244 query:244 hit:243 align:244 bit:447.2</t>
  </si>
  <si>
    <t>XP_027481195.1</t>
  </si>
  <si>
    <t>sp|Q14974|IMB1_HUMAN</t>
  </si>
  <si>
    <t>Importin subunit beta-1 OS=Homo sapiens OX=9606 GN=KPNB1 PE=1 SV=2</t>
  </si>
  <si>
    <t>ident:871/877 pos:873/877 query:877 hit:876 align:876 bit:1801.2</t>
  </si>
  <si>
    <t>sp|P04004|VTNC_HUMAN</t>
  </si>
  <si>
    <t>Vitronectin OS=Homo sapiens OX=9606 GN=VTN PE=1 SV=1</t>
  </si>
  <si>
    <t>ident:348/470 pos:377/470 query:470 hit:478 align:460 bit:696.0</t>
  </si>
  <si>
    <t>XP_027481244.1</t>
  </si>
  <si>
    <t>sp|Q6ZVM7|TM1L2_HUMAN</t>
  </si>
  <si>
    <t>TOM1-like protein 2 OS=Homo sapiens OX=9606 GN=TOM1L2 PE=1 SV=1</t>
  </si>
  <si>
    <t>ident:496/529 pos:499/529 query:529 hit:507 align:529 bit:1000.7</t>
  </si>
  <si>
    <t>sp|Q7Z7K6|CENPV_HUMAN</t>
  </si>
  <si>
    <t>Centromere protein V OS=Homo sapiens OX=9606 GN=CENPV PE=1 SV=1</t>
  </si>
  <si>
    <t>ident:215/268 pos:227/268 query:268 hit:275 align:275 bit:378.3</t>
  </si>
  <si>
    <t>XP_027481343.1</t>
  </si>
  <si>
    <t>sp|Q93084|AT2A3_HUMAN</t>
  </si>
  <si>
    <t>Sarcoplasmic/endoplasmic reticulum calcium ATPase 3 OS=Homo sapiens OX=9606 GN=ATP2A3 PE=1 SV=2</t>
  </si>
  <si>
    <t>ident:936/1026 pos:959/1026 query:1026 hit:1043 align:1015 bit:1862.4</t>
  </si>
  <si>
    <t>sp|Q9UKX2|MYH2_HUMAN</t>
  </si>
  <si>
    <t>Myosin-2 OS=Homo sapiens OX=9606 GN=MYH2 PE=1 SV=1</t>
  </si>
  <si>
    <t>ident:1887/1940 pos:1915/1940 query:1940 hit:1941 align:1941 bit:3847.0</t>
  </si>
  <si>
    <t>XP_027481390.1</t>
  </si>
  <si>
    <t>sp|P55786|PSA_HUMAN</t>
  </si>
  <si>
    <t>Puromycin-sensitive aminopeptidase OS=Homo sapiens OX=9606 GN=NPEPPS PE=1 SV=2</t>
  </si>
  <si>
    <t>ident:906/931 pos:911/931 query:931 hit:919 align:930 bit:1868.6</t>
  </si>
  <si>
    <t>sp|P10253|LYAG_HUMAN</t>
  </si>
  <si>
    <t>Lysosomal alpha-glucosidase OS=Homo sapiens OX=9606 GN=GAA PE=1 SV=4</t>
  </si>
  <si>
    <t>ident:798/957 pos:861/957 query:957 hit:952 align:957 bit:1607.0</t>
  </si>
  <si>
    <t>XP_027481395.1</t>
  </si>
  <si>
    <t>sp|Q96CM8|ACSF2_HUMAN</t>
  </si>
  <si>
    <t>Acyl-CoA synthetase family member 2, mitochondrial OS=Homo sapiens OX=9606 GN=ACSF2 PE=1 SV=2</t>
  </si>
  <si>
    <t>ident:512/615 pos:560/615 query:615 hit:615 align:615 bit:1085.1</t>
  </si>
  <si>
    <t>sp|O75947|ATP5H_HUMAN</t>
  </si>
  <si>
    <t>ATP synthase subunit d, mitochondrial OS=Homo sapiens OX=9606 GN=ATP5PD PE=1 SV=3</t>
  </si>
  <si>
    <t>ident:145/161 pos:154/161 query:161 hit:161 align:161 bit:300.1</t>
  </si>
  <si>
    <t>sp|O75976|CBPD_HUMAN</t>
  </si>
  <si>
    <t>Carboxypeptidase D OS=Homo sapiens OX=9606 GN=CPD PE=1 SV=2</t>
  </si>
  <si>
    <t>ident:1292/1379 pos:1327/1379 query:1379 hit:1380 align:1386 bit:2587.0</t>
  </si>
  <si>
    <t>sp|P49327|FAS_HUMAN</t>
  </si>
  <si>
    <t>Fatty acid synthase OS=Homo sapiens OX=9606 GN=FASN PE=1 SV=3</t>
  </si>
  <si>
    <t>ident:2060/2518 pos:2252/2518 query:2518 hit:2511 align:2519 bit:4187.1</t>
  </si>
  <si>
    <t>XP_027481464.1</t>
  </si>
  <si>
    <t>sp|P40763|STAT3_HUMAN</t>
  </si>
  <si>
    <t>Signal transducer and activator of transcription 3 OS=Homo sapiens OX=9606 GN=STAT3 PE=1 SV=2</t>
  </si>
  <si>
    <t>ident:768/770 pos:769/770 query:770 hit:770 align:770 bit:1605.1</t>
  </si>
  <si>
    <t>sp|Q8WZ82|OVCA2_HUMAN</t>
  </si>
  <si>
    <t>Esterase OVCA2 OS=Homo sapiens OX=9606 GN=OVCA2 PE=1 SV=1</t>
  </si>
  <si>
    <t>ident:195/269 pos:204/269 query:269 hit:227 align:227 bit:345.1</t>
  </si>
  <si>
    <t>XP_027481505.1</t>
  </si>
  <si>
    <t>sp|P46108|CRK_HUMAN</t>
  </si>
  <si>
    <t>Adapter molecule crk OS=Homo sapiens OX=9606 GN=CRK PE=1 SV=2</t>
  </si>
  <si>
    <t>ident:201/204 pos:202/204 query:204 hit:304 align:203 bit:407.9</t>
  </si>
  <si>
    <t>sp|P62258|1433E_HUMAN</t>
  </si>
  <si>
    <t>14-3-3 protein epsilon OS=Homo sapiens OX=9606 GN=YWHAE PE=1 SV=1</t>
  </si>
  <si>
    <t>ident:255/255 pos:255/255 query:255 hit:255 align:255 bit:524.2</t>
  </si>
  <si>
    <t>sp|P84098|RL19_HUMAN</t>
  </si>
  <si>
    <t>60S ribosomal protein L19 OS=Homo sapiens OX=9606 GN=RPL19 PE=1 SV=1</t>
  </si>
  <si>
    <t>ident:196/196 pos:196/196 query:196 hit:196 align:196 bit:388.7</t>
  </si>
  <si>
    <t>sp|Q9BQG0|MBB1A_HUMAN</t>
  </si>
  <si>
    <t>Myb-binding protein 1A OS=Homo sapiens OX=9606 GN=MYBBP1A PE=1 SV=2</t>
  </si>
  <si>
    <t>ident:1013/1328 pos:1142/1328 query:1328 hit:1328 align:1335 bit:1904.4</t>
  </si>
  <si>
    <t>sp|P49720|PSB3_HUMAN</t>
  </si>
  <si>
    <t>Proteasome subunit beta type-3 OS=Homo sapiens OX=9606 GN=PSMB3 PE=1 SV=2</t>
  </si>
  <si>
    <t>ident:203/205 pos:205/205 query:205 hit:205 align:205 bit:426.4</t>
  </si>
  <si>
    <t>pre-mRNA-processing-splicing factor 8 [Zalophus californianus]</t>
  </si>
  <si>
    <t>sp|Q6P2Q9|PRP8_HUMAN</t>
  </si>
  <si>
    <t>Pre-mRNA-processing-splicing factor 8 OS=Homo sapiens OX=9606 GN=PRPF8 PE=1 SV=2</t>
  </si>
  <si>
    <t>ident:2335/2335 pos:2335/2335 query:2335 hit:2335 align:2335 bit:4873.5</t>
  </si>
  <si>
    <t>pigment epithelium-derived factor [Zalophus californianus]</t>
  </si>
  <si>
    <t>sp|P36955|PEDF_HUMAN</t>
  </si>
  <si>
    <t>Pigment epithelium-derived factor OS=Homo sapiens OX=9606 GN=SERPINF1 PE=1 SV=4</t>
  </si>
  <si>
    <t>ident:369/418 pos:393/418 query:418 hit:418 align:417 bit:764.2</t>
  </si>
  <si>
    <t>serine/arginine-rich splicing factor 2 [Zalophus californianus]</t>
  </si>
  <si>
    <t>sp|Q01130|SRSF2_HUMAN</t>
  </si>
  <si>
    <t>Serine/arginine-rich splicing factor 2 OS=Homo sapiens OX=9606 GN=SRSF2 PE=1 SV=4</t>
  </si>
  <si>
    <t>ident:221/221 pos:221/221 query:221 hit:221 align:221 bit:402.5</t>
  </si>
  <si>
    <t>guanine nucleotide-binding protein G(I)/G(S)/G(T) subunit beta-1 [Zalophus californianus]</t>
  </si>
  <si>
    <t>sp|P62873|GBB1_HUMAN</t>
  </si>
  <si>
    <t>Guanine nucleotide-binding protein G(I)/G(S)/G(T) subunit beta-1 OS=Homo sapiens OX=9606 GN=GNB1 PE=1 SV=3</t>
  </si>
  <si>
    <t>ident:340/340 pos:340/340 query:340 hit:340 align:340 bit:703.7</t>
  </si>
  <si>
    <t>sp|Q14847|LASP1_HUMAN</t>
  </si>
  <si>
    <t>LIM and SH3 domain protein 1 OS=Homo sapiens OX=9606 GN=LASP1 PE=1 SV=2</t>
  </si>
  <si>
    <t>ident:243/253 pos:246/253 query:253 hit:261 align:261 bit:505.0</t>
  </si>
  <si>
    <t>XP_027481679.1</t>
  </si>
  <si>
    <t>sp|Q13368|MPP3_HUMAN</t>
  </si>
  <si>
    <t>MAGUK p55 subfamily member 3 OS=Homo sapiens OX=9606 GN=MPP3 PE=1 SV=2</t>
  </si>
  <si>
    <t>ident:510/741 pos:523/741 query:741 hit:585 align:541 bit:1049.3</t>
  </si>
  <si>
    <t>XP_027481684.1</t>
  </si>
  <si>
    <t>sp|Q8TDQ1|CLM1_HUMAN</t>
  </si>
  <si>
    <t>CMRF35-like molecule 1 OS=Homo sapiens OX=9606 GN=CD300LF PE=1 SV=3</t>
  </si>
  <si>
    <t>ident:168/378 pos:199/378 query:378 hit:290 align:297 bit:258.8</t>
  </si>
  <si>
    <t>sp|O14745|NHRF1_HUMAN</t>
  </si>
  <si>
    <t>Na(+)/H(+) exchange regulatory cofactor NHE-RF1 OS=Homo sapiens OX=9606 GN=SLC9A3R1 PE=1 SV=4</t>
  </si>
  <si>
    <t>ident:314/367 pos:333/367 query:367 hit:358 align:367 bit:606.3</t>
  </si>
  <si>
    <t>XP_027481695.1</t>
  </si>
  <si>
    <t>growth factor receptor-bound protein 2 isoform X1 [Zalophus californianus]</t>
  </si>
  <si>
    <t>sp|P62993|GRB2_HUMAN</t>
  </si>
  <si>
    <t>Growth factor receptor-bound protein 2 OS=Homo sapiens OX=9606 GN=GRB2 PE=1 SV=1</t>
  </si>
  <si>
    <t>ident:217/236 pos:217/236 query:236 hit:217 align:236 bit:443.7</t>
  </si>
  <si>
    <t>sp|Q96FV2|SCRN2_HUMAN</t>
  </si>
  <si>
    <t>Secernin-2 OS=Homo sapiens OX=9606 GN=SCRN2 PE=1 SV=3</t>
  </si>
  <si>
    <t>ident:368/425 pos:388/425 query:425 hit:425 align:411 bit:731.5</t>
  </si>
  <si>
    <t>sp|P11055|MYH3_HUMAN</t>
  </si>
  <si>
    <t>Myosin-3 OS=Homo sapiens OX=9606 GN=MYH3 PE=1 SV=3</t>
  </si>
  <si>
    <t>ident:1913/1940 pos:1930/1940 query:1940 hit:1940 align:1940 bit:3896.7</t>
  </si>
  <si>
    <t>sp|P02749|APOH_HUMAN</t>
  </si>
  <si>
    <t>Beta-2-glycoprotein 1 OS=Homo sapiens OX=9606 GN=APOH PE=1 SV=3</t>
  </si>
  <si>
    <t>ident:278/345 pos:305/345 query:345 hit:345 align:345 bit:566.2</t>
  </si>
  <si>
    <t>sp|P09972|ALDOC_HUMAN</t>
  </si>
  <si>
    <t>Fructose-bisphosphate aldolase C OS=Homo sapiens OX=9606 GN=ALDOC PE=1 SV=2</t>
  </si>
  <si>
    <t>ident:359/364 pos:363/364 query:364 hit:364 align:364 bit:746.1</t>
  </si>
  <si>
    <t>XP_027481797.1</t>
  </si>
  <si>
    <t>sp|Q9UMZ2|SYNRG_HUMAN</t>
  </si>
  <si>
    <t>Synergin gamma OS=Homo sapiens OX=9606 GN=SYNRG PE=1 SV=2</t>
  </si>
  <si>
    <t>ident:1014/1404 pos:1059/1404 query:1404 hit:1314 align:1148 bit:2018.0</t>
  </si>
  <si>
    <t>sp|P07306|ASGR1_HUMAN</t>
  </si>
  <si>
    <t>Asialoglycoprotein receptor 1 OS=Homo sapiens OX=9606 GN=ASGR1 PE=1 SV=2</t>
  </si>
  <si>
    <t>ident:230/284 pos:254/284 query:284 hit:291 align:285 bit:442.2</t>
  </si>
  <si>
    <t>XP_027481884.1</t>
  </si>
  <si>
    <t>sp|P01241|SOMA_HUMAN</t>
  </si>
  <si>
    <t>Somatotropin OS=Homo sapiens OX=9606 GN=GH1 PE=1 SV=2</t>
  </si>
  <si>
    <t>ident:148/216 pos:172/216 query:216 hit:217 align:218 bit:265.8</t>
  </si>
  <si>
    <t>XP_027481983.1</t>
  </si>
  <si>
    <t>fatty aldehyde dehydrogenase isoform X1 [Zalophus californianus]</t>
  </si>
  <si>
    <t>sp|P51648|AL3A2_HUMAN</t>
  </si>
  <si>
    <t>Fatty aldehyde dehydrogenase OS=Homo sapiens OX=9606 GN=ALDH3A2 PE=1 SV=1</t>
  </si>
  <si>
    <t>ident:417/556 pos:448/556 query:556 hit:485 align:481 bit:869.4</t>
  </si>
  <si>
    <t>sp|A8K4G0|CLM7_HUMAN</t>
  </si>
  <si>
    <t>CMRF35-like molecule 7 OS=Homo sapiens OX=9606 GN=CD300LB PE=1 SV=2</t>
  </si>
  <si>
    <t>ident:109/268 pos:133/268 query:268 hit:201 align:192 bit:216.5</t>
  </si>
  <si>
    <t>XP_027482009.1</t>
  </si>
  <si>
    <t>sp|Q16663|CCL15_HUMAN</t>
  </si>
  <si>
    <t>C-C motif chemokine 15 OS=Homo sapiens OX=9606 GN=CCL15 PE=1 SV=2</t>
  </si>
  <si>
    <t>ident:52/112 pos:68/112 query:112 hit:113 align:110 bit:90.9</t>
  </si>
  <si>
    <t>sp|P16619|CL3L1_HUMAN</t>
  </si>
  <si>
    <t>C-C motif chemokine 3-like 1 OS=Homo sapiens OX=9606 GN=CCL3L3 PE=1 SV=1</t>
  </si>
  <si>
    <t>ident:37/107 pos:53/107 query:107 hit:93 align:90 bit:83.6</t>
  </si>
  <si>
    <t>XP_027482013.1</t>
  </si>
  <si>
    <t>sp|Q16586|SGCA_HUMAN</t>
  </si>
  <si>
    <t>Alpha-sarcoglycan OS=Homo sapiens OX=9606 GN=SGCA PE=1 SV=1</t>
  </si>
  <si>
    <t>ident:346/386 pos:356/386 query:386 hit:387 align:387 bit:637.9</t>
  </si>
  <si>
    <t>XP_027482022.1</t>
  </si>
  <si>
    <t>sp|Q9BTT0|AN32E_HUMAN</t>
  </si>
  <si>
    <t>Acidic leucine-rich nuclear phosphoprotein 32 family member E OS=Homo sapiens OX=9606 GN=ANP32E PE=1 SV=1</t>
  </si>
  <si>
    <t>ident:150/264 pos:153/264 query:264 hit:268 align:153 bit:300.1</t>
  </si>
  <si>
    <t>sp|Q8IUK5|PLDX1_HUMAN</t>
  </si>
  <si>
    <t>Plexin domain-containing protein 1 OS=Homo sapiens OX=9606 GN=PLXDC1 PE=1 SV=2</t>
  </si>
  <si>
    <t>ident:438/500 pos:468/500 query:500 hit:500 align:500 bit:926.8</t>
  </si>
  <si>
    <t>sp|P16035|TIMP2_HUMAN</t>
  </si>
  <si>
    <t>Metalloproteinase inhibitor 2 OS=Homo sapiens OX=9606 GN=TIMP2 PE=1 SV=2</t>
  </si>
  <si>
    <t>ident:214/220 pos:218/220 query:220 hit:220 align:220 bit:451.1</t>
  </si>
  <si>
    <t>XP_027482065.1</t>
  </si>
  <si>
    <t>sp|Q9UHX1|PUF60_HUMAN</t>
  </si>
  <si>
    <t>Poly(U)-binding-splicing factor PUF60 OS=Homo sapiens OX=9606 GN=PUF60 PE=1 SV=1</t>
  </si>
  <si>
    <t>ident:554/557 pos:554/557 query:557 hit:559 align:560 bit:1118.6</t>
  </si>
  <si>
    <t>sp|Q7Z5L0|VMO1_HUMAN</t>
  </si>
  <si>
    <t>Vitelline membrane outer layer protein 1 homolog OS=Homo sapiens OX=9606 GN=VMO1 PE=1 SV=1</t>
  </si>
  <si>
    <t>ident:147/199 pos:160/199 query:199 hit:202 align:205 bit:283.9</t>
  </si>
  <si>
    <t>XP_027482096.1</t>
  </si>
  <si>
    <t>sp|Q13183|S13A2_HUMAN</t>
  </si>
  <si>
    <t>Solute carrier family 13 member 2 OS=Homo sapiens OX=9606 GN=SLC13A2 PE=2 SV=1</t>
  </si>
  <si>
    <t>ident:477/589 pos:531/589 query:589 hit:592 align:595 bit:901.0</t>
  </si>
  <si>
    <t>sp|P22392|NDKB_HUMAN</t>
  </si>
  <si>
    <t>Nucleoside diphosphate kinase B OS=Homo sapiens OX=9606 GN=NME2 PE=1 SV=1</t>
  </si>
  <si>
    <t>ident:139/152 pos:148/152 query:152 hit:152 align:152 bit:293.5</t>
  </si>
  <si>
    <t>nucleoside diphosphate kinase A [Zalophus californianus]</t>
  </si>
  <si>
    <t>sp|P15531|NDKA_HUMAN</t>
  </si>
  <si>
    <t>Nucleoside diphosphate kinase A OS=Homo sapiens OX=9606 GN=NME1 PE=1 SV=1</t>
  </si>
  <si>
    <t>ident:139/152 pos:144/152 query:152 hit:152 align:152 bit:294.7</t>
  </si>
  <si>
    <t>XP_027482135.1</t>
  </si>
  <si>
    <t>sp|O14964|HGS_HUMAN</t>
  </si>
  <si>
    <t>Hepatocyte growth factor-regulated tyrosine kinase substrate OS=Homo sapiens OX=9606 GN=HGS PE=1 SV=1</t>
  </si>
  <si>
    <t>ident:718/780 pos:740/780 query:780 hit:777 align:781 bit:1393.6</t>
  </si>
  <si>
    <t>sp|P51688|SPHM_HUMAN</t>
  </si>
  <si>
    <t>N-sulphoglucosamine sulphohydrolase OS=Homo sapiens OX=9606 GN=SGSH PE=1 SV=1</t>
  </si>
  <si>
    <t>ident:444/505 pos:471/505 query:505 hit:502 align:500 bit:930.6</t>
  </si>
  <si>
    <t>sp|Q7Z4W1|DCXR_HUMAN</t>
  </si>
  <si>
    <t>L-xylulose reductase OS=Homo sapiens OX=9606 GN=DCXR PE=1 SV=2</t>
  </si>
  <si>
    <t>ident:211/244 pos:226/244 query:244 hit:244 align:243 bit:434.9</t>
  </si>
  <si>
    <t>sp|Q16627|CCL14_HUMAN</t>
  </si>
  <si>
    <t>C-C motif chemokine 14 OS=Homo sapiens OX=9606 GN=CCL14 PE=1 SV=1</t>
  </si>
  <si>
    <t>ident:62/134 pos:73/134 query:134 hit:93 align:95 bit:138.3</t>
  </si>
  <si>
    <t>sp|O15467|CCL16_HUMAN</t>
  </si>
  <si>
    <t>C-C motif chemokine 16 OS=Homo sapiens OX=9606 GN=CCL16 PE=1 SV=1</t>
  </si>
  <si>
    <t>ident:75/108 pos:89/108 query:108 hit:120 align:107 bit:141.0</t>
  </si>
  <si>
    <t>sp|Q92485|ASM3B_HUMAN</t>
  </si>
  <si>
    <t>Acid sphingomyelinase-like phosphodiesterase 3b OS=Homo sapiens OX=9606 GN=SMPDL3B PE=1 SV=2</t>
  </si>
  <si>
    <t>ident:360/459 pos:386/459 query:459 hit:455 align:439 bit:767.3</t>
  </si>
  <si>
    <t>programmed cell death protein 10 [Zalophus californianus]</t>
  </si>
  <si>
    <t>sp|Q9BUL8|PDC10_HUMAN</t>
  </si>
  <si>
    <t>Programmed cell death protein 10 OS=Homo sapiens OX=9606 GN=PDCD10 PE=1 SV=1</t>
  </si>
  <si>
    <t>ident:211/212 pos:212/212 query:212 hit:212 align:212 bit:430.3</t>
  </si>
  <si>
    <t>sp|Q9BRT3|MIEN1_HUMAN</t>
  </si>
  <si>
    <t>Migration and invasion enhancer 1 OS=Homo sapiens OX=9606 GN=MIEN1 PE=1 SV=1</t>
  </si>
  <si>
    <t>ident:109/115 pos:110/115 query:115 hit:115 align:115 bit:213.0</t>
  </si>
  <si>
    <t>sp|P07237|PDIA1_HUMAN</t>
  </si>
  <si>
    <t>Protein disulfide-isomerase OS=Homo sapiens OX=9606 GN=P4HB PE=1 SV=3</t>
  </si>
  <si>
    <t>ident:478/510 pos:493/510 query:510 hit:508 align:510 bit:899.4</t>
  </si>
  <si>
    <t>XP_027482267.1</t>
  </si>
  <si>
    <t>sp|O00231|PSD11_HUMAN</t>
  </si>
  <si>
    <t>26S proteasome non-ATPase regulatory subunit 11 OS=Homo sapiens OX=9606 GN=PSMD11 PE=1 SV=3</t>
  </si>
  <si>
    <t>ident:422/422 pos:422/422 query:422 hit:422 align:422 bit:856.7</t>
  </si>
  <si>
    <t>sp|P54802|ANAG_HUMAN</t>
  </si>
  <si>
    <t>Alpha-N-acetylglucosaminidase OS=Homo sapiens OX=9606 GN=NAGLU PE=1 SV=2</t>
  </si>
  <si>
    <t>ident:603/744 pos:645/744 query:744 hit:743 align:703 bit:1255.7</t>
  </si>
  <si>
    <t>sp|P00403|COX2_HUMAN</t>
  </si>
  <si>
    <t>Cytochrome c oxidase subunit 2 OS=Homo sapiens OX=9606 GN=MT-CO2 PE=1 SV=1</t>
  </si>
  <si>
    <t>ident:163/227 pos:192/227 query:227 hit:227 align:220 bit:330.1</t>
  </si>
  <si>
    <t>sp|P03928|ATP8_HUMAN</t>
  </si>
  <si>
    <t>ATP synthase protein 8 OS=Homo sapiens OX=9606 GN=MT-ATP8 PE=1 SV=1</t>
  </si>
  <si>
    <t>ident:33/67 pos:43/67 query:67 hit:68 align:67 bit:60.8</t>
  </si>
  <si>
    <t>Tab-delimited Protein to Protein Blast Summary:</t>
  </si>
  <si>
    <t>Query database: /Volumes/PW_Black_4TB/PXD009019/databases/extras_Z_californianus_RefSeq_20190629_nonredun_both_subset.fasta</t>
  </si>
  <si>
    <t>Hit database: /Volumes/PW_Black_4TB/PXD009019/databases/2019.05_UP000005640_9606_Homo_sapiens_canonical.fasta</t>
  </si>
  <si>
    <t>query_number</t>
  </si>
  <si>
    <t xml:space="preserve"> 14 proteins had no or poor matches</t>
  </si>
  <si>
    <t>Identity scores had a mean of 85.13% (14.94%)</t>
  </si>
  <si>
    <t>Identity cutoff for OK was 40.31%</t>
  </si>
  <si>
    <t>2262 proteins processed.</t>
  </si>
  <si>
    <t>Primary Protein Name</t>
  </si>
  <si>
    <t>Alternative Protein Names</t>
  </si>
  <si>
    <t>Identifier</t>
  </si>
  <si>
    <t>Other Accessions</t>
  </si>
  <si>
    <t>UniProt Gene Name</t>
  </si>
  <si>
    <t>Other Gene Synonyms</t>
  </si>
  <si>
    <t>Species Name</t>
  </si>
  <si>
    <t>Taxonomy Number</t>
  </si>
  <si>
    <t>UniProt Link</t>
  </si>
  <si>
    <t>Key Words</t>
  </si>
  <si>
    <t>KW: Biological process</t>
  </si>
  <si>
    <t>KW: Cellular component</t>
  </si>
  <si>
    <t>KW: Coding sequence diversity</t>
  </si>
  <si>
    <t>KW: Developmental stage</t>
  </si>
  <si>
    <t>KW: Disease</t>
  </si>
  <si>
    <t>KW: Domain</t>
  </si>
  <si>
    <t>KW: Ligand</t>
  </si>
  <si>
    <t>KW: Molecular function</t>
  </si>
  <si>
    <t>KW: PTM</t>
  </si>
  <si>
    <t>KW: Technical term</t>
  </si>
  <si>
    <t>GO: Biological Process</t>
  </si>
  <si>
    <t>GO: Cellular Component</t>
  </si>
  <si>
    <t>GO: Molecular Function</t>
  </si>
  <si>
    <t>CC Pathway</t>
  </si>
  <si>
    <t>Reactome Pathway</t>
  </si>
  <si>
    <t>na</t>
  </si>
  <si>
    <t>WD repeat-containing protein 91</t>
  </si>
  <si>
    <t>WDR91_HUMAN</t>
  </si>
  <si>
    <t>A4D1P6</t>
  </si>
  <si>
    <t>A6NK54; C9JMI4; Q6FI65; Q6MZQ1; Q6P4I1; Q96AE5; Q96G63; Q9H062; Q9H9B6; Q9NVG7; Q9NZY6</t>
  </si>
  <si>
    <t>Homo sapiens (Human)</t>
  </si>
  <si>
    <t>Alternative splicing; Coiled coil; Endosome; Membrane; Phosphoprotein; Polymorphism; Repeat; WD repeat</t>
  </si>
  <si>
    <t>Endosome; Membrane</t>
  </si>
  <si>
    <t>Alternative splicing; Polymorphism</t>
  </si>
  <si>
    <t>Coiled coil; Repeat; WD repeat</t>
  </si>
  <si>
    <t>Phosphoprotein</t>
  </si>
  <si>
    <t>early endosome to late endosome transport {GO:0045022}; regulation of cellular protein catabolic process {GO:1903362}; regulation of phosphatidylinositol 3-kinase activity {GO:0043551}</t>
  </si>
  <si>
    <t>cytosol {GO:0005829}; early endosome membrane {GO:0031901}; extrinsic component of endosome membrane {GO:0031313}; late endosome membrane {GO:0031902}</t>
  </si>
  <si>
    <t>phosphatidylinositol 3-kinase regulator activity {GO:0035014}</t>
  </si>
  <si>
    <t>CMRF35-like molecule 5 (CLM-5)</t>
  </si>
  <si>
    <t>CD300 antigen-like family member D; CMRF35-A4; CD_antigen=CD300d</t>
  </si>
  <si>
    <t>CLM5_HUMAN</t>
  </si>
  <si>
    <t>Q6UXZ3</t>
  </si>
  <si>
    <t>Cell membrane; Disulfide bond; Glycoprotein; Immunity; Immunoglobulin domain; Membrane; Polymorphism; Receptor; Signal; Transmembrane; Transmembrane helix</t>
  </si>
  <si>
    <t>Immunity</t>
  </si>
  <si>
    <t>Cell membrane; Membrane</t>
  </si>
  <si>
    <t>Polymorphism</t>
  </si>
  <si>
    <t>Immunoglobulin domain; Signal; Transmembrane; Transmembrane helix</t>
  </si>
  <si>
    <t>Receptor</t>
  </si>
  <si>
    <t>Disulfide bond; Glycoprotein</t>
  </si>
  <si>
    <t>immune system process {GO:0002376}; regulation of immune response {GO:0050776}</t>
  </si>
  <si>
    <t>integral component of membrane {GO:0016021}; plasma membrane {GO:0005886}</t>
  </si>
  <si>
    <t>Immunoregulatory interactions between a Lymphoid and a non-Lymphoid cell {R-HSA-198933}</t>
  </si>
  <si>
    <t>Myeloperoxidase heavy chain (MPO)</t>
  </si>
  <si>
    <t>PERM_HUMAN</t>
  </si>
  <si>
    <t>P05164</t>
  </si>
  <si>
    <t>A1L4B8; Q14862; Q4PJH5; Q9UCL7</t>
  </si>
  <si>
    <t>3D-structure; Alternative splicing; Calcium; Disease mutation; Disulfide bond; Glycoprotein; Heme; Hydrogen peroxide; Iron; Lysosome; Metal-binding; Oxidation; Oxidoreductase; Peroxidase; Polymorphism; Signal</t>
  </si>
  <si>
    <t>Hydrogen peroxide</t>
  </si>
  <si>
    <t>Lysosome</t>
  </si>
  <si>
    <t>Disease mutation</t>
  </si>
  <si>
    <t>Signal</t>
  </si>
  <si>
    <t>Calcium; Heme; Iron; Metal-binding</t>
  </si>
  <si>
    <t>Oxidoreductase; Peroxidase</t>
  </si>
  <si>
    <t>Disulfide bond; Glycoprotein; Oxidation</t>
  </si>
  <si>
    <t>3D-structure</t>
  </si>
  <si>
    <t>aging {GO:0007568}; cell redox homeostasis {GO:0045454}; defense response {GO:0006952}; defense response to bacterium {GO:0042742}; defense response to fungus {GO:0050832}; hydrogen peroxide catabolic process {GO:0042744}; hypochlorous acid biosynthetic process {GO:0002149}; low-density lipoprotein particle remodeling {GO:0034374}; negative regulation of apoptotic process {GO:0043066}; negative regulation of growth of symbiont in host {GO:0044130}; neutrophil degranulation {GO:0043312}; oxidation-reduction process {GO:0055114}; removal of superoxide radicals {GO:0019430}; respiratory burst involved in defense response {GO:0002679}; response to food {GO:0032094}; response to gold nanoparticle {GO:1990268}; response to lipopolysaccharide {GO:0032496}; response to mechanical stimulus {GO:0009612}; response to oxidative stress {GO:0006979}; response to yeast {GO:0001878}</t>
  </si>
  <si>
    <t>azurophil granule {GO:0042582}; azurophil granule lumen {GO:0035578}; cytoplasm {GO:0005737}; extracellular exosome {GO:0070062}; extracellular region {GO:0005576}; extracellular space {GO:0005615}; intracellular membrane-bounded organelle {GO:0043231}; lysosome {GO:0005764}; nucleus {GO:0005634}; phagocytic vesicle lumen {GO:0097013}; secretory granule {GO:0030141}</t>
  </si>
  <si>
    <t>chromatin binding {GO:0003682}; heme binding {GO:0020037}; heparin binding {GO:0008201}; metal ion binding {GO:0046872}; peroxidase activity {GO:0004601}</t>
  </si>
  <si>
    <t>Neutrophil degranulation {R-HSA-6798695}; Events associated with phagocytolytic activity of PMN cells {R-HSA-8941413}</t>
  </si>
  <si>
    <t>C-type mannose receptor 2</t>
  </si>
  <si>
    <t>C-type lectin domain family 13 member E; Endocytic receptor 180; Macrophage mannose receptor 2; Urokinase-type plasminogen activator receptor-associated protein (UPAR-associated protein; Urokinase receptor-associated protein); CD_antigen=CD280</t>
  </si>
  <si>
    <t>MRC2_HUMAN</t>
  </si>
  <si>
    <t>Q9UBG0</t>
  </si>
  <si>
    <t>A6H8K4; D3DU08; Q7LGE7; Q9Y5P9</t>
  </si>
  <si>
    <t>CLEC13E; ENDO180; KIAA0709; UPARAP</t>
  </si>
  <si>
    <t>3D-structure; Calcium; Disulfide bond; Endocytosis; Glycoprotein; Isopeptide bond; Lectin; Membrane; Phosphoprotein; Polymorphism; Receptor; Repeat; Signal; Transmembrane; Transmembrane helix; Ubl conjugation</t>
  </si>
  <si>
    <t>Endocytosis</t>
  </si>
  <si>
    <t>Membrane</t>
  </si>
  <si>
    <t>Repeat; Signal; Transmembrane; Transmembrane helix</t>
  </si>
  <si>
    <t>Calcium; Lectin</t>
  </si>
  <si>
    <t>Disulfide bond; Glycoprotein; Isopeptide bond; Phosphoprotein; Ubl conjugation</t>
  </si>
  <si>
    <t>collagen catabolic process {GO:0030574}; endocytosis {GO:0006897}; osteoblast differentiation {GO:0001649}</t>
  </si>
  <si>
    <t>focal adhesion {GO:0005925}; integral component of membrane {GO:0016021}; membrane {GO:0016020}</t>
  </si>
  <si>
    <t>carbohydrate binding {GO:0030246}; collagen binding {GO:0005518}; transmembrane signaling receptor activity {GO:0004888}</t>
  </si>
  <si>
    <t>Cross-presentation of soluble exogenous antigens (endosomes) {R-HSA-1236978}</t>
  </si>
  <si>
    <t>Eukaryotic translation initiation factor 5A-1 (eIF-5A-1; eIF-5A1)</t>
  </si>
  <si>
    <t>Eukaryotic initiation factor 5A isoform 1 (eIF-5A); Rev-binding factor; eIF-4D</t>
  </si>
  <si>
    <t>IF5A1_HUMAN</t>
  </si>
  <si>
    <t>P63241</t>
  </si>
  <si>
    <t>A8K9A0; D3DTP2; P10159; Q16182; Q7L7L3; Q7Z4L1; Q9D0G2</t>
  </si>
  <si>
    <t>3D-structure; Acetylation; Alternative splicing; Cytoplasm; Elongation factor; Endoplasmic reticulum; Hypusine; Membrane; mRNA transport; Nuclear pore complex; Nucleus; Protein biosynthesis; Protein transport; RNA-binding; Translocation; Transport</t>
  </si>
  <si>
    <t>Protein biosynthesis; Protein transport; Translocation; Transport; mRNA transport</t>
  </si>
  <si>
    <t>Cytoplasm; Endoplasmic reticulum; Membrane; Nuclear pore complex; Nucleus</t>
  </si>
  <si>
    <t>Alternative splicing</t>
  </si>
  <si>
    <t>Elongation factor; RNA-binding</t>
  </si>
  <si>
    <t>Acetylation; Hypusine</t>
  </si>
  <si>
    <t>apoptotic process {GO:0006915}; mRNA export from nucleus {GO:0006406}; nucleocytoplasmic transport {GO:0006913}; positive regulation of cell population proliferation {GO:0008284}; positive regulation of translational elongation {GO:0045901}; positive regulation of translational termination {GO:0045905}; protein export from nucleus {GO:0006611}; translational frameshifting {GO:0006452}</t>
  </si>
  <si>
    <t>annulate lamellae {GO:0005642}; cytoplasm {GO:0005737}; cytosol {GO:0005829}; endoplasmic reticulum membrane {GO:0005789}; membrane {GO:0016020}; nuclear pore {GO:0005643}; nucleus {GO:0005634}</t>
  </si>
  <si>
    <t>protein N-terminus binding {GO:0047485}; ribosome binding {GO:0043022}; RNA binding {GO:0003723}; translation elongation factor activity {GO:0003746}; U6 snRNA binding {GO:0017070}</t>
  </si>
  <si>
    <t>Hypusine synthesis from eIF5A-lysine {R-HSA-204626}</t>
  </si>
  <si>
    <t>Ectonucleotide pyrophosphatase/phosphodiesterase family member 7 (E-NPP 7; NPP-7)</t>
  </si>
  <si>
    <t>Alkaline sphingomyelin phosphodiesterase; Intestinal alkaline sphingomyelinase (Alk-SMase)</t>
  </si>
  <si>
    <t>ENPP7_HUMAN</t>
  </si>
  <si>
    <t>Q6UWV6</t>
  </si>
  <si>
    <t>Q6ZTS5; Q8IUS8</t>
  </si>
  <si>
    <t>3D-structure; Cell membrane; Glycoprotein; Hydrolase; Lipid metabolism; Membrane; Metal-binding; Polymorphism; Signal; Transmembrane; Transmembrane helix; Zinc</t>
  </si>
  <si>
    <t>Lipid metabolism</t>
  </si>
  <si>
    <t>Signal; Transmembrane; Transmembrane helix</t>
  </si>
  <si>
    <t>Metal-binding; Zinc</t>
  </si>
  <si>
    <t>Hydrolase</t>
  </si>
  <si>
    <t>Glycoprotein</t>
  </si>
  <si>
    <t>glycosphingolipid metabolic process {GO:0006687}; negative regulation of cell population proliferation {GO:0008285}; negative regulation of DNA replication {GO:0008156}; sphingomyelin catabolic process {GO:0006685}; sphingomyelin metabolic process {GO:0006684}</t>
  </si>
  <si>
    <t>Golgi apparatus {GO:0005794}; integral component of plasma membrane {GO:0005887}; membrane {GO:0016020}; microvillus {GO:0005902}; plasma membrane {GO:0005886}</t>
  </si>
  <si>
    <t>sphingomyelin phosphodiesterase activity {GO:0004767}; zinc ion binding {GO:0008270}</t>
  </si>
  <si>
    <t>Glycosphingolipid metabolism {R-HSA-1660662}</t>
  </si>
  <si>
    <t>Collagen alpha-1(I) chain</t>
  </si>
  <si>
    <t>Alpha-1 type I collagen</t>
  </si>
  <si>
    <t>CO1A1_HUMAN</t>
  </si>
  <si>
    <t>P02452</t>
  </si>
  <si>
    <t>O76045; P78441; Q13896; Q13902; Q13903; Q14037; Q14992; Q15176; Q15201; Q16050; Q59F64; Q7KZ30; Q7KZ34; Q8IVI5; Q8N473; Q9UML6; Q9UMM7</t>
  </si>
  <si>
    <t>3D-structure; Calcium; Chromosomal rearrangement; Collagen; Disease mutation; Disulfide bond; Dwarfism; Ehlers-Danlos syndrome; Extracellular matrix; Glycoprotein; Hydroxylation; Metal-binding; Osteogenesis imperfecta; Phosphoprotein; Polymorphism; Pyrrolidone carboxylic acid; Repeat; Secreted; Signal</t>
  </si>
  <si>
    <t>Extracellular matrix; Secreted</t>
  </si>
  <si>
    <t>Chromosomal rearrangement; Polymorphism</t>
  </si>
  <si>
    <t>Disease mutation; Dwarfism; Ehlers-Danlos syndrome; Osteogenesis imperfecta</t>
  </si>
  <si>
    <t>Collagen; Repeat; Signal</t>
  </si>
  <si>
    <t>Calcium; Metal-binding</t>
  </si>
  <si>
    <t>Disulfide bond; Glycoprotein; Hydroxylation; Phosphoprotein; Pyrrolidone carboxylic acid</t>
  </si>
  <si>
    <t>blood coagulation {GO:0007596}; blood vessel development {GO:0001568}; bone trabecula formation {GO:0060346}; cartilage development involved in endochondral bone morphogenesis {GO:0060351}; cellular response to amino acid stimulus {GO:0071230}; cellular response to epidermal growth factor stimulus {GO:0071364}; cellular response to fibroblast growth factor stimulus {GO:0044344}; cellular response to fluoride {GO:1902618}; cellular response to mechanical stimulus {GO:0071260}; cellular response to retinoic acid {GO:0071300}; cellular response to transforming growth factor beta stimulus {GO:0071560}; cellular response to tumor necrosis factor {GO:0071356}; cellular response to vitamin E {GO:0071306}; collagen biosynthetic process {GO:0032964}; collagen fibril organization {GO:0030199}; collagen-activated tyrosine kinase receptor signaling pathway {GO:0038063}; embryonic skeletal system development {GO:0048706}; endochondral ossification {GO:0001958}; extracellular matrix organization {GO:0030198}; face morphogenesis {GO:0060325}; intramembranous ossification {GO:0001957}; leukocyte migration {GO:0050900}; negative regulation of cell-substrate adhesion {GO:0010812}; ossification {GO:0001503}; osteoblast differentiation {GO:0001649}; platelet activation {GO:0030168}; positive regulation of canonical Wnt signaling pathway {GO:0090263}; positive regulation of cell migration {GO:0030335}; positive regulation of epithelial to mesenchymal transition {GO:0010718}; positive regulation of transcription, DNA-templated {GO:0045893}; protein heterotrimerization {GO:0070208}; protein localization to nucleus {GO:0034504}; protein transport {GO:0015031}; regulation of immune response {GO:0050776}; response to cAMP {GO:0051591}; response to corticosteroid {GO:0031960}; response to estradiol {GO:0032355}; response to hydrogen peroxide {GO:0042542}; response to hyperoxia {GO:0055093}; response to mechanical stimulus {GO:0009612}; response to peptide hormone {GO:0043434}; sensory perception of sound {GO:0007605}; skeletal system development {GO:0001501}; skin development {GO:0043588}; skin morphogenesis {GO:0043589}; tooth eruption {GO:0044691}; tooth mineralization {GO:0034505}; visual perception {GO:0007601}</t>
  </si>
  <si>
    <t>collagen type I trimer {GO:0005584}; collagen-containing extracellular matrix {GO:0062023}; cytoplasm {GO:0005737}; endoplasmic reticulum lumen {GO:0005788}; extracellular matrix {GO:0031012}; extracellular region {GO:0005576}; extracellular space {GO:0005615}; Golgi apparatus {GO:0005794}; secretory granule {GO:0030141}</t>
  </si>
  <si>
    <t>extracellular matrix structural constituent {GO:0005201}; extracellular matrix structural constituent conferring tensile strength {GO:0030020}; identical protein binding {GO:0042802}; metal ion binding {GO:0046872}; platelet-derived growth factor binding {GO:0048407}; protease binding {GO:0002020}</t>
  </si>
  <si>
    <t>GPVI-mediated activation cascade {R-HSA-114604}; Collagen degradation {R-HSA-1442490}; Extracellular matrix organization {R-HSA-1474244}; Collagen biosynthesis and modifying enzymes {R-HSA-1650814}; Immunoregulatory interactions between a Lymphoid and a non-Lymphoid cell {R-HSA-198933}; Assembly of collagen fibrils and other multimeric structures {R-HSA-2022090}; Cell surface interactions at the vascular wall {R-HSA-202733}; Integrin cell surface interactions {R-HSA-216083}; Anchoring fibril formation {R-HSA-2214320}; Crosslinking of collagen fibrils {R-HSA-2243919}; Syndecan interactions {R-HSA-3000170}; Non-integrin membrane-ECM interactions {R-HSA-3000171}; ECM proteoglycans {R-HSA-3000178}; Scavenging by Class A Receptors {R-HSA-3000480}; GP1b-IX-V activation signalling {R-HSA-430116}; Platelet Adhesion to exposed collagen {R-HSA-75892}; Platelet Aggregation (Plug Formation) {R-HSA-76009}; MET activates PTK2 signaling {R-HSA-8874081}; RUNX2 regulates osteoblast differentiation {R-HSA-8940973}; Collagen chain trimerization {R-HSA-8948216}</t>
  </si>
  <si>
    <t>Synaptic vesicle membrane protein VAT-1 homolog</t>
  </si>
  <si>
    <t>VAT1_HUMAN</t>
  </si>
  <si>
    <t>Q99536</t>
  </si>
  <si>
    <t>A8K345; B0AZP7; B4DPX4; Q13035; Q5BKZ7; Q96A39; Q9BUT8</t>
  </si>
  <si>
    <t>Acetylation; Alternative splicing; Cytoplasm; Membrane; Mitochondrion; Mitochondrion outer membrane; Oxidoreductase; Phosphoprotein</t>
  </si>
  <si>
    <t>Cytoplasm; Membrane; Mitochondrion; Mitochondrion outer membrane</t>
  </si>
  <si>
    <t>Oxidoreductase</t>
  </si>
  <si>
    <t>Acetylation; Phosphoprotein</t>
  </si>
  <si>
    <t>negative regulation of mitochondrial fusion {GO:0010637}; neutrophil degranulation {GO:0043312}</t>
  </si>
  <si>
    <t>azurophil granule lumen {GO:0035578}; extracellular exosome {GO:0070062}; extracellular region {GO:0005576}; integral component of membrane {GO:0016021}; mitochondrial outer membrane {GO:0005741}</t>
  </si>
  <si>
    <t>oxidoreductase activity {GO:0016491}; zinc ion binding {GO:0008270}</t>
  </si>
  <si>
    <t>Neutrophil degranulation {R-HSA-6798695}</t>
  </si>
  <si>
    <t>Phosphatidylcholine transfer protein (PC-TP)</t>
  </si>
  <si>
    <t>START domain-containing protein 2 (StARD2); StAR-related lipid transfer protein 2</t>
  </si>
  <si>
    <t>PPCT_HUMAN</t>
  </si>
  <si>
    <t>Q9UKL6</t>
  </si>
  <si>
    <t>Q9BSC9; Q9UIT3; Q9UKW7</t>
  </si>
  <si>
    <t>STARD2</t>
  </si>
  <si>
    <t>3D-structure; Acetylation; Alternative splicing; Cytoplasm; Lipid transport; Lipid-binding; Phosphoprotein; Polymorphism; Transport</t>
  </si>
  <si>
    <t>Lipid transport; Transport</t>
  </si>
  <si>
    <t>Cytoplasm</t>
  </si>
  <si>
    <t>Lipid-binding</t>
  </si>
  <si>
    <t>lipid transport {GO:0006869}; negative regulation of cold-induced thermogenesis {GO:0120163}; phosphatidylcholine biosynthetic process {GO:0006656}; phospholipid transport {GO:0015914}</t>
  </si>
  <si>
    <t>cytosol {GO:0005829}</t>
  </si>
  <si>
    <t>phosphatidylcholine binding {GO:0031210}; phosphatidylcholine transporter activity {GO:0008525}; phospholipid transporter activity {GO:0005548}</t>
  </si>
  <si>
    <t>Synthesis of PC {R-HSA-1483191}; Mitochondrial Fatty Acid Beta-Oxidation {R-HSA-77289}</t>
  </si>
  <si>
    <t>Kynurenine formamidase (KFA; KFase)</t>
  </si>
  <si>
    <t>Arylformamidase; N-formylkynurenine formamidase (FKF)</t>
  </si>
  <si>
    <t>KFA_HUMAN</t>
  </si>
  <si>
    <t>Q63HM1</t>
  </si>
  <si>
    <t>A2RUB3</t>
  </si>
  <si>
    <t>Alternative splicing; Cytoplasm; Hydrolase; Nucleus; Tryptophan catabolism</t>
  </si>
  <si>
    <t>Tryptophan catabolism</t>
  </si>
  <si>
    <t>Cytoplasm; Nucleus</t>
  </si>
  <si>
    <t>'de novo' NAD biosynthetic process from tryptophan {GO:0034354}; tryptophan catabolic process to kynurenine {GO:0019441}</t>
  </si>
  <si>
    <t>cytoplasm {GO:0005737}; cytosol {GO:0005829}; nucleus {GO:0005634}</t>
  </si>
  <si>
    <t>arylformamidase activity {GO:0004061}</t>
  </si>
  <si>
    <t>Amino-acid degradation; L-tryptophan degradation via kynurenine pathway; L-kynurenine from L-tryptophan: step 2/2.</t>
  </si>
  <si>
    <t>Tryptophan catabolism {R-HSA-71240}</t>
  </si>
  <si>
    <t>Putative sodium-coupled neutral amino acid transporter 10</t>
  </si>
  <si>
    <t>Solute carrier family 38 member 10</t>
  </si>
  <si>
    <t>S38AA_HUMAN</t>
  </si>
  <si>
    <t>Q9HBR0</t>
  </si>
  <si>
    <t>Q6ZRC5; Q8NA99; Q96C66</t>
  </si>
  <si>
    <t>Alternative splicing; Amino-acid transport; Ion transport; Membrane; Phosphoprotein; Polymorphism; Sodium; Sodium transport; Transmembrane; Transmembrane helix; Transport</t>
  </si>
  <si>
    <t>Amino-acid transport; Ion transport; Sodium transport; Transport</t>
  </si>
  <si>
    <t>Transmembrane; Transmembrane helix</t>
  </si>
  <si>
    <t>Sodium</t>
  </si>
  <si>
    <t>amino acid transmembrane transport {GO:0003333}; bone development {GO:0060348}; sodium ion transport {GO:0006814}</t>
  </si>
  <si>
    <t>Golgi apparatus {GO:0005794}; integral component of membrane {GO:0016021}</t>
  </si>
  <si>
    <t>amino acid transmembrane transporter activity {GO:0015171}</t>
  </si>
  <si>
    <t>60S ribosomal protein L26</t>
  </si>
  <si>
    <t>Large ribosomal subunit protein uL24</t>
  </si>
  <si>
    <t>RL26_HUMAN</t>
  </si>
  <si>
    <t>P61254</t>
  </si>
  <si>
    <t>B2R4F0; D3DTR8; Q02877; Q6IPY2</t>
  </si>
  <si>
    <t>3D-structure; Diamond-Blackfan anemia; Isopeptide bond; Phosphoprotein; Ribonucleoprotein; Ribosomal protein; Ubl conjugation</t>
  </si>
  <si>
    <t>Diamond-Blackfan anemia</t>
  </si>
  <si>
    <t>Ribonucleoprotein; Ribosomal protein</t>
  </si>
  <si>
    <t>Isopeptide bond; Phosphoprotein; Ubl conjugation</t>
  </si>
  <si>
    <t>cellular response to gamma radiation {GO:0071480}; cellular response to UV {GO:0034644}; cytoplasmic translation {GO:0002181}; DNA damage response, signal transduction by p53 class mediator resulting in cell cycle arrest {GO:0006977}; nuclear-transcribed mRNA catabolic process, nonsense-mediated decay {GO:0000184}; positive regulation of DNA damage response, signal transduction by p53 class mediator resulting in transcription of p21 class mediator {GO:1902164}; positive regulation of intrinsic apoptotic signaling pathway in response to DNA damage by p53 class mediator {GO:1902167}; positive regulation of translation {GO:0045727}; regulation of translation involved in cellular response to UV {GO:1904803};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</si>
  <si>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cytosolic ribosome {GO:0022626}; extracellular exosome {GO:0070062}; membrane {GO:0016020}; nucleolus {GO:0005730}; nucleoplasm {GO:0005654}; ribonucleoprotein complex {GO:1990904}</t>
  </si>
  <si>
    <t>mRNA 5'-UTR binding {GO:0048027}; RNA binding {GO:0003723}; structural constituent of ribosome {GO:0003735}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</si>
  <si>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Major pathway of rRNA processing in the nucleolus and cytosol {R-HSA-6791226}; Formation of a pool of free 40S subunits {R-HSA-72689};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</si>
  <si>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Intercellular adhesion molecule 2 (ICAM-2)</t>
  </si>
  <si>
    <t>CD_antigen=CD102</t>
  </si>
  <si>
    <t>ICAM2_HUMAN</t>
  </si>
  <si>
    <t>P13598</t>
  </si>
  <si>
    <t>Q14600</t>
  </si>
  <si>
    <t>3D-structure; Cell adhesion; Cell projection; Disulfide bond; Glycoprotein; Immunoglobulin domain; Membrane; Polymorphism; Repeat; Signal; Transmembrane; Transmembrane helix</t>
  </si>
  <si>
    <t>Cell adhesion</t>
  </si>
  <si>
    <t>Cell projection; Membrane</t>
  </si>
  <si>
    <t>Immunoglobulin domain; Repeat; Signal; Transmembrane; Transmembrane helix</t>
  </si>
  <si>
    <t>cell adhesion {GO:0007155}; cell-cell adhesion {GO:0098609}; extracellular matrix organization {GO:0030198}; regulation of immune response {GO:0050776}; stimulatory C-type lectin receptor signaling pathway {GO:0002223}</t>
  </si>
  <si>
    <t>cleavage furrow {GO:0032154}; integral component of plasma membrane {GO:0005887}; membrane {GO:0016020}; microvillus {GO:0005902}; plasma membrane {GO:0005886}; uropod {GO:0001931}</t>
  </si>
  <si>
    <t>integrin binding {GO:0005178}</t>
  </si>
  <si>
    <t>Immunoregulatory interactions between a Lymphoid and a non-Lymphoid cell {R-HSA-198933}; Integrin cell surface interactions {R-HSA-216083}; CD209 (DC-SIGN) signaling {R-HSA-5621575}</t>
  </si>
  <si>
    <t>Scavenger receptor class F member 1</t>
  </si>
  <si>
    <t>Acetyl LDL receptor; Scavenger receptor expressed by endothelial cells 1 (SREC-I)</t>
  </si>
  <si>
    <t>SREC_HUMAN</t>
  </si>
  <si>
    <t>Q14162</t>
  </si>
  <si>
    <t>A8MQ05; O43701; Q8NHD2; Q8NHD3; Q8NHD4; Q8NHD5</t>
  </si>
  <si>
    <t>KIAA0149; SREC</t>
  </si>
  <si>
    <t>Alternative splicing; Cell adhesion; Disulfide bond; EGF-like domain; Glycoprotein; Membrane; Phosphoprotein; Polymorphism; Receptor; Repeat; Signal; Transmembrane; Transmembrane helix</t>
  </si>
  <si>
    <t>EGF-like domain; Repeat; Signal; Transmembrane; Transmembrane helix</t>
  </si>
  <si>
    <t>Disulfide bond; Glycoprotein; Phosphoprotein</t>
  </si>
  <si>
    <t>cell adhesion {GO:0007155}; cholesterol catabolic process {GO:0006707}; dendrite development {GO:0016358}; neuron remodeling {GO:0016322}; positive regulation of axon regeneration {GO:0048680}; positive regulation of neuron projection development {GO:0010976}; receptor-mediated endocytosis {GO:0006898}</t>
  </si>
  <si>
    <t>endocytic vesicle membrane {GO:0030666}; integral component of membrane {GO:0016021}; plasma membrane {GO:0005886}</t>
  </si>
  <si>
    <t>low-density lipoprotein particle binding {GO:0030169}; scavenger receptor activity {GO:0005044}; transmembrane signaling receptor activity {GO:0004888}</t>
  </si>
  <si>
    <t>Scavenging by Class F Receptors {R-HSA-3000484}</t>
  </si>
  <si>
    <t>G-protein coupled receptor family C group 5 member C</t>
  </si>
  <si>
    <t>Retinoic acid-induced gene 3 protein (RAIG-3)</t>
  </si>
  <si>
    <t>GPC5C_HUMAN</t>
  </si>
  <si>
    <t>Q9NQ84</t>
  </si>
  <si>
    <t>B5BUN4; Q2NL85; Q9NZG5</t>
  </si>
  <si>
    <t>RAIG3</t>
  </si>
  <si>
    <t>Alternative splicing; Cell membrane; Cytoplasmic vesicle; G-protein coupled receptor; Glycoprotein; Membrane; Phosphoprotein; Receptor; Signal; Transducer; Transmembrane; Transmembrane helix</t>
  </si>
  <si>
    <t>Cell membrane; Cytoplasmic vesicle; Membrane</t>
  </si>
  <si>
    <t>G-protein coupled receptor; Receptor; Transducer</t>
  </si>
  <si>
    <t>Glycoprotein; Phosphoprotein</t>
  </si>
  <si>
    <t>G protein-coupled receptor signaling pathway {GO:0007186}</t>
  </si>
  <si>
    <t>cytoplasmic vesicle membrane {GO:0030659}; extracellular exosome {GO:0070062}; integral component of plasma membrane {GO:0005887}; intracellular membrane-bounded organelle {GO:0043231}; plasma membrane {GO:0005886}; receptor complex {GO:0043235}; vesicle {GO:0031982}</t>
  </si>
  <si>
    <t>G protein-coupled receptor activity {GO:0004930}; protein kinase activator activity {GO:0030295}</t>
  </si>
  <si>
    <t>Profilin-1</t>
  </si>
  <si>
    <t>Epididymis tissue protein Li 184a; Profilin I</t>
  </si>
  <si>
    <t>PROF1_HUMAN</t>
  </si>
  <si>
    <t>P07737</t>
  </si>
  <si>
    <t>Q53Y44</t>
  </si>
  <si>
    <t>3D-structure; Acetylation; Actin-binding; Amyotrophic lateral sclerosis; Cytoplasm; Cytoskeleton; Disease mutation; Isopeptide bond; Neurodegeneration; Phosphoprotein; Ubl conjugation</t>
  </si>
  <si>
    <t>Cytoplasm; Cytoskeleton</t>
  </si>
  <si>
    <t>Amyotrophic lateral sclerosis; Disease mutation; Neurodegeneration</t>
  </si>
  <si>
    <t>Actin-binding</t>
  </si>
  <si>
    <t>Acetylation; Isopeptide bond; Phosphoprotein; Ubl conjugation</t>
  </si>
  <si>
    <t>actin cytoskeleton organization {GO:0030036}; modification of postsynaptic actin cytoskeleton {GO:0098885}; negative regulation of actin filament bundle assembly {GO:0032232}; negative regulation of actin filament polymerization {GO:0030837}; negative regulation of stress fiber assembly {GO:0051497}; neural tube closure {GO:0001843}; positive regulation of actin filament bundle assembly {GO:0032233}; positive regulation of actin filament polymerization {GO:0030838}; positive regulation of ATPase activity {GO:0032781}; positive regulation of epithelial cell migration {GO:0010634}; positive regulation of ruffle assembly {GO:1900029}; protein stabilization {GO:0050821}; regulation of actin filament polymerization {GO:0030833}; regulation of transcription by RNA polymerase II {GO:0006357}; synapse maturation {GO:0060074}; Wnt signaling pathway, planar cell polarity pathway {GO:0060071}</t>
  </si>
  <si>
    <t>blood microparticle {GO:0072562}; cell cortex {GO:0005938}; cytoplasm {GO:0005737}; cytoskeleton {GO:0005856}; cytosol {GO:0005829}; extracellular exosome {GO:0070062}; focal adhesion {GO:0005925}; glutamatergic synapse {GO:0098978}; membrane {GO:0016020}; nucleus {GO:0005634}</t>
  </si>
  <si>
    <t>actin binding {GO:0003779}; actin monomer binding {GO:0003785}; adenyl-nucleotide exchange factor activity {GO:0000774}; cadherin binding {GO:0045296}; phosphatidylinositol-4,5-bisphosphate binding {GO:0005546}; proline-rich region binding {GO:0070064}; Rho GTPase binding {GO:0017048}; RNA binding {GO:0003723}</t>
  </si>
  <si>
    <t>Platelet degranulation {R-HSA-114608}; Signaling by ROBO receptors {R-HSA-376176}; PCP/CE pathway {R-HSA-4086400}; RHO GTPases Activate Formins {R-HSA-5663220}</t>
  </si>
  <si>
    <t>Galactokinase</t>
  </si>
  <si>
    <t>Galactose kinase</t>
  </si>
  <si>
    <t>GALK1_HUMAN</t>
  </si>
  <si>
    <t>P51570</t>
  </si>
  <si>
    <t>B2RC07; B4E1G6</t>
  </si>
  <si>
    <t>GALK</t>
  </si>
  <si>
    <t>3D-structure; Alternative splicing; ATP-binding; Carbohydrate metabolism; Cataract; Disease mutation; Galactose metabolism; Kinase; Nucleotide-binding; Phosphoprotein; Polymorphism; Transferase</t>
  </si>
  <si>
    <t>Carbohydrate metabolism; Galactose metabolism</t>
  </si>
  <si>
    <t>Cataract; Disease mutation</t>
  </si>
  <si>
    <t>ATP-binding; Nucleotide-binding</t>
  </si>
  <si>
    <t>Kinase; Transferase</t>
  </si>
  <si>
    <t>galactitol metabolic process {GO:0019402}; galactose catabolic process {GO:0019388}; galactose catabolic process via UDP-galactose {GO:0033499}; galactose metabolic process {GO:0006012}; glycolytic process from galactose {GO:0061623}</t>
  </si>
  <si>
    <t>cytoplasm {GO:0005737}; cytosol {GO:0005829}; extracellular exosome {GO:0070062}; membrane {GO:0016020}</t>
  </si>
  <si>
    <t>ATP binding {GO:0005524}; galactokinase activity {GO:0004335}; galactose binding {GO:0005534}</t>
  </si>
  <si>
    <t>Carbohydrate metabolism; galactose metabolism.</t>
  </si>
  <si>
    <t>Defective GALK1 can cause Galactosemia II (GALCT2) {R-HSA-5609976}; Galactose catabolism {R-HSA-70370}</t>
  </si>
  <si>
    <t>Protein archease</t>
  </si>
  <si>
    <t>Protein ZBTB8OS; Zinc finger and BTB domain-containing opposite strand protein 8</t>
  </si>
  <si>
    <t>ARCH_HUMAN</t>
  </si>
  <si>
    <t>Q8IWT0</t>
  </si>
  <si>
    <t>Q5TGK5; Q6PDA1; Q8IWS9; Q8NEV6; Q8NEV7</t>
  </si>
  <si>
    <t>ARCH</t>
  </si>
  <si>
    <t>Acetylation; Alternative splicing; Calcium; Metal-binding; tRNA processing</t>
  </si>
  <si>
    <t>tRNA processing</t>
  </si>
  <si>
    <t>Acetylation</t>
  </si>
  <si>
    <t>tRNA splicing, via endonucleolytic cleavage and ligation {GO:0006388}</t>
  </si>
  <si>
    <t>nucleoplasm {GO:0005654}; tRNA-splicing ligase complex {GO:0072669}</t>
  </si>
  <si>
    <t>metal ion binding {GO:0046872}</t>
  </si>
  <si>
    <t>tRNA processing in the nucleus {R-HSA-6784531}</t>
  </si>
  <si>
    <t>V-type proton ATPase 116 kDa subunit a isoform 1 (V-ATPase 116 kDa isoform a1)</t>
  </si>
  <si>
    <t>Clathrin-coated vesicle/synaptic vesicle proton pump 116 kDa subunit; Vacuolar adenosine triphosphatase subunit Ac116; Vacuolar proton pump subunit 1; Vacuolar proton translocating ATPase 116 kDa subunit a isoform 1</t>
  </si>
  <si>
    <t>VPP1_HUMAN</t>
  </si>
  <si>
    <t>Q93050</t>
  </si>
  <si>
    <t>B7Z3B7; Q8N5G7; Q9NSX0</t>
  </si>
  <si>
    <t>ATP6N1; ATP6N1A; VPP1</t>
  </si>
  <si>
    <t>Alternative splicing; Cytoplasmic vesicle; Hydrogen ion transport; Ion transport; Membrane; Phosphoprotein; Transmembrane; Transmembrane helix; Transport</t>
  </si>
  <si>
    <t>Hydrogen ion transport; Ion transport; Transport</t>
  </si>
  <si>
    <t>Cytoplasmic vesicle; Membrane</t>
  </si>
  <si>
    <t>ATP hydrolysis coupled proton transport {GO:0015991}; insulin receptor signaling pathway {GO:0008286}; ion transmembrane transport {GO:0034220}; neutrophil degranulation {GO:0043312}; phagosome acidification {GO:0090383}; regulation of macroautophagy {GO:0016241}; toxin transport {GO:1901998}; transferrin transport {GO:0033572}; vacuolar acidification {GO:0007035}</t>
  </si>
  <si>
    <t>cytosol {GO:0005829}; endosome membrane {GO:0010008}; extracellular exosome {GO:0070062}; ficolin-1-rich granule membrane {GO:0101003}; Golgi apparatus {GO:0005794}; integral component of membrane {GO:0016021}; intracellular membrane-bounded organelle {GO:0043231}; lysosomal membrane {GO:0005765}; melanosome {GO:0042470}; nuclear speck {GO:0016607}; perinuclear region of cytoplasm {GO:0048471}; phagocytic vesicle membrane {GO:0030670}; plasma membrane {GO:0005886}; secretory granule membrane {GO:0030667}; vacuolar proton-transporting V-type ATPase complex {GO:0016471}; vacuolar proton-transporting V-type ATPase, V0 domain {GO:0000220}</t>
  </si>
  <si>
    <t>ATPase binding {GO:0051117}; proton-transporting ATPase activity, rotational mechanism {GO:0046961}</t>
  </si>
  <si>
    <t>ROS and RNS production in phagocytes {R-HSA-1222556}; Neutrophil degranulation {R-HSA-6798695}; Insulin receptor recycling {R-HSA-77387}; Transferrin endocytosis and recycling {R-HSA-917977}; Ion channel transport {R-HSA-983712}</t>
  </si>
  <si>
    <t>Caveolae-associated protein 1</t>
  </si>
  <si>
    <t>Cavin-1; Polymerase I and transcript release factor</t>
  </si>
  <si>
    <t>CAVN1_HUMAN</t>
  </si>
  <si>
    <t>Q6NZI2</t>
  </si>
  <si>
    <t>B2RAW7; O00535; Q6GMY1; Q96H74; Q9BT85; Q9HAP4</t>
  </si>
  <si>
    <t>PTRF</t>
  </si>
  <si>
    <t>Acetylation; Alternative splicing; Cell membrane; Coiled coil; Congenital generalized lipodystrophy; Cytoplasm; Diabetes mellitus; Endoplasmic reticulum; Isopeptide bond; Membrane; Microsome; Mitochondrion; Nucleus; Phosphoprotein; Polymorphism; Repeat; RNA-binding; rRNA-binding; Transcription; Transcription regulation; Transcription termination; Ubl conjugation</t>
  </si>
  <si>
    <t>Transcription; Transcription regulation; Transcription termination</t>
  </si>
  <si>
    <t>Cell membrane; Cytoplasm; Endoplasmic reticulum; Membrane; Microsome; Mitochondrion; Nucleus</t>
  </si>
  <si>
    <t>Congenital generalized lipodystrophy; Diabetes mellitus</t>
  </si>
  <si>
    <t>Coiled coil; Repeat</t>
  </si>
  <si>
    <t>RNA-binding; rRNA-binding</t>
  </si>
  <si>
    <t>positive regulation of cell motility {GO:2000147}; protein secretion {GO:0009306}; rRNA transcription {GO:0009303}; termination of RNA polymerase I transcription {GO:0006363}; transcription initiation from RNA polymerase I promoter {GO:0006361}</t>
  </si>
  <si>
    <t>caveola {GO:0005901}; cytoplasm {GO:0005737}; cytosol {GO:0005829}; endoplasmic reticulum {GO:0005783}; intracellular membrane-bounded organelle {GO:0043231}; membrane raft {GO:0045121}; mitochondrion {GO:0005739}; nucleoplasm {GO:0005654}; nucleus {GO:0005634}; plasma membrane {GO:0005886}; protein-containing complex {GO:0032991}</t>
  </si>
  <si>
    <t>identical protein binding {GO:0042802}; RNA binding {GO:0003723}; rRNA primary transcript binding {GO:0042134}</t>
  </si>
  <si>
    <t>RNA Polymerase I Transcription Termination {R-HSA-73863}</t>
  </si>
  <si>
    <t>7-methylguanosine phosphate-specific 5'-nucleotidase (7-methylguanosine nucleotidase)</t>
  </si>
  <si>
    <t>Cytosolic 5'-nucleotidase 3B; Cytosolic 5'-nucleotidase III-like protein (cN-III-like protein); N(7)-methylguanylate 5'-phosphatase</t>
  </si>
  <si>
    <t>5NT3B_HUMAN</t>
  </si>
  <si>
    <t>Q969T7</t>
  </si>
  <si>
    <t>A8MWB9; C9JKC4; Q7L3B7</t>
  </si>
  <si>
    <t>NT5C3L</t>
  </si>
  <si>
    <t>Acetylation; Alternative splicing; Cytoplasm; Hydrolase; Magnesium; Metal-binding; Nucleotide metabolism; Nucleotide-binding; Polymorphism</t>
  </si>
  <si>
    <t>Nucleotide metabolism</t>
  </si>
  <si>
    <t>Magnesium; Metal-binding; Nucleotide-binding</t>
  </si>
  <si>
    <t>exonucleolytic catabolism of deadenylated mRNA {GO:0043928}; nucleotide metabolic process {GO:0009117}</t>
  </si>
  <si>
    <t>cytoplasm {GO:0005737}; cytosol {GO:0005829}</t>
  </si>
  <si>
    <t>5'-nucleotidase activity {GO:0008253}; magnesium ion binding {GO:0000287}; nucleotide binding {GO:0000166}</t>
  </si>
  <si>
    <t>mRNA decay by 3' to 5' exoribonuclease {R-HSA-429958}</t>
  </si>
  <si>
    <t>Sclerostin</t>
  </si>
  <si>
    <t>SOST_HUMAN</t>
  </si>
  <si>
    <t>Q9BQB4</t>
  </si>
  <si>
    <t>Q495N9</t>
  </si>
  <si>
    <t>3D-structure; Alternative splicing; Disease mutation; Disulfide bond; Extracellular matrix; Glycoprotein; Heparin-binding; Secreted; Signal; Wnt signaling pathway</t>
  </si>
  <si>
    <t>Wnt signaling pathway</t>
  </si>
  <si>
    <t>Heparin-binding</t>
  </si>
  <si>
    <t>cellular response to parathyroid hormone stimulus {GO:0071374}; negative regulation of BMP signaling pathway {GO:0030514}; negative regulation of canonical Wnt signaling pathway {GO:0090090}; negative regulation of ossification {GO:0030279}; negative regulation of protein complex assembly {GO:0031333}; ossification {GO:0001503}; positive regulation of transcription, DNA-templated {GO:0045893}; response to mechanical stimulus {GO:0009612}; Wnt signaling pathway {GO:0016055}</t>
  </si>
  <si>
    <t>extracellular region {GO:0005576}; extracellular space {GO:0005615}; Golgi apparatus {GO:0005794}; protein-containing complex {GO:0032991}</t>
  </si>
  <si>
    <t>heparin binding {GO:0008201}; transcription factor binding {GO:0008134}</t>
  </si>
  <si>
    <t>TCF dependent signaling in response to WNT {R-HSA-201681}; Negative regulation of TCF-dependent signaling by WNT ligand antagonists {R-HSA-3772470}</t>
  </si>
  <si>
    <t>Bleomycin hydrolase (BH; BLM hydrolase; BMH)</t>
  </si>
  <si>
    <t>BLMH_HUMAN</t>
  </si>
  <si>
    <t>Q13867</t>
  </si>
  <si>
    <t>B2R796; Q53F86; Q9UER9</t>
  </si>
  <si>
    <t>3D-structure; Acetylation; Cytoplasm; Hydrolase; Polymorphism; Protease; Thiol protease</t>
  </si>
  <si>
    <t>Hydrolase; Protease; Thiol protease</t>
  </si>
  <si>
    <t>homocysteine catabolic process {GO:0043418}; protein polyubiquitination {GO:0000209}; proteolysis {GO:0006508}; response to drug {GO:0042493}; response to toxic substance {GO:0009636}</t>
  </si>
  <si>
    <t>cytoplasm {GO:0005737}; cytosol {GO:0005829}; extracellular exosome {GO:0070062}; nucleus {GO:0005634}</t>
  </si>
  <si>
    <t>aminopeptidase activity {GO:0004177}; carboxypeptidase activity {GO:0004180}; cysteine-type endopeptidase activity {GO:0004197}; cysteine-type peptidase activity {GO:0008234}; identical protein binding {GO:0042802}</t>
  </si>
  <si>
    <t>Antigen processing: Ubiquitination &amp; Proteasome degradation {R-HSA-983168}</t>
  </si>
  <si>
    <t>Unconventional myosin-Ic</t>
  </si>
  <si>
    <t>Myosin I beta (MMI-beta; MMIb)</t>
  </si>
  <si>
    <t>MYO1C_HUMAN</t>
  </si>
  <si>
    <t>O00159</t>
  </si>
  <si>
    <t>Q4LE56; Q6NVJ7; Q86Y95</t>
  </si>
  <si>
    <t>3D-structure; Acetylation; Actin-binding; Alternative splicing; ATP-binding; Calmodulin-binding; Cell membrane; Cell projection; Cytoplasm; Cytoplasmic vesicle; Membrane; Methylation; Motor protein; mRNA transport; Myosin; Nuclear pore complex; Nucleotide-binding; Nucleus; Phosphoprotein; Polymorphism; Protein transport; Repeat; Translocation; Transport</t>
  </si>
  <si>
    <t>Protein transport; Translocation; Transport; mRNA transport</t>
  </si>
  <si>
    <t>Cell membrane; Cell projection; Cytoplasm; Cytoplasmic vesicle; Membrane; Nuclear pore complex; Nucleus</t>
  </si>
  <si>
    <t>Repeat</t>
  </si>
  <si>
    <t>Actin-binding; Calmodulin-binding; Motor protein; Myosin</t>
  </si>
  <si>
    <t>Acetylation; Methylation; Phosphoprotein</t>
  </si>
  <si>
    <t>cellular response to interferon-gamma {GO:0071346}; Fc-gamma receptor signaling pathway involved in phagocytosis {GO:0038096}; mRNA transport {GO:0051028}; positive regulation of actin filament polymerization {GO:0030838}; positive regulation of cell migration {GO:0030335}; positive regulation of cell migration by vascular endothelial growth factor signaling pathway {GO:0038089}; positive regulation of cellular response to insulin stimulus {GO:1900078}; positive regulation of gene expression, epigenetic {GO:0045815}; positive regulation of protein targeting to membrane {GO:0090314}; positive regulation of vascular endothelial growth factor signaling pathway {GO:1900748}; protein targeting {GO:0006605}; protein targeting to membrane {GO:0006612}; regulation of bicellular tight junction assembly {GO:2000810}; vesicle transport along actin filament {GO:0030050}</t>
  </si>
  <si>
    <t>basal plasma membrane {GO:0009925}; brush border {GO:0005903}; cytoplasm {GO:0005737}; cytoplasmic vesicle membrane {GO:0030659}; cytosol {GO:0005829}; extracellular exosome {GO:0070062}; filamentous actin {GO:0031941}; lateral plasma membrane {GO:0016328}; membrane {GO:0016020}; membrane raft {GO:0045121}; microvillus {GO:0005902}; nuclear body {GO:0016604}; nuclear pore {GO:0005643}; nucleolus {GO:0005730}; nucleoplasm {GO:0005654}; phagocytic vesicle {GO:0045335}; plasma membrane {GO:0005886}; ruffle membrane {GO:0032587}; stereocilium membrane {GO:0060171}; unconventional myosin complex {GO:0016461}</t>
  </si>
  <si>
    <t>actin filament binding {GO:0051015}; actin-dependent ATPase activity {GO:0030898}; ATP binding {GO:0005524}; calmodulin binding {GO:0005516}; microfilament motor activity {GO:0000146}; protein C-terminus binding {GO:0008022}; Ral GTPase binding {GO:0017160}; signaling receptor binding {GO:0005102}</t>
  </si>
  <si>
    <t>Translocation of SLC2A4 (GLUT4) to the plasma membrane {R-HSA-1445148}; Regulation of actin dynamics for phagocytic cup formation {R-HSA-2029482}; B-WICH complex positively regulates rRNA expression {R-HSA-5250924}</t>
  </si>
  <si>
    <t>E3 ubiquitin-protein ligase RNF167</t>
  </si>
  <si>
    <t>RING finger protein 167; RING-type E3 ubiquitin transferase RNF167; RING105</t>
  </si>
  <si>
    <t>RN167_HUMAN</t>
  </si>
  <si>
    <t>Q9H6Y7</t>
  </si>
  <si>
    <t>D3DTK8; Q6XYE0; Q8NDC1; Q9Y3V1</t>
  </si>
  <si>
    <t>Glycoprotein; Membrane; Metal-binding; Polymorphism; Signal; Transferase; Transmembrane; Transmembrane helix; Ubl conjugation; Ubl conjugation pathway; Zinc; Zinc-finger</t>
  </si>
  <si>
    <t>Ubl conjugation pathway</t>
  </si>
  <si>
    <t>Signal; Transmembrane; Transmembrane helix; Zinc-finger</t>
  </si>
  <si>
    <t>Transferase</t>
  </si>
  <si>
    <t>Glycoprotein; Ubl conjugation</t>
  </si>
  <si>
    <t>negative regulation of cell cycle {GO:0045786}; protein polyubiquitination {GO:0000209}; ubiquitin-dependent protein catabolic process {GO:0006511}</t>
  </si>
  <si>
    <t>cytoplasm {GO:0005737}; endomembrane system {GO:0012505}; integral component of membrane {GO:0016021}</t>
  </si>
  <si>
    <t>ubiquitin protein ligase activity {GO:0061630}; ubiquitin-protein transferase activity {GO:0004842}; zinc ion binding {GO:0008270}</t>
  </si>
  <si>
    <t>Protein modification; protein ubiquitination.</t>
  </si>
  <si>
    <t>60S ribosomal protein L23</t>
  </si>
  <si>
    <t>60S ribosomal protein L17; Large ribosomal subunit protein uL14</t>
  </si>
  <si>
    <t>RL23_HUMAN</t>
  </si>
  <si>
    <t>P62829</t>
  </si>
  <si>
    <t>P23131; P24048; Q29246; Q3SWV7; Q6P5S1</t>
  </si>
  <si>
    <t>3D-structure; Phosphoprotein; Ribonucleoprotein; Ribosomal protein</t>
  </si>
  <si>
    <t>cellular response to actinomycin D {GO:0072717}; negative regulation of cell cycle arrest {GO:0071157}; negative regulation of transcription by RNA polymerase II {GO:0000122}; negative regulation of ubiquitin protein ligase activity {GO:1904667}; negative regulation of ubiquitin-dependent protein catabolic process {GO:2000059}; nuclear-transcribed mRNA catabolic process, nonsense-mediated decay {GO:0000184}; positive regulation of cell cycle arrest {GO:0071158}; positive regulation of cell population proliferation {GO:0008284}; positive regulation of gene expression {GO:0010628}; positive regulation of signal transduction by p53 class mediator {GO:1901798}; protein stabilization {GO:0050821}; protein-DNA complex disassembly {GO:0032986}; ribosomal protein import into nucleus {GO:0006610};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</si>
  <si>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membrane {GO:0016020}; nucleolus {GO:0005730}; nucleoplasm {GO:0005654}; postsynaptic density {GO:0014069}; protein-containing complex {GO:0032991}; ribosome {GO:0005840}</t>
  </si>
  <si>
    <t>large ribosomal subunit rRNA binding {GO:0070180}; RNA binding {GO:0003723}; structural constituent of ribosome {GO:0003735}; transcription coactivator binding {GO:0001223}; ubiquitin ligase inhibitor activity {GO:1990948}; ubiquitin protein ligase binding {GO:0031625}</t>
  </si>
  <si>
    <t>Serine hydroxymethyltransferase, cytosolic (SHMT)</t>
  </si>
  <si>
    <t>Glycine hydroxymethyltransferase; Serine methylase</t>
  </si>
  <si>
    <t>GLYC_HUMAN</t>
  </si>
  <si>
    <t>P34896</t>
  </si>
  <si>
    <t>B4DPM9; D3DXD0; Q96HY0; Q9UMD1; Q9UMD2</t>
  </si>
  <si>
    <t>3D-structure; Acetylation; Alternative splicing; Cytoplasm; One-carbon metabolism; Polymorphism; Pyridoxal phosphate; Transferase</t>
  </si>
  <si>
    <t>One-carbon metabolism</t>
  </si>
  <si>
    <t>Pyridoxal phosphate</t>
  </si>
  <si>
    <t>carnitine biosynthetic process {GO:0045329}; cellular response to leukemia inhibitory factor {GO:1990830}; cellular response to tetrahydrofolate {GO:1904482}; dTMP biosynthetic process {GO:0006231}; folic acid metabolic process {GO:0046655}; glycine biosynthetic process from serine {GO:0019264}; glycine metabolic process {GO:0006544}; L-serine catabolic process {GO:0006565}; L-serine metabolic process {GO:0006563}; negative regulation of translation {GO:0017148}; one-carbon metabolic process {GO:0006730}; protein homotetramerization {GO:0051289}; protein tetramerization {GO:0051262}; purine nucleobase biosynthetic process {GO:0009113}; tetrahydrofolate interconversion {GO:0035999}; tetrahydrofolate metabolic process {GO:0046653}</t>
  </si>
  <si>
    <t>cytosol {GO:0005829}; extracellular exosome {GO:0070062}; nucleus {GO:0005634}</t>
  </si>
  <si>
    <t>amino acid binding {GO:0016597}; cobalt ion binding {GO:0050897}; glycine hydroxymethyltransferase activity {GO:0004372}; identical protein binding {GO:0042802}; L-allo-threonine aldolase activity {GO:0008732}; mRNA 5'-UTR binding {GO:0048027}; protein homodimerization activity {GO:0042803}; pyridoxal phosphate binding {GO:0030170}; serine binding {GO:0070905}; translation repressor activity, mRNA regulatory element binding {GO:0000900}; zinc ion binding {GO:0008270}</t>
  </si>
  <si>
    <t>One-carbon metabolism; tetrahydrofolate interconversion.</t>
  </si>
  <si>
    <t>Metabolism of folate and pterines {R-HSA-196757}; Carnitine synthesis {R-HSA-71262}</t>
  </si>
  <si>
    <t>26S proteasome non-ATPase regulatory subunit 3</t>
  </si>
  <si>
    <t>26S proteasome regulatory subunit RPN3; 26S proteasome regulatory subunit S3; Proteasome subunit p58</t>
  </si>
  <si>
    <t>PSMD3_HUMAN</t>
  </si>
  <si>
    <t>O43242</t>
  </si>
  <si>
    <t>B3KMW9; B4DT72; Q96EI2; Q9BQA4</t>
  </si>
  <si>
    <t>3D-structure; Alternative splicing; Isopeptide bond; Phosphoprotein; Proteasome; Ubl conjugation</t>
  </si>
  <si>
    <t>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</si>
  <si>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protein catabolic process {GO:0042176};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</si>
  <si>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cytosol {GO:0005829}; extracellular exosome {GO:0070062}; extracellular region {GO:0005576}; ficolin-1-rich granule lumen {GO:1904813}; membrane {GO:0016020}; nucleoplasm {GO:0005654}; nucleus {GO:0005634}; proteasome accessory complex {GO:0022624}; proteasome complex {GO:0000502}; proteasome regulatory particle, lid subcomplex {GO:0008541}; secretory granule lumen {GO:0034774}</t>
  </si>
  <si>
    <t>enzyme regulator activity {GO:0030234}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</si>
  <si>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Neutrophil degranulation {R-HSA-6798695};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Neddylation {R-HSA-8951664}; Regulation of expression of SLITs and ROBOs {R-HSA-9010553}; Interleukin-1 signaling {R-HSA-9020702}; Negative regulation of NOTCH4 signaling {R-HSA-9604323}; Antigen processing: Ubiquitination &amp; Proteasome degradation {R-HSA-983168}</t>
  </si>
  <si>
    <t>Glycocalicin</t>
  </si>
  <si>
    <t>Antigen CD42b-alpha; CD_antigen=CD42b</t>
  </si>
  <si>
    <t>GP1BA_HUMAN</t>
  </si>
  <si>
    <t>P07359</t>
  </si>
  <si>
    <t>E7ES66; Q14441; Q16469; Q8N1F3; Q8NG39; Q9HDC7; Q9UEK1; Q9UQS4</t>
  </si>
  <si>
    <t>3D-structure; Bernard Soulier syndrome; Blood coagulation; Cell adhesion; Disease mutation; Disulfide bond; Glycoprotein; Hemostasis; Leucine-rich repeat; Membrane; Phosphoprotein; Polymorphism; Repeat; Signal; Sulfation; Transmembrane; Transmembrane helix; von Willebrand disease</t>
  </si>
  <si>
    <t>Blood coagulation; Cell adhesion; Hemostasis</t>
  </si>
  <si>
    <t>Bernard Soulier syndrome; Disease mutation; von Willebrand disease</t>
  </si>
  <si>
    <t>Leucine-rich repeat; Repeat; Signal; Transmembrane; Transmembrane helix</t>
  </si>
  <si>
    <t>Disulfide bond; Glycoprotein; Phosphoprotein; Sulfation</t>
  </si>
  <si>
    <t>blood coagulation {GO:0007596}; blood coagulation, intrinsic pathway {GO:0007597}; cell adhesion {GO:0007155}; cell morphogenesis {GO:0000902}; cell surface receptor signaling pathway {GO:0007166}; fibrinolysis {GO:0042730}; platelet activation {GO:0030168}; platelet aggregation {GO:0070527}; regulation of blood coagulation {GO:0030193}; regulation of megakaryocyte differentiation {GO:0045652}</t>
  </si>
  <si>
    <t>anchored component of external side of plasma membrane {GO:0031362}; cell surface {GO:0009986}; extracellular exosome {GO:0070062}; extracellular matrix {GO:0031012}; extracellular space {GO:0005615}; integral component of plasma membrane {GO:0005887}; membrane {GO:0016020}; plasma membrane {GO:0005886}</t>
  </si>
  <si>
    <t>thrombin-activated receptor activity {GO:0015057}</t>
  </si>
  <si>
    <t>Intrinsic Pathway of Fibrin Clot Formation {R-HSA-140837}; GP1b-IX-V activation signalling {R-HSA-430116}; Platelet Adhesion to exposed collagen {R-HSA-75892}; Platelet Aggregation (Plug Formation) {R-HSA-76009}; RUNX1 regulates genes involved in megakaryocyte differentiation and platelet function {R-HSA-8936459}</t>
  </si>
  <si>
    <t>Ketosamine-3-kinase</t>
  </si>
  <si>
    <t>Fructosamine-3-kinase-related protein (FN3K-RP; FN3K-related protein)</t>
  </si>
  <si>
    <t>KT3K_HUMAN</t>
  </si>
  <si>
    <t>Q9HA64</t>
  </si>
  <si>
    <t>Q969F4; Q9H0U7</t>
  </si>
  <si>
    <t>Kinase; Phosphoprotein; Polymorphism; Transferase</t>
  </si>
  <si>
    <t>post-translational protein modification {GO:0043687}</t>
  </si>
  <si>
    <t>kinase activity {GO:0016301}</t>
  </si>
  <si>
    <t>Gamma carboxylation, hypusine formation and arylsulfatase activation {R-HSA-163841}</t>
  </si>
  <si>
    <t>Junction plakoglobin</t>
  </si>
  <si>
    <t>Catenin gamma; Desmoplakin III; Desmoplakin-3</t>
  </si>
  <si>
    <t>PLAK_HUMAN</t>
  </si>
  <si>
    <t>P14923</t>
  </si>
  <si>
    <t>Q15093; Q15151; Q7L3S5; Q86W21; Q9BWC4; Q9HCX9</t>
  </si>
  <si>
    <t>CTNNG; DP3</t>
  </si>
  <si>
    <t>3D-structure; Acetylation; Cardiomyopathy; Cell adhesion; Cell junction; Cytoplasm; Cytoskeleton; Disease mutation; Glycoprotein; Membrane; Palmoplantar keratoderma; Phosphoprotein; Polymorphism; Repeat</t>
  </si>
  <si>
    <t>Cell junction; Cytoplasm; Cytoskeleton; Membrane</t>
  </si>
  <si>
    <t>Cardiomyopathy; Disease mutation; Palmoplantar keratoderma</t>
  </si>
  <si>
    <t>Acetylation; Glycoprotein; Phosphoprotein</t>
  </si>
  <si>
    <t>adherens junction organization {GO:0034332}; bundle of His cell-Purkinje myocyte adhesion involved in cell communication {GO:0086073}; cell migration {GO:0016477}; cell-cell adhesion {GO:0098609}; cellular response to indole-3-methanol {GO:0071681}; cornification {GO:0070268}; cytoskeletal anchoring at plasma membrane {GO:0007016}; desmosome assembly {GO:0002159}; detection of mechanical stimulus {GO:0050982}; endothelial cell-cell adhesion {GO:0071603}; keratinization {GO:0031424}; negative regulation of blood vessel endothelial cell migration {GO:0043537}; neutrophil degranulation {GO:0043312}; positive regulation of angiogenesis {GO:0045766}; positive regulation of canonical Wnt signaling pathway {GO:0090263}; positive regulation of cell-matrix adhesion {GO:0001954}; positive regulation of DNA-binding transcription factor activity {GO:0051091}; positive regulation of protein import into nucleus {GO:0042307}; positive regulation of transcription by RNA polymerase II {GO:0045944}; protein heterooligomerization {GO:0051291}; protein localization to plasma membrane {GO:0072659}; regulation of cell population proliferation {GO:0042127}; regulation of heart rate by cardiac conduction {GO:0086091}; regulation of ventricular cardiac muscle cell action potential {GO:0098911}</t>
  </si>
  <si>
    <t>actin cytoskeleton {GO:0015629}; apicolateral plasma membrane {GO:0016327}; catenin complex {GO:0016342}; cell-cell adherens junction {GO:0005913}; cell-cell junction {GO:0005911}; cornified envelope {GO:0001533}; cytoplasm {GO:0005737}; cytoplasmic side of plasma membrane {GO:0009898}; cytoskeleton {GO:0005856}; cytosol {GO:0005829}; desmosome {GO:0030057}; extracellular exosome {GO:0070062}; extracellular region {GO:0005576}; fascia adherens {GO:0005916}; ficolin-1-rich granule lumen {GO:1904813}; focal adhesion {GO:0005925}; gamma-catenin-TCF7L2 complex {GO:0071665}; intercalated disc {GO:0014704}; intermediate filament {GO:0005882}; lateral plasma membrane {GO:0016328}; nucleus {GO:0005634}; plasma membrane {GO:0005886}; protein-DNA complex {GO:0032993}; specific granule lumen {GO:0035580}; Z disc {GO:0030018}; zonula adherens {GO:0005915}</t>
  </si>
  <si>
    <t>alpha-catenin binding {GO:0045294}; cadherin binding {GO:0045296}; cell adhesion molecule binding {GO:0050839}; cell adhesive protein binding involved in bundle of His cell-Purkinje myocyte communication {GO:0086083}; nuclear hormone receptor binding {GO:0035257}; protein homodimerization activity {GO:0042803}; protein kinase binding {GO:0019901}; protein phosphatase binding {GO:0019903}; structural constituent of cell wall {GO:0005199}; structural molecule activity {GO:0005198}; transcription coactivator activity {GO:0003713}</t>
  </si>
  <si>
    <t>Adherens junctions interactions {R-HSA-418990}; VEGFR2 mediated vascular permeability {R-HSA-5218920}; Neutrophil degranulation {R-HSA-6798695}; Keratinization {R-HSA-6805567}; Formation of the cornified envelope {R-HSA-6809371}</t>
  </si>
  <si>
    <t>Phosphatidylinositol transfer protein alpha isoform (PI-TP-alpha; PtdIns transfer protein alpha; PtdInsTP alpha)</t>
  </si>
  <si>
    <t>PIPNA_HUMAN</t>
  </si>
  <si>
    <t>Q00169</t>
  </si>
  <si>
    <t>PITPN</t>
  </si>
  <si>
    <t>3D-structure; Acetylation; Cytoplasm; Lipid-binding; Transport</t>
  </si>
  <si>
    <t>Transport</t>
  </si>
  <si>
    <t>axonogenesis {GO:0007409}; interleukin-12-mediated signaling pathway {GO:0035722}; lipid metabolic process {GO:0006629}; phospholipid transport {GO:0015914}; visual perception {GO:0007601}</t>
  </si>
  <si>
    <t>cytoplasm {GO:0005737}; cytosol {GO:0005829}; extracellular exosome {GO:0070062}</t>
  </si>
  <si>
    <t>phosphatidylcholine binding {GO:0031210}; phosphatidylcholine transporter activity {GO:0008525}; phosphatidylglycerol binding {GO:1901611}; phosphatidylinositol binding {GO:0035091}; phosphatidylinositol transporter activity {GO:0008526}</t>
  </si>
  <si>
    <t>Role of second messengers in netrin-1 signaling {R-HSA-418890}; Gene and protein expression by JAK-STAT signaling after Interleukin-12 stimulation {R-HSA-8950505}</t>
  </si>
  <si>
    <t>26S proteasome regulatory subunit 8</t>
  </si>
  <si>
    <t>26S proteasome AAA-ATPase subunit RPT6; Proteasome 26S subunit ATPase 5; Proteasome subunit p45; Thyroid hormone receptor-interacting protein 1 (TRIP1); p45/SUG</t>
  </si>
  <si>
    <t>PRS8_HUMAN</t>
  </si>
  <si>
    <t>P62195</t>
  </si>
  <si>
    <t>A8K3Z3; A8K763; O35051; O43208; P47210; P52915; P52916</t>
  </si>
  <si>
    <t>SUG1</t>
  </si>
  <si>
    <t>3D-structure; Acetylation; Alternative splicing; ATP-binding; Cytoplasm; Nucleotide-binding; Nucleus; Phosphoprotein; Polymorphism; Proteasome</t>
  </si>
  <si>
    <t>Cytoplasm; Nucleus;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</si>
  <si>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modulation of chemical synaptic transmission {GO:0050804}; negative regulation of canonical Wnt signaling pathway {GO:0090090}; negative regulation of G2/M transition of mitotic cell cycle {GO:0010972}; negative regulation of programmed cell death {GO:0043069}; negative regulation of transcription, DNA-templated {GO:0045892}; NIK/NF-kappaB signaling {GO:0038061}; positive regulation of canonical Wnt signaling pathway {GO:0090263}; positive regulation of inclusion body assembly {GO:0090261}; positive regulation of RNA polymerase II transcriptional preinitiation complex assembly {GO:0045899}; positive regulation of transcription, DNA-templated {GO:0045893};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by RNA polymerase II {GO:0006357};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</si>
  <si>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blood microparticle {GO:0072562}; cytoplasm {GO:0005737}; cytoplasmic vesicle {GO:0031410}; cytosol {GO:0005829}; cytosolic proteasome complex {GO:0031597}; extracellular exosome {GO:0070062}; inclusion body {GO:0016234}; membrane {GO:0016020}; nuclear proteasome complex {GO:0031595}; nucleoplasm {GO:0005654}; nucleus {GO:0005634}; postsynapse {GO:0098794}; proteasome accessory complex {GO:0022624}; proteasome complex {GO:0000502}; proteasome regulatory particle, base subcomplex {GO:0008540}</t>
  </si>
  <si>
    <t>ATP binding {GO:0005524}; ATPase activity {GO:0016887}; proteasome-activating ATPase activity {GO:0036402}; TBP-class protein binding {GO:0017025}; thyrotropin-releasing hormone receptor binding {GO:0031531}; transcription factor binding {GO:0008134}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</si>
  <si>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Neddylation {R-HSA-8951664}; Regulation of expression of SLITs and ROBOs {R-HSA-9010553}; Interleukin-1 signaling {R-HSA-9020702}; Negative regulation of NOTCH4 signaling {R-HSA-9604323}; Antigen processing: Ubiquitination &amp; Proteasome degradation {R-HSA-983168}</t>
  </si>
  <si>
    <t>Ras-related C3 botulinum toxin substrate 3</t>
  </si>
  <si>
    <t>p21-Rac3</t>
  </si>
  <si>
    <t>RAC3_HUMAN</t>
  </si>
  <si>
    <t>P60763</t>
  </si>
  <si>
    <t>O14658; Q5U0M8</t>
  </si>
  <si>
    <t>3D-structure; Cell membrane; Cell projection; Cytoplasm; Cytoskeleton; Glycoprotein; GTP-binding; Lipoprotein; Membrane; Methylation; Nucleotide-binding; Prenylation</t>
  </si>
  <si>
    <t>Cell membrane; Cell projection; Cytoplasm; Cytoskeleton; Membrane</t>
  </si>
  <si>
    <t>GTP-binding; Nucleotide-binding</t>
  </si>
  <si>
    <t>Glycoprotein; Lipoprotein; Methylation; Prenylation</t>
  </si>
  <si>
    <t>actin cytoskeleton organization {GO:0030036}; actin filament organization {GO:0007015}; cell migration {GO:0016477}; cell morphogenesis {GO:0000902}; cell projection assembly {GO:0030031}; cerebral cortex GABAergic interneuron development {GO:0021894}; engulfment of apoptotic cell {GO:0043652}; homeostasis of number of cells within a tissue {GO:0048873}; intracellular signal transduction {GO:0035556}; neuromuscular process controlling balance {GO:0050885}; neuron projection development {GO:0031175}; positive regulation of actin filament polymerization {GO:0030838}; positive regulation of cell adhesion mediated by integrin {GO:0033630}; positive regulation of substrate adhesion-dependent cell spreading {GO:1900026}; regulation of neuron maturation {GO:0014041}; regulation of small GTPase mediated signal transduction {GO:0051056}; Rho protein signal transduction {GO:0007266}; synaptic transmission, GABAergic {GO:0051932}</t>
  </si>
  <si>
    <t>cell periphery {GO:0071944}; cytoplasm {GO:0005737}; cytosol {GO:0005829}; endomembrane system {GO:0012505}; extracellular exosome {GO:0070062}; filamentous actin {GO:0031941}; growth cone {GO:0030426}; lamellipodium {GO:0030027}; neuron projection {GO:0043005}; neuronal cell body {GO:0043025}; perinuclear region of cytoplasm {GO:0048471}; plasma membrane {GO:0005886}</t>
  </si>
  <si>
    <t>calcium-dependent protein binding {GO:0048306}; GTP binding {GO:0005525}; GTPase activity {GO:0003924}; protein kinase binding {GO:0019901}</t>
  </si>
  <si>
    <t>Rho GTPase cycle {R-HSA-194840}; PCP/CE pathway {R-HSA-4086400}</t>
  </si>
  <si>
    <t>THO complex subunit 4 (Tho4)</t>
  </si>
  <si>
    <t>Ally of AML-1 and LEF-1; Aly/REF export factor; Transcriptional coactivator Aly/REF; bZIP-enhancing factor BEF</t>
  </si>
  <si>
    <t>THOC4_HUMAN</t>
  </si>
  <si>
    <t>Q86V81</t>
  </si>
  <si>
    <t>O43672</t>
  </si>
  <si>
    <t>ALY; BEF; THOC4</t>
  </si>
  <si>
    <t>3D-structure; Acetylation; Chaperone; Citrullination; Cytoplasm; Host-virus interaction; Methylation; mRNA processing; mRNA splicing; mRNA transport; Nucleus; Phosphoprotein; RNA-binding; Spliceosome; Transport</t>
  </si>
  <si>
    <t>Host-virus interaction; Transport; mRNA processing; mRNA splicing; mRNA transport</t>
  </si>
  <si>
    <t>Cytoplasm; Nucleus; Spliceosome</t>
  </si>
  <si>
    <t>Chaperone; RNA-binding</t>
  </si>
  <si>
    <t>Acetylation; Citrullination; Methylation; Phosphoprotein</t>
  </si>
  <si>
    <t>mRNA 3'-end processing {GO:0031124}; mRNA export from nucleus {GO:0006406}; mRNA splicing, via spliceosome {GO:0000398}; osteoblast differentiation {GO:0001649}; positive regulation of DNA-templated transcription, elongation {GO:0032786}; regulation of DNA recombination {GO:0000018}; replication fork processing {GO:0031297}; RNA export from nucleus {GO:0006405}; viral mRNA export from host cell nucleus {GO:0046784}; viral process {GO:0016032}</t>
  </si>
  <si>
    <t>catalytic step 2 spliceosome {GO:0071013}; cytosol {GO:0005829}; extracellular exosome {GO:0070062}; membrane {GO:0016020}; nuclear speck {GO:0016607}; nucleoplasm {GO:0005654}; transcription export complex {GO:0000346}</t>
  </si>
  <si>
    <t>RNA binding {GO:0003723}</t>
  </si>
  <si>
    <t>Transport of the SLBP independent Mature mRNA {R-HSA-159227}; Transport of the SLBP Dependant Mature mRNA {R-HSA-159230}; Transport of Mature mRNA Derived from an Intronless Transcript {R-HSA-159231}; Transport of Mature mRNA derived from an Intron-Containing Transcript {R-HSA-159236}; mRNA Splicing - Major Pathway {R-HSA-72163}; mRNA 3'-end processing {R-HSA-72187}; RNA Polymerase II Transcription Termination {R-HSA-73856}</t>
  </si>
  <si>
    <t>Prohibitin</t>
  </si>
  <si>
    <t>PHB_HUMAN</t>
  </si>
  <si>
    <t>P35232</t>
  </si>
  <si>
    <t>B4DY47; Q4VBQ0</t>
  </si>
  <si>
    <t>3D-structure; Acetylation; Alternative splicing; Coiled coil; DNA synthesis; Membrane; Mitochondrion; Mitochondrion inner membrane; Nucleus; Phosphoprotein; Polymorphism; Proto-oncogene</t>
  </si>
  <si>
    <t>DNA synthesis</t>
  </si>
  <si>
    <t>Membrane; Mitochondrion; Mitochondrion inner membrane; Nucleus</t>
  </si>
  <si>
    <t>Proto-oncogene</t>
  </si>
  <si>
    <t>Coiled coil</t>
  </si>
  <si>
    <t>animal organ regeneration {GO:0031100}; cellular response to interleukin-6 {GO:0071354}; DNA biosynthetic process {GO:0071897}; histone deacetylation {GO:0016575}; mitochondrial calcium ion transmembrane transport {GO:0006851}; mitochondrion organization {GO:0007005}; negative regulation of androgen receptor signaling pathway {GO:0060766}; negative regulation of apoptotic process {GO:0043066}; negative regulation of cell growth {GO:0030308}; negative regulation of cell population proliferation {GO:0008285}; negative regulation of ERK1 and ERK2 cascade {GO:0070373}; negative regulation of glucocorticoid receptor signaling pathway {GO:2000323}; negative regulation of protein catabolic process {GO:0042177}; negative regulation of transcription by competitive promoter binding {GO:0010944}; negative regulation of transcription by RNA polymerase II {GO:0000122}; negative regulation of transcription, DNA-templated {GO:0045892}; osteoblast differentiation {GO:0001649}; ovarian follicle atresia {GO:0001552}; ovarian follicle development {GO:0001541}; positive regulation of cell death {GO:0010942}; positive regulation of complement activation {GO:0045917}; positive regulation of ERK1 and ERK2 cascade {GO:0070374}; positive regulation of G protein-coupled receptor signaling pathway {GO:0045745}; positive regulation of gene expression {GO:0010628}; positive regulation of transcription, DNA-templated {GO:0045893}; progesterone receptor signaling pathway {GO:0050847}; protein stabilization {GO:0050821}; regulation of apoptotic process {GO:0042981}; regulation of transcription, DNA-templated {GO:0006355}; response to ethanol {GO:0045471}; response to immobilization stress {GO:0035902}; response to peptide hormone {GO:0043434}; signal transduction {GO:0007165}</t>
  </si>
  <si>
    <t>cell surface {GO:0009986}; cytoplasm {GO:0005737}; early endosome {GO:0005769}; extracellular exosome {GO:0070062}; extrinsic component of mitochondrial outer membrane {GO:0031315}; extrinsic component of presynaptic active zone membrane {GO:0098891}; GABA-ergic synapse {GO:0098982}; glutamatergic synapse {GO:0098978}; integral component of plasma membrane {GO:0005887}; membrane {GO:0016020}; mitochondrial crista {GO:0030061}; mitochondrial inner membrane {GO:0005743}; mitochondrion {GO:0005739}; nucleoplasm {GO:0005654}; nucleus {GO:0005634}; plasma membrane {GO:0005886}; postsynaptic density {GO:0014069}</t>
  </si>
  <si>
    <t>complement component C3a binding {GO:0001850}; complement component C3b binding {GO:0001851}; DNA-binding transcription factor activity, RNA polymerase II-specific {GO:0000981}; enzyme binding {GO:0019899}; histone deacetylase binding {GO:0042826}; protein C-terminus binding {GO:0008022}; proteinase activated receptor binding {GO:0031871}; transcription regulatory region DNA binding {GO:0044212}</t>
  </si>
  <si>
    <t>RAF activation {R-HSA-5673000}; Signaling by moderate kinase activity BRAF mutants {R-HSA-6802946}; Signaling by RAS mutants {R-HSA-6802949}; Paradoxical activation of RAF signaling by kinase inactive BRAF {R-HSA-6802955}; Processing of SMDT1 {R-HSA-8949664}</t>
  </si>
  <si>
    <t>WW domain-binding protein 2 (WBP-2)</t>
  </si>
  <si>
    <t>WBP2_HUMAN</t>
  </si>
  <si>
    <t>Q969T9</t>
  </si>
  <si>
    <t>B4DFG2; O95638</t>
  </si>
  <si>
    <t>Alternative splicing; Cytoplasm; Deafness; Disease mutation; Non-syndromic deafness; Nucleus; Phosphoprotein; Repeat</t>
  </si>
  <si>
    <t>Deafness; Disease mutation; Non-syndromic deafness</t>
  </si>
  <si>
    <t>cellular response to estrogen stimulus {GO:0071391}; establishment of protein localization {GO:0045184}; positive regulation of gene expression, epigenetic {GO:0045815}; positive regulation of histone H3-K14 acetylation {GO:0071442}; positive regulation of intracellular estrogen receptor signaling pathway {GO:0033148}; positive regulation of transcription by RNA polymerase II {GO:0045944}; progesterone receptor signaling pathway {GO:0050847}; response to estrogen {GO:0043627}; response to progesterone {GO:0032570}</t>
  </si>
  <si>
    <t>cytoplasm {GO:0005737}; nuclear chromatin {GO:0000790}; nucleus {GO:0005634}</t>
  </si>
  <si>
    <t>chromatin DNA binding {GO:0031490}; estrogen receptor binding {GO:0030331}; RNA polymerase II proximal promoter sequence-specific DNA binding {GO:0000978}; transcription coactivator activity {GO:0003713}</t>
  </si>
  <si>
    <t>60S ribosomal protein L27</t>
  </si>
  <si>
    <t>Large ribosomal subunit protein eL27</t>
  </si>
  <si>
    <t>RL27_HUMAN</t>
  </si>
  <si>
    <t>P61353</t>
  </si>
  <si>
    <t>P08526; Q4G0A9</t>
  </si>
  <si>
    <t>3D-structure; Acetylation; Cytoplasm; Diamond-Blackfan anemia; Endoplasmic reticulum; Ribonucleoprotein; Ribosomal protein</t>
  </si>
  <si>
    <t>Cytoplasm; Endoplasmic reticulum</t>
  </si>
  <si>
    <t>nuclear-transcribed mRNA catabolic process, nonsense-mediated decay {GO:0000184}; response to aldosterone {GO:1904044}; rRNA processing {GO:0006364}; SRP-dependent cotranslational protein targeting to membrane {GO:0006614}; translation {GO:0006412}; translational initiation {GO:0006413}; viral transcription {GO:0019083}</t>
  </si>
  <si>
    <t>cytoplasmic side of rough endoplasmic reticulum membrane {GO:0098556}; cytosol {GO:0005829}; cytosolic large ribosomal subunit {GO:0022625}; extracellular exosome {GO:0070062}; focal adhesion {GO:0005925}; membrane {GO:0016020}; nucleus {GO:0005634}; ribonucleoprotein complex {GO:1990904}; ribosome {GO:0005840}</t>
  </si>
  <si>
    <t>RNA binding {GO:0003723}; structural constituent of ribosome {GO:0003735}</t>
  </si>
  <si>
    <t>Galectin-9 (Gal-9)</t>
  </si>
  <si>
    <t>Ecalectin; Tumor antigen HOM-HD-21</t>
  </si>
  <si>
    <t>LEG9_HUMAN</t>
  </si>
  <si>
    <t>O00182</t>
  </si>
  <si>
    <t>A7VJG6; F8W9W4; O14532; O75028; Q3B8N1; Q53FQ0; Q8WYQ7; Q9NQ58</t>
  </si>
  <si>
    <t>3D-structure; Alternative splicing; Chemotaxis; Cytoplasm; Immunity; Lectin; Nucleus; Polymorphism; Repeat; Secreted</t>
  </si>
  <si>
    <t>Chemotaxis; Immunity</t>
  </si>
  <si>
    <t>Cytoplasm; Nucleus; Secreted</t>
  </si>
  <si>
    <t>Lectin</t>
  </si>
  <si>
    <t>cellular response to interferon-gamma {GO:0071346}; cellular response to virus {GO:0098586}; chemotaxis {GO:0006935}; ERK1 and ERK2 cascade {GO:0070371}; female pregnancy {GO:0007565}; inflammatory response {GO:0006954}; maternal process involved in female pregnancy {GO:0060135}; natural killer cell tolerance induction {GO:0002519}; negative regulation of activated T cell proliferation {GO:0046007}; negative regulation of CD4-positive, alpha-beta T cell proliferation {GO:2000562}; negative regulation of chemokine production {GO:0032682}; negative regulation of gene expression {GO:0010629}; negative regulation of interferon-gamma production {GO:0032689}; negative regulation of mast cell degranulation {GO:0043305}; negative regulation of natural killer cell mediated cytotoxicity {GO:0045953}; negative regulation of tumor necrosis factor production {GO:0032720}; p38MAPK cascade {GO:0038066}; positive regulation of activated T cell autonomous cell death {GO:0070241}; positive regulation of CD4-positive, alpha-beta T cell proliferation {GO:2000563}; positive regulation of CD4-positive, CD25-positive, alpha-beta regulatory T cell differentiation involved in immune response {GO:0032834}; positive regulation of cysteine-type endopeptidase activity involved in apoptotic signaling pathway {GO:2001269}; positive regulation of dendritic cell apoptotic process {GO:2000670}; positive regulation of dendritic cell chemotaxis {GO:2000510}; positive regulation of dendritic cell differentiation {GO:2001200}; positive regulation of ERK1 and ERK2 cascade {GO:0070374}; positive regulation of gene expression {GO:0010628}; positive regulation of I-kappaB kinase/NF-kappaB signaling {GO:0043123}; positive regulation of interferon-gamma secretion {GO:1902715}; positive regulation of interleukin-1 beta secretion {GO:0050718}; positive regulation of interleukin-10 secretion {GO:2001181}; positive regulation of interleukin-12 secretion {GO:2001184}; positive regulation of interleukin-13 secretion {GO:2000667}; positive regulation of interleukin-4 production {GO:0032753}; positive regulation of interleukin-6 secretion {GO:2000778}; positive regulation of interleukin-8 secretion {GO:2000484}; positive regulation of monocyte chemotactic protein-1 production {GO:0071639}; positive regulation of NF-kappaB transcription factor activity {GO:0051092}; positive regulation of NIK/NF-kappaB signaling {GO:1901224}; positive regulation of T cell activation via T cell receptor contact with antigen bound to MHC molecule on antigen presenting cell {GO:2001190}; positive regulation of transforming growth factor beta production {GO:0071636}; positive regulation of tumor necrosis factor secretion {GO:1904469}; positive regulation of viral entry into host cell {GO:0046598}; response to interleukin-1 {GO:0070555}; response to lipopolysaccharide {GO:0032496}</t>
  </si>
  <si>
    <t>collagen-containing extracellular matrix {GO:0062023}; cytoplasm {GO:0005737}; cytosol {GO:0005829}; extracellular space {GO:0005615}; nucleus {GO:0005634}</t>
  </si>
  <si>
    <t>carbohydrate binding {GO:0030246}; disaccharide binding {GO:0048030}; enzyme binding {GO:0019899}; galactose binding {GO:0005534}; galactoside binding {GO:0016936}</t>
  </si>
  <si>
    <t>Interleukin-2 family signaling {R-HSA-451927}</t>
  </si>
  <si>
    <t>Protein tweety homolog 2 (hTTY2)</t>
  </si>
  <si>
    <t>TTYH2_HUMAN</t>
  </si>
  <si>
    <t>Q9BSA4</t>
  </si>
  <si>
    <t>B3KX97; Q3B7H8; Q3B7R9; Q6AWB4; Q8NBB7; Q96PK1</t>
  </si>
  <si>
    <t>C17orf29</t>
  </si>
  <si>
    <t>Alternative splicing; Calcium; Cell membrane; Chloride; Chloride channel; Glycoprotein; Ion channel; Ion transport; Membrane; Phosphoprotein; Polymorphism; Transmembrane; Transmembrane helix; Transport</t>
  </si>
  <si>
    <t>Ion transport; Transport</t>
  </si>
  <si>
    <t>Calcium; Chloride</t>
  </si>
  <si>
    <t>Chloride channel; Ion channel</t>
  </si>
  <si>
    <t>chloride channel complex {GO:0034707}; plasma membrane {GO:0005886}</t>
  </si>
  <si>
    <t>intracellular calcium activated chloride channel activity {GO:0005229}; volume-sensitive chloride channel activity {GO:0072320}</t>
  </si>
  <si>
    <t>Stimuli-sensing channels {R-HSA-2672351}</t>
  </si>
  <si>
    <t>Rho GDP-dissociation inhibitor 1 (Rho GDI 1)</t>
  </si>
  <si>
    <t>Rho-GDI alpha</t>
  </si>
  <si>
    <t>GDIR1_HUMAN</t>
  </si>
  <si>
    <t>P52565</t>
  </si>
  <si>
    <t>A8MXW0; B2R5X1; B4DDD3; B4DUV9; Q6IBM5</t>
  </si>
  <si>
    <t>GDIA1</t>
  </si>
  <si>
    <t>3D-structure; Acetylation; Alternative splicing; Cytoplasm; Disease mutation; GTPase activation; Isopeptide bond; Phosphoprotein; Ubl conjugation</t>
  </si>
  <si>
    <t>GTPase activation</t>
  </si>
  <si>
    <t>negative regulation of apoptotic process {GO:0043066}; negative regulation of axonogenesis {GO:0050771}; negative regulation of cell adhesion {GO:0007162}; positive regulation of axonogenesis {GO:0050772}; regulation of actin cytoskeleton reorganization {GO:2000249}; regulation of Rho protein signal transduction {GO:0035023}; regulation of small GTPase mediated signal transduction {GO:0051056}; Rho protein signal transduction {GO:0007266}; semaphorin-plexin signaling pathway {GO:0071526}</t>
  </si>
  <si>
    <t>cytoskeleton {GO:0005856}; cytosol {GO:0005829}; extracellular exosome {GO:0070062}; membrane {GO:0016020}</t>
  </si>
  <si>
    <t>GTPase activator activity {GO:0005096}; Rac GTPase binding {GO:0048365}; Rho GDP-dissociation inhibitor activity {GO:0005094}</t>
  </si>
  <si>
    <t>Axonal growth inhibition (RHOA activation) {R-HSA-193634}; Rho GTPase cycle {R-HSA-194840}; Axonal growth stimulation {R-HSA-209563}</t>
  </si>
  <si>
    <t>60S ribosomal protein L38</t>
  </si>
  <si>
    <t>Large ribosomal subunit protein eL38</t>
  </si>
  <si>
    <t>RL38_HUMAN</t>
  </si>
  <si>
    <t>P63173</t>
  </si>
  <si>
    <t>B2R5A8; P23411</t>
  </si>
  <si>
    <t>3D-structure; Acetylation; Isopeptide bond; Ribonucleoprotein; Ribosomal protein; Ubl conjugation</t>
  </si>
  <si>
    <t>Acetylation; Isopeptide bond; Ubl conjugation</t>
  </si>
  <si>
    <t>90S preribosome assembly {GO:0034463}; axial mesoderm development {GO:0048318}; cytoplasmic translation {GO:0002181}; middle ear morphogenesis {GO:0042474}; nuclear-transcribed mRNA catabolic process, nonsense-mediated decay {GO:0000184}; ossification {GO:0001503}; regulation of translation {GO:0006417}; sensory perception of sound {GO:0007605}; skeletal system development {GO:0001501}; SRP-dependent cotranslational protein targeting to membrane {GO:0006614}; translation {GO:0006412}; translational initiation {GO:0006413}; viral transcription {GO:0019083}</t>
  </si>
  <si>
    <t>cytosol {GO:0005829}; cytosolic large ribosomal subunit {GO:0022625}; eukaryotic 80S initiation complex {GO:0033291}; focal adhesion {GO:0005925}; polysomal ribosome {GO:0042788}; postsynaptic density {GO:0014069}</t>
  </si>
  <si>
    <t>Pancreatic icosapeptide</t>
  </si>
  <si>
    <t>Pancreatic polypeptide (PP); INN=Obinepitide (PH; PI)</t>
  </si>
  <si>
    <t>PAHO_HUMAN</t>
  </si>
  <si>
    <t>P01298</t>
  </si>
  <si>
    <t>PNP</t>
  </si>
  <si>
    <t>3D-structure; Alternative splicing; Amidation; Cleavage on pair of basic residues; Hormone; Pharmaceutical; Polymorphism; Secreted; Signal</t>
  </si>
  <si>
    <t>Secreted</t>
  </si>
  <si>
    <t>Hormone</t>
  </si>
  <si>
    <t>Amidation; Cleavage on pair of basic residues</t>
  </si>
  <si>
    <t>3D-structure; Pharmaceutical</t>
  </si>
  <si>
    <t>G protein-coupled receptor signaling pathway {GO:0007186}; neuropeptide signaling pathway {GO:0007218}; protein secretion {GO:0009306}</t>
  </si>
  <si>
    <t>cytoplasm {GO:0005737}; extracellular region {GO:0005576}; extracellular space {GO:0005615}</t>
  </si>
  <si>
    <t>G protein-coupled receptor binding {GO:0001664}; hormone activity {GO:0005179}; neuropeptide hormone activity {GO:0005184}</t>
  </si>
  <si>
    <t>Peptide ligand-binding receptors {R-HSA-375276}; G alpha (i) signalling events {R-HSA-418594}</t>
  </si>
  <si>
    <t>Secreted and transmembrane protein 1</t>
  </si>
  <si>
    <t>Protein K-12</t>
  </si>
  <si>
    <t>SCTM1_HUMAN</t>
  </si>
  <si>
    <t>Q8WVN6</t>
  </si>
  <si>
    <t>B2R7H0; O00466</t>
  </si>
  <si>
    <t>K12</t>
  </si>
  <si>
    <t>Cell membrane; Disulfide bond; Glycoprotein; Membrane; Secreted; Signal; Transmembrane; Transmembrane helix</t>
  </si>
  <si>
    <t>Cell membrane; Membrane; Secreted</t>
  </si>
  <si>
    <t>immune response {GO:0006955}; mesoderm development {GO:0007498}; positive regulation of I-kappaB kinase/NF-kappaB signaling {GO:0043123}</t>
  </si>
  <si>
    <t>extracellular exosome {GO:0070062}; extracellular space {GO:0005615}; Golgi apparatus {GO:0005794}; integral component of membrane {GO:0016021}; plasma membrane {GO:0005886}</t>
  </si>
  <si>
    <t>cytokine activity {GO:0005125}</t>
  </si>
  <si>
    <t>Ras-related protein Rab-5C</t>
  </si>
  <si>
    <t>L1880; RAB5L</t>
  </si>
  <si>
    <t>RAB5C_HUMAN</t>
  </si>
  <si>
    <t>P51148</t>
  </si>
  <si>
    <t>F8W1H5; Q6FH55; Q9P0Y5</t>
  </si>
  <si>
    <t>RABL</t>
  </si>
  <si>
    <t>3D-structure; Alternative splicing; Cell membrane; Endosome; GTP-binding; Lipoprotein; Membrane; Nucleotide-binding; Polymorphism; Prenylation; Protein transport; Transport</t>
  </si>
  <si>
    <t>Protein transport; Transport</t>
  </si>
  <si>
    <t>Cell membrane; Endosome; Membrane</t>
  </si>
  <si>
    <t>Lipoprotein; Prenylation</t>
  </si>
  <si>
    <t>intracellular protein transport {GO:0006886}; neutrophil degranulation {GO:0043312}; plasma membrane to endosome transport {GO:0048227}; Rab protein signal transduction {GO:0032482}; regulation of endocytosis {GO:0030100}</t>
  </si>
  <si>
    <t>anchored component of synaptic vesicle membrane {GO:0098993}; azurophil granule membrane {GO:0035577}; early endosome {GO:0005769}; early endosome membrane {GO:0031901}; endocytic vesicle {GO:0030139}; endosome {GO:0005768}; extracellular exosome {GO:0070062}; lipid droplet {GO:0005811}; lysosomal membrane {GO:0005765}; melanosome {GO:0042470}; plasma membrane {GO:0005886}</t>
  </si>
  <si>
    <t>GDP binding {GO:0019003}; GTP binding {GO:0005525}; GTPase activity {GO:0003924}</t>
  </si>
  <si>
    <t>Golgi Associated Vesicle Biogenesis {R-HSA-432722}; Neutrophil degranulation {R-HSA-6798695}; TBC/RABGAPs {R-HSA-8854214}; Clathrin-mediated endocytosis {R-HSA-8856828}; RAB geranylgeranylation {R-HSA-8873719}; RAB GEFs exchange GTP for GDP on RABs {R-HSA-8876198}</t>
  </si>
  <si>
    <t>Eukaryotic initiation factor 4A-I (eIF-4A-I; eIF4A-I)</t>
  </si>
  <si>
    <t>ATP-dependent RNA helicase eIF4A-1</t>
  </si>
  <si>
    <t>IF4A1_HUMAN</t>
  </si>
  <si>
    <t>P60842</t>
  </si>
  <si>
    <t>B2R6L8; D3DTP9; J3QLC4; P04765; Q5U018; Q61516</t>
  </si>
  <si>
    <t>DDX2A; EIF4A</t>
  </si>
  <si>
    <t>3D-structure; Acetylation; Alternative splicing; ATP-binding; Helicase; Host-virus interaction; Hydrolase; Initiation factor; Isopeptide bond; Nucleotide-binding; Phosphoprotein; Protein biosynthesis; RNA-binding; Ubl conjugation</t>
  </si>
  <si>
    <t>Host-virus interaction; Protein biosynthesis</t>
  </si>
  <si>
    <t>Helicase; Hydrolase; Initiation factor; RNA-binding</t>
  </si>
  <si>
    <t>translational initiation {GO:0006413}; viral process {GO:0016032}</t>
  </si>
  <si>
    <t>cytoplasm {GO:0005737}; cytosol {GO:0005829}; eukaryotic translation initiation factor 4F complex {GO:0016281}; extracellular exosome {GO:0070062}; membrane {GO:0016020}</t>
  </si>
  <si>
    <t>ATP binding {GO:0005524}; ATP-dependent RNA helicase activity {GO:0004004}; double-stranded RNA binding {GO:0003725}; helicase activity {GO:0004386}; mRNA binding {GO:0003729}; RNA binding {GO:0003723}; RNA cap binding {GO:0000339}; translation factor activity, RNA binding {GO:0008135}; translation initiation factor activity {GO:0003743}</t>
  </si>
  <si>
    <t>ISG15 antiviral mechanism {R-HSA-1169408}; L13a-mediated translational silencing of Ceruloplasmin expression {R-HSA-156827}; Deadenylation of mRNA {R-HSA-429947};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</si>
  <si>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Alpha-2-antiplasmin (Alpha-2-AP)</t>
  </si>
  <si>
    <t>Alpha-2-plasmin inhibitor (Alpha-2-PI); Serpin F2</t>
  </si>
  <si>
    <t>A2AP_HUMAN</t>
  </si>
  <si>
    <t>P08697</t>
  </si>
  <si>
    <t>B4E1B7; Q8N5U7; Q9UCG2; Q9UCG3</t>
  </si>
  <si>
    <t>AAP; PLI</t>
  </si>
  <si>
    <t>Acute phase; Alternative splicing; Disease mutation; Disulfide bond; Glycoprotein; Isopeptide bond; Polymorphism; Protease inhibitor; Secreted; Serine protease inhibitor; Signal; Sulfation</t>
  </si>
  <si>
    <t>Acute phase</t>
  </si>
  <si>
    <t>Protease inhibitor; Serine protease inhibitor</t>
  </si>
  <si>
    <t>Disulfide bond; Glycoprotein; Isopeptide bond; Sulfation</t>
  </si>
  <si>
    <t>acute-phase response {GO:0006953}; blood vessel morphogenesis {GO:0048514}; collagen fibril organization {GO:0030199}; fibrinolysis {GO:0042730}; negative regulation of endopeptidase activity {GO:0010951}; negative regulation of fibrinolysis {GO:0051918}; negative regulation of plasminogen activation {GO:0010757}; platelet degranulation {GO:0002576}; positive regulation of cell differentiation {GO:0045597}; positive regulation of cell-cell adhesion mediated by cadherin {GO:2000049}; positive regulation of collagen biosynthetic process {GO:0032967}; positive regulation of ERK1 and ERK2 cascade {GO:0070374}; positive regulation of JNK cascade {GO:0046330}; positive regulation of smooth muscle cell proliferation {GO:0048661}; positive regulation of stress fiber assembly {GO:0051496}; positive regulation of transcription by RNA polymerase II {GO:0045944}; positive regulation of transforming growth factor beta production {GO:0071636}; regulation of blood vessel diameter by renin-angiotensin {GO:0002034}; response to organic substance {GO:0010033}</t>
  </si>
  <si>
    <t>blood microparticle {GO:0072562}; cell surface {GO:0009986}; collagen-containing extracellular matrix {GO:0062023}; extracellular exosome {GO:0070062}; extracellular region {GO:0005576}; extracellular space {GO:0005615}; fibrinogen complex {GO:0005577}; platelet alpha granule lumen {GO:0031093}</t>
  </si>
  <si>
    <t>endopeptidase inhibitor activity {GO:0004866}; protease binding {GO:0002020}; protein homodimerization activity {GO:0042803}; serine-type endopeptidase inhibitor activity {GO:0004867}</t>
  </si>
  <si>
    <t>Platelet degranulation {R-HSA-114608}; Dissolution of Fibrin Clot {R-HSA-75205}</t>
  </si>
  <si>
    <t>Complement component 1 Q subcomponent-binding protein, mitochondrial</t>
  </si>
  <si>
    <t>ASF/SF2-associated protein p32; Glycoprotein gC1qBP (C1qBP); Hyaluronan-binding protein 1; Mitochondrial matrix protein p32; gC1q-R protein; p33 (SF2AP32)</t>
  </si>
  <si>
    <t>C1QBP_HUMAN</t>
  </si>
  <si>
    <t>Q07021</t>
  </si>
  <si>
    <t>Q2HXR8; Q9NNY8</t>
  </si>
  <si>
    <t>GC1QBP; HABP1; SF2P32</t>
  </si>
  <si>
    <t>3D-structure; Acetylation; Adaptive immunity; Apoptosis; Cell membrane; Complement pathway; Cytoplasm; Disease mutation; Host-virus interaction; Immunity; Innate immunity; Membrane; Mitochondrion; mRNA processing; mRNA splicing; Nucleus; Phosphoprotein; Primary mitochondrial disease; Ribosome biogenesis; Secreted; Transcription; Transcription regulation; Transit peptide</t>
  </si>
  <si>
    <t>Adaptive immunity; Apoptosis; Complement pathway; Host-virus interaction; Immunity; Innate immunity; Ribosome biogenesis; Transcription; Transcription regulation; mRNA processing; mRNA splicing</t>
  </si>
  <si>
    <t>Cell membrane; Cytoplasm; Membrane; Mitochondrion; Nucleus; Secreted</t>
  </si>
  <si>
    <t>Disease mutation; Primary mitochondrial disease</t>
  </si>
  <si>
    <t>Transit peptide</t>
  </si>
  <si>
    <t>apoptotic process {GO:0006915}; blood coagulation, intrinsic pathway {GO:0007597}; complement activation, classical pathway {GO:0006958}; immune response {GO:0006955}; innate immune response {GO:0045087}; mature ribosome assembly {GO:0042256}; mRNA processing {GO:0006397}; negative regulation of defense response to virus {GO:0050687}; negative regulation of interferon-gamma production {GO:0032689}; negative regulation of interleukin-12 production {GO:0032695}; negative regulation of MDA-5 signaling pathway {GO:0039534}; negative regulation of mRNA splicing, via spliceosome {GO:0048025}; negative regulation of RIG-I signaling pathway {GO:0039536}; negative regulation of transcription by RNA polymerase II {GO:0000122}; phosphatidylinositol 3-kinase signaling {GO:0014065}; positive regulation of apoptotic process {GO:0043065}; positive regulation of cell adhesion {GO:0045785}; positive regulation of dendritic cell chemotaxis {GO:2000510}; positive regulation of mitochondrial translation {GO:0070131}; positive regulation of neutrophil chemotaxis {GO:0090023}; positive regulation of protein kinase B signaling {GO:0051897}; positive regulation of substrate adhesion-dependent cell spreading {GO:1900026}; positive regulation of trophoblast cell migration {GO:1901165}; regulation of complement activation {GO:0030449}; RNA splicing {GO:0008380}; viral process {GO:0016032}</t>
  </si>
  <si>
    <t>cell surface {GO:0009986}; cytoplasm {GO:0005737}; cytosol {GO:0005829}; extracellular space {GO:0005615}; GABA-ergic synapse {GO:0098982}; glutamatergic synapse {GO:0098978}; membrane {GO:0016020}; mitochondrial matrix {GO:0005759}; mitochondrion {GO:0005739}; nucleolus {GO:0005730}; nucleus {GO:0005634}; plasma membrane {GO:0005886}; presynaptic active zone {GO:0048786}</t>
  </si>
  <si>
    <t>adrenergic receptor binding {GO:0031690}; complement component C1q binding {GO:0001849}; hyaluronic acid binding {GO:0005540}; kininogen binding {GO:0030984}; mitochondrial ribosome binding {GO:0097177}; mRNA binding {GO:0003729}; protein kinase C binding {GO:0005080}; transcription corepressor activity {GO:0003714}; transcription factor binding {GO:0008134}; translation activator activity {GO:0008494}</t>
  </si>
  <si>
    <t>Intrinsic Pathway of Fibrin Clot Formation {R-HSA-140837}</t>
  </si>
  <si>
    <t>Granulin-7</t>
  </si>
  <si>
    <t>Acrogranin; Epithelin precursor; Glycoprotein of 88 Kda (GP88; Glycoprotein 88); Granulin precursor; PC cell-derived growth factor (PCDGF); Proepithelin (PEPI); Granulin G; Granulin F; Epithelin-2; Granulin B; Epithelin-1; Granulin A; Granulin C; Granulin D; Granulin E</t>
  </si>
  <si>
    <t>GRN_HUMAN</t>
  </si>
  <si>
    <t>P28799</t>
  </si>
  <si>
    <t>D3DX55; P23781; P23782; P23783; P23784; Q53HQ8; Q53Y88; Q540U8; Q9BWE7; Q9H8S1; Q9UCH0</t>
  </si>
  <si>
    <t>3D-structure; Alternative splicing; Cytokine; Disulfide bond; Glycoprotein; Lysosome; Neurodegeneration; Neuronal ceroid lipofuscinosis; Polymorphism; Repeat; Secreted; Signal</t>
  </si>
  <si>
    <t>Lysosome; Secreted</t>
  </si>
  <si>
    <t>Neurodegeneration; Neuronal ceroid lipofuscinosis</t>
  </si>
  <si>
    <t>Repeat; Signal</t>
  </si>
  <si>
    <t>Cytokine</t>
  </si>
  <si>
    <t>astrocyte activation involved in immune response {GO:0002265}; lysosomal lumen acidification {GO:0007042}; lysosomal transport {GO:0007041}; lysosome organization {GO:0007040}; microglial cell activation involved in immune response {GO:0002282}; negative regulation of microglial cell activation {GO:1903979}; negative regulation of neuron apoptotic process {GO:0043524}; negative regulation of neutrophil activation {GO:1902564}; negative regulation of respiratory burst involved in inflammatory response {GO:0060266}; neutrophil degranulation {GO:0043312}; positive regulation of angiogenesis {GO:0045766}; positive regulation of aspartic-type peptidase activity {GO:1905247}; positive regulation of axon regeneration {GO:0048680}; positive regulation of cell migration {GO:0030335}; positive regulation of defense response to bacterium {GO:1900426}; positive regulation of endothelial cell migration {GO:0010595}; positive regulation of epithelial cell proliferation {GO:0050679}; positive regulation of inflammatory response to wounding {GO:0106016}; positive regulation of lysosome organization {GO:1905673}; positive regulation of neuron apoptotic process {GO:0043525}; positive regulation of protein folding {GO:1903334}; protein stabilization {GO:0050821}; signal transduction {GO:0007165}</t>
  </si>
  <si>
    <t>azurophil granule lumen {GO:0035578}; endoplasmic reticulum {GO:0005783}; endosome {GO:0005768}; extracellular exosome {GO:0070062}; extracellular region {GO:0005576}; extracellular space {GO:0005615}; Golgi apparatus {GO:0005794}; late endosome {GO:0005770}; lysosomal membrane {GO:0005765}; lysosome {GO:0005764}; membrane {GO:0016020}; plasma membrane {GO:0005886}; trans-Golgi network {GO:0005802}</t>
  </si>
  <si>
    <t>chaperone binding {GO:0051087}; cytokine activity {GO:0005125}; growth factor activity {GO:0008083}; RNA binding {GO:0003723}</t>
  </si>
  <si>
    <t>Asialoglycoprotein receptor 2 (ASGP-R 2; ASGPR 2)</t>
  </si>
  <si>
    <t>C-type lectin domain family 4 member H2; Hepatic lectin H2 (HL-2)</t>
  </si>
  <si>
    <t>ASGR2_HUMAN</t>
  </si>
  <si>
    <t>P07307</t>
  </si>
  <si>
    <t>A6NLV8; A8MT12; D3DTM9; D3DTN0; O00448; Q03969</t>
  </si>
  <si>
    <t>CLEC4H2</t>
  </si>
  <si>
    <t>Alternative splicing; Calcium; Disulfide bond; Endocytosis; Glycoprotein; Host-virus interaction; Lectin; Lipoprotein; Membrane; Palmitate; Phosphoprotein; Polymorphism; Receptor; Signal-anchor; Transmembrane; Transmembrane helix</t>
  </si>
  <si>
    <t>Endocytosis; Host-virus interaction</t>
  </si>
  <si>
    <t>Signal-anchor; Transmembrane; Transmembrane helix</t>
  </si>
  <si>
    <t>Disulfide bond; Glycoprotein; Lipoprotein; Palmitate; Phosphoprotein</t>
  </si>
  <si>
    <t>bone mineralization {GO:0030282}; cell surface receptor signaling pathway {GO:0007166}; endocytosis {GO:0006897}; lipid homeostasis {GO:0055088}; protein N-linked glycosylation via asparagine {GO:0018279}; regulation of protein stability {GO:0031647}; viral process {GO:0016032}</t>
  </si>
  <si>
    <t>endoplasmic reticulum quality control compartment {GO:0044322}; integral component of membrane {GO:0016021}; perinuclear region of cytoplasm {GO:0048471}; plasma membrane {GO:0005886}</t>
  </si>
  <si>
    <t>asialoglycoprotein receptor activity {GO:0004873}; carbohydrate binding {GO:0030246}</t>
  </si>
  <si>
    <t>Asparagine N-linked glycosylation {R-HSA-446203}</t>
  </si>
  <si>
    <t>Arachidonate 15-lipoxygenase (15-LOX; 15-LOX-1)</t>
  </si>
  <si>
    <t>12/15-lipoxygenase; Arachidonate 12-lipoxygenase, leukocyte-type (12-LOX); Arachidonate omega-6 lipoxygenase</t>
  </si>
  <si>
    <t>LOX15_HUMAN</t>
  </si>
  <si>
    <t>P16050</t>
  </si>
  <si>
    <t>A8K2P4; B7ZA11; Q8N6R7; Q99657</t>
  </si>
  <si>
    <t>LOG15</t>
  </si>
  <si>
    <t>3D-structure; Alternative splicing; Calcium; Cell membrane; Cytoplasm; Dioxygenase; Fatty acid metabolism; Iron; Lipid droplet; Lipid metabolism; Lipid-binding; Membrane; Metal-binding; Oxidoreductase; Polymorphism</t>
  </si>
  <si>
    <t>Fatty acid metabolism; Lipid metabolism</t>
  </si>
  <si>
    <t>Cell membrane; Cytoplasm; Lipid droplet; Membrane</t>
  </si>
  <si>
    <t>Calcium; Iron; Lipid-binding; Metal-binding</t>
  </si>
  <si>
    <t>Dioxygenase; Oxidoreductase</t>
  </si>
  <si>
    <t>apoptotic cell clearance {GO:0043277}; arachidonic acid metabolic process {GO:0019369}; bone mineralization {GO:0030282}; cellular response to calcium ion {GO:0071277}; cellular response to interleukin-13 {GO:0035963}; cytokine-mediated signaling pathway {GO:0019221}; hepoxilin biosynthetic process {GO:0051122}; inflammatory response {GO:0006954}; leukotriene metabolic process {GO:0006691}; lipoxin A4 biosynthetic process {GO:2001303}; lipoxygenase pathway {GO:0019372}; long-chain fatty acid biosynthetic process {GO:0042759}; negative regulation of adaptive immune response {GO:0002820}; ossification {GO:0001503}; phosphatidylethanolamine biosynthetic process {GO:0006646}; positive regulation of actin filament polymerization {GO:0030838}; positive regulation of cell-substrate adhesion {GO:0010811}; positive regulation of ERK1 and ERK2 cascade {GO:0070374}; positive regulation of heterotypic cell-cell adhesion {GO:0034116}; regulation of engulfment of apoptotic cell {GO:1901074}; regulation of peroxisome proliferator activated receptor signaling pathway {GO:0035358}; response to endoplasmic reticulum stress {GO:0034976}; wound healing {GO:0042060}</t>
  </si>
  <si>
    <t>cytosol {GO:0005829}; extrinsic component of cytoplasmic side of plasma membrane {GO:0031234}; lipid droplet {GO:0005811}; membrane {GO:0016020}; plasma membrane {GO:0005886}</t>
  </si>
  <si>
    <t>arachidonate 12-lipoxygenase activity {GO:0004052}; arachidonate 15-lipoxygenase activity {GO:0050473}; hepoxilin A3 synthase activity {GO:0051120}; hepoxilin-epoxide hydrolase activity {GO:0047977}; iron ion binding {GO:0005506}; phosphatidylinositol-4,5-bisphosphate binding {GO:0005546}</t>
  </si>
  <si>
    <t>Lipid metabolism; hydroperoxy eicosatetraenoic acid biosynthesis.</t>
  </si>
  <si>
    <t>Synthesis of Leukotrienes (LT) and Eoxins (EX) {R-HSA-2142691}; Synthesis of 12-eicosatetraenoic acid derivatives {R-HSA-2142712}; Synthesis of 15-eicosatetraenoic acid derivatives {R-HSA-2142770}; Interleukin-4 and Interleukin-13 signaling {R-HSA-6785807}; Biosynthesis of DHA-derived SPMs {R-HSA-9018677}; Biosynthesis of protectins {R-HSA-9018681}; Biosynthesis of E-series 18(S)-resolvins {R-HSA-9018896}; Biosynthesis of E-series 18(R)-resolvins {R-HSA-9023661}; Biosynthesis of DPAn-6 SPMs {R-HSA-9025106}; Biosynthesis of DPAn-3-derived protectins and resolvins {R-HSA-9026286}</t>
  </si>
  <si>
    <t>Regulatory solute carrier protein family 1 member 1</t>
  </si>
  <si>
    <t>Transporter regulator RS1 (hRS1)</t>
  </si>
  <si>
    <t>RSCA1_HUMAN</t>
  </si>
  <si>
    <t>Q92681</t>
  </si>
  <si>
    <t>B2RBP5</t>
  </si>
  <si>
    <t>Cell membrane; Golgi apparatus; Membrane; Nucleus; Polymorphism; Transcription; Transcription regulation</t>
  </si>
  <si>
    <t>Transcription; Transcription regulation</t>
  </si>
  <si>
    <t>Cell membrane; Golgi apparatus; Membrane; Nucleus</t>
  </si>
  <si>
    <t>negative regulation of exocytosis {GO:0045920}; negative regulation of glucose transmembrane transport {GO:0010829}; negative regulation of transport {GO:0051051}; regulation of transcription, DNA-templated {GO:0006355}</t>
  </si>
  <si>
    <t>cell junction {GO:0030054}; Golgi apparatus {GO:0005794}; nucleoplasm {GO:0005654}; plasma membrane {GO:0005886}</t>
  </si>
  <si>
    <t>sodium channel inhibitor activity {GO:0019871}</t>
  </si>
  <si>
    <t>Organic cation transport {R-HSA-549127}; Intestinal hexose absorption {R-HSA-8981373}</t>
  </si>
  <si>
    <t>Smoothelin-like protein 2</t>
  </si>
  <si>
    <t>SMTL2_HUMAN</t>
  </si>
  <si>
    <t>Q2TAL5</t>
  </si>
  <si>
    <t>Q6ZVK6</t>
  </si>
  <si>
    <t>Alternative splicing; Coiled coil; Phosphoprotein; Polymorphism</t>
  </si>
  <si>
    <t>actin cytoskeleton organization {GO:0030036}</t>
  </si>
  <si>
    <t>filamentous actin {GO:0031941}; microtubule organizing center {GO:0005815}</t>
  </si>
  <si>
    <t>p-Glu serpinin precursor</t>
  </si>
  <si>
    <t>Pituitary secretory protein I (SP-I); Vasostatin I; Vasostatin II; SL21</t>
  </si>
  <si>
    <t>CMGA_HUMAN</t>
  </si>
  <si>
    <t>P10645</t>
  </si>
  <si>
    <t>B2R9E9; Q53FA8; Q6NR84; Q96E84; Q96GL7; Q9BQB5</t>
  </si>
  <si>
    <t>3D-structure; Amidation; Antibiotic; Antimicrobial; Calcium; Cleavage on pair of basic residues; Cytoplasmic vesicle; Disulfide bond; Fungicide; Glycoprotein; Membrane; Oxidation; Phosphoprotein; Polymorphism; Secreted; Signal; Sulfation</t>
  </si>
  <si>
    <t>Cytoplasmic vesicle; Membrane; Secreted</t>
  </si>
  <si>
    <t>Calcium</t>
  </si>
  <si>
    <t>Antibiotic; Antimicrobial; Fungicide</t>
  </si>
  <si>
    <t>Amidation; Cleavage on pair of basic residues; Disulfide bond; Glycoprotein; Oxidation; Phosphoprotein; Sulfation</t>
  </si>
  <si>
    <t>adenylate cyclase-activating adrenergic receptor signaling pathway involved in cardiac muscle relaxation {GO:0086030}; antimicrobial humoral response {GO:0019730}; defense response to fungus {GO:0050832}; defense response to Gram-negative bacterium {GO:0050829}; defense response to Gram-positive bacterium {GO:0050830}; innate immune response {GO:0045087}; killing of cells of other organism {GO:0031640}; mast cell activation {GO:0045576}; mast cell chemotaxis {GO:0002551}; mast cell cytokine production {GO:0032762}; mast cell degranulation {GO:0043303}; negative regulation of blood vessel diameter {GO:0097756}; negative regulation of catecholamine secretion {GO:0033604}; negative regulation of hormone secretion {GO:0046888}; negative regulation of insulin secretion {GO:0046676}; negative regulation of neuron death {GO:1901215}; organelle organization {GO:0006996}; positive regulation of cardiac muscle contraction {GO:0060452}; positive regulation of dense core granule biogenesis {GO:2000707}; positive regulation of phospholipase C-activating G protein-coupled receptor signaling pathway {GO:1900738}; positive regulation of relaxation of cardiac muscle {GO:1901899}; protein localization to secretory granule {GO:0033366}; regulation of blood pressure {GO:0008217}; regulation of the force of heart contraction {GO:0002026}</t>
  </si>
  <si>
    <t>chromaffin granule {GO:0042583}; extracellular region {GO:0005576}; extracellular space {GO:0005615}; mast cell granule {GO:0042629}; perinuclear region of cytoplasm {GO:0048471}; secretory granule {GO:0030141}; transport vesicle membrane {GO:0030658}</t>
  </si>
  <si>
    <t>Antimicrobial peptides {R-HSA-6803157}</t>
  </si>
  <si>
    <t>Heat shock-related 70 kDa protein 2 (Heat shock 70 kDa protein 2)</t>
  </si>
  <si>
    <t>HSP72_HUMAN</t>
  </si>
  <si>
    <t>P54652</t>
  </si>
  <si>
    <t>Q15508; Q53XM3; Q9UE78</t>
  </si>
  <si>
    <t>3D-structure; ATP-binding; Chaperone; Cytoplasm; Cytoskeleton; Differentiation; Methylation; Nucleotide-binding; Phosphoprotein; Polymorphism; Spermatogenesis; Stress response</t>
  </si>
  <si>
    <t>Differentiation; Spermatogenesis; Stress response</t>
  </si>
  <si>
    <t>Chaperone</t>
  </si>
  <si>
    <t>Methylation; Phosphoprotein</t>
  </si>
  <si>
    <t>cellular response to heat {GO:0034605}; cellular response to unfolded protein {GO:0034620}; chaperone cofactor-dependent protein refolding {GO:0051085}; male meiosis I {GO:0007141}; male meiotic nuclear division {GO:0007140}; negative regulation of inclusion body assembly {GO:0090084}; positive regulation of calcium-transporting ATPase activity {GO:1901896}; positive regulation of G2/M transition of mitotic cell cycle {GO:0010971}; positive regulation of protein phosphorylation {GO:0001934}; protein refolding {GO:0042026}; response to cold {GO:0009409}; response to heat {GO:0009408}; response to unfolded protein {GO:0006986}; spermatid development {GO:0007286}; spermatogenesis {GO:0007283}; synaptonemal complex disassembly {GO:0070194}; vesicle-mediated transport {GO:0016192}</t>
  </si>
  <si>
    <t>blood microparticle {GO:0072562}; CatSper complex {GO:0036128}; cell surface {GO:0009986}; cytoplasm {GO:0005737}; cytosol {GO:0005829}; extracellular exosome {GO:0070062}; male germ cell nucleus {GO:0001673}; meiotic spindle {GO:0072687}; membrane {GO:0016020}; nucleus {GO:0005634}; plasma membrane {GO:0005886}; synaptonemal complex {GO:0000795}</t>
  </si>
  <si>
    <t>ATP binding {GO:0005524}; ATPase activity {GO:0016887}; ATPase activity, coupled {GO:0042623}; chaperone binding {GO:0051087}; disordered domain specific binding {GO:0097718}; enzyme binding {GO:0019899}; glycolipid binding {GO:0051861}; heat shock protein binding {GO:0031072}; misfolded protein binding {GO:0051787}; protein folding chaperone {GO:0044183}; tau protein binding {GO:0048156}; unfolded protein binding {GO:0051082}</t>
  </si>
  <si>
    <t>Meiotic synapsis {R-HSA-1221632}; Regulation of HSF1-mediated heat shock response {R-HSA-3371453}; HSP90 chaperone cycle for steroid hormone receptors (SHR) {R-HSA-3371497}; Attenuation phase {R-HSA-3371568}</t>
  </si>
  <si>
    <t>Delta-1-pyrroline-5-carboxylate dehydrogenase, mitochondrial (P5C dehydrogenase)</t>
  </si>
  <si>
    <t>Aldehyde dehydrogenase family 4 member A1; L-glutamate gamma-semialdehyde dehydrogenase</t>
  </si>
  <si>
    <t>AL4A1_HUMAN</t>
  </si>
  <si>
    <t>P30038</t>
  </si>
  <si>
    <t>A8K1Q7; B4DGE4; D2D4A3; Q16882; Q53HU4; Q5JNV6; Q8IZ38; Q96IF0; Q9UDI6</t>
  </si>
  <si>
    <t>ALDH4; P5CDH</t>
  </si>
  <si>
    <t>3D-structure; Acetylation; Alternative splicing; Disease mutation; Mitochondrion; NAD; Oxidoreductase; Phosphoprotein; Polymorphism; Proline metabolism; Transit peptide</t>
  </si>
  <si>
    <t>Proline metabolism</t>
  </si>
  <si>
    <t>Mitochondrion</t>
  </si>
  <si>
    <t>NAD</t>
  </si>
  <si>
    <t>4-hydroxyproline catabolic process {GO:0019470}; glyoxylate metabolic process {GO:0046487}; proline catabolic process {GO:0006562}; proline catabolic process to glutamate {GO:0010133}; proline metabolic process {GO:0006560}</t>
  </si>
  <si>
    <t>mitochondrial matrix {GO:0005759}</t>
  </si>
  <si>
    <t>1-pyrroline-5-carboxylate dehydrogenase activity {GO:0003842}; aldehyde dehydrogenase (NAD) activity {GO:0004029}; electron transfer activity {GO:0009055}; identical protein binding {GO:0042802}</t>
  </si>
  <si>
    <t>Amino-acid degradation; L-proline degradation into L- glutamate; L-glutamate from L-proline: step 2/2.</t>
  </si>
  <si>
    <t>Glyoxylate metabolism and glycine degradation {R-HSA-389661}; Proline catabolism {R-HSA-70688}</t>
  </si>
  <si>
    <t>Neuroblastoma suppressor of tumorigenicity 1</t>
  </si>
  <si>
    <t>DAN domain family member 1; Protein N03; Zinc finger protein DAN</t>
  </si>
  <si>
    <t>NBL1_HUMAN</t>
  </si>
  <si>
    <t>P41271</t>
  </si>
  <si>
    <t>A3KFI7; Q5TGZ2; Q5U0N4; Q96L68</t>
  </si>
  <si>
    <t>DAN; DAND1</t>
  </si>
  <si>
    <t>3D-structure; Alternative splicing; Disulfide bond; Secreted; Signal; Tumor suppressor</t>
  </si>
  <si>
    <t>Tumor suppressor</t>
  </si>
  <si>
    <t>Disulfide bond</t>
  </si>
  <si>
    <t>determination of dorsal identity {GO:0048263}; negative regulation of BMP signaling pathway {GO:0030514}; negative regulation of monocyte chemotaxis {GO:0090027}; nervous system development {GO:0007399}; neuron projection morphogenesis {GO:0048812}; positive regulation of neuron differentiation {GO:0045666}; sequestering of BMP from receptor via BMP binding {GO:0038098}; sequestering of BMP in extracellular matrix {GO:0035582}</t>
  </si>
  <si>
    <t>extracellular space {GO:0005615}</t>
  </si>
  <si>
    <t>BMP binding {GO:0036122}; morphogen activity {GO:0016015}; protein homodimerization activity {GO:0042803}</t>
  </si>
  <si>
    <t>Aggrecan core protein 2</t>
  </si>
  <si>
    <t>Cartilage-specific proteoglycan core protein (CSPCP); Chondroitin sulfate proteoglycan core protein 1 (Chondroitin sulfate proteoglycan 1)</t>
  </si>
  <si>
    <t>PGCA_HUMAN</t>
  </si>
  <si>
    <t>P16112</t>
  </si>
  <si>
    <t>B9EK55; E7ENV9; E7EX88; H0YM81; Q13650; Q9UCD3; Q9UCP4; Q9UCP5; Q9UDE0</t>
  </si>
  <si>
    <t>AGC1; CSPG1; MSK16</t>
  </si>
  <si>
    <t>3D-structure; Alternative splicing; Calcium; Disease mutation; Disulfide bond; Dwarfism; EGF-like domain; Extracellular matrix; Glycoprotein; Immunoglobulin domain; Lectin; Metal-binding; Polymorphism; Proteoglycan; Repeat; Secreted; Signal; Sushi</t>
  </si>
  <si>
    <t>Disease mutation; Dwarfism</t>
  </si>
  <si>
    <t>EGF-like domain; Immunoglobulin domain; Repeat; Signal; Sushi</t>
  </si>
  <si>
    <t>Calcium; Lectin; Metal-binding</t>
  </si>
  <si>
    <t>Disulfide bond; Glycoprotein; Proteoglycan</t>
  </si>
  <si>
    <t>cartilage condensation {GO:0001502}; cell adhesion {GO:0007155}; central nervous system development {GO:0007417}; chondrocyte development {GO:0002063}; collagen fibril organization {GO:0030199}; extracellular matrix organization {GO:0030198}; heart development {GO:0007507}; keratan sulfate biosynthetic process {GO:0018146}; keratan sulfate catabolic process {GO:0042340}; proteoglycan biosynthetic process {GO:0030166}; proteolysis {GO:0006508}; skeletal system development {GO:0001501}</t>
  </si>
  <si>
    <t>basement membrane {GO:0005604}; collagen-containing extracellular matrix {GO:0062023}; extracellular matrix {GO:0031012}; extracellular region {GO:0005576}; GABA-ergic synapse {GO:0098982}; glutamatergic synapse {GO:0098978}; Golgi lumen {GO:0005796}; lysosomal lumen {GO:0043202}; perisynaptic extracellular matrix {GO:0098966}</t>
  </si>
  <si>
    <t>carbohydrate binding {GO:0030246}; extracellular matrix structural constituent {GO:0005201}; hyaluronic acid binding {GO:0005540}; metal ion binding {GO:0046872}</t>
  </si>
  <si>
    <t>Degradation of the extracellular matrix {R-HSA-1474228}; Keratan sulfate biosynthesis {R-HSA-2022854}; Keratan sulfate degradation {R-HSA-2022857}; ECM proteoglycans {R-HSA-3000178}; Defective CHST6 causes MCDC1 {R-HSA-3656225}; Defective ST3GAL3 causes MCT12 and EIEE15 {R-HSA-3656243}; Defective B4GALT1 causes B4GALT1-CDG (CDG-2d) {R-HSA-3656244}</t>
  </si>
  <si>
    <t>Methanethiol oxidase (MTO)</t>
  </si>
  <si>
    <t>56 kDa selenium-binding protein (SBP56; SP56); Selenium-binding protein 1</t>
  </si>
  <si>
    <t>SBP1_HUMAN</t>
  </si>
  <si>
    <t>Q13228</t>
  </si>
  <si>
    <t>A6NML9; A6PVW9; B2RDR3; B4DKP6; B4E1F3; Q49AQ8; Q96GX7</t>
  </si>
  <si>
    <t>SBP</t>
  </si>
  <si>
    <t>Acetylation; Alternative splicing; Cytoplasm; Disease mutation; Membrane; Nucleus; Oxidoreductase; Phosphoprotein; Protein transport; Selenium; Transport</t>
  </si>
  <si>
    <t>Cytoplasm; Membrane; Nucleus</t>
  </si>
  <si>
    <t>Selenium</t>
  </si>
  <si>
    <t>protein transport {GO:0015031}</t>
  </si>
  <si>
    <t>cytosol {GO:0005829}; extracellular exosome {GO:0070062}; extracellular space {GO:0005615}; fibrillar center {GO:0001650}; membrane {GO:0016020}; nucleolus {GO:0005730}</t>
  </si>
  <si>
    <t>methanethiol oxidase activity {GO:0018549}; selenium binding {GO:0008430}</t>
  </si>
  <si>
    <t>Organosulfur degradation..</t>
  </si>
  <si>
    <t>Synemin</t>
  </si>
  <si>
    <t>Desmuslin</t>
  </si>
  <si>
    <t>SYNEM_HUMAN</t>
  </si>
  <si>
    <t>O15061</t>
  </si>
  <si>
    <t>A7E2Y2; Q2TBJ4; Q5NJJ9; Q8TE61; Q8TE62</t>
  </si>
  <si>
    <t>DMN; KIAA0353; SYN</t>
  </si>
  <si>
    <t>3D-structure; Alternative splicing; Cell junction; Coiled coil; Cytoplasm; Cytoskeleton; Intermediate filament; Methylation; Phosphoprotein; Polymorphism</t>
  </si>
  <si>
    <t>Cell junction; Cytoplasm; Cytoskeleton; Intermediate filament</t>
  </si>
  <si>
    <t>fast-twitch skeletal muscle fiber contraction {GO:0031443}; intermediate filament cytoskeleton organization {GO:0045104}</t>
  </si>
  <si>
    <t>adherens junction {GO:0005912}; costamere {GO:0043034}; intermediate filament {GO:0005882}; neurofilament cytoskeleton {GO:0060053}; sarcolemma {GO:0042383}</t>
  </si>
  <si>
    <t>intermediate filament binding {GO:0019215}; structural constituent of cytoskeleton {GO:0005200}; structural constituent of muscle {GO:0008307}; vinculin binding {GO:0017166}</t>
  </si>
  <si>
    <t>Immunoglobulin superfamily DCC subclass member 4</t>
  </si>
  <si>
    <t>Neighbor of punc e11; Protein DDM36 (hDDM36)</t>
  </si>
  <si>
    <t>IGDC4_HUMAN</t>
  </si>
  <si>
    <t>Q8TDY8</t>
  </si>
  <si>
    <t>Q9HCE4</t>
  </si>
  <si>
    <t>DDM36; KIAA1628; NOPE</t>
  </si>
  <si>
    <t>Alternative splicing; Cell membrane; Disulfide bond; Glycoprotein; Immunoglobulin domain; Membrane; Phosphoprotein; Polymorphism; Repeat; Signal; Transmembrane; Transmembrane helix</t>
  </si>
  <si>
    <t>Proteasome subunit beta type-4</t>
  </si>
  <si>
    <t>26 kDa prosomal protein (HsBPROS26; PROS-26); Macropain beta chain; Multicatalytic endopeptidase complex beta chain; Proteasome beta chain; Proteasome chain 3 (HsN3)</t>
  </si>
  <si>
    <t>PSB4_HUMAN</t>
  </si>
  <si>
    <t>P28070</t>
  </si>
  <si>
    <t>B2R9L3; P31148; Q5SZS5; Q6IBI4; Q969L6</t>
  </si>
  <si>
    <t>PROS26</t>
  </si>
  <si>
    <t>3D-structure; Acetylation; Cytoplasm; Disease mutation; Host-virus interaction; Hydrolase; Nucleus; Phosphoprotein; Polymorphism; Protease; Proteasome; Threonine protease; Zymogen</t>
  </si>
  <si>
    <t>Host-virus interaction</t>
  </si>
  <si>
    <t>Hydrolase; Protease; Threonine protease</t>
  </si>
  <si>
    <t>Acetylation; Phosphoprotein; Zymogen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</si>
  <si>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inflammatory response to antigenic stimulus {GO:0002862};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</si>
  <si>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nucleoplasm {GO:0005654}; nucleus {GO:0005634}; proteasome complex {GO:0000502}; proteasome core complex {GO:0005839}; proteasome core complex, beta-subunit complex {GO:0019774}</t>
  </si>
  <si>
    <t>endopeptidase activity {GO:0004175}; lipopolysaccharide binding {GO:0001530}; threonine-type endopeptidase activity {GO:0004298}</t>
  </si>
  <si>
    <t>Cysteine-rich protein 1 (CRP-1)</t>
  </si>
  <si>
    <t>Cysteine-rich heart protein (CRHP; hCRHP); Cysteine-rich intestinal protein (CRIP)</t>
  </si>
  <si>
    <t>CRIP1_HUMAN</t>
  </si>
  <si>
    <t>P50238</t>
  </si>
  <si>
    <t>H3BPI2; Q13628; Q53XY7; Q96J34</t>
  </si>
  <si>
    <t>CRIP; CRP1</t>
  </si>
  <si>
    <t>Acetylation; LIM domain; Metal-binding; Methylation; Zinc</t>
  </si>
  <si>
    <t>LIM domain</t>
  </si>
  <si>
    <t>Acetylation; Methylation</t>
  </si>
  <si>
    <t>cell population proliferation {GO:0008283}; cellular response to antibiotic {GO:0071236}; cellular response to UV-B {GO:0071493}; heart development {GO:0007507}; immune response {GO:0006955}; intrinsic apoptotic signaling pathway in response to DNA damage {GO:0008630}; prostate gland stromal morphogenesis {GO:0060741}; regulation of gene expression {GO:0010468}; response to organic substance {GO:0010033}; response to zinc ion {GO:0010043}</t>
  </si>
  <si>
    <t>cytoplasm {GO:0005737}</t>
  </si>
  <si>
    <t>AT DNA binding {GO:0003680}; DNA binding, bending {GO:0008301}; peptide binding {GO:0042277}; zinc ion binding {GO:0008270}</t>
  </si>
  <si>
    <t>Spectrin beta chain, erythrocytic</t>
  </si>
  <si>
    <t>Beta-I spectrin</t>
  </si>
  <si>
    <t>SPTB1_HUMAN</t>
  </si>
  <si>
    <t>P11277</t>
  </si>
  <si>
    <t>Q15510; Q15519</t>
  </si>
  <si>
    <t>SPTB1</t>
  </si>
  <si>
    <t>3D-structure; Actin capping; Actin-binding; Alternative splicing; Cytoplasm; Cytoskeleton; Disease mutation; Elliptocytosis; Hereditary hemolytic anemia; Phosphoprotein; Polymorphism; Repeat</t>
  </si>
  <si>
    <t>Disease mutation; Elliptocytosis; Hereditary hemolytic anemia</t>
  </si>
  <si>
    <t>Actin capping; Actin-binding</t>
  </si>
  <si>
    <t>actin filament capping {GO:0051693}; axon guidance {GO:0007411}; endoplasmic reticulum to Golgi vesicle-mediated transport {GO:0006888}; MAPK cascade {GO:0000165}</t>
  </si>
  <si>
    <t>actin cytoskeleton {GO:0015629}; cell surface {GO:0009986}; cytosol {GO:0005829}; Golgi apparatus {GO:0005794}; intrinsic component of the cytoplasmic side of the plasma membrane {GO:0031235}; protein-containing complex {GO:0032991}; spectrin {GO:0008091}; spectrin-associated cytoskeleton {GO:0014731}</t>
  </si>
  <si>
    <t>actin binding {GO:0003779}; actin filament binding {GO:0051015}; ankyrin binding {GO:0030506}; structural constituent of cytoskeleton {GO:0005200}</t>
  </si>
  <si>
    <t>NCAM signaling for neurite out-growth {R-HSA-375165}; Interaction between L1 and Ankyrins {R-HSA-445095}; RAF/MAP kinase cascade {R-HSA-5673001}; COPI-mediated anterograde transport {R-HSA-6807878}</t>
  </si>
  <si>
    <t>Nuclear migration protein nudC</t>
  </si>
  <si>
    <t>Nuclear distribution protein C homolog</t>
  </si>
  <si>
    <t>NUDC_HUMAN</t>
  </si>
  <si>
    <t>Q9Y266</t>
  </si>
  <si>
    <t>Q5QP31; Q5QP35; Q9H0N2; Q9Y2B6</t>
  </si>
  <si>
    <t>3D-structure; Acetylation; Cell cycle; Cell division; Coiled coil; Cytoplasm; Cytoskeleton; Microtubule; Mitosis; Nucleus; Phosphoprotein</t>
  </si>
  <si>
    <t>Cell cycle; Cell division; Mitosis</t>
  </si>
  <si>
    <t>Cytoplasm; Cytoskeleton; Microtubule; Nucleus</t>
  </si>
  <si>
    <t>cell cycle {GO:0007049}; cell division {GO:0051301}; developmental process {GO:0032502}; protein folding {GO:0006457}</t>
  </si>
  <si>
    <t>cytoplasm {GO:0005737}; cytosol {GO:0005829}; microtubule {GO:0005874}; nucleoplasm {GO:0005654}</t>
  </si>
  <si>
    <t>cadherin binding {GO:0045296}; unfolded protein binding {GO:0051082}</t>
  </si>
  <si>
    <t>Amplification of signal from unattached kinetochores via a MAD2 inhibitory signal {R-HSA-141444}; Separation of Sister Chromatids {R-HSA-2467813}; Resolution of Sister Chromatid Cohesion {R-HSA-2500257}; RHO GTPases Activate Formins {R-HSA-5663220}; Mitotic Prometaphase {R-HSA-68877}; Mitotic Telophase/Cytokinesis {R-HSA-68884}</t>
  </si>
  <si>
    <t>Acidic leucine-rich nuclear phosphoprotein 32 family member A</t>
  </si>
  <si>
    <t>Acidic nuclear phosphoprotein pp32 (pp32); Leucine-rich acidic nuclear protein (LANP); Mapmodulin; Potent heat-stable protein phosphatase 2A inhibitor I1PP2A; Putative HLA-DR-associated protein I (PHAPI)</t>
  </si>
  <si>
    <t>AN32A_HUMAN</t>
  </si>
  <si>
    <t>P39687</t>
  </si>
  <si>
    <t>B2R6T4; Q53FK4; Q5J8L8; Q7M4N6</t>
  </si>
  <si>
    <t>C15orf1; LANP; MAPM; PHAP1</t>
  </si>
  <si>
    <t>3D-structure; Cytoplasm; Endoplasmic reticulum; Leucine-rich repeat; Nucleus; Phosphoprotein; Repeat; Repressor; Transcription; Transcription regulation</t>
  </si>
  <si>
    <t>Cytoplasm; Endoplasmic reticulum; Nucleus</t>
  </si>
  <si>
    <t>Leucine-rich repeat; Repeat</t>
  </si>
  <si>
    <t>Repressor</t>
  </si>
  <si>
    <t>intracellular signal transduction {GO:0035556}; nucleocytoplasmic transport {GO:0006913}; regulation of mRNA stability {GO:0043488}</t>
  </si>
  <si>
    <t>cytoplasm {GO:0005737}; endoplasmic reticulum {GO:0005783}; nucleoplasm {GO:0005654}; nucleus {GO:0005634}; perinuclear region of cytoplasm {GO:0048471}</t>
  </si>
  <si>
    <t>histone binding {GO:0042393}; RNA binding {GO:0003723}</t>
  </si>
  <si>
    <t>HuR (ELAVL1) binds and stabilizes mRNA {R-HSA-450520}</t>
  </si>
  <si>
    <t>Ectonucleotide pyrophosphatase/phosphodiesterase family member 2 (E-NPP 2)</t>
  </si>
  <si>
    <t>Autotaxin; Extracellular lysophospholipase D (LysoPLD)</t>
  </si>
  <si>
    <t>ENPP2_HUMAN</t>
  </si>
  <si>
    <t>Q13822</t>
  </si>
  <si>
    <t>A8UHA1; E9PHP7; Q13827; Q14555; Q15117; Q9UCQ8; Q9UCR0; Q9UCR1; Q9UCR2; Q9UCR3; Q9UCR4</t>
  </si>
  <si>
    <t>3D-structure; Alternative splicing; Calcium; Chemotaxis; Cleavage on pair of basic residues; Disulfide bond; Glycoprotein; Hydrolase; Lipid degradation; Lipid metabolism; Metal-binding; Obesity; Polymorphism; Repeat; Secreted; Signal; Zinc</t>
  </si>
  <si>
    <t>Chemotaxis; Lipid degradation; Lipid metabolism</t>
  </si>
  <si>
    <t>Obesity</t>
  </si>
  <si>
    <t>Calcium; Metal-binding; Zinc</t>
  </si>
  <si>
    <t>Cleavage on pair of basic residues; Disulfide bond; Glycoprotein</t>
  </si>
  <si>
    <t>cell motility {GO:0048870}; chemotaxis {GO:0006935}; immune response {GO:0006955}; phosphatidylcholine catabolic process {GO:0034638}; phospholipid catabolic process {GO:0009395}; positive regulation of epithelial cell migration {GO:0010634}; positive regulation of lamellipodium morphogenesis {GO:2000394}; positive regulation of peptidyl-tyrosine phosphorylation {GO:0050731}; regulation of angiogenesis {GO:0045765}; regulation of cell migration {GO:0030334}</t>
  </si>
  <si>
    <t>extracellular space {GO:0005615}; plasma membrane {GO:0005886}</t>
  </si>
  <si>
    <t>alkylglycerophosphoethanolamine phosphodiesterase activity {GO:0047391}; calcium ion binding {GO:0005509}; hydrolase activity {GO:0016787}; lysophospholipase activity {GO:0004622}; nucleic acid binding {GO:0003676}; nucleotide diphosphatase activity {GO:0004551}; phosphodiesterase I activity {GO:0004528}; polysaccharide binding {GO:0030247}; scavenger receptor activity {GO:0005044}; transcription factor binding {GO:0008134}; zinc ion binding {GO:0008270}</t>
  </si>
  <si>
    <t>Vitamin B5 (pantothenate) metabolism {R-HSA-199220}</t>
  </si>
  <si>
    <t>Frizzled-6 (Fz-6; hFz6)</t>
  </si>
  <si>
    <t>FZD6_HUMAN</t>
  </si>
  <si>
    <t>O60353</t>
  </si>
  <si>
    <t>B4DRN0; Q6N0A5; Q6P9C3; Q8WXR9</t>
  </si>
  <si>
    <t>Alternative splicing; Cell membrane; Cytoplasmic vesicle; Developmental protein; Disease mutation; Disulfide bond; G-protein coupled receptor; Glycoprotein; Membrane; Phosphoprotein; Polymorphism; Receptor; Signal; Transducer; Transmembrane; Transmembrane helix; Ubl conjugation; Wnt signaling pathway</t>
  </si>
  <si>
    <t>Developmental protein; G-protein coupled receptor; Receptor; Transducer</t>
  </si>
  <si>
    <t>Disulfide bond; Glycoprotein; Phosphoprotein; Ubl conjugation</t>
  </si>
  <si>
    <t>canonical Wnt signaling pathway {GO:0060070}; cell proliferation in midbrain {GO:0033278}; embryonic nail plate morphogenesis {GO:0035880}; establishment of body hair planar orientation {GO:0048105}; hair follicle development {GO:0001942}; inner ear morphogenesis {GO:0042472}; midbrain morphogenesis {GO:1904693}; negative regulation of canonical Wnt signaling pathway {GO:0090090}; negative regulation of DNA-binding transcription factor activity {GO:0043433}; neural tube closure {GO:0001843}; non-canonical Wnt signaling pathway {GO:0035567}; platelet activation {GO:0030168}; Wnt signaling pathway, calcium modulating pathway {GO:0007223}; Wnt signaling pathway, planar cell polarity pathway {GO:0060071}</t>
  </si>
  <si>
    <t>apical plasma membrane {GO:0016324}; apicolateral plasma membrane {GO:0016327}; cell surface {GO:0009986}; cytoplasmic vesicle membrane {GO:0030659}; integral component of plasma membrane {GO:0005887}; plasma membrane {GO:0005886}</t>
  </si>
  <si>
    <t>G protein-coupled receptor activity {GO:0004930}; ubiquitin protein ligase binding {GO:0031625}; Wnt-activated receptor activity {GO:0042813}; Wnt-protein binding {GO:0017147}</t>
  </si>
  <si>
    <t>Class B/2 (Secretin family receptors) {R-HSA-373080}; Ca2+ pathway {R-HSA-4086398}; PCP/CE pathway {R-HSA-4086400}; Regulation of FZD by ubiquitination {R-HSA-4641263}; RNF mutants show enhanced WNT signaling and proliferation {R-HSA-5340588}</t>
  </si>
  <si>
    <t>Pleckstrin homology domain-containing family O member 2 (PH domain-containing family O member 2)</t>
  </si>
  <si>
    <t>Pleckstrin homology domain-containing family Q member 1 (PH domain-containing family Q member 1)</t>
  </si>
  <si>
    <t>PKHO2_HUMAN</t>
  </si>
  <si>
    <t>Q8TD55</t>
  </si>
  <si>
    <t>Q7L4H4; Q8WYS8</t>
  </si>
  <si>
    <t>PLEKHQ1</t>
  </si>
  <si>
    <t>neutrophil degranulation {GO:0043312}</t>
  </si>
  <si>
    <t>extracellular region {GO:0005576}; ficolin-1-rich granule lumen {GO:1904813}</t>
  </si>
  <si>
    <t>Splicing factor, proline- and glutamine-rich</t>
  </si>
  <si>
    <t>100 kDa DNA-pairing protein (hPOMp100); DNA-binding p52/p100 complex, 100 kDa subunit; Polypyrimidine tract-binding protein-associated-splicing factor (PSF; PTB-associated-splicing factor)</t>
  </si>
  <si>
    <t>SFPQ_HUMAN</t>
  </si>
  <si>
    <t>P23246</t>
  </si>
  <si>
    <t>P30808; Q5SZ71</t>
  </si>
  <si>
    <t>PSF</t>
  </si>
  <si>
    <t>3D-structure; Acetylation; Activator; Alternative splicing; Biological rhythms; Chromosomal rearrangement; Coiled coil; Cytoplasm; DNA damage; DNA recombination; DNA repair; DNA-binding; Immunity; Innate immunity; Isopeptide bond; Methylation; mRNA processing; mRNA splicing; Nucleus; Phosphoprotein; Repeat; Repressor; RNA-binding; Transcription; Transcription regulation; Ubl conjugation</t>
  </si>
  <si>
    <t>Biological rhythms; DNA damage; DNA recombination; DNA repair; Immunity; Innate immunity; Transcription; Transcription regulation; mRNA processing; mRNA splicing</t>
  </si>
  <si>
    <t>Alternative splicing; Chromosomal rearrangement</t>
  </si>
  <si>
    <t>Activator; DNA-binding; RNA-binding; Repressor</t>
  </si>
  <si>
    <t>Acetylation; Isopeptide bond; Methylation; Phosphoprotein; Ubl conjugation</t>
  </si>
  <si>
    <t>activation of innate immune response {GO:0002218}; alternative mRNA splicing, via spliceosome {GO:0000380}; dendritic transport of messenger ribonucleoprotein complex {GO:0098963}; double-strand break repair via homologous recombination {GO:0000724}; histone H3 deacetylation {GO:0070932}; innate immune response {GO:0045087}; mRNA processing {GO:0006397}; negative regulation of circadian rhythm {GO:0042754}; negative regulation of transcription by RNA polymerase II {GO:0000122}; negative regulation of transcription, DNA-templated {GO:0045892}; positive regulation of oxidative stress-induced intrinsic apoptotic signaling pathway {GO:1902177}; positive regulation of sister chromatid cohesion {GO:0045876}; positive regulation of transcription by RNA polymerase II {GO:0045944}; regulation of circadian rhythm {GO:0042752}; rhythmic process {GO:0048511}; RNA splicing {GO:0008380}</t>
  </si>
  <si>
    <t>chromatin {GO:0000785}; dendrite cytoplasm {GO:0032839}; nuclear matrix {GO:0016363}; nuclear speck {GO:0016607}; nucleoplasm {GO:0005654}; nucleus {GO:0005634}; paraspeckles {GO:0042382}; RNA polymerase II transcription factor complex {GO:0090575}</t>
  </si>
  <si>
    <t>chromatin binding {GO:0003682}; DNA binding {GO:0003677}; DNA-binding transcription factor activity, RNA polymerase II-specific {GO:0000981}; E-box binding {GO:0070888}; histone deacetylase binding {GO:0042826}; protein homodimerization activity {GO:0042803}; RNA binding {GO:0003723}; RNA polymerase II distal enhancer sequence-specific DNA binding {GO:0000980}; transcription regulatory region DNA binding {GO:0044212}; transcription regulatory region sequence-specific DNA binding {GO:0000976}</t>
  </si>
  <si>
    <t>PTK6 Regulates Proteins Involved in RNA Processing {R-HSA-8849468}</t>
  </si>
  <si>
    <t>Cytoplasmic dynein 1 heavy chain 1</t>
  </si>
  <si>
    <t>Cytoplasmic dynein heavy chain 1; Dynein heavy chain, cytosolic</t>
  </si>
  <si>
    <t>DYHC1_HUMAN</t>
  </si>
  <si>
    <t>Q14204</t>
  </si>
  <si>
    <t>B0I1R0; Q6DKQ7; Q8WU28; Q92814; Q9Y4G5</t>
  </si>
  <si>
    <t>DHC1; DNCH1; DNCL; DNECL; DYHC; KIAA0325</t>
  </si>
  <si>
    <t>3D-structure; Acetylation; ATP-binding; Cell cycle; Cell division; Charcot-Marie-Tooth disease; Coiled coil; Cytoplasm; Cytoskeleton; Disease mutation; Dynein; Mental retardation; Microtubule; Mitosis; Motor protein; Neurodegeneration; Neuropathy; Nucleotide-binding; Phosphoprotein; Polymorphism; Repeat; Transport</t>
  </si>
  <si>
    <t>Cell cycle; Cell division; Mitosis; Transport</t>
  </si>
  <si>
    <t>Cytoplasm; Cytoskeleton; Dynein; Microtubule</t>
  </si>
  <si>
    <t>Charcot-Marie-Tooth disease; Disease mutation; Mental retardation; Neurodegeneration; Neuropathy</t>
  </si>
  <si>
    <t>Motor protein</t>
  </si>
  <si>
    <t>antigen processing and presentation of exogenous peptide antigen via MHC class II {GO:0019886}; cell division {GO:0051301}; ciliary basal body-plasma membrane docking {GO:0097711}; cytoplasmic microtubule organization {GO:0031122}; cytoplasmic mRNA processing body assembly {GO:0033962}; endoplasmic reticulum to Golgi vesicle-mediated transport {GO:0006888}; establishment of spindle localization {GO:0051293}; G2/M transition of mitotic cell cycle {GO:0000086}; microtubule-based movement {GO:0007018}; minus-end-directed vesicle transport along microtubule {GO:0072382}; mitotic cell cycle {GO:0000278}; mitotic spindle organization {GO:0007052}; neutrophil degranulation {GO:0043312}; nuclear migration {GO:0007097}; positive regulation of cold-induced thermogenesis {GO:0120162}; positive regulation of intracellular transport {GO:0032388}; positive regulation of spindle assembly {GO:1905832}; regulation of G2/M transition of mitotic cell cycle {GO:0010389}; regulation of metaphase plate congression {GO:0090235}; regulation of mitotic spindle organization {GO:0060236}; retrograde axonal transport {GO:0008090}; stress granule assembly {GO:0034063}</t>
  </si>
  <si>
    <t>axon cytoplasm {GO:1904115}; azurophil granule lumen {GO:0035578}; cell cortex {GO:0005938}; centrosome {GO:0005813}; cytoplasmic dynein complex {GO:0005868}; cytoplasmic microtubule {GO:0005881}; cytosol {GO:0005829}; dynein complex {GO:0030286}; extracellular exosome {GO:0070062}; extracellular region {GO:0005576}; filopodium {GO:0030175}; membrane {GO:0016020}; microtubule {GO:0005874}</t>
  </si>
  <si>
    <t>ATP binding {GO:0005524}; ATP-dependent microtubule motor activity, minus-end-directed {GO:0008569}; dynein intermediate chain binding {GO:0045505}; dynein light chain binding {GO:0045503}; dynein light intermediate chain binding {GO:0051959}; RNA binding {GO:0003723}</t>
  </si>
  <si>
    <t>Amplification of signal from unattached kinetochores via a MAD2 inhibitory signal {R-HSA-141444};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Formins {R-HSA-5663220}; Neutrophil degranulation {R-HSA-6798695}; COPI-mediated anterograde transport {R-HSA-6807878}; COPI-independent Golgi-to-ER retrograde traffic {R-HSA-6811436}; Mitotic Prometaphase {R-HSA-68877}; AURKA Activation by TPX2 {R-HSA-8854518}</t>
  </si>
  <si>
    <t>Plasma serine protease inhibitor</t>
  </si>
  <si>
    <t>Acrosomal serine protease inhibitor; Plasminogen activator inhibitor 3 (PAI-3; PAI3); Protein C inhibitor (PCI); Serpin A5</t>
  </si>
  <si>
    <t>IPSP_HUMAN</t>
  </si>
  <si>
    <t>P05154</t>
  </si>
  <si>
    <t>Q07616; Q9UG30</t>
  </si>
  <si>
    <t>PCI; PLANH3; PROCI</t>
  </si>
  <si>
    <t>3D-structure; Fertilization; Glycoprotein; Heparin-binding; Lipid transport; Polymorphism; Protease inhibitor; Secreted; Serine protease inhibitor; Signal; Transport</t>
  </si>
  <si>
    <t>Fertilization; Lipid transport; Transport</t>
  </si>
  <si>
    <t>Heparin-binding; Protease inhibitor; Serine protease inhibitor</t>
  </si>
  <si>
    <t>blood coagulation {GO:0007596}; fusion of sperm to egg plasma membrane involved in single fertilization {GO:0007342}; lipid transport {GO:0006869}; negative regulation of endopeptidase activity {GO:0010951}; negative regulation of hydrolase activity {GO:0051346}; seminal vesicle development {GO:0061107}; spermatogenesis {GO:0007283}</t>
  </si>
  <si>
    <t>acrosomal membrane {GO:0002080}; external side of plasma membrane {GO:0009897}; extracellular exosome {GO:0070062}; extracellular region {GO:0005576}; extracellular space {GO:0005615}; membrane {GO:0016020}; platelet alpha granule {GO:0031091}; platelet dense tubular network {GO:0031094}; protein C inhibitor-coagulation factor V complex {GO:0097181}; protein C inhibitor-coagulation factor Xa complex {GO:0097182}; protein C inhibitor-coagulation factor XI complex {GO:0097183}; protein C inhibitor-KLK3 complex {GO:0036029}; protein C inhibitor-plasma kallikrein complex {GO:0036030}; protein C inhibitor-PLAT complex {GO:0036026}; protein C inhibitor-PLAU complex {GO:0036027}; protein C inhibitor-thrombin complex {GO:0036028}; protein C inhibitor-TMPRSS11E complex {GO:0036025}; protein C inhibitor-TMPRSS7 complex {GO:0036024}; protein-containing complex {GO:0032991}</t>
  </si>
  <si>
    <t>acrosin binding {GO:0032190}; glycosaminoglycan binding {GO:0005539}; heparin binding {GO:0008201}; phosphatidylcholine binding {GO:0031210}; protease binding {GO:0002020}; retinoic acid binding {GO:0001972}; serine-type endopeptidase inhibitor activity {GO:0004867}</t>
  </si>
  <si>
    <t>Intrinsic Pathway of Fibrin Clot Formation {R-HSA-140837}; Common Pathway of Fibrin Clot Formation {R-HSA-140875}</t>
  </si>
  <si>
    <t>Alpha-1-antichymotrypsin His-Pro-less</t>
  </si>
  <si>
    <t>Cell growth-inhibiting gene 24/25 protein; Serpin A3</t>
  </si>
  <si>
    <t>AACT_HUMAN</t>
  </si>
  <si>
    <t>P01011</t>
  </si>
  <si>
    <t>B3KVQ7; Q13703; Q2TU87; Q2TU88; Q59GP9; Q6LBY8; Q6LDT7; Q6NSC9; Q8N177; Q96DW8; Q9UC47; Q9UNU9</t>
  </si>
  <si>
    <t>AACT</t>
  </si>
  <si>
    <t>3D-structure; Acute phase; Alternative splicing; Disease mutation; Glycoprotein; Polymorphism; Protease inhibitor; Secreted; Serine protease inhibitor; Signal</t>
  </si>
  <si>
    <t>acute-phase response {GO:0006953}; inflammatory response {GO:0006954}; maintenance of gastrointestinal epithelium {GO:0030277}; negative regulation of endopeptidase activity {GO:0010951}; neutrophil degranulation {GO:0043312}; platelet degranulation {GO:0002576}; regulation of lipid metabolic process {GO:0019216}</t>
  </si>
  <si>
    <t>azurophil granule lumen {GO:0035578}; blood microparticle {GO:0072562}; collagen-containing extracellular matrix {GO:0062023}; extracellular exosome {GO:0070062}; extracellular region {GO:0005576}; extracellular space {GO:0005615}; nucleus {GO:0005634}; platelet alpha granule lumen {GO:0031093}; secretory granule lumen {GO:0034774}</t>
  </si>
  <si>
    <t>DNA binding {GO:0003677}; serine-type endopeptidase inhibitor activity {GO:0004867}</t>
  </si>
  <si>
    <t>Platelet degranulation {R-HSA-114608}; Neutrophil degranulation {R-HSA-6798695}</t>
  </si>
  <si>
    <t>Kinectin</t>
  </si>
  <si>
    <t>CG-1 antigen; Kinesin receptor</t>
  </si>
  <si>
    <t>KTN1_HUMAN</t>
  </si>
  <si>
    <t>Q86UP2</t>
  </si>
  <si>
    <t>B4DZ88; Q13999; Q14707; Q15387; Q17RZ5; Q5GGW3; Q86W57</t>
  </si>
  <si>
    <t>CG1; KIAA0004</t>
  </si>
  <si>
    <t>Alternative splicing; Coiled coil; Endoplasmic reticulum; Glycoprotein; Membrane; Phosphoprotein; Polymorphism; Signal-anchor; Transmembrane; Transmembrane helix</t>
  </si>
  <si>
    <t>Endoplasmic reticulum; Membrane</t>
  </si>
  <si>
    <t>Coiled coil; Signal-anchor; Transmembrane; Transmembrane helix</t>
  </si>
  <si>
    <t>cellular protein metabolic process {GO:0044267}; microtubule-based movement {GO:0007018}; post-translational protein modification {GO:0043687}</t>
  </si>
  <si>
    <t>endoplasmic reticulum {GO:0005783}; endoplasmic reticulum lumen {GO:0005788}; endoplasmic reticulum membrane {GO:0005789}; integral component of membrane {GO:0016021}; integral component of plasma membrane {GO:0005887}; membrane {GO:0016020}</t>
  </si>
  <si>
    <t>cadherin binding {GO:0045296}; kinesin binding {GO:0019894}; RNA binding {GO:0003723}</t>
  </si>
  <si>
    <t>Regulation of Insulin-like Growth Factor (IGF) transport and uptake by Insulin-like Growth Factor Binding Proteins (IGFBPs) {R-HSA-381426}; RHO GTPases activate KTN1 {R-HSA-5625970}; Post-translational protein phosphorylation {R-HSA-8957275}</t>
  </si>
  <si>
    <t>Semaphorin-4B</t>
  </si>
  <si>
    <t>Semaphorin-C</t>
  </si>
  <si>
    <t>SEM4B_HUMAN</t>
  </si>
  <si>
    <t>Q9NPR2</t>
  </si>
  <si>
    <t>J3KNP4; Q6UXE3; Q8WVP9; Q96FK5; Q9C0B8; Q9H691; Q9NPM8; Q9NPN0</t>
  </si>
  <si>
    <t>Alternative splicing; Developmental protein; Differentiation; Disulfide bond; Glycoprotein; Immunoglobulin domain; Membrane; Neurogenesis; Phosphoprotein; Polymorphism; Signal; Transmembrane; Transmembrane helix</t>
  </si>
  <si>
    <t>Differentiation; Neurogenesis</t>
  </si>
  <si>
    <t>Developmental protein</t>
  </si>
  <si>
    <t>negative chemotaxis {GO:0050919}; negative regulation of axon extension involved in axon guidance {GO:0048843}; neural crest cell migration {GO:0001755}; positive regulation of cell migration {GO:0030335}; semaphorin-plexin signaling pathway {GO:0071526}</t>
  </si>
  <si>
    <t>extracellular space {GO:0005615}; integral component of plasma membrane {GO:0005887}; plasma membrane {GO:0005886}</t>
  </si>
  <si>
    <t>chemorepellent activity {GO:0045499}; neuropilin binding {GO:0038191}; semaphorin receptor binding {GO:0030215}</t>
  </si>
  <si>
    <t>Calmodulin-3</t>
  </si>
  <si>
    <t>CALM3_HUMAN</t>
  </si>
  <si>
    <t>P0DP25</t>
  </si>
  <si>
    <t>P02593; P62158; P70667; P99014; Q13942; Q53S29; Q61379; Q61380; Q96HK3</t>
  </si>
  <si>
    <t>3D-structure; Acetylation; Calcium; Cytoplasm; Cytoskeleton; Disease mutation; Isopeptide bond; Long QT syndrome; Metal-binding; Methylation; Phosphoprotein; Polymorphism; Repeat; Ubl conjugation</t>
  </si>
  <si>
    <t>Disease mutation; Long QT syndrome</t>
  </si>
  <si>
    <t>activation of adenylate cyclase activity {GO:0007190}; detection of calcium ion {GO:0005513}; establishment of protein localization to mitochondrial membrane {GO:0090151}; G protein-coupled receptor signaling pathway {GO:0007186}; G2/M transition of mitotic cell cycle {GO:0000086}; negative regulation of peptidyl-threonine phosphorylation {GO:0010801}; negative regulation of ryanodine-sensitive calcium-release channel activity {GO:0060315}; positive regulation by host of symbiont cAMP-mediated signal transduction {GO:0075206}; positive regulation of cyclic-nucleotide phosphodiesterase activity {GO:0051343}; positive regulation of DNA binding {GO:0043388}; positive regulation of nitric-oxide synthase activity {GO:0051000}; positive regulation of peptidyl-threonine phosphorylation {GO:0010800}; positive regulation of phosphoprotein phosphatase activity {GO:0032516}; positive regulation of protein autophosphorylation {GO:0031954}; positive regulation of protein dephosphorylation {GO:0035307}; positive regulation of protein serine/threonine kinase activity {GO:0071902}; positive regulation of ryanodine-sensitive calcium-release channel activity {GO:0060316}; regulation of cardiac muscle contraction {GO:0055117}; regulation of cardiac muscle contraction by regulation of the release of sequestered calcium ion {GO:0010881}; regulation of cell communication by electrical coupling involved in cardiac conduction {GO:1901844}; regulation of cytokinesis {GO:0032465}; regulation of heart rate {GO:0002027}; regulation of high voltage-gated calcium channel activity {GO:1901841}; regulation of release of sequestered calcium ion into cytosol by sarcoplasmic reticulum {GO:0010880}; regulation of synaptic vesicle endocytosis {GO:1900242}; regulation of synaptic vesicle exocytosis {GO:2000300}; response to amphetamine {GO:0001975}; response to calcium ion {GO:0051592}; response to corticosterone {GO:0051412}; substantia nigra development {GO:0021762}</t>
  </si>
  <si>
    <t>calcium channel complex {GO:0034704}; catalytic complex {GO:1902494}; centrosome {GO:0005813}; cytoplasm {GO:0005737}; growth cone {GO:0030426}; mitochondrial membrane {GO:0031966}; myelin sheath {GO:0043209}; nucleus {GO:0005634}; plasma membrane {GO:0005886}; protein-containing complex {GO:0032991}; sarcomere {GO:0030017}; spindle microtubule {GO:0005876}; spindle pole {GO:0000922}; synaptic vesicle membrane {GO:0030672}; vesicle {GO:0031982}; voltage-gated potassium channel complex {GO:0008076}</t>
  </si>
  <si>
    <t>adenylate cyclase activator activity {GO:0010856}; adenylate cyclase binding {GO:0008179}; calcium ion binding {GO:0005509}; calcium-dependent protein binding {GO:0048306}; disordered domain specific binding {GO:0097718}; ion channel binding {GO:0044325}; N-terminal myristoylation domain binding {GO:0031997}; nitric-oxide synthase binding {GO:0050998}; nitric-oxide synthase regulator activity {GO:0030235}; phosphatidylinositol 3-kinase binding {GO:0043548}; protein domain specific binding {GO:0019904}; protein kinase binding {GO:0019901}; protein phosphatase activator activity {GO:0072542}; protein serine/threonine kinase activator activity {GO:0043539}; titin binding {GO:0031432}; type 3 metabotropic glutamate receptor binding {GO:0031800}</t>
  </si>
  <si>
    <t>Protein amnionless</t>
  </si>
  <si>
    <t>AMNLS_HUMAN</t>
  </si>
  <si>
    <t>Q9BXJ7</t>
  </si>
  <si>
    <t>Q6UX83</t>
  </si>
  <si>
    <t>3D-structure; Alternative promoter usage; Cell membrane; Coated pit; Developmental protein; Disease mutation; Endosome; Glycoprotein; Membrane; Protein transport; Signal; Transmembrane; Transmembrane helix; Transport</t>
  </si>
  <si>
    <t>Cell membrane; Coated pit; Endosome; Membrane</t>
  </si>
  <si>
    <t>Alternative promoter usage</t>
  </si>
  <si>
    <t>cobalamin metabolic process {GO:0009235}; cobalamin transport {GO:0015889}; excretion {GO:0007588}; Golgi to plasma membrane protein transport {GO:0043001}; high-density lipoprotein particle clearance {GO:0034384}; multicellular organism development {GO:0007275}; receptor-mediated endocytosis {GO:0006898}</t>
  </si>
  <si>
    <t>apical plasma membrane {GO:0016324}; brush border membrane {GO:0031526}; clathrin-coated pit {GO:0005905}; endocytic vesicle {GO:0030139}; endosome membrane {GO:0010008}; extracellular exosome {GO:0070062}; extracellular space {GO:0005615}; integral component of membrane {GO:0016021}; plasma membrane {GO:0005886}; protein-containing complex {GO:0032991}</t>
  </si>
  <si>
    <t>signaling receptor binding {GO:0005102}</t>
  </si>
  <si>
    <t>Cobalamin (Cbl, vitamin B12) transport and metabolism {R-HSA-196741}; Defective AMN causes hereditary megaloblastic anemia 1 {R-HSA-3359462}; Defective CUBN causes hereditary megaloblastic anemia 1 {R-HSA-3359463}; HDL clearance {R-HSA-8964011}</t>
  </si>
  <si>
    <t>Glutathione peroxidase 2 (GPx-2; GSHPx-2)</t>
  </si>
  <si>
    <t>Gastrointestinal glutathione peroxidase; Glutathione peroxidase-gastrointestinal (GPx-GI; GSHPx-GI); Glutathione peroxidase-related protein 2 (GPRP-2)</t>
  </si>
  <si>
    <t>GPX2_HUMAN</t>
  </si>
  <si>
    <t>P18283</t>
  </si>
  <si>
    <t>Q6PJ52; Q8WWI7; Q9NRP9</t>
  </si>
  <si>
    <t>3D-structure; Cytoplasm; Oxidoreductase; Peroxidase; Polymorphism; Selenocysteine</t>
  </si>
  <si>
    <t>Polymorphism; Selenocysteine</t>
  </si>
  <si>
    <t>cellular response to oxidative stress {GO:0034599}</t>
  </si>
  <si>
    <t>electron transfer activity {GO:0009055}; glutathione peroxidase activity {GO:0004602}; peroxidase activity {GO:0004601}</t>
  </si>
  <si>
    <t>Synthesis of 5-eicosatetraenoic acids {R-HSA-2142688}; Synthesis of 12-eicosatetraenoic acid derivatives {R-HSA-2142712}; Synthesis of 15-eicosatetraenoic acid derivatives {R-HSA-2142770}; Detoxification of Reactive Oxygen Species {R-HSA-3299685}; TP53 Regulates Metabolic Genes {R-HSA-5628897}</t>
  </si>
  <si>
    <t>Latent-transforming growth factor beta-binding protein 2 (LTBP-2)</t>
  </si>
  <si>
    <t>LTBP2_HUMAN</t>
  </si>
  <si>
    <t>Q14767</t>
  </si>
  <si>
    <t>Q99907; Q9NS51</t>
  </si>
  <si>
    <t>C14orf141; LTBP3</t>
  </si>
  <si>
    <t>Disease mutation; Disulfide bond; Dwarfism; EGF-like domain; Extracellular matrix; Glaucoma; Glycoprotein; Growth factor binding; Heparin-binding; Hydroxylation; Phosphoprotein; Polymorphism; Repeat; Secreted; Signal</t>
  </si>
  <si>
    <t>Disease mutation; Dwarfism; Glaucoma</t>
  </si>
  <si>
    <t>EGF-like domain; Repeat; Signal</t>
  </si>
  <si>
    <t>Growth factor binding; Heparin-binding</t>
  </si>
  <si>
    <t>Disulfide bond; Glycoprotein; Hydroxylation; Phosphoprotein</t>
  </si>
  <si>
    <t>protein secretion {GO:0009306}; protein targeting {GO:0006605}; supramolecular fiber organization {GO:0097435}; transforming growth factor beta receptor signaling pathway {GO:0007179}</t>
  </si>
  <si>
    <t>cell {GO:0005623}; collagen-containing extracellular matrix {GO:0062023}; extracellular exosome {GO:0070062}; extracellular matrix {GO:0031012}; extracellular region {GO:0005576}; extracellular space {GO:0005615}</t>
  </si>
  <si>
    <t>calcium ion binding {GO:0005509}; growth factor binding {GO:0019838}; heparin binding {GO:0008201}; microfibril binding {GO:0050436}</t>
  </si>
  <si>
    <t>Molecules associated with elastic fibres {R-HSA-2129379}</t>
  </si>
  <si>
    <t>DNA-(apurinic or apyrimidinic site) lyase, mitochondrial</t>
  </si>
  <si>
    <t>APEX nuclease (APEN); Apurinic-apyrimidinic endonuclease 1 (AP endonuclease 1; APE-1); REF-1; Redox factor-1</t>
  </si>
  <si>
    <t>APEX1_HUMAN</t>
  </si>
  <si>
    <t>P27695</t>
  </si>
  <si>
    <t>Q969L5; Q99775</t>
  </si>
  <si>
    <t>APE; APE1; APEX; APX; HAP1; REF1</t>
  </si>
  <si>
    <t>3D-structure; Acetylation; Activator; Cleavage on pair of basic residues; Cytoplasm; Disulfide bond; DNA damage; DNA recombination; DNA repair; DNA-binding; Endonuclease; Endoplasmic reticulum; Exonuclease; Hydrolase; Lyase; Magnesium; Metal-binding; Mitochondrion; Nuclease; Nucleus; Phosphoprotein; Polymorphism; Repressor; RNA-binding; S-nitrosylation; Transcription; Transcription regulation; Ubl conjugation</t>
  </si>
  <si>
    <t>DNA damage; DNA recombination; DNA repair; Transcription; Transcription regulation</t>
  </si>
  <si>
    <t>Cytoplasm; Endoplasmic reticulum; Mitochondrion; Nucleus</t>
  </si>
  <si>
    <t>Magnesium; Metal-binding</t>
  </si>
  <si>
    <t>Activator; DNA-binding; Endonuclease; Exonuclease; Hydrolase; Lyase; Nuclease; RNA-binding; Repressor</t>
  </si>
  <si>
    <t>Acetylation; Cleavage on pair of basic residues; Disulfide bond; Phosphoprotein; S-nitrosylation; Ubl conjugation</t>
  </si>
  <si>
    <t>aging {GO:0007568}; base-excision repair {GO:0006284}; base-excision repair, base-free sugar-phosphate removal {GO:0006286}; cell redox homeostasis {GO:0045454}; cellular response to cAMP {GO:0071320}; cellular response to hydrogen peroxide {GO:0070301}; cellular response to peptide hormone stimulus {GO:0071375}; DNA demethylation {GO:0080111}; DNA recombination {GO:0006310}; DNA repair {GO:0006281}; negative regulation of smooth muscle cell migration {GO:0014912}; positive regulation of G1/S transition of mitotic cell cycle {GO:1900087}; regulation of apoptotic process {GO:0042981}; regulation of mRNA stability {GO:0043488}; telomere maintenance {GO:0000723}; telomere maintenance via base-excision repair {GO:0097698}</t>
  </si>
  <si>
    <t>centrosome {GO:0005813}; cytoplasm {GO:0005737}; endoplasmic reticulum {GO:0005783}; mitochondrion {GO:0005739}; nuclear chromosome, telomeric region {GO:0000784}; nuclear speck {GO:0016607}; nucleolus {GO:0005730}; nucleoplasm {GO:0005654}; nucleus {GO:0005634}; perinuclear region of cytoplasm {GO:0048471}; ribosome {GO:0005840}; transcription factor complex {GO:0005667}</t>
  </si>
  <si>
    <t>3'-5' exonuclease activity {GO:0008408}; chromatin DNA binding {GO:0031490}; class I DNA-(apurinic or apyrimidinic site) endonuclease activity {GO:0140078}; damaged DNA binding {GO:0003684}; DNA binding {GO:0003677}; DNA-(apurinic or apyrimidinic site) endonuclease activity {GO:0003906}; double-stranded DNA 3'-5' exodeoxyribonuclease activity {GO:0008311}; double-stranded DNA exodeoxyribonuclease activity {GO:0008309}; double-stranded telomeric DNA binding {GO:0003691}; endodeoxyribonuclease activity {GO:0004520}; endonuclease activity {GO:0004519}; metal ion binding {GO:0046872}; NF-kappaB binding {GO:0051059}; oxidoreductase activity {GO:0016491}; phosphodiesterase I activity {GO:0004528}; phosphoric diester hydrolase activity {GO:0008081}; protein-containing complex binding {GO:0044877}; RNA binding {GO:0003723}; RNA-DNA hybrid ribonuclease activity {GO:0004523}; site-specific endodeoxyribonuclease activity, specific for altered base {GO:0016890}; transcription coactivator activity {GO:0003713}; transcription corepressor activity {GO:0003714}; uracil DNA N-glycosylase activity {GO:0004844}</t>
  </si>
  <si>
    <t>Displacement of DNA glycosylase by APEX1 {R-HSA-110357}; POLB-Dependent Long Patch Base Excision Repair {R-HSA-110362}; Resolution of AP sites via the multiple-nucleotide patch replacement pathway {R-HSA-110373}; PCNA-Dependent Long Patch Base Excision Repair {R-HSA-5651801}; Abasic sugar-phosphate removal via the single-nucleotide replacement pathway {R-HSA-73930}; Resolution of Abasic Sites (AP sites) {R-HSA-73933}</t>
  </si>
  <si>
    <t>T2-TrpRS</t>
  </si>
  <si>
    <t>Interferon-induced protein 53 (IFP53); Tryptophanyl-tRNA synthetase (TrpRS; hWRS)</t>
  </si>
  <si>
    <t>SYWC_HUMAN</t>
  </si>
  <si>
    <t>P23381</t>
  </si>
  <si>
    <t>A6NGN1; A6NID3; P78535; Q502Y0; Q53XB6; Q9UDI5; Q9UDL3</t>
  </si>
  <si>
    <t>IFI53; WRS</t>
  </si>
  <si>
    <t>3D-structure; Alternative splicing; Aminoacyl-tRNA synthetase; Angiogenesis; ATP-binding; Cytoplasm; Disease mutation; Ligase; Neurodegeneration; Neuropathy; Nucleotide-binding; Phosphoprotein; Polymorphism; Protein biosynthesis</t>
  </si>
  <si>
    <t>Angiogenesis; Protein biosynthesis</t>
  </si>
  <si>
    <t>Disease mutation; Neurodegeneration; Neuropathy</t>
  </si>
  <si>
    <t>Aminoacyl-tRNA synthetase; Ligase</t>
  </si>
  <si>
    <t>angiogenesis {GO:0001525}; negative regulation of cell population proliferation {GO:0008285}; negative regulation of protein kinase activity {GO:0006469}; negative regulation of protein phosphorylation {GO:0001933}; positive regulation of gene expression {GO:0010628}; positive regulation of protein complex assembly {GO:0031334}; regulation of angiogenesis {GO:0045765}; regulation of protein ADP-ribosylation {GO:0010835}; translation {GO:0006412}; tRNA aminoacylation for protein translation {GO:0006418}; tryptophanyl-tRNA aminoacylation {GO:0006436}</t>
  </si>
  <si>
    <t>cytoplasm {GO:0005737}; cytosol {GO:0005829}; extracellular exosome {GO:0070062}; nucleus {GO:0005634}; protein-containing complex {GO:0032991}</t>
  </si>
  <si>
    <t>ATP binding {GO:0005524}; kinase inhibitor activity {GO:0019210}; protein domain specific binding {GO:0019904}; protein homodimerization activity {GO:0042803}; protein kinase binding {GO:0019901}; tryptophan-tRNA ligase activity {GO:0004830}</t>
  </si>
  <si>
    <t>Cytosolic tRNA aminoacylation {R-HSA-379716}</t>
  </si>
  <si>
    <t>Thrombospondin-1</t>
  </si>
  <si>
    <t>Glycoprotein G</t>
  </si>
  <si>
    <t>TSP1_HUMAN</t>
  </si>
  <si>
    <t>P07996</t>
  </si>
  <si>
    <t>A8K6H4; B4E3J7; B9EGH6; Q15667; Q59E99</t>
  </si>
  <si>
    <t>TSP; TSP1</t>
  </si>
  <si>
    <t>3D-structure; Alternative splicing; Calcium; Cell adhesion; Disulfide bond; EGF-like domain; Endoplasmic reticulum; Extracellular matrix; Glycoprotein; Heparin-binding; Polymorphism; Repeat; Sarcoplasmic reticulum; Secreted; Signal; Unfolded protein response</t>
  </si>
  <si>
    <t>Cell adhesion; Unfolded protein response</t>
  </si>
  <si>
    <t>Endoplasmic reticulum; Extracellular matrix; Sarcoplasmic reticulum; Secreted</t>
  </si>
  <si>
    <t>activation of MAPK activity {GO:0000187}; behavioral response to pain {GO:0048266}; cell adhesion {GO:0007155}; cell cycle arrest {GO:0007050}; cell migration {GO:0016477}; cellular response to growth factor stimulus {GO:0071363}; cellular response to heat {GO:0034605}; cellular response to tumor necrosis factor {GO:0071356}; chronic inflammatory response {GO:0002544}; engulfment of apoptotic cell {GO:0043652}; extracellular matrix organization {GO:0030198}; immune response {GO:0006955}; inflammatory response {GO:0006954}; negative regulation of angiogenesis {GO:0016525}; negative regulation of antigen processing and presentation of peptide or polysaccharide antigen via MHC class II {GO:0002581}; negative regulation of apoptotic process {GO:0043066}; negative regulation of blood vessel endothelial cell migration {GO:0043537}; negative regulation of blood vessel endothelial cell proliferation involved in sprouting angiogenesis {GO:1903588}; negative regulation of cell migration involved in sprouting angiogenesis {GO:0090051}; negative regulation of cell-matrix adhesion {GO:0001953}; negative regulation of cGMP-mediated signaling {GO:0010754}; negative regulation of cysteine-type endopeptidase activity involved in apoptotic process {GO:0043154}; negative regulation of dendritic cell antigen processing and presentation {GO:0002605}; negative regulation of endothelial cell chemotaxis {GO:2001027}; negative regulation of endothelial cell migration {GO:0010596}; negative regulation of endothelial cell proliferation {GO:0001937}; negative regulation of extrinsic apoptotic signaling pathway {GO:2001237}; negative regulation of fibrinolysis {GO:0051918}; negative regulation of fibroblast growth factor receptor signaling pathway {GO:0040037}; negative regulation of focal adhesion assembly {GO:0051895}; negative regulation of interleukin-12 production {GO:0032695}; negative regulation of long-chain fatty acid import across plasma membrane {GO:0010748}; negative regulation of nitric oxide mediated signal transduction {GO:0010751}; negative regulation of plasminogen activation {GO:0010757}; negative regulation of sprouting angiogenesis {GO:1903671}; peptide cross-linking {GO:0018149}; platelet degranulation {GO:0002576}; positive regulation of angiogenesis {GO:0045766}; positive regulation of blood coagulation {GO:0030194}; positive regulation of blood vessel endothelial cell migration {GO:0043536}; positive regulation of cell migration {GO:0030335}; positive regulation of cell population proliferation {GO:0008284}; positive regulation of chemotaxis {GO:0050921}; positive regulation of endothelial cell apoptotic process {GO:2000353}; positive regulation of endothelial cell migration {GO:0010595}; positive regulation of extrinsic apoptotic signaling pathway via death domain receptors {GO:1902043}; positive regulation of fibroblast migration {GO:0010763}; positive regulation of macrophage activation {GO:0043032}; positive regulation of macrophage chemotaxis {GO:0010759}; positive regulation of phosphorylation {GO:0042327}; positive regulation of protein kinase B signaling {GO:0051897}; positive regulation of reactive oxygen species metabolic process {GO:2000379}; positive regulation of smooth muscle cell proliferation {GO:0048661}; positive regulation of transforming growth factor beta receptor signaling pathway {GO:0030511}; positive regulation of transforming growth factor beta1 production {GO:0032914}; positive regulation of translation {GO:0045727}; positive regulation of tumor necrosis factor biosynthetic process {GO:0042535}; regulation of megakaryocyte differentiation {GO:0045652}; response to calcium ion {GO:0051592}; response to drug {GO:0042493}; response to endoplasmic reticulum stress {GO:0034976}; response to glucose {GO:0009749}; response to hypoxia {GO:0001666}; response to magnesium ion {GO:0032026}; response to mechanical stimulus {GO:0009612}; response to progesterone {GO:0032570}; response to testosterone {GO:0033574}; response to unfolded protein {GO:0006986}; sprouting angiogenesis {GO:0002040}</t>
  </si>
  <si>
    <t>cell surface {GO:0009986}; collagen-containing extracellular matrix {GO:0062023}; endoplasmic reticulum {GO:0005783}; endoplasmic reticulum lumen {GO:0005788}; external side of plasma membrane {GO:0009897}; extracellular exosome {GO:0070062}; extracellular matrix {GO:0031012}; extracellular region {GO:0005576}; extracellular space {GO:0005615}; fibrinogen complex {GO:0005577}; platelet alpha granule {GO:0031091}; platelet alpha granule lumen {GO:0031093}; sarcoplasmic reticulum {GO:0016529}; secretory granule {GO:0030141}</t>
  </si>
  <si>
    <t>calcium ion binding {GO:0005509}; collagen V binding {GO:0070052}; extracellular matrix structural constituent {GO:0005201}; fibrinogen binding {GO:0070051}; fibroblast growth factor binding {GO:0017134}; fibronectin binding {GO:0001968}; heparin binding {GO:0008201}; identical protein binding {GO:0042802}; integrin binding {GO:0005178}; laminin binding {GO:0043236}; low-density lipoprotein particle binding {GO:0030169}; phosphatidylserine binding {GO:0001786}; proteoglycan binding {GO:0043394}; transforming growth factor beta binding {GO:0050431}</t>
  </si>
  <si>
    <t>Platelet degranulation {R-HSA-114608}; Signaling by PDGF {R-HSA-186797}; Integrin cell surface interactions {R-HSA-216083}; Syndecan interactions {R-HSA-3000170}; Defective B3GALTL causes Peters-plus syndrome (PpS) {R-HSA-5083635}; O-glycosylation of TSR domain-containing proteins {R-HSA-5173214}; RUNX1 regulates genes involved in megakaryocyte differentiation and platelet function {R-HSA-8936459}</t>
  </si>
  <si>
    <t>Apoptotic chromatin condensation inducer in the nucleus (Acinus)</t>
  </si>
  <si>
    <t>ACINU_HUMAN</t>
  </si>
  <si>
    <t>Q9UKV3</t>
  </si>
  <si>
    <t>B2RTT4; D3DS45; O75158; Q9UG91; Q9UKV1; Q9UKV2</t>
  </si>
  <si>
    <t>ACINUS; KIAA0670</t>
  </si>
  <si>
    <t>3D-structure; Acetylation; Alternative splicing; Apoptosis; Isopeptide bond; Methylation; mRNA processing; mRNA splicing; Nucleus; Phosphoprotein; Polymorphism; RNA-binding; Ubl conjugation</t>
  </si>
  <si>
    <t>Apoptosis; mRNA processing; mRNA splicing</t>
  </si>
  <si>
    <t>Nucleus</t>
  </si>
  <si>
    <t>RNA-binding</t>
  </si>
  <si>
    <t>apoptotic chromosome condensation {GO:0030263}; erythrocyte differentiation {GO:0030218}; mRNA processing {GO:0006397}; negative regulation of mRNA splicing, via spliceosome {GO:0048025}; positive regulation of apoptotic process {GO:0043065}; positive regulation of monocyte differentiation {GO:0045657}; RNA splicing {GO:0008380}</t>
  </si>
  <si>
    <t>ASAP complex {GO:0061574}; cytosol {GO:0005829}; nuclear speck {GO:0016607}; nucleolus {GO:0005730}; nucleoplasm {GO:0005654}; nucleus {GO:0005634}; plasma membrane {GO:0005886}</t>
  </si>
  <si>
    <t>ATPase activity {GO:0016887}; enzyme binding {GO:0019899}; nucleic acid binding {GO:0003676}; RNA binding {GO:0003723}</t>
  </si>
  <si>
    <t>Apoptotic cleavage of cellular proteins {R-HSA-111465}</t>
  </si>
  <si>
    <t>Proteasome subunit alpha type-3</t>
  </si>
  <si>
    <t>Macropain subunit C8; Multicatalytic endopeptidase complex subunit C8; Proteasome component C8</t>
  </si>
  <si>
    <t>PSA3_HUMAN</t>
  </si>
  <si>
    <t>P25788</t>
  </si>
  <si>
    <t>B2RCK6; Q86U83; Q8N1D8; Q9BS70</t>
  </si>
  <si>
    <t>HC8; PSC8</t>
  </si>
  <si>
    <t>3D-structure; Acetylation; Alternative splicing; Cytoplasm; Host-virus interaction; Hydrolase; Nucleus; Phosphoprotein; Polymorphism;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</si>
  <si>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endopeptidase activity {GO:0052548};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</si>
  <si>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nucleoplasm {GO:0005654}; nucleus {GO:0005634}; proteasome complex {GO:0000502}; proteasome core complex {GO:0005839}; proteasome core complex, alpha-subunit complex {GO:0019773}; synapse {GO:0045202}</t>
  </si>
  <si>
    <t>endopeptidase activity {GO:0004175}; threonine-type endopeptidase activity {GO:0004298}; ubiquitin protein ligase binding {GO:0031625}</t>
  </si>
  <si>
    <t>Tropomyosin alpha-1 chain</t>
  </si>
  <si>
    <t>Alpha-tropomyosin; Tropomyosin-1</t>
  </si>
  <si>
    <t>TPM1_HUMAN</t>
  </si>
  <si>
    <t>P09493</t>
  </si>
  <si>
    <t>B7Z5T7; D9YZV2; D9YZV3; D9YZV8; P09494; P10469; Q6DV89; Q6DV90; Q7Z6L8; Q86W64; Q96IK2; Q9UCI1; Q9UCI2; Q9UCY9; Q9Y427</t>
  </si>
  <si>
    <t>C15orf13; TMSA</t>
  </si>
  <si>
    <t>3D-structure; Acetylation; Actin-binding; Alternative splicing; Cardiomyopathy; Coiled coil; Cytoplasm; Cytoskeleton; Disease mutation; Muscle protein; Phosphoprotein</t>
  </si>
  <si>
    <t>Cardiomyopathy; Disease mutation</t>
  </si>
  <si>
    <t>Actin-binding; Muscle protein</t>
  </si>
  <si>
    <t>actin filament organization {GO:0007015}; cardiac muscle contraction {GO:0060048}; cellular response to reactive oxygen species {GO:0034614}; cytoskeleton organization {GO:0007010}; in utero embryonic development {GO:0001701}; muscle contraction {GO:0006936}; muscle filament sliding {GO:0030049}; negative regulation of cell migration {GO:0030336}; negative regulation of vascular associated smooth muscle cell migration {GO:1904753}; negative regulation of vascular smooth muscle cell proliferation {GO:1904706}; positive regulation of ATPase activity {GO:0032781}; positive regulation of cell adhesion {GO:0045785}; positive regulation of heart rate by epinephrine {GO:0003065}; positive regulation of stress fiber assembly {GO:0051496}; regulation of cell shape {GO:0008360}; regulation of heart contraction {GO:0008016}; regulation of muscle contraction {GO:0006937}; ruffle organization {GO:0031529}; sarcomere organization {GO:0045214}; ventricular cardiac muscle tissue morphogenesis {GO:0055010}; wound healing {GO:0042060}</t>
  </si>
  <si>
    <t>actin cytoskeleton {GO:0015629}; actin filament {GO:0005884}; bleb {GO:0032059}; cytoskeleton {GO:0005856}; cytosol {GO:0005829}; muscle thin filament tropomyosin {GO:0005862}; ruffle membrane {GO:0032587}; sarcomere {GO:0030017}; stress fiber {GO:0001725}</t>
  </si>
  <si>
    <t>actin binding {GO:0003779}; actin filament binding {GO:0051015}; cytoskeletal protein binding {GO:0008092}; identical protein binding {GO:0042802}; protein heterodimerization activity {GO:0046982}; protein homodimerization activity {GO:0042803}; structural constituent of cytoskeleton {GO:0005200}; structural constituent of muscle {GO:0008307}</t>
  </si>
  <si>
    <t>Striated Muscle Contraction {R-HSA-390522}; Smooth Muscle Contraction {R-HSA-445355}</t>
  </si>
  <si>
    <t>Tropomyosin alpha-4 chain</t>
  </si>
  <si>
    <t>TM30p1; Tropomyosin-4</t>
  </si>
  <si>
    <t>TPM4_HUMAN</t>
  </si>
  <si>
    <t>P67936</t>
  </si>
  <si>
    <t>P07226; Q15659; Q5U0D9; Q9BU85; Q9H8Q3; Q9UCS1; Q9UCS2; Q9UCS3; Q9UCS4</t>
  </si>
  <si>
    <t>Acetylation; Actin-binding; Alternative splicing; Calcium; Coiled coil; Cytoplasm; Cytoskeleton; Metal-binding; Muscle protein; Phosphoprotein; Polymorphism</t>
  </si>
  <si>
    <t>actin filament organization {GO:0007015}; muscle contraction {GO:0006936}; muscle filament sliding {GO:0030049}; osteoblast differentiation {GO:0001649}</t>
  </si>
  <si>
    <t>actin filament {GO:0005884}; cortical cytoskeleton {GO:0030863}; cytoskeleton {GO:0005856}; cytosol {GO:0005829}; extracellular exosome {GO:0070062}; focal adhesion {GO:0005925}; membrane {GO:0016020}; muscle thin filament tropomyosin {GO:0005862}; podosome {GO:0002102}; stress fiber {GO:0001725}</t>
  </si>
  <si>
    <t>actin filament binding {GO:0051015}; calcium ion binding {GO:0005509}; identical protein binding {GO:0042802}; protein heterodimerization activity {GO:0046982}; protein homodimerization activity {GO:0042803}; structural constituent of muscle {GO:0008307}</t>
  </si>
  <si>
    <t>Ena/VASP-like protein</t>
  </si>
  <si>
    <t>Ena/vasodilator-stimulated phosphoprotein-like</t>
  </si>
  <si>
    <t>EVL_HUMAN</t>
  </si>
  <si>
    <t>Q9UI08</t>
  </si>
  <si>
    <t>A8K105; B7Z3I5; O95884; Q7Z522; Q8TBV1; Q9UF25; Q9UIC2</t>
  </si>
  <si>
    <t>RNB6</t>
  </si>
  <si>
    <t>Actin-binding; Alternative splicing; Cell projection; Cytoplasm; Cytoskeleton; Phosphoprotein; Polymorphism; SH3-binding</t>
  </si>
  <si>
    <t>Cell projection; Cytoplasm; Cytoskeleton</t>
  </si>
  <si>
    <t>SH3-binding</t>
  </si>
  <si>
    <t>actin filament organization {GO:0007015}; actin nucleation {GO:0045010}; actin polymerization or depolymerization {GO:0008154}; animal organ morphogenesis {GO:0009887}; axon guidance {GO:0007411}; cell surface receptor signaling pathway {GO:0007166}; cellular response to interferon-gamma {GO:0071346}; negative regulation of epithelial cell migration {GO:0010633}; negative regulation of ruffle assembly {GO:1900028}; nervous system development {GO:0007399}; positive regulation of actin filament polymerization {GO:0030838}; positive regulation of stress fiber assembly {GO:0051496}; protein homotetramerization {GO:0051289}</t>
  </si>
  <si>
    <t>cytoplasm {GO:0005737}; cytoskeleton {GO:0005856}; cytosol {GO:0005829}; focal adhesion {GO:0005925}; lamellipodium {GO:0030027}; membrane {GO:0016020}; phagocytic vesicle {GO:0045335}</t>
  </si>
  <si>
    <t>actin binding {GO:0003779}; profilin binding {GO:0005522}; SH3 domain binding {GO:0017124}</t>
  </si>
  <si>
    <t>Generation of second messenger molecules {R-HSA-202433}; Signaling by ROBO receptors {R-HSA-376176}; RHO GTPases Activate Formins {R-HSA-5663220}</t>
  </si>
  <si>
    <t>GTP cyclohydrolase 1 feedback regulatory protein (GFRP)</t>
  </si>
  <si>
    <t>GTP cyclohydrolase I feedback regulatory protein; p35</t>
  </si>
  <si>
    <t>GFRP_HUMAN</t>
  </si>
  <si>
    <t>P30047</t>
  </si>
  <si>
    <t>B2R4L6; B7ZLM8; Q2M1Q2; Q99749</t>
  </si>
  <si>
    <t>GFRP</t>
  </si>
  <si>
    <t>Alternative splicing; Cytoplasm; Membrane; Nucleus</t>
  </si>
  <si>
    <t>cofactor metabolic process {GO:0051186}; negative regulation of biosynthetic process {GO:0009890}; negative regulation of GTP cyclohydrolase I activity {GO:0043105}; neurotransmitter metabolic process {GO:0042133}; nitric oxide biosynthetic process {GO:0006809}; protein heterooligomerization {GO:0051291}</t>
  </si>
  <si>
    <t>cytoplasm {GO:0005737}; cytosol {GO:0005829}; dendrite {GO:0030425}; melanosome {GO:0042470}; nuclear membrane {GO:0031965}; nucleoplasm {GO:0005654}; nucleus {GO:0005634}; protein-containing complex {GO:0032991}</t>
  </si>
  <si>
    <t>amino acid binding {GO:0016597}; enzyme inhibitor activity {GO:0004857}; GTP cyclohydrolase binding {GO:0044549}; GTP-dependent protein binding {GO:0030742}</t>
  </si>
  <si>
    <t>Tetrahydrobiopterin (BH4) synthesis, recycling, salvage and regulation {R-HSA-1474151}</t>
  </si>
  <si>
    <t>Ras-related protein Rab-11A (Rab-11)</t>
  </si>
  <si>
    <t>YL8</t>
  </si>
  <si>
    <t>RB11A_HUMAN</t>
  </si>
  <si>
    <t>P62491</t>
  </si>
  <si>
    <t>B2R4B6; B4DT13; P24410; Q5TZN9; Q9JLX1</t>
  </si>
  <si>
    <t>RAB11</t>
  </si>
  <si>
    <t>3D-structure; Acetylation; Alternative splicing; Cell cycle; Cell membrane; Cytoplasmic vesicle; Endosome; GTP-binding; Lipoprotein; Membrane; Methylation; Nucleotide-binding; Prenylation; Protein transport; Transport</t>
  </si>
  <si>
    <t>Cell cycle; Protein transport; Transport</t>
  </si>
  <si>
    <t>Cell membrane; Cytoplasmic vesicle; Endosome; Membrane</t>
  </si>
  <si>
    <t>Acetylation; Lipoprotein; Methylation; Prenylation</t>
  </si>
  <si>
    <t>amyloid-beta clearance by transcytosis {GO:0150093}; astral microtubule organization {GO:0030953}; ciliary basal body-plasma membrane docking {GO:0097711}; establishment of protein localization to membrane {GO:0090150}; establishment of protein localization to organelle {GO:0072594}; establishment of vesicle localization {GO:0051650}; exocytosis {GO:0006887}; exosomal secretion {GO:1990182}; intracellular protein transport {GO:0006886}; melanosome transport {GO:0032402}; mitotic metaphase plate congression {GO:0007080}; mitotic spindle assembly {GO:0090307}; multivesicular body assembly {GO:0036258}; neuron projection development {GO:0031175}; neurotransmitter receptor transport, endosome to postsynaptic membrane {GO:0098887}; plasma membrane to endosome transport {GO:0048227}; positive regulation of axon extension {GO:0045773}; positive regulation of epithelial cell migration {GO:0010634}; positive regulation of G2/M transition of mitotic cell cycle {GO:0010971}; positive regulation of protein localization to plasma membrane {GO:1903078}; post-translational protein modification {GO:0043687}; protein localization to plasma membrane {GO:0072659}; Rab protein signal transduction {GO:0032482}; regulation of cytokinesis {GO:0032465}; regulation of long-term neuronal synaptic plasticity {GO:0048169}; regulation of multivesicular body size {GO:0010796}; regulation of protein transport {GO:0051223}; regulation of vesicle-mediated transport {GO:0060627}; renal water homeostasis {GO:0003091}; vesicle-mediated transport {GO:0016192}; vesicle-mediated transport in synapse {GO:0099003}</t>
  </si>
  <si>
    <t>axon {GO:0030424}; cleavage furrow {GO:0032154}; cytoplasmic vesicle {GO:0031410}; cytoplasmic vesicle membrane {GO:0030659}; cytosol {GO:0005829}; endosome {GO:0005768}; extracellular exosome {GO:0070062}; glutamatergic synapse {GO:0098978}; Golgi apparatus {GO:0005794}; intracellular membrane-bounded organelle {GO:0043231}; microtubule organizing center {GO:0005815}; multivesicular body {GO:0005771}; perinuclear region of cytoplasm {GO:0048471}; phagocytic vesicle {GO:0045335}; postsynaptic recycling endosome {GO:0098837}; protein-containing complex {GO:0032991}; recycling endosome {GO:0055037}; recycling endosome membrane {GO:0055038}; Schaffer collateral - CA1 synapse {GO:0098685}; spindle pole {GO:0000922}; trans-Golgi network {GO:0005802}; transport vesicle {GO:0030133}; vesicle {GO:0031982}</t>
  </si>
  <si>
    <t>GTP binding {GO:0005525}; GTPase activity {GO:0003924}; microtubule binding {GO:0008017}; myosin V binding {GO:0031489}; syntaxin binding {GO:0019905}</t>
  </si>
  <si>
    <t>Translocation of SLC2A4 (GLUT4) to the plasma membrane {R-HSA-1445148}; Vasopressin regulates renal water homeostasis via Aquaporins {R-HSA-432040}; Anchoring of the basal body to the plasma membrane {R-HSA-5620912}; VxPx cargo-targeting to cilium {R-HSA-5620916}; TBC/RABGAPs {R-HSA-8854214}; RAB geranylgeranylation {R-HSA-8873719}</t>
  </si>
  <si>
    <t>Protein disulfide-isomerase A3</t>
  </si>
  <si>
    <t>58 kDa glucose-regulated protein; 58 kDa microsomal protein (p58); Disulfide isomerase ER-60; Endoplasmic reticulum resident protein 57 (ER protein 57; ERp57); Endoplasmic reticulum resident protein 60 (ER protein 60; ERp60)</t>
  </si>
  <si>
    <t>PDIA3_HUMAN</t>
  </si>
  <si>
    <t>P30101</t>
  </si>
  <si>
    <t>Q13453; Q14255; Q8IYF8; Q9UMU7</t>
  </si>
  <si>
    <t>ERP57; ERP60; GRP58</t>
  </si>
  <si>
    <t>3D-structure; Acetylation; Disulfide bond; Endoplasmic reticulum; Isomerase; Methylation; Phosphoprotein; Polymorphism; Redox-active center; Repeat; Signal</t>
  </si>
  <si>
    <t>Endoplasmic reticulum</t>
  </si>
  <si>
    <t>Redox-active center; Repeat; Signal</t>
  </si>
  <si>
    <t>Isomerase</t>
  </si>
  <si>
    <t>Acetylation; Disulfide bond; Methylation; Phosphoprotein</t>
  </si>
  <si>
    <t>antigen processing and presentation of exogenous peptide antigen via MHC class I, TAP-dependent {GO:0002479}; antigen processing and presentation of peptide antigen via MHC class I {GO:0002474}; cell redox homeostasis {GO:0045454}; cellular response to interleukin-7 {GO:0098761}; positive regulation of extrinsic apoptotic signaling pathway {GO:2001238}; protein folding {GO:0006457}; protein folding in endoplasmic reticulum {GO:0034975}; response to endoplasmic reticulum stress {GO:0034976}</t>
  </si>
  <si>
    <t>cell surface {GO:0009986}; endoplasmic reticulum {GO:0005783}; endoplasmic reticulum lumen {GO:0005788}; extracellular exosome {GO:0070062}; extracellular space {GO:0005615}; focal adhesion {GO:0005925}; melanosome {GO:0042470}; MHC class I peptide loading complex {GO:0042824}; nucleus {GO:0005634}; phagocytic vesicle {GO:0045335}; recycling endosome membrane {GO:0055038}</t>
  </si>
  <si>
    <t>cysteine-type endopeptidase activity {GO:0004197}; disulfide oxidoreductase activity {GO:0015036}; identical protein binding {GO:0042802}; peptide disulfide oxidoreductase activity {GO:0015037}; phospholipase C activity {GO:0004629}; protein disulfide isomerase activity {GO:0003756}; RNA binding {GO:0003723}</t>
  </si>
  <si>
    <t>ER-Phagosome pathway {R-HSA-1236974}; Calnexin/calreticulin cycle {R-HSA-901042}; Antigen Presentation: Folding, assembly and peptide loading of class I MHC {R-HSA-983170}</t>
  </si>
  <si>
    <t>Huntingtin-interacting protein K</t>
  </si>
  <si>
    <t>Huntingtin yeast partner K</t>
  </si>
  <si>
    <t>HYPK_HUMAN</t>
  </si>
  <si>
    <t>Q9NX55</t>
  </si>
  <si>
    <t>C9JKJ0; O75408; Q8WUW8; Q9P024</t>
  </si>
  <si>
    <t>C15orf63</t>
  </si>
  <si>
    <t>3D-structure; Alternative splicing; Coiled coil; Cytoplasm; Nucleus; Phosphoprotein; Polymorphism</t>
  </si>
  <si>
    <t>negative regulation of apoptotic process {GO:0043066}; protein stabilization {GO:0050821}</t>
  </si>
  <si>
    <t>cytoplasm {GO:0005737}; microtubule cytoskeleton {GO:0015630}; nucleoplasm {GO:0005654}; nucleus {GO:0005634}; protein-containing complex {GO:0032991}</t>
  </si>
  <si>
    <t>protein N-terminus binding {GO:0047485}</t>
  </si>
  <si>
    <t>Acylphosphatase-1</t>
  </si>
  <si>
    <t>Acylphosphatase, erythrocyte isozyme; Acylphosphatase, organ-common type isozyme; Acylphosphate phosphohydrolase 1</t>
  </si>
  <si>
    <t>ACYP1_HUMAN</t>
  </si>
  <si>
    <t>P07311</t>
  </si>
  <si>
    <t>A6NDV8; B2R590</t>
  </si>
  <si>
    <t>ACYPE</t>
  </si>
  <si>
    <t>3D-structure; Acetylation; Alternative splicing; Hydrolase</t>
  </si>
  <si>
    <t>phosphate-containing compound metabolic process {GO:0006796}</t>
  </si>
  <si>
    <t>acylphosphatase activity {GO:0003998}</t>
  </si>
  <si>
    <t>Interleukin-16 (IL-16)</t>
  </si>
  <si>
    <t>Lymphocyte chemoattractant factor (LCF)</t>
  </si>
  <si>
    <t>IL16_HUMAN</t>
  </si>
  <si>
    <t>Q14005</t>
  </si>
  <si>
    <t>A6NM20; A8MU65; B5TY35; B9EGR6; H3BVH5; Q16435; Q6VVE6; Q6ZMQ7; Q9UP18</t>
  </si>
  <si>
    <t>3D-structure; Alternative promoter usage; Alternative splicing; Chemotaxis; Cytokine; Cytoplasm; Host-virus interaction; Nucleus; Phosphoprotein; Polymorphism; Repeat; Secreted; Transcription; Transcription regulation</t>
  </si>
  <si>
    <t>Chemotaxis; Host-virus interaction; Transcription; Transcription regulation</t>
  </si>
  <si>
    <t>Alternative promoter usage; Alternative splicing; Polymorphism</t>
  </si>
  <si>
    <t>cytokine-mediated signaling pathway {GO:0019221}; immune response {GO:0006955}; induction of positive chemotaxis {GO:0050930}; leukocyte chemotaxis {GO:0030595}; regulation of calcium ion transport {GO:0051924}; viral process {GO:0016032}</t>
  </si>
  <si>
    <t>cytosol {GO:0005829}; extracellular region {GO:0005576}; extracellular space {GO:0005615}; nuclear speck {GO:0016607}; plasma membrane {GO:0005886}</t>
  </si>
  <si>
    <t>CD4 receptor binding {GO:0042609}; cytokine activity {GO:0005125}</t>
  </si>
  <si>
    <t>Other interleukin signaling {R-HSA-449836}</t>
  </si>
  <si>
    <t>Phosphoenolpyruvate carboxykinase [GTP], mitochondrial (PEPCK-M)</t>
  </si>
  <si>
    <t>PCKGM_HUMAN</t>
  </si>
  <si>
    <t>Q16822</t>
  </si>
  <si>
    <t>B4DW73; O43253; Q86U01; Q9BV62</t>
  </si>
  <si>
    <t>PEPCK2</t>
  </si>
  <si>
    <t>Acetylation; Alternative splicing; Decarboxylase; Gluconeogenesis; GTP-binding; Lyase; Manganese; Metal-binding; Mitochondrion; Nucleotide-binding; Phosphoprotein; Polymorphism; Transit peptide</t>
  </si>
  <si>
    <t>Gluconeogenesis</t>
  </si>
  <si>
    <t>GTP-binding; Manganese; Metal-binding; Nucleotide-binding</t>
  </si>
  <si>
    <t>Decarboxylase; Lyase</t>
  </si>
  <si>
    <t>cellular response to dexamethasone stimulus {GO:0071549}; cellular response to glucose stimulus {GO:0071333}; cellular response to insulin stimulus {GO:0032869}; gluconeogenesis {GO:0006094}; glycerol biosynthetic process from pyruvate {GO:0046327}; hepatocyte differentiation {GO:0070365}; propionate catabolic process {GO:0019543}; pyruvate metabolic process {GO:0006090}; response to lipid {GO:0033993}; response to starvation {GO:0042594}</t>
  </si>
  <si>
    <t>cytosol {GO:0005829}; mitochondrial matrix {GO:0005759}; mitochondrion {GO:0005739}</t>
  </si>
  <si>
    <t>GTP binding {GO:0005525}; manganese ion binding {GO:0030145}; phosphoenolpyruvate carboxykinase (GTP) activity {GO:0004613}; phosphoenolpyruvate carboxykinase activity {GO:0004611}</t>
  </si>
  <si>
    <t>Carbohydrate biosynthesis; gluconeogenesis.</t>
  </si>
  <si>
    <t>Gluconeogenesis {R-HSA-70263}</t>
  </si>
  <si>
    <t>Ras GTPase-activating-like protein IQGAP1</t>
  </si>
  <si>
    <t>p195</t>
  </si>
  <si>
    <t>IQGA1_HUMAN</t>
  </si>
  <si>
    <t>P46940</t>
  </si>
  <si>
    <t>A7MBM3</t>
  </si>
  <si>
    <t>KIAA0051</t>
  </si>
  <si>
    <t>3D-structure; Acetylation; Calmodulin-binding; Cell membrane; Cytoplasm; Host-virus interaction; Membrane; Nucleus; Phosphoprotein; Polymorphism; Repeat</t>
  </si>
  <si>
    <t>Cell membrane; Cytoplasm; Membrane; Nucleus</t>
  </si>
  <si>
    <t>Calmodulin-binding</t>
  </si>
  <si>
    <t>cell migration {GO:0016477}; cellular response to calcium ion {GO:0071277}; cellular response to epidermal growth factor stimulus {GO:0071364}; cellular response to platelet-derived growth factor stimulus {GO:0036120}; epidermal growth factor receptor signaling pathway {GO:0007173}; fibroblast growth factor receptor signaling pathway {GO:0008543}; glomerular visceral epithelial cell development {GO:0072015}; negative regulation of dephosphorylation {GO:0035305}; neuron projection extension {GO:1990138}; neutrophil degranulation {GO:0043312}; platelet-derived growth factor receptor signaling pathway {GO:0048008}; positive regulation of cellular protein localization {GO:1903829}; positive regulation of dendrite development {GO:1900006}; positive regulation of focal adhesion assembly {GO:0051894}; positive regulation of MAP kinase activity {GO:0043406}; positive regulation of peptidyl-tyrosine autophosphorylation {GO:1900086}; positive regulation of protein kinase activity {GO:0045860}; positive regulation of vascular associated smooth muscle cell migration {GO:1904754}; regulation of cytokine production {GO:0001817}; regulation of mitotic cell cycle {GO:0007346}; response to angiotensin {GO:1990776}; signal transduction {GO:0007165}; viral process {GO:0016032}</t>
  </si>
  <si>
    <t>actin filament {GO:0005884}; axon {GO:0030424}; cytoplasm {GO:0005737}; cytoplasmic ribonucleoprotein granule {GO:0036464}; cytosol {GO:0005829}; extracellular exosome {GO:0070062}; extrinsic component of cytoplasmic side of plasma membrane {GO:0031234}; focal adhesion {GO:0005925}; growth cone {GO:0030426}; lateral plasma membrane {GO:0016328}; membrane raft {GO:0045121}; microtubule {GO:0005874}; midbody {GO:0030496}; neuron projection {GO:0043005}; nucleus {GO:0005634}; plasma membrane {GO:0005886}; ruffle {GO:0001726}; secretory granule membrane {GO:0030667}; slit diaphragm {GO:0036057}</t>
  </si>
  <si>
    <t>cadherin binding {GO:0045296}; calcium ion binding {GO:0005509}; calmodulin binding {GO:0005516}; GTPase activator activity {GO:0005096}; GTPase inhibitor activity {GO:0005095}; mitogen-activated protein kinase binding {GO:0051019}; molecular adaptor activity {GO:0060090}; phosphatidylinositol-3,4,5-trisphosphate binding {GO:0005547}; protein domain specific binding {GO:0019904}; protein kinase binding {GO:0019901}; protein phosphatase binding {GO:0019903}; protein serine/threonine kinase activator activity {GO:0043539}; protein-containing complex binding {GO:0044877}; Rac GTPase binding {GO:0048365}; S100 protein binding {GO:0044548}; small GTPase binding {GO:0031267}</t>
  </si>
  <si>
    <t>Nephrin family interactions {R-HSA-373753}; Glucagon-like Peptide-1 (GLP1) regulates insulin secretion {R-HSA-381676}; RHO GTPases activate IQGAPs {R-HSA-5626467};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</si>
  <si>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Methylmalonate-semialdehyde dehydrogenase [acylating], mitochondrial (MMSDH; Malonate-semialdehyde dehydrogenase [acylating])</t>
  </si>
  <si>
    <t>Aldehyde dehydrogenase family 6 member A1</t>
  </si>
  <si>
    <t>MMSA_HUMAN</t>
  </si>
  <si>
    <t>Q02252</t>
  </si>
  <si>
    <t>B2R609; B4DFS8; J3KNU8; Q9UKM8</t>
  </si>
  <si>
    <t>MMSDH</t>
  </si>
  <si>
    <t>Acetylation; Alternative splicing; Disease mutation; Mitochondrion; NAD; Oxidoreductase; Phosphoprotein; Transit peptide</t>
  </si>
  <si>
    <t>branched-chain amino acid catabolic process {GO:0009083}; brown fat cell differentiation {GO:0050873}; thymine catabolic process {GO:0006210}; thymine metabolic process {GO:0019859}; valine catabolic process {GO:0006574}; valine metabolic process {GO:0006573}</t>
  </si>
  <si>
    <t>mitochondrial matrix {GO:0005759}; mitochondrion {GO:0005739}; nucleoplasm {GO:0005654}</t>
  </si>
  <si>
    <t>fatty-acyl-CoA binding {GO:0000062}; malonate-semialdehyde dehydrogenase (acetylating) activity {GO:0018478}; methylmalonate-semialdehyde dehydrogenase (acylating) activity {GO:0004491}; RNA binding {GO:0003723}</t>
  </si>
  <si>
    <t>Branched-chain amino acid catabolism {R-HSA-70895}</t>
  </si>
  <si>
    <t>Neogenin</t>
  </si>
  <si>
    <t>Immunoglobulin superfamily DCC subclass member 2</t>
  </si>
  <si>
    <t>NEO1_HUMAN</t>
  </si>
  <si>
    <t>Q92859</t>
  </si>
  <si>
    <t>B7ZKM9; B7ZKN0; O00340; Q17RX1</t>
  </si>
  <si>
    <t>IGDCC2; NGN</t>
  </si>
  <si>
    <t>3D-structure; Alternative splicing; Cell adhesion; Cell membrane; Disulfide bond; Glycoprotein; Immunoglobulin domain; Membrane; Phosphoprotein; Polymorphism; Repeat; Signal; Transmembrane; Transmembrane helix</t>
  </si>
  <si>
    <t>axon guidance {GO:0007411}; cell adhesion {GO:0007155}; iron ion homeostasis {GO:0055072}; positive regulation of BMP signaling pathway {GO:0030513}</t>
  </si>
  <si>
    <t>Golgi apparatus {GO:0005794}; integral component of plasma membrane {GO:0005887}; nucleoplasm {GO:0005654}; plasma membrane {GO:0005886}; plasma membrane protein complex {GO:0098797}</t>
  </si>
  <si>
    <t>co-receptor binding {GO:0039706}; signaling receptor activity {GO:0038023}</t>
  </si>
  <si>
    <t>Netrin-1 signaling {R-HSA-373752}; Myogenesis {R-HSA-525793}</t>
  </si>
  <si>
    <t>Nidogen-2 (NID-2)</t>
  </si>
  <si>
    <t>Osteonidogen</t>
  </si>
  <si>
    <t>NID2_HUMAN</t>
  </si>
  <si>
    <t>Q14112</t>
  </si>
  <si>
    <t>A8K6I7; B4DU19; O43710</t>
  </si>
  <si>
    <t>Alternative splicing; Basement membrane; Calcium; Cell adhesion; Disulfide bond; EGF-like domain; Extracellular matrix; Glycoprotein; Methylation; Polymorphism; Repeat; Secreted; Signal</t>
  </si>
  <si>
    <t>Basement membrane; Extracellular matrix; Secreted</t>
  </si>
  <si>
    <t>Disulfide bond; Glycoprotein; Methylation</t>
  </si>
  <si>
    <t>basement membrane organization {GO:0071711}; cell adhesion {GO:0007155}; cell-matrix adhesion {GO:0007160}; extracellular matrix organization {GO:0030198}</t>
  </si>
  <si>
    <t>basement membrane {GO:0005604}; collagen-containing extracellular matrix {GO:0062023}; extracellular exosome {GO:0070062}; extracellular region {GO:0005576}; plasma membrane {GO:0005886}</t>
  </si>
  <si>
    <t>calcium ion binding {GO:0005509}; collagen binding {GO:0005518}; extracellular matrix structural constituent {GO:0005201}</t>
  </si>
  <si>
    <t>Laminin interactions {R-HSA-3000157}</t>
  </si>
  <si>
    <t>Asprosin</t>
  </si>
  <si>
    <t>FBN1_HUMAN</t>
  </si>
  <si>
    <t>P35555</t>
  </si>
  <si>
    <t>B2RUU0; D2JYH6; Q15972; Q75N87</t>
  </si>
  <si>
    <t>FBN</t>
  </si>
  <si>
    <t>3D-structure; Aortic aneurysm; Calcium; Disease mutation; Disulfide bond; Dwarfism; EGF-like domain; Extracellular matrix; Glycoprotein; Heparin-binding; Hormone; Phosphoprotein; Polymorphism; Repeat; Secreted; Signal</t>
  </si>
  <si>
    <t>Aortic aneurysm; Disease mutation; Dwarfism</t>
  </si>
  <si>
    <t>Heparin-binding; Hormone</t>
  </si>
  <si>
    <t>activation of protein kinase A activity {GO:0034199}; camera-type eye development {GO:0043010}; cell adhesion mediated by integrin {GO:0033627}; cellular protein metabolic process {GO:0044267}; cellular response to insulin-like growth factor stimulus {GO:1990314}; cellular response to transforming growth factor beta stimulus {GO:0071560}; embryonic eye morphogenesis {GO:0048048}; extracellular matrix organization {GO:0030198}; glucose homeostasis {GO:0042593}; glucose metabolic process {GO:0006006}; heart development {GO:0007507}; metanephros development {GO:0001656}; negative regulation of osteoclast development {GO:2001205}; negative regulation of osteoclast differentiation {GO:0045671}; post-embryonic eye morphogenesis {GO:0048050}; post-translational protein modification {GO:0043687}; protein kinase A signaling {GO:0010737}; sequestering of BMP in extracellular matrix {GO:0035582}; sequestering of TGFbeta in extracellular matrix {GO:0035583}; skeletal system development {GO:0001501}</t>
  </si>
  <si>
    <t>basement membrane {GO:0005604}; collagen-containing extracellular matrix {GO:0062023}; endoplasmic reticulum lumen {GO:0005788}; extracellular matrix {GO:0031012}; extracellular region {GO:0005576}; extracellular space {GO:0005615}; microfibril {GO:0001527}</t>
  </si>
  <si>
    <t>calcium ion binding {GO:0005509}; extracellular matrix constituent conferring elasticity {GO:0030023}; extracellular matrix structural constituent {GO:0005201}; heparin binding {GO:0008201}; hormone activity {GO:0005179}; identical protein binding {GO:0042802}; integrin binding {GO:0005178}; protein-containing complex binding {GO:0044877}</t>
  </si>
  <si>
    <t>Degradation of the extracellular matrix {R-HSA-1474228}; Elastic fibre formation {R-HSA-1566948}; Molecules associated with elastic fibres {R-HSA-2129379}; Integrin cell surface interactions {R-HSA-216083}; Regulation of Insulin-like Growth Factor (IGF) transport and uptake by Insulin-like Growth Factor Binding Proteins (IGFBPs) {R-HSA-381426}; Post-translational protein phosphorylation {R-HSA-8957275}</t>
  </si>
  <si>
    <t>Tight junction protein ZO-1</t>
  </si>
  <si>
    <t>Tight junction protein 1; Zona occludens protein 1; Zonula occludens protein 1</t>
  </si>
  <si>
    <t>ZO1_HUMAN</t>
  </si>
  <si>
    <t>Q07157</t>
  </si>
  <si>
    <t>B4E3K1; Q2NKP3; Q4ZGJ6</t>
  </si>
  <si>
    <t>ZO1</t>
  </si>
  <si>
    <t>3D-structure; Alternative splicing; Calmodulin-binding; Cell junction; Cell membrane; Cell projection; Gap junction; Membrane; Phosphoprotein; Polymorphism; Repeat; SH3 domain; Tight junction</t>
  </si>
  <si>
    <t>Cell junction; Cell membrane; Cell projection; Gap junction; Membrane; Tight junction</t>
  </si>
  <si>
    <t>Repeat; SH3 domain</t>
  </si>
  <si>
    <t>cell-cell junction assembly {GO:0007043}; cell-cell signaling involved in cell-cell junction organization {GO:1901350}; establishment of endothelial intestinal barrier {GO:0090557}; hippo signaling {GO:0035329}; regulation of bicellular tight junction assembly {GO:2000810}</t>
  </si>
  <si>
    <t>apical junction complex {GO:0043296}; apical part of cell {GO:0045177}; basolateral plasma membrane {GO:0016323}; bicellular tight junction {GO:0005923}; cell junction {GO:0030054}; cell projection {GO:0042995}; cell-cell adherens junction {GO:0005913}; cytoplasm {GO:0005737}; cytosol {GO:0005829}; gap junction {GO:0005921}; plasma membrane {GO:0005886}; podosome {GO:0002102}</t>
  </si>
  <si>
    <t>cadherin binding {GO:0045296}; calmodulin binding {GO:0005516}</t>
  </si>
  <si>
    <t>Regulation of gap junction activity {R-HSA-191650}; Signaling by Hippo {R-HSA-2028269}; Apoptotic cleavage of cell adhesion proteins {R-HSA-351906}; RUNX1 regulates expression of components of tight junctions {R-HSA-8935964}</t>
  </si>
  <si>
    <t>Sorting nexin-1</t>
  </si>
  <si>
    <t>SNX1_HUMAN</t>
  </si>
  <si>
    <t>Q13596</t>
  </si>
  <si>
    <t>A6NM19; A8K6T7; H0Y2M5; O60750; O60751; Q6ZRJ8</t>
  </si>
  <si>
    <t>3D-structure; Acetylation; Alternative splicing; Cell projection; Endosome; Golgi apparatus; Lipid-binding; Membrane; Phosphoprotein; Polymorphism; Protein transport; Transport</t>
  </si>
  <si>
    <t>Cell projection; Endosome; Golgi apparatus; Membrane</t>
  </si>
  <si>
    <t>early endosome to Golgi transport {GO:0034498}; intracellular protein transport {GO:0006886}; lamellipodium morphogenesis {GO:0072673}; positive regulation of protein catabolic process {GO:0045732}; receptor internalization {GO:0031623}; retrograde transport, endosome to Golgi {GO:0042147}</t>
  </si>
  <si>
    <t>cytoplasm {GO:0005737}; cytosol {GO:0005829}; early endosome membrane {GO:0031901}; endosome {GO:0005768}; endosome membrane {GO:0010008}; Golgi apparatus {GO:0005794}; intracellular membrane-bounded organelle {GO:0043231}; lamellipodium {GO:0030027}; lysosome {GO:0005764}; membrane {GO:0016020}; protein-containing complex {GO:0032991}; retromer complex {GO:0030904}; retromer, tubulation complex {GO:0030905}; vesicle {GO:0031982}</t>
  </si>
  <si>
    <t>cadherin binding {GO:0045296}; epidermal growth factor receptor binding {GO:0005154}; identical protein binding {GO:0042802}; insulin receptor binding {GO:0005158}; leptin receptor binding {GO:1990460}; phosphatidylinositol binding {GO:0035091}; protein heterodimerization activity {GO:0046982}; protein homodimerization activity {GO:0042803}; transferrin receptor binding {GO:1990459}</t>
  </si>
  <si>
    <t>Peptidyl-prolyl cis-trans isomerase B (PPIase B)</t>
  </si>
  <si>
    <t>CYP-S1; Cyclophilin B; Rotamase B; S-cyclophilin (SCYLP)</t>
  </si>
  <si>
    <t>PPIB_HUMAN</t>
  </si>
  <si>
    <t>P23284</t>
  </si>
  <si>
    <t>A8K534; Q6IBH5; Q9BVK5</t>
  </si>
  <si>
    <t>CYPB</t>
  </si>
  <si>
    <t>3D-structure; Acetylation; Disease mutation; Dwarfism; Endoplasmic reticulum; Glycoprotein; Isomerase; Osteogenesis imperfecta; Polymorphism; Rotamase; S-nitrosylation; Signal</t>
  </si>
  <si>
    <t>Disease mutation; Dwarfism; Osteogenesis imperfecta</t>
  </si>
  <si>
    <t>Isomerase; Rotamase</t>
  </si>
  <si>
    <t>Acetylation; Glycoprotein; S-nitrosylation</t>
  </si>
  <si>
    <t>bone development {GO:0060348}; chaperone-mediated protein folding {GO:0061077}; positive regulation by host of viral genome replication {GO:0044829}; positive regulation by host of viral process {GO:0044794}; positive regulation of multicellular organism growth {GO:0040018}; protein peptidyl-prolyl isomerization {GO:0000413}; protein refolding {GO:0042026}; protein stabilization {GO:0050821}</t>
  </si>
  <si>
    <t>endoplasmic reticulum {GO:0005783}; endoplasmic reticulum chaperone complex {GO:0034663}; endoplasmic reticulum lumen {GO:0005788}; extracellular exosome {GO:0070062}; focal adhesion {GO:0005925}; melanosome {GO:0042470}; membrane {GO:0016020}; nucleus {GO:0005634}; perinuclear region of cytoplasm {GO:0048471}; protein-containing complex {GO:0032991}; smooth endoplasmic reticulum {GO:0005790}</t>
  </si>
  <si>
    <t>cyclosporin A binding {GO:0016018}; peptidyl-prolyl cis-trans isomerase activity {GO:0003755}; RNA binding {GO:0003723}; RNA polymerase binding {GO:0070063}; unfolded protein binding {GO:0051082}</t>
  </si>
  <si>
    <t>Collagen biosynthesis and modifying enzymes {R-HSA-1650814}</t>
  </si>
  <si>
    <t>Maleylacetoacetate isomerase (MAAI)</t>
  </si>
  <si>
    <t>GSTZ1-1; Glutathione S-transferase zeta 1</t>
  </si>
  <si>
    <t>MAAI_HUMAN</t>
  </si>
  <si>
    <t>O43708</t>
  </si>
  <si>
    <t>A6NED0; A6NNB8; A8MWD7; B2RCK3; O15308; O75430; Q6IB17; Q7Z610; Q9BV63</t>
  </si>
  <si>
    <t>MAAI</t>
  </si>
  <si>
    <t>3D-structure; Acetylation; Alternative splicing; Cytoplasm; Disease mutation; Isomerase; Multifunctional enzyme; Phenylalanine catabolism; Phosphoprotein; Polymorphism; Transferase; Tyrosine catabolism</t>
  </si>
  <si>
    <t>Phenylalanine catabolism; Tyrosine catabolism</t>
  </si>
  <si>
    <t>Isomerase; Multifunctional enzyme; Transferase</t>
  </si>
  <si>
    <t>glutathione derivative biosynthetic process {GO:1901687}; glutathione metabolic process {GO:0006749}; L-phenylalanine catabolic process {GO:0006559}; regulation of acetyl-CoA biosynthetic process from pyruvate {GO:0010510}; tyrosine catabolic process {GO:0006572}</t>
  </si>
  <si>
    <t>glutathione peroxidase activity {GO:0004602}; glutathione transferase activity {GO:0004364}; identical protein binding {GO:0042802}; maleylacetoacetate isomerase activity {GO:0016034}; protein homodimerization activity {GO:0042803}</t>
  </si>
  <si>
    <t>Amino-acid degradation; L-phenylalanine degradation; acetoacetate and fumarate from L-phenylalanine: step 5/6.</t>
  </si>
  <si>
    <t>Glutathione conjugation {R-HSA-156590}; Regulation of pyruvate dehydrogenase (PDH) complex {R-HSA-204174}; Phenylalanine and tyrosine catabolism {R-HSA-71182}</t>
  </si>
  <si>
    <t>60S ribosomal protein L30</t>
  </si>
  <si>
    <t>Large ribosomal subunit protein eL30</t>
  </si>
  <si>
    <t>RL30_HUMAN</t>
  </si>
  <si>
    <t>P62888</t>
  </si>
  <si>
    <t>B2R591; P04645; Q502Z6</t>
  </si>
  <si>
    <t>3D-structure; Acetylation; Isopeptide bond; Phosphoprotein; Ribonucleoprotein; Ribosomal protein; Ubl conjugation</t>
  </si>
  <si>
    <t>antimicrobial humoral immune response mediated by antimicrobial peptide {GO:0061844}; cytoplasmic translation {GO:0002181}; defense response to Gram-negative bacterium {GO:0050829}; killing of cells of other organism {GO:0031640}; liver regeneration {GO:0097421}; nuclear-transcribed mRNA catabolic process, nonsense-mediated decay {GO:0000184}; positive regulation of selenocysteine incorporation {GO:1904571}; SRP-dependent cotranslational protein targeting to membrane {GO:0006614}; translation {GO:0006412}; translational initiation {GO:0006413}; viral transcription {GO:0019083}</t>
  </si>
  <si>
    <t>cytosol {GO:0005829}; cytosolic large ribosomal subunit {GO:0022625}; extracellular exosome {GO:0070062}; focal adhesion {GO:0005925}; membrane {GO:0016020}; nucleus {GO:0005634}; polysomal ribosome {GO:0042788}; postsynaptic density {GO:0014069}</t>
  </si>
  <si>
    <t>RNA binding {GO:0003723}; selenocysteine insertion sequence binding {GO:0035368}; structural constituent of ribosome {GO:0003735}</t>
  </si>
  <si>
    <t>Melanoma inhibitory activity protein 2</t>
  </si>
  <si>
    <t>CTAGE family member 5 ER export factor; Meningioma-expressed antigen 6/11</t>
  </si>
  <si>
    <t>MIA2_HUMAN</t>
  </si>
  <si>
    <t>Q96PC5</t>
  </si>
  <si>
    <t>A0A193H6U5; A1L4H0; B3KRA6; B4DQS6; D3DSA6; G3XAC5; O00169; O15320; Q6MZN2; Q6P2R8; Q86TF6; Q8IX92; Q8IX93; Q9H6C1</t>
  </si>
  <si>
    <t>Alternative splicing; Coiled coil; Endoplasmic reticulum; Glycoprotein; Membrane; Polymorphism; SH3 domain; Signal; Transmembrane; Transmembrane helix</t>
  </si>
  <si>
    <t>Coiled coil; SH3 domain; Signal; Transmembrane; Transmembrane helix</t>
  </si>
  <si>
    <t>endoplasmic reticulum to Golgi vesicle-mediated transport {GO:0006888}; lipoprotein transport {GO:0042953}; protein exit from endoplasmic reticulum {GO:0032527}; protein localization to endoplasmic reticulum exit site {GO:0070973}; protein secretion {GO:0009306}; vesicle cargo loading {GO:0035459}</t>
  </si>
  <si>
    <t>endoplasmic reticulum exit site {GO:0070971}; endoplasmic reticulum membrane {GO:0005789}; integral component of membrane {GO:0016021}; membrane {GO:0016020}</t>
  </si>
  <si>
    <t>cargo receptor activity {GO:0038024}; enzyme activator activity {GO:0008047}</t>
  </si>
  <si>
    <t>Cargo concentration in the ER {R-HSA-5694530}</t>
  </si>
  <si>
    <t>Glucosamine 6-phosphate N-acetyltransferase</t>
  </si>
  <si>
    <t>Phosphoglucosamine acetylase; Phosphoglucosamine transacetylase</t>
  </si>
  <si>
    <t>GNA1_HUMAN</t>
  </si>
  <si>
    <t>Q96EK6</t>
  </si>
  <si>
    <t>GNA1</t>
  </si>
  <si>
    <t>3D-structure; Acyltransferase; Endosome; Golgi apparatus; Membrane; Transferase</t>
  </si>
  <si>
    <t>Endosome; Golgi apparatus; Membrane</t>
  </si>
  <si>
    <t>Acyltransferase; Transferase</t>
  </si>
  <si>
    <t>cellular response to leukemia inhibitory factor {GO:1990830}; glucosamine metabolic process {GO:0006041}; liver development {GO:0001889}; N-acetylglucosamine metabolic process {GO:0006044}; UDP-N-acetylglucosamine biosynthetic process {GO:0006048}</t>
  </si>
  <si>
    <t>cytosol {GO:0005829}; endoplasmic reticulum {GO:0005783}; endoplasmic reticulum-Golgi intermediate compartment {GO:0005793}; endosome membrane {GO:0010008}; Golgi apparatus {GO:0005794}; Golgi membrane {GO:0000139}; late endosome {GO:0005770}</t>
  </si>
  <si>
    <t>glucosamine 6-phosphate N-acetyltransferase activity {GO:0004343}; identical protein binding {GO:0042802}; monosaccharide binding {GO:0048029}</t>
  </si>
  <si>
    <t>Nucleotide-sugar biosynthesis; UDP-N-acetyl-alpha-D- glucosamine biosynthesis; N-acetyl-alpha-D-glucosamine 1-phosphate from alpha-D-glucosamine 6-phosphate (route I): step 1/2.</t>
  </si>
  <si>
    <t>Synthesis of UDP-N-acetyl-glucosamine {R-HSA-446210}</t>
  </si>
  <si>
    <t>Mannose-6-phosphate isomerase</t>
  </si>
  <si>
    <t>Phosphohexomutase; Phosphomannose isomerase (PMI)</t>
  </si>
  <si>
    <t>MPI_HUMAN</t>
  </si>
  <si>
    <t>P34949</t>
  </si>
  <si>
    <t>A8K8K9; Q96AB0</t>
  </si>
  <si>
    <t>PMI1</t>
  </si>
  <si>
    <t>Acetylation; Alternative splicing; Congenital disorder of glycosylation; Cytoplasm; Disease mutation; Isomerase; Metal-binding; Phosphoprotein; Zinc</t>
  </si>
  <si>
    <t>Congenital disorder of glycosylation; Disease mutation</t>
  </si>
  <si>
    <t>cell wall mannoprotein biosynthetic process {GO:0000032}; GDP-mannose biosynthetic process {GO:0009298}; mannose to fructose-6-phosphate metabolic process {GO:0061611}; protein glycosylation {GO:0006486}</t>
  </si>
  <si>
    <t>cytosol {GO:0005829}; extracellular exosome {GO:0070062}</t>
  </si>
  <si>
    <t>mannose-6-phosphate isomerase activity {GO:0004476}; zinc ion binding {GO:0008270}</t>
  </si>
  <si>
    <t>Nucleotide-sugar biosynthesis; GDP-alpha-D-mannose biosynthesis; alpha-D-mannose 1-phosphate from D-fructose 6- phosphate: step 1/2.</t>
  </si>
  <si>
    <t>Defective MPI causes MPI-CDG (CDG-1b) {R-HSA-4043916}; Synthesis of GDP-mannose {R-HSA-446205}</t>
  </si>
  <si>
    <t>Short peptide from AAT</t>
  </si>
  <si>
    <t>Alpha-1 protease inhibitor; Alpha-1-antiproteinase; Serpin A1 (SPAAT)</t>
  </si>
  <si>
    <t>A1AT_HUMAN</t>
  </si>
  <si>
    <t>P01009</t>
  </si>
  <si>
    <t>A6PX14; B2RDQ8; Q0PVP5; Q13672; Q53XB8; Q5U0M1; Q7M4R2; Q86U18; Q86U19; Q96BF9; Q96ES1; Q9P1P0; Q9UCE6; Q9UCM3</t>
  </si>
  <si>
    <t>AAT; PI</t>
  </si>
  <si>
    <t>3D-structure; Acute phase; Alternative splicing; Blood coagulation; Endoplasmic reticulum; Extracellular matrix; Glycoprotein; Hemostasis; Phosphoprotein; Polymorphism; Protease inhibitor; Secreted; Serine protease inhibitor; Signal</t>
  </si>
  <si>
    <t>Acute phase; Blood coagulation; Hemostasis</t>
  </si>
  <si>
    <t>Endoplasmic reticulum; Extracellular matrix; Secreted</t>
  </si>
  <si>
    <t>acute-phase response {GO:0006953}; blood coagulation {GO:0007596}; cellular protein metabolic process {GO:0044267}; COPII vesicle coating {GO:0048208}; endoplasmic reticulum to Golgi vesicle-mediated transport {GO:0006888}; negative regulation of endopeptidase activity {GO:0010951}; neutrophil degranulation {GO:0043312}; platelet degranulation {GO:0002576}; post-translational protein modification {GO:0043687}</t>
  </si>
  <si>
    <t>collagen-containing extracellular matrix {GO:0062023}; COPII-coated ER to Golgi transport vesicle {GO:0030134}; endoplasmic reticulum {GO:0005783}; endoplasmic reticulum lumen {GO:0005788}; endoplasmic reticulum-Golgi intermediate compartment membrane {GO:0033116}; extracellular exosome {GO:0070062}; extracellular region {GO:0005576}; extracellular space {GO:0005615}; ficolin-1-rich granule lumen {GO:1904813}; Golgi apparatus {GO:0005794}; Golgi membrane {GO:0000139}; intracellular membrane-bounded organelle {GO:0043231}; platelet alpha granule lumen {GO:0031093}</t>
  </si>
  <si>
    <t>identical protein binding {GO:0042802}; protease binding {GO:0002020}; serine-type endopeptidase inhibitor activity {GO:0004867}</t>
  </si>
  <si>
    <t>Platelet degranulation {R-HSA-114608}; COPII-mediated vesicle transport {R-HSA-204005}; Regulation of Insulin-like Growth Factor (IGF) transport and uptake by Insulin-like Growth Factor Binding Proteins (IGFBPs) {R-HSA-381426}; Cargo concentration in the ER {R-HSA-5694530}; Neutrophil degranulation {R-HSA-6798695}; Post-translational protein phosphorylation {R-HSA-8957275}</t>
  </si>
  <si>
    <t>Disintegrin and metalloproteinase domain-containing protein 10 (ADAM 10)</t>
  </si>
  <si>
    <t>CDw156; Kuzbanian protein homolog; Mammalian disintegrin-metalloprotease; CD_antigen=CD156c</t>
  </si>
  <si>
    <t>ADA10_HUMAN</t>
  </si>
  <si>
    <t>O14672</t>
  </si>
  <si>
    <t>B4DU28; Q10742; Q92650</t>
  </si>
  <si>
    <t>KUZ; MADM</t>
  </si>
  <si>
    <t>3D-structure; Alternative splicing; Alzheimer disease; Amyloidosis; Cell membrane; Cleavage on pair of basic residues; Disease mutation; Disulfide bond; Glycoprotein; Golgi apparatus; Hydrolase; Membrane; Metal-binding; Metalloprotease; Neurodegeneration; Notch signaling pathway; Phosphoprotein; Polymorphism; Protease; SH3-binding; Signal; Transmembrane; Transmembrane helix; Zinc; Zymogen</t>
  </si>
  <si>
    <t>Notch signaling pathway</t>
  </si>
  <si>
    <t>Cell membrane; Golgi apparatus; Membrane</t>
  </si>
  <si>
    <t>Alzheimer disease; Amyloidosis; Disease mutation; Neurodegeneration</t>
  </si>
  <si>
    <t>SH3-binding; Signal; Transmembrane; Transmembrane helix</t>
  </si>
  <si>
    <t>Hydrolase; Metalloprotease; Protease</t>
  </si>
  <si>
    <t>Cleavage on pair of basic residues; Disulfide bond; Glycoprotein; Phosphoprotein; Zymogen</t>
  </si>
  <si>
    <t>amyloid-beta formation {GO:0034205}; cell-cell signaling {GO:0007267}; cellular protein metabolic process {GO:0044267}; constitutive protein ectodomain proteolysis {GO:0051089}; extracellular matrix disassembly {GO:0022617}; in utero embryonic development {GO:0001701}; integrin-mediated signaling pathway {GO:0007229}; membrane protein ectodomain proteolysis {GO:0006509}; monocyte activation {GO:0042117}; negative regulation of cell adhesion {GO:0007162}; neutrophil degranulation {GO:0043312}; Notch receptor processing, ligand-dependent {GO:0035333}; Notch signaling pathway {GO:0007219}; PMA-inducible membrane protein ectodomain proteolysis {GO:0051088}; positive regulation of apoptotic process {GO:0043065}; positive regulation of cell growth {GO:0030307}; positive regulation of cell migration {GO:0030335}; positive regulation of cell population proliferation {GO:0008284}; positive regulation of T cell chemotaxis {GO:0010820}; post-translational protein modification {GO:0043687}; postsynapse organization {GO:0099173}; protein phosphorylation {GO:0006468}; protein processing {GO:0016485}; regulation of dendritic spine morphogenesis {GO:0061001}; regulation of neurotransmitter receptor localization to postsynaptic specialization membrane {GO:0098696}; response to antineoplastic agent {GO:0097327}; response to tumor necrosis factor {GO:0034612}; spermatogenesis {GO:0007283}</t>
  </si>
  <si>
    <t>cell surface {GO:0009986}; cytoplasm {GO:0005737}; dendritic spine {GO:0043197}; endoplasmic reticulum lumen {GO:0005788}; extracellular exosome {GO:0070062}; focal adhesion {GO:0005925}; glutamatergic synapse {GO:0098978}; Golgi apparatus {GO:0005794}; Golgi membrane {GO:0000139}; Golgi-associated vesicle {GO:0005798}; integral component of membrane {GO:0016021}; membrane {GO:0016020}; neuronal cell body {GO:0043025}; nucleus {GO:0005634}; perinuclear endoplasmic reticulum {GO:0097038}; plasma membrane {GO:0005886}; postsynaptic density {GO:0014069}; postsynaptic membrane {GO:0045211}; specific granule membrane {GO:0035579}; synaptic vesicle {GO:0008021}; tertiary granule membrane {GO:0070821}; tetraspanin-enriched microdomain {GO:0097197}; trans-Golgi network {GO:0005802}</t>
  </si>
  <si>
    <t>endopeptidase activity {GO:0004175}; integrin binding {GO:0005178}; metal ion binding {GO:0046872}; metalloendopeptidase activity {GO:0004222}; metallopeptidase activity {GO:0008237}; protein homodimerization activity {GO:0042803}; protein kinase binding {GO:0019901}; SH3 domain binding {GO:0017124}; signaling receptor binding {GO:0005102}</t>
  </si>
  <si>
    <t>Collagen degradation {R-HSA-1442490}; Degradation of the extracellular matrix {R-HSA-1474228}; Signaling by EGFR {R-HSA-177929}; Activated NOTCH1 Transmits Signal to the Nucleus {R-HSA-2122948}; Constitutive Signaling by NOTCH1 PEST Domain Mutants {R-HSA-2644606}; Constitutive Signaling by NOTCH1 t(7 {R-HSA-2660826}; Constitutive Signaling by NOTCH1 HD Domain Mutants {R-HSA-2691232}; Constitutive Signaling by NOTCH1 HD+PEST Domain Mutants {R-HSA-2894862}; NOTCH2 Activation and Transmission of Signal to the Nucleus {R-HSA-2979096}; Regulation of Insulin-like Growth Factor (IGF) transport and uptake by Insulin-like Growth Factor Binding Proteins (IGFBPs) {R-HSA-381426}; EPH-ephrin mediated repulsion of cells {R-HSA-3928665}; Neutrophil degranulation {R-HSA-6798695}; Post-translational protein phosphorylation {R-HSA-8957275}; NOTCH3 Activation and Transmission of Signal to the Nucleus {R-HSA-9013507}; NOTCH4 Activation and Transmission of Signal to the Nucleus {R-HSA-9013700}; Amyloid fiber formation {R-HSA-977225}</t>
  </si>
  <si>
    <t>Peptidyl-prolyl cis-trans isomerase H (PPIase H)</t>
  </si>
  <si>
    <t>Rotamase H; Small nuclear ribonucleoprotein particle-specific cyclophilin H (CypH); U-snRNP-associated cyclophilin SnuCyp-20 (USA-CYP)</t>
  </si>
  <si>
    <t>PPIH_HUMAN</t>
  </si>
  <si>
    <t>O43447</t>
  </si>
  <si>
    <t>A6NNE7</t>
  </si>
  <si>
    <t>CYP20; CYPH</t>
  </si>
  <si>
    <t>3D-structure; Acetylation; Alternative splicing; Chaperone; Cytoplasm; Isomerase; mRNA processing; mRNA splicing; Nucleus; Rotamase; Spliceosome</t>
  </si>
  <si>
    <t>mRNA processing; mRNA splicing</t>
  </si>
  <si>
    <t>Chaperone; Isomerase; Rotamase</t>
  </si>
  <si>
    <t>angiogenesis {GO:0001525}; mRNA splicing, via spliceosome {GO:0000398}; positive regulation of viral genome replication {GO:0045070}; protein folding {GO:0006457}; protein peptidyl-prolyl isomerization {GO:0000413}; protein refolding {GO:0042026}; protein-containing complex assembly {GO:0065003}</t>
  </si>
  <si>
    <t>cytoplasm {GO:0005737}; nuclear speck {GO:0016607}; nucleoplasm {GO:0005654}; spliceosomal complex {GO:0005681}; U4/U6 snRNP {GO:0071001}; U4/U6 x U5 tri-snRNP complex {GO:0046540}</t>
  </si>
  <si>
    <t>cyclosporin A binding {GO:0016018}; peptidyl-prolyl cis-trans isomerase activity {GO:0003755}; ribonucleoprotein complex binding {GO:0043021}; unfolded protein binding {GO:0051082}</t>
  </si>
  <si>
    <t>mRNA Splicing - Major Pathway {R-HSA-72163}</t>
  </si>
  <si>
    <t>Uroguanylin</t>
  </si>
  <si>
    <t>Guanylate cyclase C-activating peptide II (GCAP-II; UGN)</t>
  </si>
  <si>
    <t>GUC2B_HUMAN</t>
  </si>
  <si>
    <t>Q16661</t>
  </si>
  <si>
    <t>Q52LV0</t>
  </si>
  <si>
    <t>3D-structure; Disulfide bond; Polymorphism; Secreted; Signal</t>
  </si>
  <si>
    <t>body fluid secretion {GO:0007589}; cGMP-mediated signaling {GO:0019934}; digestion {GO:0007586}; excretion {GO:0007588}; negative regulation of blood pressure {GO:0045776}</t>
  </si>
  <si>
    <t>extracellular exosome {GO:0070062}; extracellular region {GO:0005576}; photoreceptor outer segment {GO:0001750}</t>
  </si>
  <si>
    <t>calcium sensitive guanylate cyclase activator activity {GO:0008048}; guanylate cyclase activator activity {GO:0030250}</t>
  </si>
  <si>
    <t>Digestion {R-HSA-8935690}</t>
  </si>
  <si>
    <t>Furin</t>
  </si>
  <si>
    <t>Dibasic-processing enzyme; Paired basic amino acid residue-cleaving enzyme (PACE)</t>
  </si>
  <si>
    <t>FURIN_HUMAN</t>
  </si>
  <si>
    <t>P09958</t>
  </si>
  <si>
    <t>Q14336; Q6LBS3; Q9UCZ5</t>
  </si>
  <si>
    <t>FUR; PACE; PCSK3</t>
  </si>
  <si>
    <t>3D-structure; Autocatalytic cleavage; Calcium; Cell membrane; Cleavage on pair of basic residues; Disulfide bond; Endosome; Glycoprotein; Golgi apparatus; Hydrolase; Membrane; Metal-binding; Phosphoprotein; Polymorphism; Protease; Repeat; Secreted; Serine protease; Signal; Transmembrane; Transmembrane helix; Zymogen</t>
  </si>
  <si>
    <t>Cell membrane; Endosome; Golgi apparatus; Membrane; Secreted</t>
  </si>
  <si>
    <t>Hydrolase; Protease; Serine protease</t>
  </si>
  <si>
    <t>Autocatalytic cleavage; Cleavage on pair of basic residues; Disulfide bond; Glycoprotein; Phosphoprotein; Zymogen</t>
  </si>
  <si>
    <t>cellular protein metabolic process {GO:0044267}; collagen catabolic process {GO:0030574}; cornification {GO:0070268}; dibasic protein processing {GO:0090472}; extracellular matrix disassembly {GO:0022617}; extracellular matrix organization {GO:0030198}; negative regulation of low-density lipoprotein particle receptor catabolic process {GO:0032804}; negative regulation of transforming growth factor beta1 production {GO:0032911}; nerve growth factor processing {GO:0032455}; nerve growth factor production {GO:0032902}; peptide biosynthetic process {GO:0043043}; peptide hormone processing {GO:0016486}; positive regulation of membrane protein ectodomain proteolysis {GO:0051044}; positive regulation of transforming growth factor beta1 activation {GO:1901394}; protein processing {GO:0016485}; regulation of endopeptidase activity {GO:0052548}; regulation of lipoprotein lipase activity {GO:0051004}; regulation of low-density lipoprotein particle receptor biosynthetic process {GO:0045714}; regulation of protein catabolic process {GO:0042176}; regulation of signal transduction {GO:0009966}; secretion by cell {GO:0032940}; signal peptide processing {GO:0006465}; transforming growth factor beta receptor signaling pathway {GO:0007179}; viral life cycle {GO:0019058}; viral protein processing {GO:0019082}; zymogen activation {GO:0031638}; zymogen inhibition {GO:0097341}</t>
  </si>
  <si>
    <t>cell surface {GO:0009986}; endoplasmic reticulum {GO:0005783}; endosome membrane {GO:0010008}; extracellular exosome {GO:0070062}; extracellular region {GO:0005576}; Golgi lumen {GO:0005796}; Golgi membrane {GO:0000139}; integral component of Golgi membrane {GO:0030173}; membrane {GO:0016020}; membrane raft {GO:0045121}; plasma membrane {GO:0005886}; trans-Golgi network {GO:0005802}; trans-Golgi network transport vesicle {GO:0030140}</t>
  </si>
  <si>
    <t>endopeptidase activity {GO:0004175}; metal ion binding {GO:0046872}; nerve growth factor binding {GO:0048406}; peptidase activity {GO:0008233}; peptide binding {GO:0042277}; protease binding {GO:0002020}; serine-type endopeptidase activity {GO:0004252}; serine-type endopeptidase inhibitor activity {GO:0004867}</t>
  </si>
  <si>
    <t>Signaling by NODAL {R-HSA-1181150}; Collagen degradation {R-HSA-1442490}; Elastic fibre formation {R-HSA-1566948}; Activation of Matrix Metalloproteinases {R-HSA-1592389}; Removal of aminoterminal propeptides from gamma-carboxylated proteins {R-HSA-159782}; NGF processing {R-HSA-167060}; Synthesis and processing of ENV and VPU {R-HSA-171286}; Signaling by PDGF {R-HSA-186797}; Pre-NOTCH Processing in Golgi {R-HSA-1912420}; TGF-beta receptor signaling activates SMADs {R-HSA-2173789}; Uptake and function of anthrax toxins {R-HSA-5210891}; Formation of the cornified envelope {R-HSA-6809371}; Assembly of active LPL and LIPC lipase complexes {R-HSA-8963889}; Amyloid fiber formation {R-HSA-977225}</t>
  </si>
  <si>
    <t>Eukaryotic translation initiation factor 2 subunit 1</t>
  </si>
  <si>
    <t>Eukaryotic translation initiation factor 2 subunit alpha (eIF-2-alpha; eIF-2A; eIF-2alpha)</t>
  </si>
  <si>
    <t>IF2A_HUMAN</t>
  </si>
  <si>
    <t>P05198</t>
  </si>
  <si>
    <t>EIF2A</t>
  </si>
  <si>
    <t>3D-structure; Acetylation; Cytoplasm; Initiation factor; Phosphoprotein; Protein biosynthesis; RNA-binding; Translation regulation</t>
  </si>
  <si>
    <t>Protein biosynthesis; Translation regulation</t>
  </si>
  <si>
    <t>Initiation factor; RNA-binding</t>
  </si>
  <si>
    <t>aging {GO:0007568}; cellular response to amino acid starvation {GO:0034198}; cellular response to heat {GO:0034605}; cellular response to oxidative stress {GO:0034599}; cellular response to UV {GO:0034644}; negative regulation of guanyl-nucleotide exchange factor activity {GO:1905098}; negative regulation of translational initiation in response to stress {GO:0032057}; PERK-mediated unfolded protein response {GO:0036499}; positive regulation of neuron death {GO:1901216}; positive regulation of type B pancreatic cell apoptotic process {GO:2000676}; protein autophosphorylation {GO:0046777}; response to endoplasmic reticulum stress {GO:0034976}; response to manganese-induced endoplasmic reticulum stress {GO:1990737}; stress granule assembly {GO:0034063}; translational initiation {GO:0006413}; transmembrane transport {GO:0055085}</t>
  </si>
  <si>
    <t>cytoplasmic stress granule {GO:0010494}; cytosol {GO:0005829}; eukaryotic 48S preinitiation complex {GO:0033290}; eukaryotic translation initiation factor 2 complex {GO:0005850}; eukaryotic translation initiation factor 2B complex {GO:0005851}; extracellular exosome {GO:0070062}; glial limiting end-foot {GO:0097451}; membrane {GO:0016020}; multi-eIF complex {GO:0043614}; nucleus {GO:0005634}; polysome {GO:0005844}; synapse {GO:0045202}; translation initiation ternary complex {GO:0044207}</t>
  </si>
  <si>
    <t>ribosome binding {GO:0043022}; RNA binding {GO:0003723}; translation initiation factor activity {GO:0003743}</t>
  </si>
  <si>
    <t>L13a-mediated translational silencing of Ceruloplasmin expression {R-HSA-156827}; PERK regulates gene expression {R-HSA-381042}; ABC-family proteins mediated transport {R-HSA-382556}; Translation initiation complex formation {R-HSA-72649}; Formation of the ternary complex, and subsequently, the 43S complex {R-HSA-72695}; Ribosomal scanning and start codon recognition {R-HSA-72702}; GTP hydrolysis and joining of the 60S ribosomal subunit {R-HSA-72706}; Recycling of eIF2:GDP {R-HSA-72731}</t>
  </si>
  <si>
    <t>V-type proton ATPase subunit D (V-ATPase subunit D)</t>
  </si>
  <si>
    <t>V-ATPase 28 kDa accessory protein; Vacuolar proton pump subunit D</t>
  </si>
  <si>
    <t>VATD_HUMAN</t>
  </si>
  <si>
    <t>Q9Y5K8</t>
  </si>
  <si>
    <t>B2RE33; Q9Y688</t>
  </si>
  <si>
    <t>ATP6M; VATD</t>
  </si>
  <si>
    <t>Cilium biogenesis/degradation; Hydrogen ion transport; Ion transport; Membrane; Transport</t>
  </si>
  <si>
    <t>Cilium biogenesis/degradation; Hydrogen ion transport; Ion transport; Transport</t>
  </si>
  <si>
    <t>cilium assembly {GO:0060271}; insulin receptor signaling pathway {GO:0008286}; ion transmembrane transport {GO:0034220}; neutrophil degranulation {GO:0043312}; phagosome acidification {GO:0090383}; protein localization to cilium {GO:0061512}; regulation of macroautophagy {GO:0016241}; transferrin transport {GO:0033572}</t>
  </si>
  <si>
    <t>cytosol {GO:0005829}; extracellular exosome {GO:0070062}; lysosomal membrane {GO:0005765}; membrane {GO:0016020}; plasma membrane {GO:0005886}; proton-transporting V-type ATPase complex {GO:0033176}; specific granule membrane {GO:0035579}</t>
  </si>
  <si>
    <t>proton-transporting ATPase activity, rotational mechanism {GO:0046961}</t>
  </si>
  <si>
    <t>ADP-ribosylation factor 6</t>
  </si>
  <si>
    <t>ARF6_HUMAN</t>
  </si>
  <si>
    <t>P62330</t>
  </si>
  <si>
    <t>P26438; Q6FGZ2</t>
  </si>
  <si>
    <t>3D-structure; Cell cycle; Cell division; Cell membrane; Cell projection; Cytoplasm; Differentiation; Endosome; Golgi apparatus; GTP-binding; Lipoprotein; Membrane; Myristate; Neurogenesis; Nucleotide-binding; Protein transport; Transport</t>
  </si>
  <si>
    <t>Cell cycle; Cell division; Differentiation; Neurogenesis; Protein transport; Transport</t>
  </si>
  <si>
    <t>Cell membrane; Cell projection; Cytoplasm; Endosome; Golgi apparatus; Membrane</t>
  </si>
  <si>
    <t>Lipoprotein; Myristate</t>
  </si>
  <si>
    <t>cell adhesion {GO:0007155}; cell cycle {GO:0007049}; cell division {GO:0051301}; cellular response to nerve growth factor stimulus {GO:1990090}; cortical actin cytoskeleton organization {GO:0030866}; endocytic recycling {GO:0032456}; establishment of epithelial cell polarity {GO:0090162}; hepatocyte apoptotic process {GO:0097284}; intracellular protein transport {GO:0006886}; liver development {GO:0001889}; maintenance of postsynaptic density structure {GO:0099562}; myeloid cell apoptotic process {GO:0033028}; negative regulation of dendrite development {GO:2000171}; negative regulation of protein localization to cell surface {GO:2000009}; negative regulation of receptor-mediated endocytosis {GO:0048261}; positive regulation of actin filament polymerization {GO:0030838}; positive regulation of adherens junction organization {GO:1903393}; positive regulation of keratinocyte migration {GO:0051549}; positive regulation of protein homodimerization activity {GO:0090073}; positive regulation of protein localization to plasma membrane {GO:1903078}; positive regulation of protein secretion {GO:0050714}; protein localization to cell surface {GO:0034394}; protein localization to endosome {GO:0036010}; regulation of dendritic spine development {GO:0060998}; regulation of filopodium assembly {GO:0051489}; regulation of presynapse assembly {GO:1905606}; regulation of Rac protein signal transduction {GO:0035020}; ruffle assembly {GO:0097178}; synaptic vesicle endocytosis {GO:0048488}; vesicle-mediated transport {GO:0016192}</t>
  </si>
  <si>
    <t>cell cortex {GO:0005938}; cleavage furrow {GO:0032154}; cytoplasm {GO:0005737}; cytosol {GO:0005829}; early endosome membrane {GO:0031901}; endocytic vesicle {GO:0030139}; endosome {GO:0005768}; extracellular exosome {GO:0070062}; filopodium membrane {GO:0031527}; Flemming body {GO:0090543}; focal adhesion {GO:0005925}; glutamatergic synapse {GO:0098978}; Golgi apparatus {GO:0005794}; membrane {GO:0016020}; plasma membrane {GO:0005886}; presynapse {GO:0098793}; recycling endosome membrane {GO:0055038}; ruffle {GO:0001726}</t>
  </si>
  <si>
    <t>GTP binding {GO:0005525}; GTPase activity {GO:0003924}; protein N-terminus binding {GO:0047485}; thioesterase binding {GO:0031996}</t>
  </si>
  <si>
    <t>TBC/RABGAPs {R-HSA-8854214}; Clathrin-mediated endocytosis {R-HSA-8856828}; MET receptor recycling {R-HSA-8875656}</t>
  </si>
  <si>
    <t>Dihydrolipoyllysine-residue succinyltransferase component of 2-oxoglutarate dehydrogenase complex, mitochondrial</t>
  </si>
  <si>
    <t>2-oxoglutarate dehydrogenase complex component E2 (OGDC-E2); Dihydrolipoamide succinyltransferase component of 2-oxoglutarate dehydrogenase complex; E2K</t>
  </si>
  <si>
    <t>ODO2_HUMAN</t>
  </si>
  <si>
    <t>P36957</t>
  </si>
  <si>
    <t>B7Z5W8; E7ESY5; Q7LDY7; Q9BQ32</t>
  </si>
  <si>
    <t>DLTS</t>
  </si>
  <si>
    <t>Acetylation; Acyltransferase; Alternative splicing; Lipoyl; Mitochondrion; Nucleus; Phosphoprotein; Polymorphism; Transferase; Transit peptide; Tricarboxylic acid cycle</t>
  </si>
  <si>
    <t>Tricarboxylic acid cycle</t>
  </si>
  <si>
    <t>Mitochondrion; Nucleus</t>
  </si>
  <si>
    <t>Lipoyl; Transit peptide</t>
  </si>
  <si>
    <t>2-oxoglutarate metabolic process {GO:0006103}; generation of precursor metabolites and energy {GO:0006091}; histone succinylation {GO:0106077}; L-lysine catabolic process to acetyl-CoA via saccharopine {GO:0033512}; lysine catabolic process {GO:0006554}; succinyl-CoA metabolic process {GO:0006104}; tricarboxylic acid cycle {GO:0006099}</t>
  </si>
  <si>
    <t>membrane {GO:0016020}; mitochondrial matrix {GO:0005759}; mitochondrion {GO:0005739}; nucleus {GO:0005634}; oxoglutarate dehydrogenase complex {GO:0045252}</t>
  </si>
  <si>
    <t>dihydrolipoyllysine-residue succinyltransferase activity {GO:0004149}</t>
  </si>
  <si>
    <t>Amino-acid degradation; L-lysine degradation via saccharopine pathway; glutaryl-CoA from L-lysine: step 6/6.</t>
  </si>
  <si>
    <t>Glyoxylate metabolism and glycine degradation {R-HSA-389661}; Lysine catabolism {R-HSA-71064}; Citric acid cycle (TCA cycle) {R-HSA-71403}</t>
  </si>
  <si>
    <t>Solute carrier family 12 member 1</t>
  </si>
  <si>
    <t>Bumetanide-sensitive sodium-(potassium)-chloride cotransporter 2; Kidney-specific Na-K-Cl symporter</t>
  </si>
  <si>
    <t>S12A1_HUMAN</t>
  </si>
  <si>
    <t>Q13621</t>
  </si>
  <si>
    <t>A8JYA2; E9PDW4</t>
  </si>
  <si>
    <t>NKCC2</t>
  </si>
  <si>
    <t>Alternative splicing; Bartter syndrome; Chloride; Disease mutation; Glycoprotein; Ion transport; Membrane; Neurodegeneration; Phosphoprotein; Potassium; Potassium transport; Sodium; Sodium transport; Symport; Transmembrane; Transmembrane helix; Transport</t>
  </si>
  <si>
    <t>Ion transport; Potassium transport; Sodium transport; Symport; Transport</t>
  </si>
  <si>
    <t>Bartter syndrome; Disease mutation; Neurodegeneration</t>
  </si>
  <si>
    <t>Chloride; Potassium; Sodium</t>
  </si>
  <si>
    <t>cell volume homeostasis {GO:0006884}; chloride ion homeostasis {GO:0055064}; chloride transmembrane transport {GO:1902476}; ion transmembrane transport {GO:0034220}; ion transport {GO:0006811}; potassium ion homeostasis {GO:0055075}; potassium ion import across plasma membrane {GO:1990573}; sodium ion homeostasis {GO:0055078}; sodium ion transmembrane transport {GO:0035725}</t>
  </si>
  <si>
    <t>apical plasma membrane {GO:0016324}; extracellular exosome {GO:0070062}; integral component of membrane {GO:0016021}; membrane {GO:0016020}; plasma membrane {GO:0005886}</t>
  </si>
  <si>
    <t>potassium:chloride symporter activity {GO:0015379}; sodium ion transmembrane transporter activity {GO:0015081}; sodium:chloride symporter activity {GO:0015378}; sodium:potassium:chloride symporter activity {GO:0008511}</t>
  </si>
  <si>
    <t>Cation-coupled Chloride cotransporters {R-HSA-426117}; Defective SLC12A1 causes Bartter syndrome 1 (BS1) {R-HSA-5619104}</t>
  </si>
  <si>
    <t>Galectin-3 (Gal-3)</t>
  </si>
  <si>
    <t>35 kDa lectin; Carbohydrate-binding protein 35 (CBP 35); Galactose-specific lectin 3; Galactoside-binding protein (GALBP); IgE-binding protein; L-31; Laminin-binding protein; Lectin L-29; Mac-2 antigen</t>
  </si>
  <si>
    <t>LEG3_HUMAN</t>
  </si>
  <si>
    <t>P17931</t>
  </si>
  <si>
    <t>B2RC38; Q16005; Q6IBA7; Q96J47</t>
  </si>
  <si>
    <t>MAC2</t>
  </si>
  <si>
    <t>3D-structure; Acetylation; Cytoplasm; Differentiation; Disulfide bond; IgE-binding protein; Immunity; Innate immunity; Lectin; mRNA processing; mRNA splicing; Nucleus; Phosphoprotein; Polymorphism; Repeat; Secreted; Spliceosome</t>
  </si>
  <si>
    <t>Differentiation; Immunity; Innate immunity; mRNA processing; mRNA splicing</t>
  </si>
  <si>
    <t>Cytoplasm; Nucleus; Secreted; Spliceosome</t>
  </si>
  <si>
    <t>IgE-binding protein</t>
  </si>
  <si>
    <t>Acetylation; Disulfide bond; Phosphoprotein</t>
  </si>
  <si>
    <t>antimicrobial humoral immune response mediated by antimicrobial peptide {GO:0061844}; eosinophil chemotaxis {GO:0048245}; epithelial cell differentiation {GO:0030855}; innate immune response {GO:0045087}; killing of cells of other organism {GO:0031640}; macrophage chemotaxis {GO:0048246}; monocyte chemotaxis {GO:0002548}; mononuclear cell migration {GO:0071674}; mRNA processing {GO:0006397}; negative regulation of endocytosis {GO:0045806}; negative regulation of extrinsic apoptotic signaling pathway {GO:2001237}; negative regulation of immunological synapse formation {GO:2000521}; negative regulation of protein tyrosine phosphatase activity {GO:1903614}; negative regulation of T cell activation via T cell receptor contact with antigen bound to MHC molecule on antigen presenting cell {GO:2001189}; negative regulation of T cell receptor signaling pathway {GO:0050860}; neutrophil chemotaxis {GO:0030593}; neutrophil degranulation {GO:0043312}; positive chemotaxis {GO:0050918}; positive regulation of calcium ion import {GO:0090280}; positive regulation of mononuclear cell migration {GO:0071677}; positive regulation of protein homodimerization activity {GO:0090073}; positive regulation of protein localization to plasma membrane {GO:1903078}; regulation of extrinsic apoptotic signaling pathway via death domain receptors {GO:1902041}; regulation of myeloid cell differentiation {GO:0045637}; regulation of T cell apoptotic process {GO:0070232}; regulation of T cell proliferation {GO:0042129}; RNA splicing {GO:0008380}</t>
  </si>
  <si>
    <t>cell surface {GO:0009986}; collagen-containing extracellular matrix {GO:0062023}; cytoplasm {GO:0005737}; extracellular exosome {GO:0070062}; extracellular region {GO:0005576}; extracellular space {GO:0005615}; ficolin-1-rich granule membrane {GO:0101003}; immunological synapse {GO:0001772}; membrane {GO:0016020}; mitochondrial inner membrane {GO:0005743}; nucleus {GO:0005634}; other organism cell {GO:0044216}; plasma membrane {GO:0005886}; secretory granule membrane {GO:0030667}; spliceosomal complex {GO:0005681}</t>
  </si>
  <si>
    <t>carbohydrate binding {GO:0030246}; chemoattractant activity {GO:0042056}; IgE binding {GO:0019863}; laminin binding {GO:0043236}; oligosaccharide binding {GO:0070492}; protein phosphatase binding {GO:0019903}; protein phosphatase inhibitor activity {GO:0004864}; RNA binding {GO:0003723}</t>
  </si>
  <si>
    <t>Neutrophil degranulation {R-HSA-6798695}; Advanced glycosylation endproduct receptor signaling {R-HSA-879415}; RUNX1 regulates transcription of genes involved in differentiation of myeloid cells {R-HSA-8939246}; RUNX2 regulates genes involved in differentiation of myeloid cells {R-HSA-8941333}</t>
  </si>
  <si>
    <t>Fibulin-5 (FIBL-5)</t>
  </si>
  <si>
    <t>Developmental arteries and neural crest EGF-like protein (Dance); Urine p50 protein (UP50)</t>
  </si>
  <si>
    <t>FBLN5_HUMAN</t>
  </si>
  <si>
    <t>Q9UBX5</t>
  </si>
  <si>
    <t>O75966; Q6IAL4; Q6UWA3</t>
  </si>
  <si>
    <t>DANCE</t>
  </si>
  <si>
    <t>Age-related macular degeneration; Calcium; Cell adhesion; Charcot-Marie-Tooth disease; Disease mutation; Disulfide bond; EGF-like domain; Extracellular matrix; Glycoprotein; Neuropathy; Repeat; Secreted; Signal</t>
  </si>
  <si>
    <t>Age-related macular degeneration; Charcot-Marie-Tooth disease; Disease mutation; Neuropathy</t>
  </si>
  <si>
    <t>cell-matrix adhesion {GO:0007160}; elastic fiber assembly {GO:0048251}; extracellular matrix organization {GO:0030198}; protein localization to cell surface {GO:0034394}; regulation of cell growth {GO:0001558}; regulation of removal of superoxide radicals {GO:2000121}; secretion {GO:0046903}</t>
  </si>
  <si>
    <t>collagen-containing extracellular matrix {GO:0062023}; elastic fiber {GO:0071953}; extracellular exosome {GO:0070062}; extracellular matrix {GO:0031012}; extracellular region {GO:0005576}; extracellular space {GO:0005615}</t>
  </si>
  <si>
    <t>calcium ion binding {GO:0005509}; integrin binding {GO:0005178}; protein C-terminus binding {GO:0008022}; protein homodimerization activity {GO:0042803}</t>
  </si>
  <si>
    <t>Elastic fibre formation {R-HSA-1566948}; Molecules associated with elastic fibres {R-HSA-2129379}</t>
  </si>
  <si>
    <t>Heat shock protein HSP 90-alpha</t>
  </si>
  <si>
    <t>Heat shock 86 kDa (HSP 86; HSP86); Lipopolysaccharide-associated protein 2 (LAP-2; LPS-associated protein 2); Renal carcinoma antigen NY-REN-38</t>
  </si>
  <si>
    <t>HS90A_HUMAN</t>
  </si>
  <si>
    <t>P07900</t>
  </si>
  <si>
    <t>A8K500; B3KPJ9; Q2PP14; Q5CAQ6; Q5CAQ7; Q9BVQ5</t>
  </si>
  <si>
    <t>HSP90A; HSPC1; HSPCA</t>
  </si>
  <si>
    <t>3D-structure; Acetylation; Alternative splicing; ATP-binding; Cell membrane; Chaperone; Cytoplasm; Membrane; Nucleotide-binding; Nucleus; Phosphoprotein; S-nitrosylation; Stress response; Ubl conjugation</t>
  </si>
  <si>
    <t>Stress response</t>
  </si>
  <si>
    <t>Acetylation; Phosphoprotein; S-nitrosylation; Ubl conjugation</t>
  </si>
  <si>
    <t>axon extension {GO:0048675}; cellular response to heat {GO:0034605}; central nervous system neuron axonogenesis {GO:0021955}; chaperone-mediated autophagy {GO:0061684}; chaperone-mediated protein complex assembly {GO:0051131}; ciliary basal body-plasma membrane docking {GO:0097711}; cofactor metabolic process {GO:0051186}; cytokine-mediated signaling pathway {GO:0019221}; ERBB2 signaling pathway {GO:0038128}; establishment of cell polarity {GO:0030010}; Fc-gamma receptor signaling pathway involved in phagocytosis {GO:0038096}; G2/M transition of mitotic cell cycle {GO:0000086}; mitochondrial transport {GO:0006839}; neutrophil degranulation {GO:0043312}; positive regulation of cellular protein catabolic process {GO:1903364}; positive regulation of nitric oxide biosynthetic process {GO:0045429}; positive regulation of peptidyl-serine phosphorylation {GO:0033138}; positive regulation of protein kinase B signaling {GO:0051897}; positive regulation of protein phosphorylation {GO:0001934}; positive regulation of protein polymerization {GO:0032273}; positive regulation of tau-protein kinase activity {GO:1902949}; positive regulation of telomerase activity {GO:0051973}; protein folding {GO:0006457}; protein insertion into mitochondrial outer membrane {GO:0045040}; protein refolding {GO:0042026}; protein stabilization {GO:0050821}; protein unfolding {GO:0043335}; receptor-mediated endocytosis {GO:0006898}; regulation of cellular protein localization {GO:1903827}; regulation of cellular response to heat {GO:1900034}; regulation of G2/M transition of mitotic cell cycle {GO:0010389}; regulation of nitric-oxide synthase activity {GO:0050999}; regulation of protein complex assembly {GO:0043254}; regulation of protein ubiquitination {GO:0031396}; response to antibiotic {GO:0046677}; response to cold {GO:0009409}; response to heat {GO:0009408}; response to unfolded protein {GO:0006986}; signal transduction {GO:0007165}; telomerase holoenzyme complex assembly {GO:1905323}; telomere maintenance via telomerase {GO:0007004}; vascular endothelial growth factor receptor signaling pathway {GO:0048010}</t>
  </si>
  <si>
    <t>axonal growth cone {GO:0044295}; cell surface {GO:0009986}; cytoplasm {GO:0005737}; cytosol {GO:0005829}; dendritic growth cone {GO:0044294}; endocytic vesicle lumen {GO:0071682}; extracellular exosome {GO:0070062}; extracellular region {GO:0005576}; ficolin-1-rich granule lumen {GO:1904813}; lysosomal lumen {GO:0043202}; melanosome {GO:0042470}; membrane {GO:0016020}; myelin sheath {GO:0043209}; neuronal cell body {GO:0043025}; nucleoplasm {GO:0005654}; nucleus {GO:0005634}; perinuclear region of cytoplasm {GO:0048471}; plasma membrane {GO:0005886}; protein-containing complex {GO:0032991}; secretory granule lumen {GO:0034774}</t>
  </si>
  <si>
    <t>ATP binding {GO:0005524}; ATPase activity {GO:0016887}; ATPase activity, coupled {GO:0042623}; disordered domain specific binding {GO:0097718}; DNA polymerase binding {GO:0070182}; GTPase binding {GO:0051020}; histone deacetylase binding {GO:0042826}; identical protein binding {GO:0042802}; MHC class II protein complex binding {GO:0023026}; nitric-oxide synthase regulator activity {GO:0030235}; nucleotide binding {GO:0000166}; protein homodimerization activity {GO:0042803}; protein tyrosine kinase binding {GO:1990782}; RNA binding {GO:0003723}; scaffold protein binding {GO:0097110}; tau protein binding {GO:0048156}; TPR domain binding {GO:0030911}; ubiquitin protein ligase binding {GO:0031625}; unfolded protein binding {GO:0051082}</t>
  </si>
  <si>
    <t>Signaling by ERBB2 {R-HSA-1227986}; Constitutive Signaling by Ligand-Responsive EGFR Cancer Variants {R-HSA-1236382}; Tetrahydrobiopterin (BH4) synthesis, recycling, salvage and regulation {R-HSA-1474151}; vRNP Assembly {R-HSA-192905}; Regulation of actin dynamics for phagocytic cup formation {R-HSA-2029482}; eNOS activation {R-HSA-203615}; Regulation of PLK1 Activity at G2/M Transition {R-HSA-2565942}; Scavenging by Class F Receptors {R-HSA-3000484}; HSP90 chaperone cycle for steroid hormone receptors (SHR) {R-HSA-3371497}; HSF1 activation {R-HSA-3371511}; Attenuation phase {R-HSA-3371568}; HSF1-dependent transactivation {R-HSA-3371571};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Sema3A PAK dependent Axon repulsion {R-HSA-399954}; VEGFA-VEGFR2 Pathway {R-HSA-4420097}; VEGFR2 mediated vascular permeability {R-HSA-5218920}; Uptake and function of diphtheria toxin {R-HSA-5336415}; PIWI-interacting RNA (piRNA) biogenesis {R-HSA-5601884}; Anchoring of the basal body to the plasma membrane {R-HSA-5620912}; Constitutive Signaling by EGFRvIII {R-HSA-5637810}; Interleukin-4 and Interleukin-13 signaling {R-HSA-6785807}; Neutrophil degranulation {R-HSA-6798695}; The role of GTSE1 in G2/M progression after G2 checkpoint {R-HSA-8852276}; AURKA Activation by TPX2 {R-HSA-8854518}; Downregulation of ERBB2 signaling {R-HSA-8863795}; ESR-mediated signaling {R-HSA-8939211}; Non-genomic estrogen signaling {R-HSA-9009391}; Estrogen-dependent gene expression {R-HSA-9018519}</t>
  </si>
  <si>
    <t>Immunoglobulin heavy variable 3-74</t>
  </si>
  <si>
    <t>HV374_HUMAN</t>
  </si>
  <si>
    <t>A0A0B4J1X5</t>
  </si>
  <si>
    <t>Adaptive immunity; Cell membrane; Disulfide bond; Immunity; Immunoglobulin; Membrane; Polymorphism; Secreted; Signal</t>
  </si>
  <si>
    <t>Adaptive immunity; Immunity</t>
  </si>
  <si>
    <t>Cell membrane; Immunoglobulin; Membrane; Secreted</t>
  </si>
  <si>
    <t>B cell receptor signaling pathway {GO:0050853}; complement activation, classical pathway {GO:0006958}; defense response to bacterium {GO:0042742}; innate immune response {GO:0045087}; phagocytosis, engulfment {GO:0006911}; phagocytosis, recognition {GO:0006910}; positive regulation of B cell activation {GO:0050871}</t>
  </si>
  <si>
    <t>external side of plasma membrane {GO:0009897}; immunoglobulin complex, circulating {GO:0042571}</t>
  </si>
  <si>
    <t>antigen binding {GO:0003823}; immunoglobulin receptor binding {GO:0034987}</t>
  </si>
  <si>
    <t>Protein AHNAK2</t>
  </si>
  <si>
    <t>AHNK2_HUMAN</t>
  </si>
  <si>
    <t>Q8IVF2</t>
  </si>
  <si>
    <t>Q5BKX7; Q7Z343; Q7Z358; Q7Z394; Q7Z3G0; Q86WQ6; Q8IYY1; Q8N3G4; Q96EX9</t>
  </si>
  <si>
    <t>C14orf78; KIAA2019</t>
  </si>
  <si>
    <t>3D-structure; Acetylation; Alternative splicing; Isopeptide bond; Nucleus; Phosphoprotein; Polymorphism; Ubl conjugation</t>
  </si>
  <si>
    <t>regulation of RNA splicing {GO:0043484}</t>
  </si>
  <si>
    <t>costamere {GO:0043034}; cytoplasm {GO:0005737}; cytoplasmic vesicle membrane {GO:0030659}; cytosol {GO:0005829}; nucleus {GO:0005634}; plasma membrane {GO:0005886}; sarcolemma {GO:0042383}; T-tubule {GO:0030315}; Z disc {GO:0030018}</t>
  </si>
  <si>
    <t>Procollagen-lysine,2-oxoglutarate 5-dioxygenase 1</t>
  </si>
  <si>
    <t>Lysyl hydroxylase 1 (LH1)</t>
  </si>
  <si>
    <t>PLOD1_HUMAN</t>
  </si>
  <si>
    <t>Q02809</t>
  </si>
  <si>
    <t>B4DR87; Q96AV9; Q9H132</t>
  </si>
  <si>
    <t>LLH; PLOD</t>
  </si>
  <si>
    <t>Alternative splicing; Dioxygenase; Disease mutation; Ehlers-Danlos syndrome; Endoplasmic reticulum; Glycoprotein; Iron; Membrane; Metal-binding; Oxidoreductase; Polymorphism; Signal; Vitamin C</t>
  </si>
  <si>
    <t>Disease mutation; Ehlers-Danlos syndrome</t>
  </si>
  <si>
    <t>Iron; Metal-binding; Vitamin C</t>
  </si>
  <si>
    <t>cellular protein modification process {GO:0006464}; collagen fibril organization {GO:0030199}; collagen metabolic process {GO:0032963}; epidermis development {GO:0008544}; hydroxylysine biosynthetic process {GO:0046947}; oxidation-reduction process {GO:0055114}; peptidyl-lysine hydroxylation {GO:0017185}; response to hypoxia {GO:0001666}</t>
  </si>
  <si>
    <t>catalytic complex {GO:1902494}; endoplasmic reticulum membrane {GO:0005789}; extracellular exosome {GO:0070062}; rough endoplasmic reticulum membrane {GO:0030867}</t>
  </si>
  <si>
    <t>iron ion binding {GO:0005506}; L-ascorbic acid binding {GO:0031418}; procollagen-lysine 5-dioxygenase activity {GO:0008475}; protein homodimerization activity {GO:0042803}</t>
  </si>
  <si>
    <t>Annexin A2</t>
  </si>
  <si>
    <t>Annexin II; Annexin-2; Calpactin I heavy chain; Calpactin-1 heavy chain; Chromobindin-8; Lipocortin II; Placental anticoagulant protein IV (PAP-IV); Protein I; p36</t>
  </si>
  <si>
    <t>ANXA2_HUMAN</t>
  </si>
  <si>
    <t>P07355</t>
  </si>
  <si>
    <t>Q567R4; Q6N0B3; Q8TBV2; Q96DD5; Q9UDH8</t>
  </si>
  <si>
    <t>ANX2; ANX2L4; CAL1H; LPC2D</t>
  </si>
  <si>
    <t>3D-structure; Acetylation; Alternative splicing; Annexin; Basement membrane; Calcium; Calcium/phospholipid-binding; Extracellular matrix; Isopeptide bond; Phosphoprotein; Polymorphism; Repeat; RNA-binding; Secreted; Ubl conjugation</t>
  </si>
  <si>
    <t>Annexin; Repeat</t>
  </si>
  <si>
    <t>Calcium; Calcium/phospholipid-binding</t>
  </si>
  <si>
    <t>angiogenesis {GO:0001525}; biomineral tissue development {GO:0031214}; body fluid secretion {GO:0007589}; catabolism by host of symbiont protein {GO:0052362}; collagen fibril organization {GO:0030199}; endocardial cell differentiation {GO:0060956}; fibrinolysis {GO:0042730}; growth plate cartilage development {GO:0003417}; interleukin-12-mediated signaling pathway {GO:0035722}; membrane raft assembly {GO:0001765}; negative regulation by host of symbiont molecular function {GO:0052405}; negative regulation of development of symbiont involved in interaction with host {GO:0044147}; negative regulation of low-density lipoprotein particle receptor catabolic process {GO:0032804}; neutrophil degranulation {GO:0043312}; osteoclast development {GO:0036035}; positive regulation by host of viral process {GO:0044794}; positive regulation of calcium ion transport {GO:0051928}; positive regulation of chondrocyte differentiation {GO:0032332}; positive regulation of fibroblast proliferation {GO:0048146}; positive regulation of low-density lipoprotein particle clearance {GO:1905581}; positive regulation of low-density lipoprotein particle receptor binding {GO:1905597}; positive regulation of low-density lipoprotein receptor activity {GO:1905599}; positive regulation of protein phosphorylation {GO:0001934}; positive regulation of receptor recycling {GO:0001921}; positive regulation of receptor-mediated endocytosis involved in cholesterol transport {GO:1905602}; positive regulation of vacuole organization {GO:0044090}; positive regulation of vesicle fusion {GO:0031340}; positive regulation of viral life cycle {GO:1903902}; protein heterotetramerization {GO:0051290}; protein localization to plasma membrane {GO:0072659}; regulation of plasminogen activation {GO:0010755}; response to thyroid hormone {GO:0097066}; vesicle budding from membrane {GO:0006900}</t>
  </si>
  <si>
    <t>azurophil granule lumen {GO:0035578}; basement membrane {GO:0005604}; basolateral plasma membrane {GO:0016323}; cell cortex {GO:0005938}; cell surface {GO:0009986}; cell-cell adherens junction {GO:0005913}; collagen-containing extracellular matrix {GO:0062023}; cytoplasm {GO:0005737}; cytosol {GO:0005829}; early endosome {GO:0005769}; endosome {GO:0005768}; extracellular exosome {GO:0070062}; extracellular region {GO:0005576}; extracellular space {GO:0005615}; extrinsic component of plasma membrane {GO:0019897}; late endosome membrane {GO:0031902}; lipid droplet {GO:0005811}; lysosomal membrane {GO:0005765}; macropinosome {GO:0044354}; melanosome {GO:0042470}; membrane {GO:0016020}; membrane raft {GO:0045121}; midbody {GO:0030496}; myelin sheath adaxonal region {GO:0035749}; nucleus {GO:0005634}; PCSK9-AnxA2 complex {GO:1990667}; perinuclear region of cytoplasm {GO:0048471}; plasma membrane {GO:0005886}; ruffle {GO:0001726}; sarcolemma {GO:0042383}; Schmidt-Lanterman incisure {GO:0043220}; vesicle {GO:0031982}</t>
  </si>
  <si>
    <t>bone sialoprotein binding {GO:0044730}; cadherin binding involved in cell-cell adhesion {GO:0098641}; calcium channel activity {GO:0005262}; calcium ion binding {GO:0005509}; calcium-dependent phospholipid binding {GO:0005544}; calcium-dependent protein binding {GO:0048306}; cytoskeletal protein binding {GO:0008092}; identical protein binding {GO:0042802}; molecular function regulator {GO:0098772}; phosphatidylinositol-4,5-bisphosphate binding {GO:0005546}; phosphatidylserine binding {GO:0001786}; phospholipase A2 inhibitor activity {GO:0019834}; protease binding {GO:0002020}; Rab GTPase binding {GO:0017137}; RNA binding {GO:0003723}; S100 protein binding {GO:0044548}; virion binding {GO:0046790}; voltage-gated calcium channel activity involved in regulation of cytosolic calcium levels {GO:0099511}</t>
  </si>
  <si>
    <t>Smooth Muscle Contraction {R-HSA-445355}; Neutrophil degranulation {R-HSA-6798695}; Dissolution of Fibrin Clot {R-HSA-75205}; Gene and protein expression by JAK-STAT signaling after Interleukin-12 stimulation {R-HSA-8950505}</t>
  </si>
  <si>
    <t>Ras-related protein Rab-8B</t>
  </si>
  <si>
    <t>RAB8B_HUMAN</t>
  </si>
  <si>
    <t>Q92930</t>
  </si>
  <si>
    <t>Q5JPC4; Q9P293</t>
  </si>
  <si>
    <t>Cell membrane; Cytoplasmic vesicle; GTP-binding; Lipoprotein; Membrane; Methylation; Nucleotide-binding; Phosphoprotein; Prenylation; Protein transport; Transport</t>
  </si>
  <si>
    <t>Lipoprotein; Methylation; Phosphoprotein; Prenylation</t>
  </si>
  <si>
    <t>adherens junction organization {GO:0034332}; antigen processing and presentation {GO:0019882}; cellular response to insulin stimulus {GO:0032869}; Golgi vesicle fusion to target membrane {GO:0048210}; intracellular protein transport {GO:0006886}; positive regulation of cell projection organization {GO:0031346}; positive regulation of corticotropin secretion {GO:0051461}; protein import into peroxisome membrane {GO:0045046}; protein localization to plasma membrane {GO:0072659}; protein secretion {GO:0009306}; Rab protein signal transduction {GO:0032482}; regulation of exocytosis {GO:0017157}; vesicle docking involved in exocytosis {GO:0006904}</t>
  </si>
  <si>
    <t>cell tip {GO:0051286}; endosome {GO:0005768}; extracellular exosome {GO:0070062}; intracellular membrane-bounded organelle {GO:0043231}; nuclear body {GO:0016604}; nucleoplasm {GO:0005654}; perinuclear region of cytoplasm {GO:0048471}; peroxisomal membrane {GO:0005778}; phagocytic vesicle {GO:0045335}; phagocytic vesicle membrane {GO:0030670}; plasma membrane {GO:0005886}; recycling endosome membrane {GO:0055038}; synaptic vesicle {GO:0008021}; trans-Golgi network transport vesicle {GO:0030140}</t>
  </si>
  <si>
    <t>GDP binding {GO:0019003}; GTP binding {GO:0005525}; GTPase activity {GO:0003924}; signaling receptor binding {GO:0005102}; TPR domain binding {GO:0030911}</t>
  </si>
  <si>
    <t>TBC/RABGAPs {R-HSA-8854214}; RAB geranylgeranylation {R-HSA-8873719}; RAB GEFs exchange GTP for GDP on RABs {R-HSA-8876198}</t>
  </si>
  <si>
    <t>Ribonuclease 4 (RNase 4)</t>
  </si>
  <si>
    <t>RNAS4_HUMAN</t>
  </si>
  <si>
    <t>P34096</t>
  </si>
  <si>
    <t>RNS4</t>
  </si>
  <si>
    <t>3D-structure; Disulfide bond; Endonuclease; Hydrolase; Nuclease; Polymorphism; Pyrrolidone carboxylic acid; Secreted; Signal</t>
  </si>
  <si>
    <t>Endonuclease; Hydrolase; Nuclease</t>
  </si>
  <si>
    <t>Disulfide bond; Pyrrolidone carboxylic acid</t>
  </si>
  <si>
    <t>mRNA cleavage {GO:0006379}</t>
  </si>
  <si>
    <t>extracellular region {GO:0005576}</t>
  </si>
  <si>
    <t>nucleic acid binding {GO:0003676}; ribonuclease A activity {GO:0004522}; ribonuclease activity {GO:0004540}</t>
  </si>
  <si>
    <t>Angiogenin</t>
  </si>
  <si>
    <t>Ribonuclease 5 (RNase 5)</t>
  </si>
  <si>
    <t>ANGI_HUMAN</t>
  </si>
  <si>
    <t>P03950</t>
  </si>
  <si>
    <t>Q05CV1; Q53X86; Q6P5T2; Q8WXE7</t>
  </si>
  <si>
    <t>RNASE5</t>
  </si>
  <si>
    <t>3D-structure; Amyotrophic lateral sclerosis; Angiogenesis; Cytoplasmic vesicle; Developmental protein; Differentiation; Disease mutation; Disulfide bond; DNA-binding; Endonuclease; Hydrolase; Neurodegeneration; Nuclease; Nucleus; Polymorphism; Protein synthesis inhibitor; Pyrrolidone carboxylic acid; Secreted; Signal; Stress response</t>
  </si>
  <si>
    <t>Angiogenesis; Differentiation; Stress response</t>
  </si>
  <si>
    <t>Cytoplasmic vesicle; Nucleus; Secreted</t>
  </si>
  <si>
    <t>DNA-binding; Developmental protein; Endonuclease; Hydrolase; Nuclease; Protein synthesis inhibitor</t>
  </si>
  <si>
    <t>actin filament polymerization {GO:0030041}; activation of phospholipase A2 activity {GO:0032431}; activation of phospholipase C activity {GO:0007202}; activation of protein kinase B activity {GO:0032148}; adherens junction organization {GO:0034332}; angiogenesis {GO:0001525}; antibacterial humoral response {GO:0019731}; antifungal humoral response {GO:0019732}; antimicrobial humoral immune response mediated by antimicrobial peptide {GO:0061844}; cell communication {GO:0007154}; cell migration {GO:0016477}; defense response to Gram-positive bacterium {GO:0050830}; diacylglycerol biosynthetic process {GO:0006651}; homeostatic process {GO:0042592}; innate immune response {GO:0045087}; negative regulation of smooth muscle cell proliferation {GO:0048662}; negative regulation of translation {GO:0017148}; oocyte maturation {GO:0001556}; ovarian follicle development {GO:0001541}; placenta development {GO:0001890}; positive regulation of endothelial cell proliferation {GO:0001938}; positive regulation of phosphorylation {GO:0042327}; positive regulation of protein secretion {GO:0050714}; response to hormone {GO:0009725}; response to hypoxia {GO:0001666}; response to yeast {GO:0001878}; rRNA transcription {GO:0009303}</t>
  </si>
  <si>
    <t>angiogenin-PRI complex {GO:0032311}; basement membrane {GO:0005604}; cytoplasmic vesicle {GO:0031410}; extracellular region {GO:0005576}; extracellular space {GO:0005615}; growth cone {GO:0030426}; neuronal cell body {GO:0043025}; nucleolus {GO:0005730}; nucleus {GO:0005634}</t>
  </si>
  <si>
    <t>actin binding {GO:0003779}; copper ion binding {GO:0005507}; DNA binding {GO:0003677}; endonuclease activity {GO:0004519}; heparin binding {GO:0008201}; peptide binding {GO:0042277}; protein homodimerization activity {GO:0042803}; ribonuclease activity {GO:0004540}; rRNA binding {GO:0019843}; signaling receptor binding {GO:0005102}</t>
  </si>
  <si>
    <t>Adherens junctions interactions {R-HSA-418990}</t>
  </si>
  <si>
    <t>Protein NDRG2</t>
  </si>
  <si>
    <t>N-myc downstream-regulated gene 2 protein; Protein Syld709613</t>
  </si>
  <si>
    <t>NDRG2_HUMAN</t>
  </si>
  <si>
    <t>Q9UN36</t>
  </si>
  <si>
    <t>B3KUE3; B4DE86; B7WP11; B7WPD5; D3DS07; D3DS10; Q567T1; Q68DW2; Q86U08; Q86U46; Q96FD3; Q96FT0; Q96JU0; Q96PN0; Q9BQH5; Q9ULH2</t>
  </si>
  <si>
    <t>KIAA1248; SYLD</t>
  </si>
  <si>
    <t>3D-structure; Acetylation; Alternative splicing; Cell projection; Cytoplasm; Developmental protein; Differentiation; Neurogenesis; Phosphoprotein; Polymorphism; Tumor suppressor; Wnt signaling pathway</t>
  </si>
  <si>
    <t>Differentiation; Neurogenesis; Wnt signaling pathway</t>
  </si>
  <si>
    <t>Cell projection; Cytoplasm</t>
  </si>
  <si>
    <t>cell differentiation {GO:0030154}; negative regulation of cytokine production {GO:0001818}; negative regulation of ERK1 and ERK2 cascade {GO:0070373}; negative regulation of smooth muscle cell proliferation {GO:0048662}; regulation of platelet-derived growth factor production {GO:0090361}; regulation of vascular endothelial growth factor production {GO:0010574}; signal transduction {GO:0007165}; substantia nigra development {GO:0021762}; Wnt signaling pathway {GO:0016055}</t>
  </si>
  <si>
    <t>cytoplasm {GO:0005737}; cytosol {GO:0005829}; extracellular exosome {GO:0070062}; Golgi apparatus {GO:0005794}; growth cone {GO:0030426}; nucleus {GO:0005634}; perinuclear region of cytoplasm {GO:0048471}</t>
  </si>
  <si>
    <t>Armadillo-like helical domain-containing protein 4</t>
  </si>
  <si>
    <t>ARMD4_HUMAN</t>
  </si>
  <si>
    <t>Q86TY3</t>
  </si>
  <si>
    <t>A8K8Z8; Q6P5Q1; Q86TY1</t>
  </si>
  <si>
    <t>Alternative splicing; Glycoprotein; Membrane; Phosphoprotein; Polymorphism; Signal; Transmembrane; Transmembrane helix</t>
  </si>
  <si>
    <t>integral component of membrane {GO:0016021}</t>
  </si>
  <si>
    <t>Pepsin A-3</t>
  </si>
  <si>
    <t>Pepsinogen-3</t>
  </si>
  <si>
    <t>PEPA3_HUMAN</t>
  </si>
  <si>
    <t>P0DJD8</t>
  </si>
  <si>
    <t>A8K749; B2R7D6; B7ZW75; P00790; Q7M4R0; Q8N1E3</t>
  </si>
  <si>
    <t>Aspartyl protease; Digestion; Disulfide bond; Hydrolase; Protease; Secreted; Signal; Zymogen</t>
  </si>
  <si>
    <t>Digestion</t>
  </si>
  <si>
    <t>Aspartyl protease; Hydrolase; Protease</t>
  </si>
  <si>
    <t>Disulfide bond; Zymogen</t>
  </si>
  <si>
    <t>cellular protein metabolic process {GO:0044267}; digestion {GO:0007586}; protein catabolic process {GO:0030163}; proteolysis {GO:0006508}</t>
  </si>
  <si>
    <t>extracellular exosome {GO:0070062}; multivesicular body lumen {GO:0097486}</t>
  </si>
  <si>
    <t>aspartic-type endopeptidase activity {GO:0004190}</t>
  </si>
  <si>
    <t>Surfactant metabolism {R-HSA-5683826}</t>
  </si>
  <si>
    <t>EH domain-containing protein 4</t>
  </si>
  <si>
    <t>Hepatocellular carcinoma-associated protein 10/11; PAST homolog 4</t>
  </si>
  <si>
    <t>EHD4_HUMAN</t>
  </si>
  <si>
    <t>Q9H223</t>
  </si>
  <si>
    <t>Q9HAR1; Q9NZN2</t>
  </si>
  <si>
    <t>Acetylation; ATP-binding; Calcium; Cell membrane; Endosome; Membrane; Metal-binding; Nucleotide-binding; Phosphoprotein; Polymorphism</t>
  </si>
  <si>
    <t>ATP-binding; Calcium; Metal-binding; Nucleotide-binding</t>
  </si>
  <si>
    <t>cellular response to growth factor stimulus {GO:0071363}; endocytic recycling {GO:0032456}; pinocytosis {GO:0006907}; positive regulation of peptidyl-tyrosine phosphorylation {GO:0050731}; protein homooligomerization {GO:0051260}; regulation of endocytosis {GO:0030100}</t>
  </si>
  <si>
    <t>early endosome membrane {GO:0031901}; endoplasmic reticulum {GO:0005783}; extracellular exosome {GO:0070062}; membrane {GO:0016020}; nucleus {GO:0005634}; perinuclear region of cytoplasm {GO:0048471}; plasma membrane {GO:0005886}; recycling endosome membrane {GO:0055038}</t>
  </si>
  <si>
    <t>ATP binding {GO:0005524}; cadherin binding {GO:0045296}; calcium ion binding {GO:0005509}; GTP binding {GO:0005525}; nucleic acid binding {GO:0003676}</t>
  </si>
  <si>
    <t>C-1-tetrahydrofolate synthase, cytoplasmic, N-terminally processed (C1-THF synthase)</t>
  </si>
  <si>
    <t>C1TC_HUMAN</t>
  </si>
  <si>
    <t>P11586</t>
  </si>
  <si>
    <t>B2R5Y2; G3V2B8; Q86VC9; Q9BVP5</t>
  </si>
  <si>
    <t>MTHFC; MTHFD</t>
  </si>
  <si>
    <t>3D-structure; Acetylation; Amino-acid biosynthesis; ATP-binding; Cytoplasm; Disease mutation; Histidine biosynthesis; Hydrolase; Ligase; Methionine biosynthesis; Multifunctional enzyme; NADP; Nucleotide-binding; One-carbon metabolism; Oxidoreductase; Phosphoprotein; Polymorphism; Purine biosynthesis</t>
  </si>
  <si>
    <t>Amino-acid biosynthesis; Histidine biosynthesis; Methionine biosynthesis; One-carbon metabolism; Purine biosynthesis</t>
  </si>
  <si>
    <t>ATP-binding; NADP; Nucleotide-binding</t>
  </si>
  <si>
    <t>Hydrolase; Ligase; Multifunctional enzyme; Oxidoreductase</t>
  </si>
  <si>
    <t>10-formyltetrahydrofolate biosynthetic process {GO:0009257}; embryonic neurocranium morphogenesis {GO:0048702}; embryonic viscerocranium morphogenesis {GO:0048703}; folic acid metabolic process {GO:0046655}; heart development {GO:0007507}; histidine biosynthetic process {GO:0000105}; methionine biosynthetic process {GO:0009086}; methionine metabolic process {GO:0006555}; neural tube closure {GO:0001843}; one-carbon metabolic process {GO:0006730}; purine nucleobase biosynthetic process {GO:0009113}; purine nucleotide biosynthetic process {GO:0006164}; serine family amino acid biosynthetic process {GO:0009070}; serine family amino acid metabolic process {GO:0009069}; somite development {GO:0061053}; tetrahydrofolate interconversion {GO:0035999}</t>
  </si>
  <si>
    <t>cytoplasm {GO:0005737}; cytosol {GO:0005829}; extracellular exosome {GO:0070062}; membrane {GO:0016020}; mitochondrion {GO:0005739}</t>
  </si>
  <si>
    <t>ATP binding {GO:0005524}; formate-tetrahydrofolate ligase activity {GO:0004329}; methenyltetrahydrofolate cyclohydrolase activity {GO:0004477}; methylenetetrahydrofolate dehydrogenase (NAD+) activity {GO:0004487}; methylenetetrahydrofolate dehydrogenase (NADP+) activity {GO:0004488}; methylenetetrahydrofolate dehydrogenase [NAD(P)+] activity {GO:0004486}</t>
  </si>
  <si>
    <t>Metabolism of folate and pterines {R-HSA-196757}</t>
  </si>
  <si>
    <t>Gamma-glutamyl hydrolase</t>
  </si>
  <si>
    <t>Conjugase; GH; Gamma-Glu-X carboxypeptidase</t>
  </si>
  <si>
    <t>GGH_HUMAN</t>
  </si>
  <si>
    <t>Q92820</t>
  </si>
  <si>
    <t>3D-structure; Glycoprotein; Hydrolase; Lysosome; Polymorphism; Secreted; Signal</t>
  </si>
  <si>
    <t>neutrophil degranulation {GO:0043312}; response to ethanol {GO:0045471}; response to insulin {GO:0032868}; response to zinc ion {GO:0010043}; tetrahydrofolylpolyglutamate metabolic process {GO:0046900}</t>
  </si>
  <si>
    <t>azurophil granule lumen {GO:0035578}; cytosol {GO:0005829}; extracellular exosome {GO:0070062}; extracellular region {GO:0005576}; extracellular space {GO:0005615}; melanosome {GO:0042470}; nucleus {GO:0005634}; specific granule lumen {GO:0035580}; tertiary granule lumen {GO:1904724}; vacuole {GO:0005773}</t>
  </si>
  <si>
    <t>exopeptidase activity {GO:0008238}; gamma-glutamyl-peptidase activity {GO:0034722}; omega peptidase activity {GO:0008242}</t>
  </si>
  <si>
    <t>60S acidic ribosomal protein P1</t>
  </si>
  <si>
    <t>Large ribosomal subunit protein P1</t>
  </si>
  <si>
    <t>RLA1_HUMAN</t>
  </si>
  <si>
    <t>P05386</t>
  </si>
  <si>
    <t>A6NIB2</t>
  </si>
  <si>
    <t>RRP1</t>
  </si>
  <si>
    <t>3D-structure; Acetylation; Alternative splicing; Phosphoprotein; Ribonucleoprotein; Ribosomal protein</t>
  </si>
  <si>
    <t>cytoplasmic translation {GO:0002181}; nuclear-transcribed mRNA catabolic process, nonsense-mediated decay {GO:0000184}; SRP-dependent cotranslational protein targeting to membrane {GO:0006614}; translation {GO:0006412}; translational elongation {GO:0006414}; translational initiation {GO:0006413}; viral transcription {GO:0019083}</t>
  </si>
  <si>
    <t>cytosol {GO:0005829}; cytosolic large ribosomal subunit {GO:0022625}; focal adhesion {GO:0005925}</t>
  </si>
  <si>
    <t>protein kinase activator activity {GO:0030295}; ribonucleoprotein complex binding {GO:0043021}; structural constituent of ribosome {GO:0003735}</t>
  </si>
  <si>
    <t>Tubulointerstitial nephritis antigen-like</t>
  </si>
  <si>
    <t>Glucocorticoid-inducible protein 5; Oxidized LDL-responsive gene 2 protein (OLRG-2); Tubulointerstitial nephritis antigen-related protein (TIN Ag-related protein; TIN-Ag-RP)</t>
  </si>
  <si>
    <t>TINAL_HUMAN</t>
  </si>
  <si>
    <t>Q9GZM7</t>
  </si>
  <si>
    <t>A8K9Q5; B4DPK6; D3DPN8; Q8TEJ9; Q8WZ23; Q96GZ4; Q96JW3</t>
  </si>
  <si>
    <t>GIS5; LCN7; OLRG2; TINAGL</t>
  </si>
  <si>
    <t>Alternative splicing; Disulfide bond; Glycoprotein; Polymorphism; Secreted; Signal</t>
  </si>
  <si>
    <t>cell adhesion {GO:0007155}; endosomal transport {GO:0016197}; immune response {GO:0006955}</t>
  </si>
  <si>
    <t>collagen-containing extracellular matrix {GO:0062023}; cytoplasm {GO:0005737}; extracellular exosome {GO:0070062}; extracellular region {GO:0005576}; extracellular space {GO:0005615}</t>
  </si>
  <si>
    <t>cysteine-type peptidase activity {GO:0008234}; extracellular matrix structural constituent {GO:0005201}; laminin binding {GO:0043236}; polysaccharide binding {GO:0030247}; scavenger receptor activity {GO:0005044}</t>
  </si>
  <si>
    <t>Transmembrane emp24 domain-containing protein 10</t>
  </si>
  <si>
    <t>21 kDa transmembrane-trafficking protein; S31III125 (S31I125); Tmp-21-I; Transmembrane protein Tmp21; p23; p24 family protein delta-1 (p24delta1); p24delta</t>
  </si>
  <si>
    <t>TMEDA_HUMAN</t>
  </si>
  <si>
    <t>P49755</t>
  </si>
  <si>
    <t>B2R605; Q15602; Q16536; Q86TC2; Q86TS5</t>
  </si>
  <si>
    <t>TMP21</t>
  </si>
  <si>
    <t>Cell membrane; Cytoplasmic vesicle; Endoplasmic reticulum; ER-Golgi transport; Glycoprotein; Golgi apparatus; Membrane; Methylation; Polymorphism; Protein transport; Signal; Transmembrane; Transmembrane helix; Transport</t>
  </si>
  <si>
    <t>ER-Golgi transport; Protein transport; Transport</t>
  </si>
  <si>
    <t>Cell membrane; Cytoplasmic vesicle; Endoplasmic reticulum; Golgi apparatus; Membrane</t>
  </si>
  <si>
    <t>Glycoprotein; Methylation</t>
  </si>
  <si>
    <t>COPI coating of Golgi vesicle {GO:0048205}; COPI-coated vesicle budding {GO:0035964}; COPII vesicle coating {GO:0048208}; endoplasmic reticulum to Golgi vesicle-mediated transport {GO:0006888}; Golgi organization {GO:0007030}; intracellular protein transport {GO:0006886}; kidney development {GO:0001822}; protein complex oligomerization {GO:0051259}; regulated exocytosis {GO:0045055}; regulation of amyloid-beta formation {GO:1902003}; response to alkaloid {GO:0043279}; retrograde vesicle-mediated transport, Golgi to endoplasmic reticulum {GO:0006890}; vesicle cargo loading {GO:0035459}; vesicle targeting, to, from or within Golgi {GO:0048199}</t>
  </si>
  <si>
    <t>cis-Golgi network {GO:0005801}; COPI-coated vesicle {GO:0030137};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ER to Golgi transport vesicle membrane {GO:0012507}; gamma-secretase complex {GO:0070765}; Golgi apparatus {GO:0005794}; Golgi membrane {GO:0000139}; integral component of membrane {GO:0016021}; melanosome {GO:0042470}; plasma membrane {GO:0005886}; secretory granule membrane {GO:0030667}; trans-Golgi network transport vesicle {GO:0030140}; transport vesicle {GO:0030133}; zymogen granule membrane {GO:0042589}</t>
  </si>
  <si>
    <t>protein-containing complex binding {GO:0044877}; syntaxin binding {GO:0019905}</t>
  </si>
  <si>
    <t>COPII-mediated vesicle transport {R-HSA-204005}; Cargo concentration in the ER {R-HSA-5694530}; COPI-mediated anterograde transport {R-HSA-6807878}; COPI-dependent Golgi-to-ER retrograde traffic {R-HSA-6811434}</t>
  </si>
  <si>
    <t>Guanylin</t>
  </si>
  <si>
    <t>Guanylate cyclase activator 2A; Guanylate cyclase-activating protein 1; Guanylate cyclase-activating protein I (GCAP-I)</t>
  </si>
  <si>
    <t>GUC2A_HUMAN</t>
  </si>
  <si>
    <t>Q02747</t>
  </si>
  <si>
    <t>GUCA2</t>
  </si>
  <si>
    <t>digestion {GO:0007586}</t>
  </si>
  <si>
    <t>guanylate cyclase activator activity {GO:0030250}; hormone activity {GO:0005179}</t>
  </si>
  <si>
    <t>Beta-hexosaminidase subunit alpha</t>
  </si>
  <si>
    <t>Beta-N-acetylhexosaminidase subunit alpha (Hexosaminidase subunit A); N-acetyl-beta-glucosaminidase subunit alpha</t>
  </si>
  <si>
    <t>HEXA_HUMAN</t>
  </si>
  <si>
    <t>P06865</t>
  </si>
  <si>
    <t>B4DKE7; E7ENH7; Q53HS8; Q6AI32</t>
  </si>
  <si>
    <t>3D-structure; Alternative splicing; Disease mutation; Disulfide bond; Gangliosidosis; Glycoprotein; Glycosidase; Hydrolase; Lysosome; Neurodegeneration; Polymorphism; Signal; Zymogen</t>
  </si>
  <si>
    <t>Disease mutation; Gangliosidosis; Neurodegeneration</t>
  </si>
  <si>
    <t>Glycosidase; Hydrolase</t>
  </si>
  <si>
    <t>Disulfide bond; Glycoprotein; Zymogen</t>
  </si>
  <si>
    <t>carbohydrate metabolic process {GO:0005975}; chondroitin sulfate catabolic process {GO:0030207}; glycosaminoglycan biosynthetic process {GO:0006024}; glycosphingolipid metabolic process {GO:0006687}; hyaluronan catabolic process {GO:0030214}; keratan sulfate catabolic process {GO:0042340}</t>
  </si>
  <si>
    <t>azurophil granule {GO:0042582}; extracellular exosome {GO:0070062}; lysosomal lumen {GO:0043202}; membrane {GO:0016020}</t>
  </si>
  <si>
    <t>acetylglucosaminyltransferase activity {GO:0008375}; beta-N-acetylhexosaminidase activity {GO:0004563}; N-acetyl-beta-D-galactosaminidase activity {GO:0102148}; protein heterodimerization activity {GO:0046982}</t>
  </si>
  <si>
    <t>Glycosphingolipid metabolism {R-HSA-1660662}; Keratan sulfate degradation {R-HSA-2022857}; CS/DS degradation {R-HSA-2024101}; Hyaluronan uptake and degradation {R-HSA-2160916}; Defective HEXA causes GM2G1 {R-HSA-3656234}</t>
  </si>
  <si>
    <t>Serine/arginine-rich splicing factor 4</t>
  </si>
  <si>
    <t>Pre-mRNA-splicing factor SRP75; SRP001LB; Splicing factor, arginine/serine-rich 4</t>
  </si>
  <si>
    <t>SRSF4_HUMAN</t>
  </si>
  <si>
    <t>Q08170</t>
  </si>
  <si>
    <t>Q5VXP1; Q9BUA4; Q9UEB5</t>
  </si>
  <si>
    <t>SFRS4; SRP75</t>
  </si>
  <si>
    <t>mRNA processing; mRNA splicing; Nucleus; Phosphoprotein; Polymorphism; Repeat; Repressor; RNA-binding</t>
  </si>
  <si>
    <t>RNA-binding; Repressor</t>
  </si>
  <si>
    <t>mRNA 3'-end processing {GO:0031124}; mRNA cis splicing, via spliceosome {GO:0045292}; mRNA export from nucleus {GO:0006406}; mRNA processing {GO:0006397}; mRNA splicing, via spliceosome {GO:0000398}; negative regulation of mRNA splicing, via spliceosome {GO:0048025}; regulation of alternative mRNA splicing, via spliceosome {GO:0000381}; response to insulin {GO:0032868}; RNA export from nucleus {GO:0006405}; RNA splicing {GO:0008380}; RNA splicing, via transesterification reactions {GO:0000375}</t>
  </si>
  <si>
    <t>nuclear speck {GO:0016607}; nucleoplasm {GO:0005654}; nucleus {GO:0005634}</t>
  </si>
  <si>
    <t>RNA binding {GO:0003723}; sequence-specific mRNA binding {GO:1990825}</t>
  </si>
  <si>
    <t>Transport of Mature mRNA derived from an Intron-Containing Transcript {R-HSA-159236}; mRNA Splicing - Major Pathway {R-HSA-72163}; mRNA 3'-end processing {R-HSA-72187}; RNA Polymerase II Transcription Termination {R-HSA-73856}</t>
  </si>
  <si>
    <t>T-complex protein 1 subunit zeta (TCP-1-zeta)</t>
  </si>
  <si>
    <t>Acute morphine dependence-related protein 2; CCT-zeta-1; HTR3; Tcp20</t>
  </si>
  <si>
    <t>TCPZ_HUMAN</t>
  </si>
  <si>
    <t>P40227</t>
  </si>
  <si>
    <t>A6NCD2; Q3KP28; Q75LP4; Q96S46</t>
  </si>
  <si>
    <t>CCT6; CCTZ</t>
  </si>
  <si>
    <t>Acetylation; Alternative splicing; ATP-binding; Chaperone; Cytoplasm; Isopeptide bond; Nucleotide-binding; Phosphoprotein; Polymorphism; Ubl conjugation</t>
  </si>
  <si>
    <t>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</t>
  </si>
  <si>
    <t>chaperonin-containing T-complex {GO:0005832}; cytoplasm {GO:0005737}; cytosol {GO:0005829}; extracellular exosome {GO:0070062}; microtubule {GO:0005874}</t>
  </si>
  <si>
    <t>ATP binding {GO:0005524}; RNA binding {GO:0003723}; unfolded protein binding {GO:0051082}; WD40-repeat domain binding {GO:0071987}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</si>
  <si>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Cooperation of PDCL (PhLP1) and TRiC/CCT in G-protein beta folding {R-HSA-6814122}</t>
  </si>
  <si>
    <t>Creatine kinase U-type, mitochondrial</t>
  </si>
  <si>
    <t>Acidic-type mitochondrial creatine kinase (Mia-CK); Ubiquitous mitochondrial creatine kinase (U-MtCK)</t>
  </si>
  <si>
    <t>KCRU_HUMAN</t>
  </si>
  <si>
    <t>P12532</t>
  </si>
  <si>
    <t>B4DIT8; B7ZA09; Q0VAM3; Q32NF6; Q53FC4</t>
  </si>
  <si>
    <t>CKMT</t>
  </si>
  <si>
    <t>3D-structure; Alternative splicing; ATP-binding; Kinase; Membrane; Mitochondrion; Mitochondrion inner membrane; Nucleotide-binding; Phosphoprotein; Transferase; Transit peptide</t>
  </si>
  <si>
    <t>Membrane; Mitochondrion; Mitochondrion inner membrane</t>
  </si>
  <si>
    <t>creatine metabolic process {GO:0006600}; phosphocreatine biosynthetic process {GO:0046314}</t>
  </si>
  <si>
    <t>mitochondrial inner membrane {GO:0005743}; mitochondrion {GO:0005739}</t>
  </si>
  <si>
    <t>ATP binding {GO:0005524}; creatine kinase activity {GO:0004111}; kinase activity {GO:0016301}</t>
  </si>
  <si>
    <t>Creatine metabolism {R-HSA-71288}</t>
  </si>
  <si>
    <t>Cathepsin H light chain</t>
  </si>
  <si>
    <t>CATH_HUMAN</t>
  </si>
  <si>
    <t>P09668</t>
  </si>
  <si>
    <t>B2RBK0; Q96NY6; Q9BUM7</t>
  </si>
  <si>
    <t>CPSB</t>
  </si>
  <si>
    <t>3D-structure; Disulfide bond; Glycoprotein; Hydrolase; Lysosome; Polymorphism; Protease; Signal; Thiol protease; Zymogen</t>
  </si>
  <si>
    <t>adaptive immune response {GO:0002250}; antigen processing and presentation {GO:0019882}; bradykinin catabolic process {GO:0010815}; cellular protein metabolic process {GO:0044267}; cellular response to thyroid hormone stimulus {GO:0097067}; dichotomous subdivision of terminal units involved in lung branching {GO:0060448}; ERK1 and ERK2 cascade {GO:0070371}; immune response-regulating signaling pathway {GO:0002764}; membrane protein proteolysis {GO:0033619}; metanephros development {GO:0001656}; negative regulation of apoptotic process {GO:0043066}; neuropeptide catabolic process {GO:0010813}; neutrophil degranulation {GO:0043312}; positive regulation of angiogenesis {GO:0045766}; positive regulation of apoptotic signaling pathway {GO:2001235}; positive regulation of cell migration {GO:0030335}; positive regulation of cell population proliferation {GO:0008284}; positive regulation of epithelial cell migration {GO:0010634}; positive regulation of gene expression {GO:0010628}; positive regulation of peptidase activity {GO:0010952}; protein destabilization {GO:0031648}; proteolysis {GO:0006508}; proteolysis involved in cellular protein catabolic process {GO:0051603}; response to retinoic acid {GO:0032526}; surfactant homeostasis {GO:0043129}; T cell mediated cytotoxicity {GO:0001913}; zymogen activation {GO:0031638}</t>
  </si>
  <si>
    <t>alveolar lamellar body {GO:0097208}; collagen-containing extracellular matrix {GO:0062023}; cytoplasmic ribonucleoprotein granule {GO:0036464}; cytosol {GO:0005829}; extracellular exosome {GO:0070062}; extracellular region {GO:0005576}; extracellular space {GO:0005615}; ficolin-1-rich granule lumen {GO:1904813}; intracellular membrane-bounded organelle {GO:0043231}; lysosome {GO:0005764}; multivesicular body lumen {GO:0097486}; secretory granule lumen {GO:0034774}; tertiary granule lumen {GO:1904724}</t>
  </si>
  <si>
    <t>aminopeptidase activity {GO:0004177}; cysteine-type endopeptidase activator activity involved in apoptotic process {GO:0008656}; cysteine-type endopeptidase activity {GO:0004197}; cysteine-type peptidase activity {GO:0008234}; endopeptidase activity {GO:0004175}; HLA-A specific activating MHC class I receptor activity {GO:0030108}; peptidase activity {GO:0008233}; serine-type endopeptidase activity {GO:0004252}; thyroid hormone binding {GO:0070324}</t>
  </si>
  <si>
    <t>MHC class II antigen presentation {R-HSA-2132295}; Surfactant metabolism {R-HSA-5683826}; Neutrophil degranulation {R-HSA-6798695}</t>
  </si>
  <si>
    <t>Cysteine-rich protein 2 (CRP-2)</t>
  </si>
  <si>
    <t>Protein ESP1</t>
  </si>
  <si>
    <t>CRIP2_HUMAN</t>
  </si>
  <si>
    <t>P52943</t>
  </si>
  <si>
    <t>A1A4U1; B7Z6C0; E9PD13</t>
  </si>
  <si>
    <t>CRP2</t>
  </si>
  <si>
    <t>3D-structure; Acetylation; Alternative splicing; LIM domain; Metal-binding; Phosphoprotein; Repeat; Zinc</t>
  </si>
  <si>
    <t>LIM domain; Repeat</t>
  </si>
  <si>
    <t>hemopoiesis {GO:0030097}; positive regulation of cell population proliferation {GO:0008284}</t>
  </si>
  <si>
    <t>cell cortex {GO:0005938}</t>
  </si>
  <si>
    <t>zinc ion binding {GO:0008270}</t>
  </si>
  <si>
    <t>Proprotein convertase subtilisin/kexin type 6</t>
  </si>
  <si>
    <t>Paired basic amino acid cleaving enzyme 4; Subtilisin-like proprotein convertase 4 (SPC4); Subtilisin/kexin-like protease PACE4</t>
  </si>
  <si>
    <t>PCSK6_HUMAN</t>
  </si>
  <si>
    <t>P29122</t>
  </si>
  <si>
    <t>Q15099; Q15100; Q9UEG7; Q9UEJ1; Q9UEJ2; Q9UEJ7; Q9UEJ8; Q9UEJ9; Q9Y4G9; Q9Y4H0; Q9Y4H1</t>
  </si>
  <si>
    <t>PACE4</t>
  </si>
  <si>
    <t>Alternative splicing; Calcium; Cleavage on pair of basic residues; Endoplasmic reticulum; Glycoprotein; Hydrolase; Membrane; Polymorphism; Protease; Repeat; Secreted; Serine protease; Signal; Zymogen</t>
  </si>
  <si>
    <t>Endoplasmic reticulum; Membrane; Secreted</t>
  </si>
  <si>
    <t>Cleavage on pair of basic residues; Glycoprotein; Zymogen</t>
  </si>
  <si>
    <t>cornification {GO:0070268}; determination of left/right symmetry {GO:0007368}; glycoprotein metabolic process {GO:0009100}; nerve growth factor processing {GO:0032455}; nerve growth factor production {GO:0032902}; peptide hormone processing {GO:0016486}; protein processing {GO:0016485}; regulation of BMP signaling pathway {GO:0030510}; regulation of lipoprotein lipase activity {GO:0051004}; secretion by cell {GO:0032940}; zygotic determination of anterior/posterior axis, embryo {GO:0007354}</t>
  </si>
  <si>
    <t>cell surface {GO:0009986}; collagen-containing extracellular matrix {GO:0062023}; endoplasmic reticulum {GO:0005783}; extracellular region {GO:0005576}; extracellular space {GO:0005615}; Golgi lumen {GO:0005796}; membrane {GO:0016020}; plasma membrane {GO:0005886}</t>
  </si>
  <si>
    <t>endopeptidase activity {GO:0004175}; heparin binding {GO:0008201}; nerve growth factor binding {GO:0048406}; serine-type endopeptidase activity {GO:0004252}</t>
  </si>
  <si>
    <t>Signaling by NODAL {R-HSA-1181150}; NGF processing {R-HSA-167060}; Formation of the cornified envelope {R-HSA-6809371}; Assembly of active LPL and LIPC lipase complexes {R-HSA-8963889}</t>
  </si>
  <si>
    <t>Alpha-protein kinase 3</t>
  </si>
  <si>
    <t>Muscle alpha-protein kinase</t>
  </si>
  <si>
    <t>ALPK3_HUMAN</t>
  </si>
  <si>
    <t>Q96L96</t>
  </si>
  <si>
    <t>Q9P2L6</t>
  </si>
  <si>
    <t>Cardiomyopathy; Developmental protein; Disease mutation; Disulfide bond; Immunoglobulin domain; Kinase; Nucleus; Phosphoprotein; Polymorphism; Repeat; Serine/threonine-protein kinase; Transferase</t>
  </si>
  <si>
    <t>Immunoglobulin domain; Repeat</t>
  </si>
  <si>
    <t>Developmental protein; Kinase; Serine/threonine-protein kinase; Transferase</t>
  </si>
  <si>
    <t>Disulfide bond; Phosphoprotein</t>
  </si>
  <si>
    <t>cardiac muscle cell development {GO:0055013}; heart development {GO:0007507}</t>
  </si>
  <si>
    <t>nucleus {GO:0005634}</t>
  </si>
  <si>
    <t>ATP binding {GO:0005524}; protein serine/threonine kinase activity {GO:0004674}</t>
  </si>
  <si>
    <t>Normal mucosa of esophagus-specific gene 1 protein</t>
  </si>
  <si>
    <t>Protein FOAP-11</t>
  </si>
  <si>
    <t>NMES1_HUMAN</t>
  </si>
  <si>
    <t>Q9C002</t>
  </si>
  <si>
    <t>C15orf48</t>
  </si>
  <si>
    <t>electron transport chain {GO:0022900}; proton transmembrane transport {GO:1902600}; response to bacterium {GO:0009617}</t>
  </si>
  <si>
    <t>mitochondrial respiratory chain complex IV {GO:0005751}; nucleus {GO:0005634}</t>
  </si>
  <si>
    <t>Proteasome subunit alpha type-6</t>
  </si>
  <si>
    <t>27 kDa prosomal protein (PROS-27; p27K); Macropain iota chain; Multicatalytic endopeptidase complex iota chain; Proteasome iota chain</t>
  </si>
  <si>
    <t>PSA6_HUMAN</t>
  </si>
  <si>
    <t>P60900</t>
  </si>
  <si>
    <t>B2R7J9; B4DQR4; B4DXJ9; P34062; Q6IB60</t>
  </si>
  <si>
    <t>PROS27</t>
  </si>
  <si>
    <t>3D-structure; Acetylation; Alternative splicing; Cytoplasm; Glycoprotein; Hydrolase; Nucleus; Phosphoprotein;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</si>
  <si>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NF-kappaB transcription factor activity {GO:0051092};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proteolysis involved in cellular protein catabolic process {GO:0051603}; regulation of cellular amino acid metabolic process {GO:0006521}; regulation of hematopoietic stem cell differentiation {GO:1902036}; regulation of inflammatory response {GO:0050727};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</si>
  <si>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myofibril {GO:0030016}; nuclear matrix {GO:0016363}; nucleoplasm {GO:0005654}; nucleus {GO:0005634}; P-body {GO:0000932}; polysome {GO:0005844}; proteasome complex {GO:0000502}; proteasome core complex {GO:0005839}; proteasome core complex, alpha-subunit complex {GO:0019773}; sarcomere {GO:0030017}</t>
  </si>
  <si>
    <t>endopeptidase activity {GO:0004175}; NF-kappaB binding {GO:0051059}; purine ribonucleoside triphosphate binding {GO:0035639}; RNA binding {GO:0003723}; threonine-type endopeptidase activity {GO:0004298}</t>
  </si>
  <si>
    <t>Isovaleryl-CoA dehydrogenase, mitochondrial (IVD)</t>
  </si>
  <si>
    <t>IVD_HUMAN</t>
  </si>
  <si>
    <t>P26440</t>
  </si>
  <si>
    <t>B2RCV5; B3KVI7; J3KR54; Q53XZ9; Q96AF6</t>
  </si>
  <si>
    <t>3D-structure; Acetylation; Alternative splicing; Disease mutation; FAD; Flavoprotein; Mitochondrion; Oxidoreductase; Transit peptide</t>
  </si>
  <si>
    <t>FAD; Flavoprotein</t>
  </si>
  <si>
    <t>branched-chain amino acid catabolic process {GO:0009083}; fatty acid beta-oxidation using acyl-CoA dehydrogenase {GO:0033539}; leucine catabolic process {GO:0006552}</t>
  </si>
  <si>
    <t>mitochondrial matrix {GO:0005759}; mitochondrion {GO:0005739}</t>
  </si>
  <si>
    <t>flavin adenine dinucleotide binding {GO:0050660}; isovaleryl-CoA dehydrogenase activity {GO:0008470}</t>
  </si>
  <si>
    <t>Amino-acid degradation; L-leucine degradation; (S)-3- hydroxy-3-methylglutaryl-CoA from 3-isovaleryl-CoA: step 1/3.</t>
  </si>
  <si>
    <t>SPARC-related modular calcium-binding protein 1</t>
  </si>
  <si>
    <t>Secreted modular calcium-binding protein 1 (SMOC-1)</t>
  </si>
  <si>
    <t>SMOC1_HUMAN</t>
  </si>
  <si>
    <t>Q9H4F8</t>
  </si>
  <si>
    <t>A8K1S3; B2R7P5; Q96F78</t>
  </si>
  <si>
    <t>Alternative splicing; Basement membrane; Calcium; Developmental protein; Differentiation; Disease mutation; Disulfide bond; Extracellular matrix; Glycoprotein; Metal-binding; Microphthalmia; Polymorphism; Repeat; Secreted; Signal</t>
  </si>
  <si>
    <t>Differentiation</t>
  </si>
  <si>
    <t>Disease mutation; Microphthalmia</t>
  </si>
  <si>
    <t>cell differentiation {GO:0030154}; eye development {GO:0001654}; limb development {GO:0060173}; regulation of osteoblast differentiation {GO:0045667}</t>
  </si>
  <si>
    <t>basement membrane {GO:0005604}</t>
  </si>
  <si>
    <t>calcium ion binding {GO:0005509}; extracellular matrix binding {GO:0050840}</t>
  </si>
  <si>
    <t>Neuroplastin</t>
  </si>
  <si>
    <t>Stromal cell-derived receptor 1 (SDR-1)</t>
  </si>
  <si>
    <t>NPTN_HUMAN</t>
  </si>
  <si>
    <t>Q9Y639</t>
  </si>
  <si>
    <t>B2RAL7; B7Z4D3; B7ZLL2; Q17R52; Q59EJ9; Q6NVX7; Q9Y640</t>
  </si>
  <si>
    <t>SDFR1; SDR1</t>
  </si>
  <si>
    <t>3D-structure; Alternative splicing; Cell adhesion; Cell membrane; Disulfide bond; Glycoprotein; Immunoglobulin domain; Membrane; Neurogenesis; Repeat; Signal; Transmembrane; Transmembrane helix</t>
  </si>
  <si>
    <t>Cell adhesion; Neurogenesis</t>
  </si>
  <si>
    <t>axon guidance {GO:0007411}; cellular calcium ion homeostasis {GO:0006874}; dendrite self-avoidance {GO:0070593}; excitatory synapse assembly {GO:1904861}; homophilic cell adhesion via plasma membrane adhesion molecules {GO:0007156}; long-term synaptic potentiation {GO:0060291}; negative regulation of cytokine production {GO:0001818}; positive regulation of cellular protein localization {GO:1903829}; positive regulation of cytosolic calcium ion concentration {GO:0007204}; positive regulation of ERK1 and ERK2 cascade {GO:0070374}; positive regulation of fibroblast growth factor receptor signaling pathway {GO:0045743}; positive regulation of long-term neuronal synaptic plasticity {GO:0048170}; positive regulation of long-term synaptic potentiation {GO:1900273}; positive regulation of neuron projection development {GO:0010976}; positive regulation of protein phosphorylation {GO:0001934}; regulation of receptor localization to synapse {GO:1902683}; trans-synaptic signaling by trans-synaptic complex, modulating synaptic transmission {GO:0099557}; visual learning {GO:0008542}</t>
  </si>
  <si>
    <t>axon {GO:0030424}; cell surface {GO:0009986}; dendrite {GO:0030425}; GABA-ergic synapse {GO:0098982}; glutamatergic synapse {GO:0098978}; immunological synapse {GO:0001772}; inhibitory synapse {GO:0060077}; integral component of postsynaptic density membrane {GO:0099061}; integral component of presynaptic active zone membrane {GO:0099059}; plasma membrane {GO:0005886}; presynaptic membrane {GO:0042734}; Schaffer collateral - CA1 synapse {GO:0098685}</t>
  </si>
  <si>
    <t>cell adhesion molecule binding {GO:0050839}; cell-cell adhesion mediator activity {GO:0098632}; ion channel binding {GO:0044325}; type 1 fibroblast growth factor receptor binding {GO:0005105}</t>
  </si>
  <si>
    <t>GABA receptor activation {R-HSA-977443}</t>
  </si>
  <si>
    <t>Isocitrate dehydrogenase [NADP], mitochondrial (IDH)</t>
  </si>
  <si>
    <t>ICD-M; IDP; NADP(+)-specific ICDH; Oxalosuccinate decarboxylase</t>
  </si>
  <si>
    <t>IDHP_HUMAN</t>
  </si>
  <si>
    <t>P48735</t>
  </si>
  <si>
    <t>B2R6L6; B4DFL2; Q96GT3</t>
  </si>
  <si>
    <t>3D-structure; Acetylation; Alternative splicing; Disease mutation; Glyoxylate bypass; Magnesium; Manganese; Metal-binding; Mitochondrion; NADP; Oxidoreductase; Transit peptide; Tricarboxylic acid cycle</t>
  </si>
  <si>
    <t>Glyoxylate bypass; Tricarboxylic acid cycle</t>
  </si>
  <si>
    <t>Magnesium; Manganese; Metal-binding; NADP</t>
  </si>
  <si>
    <t>2-oxoglutarate metabolic process {GO:0006103}; carbohydrate metabolic process {GO:0005975}; glyoxylate cycle {GO:0006097}; isocitrate metabolic process {GO:0006102}; NADP biosynthetic process {GO:0006741}; NADP metabolic process {GO:0006739}; negative regulation of glial cell migration {GO:1903976}; negative regulation of glial cell proliferation {GO:0060253}; negative regulation of matrix metallopeptidase secretion {GO:1904465}; tricarboxylic acid cycle {GO:0006099}</t>
  </si>
  <si>
    <t>cytosol {GO:0005829}; extracellular exosome {GO:0070062}; mitochondrial matrix {GO:0005759}; mitochondrion {GO:0005739}; peroxisome {GO:0005777}</t>
  </si>
  <si>
    <t>isocitrate dehydrogenase (NADP+) activity {GO:0004450}; magnesium ion binding {GO:0000287}; NAD binding {GO:0051287}</t>
  </si>
  <si>
    <t>Transcriptional activation of mitochondrial biogenesis {R-HSA-2151201}; Citric acid cycle (TCA cycle) {R-HSA-71403}</t>
  </si>
  <si>
    <t>Vesicle-associated membrane protein 3 (VAMP-3)</t>
  </si>
  <si>
    <t>Cellubrevin (CEB); Synaptobrevin-3</t>
  </si>
  <si>
    <t>VAMP3_HUMAN</t>
  </si>
  <si>
    <t>Q15836</t>
  </si>
  <si>
    <t>Q9BRV4</t>
  </si>
  <si>
    <t>SYB3</t>
  </si>
  <si>
    <t>Acetylation; Cell junction; Coiled coil; Membrane; Protein transport; Synapse; Synaptosome; Transmembrane; Transmembrane helix; Transport</t>
  </si>
  <si>
    <t>Cell junction; Membrane; Synapse; Synaptosome</t>
  </si>
  <si>
    <t>Coiled coil; Transmembrane; Transmembrane helix</t>
  </si>
  <si>
    <t>antigen processing and presentation of exogenous peptide antigen via MHC class I, TAP-dependent {GO:0002479}; calcium ion regulated exocytosis {GO:0017156}; cellular response to interferon-gamma {GO:0071346}; exocytosis {GO:0006887}; Golgi to plasma membrane protein transport {GO:0043001}; membrane fusion {GO:0061025}; membrane organization {GO:0061024}; negative regulation of secretion by cell {GO:1903531}; positive regulation of receptor recycling {GO:0001921}; protein-containing complex assembly {GO:0065003}; retrograde transport, endosome to Golgi {GO:0042147}; SNARE complex assembly {GO:0035493}; substrate adhesion-dependent cell spreading {GO:0034446}; vesicle docking involved in exocytosis {GO:0006904}; vesicle-mediated transport {GO:0016192}</t>
  </si>
  <si>
    <t>apical plasma membrane {GO:0016324}; cell junction {GO:0030054}; cell surface {GO:0009986}; clathrin-coated vesicle {GO:0030136}; clathrin-coated vesicle membrane {GO:0030665}; cytosol {GO:0005829}; integral component of membrane {GO:0016021}; integral component of synaptic vesicle membrane {GO:0030285}; intracellular membrane-bounded organelle {GO:0043231}; neuron projection {GO:0043005}; perinuclear region of cytoplasm {GO:0048471}; phagocytic vesicle membrane {GO:0030670}; plasma membrane {GO:0005886}; recycling endosome {GO:0055037}; recycling endosome membrane {GO:0055038}; secretory granule {GO:0030141}; SNARE complex {GO:0031201}; trans-Golgi network membrane {GO:0032588}; transport vesicle {GO:0030133}</t>
  </si>
  <si>
    <t>syntaxin-1 binding {GO:0017075}</t>
  </si>
  <si>
    <t>ER-Phagosome pathway {R-HSA-1236974}; Retrograde transport at the Trans-Golgi-Network {R-HSA-6811440}; Cargo recognition for clathrin-mediated endocytosis {R-HSA-8856825}; Clathrin-mediated endocytosis {R-HSA-8856828}</t>
  </si>
  <si>
    <t>Alpha-actinin-1</t>
  </si>
  <si>
    <t>Alpha-actinin cytoskeletal isoform; F-actin cross-linking protein; Non-muscle alpha-actinin-1</t>
  </si>
  <si>
    <t>ACTN1_HUMAN</t>
  </si>
  <si>
    <t>P12814</t>
  </si>
  <si>
    <t>B3V8S3; B4DHH3; B7TY16; Q1HE25; Q9BTN1</t>
  </si>
  <si>
    <t>3D-structure; Acetylation; Actin-binding; Alternative splicing; Calcium; Cell junction; Cell membrane; Cell projection; Cytoplasm; Cytoskeleton; Disease mutation; Membrane; Metal-binding; Phosphoprotein; Polymorphism; Repeat</t>
  </si>
  <si>
    <t>Cell junction; Cell membrane; Cell projection; Cytoplasm; Cytoskeleton; Membrane</t>
  </si>
  <si>
    <t>actin crosslink formation {GO:0051764}; actin filament bundle assembly {GO:0051017}; actin filament network formation {GO:0051639}; actin filament organization {GO:0007015}; focal adhesion assembly {GO:0048041}; negative regulation of cellular component movement {GO:0051271}; platelet degranulation {GO:0002576}; platelet formation {GO:0030220}; platelet morphogenesis {GO:0036344}; regulation of apoptotic process {GO:0042981}</t>
  </si>
  <si>
    <t>brush border {GO:0005903}; cell projection {GO:0042995}; cell-cell junction {GO:0005911}; cytoplasm {GO:0005737}; cytosol {GO:0005829}; extracellular exosome {GO:0070062}; extracellular region {GO:0005576}; extracellular space {GO:0005615}; fascia adherens {GO:0005916}; focal adhesion {GO:0005925}; glutamatergic synapse {GO:0098978}; plasma membrane {GO:0005886}; platelet alpha granule lumen {GO:0031093}; pseudopodium {GO:0031143}; ruffle {GO:0001726}; stress fiber {GO:0001725}; Z disc {GO:0030018}</t>
  </si>
  <si>
    <t>actin filament binding {GO:0051015}; calcium ion binding {GO:0005509}; double-stranded RNA binding {GO:0003725}; integrin binding {GO:0005178}; ion channel binding {GO:0044325}; nuclear receptor transcription coactivator activity {GO:0030374}; protein homodimerization activity {GO:0042803}; structural constituent of postsynapse {GO:0099186}; vinculin binding {GO:0017166}</t>
  </si>
  <si>
    <t>Platelet degranulation {R-HSA-114608}; Syndecan interactions {R-HSA-3000170}; Nephrin family interactions {R-HSA-373753}; Regulation of cytoskeletal remodeling and cell spreading by IPP complex components {R-HSA-446388}</t>
  </si>
  <si>
    <t>Myosin-6</t>
  </si>
  <si>
    <t>Myosin heavy chain 6; Myosin heavy chain, cardiac muscle alpha isoform (MyHC-alpha)</t>
  </si>
  <si>
    <t>MYH6_HUMAN</t>
  </si>
  <si>
    <t>P13533</t>
  </si>
  <si>
    <t>A2RTX1; D9YZU2; Q13943; Q14906; Q14907</t>
  </si>
  <si>
    <t>MYHCA</t>
  </si>
  <si>
    <t>Actin-binding; ATP-binding; Atrial septal defect; Calmodulin-binding; Cardiomyopathy; Coiled coil; Cytoplasm; Disease mutation; Methylation; Motor protein; Muscle protein; Myosin; Nucleotide-binding; Phosphoprotein; Polymorphism; Thick filament</t>
  </si>
  <si>
    <t>Cytoplasm; Thick filament</t>
  </si>
  <si>
    <t>Atrial septal defect; Cardiomyopathy; Disease mutation</t>
  </si>
  <si>
    <t>Actin-binding; Calmodulin-binding; Motor protein; Muscle protein; Myosin</t>
  </si>
  <si>
    <t>adult heart development {GO:0007512}; ATP metabolic process {GO:0046034}; atrial cardiac muscle tissue morphogenesis {GO:0055009}; BMP signaling pathway {GO:0030509}; canonical Wnt signaling pathway {GO:0060070}; cardiac muscle contraction {GO:0060048}; cardiac muscle fiber development {GO:0048739}; cardiac muscle hypertrophy in response to stress {GO:0014898}; in utero embryonic development {GO:0001701}; muscle contraction {GO:0006936}; muscle filament sliding {GO:0030049}; myofibril assembly {GO:0030239}; regulation of ATPase activity {GO:0043462}; regulation of blood pressure {GO:0008217}; regulation of heart contraction {GO:0008016}; regulation of heart growth {GO:0060420}; regulation of heart rate {GO:0002027}; regulation of the force of heart contraction {GO:0002026}; sarcomere organization {GO:0045214}; striated muscle contraction {GO:0006941}; ventricular cardiac muscle tissue morphogenesis {GO:0055010}; visceral muscle development {GO:0007522}</t>
  </si>
  <si>
    <t>cytosol {GO:0005829}; muscle myosin complex {GO:0005859}; myofibril {GO:0030016}; myosin complex {GO:0016459}; myosin filament {GO:0032982}; sarcomere {GO:0030017}; stress fiber {GO:0001725}; Z disc {GO:0030018}</t>
  </si>
  <si>
    <t>actin filament binding {GO:0051015}; actin-dependent ATPase activity {GO:0030898}; ATP binding {GO:0005524}; ATPase activity {GO:0016887}; calmodulin binding {GO:0005516}; microfilament motor activity {GO:0000146}; myosin phosphatase activity {GO:0017018}; protein kinase binding {GO:0019901}</t>
  </si>
  <si>
    <t>Striated Muscle Contraction {R-HSA-390522}</t>
  </si>
  <si>
    <t>Immunoglobulin superfamily containing leucine-rich repeat protein</t>
  </si>
  <si>
    <t>ISLR_HUMAN</t>
  </si>
  <si>
    <t>O14498</t>
  </si>
  <si>
    <t>Disulfide bond; Glycoprotein; Immunoglobulin domain; Leucine-rich repeat; Polymorphism; Repeat; Secreted; Signal</t>
  </si>
  <si>
    <t>Immunoglobulin domain; Leucine-rich repeat; Repeat; Signal</t>
  </si>
  <si>
    <t>cell adhesion {GO:0007155}; platelet degranulation {GO:0002576}</t>
  </si>
  <si>
    <t>extracellular exosome {GO:0070062}; extracellular region {GO:0005576}; platelet alpha granule lumen {GO:0031093}</t>
  </si>
  <si>
    <t>Platelet degranulation {R-HSA-114608}</t>
  </si>
  <si>
    <t>Interferon-stimulated gene 20 kDa protein</t>
  </si>
  <si>
    <t>Estrogen-regulated transcript 45 protein; Promyelocytic leukemia nuclear body-associated protein ISG20</t>
  </si>
  <si>
    <t>ISG20_HUMAN</t>
  </si>
  <si>
    <t>Q96AZ6</t>
  </si>
  <si>
    <t>O00441; O00586</t>
  </si>
  <si>
    <t>HEM45</t>
  </si>
  <si>
    <t>3D-structure; Alternative splicing; Antiviral defense; Cytoplasm; Exonuclease; Hydrolase; Immunity; Innate immunity; Manganese; Metal-binding; Nuclease; Nucleus; RNA-binding; rRNA processing</t>
  </si>
  <si>
    <t>Antiviral defense; Immunity; Innate immunity; rRNA processing</t>
  </si>
  <si>
    <t>Manganese; Metal-binding</t>
  </si>
  <si>
    <t>Exonuclease; Hydrolase; Nuclease; RNA-binding</t>
  </si>
  <si>
    <t>defense response to virus {GO:0051607}; DNA catabolic process, exonucleolytic {GO:0000738}; negative regulation of viral genome replication {GO:0045071}; response to virus {GO:0009615}; RNA catabolic process {GO:0006401}; rRNA processing {GO:0006364}; type I interferon signaling pathway {GO:0060337}</t>
  </si>
  <si>
    <t>Cajal body {GO:0015030}; cytoplasm {GO:0005737}; nucleolus {GO:0005730}; nucleoplasm {GO:0005654}; nucleus {GO:0005634}; PML body {GO:0016605}</t>
  </si>
  <si>
    <t>3'-5'-exoribonuclease activity {GO:0000175}; exonuclease activity {GO:0004527}; exoribonuclease II activity {GO:0008859}; metal ion binding {GO:0046872}; single-stranded DNA 3'-5' exodeoxyribonuclease activity {GO:0008310}; U1 snRNA binding {GO:0030619}; U2 snRNA binding {GO:0030620}; U3 snoRNA binding {GO:0034511}</t>
  </si>
  <si>
    <t>Interferon alpha/beta signaling {R-HSA-909733}</t>
  </si>
  <si>
    <t>Cellular retinoic acid-binding protein 1</t>
  </si>
  <si>
    <t>Cellular retinoic acid-binding protein I (CRABP-I)</t>
  </si>
  <si>
    <t>RABP1_HUMAN</t>
  </si>
  <si>
    <t>P29762</t>
  </si>
  <si>
    <t>Q6IAY7; Q8WTV5</t>
  </si>
  <si>
    <t>RBP5</t>
  </si>
  <si>
    <t>Cytoplasm; Retinol-binding; Transport; Vitamin A</t>
  </si>
  <si>
    <t>Retinol-binding; Vitamin A</t>
  </si>
  <si>
    <t>multicellular organism development {GO:0007275}; retinoic acid catabolic process {GO:0034653}; signal transduction {GO:0007165}</t>
  </si>
  <si>
    <t>retinal binding {GO:0016918}; retinoic acid binding {GO:0001972}; retinoid binding {GO:0005501}; retinol binding {GO:0019841}</t>
  </si>
  <si>
    <t>RA biosynthesis pathway {R-HSA-5365859}</t>
  </si>
  <si>
    <t>CD160 antigen, soluble form</t>
  </si>
  <si>
    <t>Natural killer cell receptor BY55; CD_antigen=CD160</t>
  </si>
  <si>
    <t>BY55_HUMAN</t>
  </si>
  <si>
    <t>O95971</t>
  </si>
  <si>
    <t>A0A0B4J2A1; B8PRF2; Q5T2V6</t>
  </si>
  <si>
    <t>Adaptive immunity; Alternative splicing; Angiogenesis; Cell membrane; Disulfide bond; Glycoprotein; GPI-anchor; Immunity; Immunoglobulin domain; Innate immunity; Lipoprotein; Membrane; Polymorphism; Receptor; Secreted; Signal</t>
  </si>
  <si>
    <t>Adaptive immunity; Angiogenesis; Immunity; Innate immunity</t>
  </si>
  <si>
    <t>Immunoglobulin domain; Signal</t>
  </si>
  <si>
    <t>Disulfide bond; GPI-anchor; Glycoprotein; Lipoprotein</t>
  </si>
  <si>
    <t>adaptive immune response {GO:0002250}; angiogenesis {GO:0001525}; defense response to Gram-negative bacterium {GO:0050829}; innate immune response {GO:0045087}; mucosal immune response {GO:0002385}; negative regulation of adaptive immune memory response {GO:1905675}; negative regulation of angiogenesis {GO:0016525}; negative regulation of CD4-positive, alpha-beta T cell costimulation {GO:1900280}; negative regulation of T cell receptor signaling pathway {GO:0050860}; phosphatidylinositol 3-kinase signaling {GO:0014065}; positive regulation of endothelial cell apoptotic process {GO:2000353}; positive regulation of interferon-gamma secretion {GO:1902715}; positive regulation of natural killer cell cytokine production {GO:0002729}; positive regulation of natural killer cell degranulation {GO:0043323}; positive regulation of natural killer cell mediated cytotoxicity {GO:0045954}; positive regulation of natural killer cell mediated immune response to tumor cell {GO:0002857}; regulation of immune response {GO:0050776}; T cell costimulation {GO:0031295}</t>
  </si>
  <si>
    <t>anchored component of plasma membrane {GO:0046658}; extracellular region {GO:0005576}; plasma membrane {GO:0005886}</t>
  </si>
  <si>
    <t>activating MHC class I receptor activity {GO:0032397}; kinase binding {GO:0019900}; MHC class I protein complex binding {GO:0023024}; MHC class I receptor activity {GO:0032393}; MHC class Ib receptor activity {GO:0032394}; signaling receptor binding {GO:0005102}</t>
  </si>
  <si>
    <t>Fumarylacetoacetase (FAA)</t>
  </si>
  <si>
    <t>Beta-diketonase; Fumarylacetoacetate hydrolase</t>
  </si>
  <si>
    <t>FAAA_HUMAN</t>
  </si>
  <si>
    <t>P16930</t>
  </si>
  <si>
    <t>B2R9X1; D3DW95; Q53XA7</t>
  </si>
  <si>
    <t>Acetylation; Alternative splicing; Calcium; Disease mutation; Hydrolase; Magnesium; Metal-binding; Phenylalanine catabolism; Phosphoprotein; Tyrosine catabolism</t>
  </si>
  <si>
    <t>Calcium; Magnesium; Metal-binding</t>
  </si>
  <si>
    <t>arginine catabolic process {GO:0006527}; homogentisate catabolic process {GO:1902000}; L-phenylalanine catabolic process {GO:0006559}; tyrosine catabolic process {GO:0006572}</t>
  </si>
  <si>
    <t>fumarylacetoacetase activity {GO:0004334}; metal ion binding {GO:0046872}</t>
  </si>
  <si>
    <t>Amino-acid degradation; L-phenylalanine degradation; acetoacetate and fumarate from L-phenylalanine: step 6/6.</t>
  </si>
  <si>
    <t>Phenylalanine and tyrosine catabolism {R-HSA-71182}</t>
  </si>
  <si>
    <t>40S ribosomal protein S14</t>
  </si>
  <si>
    <t>Small ribosomal subunit protein uS11</t>
  </si>
  <si>
    <t>RS14_HUMAN</t>
  </si>
  <si>
    <t>P62263</t>
  </si>
  <si>
    <t>B2R5G5; D3DQG5; P06366; Q5BJI0</t>
  </si>
  <si>
    <t>3D-structure; Isopeptide bond; Phosphoprotein; Ribonucleoprotein; Ribosomal protein; Ubl conjugation</t>
  </si>
  <si>
    <t>erythrocyte differentiation {GO:0030218}; maturation of SSU-rRNA {GO:0030490}; maturation of SSU-rRNA from tricistronic rRNA transcript (SSU-rRNA, 5.8S rRNA, LSU-rRNA) {GO:0000462}; negative regulation of transcription by RNA polymerase II {GO:0000122}; nuclear-transcribed mRNA catabolic process, nonsense-mediated decay {GO:0000184}; ribosomal small subunit assembly {GO:0000028};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</si>
  <si>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nucleolus {GO:0005730}; nucleoplasm {GO:0005654}; postsynaptic density {GO:0014069}</t>
  </si>
  <si>
    <t>mRNA 5'-UTR binding {GO:0048027}; RNA binding {GO:0003723}; small ribosomal subunit rRNA binding {GO:0070181}; structural constituent of ribosome {GO:0003735}; translation regulator activity {GO:0045182}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</si>
  <si>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rRNA modification in the nucleus and cytosol {R-HSA-6790901}; Major pathway of rRNA processing in the nucleolus and cytosol {R-HSA-6791226};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</si>
  <si>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Corticosteroid-binding globulin (CBG)</t>
  </si>
  <si>
    <t>Serpin A6; Transcortin</t>
  </si>
  <si>
    <t>CBG_HUMAN</t>
  </si>
  <si>
    <t>P08185</t>
  </si>
  <si>
    <t>A8K456; Q7Z2Q9</t>
  </si>
  <si>
    <t>CBG</t>
  </si>
  <si>
    <t>3D-structure; Disease mutation; Glycoprotein; Lipid-binding; Polymorphism; Secreted; Signal; Steroid-binding; Transport</t>
  </si>
  <si>
    <t>Lipid-binding; Steroid-binding</t>
  </si>
  <si>
    <t>glucocorticoid metabolic process {GO:0008211}; negative regulation of endopeptidase activity {GO:0010951}</t>
  </si>
  <si>
    <t>extracellular exosome {GO:0070062}; extracellular space {GO:0005615}</t>
  </si>
  <si>
    <t>serine-type endopeptidase inhibitor activity {GO:0004867}; steroid binding {GO:0005496}</t>
  </si>
  <si>
    <t>Glia maturation factor beta (GMF-beta)</t>
  </si>
  <si>
    <t>GMFB_HUMAN</t>
  </si>
  <si>
    <t>P60983</t>
  </si>
  <si>
    <t>B2R499; P17774; Q9BS35</t>
  </si>
  <si>
    <t>Acetylation; Growth factor; Phosphoprotein</t>
  </si>
  <si>
    <t>Growth factor</t>
  </si>
  <si>
    <t>actin filament debranching {GO:0071846}; learning {GO:0007612}; locomotory behavior {GO:0007626}; negative regulation of Arp2/3 complex-mediated actin nucleation {GO:0034316}; nervous system development {GO:0007399}; protein phosphorylation {GO:0006468}</t>
  </si>
  <si>
    <t>actin cortical patch {GO:0030479}</t>
  </si>
  <si>
    <t>actin binding {GO:0003779}; Arp2/3 complex binding {GO:0071933}; enzyme activator activity {GO:0008047}; growth factor activity {GO:0008083}; protein kinase inhibitor activity {GO:0004860}</t>
  </si>
  <si>
    <t>Putative transmembrane protein INAFM2</t>
  </si>
  <si>
    <t>InaF-motif-containing protein 2; Osteogenesis up-regulated transcript 1</t>
  </si>
  <si>
    <t>INAM2_HUMAN</t>
  </si>
  <si>
    <t>P0DMQ5</t>
  </si>
  <si>
    <t>Membrane; Transmembrane; Transmembrane helix</t>
  </si>
  <si>
    <t>calcium channel regulator activity {GO:0005246}</t>
  </si>
  <si>
    <t>Retinol dehydrogenase 12</t>
  </si>
  <si>
    <t>All-trans and 9-cis retinol dehydrogenase; Short chain dehydrogenase/reductase family 7C member 2</t>
  </si>
  <si>
    <t>RDH12_HUMAN</t>
  </si>
  <si>
    <t>Q96NR8</t>
  </si>
  <si>
    <t>B2RDA2; Q8TAW6</t>
  </si>
  <si>
    <t>SDR7C2</t>
  </si>
  <si>
    <t>Disease mutation; Endoplasmic reticulum; Leber congenital amaurosis; Membrane; NADP; Oxidoreductase; Polymorphism; Retinitis pigmentosa; Sensory transduction; Vision</t>
  </si>
  <si>
    <t>Sensory transduction; Vision</t>
  </si>
  <si>
    <t>Disease mutation; Leber congenital amaurosis; Retinitis pigmentosa</t>
  </si>
  <si>
    <t>NADP</t>
  </si>
  <si>
    <t>cellular detoxification of aldehyde {GO:0110095}; photoreceptor cell maintenance {GO:0045494}; retinoid metabolic process {GO:0001523}; retinol metabolic process {GO:0042572}; visual perception {GO:0007601}</t>
  </si>
  <si>
    <t>endoplasmic reticulum membrane {GO:0005789}; photoreceptor inner segment {GO:0001917}; photoreceptor inner segment membrane {GO:0060342}</t>
  </si>
  <si>
    <t>NADP-retinol dehydrogenase activity {GO:0052650}; retinol dehydrogenase activity {GO:0004745}</t>
  </si>
  <si>
    <t>Cofactor metabolism; retinol metabolism.</t>
  </si>
  <si>
    <t>Retinoid cycle disease events {R-HSA-2453864}; The canonical retinoid cycle in rods (twilight vision) {R-HSA-2453902}</t>
  </si>
  <si>
    <t>Pyruvate kinase PKM</t>
  </si>
  <si>
    <t>Cytosolic thyroid hormone-binding protein (CTHBP); Opa-interacting protein 3 (OIP-3); Pyruvate kinase 2/3; Pyruvate kinase muscle isozyme; Thyroid hormone-binding protein 1 (THBP1); Tumor M2-PK; p58</t>
  </si>
  <si>
    <t>KPYM_HUMAN</t>
  </si>
  <si>
    <t>P14618</t>
  </si>
  <si>
    <t>A6NFK3; B2R5N8; B3KRY0; B4DFX8; B4DUU6; P14786; Q53GK4; Q96E76; Q9BWB5; Q9UCV6; Q9UPF2</t>
  </si>
  <si>
    <t>OIP3; PK2; PK3; PKM2</t>
  </si>
  <si>
    <t>3D-structure; Acetylation; Allosteric enzyme; Alternative splicing; ATP-binding; Cytoplasm; Glycolysis; Hydroxylation; Isopeptide bond; Kinase; Magnesium; Metal-binding; Methylation; Nucleotide-binding; Nucleus; Phosphoprotein; Polymorphism; Potassium; Pyruvate; Transferase; Ubl conjugation</t>
  </si>
  <si>
    <t>Glycolysis</t>
  </si>
  <si>
    <t>ATP-binding; Magnesium; Metal-binding; Nucleotide-binding; Potassium; Pyruvate</t>
  </si>
  <si>
    <t>Allosteric enzyme; Kinase; Transferase</t>
  </si>
  <si>
    <t>Acetylation; Hydroxylation; Isopeptide bond; Methylation; Phosphoprotein; Ubl conjugation</t>
  </si>
  <si>
    <t>animal organ regeneration {GO:0031100}; ATP biosynthetic process {GO:0006754}; canonical glycolysis {GO:0061621}; cellular response to insulin stimulus {GO:0032869}; glycolytic process {GO:0006096}; liver development {GO:0001889}; neutrophil degranulation {GO:0043312}; positive regulation of sprouting angiogenesis {GO:1903672}; programmed cell death {GO:0012501}; protein homotetramerization {GO:0051289}; pyruvate biosynthetic process {GO:0042866}; response to gravity {GO:0009629}; response to hypoxia {GO:0001666}; response to muscle inactivity {GO:0014870}; response to nutrient {GO:0007584}; skeletal muscle tissue regeneration {GO:0043403}</t>
  </si>
  <si>
    <t>cilium {GO:0005929}; collagen-containing extracellular matrix {GO:0062023}; cytoplasm {GO:0005737}; cytosol {GO:0005829}; extracellular exosome {GO:0070062}; extracellular region {GO:0005576}; extracellular vesicle {GO:1903561}; ficolin-1-rich granule lumen {GO:1904813}; mitochondrion {GO:0005739}; nucleus {GO:0005634}; pyruvate kinase complex {GO:1902912}; secretory granule lumen {GO:0034774}; vesicle {GO:0031982}</t>
  </si>
  <si>
    <t>ADP binding {GO:0043531}; ATP binding {GO:0005524}; cadherin binding {GO:0045296}; identical protein binding {GO:0042802}; kinase activity {GO:0016301}; magnesium ion binding {GO:0000287}; MHC class II protein complex binding {GO:0023026}; potassium ion binding {GO:0030955}; pyruvate kinase activity {GO:0004743}; RNA binding {GO:0003723}; thyroid hormone binding {GO:0070324}</t>
  </si>
  <si>
    <t>Carbohydrate degradation; glycolysis; pyruvate from D- glyceraldehyde 3-phosphate: step 5/5.</t>
  </si>
  <si>
    <t>Neutrophil degranulation {R-HSA-6798695}; Glycolysis {R-HSA-70171}</t>
  </si>
  <si>
    <t>Trans-3-hydroxy-L-proline dehydratase</t>
  </si>
  <si>
    <t>Trans-L-3-hydroxyproline dehydratase</t>
  </si>
  <si>
    <t>T3HPD_HUMAN</t>
  </si>
  <si>
    <t>Q96EM0</t>
  </si>
  <si>
    <t>Q96LJ5</t>
  </si>
  <si>
    <t>C14orf149</t>
  </si>
  <si>
    <t>Lyase; Polymorphism</t>
  </si>
  <si>
    <t>Lyase</t>
  </si>
  <si>
    <t>hydro-lyase activity {GO:0016836}; trans-L-3-hydroxyproline dehydratase activity {GO:0050346}</t>
  </si>
  <si>
    <t>Cartilage intermediate layer protein 1 C2</t>
  </si>
  <si>
    <t>Cartilage intermediate-layer protein</t>
  </si>
  <si>
    <t>CILP1_HUMAN</t>
  </si>
  <si>
    <t>O75339</t>
  </si>
  <si>
    <t>B2R8F7; Q6UW99; Q8IYI5</t>
  </si>
  <si>
    <t>Cleavage on pair of basic residues; Disulfide bond; Extracellular matrix; Glycoprotein; Immunoglobulin domain; Polymorphism; Secreted; Signal</t>
  </si>
  <si>
    <t>cellular response to transforming growth factor beta stimulus {GO:0071560}; dephosphorylation {GO:0016311}; negative regulation of gene expression {GO:0010629}; negative regulation of insulin-like growth factor receptor signaling pathway {GO:0043569}; negative regulation of SMAD protein signal transduction {GO:0060392}</t>
  </si>
  <si>
    <t>collagen-containing extracellular matrix {GO:0062023}; extracellular exosome {GO:0070062}; extracellular space {GO:0005615}</t>
  </si>
  <si>
    <t>Signaling by Type 1 Insulin-like Growth Factor 1 Receptor (IGF1R) {R-HSA-2404192}</t>
  </si>
  <si>
    <t>Protein/nucleic acid deglycase DJ-1</t>
  </si>
  <si>
    <t>Maillard deglycase; Oncogene DJ1; Parkinson disease protein 7; Parkinsonism-associated deglycase; Protein DJ-1 (DJ-1)</t>
  </si>
  <si>
    <t>PARK7_HUMAN</t>
  </si>
  <si>
    <t>Q99497</t>
  </si>
  <si>
    <t>B2R4Z1; O14805; Q6DR95; Q7LFU2</t>
  </si>
  <si>
    <t>3D-structure; Acetylation; Autophagy; Cell membrane; Chaperone; Copper; Cytoplasm; Disease mutation; DNA damage; DNA repair; Fertilization; Hydrolase; Inflammatory response; Isopeptide bond; Lipoprotein; Membrane; Mitochondrion; Neurodegeneration; Nucleus; Oxidation; Palmitate; Parkinson disease; Parkinsonism; Phosphoprotein; Polymorphism; Protease; RNA-binding; Stress response; Tumor suppressor; Ubl conjugation; Zymogen</t>
  </si>
  <si>
    <t>Autophagy; DNA damage; DNA repair; Fertilization; Inflammatory response; Stress response</t>
  </si>
  <si>
    <t>Cell membrane; Cytoplasm; Membrane; Mitochondrion; Nucleus</t>
  </si>
  <si>
    <t>Disease mutation; Neurodegeneration; Parkinson disease; Parkinsonism; Tumor suppressor</t>
  </si>
  <si>
    <t>Copper</t>
  </si>
  <si>
    <t>Chaperone; Hydrolase; Protease; RNA-binding</t>
  </si>
  <si>
    <t>Acetylation; Isopeptide bond; Lipoprotein; Oxidation; Palmitate; Phosphoprotein; Ubl conjugation; Zymogen</t>
  </si>
  <si>
    <t>activation of protein kinase B activity {GO:0032148}; adult locomotory behavior {GO:0008344}; autophagy {GO:0006914}; cellular response to glyoxal {GO:0036471}; cellular response to hydrogen peroxide {GO:0070301}; cellular response to oxidative stress {GO:0034599}; detoxification of copper ion {GO:0010273}; detoxification of mercury ion {GO:0050787}; DNA repair {GO:0006281}; dopamine uptake involved in synaptic transmission {GO:0051583}; enzyme active site formation via L-cysteine sulfinic acid {GO:0018323}; glucose homeostasis {GO:0042593}; glutathione deglycation {GO:0036531}; glycolate biosynthetic process {GO:0046295}; glyoxal metabolic process {GO:1903189}; guanine deglycation {GO:0106044}; guanine deglycation, glyoxal removal {GO:0106046}; guanine deglycation, methylglyoxal removal {GO:0106045}; hydrogen peroxide metabolic process {GO:0042743}; inflammatory response {GO:0006954}; insulin secretion {GO:0030073}; lactate biosynthetic process {GO:0019249}; membrane depolarization {GO:0051899}; membrane hyperpolarization {GO:0060081}; methylglyoxal metabolic process {GO:0009438}; mitochondrion organization {GO:0007005}; negative regulation of apoptotic process {GO:0043066}; negative regulation of cell death {GO:0060548}; negative regulation of cysteine-type endopeptidase activity involved in apoptotic signaling pathway {GO:2001268}; negative regulation of death-inducing signaling complex assembly {GO:1903073}; negative regulation of endoplasmic reticulum stress-induced intrinsic apoptotic signaling pathway {GO:1902236}; negative regulation of extrinsic apoptotic signaling pathway {GO:2001237}; negative regulation of gene expression {GO:0010629}; negative regulation of hydrogen peroxide-induced cell death {GO:1903206}; negative regulation of hydrogen peroxide-induced neuron death {GO:1903208}; negative regulation of hydrogen peroxide-induced neuron intrinsic apoptotic signaling pathway {GO:1903384}; negative regulation of neuron apoptotic process {GO:0043524}; negative regulation of neuron death {GO:1901215}; negative regulation of nitrosative stress-induced intrinsic apoptotic signaling pathway {GO:1905259}; negative regulation of oxidative stress-induced cell death {GO:1903202}; negative regulation of oxidative stress-induced neuron intrinsic apoptotic signaling pathway {GO:1903377}; negative regulation of proteasomal ubiquitin-dependent protein catabolic process {GO:0032435}; negative regulation of protein acetylation {GO:1901984}; negative regulation of protein binding {GO:0032091}; negative regulation of protein export from nucleus {GO:0046826}; negative regulation of protein K48-linked deubiquitination {GO:1903094}; negative regulation of protein kinase activity {GO:0006469}; negative regulation of protein phosphorylation {GO:0001933}; negative regulation of protein sumoylation {GO:0033234}; negative regulation of protein ubiquitination {GO:0031397}; negative regulation of reactive oxygen species biosynthetic process {GO:1903427}; negative regulation of TRAIL-activated apoptotic signaling pathway {GO:1903122}; negative regulation of ubiquitin-protein transferase activity {GO:0051444}; negative regulation of ubiquitin-specific protease activity {GO:2000157}; peptidyl-arginine deglycation {GO:0036527}; peptidyl-cysteine deglycation {GO:0036526}; peptidyl-lysine deglycation {GO:0036528}; positive regulation of acute inflammatory response to antigenic stimulus {GO:0002866}; positive regulation of androgen receptor activity {GO:2000825}; positive regulation of autophagy of mitochondrion {GO:1903599}; positive regulation of DNA-binding transcription factor activity {GO:0051091}; positive regulation of dopamine biosynthetic process {GO:1903181}; positive regulation of gene expression {GO:0010628}; positive regulation of interleukin-8 production {GO:0032757}; positive regulation of L-dopa biosynthetic process {GO:1903197}; positive regulation of L-dopa decarboxylase activity {GO:1903200}; positive regulation of mitochondrial electron transport, NADH to ubiquinone {GO:1902958}; positive regulation of NAD(P)H oxidase activity {GO:0033864}; positive regulation of oxidative phosphorylation uncoupler activity {GO:2000277}; positive regulation of oxidative stress-induced intrinsic apoptotic signaling pathway {GO:1902177}; positive regulation of peptidyl-serine phosphorylation {GO:0033138}; positive regulation of protein homodimerization activity {GO:0090073}; positive regulation of protein kinase B signaling {GO:0051897}; positive regulation of protein localization to nucleus {GO:1900182}; positive regulation of pyrroline-5-carboxylate reductase activity {GO:1903168}; positive regulation of reactive oxygen species biosynthetic process {GO:1903428}; positive regulation of superoxide dismutase activity {GO:1901671}; positive regulation of transcription by RNA polymerase II {GO:0045944}; positive regulation of transcription regulatory region DNA binding {GO:2000679}; positive regulation of tyrosine 3-monooxygenase activity {GO:1903178}; protein deglycation, glyoxal removal {GO:0036529}; protein deglycation, methylglyoxal removal {GO:0036530}; protein deglycosylation {GO:0006517}; protein stabilization {GO:0050821}; Ras protein signal transduction {GO:0007265}; regulation of androgen receptor signaling pathway {GO:0060765}; regulation of inflammatory response {GO:0050727}; regulation of mitochondrial membrane potential {GO:0051881}; regulation of neuron apoptotic process {GO:0043523}; regulation of supramolecular fiber organization {GO:1902903}; single fertilization {GO:0007338}</t>
  </si>
  <si>
    <t>axon {GO:0030424}; cell body {GO:0044297}; cell-cell adherens junction {GO:0005913}; chromatin {GO:0000785}; cytoplasm {GO:0005737}; cytosol {GO:0005829}; endoplasmic reticulum {GO:0005783}; extracellular exosome {GO:0070062}; membrane raft {GO:0045121}; mitochondrial intermembrane space {GO:0005758}; mitochondrial matrix {GO:0005759}; mitochondrion {GO:0005739}; nucleoplasm {GO:0005654}; nucleus {GO:0005634}; perinuclear region of cytoplasm {GO:0048471}; plasma membrane {GO:0005886}; PML body {GO:0016605}; presynapse {GO:0098793}</t>
  </si>
  <si>
    <t>androgen receptor binding {GO:0050681}; cadherin binding {GO:0045296}; copper ion binding {GO:0005507}; cupric ion binding {GO:1903135}; cuprous ion binding {GO:1903136}; cytokine binding {GO:0019955}; enzyme binding {GO:0019899}; identical protein binding {GO:0042802}; kinase binding {GO:0019900}; L-dopa decarboxylase activator activity {GO:0036478}; mercury ion binding {GO:0045340}; mRNA binding {GO:0003729}; oxidoreductase activity, acting on peroxide as acceptor {GO:0016684}; peptidase activity {GO:0008233}; peroxiredoxin activity {GO:0051920}; protein deglycase activity {GO:0036524}; protein homodimerization activity {GO:0042803}; repressing transcription factor binding {GO:0070491}; scaffold protein binding {GO:0097110}; signaling receptor binding {GO:0005102}; small protein activating enzyme binding {GO:0044388}; superoxide dismutase copper chaperone activity {GO:0016532}; transcription coactivator activity {GO:0003713}; transcription factor binding {GO:0008134}; tyrosine 3-monooxygenase activator activity {GO:0036470}; ubiquitin-like protein conjugating enzyme binding {GO:0044390}; ubiquitin-specific protease binding {GO:1990381}</t>
  </si>
  <si>
    <t>SUMOylation of transcription cofactors {R-HSA-3899300}</t>
  </si>
  <si>
    <t>Legumain</t>
  </si>
  <si>
    <t>Asparaginyl endopeptidase; Protease, cysteine 1</t>
  </si>
  <si>
    <t>LGMN_HUMAN</t>
  </si>
  <si>
    <t>Q99538</t>
  </si>
  <si>
    <t>O00123; Q86TV2; Q86TV3; Q9BTY1</t>
  </si>
  <si>
    <t>PRSC1</t>
  </si>
  <si>
    <t>3D-structure; Alternative splicing; Disulfide bond; Glycoprotein; Hydrolase; Lysosome; Polymorphism; Protease; Signal; Thiol protease; Zymogen</t>
  </si>
  <si>
    <t>activation of cysteine-type endopeptidase activity {GO:0097202}; antigen processing and presentation of exogenous peptide antigen via MHC class II {GO:0019886}; associative learning {GO:0008306}; cellular response to amyloid-beta {GO:1904646}; cellular response to calcium ion {GO:0071277}; cellular response to hepatocyte growth factor stimulus {GO:0035729}; dendritic spine organization {GO:0097061}; memory {GO:0007613}; negative regulation of ERBB signaling pathway {GO:1901185}; negative regulation of gene expression {GO:0010629}; negative regulation of multicellular organism growth {GO:0040015}; negative regulation of neuron apoptotic process {GO:0043524}; positive regulation of cell population proliferation {GO:0008284}; positive regulation of endothelial cell chemotaxis {GO:2001028}; positive regulation of long-term synaptic potentiation {GO:1900273}; positive regulation of mitotic cell cycle {GO:0045931}; positive regulation of monocyte chemotaxis {GO:0090026}; proteolysis {GO:0006508}; proteolysis involved in cellular protein catabolic process {GO:0051603}; receptor catabolic process {GO:0032801}; renal system process {GO:0003014}; response to acidic pH {GO:0010447}; self proteolysis {GO:0097264}; toll-like receptor signaling pathway {GO:0002224}; vacuolar protein processing {GO:0006624}; vitamin D metabolic process {GO:0042359}</t>
  </si>
  <si>
    <t>apical part of cell {GO:0045177}; cytoplasm {GO:0005737}; endolysosome lumen {GO:0036021}; extracellular exosome {GO:0070062}; extracellular region {GO:0005576}; late endosome {GO:0005770}; lysosomal lumen {GO:0043202}; lysosome {GO:0005764}; perinuclear region of cytoplasm {GO:0048471}</t>
  </si>
  <si>
    <t>cysteine-type endopeptidase activity {GO:0004197}; peptidase activity {GO:0008233}; tau protein binding {GO:0048156}</t>
  </si>
  <si>
    <t>Trafficking and processing of endosomal TLR {R-HSA-1679131}; Vitamin D (calciferol) metabolism {R-HSA-196791}; MHC class II antigen presentation {R-HSA-2132295}</t>
  </si>
  <si>
    <t>Ribonuclease pancreatic</t>
  </si>
  <si>
    <t>HP-RNase; RIB-1; RNase UpI-1; Ribonuclease 1 (RNase 1); Ribonuclease A (RNase A)</t>
  </si>
  <si>
    <t>RNAS1_HUMAN</t>
  </si>
  <si>
    <t>P07998</t>
  </si>
  <si>
    <t>B2R589; D3DS06; Q16830; Q16869; Q1KHR2; Q6ICS5; Q9UCB4; Q9UCB5</t>
  </si>
  <si>
    <t>RIB1; RNS1</t>
  </si>
  <si>
    <t>3D-structure; Disulfide bond; Endonuclease; Glycoprotein; Hydrolase; Lyase; Nuclease; Secreted; Signal</t>
  </si>
  <si>
    <t>Endonuclease; Hydrolase; Lyase; Nuclease</t>
  </si>
  <si>
    <t>RNA phosphodiester bond hydrolysis {GO:0090501}</t>
  </si>
  <si>
    <t>extracellular exosome {GO:0070062}</t>
  </si>
  <si>
    <t>lyase activity {GO:0016829}; nucleic acid binding {GO:0003676}; ribonuclease A activity {GO:0004522}; ribonuclease activity {GO:0004540}</t>
  </si>
  <si>
    <t>Cofilin-2</t>
  </si>
  <si>
    <t>Cofilin, muscle isoform</t>
  </si>
  <si>
    <t>COF2_HUMAN</t>
  </si>
  <si>
    <t>Q9Y281</t>
  </si>
  <si>
    <t>G3V5P4</t>
  </si>
  <si>
    <t>Acetylation; Actin-binding; Alternative splicing; Cytoplasm; Cytoskeleton; Disease mutation; Nemaline myopathy; Nucleus; Phosphoprotein; Polymorphism</t>
  </si>
  <si>
    <t>Cytoplasm; Cytoskeleton; Nucleus</t>
  </si>
  <si>
    <t>Disease mutation; Nemaline myopathy</t>
  </si>
  <si>
    <t>actin filament depolymerization {GO:0030042}; actin filament fragmentation {GO:0030043}; muscle cell cellular homeostasis {GO:0046716}; positive regulation of actin filament depolymerization {GO:0030836}; sarcomere organization {GO:0045214}; skeletal muscle tissue development {GO:0007519}</t>
  </si>
  <si>
    <t>actin cytoskeleton {GO:0015629}; extracellular exosome {GO:0070062}; extracellular space {GO:0005615}; I band {GO:0031674}; nuclear matrix {GO:0016363}; Z disc {GO:0030018}</t>
  </si>
  <si>
    <t>actin filament binding {GO:0051015}</t>
  </si>
  <si>
    <t>Chondroitin sulfate proteoglycan 4</t>
  </si>
  <si>
    <t>Chondroitin sulfate proteoglycan NG2; Melanoma chondroitin sulfate proteoglycan; Melanoma-associated chondroitin sulfate proteoglycan</t>
  </si>
  <si>
    <t>CSPG4_HUMAN</t>
  </si>
  <si>
    <t>Q6UVK1</t>
  </si>
  <si>
    <t>D3DW77; Q92675</t>
  </si>
  <si>
    <t>MCSP</t>
  </si>
  <si>
    <t>Angiogenesis; Cell membrane; Cell projection; Developmental protein; Differentiation; Disulfide bond; Glycoprotein; Membrane; Phosphoprotein; Polymorphism; Proteoglycan; Repeat; Signal; Tissue remodeling; Transducer; Transmembrane; Transmembrane helix</t>
  </si>
  <si>
    <t>Angiogenesis; Differentiation; Tissue remodeling</t>
  </si>
  <si>
    <t>Cell membrane; Cell projection; Membrane</t>
  </si>
  <si>
    <t>Developmental protein; Transducer</t>
  </si>
  <si>
    <t>Disulfide bond; Glycoprotein; Phosphoprotein; Proteoglycan</t>
  </si>
  <si>
    <t>activation of MAPK activity {GO:0000187}; angiogenesis {GO:0001525}; cell population proliferation {GO:0008283}; chondroitin sulfate biosynthetic process {GO:0030206}; chondroitin sulfate catabolic process {GO:0030207}; dermatan sulfate biosynthetic process {GO:0030208}; glial cell migration {GO:0008347}; intracellular signal transduction {GO:0035556}; positive regulation of peptidyl-tyrosine phosphorylation {GO:0050731}; tissue remodeling {GO:0048771}; transmembrane receptor protein tyrosine kinase signaling pathway {GO:0007169}</t>
  </si>
  <si>
    <t>apical plasma membrane {GO:0016324}; cell surface {GO:0009986}; collagen-containing extracellular matrix {GO:0062023}; extracellular exosome {GO:0070062}; extracellular region {GO:0005576}; focal adhesion {GO:0005925}; Golgi lumen {GO:0005796}; integral component of plasma membrane {GO:0005887}; lamellipodium membrane {GO:0031258}; lysosomal lumen {GO:0043202}</t>
  </si>
  <si>
    <t>protein kinase binding {GO:0019901}</t>
  </si>
  <si>
    <t>A tetrasaccharide linker sequence is required for GAG synthesis {R-HSA-1971475}; Chondroitin sulfate biosynthesis {R-HSA-2022870}; Dermatan sulfate biosynthesis {R-HSA-2022923}; CS/DS degradation {R-HSA-2024101}; Defective B4GALT7 causes EDS, progeroid type {R-HSA-3560783}; Defective B3GAT3 causes JDSSDHD {R-HSA-3560801}; Defective CHST3 causes SEDCJD {R-HSA-3595172}; Defective CHST14 causes EDS, musculocontractural type {R-HSA-3595174}; Defective CHSY1 causes TPBS {R-HSA-3595177}; Defective B3GALT6 causes EDSP2 and SEMDJL1 {R-HSA-4420332}</t>
  </si>
  <si>
    <t>Histone H2A type 2-A</t>
  </si>
  <si>
    <t>Histone H2A.2; Histone H2A/o</t>
  </si>
  <si>
    <t>H2A2A_HUMAN</t>
  </si>
  <si>
    <t>Q6FI13</t>
  </si>
  <si>
    <t>B2R5F0; P20670</t>
  </si>
  <si>
    <t>H2AFO; HIST2H2AA</t>
  </si>
  <si>
    <t>Acetylation; Chromosome; Citrullination; DNA-binding; Hydroxylation; Isopeptide bond; Methylation; Nucleosome core; Nucleus; Phosphoprotein; Ubl conjugation</t>
  </si>
  <si>
    <t>Chromosome; Nucleosome core; Nucleus</t>
  </si>
  <si>
    <t>DNA-binding</t>
  </si>
  <si>
    <t>Acetylation; Citrullination; Hydroxylation; Isopeptide bond; Methylation; Phosphoprotein; Ubl conjugation</t>
  </si>
  <si>
    <t>chromatin organization {GO:0006325}</t>
  </si>
  <si>
    <t>extracellular exosome {GO:0070062}; nuclear chromatin {GO:0000790}; nucleosome {GO:0000786}; nucleus {GO:0005634}</t>
  </si>
  <si>
    <t>DNA binding {GO:0003677}; protein heterodimerization activity {GO:0046982}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</si>
  <si>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HDACs deacetylate histones {R-HSA-3214815}; HATs acetylate histones {R-HSA-3214847}; RMTs methylate histone arginines {R-HSA-3214858};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UCH proteinases {R-HSA-5689603}; Ub-specific processing proteases {R-HSA-5689880}; Metalloprotease DUBs {R-HSA-5689901}; Deposition of new CENPA-containing nucleosomes at the centromere {R-HSA-606279};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</t>
  </si>
  <si>
    <t>Histone H2B type 2-E</t>
  </si>
  <si>
    <t>Histone H2B-GL105; Histone H2B.q (H2B/q)</t>
  </si>
  <si>
    <t>H2B2E_HUMAN</t>
  </si>
  <si>
    <t>Q16778</t>
  </si>
  <si>
    <t>A3KMC7; A8K110; Q4KMY1; Q5QNX0; Q9UE88</t>
  </si>
  <si>
    <t>H2BFQ</t>
  </si>
  <si>
    <t>3D-structure; Acetylation; Antibiotic; Antimicrobial; Chromosome; DNA-binding; Glycoprotein; Hydroxylation; Isopeptide bond; Methylation; Nucleosome core; Nucleus; Phosphoprotein; Ubl conjugation</t>
  </si>
  <si>
    <t>Antibiotic; Antimicrobial; DNA-binding</t>
  </si>
  <si>
    <t>Acetylation; Glycoprotein; Hydroxylation; Isopeptide bond; Methylation; Phosphoprotein; Ubl conjugation</t>
  </si>
  <si>
    <t>antibacterial humoral response {GO:0019731}; antimicrobial humoral immune response mediated by antimicrobial peptide {GO:0061844}; defense response to Gram-positive bacterium {GO:0050830}; innate immune response in mucosa {GO:0002227}; nucleosome assembly {GO:0006334}</t>
  </si>
  <si>
    <t>cytosol {GO:0005829}; extracellular exosome {GO:0070062}; extracellular space {GO:0005615}; nucleoplasm {GO:0005654}; nucleosome {GO:0000786}; nucleus {GO:0005634}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</si>
  <si>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HDACs deacetylate histones {R-HSA-3214815}; HATs acetylate histones {R-HSA-3214847};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Ub-specific processing proteases {R-HSA-5689880}; Recruitment and ATM-mediated phosphorylation of repair and signaling proteins at DNA double strand breaks {R-HSA-5693565}; Nonhomologous End-Joining (NHEJ) {R-HSA-5693571}; Processing of DNA double-strand break ends {R-HSA-5693607}; Deposition of new CENPA-containing nucleosomes at the centromere {R-HSA-606279}; G2/M DNA damage checkpoint {R-HSA-69473};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</t>
  </si>
  <si>
    <t>Fetal antigen 1</t>
  </si>
  <si>
    <t>pG2 (FA1)</t>
  </si>
  <si>
    <t>DLK1_HUMAN</t>
  </si>
  <si>
    <t>P80370</t>
  </si>
  <si>
    <t>P15803; Q96DW5</t>
  </si>
  <si>
    <t>DLK</t>
  </si>
  <si>
    <t>Alternative splicing; Cytoplasm; Disulfide bond; EGF-like domain; Glycoprotein; Membrane; Polymorphism; Repeat; Signal; Transmembrane; Transmembrane helix</t>
  </si>
  <si>
    <t>Cytoplasm; Membrane</t>
  </si>
  <si>
    <t>cell differentiation {GO:0030154}; negative regulation of Notch signaling pathway {GO:0045746}</t>
  </si>
  <si>
    <t>cytoplasm {GO:0005737}; extracellular space {GO:0005615}; integral component of membrane {GO:0016021}</t>
  </si>
  <si>
    <t>calcium ion binding {GO:0005509}</t>
  </si>
  <si>
    <t>Activated NOTCH1 Transmits Signal to the Nucleus {R-HSA-2122948}</t>
  </si>
  <si>
    <t>Prostaglandin reductase 2 (PRG-2)</t>
  </si>
  <si>
    <t>15-oxoprostaglandin 13-reductase; Zinc-binding alcohol dehydrogenase domain-containing protein 1</t>
  </si>
  <si>
    <t>PTGR2_HUMAN</t>
  </si>
  <si>
    <t>Q8N8N7</t>
  </si>
  <si>
    <t>Q3L8A4; Q6MZH8</t>
  </si>
  <si>
    <t>ZADH1</t>
  </si>
  <si>
    <t>3D-structure; Alternative splicing; Cytoplasm; NADP; Oxidoreductase</t>
  </si>
  <si>
    <t>prostaglandin metabolic process {GO:0006693}</t>
  </si>
  <si>
    <t>13-prostaglandin reductase activity {GO:0036132}; 15-oxoprostaglandin 13-oxidase activity {GO:0047522}</t>
  </si>
  <si>
    <t>Synthesis of Prostaglandins (PG) and Thromboxanes (TX) {R-HSA-2162123}</t>
  </si>
  <si>
    <t>Sortilin</t>
  </si>
  <si>
    <t>100 kDa NT receptor; Glycoprotein 95 (Gp95); Neurotensin receptor 3 (NT3; NTR3)</t>
  </si>
  <si>
    <t>SORT_HUMAN</t>
  </si>
  <si>
    <t>Q99523</t>
  </si>
  <si>
    <t>B4DWI3; C0JYZ0; Q8IZ49</t>
  </si>
  <si>
    <t>3D-structure; Alternative splicing; Cell membrane; Cleavage on pair of basic residues; Developmental protein; Differentiation; Disulfide bond; Endocytosis; Endoplasmic reticulum; Endosome; Glycoprotein; Golgi apparatus; Lysosome; Membrane; Nucleus; Osteogenesis; Phosphoprotein; Polymorphism; Receptor; Repeat; Signal; Transmembrane; Transmembrane helix; Transport</t>
  </si>
  <si>
    <t>Differentiation; Endocytosis; Osteogenesis; Transport</t>
  </si>
  <si>
    <t>Cell membrane; Endoplasmic reticulum; Endosome; Golgi apparatus; Lysosome; Membrane; Nucleus</t>
  </si>
  <si>
    <t>Developmental protein; Receptor</t>
  </si>
  <si>
    <t>Cleavage on pair of basic residues; Disulfide bond; Glycoprotein; Phosphoprotein</t>
  </si>
  <si>
    <t>endocytosis {GO:0006897}; endosome to lysosome transport {GO:0008333}; endosome transport via multivesicular body sorting pathway {GO:0032509}; extrinsic apoptotic signaling pathway via death domain receptors {GO:0008625}; G protein-coupled receptor signaling pathway {GO:0007186}; glucose import {GO:0046323}; Golgi to endosome transport {GO:0006895}; multicellular organism development {GO:0007275}; myotube differentiation {GO:0014902}; negative regulation of fat cell differentiation {GO:0045599}; negative regulation of lipoprotein lipase activity {GO:0051005}; neuropeptide signaling pathway {GO:0007218}; neurotrophin TRK receptor signaling pathway {GO:0048011}; ossification {GO:0001503}; plasma membrane to endosome transport {GO:0048227}; positive regulation of epithelial cell apoptotic process {GO:1904037}; post-Golgi vesicle-mediated transport {GO:0006892}; regulation of gene expression {GO:0010468}; response to insulin {GO:0032868}; vesicle organization {GO:0016050}</t>
  </si>
  <si>
    <t>cell surface {GO:0009986}; clathrin-coated pit {GO:0005905}; clathrin-coated vesicle {GO:0030136}; cytoplasmic vesicle {GO:0031410}; cytoplasmic vesicle membrane {GO:0030659}; cytosol {GO:0005829}; dendrite {GO:0030425}; early endosome {GO:0005769}; endoplasmic reticulum membrane {GO:0005789}; endosome membrane {GO:0010008}; Golgi apparatus {GO:0005794}; Golgi cisterna membrane {GO:0032580}; integral component of membrane {GO:0016021}; lysosomal membrane {GO:0005765}; lysosome {GO:0005764}; neuronal cell body {GO:0043025}; nuclear membrane {GO:0031965}; perinuclear region of cytoplasm {GO:0048471}; plasma membrane {GO:0005886}; trans-Golgi network transport vesicle {GO:0030140}</t>
  </si>
  <si>
    <t>enzyme binding {GO:0019899}; nerve growth factor binding {GO:0048406}; nerve growth factor receptor activity {GO:0010465}; neurotensin receptor activity, non-G protein-coupled {GO:0030379}</t>
  </si>
  <si>
    <t>Golgi Associated Vesicle Biogenesis {R-HSA-432722}</t>
  </si>
  <si>
    <t>Proteasome subunit alpha type-5</t>
  </si>
  <si>
    <t>Macropain zeta chain; Multicatalytic endopeptidase complex zeta chain; Proteasome zeta chain</t>
  </si>
  <si>
    <t>PSA5_HUMAN</t>
  </si>
  <si>
    <t>P28066</t>
  </si>
  <si>
    <t>B2R8F6; B4E2V4; Q3T1C1; Q6IBF7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</si>
  <si>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</si>
  <si>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extracellular region {GO:0005576}; ficolin-1-rich granule lumen {GO:1904813}; nucleoplasm {GO:0005654}; nucleus {GO:0005634}; proteasome complex {GO:0000502}; proteasome core complex {GO:0005839}; proteasome core complex, alpha-subunit complex {GO:0019773}; secretory granule lumen {GO:0034774}</t>
  </si>
  <si>
    <t>endopeptidase activity {GO:0004175}; threonine-type endopeptidase activity {GO:0004298}</t>
  </si>
  <si>
    <t>Protein 4.1 (P4.1)</t>
  </si>
  <si>
    <t>4.1R; Band 4.1; EPB4.1</t>
  </si>
  <si>
    <t>41_HUMAN</t>
  </si>
  <si>
    <t>P11171</t>
  </si>
  <si>
    <t>B1ALH8; B1ALH9; D3DPM9; D3DPN0; P11176; Q14245; Q5TB35; Q5VXN8; Q8IXV9; Q9Y578; Q9Y579</t>
  </si>
  <si>
    <t>E41P</t>
  </si>
  <si>
    <t>3D-structure; Actin-binding; Alternative splicing; Calmodulin-binding; Cell cycle; Cell division; Cytoplasm; Cytoskeleton; Elliptocytosis; Glycoprotein; Hereditary hemolytic anemia; Mitosis; Nucleus; Phosphoprotein; Polymorphism; Pyropoikilocytosis; Transport</t>
  </si>
  <si>
    <t>Elliptocytosis; Hereditary hemolytic anemia; Pyropoikilocytosis</t>
  </si>
  <si>
    <t>Actin-binding; Calmodulin-binding</t>
  </si>
  <si>
    <t>actin cytoskeleton organization {GO:0030036}; actomyosin structure organization {GO:0031032}; cell cycle {GO:0007049}; cell division {GO:0051301}; cortical actin cytoskeleton organization {GO:0030866}; positive regulation of protein binding {GO:0032092}; positive regulation of protein localization to cell cortex {GO:1904778}; protein-containing complex assembly {GO:0065003}; regulation of calcium ion transport {GO:0051924}; regulation of cell shape {GO:0008360}; regulation of intestinal absorption {GO:1904478}</t>
  </si>
  <si>
    <t>basolateral plasma membrane {GO:0016323}; cell cortex region {GO:0099738}; cell junction {GO:0030054}; cortical cytoskeleton {GO:0030863}; cytoplasmic side of plasma membrane {GO:0009898}; cytosol {GO:0005829}; nucleus {GO:0005634}; plasma membrane {GO:0005886}; postsynaptic density {GO:0014069}; protein-containing complex {GO:0032991}; spectrin-associated cytoskeleton {GO:0014731}</t>
  </si>
  <si>
    <t>1-phosphatidylinositol binding {GO:0005545}; actin binding {GO:0003779}; calmodulin binding {GO:0005516}; phosphoprotein binding {GO:0051219}; protein C-terminus binding {GO:0008022}; protein N-terminus binding {GO:0047485}; spectrin binding {GO:0030507}; structural constituent of cytoskeleton {GO:0005200}</t>
  </si>
  <si>
    <t>Neurexins and neuroligins {R-HSA-6794361}</t>
  </si>
  <si>
    <t>Tropomodulin-3</t>
  </si>
  <si>
    <t>Ubiquitous tropomodulin (U-Tmod)</t>
  </si>
  <si>
    <t>TMOD3_HUMAN</t>
  </si>
  <si>
    <t>Q9NYL9</t>
  </si>
  <si>
    <t>B2R6G7; Q9NT43; Q9NZR0</t>
  </si>
  <si>
    <t>Actin-binding; Cytoplasm; Cytoskeleton; Phosphoprotein</t>
  </si>
  <si>
    <t>erythrocyte development {GO:0048821}; muscle contraction {GO:0006936}; myofibril assembly {GO:0030239}; pointed-end actin filament capping {GO:0051694}; positive regulation of mitotic cell cycle phase transition {GO:1901992}</t>
  </si>
  <si>
    <t>cell-cell adherens junction {GO:0005913}; myofibril {GO:0030016}; striated muscle thin filament {GO:0005865}</t>
  </si>
  <si>
    <t>actin binding {GO:0003779}; cadherin binding involved in cell-cell adhesion {GO:0098641}; tropomyosin binding {GO:0005523}</t>
  </si>
  <si>
    <t>Proteasome subunit alpha type-4</t>
  </si>
  <si>
    <t>Macropain subunit C9; Multicatalytic endopeptidase complex subunit C9; Proteasome component C9; Proteasome subunit L</t>
  </si>
  <si>
    <t>PSA4_HUMAN</t>
  </si>
  <si>
    <t>P25789</t>
  </si>
  <si>
    <t>D3DW86; Q53XP2; Q567Q5; Q8TBD1</t>
  </si>
  <si>
    <t>HC9; PSC9</t>
  </si>
  <si>
    <t>3D-structure; Acetylation; Alternative splicing; Cytoplasm; Host-virus interaction; Hydrolase; Nucleus; Phosphoprotein;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</si>
  <si>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</si>
  <si>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intracellular membrane-bounded organelle {GO:0043231}; nucleoplasm {GO:0005654}; nucleus {GO:0005634}; P-body {GO:0000932}; proteasome complex {GO:0000502}; proteasome core complex {GO:0005839}; proteasome core complex, alpha-subunit complex {GO:0019773}</t>
  </si>
  <si>
    <t>60S ribosomal protein L4</t>
  </si>
  <si>
    <t>60S ribosomal protein L1; Large ribosomal subunit protein uL4</t>
  </si>
  <si>
    <t>RL4_HUMAN</t>
  </si>
  <si>
    <t>P36578</t>
  </si>
  <si>
    <t>A8K502; P39029; Q4VBR0; Q969Z9</t>
  </si>
  <si>
    <t>RPL1</t>
  </si>
  <si>
    <t>3D-structure; Acetylation; Citrullination; Isopeptide bond; Methylation; Phosphoprotein; Ribonucleoprotein; Ribosomal protein; Ubl conjugation</t>
  </si>
  <si>
    <t>Acetylation; Citrullination; Isopeptide bond; Methylation; Phosphoprotein; Ubl conjugation</t>
  </si>
  <si>
    <t>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</si>
  <si>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membrane {GO:0016020}; nucleolus {GO:0005730}; nucleus {GO:0005634}; ribonucleoprotein complex {GO:1990904}; rough endoplasmic reticulum {GO:0005791}</t>
  </si>
  <si>
    <t>Lysyl oxidase homolog 1</t>
  </si>
  <si>
    <t>Lysyl oxidase-like protein 1 (LOL)</t>
  </si>
  <si>
    <t>LOXL1_HUMAN</t>
  </si>
  <si>
    <t>Q08397</t>
  </si>
  <si>
    <t>Q6NUL3; Q96BW7</t>
  </si>
  <si>
    <t>LOXL</t>
  </si>
  <si>
    <t>Cleavage on pair of basic residues; Copper; Disulfide bond; Glaucoma; LTQ; Metal-binding; Oxidoreductase; Polymorphism; Secreted; Signal; TPQ</t>
  </si>
  <si>
    <t>Glaucoma</t>
  </si>
  <si>
    <t>Copper; Metal-binding</t>
  </si>
  <si>
    <t>Cleavage on pair of basic residues; Disulfide bond; LTQ; TPQ</t>
  </si>
  <si>
    <t>aorta development {GO:0035904}; extracellular matrix organization {GO:0030198}; oxidation-reduction process {GO:0055114}; peptidyl-lysine oxidation {GO:0018057}; protein deamination {GO:0018277}; response to lipopolysaccharide {GO:0032496}</t>
  </si>
  <si>
    <t>acrosomal vesicle {GO:0001669}; basement membrane {GO:0005604}; collagen-containing extracellular matrix {GO:0062023}; extracellular region {GO:0005576}; extracellular space {GO:0005615}</t>
  </si>
  <si>
    <t>copper ion binding {GO:0005507}; protein-lysine 6-oxidase activity {GO:0004720}</t>
  </si>
  <si>
    <t>Elastic fibre formation {R-HSA-1566948}; Crosslinking of collagen fibrils {R-HSA-2243919}</t>
  </si>
  <si>
    <t>Purine nucleoside phosphorylase (PNP)</t>
  </si>
  <si>
    <t>Inosine phosphorylase; Inosine-guanosine phosphorylase</t>
  </si>
  <si>
    <t>PNPH_HUMAN</t>
  </si>
  <si>
    <t>P00491</t>
  </si>
  <si>
    <t>B2R8S5; D3DS00; Q15160; Q5PZ03</t>
  </si>
  <si>
    <t>NP</t>
  </si>
  <si>
    <t>3D-structure; Acetylation; Cytoplasm; Cytoskeleton; Disease mutation; Glycosyltransferase; Phosphoprotein; Polymorphism; Transferase</t>
  </si>
  <si>
    <t>Glycosyltransferase; Transferase</t>
  </si>
  <si>
    <t>immune response {GO:0006955}; inosine catabolic process {GO:0006148}; interleukin-2 secretion {GO:0070970}; NAD biosynthesis via nicotinamide riboside salvage pathway {GO:0034356}; neutrophil degranulation {GO:0043312}; nicotinamide riboside catabolic process {GO:0006738}; nucleobase-containing compound metabolic process {GO:0006139}; positive regulation of alpha-beta T cell differentiation {GO:0046638}; positive regulation of T cell proliferation {GO:0042102}; purine nucleotide catabolic process {GO:0006195}; purine-containing compound salvage {GO:0043101}; response to drug {GO:0042493}; urate biosynthetic process {GO:0034418}</t>
  </si>
  <si>
    <t>cytoplasm {GO:0005737}; cytoskeleton {GO:0005856}; cytosol {GO:0005829}; extracellular exosome {GO:0070062}; extracellular region {GO:0005576}; ficolin-1-rich granule lumen {GO:1904813}; nucleus {GO:0005634}; secretory granule lumen {GO:0034774}</t>
  </si>
  <si>
    <t>drug binding {GO:0008144}; nucleoside binding {GO:0001882}; phosphate ion binding {GO:0042301}; purine nucleobase binding {GO:0002060}; purine-nucleoside phosphorylase activity {GO:0004731}</t>
  </si>
  <si>
    <t>Purine metabolism; purine nucleoside salvage.</t>
  </si>
  <si>
    <t>Neutrophil degranulation {R-HSA-6798695}; Purine salvage {R-HSA-74217}; Purine catabolism {R-HSA-74259}</t>
  </si>
  <si>
    <t>Activator of 90 kDa heat shock protein ATPase homolog 1 (AHA1)</t>
  </si>
  <si>
    <t>p38</t>
  </si>
  <si>
    <t>AHSA1_HUMAN</t>
  </si>
  <si>
    <t>O95433</t>
  </si>
  <si>
    <t>B2R9L2; B4DUR9; Q96IL6; Q9P060</t>
  </si>
  <si>
    <t>C14orf3</t>
  </si>
  <si>
    <t>3D-structure; Acetylation; Alternative splicing; Chaperone; Cytoplasm; Endoplasmic reticulum; Isopeptide bond; Phosphoprotein; Stress response; Ubl conjugation</t>
  </si>
  <si>
    <t>positive regulation of ATPase activity {GO:0032781}</t>
  </si>
  <si>
    <t>cytosol {GO:0005829}; endoplasmic reticulum {GO:0005783}; extracellular exosome {GO:0070062}</t>
  </si>
  <si>
    <t>ATPase activator activity {GO:0001671}; cadherin binding {GO:0045296}; chaperone binding {GO:0051087}; Hsp90 protein binding {GO:0051879}</t>
  </si>
  <si>
    <t>Protein-glutamine gamma-glutamyltransferase K</t>
  </si>
  <si>
    <t>Epidermal TGase; Transglutaminase K (TG(K); TGK; TGase K); Transglutaminase-1 (TGase-1)</t>
  </si>
  <si>
    <t>TGM1_HUMAN</t>
  </si>
  <si>
    <t>P22735</t>
  </si>
  <si>
    <t>B4DWR7; Q197M4</t>
  </si>
  <si>
    <t>KTG</t>
  </si>
  <si>
    <t>3D-structure; Acyltransferase; Alternative splicing; Calcium; Disease mutation; Ichthyosis; Keratinization; Lipoprotein; Membrane; Metal-binding; Palmitate; Phosphoprotein; Polymorphism; Transferase</t>
  </si>
  <si>
    <t>Keratinization</t>
  </si>
  <si>
    <t>Disease mutation; Ichthyosis</t>
  </si>
  <si>
    <t>Lipoprotein; Palmitate; Phosphoprotein</t>
  </si>
  <si>
    <t>cell envelope organization {GO:0043163}; cellular protein modification process {GO:0006464}; cornification {GO:0070268}; keratinocyte differentiation {GO:0030216}; peptide cross-linking {GO:0018149}; positive regulation of cell cycle {GO:0045787}; positive regulation of keratinocyte proliferation {GO:0010838}</t>
  </si>
  <si>
    <t>cornified envelope {GO:0001533}; cytosol {GO:0005829}; extracellular exosome {GO:0070062}; intrinsic component of membrane {GO:0031224}; plasma membrane {GO:0005886}</t>
  </si>
  <si>
    <t>metal ion binding {GO:0046872}; protein-glutamine gamma-glutamyltransferase activity {GO:0003810}</t>
  </si>
  <si>
    <t>Formation of the cornified envelope {R-HSA-6809371}</t>
  </si>
  <si>
    <t>Cytochrome c oxidase subunit 5A, mitochondrial</t>
  </si>
  <si>
    <t>Cytochrome c oxidase polypeptide Va</t>
  </si>
  <si>
    <t>COX5A_HUMAN</t>
  </si>
  <si>
    <t>P20674</t>
  </si>
  <si>
    <t>P30045; Q8TB65</t>
  </si>
  <si>
    <t>3D-structure; Acetylation; Disease mutation; Heme; Iron; Membrane; Metal-binding; Mitochondrion; Mitochondrion inner membrane; Phosphoprotein; Primary mitochondrial disease; Transit peptide</t>
  </si>
  <si>
    <t>Heme; Iron; Metal-binding</t>
  </si>
  <si>
    <t>mitochondrial electron transport, cytochrome c to oxygen {GO:0006123}</t>
  </si>
  <si>
    <t>mitochondrial inner membrane {GO:0005743}; mitochondrial respiratory chain complex IV {GO:0005751}</t>
  </si>
  <si>
    <t>cytochrome-c oxidase activity {GO:0004129}; electron transfer activity {GO:0009055}; metal ion binding {GO:0046872}</t>
  </si>
  <si>
    <t>TP53 Regulates Metabolic Genes {R-HSA-5628897}; Respiratory electron transport {R-HSA-611105}</t>
  </si>
  <si>
    <t>Electron transfer flavoprotein subunit alpha, mitochondrial (Alpha-ETF)</t>
  </si>
  <si>
    <t>ETFA_HUMAN</t>
  </si>
  <si>
    <t>P13804</t>
  </si>
  <si>
    <t>B4DT43; Q53XN3</t>
  </si>
  <si>
    <t>3D-structure; Acetylation; Alternative splicing; Disease mutation; Electron transport; FAD; Flavoprotein; Glutaricaciduria; Mitochondrion; Phosphoprotein; Polymorphism; Transit peptide; Transport</t>
  </si>
  <si>
    <t>Electron transport; Transport</t>
  </si>
  <si>
    <t>Disease mutation; Glutaricaciduria</t>
  </si>
  <si>
    <t>fatty acid beta-oxidation using acyl-CoA dehydrogenase {GO:0033539}; respiratory electron transport chain {GO:0022904}</t>
  </si>
  <si>
    <t>electron transfer activity {GO:0009055}; flavin adenine dinucleotide binding {GO:0050660}; oxidoreductase activity {GO:0016491}</t>
  </si>
  <si>
    <t>Respiratory electron transport {R-HSA-611105}</t>
  </si>
  <si>
    <t>Gremlin-1</t>
  </si>
  <si>
    <t>Cell proliferation-inducing gene 2 protein; Cysteine knot superfamily 1, BMP antagonist 1; DAN domain family member 2; Down-regulated in Mos-transformed cells protein; Increased in high glucose protein 2 (IHG-2)</t>
  </si>
  <si>
    <t>GREM1_HUMAN</t>
  </si>
  <si>
    <t>O60565</t>
  </si>
  <si>
    <t>Q52LV3; Q8N914; Q8N936</t>
  </si>
  <si>
    <t>CKTSF1B1; DAND2; DRM</t>
  </si>
  <si>
    <t>3D-structure; Alternative splicing; Cytokine; Disulfide bond; Glycoprotein; Secreted; Signal</t>
  </si>
  <si>
    <t>apoptotic process {GO:0006915}; branching involved in ureteric bud morphogenesis {GO:0001658}; cell migration involved in sprouting angiogenesis {GO:0002042}; cell morphogenesis {GO:0000902}; cell-cell signaling {GO:0007267}; collagen fibril organization {GO:0030199}; determination of dorsal identity {GO:0048263}; embryonic limb morphogenesis {GO:0030326}; limb development {GO:0060173}; mesenchymal to epithelial transition involved in metanephros morphogenesis {GO:0003337}; negative regulation of apoptotic process {GO:0043066}; negative regulation of BMP signaling pathway {GO:0030514}; negative regulation of bone mineralization {GO:0030502}; negative regulation of bone mineralization involved in bone maturation {GO:1900158}; negative regulation of bone remodeling {GO:0046851}; negative regulation of bone trabecula formation {GO:1900155}; negative regulation of canonical Wnt signaling pathway {GO:0090090}; negative regulation of cell growth {GO:0030308}; negative regulation of chondrocyte differentiation {GO:0032331}; negative regulation of monocyte chemotaxis {GO:0090027}; negative regulation of osteoblast differentiation {GO:0045668}; negative regulation of osteoblast proliferation {GO:0033689}; negative regulation of osteoclast proliferation {GO:0090291}; negative regulation of pathway-restricted SMAD protein phosphorylation {GO:0060394}; negative regulation of transcription, DNA-templated {GO:0045892}; positive regulation of angiogenesis {GO:0045766}; positive regulation of branching involved in ureteric bud morphogenesis {GO:0090190}; positive regulation of cardiac muscle cell differentiation {GO:2000727}; positive regulation of cell population proliferation {GO:0008284}; positive regulation of NF-kappaB transcription factor activity {GO:0051092}; positive regulation of NIK/NF-kappaB signaling {GO:1901224}; positive regulation of peptidyl-tyrosine autophosphorylation {GO:1900086}; positive regulation of receptor internalization {GO:0002092}; positive regulation of signaling receptor activity {GO:2000273}; positive regulation of telomerase activity {GO:0051973}; positive regulation of transcription by RNA polymerase II {GO:0045944}; positive regulation of transcription from RNA polymerase II promoter involved in myocardial precursor cell differentiation {GO:0003257}; proximal/distal pattern formation {GO:0009954}; regulation of epithelial to mesenchymal transition {GO:0010717}; regulation of focal adhesion assembly {GO:0051893}; signal transduction {GO:0007165}; ureteric bud formation {GO:0060676}</t>
  </si>
  <si>
    <t>cell surface {GO:0009986}; collagen-containing extracellular matrix {GO:0062023}; extracellular space {GO:0005615}</t>
  </si>
  <si>
    <t>BMP binding {GO:0036122}; cytokine activity {GO:0005125}; morphogen activity {GO:0016015}; protein homodimerization activity {GO:0042803}; receptor ligand activity {GO:0048018}; transmembrane receptor protein tyrosine kinase activator activity {GO:0030297}; vascular endothelial growth factor receptor 2 binding {GO:0043184}</t>
  </si>
  <si>
    <t>Secretory carrier-associated membrane protein 2 (Secretory carrier membrane protein 2)</t>
  </si>
  <si>
    <t>SCAM2_HUMAN</t>
  </si>
  <si>
    <t>O15127</t>
  </si>
  <si>
    <t>B2RDF0; Q9BQE8</t>
  </si>
  <si>
    <t>Endosome; Golgi apparatus; Membrane; Phosphoprotein; Protein transport; Transmembrane; Transmembrane helix; Transport</t>
  </si>
  <si>
    <t>post-Golgi vesicle-mediated transport {GO:0006892}; protein transport {GO:0015031}</t>
  </si>
  <si>
    <t>extracellular exosome {GO:0070062}; Golgi apparatus {GO:0005794}; Golgi membrane {GO:0000139}; integral component of membrane {GO:0016021}; intracellular membrane-bounded organelle {GO:0043231}; recycling endosome membrane {GO:0055038}; trans-Golgi network membrane {GO:0032588}; transport vesicle {GO:0030133}</t>
  </si>
  <si>
    <t>Ribonuclease K6 (RNase K6)</t>
  </si>
  <si>
    <t>RNAS6_HUMAN</t>
  </si>
  <si>
    <t>Q93091</t>
  </si>
  <si>
    <t>RNS6</t>
  </si>
  <si>
    <t>3D-structure; Antibiotic; Antimicrobial; Disulfide bond; Endonuclease; Glycoprotein; Hydrolase; Lysosome; Nuclease; Polymorphism; Secreted; Signal</t>
  </si>
  <si>
    <t>Antibiotic; Antimicrobial; Endonuclease; Hydrolase; Nuclease</t>
  </si>
  <si>
    <t>antibacterial humoral response {GO:0019731}; antimicrobial humoral immune response mediated by antimicrobial peptide {GO:0061844}; antimicrobial humoral response {GO:0019730}; defense response {GO:0006952}; defense response to Gram-negative bacterium {GO:0050829}; defense response to Gram-positive bacterium {GO:0050830}; defense response to virus {GO:0051607}; innate immune response {GO:0045087}; RNA catabolic process {GO:0006401}; RNA phosphodiester bond hydrolysis {GO:0090501}</t>
  </si>
  <si>
    <t>cytoplasmic vesicle {GO:0031410}; extracellular region {GO:0005576}; extracellular space {GO:0005615}; lysosome {GO:0005764}</t>
  </si>
  <si>
    <t>endonuclease activity {GO:0004519}; nucleic acid binding {GO:0003676}; ribonuclease activity {GO:0004540}</t>
  </si>
  <si>
    <t>14-3-3 protein zeta/delta</t>
  </si>
  <si>
    <t>Protein kinase C inhibitor protein 1 (KCIP-1)</t>
  </si>
  <si>
    <t>1433Z_HUMAN</t>
  </si>
  <si>
    <t>P63104</t>
  </si>
  <si>
    <t>A8K1N0; B7Z465; P29213; P29312; Q32P43; Q5XJ08; Q6GPI2; Q6IN74; Q6NUR9; Q6P3U9; Q86V33</t>
  </si>
  <si>
    <t>3D-structure; Acetylation; Alternative splicing; Cytoplasm; Phosphoprotein</t>
  </si>
  <si>
    <t>cytokine-mediated signaling pathway {GO:0019221}; establishment of Golgi localization {GO:0051683}; Golgi reassembly {GO:0090168}; membrane organization {GO:0061024}; negative regulation of apoptotic process {GO:0043066}; platelet activation {GO:0030168}; positive regulation of protein insertion into mitochondrial membrane involved in apoptotic signaling pathway {GO:1900740}; protein targeting {GO:0006605}; regulation of mRNA stability {GO:0043488}; regulation of synapse maturation {GO:0090128}; signal transduction {GO:0007165}; synaptic target recognition {GO:0008039}</t>
  </si>
  <si>
    <t>blood microparticle {GO:0072562}; cytoplasm {GO:0005737}; cytosol {GO:0005829}; extracellular exosome {GO:0070062}; extracellular space {GO:0005615}; focal adhesion {GO:0005925}; glutamatergic synapse {GO:0098978}; hippocampal mossy fiber to CA3 synapse {GO:0098686}; melanosome {GO:0042470}; mitochondrion {GO:0005739}; nucleoplasm {GO:0005654}; nucleus {GO:0005634}; vesicle {GO:0031982}</t>
  </si>
  <si>
    <t>cadherin binding {GO:0045296}; identical protein binding {GO:0042802}; ion channel binding {GO:0044325}; protein domain specific binding {GO:0019904}; protein kinase binding {GO:0019901}; RNA binding {GO:0003723}; transcription factor binding {GO:0008134}; ubiquitin protein ligase binding {GO:0031625}</t>
  </si>
  <si>
    <t>Activation of BAD and translocation to mitochondria {R-HSA-111447}; Translocation of SLC2A4 (GLUT4) to the plasma membrane {R-HSA-1445148}; Deactivation of the beta-catenin transactivating complex {R-HSA-3769402}; Rap1 signalling {R-HSA-392517}; GP1b-IX-V activation signalling {R-HSA-430116}; KSRP (KHSRP) binds and destabilizes mRNA {R-HSA-450604}; Interleukin-3, Interleukin-5 and GM-CSF signaling {R-HSA-512988}; RHO GTPases activate PKNs {R-HSA-5625740}; TP53 Regulates Metabolic Genes {R-HSA-5628897}; Chk1/Chk2(Cds1) mediated inactivation of Cyclin B:Cdk1 complex {R-HSA-75035}; NOTCH4 Activation and Transmission of Signal to the Nucleus {R-HSA-9013700}; Negative regulation of NOTCH4 signaling {R-HSA-9604323}; Regulation of localization of FOXO transcription factors {R-HSA-9614399}</t>
  </si>
  <si>
    <t>Heterogeneous nuclear ribonucleoproteins C1/C2 (hnRNP C1/C2)</t>
  </si>
  <si>
    <t>HNRPC_HUMAN</t>
  </si>
  <si>
    <t>P07910</t>
  </si>
  <si>
    <t>D3DS19; D3DS22; P22628; Q53EX2; Q59FD3; Q5FWE8; Q86SF8; Q86U45; Q96HK7; Q96HM4; Q96IY5; Q9BTS3</t>
  </si>
  <si>
    <t>HNRPC</t>
  </si>
  <si>
    <t>3D-structure; Acetylation; Alternative splicing; Coiled coil; Isopeptide bond; mRNA processing; mRNA splicing; Nucleus; Phosphoprotein; Ribonucleoprotein; RNA-binding; Spliceosome; Ubl conjugation</t>
  </si>
  <si>
    <t>Nucleus; Spliceosome</t>
  </si>
  <si>
    <t>RNA-binding; Ribonucleoprotein</t>
  </si>
  <si>
    <t>3'-UTR-mediated mRNA stabilization {GO:0070935}; ATP-dependent chromatin remodeling {GO:0043044}; mRNA splicing, via spliceosome {GO:0000398}; negative regulation of telomere maintenance via telomerase {GO:0032211}; osteoblast differentiation {GO:0001649}; RNA metabolic process {GO:0016070}; RNA splicing {GO:0008380}</t>
  </si>
  <si>
    <t>actin cytoskeleton {GO:0015629}; catalytic step 2 spliceosome {GO:0071013}; cytosol {GO:0005829}; extracellular exosome {GO:0070062}; extracellular region {GO:0005576}; membrane {GO:0016020}; nuclear chromatin {GO:0000790}; nucleoplasm {GO:0005654}; nucleus {GO:0005634}; protein-containing complex {GO:0032991}; spliceosomal complex {GO:0005681}; telomerase holoenzyme complex {GO:0005697}</t>
  </si>
  <si>
    <t>identical protein binding {GO:0042802}; mRNA 3'-UTR binding {GO:0003730}; N6-methyladenosine-containing RNA binding {GO:1990247}; nucleosomal DNA binding {GO:0031492}; poly(U) RNA binding {GO:0008266}; RNA binding {GO:0003723}; RNA polymerase II distal enhancer sequence-specific DNA binding {GO:0000980}; RNA polymerase II proximal promoter sequence-specific DNA binding {GO:0000978}; telomerase RNA binding {GO:0070034}</t>
  </si>
  <si>
    <t>SUMOylation of RNA binding proteins {R-HSA-4570464}; mRNA Splicing - Major Pathway {R-HSA-72163}; Processing of Capped Intron-Containing Pre-mRNA {R-HSA-72203}</t>
  </si>
  <si>
    <t>Proteasome subunit beta type-5</t>
  </si>
  <si>
    <t>Macropain epsilon chain; Multicatalytic endopeptidase complex epsilon chain; Proteasome chain 6; Proteasome epsilon chain; Proteasome subunit MB1; Proteasome subunit X</t>
  </si>
  <si>
    <t>PSB5_HUMAN</t>
  </si>
  <si>
    <t>P28074</t>
  </si>
  <si>
    <t>B2R4N9; B4DUM9; D3DS43; E9PAV2; Q16242; Q6PEW2; Q7Z3B5; Q86T01; Q9TNN9</t>
  </si>
  <si>
    <t>LMPX; MB1; X</t>
  </si>
  <si>
    <t>3D-structure; Alternative splicing; Cytoplasm; Host-virus interaction; Hydrolase; Nucleus; Polymorphism; Protease; Proteasome; Threonine protease; Zymogen</t>
  </si>
  <si>
    <t>Zymogen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</si>
  <si>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proteolysis {GO:0006508};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response to oxidative stress {GO:0006979};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</si>
  <si>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centrosome {GO:0005813}; cytoplasm {GO:0005737}; cytosol {GO:0005829}; extracellular exosome {GO:0070062}; nucleoplasm {GO:0005654}; nucleus {GO:0005634}; proteasome complex {GO:0000502}; proteasome core complex {GO:0005839}; proteasome core complex, beta-subunit complex {GO:0019774}</t>
  </si>
  <si>
    <t>endopeptidase activity {GO:0004175}; peptidase activity {GO:0008233}; threonine-type endopeptidase activity {GO:0004298}</t>
  </si>
  <si>
    <t>Glycine amidinotransferase, mitochondrial</t>
  </si>
  <si>
    <t>L-arginine:glycine amidinotransferase; Transamidinase</t>
  </si>
  <si>
    <t>GATM_HUMAN</t>
  </si>
  <si>
    <t>P50440</t>
  </si>
  <si>
    <t>B4DH99; B4DPI3; Q53EQ4</t>
  </si>
  <si>
    <t>AGAT</t>
  </si>
  <si>
    <t>3D-structure; Acetylation; Alternative splicing; Cytoplasm; Disease mutation; Membrane; Mitochondrion; Mitochondrion inner membrane; Phosphoprotein; Polymorphism; Transferase; Transit peptide</t>
  </si>
  <si>
    <t>Cytoplasm; Membrane; Mitochondrion; Mitochondrion inner membrane</t>
  </si>
  <si>
    <t>creatine biosynthetic process {GO:0006601}; creatine metabolic process {GO:0006600}; learning or memory {GO:0007611}; multicellular organism development {GO:0007275}; muscle atrophy {GO:0014889}; positive regulation of cold-induced thermogenesis {GO:0120162}</t>
  </si>
  <si>
    <t>extracellular exosome {GO:0070062}; mitochondrial inner membrane {GO:0005743}; mitochondrial intermembrane space {GO:0005758}; mitochondrion {GO:0005739}</t>
  </si>
  <si>
    <t>amidinotransferase activity {GO:0015067}; glycine amidinotransferase activity {GO:0015068}</t>
  </si>
  <si>
    <t>Amine and polyamine biosynthesis; creatine biosynthesis; creatine from L-arginine and glycine: step 1/2.</t>
  </si>
  <si>
    <t>Sulfide:quinone oxidoreductase, mitochondrial (SQOR)</t>
  </si>
  <si>
    <t>Sulfide dehydrogenase-like; Sulfide quinone oxidoreductase</t>
  </si>
  <si>
    <t>SQOR_HUMAN</t>
  </si>
  <si>
    <t>Q9Y6N5</t>
  </si>
  <si>
    <t>Q9UQM8</t>
  </si>
  <si>
    <t>3D-structure; Acetylation; FAD; Flavoprotein; Mitochondrion; Oxidoreductase; Phosphoprotein; Polymorphism; Quinone; Transit peptide</t>
  </si>
  <si>
    <t>Acetylation; Phosphoprotein; Quinone</t>
  </si>
  <si>
    <t>hydrogen sulfide metabolic process {GO:0070813}; sulfide oxidation, using sulfide:quinone oxidoreductase {GO:0070221}</t>
  </si>
  <si>
    <t>mitochondrial inner membrane {GO:0005743}</t>
  </si>
  <si>
    <t>FAD binding {GO:0071949}; quinone binding {GO:0048038}; sulfide:quinone oxidoreductase activity {GO:0070224}</t>
  </si>
  <si>
    <t>Sulfide oxidation to sulfate {R-HSA-1614517}</t>
  </si>
  <si>
    <t>Cathepsin G (CG)</t>
  </si>
  <si>
    <t>CATG_HUMAN</t>
  </si>
  <si>
    <t>P08311</t>
  </si>
  <si>
    <t>Q6IBJ6; Q9UCA5; Q9UCU6</t>
  </si>
  <si>
    <t>3D-structure; Antibiotic; Antimicrobial; Disulfide bond; Glycoprotein; Hydrolase; Polymorphism; Protease; Serine protease; Signal; Zymogen</t>
  </si>
  <si>
    <t>Antibiotic; Antimicrobial; Hydrolase; Protease; Serine protease</t>
  </si>
  <si>
    <t>angiotensin maturation {GO:0002003}; antibacterial humoral response {GO:0019731}; antimicrobial humoral response {GO:0019730}; cellular protein metabolic process {GO:0044267}; cellular response to lipopolysaccharide {GO:0071222}; defense response to fungus {GO:0050832}; defense response to Gram-negative bacterium {GO:0050829}; extracellular matrix disassembly {GO:0022617}; immune response {GO:0006955}; negative regulation of growth of symbiont in host {GO:0044130}; neutrophil degranulation {GO:0043312}; neutrophil mediated killing of gram-positive bacterium {GO:0070946}; positive regulation of immune response {GO:0050778}; protein phosphorylation {GO:0006468}; proteolysis {GO:0006508}</t>
  </si>
  <si>
    <t>azurophil granule lumen {GO:0035578}; cell surface {GO:0009986}; collagen-containing extracellular matrix {GO:0062023}; cytoplasm {GO:0005737}; cytoplasmic stress granule {GO:0010494}; extracellular exosome {GO:0070062}; extracellular region {GO:0005576}; extracellular space {GO:0005615}; nucleus {GO:0005634}; plasma membrane {GO:0005886}; secretory granule {GO:0030141}</t>
  </si>
  <si>
    <t>heparin binding {GO:0008201}; peptidase activity {GO:0008233}; serine-type endopeptidase activity {GO:0004252}; serine-type peptidase activity {GO:0008236}</t>
  </si>
  <si>
    <t>Degradation of the extracellular matrix {R-HSA-1474228}; Activation of Matrix Metalloproteinases {R-HSA-1592389}; Metabolism of Angiotensinogen to Angiotensins {R-HSA-2022377}; Regulation of Insulin-like Growth Factor (IGF) transport and uptake by Insulin-like Growth Factor Binding Proteins (IGFBPs) {R-HSA-381426}; Interleukin-1 processing {R-HSA-448706}; Neutrophil degranulation {R-HSA-6798695}; Antimicrobial peptides {R-HSA-6803157}</t>
  </si>
  <si>
    <t>Beta-2-microglobulin form pI 5.3</t>
  </si>
  <si>
    <t>B2MG_HUMAN</t>
  </si>
  <si>
    <t>P61769</t>
  </si>
  <si>
    <t>P01884; Q540F8; Q6IAT8; Q9UCK0; Q9UD48; Q9UDF4</t>
  </si>
  <si>
    <t>3D-structure; Amyloid; Amyloidosis; Disease mutation; Disulfide bond; Glycation; Glycoprotein; Immunity; Immunoglobulin domain; MHC I; Pyrrolidone carboxylic acid; Secreted; Signal</t>
  </si>
  <si>
    <t>Amyloid; MHC I; Secreted</t>
  </si>
  <si>
    <t>Amyloidosis; Disease mutation</t>
  </si>
  <si>
    <t>Disulfide bond; Glycation; Glycoprotein; Pyrrolidone carboxylic acid</t>
  </si>
  <si>
    <t>antibacterial humoral response {GO:0019731}; antigen processing and presentation of endogenous peptide antigen via MHC class I {GO:0019885}; antigen processing and presentation of exogenous peptide antigen via MHC class I, TAP-dependent {GO:0002479}; antigen processing and presentation of exogenous peptide antigen via MHC class I, TAP-independent {GO:0002480}; antigen processing and presentation of exogenous protein antigen via MHC class Ib, TAP-dependent {GO:0002481}; antigen processing and presentation of peptide antigen via MHC class I {GO:0002474}; antimicrobial humoral immune response mediated by antimicrobial peptide {GO:0061844}; cellular protein metabolic process {GO:0044267}; cellular response to iron ion {GO:0071281}; cellular response to iron(III) ion {GO:0071283}; cellular response to lipopolysaccharide {GO:0071222}; defense response to Gram-negative bacterium {GO:0050829}; defense response to Gram-positive bacterium {GO:0050830}; innate immune response {GO:0045087}; interferon-gamma-mediated signaling pathway {GO:0060333}; iron ion homeostasis {GO:0055072}; iron ion transport {GO:0006826}; negative regulation of neuron projection development {GO:0010977}; negative regulation of receptor binding {GO:1900121}; neutrophil degranulation {GO:0043312}; positive regulation of ferrous iron binding {GO:1904434}; positive regulation of protein binding {GO:0032092}; positive regulation of receptor binding {GO:1900122}; positive regulation of receptor-mediated endocytosis {GO:0048260}; positive regulation of T cell cytokine production {GO:0002726}; positive regulation of T cell mediated cytotoxicity {GO:0001916}; positive regulation of transferrin receptor binding {GO:1904437}; protein refolding {GO:0042026}; regulation of defense response to virus by virus {GO:0050690}; regulation of erythrocyte differentiation {GO:0045646}; regulation of immune response {GO:0050776}; regulation of iron ion transport {GO:0034756}; regulation of membrane depolarization {GO:0003254}; response to cadmium ion {GO:0046686}; response to drug {GO:0042493}; response to molecule of bacterial origin {GO:0002237}; retina homeostasis {GO:0001895}; T cell differentiation in thymus {GO:0033077}</t>
  </si>
  <si>
    <t>cytosol {GO:0005829}; early endosome lumen {GO:0031905}; early endosome membrane {GO:0031901}; endoplasmic reticulum lumen {GO:0005788}; ER to Golgi transport vesicle membrane {GO:0012507}; external side of plasma membrane {GO:0009897}; extracellular exosome {GO:0070062}; extracellular region {GO:0005576}; extracellular space {GO:0005615}; focal adhesion {GO:0005925}; Golgi apparatus {GO:0005794}; Golgi membrane {GO:0000139}; HFE-transferrin receptor complex {GO:1990712}; membrane {GO:0016020}; MHC class I peptide loading complex {GO:0042824}; MHC class I protein complex {GO:0042612}; phagocytic vesicle membrane {GO:0030670}; plasma membrane {GO:0005886}; recycling endosome membrane {GO:0055038}; specific granule lumen {GO:0035580}; tertiary granule lumen {GO:1904724}</t>
  </si>
  <si>
    <t>identical protein binding {GO:0042802}</t>
  </si>
  <si>
    <t>ER-Phagosome pathway {R-HSA-1236974}; Endosomal/Vacuolar pathway {R-HSA-1236977}; Nef mediated downregulation of MHC class I complex cell surface expression {R-HSA-164940}; Immunoregulatory interactions between a Lymphoid and a non-Lymphoid cell {R-HSA-198933}; DAP12 interactions {R-HSA-2172127}; DAP12 signaling {R-HSA-2424491}; Neutrophil degranulation {R-HSA-6798695}; Interferon gamma signaling {R-HSA-877300}; Amyloid fiber formation {R-HSA-977225}; Antigen Presentation: Folding, assembly and peptide loading of class I MHC {R-HSA-983170}</t>
  </si>
  <si>
    <t>Perilipin-1</t>
  </si>
  <si>
    <t>Lipid droplet-associated protein</t>
  </si>
  <si>
    <t>PLIN1_HUMAN</t>
  </si>
  <si>
    <t>O60240</t>
  </si>
  <si>
    <t>Q8N5Y6</t>
  </si>
  <si>
    <t>PERI; PLIN</t>
  </si>
  <si>
    <t>Endoplasmic reticulum; Lipid droplet; Lipid metabolism; Phosphoprotein; Polymorphism</t>
  </si>
  <si>
    <t>Endoplasmic reticulum; Lipid droplet</t>
  </si>
  <si>
    <t>lipid catabolic process {GO:0016042}; lipid metabolic process {GO:0006629}</t>
  </si>
  <si>
    <t>cytosol {GO:0005829}; endoplasmic reticulum {GO:0005783}; lipid droplet {GO:0005811}</t>
  </si>
  <si>
    <t>lipid binding {GO:0008289}</t>
  </si>
  <si>
    <t>Triglyceride catabolism {R-HSA-163560}; Transcriptional regulation of white adipocyte differentiation {R-HSA-381340}</t>
  </si>
  <si>
    <t>NPC intracellular cholesterol transporter 2</t>
  </si>
  <si>
    <t>Epididymal secretory protein E1; Human epididymis-specific protein 1 (He1); Niemann-Pick disease type C2 protein</t>
  </si>
  <si>
    <t>NPC2_HUMAN</t>
  </si>
  <si>
    <t>P61916</t>
  </si>
  <si>
    <t>B4DQV7; Q15668; Q29413</t>
  </si>
  <si>
    <t>HE1</t>
  </si>
  <si>
    <t>3D-structure; Acetylation; Alternative splicing; Cholesterol metabolism; Disease mutation; Disulfide bond; Endoplasmic reticulum; Glycoprotein; Lipid metabolism; Lipid transport; Lysosome; Niemann-Pick disease; Polymorphism; Secreted; Signal; Steroid metabolism; Sterol metabolism; Transport</t>
  </si>
  <si>
    <t>Cholesterol metabolism; Lipid metabolism; Lipid transport; Steroid metabolism; Sterol metabolism; Transport</t>
  </si>
  <si>
    <t>Endoplasmic reticulum; Lysosome; Secreted</t>
  </si>
  <si>
    <t>Disease mutation; Niemann-Pick disease</t>
  </si>
  <si>
    <t>Acetylation; Disulfide bond; Glycoprotein</t>
  </si>
  <si>
    <t>cholesterol efflux {GO:0033344}; cholesterol homeostasis {GO:0042632}; cholesterol metabolic process {GO:0008203}; cholesterol transport {GO:0030301}; glycolipid transport {GO:0046836}; intracellular cholesterol transport {GO:0032367}; intracellular sterol transport {GO:0032366}; low-density lipoprotein particle clearance {GO:0034383}; neutrophil degranulation {GO:0043312}; phospholipid transport {GO:0015914}; regulation of isoprenoid metabolic process {GO:0019747}; response to virus {GO:0009615}; sterol transport {GO:0015918}</t>
  </si>
  <si>
    <t>azurophil granule lumen {GO:0035578}; endoplasmic reticulum {GO:0005783}; extracellular exosome {GO:0070062}; extracellular region {GO:0005576}; extracellular space {GO:0005615}; lysosomal lumen {GO:0043202}; lysosome {GO:0005764}</t>
  </si>
  <si>
    <t>cholesterol binding {GO:0015485}; cholesterol transporter activity {GO:0017127}; enzyme binding {GO:0019899}; sterol binding {GO:0032934}</t>
  </si>
  <si>
    <t>Neutrophil degranulation {R-HSA-6798695}; LDL clearance {R-HSA-8964038}</t>
  </si>
  <si>
    <t>Papilin</t>
  </si>
  <si>
    <t>PPN_HUMAN</t>
  </si>
  <si>
    <t>O95428</t>
  </si>
  <si>
    <t>B4DES8; B4DGE6; Q659F2; Q6UXJ4; Q6ZNM1; Q6ZUJ0; Q7Z681; Q8IVU0</t>
  </si>
  <si>
    <t>Alternative splicing; Disulfide bond; Immunoglobulin domain; Polymorphism; Protease inhibitor; Repeat; Secreted; Serine protease inhibitor; Signal</t>
  </si>
  <si>
    <t>Immunoglobulin domain; Repeat; Signal</t>
  </si>
  <si>
    <t>peptidase activity {GO:0008233}; serine-type endopeptidase inhibitor activity {GO:0004867}</t>
  </si>
  <si>
    <t>Proteasome activator complex subunit 1</t>
  </si>
  <si>
    <t>11S regulator complex subunit alpha (REG-alpha); Activator of multicatalytic protease subunit 1; Interferon gamma up-regulated I-5111 protein (IGUP I-5111); Proteasome activator 28 subunit alpha (PA28a; PA28alpha)</t>
  </si>
  <si>
    <t>PSME1_HUMAN</t>
  </si>
  <si>
    <t>Q06323</t>
  </si>
  <si>
    <t>A6NJG9; H0YNE3; Q6IBM2; Q9UEF4</t>
  </si>
  <si>
    <t>IFI5111</t>
  </si>
  <si>
    <t>3D-structure; Alternative splicing; Polymorphism;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</si>
  <si>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endopeptidase activity {GO:0010950};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G1/S transition of mitotic cell cycle {GO:2000045}; regulation of hematopoietic stem cell differentiation {GO:1902036}; regulation of mitotic cell cycle phase transition {GO:1901990}; regulation of mRNA stability {GO:0043488}; regulation of proteasomal protein catabolic process {GO:0061136};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</si>
  <si>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nucleoplasm {GO:0005654}; proteasome activator complex {GO:0008537}; proteasome complex {GO:0000502}</t>
  </si>
  <si>
    <t>endopeptidase activator activity {GO:0061133}</t>
  </si>
  <si>
    <t>Reticulocalbin-2</t>
  </si>
  <si>
    <t>Calcium-binding protein ERC-55; E6-binding protein (E6BP)</t>
  </si>
  <si>
    <t>RCN2_HUMAN</t>
  </si>
  <si>
    <t>Q14257</t>
  </si>
  <si>
    <t>A8MTG6; F8WCY5; Q53XN8</t>
  </si>
  <si>
    <t>ERC55</t>
  </si>
  <si>
    <t>Alternative splicing; Calcium; Endoplasmic reticulum; Metal-binding; Phosphoprotein; Repeat; Signal</t>
  </si>
  <si>
    <t>endoplasmic reticulum {GO:0005783}; endoplasmic reticulum lumen {GO:0005788}; nucleolus {GO:0005730}</t>
  </si>
  <si>
    <t>Cochlin</t>
  </si>
  <si>
    <t>COCH-5B2</t>
  </si>
  <si>
    <t>COCH_HUMAN</t>
  </si>
  <si>
    <t>O43405</t>
  </si>
  <si>
    <t>A8K9K9; D3DS84; Q96IU6</t>
  </si>
  <si>
    <t>COCH5B2</t>
  </si>
  <si>
    <t>3D-structure; Alternative splicing; Deafness; Disease mutation; Disulfide bond; Extracellular matrix; Glycoprotein; Hearing; Non-syndromic deafness; Polymorphism; Repeat; Secreted; Signal</t>
  </si>
  <si>
    <t>Hearing</t>
  </si>
  <si>
    <t>defense response to bacterium {GO:0042742}; growth plate cartilage chondrocyte morphogenesis {GO:0003429}; positive regulation of innate immune response {GO:0045089}; regulation of cell shape {GO:0008360}; sensory perception of sound {GO:0007605}</t>
  </si>
  <si>
    <t>collagen-containing extracellular matrix {GO:0062023}; extracellular matrix {GO:0031012}; extracellular space {GO:0005615}</t>
  </si>
  <si>
    <t>collagen binding {GO:0005518}</t>
  </si>
  <si>
    <t>Creatine kinase B-type</t>
  </si>
  <si>
    <t>Brain creatine kinase (B-CK); Creatine kinase B chain; Creatine phosphokinase B-type (CPK-B)</t>
  </si>
  <si>
    <t>KCRB_HUMAN</t>
  </si>
  <si>
    <t>P12277</t>
  </si>
  <si>
    <t>A8K236; B2R5R4; Q2LE07; Q6FG40; Q9UC66</t>
  </si>
  <si>
    <t>CKBB</t>
  </si>
  <si>
    <t>3D-structure; ATP-binding; Cytoplasm; Kinase; Nitration; Nucleotide-binding; Phosphoprotein; Polymorphism; Transferase</t>
  </si>
  <si>
    <t>Nitration; Phosphoprotein</t>
  </si>
  <si>
    <t>cellular chloride ion homeostasis {GO:0030644}; cerebellum development {GO:0021549}; creatine metabolic process {GO:0006600}; phosphocreatine biosynthetic process {GO:0046314}; substantia nigra development {GO:0021762}</t>
  </si>
  <si>
    <t>cytosol {GO:0005829}; dendrite {GO:0030425}; extracellular exosome {GO:0070062}; extracellular space {GO:0005615}; neuronal cell body {GO:0043025}; nucleus {GO:0005634}</t>
  </si>
  <si>
    <t>ATP binding {GO:0005524}; creatine kinase activity {GO:0004111}; kinase activity {GO:0016301}; ubiquitin protein ligase binding {GO:0031625}</t>
  </si>
  <si>
    <t>Glycogen phosphorylase, liver form</t>
  </si>
  <si>
    <t>PYGL_HUMAN</t>
  </si>
  <si>
    <t>P06737</t>
  </si>
  <si>
    <t>A6NDQ4; B4DUB7; F5H816; O60567; O60752; O60913; Q501V9; Q641R5; Q96G82</t>
  </si>
  <si>
    <t>3D-structure; Acetylation; Allosteric enzyme; Alternative splicing; Carbohydrate metabolism; Disease mutation; Glycogen metabolism; Glycogen storage disease; Glycosyltransferase; Nucleotide-binding; Phosphoprotein; Polymorphism; Pyridoxal phosphate; Transferase</t>
  </si>
  <si>
    <t>Carbohydrate metabolism; Glycogen metabolism</t>
  </si>
  <si>
    <t>Disease mutation; Glycogen storage disease</t>
  </si>
  <si>
    <t>Nucleotide-binding; Pyridoxal phosphate</t>
  </si>
  <si>
    <t>Allosteric enzyme; Glycosyltransferase; Transferase</t>
  </si>
  <si>
    <t>5-phosphoribose 1-diphosphate biosynthetic process {GO:0006015}; glucose homeostasis {GO:0042593}; glycogen catabolic process {GO:0005980}; glycogen metabolic process {GO:0005977}; necroptotic process {GO:0070266}; neutrophil degranulation {GO:0043312}; response to bacterium {GO:0009617}</t>
  </si>
  <si>
    <t>cytoplasm {GO:0005737}; cytosol {GO:0005829}; extracellular exosome {GO:0070062}; extracellular region {GO:0005576}; ficolin-1-rich granule lumen {GO:1904813}; secretory granule lumen {GO:0034774}</t>
  </si>
  <si>
    <t>AMP binding {GO:0016208}; ATP binding {GO:0005524}; bile acid binding {GO:0032052}; drug binding {GO:0008144}; glucose binding {GO:0005536}; glycogen phosphorylase activity {GO:0008184}; linear malto-oligosaccharide phosphorylase activity {GO:0102250}; protein homodimerization activity {GO:0042803}; purine nucleobase binding {GO:0002060}; pyridoxal phosphate binding {GO:0030170}; SHG alpha-glucan phosphorylase activity {GO:0102499}; vitamin binding {GO:0019842}</t>
  </si>
  <si>
    <t>Neutrophil degranulation {R-HSA-6798695}; Glycogen breakdown (glycogenolysis) {R-HSA-70221}</t>
  </si>
  <si>
    <t>Medin</t>
  </si>
  <si>
    <t>Breast epithelial antigen BA46; HMFG; MFGM; Milk fat globule-EGF factor 8 (MFG-E8); SED1</t>
  </si>
  <si>
    <t>MFGM_HUMAN</t>
  </si>
  <si>
    <t>Q08431</t>
  </si>
  <si>
    <t>B2R6M7; F5GZN3; Q53FU9; Q7Z3D2; Q9BTL9</t>
  </si>
  <si>
    <t>Alternative splicing; Amyloid; Angiogenesis; Cell adhesion; Disulfide bond; EGF-like domain; Fertilization; Glycoprotein; Membrane; Phosphoprotein; Polymorphism; Repeat; Secreted; Signal</t>
  </si>
  <si>
    <t>Angiogenesis; Cell adhesion; Fertilization</t>
  </si>
  <si>
    <t>Amyloid; Membrane; Secreted</t>
  </si>
  <si>
    <t>angiogenesis {GO:0001525}; apoptotic cell clearance {GO:0043277}; cell adhesion {GO:0007155}; cellular protein metabolic process {GO:0044267}; phagocytosis, engulfment {GO:0006911}; phagocytosis, recognition {GO:0006910}; positive regulation of phagocytosis {GO:0050766}; post-translational protein modification {GO:0043687}; single fertilization {GO:0007338}</t>
  </si>
  <si>
    <t>collagen-containing extracellular matrix {GO:0062023}; endoplasmic reticulum lumen {GO:0005788}; external side of plasma membrane {GO:0009897}; extracellular exosome {GO:0070062}; extracellular region {GO:0005576}; extracellular space {GO:0005615}; extracellular vesicle {GO:1903561}; extrinsic component of plasma membrane {GO:0019897}; membrane {GO:0016020}</t>
  </si>
  <si>
    <t>integrin binding {GO:0005178}; phosphatidylethanolamine binding {GO:0008429}; phosphatidylserine binding {GO:0001786}</t>
  </si>
  <si>
    <t>Regulation of Insulin-like Growth Factor (IGF) transport and uptake by Insulin-like Growth Factor Binding Proteins (IGFBPs) {R-HSA-381426}; Post-translational protein phosphorylation {R-HSA-8957275}; Amyloid fiber formation {R-HSA-977225}</t>
  </si>
  <si>
    <t>N(G),N(G)-dimethylarginine dimethylaminohydrolase 1 (DDAH-1; Dimethylarginine dimethylaminohydrolase 1)</t>
  </si>
  <si>
    <t>DDAHI; Dimethylargininase-1</t>
  </si>
  <si>
    <t>DDAH1_HUMAN</t>
  </si>
  <si>
    <t>O94760</t>
  </si>
  <si>
    <t>Q5HYC8; Q86XK5</t>
  </si>
  <si>
    <t>DDAH</t>
  </si>
  <si>
    <t>3D-structure; Acetylation; Alternative splicing; Hydrolase; Metal-binding; S-nitrosylation; Zinc</t>
  </si>
  <si>
    <t>Acetylation; S-nitrosylation</t>
  </si>
  <si>
    <t>arginine catabolic process {GO:0006527}; arginine metabolic process {GO:0006525}; citrulline metabolic process {GO:0000052}; negative regulation of cell population proliferation {GO:0008285}; negative regulation of cellular response to hypoxia {GO:1900038}; negative regulation of vascular permeability {GO:0043116}; nitric oxide mediated signal transduction {GO:0007263}; positive regulation of angiogenesis {GO:0045766}; positive regulation of nitric oxide biosynthetic process {GO:0045429}; regulation of nitric-oxide synthase activity {GO:0050999}; regulation of systemic arterial blood pressure {GO:0003073}</t>
  </si>
  <si>
    <t>amino acid binding {GO:0016597}; catalytic activity {GO:0003824}; dimethylargininase activity {GO:0016403}; metal ion binding {GO:0046872}</t>
  </si>
  <si>
    <t>eNOS activation {R-HSA-203615}</t>
  </si>
  <si>
    <t>60S ribosomal protein L27a</t>
  </si>
  <si>
    <t>Large ribosomal subunit protein uL15</t>
  </si>
  <si>
    <t>RL27A_HUMAN</t>
  </si>
  <si>
    <t>P46776</t>
  </si>
  <si>
    <t>B2R4B3</t>
  </si>
  <si>
    <t>3D-structure; Acetylation; Hydroxylation; Phosphoprotein; Ribonucleoprotein; Ribosomal protein</t>
  </si>
  <si>
    <t>Acetylation; Hydroxylation; Phosphoprotein</t>
  </si>
  <si>
    <t>cytosol {GO:0005829}; cytosolic large ribosomal subunit {GO:0022625}; endoplasmic reticulum {GO:0005783}; membrane {GO:0016020}</t>
  </si>
  <si>
    <t>Alkaline phosphatase, tissue-nonspecific isozyme (AP-TNAP; TNSALP)</t>
  </si>
  <si>
    <t>Alkaline phosphatase liver/bone/kidney isozyme</t>
  </si>
  <si>
    <t>PPBT_HUMAN</t>
  </si>
  <si>
    <t>P05186</t>
  </si>
  <si>
    <t>A1A4E7; B2RMP8; B7Z387; B7Z4Y6; O75090; Q2TAI7; Q59EJ7; Q5BKZ5; Q5VTG5; Q6NZI8; Q8WU32; Q9UBK0</t>
  </si>
  <si>
    <t>Alternative splicing; Biomineralization; Cell membrane; Disease mutation; Disulfide bond; Glycoprotein; GPI-anchor; Hydrolase; Lipoprotein; Magnesium; Membrane; Metal-binding; Phosphoprotein; Polymorphism; Signal; Zinc</t>
  </si>
  <si>
    <t>Biomineralization</t>
  </si>
  <si>
    <t>Magnesium; Metal-binding; Zinc</t>
  </si>
  <si>
    <t>Disulfide bond; GPI-anchor; Glycoprotein; Lipoprotein; Phosphoprotein</t>
  </si>
  <si>
    <t>cellular response to organic cyclic compound {GO:0071407}; cementum mineralization {GO:0071529}; developmental process involved in reproduction {GO:0003006}; endochondral ossification {GO:0001958}; osteoblast differentiation {GO:0001649}; response to antibiotic {GO:0046677}; response to glucocorticoid {GO:0051384}; response to lipopolysaccharide {GO:0032496}; response to vitamin D {GO:0033280}; skeletal system development {GO:0001501}</t>
  </si>
  <si>
    <t>anchored component of membrane {GO:0031225}; extracellular exosome {GO:0070062}; extracellular matrix {GO:0031012}; extracellular membrane-bounded organelle {GO:0065010}; extracellular region {GO:0005576}; membrane {GO:0016020}; plasma membrane {GO:0005886}</t>
  </si>
  <si>
    <t>alkaline phosphatase activity {GO:0004035}; metal ion binding {GO:0046872}; pyrophosphatase activity {GO:0016462}</t>
  </si>
  <si>
    <t>Post-translational modification: synthesis of GPI-anchored proteins {R-HSA-163125}</t>
  </si>
  <si>
    <t>Sorbitol dehydrogenase (SDH)</t>
  </si>
  <si>
    <t>(R,R)-butanediol dehydrogenase; L-iditol 2-dehydrogenase; Polyol dehydrogenase; Ribitol dehydrogenase (RDH); Xylitol dehydrogenase (XDH)</t>
  </si>
  <si>
    <t>DHSO_HUMAN</t>
  </si>
  <si>
    <t>Q00796</t>
  </si>
  <si>
    <t>B2R655; B7Z3A6; J3JZZ5; Q16682; Q9UMD6</t>
  </si>
  <si>
    <t>3D-structure; Acetylation; Alternative splicing; Cell projection; Cilium; Flagellum; Membrane; Metal-binding; Mitochondrion; NAD; Oxidoreductase; Phosphoprotein; Polymorphism; Zinc</t>
  </si>
  <si>
    <t>Cell projection; Cilium; Flagellum; Membrane; Mitochondrion</t>
  </si>
  <si>
    <t>Metal-binding; NAD; Zinc</t>
  </si>
  <si>
    <t>flagellated sperm motility {GO:0030317}; fructose biosynthetic process {GO:0046370}; glucose metabolic process {GO:0006006}; glucuronate catabolic process to xylulose 5-phosphate {GO:0019640}; L-xylitol catabolic process {GO:0051160}; L-xylitol metabolic process {GO:0051164}; response to cadmium ion {GO:0046686}; response to copper ion {GO:0046688}; response to drug {GO:0042493}; response to hormone {GO:0009725}; response to nutrient levels {GO:0031667}; response to osmotic stress {GO:0006970}; sorbitol catabolic process {GO:0006062}</t>
  </si>
  <si>
    <t>cytosol {GO:0005829}; extracellular exosome {GO:0070062}; extracellular space {GO:0005615}; membrane {GO:0016020}; mitochondrial membrane {GO:0031966}; motile cilium {GO:0031514}</t>
  </si>
  <si>
    <t>carbohydrate binding {GO:0030246}; identical protein binding {GO:0042802}; L-iditol 2-dehydrogenase activity {GO:0003939}; NAD binding {GO:0051287}; zinc ion binding {GO:0008270}</t>
  </si>
  <si>
    <t>Fructose biosynthesis {R-HSA-5652227}; Formation of xylulose-5-phosphate {R-HSA-5661270}</t>
  </si>
  <si>
    <t>GMP reductase 2 (GMPR 2)</t>
  </si>
  <si>
    <t>Guanosine 5'-monophosphate oxidoreductase 2 (Guanosine monophosphate reductase 2)</t>
  </si>
  <si>
    <t>GMPR2_HUMAN</t>
  </si>
  <si>
    <t>Q9P2T1</t>
  </si>
  <si>
    <t>D3DS66; Q567T0; Q6IAJ8; Q86T14</t>
  </si>
  <si>
    <t>3D-structure; Acetylation; Alternative splicing; Metal-binding; NADP; Oxidoreductase; Polymorphism; Potassium; Purine metabolism</t>
  </si>
  <si>
    <t>Purine metabolism</t>
  </si>
  <si>
    <t>Metal-binding; NADP; Potassium</t>
  </si>
  <si>
    <t>GMP metabolic process {GO:0046037}; purine nucleobase metabolic process {GO:0006144}; purine ribonucleotide interconversion {GO:0015951}; purine-containing compound salvage {GO:0043101}</t>
  </si>
  <si>
    <t>cytosol {GO:0005829}; GMP reductase complex {GO:1902560}</t>
  </si>
  <si>
    <t>GMP reductase activity {GO:0003920}; metal ion binding {GO:0046872}</t>
  </si>
  <si>
    <t>Purine salvage {R-HSA-74217}</t>
  </si>
  <si>
    <t>Proteasome activator complex subunit 2</t>
  </si>
  <si>
    <t>11S regulator complex subunit beta (REG-beta); Activator of multicatalytic protease subunit 2; Proteasome activator 28 subunit beta (PA28b; PA28beta)</t>
  </si>
  <si>
    <t>PSME2_HUMAN</t>
  </si>
  <si>
    <t>Q9UL46</t>
  </si>
  <si>
    <t>Q15129</t>
  </si>
  <si>
    <t>Acetylation; Phosphoprotein; Polymorphism;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</si>
  <si>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interleukin-12-mediated signaling pathway {GO:0035722};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endopeptidase activity {GO:0010950};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G1/S transition of mitotic cell cycle {GO:2000045}; regulation of hematopoietic stem cell differentiation {GO:1902036}; regulation of mitotic cell cycle phase transition {GO:1901990}; regulation of mRNA stability {GO:0043488}; regulation of proteasomal protein catabolic process {GO:0061136};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</si>
  <si>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membrane {GO:0016020}; nucleoplasm {GO:0005654}; proteasome activator complex {GO:0008537}; proteasome complex {GO:0000502}</t>
  </si>
  <si>
    <t>endopeptidase activator activity {GO:0061133}; identical protein binding {GO:0042802}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</si>
  <si>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Gene and protein expression by JAK-STAT signaling after Interleukin-12 stimulation {R-HSA-8950505}; Neddylation {R-HSA-8951664}; Regulation of expression of SLITs and ROBOs {R-HSA-9010553}; Interleukin-1 signaling {R-HSA-9020702}; Negative regulation of NOTCH4 signaling {R-HSA-9604323}; Antigen processing: Ubiquitination &amp; Proteasome degradation {R-HSA-983168}</t>
  </si>
  <si>
    <t>Magnesium-dependent phosphatase 1 (MDP-1)</t>
  </si>
  <si>
    <t>MGDP1_HUMAN</t>
  </si>
  <si>
    <t>Q86V88</t>
  </si>
  <si>
    <t>Q86Y84; Q8NAD9</t>
  </si>
  <si>
    <t>3D-structure; Alternative splicing; Hydrolase; Magnesium; Metal-binding; Protein phosphatase</t>
  </si>
  <si>
    <t>Hydrolase; Protein phosphatase</t>
  </si>
  <si>
    <t>fructosamine metabolic process {GO:0030389}</t>
  </si>
  <si>
    <t>acid phosphatase activity {GO:0003993}; metal ion binding {GO:0046872}; protein tyrosine phosphatase activity {GO:0004725}</t>
  </si>
  <si>
    <t>NEDD8</t>
  </si>
  <si>
    <t>Neddylin; Neural precursor cell expressed developmentally down-regulated protein 8 (NEDD-8); Ubiquitin-like protein Nedd8</t>
  </si>
  <si>
    <t>NEDD8_HUMAN</t>
  </si>
  <si>
    <t>Q15843</t>
  </si>
  <si>
    <t>Q3SXN8; Q6LES6</t>
  </si>
  <si>
    <t>3D-structure; Acetylation; Isopeptide bond; Nucleus; Ubl conjugation pathway</t>
  </si>
  <si>
    <t>Acetylation; Isopeptide bond</t>
  </si>
  <si>
    <t>anatomical structure morphogenesis {GO:0009653}; cellular iron ion homeostasis {GO:0006879}; cellular protein modification process {GO:0006464}; modification-dependent protein catabolic process {GO:0019941}; post-translational protein modification {GO:0043687}; protein deubiquitination {GO:0016579}; protein localization {GO:0008104}; protein neddylation {GO:0045116}; protein ubiquitination {GO:0016567}; proteolysis {GO:0006508}; regulation of proteolysis {GO:0030162}; regulation of transcription by RNA polymerase II {GO:0006357}; response to organic cyclic compound {GO:0014070}; ubiquitin-dependent protein catabolic process {GO:0006511}</t>
  </si>
  <si>
    <t>cytoplasm {GO:0005737}; cytosol {GO:0005829}; extracellular exosome {GO:0070062}; nucleoplasm {GO:0005654}; nucleus {GO:0005634}</t>
  </si>
  <si>
    <t>protein tag {GO:0031386}; ubiquitin protein ligase binding {GO:0031625}</t>
  </si>
  <si>
    <t>TGF-beta receptor signaling activates SMADs {R-HSA-2173789}; UCH proteinases {R-HSA-5689603}; Cargo recognition for clathrin-mediated endocytosis {R-HSA-8856825}; Neddylation {R-HSA-8951664}; Iron uptake and transport {R-HSA-917937}</t>
  </si>
  <si>
    <t>C-terminal peptide</t>
  </si>
  <si>
    <t>Pituitary polypeptide; Secretogranin V; Secretogranin-5; Secretory granule endocrine protein I</t>
  </si>
  <si>
    <t>7B2_HUMAN</t>
  </si>
  <si>
    <t>P05408</t>
  </si>
  <si>
    <t>P01164; Q6FHD0; Q9BS38</t>
  </si>
  <si>
    <t>SGNE1</t>
  </si>
  <si>
    <t>Alternative splicing; Chaperone; Cleavage on pair of basic residues; Disulfide bond; Neuropeptide; Phosphoprotein; Secreted; Signal; Sulfation; Transport</t>
  </si>
  <si>
    <t>Chaperone; Neuropeptide</t>
  </si>
  <si>
    <t>Cleavage on pair of basic residues; Disulfide bond; Phosphoprotein; Sulfation</t>
  </si>
  <si>
    <t>intracellular protein transport {GO:0006886}; neuropeptide signaling pathway {GO:0007218}; peptide hormone processing {GO:0016486}; regulation of hormone secretion {GO:0046883}</t>
  </si>
  <si>
    <t>extracellular region {GO:0005576}; secretory granule {GO:0030141}</t>
  </si>
  <si>
    <t>enzyme inhibitor activity {GO:0004857}; GTP binding {GO:0005525}; unfolded protein binding {GO:0051082}</t>
  </si>
  <si>
    <t>Gastricsin</t>
  </si>
  <si>
    <t>Pepsinogen C</t>
  </si>
  <si>
    <t>PEPC_HUMAN</t>
  </si>
  <si>
    <t>P20142</t>
  </si>
  <si>
    <t>B4DVZ3; Q5T3D7; Q5T3D8</t>
  </si>
  <si>
    <t>3D-structure; Alternative splicing; Aspartyl protease; Digestion; Disulfide bond; Hydrolase; Protease; Secreted; Signal; Zymogen</t>
  </si>
  <si>
    <t>digestion {GO:0007586}; positive regulation of antibacterial peptide production {GO:0002803}; protein catabolic process {GO:0030163}; proteolysis {GO:0006508}</t>
  </si>
  <si>
    <t>Kallistatin</t>
  </si>
  <si>
    <t>Kallikrein inhibitor; Peptidase inhibitor 4 (PI-4); Serpin A4</t>
  </si>
  <si>
    <t>KAIN_HUMAN</t>
  </si>
  <si>
    <t>P29622</t>
  </si>
  <si>
    <t>Q53XB5; Q86TR9; Q96BZ5</t>
  </si>
  <si>
    <t>KST; PI4</t>
  </si>
  <si>
    <t>3D-structure; Glycoprotein; Protease inhibitor; Secreted; Serine protease inhibitor; Signal</t>
  </si>
  <si>
    <t>negative regulation of endopeptidase activity {GO:0010951}; platelet degranulation {GO:0002576}</t>
  </si>
  <si>
    <t>extracellular exosome {GO:0070062}; extracellular region {GO:0005576}; extracellular space {GO:0005615}; platelet dense granule lumen {GO:0031089}</t>
  </si>
  <si>
    <t>serine-type endopeptidase inhibitor activity {GO:0004867}</t>
  </si>
  <si>
    <t>Complement component C8 alpha chain</t>
  </si>
  <si>
    <t>Complement component 8 subunit alpha</t>
  </si>
  <si>
    <t>CO8A_HUMAN</t>
  </si>
  <si>
    <t>P07357</t>
  </si>
  <si>
    <t>A2RUI4; A2RUI5; Q13668; Q9H130</t>
  </si>
  <si>
    <t>3D-structure; Cell membrane; Cleavage on pair of basic residues; Complement alternate pathway; Complement pathway; Cytolysis; Disulfide bond; EGF-like domain; Glycoprotein; Immunity; Innate immunity; Membrane; Membrane attack complex; Polymorphism; Repeat; Secreted; Signal; Transmembrane; Transmembrane beta strand</t>
  </si>
  <si>
    <t>Complement alternate pathway; Complement pathway; Cytolysis; Immunity; Innate immunity</t>
  </si>
  <si>
    <t>Cell membrane; Membrane; Membrane attack complex; Secreted</t>
  </si>
  <si>
    <t>EGF-like domain; Repeat; Signal; Transmembrane; Transmembrane beta strand</t>
  </si>
  <si>
    <t>complement activation {GO:0006956}; complement activation, alternative pathway {GO:0006957}; complement activation, classical pathway {GO:0006958}; cytolysis {GO:0019835}; immune response {GO:0006955}; regulation of complement activation {GO:0030449}</t>
  </si>
  <si>
    <t>blood microparticle {GO:0072562}; extracellular exosome {GO:0070062}; extracellular region {GO:0005576}; extracellular space {GO:0005615}; membrane {GO:0016020}; membrane attack complex {GO:0005579}</t>
  </si>
  <si>
    <t>complement binding {GO:0001848}; protein-containing complex binding {GO:0044877}</t>
  </si>
  <si>
    <t>Terminal pathway of complement {R-HSA-166665}; Regulation of Complement cascade {R-HSA-977606}</t>
  </si>
  <si>
    <t>Kunitz-type protease inhibitor 1</t>
  </si>
  <si>
    <t>Hepatocyte growth factor activator inhibitor type 1 (HAI-1)</t>
  </si>
  <si>
    <t>SPIT1_HUMAN</t>
  </si>
  <si>
    <t>O43278</t>
  </si>
  <si>
    <t>Q7Z7D2</t>
  </si>
  <si>
    <t>HAI1</t>
  </si>
  <si>
    <t>3D-structure; Alternative splicing; Disulfide bond; Glycoprotein; Polymorphism; Protease inhibitor; Repeat; Secreted; Serine protease inhibitor; Signal</t>
  </si>
  <si>
    <t>branching involved in labyrinthine layer morphogenesis {GO:0060670}; cellular response to BMP stimulus {GO:0071773}; extracellular matrix organization {GO:0030198}; negative regulation of neural precursor cell proliferation {GO:2000178}; neural tube closure {GO:0001843}; placenta blood vessel development {GO:0060674}; positive regulation of glial cell differentiation {GO:0045687}</t>
  </si>
  <si>
    <t>extracellular exosome {GO:0070062}; extracellular region {GO:0005576}; extracellular space {GO:0005615}; membrane {GO:0016020}; plasma membrane {GO:0005886}</t>
  </si>
  <si>
    <t>MET Receptor Activation {R-HSA-6806942}; Signaling by MST1 {R-HSA-8852405}</t>
  </si>
  <si>
    <t>ERO1-like protein alpha (ERO1-L; ERO1-L-alpha)</t>
  </si>
  <si>
    <t>Endoplasmic oxidoreductin-1-like protein; Endoplasmic reticulum oxidoreductase alpha; Oxidoreductin-1-L-alpha</t>
  </si>
  <si>
    <t>ERO1A_HUMAN</t>
  </si>
  <si>
    <t>Q96HE7</t>
  </si>
  <si>
    <t>A8K9X4; A8MYW1; Q7LD45; Q9P1Q9; Q9UKV6</t>
  </si>
  <si>
    <t>ERO1L</t>
  </si>
  <si>
    <t>3D-structure; Apoptosis; Disulfide bond; Electron transport; Endoplasmic reticulum; FAD; Flavoprotein; Glycoprotein; Membrane; Oxidoreductase; Phosphoprotein; Redox-active center; Signal; Transport</t>
  </si>
  <si>
    <t>Apoptosis; Electron transport; Transport</t>
  </si>
  <si>
    <t>Redox-active center; Signal</t>
  </si>
  <si>
    <t>4-hydroxyproline metabolic process {GO:0019471}; animal organ senescence {GO:0010260}; brown fat cell differentiation {GO:0050873}; cell redox homeostasis {GO:0045454}; cellular protein modification process {GO:0006464}; cellular response to hypoxia {GO:0071456}; cellular response to oxidative stress {GO:0034599}; chaperone cofactor-dependent protein refolding {GO:0051085}; endoplasmic reticulum unfolded protein response {GO:0030968}; extracellular matrix organization {GO:0030198}; intrinsic apoptotic signaling pathway in response to endoplasmic reticulum stress {GO:0070059}; protein folding {GO:0006457}; protein folding in endoplasmic reticulum {GO:0034975}; protein maturation by protein folding {GO:0022417}; release of sequestered calcium ion into cytosol {GO:0051209}; response to endoplasmic reticulum stress {GO:0034976}; response to temperature stimulus {GO:0009266}</t>
  </si>
  <si>
    <t>dendrite {GO:0030425}; endoplasmic reticulum {GO:0005783}; endoplasmic reticulum lumen {GO:0005788}; endoplasmic reticulum membrane {GO:0005789}; intracellular membrane-bounded organelle {GO:0043231}; membrane {GO:0016020}</t>
  </si>
  <si>
    <t>oxidoreductase activity {GO:0016491}; oxidoreductase activity, acting on a sulfur group of donors, disulfide as acceptor {GO:0016671}; protein disulfide isomerase activity {GO:0003756}; protein disulfide oxidoreductase activity {GO:0015035}</t>
  </si>
  <si>
    <t>Insulin processing {R-HSA-264876}; Detoxification of Reactive Oxygen Species {R-HSA-3299685}</t>
  </si>
  <si>
    <t>26S proteasome regulatory subunit 10B</t>
  </si>
  <si>
    <t>26S proteasome AAA-ATPase subunit RPT4; Proteasome 26S subunit ATPase 6; Proteasome subunit p42</t>
  </si>
  <si>
    <t>PRS10_HUMAN</t>
  </si>
  <si>
    <t>P62333</t>
  </si>
  <si>
    <t>B2R975; P49719; Q6IBU3; Q92524</t>
  </si>
  <si>
    <t>SUG2</t>
  </si>
  <si>
    <t>3D-structure; Acetylation; ATP-binding; Cytoplasm; Nucleotide-binding; Nucleus; Phosphoprotein;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</si>
  <si>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RNA polymerase II transcriptional preinitiation complex assembly {GO:0045899};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ERAD pathway {GO:0030433}; ubiquitin-dependent protein catabolic process {GO:0006511}; Wnt signaling pathway, planar cell polarity pathway {GO:0060071}</t>
  </si>
  <si>
    <t>cytosol {GO:0005829}; cytosolic proteasome complex {GO:0031597}; extracellular exosome {GO:0070062}; membrane {GO:0016020}; nucleoplasm {GO:0005654}; nucleus {GO:0005634}; proteasome accessory complex {GO:0022624}; proteasome complex {GO:0000502}; proteasome regulatory particle, base subcomplex {GO:0008540}</t>
  </si>
  <si>
    <t>ATP binding {GO:0005524}; ATPase activity {GO:0016887}; identical protein binding {GO:0042802}; proteasome-activating ATPase activity {GO:0036402}; protein binding, bridging {GO:0030674}</t>
  </si>
  <si>
    <t>C-type lectin domain family 14 member A</t>
  </si>
  <si>
    <t>Epidermal growth factor receptor 5 (EGFR-5)</t>
  </si>
  <si>
    <t>CLC14_HUMAN</t>
  </si>
  <si>
    <t>Q86T13</t>
  </si>
  <si>
    <t>Q695G9; Q6PWT6; Q8N5V5</t>
  </si>
  <si>
    <t>C14orf27; EGFR5</t>
  </si>
  <si>
    <t>Disulfide bond; EGF-like domain; Glycoprotein; Lectin; Membrane; Signal; Transmembrane; Transmembrane helix</t>
  </si>
  <si>
    <t>EGF-like domain; Signal; Transmembrane; Transmembrane helix</t>
  </si>
  <si>
    <t>cell migration {GO:0016477}; cell migration involved in sprouting angiogenesis {GO:0002042}</t>
  </si>
  <si>
    <t>collagen-containing extracellular matrix {GO:0062023}; external side of plasma membrane {GO:0009897}; integral component of membrane {GO:0016021}</t>
  </si>
  <si>
    <t>carbohydrate binding {GO:0030246}; extracellular matrix binding {GO:0050840}; extracellular matrix protein binding {GO:1990430}</t>
  </si>
  <si>
    <t>Aminopeptidase N (AP-N; hAPN)</t>
  </si>
  <si>
    <t>Alanyl aminopeptidase; Aminopeptidase M (AP-M); Microsomal aminopeptidase; Myeloid plasma membrane glycoprotein CD13; gp150; CD_antigen=CD13</t>
  </si>
  <si>
    <t>AMPN_HUMAN</t>
  </si>
  <si>
    <t>P15144</t>
  </si>
  <si>
    <t>Q16728; Q6GT90; Q8IUK3; Q8IVH3; Q9UCE0</t>
  </si>
  <si>
    <t>APN; CD13; PEPN</t>
  </si>
  <si>
    <t>3D-structure; Aminopeptidase; Angiogenesis; Cell membrane; Developmental protein; Differentiation; Disulfide bond; Glycoprotein; Host cell receptor for virus entry; Host-virus interaction; Hydrolase; Membrane; Metal-binding; Metalloprotease; Polymorphism; Protease; Receptor; Signal-anchor; Sulfation; Transmembrane; Transmembrane helix; Zinc</t>
  </si>
  <si>
    <t>Angiogenesis; Differentiation; Host-virus interaction</t>
  </si>
  <si>
    <t>Aminopeptidase; Developmental protein; Host cell receptor for virus entry; Hydrolase; Metalloprotease; Protease; Receptor</t>
  </si>
  <si>
    <t>Disulfide bond; Glycoprotein; Sulfation</t>
  </si>
  <si>
    <t>angiogenesis {GO:0001525}; cell differentiation {GO:0030154}; neutrophil degranulation {GO:0043312}; peptide catabolic process {GO:0043171}; proteolysis {GO:0006508}</t>
  </si>
  <si>
    <t>cytoplasm {GO:0005737}; endoplasmic reticulum-Golgi intermediate compartment {GO:0005793}; external side of plasma membrane {GO:0009897}; extracellular exosome {GO:0070062}; extracellular space {GO:0005615}; integral component of membrane {GO:0016021}; lysosomal membrane {GO:0005765}; plasma membrane {GO:0005886}; secretory granule membrane {GO:0030667}</t>
  </si>
  <si>
    <t>aminopeptidase activity {GO:0004177}; metalloaminopeptidase activity {GO:0070006}; metallopeptidase activity {GO:0008237}; peptide binding {GO:0042277}; signaling receptor activity {GO:0038023}; virus receptor activity {GO:0001618}; zinc ion binding {GO:0008270}</t>
  </si>
  <si>
    <t>Metabolism of Angiotensinogen to Angiotensins {R-HSA-2022377}; Neutrophil degranulation {R-HSA-6798695}</t>
  </si>
  <si>
    <t>PDZK1-interacting protein 1</t>
  </si>
  <si>
    <t>17 kDa membrane-associated protein; Protein DD96</t>
  </si>
  <si>
    <t>PDZ1I_HUMAN</t>
  </si>
  <si>
    <t>Q13113</t>
  </si>
  <si>
    <t>Q6ICT9; Q96EI1</t>
  </si>
  <si>
    <t>MAP17</t>
  </si>
  <si>
    <t>Membrane; Phosphoprotein; Transmembrane; Transmembrane helix</t>
  </si>
  <si>
    <t>extracellular exosome {GO:0070062}; integral component of membrane {GO:0016021}</t>
  </si>
  <si>
    <t>Peptidyl-prolyl cis-trans isomerase A, N-terminally processed</t>
  </si>
  <si>
    <t>Cyclophilin A; Cyclosporin A-binding protein; Rotamase A</t>
  </si>
  <si>
    <t>PPIA_HUMAN</t>
  </si>
  <si>
    <t>P62937</t>
  </si>
  <si>
    <t>A8K220; P05092; Q3KQW3; Q567Q0; Q6IBU5; Q96IX3; Q9BRU4; Q9BTY9; Q9UC61</t>
  </si>
  <si>
    <t>CYPA</t>
  </si>
  <si>
    <t>3D-structure; Acetylation; Alternative splicing; Cytoplasm; Glycoprotein; Host-virus interaction; Isomerase; Isopeptide bond; Phosphoprotein; Rotamase; Secreted; Ubl conjugation</t>
  </si>
  <si>
    <t>Cytoplasm; Secreted</t>
  </si>
  <si>
    <t>Acetylation; Glycoprotein; Isopeptide bond; Phosphoprotein; Ubl conjugation</t>
  </si>
  <si>
    <t>entry into host cell {GO:0030260}; establishment of integrated proviral latency {GO:0075713}; fusion of virus membrane with host plasma membrane {GO:0019064}; interleukin-12-mediated signaling pathway {GO:0035722}; leukocyte migration {GO:0050900}; lipid droplet organization {GO:0034389}; neutrophil degranulation {GO:0043312}; positive regulation of protein secretion {GO:0050714}; positive regulation of viral genome replication {GO:0045070}; protein folding {GO:0006457}; protein peptidyl-prolyl isomerization {GO:0000413}; protein refolding {GO:0042026}; regulation of viral genome replication {GO:0045069}; RNA-dependent DNA biosynthetic process {GO:0006278}; uncoating of virus {GO:0019061}; viral life cycle {GO:0019058}; viral release from host cell {GO:0019076}; virion assembly {GO:0019068}</t>
  </si>
  <si>
    <t>cytosol {GO:0005829}; extracellular exosome {GO:0070062}; extracellular region {GO:0005576}; extracellular space {GO:0005615}; ficolin-1-rich granule lumen {GO:1904813}; focal adhesion {GO:0005925}; membrane {GO:0016020}; nucleus {GO:0005634}; protein-containing complex {GO:0032991}; secretory granule lumen {GO:0034774}; vesicle {GO:0031982}</t>
  </si>
  <si>
    <t>cyclosporin A binding {GO:0016018}; peptidyl-prolyl cis-trans isomerase activity {GO:0003755}; RNA binding {GO:0003723}; unfolded protein binding {GO:0051082}; virion binding {GO:0046790}</t>
  </si>
  <si>
    <t>Platelet degranulation {R-HSA-114608}; Uncoating of the HIV Virion {R-HSA-162585}; Budding and maturation of HIV virion {R-HSA-162588}; Integration of provirus {R-HSA-162592}; Early Phase of HIV Life Cycle {R-HSA-162594}; Minus-strand DNA synthesis {R-HSA-164516}; Plus-strand DNA synthesis {R-HSA-164525}; Binding and entry of HIV virion {R-HSA-173107}; Assembly Of The HIV Virion {R-HSA-175474}; APOBEC3G mediated resistance to HIV-1 infection {R-HSA-180689}; Calcineurin activates NFAT {R-HSA-2025928}; Basigin interactions {R-HSA-210991}; Neutrophil degranulation {R-HSA-6798695}; Gene and protein expression by JAK-STAT signaling after Interleukin-12 stimulation {R-HSA-8950505}</t>
  </si>
  <si>
    <t>Collagen alpha-2(I) chain</t>
  </si>
  <si>
    <t>Alpha-2 type I collagen</t>
  </si>
  <si>
    <t>CO1A2_HUMAN</t>
  </si>
  <si>
    <t>P08123</t>
  </si>
  <si>
    <t>P02464; Q13897; Q13997; Q13998; Q14038; Q14057; Q15177; Q15947; Q16480; Q16511; Q7Z5S6; Q9UEB6; Q9UEF9; Q9UM83; Q9UMI1; Q9UML5; Q9UMM6; Q9UPH0</t>
  </si>
  <si>
    <t>3D-structure; Calcium; Chromosomal rearrangement; Collagen; Disease mutation; Disulfide bond; Dwarfism; Ehlers-Danlos syndrome; Extracellular matrix; Glycoprotein; Hydroxylation; Metal-binding; Osteogenesis imperfecta; Polymorphism; Pyrrolidone carboxylic acid; Repeat; Secreted; Signal</t>
  </si>
  <si>
    <t>Disulfide bond; Glycoprotein; Hydroxylation; Pyrrolidone carboxylic acid</t>
  </si>
  <si>
    <t>blood coagulation {GO:0007596}; blood vessel development {GO:0001568}; bone mineralization {GO:0030282}; cellular response to amino acid stimulus {GO:0071230}; collagen fibril organization {GO:0030199}; collagen metabolic process {GO:0032963}; cytokine-mediated signaling pathway {GO:0019221}; extracellular matrix assembly {GO:0085029}; extracellular matrix organization {GO:0030198}; leukocyte migration {GO:0050900}; odontogenesis {GO:0042476}; platelet activation {GO:0030168}; protein heterotrimerization {GO:0070208}; regulation of blood pressure {GO:0008217}; regulation of immune response {GO:0050776}; Rho protein signal transduction {GO:0007266}; skeletal system development {GO:0001501}; skin morphogenesis {GO:0043589}; transforming growth factor beta receptor signaling pathway {GO:0007179}</t>
  </si>
  <si>
    <t>collagen type I trimer {GO:0005584}; collagen-containing extracellular matrix {GO:0062023}; endoplasmic reticulum {GO:0005783}; endoplasmic reticulum lumen {GO:0005788}; extracellular exosome {GO:0070062}; extracellular matrix {GO:0031012}; extracellular region {GO:0005576}; extracellular space {GO:0005615}</t>
  </si>
  <si>
    <t>extracellular matrix structural constituent {GO:0005201}; extracellular matrix structural constituent conferring tensile strength {GO:0030020}; identical protein binding {GO:0042802}; metal ion binding {GO:0046872}; platelet-derived growth factor binding {GO:0048407}; protease binding {GO:0002020}; protein binding, bridging {GO:0030674}; SMAD binding {GO:0046332}</t>
  </si>
  <si>
    <t>GPVI-mediated activation cascade {R-HSA-114604}; Collagen degradation {R-HSA-1442490}; Extracellular matrix organization {R-HSA-1474244}; Collagen biosynthesis and modifying enzymes {R-HSA-1650814}; Immunoregulatory interactions between a Lymphoid and a non-Lymphoid cell {R-HSA-198933}; Assembly of collagen fibrils and other multimeric structures {R-HSA-2022090}; Cell surface interactions at the vascular wall {R-HSA-202733}; Integrin cell surface interactions {R-HSA-216083}; Anchoring fibril formation {R-HSA-2214320}; Crosslinking of collagen fibrils {R-HSA-2243919}; Syndecan interactions {R-HSA-3000170}; Non-integrin membrane-ECM interactions {R-HSA-3000171}; ECM proteoglycans {R-HSA-3000178}; Scavenging by Class A Receptors {R-HSA-3000480}; GP1b-IX-V activation signalling {R-HSA-430116}; Interleukin-4 and Interleukin-13 signaling {R-HSA-6785807}; Platelet Adhesion to exposed collagen {R-HSA-75892}; Platelet Aggregation (Plug Formation) {R-HSA-76009}; MET activates PTK2 signaling {R-HSA-8874081}; Collagen chain trimerization {R-HSA-8948216}</t>
  </si>
  <si>
    <t>Trypsin-2</t>
  </si>
  <si>
    <t>Anionic trypsinogen; Serine protease 2; Trypsin II</t>
  </si>
  <si>
    <t>TRY2_HUMAN</t>
  </si>
  <si>
    <t>P07478</t>
  </si>
  <si>
    <t>TRY2; TRYP2</t>
  </si>
  <si>
    <t>Calcium; Digestion; Disulfide bond; Hydrolase; Metal-binding; Polymorphism; Protease; Secreted; Serine protease; Signal; Sulfation; Zymogen</t>
  </si>
  <si>
    <t>Disulfide bond; Sulfation; Zymogen</t>
  </si>
  <si>
    <t>antimicrobial humoral response {GO:0019730}; collagen catabolic process {GO:0030574}; digestion {GO:0007586}; extracellular matrix disassembly {GO:0022617}; neutrophil degranulation {GO:0043312}; positive regulation of cell adhesion {GO:0045785}; positive regulation of cell growth {GO:0030307}; proteolysis {GO:0006508}</t>
  </si>
  <si>
    <t>azurophil granule lumen {GO:0035578}; extracellular matrix {GO:0031012}; extracellular region {GO:0005576}; extracellular space {GO:0005615}</t>
  </si>
  <si>
    <t>calcium ion binding {GO:0005509}; serine-type endopeptidase activity {GO:0004252}</t>
  </si>
  <si>
    <t>Collagen degradation {R-HSA-1442490}; Alpha-defensins {R-HSA-1462054}; Activation of Matrix Metalloproteinases {R-HSA-1592389}; Neutrophil degranulation {R-HSA-6798695}; Antimicrobial peptides {R-HSA-6803157}</t>
  </si>
  <si>
    <t>Retinoic acid receptor responder protein 2</t>
  </si>
  <si>
    <t>Chemerin; RAR-responsive protein TIG2; Tazarotene-induced gene 2 protein</t>
  </si>
  <si>
    <t>RARR2_HUMAN</t>
  </si>
  <si>
    <t>Q99969</t>
  </si>
  <si>
    <t>Q7LE02</t>
  </si>
  <si>
    <t>TIG2</t>
  </si>
  <si>
    <t>Chemotaxis; Differentiation; Disulfide bond; Inflammatory response; Secreted; Signal</t>
  </si>
  <si>
    <t>Chemotaxis; Differentiation; Inflammatory response</t>
  </si>
  <si>
    <t>antifungal humoral response {GO:0019732}; antifungal innate immune response {GO:0061760}; cell differentiation {GO:0030154}; chemotaxis {GO:0006935}; defense response to Gram-negative bacterium {GO:0050829}; defense response to Gram-positive bacterium {GO:0050830}; embryonic digestive tract development {GO:0048566}; inflammatory response {GO:0006954}; innate immune response {GO:0045087}; insulin receptor signaling pathway {GO:0008286}; platelet degranulation {GO:0002576}; positive regulation of chemotaxis {GO:0050921}; positive regulation of fat cell differentiation {GO:0045600}; positive regulation of macrophage chemotaxis {GO:0010759}; positive regulation of protein phosphorylation {GO:0001934}; regulation of lipid catabolic process {GO:0050994}; retinoid metabolic process {GO:0001523}</t>
  </si>
  <si>
    <t>collagen-containing extracellular matrix {GO:0062023}; extracellular region {GO:0005576}; extracellular space {GO:0005615}; platelet dense granule lumen {GO:0031089}</t>
  </si>
  <si>
    <t>Epidermal growth factor receptor</t>
  </si>
  <si>
    <t>Proto-oncogene c-ErbB-1; Receptor tyrosine-protein kinase erbB-1</t>
  </si>
  <si>
    <t>EGFR_HUMAN</t>
  </si>
  <si>
    <t>P00533</t>
  </si>
  <si>
    <t>O00688; O00732; P06268; Q14225; Q68GS5; Q92795; Q9BZS2; Q9GZX1; Q9H2C9; Q9H3C9; Q9UMD7; Q9UMD8; Q9UMG5</t>
  </si>
  <si>
    <t>ERBB; ERBB1; HER1</t>
  </si>
  <si>
    <t>3D-structure; Alternative splicing; ATP-binding; Cell membrane; Developmental protein; Disease mutation; Disulfide bond; Endoplasmic reticulum; Endosome; Glycoprotein; Golgi apparatus; Host cell receptor for virus entry; Isopeptide bond; Kinase; Lipoprotein; Membrane; Methylation; Nucleotide-binding; Nucleus; Palmitate; Phosphoprotein; Polymorphism; Proto-oncogene; Receptor; Repeat; Secreted; Signal; Transferase; Transmembrane; Transmembrane helix; Tyrosine-protein kinase; Ubl conjugation</t>
  </si>
  <si>
    <t>Cell membrane; Endoplasmic reticulum; Endosome; Golgi apparatus; Membrane; Nucleus; Secreted</t>
  </si>
  <si>
    <t>Disease mutation; Proto-oncogene</t>
  </si>
  <si>
    <t>Developmental protein; Host cell receptor for virus entry; Kinase; Receptor; Transferase; Tyrosine-protein kinase</t>
  </si>
  <si>
    <t>Disulfide bond; Glycoprotein; Isopeptide bond; Lipoprotein; Methylation; Palmitate; Phosphoprotein; Ubl conjugation</t>
  </si>
  <si>
    <t>activation of phospholipase A2 activity by calcium-mediated signaling {GO:0043006}; activation of phospholipase C activity {GO:0007202}; astrocyte activation {GO:0048143}; cell differentiation {GO:0030154}; cell population proliferation {GO:0008283}; cell surface receptor signaling pathway {GO:0007166}; cell-cell adhesion {GO:0098609}; cellular response to amino acid stimulus {GO:0071230}; cellular response to cadmium ion {GO:0071276}; cellular response to dexamethasone stimulus {GO:0071549}; cellular response to epidermal growth factor stimulus {GO:0071364}; cellular response to estradiol stimulus {GO:0071392}; cellular response to mechanical stimulus {GO:0071260}; cellular response to reactive oxygen species {GO:0034614}; cerebral cortex cell migration {GO:0021795}; circadian rhythm {GO:0007623}; digestive tract morphogenesis {GO:0048546}; diterpenoid metabolic process {GO:0016101}; embryonic placenta development {GO:0001892}; epidermal growth factor receptor signaling pathway {GO:0007173}; ERBB2 signaling pathway {GO:0038128}; eyelid development in camera-type eye {GO:0061029}; hair follicle development {GO:0001942}; hydrogen peroxide metabolic process {GO:0042743}; learning or memory {GO:0007611}; liver regeneration {GO:0097421}; lung development {GO:0030324}; magnesium ion homeostasis {GO:0010960}; MAPK cascade {GO:0000165}; membrane organization {GO:0061024}; midgut development {GO:0007494}; morphogenesis of an epithelial fold {GO:0060571}; negative regulation of apoptotic process {GO:0043066}; negative regulation of cardiocyte differentiation {GO:1905208}; negative regulation of epidermal growth factor receptor signaling pathway {GO:0042059}; negative regulation of ERBB signaling pathway {GO:1901185}; negative regulation of mitotic cell cycle {GO:0045930}; negative regulation of Notch signaling pathway {GO:0045746}; negative regulation of protein catabolic process {GO:0042177}; neuron projection morphogenesis {GO:0048812}; ossification {GO:0001503}; ovulation cycle {GO:0042698}; peptidyl-tyrosine autophosphorylation {GO:0038083}; peptidyl-tyrosine phosphorylation {GO:0018108}; positive regulation of blood vessel diameter {GO:0097755}; positive regulation of bone resorption {GO:0045780}; positive regulation of canonical Wnt signaling pathway {GO:0090263}; positive regulation of cell growth {GO:0030307}; positive regulation of cell migration {GO:0030335}; positive regulation of cell population proliferation {GO:0008284}; positive regulation of cyclin-dependent protein serine/threonine kinase activity {GO:0045737}; positive regulation of DNA repair {GO:0045739}; positive regulation of DNA replication {GO:0045740}; positive regulation of epithelial cell proliferation {GO:0050679}; positive regulation of ERK1 and ERK2 cascade {GO:0070374}; positive regulation of fibroblast proliferation {GO:0048146}; positive regulation of G1/S transition of mitotic cell cycle {GO:1900087}; positive regulation of inflammatory response {GO:0050729}; positive regulation of MAP kinase activity {GO:0043406}; positive regulation of NIK/NF-kappaB signaling {GO:1901224}; positive regulation of nitric oxide mediated signal transduction {GO:0010750}; positive regulation of peptidyl-serine phosphorylation {GO:0033138}; positive regulation of phosphorylation {GO:0042327}; positive regulation of production of miRNAs involved in gene silencing by miRNA {GO:1903800}; positive regulation of prolactin secretion {GO:1902722}; positive regulation of protein kinase B signaling {GO:0051897}; positive regulation of protein kinase C activity {GO:1900020}; positive regulation of protein localization to plasma membrane {GO:1903078}; positive regulation of protein phosphorylation {GO:0001934}; positive regulation of smooth muscle cell proliferation {GO:0048661}; positive regulation of superoxide anion generation {GO:0032930}; positive regulation of synaptic transmission, glutamatergic {GO:0051968}; positive regulation of transcription by RNA polymerase II {GO:0045944}; positive regulation of transcription, DNA-templated {GO:0045893}; positive regulation of vasoconstriction {GO:0045907}; protein autophosphorylation {GO:0046777}; protein insertion into membrane {GO:0051205}; regulation of cell motility {GO:2000145}; regulation of ERK1 and ERK2 cascade {GO:0070372}; regulation of JNK cascade {GO:0046328}; regulation of nitric-oxide synthase activity {GO:0050999}; regulation of peptidyl-tyrosine phosphorylation {GO:0050730}; regulation of phosphatidylinositol 3-kinase signaling {GO:0014066}; regulation of transcription by RNA polymerase II {GO:0006357}; response to calcium ion {GO:0051592}; response to cobalamin {GO:0033590}; response to hydroxyisoflavone {GO:0033594}; response to osmotic stress {GO:0006970}; response to UV-A {GO:0070141}; salivary gland morphogenesis {GO:0007435}; signal transduction {GO:0007165}; tongue development {GO:0043586}; translation {GO:0006412}; transmembrane receptor protein tyrosine kinase signaling pathway {GO:0007169}; wound healing {GO:0042060}</t>
  </si>
  <si>
    <t>apical plasma membrane {GO:0016324}; basal plasma membrane {GO:0009925}; basolateral plasma membrane {GO:0016323}; cell surface {GO:0009986}; clathrin-coated vesicle membrane {GO:0030665}; cytoplasm {GO:0005737}; early endosome membrane {GO:0031901}; endocytic vesicle {GO:0030139}; endoplasmic reticulum membrane {GO:0005789}; endosome {GO:0005768}; endosome membrane {GO:0010008}; extracellular space {GO:0005615}; focal adhesion {GO:0005925}; Golgi membrane {GO:0000139}; integral component of plasma membrane {GO:0005887}; membrane {GO:0016020}; membrane raft {GO:0045121}; multivesicular body, internal vesicle lumen {GO:0097489}; nuclear membrane {GO:0031965}; nucleus {GO:0005634}; perinuclear region of cytoplasm {GO:0048471}; plasma membrane {GO:0005886}; protein-containing complex {GO:0032991}; receptor complex {GO:0043235}; Shc-EGFR complex {GO:0070435}; synapse {GO:0045202}</t>
  </si>
  <si>
    <t>actin filament binding {GO:0051015}; ATP binding {GO:0005524}; cadherin binding {GO:0045296}; calmodulin binding {GO:0005516}; chromatin binding {GO:0003682}; double-stranded DNA binding {GO:0003690}; enzyme binding {GO:0019899}; epidermal growth factor binding {GO:0048408}; epidermal growth factor-activated receptor activity {GO:0005006}; identical protein binding {GO:0042802}; integrin binding {GO:0005178}; MAP kinase kinase kinase activity {GO:0004709}; protein heterodimerization activity {GO:0046982}; protein kinase binding {GO:0019901}; protein phosphatase binding {GO:0019903}; protein tyrosine kinase activity {GO:0004713}; transmembrane receptor protein tyrosine kinase activity {GO:0004714}; transmembrane signaling receptor activity {GO:0004888}; ubiquitin protein ligase binding {GO:0031625}; virus receptor activity {GO:0001618}</t>
  </si>
  <si>
    <t>Signaling by ERBB2 {R-HSA-1227986}; Constitutive Signaling by Ligand-Responsive EGFR Cancer Variants {R-HSA-1236382}; Signaling by ERBB4 {R-HSA-1236394}; SHC1 events in ERBB2 signaling {R-HSA-1250196}; PLCG1 events in ERBB2 signaling {R-HSA-1251932}; PIP3 activates AKT signaling {R-HSA-1257604}; Signaling by EGFR {R-HSA-177929}; GRB2 events in EGFR signaling {R-HSA-179812}; GAB1 signalosome {R-HSA-180292}; SHC1 events in EGFR signaling {R-HSA-180336}; EGFR downregulation {R-HSA-182971}; GRB2 events in ERBB2 signaling {R-HSA-1963640}; PI3K events in ERBB2 signaling {R-HSA-1963642}; EGFR interacts with phospholipase C-gamma {R-HSA-212718}; EGFR Transactivation by Gastrin {R-HSA-2179392}; Constitutive Signaling by Aberrant PI3K in Cancer {R-HSA-2219530}; Signal transduction by L1 {R-HSA-445144}; Constitutive Signaling by EGFRvIII {R-HSA-5637810}; Inhibition of Signaling by Overexpressed EGFR {R-HSA-5638303}; RAF/MAP kinase cascade {R-HSA-5673001}; ERBB2 Regulates Cell Motility {R-HSA-6785631}; PI5P, PP2A and IER3 Regulate PI3K/AKT Signaling {R-HSA-6811558}; ERBB2 Activates PTK6 Signaling {R-HSA-8847993}; Cargo recognition for clathrin-mediated endocytosis {R-HSA-8856825}; Clathrin-mediated endocytosis {R-HSA-8856828}; PTK6 promotes HIF1A stabilization {R-HSA-8857538}; Downregulation of ERBB2 signaling {R-HSA-8863795}; TFAP2 (AP-2) family regulates transcription of growth factors and their receptors {R-HSA-8866910}; Non-genomic estrogen signaling {R-HSA-9009391}; NOTCH3 Activation and Transmission of Signal to the Nucleus {R-HSA-9013507}; Estrogen-dependent nuclear events downstream of ESR-membrane signaling {R-HSA-9634638}</t>
  </si>
  <si>
    <t>Thiamin pyrophosphokinase 1 (hTPK1)</t>
  </si>
  <si>
    <t>Placental protein 20 (PP20); Thiamine pyrophosphokinase 1</t>
  </si>
  <si>
    <t>TPK1_HUMAN</t>
  </si>
  <si>
    <t>Q9H3S4</t>
  </si>
  <si>
    <t>A8K0T7; D3DWG0; I6L9B8; Q6NUR5; Q9H602</t>
  </si>
  <si>
    <t>3D-structure; Alternative splicing; ATP-binding; Disease mutation; Kinase; Nucleotide-binding; Transferase</t>
  </si>
  <si>
    <t>thiamine diphosphate biosynthetic process {GO:0009229}; thiamine metabolic process {GO:0006772}; thiamine-containing compound metabolic process {GO:0042723}</t>
  </si>
  <si>
    <t>ATP binding {GO:0005524}; kinase activity {GO:0016301}; thiamine binding {GO:0030975}; thiamine diphosphokinase activity {GO:0004788}</t>
  </si>
  <si>
    <t>Cofactor biosynthesis; thiamine diphosphate biosynthesis; thiamine diphosphate from thiamine: step 1/1.</t>
  </si>
  <si>
    <t>Vitamin B1 (thiamin) metabolism {R-HSA-196819}</t>
  </si>
  <si>
    <t>26S proteasome regulatory subunit 7</t>
  </si>
  <si>
    <t>26S proteasome AAA-ATPase subunit RPT1; Proteasome 26S subunit ATPase 2; Protein MSS1</t>
  </si>
  <si>
    <t>PRS7_HUMAN</t>
  </si>
  <si>
    <t>P35998</t>
  </si>
  <si>
    <t>A4D0Q1; B7Z5E2; Q3LIA5; Q9UDI3</t>
  </si>
  <si>
    <t>MSS1</t>
  </si>
  <si>
    <t>3D-structure; Acetylation; Alternative splicing; ATP-binding; Cytoplasm; Nucleotide-binding; Proteasome</t>
  </si>
  <si>
    <t>Cytoplasm;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</si>
  <si>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osteoblast differentiation {GO:0001649}; positive regulation of canonical Wnt signaling pathway {GO:0090263}; positive regulation of RNA polymerase II transcriptional preinitiation complex assembly {GO:0045899};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</si>
  <si>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cytoplasm {GO:0005737}; cytoplasmic ribonucleoprotein granule {GO:0036464}; cytosol {GO:0005829}; dendritic spine {GO:0043197}; extracellular region {GO:0005576}; ficolin-1-rich granule lumen {GO:1904813}; membrane {GO:0016020}; nucleoplasm {GO:0005654}; nucleus {GO:0005634}; P-body {GO:0000932}; proteasome accessory complex {GO:0022624}; proteasome complex {GO:0000502}; proteasome regulatory particle, base subcomplex {GO:0008540}; secretory granule lumen {GO:0034774}</t>
  </si>
  <si>
    <t>ATP binding {GO:0005524}; ATPase activity {GO:0016887}; proteasome-activating ATPase activity {GO:0036402}; TBP-class protein binding {GO:0017025}</t>
  </si>
  <si>
    <t>Coatomer subunit gamma-2</t>
  </si>
  <si>
    <t>Gamma-2-coat protein (Gamma-2-COP)</t>
  </si>
  <si>
    <t>COPG2_HUMAN</t>
  </si>
  <si>
    <t>Q9UBF2</t>
  </si>
  <si>
    <t>A6NH74; Q2NLA0; Q54AC3; Q8WVW8</t>
  </si>
  <si>
    <t>Alternative splicing; Cytoplasm; Cytoplasmic vesicle; ER-Golgi transport; Golgi apparatus; Membrane; Phosphoprotein; Polymorphism; Protein transport; Repeat; Transport</t>
  </si>
  <si>
    <t>Cytoplasm; Cytoplasmic vesicle; Golgi apparatus; Membrane</t>
  </si>
  <si>
    <t>endoplasmic reticulum to Golgi vesicle-mediated transport {GO:0006888}; intra-Golgi vesicle-mediated transport {GO:0006891}; intracellular protein transport {GO:0006886}; organelle transport along microtubule {GO:0072384}; protein secretion {GO:0009306}; retrograde vesicle-mediated transport, Golgi to endoplasmic reticulum {GO:0006890}</t>
  </si>
  <si>
    <t>COPI vesicle coat {GO:0030126}; cytosol {GO:0005829}; endoplasmic reticulum {GO:0005783}; endoplasmic reticulum membrane {GO:0005789}; endoplasmic reticulum-Golgi intermediate compartment {GO:0005793}; Golgi apparatus {GO:0005794}; Golgi membrane {GO:0000139}; membrane {GO:0016020}; transport vesicle {GO:0030133}</t>
  </si>
  <si>
    <t>structural molecule activity {GO:0005198}</t>
  </si>
  <si>
    <t>COPI-mediated anterograde transport {R-HSA-6807878}; COPI-dependent Golgi-to-ER retrograde traffic {R-HSA-6811434}</t>
  </si>
  <si>
    <t>Carboxypeptidase A2</t>
  </si>
  <si>
    <t>CBPA2_HUMAN</t>
  </si>
  <si>
    <t>P48052</t>
  </si>
  <si>
    <t>A4D1M4; C9JIK1; Q53XS1; Q96A12; Q96QN3; Q9UCF1</t>
  </si>
  <si>
    <t>3D-structure; Carboxypeptidase; Disulfide bond; Hydrolase; Metal-binding; Metalloprotease; Polymorphism; Protease; Secreted; Signal; Zinc; Zymogen</t>
  </si>
  <si>
    <t>Carboxypeptidase; Hydrolase; Metalloprotease; Protease</t>
  </si>
  <si>
    <t>protein catabolic process in the vacuole {GO:0007039}; proteolysis {GO:0006508}</t>
  </si>
  <si>
    <t>extracellular region {GO:0005576}; extracellular space {GO:0005615}; vacuole {GO:0005773}</t>
  </si>
  <si>
    <t>carboxypeptidase activity {GO:0004180}; metallocarboxypeptidase activity {GO:0004181}; zinc ion binding {GO:0008270}</t>
  </si>
  <si>
    <t>2-oxoglutarate dehydrogenase, mitochondrial</t>
  </si>
  <si>
    <t>2-oxoglutarate dehydrogenase complex component E1 (OGDC-E1); Alpha-ketoglutarate dehydrogenase</t>
  </si>
  <si>
    <t>ODO1_HUMAN</t>
  </si>
  <si>
    <t>Q02218</t>
  </si>
  <si>
    <t>B4E2U9; D3DVL0; E9PBM1; Q96DD3; Q9UDX0</t>
  </si>
  <si>
    <t>3D-structure; Acetylation; Alternative splicing; Calcium; Glycolysis; Isopeptide bond; Metal-binding; Mitochondrion; Nucleus; Oxidoreductase; Phosphoprotein; Polymorphism; Thiamine pyrophosphate; Transit peptide; Ubl conjugation</t>
  </si>
  <si>
    <t>Calcium; Metal-binding; Thiamine pyrophosphate</t>
  </si>
  <si>
    <t>2-oxoglutarate metabolic process {GO:0006103}; generation of precursor metabolites and energy {GO:0006091}; glycolytic process {GO:0006096}; histone succinylation {GO:0106077}; lysine catabolic process {GO:0006554}; succinyl-CoA metabolic process {GO:0006104}; tricarboxylic acid cycle {GO:0006099}</t>
  </si>
  <si>
    <t>mitochondrial matrix {GO:0005759}; mitochondrial membrane {GO:0031966}; mitochondrion {GO:0005739}; nucleus {GO:0005634}; oxoglutarate dehydrogenase complex {GO:0045252}</t>
  </si>
  <si>
    <t>metal ion binding {GO:0046872}; oxoglutarate dehydrogenase (succinyl-transferring) activity {GO:0004591}; thiamine pyrophosphate binding {GO:0030976}</t>
  </si>
  <si>
    <t>Adenosylhomocysteinase 3 (AdoHcyase 3)</t>
  </si>
  <si>
    <t>IP(3)Rs binding protein released with IP(3) 2 (IRBIT2); Long-IRBIT; S-adenosyl-L-homocysteine hydrolase 3; S-adenosylhomocysteine hydrolase-like protein 2</t>
  </si>
  <si>
    <t>SAHH3_HUMAN</t>
  </si>
  <si>
    <t>Q96HN2</t>
  </si>
  <si>
    <t>B4DIZ5; D9N155; O94917</t>
  </si>
  <si>
    <t>KIAA0828</t>
  </si>
  <si>
    <t>3D-structure; Acetylation; Alternative splicing; Cytoplasm; Endoplasmic reticulum; Hydrolase; Microsome; NAD; One-carbon metabolism; Phosphoprotein</t>
  </si>
  <si>
    <t>Cytoplasm; Endoplasmic reticulum; Microsome</t>
  </si>
  <si>
    <t>one-carbon metabolic process {GO:0006730}; S-adenosylmethionine cycle {GO:0033353}</t>
  </si>
  <si>
    <t>cytosol {GO:0005829}; endoplasmic reticulum {GO:0005783}; neuron projection {GO:0043005}</t>
  </si>
  <si>
    <t>hydrolase activity {GO:0016787}</t>
  </si>
  <si>
    <t>Amino-acid biosynthesis; L-homocysteine biosynthesis; L- homocysteine from S-adenosyl-L-homocysteine: step 1/1.</t>
  </si>
  <si>
    <t>Bicarbonate transporters {R-HSA-425381}</t>
  </si>
  <si>
    <t>Mammalian ependymin-related protein 1 (MERP-1)</t>
  </si>
  <si>
    <t>Upregulated in colorectal cancer gene 1 protein</t>
  </si>
  <si>
    <t>EPDR1_HUMAN</t>
  </si>
  <si>
    <t>Q9UM22</t>
  </si>
  <si>
    <t>A8K4C0; C9JYS3; Q06BL0; Q99M77</t>
  </si>
  <si>
    <t>MERP1; UCC1</t>
  </si>
  <si>
    <t>3D-structure; Alternative splicing; Disulfide bond; Glycoprotein; Lipid-binding; Lysosome; Secreted; Signal</t>
  </si>
  <si>
    <t>cell-matrix adhesion {GO:0007160}</t>
  </si>
  <si>
    <t>extracellular region {GO:0005576}; lysosomal lumen {GO:0043202}</t>
  </si>
  <si>
    <t>calcium ion binding {GO:0005509}; lipid binding {GO:0008289}</t>
  </si>
  <si>
    <t>Ly-6/neurotoxin-like protein 1</t>
  </si>
  <si>
    <t>Endogenous prototoxin LYNX1; Testicular tissue protein Li 112</t>
  </si>
  <si>
    <t>LYNX1_HUMAN</t>
  </si>
  <si>
    <t>P0DP58</t>
  </si>
  <si>
    <t>A0A140VJN6; D3DWI7; G3XAC2; Q86SR0; Q9BZG9</t>
  </si>
  <si>
    <t>3D-structure; Alternative splicing; Cell membrane; Cell projection; Disulfide bond; Endoplasmic reticulum; Glycoprotein; GPI-anchor; Lipoprotein; Membrane; Signal</t>
  </si>
  <si>
    <t>Cell membrane; Cell projection; Endoplasmic reticulum; Membrane</t>
  </si>
  <si>
    <t>regulation of neurotransmitter receptor activity {GO:0099601}; synaptic transmission, cholinergic {GO:0007271}</t>
  </si>
  <si>
    <t>anchored component of membrane {GO:0031225}; dendrite {GO:0030425}; endoplasmic reticulum {GO:0005783}; plasma membrane {GO:0005886}</t>
  </si>
  <si>
    <t>acetylcholine receptor binding {GO:0033130}; acetylcholine receptor inhibitor activity {GO:0030550}; acetylcholine receptor regulator activity {GO:0030548}; ion channel inhibitor activity {GO:0008200}</t>
  </si>
  <si>
    <t>Zyxin</t>
  </si>
  <si>
    <t>Zyxin-2</t>
  </si>
  <si>
    <t>ZYX_HUMAN</t>
  </si>
  <si>
    <t>Q15942</t>
  </si>
  <si>
    <t>A4D2G6; B4DQX7; Q6I9S4</t>
  </si>
  <si>
    <t>Acetylation; Alternative splicing; Cell adhesion; Cell junction; Cytoplasm; Cytoskeleton; Host-virus interaction; LIM domain; Metal-binding; Methylation; Nucleus; Phosphoprotein; Polymorphism; Repeat; Zinc</t>
  </si>
  <si>
    <t>Cell adhesion; Host-virus interaction</t>
  </si>
  <si>
    <t>Cell junction; Cytoplasm; Cytoskeleton; Nucleus</t>
  </si>
  <si>
    <t>cell-cell signaling {GO:0007267}; cell-matrix adhesion {GO:0007160}; cellular response to interferon-gamma {GO:0071346}; integrin-mediated signaling pathway {GO:0007229}; regulation of inflammatory response {GO:0050727}; signal transduction {GO:0007165}; stress fiber assembly {GO:0043149}; transforming growth factor beta receptor signaling pathway {GO:0007179}; viral process {GO:0016032}</t>
  </si>
  <si>
    <t>cell-cell adherens junction {GO:0005913}; cytoplasm {GO:0005737}; cytosol {GO:0005829}; focal adhesion {GO:0005925}; nucleus {GO:0005634}; phagocytic vesicle {GO:0045335}; stress fiber {GO:0001725}</t>
  </si>
  <si>
    <t>metal ion binding {GO:0046872}; RNA binding {GO:0003723}</t>
  </si>
  <si>
    <t>Multidrug resistance protein 1</t>
  </si>
  <si>
    <t>ATP-binding cassette sub-family B member 1; P-glycoprotein 1; CD_antigen=CD243</t>
  </si>
  <si>
    <t>MDR1_HUMAN</t>
  </si>
  <si>
    <t>P08183</t>
  </si>
  <si>
    <t>A8K294; B5AK60; Q12755; Q14812</t>
  </si>
  <si>
    <t>MDR1; PGY1</t>
  </si>
  <si>
    <t>3D-structure; Alternative splicing; ATP-binding; Cell membrane; Glycoprotein; Membrane; Nucleotide-binding; Phosphoprotein; Polymorphism; Repeat; Translocase; Transmembrane; Transmembrane helix; Transport</t>
  </si>
  <si>
    <t>Repeat; Transmembrane; Transmembrane helix</t>
  </si>
  <si>
    <t>Translocase</t>
  </si>
  <si>
    <t>ceramide translocation {GO:0099040}; G2/M transition of mitotic cell cycle {GO:0000086}; phospholipid translocation {GO:0045332}; positive regulation of anion channel activity {GO:1901529}; regulation of chloride transport {GO:2001225}; regulation of response to osmotic stress {GO:0047484}; response to drug {GO:0042493}; stem cell proliferation {GO:0072089}; transmembrane transport {GO:0055085}</t>
  </si>
  <si>
    <t>apical plasma membrane {GO:0016324}; cell surface {GO:0009986}; extracellular exosome {GO:0070062}; integral component of membrane {GO:0016021}; membrane {GO:0016020}; plasma membrane {GO:0005886}</t>
  </si>
  <si>
    <t>ATP binding {GO:0005524}; ATPase activity, coupled to transmembrane movement of substances {GO:0042626}; ceramide-translocating ATPase activity {GO:0099038}; phosphatidylcholine-translocating ATPase activity {GO:0090554}; phosphatidylethanolamine-translocating ATPase activity {GO:0090555}; transporter activity {GO:0005215}</t>
  </si>
  <si>
    <t>Abacavir transmembrane transport {R-HSA-2161517}; ABC-family proteins mediated transport {R-HSA-382556}</t>
  </si>
  <si>
    <t>Lymphocyte antigen 6E (Ly-6E)</t>
  </si>
  <si>
    <t>Retinoic acid-induced gene E protein (RIG-E); Stem cell antigen 2 (SCA-2); Thymic shared antigen 1 (TSA-1)</t>
  </si>
  <si>
    <t>LY6E_HUMAN</t>
  </si>
  <si>
    <t>Q16553</t>
  </si>
  <si>
    <t>B2R4X5; D3DWJ2; Q0VDE5</t>
  </si>
  <si>
    <t>9804; RIGE; SCA2; TSA1</t>
  </si>
  <si>
    <t>Cell membrane; Disulfide bond; Glycoprotein; GPI-anchor; Lipoprotein; Membrane; Signal</t>
  </si>
  <si>
    <t>cell surface receptor signaling pathway {GO:0007166}</t>
  </si>
  <si>
    <t>anchored component of membrane {GO:0031225}; extracellular region {GO:0005576}; membrane {GO:0016020}; plasma membrane {GO:0005886}</t>
  </si>
  <si>
    <t>acetylcholine receptor inhibitor activity {GO:0030550}</t>
  </si>
  <si>
    <t>Lymphocyte antigen 6D (Ly-6D)</t>
  </si>
  <si>
    <t>E48 antigen</t>
  </si>
  <si>
    <t>LY6D_HUMAN</t>
  </si>
  <si>
    <t>Q14210</t>
  </si>
  <si>
    <t>B2R5F1; D3DWJ0; O43783; Q6GTV9; Q8TBD4; Q92933</t>
  </si>
  <si>
    <t>E48</t>
  </si>
  <si>
    <t>Cell adhesion; Cell membrane; Disulfide bond; Glycoprotein; GPI-anchor; Lipoprotein; Membrane; Polymorphism; Signal</t>
  </si>
  <si>
    <t>cell adhesion {GO:0007155}; lymphocyte differentiation {GO:0030098}; response to stilbenoid {GO:0035634}</t>
  </si>
  <si>
    <t>anchored component of membrane {GO:0031225}; cell surface {GO:0009986}; extracellular region {GO:0005576}; membrane {GO:0016020}; plasma membrane {GO:0005886}</t>
  </si>
  <si>
    <t>Alpha-trypsin chain 2</t>
  </si>
  <si>
    <t>Beta-trypsin; Cationic trypsinogen; Serine protease 1; Trypsin I</t>
  </si>
  <si>
    <t>TRY1_HUMAN</t>
  </si>
  <si>
    <t>P07477</t>
  </si>
  <si>
    <t>A1A509; A6NJ71; B2R5I5; Q5NV57; Q7M4N3; Q7M4N4; Q92955; Q9HAN4; Q9HAN5; Q9HAN6; Q9HAN7</t>
  </si>
  <si>
    <t>TRP1; TRY1; TRYP1</t>
  </si>
  <si>
    <t>3D-structure; Calcium; Digestion; Disease mutation; Disulfide bond; Hydrolase; Metal-binding; Polymorphism; Protease; Secreted; Serine protease; Signal; Sulfation; Zymogen</t>
  </si>
  <si>
    <t>cobalamin metabolic process {GO:0009235}; digestion {GO:0007586}; extracellular matrix disassembly {GO:0022617}; proteolysis {GO:0006508}</t>
  </si>
  <si>
    <t>blood microparticle {GO:0072562}; collagen-containing extracellular matrix {GO:0062023}; extracellular region {GO:0005576}; extracellular space {GO:0005615}</t>
  </si>
  <si>
    <t>metal ion binding {GO:0046872}; serine-type endopeptidase activity {GO:0004252}</t>
  </si>
  <si>
    <t>Activation of Matrix Metalloproteinases {R-HSA-1592389}; Cobalamin (Cbl, vitamin B12) transport and metabolism {R-HSA-196741}</t>
  </si>
  <si>
    <t>Anterior gradient protein 2 homolog (AG-2; hAG-2)</t>
  </si>
  <si>
    <t>HPC8; Secreted cement gland protein XAG-2 homolog</t>
  </si>
  <si>
    <t>AGR2_HUMAN</t>
  </si>
  <si>
    <t>O95994</t>
  </si>
  <si>
    <t>AG2</t>
  </si>
  <si>
    <t>3D-structure; Disulfide bond; Endoplasmic reticulum; Proto-oncogene; Secreted; Signal</t>
  </si>
  <si>
    <t>Endoplasmic reticulum; Secreted</t>
  </si>
  <si>
    <t>digestive tract morphogenesis {GO:0048546}; lung goblet cell differentiation {GO:0060480}; mucus secretion {GO:0070254}; negative regulation of cell death {GO:0060548}; positive regulation of cell-substrate adhesion {GO:0010811}; positive regulation of developmental growth {GO:0048639}; positive regulation of epidermal growth factor receptor signaling pathway {GO:0045742}; positive regulation of gene expression {GO:0010628}; positive regulation of IRE1-mediated unfolded protein response {GO:1903896}; positive regulation of PERK-mediated unfolded protein response {GO:1903899}; positive regulation of protein localization to plasma membrane {GO:1903078}</t>
  </si>
  <si>
    <t>endoplasmic reticulum {GO:0005783}; extracellular space {GO:0005615}</t>
  </si>
  <si>
    <t>dystroglycan binding {GO:0002162}; epidermal growth factor receptor binding {GO:0005154}; protein homodimerization activity {GO:0042803}</t>
  </si>
  <si>
    <t>Secreted Ly-6/uPAR-related protein 1 (SLURP-1)</t>
  </si>
  <si>
    <t>ARS component B; ARS(component B)-81/S; Anti-neoplastic urinary protein (ANUP)</t>
  </si>
  <si>
    <t>SLUR1_HUMAN</t>
  </si>
  <si>
    <t>P55000</t>
  </si>
  <si>
    <t>Q53YJ6; Q6PUA6; Q92483</t>
  </si>
  <si>
    <t>ARS</t>
  </si>
  <si>
    <t>3D-structure; Cytokine; Disease mutation; Disulfide bond; Palmoplantar keratoderma; Secreted; Signal</t>
  </si>
  <si>
    <t>Disease mutation; Palmoplantar keratoderma</t>
  </si>
  <si>
    <t>cell activation {GO:0001775}; cell adhesion {GO:0007155}; locomotory behavior {GO:0007626}; negative regulation of cell migration {GO:0030336}; negative regulation of cell population proliferation {GO:0008285}; negative regulation of keratinocyte proliferation {GO:0010839}; neuromuscular process controlling posture {GO:0050884}; urokinase plasminogen activator signaling pathway {GO:0038195}</t>
  </si>
  <si>
    <t>extracellular exosome {GO:0070062}; extracellular region {GO:0005576}; extracellular space {GO:0005615}</t>
  </si>
  <si>
    <t>acetylcholine receptor activator activity {GO:0030549}; cytokine activity {GO:0005125}</t>
  </si>
  <si>
    <t>Phosphatidylcholine translocator ABCB4</t>
  </si>
  <si>
    <t>ATP-binding cassette sub-family B member 4; Multidrug resistance protein 3; P-glycoprotein 3</t>
  </si>
  <si>
    <t>MDR3_HUMAN</t>
  </si>
  <si>
    <t>P21439</t>
  </si>
  <si>
    <t>A0A2V7; A4D1D3; A4D1D4; A4D1D5; D6W5P3; D6W5P4; Q14813</t>
  </si>
  <si>
    <t>Alternative splicing; ATP-binding; Cell membrane; Cytoplasm; Cytoplasmic vesicle; Disease mutation; Glycoprotein; Intrahepatic cholestasis; Lipid transport; Membrane; Nucleotide-binding; Phosphoprotein; Polymorphism; Repeat; Translocase; Transmembrane; Transmembrane helix; Transport</t>
  </si>
  <si>
    <t>Cell membrane; Cytoplasm; Cytoplasmic vesicle; Membrane</t>
  </si>
  <si>
    <t>Disease mutation; Intrahepatic cholestasis</t>
  </si>
  <si>
    <t>bile acid secretion {GO:0032782}; cellular response to bile acid {GO:1903413}; ceramide translocation {GO:0099040}; lipid homeostasis {GO:0055088}; lipid metabolic process {GO:0006629}; phospholipid translocation {GO:0045332}; positive regulation of cholesterol transport {GO:0032376}; positive regulation of phospholipid translocation {GO:0061092}; positive regulation of phospholipid transport {GO:2001140}; regulation of lipid metabolic process {GO:0019216}; response to drug {GO:0042493}; response to fenofibrate {GO:1901557}; transmembrane transport {GO:0055085}</t>
  </si>
  <si>
    <t>actin cytoskeleton {GO:0015629}; apical plasma membrane {GO:0016324}; clathrin-coated vesicle {GO:0030136}; cytoplasm {GO:0005737}; cytosol {GO:0005829}; extracellular exosome {GO:0070062}; focal adhesion {GO:0005925}; integral component of membrane {GO:0016021}; integral component of plasma membrane {GO:0005887}; intercellular canaliculus {GO:0046581}; membrane {GO:0016020}; membrane raft {GO:0045121}; nucleoplasm {GO:0005654}; plasma membrane {GO:0005886}</t>
  </si>
  <si>
    <t>ATP binding {GO:0005524}; ATPase activity, coupled to transmembrane movement of substances {GO:0042626}; phosphatidylcholine transporter activity {GO:0008525}; phosphatidylcholine-translocating ATPase activity {GO:0090554}; phospholipid transporter activity {GO:0005548}</t>
  </si>
  <si>
    <t>PPARA activates gene expression {R-HSA-1989781}; ABC-family proteins mediated transport {R-HSA-382556}; Defective ABCB4 causes progressive familial intrahepatic cholestasis 3, intrahepatic cholestasis of pregnancy 3 and gallbladder disease 1 {R-HSA-5678771}</t>
  </si>
  <si>
    <t>Myomesin-3</t>
  </si>
  <si>
    <t>Myomesin family member 3</t>
  </si>
  <si>
    <t>MYOM3_HUMAN</t>
  </si>
  <si>
    <t>Q5VTT5</t>
  </si>
  <si>
    <t>A6NF75; Q5VTT6; Q6AWC0; Q6AWC1; Q6NXF9; Q6ZRG7; Q7Z3G9; Q8NA11; Q96C54</t>
  </si>
  <si>
    <t>Alternative splicing; Coiled coil; Cytoplasm; Immunoglobulin domain; Polymorphism; Repeat</t>
  </si>
  <si>
    <t>Coiled coil; Immunoglobulin domain; Repeat</t>
  </si>
  <si>
    <t>cardiac muscle fiber development {GO:0048739}; cardiac muscle tissue morphogenesis {GO:0055008}; cardiac myofibril assembly {GO:0055003}; muscle contraction {GO:0006936}; sarcomere organization {GO:0045214}; skeletal muscle myosin thick filament assembly {GO:0030241}; skeletal muscle thin filament assembly {GO:0030240}; striated muscle myosin thick filament assembly {GO:0071688}</t>
  </si>
  <si>
    <t>M band {GO:0031430}; sarcomere {GO:0030017}; striated muscle thin filament {GO:0005865}; Z disc {GO:0030018}</t>
  </si>
  <si>
    <t>actin filament binding {GO:0051015}; muscle alpha-actinin binding {GO:0051371}; protein homodimerization activity {GO:0042803}; structural constituent of muscle {GO:0008307}</t>
  </si>
  <si>
    <t>Glutathione S-transferase kappa 1</t>
  </si>
  <si>
    <t>GST 13-13; GST class-kappa; GSTK1-1 (hGSTK1); Glutathione S-transferase subunit 13</t>
  </si>
  <si>
    <t>GSTK1_HUMAN</t>
  </si>
  <si>
    <t>Q9Y2Q3</t>
  </si>
  <si>
    <t>B4DIH1; B4DSY2; Q6P4H0; Q7Z520; Q9P1S4</t>
  </si>
  <si>
    <t>3D-structure; Acetylation; Alternative splicing; Peroxisome; Transferase</t>
  </si>
  <si>
    <t>Peroxisome</t>
  </si>
  <si>
    <t>epithelial cell differentiation {GO:0030855}; glutathione derivative biosynthetic process {GO:1901687}; glutathione metabolic process {GO:0006749}; protein targeting to peroxisome {GO:0006625}</t>
  </si>
  <si>
    <t>cytosol {GO:0005829}; extracellular exosome {GO:0070062}; intracellular {GO:0005622}; membrane {GO:0016020}; mitochondrial matrix {GO:0005759}; mitochondrion {GO:0005739}; peroxisomal matrix {GO:0005782}; peroxisome {GO:0005777}</t>
  </si>
  <si>
    <t>glutathione peroxidase activity {GO:0004602}; glutathione transferase activity {GO:0004364}; protein disulfide oxidoreductase activity {GO:0015035}; signaling receptor binding {GO:0005102}</t>
  </si>
  <si>
    <t>Glutathione conjugation {R-HSA-156590}; Peroxisomal protein import {R-HSA-9033241}</t>
  </si>
  <si>
    <t>Prolactin-inducible protein</t>
  </si>
  <si>
    <t>Gross cystic disease fluid protein 15 (GCDFP-15); Prolactin-induced protein; Secretory actin-binding protein (SABP); gp17</t>
  </si>
  <si>
    <t>PIP_HUMAN</t>
  </si>
  <si>
    <t>P12273</t>
  </si>
  <si>
    <t>A0A963; A0A9C3; A0A9F3; A4D2I1</t>
  </si>
  <si>
    <t>GCDFP15; GPIP4</t>
  </si>
  <si>
    <t>3D-structure; Actin-binding; Disulfide bond; Glycoprotein; Pyrrolidone carboxylic acid; Secreted; Signal</t>
  </si>
  <si>
    <t>Disulfide bond; Glycoprotein; Pyrrolidone carboxylic acid</t>
  </si>
  <si>
    <t>detection of chemical stimulus involved in sensory perception of bitter taste {GO:0001580}; negative regulation of T cell apoptotic process {GO:0070233}; positive regulation of gene expression {GO:0010628}; proteolysis {GO:0006508}; regulation of immune system process {GO:0002682}; retina homeostasis {GO:0001895}; transmembrane transport {GO:0055085}</t>
  </si>
  <si>
    <t>extracellular exosome {GO:0070062}; extracellular region {GO:0005576}; extracellular space {GO:0005615}; nucleus {GO:0005634}</t>
  </si>
  <si>
    <t>actin binding {GO:0003779}; aspartic-type endopeptidase activity {GO:0004190}; IgG binding {GO:0019864}; protein dimerization activity {GO:0046983}</t>
  </si>
  <si>
    <t>Miscellaneous transport and binding events {R-HSA-5223345}</t>
  </si>
  <si>
    <t>Cytochrome c</t>
  </si>
  <si>
    <t>CYC_HUMAN</t>
  </si>
  <si>
    <t>P99999</t>
  </si>
  <si>
    <t>A4D166; B2R4I1; P00001; Q6NUR2; Q6NX69; Q96BV4</t>
  </si>
  <si>
    <t>CYC</t>
  </si>
  <si>
    <t>3D-structure; Acetylation; Apoptosis; Disease mutation; Electron transport; Heme; Iron; Metal-binding; Mitochondrion; Phosphoprotein; Polymorphism; Respiratory chain; Transport</t>
  </si>
  <si>
    <t>Apoptosis; Electron transport; Respiratory chain; Transport</t>
  </si>
  <si>
    <t>activation of cysteine-type endopeptidase activity involved in apoptotic process by cytochrome c {GO:0008635}; apoptotic process {GO:0006915}; cellular respiration {GO:0045333}; cellular response to oxidative stress {GO:0034599}; mitochondrial electron transport, cytochrome c to oxygen {GO:0006123}; mitochondrial electron transport, ubiquinol to cytochrome c {GO:0006122}; mitochondrion organization {GO:0007005}; protein dephosphorylation {GO:0006470}</t>
  </si>
  <si>
    <t>cytosol {GO:0005829}; mitochondrial inner membrane {GO:0005743}; mitochondrial intermembrane space {GO:0005758}; mitochondrion {GO:0005739}; nucleus {GO:0005634}; protein phosphatase type 2A complex {GO:0000159}; respirasome {GO:0070469}</t>
  </si>
  <si>
    <t>electron transporter, transferring electrons from CoQH2-cytochrome c reductase complex and cytochrome c oxidase complex activity {GO:0045155}; heme binding {GO:0020037}; metal ion binding {GO:0046872}</t>
  </si>
  <si>
    <t>Release of apoptotic factors from the mitochondria {R-HSA-111457}; Formation of apoptosome {R-HSA-111458}; Activation of caspases through apoptosome-mediated cleavage {R-HSA-111459}; SMAC (DIABLO) binds to IAPs {R-HSA-111463}; SMAC(DIABLO)-mediated dissociation of IAP:caspase complexes {R-HSA-111464}; Transcriptional activation of mitochondrial biogenesis {R-HSA-2151201}; Detoxification of Reactive Oxygen Species {R-HSA-3299685}; TP53 Regulates Metabolic Genes {R-HSA-5628897}; Respiratory electron transport {R-HSA-611105}; Regulation of the apoptosome activity {R-HSA-9627069}</t>
  </si>
  <si>
    <t>Heterogeneous nuclear ribonucleoproteins A2/B1 (hnRNP A2/B1)</t>
  </si>
  <si>
    <t>ROA2_HUMAN</t>
  </si>
  <si>
    <t>P22626</t>
  </si>
  <si>
    <t>A0A024RA27; A0A024RA61; A8K064; P22627; Q9UC98; Q9UDJ2</t>
  </si>
  <si>
    <t>HNRPA2B1</t>
  </si>
  <si>
    <t>3D-structure; Acetylation; Alternative splicing; Cytoplasm; Disease mutation; Isopeptide bond; Methylation; mRNA processing; mRNA splicing; mRNA transport; Nucleus; Phosphoprotein; Repeat; Ribonucleoprotein; RNA-binding; Secreted; Spliceosome; Transport; Ubl conjugation</t>
  </si>
  <si>
    <t>Transport; mRNA processing; mRNA splicing; mRNA transport</t>
  </si>
  <si>
    <t>G-quadruplex DNA unwinding {GO:0044806}; interleukin-12-mediated signaling pathway {GO:0035722}; miRNA transport {GO:1990428}; mRNA export from nucleus {GO:0006406}; mRNA processing {GO:0006397}; mRNA splicing, via spliceosome {GO:0000398}; negative regulation of mRNA splicing, via spliceosome {GO:0048025}; negative regulation of transcription by RNA polymerase II {GO:0000122}; positive regulation of telomerase RNA reverse transcriptase activity {GO:1905663}; positive regulation of telomere maintenance via telomere lengthening {GO:1904358}; primary miRNA processing {GO:0031053}; RNA metabolic process {GO:0016070}; RNA transport {GO:0050658}</t>
  </si>
  <si>
    <t>Cajal body {GO:0015030}; catalytic step 2 spliceosome {GO:0071013}; chromosome, telomeric region {GO:0000781}; cytoplasm {GO:0005737}; extracellular exosome {GO:0070062}; membrane {GO:0016020}; nuclear matrix {GO:0016363}; nucleoplasm {GO:0005654}; nucleus {GO:0005634}; ribonucleoprotein complex {GO:1990904}; spliceosomal complex {GO:0005681}</t>
  </si>
  <si>
    <t>G-rich strand telomeric DNA binding {GO:0098505}; identical protein binding {GO:0042802}; miRNA binding {GO:0035198}; mRNA 3'-UTR binding {GO:0003730}; mRNA binding {GO:0003729}; N6-methyladenosine-containing RNA binding {GO:1990247}; pre-mRNA intronic binding {GO:0097157}; RNA binding {GO:0003723}; single-stranded telomeric DNA binding {GO:0043047}</t>
  </si>
  <si>
    <t>mRNA Splicing - Major Pathway {R-HSA-72163}; Processing of Capped Intron-Containing Pre-mRNA {R-HSA-72203}; Gene and protein expression by JAK-STAT signaling after Interleukin-12 stimulation {R-HSA-8950505}</t>
  </si>
  <si>
    <t>Chromobox protein homolog 3</t>
  </si>
  <si>
    <t>HECH; Heterochromatin protein 1 homolog gamma (HP1 gamma); Modifier 2 protein</t>
  </si>
  <si>
    <t>CBX3_HUMAN</t>
  </si>
  <si>
    <t>Q13185</t>
  </si>
  <si>
    <t>Q96CD7; Q99409; Q9BVS3; Q9P0Z6</t>
  </si>
  <si>
    <t>3D-structure; Acetylation; Biological rhythms; Chromatin regulator; Isopeptide bond; Nucleus; Phosphoprotein; Repeat; Repressor; Transcription; Transcription regulation; Ubl conjugation</t>
  </si>
  <si>
    <t>Biological rhythms; Transcription; Transcription regulation</t>
  </si>
  <si>
    <t>Chromatin regulator; Repressor</t>
  </si>
  <si>
    <t>cellular response to dexamethasone stimulus {GO:0071549}; cellular response to DNA damage stimulus {GO:0006974}; chromatin remodeling {GO:0006338}; negative regulation of G0 to G1 transition {GO:0070317}; negative regulation of transcription, DNA-templated {GO:0045892}; rhythmic process {GO:0048511}</t>
  </si>
  <si>
    <t>chromatin {GO:0000785}; chromosome, centromeric region {GO:0000775}; condensed chromosome, centromeric region {GO:0000779}; nuclear chromosome, telomeric region {GO:0000784}; nuclear envelope {GO:0005635}; nuclear euchromatin {GO:0005719}; nuclear heterochromatin {GO:0005720}; nuclear inner membrane {GO:0005637}; nuclear pericentric heterochromatin {GO:0031618}; nucleoplasm {GO:0005654}; nucleus {GO:0005634}; senescence-associated heterochromatin focus {GO:0035985}; site of DNA damage {GO:0090734}; spindle {GO:0005819}</t>
  </si>
  <si>
    <t>enzyme binding {GO:0019899}; histone methyltransferase binding {GO:1990226}; identical protein binding {GO:0042802}; protein domain specific binding {GO:0019904}</t>
  </si>
  <si>
    <t>ERCC6 (CSB) and EHMT2 (G9a) positively regulate rRNA expression {R-HSA-427389}; RNA Polymerase I Promoter Escape {R-HSA-73772}; Transcriptional Regulation by E2F6 {R-HSA-8953750}</t>
  </si>
  <si>
    <t>F-actin-capping protein subunit alpha-2</t>
  </si>
  <si>
    <t>CapZ alpha-2</t>
  </si>
  <si>
    <t>CAZA2_HUMAN</t>
  </si>
  <si>
    <t>P47755</t>
  </si>
  <si>
    <t>B4DG50</t>
  </si>
  <si>
    <t>Acetylation; Actin capping; Actin-binding; Alternative splicing; Phosphoprotein</t>
  </si>
  <si>
    <t>actin cytoskeleton organization {GO:0030036}; antigen processing and presentation of exogenous peptide antigen via MHC class II {GO:0019886}; barbed-end actin filament capping {GO:0051016}; blood coagulation {GO:0007596}; endoplasmic reticulum to Golgi vesicle-mediated transport {GO:0006888}; innate immune response {GO:0045087}; protein-containing complex assembly {GO:0065003}</t>
  </si>
  <si>
    <t>actin cortical patch {GO:0030479}; actin cytoskeleton {GO:0015629}; brush border {GO:0005903}; cytosol {GO:0005829}; extracellular exosome {GO:0070062}; extracellular region {GO:0005576}; F-actin capping protein complex {GO:0008290}; membrane {GO:0016020}</t>
  </si>
  <si>
    <t>MHC class II antigen presentation {R-HSA-2132295}; HSP90 chaperone cycle for steroid hormone receptors (SHR) {R-HSA-3371497}; COPI-mediated anterograde transport {R-HSA-6807878}; COPI-independent Golgi-to-ER retrograde traffic {R-HSA-6811436}; Advanced glycosylation endproduct receptor signaling {R-HSA-879415}; Factors involved in megakaryocyte development and platelet production {R-HSA-983231}</t>
  </si>
  <si>
    <t>Tissue factor pathway inhibitor 2 (TFPI-2)</t>
  </si>
  <si>
    <t>Placental protein 5 (PP5)</t>
  </si>
  <si>
    <t>TFPI2_HUMAN</t>
  </si>
  <si>
    <t>P48307</t>
  </si>
  <si>
    <t>Q66ME8; Q8NAK6; Q9UC86</t>
  </si>
  <si>
    <t>3D-structure; Alternative splicing; Blood coagulation; Disulfide bond; Glycoprotein; Hemostasis; Polymorphism; Protease inhibitor; Repeat; Secreted; Serine protease inhibitor; Signal</t>
  </si>
  <si>
    <t>Blood coagulation; Hemostasis</t>
  </si>
  <si>
    <t>blood coagulation {GO:0007596}; cellular response to fluid shear stress {GO:0071498}</t>
  </si>
  <si>
    <t>extracellular matrix {GO:0031012}; extracellular space {GO:0005615}</t>
  </si>
  <si>
    <t>extracellular matrix structural constituent {GO:0005201}; serine-type endopeptidase inhibitor activity {GO:0004867}</t>
  </si>
  <si>
    <t>Sterile alpha motif domain-containing protein 9-like (SAM domain-containing protein 9-like)</t>
  </si>
  <si>
    <t>SAM9L_HUMAN</t>
  </si>
  <si>
    <t>Q8IVG5</t>
  </si>
  <si>
    <t>A0JP23; A0JP24; A0PJG8; A4D1G8; D6W5Q6; Q2TV71; Q2TV75; Q2UZV8; Q8IWI4; Q8N3L9; Q8N875</t>
  </si>
  <si>
    <t>C7orf6; DRIF2; KIAA2005; UEF</t>
  </si>
  <si>
    <t>Alternative splicing; Disease mutation; Endosome; Polymorphism</t>
  </si>
  <si>
    <t>Endosome</t>
  </si>
  <si>
    <t>endosomal vesicle fusion {GO:0034058}</t>
  </si>
  <si>
    <t>cytoplasm {GO:0005737}; early endosome {GO:0005769}</t>
  </si>
  <si>
    <t>Voltage-dependent calcium channel subunit delta-1</t>
  </si>
  <si>
    <t>Voltage-gated calcium channel subunit alpha-2/delta-1</t>
  </si>
  <si>
    <t>CA2D1_HUMAN</t>
  </si>
  <si>
    <t>P54289</t>
  </si>
  <si>
    <t>Q17R45; Q9UD80; Q9UD81; Q9UD82</t>
  </si>
  <si>
    <t>CACNL2A; CCHL2A; MHS3</t>
  </si>
  <si>
    <t>Alternative splicing; Calcium; Calcium channel; Calcium transport; Disulfide bond; Glycoprotein; Ion channel; Ion transport; Membrane; Metal-binding; Phosphoprotein; Polymorphism; Signal; Transmembrane; Transmembrane helix; Transport; Voltage-gated channel</t>
  </si>
  <si>
    <t>Calcium transport; Ion transport; Transport</t>
  </si>
  <si>
    <t>Calcium channel; Ion channel; Voltage-gated channel</t>
  </si>
  <si>
    <t>calcium ion import across plasma membrane {GO:0098703}; calcium ion transmembrane transport via high voltage-gated calcium channel {GO:0061577}; calcium ion transport {GO:0006816}; calcium ion transport into cytosol {GO:0060402}; cardiac conduction {GO:0061337}; cardiac muscle cell action potential involved in contraction {GO:0086002}; cellular response to amyloid-beta {GO:1904646}; membrane depolarization during bundle of His cell action potential {GO:0086048}; positive regulation of high voltage-gated calcium channel activity {GO:1901843}; regulation of calcium ion transmembrane transport via high voltage-gated calcium channel {GO:1902514}; regulation of calcium ion transport {GO:0051924}; regulation of heart rate by cardiac conduction {GO:0086091}; regulation of membrane repolarization during action potential {GO:0098903}; regulation of ventricular cardiac muscle cell membrane repolarization {GO:0060307}</t>
  </si>
  <si>
    <t>extracellular exosome {GO:0070062}; L-type voltage-gated calcium channel complex {GO:1990454}; plasma membrane {GO:0005886}; sarcoplasmic reticulum {GO:0016529}; voltage-gated calcium channel complex {GO:0005891}</t>
  </si>
  <si>
    <t>metal ion binding {GO:0046872}; voltage-gated calcium channel activity {GO:0005245}</t>
  </si>
  <si>
    <t>Phase 0 - rapid depolarisation {R-HSA-5576892}; Phase 2 - plateau phase {R-HSA-5576893}</t>
  </si>
  <si>
    <t>Transmembrane emp24 domain-containing protein 4</t>
  </si>
  <si>
    <t>Endoplasmic reticulum stress-response protein 25 (ERS25); GMP25iso; Putative NF-kappa-B-activating protein 156; p24 family protein alpha-3 (p24alpha3)</t>
  </si>
  <si>
    <t>TMED4_HUMAN</t>
  </si>
  <si>
    <t>Q7Z7H5</t>
  </si>
  <si>
    <t>A4D2K8; B4DFJ4; Q56VW3; Q7Z432; Q8N2P6</t>
  </si>
  <si>
    <t>ERS25</t>
  </si>
  <si>
    <t>Alternative splicing; Coiled coil; Endoplasmic reticulum; Glycoprotein; Membrane; Protein transport; Signal; Transmembrane; Transmembrane helix; Transport</t>
  </si>
  <si>
    <t>Coiled coil; Signal; Transmembrane; Transmembrane helix</t>
  </si>
  <si>
    <t>endoplasmic reticulum to Golgi vesicle-mediated transport {GO:0006888}; Golgi organization {GO:0007030}; intracellular protein transport {GO:0006886}; positive regulation of I-kappaB kinase/NF-kappaB signaling {GO:0043123}</t>
  </si>
  <si>
    <t>COPII-coated ER to Golgi transport vesicle {GO:0030134}; endoplasmic reticulum {GO:0005783}; endoplasmic reticulum membrane {GO:0005789}; endoplasmic reticulum-Golgi intermediate compartment {GO:0005793}; Golgi apparatus {GO:0005794}; integral component of membrane {GO:0016021}</t>
  </si>
  <si>
    <t>Phosphoglycerate mutase 2</t>
  </si>
  <si>
    <t>BPG-dependent PGAM 2; Muscle-specific phosphoglycerate mutase; Phosphoglycerate mutase isozyme M (PGAM-M)</t>
  </si>
  <si>
    <t>PGAM2_HUMAN</t>
  </si>
  <si>
    <t>P15259</t>
  </si>
  <si>
    <t>PGAMM</t>
  </si>
  <si>
    <t>Disease mutation; Glycogen storage disease; Glycolysis; Hydrolase; Isomerase; Phosphoprotein</t>
  </si>
  <si>
    <t>Hydrolase; Isomerase</t>
  </si>
  <si>
    <t>canonical glycolysis {GO:0061621}; gluconeogenesis {GO:0006094}; glycolytic process {GO:0006096}; Notch signaling pathway {GO:0007219}; response to mercury ion {GO:0046689}; spermatogenesis {GO:0007283}; striated muscle contraction {GO:0006941}</t>
  </si>
  <si>
    <t>2,3-bisphosphoglycerate-dependent phosphoglycerate mutase activity {GO:0046538}; bisphosphoglycerate mutase activity {GO:0004082}; cofactor binding {GO:0048037}; hydrolase activity {GO:0016787}; phosphoglycerate mutase activity {GO:0004619}</t>
  </si>
  <si>
    <t>Glycolysis {R-HSA-70171}; Gluconeogenesis {R-HSA-70263}</t>
  </si>
  <si>
    <t>Ephrin type-A receptor 1 (hEpha1)</t>
  </si>
  <si>
    <t>EPH tyrosine kinase; EPH tyrosine kinase 1; Erythropoietin-producing hepatoma receptor; Tyrosine-protein kinase receptor EPH</t>
  </si>
  <si>
    <t>EPHA1_HUMAN</t>
  </si>
  <si>
    <t>P21709</t>
  </si>
  <si>
    <t>A1L3V3; B5A966; B5A967; Q15405</t>
  </si>
  <si>
    <t>EPH; EPHT; EPHT1</t>
  </si>
  <si>
    <t>3D-structure; Alternative splicing; Angiogenesis; ATP-binding; Cell adhesion; Cell membrane; Glycoprotein; Kinase; Membrane; Nucleotide-binding; Phosphoprotein; Polymorphism; Receptor; Repeat; Signal; Transferase; Transmembrane; Transmembrane helix; Tyrosine-protein kinase; Ubl conjugation</t>
  </si>
  <si>
    <t>Angiogenesis; Cell adhesion</t>
  </si>
  <si>
    <t>Kinase; Receptor; Transferase; Tyrosine-protein kinase</t>
  </si>
  <si>
    <t>Glycoprotein; Phosphoprotein; Ubl conjugation</t>
  </si>
  <si>
    <t>activation of GTPase activity {GO:0090630}; angiogenesis {GO:0001525}; axon guidance {GO:0007411}; cell surface receptor signaling pathway {GO:0007166}; ephrin receptor signaling pathway {GO:0048013}; negative regulation of cell migration {GO:0030336}; negative regulation of protein kinase activity {GO:0006469}; peptidyl-tyrosine phosphorylation {GO:0018108}; positive regulation of angiogenesis {GO:0045766}; positive regulation of cell migration {GO:0030335}; positive regulation of cell population proliferation {GO:0008284}; positive regulation of cell-matrix adhesion {GO:0001954}; positive regulation of stress fiber assembly {GO:0051496}; protein autophosphorylation {GO:0046777}; regulation of GTPase activity {GO:0043087}; somatic stem cell population maintenance {GO:0035019}; substrate adhesion-dependent cell spreading {GO:0034446}; transmembrane receptor protein tyrosine kinase signaling pathway {GO:0007169}</t>
  </si>
  <si>
    <t>integral component of plasma membrane {GO:0005887}; neuron projection {GO:0043005}; plasma membrane {GO:0005886}; receptor complex {GO:0043235}</t>
  </si>
  <si>
    <t>ATP binding {GO:0005524}; protein kinase activity {GO:0004672}; protein kinase binding {GO:0019901}; transmembrane receptor protein tyrosine kinase activity {GO:0004714}; transmembrane-ephrin receptor activity {GO:0005005}</t>
  </si>
  <si>
    <t>EPH-Ephrin signaling {R-HSA-2682334}; POU5F1 (OCT4), SOX2, NANOG activate genes related to proliferation {R-HSA-2892247}; EPHA-mediated growth cone collapse {R-HSA-3928663}; EPH-ephrin mediated repulsion of cells {R-HSA-3928665}</t>
  </si>
  <si>
    <t>Fibroleukin</t>
  </si>
  <si>
    <t>Fibrinogen-like protein 2; pT49</t>
  </si>
  <si>
    <t>FGL2_HUMAN</t>
  </si>
  <si>
    <t>Q14314</t>
  </si>
  <si>
    <t>Coiled coil; Disulfide bond; Glycoprotein; Polymorphism; Secreted; Signal</t>
  </si>
  <si>
    <t>Coiled coil; Signal</t>
  </si>
  <si>
    <t>immunoglobulin production involved in immunoglobulin mediated immune response {GO:0002381}; negative regulation of defense response to virus {GO:0050687}; negative regulation of dendritic cell antigen processing and presentation {GO:0002605}; negative regulation of macrophage antigen processing and presentation {GO:0002617}; neutrophil degranulation {GO:0043312}; T cell activation via T cell receptor contact with antigen bound to MHC molecule on antigen presenting cell {GO:0002291}</t>
  </si>
  <si>
    <t>collagen-containing extracellular matrix {GO:0062023}; extracellular exosome {GO:0070062}; extracellular region {GO:0005576}; fibrinogen complex {GO:0005577}; ficolin-1-rich granule lumen {GO:1904813}</t>
  </si>
  <si>
    <t>peptidase activity {GO:0008233}</t>
  </si>
  <si>
    <t>C-flanking peptide of NPY</t>
  </si>
  <si>
    <t>Neuropeptide tyrosine (NPY; CPON)</t>
  </si>
  <si>
    <t>NPY_HUMAN</t>
  </si>
  <si>
    <t>P01303</t>
  </si>
  <si>
    <t>3D-structure; Amidation; Cleavage on pair of basic residues; Neuropeptide; Phosphoprotein; Polymorphism; Secreted; Signal</t>
  </si>
  <si>
    <t>Neuropeptide</t>
  </si>
  <si>
    <t>Amidation; Cleavage on pair of basic residues; Phosphoprotein</t>
  </si>
  <si>
    <t>adult feeding behavior {GO:0008343}; antibacterial humoral response {GO:0019731}; antifungal humoral response {GO:0019732}; antimicrobial humoral immune response mediated by antimicrobial peptide {GO:0061844}; central nervous system neuron development {GO:0021954}; cerebral cortex development {GO:0021987}; chemical synaptic transmission {GO:0007268}; defense response to Gram-negative bacterium {GO:0050829}; defense response to Gram-positive bacterium {GO:0050830}; feeding behavior {GO:0007631}; G protein-coupled receptor signaling pathway {GO:0007186}; G protein-coupled receptor signaling pathway, coupled to cyclic nucleotide second messenger {GO:0007187}; innate immune response {GO:0045087}; intestinal epithelial cell differentiation {GO:0060575}; neuron projection development {GO:0031175}; neuropeptide signaling pathway {GO:0007218}; positive regulation of appetite {GO:0032100}; regulation of blood pressure {GO:0008217}; response to yeast {GO:0001878}</t>
  </si>
  <si>
    <t>cell {GO:0005623}; extracellular region {GO:0005576}; extracellular space {GO:0005615}; Golgi apparatus {GO:0005794}</t>
  </si>
  <si>
    <t>calcium channel regulator activity {GO:0005246}; G protein-coupled receptor activity {GO:0004930}; G protein-coupled receptor binding {GO:0001664}; neuropeptide hormone activity {GO:0005184}; neuropeptide Y receptor binding {GO:0031841}; signaling receptor binding {GO:0005102}</t>
  </si>
  <si>
    <t>Peptide ligand-binding receptors {R-HSA-375276}; G alpha (i) signalling events {R-HSA-418594}; FOXO-mediated transcription of oxidative stress, metabolic and neuronal genes {R-HSA-9615017}</t>
  </si>
  <si>
    <t>Myotrophin</t>
  </si>
  <si>
    <t>Protein V-1</t>
  </si>
  <si>
    <t>MTPN_HUMAN</t>
  </si>
  <si>
    <t>P58546</t>
  </si>
  <si>
    <t>3D-structure; Acetylation; ANK repeat; Cytoplasm; Nucleus; Phosphoprotein; Repeat</t>
  </si>
  <si>
    <t>ANK repeat; Repeat</t>
  </si>
  <si>
    <t>catecholamine metabolic process {GO:0006584}; cellular response to mechanical stimulus {GO:0071260}; cerebellar granule cell differentiation {GO:0021707}; neuron differentiation {GO:0030182}; positive regulation of cardiac muscle hypertrophy {GO:0010613}; positive regulation of cell growth {GO:0030307}; positive regulation of macromolecule biosynthetic process {GO:0010557}; positive regulation of NF-kappaB transcription factor activity {GO:0051092}; positive regulation of protein metabolic process {GO:0051247}; regulation of barbed-end actin filament capping {GO:2000812}; regulation of cell size {GO:0008361}; regulation of striated muscle tissue development {GO:0016202}; regulation of translation {GO:0006417}; skeletal muscle tissue regeneration {GO:0043403}; striated muscle cell differentiation {GO:0051146}</t>
  </si>
  <si>
    <t>axon {GO:0030424}; cytosol {GO:0005829}; F-actin capping protein complex {GO:0008290}; nucleus {GO:0005634}; perinuclear region of cytoplasm {GO:0048471}</t>
  </si>
  <si>
    <t>sequence-specific DNA binding {GO:0043565}</t>
  </si>
  <si>
    <t>Podocalyxin</t>
  </si>
  <si>
    <t>GCTM-2 antigen; Gp200; Podocalyxin-like protein 1 (PC; PCLP-1)</t>
  </si>
  <si>
    <t>PODXL_HUMAN</t>
  </si>
  <si>
    <t>O00592</t>
  </si>
  <si>
    <t>A6NHX8; Q52LZ7; Q53ER6</t>
  </si>
  <si>
    <t>PCLP; PCLP1</t>
  </si>
  <si>
    <t>Alternative splicing; Cell adhesion; Cell membrane; Cell projection; Glycoprotein; Membrane; Phosphoprotein; Polymorphism; Signal; Transmembrane; Transmembrane helix</t>
  </si>
  <si>
    <t>cell adhesion {GO:0007155}; cell migration {GO:0016477}; epithelial tube formation {GO:0072175}; glomerular visceral epithelial cell development {GO:0072015}; negative regulation of cell adhesion {GO:0007162}; negative regulation of cell-cell adhesion {GO:0022408}; positive regulation of cell migration {GO:0030335}; positive regulation of cell-cell adhesion mediated by integrin {GO:0033634}; regulation of microvillus assembly {GO:0032534}</t>
  </si>
  <si>
    <t>apical plasma membrane {GO:0016324}; cytoplasm {GO:0005737}; extracellular exosome {GO:0070062}; extracellular space {GO:0005615}; filopodium {GO:0030175}; integral component of plasma membrane {GO:0005887}; intracellular membrane-bounded organelle {GO:0043231}; lamellipodium {GO:0030027}; membrane raft {GO:0045121}; microtubule organizing center {GO:0005815}; microvillus membrane {GO:0031528}; nucleolus {GO:0005730}; plasma membrane {GO:0005886}; ruffle {GO:0001726}; slit diaphragm {GO:0036057}</t>
  </si>
  <si>
    <t>Vacuolar protein sorting-associated protein 4A</t>
  </si>
  <si>
    <t>Protein SKD2; VPS4-1 (hVPS4)</t>
  </si>
  <si>
    <t>VPS4A_HUMAN</t>
  </si>
  <si>
    <t>Q9UN37</t>
  </si>
  <si>
    <t>B2RCB7; Q8TF07; Q9UI03; Q9Y582</t>
  </si>
  <si>
    <t>3D-structure; Acetylation; ATP-binding; Cell cycle; Cell division; Disease mutation; Endosome; Hydrolase; Membrane; Nucleotide-binding; Phosphoprotein; Protein transport; Transport</t>
  </si>
  <si>
    <t>Cell cycle; Cell division; Protein transport; Transport</t>
  </si>
  <si>
    <t>abscission {GO:0009838}; actomyosin contractile ring contraction {GO:0000916}; cell division {GO:0051301}; cytoskeleton-dependent cytokinesis {GO:0061640}; endosomal transport {GO:0016197}; endosomal vesicle fusion {GO:0034058}; ESCRT complex disassembly {GO:1904896}; ESCRT III complex disassembly {GO:1904903}; intracellular cholesterol transport {GO:0032367}; late endosomal microautophagy {GO:0061738}; macroautophagy {GO:0016236}; midbody abscission {GO:0061952}; mitotic cytokinesis checkpoint {GO:0044878}; mitotic metaphase plate congression {GO:0007080}; multivesicular body assembly {GO:0036258}; negative regulation of cytokinesis {GO:0032466}; nuclear envelope organization {GO:0006998}; nuclear envelope reassembly {GO:0031468}; nucleus organization {GO:0006997}; positive regulation of exosomal secretion {GO:1903543}; positive regulation of viral budding via host ESCRT complex {GO:1903774}; positive regulation of viral life cycle {GO:1903902}; positive regulation of viral release from host cell {GO:1902188}; protein targeting to lysosome {GO:0006622}; regulation of protein localization {GO:0032880}; regulation of protein localization to plasma membrane {GO:1903076}; ubiquitin-dependent protein catabolic process via the multivesicular body sorting pathway {GO:0043162}; ubiquitin-independent protein catabolic process via the multivesicular body sorting pathway {GO:0090611}; vacuole organization {GO:0007033}; vesicle budding from membrane {GO:0006900}; vesicle uncoating {GO:0072319}; vesicle-mediated transport {GO:0016192}; viral budding via host ESCRT complex {GO:0039702}; viral life cycle {GO:0019058}; viral release from host cell {GO:0019076}</t>
  </si>
  <si>
    <t>centrosome {GO:0005813}; cytoplasm {GO:0005737}; cytosol {GO:0005829}; early endosome {GO:0005769}; endosome {GO:0005768}; endosome membrane {GO:0010008}; extracellular exosome {GO:0070062}; Flemming body {GO:0090543}; late endosome {GO:0005770}; late endosome membrane {GO:0031902}; lysosome {GO:0005764}; midbody {GO:0030496}; nucleus {GO:0005634}; perinuclear region of cytoplasm {GO:0048471}; plasma membrane {GO:0005886}; spindle pole {GO:0000922}; vacuolar membrane {GO:0005774}</t>
  </si>
  <si>
    <t>ATP binding {GO:0005524}; ATPase activity {GO:0016887}; ATPase activity, coupled {GO:0042623}; protein C-terminus binding {GO:0008022}; protein domain specific binding {GO:0019904}; protein-containing complex binding {GO:0044877}</t>
  </si>
  <si>
    <t>Budding and maturation of HIV virion {R-HSA-162588}; Endosomal Sorting Complex Required For Transport (ESCRT) {R-HSA-917729}</t>
  </si>
  <si>
    <t>Uridine phosphorylase 1 (UPase 1; UrdPase 1)</t>
  </si>
  <si>
    <t>UPP1_HUMAN</t>
  </si>
  <si>
    <t>Q16831</t>
  </si>
  <si>
    <t>D3DVM4; Q15362</t>
  </si>
  <si>
    <t>UP</t>
  </si>
  <si>
    <t>3D-structure; Alternative splicing; Glycosyltransferase; Transferase</t>
  </si>
  <si>
    <t>cellular response to glucose starvation {GO:0042149}; nucleobase-containing compound metabolic process {GO:0006139}; nucleotide catabolic process {GO:0009166}; pyrimidine nucleoside catabolic process {GO:0046135}; pyrimidine nucleoside salvage {GO:0043097}; UMP salvage {GO:0044206}; uridine catabolic process {GO:0006218}</t>
  </si>
  <si>
    <t>cytosol {GO:0005829}; nucleoplasm {GO:0005654}; nucleus {GO:0005634}</t>
  </si>
  <si>
    <t>uridine phosphorylase activity {GO:0004850}</t>
  </si>
  <si>
    <t>Pyrimidine metabolism; UMP biosynthesis via salvage pathway; uracil from uridine (phosphorylase route): step 1/1.</t>
  </si>
  <si>
    <t>Pyrimidine salvage {R-HSA-73614}; Pyrimidine catabolism {R-HSA-73621}</t>
  </si>
  <si>
    <t>Guanine nucleotide-binding protein G(i) subunit alpha-1</t>
  </si>
  <si>
    <t>Adenylate cyclase-inhibiting G alpha protein</t>
  </si>
  <si>
    <t>GNAI1_HUMAN</t>
  </si>
  <si>
    <t>P63096</t>
  </si>
  <si>
    <t>A8KA88; B4E2V1; C9J3A4; P04898; P11015; P31871; Q5U074; Q8TAN5; Q9UGA4</t>
  </si>
  <si>
    <t>3D-structure; ADP-ribosylation; Alternative splicing; Cell cycle; Cell division; Cell membrane; Cytoplasm; Cytoskeleton; GTP-binding; Lipoprotein; Magnesium; Membrane; Metal-binding; Mitosis; Myristate; Nucleotide-binding; Nucleus; Palmitate; Transducer; Transport</t>
  </si>
  <si>
    <t>Cell membrane; Cytoplasm; Cytoskeleton; Membrane; Nucleus</t>
  </si>
  <si>
    <t>GTP-binding; Magnesium; Metal-binding; Nucleotide-binding</t>
  </si>
  <si>
    <t>Transducer</t>
  </si>
  <si>
    <t>ADP-ribosylation; Lipoprotein; Myristate; Palmitate</t>
  </si>
  <si>
    <t>adenylate cyclase-inhibiting G protein-coupled receptor signaling pathway {GO:0007193}; adenylate cyclase-modulating G protein-coupled receptor signaling pathway {GO:0007188}; cell cycle {GO:0007049}; cell division {GO:0051301}; cellular response to forskolin {GO:1904322}; G protein-coupled receptor signaling pathway {GO:0007186}; negative regulation of synaptic transmission {GO:0050805}; positive regulation of protein localization to cell cortex {GO:1904778}; protein folding {GO:0006457}; regulation of cAMP-mediated signaling {GO:0043949}; regulation of mitotic spindle organization {GO:0060236}; response to peptide hormone {GO:0043434}</t>
  </si>
  <si>
    <t>cell cortex region {GO:0099738}; centrosome {GO:0005813}; cytoplasm {GO:0005737}; extracellular exosome {GO:0070062}; heterotrimeric G-protein complex {GO:0005834}; lysosomal membrane {GO:0005765}; membrane raft {GO:0045121}; midbody {GO:0030496}; nucleolus {GO:0005730}; nucleus {GO:0005634}; plasma membrane {GO:0005886}</t>
  </si>
  <si>
    <t>G protein-coupled receptor binding {GO:0001664}; G protein-coupled serotonin receptor binding {GO:0031821}; G-protein beta/gamma-subunit complex binding {GO:0031683}; GDP binding {GO:0019003}; GTP binding {GO:0005525}; GTPase activating protein binding {GO:0032794}; GTPase activity {GO:0003924}; magnesium ion binding {GO:0000287}</t>
  </si>
  <si>
    <t>PLC beta mediated events {R-HSA-112043}; Adenylate cyclase inhibitory pathway {R-HSA-170670}; G-protein activation {R-HSA-202040}; ADP signalling through P2Y purinoceptor 12 {R-HSA-392170}; Adrenaline,noradrenaline inhibits insulin secretion {R-HSA-400042}; G alpha (s) signalling events {R-HSA-418555}; G alpha (i) signalling events {R-HSA-418594}; G alpha (z) signalling events {R-HSA-418597}; Regulation of insulin secretion {R-HSA-422356}; Cooperation of PDCL (PhLP1) and TRiC/CCT in G-protein beta folding {R-HSA-6814122}; Non-genomic estrogen signaling {R-HSA-9009391}</t>
  </si>
  <si>
    <t>Insulin-like growth factor-binding protein 1 (IBP-1; IGF-binding protein 1; IGFBP-1)</t>
  </si>
  <si>
    <t>Placental protein 12 (PP12)</t>
  </si>
  <si>
    <t>IBP1_HUMAN</t>
  </si>
  <si>
    <t>P08833</t>
  </si>
  <si>
    <t>A4D2F4; D3DVL9; Q8IYP5</t>
  </si>
  <si>
    <t>IBP1</t>
  </si>
  <si>
    <t>3D-structure; Disulfide bond; Growth factor binding; Phosphoprotein; Polymorphism; Secreted; Signal</t>
  </si>
  <si>
    <t>Growth factor binding</t>
  </si>
  <si>
    <t>aging {GO:0007568}; cellular protein metabolic process {GO:0044267}; insulin receptor signaling pathway {GO:0008286}; negative regulation of canonical Wnt signaling pathway {GO:0090090}; PERK-mediated unfolded protein response {GO:0036499}; positive regulation of cell growth {GO:0030307}; post-translational protein modification {GO:0043687}; regulation of insulin-like growth factor receptor signaling pathway {GO:0043567}; signal transduction {GO:0007165}; tissue regeneration {GO:0042246}</t>
  </si>
  <si>
    <t>endoplasmic reticulum lumen {GO:0005788}; extracellular region {GO:0005576}; extracellular space {GO:0005615}; Golgi apparatus {GO:0005794}</t>
  </si>
  <si>
    <t>insulin-like growth factor binding {GO:0005520}; insulin-like growth factor I binding {GO:0031994}; insulin-like growth factor II binding {GO:0031995}; signaling receptor binding {GO:0005102}</t>
  </si>
  <si>
    <t>ATF4 activates genes in response to endoplasmic reticulum stress {R-HSA-380994}; Regulation of Insulin-like Growth Factor (IGF) transport and uptake by Insulin-like Growth Factor Binding Proteins (IGFBPs) {R-HSA-381426}; Post-translational protein phosphorylation {R-HSA-8957275}; FOXO-mediated transcription of oxidative stress, metabolic and neuronal genes {R-HSA-9615017}</t>
  </si>
  <si>
    <t>Solute carrier family 13 member 1</t>
  </si>
  <si>
    <t>Renal sodium/sulfate cotransporter (Na(+)/sulfate cotransporter; hNaSi-1)</t>
  </si>
  <si>
    <t>S13A1_HUMAN</t>
  </si>
  <si>
    <t>Q9BZW2</t>
  </si>
  <si>
    <t>Q9H5Z0</t>
  </si>
  <si>
    <t>NAS1; NASI1</t>
  </si>
  <si>
    <t>Glycoprotein; Ion transport; Membrane; Polymorphism; Sodium; Sodium transport; Sulfate transport; Symport; Transmembrane; Transmembrane helix; Transport</t>
  </si>
  <si>
    <t>Ion transport; Sodium transport; Sulfate transport; Symport; Transport</t>
  </si>
  <si>
    <t>citrate transport {GO:0015746}; sulfate transport {GO:0008272}</t>
  </si>
  <si>
    <t>citrate transmembrane transporter activity {GO:0015137}; sodium:dicarboxylate symporter activity {GO:0017153}; sodium:sulfate symporter activity {GO:0015382}; succinate transmembrane transporter activity {GO:0015141}</t>
  </si>
  <si>
    <t>Sodium-coupled sulphate, di- and tri-carboxylate transporters {R-HSA-433137}</t>
  </si>
  <si>
    <t>Gamma-glutamylcyclotransferase</t>
  </si>
  <si>
    <t>Cytochrome c-releasing factor 21</t>
  </si>
  <si>
    <t>GGCT_HUMAN</t>
  </si>
  <si>
    <t>O75223</t>
  </si>
  <si>
    <t>B2RDN0; B8ZZN4; B8ZZR8; Q9BS37</t>
  </si>
  <si>
    <t>C7orf24; CRF21</t>
  </si>
  <si>
    <t>3D-structure; Alternative splicing; Lyase; Phosphoprotein</t>
  </si>
  <si>
    <t>glutathione biosynthetic process {GO:0006750}; release of cytochrome c from mitochondria {GO:0001836}</t>
  </si>
  <si>
    <t>gamma-glutamylcyclotransferase activity {GO:0003839}; protein homodimerization activity {GO:0042803}</t>
  </si>
  <si>
    <t>Glutathione synthesis and recycling {R-HSA-174403}</t>
  </si>
  <si>
    <t>Protein disulfide-isomerase A4</t>
  </si>
  <si>
    <t>Endoplasmic reticulum resident protein 70 (ER protein 70; ERp70); Endoplasmic reticulum resident protein 72 (ER protein 72; ERp-72; ERp72)</t>
  </si>
  <si>
    <t>PDIA4_HUMAN</t>
  </si>
  <si>
    <t>P13667</t>
  </si>
  <si>
    <t>A8K4K6; Q549T6</t>
  </si>
  <si>
    <t>ERP70; ERP72</t>
  </si>
  <si>
    <t>3D-structure; Acetylation; Disulfide bond; Endoplasmic reticulum; Isomerase; Polymorphism; Redox-active center; Repeat; Signal</t>
  </si>
  <si>
    <t>Acetylation; Disulfide bond</t>
  </si>
  <si>
    <t>cell redox homeostasis {GO:0045454}; chaperone-mediated protein folding {GO:0061077}; protein folding {GO:0006457}; protein secretion {GO:0009306}; response to endoplasmic reticulum stress {GO:0034976}</t>
  </si>
  <si>
    <t>cell surface {GO:0009986}; endoplasmic reticulum {GO:0005783}; endoplasmic reticulum lumen {GO:0005788}; extracellular space {GO:0005615}; melanosome {GO:0042470}</t>
  </si>
  <si>
    <t>peptide disulfide oxidoreductase activity {GO:0015037}; protein disulfide isomerase activity {GO:0003756}; RNA binding {GO:0003723}</t>
  </si>
  <si>
    <t>Proteasome subunit alpha type-2</t>
  </si>
  <si>
    <t>Macropain subunit C3; Multicatalytic endopeptidase complex subunit C3; Proteasome component C3</t>
  </si>
  <si>
    <t>PSA2_HUMAN</t>
  </si>
  <si>
    <t>P25787</t>
  </si>
  <si>
    <t>Q6ICS6; Q9BU45</t>
  </si>
  <si>
    <t>HC3; PSC3</t>
  </si>
  <si>
    <t>3D-structure; Acetylation; Cytoplasm; Hydrolase; Nucleus; Phosphoprotein; Polymorphism;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</si>
  <si>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response to virus {GO:0009615};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</si>
  <si>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extracellular exosome {GO:0070062}; extracellular region {GO:0005576}; ficolin-1-rich granule lumen {GO:1904813}; nucleoplasm {GO:0005654}; nucleus {GO:0005634}; P-body {GO:0000932}; proteasome complex {GO:0000502}; proteasome core complex {GO:0005839}; proteasome core complex, alpha-subunit complex {GO:0019773}; secretory granule lumen {GO:0034774}</t>
  </si>
  <si>
    <t>Histone H2A.V</t>
  </si>
  <si>
    <t>H2A.F/Z</t>
  </si>
  <si>
    <t>H2AV_HUMAN</t>
  </si>
  <si>
    <t>Q71UI9</t>
  </si>
  <si>
    <t>A6NFA8; A6NKY0; A6NN01; A8MQC5; Q59GV8; Q6PK98</t>
  </si>
  <si>
    <t>H2AV</t>
  </si>
  <si>
    <t>3D-structure; Acetylation; Alternative splicing; Chromosome; DNA-binding; Nucleosome core; Nucleus; Polymorphism; Ubl conjugation</t>
  </si>
  <si>
    <t>Acetylation; Ubl conjugation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</si>
  <si>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RMTs methylate histone arginines {R-HSA-3214858};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Deposition of new CENPA-containing nucleosomes at the centromere {R-HSA-606279};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</t>
  </si>
  <si>
    <t>Lysophosphatidic acid phosphatase type 6</t>
  </si>
  <si>
    <t>Acid phosphatase 6, lysophosphatidic; Acid phosphatase-like protein 1; PACPL1</t>
  </si>
  <si>
    <t>PPA6_HUMAN</t>
  </si>
  <si>
    <t>Q9NPH0</t>
  </si>
  <si>
    <t>Q59G61; Q5T490; Q6IAQ3; Q7LG81; Q9UIG6; X5D289</t>
  </si>
  <si>
    <t>ACPL1; LPAP</t>
  </si>
  <si>
    <t>3D-structure; Alternative splicing; Hydrolase; Lipid metabolism; Mitochondrion; Phospholipid metabolism; Polymorphism; Transit peptide</t>
  </si>
  <si>
    <t>Lipid metabolism; Phospholipid metabolism</t>
  </si>
  <si>
    <t>hematopoietic progenitor cell differentiation {GO:0002244}; lysobisphosphatidic acid metabolic process {GO:2001311}; phosphatidic acid biosynthetic process {GO:0006654}; phospholipid metabolic process {GO:0006644}</t>
  </si>
  <si>
    <t>cytoplasm {GO:0005737}; mitochondrial matrix {GO:0005759}; mitochondrion {GO:0005739}</t>
  </si>
  <si>
    <t>acid phosphatase activity {GO:0003993}; lysophosphatidic acid phosphatase activity {GO:0052642}</t>
  </si>
  <si>
    <t>Synthesis of PA {R-HSA-1483166}</t>
  </si>
  <si>
    <t>UMP-CMP kinase</t>
  </si>
  <si>
    <t>Deoxycytidylate kinase (CK; dCMP kinase); Nucleoside-diphosphate kinase; Uridine monophosphate/cytidine monophosphate kinase (UMP/CMP kinase; UMP/CMPK)</t>
  </si>
  <si>
    <t>KCY_HUMAN</t>
  </si>
  <si>
    <t>P30085</t>
  </si>
  <si>
    <t>B2R6S5; B4DPU7; E9PGI8; Q53GB7; Q5SVZ0; Q96C07; Q9UBQ8; Q9UIA2</t>
  </si>
  <si>
    <t>3D-structure; Acetylation; Alternative initiation; Alternative splicing; ATP-binding; Cytoplasm; Isopeptide bond; Kinase; Nucleotide-binding; Nucleus; Phosphoprotein; Pyrimidine biosynthesis; Transferase; Ubl conjugation</t>
  </si>
  <si>
    <t>Pyrimidine biosynthesis</t>
  </si>
  <si>
    <t>Alternative initiation; Alternative splicing</t>
  </si>
  <si>
    <t>'de novo' pyrimidine nucleobase biosynthetic process {GO:0006207}; nucleobase-containing small molecule interconversion {GO:0015949}; nucleoside diphosphate phosphorylation {GO:0006165}; nucleoside triphosphate biosynthetic process {GO:0009142}; pyrimidine ribonucleotide biosynthetic process {GO:0009220}</t>
  </si>
  <si>
    <t>cytoplasm {GO:0005737}; cytosol {GO:0005829}; extracellular exosome {GO:0070062}; nucleolus {GO:0005730}; nucleus {GO:0005634}</t>
  </si>
  <si>
    <t>ATP binding {GO:0005524}; cytidylate kinase activity {GO:0004127}; nucleoside diphosphate kinase activity {GO:0004550}; uridine kinase activity {GO:0004849}; uridylate kinase activity {GO:0009041}</t>
  </si>
  <si>
    <t>Interconversion of nucleotide di- and triphosphates {R-HSA-499943}</t>
  </si>
  <si>
    <t>Protein FAM3C</t>
  </si>
  <si>
    <t>Interleukin-like EMT inducer</t>
  </si>
  <si>
    <t>FAM3C_HUMAN</t>
  </si>
  <si>
    <t>Q92520</t>
  </si>
  <si>
    <t>A6NDN2; A8K3R7</t>
  </si>
  <si>
    <t>ILEI</t>
  </si>
  <si>
    <t>3D-structure; Cytoplasmic vesicle; Developmental protein; Disulfide bond; Oncogene; Secreted; Signal</t>
  </si>
  <si>
    <t>Cytoplasmic vesicle; Secreted</t>
  </si>
  <si>
    <t>Oncogene</t>
  </si>
  <si>
    <t>multicellular organism development {GO:0007275}; negative regulation of gluconeogenesis {GO:0045721}; platelet degranulation {GO:0002576}</t>
  </si>
  <si>
    <t>extracellular exosome {GO:0070062}; extracellular region {GO:0005576}; Golgi apparatus {GO:0005794}; platelet dense granule lumen {GO:0031089}</t>
  </si>
  <si>
    <t>Aquaporin-1 (AQP-1)</t>
  </si>
  <si>
    <t>Aquaporin-CHIP; Urine water channel; Water channel protein for red blood cells and kidney proximal tubule</t>
  </si>
  <si>
    <t>AQP1_HUMAN</t>
  </si>
  <si>
    <t>P29972</t>
  </si>
  <si>
    <t>B5BU39; E7EM69; E9PC21; F5GY19; Q8TBI5; Q8TDC1</t>
  </si>
  <si>
    <t>CHIP28</t>
  </si>
  <si>
    <t>3D-structure; Alternative splicing; Blood group antigen; Cell membrane; Glycoprotein; Membrane; Phosphoprotein; Polymorphism; Repeat; Transmembrane; Transmembrane helix; Transport</t>
  </si>
  <si>
    <t>Blood group antigen</t>
  </si>
  <si>
    <t>ammonium transport {GO:0015696}; bicarbonate transport {GO:0015701}; carbon dioxide transmembrane transport {GO:0035378}; carbon dioxide transport {GO:0015670}; cell volume homeostasis {GO:0006884}; cellular homeostasis {GO:0019725}; cellular hyperosmotic response {GO:0071474}; cellular response to cAMP {GO:0071320}; cellular response to copper ion {GO:0071280}; cellular response to dexamethasone stimulus {GO:0071549}; cellular response to hydrogen peroxide {GO:0070301}; cellular response to hypoxia {GO:0071456}; cellular response to inorganic substance {GO:0071241}; cellular response to mechanical stimulus {GO:0071260}; cellular response to mercury ion {GO:0071288}; cellular response to nitric oxide {GO:0071732}; cellular response to retinoic acid {GO:0071300}; cellular response to salt stress {GO:0071472}; cellular response to UV {GO:0034644}; cerebrospinal fluid secretion {GO:0033326}; cGMP-mediated signaling {GO:0019934}; establishment or maintenance of actin cytoskeleton polarity {GO:0030950}; glycerol transport {GO:0015793}; hyperosmotic response {GO:0006972}; lateral ventricle development {GO:0021670}; maintenance of symbiont-containing vacuole by host {GO:0085018}; multicellular organismal water homeostasis {GO:0050891}; negative regulation of apoptotic process {GO:0043066}; negative regulation of cysteine-type endopeptidase activity involved in apoptotic process {GO:0043154}; nitric oxide transport {GO:0030185}; odontogenesis {GO:0042476}; pancreatic juice secretion {GO:0030157}; positive regulation of angiogenesis {GO:0045766}; positive regulation of fibroblast proliferation {GO:0048146}; positive regulation of saliva secretion {GO:0046878}; potassium ion transport {GO:0006813}; renal water homeostasis {GO:0003091}; renal water transport {GO:0003097}; response to drug {GO:0042493}; transepithelial water transport {GO:0035377}; water transport {GO:0006833}</t>
  </si>
  <si>
    <t>apical part of cell {GO:0045177}; apical plasma membrane {GO:0016324}; basal plasma membrane {GO:0009925}; basolateral plasma membrane {GO:0016323}; brush border {GO:0005903}; brush border membrane {GO:0031526}; cytoplasm {GO:0005737}; extracellular exosome {GO:0070062}; integral component of membrane {GO:0016021}; integral component of plasma membrane {GO:0005887}; nuclear membrane {GO:0031965}; nucleus {GO:0005634}; plasma membrane {GO:0005886}; sarcolemma {GO:0042383}; symbiont-containing vacuole {GO:0020003}</t>
  </si>
  <si>
    <t>ammonium transmembrane transporter activity {GO:0008519}; carbon dioxide transmembrane transporter activity {GO:0035379}; glycerol transmembrane transporter activity {GO:0015168}; identical protein binding {GO:0042802}; intracellular cGMP-activated cation channel activity {GO:0005223}; nitric oxide transmembrane transporter activity {GO:0030184}; potassium channel activity {GO:0005267}; potassium ion transmembrane transporter activity {GO:0015079}; transmembrane transporter activity {GO:0022857}; water channel activity {GO:0015250}; water transmembrane transporter activity {GO:0005372}</t>
  </si>
  <si>
    <t>Erythrocytes take up carbon dioxide and release oxygen {R-HSA-1237044}; Erythrocytes take up oxygen and release carbon dioxide {R-HSA-1247673}; Vasopressin regulates renal water homeostasis via Aquaporins {R-HSA-432040}; Passive transport by Aquaporins {R-HSA-432047}</t>
  </si>
  <si>
    <t>Ras-related protein Ral-A</t>
  </si>
  <si>
    <t>RALA_HUMAN</t>
  </si>
  <si>
    <t>P11233</t>
  </si>
  <si>
    <t>A4D1W3</t>
  </si>
  <si>
    <t>RAL</t>
  </si>
  <si>
    <t>3D-structure; Cell cycle; Cell division; Cell membrane; Exocytosis; GTP-binding; Lipoprotein; Membrane; Methylation; Nucleotide-binding; Prenylation</t>
  </si>
  <si>
    <t>Cell cycle; Cell division; Exocytosis</t>
  </si>
  <si>
    <t>Lipoprotein; Methylation; Prenylation</t>
  </si>
  <si>
    <t>actin cytoskeleton reorganization {GO:0031532}; cell cycle {GO:0007049}; cell division {GO:0051301}; chemotaxis {GO:0006935}; exocytosis {GO:0006887}; interleukin-12-mediated signaling pathway {GO:0035722}; membrane organization {GO:0061024}; membrane raft localization {GO:0051665}; neural tube closure {GO:0001843}; positive regulation of filopodium assembly {GO:0051491}; Ras protein signal transduction {GO:0007265}; regulation of exocytosis {GO:0017157}; signal transduction {GO:0007165}</t>
  </si>
  <si>
    <t>cell surface {GO:0009986}; cleavage furrow {GO:0032154}; cytoplasmic vesicle membrane {GO:0030659}; extracellular exosome {GO:0070062}; Flemming body {GO:0090543}; focal adhesion {GO:0005925}; plasma membrane {GO:0005886}</t>
  </si>
  <si>
    <t>ATPase binding {GO:0051117}; Edg-2 lysophosphatidic acid receptor binding {GO:0031755}; GDP binding {GO:0019003}; GTP binding {GO:0005525}; GTPase activity {GO:0003924}; myosin binding {GO:0017022}; ubiquitin protein ligase binding {GO:0031625}</t>
  </si>
  <si>
    <t>Translocation of SLC2A4 (GLUT4) to the plasma membrane {R-HSA-1445148}; p38MAPK events {R-HSA-171007}; Gene and protein expression by JAK-STAT signaling after Interleukin-12 stimulation {R-HSA-8950505}</t>
  </si>
  <si>
    <t>Caldesmon (CDM)</t>
  </si>
  <si>
    <t>CALD1_HUMAN</t>
  </si>
  <si>
    <t>Q05682</t>
  </si>
  <si>
    <t>A8K0X1; Q13978; Q13979; Q14741; Q14742; Q9UD91</t>
  </si>
  <si>
    <t>CAD; CDM</t>
  </si>
  <si>
    <t>Actin-binding; Alternative splicing; Calmodulin-binding; Cytoplasm; Cytoskeleton; Isopeptide bond; Muscle protein; Phosphoprotein; Polymorphism; Repeat; Ubl conjugation</t>
  </si>
  <si>
    <t>Actin-binding; Calmodulin-binding; Muscle protein</t>
  </si>
  <si>
    <t>muscle contraction {GO:0006936}</t>
  </si>
  <si>
    <t>actin cap {GO:0030478}; actin cytoskeleton {GO:0015629}; cytoskeleton {GO:0005856}; cytosol {GO:0005829}; intracellular membrane-bounded organelle {GO:0043231}; myofibril {GO:0030016}; plasma membrane {GO:0005886}</t>
  </si>
  <si>
    <t>actin binding {GO:0003779}; cadherin binding {GO:0045296}; calmodulin binding {GO:0005516}; myosin binding {GO:0017022}; tropomyosin binding {GO:0005523}</t>
  </si>
  <si>
    <t>Smooth Muscle Contraction {R-HSA-445355}</t>
  </si>
  <si>
    <t>Sorcin</t>
  </si>
  <si>
    <t>22 kDa protein; CP-22 (CP22); V19</t>
  </si>
  <si>
    <t>SORCN_HUMAN</t>
  </si>
  <si>
    <t>P30626</t>
  </si>
  <si>
    <t>A8MTH6; B4DKK2; D6W5Q0</t>
  </si>
  <si>
    <t>3D-structure; Alternative splicing; Calcium; Cytoplasm; Membrane; Metal-binding; Repeat; Sarcoplasmic reticulum</t>
  </si>
  <si>
    <t>Cytoplasm; Membrane; Sarcoplasmic reticulum</t>
  </si>
  <si>
    <t>action potential {GO:0001508}; calcium ion transport {GO:0006816}; cytoplasmic sequestering of transcription factor {GO:0042994}; heart development {GO:0007507}; intracellular sequestering of iron ion {GO:0006880}; muscle organ development {GO:0007517}; negative regulation of cardiac muscle contraction {GO:0055118}; negative regulation of heart rate {GO:0010459}; negative regulation of ryanodine-sensitive calcium-release channel activity {GO:0060315}; negative regulation of transcription regulatory region DNA binding {GO:2000678}; positive regulation of insulin secretion involved in cellular response to glucose stimulus {GO:0035774}; positive regulation of release of sequestered calcium ion into cytosol {GO:0051281}; regulation of calcium ion transport {GO:0051924}; regulation of cardiac muscle cell contraction {GO:0086004}; regulation of cell communication by electrical coupling {GO:0010649}; regulation of cell communication by electrical coupling involved in cardiac conduction {GO:1901844}; regulation of heart contraction {GO:0008016}; regulation of high voltage-gated calcium channel activity {GO:1901841}; regulation of relaxation of muscle {GO:1901077}; regulation of release of sequestered calcium ion into cytosol by sarcoplasmic reticulum {GO:0010880}; regulation of striated muscle contraction {GO:0006942}; signal transduction {GO:0007165}</t>
  </si>
  <si>
    <t>axon terminus {GO:0043679}; cytoplasm {GO:0005737}; cytosol {GO:0005829}; dendritic spine neck {GO:0044326}; endoplasmic reticulum membrane {GO:0005789}; extracellular exosome {GO:0070062}; membrane {GO:0016020}; mitochondrion {GO:0005739}; nucleoplasm {GO:0005654}; sarcoplasmic reticulum {GO:0016529}; sarcoplasmic reticulum membrane {GO:0033017}; smooth endoplasmic reticulum {GO:0005790}; T-tubule {GO:0030315}; Z disc {GO:0030018}</t>
  </si>
  <si>
    <t>calcium channel regulator activity {GO:0005246}; calcium ion binding {GO:0005509}; identical protein binding {GO:0042802}; ion channel binding {GO:0044325}; protease binding {GO:0002020}; protein heterodimerization activity {GO:0046982}; repressing transcription factor binding {GO:0070491}; signaling receptor binding {GO:0005102}</t>
  </si>
  <si>
    <t>Stimuli-sensing channels {R-HSA-2672351}; Reduction of cytosolic Ca++ levels {R-HSA-418359}; Sodium/Calcium exchangers {R-HSA-425561}; Ion homeostasis {R-HSA-5578775}; Ion transport by P-type ATPases {R-HSA-936837}</t>
  </si>
  <si>
    <t>Testin</t>
  </si>
  <si>
    <t>TESS</t>
  </si>
  <si>
    <t>TES_HUMAN</t>
  </si>
  <si>
    <t>Q9UGI8</t>
  </si>
  <si>
    <t>A4D0U6; Q9GZQ1; Q9HAJ9</t>
  </si>
  <si>
    <t>3D-structure; Alternative splicing; Cell junction; Cytoplasm; LIM domain; Metal-binding; Polymorphism; Repeat; Zinc</t>
  </si>
  <si>
    <t>Cell junction; Cytoplasm</t>
  </si>
  <si>
    <t>negative regulation of cell population proliferation {GO:0008285}</t>
  </si>
  <si>
    <t>cell junction {GO:0030054}; cytosol {GO:0005829}; focal adhesion {GO:0005925}; nucleus {GO:0005634}; plasma membrane {GO:0005886}; protein-containing complex {GO:0032991}</t>
  </si>
  <si>
    <t>cadherin binding {GO:0045296}; RNA binding {GO:0003723}; zinc ion binding {GO:0008270}</t>
  </si>
  <si>
    <t>Aldo-keto reductase family 1 member B1</t>
  </si>
  <si>
    <t>Aldehyde reductase; Aldose reductase (AR)</t>
  </si>
  <si>
    <t>ALDR_HUMAN</t>
  </si>
  <si>
    <t>P15121</t>
  </si>
  <si>
    <t>B2R8N3; Q5U031; Q6FGA4; Q6ICP2; Q9BS21; Q9UCI9</t>
  </si>
  <si>
    <t>ALDR1; ALR2</t>
  </si>
  <si>
    <t>3D-structure; Acetylation; Cytoplasm; NADP; Oxidoreductase; Phosphoprotein; Polymorphism</t>
  </si>
  <si>
    <t>C21-steroid hormone biosynthetic process {GO:0006700}; carbohydrate metabolic process {GO:0005975}; cellular hyperosmotic salinity response {GO:0071475}; cellular response to methylglyoxal {GO:0097238}; cellular response to peptide {GO:1901653}; daunorubicin metabolic process {GO:0044597}; doxorubicin metabolic process {GO:0044598}; fructose biosynthetic process {GO:0046370}; inner medullary collecting duct development {GO:0072061}; maternal process involved in female pregnancy {GO:0060135}; metanephric collecting duct development {GO:0072205}; naphthalene metabolic process {GO:0018931}; negative regulation of apoptotic process {GO:0043066}; norepinephrine metabolic process {GO:0042415}; oxidation-reduction process {GO:0055114}; positive regulation of receptor signaling pathway via JAK-STAT {GO:0046427}; positive regulation of smooth muscle cell proliferation {GO:0048661}; regulation of urine volume {GO:0035809}; renal water homeostasis {GO:0003091}; response to thyroid hormone {GO:0097066}; response to water deprivation {GO:0009414}; retinoid metabolic process {GO:0001523}; sorbitol biosynthetic process {GO:0006061}; stress-activated protein kinase signaling cascade {GO:0031098}; tissue homeostasis {GO:0001894}</t>
  </si>
  <si>
    <t>cytosol {GO:0005829}; extracellular exosome {GO:0070062}; extracellular space {GO:0005615}; mast cell granule {GO:0042629}; nucleoplasm {GO:0005654}; paranodal junction {GO:0033010}; perinuclear region of cytoplasm {GO:0048471}; plasma membrane bounded cell projection cytoplasm {GO:0032838}; Schmidt-Lanterman incisure {GO:0043220}; Schwann cell microvillus {GO:0097454}</t>
  </si>
  <si>
    <t>alcohol dehydrogenase (NADP+) activity {GO:0008106}; alditol:NADP+ 1-oxidoreductase activity {GO:0004032}; allyl-alcohol dehydrogenase activity {GO:0047655}; electron transfer activity {GO:0009055}; glyceraldehyde oxidoreductase activity {GO:0043795}; NADP-retinol dehydrogenase activity {GO:0052650}; oxidoreductase activity {GO:0016491}; retinal dehydrogenase activity {GO:0001758}</t>
  </si>
  <si>
    <t>Pregnenolone biosynthesis {R-HSA-196108}; Fructose biosynthesis {R-HSA-5652227}</t>
  </si>
  <si>
    <t>Putative RNA-binding protein Luc7-like 2</t>
  </si>
  <si>
    <t>LC7L2_HUMAN</t>
  </si>
  <si>
    <t>Q9Y383</t>
  </si>
  <si>
    <t>B7Z500; Q8IUP9; Q9NVL3; Q9NVN7; Q9UQN1</t>
  </si>
  <si>
    <t>Alternative splicing; Coiled coil; Hydroxylation; Nucleus; Phosphoprotein; Polymorphism</t>
  </si>
  <si>
    <t>Hydroxylation; Phosphoprotein</t>
  </si>
  <si>
    <t>mRNA splice site selection {GO:0006376}</t>
  </si>
  <si>
    <t>nuclear speck {GO:0016607}; U1 snRNP {GO:0005685}; U2-type prespliceosome {GO:0071004}</t>
  </si>
  <si>
    <t>enzyme binding {GO:0019899}; mRNA binding {GO:0003729}; RNA binding {GO:0003723}</t>
  </si>
  <si>
    <t>Biliverdin reductase A (BVR A)</t>
  </si>
  <si>
    <t>Biliverdin-IX alpha-reductase</t>
  </si>
  <si>
    <t>BIEA_HUMAN</t>
  </si>
  <si>
    <t>P53004</t>
  </si>
  <si>
    <t>A8K747; O95019; Q86UX0; Q96QL4; Q9BRW8</t>
  </si>
  <si>
    <t>BLVR; BVR</t>
  </si>
  <si>
    <t>3D-structure; Acetylation; Cytoplasm; Metal-binding; NAD; NADP; Oxidoreductase; Phosphoprotein; Polymorphism; Zinc</t>
  </si>
  <si>
    <t>Metal-binding; NAD; NADP; Zinc</t>
  </si>
  <si>
    <t>heme catabolic process {GO:0042167}; oxidation-reduction process {GO:0055114}</t>
  </si>
  <si>
    <t>biliverdin reductase activity {GO:0004074}; zinc ion binding {GO:0008270}</t>
  </si>
  <si>
    <t>Porphyrin-containing compound metabolism; protoheme degradation.</t>
  </si>
  <si>
    <t>Heme degradation {R-HSA-189483}</t>
  </si>
  <si>
    <t>Filamin-C (FLN-C; FLNc)</t>
  </si>
  <si>
    <t>ABP-280-like protein; ABP-L; Actin-binding-like protein; Filamin-2; Gamma-filamin</t>
  </si>
  <si>
    <t>FLNC_HUMAN</t>
  </si>
  <si>
    <t>Q14315</t>
  </si>
  <si>
    <t>B2ZZ88; O95303; Q07985; Q9NS12; Q9NYE5; Q9UMR8; Q9Y503</t>
  </si>
  <si>
    <t>ABPL; FLN2</t>
  </si>
  <si>
    <t>3D-structure; Actin-binding; Alternative splicing; Cardiomyopathy; Cytoplasm; Cytoskeleton; Disease mutation; Membrane; Methylation; Myofibrillar myopathy; Phosphoprotein; Polymorphism; Repeat; Ubl conjugation</t>
  </si>
  <si>
    <t>Cytoplasm; Cytoskeleton; Membrane</t>
  </si>
  <si>
    <t>Cardiomyopathy; Disease mutation; Myofibrillar myopathy</t>
  </si>
  <si>
    <t>Methylation; Phosphoprotein; Ubl conjugation</t>
  </si>
  <si>
    <t>cell junction assembly {GO:0034329}; muscle fiber development {GO:0048747}</t>
  </si>
  <si>
    <t>costamere {GO:0043034}; cytoplasm {GO:0005737}; cytoskeleton {GO:0005856}; cytosol {GO:0005829}; focal adhesion {GO:0005925}; plasma membrane {GO:0005886}; sarcolemma {GO:0042383}; sarcoplasm {GO:0016528}; Z disc {GO:0030018}</t>
  </si>
  <si>
    <t>actin filament binding {GO:0051015}; ankyrin binding {GO:0030506}; cytoskeletal protein binding {GO:0008092}; identical protein binding {GO:0042802}</t>
  </si>
  <si>
    <t>Cell-extracellular matrix interactions {R-HSA-446353}</t>
  </si>
  <si>
    <t>Cystic fibrosis transmembrane conductance regulator (CFTR)</t>
  </si>
  <si>
    <t>ATP-binding cassette sub-family C member 7; Channel conductance-controlling ATPase; cAMP-dependent chloride channel</t>
  </si>
  <si>
    <t>CFTR_HUMAN</t>
  </si>
  <si>
    <t>P13569</t>
  </si>
  <si>
    <t>Q20BG8; Q20BH2; Q2I0A1; Q2I102</t>
  </si>
  <si>
    <t>ABCC7</t>
  </si>
  <si>
    <t>3D-structure; Alternative splicing; ATP-binding; Cell membrane; Chloride; Chloride channel; Disease mutation; Endoplasmic reticulum; Endosome; Glycoprotein; Ion channel; Ion transport; Isomerase; Isopeptide bond; Lipoprotein; Membrane; Nucleotide-binding; Nucleus; Palmitate; Phosphoprotein; Polymorphism; Repeat; Transmembrane; Transmembrane helix; Transport; Ubl conjugation</t>
  </si>
  <si>
    <t>Cell membrane; Endoplasmic reticulum; Endosome; Membrane; Nucleus</t>
  </si>
  <si>
    <t>ATP-binding; Chloride; Nucleotide-binding</t>
  </si>
  <si>
    <t>Chloride channel; Ion channel; Isomerase</t>
  </si>
  <si>
    <t>Glycoprotein; Isopeptide bond; Lipoprotein; Palmitate; Phosphoprotein; Ubl conjugation</t>
  </si>
  <si>
    <t>bicarbonate transport {GO:0015701}; cellular response to cAMP {GO:0071320}; cellular response to forskolin {GO:1904322}; chloride transmembrane transport {GO:1902476}; cholesterol biosynthetic process {GO:0006695}; cholesterol transport {GO:0030301}; intracellular pH elevation {GO:0051454}; membrane hyperpolarization {GO:0060081}; membrane organization {GO:0061024}; multicellular organismal water homeostasis {GO:0050891}; positive regulation of cyclic nucleotide-gated ion channel activity {GO:1902161}; positive regulation of exocytosis {GO:0045921}; positive regulation of insulin secretion involved in cellular response to glucose stimulus {GO:0035774}; positive regulation of voltage-gated chloride channel activity {GO:1902943}; protein deubiquitination {GO:0016579}; response to endoplasmic reticulum stress {GO:0034976}; sperm capacitation {GO:0048240}; transepithelial water transport {GO:0035377}; transmembrane transport {GO:0055085}; vesicle docking involved in exocytosis {GO:0006904}</t>
  </si>
  <si>
    <t>apical plasma membrane {GO:0016324}; cell surface {GO:0009986}; chloride channel complex {GO:0034707}; clathrin-coated vesicle membrane {GO:0030665}; cytoplasm {GO:0005737}; cytosol {GO:0005829}; early endosome {GO:0005769}; early endosome membrane {GO:0031901}; endoplasmic reticulum membrane {GO:0005789}; endosome membrane {GO:0010008}; Golgi-associated vesicle membrane {GO:0030660}; integral component of membrane {GO:0016021}; integral component of plasma membrane {GO:0005887}; lysosomal membrane {GO:0005765}; membrane {GO:0016020}; nucleus {GO:0005634}; plasma membrane {GO:0005886}; protein-containing complex {GO:0032991}; recycling endosome {GO:0055037}; recycling endosome membrane {GO:0055038}</t>
  </si>
  <si>
    <t>ATP binding {GO:0005524}; ATPase activity {GO:0016887}; ATPase activity, coupled to transmembrane movement of substances {GO:0042626}; bicarbonate transmembrane transporter activity {GO:0015106}; chaperone binding {GO:0051087}; chloride channel activity {GO:0005254}; chloride channel inhibitor activity {GO:0019869}; chloride channel regulator activity {GO:0017081}; chloride transmembrane transporter activity {GO:0015108}; enzyme binding {GO:0019899}; intracellularly ATP-gated chloride channel activity {GO:0005260}; isomerase activity {GO:0016853}; PDZ domain binding {GO:0030165}; Sec61 translocon complex binding {GO:0106138}</t>
  </si>
  <si>
    <t>ABC-family proteins mediated transport {R-HSA-382556}; RHO GTPases regulate CFTR trafficking {R-HSA-5627083}; Defective CFTR causes cystic fibrosis {R-HSA-5678895}; Ub-specific processing proteases {R-HSA-5689880}; Cargo recognition for clathrin-mediated endocytosis {R-HSA-8856825}; Clathrin-mediated endocytosis {R-HSA-8856828}</t>
  </si>
  <si>
    <t>Insulin-like growth factor-binding protein 3 (IBP-3; IGF-binding protein 3; IGFBP-3)</t>
  </si>
  <si>
    <t>IBP3_HUMAN</t>
  </si>
  <si>
    <t>P17936</t>
  </si>
  <si>
    <t>A4D2F5; D3DVM0; Q2V509; Q6P1M6; Q9UCL4</t>
  </si>
  <si>
    <t>IBP3</t>
  </si>
  <si>
    <t>Alternative splicing; Apoptosis; Disulfide bond; Glycoprotein; Growth factor binding; Phosphoprotein; Polymorphism; Secreted; Signal</t>
  </si>
  <si>
    <t>Apoptosis</t>
  </si>
  <si>
    <t>apoptotic process {GO:0006915}; cellular protein metabolic process {GO:0044267}; negative regulation of cell population proliferation {GO:0008285}; negative regulation of protein phosphorylation {GO:0001933}; negative regulation of signal transduction {GO:0009968}; negative regulation of smooth muscle cell migration {GO:0014912}; negative regulation of smooth muscle cell proliferation {GO:0048662}; osteoblast differentiation {GO:0001649}; positive regulation of apoptotic process {GO:0043065}; positive regulation of insulin-like growth factor receptor signaling pathway {GO:0043568}; positive regulation of MAPK cascade {GO:0043410}; positive regulation of myoblast differentiation {GO:0045663}; post-translational protein modification {GO:0043687}; protein phosphorylation {GO:0006468}; regulation of apoptotic process {GO:0042981}; regulation of cell growth {GO:0001558}; regulation of glucose metabolic process {GO:0010906}; regulation of insulin-like growth factor receptor signaling pathway {GO:0043567}; type B pancreatic cell proliferation {GO:0044342}</t>
  </si>
  <si>
    <t>endoplasmic reticulum lumen {GO:0005788}; extracellular region {GO:0005576}; extracellular space {GO:0005615}; insulin-like growth factor binding protein complex {GO:0016942}; insulin-like growth factor ternary complex {GO:0042567}; nucleus {GO:0005634}</t>
  </si>
  <si>
    <t>fibronectin binding {GO:0001968}; insulin-like growth factor binding {GO:0005520}; insulin-like growth factor I binding {GO:0031994}; insulin-like growth factor II binding {GO:0031995}; metal ion binding {GO:0046872}; protein tyrosine phosphatase activator activity {GO:0008160}</t>
  </si>
  <si>
    <t>Regulation of Insulin-like Growth Factor (IGF) transport and uptake by Insulin-like Growth Factor Binding Proteins (IGFBPs) {R-HSA-381426}; TP53 Regulates Transcription of Death Receptors and Ligands {R-HSA-6803211}; Post-translational protein phosphorylation {R-HSA-8957275}</t>
  </si>
  <si>
    <t>Protein FAM151A</t>
  </si>
  <si>
    <t>F151A_HUMAN</t>
  </si>
  <si>
    <t>Q8WW52</t>
  </si>
  <si>
    <t>Q5VUG5; Q6DKH5; Q6UWV0; Q8NAX9; Q96KY5</t>
  </si>
  <si>
    <t>C1orf179</t>
  </si>
  <si>
    <t>Alternative splicing; Membrane; Polymorphism; Transmembrane; Transmembrane helix</t>
  </si>
  <si>
    <t>extracellular exosome {GO:0070062}; integral component of membrane {GO:0016021}; membrane {GO:0016020}</t>
  </si>
  <si>
    <t>Carboxypeptidase A1</t>
  </si>
  <si>
    <t>CBPA1_HUMAN</t>
  </si>
  <si>
    <t>P15085</t>
  </si>
  <si>
    <t>A4D1M1; Q53XU0; Q9BS67; Q9UCF2</t>
  </si>
  <si>
    <t>CPA</t>
  </si>
  <si>
    <t>proteolysis {GO:0006508}</t>
  </si>
  <si>
    <t>metallocarboxypeptidase activity {GO:0004181}; zinc ion binding {GO:0008270}</t>
  </si>
  <si>
    <t>V-type proton ATPase 116 kDa subunit a isoform 4 (V-ATPase 116 kDa isoform a4)</t>
  </si>
  <si>
    <t>Vacuolar proton translocating ATPase 116 kDa subunit a isoform 4; Vacuolar proton translocating ATPase 116 kDa subunit a kidney isoform</t>
  </si>
  <si>
    <t>VPP4_HUMAN</t>
  </si>
  <si>
    <t>Q9HBG4</t>
  </si>
  <si>
    <t>A4D1R4; A8KA80; Q32M47</t>
  </si>
  <si>
    <t>ATP6N1B; ATP6N2</t>
  </si>
  <si>
    <t>Cell membrane; Disease mutation; Hydrogen ion transport; Ion transport; Membrane; Polymorphism; Transmembrane; Transmembrane helix; Transport</t>
  </si>
  <si>
    <t>ATP hydrolysis coupled proton transport {GO:0015991}; excretion {GO:0007588}; insulin receptor signaling pathway {GO:0008286}; ion transmembrane transport {GO:0034220}; ossification {GO:0001503}; phagosome acidification {GO:0090383}; proton transmembrane transport {GO:1902600}; regulation of pH {GO:0006885}; sensory perception of sound {GO:0007605}; transferrin transport {GO:0033572}; vacuolar acidification {GO:0007035}</t>
  </si>
  <si>
    <t>apical part of cell {GO:0045177}; apical plasma membrane {GO:0016324}; brush border membrane {GO:0031526}; endosome {GO:0005768}; endosome membrane {GO:0010008}; extracellular exosome {GO:0070062}; integral component of membrane {GO:0016021}; lysosomal membrane {GO:0005765}; phagocytic vesicle membrane {GO:0030670}; plasma membrane {GO:0005886}; vacuolar proton-transporting V-type ATPase complex {GO:0016471}; vacuolar proton-transporting V-type ATPase, V0 domain {GO:0000220}</t>
  </si>
  <si>
    <t>ROS and RNS production in phagocytes {R-HSA-1222556}; Insulin receptor recycling {R-HSA-77387}; Transferrin endocytosis and recycling {R-HSA-917977}; Ion channel transport {R-HSA-983712}</t>
  </si>
  <si>
    <t>Laminin subunit beta-1</t>
  </si>
  <si>
    <t>Laminin B1 chain; Laminin-1 subunit beta; Laminin-10 subunit beta; Laminin-12 subunit beta; Laminin-2 subunit beta; Laminin-6 subunit beta; Laminin-8 subunit beta</t>
  </si>
  <si>
    <t>LAMB1_HUMAN</t>
  </si>
  <si>
    <t>P07942</t>
  </si>
  <si>
    <t>Q14D91</t>
  </si>
  <si>
    <t>3D-structure; Basement membrane; Cell adhesion; Coiled coil; Disulfide bond; Extracellular matrix; Glycoprotein; Laminin EGF-like domain; Lissencephaly; Phosphoprotein; Polymorphism; Repeat; Secreted; Signal</t>
  </si>
  <si>
    <t>Lissencephaly</t>
  </si>
  <si>
    <t>Coiled coil; Laminin EGF-like domain; Repeat; Signal</t>
  </si>
  <si>
    <t>animal organ morphogenesis {GO:0009887}; basement membrane assembly {GO:0070831}; cell adhesion {GO:0007155}; cell migration {GO:0016477}; cellular protein metabolic process {GO:0044267}; endodermal cell differentiation {GO:0035987}; extracellular matrix organization {GO:0030198}; neuron projection development {GO:0031175}; neuronal-glial interaction involved in cerebral cortex radial glia guided migration {GO:0021812}; odontogenesis {GO:0042476}; positive regulation of cell migration {GO:0030335}; positive regulation of epithelial cell proliferation {GO:0050679}; post-translational protein modification {GO:0043687}; substrate adhesion-dependent cell spreading {GO:0034446}; tissue development {GO:0009888}</t>
  </si>
  <si>
    <t>basement membrane {GO:0005604}; collagen-containing extracellular matrix {GO:0062023}; endoplasmic reticulum lumen {GO:0005788}; extracellular exosome {GO:0070062}; extracellular region {GO:0005576}; extracellular space {GO:0005615}; laminin complex {GO:0043256}; laminin-1 complex {GO:0005606}; laminin-10 complex {GO:0043259}; laminin-2 complex {GO:0005607}; laminin-8 complex {GO:0043257}; perinuclear region of cytoplasm {GO:0048471}</t>
  </si>
  <si>
    <t>extracellular matrix structural constituent {GO:0005201}; integrin binding {GO:0005178}; structural molecule activity {GO:0005198}</t>
  </si>
  <si>
    <t>Degradation of the extracellular matrix {R-HSA-1474228}; Laminin interactions {R-HSA-3000157}; Non-integrin membrane-ECM interactions {R-HSA-3000171}; ECM proteoglycans {R-HSA-3000178}; L1CAM interactions {R-HSA-373760}; Regulation of Insulin-like Growth Factor (IGF) transport and uptake by Insulin-like Growth Factor Binding Proteins (IGFBPs) {R-HSA-381426}; MET activates PTK2 signaling {R-HSA-8874081}; Post-translational protein phosphorylation {R-HSA-8957275}</t>
  </si>
  <si>
    <t>Dihydrolipoyl dehydrogenase, mitochondrial</t>
  </si>
  <si>
    <t>Dihydrolipoamide dehydrogenase; Glycine cleavage system L protein</t>
  </si>
  <si>
    <t>DLDH_HUMAN</t>
  </si>
  <si>
    <t>P09622</t>
  </si>
  <si>
    <t>B2R5X0; B4DHG0; B4DT69; Q14131; Q14167; Q59EV8; Q8WTS4</t>
  </si>
  <si>
    <t>GCSL; LAD; PHE3</t>
  </si>
  <si>
    <t>3D-structure; Acetylation; Alternative splicing; Cell projection; Cilium; Cytoplasmic vesicle; Disease mutation; Disulfide bond; FAD; Flagellum; Flavoprotein; Mitochondrion; NAD; Nucleus; Oxidoreductase; Phosphoprotein; Polymorphism; Redox-active center; Transit peptide</t>
  </si>
  <si>
    <t>Cell projection; Cilium; Cytoplasmic vesicle; Flagellum; Mitochondrion; Nucleus</t>
  </si>
  <si>
    <t>Redox-active center; Transit peptide</t>
  </si>
  <si>
    <t>FAD; Flavoprotein; NAD</t>
  </si>
  <si>
    <t>2-oxoglutarate metabolic process {GO:0006103}; aging {GO:0007568}; branched-chain amino acid catabolic process {GO:0009083}; cell redox homeostasis {GO:0045454}; dihydrolipoamide metabolic process {GO:0051068}; gastrulation {GO:0007369}; histone succinylation {GO:0106077}; lipoate metabolic process {GO:0009106}; lysine catabolic process {GO:0006554}; mitochondrial acetyl-CoA biosynthetic process from pyruvate {GO:0061732}; mitochondrial electron transport, NADH to ubiquinone {GO:0006120}; proteolysis {GO:0006508}; pyruvate metabolic process {GO:0006090}; regulation of membrane potential {GO:0042391}; sperm capacitation {GO:0048240}; tricarboxylic acid cycle {GO:0006099}</t>
  </si>
  <si>
    <t>acrosomal matrix {GO:0043159}; mitochondrial matrix {GO:0005759}; mitochondrion {GO:0005739}; motile cilium {GO:0031514}; nucleoplasm {GO:0005654}; nucleus {GO:0005634}; oxoglutarate dehydrogenase complex {GO:0045252}; pyruvate dehydrogenase complex {GO:0045254}</t>
  </si>
  <si>
    <t>dihydrolipoyl dehydrogenase activity {GO:0004148}; electron transfer activity {GO:0009055}; flavin adenine dinucleotide binding {GO:0050660}; lipoamide binding {GO:0043544}; NAD binding {GO:0051287}</t>
  </si>
  <si>
    <t>Regulation of pyruvate dehydrogenase (PDH) complex {R-HSA-204174}; Glyoxylate metabolism and glycine degradation {R-HSA-389661}; Signaling by Retinoic Acid {R-HSA-5362517}; Glycine degradation {R-HSA-6783984}; Pyruvate metabolism {R-HSA-70268}; Branched-chain amino acid catabolism {R-HSA-70895}; Lysine catabolism {R-HSA-71064}; Citric acid cycle (TCA cycle) {R-HSA-71403}</t>
  </si>
  <si>
    <t>Drebrin-like protein</t>
  </si>
  <si>
    <t>Cervical SH3P7; Cervical mucin-associated protein; Drebrin-F; HPK1-interacting protein of 55 kDa (HIP-55); SH3 domain-containing protein 7</t>
  </si>
  <si>
    <t>DBNL_HUMAN</t>
  </si>
  <si>
    <t>Q9UJU6</t>
  </si>
  <si>
    <t>A4D2I9; B4DDP6; B4DEM2; C9J7P1; P84070; Q6IAI8; Q96F30; Q96K74; Q9HBN8; Q9NR72</t>
  </si>
  <si>
    <t>CMAP; SH3P7</t>
  </si>
  <si>
    <t>3D-structure; Acetylation; Actin-binding; Adaptive immunity; Alternative splicing; Cell junction; Cell membrane; Cell projection; Coiled coil; Cytoplasm; Cytoplasmic vesicle; Cytoskeleton; Endocytosis; Endosome; Golgi apparatus; Immunity; Membrane; Phosphoprotein; SH3 domain; Synapse; Transport</t>
  </si>
  <si>
    <t>Adaptive immunity; Endocytosis; Immunity; Transport</t>
  </si>
  <si>
    <t>Cell junction; Cell membrane; Cell projection; Cytoplasm; Cytoplasmic vesicle; Cytoskeleton; Endosome; Golgi apparatus; Membrane; Synapse</t>
  </si>
  <si>
    <t>Coiled coil; SH3 domain</t>
  </si>
  <si>
    <t>activation of JUN kinase activity {GO:0007257}; adaptive immune response {GO:0002250}; neuron projection morphogenesis {GO:0048812}; neutrophil degranulation {GO:0043312}; podosome assembly {GO:0071800}; Rac protein signal transduction {GO:0016601}; receptor-mediated endocytosis {GO:0006898}; ruffle assembly {GO:0097178}; synapse assembly {GO:0007416}</t>
  </si>
  <si>
    <t>cell cortex {GO:0005938}; cell junction {GO:0030054}; clathrin-coated vesicle membrane {GO:0030665}; cytoplasm {GO:0005737}; cytosol {GO:0005829}; dendrite {GO:0030425}; early endosome {GO:0005769}; extracellular exosome {GO:0070062}; extracellular region {GO:0005576}; ficolin-1-rich granule lumen {GO:1904813}; Golgi membrane {GO:0000139}; lamellipodium {GO:0030027}; plasma membrane {GO:0005886}; podosome {GO:0002102}; postsynaptic density {GO:0014069}; ruffle {GO:0001726}; secretory granule lumen {GO:0034774}; tertiary granule lumen {GO:1904724}</t>
  </si>
  <si>
    <t>actin binding {GO:0003779}; actin filament binding {GO:0051015}; cadherin binding {GO:0045296}; enzyme activator activity {GO:0008047}; protein C-terminus binding {GO:0008022}; protein domain specific binding {GO:0019904}</t>
  </si>
  <si>
    <t>Caspase-mediated cleavage of cytoskeletal proteins {R-HSA-264870}; Neurexins and neuroligins {R-HSA-6794361}; Neutrophil degranulation {R-HSA-6798695}</t>
  </si>
  <si>
    <t>60S ribosomal protein L18</t>
  </si>
  <si>
    <t>Large ribosomal subunit protein eL18</t>
  </si>
  <si>
    <t>RL18_HUMAN</t>
  </si>
  <si>
    <t>Q07020</t>
  </si>
  <si>
    <t>F8VWC5; Q8WTZ6</t>
  </si>
  <si>
    <t>3D-structure; Alternative splicing; Cytoplasm; Endoplasmic reticulum; Isopeptide bond; Phosphoprotein; Ribonucleoprotein; Ribosomal protein; Ubl conjugation</t>
  </si>
  <si>
    <t>cytoplasmic translation {GO:0002181};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</si>
  <si>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endoplasmic reticulum {GO:0005783}; focal adhesion {GO:0005925}; membrane {GO:0016020}; nucleolus {GO:0005730}; nucleus {GO:0005634}; polysomal ribosome {GO:0042788}; rough endoplasmic reticulum {GO:0005791}</t>
  </si>
  <si>
    <t>Carnitine O-palmitoyltransferase 2, mitochondrial</t>
  </si>
  <si>
    <t>Carnitine palmitoyltransferase II (CPT II)</t>
  </si>
  <si>
    <t>CPT2_HUMAN</t>
  </si>
  <si>
    <t>P23786</t>
  </si>
  <si>
    <t>B2R6S0; Q5SW68; Q9BQ26</t>
  </si>
  <si>
    <t>CPT1</t>
  </si>
  <si>
    <t>Acetylation; Acyltransferase; Disease mutation; Fatty acid metabolism; Lipid metabolism; Membrane; Mitochondrion; Mitochondrion inner membrane; Polymorphism; Transferase; Transit peptide; Transport</t>
  </si>
  <si>
    <t>Fatty acid metabolism; Lipid metabolism; Transport</t>
  </si>
  <si>
    <t>carnitine shuttle {GO:0006853}; fatty acid beta-oxidation {GO:0006635}; positive regulation of cold-induced thermogenesis {GO:0120162}; regulation of lipid metabolic process {GO:0019216}</t>
  </si>
  <si>
    <t>mitochondrial inner membrane {GO:0005743}; mitochondrion {GO:0005739}; nucleolus {GO:0005730}; nucleoplasm {GO:0005654}</t>
  </si>
  <si>
    <t>carnitine O-palmitoyltransferase activity {GO:0004095}</t>
  </si>
  <si>
    <t>Lipid metabolism; fatty acid beta-oxidation.</t>
  </si>
  <si>
    <t>PPARA activates gene expression {R-HSA-1989781}; Import of palmitoyl-CoA into the mitochondrial matrix {R-HSA-200425}</t>
  </si>
  <si>
    <t>Bisphosphoglycerate mutase (BPGM)</t>
  </si>
  <si>
    <t>2,3-bisphosphoglycerate mutase, erythrocyte; 2,3-bisphosphoglycerate synthase; 2,3-diphosphoglycerate mutase (DPGM); BPG-dependent PGAM</t>
  </si>
  <si>
    <t>PMGE_HUMAN</t>
  </si>
  <si>
    <t>P07738</t>
  </si>
  <si>
    <t>A4D1N9</t>
  </si>
  <si>
    <t>3D-structure; Acetylation; Disease mutation; Glycation; Glycolysis; Glycoprotein; Hereditary hemolytic anemia; Hydrolase; Isomerase; Phosphoprotein</t>
  </si>
  <si>
    <t>Disease mutation; Hereditary hemolytic anemia</t>
  </si>
  <si>
    <t>Acetylation; Glycation; Glycoprotein; Phosphoprotein</t>
  </si>
  <si>
    <t>canonical glycolysis {GO:0061621}; carbohydrate metabolic process {GO:0005975}; erythrocyte development {GO:0048821}; respiratory gaseous exchange {GO:0007585}</t>
  </si>
  <si>
    <t>bisphosphoglycerate mutase activity {GO:0004082}; hydrolase activity {GO:0016787}; phosphoglycerate mutase activity {GO:0004619}</t>
  </si>
  <si>
    <t>Glycolysis {R-HSA-70171}</t>
  </si>
  <si>
    <t>Collagen alpha-1(XXVIII) chain</t>
  </si>
  <si>
    <t>COSA1_HUMAN</t>
  </si>
  <si>
    <t>Q2UY09</t>
  </si>
  <si>
    <t>A4D101; A4D106; A4D107; A8MVR2; B9EGX9; Q2UY07; Q2UY08</t>
  </si>
  <si>
    <t>COL28</t>
  </si>
  <si>
    <t>Alternative splicing; Basement membrane; Cell adhesion; Collagen; Disulfide bond; Extracellular matrix; Polymorphism; Protease inhibitor; Repeat; Secreted; Serine protease inhibitor; Signal</t>
  </si>
  <si>
    <t>cell adhesion {GO:0007155}; extracellular matrix organization {GO:0030198}</t>
  </si>
  <si>
    <t>basement membrane {GO:0005604}; collagen trimer {GO:0005581}; collagen-containing extracellular matrix {GO:0062023}; endoplasmic reticulum lumen {GO:0005788}; extracellular matrix {GO:0031012}; extracellular region {GO:0005576}; extracellular space {GO:0005615}</t>
  </si>
  <si>
    <t>Collagen biosynthesis and modifying enzymes {R-HSA-1650814}; Collagen chain trimerization {R-HSA-8948216}</t>
  </si>
  <si>
    <t>Septin-7</t>
  </si>
  <si>
    <t>CDC10 protein homolog</t>
  </si>
  <si>
    <t>SEPT7_HUMAN</t>
  </si>
  <si>
    <t>Q16181</t>
  </si>
  <si>
    <t>Q52M76; Q6NX50</t>
  </si>
  <si>
    <t>CDC10</t>
  </si>
  <si>
    <t>3D-structure; Acetylation; Alternative splicing; Cell cycle; Cell division; Cell projection; Centromere; Chromosome; Cilium; Coiled coil; Cytoplasm; Cytoskeleton; Differentiation; Flagellum; GTP-binding; Kinetochore; Mitosis; Nucleotide-binding; Phosphoprotein; Spermatogenesis</t>
  </si>
  <si>
    <t>Cell cycle; Cell division; Differentiation; Mitosis; Spermatogenesis</t>
  </si>
  <si>
    <t>Cell projection; Centromere; Chromosome; Cilium; Cytoplasm; Cytoskeleton; Flagellum; Kinetochore</t>
  </si>
  <si>
    <t>cell differentiation {GO:0030154}; cilium assembly {GO:0060271}; cytoskeleton-dependent cytokinesis {GO:0061640}; negative regulation of cell migration {GO:0030336}; negative regulation of G1/S transition of mitotic cell cycle {GO:2000134}; positive regulation of apoptotic process {GO:0043065}; positive regulation of non-motile cilium assembly {GO:1902857}; protein heterooligomerization {GO:0051291}; regulation of embryonic cell shape {GO:0016476}; spermatogenesis {GO:0007283}</t>
  </si>
  <si>
    <t>axoneme {GO:0005930}; cleavage furrow {GO:0032154}; condensed chromosome kinetochore {GO:0000777}; cytosol {GO:0005829}; extracellular exosome {GO:0070062}; microtubule cytoskeleton {GO:0015630}; midbody {GO:0030496}; non-motile cilium {GO:0097730}; nucleus {GO:0005634}; septin complex {GO:0031105}; septin ring {GO:0005940}; sperm annulus {GO:0097227}; spindle {GO:0005819}; stress fiber {GO:0001725}</t>
  </si>
  <si>
    <t>cadherin binding {GO:0045296}; GTP binding {GO:0005525}; GTPase activity {GO:0003924}; identical protein binding {GO:0042802}; structural molecule activity {GO:0005198}</t>
  </si>
  <si>
    <t>MAPK6/MAPK4 signaling {R-HSA-5687128}</t>
  </si>
  <si>
    <t>Matrix remodeling-associated protein 8</t>
  </si>
  <si>
    <t>Limitrin</t>
  </si>
  <si>
    <t>MXRA8_HUMAN</t>
  </si>
  <si>
    <t>Q9BRK3</t>
  </si>
  <si>
    <t>B3KTR6; B4DE34; Q5TA39; Q96KC3</t>
  </si>
  <si>
    <t>Alternative splicing; Cell adhesion; Cell junction; Cell membrane; Cell projection; Cytoplasm; Disulfide bond; Glycoprotein; Host-virus interaction; Immunoglobulin domain; Membrane; Nucleus; Phosphoprotein; Polymorphism; Repeat; Signal; Tight junction; Transmembrane; Transmembrane helix</t>
  </si>
  <si>
    <t>Cell junction; Cell membrane; Cell projection; Cytoplasm; Membrane; Nucleus; Tight junction</t>
  </si>
  <si>
    <t>cell adhesion {GO:0007155}; cellular protein metabolic process {GO:0044267}; establishment of glial blood-brain barrier {GO:0060857}; post-translational protein modification {GO:0043687}; viral process {GO:0016032}</t>
  </si>
  <si>
    <t>bicellular tight junction {GO:0005923}; cell surface {GO:0009986}; ciliary membrane {GO:0060170}; endoplasmic reticulum lumen {GO:0005788}; extracellular exosome {GO:0070062}; integral component of membrane {GO:0016021}; nucleus {GO:0005634}</t>
  </si>
  <si>
    <t>Regulation of Insulin-like Growth Factor (IGF) transport and uptake by Insulin-like Growth Factor Binding Proteins (IGFBPs) {R-HSA-381426}; Post-translational protein phosphorylation {R-HSA-8957275}</t>
  </si>
  <si>
    <t>Glucoamylase</t>
  </si>
  <si>
    <t>Alpha-glucosidase; Glucan 1,4-alpha-glucosidase</t>
  </si>
  <si>
    <t>MGA_HUMAN</t>
  </si>
  <si>
    <t>O43451</t>
  </si>
  <si>
    <t>Q0VAX6; Q75ME7; Q86UM5</t>
  </si>
  <si>
    <t>MGA; MGAML</t>
  </si>
  <si>
    <t>3D-structure; Cell membrane; Disulfide bond; Glycoprotein; Glycosidase; Hydrolase; Membrane; Multifunctional enzyme; Polymorphism; Repeat; Signal-anchor; Sulfation; Transmembrane; Transmembrane helix</t>
  </si>
  <si>
    <t>Repeat; Signal-anchor; Transmembrane; Transmembrane helix</t>
  </si>
  <si>
    <t>Glycosidase; Hydrolase; Multifunctional enzyme</t>
  </si>
  <si>
    <t>neutrophil degranulation {GO:0043312}; polysaccharide digestion {GO:0044245}; starch catabolic process {GO:0005983}</t>
  </si>
  <si>
    <t>apical plasma membrane {GO:0016324}; extracellular exosome {GO:0070062}; ficolin-1-rich granule membrane {GO:0101003}; integral component of membrane {GO:0016021}; plasma membrane {GO:0005886}; tertiary granule membrane {GO:0070821}</t>
  </si>
  <si>
    <t>alpha-1,4-glucosidase activity {GO:0004558}; amylase activity {GO:0016160}; carbohydrate binding {GO:0030246}; catalytic activity {GO:0003824}; glucan 1,4-alpha-glucosidase activity {GO:0004339}; maltose alpha-glucosidase activity {GO:0032450}</t>
  </si>
  <si>
    <t>Digestion of dietary carbohydrate {R-HSA-189085}; Neutrophil degranulation {R-HSA-6798695}</t>
  </si>
  <si>
    <t>Ephrin type-B receptor 6</t>
  </si>
  <si>
    <t>HEP; Tyrosine-protein kinase-defective receptor EPH-6</t>
  </si>
  <si>
    <t>EPHB6_HUMAN</t>
  </si>
  <si>
    <t>O15197</t>
  </si>
  <si>
    <t>A4D2I7; A8CDT5; D3DXD3; Q2TB23; Q2TB24</t>
  </si>
  <si>
    <t>Alternative splicing; ATP-binding; Glycoprotein; Membrane; Nucleotide-binding; Polymorphism; Receptor; Repeat; Secreted; Signal; Transmembrane; Transmembrane helix</t>
  </si>
  <si>
    <t>Membrane; Secreted</t>
  </si>
  <si>
    <t>axon guidance {GO:0007411}; ephrin receptor signaling pathway {GO:0048013}; transmembrane receptor protein tyrosine kinase signaling pathway {GO:0007169}</t>
  </si>
  <si>
    <t>cytosol {GO:0005829}; extracellular region {GO:0005576}; integral component of plasma membrane {GO:0005887}; neuron projection {GO:0043005}; plasma membrane {GO:0005886}; receptor complex {GO:0043235}</t>
  </si>
  <si>
    <t>ATP binding {GO:0005524}; ephrin receptor activity {GO:0005003}; signaling receptor activity {GO:0038023}; transmembrane receptor protein tyrosine kinase activity {GO:0004714}; transmembrane-ephrin receptor activity {GO:0005005}</t>
  </si>
  <si>
    <t>EPH-Ephrin signaling {R-HSA-2682334}; EPHB-mediated forward signaling {R-HSA-3928662}; Ephrin signaling {R-HSA-3928664}; EPH-ephrin mediated repulsion of cells {R-HSA-3928665}</t>
  </si>
  <si>
    <t>Secreted frizzled-related protein 4 (sFRP-4)</t>
  </si>
  <si>
    <t>Frizzled protein, human endometrium (FrpHE)</t>
  </si>
  <si>
    <t>SFRP4_HUMAN</t>
  </si>
  <si>
    <t>Q6FHJ7</t>
  </si>
  <si>
    <t>B4DYC1; O14877; Q05BG7; Q1ZYW2; Q4G124; Q6FHM0; Q6PD64</t>
  </si>
  <si>
    <t>FRPHE</t>
  </si>
  <si>
    <t>Developmental protein; Differentiation; Disulfide bond; Glycoprotein; Polymorphism; Secreted; Signal; Wnt signaling pathway</t>
  </si>
  <si>
    <t>Differentiation; Wnt signaling pathway</t>
  </si>
  <si>
    <t>bone morphogenesis {GO:0060349}; canonical Wnt signaling pathway {GO:0060070}; cell differentiation {GO:0030154}; negative regulation of canonical Wnt signaling pathway {GO:0090090}; negative regulation of cell population proliferation {GO:0008285}; negative regulation of DNA-binding transcription factor activity {GO:0043433}; negative regulation of non-canonical Wnt signaling pathway {GO:2000051}; negative regulation of sodium-dependent phosphate transport {GO:2000119}; negative regulation of Wnt signaling pathway {GO:0030178}; non-canonical Wnt signaling pathway {GO:0035567}; phosphate ion homeostasis {GO:0055062}; positive regulation of apoptotic process {GO:0043065}; positive regulation of canonical Wnt signaling pathway {GO:0090263}; positive regulation of epidermal cell differentiation {GO:0045606}; positive regulation of gene expression {GO:0010628}; positive regulation of keratinocyte apoptotic process {GO:1902174}; positive regulation of receptor internalization {GO:0002092}; regulation of BMP signaling pathway {GO:0030510}; response to hormone {GO:0009725}</t>
  </si>
  <si>
    <t>cell surface {GO:0009986}; cytoplasm {GO:0005737}; extracellular space {GO:0005615}; nucleus {GO:0005634}</t>
  </si>
  <si>
    <t>Wnt-protein binding {GO:0017147}</t>
  </si>
  <si>
    <t>Transmembrane glycoprotein NMB</t>
  </si>
  <si>
    <t>Hematopoietic growth factor inducible neurokinin-1 type</t>
  </si>
  <si>
    <t>GPNMB_HUMAN</t>
  </si>
  <si>
    <t>Q14956</t>
  </si>
  <si>
    <t>A4D155; Q6UVX1; Q8N1A1</t>
  </si>
  <si>
    <t>HGFIN NMB</t>
  </si>
  <si>
    <t>Alternative splicing; Amyloidosis; Cell membrane; Disease mutation; Endosome; Glycoprotein; Membrane; Phosphoprotein; Polymorphism; Signal; Transmembrane; Transmembrane helix</t>
  </si>
  <si>
    <t>bone mineralization {GO:0030282}; cell adhesion {GO:0007155}; cell-cell signaling {GO:0007267}; negative regulation of cell population proliferation {GO:0008285}; negative regulation of cytokine production {GO:0001818}; negative regulation of G1/S transition of mitotic cell cycle {GO:2000134}; negative regulation of neuron death {GO:1901215}; negative regulation of T cell activation {GO:0050868}; negative regulation of T cell proliferation {GO:0042130}; negative regulation of tumor necrosis factor production {GO:0032720}; osteoblast differentiation {GO:0001649}; positive chemotaxis {GO:0050918}; positive regulation of cell migration {GO:0030335}; positive regulation of ERK1 and ERK2 cascade {GO:0070374}; positive regulation of protein autophosphorylation {GO:0031954}; positive regulation of protein phosphorylation {GO:0001934}; regulation of angiogenesis {GO:0045765}; regulation of tissue remodeling {GO:0034103}; signal transduction {GO:0007165}</t>
  </si>
  <si>
    <t>early endosome membrane {GO:0031901}; integral component of membrane {GO:0016021}; integral component of plasma membrane {GO:0005887}; melanosome membrane {GO:0033162}; plasma membrane {GO:0005886}</t>
  </si>
  <si>
    <t>chemoattractant activity {GO:0042056}; heparin binding {GO:0008201}; integrin binding {GO:0005178}; receptor ligand activity {GO:0048018}; syndecan binding {GO:0045545}</t>
  </si>
  <si>
    <t>PTK6 promotes HIF1A stabilization {R-HSA-8857538}</t>
  </si>
  <si>
    <t>Nicotinamide phosphoribosyltransferase (NAmPRTase; Nampt)</t>
  </si>
  <si>
    <t>Pre-B-cell colony-enhancing factor 1 (Pre-B cell-enhancing factor); Visfatin</t>
  </si>
  <si>
    <t>NAMPT_HUMAN</t>
  </si>
  <si>
    <t>P43490</t>
  </si>
  <si>
    <t>A4D0Q9; A4D0R0; Q3KQV0; Q8WW95</t>
  </si>
  <si>
    <t>PBEF; PBEF1</t>
  </si>
  <si>
    <t>3D-structure; Acetylation; Biological rhythms; Cytokine; Cytoplasm; Glycosyltransferase; Nucleus; Phosphoprotein; Polymorphism; Pyridine nucleotide biosynthesis; Secreted; Transferase</t>
  </si>
  <si>
    <t>Biological rhythms; Pyridine nucleotide biosynthesis</t>
  </si>
  <si>
    <t>Cytokine; Glycosyltransferase; Transferase</t>
  </si>
  <si>
    <t>aging {GO:0007568}; cell-cell signaling {GO:0007267}; cellular response to amyloid-beta {GO:1904646}; cellular response to ionizing radiation {GO:0071479}; cellular response to oxygen-glucose deprivation {GO:0090650}; circadian regulation of gene expression {GO:0032922}; circadian rhythm {GO:0007623}; female pregnancy {GO:0007565}; microglial cell activation {GO:0001774}; NAD biosynthesis via nicotinamide riboside salvage pathway {GO:0034356}; negative regulation of autophagy {GO:0010507}; negative regulation of cellular senescence {GO:2000773}; neuron death {GO:0070997}; positive regulation of cell population proliferation {GO:0008284}; positive regulation of nitric-oxide synthase biosynthetic process {GO:0051770}; positive regulation of smooth muscle cell proliferation {GO:0048661}; positive regulation of transcription by RNA polymerase II {GO:0045944}; regulation of lung blood pressure {GO:0014916}; response to D-galactose {GO:1905377}; response to organic cyclic compound {GO:0014070}; signal transduction {GO:0007165}</t>
  </si>
  <si>
    <t>cell junction {GO:0030054}; cytosol {GO:0005829}; extracellular exosome {GO:0070062}; nuclear speck {GO:0016607}; plasma membrane {GO:0005886}</t>
  </si>
  <si>
    <t>cytokine activity {GO:0005125}; drug binding {GO:0008144}; identical protein binding {GO:0042802}; nicotinamide phosphoribosyltransferase activity {GO:0047280}; nicotinate-nucleotide diphosphorylase (carboxylating) activity {GO:0004514}; protein homodimerization activity {GO:0042803}</t>
  </si>
  <si>
    <t>Cofactor biosynthesis; NAD(+) biosynthesis; nicotinamide D-ribonucleotide from 5-phospho-alpha-D-ribose 1-diphosphate and nicotinamide: step 1/1.</t>
  </si>
  <si>
    <t>BMAL1:CLOCK,NPAS2 activates circadian gene expression {R-HSA-1368108}; Nicotinamide salvaging {R-HSA-197264}</t>
  </si>
  <si>
    <t>Synaptophysin-like protein 1</t>
  </si>
  <si>
    <t>Pantophysin</t>
  </si>
  <si>
    <t>SYPL1_HUMAN</t>
  </si>
  <si>
    <t>Q16563</t>
  </si>
  <si>
    <t>A4D0R2; Q96AR8</t>
  </si>
  <si>
    <t>SYPL</t>
  </si>
  <si>
    <t>Alternative splicing; Cytoplasmic vesicle; Glycoprotein; Membrane; Transmembrane; Transmembrane helix</t>
  </si>
  <si>
    <t>chemical synaptic transmission {GO:0007268}</t>
  </si>
  <si>
    <t>extracellular exosome {GO:0070062}; integral component of membrane {GO:0016021}; integral component of plasma membrane {GO:0005887}; integral component of synaptic vesicle membrane {GO:0030285}; melanosome {GO:0042470}; secretory granule {GO:0030141}; synaptic vesicle membrane {GO:0030672}</t>
  </si>
  <si>
    <t>Steroid receptor RNA activator 1</t>
  </si>
  <si>
    <t>Steroid receptor RNA activator protein (SRAP)</t>
  </si>
  <si>
    <t>SRA1_HUMAN</t>
  </si>
  <si>
    <t>Q9HD15</t>
  </si>
  <si>
    <t>Q6NVU9; Q8IXM1; Q9HD13; Q9HD14</t>
  </si>
  <si>
    <t>3D-structure; Activator; Apoptosis; Cytoplasm; Nucleus; Phosphoprotein; Polymorphism; Receptor; Ribonucleoprotein; Transcription; Transcription regulation</t>
  </si>
  <si>
    <t>Apoptosis; Transcription; Transcription regulation</t>
  </si>
  <si>
    <t>Activator; Receptor; Ribonucleoprotein</t>
  </si>
  <si>
    <t>apoptotic process {GO:0006915}; cell differentiation {GO:0030154}; cell population proliferation {GO:0008283}; cellular response to estrogen stimulus {GO:0071391}; negative regulation of myoblast differentiation {GO:0045662}; regulation of apoptotic process {GO:0042981}</t>
  </si>
  <si>
    <t>cell leading edge {GO:0031252}; cytoplasm {GO:0005737}; cytosol {GO:0005829}; intercellular bridge {GO:0045171}; microtubule cytoskeleton {GO:0015630}; nucleoplasm {GO:0005654}; nucleus {GO:0005634}; plasma membrane {GO:0005886}; ribonucleoprotein complex {GO:1990904}; transcription factor complex {GO:0005667}</t>
  </si>
  <si>
    <t>DNA binding {GO:0003677}; nuclear receptor transcription coactivator activity {GO:0030374}; steroid receptor RNA activator RNA binding {GO:0002153}; transcription coactivator activity {GO:0003713}</t>
  </si>
  <si>
    <t>Sushi domain-containing protein 2</t>
  </si>
  <si>
    <t>SUSD2_HUMAN</t>
  </si>
  <si>
    <t>Q9UGT4</t>
  </si>
  <si>
    <t>Q9H5Y6</t>
  </si>
  <si>
    <t>Cell membrane; Disulfide bond; Glycoprotein; Membrane; Polymorphism; Receptor; Signal; Sushi; Transmembrane; Transmembrane helix; Tumor suppressor</t>
  </si>
  <si>
    <t>Signal; Sushi; Transmembrane; Transmembrane helix</t>
  </si>
  <si>
    <t>immune response {GO:0006955}; negative regulation of cell cycle G1/S phase transition {GO:1902807}; negative regulation of cell division {GO:0051782}</t>
  </si>
  <si>
    <t>extracellular exosome {GO:0070062}; integral component of membrane {GO:0016021}; plasma membrane {GO:0005886}</t>
  </si>
  <si>
    <t>polysaccharide binding {GO:0030247}; scavenger receptor activity {GO:0005044}</t>
  </si>
  <si>
    <t>Splicing factor 3A subunit 1</t>
  </si>
  <si>
    <t>SF3a120; Spliceosome-associated protein 114 (SAP 114)</t>
  </si>
  <si>
    <t>SF3A1_HUMAN</t>
  </si>
  <si>
    <t>Q15459</t>
  </si>
  <si>
    <t>E9PAW1</t>
  </si>
  <si>
    <t>SAP114</t>
  </si>
  <si>
    <t>3D-structure; Acetylation; Alternative splicing; Isopeptide bond; mRNA processing; mRNA splicing; Nucleus; Phosphoprotein; Polymorphism; Repeat; Spliceosome; Ubl conjugation</t>
  </si>
  <si>
    <t>mRNA 3'-splice site recognition {GO:0000389}; mRNA processing {GO:0006397}; mRNA splicing, via spliceosome {GO:0000398}; U2-type prespliceosome assembly {GO:1903241}</t>
  </si>
  <si>
    <t>catalytic step 2 spliceosome {GO:0071013}; nuclear speck {GO:0016607}; nucleoplasm {GO:0005654}; nucleus {GO:0005634}; spliceosomal complex {GO:0005681}; U2 snRNP {GO:0005686}; U2-type precatalytic spliceosome {GO:0071005}; U2-type prespliceosome {GO:0071004}; U2-type spliceosomal complex {GO:0005684}</t>
  </si>
  <si>
    <t>Meprin A subunit beta</t>
  </si>
  <si>
    <t>Endopeptidase-2; Meprin B; N-benzoyl-L-tyrosyl-P-amino-benzoic acid hydrolase subunit beta; PABA peptide hydrolase; PPH beta</t>
  </si>
  <si>
    <t>MEP1B_HUMAN</t>
  </si>
  <si>
    <t>Q16820</t>
  </si>
  <si>
    <t>B7ZM35; B9EGL6; Q670J1</t>
  </si>
  <si>
    <t>3D-structure; Cell membrane; Disulfide bond; EGF-like domain; Glycoprotein; Hydrolase; Inflammatory response; Membrane; Metal-binding; Metalloprotease; Polymorphism; Protease; Secreted; Signal; Transmembrane; Transmembrane helix; Zinc; Zymogen</t>
  </si>
  <si>
    <t>Inflammatory response</t>
  </si>
  <si>
    <t>inflammatory response {GO:0006954}; toxin transport {GO:1901998}</t>
  </si>
  <si>
    <t>extracellular region {GO:0005576}; integral component of plasma membrane {GO:0005887}; meprin A complex {GO:0017090}</t>
  </si>
  <si>
    <t>identical protein binding {GO:0042802}; metalloendopeptidase activity {GO:0004222}; zinc ion binding {GO:0008270}</t>
  </si>
  <si>
    <t>Phosphatidylinositol transfer protein beta isoform (PI-TP-beta; PtdIns transfer protein beta; PtdInsTP beta)</t>
  </si>
  <si>
    <t>PIPNB_HUMAN</t>
  </si>
  <si>
    <t>P48739</t>
  </si>
  <si>
    <t>B3KYB8; B7Z7Q0; Q8N5W1</t>
  </si>
  <si>
    <t>Acetylation; Alternative splicing; Cytoplasm; Golgi apparatus; Lipid-binding; Phosphoprotein; Transport</t>
  </si>
  <si>
    <t>Cytoplasm; Golgi apparatus</t>
  </si>
  <si>
    <t>lipid metabolic process {GO:0006629}; nucleus organization {GO:0006997}; phospholipid transport {GO:0015914}; retrograde vesicle-mediated transport, Golgi to endoplasmic reticulum {GO:0006890}</t>
  </si>
  <si>
    <t>cytoplasm {GO:0005737}; endoplasmic reticulum membrane {GO:0005789}; Golgi membrane {GO:0000139}</t>
  </si>
  <si>
    <t>phosphatidylcholine binding {GO:0031210}; phosphatidylcholine transporter activity {GO:0008525}; phosphatidylinositol binding {GO:0035091}; phosphatidylinositol transporter activity {GO:0008526}</t>
  </si>
  <si>
    <t>PI and PC transport between ER and Golgi membranes {R-HSA-1483196}</t>
  </si>
  <si>
    <t>Ubiquitin carboxyl-terminal hydrolase 14</t>
  </si>
  <si>
    <t>Deubiquitinating enzyme 14; Ubiquitin thioesterase 14; Ubiquitin-specific-processing protease 14</t>
  </si>
  <si>
    <t>UBP14_HUMAN</t>
  </si>
  <si>
    <t>P54578</t>
  </si>
  <si>
    <t>B7Z4N8; J3QRZ5; Q53XY5</t>
  </si>
  <si>
    <t>TGT</t>
  </si>
  <si>
    <t>3D-structure; Acetylation; Alternative splicing; Cell membrane; Cytoplasm; Hydrolase; Immunity; Innate immunity; Membrane; Phosphoprotein; Protease; Proteasome; Thiol protease; Ubl conjugation pathway</t>
  </si>
  <si>
    <t>Immunity; Innate immunity; Ubl conjugation pathway</t>
  </si>
  <si>
    <t>Cell membrane; Cytoplasm; Membrane; Proteasome</t>
  </si>
  <si>
    <t>chemical synaptic transmission {GO:0007268}; innate immune response {GO:0045087}; negative regulation of ER-associated ubiquitin-dependent protein catabolic process {GO:1903070}; protein deubiquitination {GO:0016579}; regulation of chemotaxis {GO:0050920}; regulation of proteasomal protein catabolic process {GO:0061136}; ubiquitin-dependent protein catabolic process {GO:0006511}</t>
  </si>
  <si>
    <t>cell surface {GO:0009986}; cytoplasmic vesicle {GO:0031410}; cytosol {GO:0005829}; extracellular exosome {GO:0070062}; plasma membrane {GO:0005886}; proteasome complex {GO:0000502}; synapse {GO:0045202}</t>
  </si>
  <si>
    <t>cysteine-type endopeptidase activity {GO:0004197}; endopeptidase inhibitor activity {GO:0004866}; proteasome binding {GO:0070628}; thiol-dependent ubiquitin-specific protease activity {GO:0004843}; thiol-dependent ubiquitinyl hydrolase activity {GO:0036459}; tRNA guanylyltransferase activity {GO:0008193}</t>
  </si>
  <si>
    <t>Ub-specific processing proteases {R-HSA-5689880}</t>
  </si>
  <si>
    <t>Thioredoxin reductase 2, mitochondrial</t>
  </si>
  <si>
    <t>Selenoprotein Z (SelZ); TR-beta; Thioredoxin reductase TR3</t>
  </si>
  <si>
    <t>TRXR2_HUMAN</t>
  </si>
  <si>
    <t>Q9NNW7</t>
  </si>
  <si>
    <t>O95840; Q96IJ2; Q9H2Z5; Q9NZV3; Q9NZV4; Q9P2Y0; Q9P2Y1; Q9UQU8</t>
  </si>
  <si>
    <t>KIAA1652; TRXR2</t>
  </si>
  <si>
    <t>3D-structure; Alternative splicing; Disease mutation; Disulfide bond; FAD; Flavoprotein; Mitochondrion; NADP; Oxidoreductase; Polymorphism; Redox-active center; Selenocysteine; Transit peptide</t>
  </si>
  <si>
    <t>Alternative splicing; Polymorphism; Selenocysteine</t>
  </si>
  <si>
    <t>FAD; Flavoprotein; NADP</t>
  </si>
  <si>
    <t>cell redox homeostasis {GO:0045454}; cellular response to oxidative stress {GO:0034599}; response to oxygen radical {GO:0000305}</t>
  </si>
  <si>
    <t>cytoplasm {GO:0005737}; cytosol {GO:0005829}; mitochondrial matrix {GO:0005759}; mitochondrion {GO:0005739}</t>
  </si>
  <si>
    <t>electron transfer activity {GO:0009055}; flavin adenine dinucleotide binding {GO:0050660}; thioredoxin-disulfide reductase activity {GO:0004791}</t>
  </si>
  <si>
    <t>Detoxification of Reactive Oxygen Species {R-HSA-3299685}</t>
  </si>
  <si>
    <t>Tissue alpha-L-fucosidase</t>
  </si>
  <si>
    <t>Alpha-L-fucosidase I; Alpha-L-fucoside fucohydrolase 1 (Alpha-L-fucosidase 1)</t>
  </si>
  <si>
    <t>FUCO_HUMAN</t>
  </si>
  <si>
    <t>P04066</t>
  </si>
  <si>
    <t>B2RBG3; Q14334; Q14335; Q3LID0; Q8NAC2</t>
  </si>
  <si>
    <t>Disease mutation; Glycoprotein; Glycosidase; Hydrolase; Lysosome; Phosphoprotein; Polymorphism; Signal</t>
  </si>
  <si>
    <t>fucose metabolic process {GO:0006004}; glycolipid catabolic process {GO:0019377}; glycosaminoglycan catabolic process {GO:0006027}; glycoside catabolic process {GO:0016139}; neutrophil degranulation {GO:0043312}</t>
  </si>
  <si>
    <t>azurophil granule lumen {GO:0035578}; cytoplasm {GO:0005737}; extracellular exosome {GO:0070062}; extracellular region {GO:0005576}; lysosomal lumen {GO:0043202}; lysosome {GO:0005764}</t>
  </si>
  <si>
    <t>alpha-L-fucosidase activity {GO:0004560}</t>
  </si>
  <si>
    <t>Neutrophil degranulation {R-HSA-6798695}; Reactions specific to the complex N-glycan synthesis pathway {R-HSA-975578}</t>
  </si>
  <si>
    <t>Charged multivesicular body protein 1b</t>
  </si>
  <si>
    <t>CHMP1.5; Chromatin-modifying protein 1b (CHMP1b); Vacuolar protein sorting-associated protein 46-2 (Vps46-2; hVps46-2)</t>
  </si>
  <si>
    <t>CHM1B_HUMAN</t>
  </si>
  <si>
    <t>Q7LBR1</t>
  </si>
  <si>
    <t>Q96E89; Q9HD41</t>
  </si>
  <si>
    <t>C18orf2</t>
  </si>
  <si>
    <t>3D-structure; Cell cycle; Cell division; Coiled coil; Cytoplasm; Endosome; Membrane; Protein transport; Transport</t>
  </si>
  <si>
    <t>Cytoplasm; Endosome; Membrane</t>
  </si>
  <si>
    <t>cell division {GO:0051301}; endosome transport via multivesicular body sorting pathway {GO:0032509}; ESCRT III complex disassembly {GO:1904903}; establishment of protein localization {GO:0045184}; late endosome to vacuole transport {GO:0045324}; midbody abscission {GO:0061952}; mitotic metaphase plate congression {GO:0007080}; multivesicular body assembly {GO:0036258}; nucleus organization {GO:0006997}; protein transport {GO:0015031}; regulation of centrosome duplication {GO:0010824}; regulation of mitotic spindle assembly {GO:1901673}; viral budding via host ESCRT complex {GO:0039702}</t>
  </si>
  <si>
    <t>cytosol {GO:0005829}; endosome membrane {GO:0010008}; ESCRT III complex {GO:0000815}; extracellular exosome {GO:0070062}; late endosome membrane {GO:0031902}; membrane coat {GO:0030117}; midbody {GO:0030496}; multivesicular body {GO:0005771}; nucleus {GO:0005634}</t>
  </si>
  <si>
    <t>identical protein binding {GO:0042802}; protein domain specific binding {GO:0019904}</t>
  </si>
  <si>
    <t>Phosphoinositide-3-kinase-interacting protein 1</t>
  </si>
  <si>
    <t>Kringle domain-containing protein HGFL</t>
  </si>
  <si>
    <t>P3IP1_HUMAN</t>
  </si>
  <si>
    <t>Q96FE7</t>
  </si>
  <si>
    <t>B4DRR9; D1MEI0; O00318; Q49A94; Q86YW2; Q8NCJ9</t>
  </si>
  <si>
    <t>HGFL</t>
  </si>
  <si>
    <t>Alternative splicing; Cell membrane; Disulfide bond; Glycoprotein; Kringle; Membrane; Polymorphism; Signal; Transmembrane; Transmembrane helix</t>
  </si>
  <si>
    <t>Kringle; Signal; Transmembrane; Transmembrane helix</t>
  </si>
  <si>
    <t>negative regulation of phosphatidylinositol 3-kinase activity {GO:0043553}; negative regulation of phosphatidylinositol 3-kinase signaling {GO:0014067}</t>
  </si>
  <si>
    <t>phosphatidylinositol 3-kinase catalytic subunit binding {GO:0036313}</t>
  </si>
  <si>
    <t>Desmocollin-1</t>
  </si>
  <si>
    <t>Cadherin family member 1; Desmosomal glycoprotein 2/3 (DG2/DG3)</t>
  </si>
  <si>
    <t>DSC1_HUMAN</t>
  </si>
  <si>
    <t>Q08554</t>
  </si>
  <si>
    <t>Q9HB01</t>
  </si>
  <si>
    <t>CDHF1</t>
  </si>
  <si>
    <t>3D-structure; Alternative splicing; Calcium; Cell adhesion; Cell junction; Cell membrane; Cleavage on pair of basic residues; Glycoprotein; Membrane; Metal-binding; Phosphoprotein; Polymorphism; Repeat; Signal; Transmembrane; Transmembrane helix</t>
  </si>
  <si>
    <t>Cell junction; Cell membrane; Membrane</t>
  </si>
  <si>
    <t>Cleavage on pair of basic residues; Glycoprotein; Phosphoprotein</t>
  </si>
  <si>
    <t>cell-cell adhesion {GO:0098609}; cornification {GO:0070268}; homophilic cell adhesion via plasma membrane adhesion molecules {GO:0007156}; keratinization {GO:0031424}; neutrophil degranulation {GO:0043312}</t>
  </si>
  <si>
    <t>cell-cell junction {GO:0005911}; cornified envelope {GO:0001533}; desmosome {GO:0030057}; extracellular exosome {GO:0070062}; ficolin-1-rich granule membrane {GO:0101003}; gap junction {GO:0005921}; integral component of membrane {GO:0016021}; membrane {GO:0016020}; plasma membrane {GO:0005886}</t>
  </si>
  <si>
    <t>Neutrophil degranulation {R-HSA-6798695}; Keratinization {R-HSA-6805567}; Formation of the cornified envelope {R-HSA-6809371}</t>
  </si>
  <si>
    <t>Oxidation resistance protein 1</t>
  </si>
  <si>
    <t>OXR1_HUMAN</t>
  </si>
  <si>
    <t>Q8N573</t>
  </si>
  <si>
    <t>A6NK11; A8KA34; B3KXL1; B7Z402; B7Z8N5; D3HIS6; Q3LIB5; Q6ZVK9; Q8N8V0; Q9H266; Q9NWC7</t>
  </si>
  <si>
    <t>Alternative splicing; Mitochondrion; Phosphoprotein; Polymorphism; Stress response</t>
  </si>
  <si>
    <t>adult walking behavior {GO:0007628}; cellular response to hydroperoxide {GO:0071447}; negative regulation of neuron apoptotic process {GO:0043524}; negative regulation of oxidative stress-induced neuron death {GO:1903204}; negative regulation of peptidyl-cysteine S-nitrosylation {GO:1902083}; neuron apoptotic process {GO:0051402}; response to oxidative stress {GO:0006979}</t>
  </si>
  <si>
    <t>intracellular membrane-bounded organelle {GO:0043231}; mitochondrion {GO:0005739}; nucleolus {GO:0005730}; nucleoplasm {GO:0005654}</t>
  </si>
  <si>
    <t>oxidoreductase activity {GO:0016491}</t>
  </si>
  <si>
    <t>Heparin cofactor 2</t>
  </si>
  <si>
    <t>Heparin cofactor II (HC-II); Protease inhibitor leuserpin-2 (HLS2); Serpin D1</t>
  </si>
  <si>
    <t>HEP2_HUMAN</t>
  </si>
  <si>
    <t>P05546</t>
  </si>
  <si>
    <t>B2RAI1; D3DX34; Q6IBZ5</t>
  </si>
  <si>
    <t>HCF2</t>
  </si>
  <si>
    <t>3D-structure; Blood coagulation; Chemotaxis; Disease mutation; Glycoprotein; Hemostasis; Heparin-binding; Phosphoprotein; Polymorphism; Protease inhibitor; Repeat; Serine protease inhibitor; Signal; Sulfation; Thrombophilia</t>
  </si>
  <si>
    <t>Blood coagulation; Chemotaxis; Hemostasis</t>
  </si>
  <si>
    <t>Disease mutation; Thrombophilia</t>
  </si>
  <si>
    <t>Glycoprotein; Phosphoprotein; Sulfation</t>
  </si>
  <si>
    <t>blood coagulation {GO:0007596}; cellular protein metabolic process {GO:0044267}; chemotaxis {GO:0006935}; negative regulation of endopeptidase activity {GO:0010951}; post-translational protein modification {GO:0043687}</t>
  </si>
  <si>
    <t>endoplasmic reticulum lumen {GO:0005788}; extracellular exosome {GO:0070062}; extracellular region {GO:0005576}; extracellular space {GO:0005615}</t>
  </si>
  <si>
    <t>endopeptidase inhibitor activity {GO:0004866}; heparin binding {GO:0008201}; serine-type endopeptidase inhibitor activity {GO:0004867}</t>
  </si>
  <si>
    <t>Intrinsic Pathway of Fibrin Clot Formation {R-HSA-140837}; Common Pathway of Fibrin Clot Formation {R-HSA-140875}; Regulation of Insulin-like Growth Factor (IGF) transport and uptake by Insulin-like Growth Factor Binding Proteins (IGFBPs) {R-HSA-381426}; Post-translational protein phosphorylation {R-HSA-8957275}</t>
  </si>
  <si>
    <t>Receptor-type tyrosine-protein phosphatase mu (Protein-tyrosine phosphatase mu; R-PTP-mu)</t>
  </si>
  <si>
    <t>PTPRM_HUMAN</t>
  </si>
  <si>
    <t>P28827</t>
  </si>
  <si>
    <t>A7MBN1; D3DUH8; J3QL11</t>
  </si>
  <si>
    <t>PTPRL1</t>
  </si>
  <si>
    <t>3D-structure; Alternative splicing; Cell adhesion; Disulfide bond; Glycoprotein; Hydrolase; Immunoglobulin domain; Membrane; Phosphoprotein; Polymorphism; Protein phosphatase; Receptor; Repeat; Signal; Transmembrane; Transmembrane helix</t>
  </si>
  <si>
    <t>Hydrolase; Protein phosphatase; Receptor</t>
  </si>
  <si>
    <t>homophilic cell adhesion via plasma membrane adhesion molecules {GO:0007156}; negative regulation of angiogenesis {GO:0016525}; negative regulation of endothelial cell migration {GO:0010596}; negative regulation of endothelial cell proliferation {GO:0001937}; neuron projection development {GO:0031175}; positive regulation of blood vessel diameter {GO:0097755}; protein dephosphorylation {GO:0006470}; response to drug {GO:0042493}; retina layer formation {GO:0010842}; retinal ganglion cell axon guidance {GO:0031290}; signal transduction {GO:0007165}</t>
  </si>
  <si>
    <t>cell-cell adherens junction {GO:0005913}; cell-cell junction {GO:0005911}; cytoplasm {GO:0005737}; integral component of plasma membrane {GO:0005887}; lamellipodium {GO:0030027}; perinuclear region of cytoplasm {GO:0048471}; plasma membrane {GO:0005886}</t>
  </si>
  <si>
    <t>cadherin binding {GO:0045296}; identical protein binding {GO:0042802}; protein tyrosine phosphatase activity {GO:0004725}; transmembrane receptor protein tyrosine phosphatase activity {GO:0005001}</t>
  </si>
  <si>
    <t>Aldehyde dehydrogenase, mitochondrial</t>
  </si>
  <si>
    <t>ALDH class 2; ALDH-E2; ALDHI</t>
  </si>
  <si>
    <t>ALDH2_HUMAN</t>
  </si>
  <si>
    <t>P05091</t>
  </si>
  <si>
    <t>B4DW54; E7EUE5; Q03639; Q6IB13; Q6IV71</t>
  </si>
  <si>
    <t>ALDM</t>
  </si>
  <si>
    <t>3D-structure; Acetylation; Alternative splicing; Mitochondrion; NAD; Oxidoreductase; Polymorphism; Transit peptide</t>
  </si>
  <si>
    <t>alcohol metabolic process {GO:0006066}; carbohydrate metabolic process {GO:0005975}; ethanol catabolic process {GO:0006068}; ethanol oxidation {GO:0006069}</t>
  </si>
  <si>
    <t>extracellular exosome {GO:0070062}; mitochondrial matrix {GO:0005759}</t>
  </si>
  <si>
    <t>aldehyde dehydrogenase (NAD) activity {GO:0004029}; aldehyde dehydrogenase [NAD(P)+] activity {GO:0004030}; electron transfer activity {GO:0009055}; glyceraldehyde-3-phosphate dehydrogenase (NAD+) (non-phosphorylating) activity {GO:0043878}; NAD binding {GO:0051287}</t>
  </si>
  <si>
    <t>Alcohol metabolism; ethanol degradation; acetate from ethanol: step 2/2.</t>
  </si>
  <si>
    <t>Metabolism of serotonin {R-HSA-380612}; Ethanol oxidation {R-HSA-71384}</t>
  </si>
  <si>
    <t>Band 4.1-like protein 3, N-terminally processed</t>
  </si>
  <si>
    <t>4.1B; Differentially expressed in adenocarcinoma of the lung protein 1 (DAL-1)</t>
  </si>
  <si>
    <t>E41L3_HUMAN</t>
  </si>
  <si>
    <t>Q9Y2J2</t>
  </si>
  <si>
    <t>B7Z4I5; F5GX05; O95713; Q9BRP5</t>
  </si>
  <si>
    <t>DAL1; KIAA0987</t>
  </si>
  <si>
    <t>3D-structure; Acetylation; Actin-binding; Alternative splicing; Apoptosis; Cell junction; Cell membrane; Cytoplasm; Cytoskeleton; Membrane; Phosphoprotein; Polymorphism; Tumor suppressor</t>
  </si>
  <si>
    <t>Cell junction; Cell membrane; Cytoplasm; Cytoskeleton; Membrane</t>
  </si>
  <si>
    <t>actomyosin structure organization {GO:0031032}; apoptotic process {GO:0006915}; cortical actin cytoskeleton organization {GO:0030866}; cortical cytoskeleton organization {GO:0030865}; cytoskeletal anchoring at plasma membrane {GO:0007016}; myelin maintenance {GO:0043217}; neuron projection morphogenesis {GO:0048812}; paranodal junction assembly {GO:0030913}; protein localization to juxtaparanode region of axon {GO:0071205}; protein localization to paranode region of axon {GO:0002175}; protein localization to plasma membrane {GO:0072659}; regulation of cell growth {GO:0001558}; regulation of cell shape {GO:0008360}</t>
  </si>
  <si>
    <t>axolemma {GO:0030673}; cell-cell junction {GO:0005911}; cytoskeleton {GO:0005856}; cytosol {GO:0005829}; juxtaparanode region of axon {GO:0044224}; paranode region of axon {GO:0033270}; plasma membrane {GO:0005886}; postsynaptic density {GO:0014069}</t>
  </si>
  <si>
    <t>actin binding {GO:0003779}; structural constituent of cytoskeleton {GO:0005200}</t>
  </si>
  <si>
    <t>Beta-Ala-His dipeptidase</t>
  </si>
  <si>
    <t>CNDP dipeptidase 1; Carnosine dipeptidase 1; Glutamate carboxypeptidase-like protein 2; Serum carnosinase</t>
  </si>
  <si>
    <t>CNDP1_HUMAN</t>
  </si>
  <si>
    <t>Q96KN2</t>
  </si>
  <si>
    <t>Q14D40; Q17S05; Q2TBG0; Q6UWK2; Q9BT98</t>
  </si>
  <si>
    <t>CN1; CPGL2</t>
  </si>
  <si>
    <t>3D-structure; Carboxypeptidase; Glycoprotein; Hydrolase; Metal-binding; Metalloprotease; Phosphoprotein; Polymorphism; Protease; Secreted; Signal; Zinc</t>
  </si>
  <si>
    <t>proteolysis {GO:0006508}; regulation of cellular protein metabolic process {GO:0032268}</t>
  </si>
  <si>
    <t>cytosol {GO:0005829}; extracellular region {GO:0005576}</t>
  </si>
  <si>
    <t>carboxypeptidase activity {GO:0004180}; dipeptidase activity {GO:0016805}; metal ion binding {GO:0046872}; metallopeptidase activity {GO:0008237}</t>
  </si>
  <si>
    <t>Vesicle-associated membrane protein-associated protein A (VAMP-A; VAMP-associated protein A; VAP-A)</t>
  </si>
  <si>
    <t>33 kDa VAMP-associated protein (VAP-33)</t>
  </si>
  <si>
    <t>VAPA_HUMAN</t>
  </si>
  <si>
    <t>Q9P0L0</t>
  </si>
  <si>
    <t>A6NDZ0; D3DUI3; O75453; Q5U0E7; Q9UBZ2</t>
  </si>
  <si>
    <t>VAP33</t>
  </si>
  <si>
    <t>3D-structure; Acetylation; Alternative splicing; Cell junction; Cell membrane; Coiled coil; Endoplasmic reticulum; Membrane; Nucleus; Phosphoprotein; Polymorphism; Tight junction; Transmembrane; Transmembrane helix</t>
  </si>
  <si>
    <t>Cell junction; Cell membrane; Endoplasmic reticulum; Membrane; Nucleus; Tight junction</t>
  </si>
  <si>
    <t>cell death {GO:0008219}; COPII-coated vesicle budding {GO:0090114}; endoplasmic reticulum to Golgi vesicle-mediated transport {GO:0006888}; membrane fusion {GO:0061025}; negative regulation by host of viral genome replication {GO:0044828}; neuron projection development {GO:0031175}; neutrophil degranulation {GO:0043312}; positive regulation by host of viral genome replication {GO:0044829}; positive regulation by host of viral release from host cell {GO:0044791}; positive regulation of I-kappaB kinase/NF-kappaB signaling {GO:0043123}; protein localization to endoplasmic reticulum {GO:0070972}; sphingolipid biosynthetic process {GO:0030148}</t>
  </si>
  <si>
    <t>azurophil granule membrane {GO:0035577}; bicellular tight junction {GO:0005923}; endoplasmic reticulum {GO:0005783}; endoplasmic reticulum membrane {GO:0005789}; Golgi membrane {GO:0000139}; integral component of membrane {GO:0016021}; microtubule cytoskeleton {GO:0015630}; nuclear membrane {GO:0031965}; plasma membrane {GO:0005886}; vesicle {GO:0031982}</t>
  </si>
  <si>
    <t>cadherin binding {GO:0045296}; FFAT motif binding {GO:0033149}; microtubule binding {GO:0008017}; protein domain specific binding {GO:0019904}; protein heterodimerization activity {GO:0046982}</t>
  </si>
  <si>
    <t>Sphingolipid de novo biosynthesis {R-HSA-1660661}; Neutrophil degranulation {R-HSA-6798695}; Insertion of tail-anchored proteins into the endoplasmic reticulum membrane {R-HSA-9609523}</t>
  </si>
  <si>
    <t>Myomesin-1</t>
  </si>
  <si>
    <t>190 kDa connectin-associated protein; 190 kDa titin-associated protein; Myomesin family member 1</t>
  </si>
  <si>
    <t>MYOM1_HUMAN</t>
  </si>
  <si>
    <t>P52179</t>
  </si>
  <si>
    <t>Q14BD6; Q6H969; Q6ZUU0</t>
  </si>
  <si>
    <t>3D-structure; Alternative splicing; Cytoplasm; Disulfide bond; Immunoglobulin domain; Muscle protein; Phosphoprotein; Polymorphism; Repeat; Thick filament</t>
  </si>
  <si>
    <t>Muscle protein</t>
  </si>
  <si>
    <t>cardiac muscle fiber development {GO:0048739}; cardiac muscle tissue morphogenesis {GO:0055008}; cardiac myofibril assembly {GO:0055003}; extraocular skeletal muscle development {GO:0002074}; muscle contraction {GO:0006936}; positive regulation of gene expression {GO:0010628}; positive regulation of protein secretion {GO:0050714}; protein kinase A signaling {GO:0010737}; sarcomere organization {GO:0045214}; skeletal muscle myosin thick filament assembly {GO:0030241}; skeletal muscle thin filament assembly {GO:0030240}; striated muscle myosin thick filament assembly {GO:0071688}</t>
  </si>
  <si>
    <t>M band {GO:0031430}; sarcomere {GO:0030017}; striated muscle myosin thick filament {GO:0005863}; striated muscle thin filament {GO:0005865}; Z disc {GO:0030018}</t>
  </si>
  <si>
    <t>actin filament binding {GO:0051015}; identical protein binding {GO:0042802}; kinase binding {GO:0019900}; muscle alpha-actinin binding {GO:0051371}; protein homodimerization activity {GO:0042803}; structural constituent of muscle {GO:0008307}</t>
  </si>
  <si>
    <t>Myosin regulatory light chain 12B</t>
  </si>
  <si>
    <t>MLC-2A (MLC-2); Myosin regulatory light chain 2-B, smooth muscle isoform; Myosin regulatory light chain 20 kDa (MLC20); Myosin regulatory light chain MRLC2; SHUJUN-1</t>
  </si>
  <si>
    <t>ML12B_HUMAN</t>
  </si>
  <si>
    <t>O14950</t>
  </si>
  <si>
    <t>D3DUH6; Q13182; Q7Z5Z4</t>
  </si>
  <si>
    <t>MRLC2; MYLC2B</t>
  </si>
  <si>
    <t>Calcium; Metal-binding; Motor protein; Muscle protein; Myosin; Phosphoprotein; Polymorphism; Repeat</t>
  </si>
  <si>
    <t>Motor protein; Muscle protein; Myosin</t>
  </si>
  <si>
    <t>cell cortex region {GO:0099738}; cytosol {GO:0005829}; extracellular exosome {GO:0070062}; myosin complex {GO:0016459}</t>
  </si>
  <si>
    <t>EPHA-mediated growth cone collapse {R-HSA-3928663}; Sema4D induced cell migration and growth-cone collapse {R-HSA-416572}; Smooth Muscle Contraction {R-HSA-445355}; RHO GTPases activate PKNs {R-HSA-5625740}; RHO GTPases activate CIT {R-HSA-5625900}; RHO GTPases Activate ROCKs {R-HSA-5627117}; RHO GTPases activate PAKs {R-HSA-5627123}</t>
  </si>
  <si>
    <t>Glutathione hydrolase 1 light chain</t>
  </si>
  <si>
    <t>Gamma-glutamyltransferase 1; Gamma-glutamyltranspeptidase 1 (GGT 1); Leukotriene-C4 hydrolase; CD_antigen=CD224</t>
  </si>
  <si>
    <t>GGT1_HUMAN</t>
  </si>
  <si>
    <t>P19440</t>
  </si>
  <si>
    <t>Q08247; Q14404; Q8TBS1; Q9UMK1</t>
  </si>
  <si>
    <t>GGT</t>
  </si>
  <si>
    <t>3D-structure; Acyltransferase; Alternative promoter usage; Alternative splicing; Cell membrane; Disulfide bond; Glutathione biosynthesis; Glycoprotein; Hydrolase; Membrane; Mental retardation; Polymorphism; Protease; Sialic acid; Signal-anchor; Transferase; Transmembrane; Transmembrane helix; Zymogen</t>
  </si>
  <si>
    <t>Glutathione biosynthesis</t>
  </si>
  <si>
    <t>Mental retardation</t>
  </si>
  <si>
    <t>Sialic acid</t>
  </si>
  <si>
    <t>Acyltransferase; Hydrolase; Protease; Transferase</t>
  </si>
  <si>
    <t>cellular amino acid metabolic process {GO:0006520}; cysteine biosynthetic process {GO:0019344}; fatty acid metabolic process {GO:0006631}; glutamate metabolic process {GO:0006536}; glutathione biosynthetic process {GO:0006750}; glutathione catabolic process {GO:0006751}; leukotriene D4 biosynthetic process {GO:1901750}; leukotriene metabolic process {GO:0006691}; peptide modification {GO:0031179}; proteolysis {GO:0006508}; regulation of immune system process {GO:0002682}; regulation of inflammatory response {GO:0050727}; response to estradiol {GO:0032355}; response to lipopolysaccharide {GO:0032496}; response to tumor necrosis factor {GO:0034612}; spermatogenesis {GO:0007283}; xenobiotic metabolic process {GO:0006805}; zymogen activation {GO:0031638}</t>
  </si>
  <si>
    <t>extracellular exosome {GO:0070062}; extracellular space {GO:0005615}; integral component of membrane {GO:0016021}; plasma membrane {GO:0005886}</t>
  </si>
  <si>
    <t>glutathione hydrolase activity {GO:0036374}; hypoglycin A gamma-glutamyl transpeptidase activity {GO:0102953}; leukotriene C4 gamma-glutamyl transferase activity {GO:0103068}; leukotriene-C(4) hydrolase {GO:0002951}; peptidyltransferase activity {GO:0000048}</t>
  </si>
  <si>
    <t>Sulfur metabolism; glutathione metabolism.</t>
  </si>
  <si>
    <t>Glutathione synthesis and recycling {R-HSA-174403}; Synthesis of Leukotrienes (LT) and Eoxins (EX) {R-HSA-2142691}; Aflatoxin activation and detoxification {R-HSA-5423646}; Defective GGT1 causes Glutathionuria (GLUTH) {R-HSA-5579022}; Defective GGT1 causes Glutathionuria (GLUTH) {R-HSA-9035968}</t>
  </si>
  <si>
    <t>Putative phospholipase B-like 2 45 kDa form</t>
  </si>
  <si>
    <t>76 kDa protein (p76); LAMA-like protein 2; Lamina ancestor homolog 2; Phospholipase B domain-containing protein 2</t>
  </si>
  <si>
    <t>PLBL2_HUMAN</t>
  </si>
  <si>
    <t>Q8NHP8</t>
  </si>
  <si>
    <t>F5H5E2</t>
  </si>
  <si>
    <t>Alternative splicing; Disulfide bond; Glycoprotein; Hydrolase; Lipid degradation; Lipid metabolism; Lysosome; Polymorphism; Signal</t>
  </si>
  <si>
    <t>Lipid degradation; Lipid metabolism</t>
  </si>
  <si>
    <t>lipid catabolic process {GO:0016042}</t>
  </si>
  <si>
    <t>extracellular exosome {GO:0070062}; lysosomal lumen {GO:0043202}</t>
  </si>
  <si>
    <t>Immunoglobulin lambda constant 1</t>
  </si>
  <si>
    <t>Ig lambda chain C region MGC; Ig lambda-1 chain C region</t>
  </si>
  <si>
    <t>IGLC1_HUMAN</t>
  </si>
  <si>
    <t>P0CG04</t>
  </si>
  <si>
    <t>A0A075B6K8; A0M8Q4; P01842; P80423</t>
  </si>
  <si>
    <t>3D-structure; Adaptive immunity; Bence-Jones protein; Cell membrane; Disulfide bond; Immunity; Immunoglobulin; Immunoglobulin domain; Membrane; Polymorphism; Secreted</t>
  </si>
  <si>
    <t>Immunoglobulin domain</t>
  </si>
  <si>
    <t>Bence-Jones protein</t>
  </si>
  <si>
    <t>B cell receptor signaling pathway {GO:0050853}; complement activation {GO:0006956}; complement activation, classical pathway {GO:0006958}; defense response to bacterium {GO:0042742}; Fc-epsilon receptor signaling pathway {GO:0038095}; Fc-gamma receptor signaling pathway involved in phagocytosis {GO:0038096}; immune response {GO:0006955}; innate immune response {GO:0045087}; leukocyte migration {GO:0050900}; phagocytosis, engulfment {GO:0006911}; phagocytosis, recognition {GO:0006910}; positive regulation of B cell activation {GO:0050871}; receptor-mediated endocytosis {GO:0006898}; regulation of complement activation {GO:0030449}; regulation of immune response {GO:0050776}</t>
  </si>
  <si>
    <t>blood microparticle {GO:0072562}; external side of plasma membrane {GO:0009897}; extracellular exosome {GO:0070062}; extracellular region {GO:0005576}; extracellular space {GO:0005615}; immunoglobulin complex, circulating {GO:0042571}; plasma membrane {GO:0005886}</t>
  </si>
  <si>
    <t>Initial triggering of complement {R-HSA-166663}; Classical antibody-mediated complement activation {R-HSA-173623}; Immunoregulatory interactions between a Lymphoid and a non-Lymphoid cell {R-HSA-198933}; Cell surface interactions at the vascular wall {R-HSA-202733}; FCGR activation {R-HSA-2029481}; Regulation of actin dynamics for phagocytic cup formation {R-HSA-2029482}; Role of phospholipids in phagocytosis {R-HSA-2029485}; Scavenging of heme from plasma {R-HSA-2168880}; Fc epsilon receptor (FCERI) signaling {R-HSA-2454202}; Role of LAT2/NTAL/LAB on calcium mobilization {R-HSA-2730905}; FCERI mediated MAPK activation {R-HSA-2871796}; FCERI mediated Ca+2 mobilization {R-HSA-2871809}; FCERI mediated NF-kB activation {R-HSA-2871837}; CD22 mediated BCR regulation {R-HSA-5690714}; Regulation of Complement cascade {R-HSA-977606}; Antigen activates B Cell Receptor (BCR) leading to generation of second messengers {R-HSA-983695}</t>
  </si>
  <si>
    <t>ATP synthase subunit alpha, mitochondrial</t>
  </si>
  <si>
    <t>ATP synthase F1 subunit alpha</t>
  </si>
  <si>
    <t>ATPA_HUMAN</t>
  </si>
  <si>
    <t>P25705</t>
  </si>
  <si>
    <t>A8K092; B4DY56; K7ENP3; Q53XX6; Q8IXV2; Q96FB4; Q96HW2; Q96IR6; Q9BTV8</t>
  </si>
  <si>
    <t>Acetylation; Alternative splicing; ATP synthesis; ATP-binding; Cell membrane; CF(1); Disease mutation; Glycoprotein; Hydrogen ion transport; Ion transport; Membrane; Methylation; Mitochondrion; Mitochondrion inner membrane; Nucleotide-binding; Phosphoprotein; Polymorphism; Primary mitochondrial disease; Transit peptide; Transport</t>
  </si>
  <si>
    <t>ATP synthesis; Hydrogen ion transport; Ion transport; Transport</t>
  </si>
  <si>
    <t>CF(1); Cell membrane; Membrane; Mitochondrion; Mitochondrion inner membrane</t>
  </si>
  <si>
    <t>Acetylation; Glycoprotein; Methylation; Phosphoprotein</t>
  </si>
  <si>
    <t>ATP biosynthetic process {GO:0006754}; ATP synthesis coupled proton transport {GO:0015986}; cristae formation {GO:0042407}; lipid metabolic process {GO:0006629}; mitochondrial ATP synthesis coupled proton transport {GO:0042776}; negative regulation of endothelial cell proliferation {GO:0001937}; positive regulation of blood vessel endothelial cell migration {GO:0043536}</t>
  </si>
  <si>
    <t>extracellular exosome {GO:0070062}; membrane {GO:0016020}; mitochondrial inner membrane {GO:0005743}; mitochondrial matrix {GO:0005759}; mitochondrial proton-transporting ATP synthase complex {GO:0005753}; mitochondrial proton-transporting ATP synthase complex, catalytic core F(1) {GO:0000275}; mitochondrion {GO:0005739}; plasma membrane {GO:0005886}; proton-transporting ATP synthase complex {GO:0045259}</t>
  </si>
  <si>
    <t>ADP binding {GO:0043531}; angiostatin binding {GO:0043532}; ATP binding {GO:0005524}; MHC class I protein binding {GO:0042288}; proton-transporting ATP synthase activity, rotational mechanism {GO:0046933}; RNA binding {GO:0003723}; transmembrane transporter activity {GO:0022857}</t>
  </si>
  <si>
    <t>Mitochondrial protein import {R-HSA-1268020}; Formation of ATP by chemiosmotic coupling {R-HSA-163210}; Cristae formation {R-HSA-8949613}</t>
  </si>
  <si>
    <t>Squamous cell carcinoma antigen recognized by T-cells 3 (SART-3)</t>
  </si>
  <si>
    <t>Tat-interacting protein of 110 kDa (Tip110); p110 nuclear RNA-binding protein</t>
  </si>
  <si>
    <t>SART3_HUMAN</t>
  </si>
  <si>
    <t>Q15020</t>
  </si>
  <si>
    <t>A8K2E4; B7ZKM0; Q2M2H0; Q58F06; Q8IUS1; Q96J95</t>
  </si>
  <si>
    <t>3D-structure; Acetylation; Alternative splicing; Coiled coil; Cytoplasm; Methylation; mRNA processing; mRNA splicing; Nucleus; Phosphoprotein; Polymorphism; Repeat; RNA-binding</t>
  </si>
  <si>
    <t>mRNA splicing, via spliceosome {GO:0000398}; nucleosome assembly {GO:0006334}; positive regulation of histone deubiquitination {GO:1903586}; regulation of alternative mRNA splicing, via spliceosome {GO:0000381}; regulation of gene expression {GO:0010468}; RNA splicing {GO:0008380}; spliceosomal snRNP assembly {GO:0000387}; spliceosomal tri-snRNP complex assembly {GO:0000244}</t>
  </si>
  <si>
    <t>ASAP complex {GO:0061574}; Cajal body {GO:0015030}; cytoplasm {GO:0005737}; nuclear speck {GO:0016607}; nucleoplasm {GO:0005654}; nucleus {GO:0005634}</t>
  </si>
  <si>
    <t>histone binding {GO:0042393}; RNA binding {GO:0003723}; U4 snRNA binding {GO:0030621}; U6 snRNA binding {GO:0017070}; U6atac snRNA binding {GO:0030624}; ubiquitin-specific protease binding {GO:1990381}</t>
  </si>
  <si>
    <t>Cadherin-2</t>
  </si>
  <si>
    <t>CDw325; Neural cadherin (N-cadherin); CD_antigen=CD325</t>
  </si>
  <si>
    <t>CADH2_HUMAN</t>
  </si>
  <si>
    <t>P19022</t>
  </si>
  <si>
    <t>A8MWK3; B0YIY6; Q14923; Q8N173</t>
  </si>
  <si>
    <t>CDHN; NCAD</t>
  </si>
  <si>
    <t>Alternative splicing; Calcium; Cell adhesion; Cell junction; Cell membrane; Cleavage on pair of basic residues; Glycoprotein; Membrane; Metal-binding; Phosphoprotein; Polymorphism; Repeat; Signal; Transmembrane; Transmembrane helix</t>
  </si>
  <si>
    <t>adherens junction organization {GO:0034332}; blood vessel morphogenesis {GO:0048514}; brain morphogenesis {GO:0048854}; calcium-dependent cell-cell adhesion via plasma membrane cell adhesion molecules {GO:0016339}; cell adhesion {GO:0007155}; cell migration {GO:0016477}; cell morphogenesis {GO:0000902}; cell-cell adhesion {GO:0098609}; cell-cell adhesion mediated by cadherin {GO:0044331}; cell-cell junction assembly {GO:0007043}; cellular protein metabolic process {GO:0044267}; cerebral cortex development {GO:0021987}; glial cell differentiation {GO:0010001}; heterophilic cell-cell adhesion via plasma membrane cell adhesion molecules {GO:0007157}; homeostasis of number of cells {GO:0048872}; homophilic cell adhesion via plasma membrane adhesion molecules {GO:0007156}; negative regulation of canonical Wnt signaling pathway {GO:0090090}; neuroepithelial cell differentiation {GO:0060563}; neuroligin clustering involved in postsynaptic membrane assembly {GO:0097118}; neuronal stem cell population maintenance {GO:0097150}; positive regulation of MAPK cascade {GO:0043410}; positive regulation of muscle cell differentiation {GO:0051149}; positive regulation of synaptic vesicle clustering {GO:2000809}; post-translational protein modification {GO:0043687}; protein localization to plasma membrane {GO:0072659}; radial glial cell differentiation {GO:0060019}; regulation of axonogenesis {GO:0050770}; regulation of oligodendrocyte progenitor proliferation {GO:0070445}; regulation of postsynaptic density protein 95 clustering {GO:1902897}; regulation of synaptic transmission, glutamatergic {GO:0051966}; striated muscle cell differentiation {GO:0051146}; synapse assembly {GO:0007416}</t>
  </si>
  <si>
    <t>apical part of cell {GO:0045177}; apical plasma membrane {GO:0016324}; basolateral plasma membrane {GO:0016323}; catenin complex {GO:0016342}; cell junction {GO:0030054}; cell surface {GO:0009986}; cell-cell adherens junction {GO:0005913}; cell-cell junction {GO:0005911}; collagen-containing extracellular matrix {GO:0062023}; cytoplasm {GO:0005737}; endoplasmic reticulum lumen {GO:0005788}; fascia adherens {GO:0005916}; focal adhesion {GO:0005925}; integral component of plasma membrane {GO:0005887}; integral component of postsynaptic specialization membrane {GO:0099060}; integral component of presynaptic active zone membrane {GO:0099059}; intercalated disc {GO:0014704}; lamellipodium {GO:0030027}; neuron projection {GO:0043005}; plasma membrane {GO:0005886}; plasma membrane raft {GO:0044853}; postsynaptic density {GO:0014069}; sarcolemma {GO:0042383}; synapse {GO:0045202}</t>
  </si>
  <si>
    <t>alpha-catenin binding {GO:0045294}; beta-catenin binding {GO:0008013}; cadherin binding {GO:0045296}; calcium ion binding {GO:0005509}; cytoskeletal protein binding {GO:0008092}; gamma-catenin binding {GO:0045295}; protein homodimerization activity {GO:0042803}; protein kinase binding {GO:0019901}; protein phosphatase binding {GO:0019903}</t>
  </si>
  <si>
    <t>Regulation of Insulin-like Growth Factor (IGF) transport and uptake by Insulin-like Growth Factor Binding Proteins (IGFBPs) {R-HSA-381426}; Adherens junctions interactions {R-HSA-418990}; Myogenesis {R-HSA-525793}; Post-translational protein phosphorylation {R-HSA-8957275}</t>
  </si>
  <si>
    <t>2'-5'-oligoadenylate synthase 2 ((2-5')oligo(A) synthase 2; 2-5A synthase 2)</t>
  </si>
  <si>
    <t>p69 OAS / p71 OAS (p69OAS / p71OAS)</t>
  </si>
  <si>
    <t>OAS2_HUMAN</t>
  </si>
  <si>
    <t>P29728</t>
  </si>
  <si>
    <t>A8K9T1; Q6PJ33; Q86XX8</t>
  </si>
  <si>
    <t>Acetylation; Alternative splicing; Antiviral defense; ATP-binding; Cytoplasm; Glycoprotein; Immunity; Innate immunity; Lipoprotein; Magnesium; Metal-binding; Myristate; Nucleotide-binding; Nucleotidyltransferase; Repeat; RNA-binding; Transferase</t>
  </si>
  <si>
    <t>Antiviral defense; Immunity; Innate immunity</t>
  </si>
  <si>
    <t>ATP-binding; Magnesium; Metal-binding; Nucleotide-binding</t>
  </si>
  <si>
    <t>Nucleotidyltransferase; RNA-binding; Transferase</t>
  </si>
  <si>
    <t>Acetylation; Glycoprotein; Lipoprotein; Myristate</t>
  </si>
  <si>
    <t>defense response to virus {GO:0051607}; interferon-gamma-mediated signaling pathway {GO:0060333}; nucleobase-containing compound metabolic process {GO:0006139}; regulation of lactation {GO:1903487}; regulation of ribonuclease activity {GO:0060700}; response to bacterium {GO:0009617}; response to virus {GO:0009615}; RNA catabolic process {GO:0006401}; type I interferon signaling pathway {GO:0060337}</t>
  </si>
  <si>
    <t>cytoplasm {GO:0005737}; cytosol {GO:0005829}; intracellular membrane-bounded organelle {GO:0043231}; membrane {GO:0016020}; nucleoplasm {GO:0005654}; nucleus {GO:0005634}; perinuclear region of cytoplasm {GO:0048471}</t>
  </si>
  <si>
    <t>2'-5'-oligoadenylate synthetase activity {GO:0001730}; ATP binding {GO:0005524}; double-stranded RNA binding {GO:0003725}; metal ion binding {GO:0046872}</t>
  </si>
  <si>
    <t>Interferon gamma signaling {R-HSA-877300}; OAS antiviral response {R-HSA-8983711}; Interferon alpha/beta signaling {R-HSA-909733}</t>
  </si>
  <si>
    <t>Serpin B8</t>
  </si>
  <si>
    <t>Cytoplasmic antiproteinase 2 (CAP-2; CAP2); Peptidase inhibitor 8 (PI-8)</t>
  </si>
  <si>
    <t>SPB8_HUMAN</t>
  </si>
  <si>
    <t>P50452</t>
  </si>
  <si>
    <t>B4DTW2; Q7Z2V6; Q8N178</t>
  </si>
  <si>
    <t>PI8</t>
  </si>
  <si>
    <t>Alternative splicing; Cytoplasm; Polymorphism; Protease inhibitor; Serine protease inhibitor</t>
  </si>
  <si>
    <t>epithelial cell-cell adhesion {GO:0090136}; negative regulation of endopeptidase activity {GO:0010951}</t>
  </si>
  <si>
    <t>collagen-containing extracellular matrix {GO:0062023}; cytoplasm {GO:0005737}; cytosol {GO:0005829}; extracellular exosome {GO:0070062}; extracellular space {GO:0005615}</t>
  </si>
  <si>
    <t>Dissolution of Fibrin Clot {R-HSA-75205}</t>
  </si>
  <si>
    <t>Coronin-1C</t>
  </si>
  <si>
    <t>Coronin-3; hCRNN4</t>
  </si>
  <si>
    <t>COR1C_HUMAN</t>
  </si>
  <si>
    <t>Q9ULV4</t>
  </si>
  <si>
    <t>A7MAP0; A7MAP1; B3KU12; Q9NSK5</t>
  </si>
  <si>
    <t>Acetylation; Actin-binding; Alternative splicing; Cell junction; Cell membrane; Cell projection; Coiled coil; Cytoplasm; Cytoskeleton; Endosome; Membrane; Repeat; Synapse; WD repeat</t>
  </si>
  <si>
    <t>Cell junction; Cell membrane; Cell projection; Cytoplasm; Cytoskeleton; Endosome; Membrane; Synapse</t>
  </si>
  <si>
    <t>actin filament organization {GO:0007015}; activation of GTPase activity {GO:0090630}; cell migration {GO:0016477}; endosomal transport {GO:0016197}; endosome fission {GO:0140285}; endosome membrane tubulation {GO:0097750}; establishment of protein localization {GO:0045184}; membrane fission {GO:0090148}; negative regulation of epithelial cell migration {GO:0010633}; negative regulation of focal adhesion assembly {GO:0051895}; negative regulation of protein kinase activity by regulation of protein phosphorylation {GO:0044387}; negative regulation of protein phosphorylation {GO:0001933}; negative regulation of substrate adhesion-dependent cell spreading {GO:1900025}; neural crest cell migration {GO:0001755}; phagocytosis {GO:0006909}; positive regulation of lamellipodium morphogenesis {GO:2000394}; regulation of epithelial cell migration {GO:0010632}; regulation of fibroblast migration {GO:0010762}; regulation of focal adhesion assembly {GO:0051893}; regulation of protein phosphorylation {GO:0001932}; regulation of ruffle assembly {GO:1900027}; regulation of substrate adhesion-dependent cell spreading {GO:1900024}; signal transduction {GO:0007165}</t>
  </si>
  <si>
    <t>actin cytoskeleton {GO:0015629}; cell cortex {GO:0005938}; endosome membrane {GO:0010008}; flotillin complex {GO:0016600}; focal adhesion {GO:0005925}; lamellipodium {GO:0030027}; lateral plasma membrane {GO:0016328}; ruffle membrane {GO:0032587}; sarcolemma {GO:0042383}; sarcomere {GO:0030017}; synapse {GO:0045202}</t>
  </si>
  <si>
    <t>actin filament binding {GO:0051015}; Rac GTPase binding {GO:0048365}</t>
  </si>
  <si>
    <t>Ubiquitin-conjugating enzyme E2 L3</t>
  </si>
  <si>
    <t>E2 ubiquitin-conjugating enzyme L3; L-UBC; UbcH7; Ubiquitin carrier protein L3; Ubiquitin-conjugating enzyme E2-F1; Ubiquitin-protein ligase L3</t>
  </si>
  <si>
    <t>UB2L3_HUMAN</t>
  </si>
  <si>
    <t>P68036</t>
  </si>
  <si>
    <t>B2R4A7; B4DDG1; B4DSZ4; E7EWS7; P51966; P70653; Q9HAV1</t>
  </si>
  <si>
    <t>UBCE7; UBCH7</t>
  </si>
  <si>
    <t>3D-structure; Acetylation; Alternative splicing; ATP-binding; Cytoplasm; Nucleotide-binding; Nucleus; Transcription; Transcription regulation; Transferase; Ubl conjugation; Ubl conjugation pathway</t>
  </si>
  <si>
    <t>Transcription; Transcription regulation; Ubl conjugation pathway</t>
  </si>
  <si>
    <t>cell cycle phase transition {GO:0044770}; cell population proliferation {GO:0008283}; cellular protein modification process {GO:0006464}; cellular response to glucocorticoid stimulus {GO:0071385}; cellular response to steroid hormone stimulus {GO:0071383}; positive regulation of protein targeting to mitochondrion {GO:1903955}; positive regulation of protein ubiquitination {GO:0031398}; positive regulation of ubiquitin-protein transferase activity {GO:0051443}; protein K11-linked ubiquitination {GO:0070979}; protein polyubiquitination {GO:0000209}; protein ubiquitination {GO:0016567}; regulation of transcription, DNA-templated {GO:0006355}; ubiquitin-dependent protein catabolic process {GO:0006511}</t>
  </si>
  <si>
    <t>cytoplasm {GO:0005737}; cytosol {GO:0005829}; nucleoplasm {GO:0005654}; nucleus {GO:0005634}; ubiquitin ligase complex {GO:0000151}</t>
  </si>
  <si>
    <t>ATP binding {GO:0005524}; enzyme binding {GO:0019899}; RNA binding {GO:0003723}; transcription coactivator activity {GO:0003713}; ubiquitin conjugating enzyme activity {GO:0061631}; ubiquitin protein ligase binding {GO:0031625}; ubiquitin-protein transferase activator activity {GO:0097027}; ubiquitin-protein transferase activity {GO:0004842}</t>
  </si>
  <si>
    <t>Synthesis of active ubiquitin: roles of E1 and E2 enzymes {R-HSA-8866652}; E3 ubiquitin ligases ubiquitinate target proteins {R-HSA-8866654}; Antigen processing: Ubiquitination &amp; Proteasome degradation {R-HSA-983168}</t>
  </si>
  <si>
    <t>Sarcoplasmic/endoplasmic reticulum calcium ATPase 2 (SERCA2; SR Ca(2+)-ATPase 2)</t>
  </si>
  <si>
    <t>Calcium pump 2; Calcium-transporting ATPase sarcoplasmic reticulum type, slow twitch skeletal muscle isoform; Endoplasmic reticulum class 1/2 Ca(2+) ATPase</t>
  </si>
  <si>
    <t>AT2A2_HUMAN</t>
  </si>
  <si>
    <t>P16615</t>
  </si>
  <si>
    <t>A6NDN7; B4DF05; P16614; Q86VJ2</t>
  </si>
  <si>
    <t>ATP2B</t>
  </si>
  <si>
    <t>Alternative splicing; ATP-binding; Calcium; Calcium transport; Disease mutation; Disulfide bond; Endoplasmic reticulum; Epilepsy; Ion transport; Magnesium; Membrane; Metal-binding; Nitration; Nucleotide-binding; Phosphoprotein; Sarcoplasmic reticulum; Translocase; Transmembrane; Transmembrane helix; Transport</t>
  </si>
  <si>
    <t>Endoplasmic reticulum; Membrane; Sarcoplasmic reticulum</t>
  </si>
  <si>
    <t>Disease mutation; Epilepsy</t>
  </si>
  <si>
    <t>ATP-binding; Calcium; Magnesium; Metal-binding; Nucleotide-binding</t>
  </si>
  <si>
    <t>Disulfide bond; Nitration; Phosphoprotein</t>
  </si>
  <si>
    <t>calcium ion import into sarcoplasmic reticulum {GO:1990036}; calcium ion transmembrane transport {GO:0070588}; calcium ion transport from cytosol to endoplasmic reticulum {GO:1903515}; cardiac muscle hypertrophy in response to stress {GO:0014898}; cell adhesion {GO:0007155}; cellular calcium ion homeostasis {GO:0006874}; cellular response to heat {GO:0034605}; cellular response to oxidative stress {GO:0034599}; endoplasmic reticulum calcium ion homeostasis {GO:0032469}; epidermis development {GO:0008544}; ER-nucleus signaling pathway {GO:0006984}; ion transmembrane transport {GO:0034220}; negative regulation of heart contraction {GO:0045822}; organelle organization {GO:0006996}; positive regulation of endoplasmic reticulum calcium ion concentration {GO:0032470}; positive regulation of heart rate {GO:0010460}; regulation of calcium ion-dependent exocytosis of neurotransmitter {GO:1903233}; regulation of cardiac conduction {GO:1903779}; regulation of cardiac muscle cell action potential involved in regulation of contraction {GO:0098909}; regulation of cardiac muscle cell membrane potential {GO:0086036}; regulation of cardiac muscle contraction by calcium ion signaling {GO:0010882}; regulation of the force of heart contraction {GO:0002026}; relaxation of cardiac muscle {GO:0055119}; response to endoplasmic reticulum stress {GO:0034976}; response to lipopolysaccharide {GO:0032496}; sarcoplasmic reticulum calcium ion transport {GO:0070296}; skeletal muscle contraction {GO:0003009}; T-tubule organization {GO:0033292}; transition between fast and slow fiber {GO:0014883}</t>
  </si>
  <si>
    <t>apical ectoplasmic specialization {GO:0061831}; calcium ion-transporting ATPase complex {GO:0090534}; endoplasmic reticulum {GO:0005783}; endoplasmic reticulum membrane {GO:0005789}; extrinsic component of cytoplasmic side of plasma membrane {GO:0031234}; integral component of plasma membrane {GO:0005887}; longitudinal sarcoplasmic reticulum {GO:0014801}; membrane {GO:0016020}; nucleoplasm {GO:0005654}; perinuclear region of cytoplasm {GO:0048471}; plasma membrane bounded cell projection {GO:0120025}; platelet dense tubular network membrane {GO:0031095}; protein-containing complex {GO:0032991}; ribbon synapse {GO:0097470}; sarcoplasmic reticulum {GO:0016529}; sarcoplasmic reticulum membrane {GO:0033017}; vesicle membrane {GO:0012506}</t>
  </si>
  <si>
    <t>ATP binding {GO:0005524}; calcium ion binding {GO:0005509}; calcium-transporting ATPase activity {GO:0005388}; calcium-transporting ATPase activity involved in regulation of cardiac muscle cell membrane potential {GO:0086039}; enzyme binding {GO:0019899}; lutropin-choriogonadotropic hormone receptor binding {GO:0031775}; protein C-terminus binding {GO:0008022}; proton-exporting ATPase activity, phosphorylative mechanism {GO:0008553}; S100 protein binding {GO:0044548}</t>
  </si>
  <si>
    <t>Pre-NOTCH Processing in Golgi {R-HSA-1912420}; Reduction of cytosolic Ca++ levels {R-HSA-418359}; Ion homeostasis {R-HSA-5578775}; Ion transport by P-type ATPases {R-HSA-936837}</t>
  </si>
  <si>
    <t>Tyrosine-protein kinase Yes</t>
  </si>
  <si>
    <t>Proto-oncogene c-Yes; p61-Yes</t>
  </si>
  <si>
    <t>YES_HUMAN</t>
  </si>
  <si>
    <t>P07947</t>
  </si>
  <si>
    <t>A6NLB3; D3DUH1</t>
  </si>
  <si>
    <t>YES</t>
  </si>
  <si>
    <t>3D-structure; ATP-binding; Cell membrane; Cytoplasm; Cytoskeleton; Kinase; Lipoprotein; Membrane; Myristate; Nucleotide-binding; Palmitate; Phosphoprotein; Polymorphism; Proto-oncogene; SH2 domain; SH3 domain; Transferase; Tyrosine-protein kinase</t>
  </si>
  <si>
    <t>Cell membrane; Cytoplasm; Cytoskeleton; Membrane</t>
  </si>
  <si>
    <t>SH2 domain; SH3 domain</t>
  </si>
  <si>
    <t>Kinase; Transferase; Tyrosine-protein kinase</t>
  </si>
  <si>
    <t>Lipoprotein; Myristate; Palmitate; Phosphoprotein</t>
  </si>
  <si>
    <t>cell differentiation {GO:0030154}; cellular protein modification process {GO:0006464}; cellular response to platelet-derived growth factor stimulus {GO:0036120}; cellular response to retinoic acid {GO:0071300}; cellular response to transforming growth factor beta stimulus {GO:0071560}; ephrin receptor signaling pathway {GO:0048013}; Fc-gamma receptor signaling pathway involved in phagocytosis {GO:0038096}; leukocyte migration {GO:0050900}; peptidyl-tyrosine autophosphorylation {GO:0038083}; positive regulation of peptidyl-tyrosine phosphorylation {GO:0050731}; positive regulation of transcription by RNA polymerase II {GO:0045944}; regulation of glucose transmembrane transport {GO:0010827}; regulation of vascular permeability {GO:0043114}; T cell costimulation {GO:0031295}; transmembrane receptor protein tyrosine kinase signaling pathway {GO:0007169}</t>
  </si>
  <si>
    <t>actin filament {GO:0005884}; cytosol {GO:0005829}; extracellular exosome {GO:0070062}; extrinsic component of cytoplasmic side of plasma membrane {GO:0031234}; focal adhesion {GO:0005925}; glutamatergic synapse {GO:0098978}; Golgi apparatus {GO:0005794}; microtubule organizing center {GO:0005815}; plasma membrane {GO:0005886}; postsynaptic specialization, intracellular component {GO:0099091}</t>
  </si>
  <si>
    <t>ATP binding {GO:0005524}; enzyme binding {GO:0019899}; epidermal growth factor receptor binding {GO:0005154}; ion channel binding {GO:0044325}; non-membrane spanning protein tyrosine kinase activity {GO:0004715}; phosphotyrosine residue binding {GO:0001784}; protein tyrosine kinase activity {GO:0004713}; signaling receptor binding {GO:0005102}</t>
  </si>
  <si>
    <t>Signaling by ERBB2 {R-HSA-1227986}; Signaling by SCF-KIT {R-HSA-1433557}; Regulation of KIT signaling {R-HSA-1433559}; FCGR activation {R-HSA-2029481}; PECAM1 interactions {R-HSA-210990}; EPH-Ephrin signaling {R-HSA-2682334}; CD28 co-stimulation {R-HSA-389356}; CTLA4 inhibitory signaling {R-HSA-389513}; EPHB-mediated forward signaling {R-HSA-3928662}; EPHA-mediated growth cone collapse {R-HSA-3928663}; EPH-ephrin mediated repulsion of cells {R-HSA-3928665}; RUNX2 regulates osteoblast differentiation {R-HSA-8940973}; Regulation of signaling by CBL {R-HSA-912631}</t>
  </si>
  <si>
    <t>Cytosolic non-specific dipeptidase</t>
  </si>
  <si>
    <t>CNDP dipeptidase 2; Carnosine dipeptidase II; Epididymis secretory protein Li 13; Glutamate carboxypeptidase-like protein 1; Peptidase A</t>
  </si>
  <si>
    <t>CNDP2_HUMAN</t>
  </si>
  <si>
    <t>Q96KP4</t>
  </si>
  <si>
    <t>B3KUG4; Q8WY59; Q9BQ94; Q9NVB4; V9HWE5</t>
  </si>
  <si>
    <t>3D-structure; Acetylation; Alternative splicing; Carboxypeptidase; Cytoplasm; Hydrolase; Manganese; Metal-binding; Metalloprotease; Phosphoprotein; Polymorphism; Protease</t>
  </si>
  <si>
    <t>glutathione biosynthetic process {GO:0006750}</t>
  </si>
  <si>
    <t>cytosol {GO:0005829}; extracellular exosome {GO:0070062}; nucleoplasm {GO:0005654}</t>
  </si>
  <si>
    <t>alanylglutamate dipeptidase activity {GO:0103046}; carboxypeptidase activity {GO:0004180}; cytosolic dipeptidase activity {GO:0102008}; metal ion binding {GO:0046872}; metallopeptidase activity {GO:0008237}</t>
  </si>
  <si>
    <t>Fatty acid-binding protein, adipocyte</t>
  </si>
  <si>
    <t>Adipocyte lipid-binding protein (ALBP); Adipocyte-type fatty acid-binding protein (A-FABP; AFABP); Fatty acid-binding protein 4</t>
  </si>
  <si>
    <t>FABP4_HUMAN</t>
  </si>
  <si>
    <t>P15090</t>
  </si>
  <si>
    <t>Q6IBA1</t>
  </si>
  <si>
    <t>3D-structure; Acetylation; Cytoplasm; Lipid-binding; Nucleus; Phosphoprotein; Polymorphism; Transport</t>
  </si>
  <si>
    <t>brown fat cell differentiation {GO:0050873}; cellular response to lithium ion {GO:0071285}; cellular response to tumor necrosis factor {GO:0071356}; cholesterol homeostasis {GO:0042632}; cytokine production {GO:0001816}; long-chain fatty acid transport {GO:0015909}; negative regulation of protein kinase activity {GO:0006469}; negative regulation of transcription, DNA-templated {GO:0045892}; positive regulation of cold-induced thermogenesis {GO:0120162}; positive regulation of inflammatory response {GO:0050729}; response to bacterium {GO:0009617}; triglyceride catabolic process {GO:0019433}; white fat cell differentiation {GO:0050872}</t>
  </si>
  <si>
    <t>cytoplasm {GO:0005737}; cytosol {GO:0005829}; extracellular exosome {GO:0070062}; lipid droplet {GO:0005811}; nucleus {GO:0005634}</t>
  </si>
  <si>
    <t>fatty acid binding {GO:0005504}; hormone receptor binding {GO:0051427}; long-chain fatty acid binding {GO:0036041}; long-chain fatty acid transporter activity {GO:0005324}</t>
  </si>
  <si>
    <t>Fatty acid-binding protein 9</t>
  </si>
  <si>
    <t>Testis lipid-binding protein (TLBP); Testis-type fatty acid-binding protein (T-FABP)</t>
  </si>
  <si>
    <t>FABP9_HUMAN</t>
  </si>
  <si>
    <t>Q0Z7S8</t>
  </si>
  <si>
    <t>3D-structure; Cytoplasm; Lipid-binding; Phosphoprotein; Transport</t>
  </si>
  <si>
    <t>acrosome assembly {GO:0001675}; triglyceride catabolic process {GO:0019433}</t>
  </si>
  <si>
    <t>acrosomal vesicle {GO:0001669}; cytosol {GO:0005829}</t>
  </si>
  <si>
    <t>Triglyceride catabolism {R-HSA-163560}</t>
  </si>
  <si>
    <t>D-dopachrome decarboxylase</t>
  </si>
  <si>
    <t>D-dopachrome tautomerase; Phenylpyruvate tautomerase II</t>
  </si>
  <si>
    <t>DOPD_HUMAN</t>
  </si>
  <si>
    <t>P30046</t>
  </si>
  <si>
    <t>B7Z522; O00774; O60787; Q13534</t>
  </si>
  <si>
    <t>3D-structure; Acetylation; Alternative splicing; Cytoplasm; Lyase; Melanin biosynthesis</t>
  </si>
  <si>
    <t>Melanin biosynthesis</t>
  </si>
  <si>
    <t>melanin biosynthetic process {GO:0042438}; negative regulation of macrophage chemotaxis {GO:0010760}; positive regulation of ERK1 and ERK2 cascade {GO:0070374}; positive regulation of inflammatory response {GO:0050729}; positive regulation of tumor necrosis factor production {GO:0032760}</t>
  </si>
  <si>
    <t>cytoplasm {GO:0005737}; extracellular exosome {GO:0070062}; extracellular space {GO:0005615}</t>
  </si>
  <si>
    <t>cytokine receptor binding {GO:0005126}; D-dopachrome decarboxylase activity {GO:0033981}; dopachrome isomerase activity {GO:0004167}; phenylpyruvate tautomerase activity {GO:0050178}</t>
  </si>
  <si>
    <t>Cadherin-7</t>
  </si>
  <si>
    <t>CADH7_HUMAN</t>
  </si>
  <si>
    <t>Q9ULB5</t>
  </si>
  <si>
    <t>Q9H157</t>
  </si>
  <si>
    <t>CDH7L1</t>
  </si>
  <si>
    <t>Calcium; Cell adhesion; Cell membrane; Cleavage on pair of basic residues; Glycoprotein; Membrane; Metal-binding; Polymorphism; Repeat; Signal; Transmembrane; Transmembrane helix</t>
  </si>
  <si>
    <t>Cleavage on pair of basic residues; Glycoprotein</t>
  </si>
  <si>
    <t>adherens junction organization {GO:0034332}; calcium-dependent cell-cell adhesion via plasma membrane cell adhesion molecules {GO:0016339}; cell morphogenesis {GO:0000902}; cell-cell adhesion {GO:0098609}; cell-cell adhesion mediated by cadherin {GO:0044331}; cell-cell junction assembly {GO:0007043}; homophilic cell adhesion via plasma membrane adhesion molecules {GO:0007156}</t>
  </si>
  <si>
    <t>catenin complex {GO:0016342}; cell surface {GO:0009986}; cell-cell adherens junction {GO:0005913}; integral component of membrane {GO:0016021}; plasma membrane {GO:0005886}</t>
  </si>
  <si>
    <t>cadherin binding {GO:0045296}; calcium ion binding {GO:0005509}; cytoskeletal protein binding {GO:0008092}; protein homodimerization activity {GO:0042803}</t>
  </si>
  <si>
    <t>Ubiquitin recognition factor in ER-associated degradation protein 1</t>
  </si>
  <si>
    <t>Ubiquitin fusion degradation protein 1 (UB fusion protein 1)</t>
  </si>
  <si>
    <t>UFD1_HUMAN</t>
  </si>
  <si>
    <t>Q92890</t>
  </si>
  <si>
    <t>A8MW31; Q9Y5N0</t>
  </si>
  <si>
    <t>UFD1L</t>
  </si>
  <si>
    <t>3D-structure; Acetylation; Alternative splicing; Cytoplasm; Nucleus; Phosphoprotein; Polymorphism; Ubl conjugation pathway</t>
  </si>
  <si>
    <t>ER-associated misfolded protein catabolic process {GO:0071712}; error-free translesion synthesis {GO:0070987}; negative regulation of RIG-I signaling pathway {GO:0039536}; negative regulation of type I interferon production {GO:0032480}; proteasome-mediated ubiquitin-dependent protein catabolic process {GO:0043161}; protein deubiquitination {GO:0016579}; retrograde protein transport, ER to cytosol {GO:0030970}; skeletal system development {GO:0001501}; ubiquitin-dependent protein catabolic process {GO:0006511}</t>
  </si>
  <si>
    <t>cytosol {GO:0005829}; endoplasmic reticulum {GO:0005783}; nucleoplasm {GO:0005654}; nucleus {GO:0005634}; UFD1-NPL4 complex {GO:0036501}; VCP-NPL4-UFD1 AAA ATPase complex {GO:0034098}</t>
  </si>
  <si>
    <t>ATPase binding {GO:0051117}; K48-linked polyubiquitin modification-dependent protein binding {GO:0036435}; protein-containing complex binding {GO:0044877}; signaling receptor binding {GO:0005102}; thiol-dependent ubiquitin-specific protease activity {GO:0004843}</t>
  </si>
  <si>
    <t>Protein degradation; proteasomal ubiquitin-dependent pathway..</t>
  </si>
  <si>
    <t>Translesion Synthesis by POLH {R-HSA-110320}; Ub-specific processing proteases {R-HSA-5689880}</t>
  </si>
  <si>
    <t>Cytochrome b5</t>
  </si>
  <si>
    <t>Microsomal cytochrome b5 type A (MCB5)</t>
  </si>
  <si>
    <t>CYB5_HUMAN</t>
  </si>
  <si>
    <t>P00167</t>
  </si>
  <si>
    <t>A8MV91; F8WEU4; Q6IB14</t>
  </si>
  <si>
    <t>CYB5</t>
  </si>
  <si>
    <t>3D-structure; Acetylation; Alternative splicing; Cytoplasm; Disease mutation; Electron transport; Endoplasmic reticulum; Heme; Iron; Membrane; Metal-binding; Microsome; Transmembrane; Transmembrane helix; Transport</t>
  </si>
  <si>
    <t>Cytoplasm; Endoplasmic reticulum; Membrane; Microsome</t>
  </si>
  <si>
    <t>L-ascorbic acid metabolic process {GO:0019852}; response to cadmium ion {GO:0046686}</t>
  </si>
  <si>
    <t>cytosol {GO:0005829}; endoplasmic reticulum membrane {GO:0005789}; integral component of membrane {GO:0016021}; intracellular membrane-bounded organelle {GO:0043231}; membrane {GO:0016020}; mitochondrial outer membrane {GO:0005741}</t>
  </si>
  <si>
    <t>cytochrome-c oxidase activity {GO:0004129}; enzyme binding {GO:0019899}; heme binding {GO:0020037}; metal ion binding {GO:0046872}</t>
  </si>
  <si>
    <t>Vitamin C (ascorbate) metabolism {R-HSA-196836}; Insertion of tail-anchored proteins into the endoplasmic reticulum membrane {R-HSA-9609523}</t>
  </si>
  <si>
    <t>Scavenger receptor class F member 2</t>
  </si>
  <si>
    <t>SRECRP-1; Scavenger receptor expressed by endothelial cells 2 protein (SREC-II)</t>
  </si>
  <si>
    <t>SREC2_HUMAN</t>
  </si>
  <si>
    <t>Q96GP6</t>
  </si>
  <si>
    <t>E5RFB8; Q58A83; Q8IXF3; Q9BW74</t>
  </si>
  <si>
    <t>SREC2; SREPCR</t>
  </si>
  <si>
    <t>Alternative splicing; Cell adhesion; Disease mutation; Disulfide bond; EGF-like domain; Glycoprotein; Membrane; Phosphoprotein; Polymorphism; Receptor; Repeat; Signal; Transmembrane; Transmembrane helix</t>
  </si>
  <si>
    <t>heterophilic cell-cell adhesion via plasma membrane cell adhesion molecules {GO:0007157}</t>
  </si>
  <si>
    <t>focal adhesion {GO:0005925}; integral component of membrane {GO:0016021}</t>
  </si>
  <si>
    <t>Serpin B10</t>
  </si>
  <si>
    <t>Bomapin; Peptidase inhibitor 10 (PI-10)</t>
  </si>
  <si>
    <t>SPB10_HUMAN</t>
  </si>
  <si>
    <t>P48595</t>
  </si>
  <si>
    <t>Q4VAX4; Q4VAX7</t>
  </si>
  <si>
    <t>PI10</t>
  </si>
  <si>
    <t>Cytoplasm; Disulfide bond; Nucleus; Polymorphism; Protease inhibitor; Serine protease inhibitor</t>
  </si>
  <si>
    <t>negative regulation of endopeptidase activity {GO:0010951}; neutrophil degranulation {GO:0043312}</t>
  </si>
  <si>
    <t>extracellular space {GO:0005615}; ficolin-1-rich granule membrane {GO:0101003}; nucleus {GO:0005634}; plasma membrane {GO:0005886}; secretory granule membrane {GO:0030667}</t>
  </si>
  <si>
    <t>Protein ERGIC-53</t>
  </si>
  <si>
    <t>ER-Golgi intermediate compartment 53 kDa protein; Gp58; Intracellular mannose-specific lectin MR60; Lectin mannose-binding 1</t>
  </si>
  <si>
    <t>LMAN1_HUMAN</t>
  </si>
  <si>
    <t>P49257</t>
  </si>
  <si>
    <t>Q12895; Q8N5I7; Q9UQG1; Q9UQG2; Q9UQG3; Q9UQG4; Q9UQG5; Q9UQG6; Q9UQG7; Q9UQG8; Q9UQG9; Q9UQH0; Q9UQH1; Q9UQH2</t>
  </si>
  <si>
    <t>ERGIC53; F5F8D</t>
  </si>
  <si>
    <t>3D-structure; Disulfide bond; Endoplasmic reticulum; ER-Golgi transport; Golgi apparatus; Lectin; Membrane; Metal-binding; Phosphoprotein; Polymorphism; Protein transport; Signal; Transmembrane; Transmembrane helix; Transport</t>
  </si>
  <si>
    <t>Endoplasmic reticulum; Golgi apparatus; Membrane</t>
  </si>
  <si>
    <t>Lectin; Metal-binding</t>
  </si>
  <si>
    <t>blood coagulation {GO:0007596}; COPII vesicle coating {GO:0048208}; endoplasmic reticulum organization {GO:0007029}; endoplasmic reticulum to Golgi vesicle-mediated transport {GO:0006888}; Golgi organization {GO:0007030}; negative regulation of protein targeting to mitochondrion {GO:1903215}; positive regulation of organelle organization {GO:0010638}; protein folding {GO:0006457}; protein N-linked glycosylation via asparagine {GO:0018279}; protein transport {GO:0015031}</t>
  </si>
  <si>
    <t>collagen-containing extracellular matrix {GO:0062023}; COPII-coated ER to Golgi transport vesicle {GO:0030134}; cytosol {GO:0005829}; endoplasmic reticulum membrane {GO:0005789}; endoplasmic reticulum-Golgi intermediate compartment {GO:0005793}; endoplasmic reticulum-Golgi intermediate compartment membrane {GO:0033116}; ER to Golgi transport vesicle membrane {GO:0012507}; extracellular exosome {GO:0070062}; Golgi membrane {GO:0000139}; host cell perinuclear region of cytoplasm {GO:0044220}; integral component of membrane {GO:0016021}; membrane {GO:0016020}</t>
  </si>
  <si>
    <t>mannose binding {GO:0005537}; metal ion binding {GO:0046872}; unfolded protein binding {GO:0051082}</t>
  </si>
  <si>
    <t>COPII-mediated vesicle transport {R-HSA-204005}; Cargo concentration in the ER {R-HSA-5694530}; Transport to the Golgi and subsequent modification {R-HSA-948021}</t>
  </si>
  <si>
    <t>RNA-binding protein EWS</t>
  </si>
  <si>
    <t>EWS oncogene; Ewing sarcoma breakpoint region 1 protein</t>
  </si>
  <si>
    <t>EWS_HUMAN</t>
  </si>
  <si>
    <t>Q01844</t>
  </si>
  <si>
    <t>B0QYK1; Q5THL0; Q92635; Q96FE8; Q96MN4; Q96MX4; Q9BWA2</t>
  </si>
  <si>
    <t>EWS</t>
  </si>
  <si>
    <t>3D-structure; Acetylation; Alternative splicing; Calmodulin-binding; Cell membrane; Chromosomal rearrangement; Cytoplasm; Membrane; Metal-binding; Methylation; Nucleus; Phosphoprotein; Proto-oncogene; Repeat; Repressor; RNA-binding; Transcription; Transcription regulation; Zinc; Zinc-finger</t>
  </si>
  <si>
    <t>Repeat; Zinc-finger</t>
  </si>
  <si>
    <t>Calmodulin-binding; RNA-binding; Repressor</t>
  </si>
  <si>
    <t>regulation of transcription, DNA-templated {GO:0006355}</t>
  </si>
  <si>
    <t>cytoplasm {GO:0005737}; nucleolus {GO:0005730}; nucleus {GO:0005634}; plasma membrane {GO:0005886}</t>
  </si>
  <si>
    <t>calmodulin binding {GO:0005516}; identical protein binding {GO:0042802}; metal ion binding {GO:0046872}; RNA binding {GO:0003723}</t>
  </si>
  <si>
    <t>Crk-like protein</t>
  </si>
  <si>
    <t>CRKL_HUMAN</t>
  </si>
  <si>
    <t>P46109</t>
  </si>
  <si>
    <t>A8KA44; D3DX35</t>
  </si>
  <si>
    <t>3D-structure; Phosphoprotein; Repeat; SH2 domain; SH3 domain</t>
  </si>
  <si>
    <t>Repeat; SH2 domain; SH3 domain</t>
  </si>
  <si>
    <t>acetylcholine receptor signaling pathway {GO:0095500}; activation of GTPase activity {GO:0090630}; activation of MAPK activity {GO:0000187}; activation of MAPKK activity {GO:0000186}; anterior/posterior pattern specification {GO:0009952}; B cell apoptotic process {GO:0001783}; blood vessel development {GO:0001568}; cell chemotaxis {GO:0060326}; cellular response to interleukin-7 {GO:0098761}; cellular response to transforming growth factor beta stimulus {GO:0071560}; cerebellar neuron development {GO:0098749}; cerebral cortex development {GO:0021987}; cranial skeletal system development {GO:1904888}; cytokine-mediated signaling pathway {GO:0019221}; dendrite development {GO:0016358}; endothelin receptor signaling pathway {GO:0086100}; establishment of cell polarity {GO:0030010}; fibroblast growth factor receptor signaling pathway {GO:0008543}; helper T cell diapedesis {GO:0035685}; hippocampus development {GO:0021766}; intracellular signal transduction {GO:0035556}; JNK cascade {GO:0007254}; lipid metabolic process {GO:0006629}; male gonad development {GO:0008584}; negative regulation of gene expression {GO:0010629}; negative regulation of protein phosphorylation {GO:0001933}; neuron migration {GO:0001764}; outflow tract morphogenesis {GO:0003151}; parathyroid gland development {GO:0060017}; pharynx development {GO:0060465}; positive regulation of cell population proliferation {GO:0008284}; positive regulation of ERK1 and ERK2 cascade {GO:0070374}; positive regulation of glial cell migration {GO:1903977}; positive regulation of protein phosphorylation {GO:0001934}; positive regulation of Ras protein signal transduction {GO:0046579}; positive regulation of substrate adhesion-dependent cell spreading {GO:1900026}; Ras protein signal transduction {GO:0007265}; reelin-mediated signaling pathway {GO:0038026}; regulation of cell adhesion mediated by integrin {GO:0033628}; regulation of cell growth {GO:0001558}; regulation of dendrite development {GO:0050773}; regulation of skeletal muscle acetylcholine-gated channel clustering {GO:1904393}; regulation of T cell migration {GO:2000404}; retinoic acid receptor signaling pathway {GO:0048384}; single fertilization {GO:0007338}; spermatogenesis {GO:0007283}; synapse assembly {GO:0007416}; T cell receptor signaling pathway {GO:0050852}; thymus development {GO:0048538}; urogenital system development {GO:0001655}</t>
  </si>
  <si>
    <t>cytosol {GO:0005829}; extrinsic component of postsynaptic membrane {GO:0098890}; neuromuscular junction {GO:0031594}; nucleoplasm {GO:0005654}; protein-containing complex {GO:0032991}</t>
  </si>
  <si>
    <t>cadherin binding {GO:0045296}; identical protein binding {GO:0042802}; phosphotyrosine residue binding {GO:0001784}; RNA binding {GO:0003723}; SH3/SH2 adaptor activity {GO:0005070}</t>
  </si>
  <si>
    <t>Frs2-mediated activation {R-HSA-170968}; Downstream signal transduction {R-HSA-186763}; MET activates RAP1 and RAC1 {R-HSA-8875555}; MET receptor recycling {R-HSA-8875656}; Erythropoietin activates RAS {R-HSA-9027284}; Regulation of signaling by CBL {R-HSA-912631}</t>
  </si>
  <si>
    <t>4-hydroxyphenylpyruvate dioxygenase</t>
  </si>
  <si>
    <t>4-hydroxyphenylpyruvic acid oxidase (4HPPD; HPD; HPPDase)</t>
  </si>
  <si>
    <t>HPPD_HUMAN</t>
  </si>
  <si>
    <t>P32754</t>
  </si>
  <si>
    <t>A8K461; B3KQ63; Q13234</t>
  </si>
  <si>
    <t>PPD</t>
  </si>
  <si>
    <t>3D-structure; Acetylation; Alternative splicing; Dioxygenase; Disease mutation; Iron; Mental retardation; Metal-binding; Oxidoreductase; Phenylalanine catabolism; Phosphoprotein; Polymorphism; Repeat; Tyrosine catabolism</t>
  </si>
  <si>
    <t>Disease mutation; Mental retardation</t>
  </si>
  <si>
    <t>Iron; Metal-binding</t>
  </si>
  <si>
    <t>L-phenylalanine catabolic process {GO:0006559}; tyrosine catabolic process {GO:0006572}</t>
  </si>
  <si>
    <t>cytosol {GO:0005829}; endoplasmic reticulum membrane {GO:0005789}; extracellular exosome {GO:0070062}; Golgi membrane {GO:0000139}</t>
  </si>
  <si>
    <t>4-hydroxyphenylpyruvate dioxygenase activity {GO:0003868}; metal ion binding {GO:0046872}</t>
  </si>
  <si>
    <t>Amino-acid degradation; L-phenylalanine degradation; acetoacetate and fumarate from L-phenylalanine: step 3/6.</t>
  </si>
  <si>
    <t>Serine--tRNA ligase, cytoplasmic</t>
  </si>
  <si>
    <t>Seryl-tRNA synthetase (SerRS); Seryl-tRNA(Ser/Sec) synthetase</t>
  </si>
  <si>
    <t>SYSC_HUMAN</t>
  </si>
  <si>
    <t>P49591</t>
  </si>
  <si>
    <t>B2R6Y9; Q5T5C8; Q9NSE3</t>
  </si>
  <si>
    <t>SERS</t>
  </si>
  <si>
    <t>3D-structure; Acetylation; Aminoacyl-tRNA synthetase; ATP-binding; Cytoplasm; Disease mutation; DNA-binding; Epilepsy; Ligase; Mental retardation; Nucleotide-binding; Nucleus; Phosphoprotein; Protein biosynthesis; Transcription; Transcription regulation</t>
  </si>
  <si>
    <t>Protein biosynthesis; Transcription; Transcription regulation</t>
  </si>
  <si>
    <t>Disease mutation; Epilepsy; Mental retardation</t>
  </si>
  <si>
    <t>Aminoacyl-tRNA synthetase; DNA-binding; Ligase</t>
  </si>
  <si>
    <t>negative regulation of angiogenesis {GO:0016525}; negative regulation of transcription by RNA polymerase II {GO:0000122}; negative regulation of vascular endothelial growth factor production {GO:1904046}; selenocysteine metabolic process {GO:0016259}; selenocysteinyl-tRNA(Sec) biosynthetic process {GO:0097056}; seryl-tRNA aminoacylation {GO:0006434}; translation {GO:0006412}; tRNA aminoacylation for protein translation {GO:0006418}; tRNA processing {GO:0008033}</t>
  </si>
  <si>
    <t>ATP binding {GO:0005524}; protein homodimerization activity {GO:0042803}; RNA binding {GO:0003723}; RNA polymerase II proximal promoter sequence-specific DNA binding {GO:0000978}; serine-tRNA ligase activity {GO:0004828}</t>
  </si>
  <si>
    <t>Aminoacyl-tRNA biosynthesis; selenocysteinyl-tRNA(Sec) biosynthesis; L-seryl-tRNA(Sec) from L-serine and tRNA(Sec): step 1/1.</t>
  </si>
  <si>
    <t>Selenocysteine synthesis {R-HSA-2408557}; Cytosolic tRNA aminoacylation {R-HSA-379716}</t>
  </si>
  <si>
    <t>40S ribosomal protein S25</t>
  </si>
  <si>
    <t>Small ribosomal subunit protein eS25</t>
  </si>
  <si>
    <t>RS25_HUMAN</t>
  </si>
  <si>
    <t>P62851</t>
  </si>
  <si>
    <t>B2R4M7; P25111</t>
  </si>
  <si>
    <t>3D-structure; Acetylation; Ribonucleoprotein; Ribosomal protein</t>
  </si>
  <si>
    <t>cytosol {GO:0005829}; cytosolic small ribosomal subunit {GO:0022627}; extracellular exosome {GO:0070062}; nucleolus {GO:0005730}; nucleoplasm {GO:0005654}; nucleus {GO:0005634}; postsynaptic density {GO:0014069}; ribosome {GO:0005840}; small ribosomal subunit {GO:0015935}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</si>
  <si>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Major pathway of rRNA processing in the nucleolus and cytosol {R-HSA-6791226};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</si>
  <si>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Beta-ureidopropionase</t>
  </si>
  <si>
    <t>BUP-1; Beta-alanine synthase; N-carbamoyl-beta-alanine amidohydrolase</t>
  </si>
  <si>
    <t>BUP1_HUMAN</t>
  </si>
  <si>
    <t>Q9UBR1</t>
  </si>
  <si>
    <t>A3KMF8; Q9UIR3</t>
  </si>
  <si>
    <t>BUP1</t>
  </si>
  <si>
    <t>3D-structure; Cytoplasm; Disease mutation; Hydrolase; Phosphoprotein; Polymorphism</t>
  </si>
  <si>
    <t>beta-alanine biosynthetic process via 3-ureidopropionate {GO:0033396}; beta-alanine metabolic process {GO:0019482}; protein homooligomerization {GO:0051260}; protein homotetramerization {GO:0051289}; pyrimidine nucleoside catabolic process {GO:0046135}</t>
  </si>
  <si>
    <t>beta-ureidopropionase activity {GO:0003837}; protein homodimerization activity {GO:0042803}</t>
  </si>
  <si>
    <t xml:space="preserve">Amino-acid biosynthesis; beta-alanine biosynthesis.  </t>
  </si>
  <si>
    <t>Pyrimidine catabolism {R-HSA-73621}</t>
  </si>
  <si>
    <t>Transmembrane protein 119</t>
  </si>
  <si>
    <t>Osteoblast induction factor (OBIF)</t>
  </si>
  <si>
    <t>TM119_HUMAN</t>
  </si>
  <si>
    <t>Q4V9L6</t>
  </si>
  <si>
    <t>Q6UXE5; Q8N2F5</t>
  </si>
  <si>
    <t>Biomineralization; Cell membrane; Cytoplasm; Differentiation; Endoplasmic reticulum; Glycoprotein; Membrane; Osteogenesis; Phosphoprotein; Polymorphism; Signal; Spermatogenesis; Transmembrane; Transmembrane helix</t>
  </si>
  <si>
    <t>Biomineralization; Differentiation; Osteogenesis; Spermatogenesis</t>
  </si>
  <si>
    <t>Cell membrane; Cytoplasm; Endoplasmic reticulum; Membrane</t>
  </si>
  <si>
    <t>biomineral tissue development {GO:0031214}; endochondral ossification {GO:0001958}; negative regulation of bone resorption {GO:0045779}; negative regulation of myotube differentiation {GO:0010832}; osteoblast differentiation {GO:0001649}; positive regulation of bone development {GO:1903012}; positive regulation of bone mineralization {GO:0030501}; positive regulation of gene expression {GO:0010628}; positive regulation of osteoblast differentiation {GO:0045669}; positive regulation of osteoblast proliferation {GO:0033690}; positive regulation of protein phosphorylation {GO:0001934}; spermatid differentiation {GO:0048515}; spermatogenesis {GO:0007283}</t>
  </si>
  <si>
    <t>endoplasmic reticulum membrane {GO:0005789}; integral component of membrane {GO:0016021}; plasma membrane {GO:0005886}</t>
  </si>
  <si>
    <t>Dynein light chain 1, cytoplasmic</t>
  </si>
  <si>
    <t>8 kDa dynein light chain (DLC8); Dynein light chain LC8-type 1; Protein inhibitor of neuronal nitric oxide synthase (PIN)</t>
  </si>
  <si>
    <t>DYL1_HUMAN</t>
  </si>
  <si>
    <t>P63167</t>
  </si>
  <si>
    <t>Q15701</t>
  </si>
  <si>
    <t>DLC1; DNCL1; DNCLC1; HDLC1</t>
  </si>
  <si>
    <t>3D-structure; Acetylation; Activator; Apoptosis; Cytoplasm; Cytoskeleton; Dynein; Host-virus interaction; Isopeptide bond; Microtubule; Mitochondrion; Motor protein; Nucleus; Phosphoprotein; Transcription; Transcription regulation; Transport; Ubl conjugation</t>
  </si>
  <si>
    <t>Apoptosis; Host-virus interaction; Transcription; Transcription regulation; Transport</t>
  </si>
  <si>
    <t>Cytoplasm; Cytoskeleton; Dynein; Microtubule; Mitochondrion; Nucleus</t>
  </si>
  <si>
    <t>Activator; Motor protein</t>
  </si>
  <si>
    <t>antigen processing and presentation of exogenous peptide antigen via MHC class II {GO:0019886}; apoptotic process {GO:0006915}; ciliary basal body-plasma membrane docking {GO:0097711}; endoplasmic reticulum to Golgi vesicle-mediated transport {GO:0006888}; G2/M transition of mitotic cell cycle {GO:0000086}; intraciliary transport involved in cilium assembly {GO:0035735}; macroautophagy {GO:0016236}; negative regulation of phosphorylation {GO:0042326}; neutrophil degranulation {GO:0043312}; positive regulation of ATP-dependent microtubule motor activity, plus-end-directed {GO:2000582}; regulation of G2/M transition of mitotic cell cycle {GO:0010389}; substantia nigra development {GO:0021762}; viral process {GO:0016032}</t>
  </si>
  <si>
    <t>centrosome {GO:0005813}; ciliary tip {GO:0097542}; cilium {GO:0005929}; cytoplasm {GO:0005737}; cytoplasmic dynein complex {GO:0005868}; cytosol {GO:0005829}; dynein complex {GO:0030286}; ficolin-1-rich granule membrane {GO:0101003}; kinetochore {GO:0000776}; membrane {GO:0016020}; microtubule {GO:0005874}; mitochondrion {GO:0005739}; mitotic spindle {GO:0072686}; nucleus {GO:0005634}; plasma membrane {GO:0005886}; tertiary granule membrane {GO:0070821}</t>
  </si>
  <si>
    <t>dynein intermediate chain binding {GO:0045505}; dynein light intermediate chain binding {GO:0051959}; motor activity {GO:0003774}</t>
  </si>
  <si>
    <t>Activation of BIM and translocation to mitochondria {R-HSA-111446}; Amplification of signal from unattached kinetochores via a MAD2 inhibitory signal {R-HSA-141444}; Macroautophagy {R-HSA-1632852};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Intraflagellar transport {R-HSA-5620924}; RHO GTPases Activate Formins {R-HSA-5663220}; Neutrophil degranulation {R-HSA-6798695}; COPI-mediated anterograde transport {R-HSA-6807878}; COPI-independent Golgi-to-ER retrograde traffic {R-HSA-6811436}; Mitotic Prometaphase {R-HSA-68877}; AURKA Activation by TPX2 {R-HSA-8854518}</t>
  </si>
  <si>
    <t>Transthyretin</t>
  </si>
  <si>
    <t>ATTR; Prealbumin; TBPA</t>
  </si>
  <si>
    <t>TTHY_HUMAN</t>
  </si>
  <si>
    <t>P02766</t>
  </si>
  <si>
    <t>Q549C7; Q6IB96; Q9UBZ6; Q9UCM9</t>
  </si>
  <si>
    <t>PALB</t>
  </si>
  <si>
    <t>3D-structure; Amyloid; Amyloidosis; Cytoplasm; Disease mutation; Gamma-carboxyglutamic acid; Glycoprotein; Hormone; Neuropathy; Phosphoprotein; Polymorphism; Secreted; Signal; Thyroid hormone; Transport</t>
  </si>
  <si>
    <t>Amyloid; Cytoplasm; Secreted</t>
  </si>
  <si>
    <t>Amyloidosis; Disease mutation; Neuropathy</t>
  </si>
  <si>
    <t>Hormone; Thyroid hormone</t>
  </si>
  <si>
    <t>Gamma-carboxyglutamic acid; Glycoprotein; Phosphoprotein</t>
  </si>
  <si>
    <t>cellular protein metabolic process {GO:0044267}; extracellular matrix organization {GO:0030198}; neutrophil degranulation {GO:0043312}; purine nucleobase metabolic process {GO:0006144}; retinoid metabolic process {GO:0001523}; retinol metabolic process {GO:0042572}; thyroid hormone transport {GO:0070327}</t>
  </si>
  <si>
    <t>azurophil granule lumen {GO:0035578}; extracellular exosome {GO:0070062}; extracellular region {GO:0005576}; extracellular space {GO:0005615}; protein-containing complex {GO:0032991}</t>
  </si>
  <si>
    <t>hormone activity {GO:0005179}; identical protein binding {GO:0042802}; protein heterodimerization activity {GO:0046982}; thyroid hormone binding {GO:0070324}</t>
  </si>
  <si>
    <t>Retinoid cycle disease events {R-HSA-2453864}; The canonical retinoid cycle in rods (twilight vision) {R-HSA-2453902}; Non-integrin membrane-ECM interactions {R-HSA-3000171}; Neutrophil degranulation {R-HSA-6798695}; Retinoid metabolism and transport {R-HSA-975634}; Amyloid fiber formation {R-HSA-977225}</t>
  </si>
  <si>
    <t>Vacuolar protein sorting-associated protein 4B</t>
  </si>
  <si>
    <t>Cell migration-inducing gene 1 protein; Suppressor of K(+) transport growth defect 1 (Protein SKD1)</t>
  </si>
  <si>
    <t>VPS4B_HUMAN</t>
  </si>
  <si>
    <t>O75351</t>
  </si>
  <si>
    <t>Q69HW4; Q9GZS7</t>
  </si>
  <si>
    <t>SKD1; VPS42</t>
  </si>
  <si>
    <t>3D-structure; ATP-binding; Cell cycle; Cell division; Coiled coil; Endosome; Hydrolase; Membrane; Nucleotide-binding; Phosphoprotein; Polymorphism; Protein transport; Transport</t>
  </si>
  <si>
    <t>cholesterol transport {GO:0030301}; endosomal transport {GO:0016197}; endosome to lysosome transport via multivesicular body sorting pathway {GO:0032510}; ESCRT III complex disassembly {GO:1904903}; late endosomal microautophagy {GO:0061738}; macroautophagy {GO:0016236}; midbody abscission {GO:0061952}; mitotic metaphase plate congression {GO:0007080}; multivesicular body assembly {GO:0036258}; negative regulation of cell death {GO:0060548}; negative regulation of exosomal secretion {GO:1903542}; nucleus organization {GO:0006997}; positive regulation of centriole elongation {GO:1903724}; positive regulation of exosomal secretion {GO:1903543}; positive regulation of G2/M transition of mitotic cell cycle {GO:0010971}; positive regulation of viral life cycle {GO:1903902}; positive regulation of viral process {GO:0048524}; positive regulation of viral release from host cell {GO:1902188}; potassium ion transport {GO:0006813}; protein depolymerization {GO:0051261}; protein transport {GO:0015031}; regulation of centrosome duplication {GO:0010824}; regulation of mitotic spindle assembly {GO:1901673}; regulation of viral process {GO:0050792}; response to lipid {GO:0033993}; ubiquitin-dependent protein catabolic process via the multivesicular body sorting pathway {GO:0043162}; ubiquitin-independent protein catabolic process via the multivesicular body sorting pathway {GO:0090611}; vacuole organization {GO:0007033}; viral budding via host ESCRT complex {GO:0039702}; viral life cycle {GO:0019058}; viral release from host cell {GO:0019076}</t>
  </si>
  <si>
    <t>centrosome {GO:0005813}; cytoplasm {GO:0005737}; cytosol {GO:0005829}; endosome {GO:0005768}; endosome membrane {GO:0010008}; extracellular exosome {GO:0070062}; Flemming body {GO:0090543}; late endosome membrane {GO:0031902}; nucleus {GO:0005634}; spindle pole {GO:0000922}</t>
  </si>
  <si>
    <t>ATP binding {GO:0005524}; ATPase activity {GO:0016887}; ATPase activity, coupled {GO:0042623}; identical protein binding {GO:0042802}; protein C-terminus binding {GO:0008022}; protein homodimerization activity {GO:0042803}</t>
  </si>
  <si>
    <t>Cathepsin S</t>
  </si>
  <si>
    <t>CATS_HUMAN</t>
  </si>
  <si>
    <t>P25774</t>
  </si>
  <si>
    <t>B4DWC9; D3DV05; Q5T5I0; Q6FHS5; Q9BUG3</t>
  </si>
  <si>
    <t>adaptive immune response {GO:0002250}; antigen processing and presentation {GO:0019882}; antigen processing and presentation of exogenous peptide antigen via MHC class II {GO:0019886}; antigen processing and presentation of peptide antigen {GO:0048002}; basement membrane disassembly {GO:0034769}; cellular response to thyroid hormone stimulus {GO:0097067}; collagen catabolic process {GO:0030574}; extracellular matrix disassembly {GO:0022617}; immune response {GO:0006955}; neutrophil degranulation {GO:0043312}; positive regulation of cation channel activity {GO:2001259}; protein processing {GO:0016485}; proteolysis {GO:0006508}; proteolysis involved in cellular protein catabolic process {GO:0051603}; response to acidic pH {GO:0010447}; toll-like receptor signaling pathway {GO:0002224}</t>
  </si>
  <si>
    <t>collagen-containing extracellular matrix {GO:0062023}; endolysosome lumen {GO:0036021}; extracellular region {GO:0005576}; extracellular space {GO:0005615}; ficolin-1-rich granule lumen {GO:1904813}; intracellular membrane-bounded organelle {GO:0043231}; late endosome {GO:0005770}; lysosomal lumen {GO:0043202}; lysosome {GO:0005764}; tertiary granule lumen {GO:1904724}</t>
  </si>
  <si>
    <t>collagen binding {GO:0005518}; cysteine-type endopeptidase activity {GO:0004197}; fibronectin binding {GO:0001968}; laminin binding {GO:0043236}; proteoglycan binding {GO:0043394}</t>
  </si>
  <si>
    <t>Endosomal/Vacuolar pathway {R-HSA-1236977}; Degradation of the extracellular matrix {R-HSA-1474228}; Trafficking and processing of endosomal TLR {R-HSA-1679131}; Assembly of collagen fibrils and other multimeric structures {R-HSA-2022090}; MHC class II antigen presentation {R-HSA-2132295}; Neutrophil degranulation {R-HSA-6798695}</t>
  </si>
  <si>
    <t>Phospholipase A2</t>
  </si>
  <si>
    <t>Group IB phospholipase A2; Phosphatidylcholine 2-acylhydrolase 1B</t>
  </si>
  <si>
    <t>PA21B_HUMAN</t>
  </si>
  <si>
    <t>P04054</t>
  </si>
  <si>
    <t>B2R4H5; Q3KPI1</t>
  </si>
  <si>
    <t>PLA2; PLA2A; PPLA2</t>
  </si>
  <si>
    <t>3D-structure; Autocatalytic cleavage; Calcium; Disulfide bond; Hydrolase; Lipid degradation; Lipid metabolism; Metal-binding; Polymorphism; Secreted; Signal; Zymogen</t>
  </si>
  <si>
    <t>Autocatalytic cleavage; Disulfide bond; Zymogen</t>
  </si>
  <si>
    <t>actin filament organization {GO:0007015}; activation of MAPK activity {GO:0000187}; activation of phospholipase A2 activity {GO:0032431}; antibacterial humoral response {GO:0019731}; antimicrobial humoral immune response mediated by antimicrobial peptide {GO:0061844}; arachidonic acid secretion {GO:0050482}; cellular response to insulin stimulus {GO:0032869}; defense response to Gram-positive bacterium {GO:0050830}; fatty acid biosynthetic process {GO:0006633}; innate immune response in mucosa {GO:0002227}; interleukin-8 production {GO:0032637}; intracellular signal transduction {GO:0035556}; leukotriene biosynthetic process {GO:0019370}; lipid catabolic process {GO:0016042}; neutrophil chemotaxis {GO:0030593}; neutrophil mediated immunity {GO:0002446}; phosphatidic acid biosynthetic process {GO:0006654}; phosphatidylcholine acyl-chain remodeling {GO:0036151}; phosphatidylcholine metabolic process {GO:0046470}; phosphatidylethanolamine acyl-chain remodeling {GO:0036152}; phosphatidylglycerol acyl-chain remodeling {GO:0036148}; phosphatidylinositol acyl-chain remodeling {GO:0036149}; phosphatidylserine acyl-chain remodeling {GO:0036150}; phospholipid metabolic process {GO:0006644}; positive regulation of calcium ion transport into cytosol {GO:0010524}; positive regulation of cell population proliferation {GO:0008284}; positive regulation of fibroblast proliferation {GO:0048146}; positive regulation of immune response {GO:0050778}; positive regulation of NF-kappaB transcription factor activity {GO:0051092}; positive regulation of protein secretion {GO:0050714}; positive regulation of transcription by RNA polymerase II {GO:0045944}; regulation of glucose import {GO:0046324}; signal transduction {GO:0007165}</t>
  </si>
  <si>
    <t>cell surface {GO:0009986}; cytosol {GO:0005829}; extracellular region {GO:0005576}; extracellular space {GO:0005615}; secretory granule {GO:0030141}</t>
  </si>
  <si>
    <t>bile acid binding {GO:0032052}; calcium ion binding {GO:0005509}; calcium-dependent phospholipase A2 activity {GO:0047498}; phospholipase A2 activity {GO:0004623}; phospholipase A2 activity (consuming 1,2-dipalmitoylphosphatidylcholine) {GO:0102567}; phospholipase A2 activity consuming 1,2-dioleoylphosphatidylethanolamine) {GO:0102568}; phospholipid binding {GO:0005543}; signaling receptor binding {GO:0005102}</t>
  </si>
  <si>
    <t>Acyl chain remodelling of PC {R-HSA-1482788}; Acyl chain remodelling of PS {R-HSA-1482801}; Acyl chain remodelling of PE {R-HSA-1482839}; Acyl chain remodelling of PI {R-HSA-1482922}; Acyl chain remodelling of PG {R-HSA-1482925}; Synthesis of PA {R-HSA-1483166}</t>
  </si>
  <si>
    <t>Vacuolar protein sorting-associated protein 37B (hVps37B)</t>
  </si>
  <si>
    <t>ESCRT-I complex subunit VPS37B</t>
  </si>
  <si>
    <t>VP37B_HUMAN</t>
  </si>
  <si>
    <t>Q9H9H4</t>
  </si>
  <si>
    <t>Endosome; Membrane; Methylation; Protein transport; Transport</t>
  </si>
  <si>
    <t>Methylation</t>
  </si>
  <si>
    <t>endosomal transport {GO:0016197}; endosome transport via multivesicular body sorting pathway {GO:0032509}; intracellular transport of virus {GO:0075733}; macroautophagy {GO:0016236}; multivesicular body assembly {GO:0036258}; positive regulation of viral budding via host ESCRT complex {GO:1903774}; positive regulation of viral release from host cell {GO:1902188}; protein targeting to membrane {GO:0006612}; protein targeting to vacuole {GO:0006623}; ubiquitin-dependent protein catabolic process via the multivesicular body sorting pathway {GO:0043162}; viral budding via host ESCRT complex {GO:0039702}; viral life cycle {GO:0019058}</t>
  </si>
  <si>
    <t>cytoplasm {GO:0005737}; endosome {GO:0005768}; endosome membrane {GO:0010008}; ESCRT I complex {GO:0000813}; extracellular exosome {GO:0070062}; host cell {GO:0043657}; intracellular membrane-bounded organelle {GO:0043231}; late endosome membrane {GO:0031902}; midbody {GO:0030496}; plasma membrane {GO:0005886}</t>
  </si>
  <si>
    <t>calcium-dependent protein binding {GO:0048306}</t>
  </si>
  <si>
    <t>Budding and maturation of HIV virion {R-HSA-162588}; Membrane binding and targetting of GAG proteins {R-HSA-174490}; Endosomal Sorting Complex Required For Transport (ESCRT) {R-HSA-917729}</t>
  </si>
  <si>
    <t>Asparagine--tRNA ligase, cytoplasmic</t>
  </si>
  <si>
    <t>Asparaginyl-tRNA synthetase (AsnRS)</t>
  </si>
  <si>
    <t>SYNC_HUMAN</t>
  </si>
  <si>
    <t>O43776</t>
  </si>
  <si>
    <t>B4DG16; Q53GU6</t>
  </si>
  <si>
    <t>3D-structure; Acetylation; Alternative splicing; Aminoacyl-tRNA synthetase; ATP-binding; Cytoplasm; Ligase; Nucleotide-binding; Phosphoprotein; Protein biosynthesis</t>
  </si>
  <si>
    <t>Protein biosynthesis</t>
  </si>
  <si>
    <t>asparaginyl-tRNA aminoacylation {GO:0006421}; tRNA aminoacylation for protein translation {GO:0006418}</t>
  </si>
  <si>
    <t>asparagine-tRNA ligase activity {GO:0004816}; ATP binding {GO:0005524}; nucleic acid binding {GO:0003676}</t>
  </si>
  <si>
    <t>Serpin B5</t>
  </si>
  <si>
    <t>Maspin; Peptidase inhibitor 5 (PI-5)</t>
  </si>
  <si>
    <t>SPB5_HUMAN</t>
  </si>
  <si>
    <t>P36952</t>
  </si>
  <si>
    <t>B2R6Y4; Q6N0B4; Q8WW89</t>
  </si>
  <si>
    <t>PI5</t>
  </si>
  <si>
    <t>3D-structure; Alternative splicing; Glycoprotein; Polymorphism; Secreted</t>
  </si>
  <si>
    <t>extracellular matrix organization {GO:0030198}; morphogenesis of an epithelium {GO:0002009}; negative regulation of endopeptidase activity {GO:0010951}; prostate gland morphogenesis {GO:0060512}; regulation of epithelial cell proliferation {GO:0050678}</t>
  </si>
  <si>
    <t>cytoplasm {GO:0005737}; extracellular space {GO:0005615}</t>
  </si>
  <si>
    <t>Myosin regulatory light chain 2, ventricular/cardiac muscle isoform (MLC-2; MLC-2v)</t>
  </si>
  <si>
    <t>Cardiac myosin light chain 2; Myosin light chain 2, slow skeletal/ventricular muscle isoform (MLC-2s/v); Ventricular myosin light chain 2</t>
  </si>
  <si>
    <t>MLRV_HUMAN</t>
  </si>
  <si>
    <t>P10916</t>
  </si>
  <si>
    <t>Q16123</t>
  </si>
  <si>
    <t>3D-structure; Calcium; Cardiomyopathy; Cytoplasm; Disease mutation; Metal-binding; Methylation; Motor protein; Muscle protein; Myosin; Phosphoprotein; Polymorphism; Repeat</t>
  </si>
  <si>
    <t>cardiac muscle contraction {GO:0060048}; cardiac myofibril assembly {GO:0055003}; heart contraction {GO:0060047}; heart development {GO:0007507}; muscle cell fate specification {GO:0042694}; muscle fiber development {GO:0048747}; muscle filament sliding {GO:0030049}; negative regulation of cell growth {GO:0030308}; positive regulation of the force of heart contraction {GO:0098735}; post-embryonic development {GO:0009791}; regulation of striated muscle contraction {GO:0006942}; regulation of the force of heart contraction {GO:0002026}; ventricular cardiac muscle tissue morphogenesis {GO:0055010}</t>
  </si>
  <si>
    <t>A band {GO:0031672}; cardiac myofibril {GO:0097512}; cytoskeleton {GO:0005856}; cytosol {GO:0005829}; myofibril {GO:0030016}; myosin complex {GO:0016459}; sarcomere {GO:0030017}</t>
  </si>
  <si>
    <t>actin monomer binding {GO:0003785}; calcium ion binding {GO:0005509}; myosin heavy chain binding {GO:0032036}; structural constituent of muscle {GO:0008307}</t>
  </si>
  <si>
    <t>Hippocampal cholinergic neurostimulating peptide</t>
  </si>
  <si>
    <t>HCNPpp; Neuropolypeptide h3; Prostatic-binding protein; Raf kinase inhibitor protein (RKIP; HCNP)</t>
  </si>
  <si>
    <t>PEBP1_HUMAN</t>
  </si>
  <si>
    <t>P30086</t>
  </si>
  <si>
    <t>B2R4S1</t>
  </si>
  <si>
    <t>PBP; PEBP</t>
  </si>
  <si>
    <t>3D-structure; ATP-binding; Cytoplasm; Disulfide bond; Lipid-binding; Nucleotide-binding; Phosphoprotein; Protease inhibitor; Serine protease inhibitor</t>
  </si>
  <si>
    <t>ATP-binding; Lipid-binding; Nucleotide-binding</t>
  </si>
  <si>
    <t>MAPK cascade {GO:0000165}; negative regulation of MAPK cascade {GO:0043409}</t>
  </si>
  <si>
    <t>ATP binding {GO:0005524}; enzyme binding {GO:0019899}; phosphatidylethanolamine binding {GO:0008429}; protein kinase binding {GO:0019901}; RNA binding {GO:0003723}; serine-type endopeptidase inhibitor activity {GO:0004867}</t>
  </si>
  <si>
    <t>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</si>
  <si>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Twisted gastrulation protein homolog 1</t>
  </si>
  <si>
    <t>TWSG1_HUMAN</t>
  </si>
  <si>
    <t>Q9GZX9</t>
  </si>
  <si>
    <t>B2RE08; D3DUH9; Q8NBI7; Q96K46</t>
  </si>
  <si>
    <t>TSG</t>
  </si>
  <si>
    <t>Alternative splicing; Developmental protein; Glycoprotein; Secreted; Signal</t>
  </si>
  <si>
    <t>BMP signaling pathway {GO:0030509}; camera-type eye development {GO:0043010}; cell differentiation {GO:0030154}; forebrain development {GO:0030900}; hemopoiesis {GO:0030097}; mesoderm formation {GO:0001707}; negative regulation of BMP signaling pathway {GO:0030514}; negative regulation of CD4-positive, alpha-beta T cell activation {GO:2000515}; negative regulation of CD4-positive, alpha-beta T cell proliferation {GO:2000562}; negative regulation of cytokine production {GO:0001818}; negative regulation of osteoblast differentiation {GO:0045668}; ossification {GO:0001503}; positive regulation of BMP signaling pathway {GO:0030513}; positive regulation of pathway-restricted SMAD protein phosphorylation {GO:0010862}; salivary gland morphogenesis {GO:0007435}; transforming growth factor beta receptor signaling pathway {GO:0007179}</t>
  </si>
  <si>
    <t>transforming growth factor beta binding {GO:0050431}</t>
  </si>
  <si>
    <t>AP-1 complex subunit beta-1</t>
  </si>
  <si>
    <t>Adaptor protein complex AP-1 subunit beta-1; Adaptor-related protein complex 1 subunit beta-1; Beta-1-adaptin; Beta-adaptin 1; Clathrin assembly protein complex 1 beta large chain; Golgi adaptor HA1/AP1 adaptin beta subunit</t>
  </si>
  <si>
    <t>AP1B1_HUMAN</t>
  </si>
  <si>
    <t>Q10567</t>
  </si>
  <si>
    <t>C9JRD1; F8WDL0; P78436; Q20WL3; Q86X54</t>
  </si>
  <si>
    <t>ADTB1; BAM22; CLAPB2</t>
  </si>
  <si>
    <t>3D-structure; Acetylation; Alternative splicing; Cytoplasmic vesicle; Golgi apparatus; Membrane; Nitration; Polymorphism; Protein transport; Transport</t>
  </si>
  <si>
    <t>Cytoplasmic vesicle; Golgi apparatus; Membrane</t>
  </si>
  <si>
    <t>Acetylation; Nitration</t>
  </si>
  <si>
    <t>antigen processing and presentation of exogenous peptide antigen via MHC class II {GO:0019886}; determination of left/right symmetry {GO:0007368}; heart development {GO:0007507}; intracellular protein transport {GO:0006886}; regulation of defense response to virus by virus {GO:0050690}; vesicle-mediated transport {GO:0016192}</t>
  </si>
  <si>
    <t>clathrin adaptor complex {GO:0030131}; clathrin-coated vesicle membrane {GO:0030665}; cytoplasmic vesicle membrane {GO:0030659}; cytosol {GO:0005829}; Golgi apparatus {GO:0005794}; Golgi membrane {GO:0000139}; intracellular membrane-bounded organelle {GO:0043231}; lysosomal membrane {GO:0005765}; trans-Golgi network membrane {GO:0032588}</t>
  </si>
  <si>
    <t>clathrin binding {GO:0030276}; protein kinase binding {GO:0019901}</t>
  </si>
  <si>
    <t>Nef mediated downregulation of MHC class I complex cell surface expression {R-HSA-164940}; MHC class II antigen presentation {R-HSA-2132295}; Lysosome Vesicle Biogenesis {R-HSA-432720}; Golgi Associated Vesicle Biogenesis {R-HSA-432722}</t>
  </si>
  <si>
    <t>Desmoglein-1</t>
  </si>
  <si>
    <t>Cadherin family member 4; Desmosomal glycoprotein 1 (DG1; DGI); Pemphigus foliaceus antigen</t>
  </si>
  <si>
    <t>DSG1_HUMAN</t>
  </si>
  <si>
    <t>Q02413</t>
  </si>
  <si>
    <t>B7Z845</t>
  </si>
  <si>
    <t>CDHF4</t>
  </si>
  <si>
    <t>Alternative splicing; Calcium; Cell adhesion; Cell junction; Cell membrane; Cleavage on pair of basic residues; Glycoprotein; Hypotrichosis; Membrane; Metal-binding; Palmoplantar keratoderma; Phosphoprotein; Polymorphism; Repeat; Signal; Transmembrane; Transmembrane helix</t>
  </si>
  <si>
    <t>Hypotrichosis; Palmoplantar keratoderma</t>
  </si>
  <si>
    <t>calcium-dependent cell-cell adhesion via plasma membrane cell adhesion molecules {GO:0016339}; cell-cell adhesion {GO:0098609}; cell-cell junction assembly {GO:0007043}; cornification {GO:0070268}; homophilic cell adhesion via plasma membrane adhesion molecules {GO:0007156}; keratinization {GO:0031424}; maternal process involved in female pregnancy {GO:0060135}; neutrophil degranulation {GO:0043312}; protein stabilization {GO:0050821}; response to progesterone {GO:0032570}</t>
  </si>
  <si>
    <t>apical plasma membrane {GO:0016324}; cell-cell junction {GO:0005911}; cornified envelope {GO:0001533}; cytoplasmic side of plasma membrane {GO:0009898}; cytosol {GO:0005829}; desmosome {GO:0030057}; ficolin-1-rich granule membrane {GO:0101003}; integral component of membrane {GO:0016021}; lateral plasma membrane {GO:0016328}; plasma membrane {GO:0005886}</t>
  </si>
  <si>
    <t>calcium ion binding {GO:0005509}; gamma-catenin binding {GO:0045295}; toxic substance binding {GO:0015643}</t>
  </si>
  <si>
    <t>Apoptotic cleavage of cell adhesion proteins {R-HSA-351906}; Neutrophil degranulation {R-HSA-6798695}; Keratinization {R-HSA-6805567}; Formation of the cornified envelope {R-HSA-6809371}</t>
  </si>
  <si>
    <t>Laminin subunit alpha-3</t>
  </si>
  <si>
    <t>Epiligrin 170 kDa subunit (E170); Epiligrin subunit alpha; Kalinin subunit alpha; Laminin-5 subunit alpha; Laminin-6 subunit alpha; Laminin-7 subunit alpha; Nicein subunit alpha</t>
  </si>
  <si>
    <t>LAMA3_HUMAN</t>
  </si>
  <si>
    <t>Q16787</t>
  </si>
  <si>
    <t>B0YJ33; Q13679; Q13680; Q6VU67; Q6VU68; Q6VU69; Q76E14; Q96TG0</t>
  </si>
  <si>
    <t>LAMNA</t>
  </si>
  <si>
    <t>Alternative splicing; Basement membrane; Cell adhesion; Coiled coil; Disulfide bond; Epidermolysis bullosa; Extracellular matrix; Glycoprotein; Laminin EGF-like domain; Polymorphism; Repeat; Secreted; Signal</t>
  </si>
  <si>
    <t>Epidermolysis bullosa</t>
  </si>
  <si>
    <t>animal organ morphogenesis {GO:0009887}; cell migration {GO:0016477}; cell-cell adhesion {GO:0098609}; endodermal cell differentiation {GO:0035987}; epidermis development {GO:0008544}; extracellular matrix organization {GO:0030198}; hemidesmosome assembly {GO:0031581}; integrin-mediated signaling pathway {GO:0007229}; morphogenesis of a polarized epithelium {GO:0001738}; regulation of cell adhesion {GO:0030155}; regulation of cell migration {GO:0030334}; regulation of embryonic development {GO:0045995}; tissue development {GO:0009888}</t>
  </si>
  <si>
    <t>basement membrane {GO:0005604}; collagen-containing extracellular matrix {GO:0062023}; endoplasmic reticulum {GO:0005783}; extracellular exosome {GO:0070062}; extracellular region {GO:0005576}; laminin-5 complex {GO:0005610}</t>
  </si>
  <si>
    <t>integrin binding {GO:0005178}; structural molecule activity {GO:0005198}</t>
  </si>
  <si>
    <t>Degradation of the extracellular matrix {R-HSA-1474228}; Assembly of collagen fibrils and other multimeric structures {R-HSA-2022090}; Anchoring fibril formation {R-HSA-2214320}; Laminin interactions {R-HSA-3000157}; Non-integrin membrane-ECM interactions {R-HSA-3000171}; ECM proteoglycans {R-HSA-3000178}; Type I hemidesmosome assembly {R-HSA-446107}; MET activates PTK2 signaling {R-HSA-8874081}</t>
  </si>
  <si>
    <t>Inositol monophosphatase 1 (IMP 1; IMPase 1)</t>
  </si>
  <si>
    <t>D-galactose 1-phosphate phosphatase; Inositol-1(or 4)-monophosphatase 1; Lithium-sensitive myo-inositol monophosphatase A1</t>
  </si>
  <si>
    <t>IMPA1_HUMAN</t>
  </si>
  <si>
    <t>P29218</t>
  </si>
  <si>
    <t>B2R733; B4DLN3; B7Z6Q4; J3KQT7; Q9UK71</t>
  </si>
  <si>
    <t>IMPA</t>
  </si>
  <si>
    <t>3D-structure; Alternative splicing; Cytoplasm; Hydrolase; Lithium; Magnesium; Mental retardation; Metal-binding; Phosphoprotein; Polymorphism</t>
  </si>
  <si>
    <t>Lithium; Magnesium; Metal-binding</t>
  </si>
  <si>
    <t>inositol biosynthetic process {GO:0006021}; inositol phosphate dephosphorylation {GO:0046855}; inositol phosphate metabolic process {GO:0043647}; phosphate-containing compound metabolic process {GO:0006796}; phosphatidylinositol biosynthetic process {GO:0006661}; phosphatidylinositol phosphorylation {GO:0046854}; signal transduction {GO:0007165}</t>
  </si>
  <si>
    <t>identical protein binding {GO:0042802}; inositol monophosphate 1-phosphatase activity {GO:0008934}; inositol monophosphate 3-phosphatase activity {GO:0052832}; inositol monophosphate 4-phosphatase activity {GO:0052833}; inositol monophosphate phosphatase activity {GO:0052834}; lithium ion binding {GO:0031403}; magnesium ion binding {GO:0000287}; manganese ion binding {GO:0030145}; protein homodimerization activity {GO:0042803}</t>
  </si>
  <si>
    <t>Polyol metabolism; myo-inositol biosynthesis; myo- inositol from D-glucose 6-phosphate: step 2/2.</t>
  </si>
  <si>
    <t>Synthesis of IP2, IP, and Ins in the cytosol {R-HSA-1855183}</t>
  </si>
  <si>
    <t>Ras-related protein Rab-35</t>
  </si>
  <si>
    <t>GTP-binding protein RAY; Ras-related protein Rab-1C</t>
  </si>
  <si>
    <t>RAB35_HUMAN</t>
  </si>
  <si>
    <t>Q15286</t>
  </si>
  <si>
    <t>B2R6E0; B4E390</t>
  </si>
  <si>
    <t>RAB1C; RAY</t>
  </si>
  <si>
    <t>3D-structure; Alternative splicing; Cell membrane; Coated pit; Cytoplasmic vesicle; Endosome; GTP-binding; Lipoprotein; Membrane; Nucleotide-binding; Phosphoprotein; Prenylation; Protein transport; Transport</t>
  </si>
  <si>
    <t>Cell membrane; Coated pit; Cytoplasmic vesicle; Endosome; Membrane</t>
  </si>
  <si>
    <t>Lipoprotein; Phosphoprotein; Prenylation</t>
  </si>
  <si>
    <t>antigen processing and presentation {GO:0019882}; cellular response to nerve growth factor stimulus {GO:1990090}; endocytic recycling {GO:0032456}; endosomal transport {GO:0016197}; intracellular protein transport {GO:0006886}; mitotic cytokinesis {GO:0000281}; neuron projection development {GO:0031175}; plasma membrane to endosome transport {GO:0048227}; protein localization {GO:0008104}; protein localization to endosome {GO:0036010}; Rab protein signal transduction {GO:0032482}</t>
  </si>
  <si>
    <t>anchored component of synaptic vesicle membrane {GO:0098993}; cell projection membrane {GO:0031253}; clathrin-coated endocytic vesicle {GO:0045334}; clathrin-coated pit {GO:0005905}; clathrin-coated vesicle membrane {GO:0030665}; cytosol {GO:0005829}; endosome membrane {GO:0010008}; extracellular exosome {GO:0070062}; Golgi membrane {GO:0000139}; intercellular bridge {GO:0045171}; melanosome {GO:0042470}; plasma membrane {GO:0005886}; recycling endosome membrane {GO:0055038}</t>
  </si>
  <si>
    <t>GDP binding {GO:0019003}; GTP binding {GO:0005525}; GTPase activity {GO:0003924}; phosphatidylinositol-4,5-bisphosphate binding {GO:0005546}</t>
  </si>
  <si>
    <t>P2X purinoceptor 4 (P2X4)</t>
  </si>
  <si>
    <t>ATP receptor; Purinergic receptor</t>
  </si>
  <si>
    <t>P2RX4_HUMAN</t>
  </si>
  <si>
    <t>Q99571</t>
  </si>
  <si>
    <t>E7EPF7; F6RU17; O00450; O14722; Q5U089; Q5U090; Q8N4N1; Q9UBG9</t>
  </si>
  <si>
    <t>Alternative splicing; Disulfide bond; Glycoprotein; Ion channel; Ion transport; Ligand-gated ion channel; Membrane; Polymorphism; Receptor; Transmembrane; Transmembrane helix; Transport</t>
  </si>
  <si>
    <t>Ion channel; Ligand-gated ion channel; Receptor</t>
  </si>
  <si>
    <t>apoptotic signaling pathway {GO:0097190}; behavioral response to pain {GO:0048266}; blood coagulation {GO:0007596}; calcium ion transmembrane transport {GO:0070588}; calcium-mediated signaling {GO:0019722}; cation transport {GO:0006812}; cellular response to ATP {GO:0071318}; cellular response to zinc ion {GO:0071294}; endothelial cell activation {GO:0042118}; ion transmembrane transport {GO:0034220}; membrane depolarization {GO:0051899}; microglial cell migration {GO:1904124}; negative regulation of cardiac muscle hypertrophy {GO:0010614}; neuronal action potential {GO:0019228}; positive regulation of blood vessel endothelial cell migration {GO:0043536}; positive regulation of calcium ion transport {GO:0051928}; positive regulation of calcium ion transport into cytosol {GO:0010524}; positive regulation of calcium-mediated signaling {GO:0050850}; positive regulation of endothelial cell chemotaxis {GO:2001028}; positive regulation of microglial cell migration {GO:1904141}; positive regulation of nitric oxide biosynthetic process {GO:0045429}; positive regulation of prostaglandin secretion {GO:0032308}; positive regulation of protein kinase B signaling {GO:0051897}; protein homooligomerization {GO:0051260}; purinergic nucleotide receptor signaling pathway {GO:0035590}; regulation of blood pressure {GO:0008217}; regulation of cardiac muscle contraction {GO:0055117}; regulation of chemotaxis {GO:0050920}; regulation of sodium ion transport {GO:0002028}; relaxation of cardiac muscle {GO:0055119}; response to ATP {GO:0033198}; response to axon injury {GO:0048678}; response to fluid shear stress {GO:0034405}; response to ischemia {GO:0002931}; sensory perception of pain {GO:0019233}; sensory perception of touch {GO:0050975}; signal transduction {GO:0007165}; tissue homeostasis {GO:0001894}</t>
  </si>
  <si>
    <t>cell body {GO:0044297}; cell junction {GO:0030054}; dendritic spine {GO:0043197}; extracellular exosome {GO:0070062}; integral component of membrane {GO:0016021}; integral component of nuclear inner membrane {GO:0005639}; integral component of plasma membrane {GO:0005887}; lysosomal membrane {GO:0005765}; membrane {GO:0016020}; neuronal cell body {GO:0043025}; perinuclear region of cytoplasm {GO:0048471}; plasma membrane {GO:0005886}; postsynaptic density {GO:0014069}; terminal bouton {GO:0043195}</t>
  </si>
  <si>
    <t>ATP binding {GO:0005524}; ATP-gated ion channel activity {GO:0035381}; cadherin binding {GO:0045296}; copper ion binding {GO:0005507}; extracellularly ATP-gated cation channel activity {GO:0004931}; ligand-gated calcium channel activity {GO:0099604}; protein homodimerization activity {GO:0042803}; purinergic nucleotide receptor activity {GO:0001614}; signaling receptor binding {GO:0005102}; zinc ion binding {GO:0008270}</t>
  </si>
  <si>
    <t>Elevation of cytosolic Ca2+ levels {R-HSA-139853}; Platelet homeostasis {R-HSA-418346}</t>
  </si>
  <si>
    <t>Palmitoyl-protein thioesterase 1 (PPT-1)</t>
  </si>
  <si>
    <t>Palmitoyl-protein hydrolase 1</t>
  </si>
  <si>
    <t>PPT1_HUMAN</t>
  </si>
  <si>
    <t>P50897</t>
  </si>
  <si>
    <t>B4DY24; Q6FGQ4</t>
  </si>
  <si>
    <t>CLN1 PPT</t>
  </si>
  <si>
    <t>3D-structure; Alternative splicing; Disease mutation; Disulfide bond; Glycoprotein; Hydrolase; Lysosome; Neurodegeneration; Neuronal ceroid lipofuscinosis; Polymorphism; Secreted; Sensory transduction; Signal; Vision</t>
  </si>
  <si>
    <t>Disease mutation; Neurodegeneration; Neuronal ceroid lipofuscinosis</t>
  </si>
  <si>
    <t>adult locomotory behavior {GO:0008344}; associative learning {GO:0008306}; brain development {GO:0007420}; cellular protein catabolic process {GO:0044257}; cofactor metabolic process {GO:0051186}; cofactor transport {GO:0051181}; fatty-acyl-CoA biosynthetic process {GO:0046949}; grooming behavior {GO:0007625}; lipid catabolic process {GO:0016042}; lysosomal lumen acidification {GO:0007042}; membrane raft organization {GO:0031579}; negative regulation of apoptotic process {GO:0043066}; negative regulation of cell growth {GO:0030308}; negative regulation of neuron apoptotic process {GO:0043524}; nervous system development {GO:0007399}; neuron development {GO:0048666}; neurotransmitter secretion {GO:0007269}; pinocytosis {GO:0006907}; positive regulation of pinocytosis {GO:0048549}; positive regulation of receptor-mediated endocytosis {GO:0048260}; protein catabolic process {GO:0030163}; protein depalmitoylation {GO:0002084}; protein transport {GO:0015031}; receptor-mediated endocytosis {GO:0006898}; regulation of phospholipase A2 activity {GO:0032429}; regulation of synapse structure or activity {GO:0050803}; response to stimulus {GO:0050896}; sphingolipid catabolic process {GO:0030149}; visual perception {GO:0007601}</t>
  </si>
  <si>
    <t>axon {GO:0030424}; cytosol {GO:0005829}; dendrite {GO:0030425}; extracellular exosome {GO:0070062}; extracellular region {GO:0005576}; Golgi apparatus {GO:0005794}; lysosomal lumen {GO:0043202}; lysosome {GO:0005764}; membrane {GO:0016020}; membrane raft {GO:0045121}; neuronal cell body {GO:0043025}; nucleus {GO:0005634}; synaptic vesicle {GO:0008021}</t>
  </si>
  <si>
    <t>palmitoyl-(protein) hydrolase activity {GO:0008474}; palmitoyl-CoA hydrolase activity {GO:0016290}</t>
  </si>
  <si>
    <t>Fatty acyl-CoA biosynthesis {R-HSA-75105}</t>
  </si>
  <si>
    <t>60S ribosomal protein L6</t>
  </si>
  <si>
    <t>Large ribosomal subunit protein eL6; Neoplasm-related protein C140; Tax-responsive enhancer element-binding protein 107 (TaxREB107)</t>
  </si>
  <si>
    <t>RL6_HUMAN</t>
  </si>
  <si>
    <t>Q02878</t>
  </si>
  <si>
    <t>Q2M3Q3; Q8WW97</t>
  </si>
  <si>
    <t>TXREB1</t>
  </si>
  <si>
    <t>3D-structure; Acetylation; Cytoplasm; Endoplasmic reticulum; Isopeptide bond; Phosphoprotein; Polymorphism; Ribonucleoprotein; Ribosomal protein; Ubl conjugation</t>
  </si>
  <si>
    <t>cytoplasmic translation {GO:0002181}; nuclear-transcribed mRNA catabolic process, nonsense-mediated decay {GO:0000184}; regulation of transcription, DNA-templated {GO:0006355}; ribosomal large subunit assembly {GO:0000027}; SRP-dependent cotranslational protein targeting to membrane {GO:0006614}; translation {GO:0006412}; translational initiation {GO:0006413}; viral transcription {GO:0019083}</t>
  </si>
  <si>
    <t>cytoplasmic ribonucleoprotein granule {GO:0036464}; cytosol {GO:0005829}; cytosolic large ribosomal subunit {GO:0022625}; focal adhesion {GO:0005925}; membrane {GO:0016020}; nucleus {GO:0005634}; polysomal ribosome {GO:0042788}; postsynaptic density {GO:0014069}; rough endoplasmic reticulum {GO:0005791}</t>
  </si>
  <si>
    <t>cadherin binding {GO:0045296}; DNA binding {GO:0003677}; RNA binding {GO:0003723}; structural constituent of ribosome {GO:0003735}</t>
  </si>
  <si>
    <t>Vacuolar protein sorting-associated protein 29 (hVPS29)</t>
  </si>
  <si>
    <t>PEP11 homolog; Vesicle protein sorting 29</t>
  </si>
  <si>
    <t>VPS29_HUMAN</t>
  </si>
  <si>
    <t>Q9UBQ0</t>
  </si>
  <si>
    <t>Q502Y5; Q6FIF8; Q6IAH3; Q9H0W0; Q9NRP1; Q9NRU7</t>
  </si>
  <si>
    <t>3D-structure; Acetylation; Alternative splicing; Cytoplasm; Endosome; Host-virus interaction; Membrane; Metal-binding; Protein transport; Transport; Zinc</t>
  </si>
  <si>
    <t>Host-virus interaction; Protein transport; Transport</t>
  </si>
  <si>
    <t>endocytic recycling {GO:0032456}; intracellular protein transport {GO:0006886}; retrograde transport, endosome to Golgi {GO:0042147}; retrograde transport, endosome to plasma membrane {GO:1990126}; viral process {GO:0016032}; Wnt signaling pathway {GO:0016055}</t>
  </si>
  <si>
    <t>cytosol {GO:0005829}; early endosome {GO:0005769}; endosome {GO:0005768}; endosome membrane {GO:0010008}; intracellular membrane-bounded organelle {GO:0043231}; late endosome {GO:0005770}; retromer complex {GO:0030904}; retromer, cargo-selective complex {GO:0030906}</t>
  </si>
  <si>
    <t>WNT ligand biogenesis and trafficking {R-HSA-3238698}</t>
  </si>
  <si>
    <t>Transmembrane emp24 domain-containing protein 2</t>
  </si>
  <si>
    <t>Membrane protein p24A; p24; p24 family protein beta-1 (p24beta1)</t>
  </si>
  <si>
    <t>TMED2_HUMAN</t>
  </si>
  <si>
    <t>Q15363</t>
  </si>
  <si>
    <t>RNP24</t>
  </si>
  <si>
    <t>3D-structure; Coiled coil; Cytoplasmic vesicle; Endoplasmic reticulum; ER-Golgi transport; Golgi apparatus; Membrane; Protein transport; Signal; Transmembrane; Transmembrane helix; Transport</t>
  </si>
  <si>
    <t>Cytoplasmic vesicle; Endoplasmic reticulum; Golgi apparatus; Membrane</t>
  </si>
  <si>
    <t>COPI coating of Golgi vesicle {GO:0048205}; COPII vesicle coating {GO:0048208}; endoplasmic reticulum to Golgi vesicle-mediated transport {GO:0006888}; Golgi organization {GO:0007030}; heart looping {GO:0001947}; intracellular protein transport {GO:0006886}; labyrinthine layer blood vessel development {GO:0060716}; maternal placenta development {GO:0001893}; multicellular organism growth {GO:0035264}; negative regulation of GTPase activity {GO:0034260}; neural tube closure {GO:0001843}; positive regulation of gene expression {GO:0010628}; post-anal tail morphogenesis {GO:0036342}; protein localization to plasma membrane {GO:0072659}; retrograde vesicle-mediated transport, Golgi to endoplasmic reticulum {GO:0006890}; somite rostral/caudal axis specification {GO:0032525}; vesicle cargo loading {GO:0035459}</t>
  </si>
  <si>
    <t>COPI-coated vesicle {GO:0030137}; COPI-coated vesicle membrane {GO:0030663};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ER to Golgi transport vesicle membrane {GO:0012507}; Golgi apparatus {GO:0005794}; Golgi cisterna membrane {GO:0032580}; Golgi membrane {GO:0000139}; integral component of membrane {GO:0016021}; intracellular membrane-bounded organelle {GO:0043231}; transport vesicle {GO:0030133}; zymogen granule membrane {GO:0042589}</t>
  </si>
  <si>
    <t>Pre-NOTCH Processing in Golgi {R-HSA-1912420}; COPII-mediated vesicle transport {R-HSA-204005}; Cargo concentration in the ER {R-HSA-5694530}; COPI-mediated anterograde transport {R-HSA-6807878}; COPI-dependent Golgi-to-ER retrograde traffic {R-HSA-6811434}</t>
  </si>
  <si>
    <t>Heterogeneous nuclear ribonucleoprotein A1-like 2 (hnRNP A1-like 2)</t>
  </si>
  <si>
    <t>hnRNP core protein A1-like 2</t>
  </si>
  <si>
    <t>RA1L2_HUMAN</t>
  </si>
  <si>
    <t>Q32P51</t>
  </si>
  <si>
    <t>Q5TBS2</t>
  </si>
  <si>
    <t>HNRNPA1L</t>
  </si>
  <si>
    <t>Acetylation; Cytoplasm; Methylation; mRNA processing; mRNA splicing; mRNA transport; Nucleus; Phosphoprotein; Polymorphism; Repeat; Ribonucleoprotein; RNA-binding; Spliceosome; Transport</t>
  </si>
  <si>
    <t>mRNA processing {GO:0006397}; mRNA transport {GO:0051028}; RNA splicing {GO:0008380}</t>
  </si>
  <si>
    <t>cytoplasm {GO:0005737}; ribonucleoprotein complex {GO:1990904}; spliceosomal complex {GO:0005681}</t>
  </si>
  <si>
    <t>mRNA binding {GO:0003729}; RNA binding {GO:0003723}</t>
  </si>
  <si>
    <t>GTP-binding nuclear protein Ran</t>
  </si>
  <si>
    <t>Androgen receptor-associated protein 24; GTPase Ran; Ras-like protein TC4; Ras-related nuclear protein</t>
  </si>
  <si>
    <t>RAN_HUMAN</t>
  </si>
  <si>
    <t>P62826</t>
  </si>
  <si>
    <t>A8K3Z8; P17080; P28746; P28747; Q6IPB2; Q86V08; Q8NI90; Q9CSP3; Q9CWI7; Q9CZA2; Q9UDJ5; Q9UEU9</t>
  </si>
  <si>
    <t>ARA24</t>
  </si>
  <si>
    <t>3D-structure; Acetylation; Cell cycle; Cell division; Cytoplasm; GTP-binding; Host-virus interaction; Isopeptide bond; Magnesium; Metal-binding; Mitosis; Nucleotide-binding; Nucleus; Phosphoprotein; Protein transport; Transport; Ubl conjugation</t>
  </si>
  <si>
    <t>Cell cycle; Cell division; Host-virus interaction; Mitosis; Protein transport; Transport</t>
  </si>
  <si>
    <t>actin cytoskeleton organization {GO:0030036}; androgen receptor signaling pathway {GO:0030521}; cell division {GO:0051301}; cellular protein-containing complex localization {GO:0034629}; cellular response to mineralocorticoid stimulus {GO:0071389}; DNA metabolic process {GO:0006259}; GTP metabolic process {GO:0046039}; hippocampus development {GO:0021766}; intracellular transport of virus {GO:0075733}; miRNA metabolic process {GO:0010586}; mitotic cell cycle {GO:0000278}; mitotic sister chromatid segregation {GO:0000070}; mitotic spindle organization {GO:0007052}; positive regulation of protein binding {GO:0032092}; positive regulation of protein import into nucleus {GO:0042307}; positive regulation of transcription, DNA-templated {GO:0045893}; pre-miRNA export from nucleus {GO:0035281}; protein export from nucleus {GO:0006611}; protein import into nucleus {GO:0006606}; protein localization to nucleolus {GO:1902570}; regulation of cholesterol biosynthetic process {GO:0045540}; ribosomal large subunit export from nucleus {GO:0000055}; ribosomal small subunit export from nucleus {GO:0000056}; snRNA import into nucleus {GO:0061015}; spermatid development {GO:0007286}; tRNA export from nucleus {GO:0006409}; viral process {GO:0016032}</t>
  </si>
  <si>
    <t>centriole {GO:0005814}; cytoplasm {GO:0005737}; cytosol {GO:0005829}; extracellular exosome {GO:0070062}; host cell {GO:0043657}; male germ cell nucleus {GO:0001673}; manchette {GO:0002177}; melanosome {GO:0042470}; membrane {GO:0016020}; midbody {GO:0030496}; nuclear envelope {GO:0005635}; nuclear pore {GO:0005643}; nucleolus {GO:0005730}; nucleoplasm {GO:0005654}; nucleus {GO:0005634}; protein-containing complex {GO:0032991}; recycling endosome {GO:0055037}; RNA nuclear export complex {GO:0042565}; sperm flagellum {GO:0036126}</t>
  </si>
  <si>
    <t>androgen receptor binding {GO:0050681}; cadherin binding {GO:0045296}; chromatin binding {GO:0003682}; dynein intermediate chain binding {GO:0045505}; GDP binding {GO:0019003}; GTP binding {GO:0005525}; GTPase activity {GO:0003924}; importin-alpha family protein binding {GO:0061676}; magnesium ion binding {GO:0000287}; protein domain specific binding {GO:0019904}; protein heterodimerization activity {GO:0046982}; protein-containing complex binding {GO:0044877}; RNA binding {GO:0003723}</t>
  </si>
  <si>
    <t>Rev-mediated nuclear export of HIV RNA {R-HSA-165054}; Regulation of cholesterol biosynthesis by SREBP (SREBF) {R-HSA-1655829}; NEP/NS2 Interacts with the Cellular Export Machinery {R-HSA-168333}; Nuclear import of Rev protein {R-HSA-180746}; MicroRNA (miRNA) biogenesis {R-HSA-203927}; Transcriptional regulation by small RNAs {R-HSA-5578749}; tRNA processing in the nucleus {R-HSA-6784531}</t>
  </si>
  <si>
    <t>Tumor necrosis factor receptor superfamily member 11A</t>
  </si>
  <si>
    <t>Osteoclast differentiation factor receptor (ODFR); Receptor activator of NF-KB; CD_antigen=CD265</t>
  </si>
  <si>
    <t>TNR11_HUMAN</t>
  </si>
  <si>
    <t>Q9Y6Q6</t>
  </si>
  <si>
    <t>I4EC36; I4EC38; I4EC39; I7JE63; N0GVH0; Q59EP9</t>
  </si>
  <si>
    <t>RANK</t>
  </si>
  <si>
    <t>3D-structure; Alternative splicing; Cell membrane; Deafness; Disease mutation; Disulfide bond; Glycoprotein; Membrane; Metal-binding; Osteopetrosis; Phosphoprotein; Polymorphism; Receptor; Repeat; Signal; Sodium; Transmembrane; Transmembrane helix</t>
  </si>
  <si>
    <t>Deafness; Disease mutation; Osteopetrosis</t>
  </si>
  <si>
    <t>Metal-binding; Sodium</t>
  </si>
  <si>
    <t>adaptive immune response {GO:0002250}; cell-cell signaling {GO:0007267}; circadian temperature homeostasis {GO:0060086}; lymph node development {GO:0048535}; mammary gland alveolus development {GO:0060749}; monocyte chemotaxis {GO:0002548}; multinuclear osteoclast differentiation {GO:0072674}; ossification {GO:0001503}; osteoclast differentiation {GO:0030316}; positive regulation of bone resorption {GO:0045780}; positive regulation of cell population proliferation {GO:0008284}; positive regulation of DNA-binding transcription factor activity {GO:0051091}; positive regulation of ERK1 and ERK2 cascade via TNFSF11-mediated signaling {GO:0071848}; positive regulation of fever generation by positive regulation of prostaglandin secretion {GO:0071812}; positive regulation of JUN kinase activity {GO:0043507}; positive regulation of NF-kappaB transcription factor activity {GO:0051092}; response to cytokine {GO:0034097}; response to interleukin-1 {GO:0070555}; response to lipopolysaccharide {GO:0032496}; response to radiation {GO:0009314}; response to tumor necrosis factor {GO:0034612}; signal transduction {GO:0007165}; TNFSF11-mediated signaling pathway {GO:0071847}; tumor necrosis factor-mediated signaling pathway {GO:0033209}</t>
  </si>
  <si>
    <t>cytosol {GO:0005829}; external side of plasma membrane {GO:0009897}; integral component of membrane {GO:0016021}; plasma membrane {GO:0005886}</t>
  </si>
  <si>
    <t>cytokine binding {GO:0019955}; metal ion binding {GO:0046872}; signaling receptor activity {GO:0038023}; transmembrane signaling receptor activity {GO:0004888}; tumor necrosis factor-activated receptor activity {GO:0005031}</t>
  </si>
  <si>
    <t>TNFR2 non-canonical NF-kB pathway {R-HSA-5668541}; TNF receptor superfamily (TNFSF) members mediating non-canonical NF-kB pathway {R-HSA-5676594}</t>
  </si>
  <si>
    <t>Desmocollin-2</t>
  </si>
  <si>
    <t>Cadherin family member 2; Desmocollin-3; Desmosomal glycoprotein II; Desmosomal glycoprotein III</t>
  </si>
  <si>
    <t>DSC2_HUMAN</t>
  </si>
  <si>
    <t>Q02487</t>
  </si>
  <si>
    <t>3D-structure; Alternative splicing; Calcium; Cardiomyopathy; Cell adhesion; Cell junction; Cell membrane; Cleavage on pair of basic residues; Disease mutation; Glycoprotein; Membrane; Metal-binding; Phosphoprotein; Polymorphism; Repeat; Signal; Transmembrane; Transmembrane helix</t>
  </si>
  <si>
    <t>bundle of His cell-Purkinje myocyte adhesion involved in cell communication {GO:0086073}; cardiac muscle cell-cardiac muscle cell adhesion {GO:0086042}; cell adhesion {GO:0007155}; cell-cell adhesion {GO:0098609}; cellular response to starvation {GO:0009267}; cornification {GO:0070268}; homophilic cell adhesion via plasma membrane adhesion molecules {GO:0007156}; keratinization {GO:0031424}; regulation of heart rate by cardiac conduction {GO:0086091}; regulation of ventricular cardiac muscle cell action potential {GO:0098911}</t>
  </si>
  <si>
    <t>cell-cell adherens junction {GO:0005913}; cell-cell junction {GO:0005911}; cornified envelope {GO:0001533}; cytoplasmic vesicle {GO:0031410}; desmosome {GO:0030057}; extracellular exosome {GO:0070062}; integral component of membrane {GO:0016021}; intercalated disc {GO:0014704}; plasma membrane {GO:0005886}</t>
  </si>
  <si>
    <t>calcium ion binding {GO:0005509}; cell adhesive protein binding involved in bundle of His cell-Purkinje myocyte communication {GO:0086083}</t>
  </si>
  <si>
    <t>Keratinization {R-HSA-6805567}; Formation of the cornified envelope {R-HSA-6809371}</t>
  </si>
  <si>
    <t>Density-regulated protein (DRP)</t>
  </si>
  <si>
    <t>Protein DRP1; Smooth muscle cell-associated protein 3 (SMAP-3)</t>
  </si>
  <si>
    <t>DENR_HUMAN</t>
  </si>
  <si>
    <t>O43583</t>
  </si>
  <si>
    <t>Q9H3U6; Q9UKZ0</t>
  </si>
  <si>
    <t>DRP1</t>
  </si>
  <si>
    <t>3D-structure; Acetylation; Initiation factor; Phosphoprotein; Protein biosynthesis</t>
  </si>
  <si>
    <t>Initiation factor</t>
  </si>
  <si>
    <t>formation of translation preinitiation complex {GO:0001731}; IRES-dependent viral translational initiation {GO:0075522}; ribosome disassembly {GO:0032790}; translation reinitiation {GO:0002188}</t>
  </si>
  <si>
    <t>mRNA binding {GO:0003729}; translation initiation factor activity {GO:0003743}</t>
  </si>
  <si>
    <t>26S proteasome non-ATPase regulatory subunit 9</t>
  </si>
  <si>
    <t>26S proteasome regulatory subunit p27</t>
  </si>
  <si>
    <t>PSMD9_HUMAN</t>
  </si>
  <si>
    <t>O00233</t>
  </si>
  <si>
    <t>B2RD35; G3V1Q6; Q9BQ42</t>
  </si>
  <si>
    <t>Alternative splicing; Chaperone; Phosphoprotein; Polymorphism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</si>
  <si>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insulin secretion {GO:0046676}; NIK/NF-kappaB signaling {GO:0038061}; positive regulation of canonical Wnt signaling pathway {GO:0090263}; positive regulation of insulin secretion {GO:0032024}; positive regulation of transcription, DNA-templated {GO:0045893}; post-translational protein modification {GO:0043687}; proteasome regulatory particle assembly {GO:0070682};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</si>
  <si>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cytoplasm {GO:0005737}; cytosol {GO:0005829}; nucleoplasm {GO:0005654}; nucleus {GO:0005634}; proteasome regulatory particle {GO:0005838}; proteasome regulatory particle, base subcomplex {GO:0008540}</t>
  </si>
  <si>
    <t>bHLH transcription factor binding {GO:0043425}; transcription coactivator activity {GO:0003713}</t>
  </si>
  <si>
    <t>3-ketoacyl-CoA thiolase, mitochondrial</t>
  </si>
  <si>
    <t>Acetyl-CoA acyltransferase; Beta-ketothiolase; Mitochondrial 3-oxoacyl-CoA thiolase; T1</t>
  </si>
  <si>
    <t>THIM_HUMAN</t>
  </si>
  <si>
    <t>P42765</t>
  </si>
  <si>
    <t>Q9BUT6</t>
  </si>
  <si>
    <t>3D-structure; Acetylation; Acyltransferase; Fatty acid metabolism; Lipid metabolism; Mitochondrion; Phosphoprotein; Polymorphism; Transferase; Transit peptide</t>
  </si>
  <si>
    <t>cellular response to hypoxia {GO:0071456}; cholesterol biosynthetic process {GO:0006695}; fatty acid beta-oxidation {GO:0006635}; negative regulation of mitochondrial membrane permeability involved in apoptotic process {GO:1902109}; negative regulation of mitochondrial outer membrane permeabilization involved in apoptotic signaling pathway {GO:1901029}</t>
  </si>
  <si>
    <t>acetyl-CoA C-acetyltransferase activity {GO:0003985}; acetyl-CoA C-acyltransferase activity {GO:0003988}; RNA binding {GO:0003723}</t>
  </si>
  <si>
    <t>Lipid metabolism; fatty acid metabolism.</t>
  </si>
  <si>
    <t>Mitochondrial Fatty Acid Beta-Oxidation {R-HSA-77289}</t>
  </si>
  <si>
    <t>Ran-specific GTPase-activating protein</t>
  </si>
  <si>
    <t>Ran-binding protein 1 (RanBP1)</t>
  </si>
  <si>
    <t>RANG_HUMAN</t>
  </si>
  <si>
    <t>P43487</t>
  </si>
  <si>
    <t>Q53EY3</t>
  </si>
  <si>
    <t>3D-structure; Acetylation; Alternative splicing; GTPase activation; Isopeptide bond; Phosphoprotein; Polymorphism; Ubl conjugation</t>
  </si>
  <si>
    <t>intracellular transport {GO:0046907}; positive regulation of mitotic centrosome separation {GO:0046604}; signal transduction {GO:0007165}; viral process {GO:0016032}</t>
  </si>
  <si>
    <t>centrosome {GO:0005813}; cytoplasm {GO:0005737}; cytosol {GO:0005829}; nuclear envelope {GO:0005635}; nuclear pore {GO:0005643}; nucleus {GO:0005634}</t>
  </si>
  <si>
    <t>cadherin binding {GO:0045296}; GDP-dissociation inhibitor activity {GO:0005092}; GTPase activator activity {GO:0005096}; Ran GTPase binding {GO:0008536}</t>
  </si>
  <si>
    <t>Rev-mediated nuclear export of HIV RNA {R-HSA-165054}</t>
  </si>
  <si>
    <t>Glutathione S-transferase theta-1</t>
  </si>
  <si>
    <t>GST class-theta-1; Glutathione transferase T1-1</t>
  </si>
  <si>
    <t>GSTT1_HUMAN</t>
  </si>
  <si>
    <t>P30711</t>
  </si>
  <si>
    <t>O00226; Q5TZY2; Q6IC69; Q969K8; Q96IY3</t>
  </si>
  <si>
    <t>3D-structure; Alternative splicing; Cytoplasm; Polymorphism; Transferase</t>
  </si>
  <si>
    <t>glutathione derivative biosynthetic process {GO:1901687}; glutathione metabolic process {GO:0006749}</t>
  </si>
  <si>
    <t>glutathione peroxidase activity {GO:0004602}; glutathione transferase activity {GO:0004364}</t>
  </si>
  <si>
    <t>Glutathione conjugation {R-HSA-156590}</t>
  </si>
  <si>
    <t>Actin-related protein 2/3 complex subunit 3</t>
  </si>
  <si>
    <t>Arp2/3 complex 21 kDa subunit (p21-ARC)</t>
  </si>
  <si>
    <t>ARPC3_HUMAN</t>
  </si>
  <si>
    <t>O15145</t>
  </si>
  <si>
    <t>O00554</t>
  </si>
  <si>
    <t>ARC21</t>
  </si>
  <si>
    <t>Acetylation; Actin-binding; Cell projection; Cytoplasm; Cytoskeleton; Isopeptide bond; Nucleus; Phosphoprotein; Ubl conjugation</t>
  </si>
  <si>
    <t>Cell projection; Cytoplasm; Cytoskeleton; Nucleus</t>
  </si>
  <si>
    <t>actin polymerization-dependent cell motility {GO:0070358}; Arp2/3 complex-mediated actin nucleation {GO:0034314}; cellular response to nerve growth factor stimulus {GO:1990090}; ephrin receptor signaling pathway {GO:0048013}; Fc-gamma receptor signaling pathway involved in phagocytosis {GO:0038096}; membrane organization {GO:0061024}</t>
  </si>
  <si>
    <t>actin cytoskeleton {GO:0015629}; Arp2/3 protein complex {GO:0005885}; cytosol {GO:0005829}; extracellular exosome {GO:0070062}; filamentous actin {GO:0031941}; focal adhesion {GO:0005925}; growth cone leading edge {GO:0061850}; lamellipodium {GO:0030027}; membrane {GO:0016020}; nucleus {GO:0005634}; site of double-strand break {GO:0035861}</t>
  </si>
  <si>
    <t>Regulation of actin dynamics for phagocytic cup formation {R-HSA-2029482}; EPHB-mediated forward signaling {R-HSA-3928662}; RHO GTPases Activate WASPs and WAVEs {R-HSA-5663213}; Clathrin-mediated endocytosis {R-HSA-8856828}</t>
  </si>
  <si>
    <t>Thioredoxin-like protein 1</t>
  </si>
  <si>
    <t>32 kDa thioredoxin-related protein</t>
  </si>
  <si>
    <t>TXNL1_HUMAN</t>
  </si>
  <si>
    <t>O43396</t>
  </si>
  <si>
    <t>TRP32; TXL; TXNL</t>
  </si>
  <si>
    <t>3D-structure; Cytoplasm; Disulfide bond; Electron transport; Nucleus; Phosphoprotein; Proteasome; Redox-active center; Transport</t>
  </si>
  <si>
    <t>Redox-active center</t>
  </si>
  <si>
    <t>cell redox homeostasis {GO:0045454}</t>
  </si>
  <si>
    <t>cytoplasm {GO:0005737}; cytosol {GO:0005829}; nucleus {GO:0005634}; proteasome complex {GO:0000502}</t>
  </si>
  <si>
    <t>disulfide oxidoreductase activity {GO:0015036}</t>
  </si>
  <si>
    <t>EMILIN-2</t>
  </si>
  <si>
    <t>Elastin microfibril interface-located protein 2 (Elastin microfibril interfacer 2); Protein FOAP-10</t>
  </si>
  <si>
    <t>EMIL2_HUMAN</t>
  </si>
  <si>
    <t>Q9BXX0</t>
  </si>
  <si>
    <t>B2RMY3; Q8NBH3; Q96JQ4</t>
  </si>
  <si>
    <t>Cell adhesion; Coiled coil; Collagen; Disulfide bond; Extracellular matrix; Glycoprotein; Polymorphism; Secreted; Signal</t>
  </si>
  <si>
    <t>Coiled coil; Collagen; Signal</t>
  </si>
  <si>
    <t>cell adhesion {GO:0007155}; positive regulation of cell-substrate adhesion {GO:0010811}</t>
  </si>
  <si>
    <t>collagen trimer {GO:0005581}; collagen-containing extracellular matrix {GO:0062023}; extracellular matrix {GO:0031012}; extracellular region {GO:0005576}</t>
  </si>
  <si>
    <t>extracellular matrix constituent conferring elasticity {GO:0030023}</t>
  </si>
  <si>
    <t>Collectin-12</t>
  </si>
  <si>
    <t>Collectin placenta protein 1 (CL-P1; hCL-P1); Nurse cell scavenger receptor 2; Scavenger receptor class A member 4; Scavenger receptor with C-type lectin</t>
  </si>
  <si>
    <t>COL12_HUMAN</t>
  </si>
  <si>
    <t>Q5KU26</t>
  </si>
  <si>
    <t>Q6P9F2; Q8TCR2; Q8WZA4; Q9BY85; Q9BYH7</t>
  </si>
  <si>
    <t>CLP1; NSR2; SCARA4; SRCL</t>
  </si>
  <si>
    <t>3D-structure; Calcium; Coiled coil; Collagen; Disulfide bond; Glycoprotein; Lectin; Membrane; Metal-binding; Polymorphism; Receptor; Repeat; Signal-anchor; Transmembrane; Transmembrane helix</t>
  </si>
  <si>
    <t>Coiled coil; Collagen; Repeat; Signal-anchor; Transmembrane; Transmembrane helix</t>
  </si>
  <si>
    <t>carbohydrate mediated signaling {GO:0009756}; cellular response to exogenous dsRNA {GO:0071360}; defense response {GO:0006952}; innate immune response {GO:0045087}; phagocytosis, recognition {GO:0006910}; positive regulation of cell adhesion molecule production {GO:0060355}; protein homooligomerization {GO:0051260}; receptor-mediated endocytosis {GO:0006898}; regulation of immune response {GO:0050776}; toll-like receptor 3 signaling pathway {GO:0034138}</t>
  </si>
  <si>
    <t>collagen trimer {GO:0005581}; endocytic vesicle membrane {GO:0030666}; extracellular matrix {GO:0031012}; extracellular space {GO:0005615}; integral component of membrane {GO:0016021}; plasma membrane {GO:0005886}</t>
  </si>
  <si>
    <t>galactose binding {GO:0005534}; low-density lipoprotein particle binding {GO:0030169}; metal ion binding {GO:0046872}; scavenger receptor activity {GO:0005044}; signaling pattern recognition receptor activity {GO:0008329}</t>
  </si>
  <si>
    <t>Immunoregulatory interactions between a Lymphoid and a non-Lymphoid cell {R-HSA-198933}; Scavenging by Class A Receptors {R-HSA-3000480}</t>
  </si>
  <si>
    <t>CAP-Gly domain-containing linker protein 1</t>
  </si>
  <si>
    <t>Cytoplasmic linker protein 1; Cytoplasmic linker protein 170 alpha-2 (CLIP-170); Reed-Sternberg intermediate filament-associated protein; Restin</t>
  </si>
  <si>
    <t>CLIP1_HUMAN</t>
  </si>
  <si>
    <t>P30622</t>
  </si>
  <si>
    <t>A0AVD3; Q17RS4; Q29RG0</t>
  </si>
  <si>
    <t>CYLN1; RSN</t>
  </si>
  <si>
    <t>3D-structure; Alternative splicing; Cell projection; Coiled coil; Cytoplasm; Cytoplasmic vesicle; Cytoskeleton; Membrane; Metal-binding; Microtubule; Phosphoprotein; Polymorphism; Repeat; Transport; Zinc; Zinc-finger</t>
  </si>
  <si>
    <t>Cell projection; Cytoplasm; Cytoplasmic vesicle; Cytoskeleton; Membrane; Microtubule</t>
  </si>
  <si>
    <t>Coiled coil; Repeat; Zinc-finger</t>
  </si>
  <si>
    <t>microtubule bundle formation {GO:0001578}; mitotic cell cycle {GO:0000278}; positive regulation of microtubule polymerization {GO:0031116}; protein transport into plasma membrane raft {GO:0044861}</t>
  </si>
  <si>
    <t>centrosome {GO:0005813}; cytoplasmic microtubule {GO:0005881}; cytoplasmic vesicle membrane {GO:0030659}; cytosol {GO:0005829}; endosome {GO:0005768}; intermediate filament {GO:0005882}; kinetochore {GO:0000776}; microtubule {GO:0005874}; microtubule cytoskeleton {GO:0015630}; microtubule plus-end {GO:0035371}; nuclear envelope {GO:0005635}; ruffle {GO:0001726}</t>
  </si>
  <si>
    <t>identical protein binding {GO:0042802}; metal ion binding {GO:0046872}; microtubule binding {GO:0008017}; microtubule plus-end binding {GO:0051010}; protein homodimerization activity {GO:0042803}; tubulin binding {GO:0015631}; zinc ion binding {GO:0008270}</t>
  </si>
  <si>
    <t>Amplification of signal from unattached kinetochores via a MAD2 inhibitory signal {R-HSA-141444}; Separation of Sister Chromatids {R-HSA-2467813}; Resolution of Sister Chromatid Cohesion {R-HSA-2500257}; RHO GTPases activate IQGAPs {R-HSA-5626467}; RHO GTPases Activate Formins {R-HSA-5663220}; Mitotic Prometaphase {R-HSA-68877}</t>
  </si>
  <si>
    <t>60S ribosomal protein L40</t>
  </si>
  <si>
    <t>CEP52; Ubiquitin A-52 residue ribosomal protein fusion product 1; Large ribosomal subunit protein eL40</t>
  </si>
  <si>
    <t>RL40_HUMAN</t>
  </si>
  <si>
    <t>P62987</t>
  </si>
  <si>
    <t>P02248; P02249; P02250; P14793; P62988; Q29120; Q6LBL4; Q6LDU5; Q8WYN8; Q91887; Q91888; Q9BWD6; Q9BX98; Q9UEF2; Q9UEG1; Q9UEK8; Q9UPK7</t>
  </si>
  <si>
    <t>UBCEP2</t>
  </si>
  <si>
    <t>3D-structure; ADP-ribosylation; Cytoplasm; Isopeptide bond; Methylation; Nucleus; Phosphoprotein; Ribonucleoprotein; Ribosomal protein; Ubl conjugation</t>
  </si>
  <si>
    <t>ADP-ribosylation; Isopeptide bond; Methylation; Phosphoprotein; Ubl conjugation</t>
  </si>
  <si>
    <t>activation of MAPK activity {GO:0000187}; anaphase-promoting complex-dependent catabolic process {GO:0031145}; cellular protein metabolic process {GO:0044267}; cellular protein modification process {GO:0006464}; cytokine-mediated signaling pathway {GO:0019221}; DNA damage response, detection of DNA damage {GO:0042769}; endosomal transport {GO:0016197}; error-free translesion synthesis {GO:0070987}; error-prone translesion synthesis {GO:0042276}; global genome nucleotide-excision repair {GO:0070911}; I-kappaB kinase/NF-kappaB signaling {GO:0007249}; interleukin-1-mediated signaling pathway {GO:0070498}; interstrand cross-link repair {GO:0036297}; intracellular transport of virus {GO:0075733}; JNK cascade {GO:0007254}; membrane organization {GO:0061024}; modification-dependent protein catabolic process {GO:0019941}; MyD88-dependent toll-like receptor signaling pathway {GO:0002755}; MyD88-independent toll-like receptor signaling pathway {GO:0002756}; negative regulation of apoptotic process {GO:0043066}; negative regulation of transcription by RNA polymerase II {GO:0000122}; negative regulation of transforming growth factor beta receptor signaling pathway {GO:0030512}; nuclear-transcribed mRNA catabolic process, nonsense-mediated decay {GO:0000184}; nucleotide-binding oligomerization domain containing signaling pathway {GO:0070423}; nucleotide-excision repair, DNA damage recognition {GO:0000715}; nucleotide-excision repair, DNA duplex unwinding {GO:0000717}; nucleotide-excision repair, DNA gap filling {GO:0006297}; nucleotide-excision repair, DNA incision {GO:0033683}; nucleotide-excision repair, DNA incision, 5'-to lesion {GO:0006296}; nucleotide-excision repair, preincision complex assembly {GO:0006294}; positive regulation of apoptotic process {GO:0043065}; positive regulation of NF-kappaB transcription factor activity {GO:0051092}; positive regulation of transcription by RNA polymerase II {GO:0045944}; protein deubiquitination {GO:0016579}; protein polyubiquitination {GO:0000209}; protein targeting to peroxisome {GO:0006625}; protein ubiquitination {GO:0016567}; regulation of mRNA stability {GO:0043488}; regulation of transcription from RNA polymerase II promoter in response to hypoxia {GO:0061418}; response to insecticide {GO:0017085}; SRP-dependent cotranslational protein targeting to membrane {GO:0006614}; stress-activated MAPK cascade {GO:0051403}; transcription-coupled nucleotide-excision repair {GO:0006283}; transforming growth factor beta receptor signaling pathway {GO:0007179}; translation {GO:0006412}; translational initiation {GO:0006413}; translesion synthesis {GO:0019985}; transmembrane transport {GO:0055085}; TRIF-dependent toll-like receptor signaling pathway {GO:0035666}; viral life cycle {GO:0019058}; viral transcription {GO:0019083}; virion assembly {GO:0019068}; Wnt signaling pathway {GO:0016055}</t>
  </si>
  <si>
    <t>cytoplasm {GO:0005737}; cytosol {GO:0005829}; cytosolic large ribosomal subunit {GO:0022625}; cytosolic small ribosomal subunit {GO:0022627}; endocytic vesicle membrane {GO:0030666}; endoplasmic reticulum {GO:0005783}; endoplasmic reticulum membrane {GO:0005789}; endosome membrane {GO:0010008}; extracellular exosome {GO:0070062}; extracellular space {GO:0005615}; host cell {GO:0043657}; lysosomal membrane {GO:0005765}; mitochondrial outer membrane {GO:0005741}; nucleoplasm {GO:0005654}; nucleus {GO:0005634}; plasma membrane {GO:0005886}; vesicle {GO:0031982}</t>
  </si>
  <si>
    <t>protein tag {GO:0031386}; structural constituent of ribosome {GO:0003735}; ubiquitin protein ligase binding {GO:0031625}</t>
  </si>
  <si>
    <t>Translesion synthesis by REV1 {R-HSA-110312}; Recognition of DNA damage by PCNA-containing replication complex {R-HSA-110314}; Translesion Synthesis by POLH {R-HSA-110320}; Activation of NF-kappaB in B cells {R-HSA-1169091}; ISG15 antiviral mechanism {R-HSA-1169408}; Oxygen-dependent proline hydroxylation of Hypoxia-inducible Factor Alpha {R-HSA-1234176}; Constitutive Signaling by Ligand-Responsive EGFR Cancer Variants {R-HSA-1236382}; ER-Phagosome pathway {R-HSA-1236974}; Downregulation of ERBB4 signaling {R-HSA-1253288}; Spry regulation of FGF signaling {R-HSA-1295596}; Downregulation of ERBB2:ERBB3 signaling {R-HSA-1358803}; L13a-mediated translational silencing of Ceruloplasmin expression {R-HSA-156827}; Peptide chain elongation {R-HSA-156902}; Budding and maturation of HIV virion {R-HSA-162588}; NOD1/2 Signaling Pathway {R-HSA-168638}; TICAM1, RIP1-mediated IKK complex recruitment {R-HSA-168927}; DDX58/IFIH1-mediated induction of interferon-alpha/beta {R-HSA-168928}; APC/C:Cdc20 mediated degradation of Cyclin B {R-HSA-174048};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Membrane binding and targetting of GAG proteins {R-HSA-174490}; Assembly Of The HIV Virion {R-HSA-175474}; APC-Cdc20 mediated degradation of Nek2A {R-HSA-179409}; SRP-dependent cotranslational protein targeting to membrane {R-HSA-1799339}; Vpu mediated degradation of CD4 {R-HSA-180534}; Vif-mediated degradation of APOBEC3G {R-HSA-180585}; EGFR downregulation {R-HSA-182971}; SCF(Skp2)-mediated degradation of p27/p21 {R-HSA-187577}; Viral mRNA Translation {R-HSA-192823}; Degradation of beta-catenin by the destruction complex {R-HSA-195253}; TCF dependent signaling in response to WNT {R-HSA-201681}; Downstream TCR signaling {R-HSA-202424}; NRIF signals cell death from the nucleus {R-HSA-205043}; p75NTR recruits signalling complexes {R-HSA-209543}; NF-kB is activated and signals survival {R-HSA-209560}; Regulation of activated PAK-2p34 by proteasome mediated degradation {R-HSA-211733}; NOTCH1 Intracellular Domain Regulates Transcription {R-HSA-2122947}; Activated NOTCH1 Transmits Signal to the Nucleus {R-HSA-2122948}; Downregulation of TGF-beta receptor signaling {R-HSA-2173788}; TGF-beta receptor signaling in EMT (epithelial to mesenchymal transition) {R-HSA-2173791}; Downregulation of SMAD2/3:SMAD4 transcriptional activity {R-HSA-2173795}; SMAD2/SMAD3:SMAD4 heterotrimer regulates transcription {R-HSA-2173796}; Selenocysteine synthesis {R-HSA-2408557}; Separation of Sister Chromatids {R-HSA-2467813}; Oxidative Stress Induced Senescence {R-HSA-2559580}; Senescence-Associated Secretory Phenotype (SASP) {R-HSA-2559582}; Oncogene Induced Senescence {R-HSA-2559585}; Regulation of PLK1 Activity at G2/M Transition {R-HSA-2565942}; Constitutive Signaling by NOTCH1 PEST Domain Mutants {R-HSA-2644606}; Stimuli-sensing channels {R-HSA-2672351}; Constitutive Signaling by NOTCH1 HD Domain Mutants {R-HSA-2691232}; FCERI mediated NF-kB activation {R-HSA-2871837}; Constitutive Signaling by NOTCH1 HD+PEST Domain Mutants {R-HSA-2894862}; NOTCH2 Activation and Transmission of Signal to the Nucleus {R-HSA-2979096}; Regulation of innate immune responses to cytosolic DNA {R-HSA-3134975}; Glycogen synthesis {R-HSA-3322077}; Autodegradation of the E3 ubiquitin ligase COP1 {R-HSA-349425}; Deactivation of the beta-catenin transactivating complex {R-HSA-3769402}; Myoclonic epilepsy of Lafora {R-HSA-3785653}; ABC-family proteins mediated transport {R-HSA-382556}; Circadian Clock {R-HSA-400253}; TAK1 activates NFkB by phosphorylation and activation of IKKs complex {R-HSA-445989}; activated TAK1 mediates p38 MAPK activation {R-HSA-450302}; JNK (c-Jun kinases) phosphorylation and activation mediated by activated human TAK1 {R-HSA-450321}; AUF1 (hnRNP D0) binds and destabilizes mRNA {R-HSA-450408}; Asymmetric localization of PCP proteins {R-HSA-4608870}; Degradation of AXIN {R-HSA-4641257}; Degradation of DVL {R-HSA-4641258}; Regulation of FZD by ubiquitination {R-HSA-4641263}; Pink/Parkin Mediated Mitophagy {R-HSA-5205685}; N-glycan trimming in the ER and Calnexin/Calreticulin cycle {R-HSA-532668}; Regulation of TNFR1 signaling {R-HSA-5357905}; TNFR1-induced NFkappaB signaling pathway {R-HSA-5357956};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Negative regulation of FGFR1 signaling {R-HSA-5654726}; Negative regulation of FGFR2 signaling {R-HSA-5654727}; Negative regulation of FGFR3 signaling {R-HSA-5654732}; Negative regulation of FGFR4 signaling {R-HSA-5654733}; Translesion synthesis by POLK {R-HSA-5655862}; Translesion synthesis by POLI {R-HSA-5656121}; Termination of translesion DNA synthesis {R-HSA-5656169}; Regulation of RAS by GAPs {R-HSA-5658442}; TNFR2 non-canonical NF-kB pathway {R-HSA-5668541}; Negative regulation of MAPK pathway {R-HSA-5675221}; Regulation of necroptotic cell death {R-HSA-5675482}; NIK--&gt;noncanonical NF-kB signaling {R-HSA-5676590}; Defective CFTR causes cystic fibrosis {R-HSA-5678895}; MAP3K8 (TPL2)-dependent MAPK1/3 activation {R-HSA-5684264}; HDR through Homologous Recombination (HRR) {R-HSA-5685942}; MAPK6/MAPK4 signaling {R-HSA-5687128}; UCH proteinases {R-HSA-5689603}; Josephin domain DUBs {R-HSA-5689877}; Ub-specific processing proteases {R-HSA-5689880}; Ovarian tumor domain proteases {R-HSA-5689896}; Metalloprotease DUBs {R-HSA-5689901}; Recruitment and ATM-mediated phosphorylation of repair and signaling proteins at DNA double strand breaks {R-HSA-5693565}; Processing of DNA double-strand break ends {R-HSA-5693607}; DNA Damage Recognition in GG-NER {R-HSA-5696394}; Formation of Incision Complex in GG-NER {R-HSA-5696395}; Gap-filling DNA repair synthesis and ligation in GG-NER {R-HSA-5696397}; Dual Incision in GG-NER {R-HSA-5696400}; Formation of TC-NER Pre-Incision Complex {R-HSA-6781823}; Transcription-Coupled Nucleotide Excision Repair (TC-NER) {R-HSA-6781827}; Dual incision in TC-NER {R-HSA-6782135}; Gap-filling DNA repair synthesis and ligation in TC-NER {R-HSA-6782210}; Fanconi Anemia Pathway {R-HSA-6783310}; Major pathway of rRNA processing in the nucleolus and cytosol {R-HSA-6791226}; Regulation of TP53 Activity through Phosphorylation {R-HSA-6804756}; Regulation of TP53 Degradation {R-HSA-6804757}; Regulation of TP53 Activity through Methylation {R-HSA-6804760}; Negative regulation of MET activity {R-HSA-6807004}; CDT1 association with the CDC6:ORC:origin complex {R-HSA-68827}; Orc1 removal from chromatin {R-HSA-68949}; CDK-mediated phosphorylation and removal of Cdc6 {R-HSA-69017}; Cyclin D associated events in G1 {R-HSA-69231}; G2/M Checkpoints {R-HSA-69481}; Stabilization of p53 {R-HSA-69541}; Ubiquitin Mediated Degradation of Phosphorylated Cdc25A {R-HSA-69601}; Formation of a pool of free 40S subunits {R-HSA-72689}; GTP hydrolysis and joining of the 60S ribosomal subunit {R-HSA-72706}; Eukaryotic Translation Termination {R-HSA-72764}; Ubiquitin-dependent degradation of Cyclin D {R-HSA-75815}; PTK6 Regulates RTKs and Their Effectors AKT1 and DOK1 {R-HSA-8849469}; The role of GTSE1 in G2/M progression after G2 checkpoint {R-HSA-8852276}; FBXL7 down-regulates AURKA during mitotic entry and in early mitosis {R-HSA-8854050}; Cargo recognition for clathrin-mediated endocytosis {R-HSA-8856825}; Clathrin-mediated endocytosis {R-HSA-8856828}; Downregulation of ERBB2 signaling {R-HSA-8863795}; Synthesis of active ubiquitin: roles of E1 and E2 enzymes {R-HSA-8866652}; E3 ubiquitin ligases ubiquitinate target proteins {R-HSA-8866654}; InlB-mediated entry of Listeria monocytogenes into host cell {R-HSA-8875360}; InlA-mediated entry of Listeria monocytogenes into host cells {R-HSA-8876493}; RUNX1 regulates transcription of genes involved in differentiation of HSCs {R-HSA-8939236}; Regulation of RUNX2 expression and activity {R-HSA-8939902}; Regulation of RUNX3 expression and activity {R-HSA-8941858}; Regulation of PTEN localization {R-HSA-8948747}; Regulation of PTEN stability and activity {R-HSA-8948751}; Neddylation {R-HSA-8951664}; ER Quality Control Compartment (ERQC) {R-HSA-901032}; Regulation of expression of SLITs and ROBOs {R-HSA-9010553}; NOTCH3 Activation and Transmission of Signal to the Nucleus {R-HSA-9013507}; TICAM1-dependent activation of IRF3/IRF7 {R-HSA-9013973}; TICAM1,TRAF6-dependent induction of TAK1 complex {R-HSA-9014325}; Interleukin-1 signaling {R-HSA-9020702}; Peroxisomal protein import {R-HSA-9033241}; Regulation of signaling by CBL {R-HSA-912631}; Endosomal Sorting Complex Required For Transport (ESCRT) {R-HSA-917729}; Iron uptake and transport {R-HSA-917937}; Negative regulators of DDX58/IFIH1 signaling {R-HSA-936440}; Activation of IRF3/IRF7 mediated by TBK1/IKK epsilon {R-HSA-936964}; IRAK1 recruits IKK complex {R-HSA-937039}; IKK complex recruitment mediated by RIP1 {R-HSA-937041}; IRAK2 mediated activation of TAK1 complex {R-HSA-937042}; TRAF6-mediated induction of TAK1 complex within TLR4 complex {R-HSA-937072}; Negative regulation of NOTCH4 signaling {R-HSA-9604323}; TRAF6 mediated IRF7 activation in TLR7/8 or 9 signaling {R-HSA-975110}; IRAK1 recruits IKK complex upon TLR7/8 or 9 stimulation {R-HSA-975144}; IRAK2 mediated activation of TAK1 complex upon TLR7/8 or 9 stimulation {R-HSA-975163}; Nonsense Mediated Decay (NMD) independent of the Exon Junction Complex (EJC) {R-HSA-975956}; Nonsense Mediated Decay (NMD) enhanced by the Exon Junction Complex (EJC) {R-HSA-975957}; Amyloid fiber formation {R-HSA-977225}; Antigen processing: Ubiquitination &amp; Proteasome degradation {R-HSA-983168}</t>
  </si>
  <si>
    <t>Sodium/glucose cotransporter 1 (Na(+)/glucose cotransporter 1)</t>
  </si>
  <si>
    <t>High affinity sodium-glucose cotransporter; Solute carrier family 5 member 1</t>
  </si>
  <si>
    <t>SC5A1_HUMAN</t>
  </si>
  <si>
    <t>P13866</t>
  </si>
  <si>
    <t>B2R7E2; B7Z4Q9; B7ZA69</t>
  </si>
  <si>
    <t>NAGT; SGLT1</t>
  </si>
  <si>
    <t>Alternative splicing; Disease mutation; Disulfide bond; Glycoprotein; Ion transport; Membrane; Phosphoprotein; Polymorphism; Sodium; Sodium transport; Sugar transport; Symport; Transmembrane; Transmembrane helix; Transport</t>
  </si>
  <si>
    <t>Ion transport; Sodium transport; Sugar transport; Symport; Transport</t>
  </si>
  <si>
    <t>glucose transmembrane transport {GO:1904659}; intestinal hexose absorption {GO:0106001}; sodium ion transport {GO:0006814}</t>
  </si>
  <si>
    <t>apical plasma membrane {GO:0016324}; brush border membrane {GO:0031526}; cell-cell junction {GO:0005911}; extracellular exosome {GO:0070062}; integral component of membrane {GO:0016021}; integral component of plasma membrane {GO:0005887}; plasma membrane {GO:0005886}</t>
  </si>
  <si>
    <t>glucose:sodium symporter activity {GO:0005412}</t>
  </si>
  <si>
    <t>Cellular hexose transport {R-HSA-189200}; Defective SLC5A1 causes congenital glucose/galactose malabsorption (GGM) {R-HSA-5656364}; Intestinal hexose absorption {R-HSA-8981373}</t>
  </si>
  <si>
    <t>Malectin</t>
  </si>
  <si>
    <t>MLEC_HUMAN</t>
  </si>
  <si>
    <t>Q14165</t>
  </si>
  <si>
    <t>KIAA0152</t>
  </si>
  <si>
    <t>Carbohydrate metabolism; Endoplasmic reticulum; Glycoprotein; Membrane; Signal; Transmembrane; Transmembrane helix</t>
  </si>
  <si>
    <t>Carbohydrate metabolism</t>
  </si>
  <si>
    <t>carbohydrate metabolic process {GO:0005975}; neutrophil degranulation {GO:0043312}; protein folding {GO:0006457}</t>
  </si>
  <si>
    <t>endoplasmic reticulum {GO:0005783}; endoplasmic reticulum membrane {GO:0005789}; integral component of membrane {GO:0016021}; membrane {GO:0016020}; plasma membrane {GO:0005886}; specific granule membrane {GO:0035579}</t>
  </si>
  <si>
    <t>carbohydrate binding {GO:0030246}; enzyme binding {GO:0019899}</t>
  </si>
  <si>
    <t>N-glycan trimming in the ER and Calnexin/Calreticulin cycle {R-HSA-532668}; Neutrophil degranulation {R-HSA-6798695}</t>
  </si>
  <si>
    <t>Selenoprotein M (SelM)</t>
  </si>
  <si>
    <t>SELM_HUMAN</t>
  </si>
  <si>
    <t>Q8WWX9</t>
  </si>
  <si>
    <t>A8MPZ2</t>
  </si>
  <si>
    <t>Cytoplasm; Endoplasmic reticulum; Golgi apparatus; Selenocysteine; Signal</t>
  </si>
  <si>
    <t>Cytoplasm; Endoplasmic reticulum; Golgi apparatus</t>
  </si>
  <si>
    <t>Selenocysteine</t>
  </si>
  <si>
    <t>adipose tissue development {GO:0060612}; corticosterone secretion {GO:0035934}; hormone metabolic process {GO:0042445}; multicellular organism growth {GO:0035264}; response to selenium ion {GO:0010269}</t>
  </si>
  <si>
    <t>endoplasmic reticulum {GO:0005783}; Golgi apparatus {GO:0005794}; perinuclear region of cytoplasm {GO:0048471}</t>
  </si>
  <si>
    <t>Endoplasmic reticulum resident protein 29 (ERp29)</t>
  </si>
  <si>
    <t>Endoplasmic reticulum resident protein 28 (ERp28); Endoplasmic reticulum resident protein 31 (ERp31)</t>
  </si>
  <si>
    <t>ERP29_HUMAN</t>
  </si>
  <si>
    <t>P30040</t>
  </si>
  <si>
    <t>C9J183; Q3MJC3; Q6FHT4</t>
  </si>
  <si>
    <t>C12orf8; ERP28</t>
  </si>
  <si>
    <t>3D-structure; Alternative splicing; Endoplasmic reticulum; Phosphoprotein; Signal</t>
  </si>
  <si>
    <t>activation of MAPK activity {GO:0000187}; intracellular protein transport {GO:0006886}; negative regulation of gene expression {GO:0010629}; negative regulation of protein secretion {GO:0050709}; positive regulation of gene expression {GO:0010628}; positive regulation of protein phosphorylation {GO:0001934}; protein folding {GO:0006457}; protein secretion {GO:0009306}; protein unfolding {GO:0043335}; regulation of endoplasmic reticulum stress-induced intrinsic apoptotic signaling pathway {GO:1902235}</t>
  </si>
  <si>
    <t>cell surface {GO:0009986}; endoplasmic reticulum {GO:0005783}; endoplasmic reticulum lumen {GO:0005788}; melanosome {GO:0042470}; membrane {GO:0016020}; smooth endoplasmic reticulum {GO:0005790}; transport vesicle {GO:0030133}</t>
  </si>
  <si>
    <t>chaperone binding {GO:0051087}; protein homodimerization activity {GO:0042803}</t>
  </si>
  <si>
    <t>60S acidic ribosomal protein P0</t>
  </si>
  <si>
    <t>60S ribosomal protein L10E; Large ribosomal subunit protein uL10</t>
  </si>
  <si>
    <t>RLA0_HUMAN</t>
  </si>
  <si>
    <t>P05388</t>
  </si>
  <si>
    <t>Q3B7A4; Q9BVK4</t>
  </si>
  <si>
    <t>3D-structure; Alternative splicing; Cytoplasm; Isopeptide bond; Nucleus; Phosphoprotein; Ribonucleoprotein; Ribosomal protein; Ubl conjugation</t>
  </si>
  <si>
    <t>cytoplasmic translation {GO:0002181}; interleukin-12-mediated signaling pathway {GO:0035722}; nuclear-transcribed mRNA catabolic process, nonsense-mediated decay {GO:0000184}; ribosomal large subunit assembly {GO:0000027}; SRP-dependent cotranslational protein targeting to membrane {GO:0006614}; translation {GO:0006412}; translational initiation {GO:0006413}; viral transcription {GO:0019083}</t>
  </si>
  <si>
    <t>cytoplasm {GO:0005737}; cytoplasmic ribonucleoprotein granule {GO:0036464}; cytosol {GO:0005829}; cytosolic large ribosomal subunit {GO:0022625}; endoplasmic reticulum {GO:0005783}; extracellular exosome {GO:0070062}; focal adhesion {GO:0005925}; membrane {GO:0016020}; nucleus {GO:0005634}; postsynapse {GO:0098794}; postsynaptic density {GO:0014069}; ribonucleoprotein complex {GO:1990904}</t>
  </si>
  <si>
    <t>large ribosomal subunit rRNA binding {GO:0070180}; RNA binding {GO:0003723}; structural constituent of ribosome {GO:0003735}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</si>
  <si>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Major pathway of rRNA processing in the nucleolus and cytosol {R-HSA-6791226}; Formation of a pool of free 40S subunits {R-HSA-72689}; GTP hydrolysis and joining of the 60S ribosomal subunit {R-HSA-72706}; Eukaryotic Translation Termination {R-HSA-72764}; Gene and protein expression by JAK-STAT signaling after Interleukin-12 stimulation {R-HSA-8950505}; Regulation of expression of SLITs and ROBOs {R-HSA-9010553}; Nonsense Mediated Decay (NMD) independent of the Exon Junction Complex (EJC) {R-HSA-975956}; Nonsense Mediated Decay (NMD) enhanced by the Exon Junction Complex (EJC) {R-HSA-975957}</t>
  </si>
  <si>
    <t>Galactosylceramide sulfotransferase (GalCer sulfotransferase)</t>
  </si>
  <si>
    <t>3'-phosphoadenosine-5'-phosphosulfate:GalCer sulfotransferase; 3'-phosphoadenylylsulfate:galactosylceramide 3'-sulfotransferase; Cerebroside sulfotransferase</t>
  </si>
  <si>
    <t>G3ST1_HUMAN</t>
  </si>
  <si>
    <t>Q99999</t>
  </si>
  <si>
    <t>Q96C63</t>
  </si>
  <si>
    <t>CST</t>
  </si>
  <si>
    <t>Glycoprotein; Golgi apparatus; Lipid metabolism; Membrane; Polymorphism; Signal-anchor; Sphingolipid metabolism; Transferase; Transmembrane; Transmembrane helix</t>
  </si>
  <si>
    <t>Lipid metabolism; Sphingolipid metabolism</t>
  </si>
  <si>
    <t>Golgi apparatus; Membrane</t>
  </si>
  <si>
    <t>galactosylceramide biosynthetic process {GO:0006682}; myelination {GO:0042552}; protein N-linked glycosylation {GO:0006487}; spermatogenesis {GO:0007283}</t>
  </si>
  <si>
    <t>Golgi membrane {GO:0000139}; integral component of plasma membrane {GO:0005887}; membrane {GO:0016020}</t>
  </si>
  <si>
    <t>galactosylceramide sulfotransferase activity {GO:0001733}; sulfotransferase activity {GO:0008146}</t>
  </si>
  <si>
    <t>Lipid metabolism; sphingolipid metabolism.</t>
  </si>
  <si>
    <t>Desmocollin-3</t>
  </si>
  <si>
    <t>Cadherin family member 3; Desmocollin-4; HT-CP</t>
  </si>
  <si>
    <t>DSC3_HUMAN</t>
  </si>
  <si>
    <t>Q14574</t>
  </si>
  <si>
    <t>A6NN35; Q14200; Q9HAZ9</t>
  </si>
  <si>
    <t>CDHF3; DSC4</t>
  </si>
  <si>
    <t>Alternative splicing; Calcium; Cell adhesion; Cell junction; Cell membrane; Cleavage on pair of basic residues; Glycoprotein; Hypotrichosis; Membrane; Metal-binding; Polymorphism; Repeat; Signal; Transmembrane; Transmembrane helix</t>
  </si>
  <si>
    <t>Hypotrichosis</t>
  </si>
  <si>
    <t>cell adhesion {GO:0007155}; cell-cell adhesion {GO:0098609}; cornification {GO:0070268}; homophilic cell adhesion via plasma membrane adhesion molecules {GO:0007156}; in utero embryonic development {GO:0001701}; keratinization {GO:0031424}; protein stabilization {GO:0050821}</t>
  </si>
  <si>
    <t>cell junction {GO:0030054}; cell-cell junction {GO:0005911}; cornified envelope {GO:0001533}; cytoplasm {GO:0005737}; desmosome {GO:0030057}; extracellular region {GO:0005576}; integral component of membrane {GO:0016021}; membrane {GO:0016020}; plasma membrane {GO:0005886}</t>
  </si>
  <si>
    <t>calcium ion binding {GO:0005509}; gamma-catenin binding {GO:0045295}</t>
  </si>
  <si>
    <t>Chloride intracellular channel protein 4</t>
  </si>
  <si>
    <t>Intracellular chloride ion channel protein p64H1</t>
  </si>
  <si>
    <t>CLIC4_HUMAN</t>
  </si>
  <si>
    <t>Q9Y696</t>
  </si>
  <si>
    <t>Q9UFW9; Q9UQJ6</t>
  </si>
  <si>
    <t>3D-structure; Acetylation; Cell junction; Cell membrane; Chloride; Chloride channel; Cytoplasm; Cytoplasmic vesicle; Cytoskeleton; Ion channel; Ion transport; Membrane; Mitochondrion; Nucleus; Phosphoprotein; Transmembrane; Transmembrane helix; Transport; Voltage-gated channel</t>
  </si>
  <si>
    <t>Cell junction; Cell membrane; Cytoplasm; Cytoplasmic vesicle; Cytoskeleton; Membrane; Mitochondrion; Nucleus</t>
  </si>
  <si>
    <t>Chloride</t>
  </si>
  <si>
    <t>Chloride channel; Ion channel; Voltage-gated channel</t>
  </si>
  <si>
    <t>angiogenesis {GO:0001525}; branching morphogenesis of an epithelial tube {GO:0048754}; cell differentiation {GO:0030154}; cellular response to calcium ion {GO:0071277}; chloride transport {GO:0006821}; endothelial cell morphogenesis {GO:0001886}; establishment or maintenance of apical/basal cell polarity {GO:0035088}; fertilization {GO:0009566}; keratinocyte differentiation {GO:0030216}; multicellular organism growth {GO:0035264}; negative regulation of cell migration {GO:0030336}; regulation of cytoskeleton organization {GO:0051493}; regulation of ion transmembrane transport {GO:0034765}; retina vasculature morphogenesis in camera-type eye {GO:0061299}; vacuolar acidification {GO:0007035}</t>
  </si>
  <si>
    <t>actin cytoskeleton {GO:0015629}; apical part of cell {GO:0045177}; cell surface {GO:0009986}; cell-cell junction {GO:0005911}; centrosome {GO:0005813}; chloride channel complex {GO:0034707}; cytoplasm {GO:0005737}; cytoplasmic vesicle membrane {GO:0030659}; cytosol {GO:0005829}; extracellular exosome {GO:0070062}; intracellular {GO:0005622}; microvillus {GO:0005902}; midbody {GO:0030496}; mitochondrion {GO:0005739}; nuclear matrix {GO:0016363}; nucleus {GO:0005634}; perinuclear region of cytoplasm {GO:0048471}; plasma membrane {GO:0005886}</t>
  </si>
  <si>
    <t>chloride channel activity {GO:0005254}; voltage-gated ion channel activity {GO:0005244}</t>
  </si>
  <si>
    <t>Caspase-4 subunit 2</t>
  </si>
  <si>
    <t>ICE and Ced-3 homolog 2 (ICH-2); ICE(rel)-II; Mih1; Protease TX</t>
  </si>
  <si>
    <t>CASP4_HUMAN</t>
  </si>
  <si>
    <t>P49662</t>
  </si>
  <si>
    <t>A2NHL8; A2NHL9; A2NHM0; B3KPZ9; B4DJH5; B4E2D2; O95601; Q7KYX7; Q9UG96</t>
  </si>
  <si>
    <t>ICH2</t>
  </si>
  <si>
    <t>Acetylation; Alternative splicing; Cytoplasm; Endoplasmic reticulum; Hydrolase; Immunity; Inflammasome; Inflammatory response; Innate immunity; Membrane; Mitochondrion; Necrosis; Phosphoprotein; Polymorphism; Protease; Secreted; Thiol protease; Zymogen</t>
  </si>
  <si>
    <t>Immunity; Inflammatory response; Innate immunity; Necrosis</t>
  </si>
  <si>
    <t>Cytoplasm; Endoplasmic reticulum; Inflammasome; Membrane; Mitochondrion; Secreted</t>
  </si>
  <si>
    <t>activation of cysteine-type endopeptidase activity involved in apoptotic process {GO:0006919}; apoptotic process {GO:0006915}; cellular response to amyloid-beta {GO:1904646}; inflammatory response {GO:0006954}; innate immune response {GO:0045087}; intrinsic apoptotic signaling pathway {GO:0097193}; intrinsic apoptotic signaling pathway in response to endoplasmic reticulum stress {GO:0070059}; positive regulation of tumor necrosis factor-mediated signaling pathway {GO:1903265}; proteolysis {GO:0006508}</t>
  </si>
  <si>
    <t>cytoplasm {GO:0005737}; cytosol {GO:0005829}; endoplasmic reticulum {GO:0005783}; endoplasmic reticulum membrane {GO:0005789}; extracellular region {GO:0005576}; inflammasome complex {GO:0061702}; mitochondrion {GO:0005739}; plasma membrane {GO:0005886}; protein-containing complex {GO:0032991}</t>
  </si>
  <si>
    <t>CARD domain binding {GO:0050700}; cysteine-type endopeptidase activity {GO:0004197}; cysteine-type endopeptidase activity involved in apoptotic signaling pathway {GO:0097199}</t>
  </si>
  <si>
    <t>NOD1/2 Signaling Pathway {R-HSA-168638}</t>
  </si>
  <si>
    <t>Very-long-chain 3-oxoacyl-CoA reductase</t>
  </si>
  <si>
    <t>17-beta-hydroxysteroid dehydrogenase 12 (17-beta-HSD 12); 3-ketoacyl-CoA reductase (KAR); Estradiol 17-beta-dehydrogenase 12; Short chain dehydrogenase/reductase family 12C member 1</t>
  </si>
  <si>
    <t>DHB12_HUMAN</t>
  </si>
  <si>
    <t>Q53GQ0</t>
  </si>
  <si>
    <t>A8K9B0; D3DR23; Q96EA9; Q96JU2; Q9Y6G8</t>
  </si>
  <si>
    <t>SDR12C1</t>
  </si>
  <si>
    <t>Alternative splicing; Endoplasmic reticulum; Lipid biosynthesis; Lipid metabolism; Membrane; NADP; Oxidoreductase; Polymorphism; Steroid biosynthesis; Transmembrane; Transmembrane helix</t>
  </si>
  <si>
    <t>Lipid biosynthesis; Lipid metabolism; Steroid biosynthesis</t>
  </si>
  <si>
    <t>estrogen biosynthetic process {GO:0006703}; extracellular matrix organization {GO:0030198}; fatty acid biosynthetic process {GO:0006633}; long-chain fatty-acyl-CoA biosynthetic process {GO:0035338}; positive regulation of cell-substrate adhesion {GO:0010811}</t>
  </si>
  <si>
    <t>endoplasmic reticulum membrane {GO:0005789}; extracellular matrix {GO:0031012}; integral component of membrane {GO:0016021}</t>
  </si>
  <si>
    <t>3-oxo-arachidoyl-CoA reductase activity {GO:0102339}; 3-oxo-behenoyl-CoA reductase activity {GO:0102340}; 3-oxo-cerotoyl-CoA reductase activity {GO:0102342}; 3-oxo-lignoceroyl-CoA reductase activity {GO:0102341}; collagen binding {GO:0005518}; estradiol 17-beta-dehydrogenase activity {GO:0004303}; fibronectin binding {GO:0001968}; heparin binding {GO:0008201}</t>
  </si>
  <si>
    <t>Steroid biosynthesis; estrogen biosynthesis.</t>
  </si>
  <si>
    <t>Androgen biosynthesis {R-HSA-193048}; Synthesis of very long-chain fatty acyl-CoAs {R-HSA-75876}</t>
  </si>
  <si>
    <t>DNA damage-binding protein 1</t>
  </si>
  <si>
    <t>DDB p127 subunit; DNA damage-binding protein a (DDBa); Damage-specific DNA-binding protein 1; HBV X-associated protein 1 (XAP-1); UV-damaged DNA-binding factor; UV-damaged DNA-binding protein 1 (UV-DDB 1); XPE-binding factor (XPE-BF); Xeroderma pigmentosum group E-complementing protein (XPCe)</t>
  </si>
  <si>
    <t>DDB1_HUMAN</t>
  </si>
  <si>
    <t>Q16531</t>
  </si>
  <si>
    <t>A6NG77; B2R648; B4DG00; O15176; Q13289; Q58F96</t>
  </si>
  <si>
    <t>XAP1</t>
  </si>
  <si>
    <t>3D-structure; Acetylation; Alternative splicing; Biological rhythms; Cytoplasm; DNA damage; DNA repair; DNA-binding; Host-virus interaction; Isopeptide bond; Nucleus; Phosphoprotein; Polymorphism; Repeat; Ubl conjugation; Ubl conjugation pathway</t>
  </si>
  <si>
    <t>Biological rhythms; DNA damage; DNA repair; Host-virus interaction; Ubl conjugation pathway</t>
  </si>
  <si>
    <t>cellular response to DNA damage stimulus {GO:0006974}; DNA damage response, detection of DNA damage {GO:0042769}; DNA repair {GO:0006281}; global genome nucleotide-excision repair {GO:0070911}; histone H2A monoubiquitination {GO:0035518}; interaction with symbiont {GO:0051702}; negative regulation of apoptotic process {GO:0043066}; nucleotide-excision repair {GO:0006289}; nucleotide-excision repair, DNA damage recognition {GO:0000715}; nucleotide-excision repair, DNA duplex unwinding {GO:0000717}; nucleotide-excision repair, DNA incision {GO:0033683}; nucleotide-excision repair, DNA incision, 3'-to lesion {GO:0006295}; nucleotide-excision repair, DNA incision, 5'-to lesion {GO:0006296}; nucleotide-excision repair, preincision complex assembly {GO:0006294}; nucleotide-excision repair, preincision complex stabilization {GO:0006293}; positive regulation by virus of viral protein levels in host cell {GO:0046726}; positive regulation of gluconeogenesis {GO:0045722}; positive regulation of protein catabolic process {GO:0045732}; positive regulation of viral genome replication {GO:0045070}; positive regulation of viral release from host cell {GO:1902188}; post-translational protein modification {GO:0043687}; proteasomal protein catabolic process {GO:0010498}; proteasome-mediated ubiquitin-dependent protein catabolic process {GO:0043161}; protein ubiquitination {GO:0016567}; regulation of circadian rhythm {GO:0042752}; regulation of mitotic cell cycle phase transition {GO:1901990}; rhythmic process {GO:0048511}; transcription-coupled nucleotide-excision repair {GO:0006283}; ubiquitin-dependent protein catabolic process {GO:0006511}; UV-damage excision repair {GO:0070914}; viral process {GO:0016032}; Wnt signaling pathway {GO:0016055}</t>
  </si>
  <si>
    <t>Cul4-RING E3 ubiquitin ligase complex {GO:0080008}; Cul4A-RING E3 ubiquitin ligase complex {GO:0031464}; Cul4B-RING E3 ubiquitin ligase complex {GO:0031465}; cytoplasm {GO:0005737}; extracellular exosome {GO:0070062}; extracellular space {GO:0005615}; nuclear chromosome, telomeric region {GO:0000784}; nucleoplasm {GO:0005654}; nucleus {GO:0005634}; protein-containing complex {GO:0032991}</t>
  </si>
  <si>
    <t>cullin family protein binding {GO:0097602}; damaged DNA binding {GO:0003684}; DNA binding {GO:0003677}; protein binding, bridging {GO:0030674}; protein-containing complex binding {GO:0044877}; WD40-repeat domain binding {GO:0071987}</t>
  </si>
  <si>
    <t>Recognition of DNA damage by PCNA-containing replication complex {R-HSA-110314}; DNA Damage Recognition in GG-NER {R-HSA-5696394}; Formation of Incision Complex in GG-NER {R-HSA-5696395}; Dual Incision in GG-NER {R-HSA-5696400}; Formation of TC-NER Pre-Incision Complex {R-HSA-6781823}; Transcription-Coupled Nucleotide Excision Repair (TC-NER) {R-HSA-6781827}; Dual incision in TC-NER {R-HSA-6782135}; Gap-filling DNA repair synthesis and ligation in TC-NER {R-HSA-6782210}; Neddylation {R-HSA-8951664}</t>
  </si>
  <si>
    <t>FAD-AMP lyase (cyclizing)</t>
  </si>
  <si>
    <t>Bifunctional ATP-dependent dihydroxyacetone kinase/FAD-AMP lyase (cyclizing) (DHA kinase); Glycerone kinase; Triokinase; Triose kinase; FAD-AMP lyase (cyclic FMN forming); FMN cyclase</t>
  </si>
  <si>
    <t>TKFC_HUMAN</t>
  </si>
  <si>
    <t>Q3LXA3</t>
  </si>
  <si>
    <t>Q2L9C1; Q53EQ9; Q9BVA7; Q9H895</t>
  </si>
  <si>
    <t>Alternative splicing; ATP-binding; Cobalt; FAD; Flavoprotein; Kinase; Lyase; Magnesium; Manganese; Metal-binding; Multifunctional enzyme; Nucleotide-binding; Phosphoprotein; Polymorphism; Transferase</t>
  </si>
  <si>
    <t>ATP-binding; Cobalt; FAD; Flavoprotein; Magnesium; Manganese; Metal-binding; Nucleotide-binding</t>
  </si>
  <si>
    <t>Kinase; Lyase; Multifunctional enzyme; Transferase</t>
  </si>
  <si>
    <t>carbohydrate phosphorylation {GO:0046835}; cellular carbohydrate metabolic process {GO:0044262}; fructose catabolic process to hydroxyacetone phosphate and glyceraldehyde-3-phosphate {GO:0061624}; glycerol catabolic process {GO:0019563}; innate immune response {GO:0045087}; negative regulation of MDA-5 signaling pathway {GO:0039534}; regulation of innate immune response {GO:0045088}</t>
  </si>
  <si>
    <t>ATP binding {GO:0005524}; FAD-AMP lyase (cyclizing) activity {GO:0034012}; glycerone kinase activity {GO:0004371}; metal ion binding {GO:0046872}; triokinase activity {GO:0050354}</t>
  </si>
  <si>
    <t>DDX58/IFIH1-mediated induction of interferon-alpha/beta {R-HSA-168928}; Fructose catabolism {R-HSA-70350}</t>
  </si>
  <si>
    <t>Uroplakin-2 (UP2)</t>
  </si>
  <si>
    <t>Uroplakin II (UPII)</t>
  </si>
  <si>
    <t>UPK2_HUMAN</t>
  </si>
  <si>
    <t>O00526</t>
  </si>
  <si>
    <t>B0YJ92; O00457; Q53YV0</t>
  </si>
  <si>
    <t>Cell membrane; Cleavage on pair of basic residues; Glycoprotein; Membrane; Polymorphism; Signal; Transmembrane; Transmembrane helix</t>
  </si>
  <si>
    <t>epithelial cell differentiation {GO:0030855}; multicellular organism development {GO:0007275}</t>
  </si>
  <si>
    <t>apical plasma membrane {GO:0016324}; extracellular exosome {GO:0070062}; integral component of plasma membrane {GO:0005887}</t>
  </si>
  <si>
    <t>Spondin-1</t>
  </si>
  <si>
    <t>F-spondin; Vascular smooth muscle cell growth-promoting factor</t>
  </si>
  <si>
    <t>SPON1_HUMAN</t>
  </si>
  <si>
    <t>Q9HCB6</t>
  </si>
  <si>
    <t>A8K6W5; O94862; Q8NCD7; Q8WUR5</t>
  </si>
  <si>
    <t>KIAA0762; VSGP</t>
  </si>
  <si>
    <t>3D-structure; Cell adhesion; Disulfide bond; Extracellular matrix; Glycoprotein; Metal-binding; Repeat; Secreted; Signal</t>
  </si>
  <si>
    <t>Metal-binding</t>
  </si>
  <si>
    <t>cell adhesion {GO:0007155}; negative regulation of amyloid-beta formation {GO:1902430}; positive regulation of amyloid precursor protein catabolic process {GO:1902993}; positive regulation of protein binding {GO:0032092}; positive regulation of protein processing {GO:0010954}</t>
  </si>
  <si>
    <t>endoplasmic reticulum lumen {GO:0005788}; extracellular matrix {GO:0031012}; extracellular space {GO:0005615}</t>
  </si>
  <si>
    <t>extracellular matrix structural constituent {GO:0005201}; LBD domain binding {GO:0050693}; metal ion binding {GO:0046872}</t>
  </si>
  <si>
    <t>Defective B3GALTL causes Peters-plus syndrome (PpS) {R-HSA-5083635}; O-glycosylation of TSR domain-containing proteins {R-HSA-5173214}</t>
  </si>
  <si>
    <t>Ras-related protein R-Ras2</t>
  </si>
  <si>
    <t>Ras-like protein TC21; Teratocarcinoma oncogene</t>
  </si>
  <si>
    <t>RRAS2_HUMAN</t>
  </si>
  <si>
    <t>P62070</t>
  </si>
  <si>
    <t>B2R9Z3; B7Z5Z2; B7Z6C4; B7Z7H6; P17082</t>
  </si>
  <si>
    <t>TC21</t>
  </si>
  <si>
    <t>3D-structure; Acetylation; Alternative splicing; Cell membrane; Disease mutation; GTP-binding; Lipoprotein; Membrane; Methylation; Nucleotide-binding; Palmitate; Phosphoprotein; Prenylation; Proto-oncogene</t>
  </si>
  <si>
    <t>Acetylation; Lipoprotein; Methylation; Palmitate; Phosphoprotein; Prenylation</t>
  </si>
  <si>
    <t>osteoblast differentiation {GO:0001649}; positive regulation of cell migration {GO:0030335}; Ras protein signal transduction {GO:0007265}; regulation of neuron death {GO:1901214}</t>
  </si>
  <si>
    <t>endoplasmic reticulum {GO:0005783}; extracellular exosome {GO:0070062}; focal adhesion {GO:0005925}; membrane {GO:0016020}; plasma membrane {GO:0005886}</t>
  </si>
  <si>
    <t>Mas-related G-protein coupled receptor member F (Mas-related gene F protein)</t>
  </si>
  <si>
    <t>G-protein coupled receptor 140; G-protein coupled receptor 168</t>
  </si>
  <si>
    <t>MRGRF_HUMAN</t>
  </si>
  <si>
    <t>Q96AM1</t>
  </si>
  <si>
    <t>B3KV43; Q8NBK8</t>
  </si>
  <si>
    <t>GPR140; GPR168; MRGF</t>
  </si>
  <si>
    <t>Cell membrane; G-protein coupled receptor; Glycoprotein; Membrane; Polymorphism; Receptor; Transducer; Transmembrane; Transmembrane helix</t>
  </si>
  <si>
    <t>integral component of membrane {GO:0016021}; nuclear membrane {GO:0031965}; plasma membrane {GO:0005886}</t>
  </si>
  <si>
    <t>G protein-coupled receptor activity {GO:0004930}</t>
  </si>
  <si>
    <t>Cadherin-related family member 5</t>
  </si>
  <si>
    <t>Mu-protocadherin; Mucin and cadherin-like protein; Mucin-like protocadherin (MLPCDH)</t>
  </si>
  <si>
    <t>CDHR5_HUMAN</t>
  </si>
  <si>
    <t>Q9HBB8</t>
  </si>
  <si>
    <t>C9J7X1; Q9H746; Q9HAU3; Q9HBB5; Q9HBB6; Q9HBB7; Q9NX86; Q9NXI9</t>
  </si>
  <si>
    <t>Alternative splicing; Calcium; Cell membrane; Cell projection; Differentiation; Glycoprotein; Membrane; Phosphoprotein; Polymorphism; Repeat; Signal; Transmembrane; Transmembrane helix</t>
  </si>
  <si>
    <t>cell adhesion {GO:0007155}; cell differentiation {GO:0030154}; homophilic cell adhesion via plasma membrane adhesion molecules {GO:0007156}; intermicrovillar adhesion {GO:0090675}; regulation of microvillus length {GO:0032532}</t>
  </si>
  <si>
    <t>apical plasma membrane {GO:0016324}; brush border membrane {GO:0031526}; clathrin-coated pit {GO:0005905}; extracellular exosome {GO:0070062}; microvillus membrane {GO:0031528}; spanning component of plasma membrane {GO:0044214}</t>
  </si>
  <si>
    <t>beta-catenin binding {GO:0008013}; calcium ion binding {GO:0005509}; cell adhesion molecule binding {GO:0050839}</t>
  </si>
  <si>
    <t>Retinoid-binding protein 7</t>
  </si>
  <si>
    <t>Cellular retinoic acid-binding protein 4 (CRABP4; CRBP4); Cellular retinoic acid-binding protein IV (CRABP-IV)</t>
  </si>
  <si>
    <t>RET7_HUMAN</t>
  </si>
  <si>
    <t>Q96R05</t>
  </si>
  <si>
    <t>B2R517; Q5SWJ4</t>
  </si>
  <si>
    <t>3D-structure; Cytoplasm; Retinol-binding; Transport; Vitamin A</t>
  </si>
  <si>
    <t>retinal binding {GO:0016918}; retinol binding {GO:0019841}</t>
  </si>
  <si>
    <t>CD59 glycoprotein</t>
  </si>
  <si>
    <t>1F5 antigen; 20 kDa homologous restriction factor (HRF-20; HRF20); MAC-inhibitory protein (MAC-IP); MEM43 antigen; Membrane attack complex inhibition factor (MACIF); Membrane inhibitor of reactive lysis (MIRL); Protectin; CD_antigen=CD59</t>
  </si>
  <si>
    <t>CD59_HUMAN</t>
  </si>
  <si>
    <t>P13987</t>
  </si>
  <si>
    <t>E9PR17</t>
  </si>
  <si>
    <t>MIC11; MIN1; MIN2; MIN3; MSK21</t>
  </si>
  <si>
    <t>3D-structure; Alternative splicing; Cell membrane; Disease mutation; Disulfide bond; Glycation; Glycoprotein; GPI-anchor; Hereditary hemolytic anemia; Lipoprotein; Membrane; Secreted; Signal</t>
  </si>
  <si>
    <t>Disulfide bond; GPI-anchor; Glycation; Glycoprotein; Lipoprotein</t>
  </si>
  <si>
    <t>blood coagulation {GO:0007596}; cell surface receptor signaling pathway {GO:0007166}; COPII vesicle coating {GO:0048208}; endoplasmic reticulum to Golgi vesicle-mediated transport {GO:0006888}; negative regulation of activation of membrane attack complex {GO:0001971}; neutrophil degranulation {GO:0043312}; regulation of complement activation {GO:0030449}; regulation of complement-dependent cytotoxicity {GO:1903659}</t>
  </si>
  <si>
    <t>anchored component of external side of plasma membrane {GO:0031362}; cell surface {GO:0009986}; endoplasmic reticulum membrane {GO:0005789}; endoplasmic reticulum-Golgi intermediate compartment membrane {GO:0033116}; ER to Golgi transport vesicle membrane {GO:0012507}; extracellular exosome {GO:0070062}; extracellular space {GO:0005615}; focal adhesion {GO:0005925}; Golgi membrane {GO:0000139}; membrane {GO:0016020}; plasma membrane {GO:0005886}; specific granule membrane {GO:0035579}; tertiary granule membrane {GO:0070821}; transport vesicle {GO:0030133}; vesicle {GO:0031982}</t>
  </si>
  <si>
    <t>complement binding {GO:0001848}</t>
  </si>
  <si>
    <t>COPII-mediated vesicle transport {R-HSA-204005}; Cargo concentration in the ER {R-HSA-5694530}; Neutrophil degranulation {R-HSA-6798695}; COPI-mediated anterograde transport {R-HSA-6807878}; Regulation of Complement cascade {R-HSA-977606}</t>
  </si>
  <si>
    <t>Cystathionine gamma-lyase</t>
  </si>
  <si>
    <t>Cysteine-protein sulfhydrase; Gamma-cystathionase</t>
  </si>
  <si>
    <t>CGL_HUMAN</t>
  </si>
  <si>
    <t>P32929</t>
  </si>
  <si>
    <t>B4E1R2; E9PDV0; Q53FB3; Q53Y79; Q9H4W7; Q9H4W8</t>
  </si>
  <si>
    <t>3D-structure; Alternative splicing; Amino-acid biosynthesis; Calmodulin-binding; Cysteine biosynthesis; Cytoplasm; Disease mutation; Lyase; Polymorphism; Pyridoxal phosphate</t>
  </si>
  <si>
    <t>Amino-acid biosynthesis; Cysteine biosynthesis</t>
  </si>
  <si>
    <t>Calmodulin-binding; Lyase</t>
  </si>
  <si>
    <t>cellular response to leukemia inhibitory factor {GO:1990830}; cysteine biosynthetic process {GO:0019344}; cysteine biosynthetic process via cystathionine {GO:0019343}; cysteine metabolic process {GO:0006534}; endoplasmic reticulum unfolded protein response {GO:0030968}; hydrogen sulfide biosynthetic process {GO:0070814}; negative regulation of apoptotic signaling pathway {GO:2001234}; positive regulation of aortic smooth muscle cell differentiation {GO:1904831}; positive regulation of I-kappaB kinase/NF-kappaB signaling {GO:0043123}; positive regulation of NF-kappaB transcription factor activity {GO:0051092}; protein homotetramerization {GO:0051289}; protein sulfhydration {GO:0044524}; protein-pyridoxal-5-phosphate linkage via peptidyl-N6-pyridoxal phosphate-L-lysine {GO:0018272}; sulfur amino acid catabolic process {GO:0000098}; transsulfuration {GO:0019346}</t>
  </si>
  <si>
    <t>calmodulin binding {GO:0005516}; carbon-sulfur lyase activity {GO:0016846}; cystathionine gamma-lyase activity {GO:0004123}; identical protein binding {GO:0042802}; L-cysteine desulfhydrase activity {GO:0080146}; L-cystine L-cysteine-lyase (deaminating) {GO:0044540}; pyridoxal phosphate binding {GO:0030170}</t>
  </si>
  <si>
    <t>Amino-acid biosynthesis; L-cysteine biosynthesis; L- cysteine from L-homocysteine and L-serine: step 2/2.</t>
  </si>
  <si>
    <t>Degradation of cysteine and homocysteine {R-HSA-1614558}; Cysteine formation from homocysteine {R-HSA-1614603}; Metabolism of ingested SeMet, Sec, MeSec into H2Se {R-HSA-2408508}</t>
  </si>
  <si>
    <t>Heat shock cognate 71 kDa protein</t>
  </si>
  <si>
    <t>Heat shock 70 kDa protein 8; Lipopolysaccharide-associated protein 1 (LAP-1; LPS-associated protein 1)</t>
  </si>
  <si>
    <t>HSP7C_HUMAN</t>
  </si>
  <si>
    <t>P11142</t>
  </si>
  <si>
    <t>Q9H3R6</t>
  </si>
  <si>
    <t>HSC70; HSP73; HSPA10</t>
  </si>
  <si>
    <t>3D-structure; Acetylation; Alternative splicing; ATP-binding; Cell membrane; Chaperone; Cytoplasm; Host-virus interaction; Isopeptide bond; Membrane; Methylation; mRNA processing; mRNA splicing; Nucleotide-binding; Nucleus; Phosphoprotein; Polymorphism; Repressor; Spliceosome; Stress response; Transcription; Transcription regulation; Ubl conjugation</t>
  </si>
  <si>
    <t>Host-virus interaction; Stress response; Transcription; Transcription regulation; mRNA processing; mRNA splicing</t>
  </si>
  <si>
    <t>Cell membrane; Cytoplasm; Membrane; Nucleus; Spliceosome</t>
  </si>
  <si>
    <t>Chaperone; Repressor</t>
  </si>
  <si>
    <t>ATP metabolic process {GO:0046034}; axo-dendritic transport {GO:0008088}; cellular response to heat {GO:0034605}; cellular response to starvation {GO:0009267}; cellular response to unfolded protein {GO:0034620}; chaperone cofactor-dependent protein refolding {GO:0051085}; chaperone-mediated autophagy {GO:0061684}; chaperone-mediated autophagy translocation complex disassembly {GO:1904764}; chaperone-mediated protein transport involved in chaperone-mediated autophagy {GO:0061741}; cytokine-mediated signaling pathway {GO:0019221}; late endosomal microautophagy {GO:0061738}; membrane organization {GO:0061024}; mRNA splicing, via spliceosome {GO:0000398}; negative regulation of supramolecular fiber organization {GO:1902904}; negative regulation of transcription, DNA-templated {GO:0045892}; neurotransmitter secretion {GO:0007269}; neutrophil degranulation {GO:0043312}; positive regulation by host of viral genome replication {GO:0044829}; positive regulation of mRNA splicing, via spliceosome {GO:0048026}; protein folding {GO:0006457}; protein refolding {GO:0042026}; protein targeting to lysosome involved in chaperone-mediated autophagy {GO:0061740}; regulation of cell cycle {GO:0051726}; regulation of cellular response to heat {GO:1900034}; regulation of mRNA stability {GO:0043488}; regulation of postsynapse organization {GO:0099175}; regulation of protein complex assembly {GO:0043254}; regulation of protein complex stability {GO:0061635}; regulation of protein import {GO:1904589}; regulation of protein stability {GO:0031647}; response to unfolded protein {GO:0006986}; slow axonal transport {GO:1990832}; vesicle-mediated transport {GO:0016192}; viral process {GO:0016032}</t>
  </si>
  <si>
    <t>autophagosome {GO:0005776}; axon {GO:0030424}; blood microparticle {GO:0072562}; chaperone complex {GO:0101031}; clathrin-sculpted gamma-aminobutyric acid transport vesicle membrane {GO:0061202}; cytoplasm {GO:0005737}; cytosol {GO:0005829}; dendrite {GO:0030425}; extracellular exosome {GO:0070062}; extracellular region {GO:0005576}; extracellular space {GO:0005615}; ficolin-1-rich granule lumen {GO:1904813}; focal adhesion {GO:0005925}; glutamatergic synapse {GO:0098978}; glycinergic synapse {GO:0098690}; late endosome {GO:0005770}; lumenal side of lysosomal membrane {GO:0098575}; lysosomal lumen {GO:0043202}; lysosomal membrane {GO:0005765}; lysosome {GO:0005764}; melanosome {GO:0042470}; membrane {GO:0016020}; nucleolus {GO:0005730}; nucleoplasm {GO:0005654}; nucleus {GO:0005634}; perinuclear region of cytoplasm {GO:0048471}; photoreceptor ribbon synapse {GO:0098684}; plasma membrane {GO:0005886}; postsynaptic cytosol {GO:0099524}; postsynaptic specialization membrane {GO:0099634}; presynaptic cytosol {GO:0099523}; Prp19 complex {GO:0000974}; ribonucleoprotein complex {GO:1990904}; secretory granule lumen {GO:0034774}; spliceosomal complex {GO:0005681}; terminal bouton {GO:0043195}</t>
  </si>
  <si>
    <t>ATP binding {GO:0005524}; ATPase activity {GO:0016887}; ATPase activity, coupled {GO:0042623}; C3HC4-type RING finger domain binding {GO:0055131}; cadherin binding {GO:0045296}; chaperone binding {GO:0051087}; clathrin-uncoating ATPase activity {GO:1990833}; enzyme binding {GO:0019899}; G protein-coupled receptor binding {GO:0001664}; heat shock protein binding {GO:0031072}; MHC class II protein complex binding {GO:0023026}; misfolded protein binding {GO:0051787}; phosphatidylserine binding {GO:0001786}; protein binding, bridging {GO:0030674}; protein folding chaperone {GO:0044183}; RNA binding {GO:0003723}; ubiquitin protein ligase binding {GO:0031625}; unfolded protein binding {GO:0051082}</t>
  </si>
  <si>
    <t>Regulation of HSF1-mediated heat shock response {R-HSA-3371453}; HSP90 chaperone cycle for steroid hormone receptors (SHR) {R-HSA-3371497}; Attenuation phase {R-HSA-3371568}; HSF1-dependent transactivation {R-HSA-3371571}; Lysosome Vesicle Biogenesis {R-HSA-432720}; Golgi Associated Vesicle Biogenesis {R-HSA-432722}; CHL1 interactions {R-HSA-447041}; AUF1 (hnRNP D0) binds and destabilizes mRNA {R-HSA-450408}; Interleukin-4 and Interleukin-13 signaling {R-HSA-6785807}; Neutrophil degranulation {R-HSA-6798695}; mRNA Splicing - Major Pathway {R-HSA-72163}; Clathrin-mediated endocytosis {R-HSA-8856828}; Protein methylation {R-HSA-8876725}; GABA synthesis, release, reuptake and degradation {R-HSA-888590}</t>
  </si>
  <si>
    <t>Acyl-protein thioesterase 2 (APT-2)</t>
  </si>
  <si>
    <t>Lysophospholipase II (LPL-II; LysoPLA II)</t>
  </si>
  <si>
    <t>LYPA2_HUMAN</t>
  </si>
  <si>
    <t>O95372</t>
  </si>
  <si>
    <t>Q7Z4Z2</t>
  </si>
  <si>
    <t>APT2</t>
  </si>
  <si>
    <t>3D-structure; Cytoplasm; Fatty acid metabolism; Hydrolase; Lipid metabolism; Lipoprotein; Palmitate; Phosphoprotein</t>
  </si>
  <si>
    <t>axon guidance {GO:0007411}; fatty acid metabolic process {GO:0006631}; protein depalmitoylation {GO:0002084}</t>
  </si>
  <si>
    <t>cytoplasm {GO:0005737}; cytosol {GO:0005829}; extracellular exosome {GO:0070062}; Golgi stack {GO:0005795}</t>
  </si>
  <si>
    <t>cadherin binding {GO:0045296}; carboxylic ester hydrolase activity {GO:0052689}; palmitoyl-(protein) hydrolase activity {GO:0008474}</t>
  </si>
  <si>
    <t>L1CAM interactions {R-HSA-373760}</t>
  </si>
  <si>
    <t>Platelet-activating factor acetylhydrolase IB subunit beta</t>
  </si>
  <si>
    <t>PAF acetylhydrolase 30 kDa subunit (PAF-AH 30 kDa subunit); PAF-AH subunit beta (PAFAH subunit beta)</t>
  </si>
  <si>
    <t>PA1B2_HUMAN</t>
  </si>
  <si>
    <t>P68402</t>
  </si>
  <si>
    <t>A8DPS5; A8DPS6; A8DPS7; E9PEJ5; E9PLP3; O00687; Q29459; Q6IBR6</t>
  </si>
  <si>
    <t>PAFAHB</t>
  </si>
  <si>
    <t>3D-structure; Acetylation; Alternative splicing; Cytoplasm; Hydrolase; Lipid degradation; Lipid metabolism; Phosphoprotein</t>
  </si>
  <si>
    <t>brain development {GO:0007420}; lipid catabolic process {GO:0016042}; lipid metabolic process {GO:0006629}; neutrophil degranulation {GO:0043312}; positive regulation of macroautophagy {GO:0016239}; spermatogenesis {GO:0007283}</t>
  </si>
  <si>
    <t>cytoplasm {GO:0005737}; cytosol {GO:0005829}; extracellular exosome {GO:0070062}; extracellular region {GO:0005576}; fibrillar center {GO:0001650}; ficolin-1-rich granule lumen {GO:1904813}; nucleolus {GO:0005730}; plasma membrane {GO:0005886}; secretory granule lumen {GO:0034774}</t>
  </si>
  <si>
    <t>1-alkyl-2-acetylglycerophosphocholine esterase activity {GO:0003847}; platelet-activating factor acetyltransferase activity {GO:0047179}; protein heterodimerization activity {GO:0046982}; protein homodimerization activity {GO:0042803}</t>
  </si>
  <si>
    <t>Neutrophil degranulation {R-HSA-6798695}; COPI-independent Golgi-to-ER retrograde traffic {R-HSA-6811436}</t>
  </si>
  <si>
    <t>Glycine cleavage system H protein, mitochondrial</t>
  </si>
  <si>
    <t>Lipoic acid-containing protein</t>
  </si>
  <si>
    <t>GCSH_HUMAN</t>
  </si>
  <si>
    <t>P23434</t>
  </si>
  <si>
    <t>Q9H1E9</t>
  </si>
  <si>
    <t>Lipoyl; Mitochondrion; Polymorphism; Transit peptide</t>
  </si>
  <si>
    <t>glycine catabolic process {GO:0006546}; glycine decarboxylation via glycine cleavage system {GO:0019464}; protein lipoylation {GO:0009249}</t>
  </si>
  <si>
    <t>glycine cleavage complex {GO:0005960}; mitochondrial matrix {GO:0005759}; mitochondrion {GO:0005739}</t>
  </si>
  <si>
    <t>aminomethyltransferase activity {GO:0004047}</t>
  </si>
  <si>
    <t>Glyoxylate metabolism and glycine degradation {R-HSA-389661}; Glycine degradation {R-HSA-6783984}</t>
  </si>
  <si>
    <t>Secretoglobin family 1D member 2</t>
  </si>
  <si>
    <t>Lipophilin-B</t>
  </si>
  <si>
    <t>SG1D2_HUMAN</t>
  </si>
  <si>
    <t>O95969</t>
  </si>
  <si>
    <t>Q2M3N9</t>
  </si>
  <si>
    <t>LIPHB; LPNB</t>
  </si>
  <si>
    <t>Polymorphism; Secreted; Signal</t>
  </si>
  <si>
    <t>Protocadherin-16</t>
  </si>
  <si>
    <t>Cadherin-19; Cadherin-25; Fibroblast cadherin-1; Protein dachsous homolog 1</t>
  </si>
  <si>
    <t>PCD16_HUMAN</t>
  </si>
  <si>
    <t>Q96JQ0</t>
  </si>
  <si>
    <t>O15098</t>
  </si>
  <si>
    <t>CDH19; CDH25; FIB1; KIAA1773; PCDH16</t>
  </si>
  <si>
    <t>Calcium; Cell adhesion; Cell membrane; Deafness; Disease mutation; Glycoprotein; Membrane; Mental retardation; Phosphoprotein; Polymorphism; Repeat; Signal; Transmembrane; Transmembrane helix</t>
  </si>
  <si>
    <t>Deafness; Disease mutation; Mental retardation</t>
  </si>
  <si>
    <t>branching involved in ureteric bud morphogenesis {GO:0001658}; calcium-dependent cell-cell adhesion via plasma membrane cell adhesion molecules {GO:0016339}; cell migration involved in endocardial cushion formation {GO:0003273}; cochlea development {GO:0090102}; condensed mesenchymal cell proliferation {GO:0072137}; digestive tract development {GO:0048565}; heterophilic cell-cell adhesion via plasma membrane cell adhesion molecules {GO:0007157}; hippo signaling {GO:0035329}; homophilic cell adhesion via plasma membrane adhesion molecules {GO:0007156}; mitral valve formation {GO:0003192}; neural tube development {GO:0021915}; neurogenesis {GO:0022008}; ossification involved in bone maturation {GO:0043931}; pattern specification process {GO:0007389}; post-anal tail morphogenesis {GO:0036342}; protein localization to plasma membrane {GO:0072659}</t>
  </si>
  <si>
    <t>apical part of cell {GO:0045177}; integral component of membrane {GO:0016021}; membrane {GO:0016020}; plasma membrane {GO:0005886}</t>
  </si>
  <si>
    <t>Enhancer of rudimentary homolog</t>
  </si>
  <si>
    <t>ERH_HUMAN</t>
  </si>
  <si>
    <t>P84090</t>
  </si>
  <si>
    <t>B2R5H2; P70659; Q14259</t>
  </si>
  <si>
    <t>3D-structure; Acetylation; Cell cycle; Isopeptide bond; Phosphoprotein; Ubl conjugation</t>
  </si>
  <si>
    <t>Cell cycle</t>
  </si>
  <si>
    <t>cell cycle {GO:0007049}; nucleobase-containing compound metabolic process {GO:0006139}; positive regulation of Notch signaling pathway {GO:0045747}; pyrimidine nucleoside metabolic process {GO:0006213}; pyrimidine nucleotide biosynthetic process {GO:0006221}</t>
  </si>
  <si>
    <t>methylosome {GO:0034709}; midbody {GO:0030496}</t>
  </si>
  <si>
    <t>methyl-CpG binding {GO:0008327}; RNA binding {GO:0003723}</t>
  </si>
  <si>
    <t>Cofilin-1</t>
  </si>
  <si>
    <t>18 kDa phosphoprotein (p18); Cofilin, non-muscle isoform</t>
  </si>
  <si>
    <t>COF1_HUMAN</t>
  </si>
  <si>
    <t>P23528</t>
  </si>
  <si>
    <t>B3KUQ1; Q53Y87; Q9UCA2</t>
  </si>
  <si>
    <t>CFL</t>
  </si>
  <si>
    <t>3D-structure; Acetylation; Actin-binding; Cell membrane; Cell projection; Cytoplasm; Cytoskeleton; Isopeptide bond; Membrane; Nucleus; Phosphoprotein; Ubl conjugation</t>
  </si>
  <si>
    <t>Cell membrane; Cell projection; Cytoplasm; Cytoskeleton; Membrane; Nucleus</t>
  </si>
  <si>
    <t>actin cytoskeleton organization {GO:0030036}; actin filament depolymerization {GO:0030042}; actin filament fragmentation {GO:0030043}; cytoskeleton organization {GO:0007010}; establishment of cell polarity {GO:0030010}; interleukin-12-mediated signaling pathway {GO:0035722}; mitotic cytokinesis {GO:0000281}; negative regulation of apoptotic process {GO:0043066}; neural crest cell migration {GO:0001755}; neural fold formation {GO:0001842}; positive regulation by host of viral process {GO:0044794}; positive regulation of actin filament depolymerization {GO:0030836}; protein phosphorylation {GO:0006468}; regulation of cell morphogenesis {GO:0022604}; regulation of dendritic spine morphogenesis {GO:0061001}; response to amino acid {GO:0043200}; response to virus {GO:0009615}; Rho protein signal transduction {GO:0007266}</t>
  </si>
  <si>
    <t>cell-cell junction {GO:0005911}; cortical actin cytoskeleton {GO:0030864}; cytoplasm {GO:0005737}; cytosol {GO:0005829}; extracellular exosome {GO:0070062}; extracellular space {GO:0005615}; focal adhesion {GO:0005925}; lamellipodium {GO:0030027}; lamellipodium membrane {GO:0031258}; membrane {GO:0016020}; nuclear matrix {GO:0016363}; nucleus {GO:0005634}; ruffle membrane {GO:0032587}; vesicle {GO:0031982}</t>
  </si>
  <si>
    <t>actin filament binding {GO:0051015}; signaling receptor binding {GO:0005102}</t>
  </si>
  <si>
    <t>Platelet degranulation {R-HSA-114608}; Regulation of actin dynamics for phagocytic cup formation {R-HSA-2029482}; EPHB-mediated forward signaling {R-HSA-3928662}; Sema3A PAK dependent Axon repulsion {R-HSA-399954}; RHO GTPases Activate ROCKs {R-HSA-5627117}; Gene and protein expression by JAK-STAT signaling after Interleukin-12 stimulation {R-HSA-8950505}</t>
  </si>
  <si>
    <t>Radixin</t>
  </si>
  <si>
    <t>RADI_HUMAN</t>
  </si>
  <si>
    <t>P35241</t>
  </si>
  <si>
    <t>A7YIJ8; A7YIK0; A7YIK3; B7Z9U6; F5H1A7; Q86Y61</t>
  </si>
  <si>
    <t>Actin capping; Actin-binding; Alternative splicing; Cell membrane; Cell projection; Cytoplasm; Cytoskeleton; Deafness; Disease mutation; Membrane; Non-syndromic deafness; Phosphoprotein; Polymorphism</t>
  </si>
  <si>
    <t>apical protein localization {GO:0045176}; barbed-end actin filament capping {GO:0051016}; cellular response to platelet-derived growth factor stimulus {GO:0036120}; cellular response to thyroid hormone stimulus {GO:0097067}; establishment of endothelial barrier {GO:0061028}; establishment of protein localization {GO:0045184}; microvillus assembly {GO:0030033}; negative regulation of adherens junction organization {GO:1903392}; negative regulation of cell size {GO:0045792}; negative regulation of GTPase activity {GO:0034260}; negative regulation of homotypic cell-cell adhesion {GO:0034111}; positive regulation of cell migration {GO:0030335}; positive regulation of cellular protein catabolic process {GO:1903364}; positive regulation of early endosome to late endosome transport {GO:2000643}; positive regulation of G1/S transition of mitotic cell cycle {GO:1900087}; positive regulation of gene expression {GO:0010628}; positive regulation of protein localization to early endosome {GO:1902966}; protein kinase A signaling {GO:0010737}; protein localization to plasma membrane {GO:0072659}; regulation of actin filament bundle assembly {GO:0032231}; regulation of cell shape {GO:0008360}; regulation of cell size {GO:0008361}; regulation of GTPase activity {GO:0043087}; regulation of organelle assembly {GO:1902115}; regulation of Rap protein signal transduction {GO:0032487}; regulation of ruffle assembly {GO:1900027}</t>
  </si>
  <si>
    <t>apical plasma membrane {GO:0016324}; cell periphery {GO:0071944}; cell tip {GO:0051286}; cell-cell adherens junction {GO:0005913}; cleavage furrow {GO:0032154}; cortical actin cytoskeleton {GO:0030864}; extracellular exosome {GO:0070062}; extracellular space {GO:0005615}; filopodium {GO:0030175}; focal adhesion {GO:0005925}; lamellipodium {GO:0030027}; microvillus {GO:0005902}; midbody {GO:0030496}; plasma membrane {GO:0005886}; ruffle {GO:0001726}; stereocilium {GO:0032420}; T-tubule {GO:0030315}</t>
  </si>
  <si>
    <t>actin binding {GO:0003779}; ATPase binding {GO:0051117}; cadherin binding {GO:0045296}; protein domain specific binding {GO:0019904}; protein homodimerization activity {GO:0042803}; protein kinase A binding {GO:0051018}; RNA binding {GO:0003723}</t>
  </si>
  <si>
    <t>Recycling pathway of L1 {R-HSA-437239}</t>
  </si>
  <si>
    <t>PITH domain-containing protein 1</t>
  </si>
  <si>
    <t>PITH1_HUMAN</t>
  </si>
  <si>
    <t>Q9GZP4</t>
  </si>
  <si>
    <t>B2R7J4; Q5QPN6; Q5QPN7; Q9NRI8</t>
  </si>
  <si>
    <t>C1orf128</t>
  </si>
  <si>
    <t>Alternative splicing; Phosphoprotein</t>
  </si>
  <si>
    <t>Cysteine and histidine-rich domain-containing protein 1</t>
  </si>
  <si>
    <t>CHORD domain-containing protein 1 (CHORD-containing protein 1; CHP-1); Protein morgana</t>
  </si>
  <si>
    <t>CHRD1_HUMAN</t>
  </si>
  <si>
    <t>Q9UHD1</t>
  </si>
  <si>
    <t>B2R6P8; Q6IN49; Q8WVL9; Q9H3D6</t>
  </si>
  <si>
    <t>CHP1</t>
  </si>
  <si>
    <t>3D-structure; Acetylation; Alternative splicing; Chaperone; Metal-binding; Phosphoprotein; Polymorphism; Repeat; Stress response; Zinc</t>
  </si>
  <si>
    <t>chaperone-mediated protein folding {GO:0061077}; negative regulation of Rho-dependent protein serine/threonine kinase activity {GO:2000299}; regulation of cellular response to heat {GO:1900034}; regulation of centrosome duplication {GO:0010824}</t>
  </si>
  <si>
    <t>ADP binding {GO:0043531}; ATP binding {GO:0005524}; Hsp90 protein binding {GO:0051879}; zinc ion binding {GO:0008270}</t>
  </si>
  <si>
    <t>Dihydrolipoyllysine-residue acetyltransferase component of pyruvate dehydrogenase complex, mitochondrial</t>
  </si>
  <si>
    <t>70 kDa mitochondrial autoantigen of primary biliary cirrhosis (PBC); Dihydrolipoamide acetyltransferase component of pyruvate dehydrogenase complex; M2 antigen complex 70 kDa subunit; Pyruvate dehydrogenase complex component E2 (PDC-E2; PDCE2)</t>
  </si>
  <si>
    <t>ODP2_HUMAN</t>
  </si>
  <si>
    <t>P10515</t>
  </si>
  <si>
    <t>Q16783; Q53EP3</t>
  </si>
  <si>
    <t>DLTA</t>
  </si>
  <si>
    <t>3D-structure; Acetylation; Acyltransferase; Carbohydrate metabolism; Glucose metabolism; Lipoyl; Mitochondrion; Phosphoprotein; Polymorphism; Repeat; Transferase; Transit peptide; Tricarboxylic acid cycle</t>
  </si>
  <si>
    <t>Carbohydrate metabolism; Glucose metabolism; Tricarboxylic acid cycle</t>
  </si>
  <si>
    <t>Lipoyl; Repeat; Transit peptide</t>
  </si>
  <si>
    <t>acetyl-CoA biosynthetic process from pyruvate {GO:0006086}; glucose metabolic process {GO:0006006}; pyruvate metabolic process {GO:0006090}; sleep {GO:0030431}; tricarboxylic acid cycle {GO:0006099}</t>
  </si>
  <si>
    <t>mitochondrial matrix {GO:0005759}; mitochondrial pyruvate dehydrogenase complex {GO:0005967}; mitochondrion {GO:0005739}; pyruvate dehydrogenase complex {GO:0045254}</t>
  </si>
  <si>
    <t>dihydrolipoyllysine-residue acetyltransferase activity {GO:0004742}; identical protein binding {GO:0042802}</t>
  </si>
  <si>
    <t>Regulation of pyruvate dehydrogenase (PDH) complex {R-HSA-204174}; Glyoxylate metabolism and glycine degradation {R-HSA-389661}; Signaling by Retinoic Acid {R-HSA-5362517}; Pyruvate metabolism {R-HSA-70268}</t>
  </si>
  <si>
    <t>Interleukin-18 (IL-18)</t>
  </si>
  <si>
    <t>Iboctadekin; Interferon gamma-inducing factor (IFN-gamma-inducing factor); Interleukin-1 gamma (IL-1 gamma)</t>
  </si>
  <si>
    <t>IL18_HUMAN</t>
  </si>
  <si>
    <t>Q14116</t>
  </si>
  <si>
    <t>O75599; Q6FGY3; Q6WWJ7</t>
  </si>
  <si>
    <t>3D-structure; Alternative splicing; Cytokine; Inflammatory response; Secreted</t>
  </si>
  <si>
    <t>activation of protein kinase B activity {GO:0032148}; angiogenesis {GO:0001525}; cell population proliferation {GO:0008283}; cell-cell signaling {GO:0007267}; cellular response to organic cyclic compound {GO:0071407}; chemokine biosynthetic process {GO:0042033}; cholesterol homeostasis {GO:0042632}; cytokine-mediated signaling pathway {GO:0019221}; granulocyte macrophage colony-stimulating factor biosynthetic process {GO:0042253}; inflammatory response {GO:0006954}; interferon-gamma biosynthetic process {GO:0042095}; interleukin-13 biosynthetic process {GO:0042231}; interleukin-18-mediated signaling pathway {GO:0035655}; interleukin-2 biosynthetic process {GO:0042094}; interleukin-6 production {GO:0032635}; lipopolysaccharide-mediated signaling pathway {GO:0031663}; MAPK cascade {GO:0000165}; natural killer cell activation {GO:0030101}; natural killer cell mediated cytotoxicity {GO:0042267}; negative regulation of myoblast differentiation {GO:0045662}; neutrophil activation {GO:0042119}; positive regulation of activated T cell proliferation {GO:0042104}; positive regulation of cold-induced thermogenesis {GO:0120162}; positive regulation of granulocyte macrophage colony-stimulating factor production {GO:0032725}; positive regulation of inflammatory response {GO:0050729}; positive regulation of interferon-gamma production {GO:0032729}; positive regulation of interleukin-17 production {GO:0032740}; positive regulation of macrophage derived foam cell differentiation {GO:0010744}; positive regulation of natural killer cell proliferation {GO:0032819}; positive regulation of neuroinflammatory response {GO:0150078}; positive regulation of NF-kappaB transcription factor activity {GO:0051092}; positive regulation of NIK/NF-kappaB signaling {GO:1901224}; positive regulation of NK T cell proliferation {GO:0051142}; positive regulation of phosphatidylinositol 3-kinase signaling {GO:0014068}; positive regulation of protein kinase B signaling {GO:0051897}; positive regulation of smooth muscle cell proliferation {GO:0048661}; positive regulation of T-helper 1 cell cytokine production {GO:2000556}; positive regulation of T-helper 2 cell differentiation {GO:0045630}; positive regulation of tissue remodeling {GO:0034105}; positive regulation of transcription by RNA polymerase II {GO:0045944}; positive regulation of tyrosine phosphorylation of STAT protein {GO:0042531}; regulation of cell adhesion {GO:0030155}; sleep {GO:0030431}; T-helper 1 cell cytokine production {GO:0035744}; T-helper 1 type immune response {GO:0042088}; triglyceride homeostasis {GO:0070328}; type 2 immune response {GO:0042092}</t>
  </si>
  <si>
    <t>cytosol {GO:0005829}; extracellular region {GO:0005576}; extracellular space {GO:0005615}</t>
  </si>
  <si>
    <t>cytokine activity {GO:0005125}; interleukin-18 receptor binding {GO:0045515}</t>
  </si>
  <si>
    <t>Interleukin-1 processing {R-HSA-448706}; Interleukin-10 signaling {R-HSA-6783783}; Interleukin-4 and Interleukin-13 signaling {R-HSA-6785807}; Interleukin-18 signaling {R-HSA-9012546}</t>
  </si>
  <si>
    <t>Glutathione S-transferase Mu 3</t>
  </si>
  <si>
    <t>GST class-mu 3; GSTM3-3 (hGSTM3-3)</t>
  </si>
  <si>
    <t>GSTM3_HUMAN</t>
  </si>
  <si>
    <t>P21266</t>
  </si>
  <si>
    <t>O60550; Q96HA3</t>
  </si>
  <si>
    <t>GST5</t>
  </si>
  <si>
    <t>3D-structure; Cytoplasm; Isopeptide bond; Polymorphism; Transferase; Ubl conjugation</t>
  </si>
  <si>
    <t>Isopeptide bond; Ubl conjugation</t>
  </si>
  <si>
    <t>cellular detoxification of nitrogen compound {GO:0070458}; establishment of blood-nerve barrier {GO:0008065}; glutathione derivative biosynthetic process {GO:1901687}; glutathione metabolic process {GO:0006749}; nitrobenzene metabolic process {GO:0018916}; response to estrogen {GO:0043627}; xenobiotic catabolic process {GO:0042178}</t>
  </si>
  <si>
    <t>cytoplasm {GO:0005737}; cytosol {GO:0005829}; extracellular exosome {GO:0070062}; intercellular bridge {GO:0045171}; nucleus {GO:0005634}; sperm fibrous sheath {GO:0035686}</t>
  </si>
  <si>
    <t>enzyme binding {GO:0019899}; glutathione binding {GO:0043295}; glutathione transferase activity {GO:0004364}; identical protein binding {GO:0042802}; protein homodimerization activity {GO:0042803}</t>
  </si>
  <si>
    <t>Epidermal growth factor receptor kinase substrate 8-like protein 2 (EPS8-like protein 2)</t>
  </si>
  <si>
    <t>Epidermal growth factor receptor pathway substrate 8-related protein 2 (EPS8-related protein 2)</t>
  </si>
  <si>
    <t>ES8L2_HUMAN</t>
  </si>
  <si>
    <t>Q9H6S3</t>
  </si>
  <si>
    <t>B3KSX1; B7ZKL3; Q53GM8; Q8WYW7; Q96K06; Q9H6K9</t>
  </si>
  <si>
    <t>EPS8R2</t>
  </si>
  <si>
    <t>3D-structure; Alternative splicing; Cell projection; Cytoplasm; Deafness; Non-syndromic deafness; Phosphoprotein; SH3 domain</t>
  </si>
  <si>
    <t>Deafness; Non-syndromic deafness</t>
  </si>
  <si>
    <t>SH3 domain</t>
  </si>
  <si>
    <t>positive regulation of ruffle assembly {GO:1900029}; regulation of Rho protein signal transduction {GO:0035023}; Rho protein signal transduction {GO:0007266}; sensory perception of sound {GO:0007605}</t>
  </si>
  <si>
    <t>cytosol {GO:0005829}; extracellular exosome {GO:0070062}; plasma membrane {GO:0005886}; protein-containing complex {GO:0032991}; ruffle membrane {GO:0032587}; stereocilium bundle {GO:0032421}; stereocilium tip {GO:0032426}; vesicle {GO:0031982}</t>
  </si>
  <si>
    <t>actin binding {GO:0003779}; cadherin binding {GO:0045296}</t>
  </si>
  <si>
    <t>Lysosomal acid phosphatase (LAP)</t>
  </si>
  <si>
    <t>PPAL_HUMAN</t>
  </si>
  <si>
    <t>P11117</t>
  </si>
  <si>
    <t>E9PCI1; Q561W5; Q9BTU7</t>
  </si>
  <si>
    <t>Alternative splicing; Disulfide bond; Glycoprotein; Hydrolase; Lysosome; Membrane; Polymorphism; Signal; Transmembrane; Transmembrane helix</t>
  </si>
  <si>
    <t>Lysosome; Membrane</t>
  </si>
  <si>
    <t>lysosome organization {GO:0007040}; skeletal system development {GO:0001501}</t>
  </si>
  <si>
    <t>extracellular exosome {GO:0070062}; integral component of membrane {GO:0016021}; lysosomal lumen {GO:0043202}; lysosomal membrane {GO:0005765}; lysosome {GO:0005764}; membrane {GO:0016020}</t>
  </si>
  <si>
    <t>acid phosphatase activity {GO:0003993}</t>
  </si>
  <si>
    <t>Protein kinase C and casein kinase substrate in neurons protein 3</t>
  </si>
  <si>
    <t>SH3 domain-containing protein 6511</t>
  </si>
  <si>
    <t>PACN3_HUMAN</t>
  </si>
  <si>
    <t>Q9UKS6</t>
  </si>
  <si>
    <t>A6NH84; Q9H331; Q9NWV9</t>
  </si>
  <si>
    <t>Cell membrane; Coiled coil; Cytoplasm; Endocytosis; Lipid-binding; Membrane; Phosphoprotein; Polymorphism; SH3 domain</t>
  </si>
  <si>
    <t>Cell membrane; Cytoplasm; Membrane</t>
  </si>
  <si>
    <t>cytoskeleton organization {GO:0007010}; endocytosis {GO:0006897}; negative regulation of calcium ion transport {GO:0051926}; negative regulation of endocytosis {GO:0045806}; plasma membrane tubulation {GO:0097320}; positive regulation of membrane protein ectodomain proteolysis {GO:0051044}</t>
  </si>
  <si>
    <t>cytoplasm {GO:0005737}; cytoskeleton {GO:0005856}; cytosol {GO:0005829}; extracellular exosome {GO:0070062}; plasma membrane {GO:0005886}</t>
  </si>
  <si>
    <t>calcium channel inhibitor activity {GO:0019855}; cytoskeletal protein binding {GO:0008092}; lipid binding {GO:0008289}; phospholipid binding {GO:0005543}</t>
  </si>
  <si>
    <t>Clathrin-mediated endocytosis {R-HSA-8856828}</t>
  </si>
  <si>
    <t>Transcriptional coactivator YAP1 (Yes-associated protein 1)</t>
  </si>
  <si>
    <t>Protein yorkie homolog; Yes-associated protein YAP65 homolog</t>
  </si>
  <si>
    <t>YAP1_HUMAN</t>
  </si>
  <si>
    <t>P46937</t>
  </si>
  <si>
    <t>B4DTY1; B7ZA01; E3WEB5; E3WEB6; E9PRV2; F5H202; K0KQ18; K0KYZ8; K0L195; K0L1G3; Q7Z574; Q8IUY9</t>
  </si>
  <si>
    <t>YAP65</t>
  </si>
  <si>
    <t>3D-structure; Activator; Alternative splicing; Coiled coil; Cytoplasm; Nucleus; Phosphoprotein; Polymorphism; Proto-oncogene; Repeat; Repressor; Transcription; Transcription regulation; Ubl conjugation</t>
  </si>
  <si>
    <t>Activator; Repressor</t>
  </si>
  <si>
    <t>Phosphoprotein; Ubl conjugation</t>
  </si>
  <si>
    <t>bud elongation involved in lung branching {GO:0060449}; cardiac muscle tissue regeneration {GO:0061026}; cell morphogenesis {GO:0000902}; cell population proliferation {GO:0008283}; cellular response to DNA damage stimulus {GO:0006974}; cellular response to gamma radiation {GO:0071480}; cellular response to retinoic acid {GO:0071300}; contact inhibition {GO:0060242}; embryonic heart tube morphogenesis {GO:0003143}; heart process {GO:0003015}; hippo signaling {GO:0035329}; keratinocyte differentiation {GO:0030216}; lateral mesoderm development {GO:0048368}; lung epithelial cell differentiation {GO:0060487}; negative regulation of epithelial cell differentiation {GO:0030857}; negative regulation of extrinsic apoptotic signaling pathway {GO:2001237}; negative regulation of stem cell differentiation {GO:2000737}; notochord development {GO:0030903}; paraxial mesoderm development {GO:0048339}; positive regulation of canonical Wnt signaling pathway {GO:0090263}; positive regulation of cardiac muscle cell proliferation {GO:0060045}; positive regulation of intracellular estrogen receptor signaling pathway {GO:0033148}; positive regulation of stem cell population maintenance {GO:1902459}; positive regulation of transcription by RNA polymerase II {GO:0045944}; positive regulation of transcription, DNA-templated {GO:0045893}; progesterone receptor signaling pathway {GO:0050847}; protein-containing complex assembly {GO:0065003}; regulation of hematopoietic stem cell differentiation {GO:1902036}; regulation of keratinocyte proliferation {GO:0010837}; regulation of metanephric nephron tubule epithelial cell differentiation {GO:0072307}; regulation of neurogenesis {GO:0050767}; regulation of stem cell proliferation {GO:0072091}; response to progesterone {GO:0032570}; somatic stem cell population maintenance {GO:0035019}; tissue homeostasis {GO:0001894}; transcription initiation from RNA polymerase II promoter {GO:0006367}; vasculogenesis {GO:0001570}</t>
  </si>
  <si>
    <t>cytoplasm {GO:0005737}; cytosol {GO:0005829}; membrane {GO:0016020}; nucleoplasm {GO:0005654}; nucleus {GO:0005634}; TEAD-1-YAP complex {GO:0071148}; TEAD-2-YAP complex {GO:0071149}</t>
  </si>
  <si>
    <t>activating transcription factor binding {GO:0033613}; chromatin binding {GO:0003682}; proline-rich region binding {GO:0070064}; protein C-terminus binding {GO:0008022}; protein heterodimerization activity {GO:0046982}; RNA polymerase II proximal promoter sequence-specific DNA binding {GO:0000978}; transcription coactivator activity {GO:0003713}; transcription corepressor activity {GO:0003714}; transcription regulatory region DNA binding {GO:0044212}</t>
  </si>
  <si>
    <t>Nuclear signaling by ERBB4 {R-HSA-1251985}; Signaling by Hippo {R-HSA-2028269}; YAP1- and WWTR1 (TAZ)-stimulated gene expression {R-HSA-2032785}; RUNX1 regulates transcription of genes involved in differentiation of HSCs {R-HSA-8939236}; RUNX2 regulates osteoblast differentiation {R-HSA-8940973}; RUNX3 regulates YAP1-mediated transcription {R-HSA-8951671}</t>
  </si>
  <si>
    <t>Serine-protein kinase ATM</t>
  </si>
  <si>
    <t>Ataxia telangiectasia mutated (A-T mutated)</t>
  </si>
  <si>
    <t>ATM_HUMAN</t>
  </si>
  <si>
    <t>Q13315</t>
  </si>
  <si>
    <t>B2RNX5; O15429; Q12758; Q16551; Q93007; Q9NP02; Q9UCX7</t>
  </si>
  <si>
    <t>3D-structure; Acetylation; ATP-binding; Cell cycle; Cytoplasmic vesicle; Disease mutation; DNA damage; DNA-binding; Kinase; Neurodegeneration; Nucleotide-binding; Nucleus; Phosphoprotein; Polymorphism; Serine/threonine-protein kinase; Transferase; Tumor suppressor</t>
  </si>
  <si>
    <t>Cell cycle; DNA damage</t>
  </si>
  <si>
    <t>Cytoplasmic vesicle; Nucleus</t>
  </si>
  <si>
    <t>Disease mutation; Neurodegeneration; Tumor suppressor</t>
  </si>
  <si>
    <t>DNA-binding; Kinase; Serine/threonine-protein kinase; Transferase</t>
  </si>
  <si>
    <t>brain development {GO:0007420}; cell cycle arrest {GO:0007050}; cellular response to DNA damage stimulus {GO:0006974}; cellular response to gamma radiation {GO:0071480}; cellular response to nitrosative stress {GO:0071500}; cellular response to retinoic acid {GO:0071300}; cellular response to X-ray {GO:0071481}; determination of adult lifespan {GO:0008340}; DNA damage checkpoint {GO:0000077}; DNA damage induced protein phosphorylation {GO:0006975}; DNA damage response, signal transduction by p53 class mediator resulting in cell cycle arrest {GO:0006977}; DNA double-strand break processing {GO:0000729}; DNA replication {GO:0006260}; double-strand break repair via homologous recombination {GO:0000724}; double-strand break repair via nonhomologous end joining {GO:0006303}; establishment of protein-containing complex localization to telomere {GO:0097695}; establishment of RNA localization to telomere {GO:0097694}; female meiotic nuclear division {GO:0007143}; heart development {GO:0007507}; histone mRNA catabolic process {GO:0071044}; histone phosphorylation {GO:0016572}; immunoglobulin production {GO:0002377}; intrinsic apoptotic signaling pathway in response to DNA damage {GO:0008630}; lipoprotein catabolic process {GO:0042159}; male meiotic nuclear division {GO:0007140}; meiotic telomere clustering {GO:0045141}; mitotic spindle assembly checkpoint {GO:0007094}; multicellular organism growth {GO:0035264}; negative regulation of B cell proliferation {GO:0030889}; negative regulation of telomere capping {GO:1904354}; negative regulation of TORC1 signaling {GO:1904262}; neuron apoptotic process {GO:0051402}; oocyte development {GO:0048599}; ovarian follicle development {GO:0001541}; peptidyl-serine autophosphorylation {GO:0036289}; peptidyl-serine phosphorylation {GO:0018105}; positive regulation of apoptotic process {GO:0043065}; positive regulation of cell adhesion {GO:0045785}; positive regulation of cell migration {GO:0030335}; positive regulation of DNA catabolic process {GO:1903626}; positive regulation of DNA damage response, signal transduction by p53 class mediator {GO:0043517}; positive regulation of gene expression {GO:0010628}; positive regulation of histone phosphorylation {GO:0033129}; positive regulation of neuron apoptotic process {GO:0043525}; positive regulation of telomerase catalytic core complex assembly {GO:1904884}; positive regulation of telomere maintenance via telomerase {GO:0032212}; positive regulation of telomere maintenance via telomere lengthening {GO:1904358}; positive regulation of transcription by RNA polymerase II {GO:0045944}; post-embryonic development {GO:0009791}; pre-B cell allelic exclusion {GO:0002331}; protein autophosphorylation {GO:0046777}; protein phosphorylation {GO:0006468}; reciprocal meiotic recombination {GO:0007131}; regulation of apoptotic process {GO:0042981}; regulation of autophagy {GO:0010506}; regulation of cellular response to gamma radiation {GO:1905843}; regulation of cellular response to heat {GO:1900034}; regulation of microglial cell activation {GO:1903978}; regulation of signal transduction by p53 class mediator {GO:1901796}; regulation of telomere maintenance via telomerase {GO:0032210}; replicative senescence {GO:0090399}; response to hypoxia {GO:0001666}; response to ionizing radiation {GO:0010212}; signal transduction {GO:0007165}; signal transduction involved in mitotic G2 DNA damage checkpoint {GO:0072434}; somitogenesis {GO:0001756}; telomere maintenance {GO:0000723}; thymus development {GO:0048538}; V(D)J recombination {GO:0033151}</t>
  </si>
  <si>
    <t>cytoplasmic vesicle {GO:0031410}; DNA repair complex {GO:1990391}; nucleolus {GO:0005730}; nucleoplasm {GO:0005654}; nucleus {GO:0005634}; spindle {GO:0005819}</t>
  </si>
  <si>
    <t>1-phosphatidylinositol-3-kinase activity {GO:0016303}; ATP binding {GO:0005524}; DNA binding {GO:0003677}; DNA-dependent protein kinase activity {GO:0004677}; protein dimerization activity {GO:0046983}; protein N-terminus binding {GO:0047485}; protein serine/threonine kinase activity {GO:0004674}; protein-containing complex binding {GO:0044877}</t>
  </si>
  <si>
    <t>DNA Damage/Telomere Stress Induced Senescence {R-HSA-2559586}; Regulation of HSF1-mediated heat shock response {R-HSA-3371453}; Autodegradation of the E3 ubiquitin ligase COP1 {R-HSA-349425}; HDR through Single Strand Annealing (SSA) {R-HSA-5685938}; HDR through Homologous Recombination (HRR) {R-HSA-5685942}; Sensing of DNA Double Strand Breaks {R-HSA-5693548}; Resolution of D-loop Structures through Synthesis-Dependent Strand Annealing (SDSA) {R-HSA-5693554}; Recruitment and ATM-mediated phosphorylation of repair and signaling proteins at DNA double strand breaks {R-HSA-5693565}; Resolution of D-loop Structures through Holliday Junction Intermediates {R-HSA-5693568}; Nonhomologous End-Joining (NHEJ) {R-HSA-5693571}; Homologous DNA Pairing and Strand Exchange {R-HSA-5693579}; Processing of DNA double-strand break ends {R-HSA-5693607}; Presynaptic phase of homologous DNA pairing and strand exchange {R-HSA-5693616}; TP53 Regulates Transcription of DNA Repair Genes {R-HSA-6796648}; TP53 Regulates Transcription of Genes Involved in Cytochrome C Release {R-HSA-6803204}; TP53 Regulates Transcription of Caspase Activators and Caspases {R-HSA-6803207}; Regulation of TP53 Activity through Phosphorylation {R-HSA-6804756}; Regulation of TP53 Degradation {R-HSA-6804757}; Regulation of TP53 Activity through Methylation {R-HSA-6804760}; G2/M DNA damage checkpoint {R-HSA-69473}; Stabilization of p53 {R-HSA-69541}; Meiotic recombination {R-HSA-912446}</t>
  </si>
  <si>
    <t>Neutral alpha-glucosidase AB</t>
  </si>
  <si>
    <t>Alpha-glucosidase 2; Glucosidase II subunit alpha</t>
  </si>
  <si>
    <t>GANAB_HUMAN</t>
  </si>
  <si>
    <t>Q14697</t>
  </si>
  <si>
    <t>A6NC20; Q8WTS9; Q9P0X0</t>
  </si>
  <si>
    <t>Alternative splicing; Disease mutation; Disulfide bond; Endoplasmic reticulum; Glycoprotein; Glycosidase; Golgi apparatus; Hydrolase; Phosphoprotein; Polymorphism; Signal</t>
  </si>
  <si>
    <t>Endoplasmic reticulum; Golgi apparatus</t>
  </si>
  <si>
    <t>carbohydrate metabolic process {GO:0005975}; N-glycan processing {GO:0006491}; protein folding {GO:0006457}</t>
  </si>
  <si>
    <t>endoplasmic reticulum lumen {GO:0005788}; extracellular exosome {GO:0070062}; glucosidase II complex {GO:0017177}; Golgi apparatus {GO:0005794}; intracellular membrane-bounded organelle {GO:0043231}; melanosome {GO:0042470}; membrane {GO:0016020}</t>
  </si>
  <si>
    <t>alpha-glucosidase activity {GO:0090599}; carbohydrate binding {GO:0030246}; glucan 1,3-alpha-glucosidase activity {GO:0033919}; RNA binding {GO:0003723}</t>
  </si>
  <si>
    <t>Glycan metabolism; N-glycan metabolism.</t>
  </si>
  <si>
    <t>N-glycan trimming in the ER and Calnexin/Calreticulin cycle {R-HSA-532668}; Calnexin/calreticulin cycle {R-HSA-901042}</t>
  </si>
  <si>
    <t>CD44 antigen</t>
  </si>
  <si>
    <t>CDw44; Epican; Extracellular matrix receptor III (ECMR-III); GP90 lymphocyte homing/adhesion receptor; HUTCH-I; Heparan sulfate proteoglycan; Hermes antigen; Hyaluronate receptor; Phagocytic glycoprotein 1 (PGP-1); Phagocytic glycoprotein I (PGP-I); CD_antigen=CD44</t>
  </si>
  <si>
    <t>CD44_HUMAN</t>
  </si>
  <si>
    <t>P16070</t>
  </si>
  <si>
    <t>A5YRN9; B6EAT9; D3DR12; D3DR13; O95370; P22511; Q04858; Q13419; Q13957; Q13958; Q13959; Q13960; Q13961; Q13967; Q13968; Q13980; Q15861; Q16064; Q16065; Q16066; Q16208; Q16522; Q86T72; Q86Z27; Q8N694; Q92493; Q96J24; Q9H5A5; Q9UC28; Q9UC29; Q9UC30; Q9UCB0; Q9UJ36</t>
  </si>
  <si>
    <t>LHR; MDU2; MDU3; MIC4</t>
  </si>
  <si>
    <t>3D-structure; Alternative splicing; Blood group antigen; Cell adhesion; Cell membrane; Cell projection; Disulfide bond; Glycoprotein; Membrane; Phosphoprotein; Polymorphism; Proteoglycan; Receptor; Signal; Transmembrane; Transmembrane helix</t>
  </si>
  <si>
    <t>Blood group antigen; Receptor</t>
  </si>
  <si>
    <t>cartilage development {GO:0051216}; cell adhesion {GO:0007155}; cell migration {GO:0016477}; cell-cell adhesion {GO:0098609}; cell-matrix adhesion {GO:0007160}; cellular response to fibroblast growth factor stimulus {GO:0044344}; extracellular matrix disassembly {GO:0022617}; extracellular matrix organization {GO:0030198}; hyaluronan catabolic process {GO:0030214}; inflammatory response {GO:0006954}; interferon-gamma-mediated signaling pathway {GO:0060333}; leukocyte migration {GO:0050900}; monocyte aggregation {GO:0070487}; negative regulation of apoptotic process {GO:0043066}; negative regulation of cysteine-type endopeptidase activity involved in apoptotic process {GO:0043154}; negative regulation of DNA damage response, signal transduction by p53 class mediator {GO:0043518}; negative regulation of intrinsic apoptotic signaling pathway in response to DNA damage by p53 class mediator {GO:1902166}; neutrophil degranulation {GO:0043312}; positive regulation of ERK1 and ERK2 cascade {GO:0070374}; positive regulation of heterotypic cell-cell adhesion {GO:0034116}; positive regulation of monocyte aggregation {GO:1900625}; positive regulation of peptidyl-serine phosphorylation {GO:0033138}; positive regulation of peptidyl-tyrosine phosphorylation {GO:0050731}; regulation of lamellipodium morphogenesis {GO:2000392}; T cell activation {GO:0042110}; wound healing, spreading of cells {GO:0044319}</t>
  </si>
  <si>
    <t>apical plasma membrane {GO:0016324}; basolateral plasma membrane {GO:0016323}; cell projection {GO:0042995}; cell surface {GO:0009986}; cytosol {GO:0005829}; extracellular exosome {GO:0070062}; focal adhesion {GO:0005925}; Golgi apparatus {GO:0005794}; integral component of plasma membrane {GO:0005887}; lamellipodium membrane {GO:0031258}; macrophage migration inhibitory factor receptor complex {GO:0035692}; microvillus {GO:0005902}; plasma membrane {GO:0005886}; secretory granule membrane {GO:0030667}</t>
  </si>
  <si>
    <t>collagen binding {GO:0005518}; hyaluronic acid binding {GO:0005540}; transmembrane signaling receptor activity {GO:0004888}</t>
  </si>
  <si>
    <t>Degradation of the extracellular matrix {R-HSA-1474228}; Cell surface interactions at the vascular wall {R-HSA-202733}; Integrin cell surface interactions {R-HSA-216083}; Hyaluronan uptake and degradation {R-HSA-2160916}; Neutrophil degranulation {R-HSA-6798695}; Interferon gamma signaling {R-HSA-877300}</t>
  </si>
  <si>
    <t>EH domain-containing protein 1</t>
  </si>
  <si>
    <t>PAST homolog 1 (hPAST1); Testilin</t>
  </si>
  <si>
    <t>EHD1_HUMAN</t>
  </si>
  <si>
    <t>Q9H4M9</t>
  </si>
  <si>
    <t>O14611; Q2M3Q4; Q9UNR3</t>
  </si>
  <si>
    <t>3D-structure; Acetylation; ATP-binding; Calcium; Cell membrane; Cell projection; Cilium; Cilium biogenesis/degradation; Coiled coil; Endosome; Membrane; Metal-binding; Nucleotide-binding; Phosphoprotein; Protein transport; Transport</t>
  </si>
  <si>
    <t>Cilium biogenesis/degradation; Protein transport; Transport</t>
  </si>
  <si>
    <t>Cell membrane; Cell projection; Cilium; Endosome; Membrane</t>
  </si>
  <si>
    <t>blood coagulation {GO:0007596}; cellular response to nerve growth factor stimulus {GO:1990090}; cholesterol homeostasis {GO:0042632}; cilium assembly {GO:0060271}; endocytic recycling {GO:0032456}; endocytosis {GO:0006897}; intracellular protein transport {GO:0006886}; low-density lipoprotein particle clearance {GO:0034383}; neuron projection development {GO:0031175}; positive regulation of cholesterol storage {GO:0010886}; positive regulation of endocytic recycling {GO:2001137}; positive regulation of myoblast fusion {GO:1901741}; protein homooligomerization {GO:0051260}; protein localization to cilium {GO:0061512}</t>
  </si>
  <si>
    <t>ciliary pocket membrane {GO:0020018}; early endosome membrane {GO:0031901}; endosome membrane {GO:0010008}; extracellular exosome {GO:0070062}; lipid droplet {GO:0005811}; membrane {GO:0016020}; plasma membrane {GO:0005886}; platelet dense tubular network membrane {GO:0031095}; recycling endosome membrane {GO:0055038}</t>
  </si>
  <si>
    <t>ATP binding {GO:0005524}; cadherin binding {GO:0045296}; calcium ion binding {GO:0005509}; GTP binding {GO:0005525}; identical protein binding {GO:0042802}; Rab GTPase binding {GO:0017137}</t>
  </si>
  <si>
    <t>Factors involved in megakaryocyte development and platelet production {R-HSA-983231}</t>
  </si>
  <si>
    <t>Frizzled-4 (Fz-4; hFz4)</t>
  </si>
  <si>
    <t>FzE4; CD_antigen=CD344</t>
  </si>
  <si>
    <t>FZD4_HUMAN</t>
  </si>
  <si>
    <t>Q9ULV1</t>
  </si>
  <si>
    <t>A8K9Q3; Q14C97; Q6S9E4</t>
  </si>
  <si>
    <t>3D-structure; Cell membrane; Developmental protein; Disease mutation; Disulfide bond; G-protein coupled receptor; Glycoprotein; Membrane; Polymorphism; Receptor; Signal; Transducer; Transmembrane; Transmembrane helix; Ubl conjugation; Wnt signaling pathway</t>
  </si>
  <si>
    <t>Disulfide bond; Glycoprotein; Ubl conjugation</t>
  </si>
  <si>
    <t>canonical Wnt signaling pathway {GO:0060070}; cellular response to leukemia inhibitory factor {GO:1990830}; cellular response to retinoic acid {GO:0071300}; cerebellum vasculature morphogenesis {GO:0061301}; extracellular matrix-cell signaling {GO:0035426}; locomotion involved in locomotory behavior {GO:0031987}; membrane organization {GO:0061024}; negative regulation of cell-substrate adhesion {GO:0010812}; neuron differentiation {GO:0030182}; non-canonical Wnt signaling pathway {GO:0035567}; Norrin signaling pathway {GO:0110135}; positive regulation of DNA-binding transcription factor activity {GO:0051091}; positive regulation of JUN kinase activity {GO:0043507}; positive regulation of neuron projection arborization {GO:0150012}; positive regulation of transcription, DNA-templated {GO:0045893}; progesterone secretion {GO:0042701}; regulation of vascular endothelial growth factor receptor signaling pathway {GO:0030947}; retina vasculature morphogenesis in camera-type eye {GO:0061299}; retinal blood vessel morphogenesis {GO:0061304}; sensory perception of sound {GO:0007605}; substrate adhesion-dependent cell spreading {GO:0034446}; vasculogenesis {GO:0001570}; Wnt signaling pathway {GO:0016055}; Wnt signaling pathway, calcium modulating pathway {GO:0007223}; Wnt signaling pathway, planar cell polarity pathway {GO:0060071}</t>
  </si>
  <si>
    <t>cell surface {GO:0009986}; cell-cell junction {GO:0005911}; clathrin-coated endocytic vesicle membrane {GO:0030669}; clathrin-coated vesicle membrane {GO:0030665}; dendrite {GO:0030425}; glutamatergic synapse {GO:0098978}; integral component of plasma membrane {GO:0005887}; plasma membrane {GO:0005886}</t>
  </si>
  <si>
    <t>amyloid-beta binding {GO:0001540}; cytokine binding {GO:0019955}; cytokine receptor activity {GO:0004896}; G protein-coupled receptor activity {GO:0004930}; PDZ domain binding {GO:0030165}; protein heterodimerization activity {GO:0046982}; protein homodimerization activity {GO:0042803}; protein-containing complex binding {GO:0044877}; signaling receptor activity {GO:0038023}; ubiquitin protein ligase binding {GO:0031625}; Wnt-activated receptor activity {GO:0042813}; Wnt-protein binding {GO:0017147}</t>
  </si>
  <si>
    <t>Class B/2 (Secretin family receptors) {R-HSA-373080}; Ca2+ pathway {R-HSA-4086398}; Asymmetric localization of PCP proteins {R-HSA-4608870}; Regulation of FZD by ubiquitination {R-HSA-4641263}; WNT5A-dependent internalization of FZD4 {R-HSA-5099900}; RNF mutants show enhanced WNT signaling and proliferation {R-HSA-5340588}; Cargo recognition for clathrin-mediated endocytosis {R-HSA-8856825}; Clathrin-mediated endocytosis {R-HSA-8856828}</t>
  </si>
  <si>
    <t>Cobalamin binding intrinsic factor</t>
  </si>
  <si>
    <t>Gastric intrinsic factor; Intrinsic factor (IF; INF)</t>
  </si>
  <si>
    <t>IF_HUMAN</t>
  </si>
  <si>
    <t>P27352</t>
  </si>
  <si>
    <t>B2RAN8; B4DVZ1</t>
  </si>
  <si>
    <t>3D-structure; Alternative splicing; Cobalt; Cobalt transport; Disease mutation; Disulfide bond; Glycoprotein; Ion transport; Phosphoprotein; Polymorphism; Secreted; Signal; Transport</t>
  </si>
  <si>
    <t>Cobalt transport; Ion transport; Transport</t>
  </si>
  <si>
    <t>Cobalt</t>
  </si>
  <si>
    <t>cobalamin metabolic process {GO:0009235}; cobalamin transport {GO:0015889}; cobalt ion transport {GO:0006824}</t>
  </si>
  <si>
    <t>apical plasma membrane {GO:0016324}; endosome {GO:0005768}; extracellular region {GO:0005576}; extracellular space {GO:0005615}; lysosomal lumen {GO:0043202}; microvillus {GO:0005902}</t>
  </si>
  <si>
    <t>cobalamin binding {GO:0031419}</t>
  </si>
  <si>
    <t>Cobalamin (Cbl, vitamin B12) transport and metabolism {R-HSA-196741}; Defective GIF causes intrinsic factor deficiency {R-HSA-3359457}; Defective AMN causes hereditary megaloblastic anemia 1 {R-HSA-3359462}; Defective CUBN causes hereditary megaloblastic anemia 1 {R-HSA-3359463}</t>
  </si>
  <si>
    <t>Syntaxin-3</t>
  </si>
  <si>
    <t>STX3_HUMAN</t>
  </si>
  <si>
    <t>Q13277</t>
  </si>
  <si>
    <t>B4DME0; O43750; O43751; Q15360</t>
  </si>
  <si>
    <t>STX3A</t>
  </si>
  <si>
    <t>Alternative splicing; Coiled coil; Membrane; Neurotransmitter transport; Polymorphism; Transmembrane; Transmembrane helix; Transport</t>
  </si>
  <si>
    <t>Neurotransmitter transport; Transport</t>
  </si>
  <si>
    <t>cytokine-mediated signaling pathway {GO:0019221}; exocytic insertion of neurotransmitter receptor to postsynaptic membrane {GO:0098967}; exocytosis {GO:0006887}; intracellular protein transport {GO:0006886}; long-term synaptic potentiation {GO:0060291}; neuron projection development {GO:0031175}; positive regulation of cell adhesion {GO:0045785}; positive regulation of cell population proliferation {GO:0008284}; positive regulation of chemotaxis {GO:0050921}; positive regulation of protein localization to cell surface {GO:2000010}; positive regulation of protein localization to plasma membrane {GO:1903078}; synaptic vesicle docking {GO:0016081}; synaptic vesicle fusion to presynaptic active zone membrane {GO:0031629}; vesicle docking {GO:0048278}; vesicle fusion {GO:0006906}</t>
  </si>
  <si>
    <t>apical plasma membrane {GO:0016324}; azurophil granule {GO:0042582}; cell-cell junction {GO:0005911}; dendrite {GO:0030425}; endomembrane system {GO:0012505}; extracellular exosome {GO:0070062}; glutamatergic synapse {GO:0098978}; growth cone {GO:0030426}; integral component of membrane {GO:0016021}; lamellipodium {GO:0030027}; melanosome {GO:0042470}; neuron projection {GO:0043005}; plasma membrane {GO:0005886}; postsynapse {GO:0098794}; presynaptic active zone membrane {GO:0048787}; presynaptic membrane {GO:0042734}; Schaffer collateral - CA1 synapse {GO:0098685}; SNARE complex {GO:0031201}; specific granule {GO:0042581}; synaptic vesicle {GO:0008021}; vacuole {GO:0005773}; zymogen granule membrane {GO:0042589}</t>
  </si>
  <si>
    <t>arachidonic acid binding {GO:0050544}; SNAP receptor activity {GO:0005484}; SNARE binding {GO:0000149}</t>
  </si>
  <si>
    <t>Receptor-type tyrosine-protein phosphatase eta (Protein-tyrosine phosphatase eta; R-PTP-eta)</t>
  </si>
  <si>
    <t>Density-enhanced phosphatase 1 (DEP-1); HPTP eta; Protein-tyrosine phosphatase receptor type J (R-PTP-J); CD_antigen=CD148</t>
  </si>
  <si>
    <t>PTPRJ_HUMAN</t>
  </si>
  <si>
    <t>Q12913</t>
  </si>
  <si>
    <t>Q15255; Q6P4H4; Q8NHM2; Q9UDA9</t>
  </si>
  <si>
    <t>DEP1</t>
  </si>
  <si>
    <t>3D-structure; Alternative splicing; Cell junction; Cell membrane; Cell projection; Glycoprotein; Hydrolase; Membrane; Phosphoprotein; Polymorphism; Protein phosphatase; Repeat; Signal; Transmembrane; Transmembrane helix</t>
  </si>
  <si>
    <t>Cell junction; Cell membrane; Cell projection; Membrane</t>
  </si>
  <si>
    <t>B cell differentiation {GO:0030183}; calcium-mediated signaling using intracellular calcium source {GO:0035584}; contact inhibition {GO:0060242}; negative regulation of cell growth {GO:0030308}; negative regulation of cell migration {GO:0030336}; negative regulation of cell population proliferation {GO:0008285}; negative regulation of epidermal growth factor receptor signaling pathway {GO:0042059}; negative regulation of MAP kinase activity {GO:0043407}; negative regulation of platelet-derived growth factor receptor signaling pathway {GO:0010642}; negative regulation of protein kinase B signaling {GO:0051898}; negative regulation of T cell receptor signaling pathway {GO:0050860}; negative regulation of vascular permeability {GO:0043116}; neutrophil degranulation {GO:0043312}; peptidyl-tyrosine dephosphorylation {GO:0035335}; platelet-derived growth factor receptor signaling pathway {GO:0048008}; positive chemotaxis {GO:0050918}; positive regulation of cell adhesion {GO:0045785}; positive regulation of Fc-gamma receptor signaling pathway involved in phagocytosis {GO:1905451}; positive regulation of focal adhesion assembly {GO:0051894}; positive regulation of MAPK cascade {GO:0043410}; positive regulation of peptidyl-tyrosine phosphorylation {GO:0050731}; positive regulation of protein kinase B signaling {GO:0051897}; positive regulation of tumor necrosis factor production {GO:0032760}; protein dephosphorylation {GO:0006470}; regulation of cell adhesion {GO:0030155}; T cell receptor signaling pathway {GO:0050852}</t>
  </si>
  <si>
    <t>cell surface {GO:0009986}; cell-cell junction {GO:0005911}; extracellular exosome {GO:0070062}; immunological synapse {GO:0001772}; integral component of plasma membrane {GO:0005887}; plasma membrane {GO:0005886}; ruffle membrane {GO:0032587}; specific granule membrane {GO:0035579}</t>
  </si>
  <si>
    <t>beta-catenin binding {GO:0008013}; delta-catenin binding {GO:0070097}; gamma-catenin binding {GO:0045295}; mitogen-activated protein kinase binding {GO:0051019}; phosphatase activity {GO:0016791}; platelet-derived growth factor receptor binding {GO:0005161}; protein kinase binding {GO:0019901}; protein tyrosine phosphatase activity {GO:0004725}</t>
  </si>
  <si>
    <t>Phosphorylation of CD3 and TCR zeta chains {R-HSA-202427}; Neutrophil degranulation {R-HSA-6798695}; Negative regulation of MET activity {R-HSA-6807004}</t>
  </si>
  <si>
    <t>40S ribosomal protein S3</t>
  </si>
  <si>
    <t>Small ribosomal subunit protein uS3</t>
  </si>
  <si>
    <t>RS3_HUMAN</t>
  </si>
  <si>
    <t>P23396</t>
  </si>
  <si>
    <t>B2R7N5; J3KN86; Q498B5; Q8NI95</t>
  </si>
  <si>
    <t>3D-structure; Acetylation; Alternative splicing; Apoptosis; Cell cycle; Cell division; Cytoplasm; Cytoskeleton; DNA damage; DNA repair; DNA-binding; Isopeptide bond; Lyase; Membrane; Methylation; Mitochondrion; Mitochondrion inner membrane; Mitosis; Nucleus; Phosphoprotein; Ribonucleoprotein; Ribosomal protein; RNA-binding; Transcription; Transcription regulation; Translation regulation; Ubl conjugation</t>
  </si>
  <si>
    <t>Apoptosis; Cell cycle; Cell division; DNA damage; DNA repair; Mitosis; Transcription; Transcription regulation; Translation regulation</t>
  </si>
  <si>
    <t>Cytoplasm; Cytoskeleton; Membrane; Mitochondrion; Mitochondrion inner membrane; Nucleus</t>
  </si>
  <si>
    <t>DNA-binding; Lyase; RNA-binding; Ribonucleoprotein; Ribosomal protein</t>
  </si>
  <si>
    <t>apoptotic process {GO:0006915}; cell division {GO:0051301}; cellular response to DNA damage stimulus {GO:0006974}; cellular response to hydrogen peroxide {GO:0070301}; cellular response to tumor necrosis factor {GO:0071356}; chromosome segregation {GO:0007059}; DNA damage response, detection of DNA damage {GO:0042769}; DNA repair {GO:0006281}; negative regulation of DNA repair {GO:0045738}; negative regulation of protein ubiquitination {GO:0031397}; negative regulation of translation {GO:0017148}; nuclear-transcribed mRNA catabolic process, nonsense-mediated decay {GO:0000184}; positive regulation of activated T cell proliferation {GO:0042104}; positive regulation of apoptotic signaling pathway {GO:2001235}; positive regulation of base-excision repair {GO:1905053}; positive regulation of cysteine-type endopeptidase activity involved in execution phase of apoptosis {GO:2001272}; positive regulation of DNA N-glycosylase activity {GO:1902546}; positive regulation of DNA repair {GO:0045739}; positive regulation of endodeoxyribonuclease activity {GO:0032079}; positive regulation of gene expression {GO:0010628}; positive regulation of interleukin-2 production {GO:0032743}; positive regulation of intrinsic apoptotic signaling pathway in response to DNA damage {GO:1902231}; positive regulation of JUN kinase activity {GO:0043507}; positive regulation of microtubule polymerization {GO:0031116}; positive regulation of NF-kappaB transcription factor activity {GO:0051092}; positive regulation of NIK/NF-kappaB signaling {GO:1901224}; positive regulation of protein complex assembly {GO:0031334}; positive regulation of T cell receptor signaling pathway {GO:0050862}; regulation of apoptotic process {GO:0042981}; response to oxidative stress {GO:0006979}; response to TNF agonist {GO:0061481}; spindle assembly {GO:0051225};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</si>
  <si>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endoplasmic reticulum {GO:0005783}; extracellular exosome {GO:0070062}; focal adhesion {GO:0005925}; membrane {GO:0016020}; mitochondrial inner membrane {GO:0005743}; mitochondrial matrix {GO:0005759}; mitotic spindle {GO:0072686}; NF-kappaB complex {GO:0071159}; nucleolus {GO:0005730}; nucleoplasm {GO:0005654}; nucleus {GO:0005634}; plasma membrane {GO:0005886}; polysome {GO:0005844}; postsynaptic density {GO:0014069}; ribonucleoprotein complex {GO:1990904}; ribosome {GO:0005840}; ruffle membrane {GO:0032587}</t>
  </si>
  <si>
    <t>class I DNA-(apurinic or apyrimidinic site) endonuclease activity {GO:0140078}; damaged DNA binding {GO:0003684}; DNA binding {GO:0003677}; DNA-(apurinic or apyrimidinic site) endonuclease activity {GO:0003906}; endodeoxyribonuclease activity {GO:0004520}; enzyme binding {GO:0019899}; Hsp70 protein binding {GO:0030544}; Hsp90 protein binding {GO:0051879}; iron-sulfur cluster binding {GO:0051536}; kinase binding {GO:0019900}; microtubule binding {GO:0008017}; mRNA binding {GO:0003729}; oxidized purine DNA binding {GO:0032357}; oxidized purine nucleobase lesion DNA N-glycosylase activity {GO:0008534}; oxidized pyrimidine DNA binding {GO:0032358}; protein kinase A binding {GO:0051018}; protein kinase binding {GO:0019901}; protein-containing complex binding {GO:0044877}; RNA binding {GO:0003723}; small ribosomal subunit rRNA binding {GO:0070181}; structural constituent of ribosome {GO:0003735}; supercoiled DNA binding {GO:0097100}; transcription factor binding {GO:0008134}; tubulin binding {GO:0015631}; ubiquitin-like protein conjugating enzyme binding {GO:0044390}</t>
  </si>
  <si>
    <t>Peroxiredoxin-1</t>
  </si>
  <si>
    <t>Natural killer cell-enhancing factor A (NKEF-A); Proliferation-associated gene protein (PAG); Thioredoxin peroxidase 2; Thioredoxin-dependent peroxide reductase 2</t>
  </si>
  <si>
    <t>PRDX1_HUMAN</t>
  </si>
  <si>
    <t>Q06830</t>
  </si>
  <si>
    <t>B5BU26; D3DPZ8; P35703; Q2V576; Q5T154; Q5T155</t>
  </si>
  <si>
    <t>PAGA; PAGB; TDPX2</t>
  </si>
  <si>
    <t>3D-structure; Acetylation; Antioxidant; Cytoplasm; Disulfide bond; Isopeptide bond; Oxidoreductase; Peroxidase; Phosphoprotein; Polymorphism; Redox-active center; Ubl conjugation</t>
  </si>
  <si>
    <t>Antioxidant; Oxidoreductase; Peroxidase</t>
  </si>
  <si>
    <t>Acetylation; Disulfide bond; Isopeptide bond; Phosphoprotein; Ubl conjugation</t>
  </si>
  <si>
    <t>cell population proliferation {GO:0008283}; cell redox homeostasis {GO:0045454}; cellular response to oxidative stress {GO:0034599}; erythrocyte homeostasis {GO:0034101}; hydrogen peroxide catabolic process {GO:0042744}; leukocyte activation {GO:0045321}; natural killer cell activation {GO:0030101}; natural killer cell mediated cytotoxicity {GO:0042267}; regulation of NIK/NF-kappaB signaling {GO:1901222}; regulation of stress-activated MAPK cascade {GO:0032872}; removal of superoxide radicals {GO:0019430}; response to oxidative stress {GO:0006979}; retina homeostasis {GO:0001895}; skeletal system development {GO:0001501}</t>
  </si>
  <si>
    <t>cytoplasm {GO:0005737}; cytosol {GO:0005829}; extracellular exosome {GO:0070062}; extracellular space {GO:0005615}; melanosome {GO:0042470}; nucleus {GO:0005634}</t>
  </si>
  <si>
    <t>cadherin binding {GO:0045296}; identical protein binding {GO:0042802}; peroxidase activity {GO:0004601}; RNA binding {GO:0003723}; thioredoxin peroxidase activity {GO:0008379}</t>
  </si>
  <si>
    <t>Detoxification of Reactive Oxygen Species {R-HSA-3299685}; TP53 Regulates Metabolic Genes {R-HSA-5628897}; Deregulated CDK5 triggers multiple neurodegenerative pathways in Alzheimer's disease models {R-HSA-8862803}</t>
  </si>
  <si>
    <t>Sortilin-related receptor</t>
  </si>
  <si>
    <t>Low-density lipoprotein receptor relative with 11 ligand-binding repeats (LDLR relative with 11 ligand-binding repeats; LR11); SorLA-1; Sorting protein-related receptor containing LDLR class A repeats (SorLA)</t>
  </si>
  <si>
    <t>SORL_HUMAN</t>
  </si>
  <si>
    <t>Q92673</t>
  </si>
  <si>
    <t>B2RNX7; Q92856</t>
  </si>
  <si>
    <t>C11orf32</t>
  </si>
  <si>
    <t>3D-structure; Alzheimer disease; Amyloidosis; Cholesterol metabolism; Cleavage on pair of basic residues; Disease mutation; Disulfide bond; EGF-like domain; Endocytosis; Endosome; Glycoprotein; Golgi apparatus; LDL; Lipid metabolism; Lipid transport; Membrane; Neurodegeneration; Phosphoprotein; Polymorphism; Receptor; Repeat; Secreted; Signal; Steroid metabolism; Sterol metabolism; Transmembrane; Transmembrane helix; Transport</t>
  </si>
  <si>
    <t>Cholesterol metabolism; Endocytosis; Lipid metabolism; Lipid transport; Steroid metabolism; Sterol metabolism; Transport</t>
  </si>
  <si>
    <t>Endosome; Golgi apparatus; LDL; Membrane; Secreted</t>
  </si>
  <si>
    <t>cellular protein metabolic process {GO:0044267}; cholesterol metabolic process {GO:0008203}; lipid transport {GO:0006869}; negative regulation of amyloid-beta formation {GO:1902430}; negative regulation of aspartic-type endopeptidase activity involved in amyloid precursor protein catabolic process {GO:1902960}; negative regulation of MAP kinase activity {GO:0043407}; negative regulation of metalloendopeptidase activity involved in amyloid precursor protein catabolic process {GO:1902963}; negative regulation of neurofibrillary tangle assembly {GO:1902997}; negative regulation of neurogenesis {GO:0050768}; negative regulation of neuron death {GO:1901215}; negative regulation of protein binding {GO:0032091}; negative regulation of protein oligomerization {GO:0032460}; negative regulation of tau-protein kinase activity {GO:1902948}; positive regulation of choline O-acetyltransferase activity {GO:1902771}; positive regulation of early endosome to recycling endosome transport {GO:1902955}; positive regulation of endocytic recycling {GO:2001137}; positive regulation of ER to Golgi vesicle-mediated transport {GO:1902953}; positive regulation of protein catabolic process {GO:0045732}; positive regulation of protein exit from endoplasmic reticulum {GO:0070863}; positive regulation of protein localization to early endosome {GO:1902966}; post-Golgi vesicle-mediated transport {GO:0006892}; protein localization to Golgi apparatus {GO:0034067}; protein maturation {GO:0051604}; protein retention in Golgi apparatus {GO:0045053}; protein targeting {GO:0006605}; protein targeting to lysosome {GO:0006622}; receptor-mediated endocytosis {GO:0006898}; regulation of smooth muscle cell migration {GO:0014910}</t>
  </si>
  <si>
    <t>early endosome {GO:0005769}; endoplasmic reticulum {GO:0005783}; endosome {GO:0005768}; endosome membrane {GO:0010008}; extracellular exosome {GO:0070062}; extracellular space {GO:0005615}; Golgi apparatus {GO:0005794}; Golgi cisterna {GO:0031985}; Golgi membrane {GO:0000139}; integral component of membrane {GO:0016021}; integral component of plasma membrane {GO:0005887}; low-density lipoprotein particle {GO:0034362}; membrane {GO:0016020}; nuclear envelope lumen {GO:0005641}; recycling endosome {GO:0055037}; trans-Golgi network {GO:0005802}</t>
  </si>
  <si>
    <t>ADP-ribosylation factor binding {GO:0030306}; amyloid-beta binding {GO:0001540}; low-density lipoprotein particle binding {GO:0030169}; low-density lipoprotein particle receptor activity {GO:0005041}; transmembrane signaling receptor activity {GO:0004888}</t>
  </si>
  <si>
    <t>Amyloid fiber formation {R-HSA-977225}</t>
  </si>
  <si>
    <t>Neuroblast differentiation-associated protein AHNAK</t>
  </si>
  <si>
    <t>Desmoyokin</t>
  </si>
  <si>
    <t>AHNK_HUMAN</t>
  </si>
  <si>
    <t>Q09666</t>
  </si>
  <si>
    <t>A1A586</t>
  </si>
  <si>
    <t>PM227</t>
  </si>
  <si>
    <t>3D-structure; Acetylation; Alternative splicing; Isopeptide bond; Methylation; Nucleus; Phosphoprotein; Polymorphism; Repeat; Ubl conjugation</t>
  </si>
  <si>
    <t>protein complex oligomerization {GO:0051259}; regulation of RNA splicing {GO:0043484}; regulation of voltage-gated calcium channel activity {GO:1901385}</t>
  </si>
  <si>
    <t>actin cytoskeleton {GO:0015629}; cell-cell contact zone {GO:0044291}; costamere {GO:0043034}; cytoplasm {GO:0005737}; cytosol {GO:0005829}; extracellular exosome {GO:0070062}; focal adhesion {GO:0005925}; lysosomal membrane {GO:0005765}; membrane {GO:0016020}; nucleus {GO:0005634}; plasma membrane {GO:0005886}; sarcolemma {GO:0042383}; T-tubule {GO:0030315}; vesicle {GO:0031982}</t>
  </si>
  <si>
    <t>cadherin binding {GO:0045296}; RNA binding {GO:0003723}; S100 protein binding {GO:0044548}; structural molecule activity conferring elasticity {GO:0097493}</t>
  </si>
  <si>
    <t>Neural cell adhesion molecule 1 (N-CAM-1; NCAM-1)</t>
  </si>
  <si>
    <t>CD_antigen=CD56</t>
  </si>
  <si>
    <t>NCAM1_HUMAN</t>
  </si>
  <si>
    <t>P13591</t>
  </si>
  <si>
    <t>A8K8T8; P13592; P13593; Q05C58; Q15829; Q16180; Q16209; Q59FL7; Q86X47; Q96CJ3</t>
  </si>
  <si>
    <t>NCAM</t>
  </si>
  <si>
    <t>3D-structure; Alternative splicing; Cell adhesion; Cell membrane; Disulfide bond; Glycoprotein; GPI-anchor; Host cell receptor for virus entry; Host-virus interaction; Immunoglobulin domain; Lipoprotein; Membrane; Phosphoprotein; Polymorphism; Receptor; Repeat; Secreted; Signal; Transmembrane; Transmembrane helix</t>
  </si>
  <si>
    <t>Host cell receptor for virus entry; Receptor</t>
  </si>
  <si>
    <t>axon guidance {GO:0007411}; cell adhesion {GO:0007155}; commissural neuron axon guidance {GO:0071679}; interferon-gamma-mediated signaling pathway {GO:0060333}; MAPK cascade {GO:0000165}; regulation of semaphorin-plexin signaling pathway {GO:2001260}</t>
  </si>
  <si>
    <t>anchored component of membrane {GO:0031225}; cell surface {GO:0009986}; collagen-containing extracellular matrix {GO:0062023}; cytosol {GO:0005829}; external side of plasma membrane {GO:0009897}; Golgi membrane {GO:0000139}; integral component of membrane {GO:0016021}; membrane {GO:0016020}; plasma membrane {GO:0005886}</t>
  </si>
  <si>
    <t>identical protein binding {GO:0042802}; virus receptor activity {GO:0001618}</t>
  </si>
  <si>
    <t>ECM proteoglycans {R-HSA-3000178}; NCAM signaling for neurite out-growth {R-HSA-375165}; NCAM1 interactions {R-HSA-419037}; Signal transduction by L1 {R-HSA-445144}; RAF/MAP kinase cascade {R-HSA-5673001}; Interferon gamma signaling {R-HSA-877300}</t>
  </si>
  <si>
    <t>Glycogen phosphorylase, muscle form</t>
  </si>
  <si>
    <t>Myophosphorylase</t>
  </si>
  <si>
    <t>PYGM_HUMAN</t>
  </si>
  <si>
    <t>P11217</t>
  </si>
  <si>
    <t>A0AVK1; A6NDY6</t>
  </si>
  <si>
    <t>glycogen catabolic process {GO:0005980}; glycogen metabolic process {GO:0005977}</t>
  </si>
  <si>
    <t>glycogen phosphorylase activity {GO:0008184}; linear malto-oligosaccharide phosphorylase activity {GO:0102250}; nucleotide binding {GO:0000166}; pyridoxal phosphate binding {GO:0030170}; SHG alpha-glucan phosphorylase activity {GO:0102499}</t>
  </si>
  <si>
    <t>Glycogen breakdown (glycogenolysis) {R-HSA-70221}</t>
  </si>
  <si>
    <t>Ribonuclease inhibitor</t>
  </si>
  <si>
    <t>Placental ribonuclease inhibitor (Placental RNase inhibitor); Ribonuclease/angiogenin inhibitor 1 (RAI)</t>
  </si>
  <si>
    <t>RINI_HUMAN</t>
  </si>
  <si>
    <t>P13489</t>
  </si>
  <si>
    <t>Q8IZK8; Q96FD7; Q9BQ80; Q9UDK6</t>
  </si>
  <si>
    <t>PRI; RNH</t>
  </si>
  <si>
    <t>3D-structure; Acetylation; Cytoplasm; Leucine-rich repeat; Phosphoprotein; Polymorphism; Repeat</t>
  </si>
  <si>
    <t>mRNA catabolic process {GO:0006402}; regulation of angiogenesis {GO:0045765}</t>
  </si>
  <si>
    <t>angiogenin-PRI complex {GO:0032311}; cytosol {GO:0005829}; extracellular exosome {GO:0070062}; nucleoplasm {GO:0005654}</t>
  </si>
  <si>
    <t>ribonuclease inhibitor activity {GO:0008428}</t>
  </si>
  <si>
    <t>Ubiquitin-like protein FUBI</t>
  </si>
  <si>
    <t>UBIM_HUMAN</t>
  </si>
  <si>
    <t>P35544</t>
  </si>
  <si>
    <t>Q9H5V4</t>
  </si>
  <si>
    <t>3D-structure; Polymorphism</t>
  </si>
  <si>
    <t>Troponin T, fast skeletal muscle (TnTf)</t>
  </si>
  <si>
    <t>Beta-TnTF; Fast skeletal muscle troponin T (fTnT)</t>
  </si>
  <si>
    <t>TNNT3_HUMAN</t>
  </si>
  <si>
    <t>P45378</t>
  </si>
  <si>
    <t>A8MQ76; A8MSW1; B3KPX3; B7WP64; B7ZL26; B7ZVV9; Q12975; Q12976; Q12977; Q12978; Q17RG9; Q6FH29; Q6N056; Q86TH6</t>
  </si>
  <si>
    <t>Acetylation; Alternative splicing; Disease mutation; Muscle protein; Phosphoprotein</t>
  </si>
  <si>
    <t>cardiac muscle contraction {GO:0060048}; muscle contraction {GO:0006936}; muscle filament sliding {GO:0030049}; regulation of ATPase activity {GO:0043462}; regulation of striated muscle contraction {GO:0006942}; sarcomere organization {GO:0045214}; skeletal muscle contraction {GO:0003009}</t>
  </si>
  <si>
    <t>cytosol {GO:0005829}; troponin complex {GO:0005861}</t>
  </si>
  <si>
    <t>calcium ion binding {GO:0005509}; calcium-dependent protein binding {GO:0048306}; tropomyosin binding {GO:0005523}; troponin C binding {GO:0030172}; troponin I binding {GO:0031013}</t>
  </si>
  <si>
    <t>Zinc finger protein-like 1</t>
  </si>
  <si>
    <t>Zinc finger protein MCG4</t>
  </si>
  <si>
    <t>ZFPL1_HUMAN</t>
  </si>
  <si>
    <t>O95159</t>
  </si>
  <si>
    <t>A8K7E9; O14616; Q9UID0</t>
  </si>
  <si>
    <t>ER-Golgi transport; Golgi apparatus; Membrane; Metal-binding; Phosphoprotein; Polymorphism; Transmembrane; Transmembrane helix; Transport; Zinc; Zinc-finger</t>
  </si>
  <si>
    <t>ER-Golgi transport; Transport</t>
  </si>
  <si>
    <t>Transmembrane; Transmembrane helix; Zinc-finger</t>
  </si>
  <si>
    <t>regulation of transcription, DNA-templated {GO:0006355}; vesicle-mediated transport {GO:0016192}</t>
  </si>
  <si>
    <t>Golgi apparatus {GO:0005794}; integral component of membrane {GO:0016021}; nucleus {GO:0005634}</t>
  </si>
  <si>
    <t>DNA binding {GO:0003677}; zinc ion binding {GO:0008270}</t>
  </si>
  <si>
    <t>Junctional adhesion molecule-like</t>
  </si>
  <si>
    <t>Adhesion molecule interacting with CXADR antigen 1; Dendritic cell-specific protein CREA7-1</t>
  </si>
  <si>
    <t>JAML_HUMAN</t>
  </si>
  <si>
    <t>Q86YT9</t>
  </si>
  <si>
    <t>B0YIV1; B0YIV2; Q496M1; Q5DTC6; Q7Z499; Q8N9I7; Q8NF70</t>
  </si>
  <si>
    <t>AMICA1</t>
  </si>
  <si>
    <t>Alternative splicing; Cell adhesion; Cell junction; Cell membrane; Disulfide bond; Glycoprotein; Immunity; Immunoglobulin domain; Membrane; Polymorphism; Repeat; Signal; Transmembrane; Transmembrane helix</t>
  </si>
  <si>
    <t>Cell adhesion; Immunity</t>
  </si>
  <si>
    <t>gamma-delta T cell activation {GO:0046629}; heterophilic cell-cell adhesion via plasma membrane cell adhesion molecules {GO:0007157}; leukocyte migration {GO:0050900}; monocyte extravasation {GO:0035696}; neutrophil chemotaxis {GO:0030593}; neutrophil extravasation {GO:0072672}; positive regulation of epithelial cell proliferation involved in wound healing {GO:0060054}; regulation of immune response {GO:0050776}</t>
  </si>
  <si>
    <t>bicellular tight junction {GO:0005923}; integral component of membrane {GO:0016021}; plasma membrane {GO:0005886}</t>
  </si>
  <si>
    <t>cell adhesion molecule binding {GO:0050839}; integrin binding {GO:0005178}; protein homodimerization activity {GO:0042803}</t>
  </si>
  <si>
    <t>Immunoregulatory interactions between a Lymphoid and a non-Lymphoid cell {R-HSA-198933}; Cell surface interactions at the vascular wall {R-HSA-202733}</t>
  </si>
  <si>
    <t>Thy-1 membrane glycoprotein</t>
  </si>
  <si>
    <t>CDw90; Thy-1 antigen; CD_antigen=CD90</t>
  </si>
  <si>
    <t>THY1_HUMAN</t>
  </si>
  <si>
    <t>P04216</t>
  </si>
  <si>
    <t>Q16008; Q9NSP1</t>
  </si>
  <si>
    <t>Cell membrane; Disulfide bond; Glycoprotein; GPI-anchor; Immunoglobulin domain; Lipoprotein; Membrane; Phosphoprotein; Pyrrolidone carboxylic acid; Signal</t>
  </si>
  <si>
    <t>Disulfide bond; GPI-anchor; Glycoprotein; Lipoprotein; Phosphoprotein; Pyrrolidone carboxylic acid</t>
  </si>
  <si>
    <t>angiogenesis {GO:0001525}; cell-cell adhesion {GO:0098609}; cell-cell signaling {GO:0007267}; cytoskeleton organization {GO:0007010}; focal adhesion assembly {GO:0048041}; integrin-mediated signaling pathway {GO:0007229}; negative regulation of axonogenesis {GO:0050771}; negative regulation of cell migration {GO:0030336}; negative regulation of neuron projection regeneration {GO:0070571}; negative regulation of protein kinase activity {GO:0006469}; negative regulation of protein tyrosine kinase activity {GO:0061099}; negative regulation of T cell receptor signaling pathway {GO:0050860}; positive regulation of cellular extravasation {GO:0002693}; positive regulation of focal adhesion assembly {GO:0051894}; positive regulation of GTPase activity {GO:0043547}; positive regulation of heterotypic cell-cell adhesion {GO:0034116}; positive regulation of release of sequestered calcium ion into cytosol {GO:0051281}; positive regulation of T cell activation {GO:0050870}; protein autophosphorylation {GO:0046777}; receptor clustering {GO:0043113}; regulation of cell-matrix adhesion {GO:0001952}; regulation of Rho-dependent protein serine/threonine kinase activity {GO:2000298}; retinal cone cell development {GO:0046549}; T cell receptor signaling pathway {GO:0050852}</t>
  </si>
  <si>
    <t>anchored component of external side of plasma membrane {GO:0031362}; apical plasma membrane {GO:0016324}; axolemma {GO:0030673}; cell surface {GO:0009986}; cytosol {GO:0005829}; dendrite {GO:0030425}; dendrite membrane {GO:0032590}; endoplasmic reticulum {GO:0005783}; external side of plasma membrane {GO:0009897}; extracellular exosome {GO:0070062}; extracellular region {GO:0005576}; focal adhesion {GO:0005925}; growth cone {GO:0030426}; integral component of plasma membrane {GO:0005887}; membrane raft {GO:0045121}; neuronal cell body membrane {GO:0032809}; plasma membrane {GO:0005886}</t>
  </si>
  <si>
    <t>GPI anchor binding {GO:0034235}; GTPase activator activity {GO:0005096}; integrin binding {GO:0005178}; protein kinase binding {GO:0019901}</t>
  </si>
  <si>
    <t>Cell adhesion molecule 1</t>
  </si>
  <si>
    <t>Immunoglobulin superfamily member 4 (IgSF4); Nectin-like protein 2 (NECL-2); Spermatogenic immunoglobulin superfamily (SgIgSF); Synaptic cell adhesion molecule (SynCAM); Tumor suppressor in lung cancer 1 (TSLC-1)</t>
  </si>
  <si>
    <t>CADM1_HUMAN</t>
  </si>
  <si>
    <t>Q9BY67</t>
  </si>
  <si>
    <t>A4FVB5; F5H0J4; H0YGA7; H1ZZV9; H1ZZW1; H1ZZW2; Q86WB8; Q8N2F4; X5D2C8</t>
  </si>
  <si>
    <t>3D-structure; Alternative splicing; Apoptosis; Cell adhesion; Cell junction; Cell membrane; Developmental protein; Differentiation; Disulfide bond; Glycoprotein; Host-virus interaction; Immunity; Immunoglobulin domain; Membrane; Phosphoprotein; Polymorphism; Repeat; Signal; Spermatogenesis; Synapse; Transmembrane; Transmembrane helix; Tumor suppressor</t>
  </si>
  <si>
    <t>Apoptosis; Cell adhesion; Differentiation; Host-virus interaction; Immunity; Spermatogenesis</t>
  </si>
  <si>
    <t>Cell junction; Cell membrane; Membrane; Synapse</t>
  </si>
  <si>
    <t>adherens junction organization {GO:0034332}; apoptotic process {GO:0006915}; cell differentiation {GO:0030154}; cell recognition {GO:0008037}; detection of stimulus {GO:0051606}; heterophilic cell-cell adhesion via plasma membrane cell adhesion molecules {GO:0007157}; homophilic cell adhesion via plasma membrane adhesion molecules {GO:0007156}; immune system process {GO:0002376}; multicellular organism development {GO:0007275}; positive regulation of cytokine secretion {GO:0050715}; positive regulation of natural killer cell mediated cytotoxicity {GO:0045954}; spermatogenesis {GO:0007283}; susceptibility to natural killer cell mediated cytotoxicity {GO:0042271}; viral process {GO:0016032}</t>
  </si>
  <si>
    <t>basolateral plasma membrane {GO:0016323}; cell-cell junction {GO:0005911}; integral component of membrane {GO:0016021}; plasma membrane {GO:0005886}; synapse {GO:0045202}</t>
  </si>
  <si>
    <t>PDZ domain binding {GO:0030165}; protein homodimerization activity {GO:0042803}; signaling receptor binding {GO:0005102}</t>
  </si>
  <si>
    <t>Adherens junctions interactions {R-HSA-418990}; Nectin/Necl trans heterodimerization {R-HSA-420597}</t>
  </si>
  <si>
    <t>Methylosome subunit pICln</t>
  </si>
  <si>
    <t>Chloride channel, nucleotide sensitive 1A; Chloride conductance regulatory protein ICln (I(Cln)); Chloride ion current inducer protein (ClCI); Reticulocyte pICln</t>
  </si>
  <si>
    <t>ICLN_HUMAN</t>
  </si>
  <si>
    <t>P54105</t>
  </si>
  <si>
    <t>B2RCS9; Q0VDK6; Q9NRD2; Q9NRD3</t>
  </si>
  <si>
    <t>CLCI; ICLN</t>
  </si>
  <si>
    <t>Acetylation; Cytoplasm; Cytoskeleton; Nucleus; Phosphoprotein; Polymorphism</t>
  </si>
  <si>
    <t>cell volume homeostasis {GO:0006884}; chloride transport {GO:0006821}; spliceosomal snRNP assembly {GO:0000387}</t>
  </si>
  <si>
    <t>cytoskeleton {GO:0005856}; cytosol {GO:0005829}; methylosome {GO:0034709}; nucleoplasm {GO:0005654}; nucleus {GO:0005634}; pICln-Sm protein complex {GO:0034715}; plasma membrane {GO:0005886}</t>
  </si>
  <si>
    <t>protein heterodimerization activity {GO:0046982}; RNA binding {GO:0003723}</t>
  </si>
  <si>
    <t>snRNP Assembly {R-HSA-191859}</t>
  </si>
  <si>
    <t>Dipeptidyl peptidase 1 light chain</t>
  </si>
  <si>
    <t>Cathepsin C; Cathepsin J; Dipeptidyl peptidase I (DPP-I; DPPI); Dipeptidyl transferase; Dipeptidyl peptidase I exclusion domain chain; Dipeptidyl peptidase I heavy chain; Dipeptidyl peptidase I light chain</t>
  </si>
  <si>
    <t>CATC_HUMAN</t>
  </si>
  <si>
    <t>P53634</t>
  </si>
  <si>
    <t>A8K7V2; B5MDD5; Q2HIY8; Q53G93; Q71E75; Q71E76; Q7M4N9; Q7Z3G7; Q7Z5U7; Q8WY99; Q8WYA7; Q8WYA8</t>
  </si>
  <si>
    <t>CPPI</t>
  </si>
  <si>
    <t>3D-structure; Alternative splicing; Chloride; Disease mutation; Disulfide bond; Glycoprotein; Hydrolase; Lysosome; Palmoplantar keratoderma; Polymorphism; Protease; Signal; Thiol protease; Zymogen</t>
  </si>
  <si>
    <t>aging {GO:0007568}; COPII vesicle coating {GO:0048208}; endoplasmic reticulum to Golgi vesicle-mediated transport {GO:0006888}; immune response {GO:0006955}; negative regulation of myelination {GO:0031642}; neutrophil degranulation {GO:0043312}; positive regulation of apoptotic signaling pathway {GO:2001235}; positive regulation of microglial cell activation {GO:1903980}; positive regulation of proteolysis involved in cellular protein catabolic process {GO:1903052}; proteolysis {GO:0006508}; proteolysis involved in cellular protein catabolic process {GO:0051603}; response to organic substance {GO:0010033}; T cell mediated cytotoxicity {GO:0001913}</t>
  </si>
  <si>
    <t>azurophil granule lumen {GO:0035578}; centrosome {GO:0005813}; collagen-containing extracellular matrix {GO:0062023}; COPII-coated ER to Golgi transport vesicle {GO:0030134}; endoplasmic reticulum lumen {GO:0005788}; endoplasmic reticulum-Golgi intermediate compartment membrane {GO:0033116}; extracellular exosome {GO:0070062}; extracellular region {GO:0005576}; extracellular space {GO:0005615}; Golgi membrane {GO:0000139}; intracellular membrane-bounded organelle {GO:0043231}; lysosome {GO:0005764}; membrane {GO:0016020}; nucleoplasm {GO:0005654}</t>
  </si>
  <si>
    <t>chaperone binding {GO:0051087}; chloride ion binding {GO:0031404}; cysteine-type endopeptidase activity {GO:0004197}; cysteine-type peptidase activity {GO:0008234}; identical protein binding {GO:0042802}; peptidase activator activity involved in apoptotic process {GO:0016505}; phosphatase binding {GO:0019902}; protein self-association {GO:0043621}; serine-type endopeptidase activity {GO:0004252}</t>
  </si>
  <si>
    <t>COPII-mediated vesicle transport {R-HSA-204005}; MHC class II antigen presentation {R-HSA-2132295}; Cargo concentration in the ER {R-HSA-5694530}; Neutrophil degranulation {R-HSA-6798695}</t>
  </si>
  <si>
    <t>Transaldolase</t>
  </si>
  <si>
    <t>TALDO_HUMAN</t>
  </si>
  <si>
    <t>P37837</t>
  </si>
  <si>
    <t>B2R8M2; O00751; Q8WV32; Q8WZ45</t>
  </si>
  <si>
    <t>TAL; TALDO; TALDOR</t>
  </si>
  <si>
    <t>3D-structure; Acetylation; Cytoplasm; Disease mutation; Pentose shunt; Phosphoprotein; Schiff base; Transferase</t>
  </si>
  <si>
    <t>Pentose shunt</t>
  </si>
  <si>
    <t>Schiff base</t>
  </si>
  <si>
    <t>carbohydrate metabolic process {GO:0005975}; fructose 6-phosphate metabolic process {GO:0006002}; glyceraldehyde-3-phosphate metabolic process {GO:0019682}; interleukin-12-mediated signaling pathway {GO:0035722}; pentose-phosphate shunt {GO:0006098}; pentose-phosphate shunt, non-oxidative branch {GO:0009052}; xylulose biosynthetic process {GO:0005999}</t>
  </si>
  <si>
    <t>monosaccharide binding {GO:0048029}; sedoheptulose-7-phosphate:D-glyceraldehyde-3-phosphate glyceronetransferase activity {GO:0004801}</t>
  </si>
  <si>
    <t>Carbohydrate degradation; pentose phosphate pathway; D- glyceraldehyde 3-phosphate and beta-D-fructose 6-phosphate from D- ribose 5-phosphate and D-xylulose 5-phosphate (non-oxidative stage): step 2/3.</t>
  </si>
  <si>
    <t>Insulin effects increased synthesis of Xylulose-5-Phosphate {R-HSA-163754}; TALDO1 deficiency: failed conversion of SH7P, GA3P to Fru(6)P, E4P {R-HSA-6791055}; TALDO1 deficiency: failed conversion of Fru(6)P, E4P to SH7P, GA3P {R-HSA-6791462}; Pentose phosphate pathway {R-HSA-71336}; Gene and protein expression by JAK-STAT signaling after Interleukin-12 stimulation {R-HSA-8950505}</t>
  </si>
  <si>
    <t>CXADR-like membrane protein</t>
  </si>
  <si>
    <t>Adipocyte adhesion molecule; Coxsackie- and adenovirus receptor-like membrane protein (CAR-like membrane protein)</t>
  </si>
  <si>
    <t>CLMP_HUMAN</t>
  </si>
  <si>
    <t>Q9H6B4</t>
  </si>
  <si>
    <t>ACAM; ASAM</t>
  </si>
  <si>
    <t>Cell junction; Cell membrane; Disease mutation; Disulfide bond; Glycoprotein; Immunoglobulin domain; Membrane; Polymorphism; Repeat; Signal; Tight junction; Transmembrane; Transmembrane helix</t>
  </si>
  <si>
    <t>Cell junction; Cell membrane; Membrane; Tight junction</t>
  </si>
  <si>
    <t>digestive tract development {GO:0048565}</t>
  </si>
  <si>
    <t>bicellular tight junction {GO:0005923}; cell surface {GO:0009986}; cytoplasmic microtubule {GO:0005881}; integral component of membrane {GO:0016021}; plasma membrane {GO:0005886}</t>
  </si>
  <si>
    <t>Ubiquitin thioesterase OTUB1</t>
  </si>
  <si>
    <t>Deubiquitinating enzyme OTUB1; OTU domain-containing ubiquitin aldehyde-binding protein 1; Otubain-1 (hOTU1); Ubiquitin-specific-processing protease OTUB1</t>
  </si>
  <si>
    <t>OTUB1_HUMAN</t>
  </si>
  <si>
    <t>Q96FW1</t>
  </si>
  <si>
    <t>Q32Q78; Q96II3; Q9NXQ4; Q9P0B8</t>
  </si>
  <si>
    <t>OTB1; OTU1</t>
  </si>
  <si>
    <t>3D-structure; Acetylation; Adaptive immunity; Alternative splicing; Cytoplasm; DNA damage; DNA repair; Hydrolase; Immunity; Phosphoprotein; Protease; Thiol protease; Ubl conjugation pathway</t>
  </si>
  <si>
    <t>Adaptive immunity; DNA damage; DNA repair; Immunity; Ubl conjugation pathway</t>
  </si>
  <si>
    <t>adaptive immune response {GO:0002250}; cellular response to DNA damage stimulus {GO:0006974}; cellular response to interleukin-1 {GO:0071347}; DNA repair {GO:0006281}; negative regulation of double-strand break repair {GO:2000780}; negative regulation of histone H2A K63-linked ubiquitination {GO:1901315}; protein deubiquitination {GO:0016579}; protein K48-linked deubiquitination {GO:0071108}</t>
  </si>
  <si>
    <t>cytosol {GO:0005829}; extracellular exosome {GO:0070062}; nucleoplasm {GO:0005654}; nucleus {GO:0005634}</t>
  </si>
  <si>
    <t>NEDD8-specific protease activity {GO:0019784}; thiol-dependent ubiquitin-specific protease activity {GO:0004843}; ubiquitin binding {GO:0043130}; ubiquitin protein ligase binding {GO:0031625}</t>
  </si>
  <si>
    <t>Ub-specific processing proteases {R-HSA-5689880}; Ovarian tumor domain proteases {R-HSA-5689896}</t>
  </si>
  <si>
    <t>182 kDa tankyrase-1-binding protein</t>
  </si>
  <si>
    <t>TB182_HUMAN</t>
  </si>
  <si>
    <t>Q9C0C2</t>
  </si>
  <si>
    <t>A7E2F8; Q6PJ35; Q6ZV74</t>
  </si>
  <si>
    <t>KIAA1741; TAB182</t>
  </si>
  <si>
    <t>ADP-ribosylation; Alternative splicing; Chromosome; Cytoplasm; Cytoskeleton; Methylation; Nucleus; Phosphoprotein; Polymorphism</t>
  </si>
  <si>
    <t>Chromosome; Cytoplasm; Cytoskeleton; Nucleus</t>
  </si>
  <si>
    <t>ADP-ribosylation; Methylation; Phosphoprotein</t>
  </si>
  <si>
    <t>cellular response to ionizing radiation {GO:0071479}; DNA damage response, signal transduction by p53 class mediator resulting in cell cycle arrest {GO:0006977}; double-strand break repair {GO:0006302}; nuclear-transcribed mRNA poly(A) tail shortening {GO:0000289}; positive regulation of peptidyl-serine phosphorylation {GO:0033138}; positive regulation of peptidyl-threonine phosphorylation {GO:0010800}; positive regulation of protein autophosphorylation {GO:0031954}; telomere maintenance via telomerase {GO:0007004}</t>
  </si>
  <si>
    <t>CCR4-NOT complex {GO:0030014}; cell-cell adherens junction {GO:0005913}; cytoplasm {GO:0005737}; cytoskeleton {GO:0005856}; cytosol {GO:0005829}; nuclear heterochromatin {GO:0005720}; nucleus {GO:0005634}</t>
  </si>
  <si>
    <t>ankyrin repeat binding {GO:0071532}; cadherin binding {GO:0045296}; enzyme binding {GO:0019899}; protein-containing complex binding {GO:0044877}</t>
  </si>
  <si>
    <t>Deadenylation of mRNA {R-HSA-429947}; TP53 regulates transcription of additional cell cycle genes whose exact role in the p53 pathway remain uncertain {R-HSA-6804115}</t>
  </si>
  <si>
    <t>Proadrenomedullin N-20 terminal peptide (AM)</t>
  </si>
  <si>
    <t>ProAM N-terminal 20 peptide (PAMP; ProAM-N20)</t>
  </si>
  <si>
    <t>ADML_HUMAN</t>
  </si>
  <si>
    <t>P35318</t>
  </si>
  <si>
    <t>B2R793; D3DQV3; Q6FGW2</t>
  </si>
  <si>
    <t>AM</t>
  </si>
  <si>
    <t>3D-structure; Amidation; Cleavage on pair of basic residues; Disulfide bond; Hormone; Polymorphism; Secreted; Signal</t>
  </si>
  <si>
    <t>Amidation; Cleavage on pair of basic residues; Disulfide bond</t>
  </si>
  <si>
    <t>adenylate cyclase-activating G protein-coupled receptor signaling pathway {GO:0007189}; adrenomedullin receptor signaling pathway {GO:1990410}; aging {GO:0007568}; amylin receptor signaling pathway {GO:0097647}; androgen metabolic process {GO:0008209}; animal organ regeneration {GO:0031100}; antibacterial humoral response {GO:0019731}; antimicrobial humoral immune response mediated by antimicrobial peptide {GO:0061844}; branching involved in labyrinthine layer morphogenesis {GO:0060670}; defense response to Gram-negative bacterium {GO:0050829}; defense response to Gram-positive bacterium {GO:0050830}; developmental growth {GO:0048589}; female pregnancy {GO:0007565}; G protein-coupled receptor internalization {GO:0002031}; G protein-coupled receptor signaling pathway {GO:0007186}; heart development {GO:0007507}; hormone secretion {GO:0046879}; inflammatory response {GO:0006954}; negative regulation of cell population proliferation {GO:0008285}; negative regulation of vascular permeability {GO:0043116}; negative regulation of vasoconstriction {GO:0045906}; neural tube closure {GO:0001843}; neuron projection regeneration {GO:0031102}; odontogenesis of dentin-containing tooth {GO:0042475}; positive regulation of angiogenesis {GO:0045766}; positive regulation of apoptotic process {GO:0043065}; positive regulation of cell population proliferation {GO:0008284}; positive regulation of cytosolic calcium ion concentration {GO:0007204}; positive regulation of heart rate {GO:0010460}; positive regulation of progesterone biosynthetic process {GO:2000184}; positive regulation of vasculogenesis {GO:2001214}; receptor internalization {GO:0031623}; regulation of systemic arterial blood pressure {GO:0003073}; regulation of the force of heart contraction {GO:0002026}; regulation of urine volume {GO:0035809}; response to cold {GO:0009409}; response to glucocorticoid {GO:0051384}; response to hypoxia {GO:0001666}; response to insulin {GO:0032868}; response to lipopolysaccharide {GO:0032496}; response to starvation {GO:0042594}; response to wounding {GO:0009611}; signal transduction {GO:0007165}; spongiotrophoblast layer development {GO:0060712}; vascular smooth muscle cell development {GO:0097084}; vasculogenesis {GO:0001570}</t>
  </si>
  <si>
    <t>adrenomedullin receptor binding {GO:0031700}; hormone activity {GO:0005179}; signaling receptor binding {GO:0005102}</t>
  </si>
  <si>
    <t>G alpha (s) signalling events {R-HSA-418555}; Calcitonin-like ligand receptors {R-HSA-419812}</t>
  </si>
  <si>
    <t>A disintegrin and metalloproteinase with thrombospondin motifs 15 (ADAM-TS 15; ADAM-TS15; ADAMTS-15)</t>
  </si>
  <si>
    <t>ATS15_HUMAN</t>
  </si>
  <si>
    <t>Q8TE58</t>
  </si>
  <si>
    <t>Q32MI6</t>
  </si>
  <si>
    <t>Cleavage on pair of basic residues; Disulfide bond; Extracellular matrix; Glycoprotein; Hydrolase; Metal-binding; Metalloprotease; Polymorphism; Protease; Repeat; Secreted; Signal; Zinc; Zymogen</t>
  </si>
  <si>
    <t>Cleavage on pair of basic residues; Disulfide bond; Glycoprotein; Zymogen</t>
  </si>
  <si>
    <t>extracellular matrix binding {GO:0050840}; heparin binding {GO:0008201}; metalloendopeptidase activity {GO:0004222}; zinc ion binding {GO:0008270}</t>
  </si>
  <si>
    <t>A disintegrin and metalloproteinase with thrombospondin motifs 8 (ADAM-TS 8; ADAM-TS8; ADAMTS-8)</t>
  </si>
  <si>
    <t>METH-2; METH-8</t>
  </si>
  <si>
    <t>ATS8_HUMAN</t>
  </si>
  <si>
    <t>Q9UP79</t>
  </si>
  <si>
    <t>Q9NZS0</t>
  </si>
  <si>
    <t>METH2</t>
  </si>
  <si>
    <t>Cleavage on pair of basic residues; Disulfide bond; Extracellular matrix; Glycoprotein; Heparin-binding; Hydrolase; Metal-binding; Metalloprotease; Protease; Repeat; Secreted; Signal; Zinc; Zymogen</t>
  </si>
  <si>
    <t>Heparin-binding; Hydrolase; Metalloprotease; Protease</t>
  </si>
  <si>
    <t>collagen-containing extracellular matrix {GO:0062023}</t>
  </si>
  <si>
    <t>heparin binding {GO:0008201}; integrin binding {GO:0005178}; low-affinity phosphate transmembrane transporter activity {GO:0009673}; metalloendopeptidase activity {GO:0004222}; metallopeptidase activity {GO:0008237}; zinc ion binding {GO:0008270}</t>
  </si>
  <si>
    <t>Degradation of the extracellular matrix {R-HSA-1474228}; Defective B3GALTL causes Peters-plus syndrome (PpS) {R-HSA-5083635}; O-glycosylation of TSR domain-containing proteins {R-HSA-5173214}</t>
  </si>
  <si>
    <t>Amyloid-like protein 2 (APLP-2)</t>
  </si>
  <si>
    <t>APPH; Amyloid protein homolog; CDEI box-binding protein (CDEBP)</t>
  </si>
  <si>
    <t>APLP2_HUMAN</t>
  </si>
  <si>
    <t>Q06481</t>
  </si>
  <si>
    <t>B3KXX9; H7BXI4; Q13861; Q14594; Q14662; Q71U10; Q7M4L3; Q9BT36</t>
  </si>
  <si>
    <t>APPL2</t>
  </si>
  <si>
    <t>3D-structure; Alternative splicing; Cell membrane; Copper; Disulfide bond; DNA-binding; Glycoprotein; Membrane; Metal-binding; Nucleus; Phosphoprotein; Polymorphism; Protease inhibitor; Serine protease inhibitor; Signal; Transmembrane; Transmembrane helix</t>
  </si>
  <si>
    <t>Cell membrane; Membrane; Nucleus</t>
  </si>
  <si>
    <t>DNA-binding; Protease inhibitor; Serine protease inhibitor</t>
  </si>
  <si>
    <t>cellular protein metabolic process {GO:0044267}; G protein-coupled receptor signaling pathway {GO:0007186}; platelet degranulation {GO:0002576}; post-translational protein modification {GO:0043687}</t>
  </si>
  <si>
    <t>endoplasmic reticulum lumen {GO:0005788}; extracellular exosome {GO:0070062}; integral component of membrane {GO:0016021}; membrane {GO:0016020}; nucleus {GO:0005634}; plasma membrane {GO:0005886}; platelet alpha granule membrane {GO:0031092}</t>
  </si>
  <si>
    <t>DNA binding {GO:0003677}; heparin binding {GO:0008201}; identical protein binding {GO:0042802}; serine-type endopeptidase inhibitor activity {GO:0004867}; transition metal ion binding {GO:0046914}</t>
  </si>
  <si>
    <t>Platelet degranulation {R-HSA-114608}; Regulation of Insulin-like Growth Factor (IGF) transport and uptake by Insulin-like Growth Factor Binding Proteins (IGFBPs) {R-HSA-381426}; Post-translational protein phosphorylation {R-HSA-8957275}</t>
  </si>
  <si>
    <t>Acetyl-CoA acetyltransferase, mitochondrial</t>
  </si>
  <si>
    <t>Acetoacetyl-CoA thiolase; T2</t>
  </si>
  <si>
    <t>THIL_HUMAN</t>
  </si>
  <si>
    <t>P24752</t>
  </si>
  <si>
    <t>B2R6H1; G3XAB4; Q96FG8</t>
  </si>
  <si>
    <t>ACAT; MAT</t>
  </si>
  <si>
    <t>3D-structure; Acetylation; Acyltransferase; Alternative splicing; Disease mutation; Metal-binding; Mitochondrion; Polymorphism; Potassium; Transferase; Transit peptide</t>
  </si>
  <si>
    <t>Metal-binding; Potassium</t>
  </si>
  <si>
    <t>acetyl-CoA biosynthetic process {GO:0006085}; acetyl-CoA catabolic process {GO:0046356}; adipose tissue development {GO:0060612}; brain development {GO:0007420}; branched-chain amino acid catabolic process {GO:0009083}; cholesterol esterification {GO:0034435}; coenzyme A biosynthetic process {GO:0015937}; coenzyme A metabolic process {GO:0015936}; fatty acid beta-oxidation {GO:0006635}; isoleucine catabolic process {GO:0006550}; ketone body biosynthetic process {GO:0046951}; ketone body catabolic process {GO:0046952}; ketone body metabolic process {GO:1902224}; liver development {GO:0001889}; metanephric proximal convoluted tubule development {GO:0072229}; propionyl-CoA biosynthetic process {GO:1902860}; protein homooligomerization {GO:0051260}; response to hormone {GO:0009725}; response to organic cyclic compound {GO:0014070}; response to starvation {GO:0042594}</t>
  </si>
  <si>
    <t>extracellular exosome {GO:0070062}; mitochondrial matrix {GO:0005759}; mitochondrion {GO:0005739}</t>
  </si>
  <si>
    <t>acetyl-CoA C-acetyltransferase activity {GO:0003985}; acetyl-CoA C-acyltransferase activity {GO:0003988}; C-acetyltransferase activity {GO:0016453}; coenzyme binding {GO:0050662}; enzyme binding {GO:0019899}; metal ion binding {GO:0046872}; protein homodimerization activity {GO:0042803}</t>
  </si>
  <si>
    <t>Branched-chain amino acid catabolism {R-HSA-70895}; Utilization of Ketone Bodies {R-HSA-77108}; Synthesis of Ketone Bodies {R-HSA-77111}</t>
  </si>
  <si>
    <t>Elongation factor 1-gamma (EF-1-gamma)</t>
  </si>
  <si>
    <t>eEF-1B gamma</t>
  </si>
  <si>
    <t>EF1G_HUMAN</t>
  </si>
  <si>
    <t>P26641</t>
  </si>
  <si>
    <t>B4DTG2; Q6PJ62; Q6PK31; Q96CU2; Q9P196</t>
  </si>
  <si>
    <t>EF1G</t>
  </si>
  <si>
    <t>3D-structure; Acetylation; Alternative splicing; Elongation factor; Isopeptide bond; Protein biosynthesis; Ubl conjugation</t>
  </si>
  <si>
    <t>Elongation factor</t>
  </si>
  <si>
    <t>response to virus {GO:0009615}; translational elongation {GO:0006414}</t>
  </si>
  <si>
    <t>cytoplasm {GO:0005737}; cytosol {GO:0005829}; extracellular exosome {GO:0070062}; membrane {GO:0016020}; nucleus {GO:0005634}</t>
  </si>
  <si>
    <t>cadherin binding {GO:0045296}; translation elongation factor activity {GO:0003746}</t>
  </si>
  <si>
    <t>Eukaryotic Translation Elongation {R-HSA-156842}</t>
  </si>
  <si>
    <t>Soluble form of JAM-C</t>
  </si>
  <si>
    <t>JAM-2; Junctional adhesion molecule 3 (JAM-3; sJAM-C)</t>
  </si>
  <si>
    <t>JAM3_HUMAN</t>
  </si>
  <si>
    <t>Q9BX67</t>
  </si>
  <si>
    <t>B3KWG9; Q8WWL8; Q96FL1</t>
  </si>
  <si>
    <t>Alternative splicing; Angiogenesis; Cell adhesion; Cell junction; Cell membrane; Differentiation; Disease mutation; Disulfide bond; Glycoprotein; Immunoglobulin domain; Lipoprotein; Membrane; Palmitate; Secreted; Signal; Spermatogenesis; Tight junction; Transmembrane; Transmembrane helix</t>
  </si>
  <si>
    <t>Angiogenesis; Cell adhesion; Differentiation; Spermatogenesis</t>
  </si>
  <si>
    <t>Cell junction; Cell membrane; Membrane; Secreted; Tight junction</t>
  </si>
  <si>
    <t>Disulfide bond; Glycoprotein; Lipoprotein; Palmitate</t>
  </si>
  <si>
    <t>adaptive immune response {GO:0002250}; angiogenesis {GO:0001525}; axon regeneration {GO:0031103}; cell-matrix adhesion {GO:0007160}; establishment of cell polarity {GO:0030010}; extracellular matrix organization {GO:0030198}; leukocyte migration {GO:0050900}; leukocyte migration involved in inflammatory response {GO:0002523}; myelination {GO:0042552}; myeloid progenitor cell differentiation {GO:0002318}; neutrophil homeostasis {GO:0001780}; regulation of actin cytoskeleton organization by cell-cell adhesion {GO:0090138}; regulation of neutrophil chemotaxis {GO:0090022}; spermatid development {GO:0007286}; transmission of nerve impulse {GO:0019226}</t>
  </si>
  <si>
    <t>bicellular tight junction {GO:0005923}; cell-cell contact zone {GO:0044291}; desmosome {GO:0030057}; extracellular space {GO:0005615}; Golgi apparatus {GO:0005794}; integral component of plasma membrane {GO:0005887}; paranodal junction {GO:0033010}; plasma membrane {GO:0005886}; Schmidt-Lanterman incisure {GO:0043220}</t>
  </si>
  <si>
    <t>integrin binding {GO:0005178}; protein heterodimerization activity {GO:0046982}; protein homodimerization activity {GO:0042803}</t>
  </si>
  <si>
    <t>Cell surface interactions at the vascular wall {R-HSA-202733}; Integrin cell surface interactions {R-HSA-216083}</t>
  </si>
  <si>
    <t>Dipeptidyl peptidase 3</t>
  </si>
  <si>
    <t>Dipeptidyl aminopeptidase III; Dipeptidyl arylamidase III; Dipeptidyl peptidase III (DPP III); Enkephalinase B</t>
  </si>
  <si>
    <t>DPP3_HUMAN</t>
  </si>
  <si>
    <t>Q9NY33</t>
  </si>
  <si>
    <t>B2RDB5; B4DLX4; F5H8L6; O95748; Q969H2; Q9BV67; Q9HAL6</t>
  </si>
  <si>
    <t>3D-structure; Acetylation; Alternative splicing; Aminopeptidase; Cytoplasm; Hydrolase; Metal-binding; Metalloprotease; Polymorphism; Protease; Zinc</t>
  </si>
  <si>
    <t>Aminopeptidase; Hydrolase; Metalloprotease; Protease</t>
  </si>
  <si>
    <t>cytosol {GO:0005829}; extracellular exosome {GO:0070062}; nuclear speck {GO:0016607}; plasma membrane {GO:0005886}</t>
  </si>
  <si>
    <t>dipeptidyl-peptidase activity {GO:0008239}; metallopeptidase activity {GO:0008237}; zinc ion binding {GO:0008270}</t>
  </si>
  <si>
    <t>Complement C1q tumor necrosis factor-related protein 5</t>
  </si>
  <si>
    <t>C1QT5_HUMAN</t>
  </si>
  <si>
    <t>Q9BXJ0</t>
  </si>
  <si>
    <t>A6NDD3; B0YJ35; Q335M2; Q8N6P2; Q9UFX4</t>
  </si>
  <si>
    <t>CTRP5</t>
  </si>
  <si>
    <t>3D-structure; Collagen; Disease mutation; Polymorphism; Secreted; Signal</t>
  </si>
  <si>
    <t>Collagen; Signal</t>
  </si>
  <si>
    <t>inner ear development {GO:0048839}; protein secretion {GO:0009306}; protein trimerization {GO:0070206}</t>
  </si>
  <si>
    <t>apical plasma membrane {GO:0016324}; bicellular tight junction {GO:0005923}; cell projection {GO:0042995}; collagen trimer {GO:0005581}; extracellular space {GO:0005615}; lateral plasma membrane {GO:0016328}; plasma membrane {GO:0005886}; transport vesicle {GO:0030133}</t>
  </si>
  <si>
    <t>Small acidic protein</t>
  </si>
  <si>
    <t>SMAP_HUMAN</t>
  </si>
  <si>
    <t>O00193</t>
  </si>
  <si>
    <t>B2RD28</t>
  </si>
  <si>
    <t>C11orf58</t>
  </si>
  <si>
    <t>Sodium/potassium-transporting ATPase subunit gamma (Na(+)/K(+) ATPase subunit gamma)</t>
  </si>
  <si>
    <t>FXYD domain-containing ion transport regulator 2; Sodium pump gamma chain</t>
  </si>
  <si>
    <t>ATNG_HUMAN</t>
  </si>
  <si>
    <t>P54710</t>
  </si>
  <si>
    <t>Q15332; Q53YC1; Q9GZP3; Q9GZQ7</t>
  </si>
  <si>
    <t>ATP1C; ATP1G1</t>
  </si>
  <si>
    <t>3D-structure; Alternative splicing; Disease mutation; Ion transport; Membrane; Potassium; Potassium transport; Primary hypomagnesemia; Sodium; Sodium transport; Sodium/potassium transport; Transmembrane; Transmembrane helix; Transport</t>
  </si>
  <si>
    <t>Ion transport; Potassium transport; Sodium transport; Sodium/potassium transport; Transport</t>
  </si>
  <si>
    <t>Disease mutation; Primary hypomagnesemia</t>
  </si>
  <si>
    <t>Potassium; Sodium</t>
  </si>
  <si>
    <t>ATP hydrolysis coupled transmembrane transport {GO:0090662}; ion transmembrane transport {GO:0034220}; potassium ion import across plasma membrane {GO:1990573}; regulation of cardiac conduction {GO:1903779}; regulation of sodium ion transmembrane transporter activity {GO:2000649}; sodium ion export across plasma membrane {GO:0036376}</t>
  </si>
  <si>
    <t>extracellular exosome {GO:0070062}; plasma membrane {GO:0005886}; sodium:potassium-exchanging ATPase complex {GO:0005890}</t>
  </si>
  <si>
    <t>ion channel regulator activity {GO:0099106}; sodium channel regulator activity {GO:0017080}; sodium:potassium-exchanging ATPase activity {GO:0005391}; transporter activity {GO:0005215}</t>
  </si>
  <si>
    <t>Ion homeostasis {R-HSA-5578775}; Ion transport by P-type ATPases {R-HSA-936837}</t>
  </si>
  <si>
    <t>Stromelysin-1 (SL-1)</t>
  </si>
  <si>
    <t>Matrix metalloproteinase-3 (MMP-3); Transin-1</t>
  </si>
  <si>
    <t>MMP3_HUMAN</t>
  </si>
  <si>
    <t>P08254</t>
  </si>
  <si>
    <t>B2R8B8; Q3B7S0; Q6GRF8</t>
  </si>
  <si>
    <t>STMY1</t>
  </si>
  <si>
    <t>3D-structure; Calcium; Collagen degradation; Disulfide bond; Extracellular matrix; Hydrolase; Metal-binding; Metalloprotease; Polymorphism; Protease; Repeat; Secreted; Signal; Zinc; Zymogen</t>
  </si>
  <si>
    <t>Collagen degradation</t>
  </si>
  <si>
    <t>cellular response to nitric oxide {GO:0071732}; collagen catabolic process {GO:0030574}; cytokine-mediated signaling pathway {GO:0019221}; extracellular matrix disassembly {GO:0022617}; extracellular matrix organization {GO:0030198}; negative regulation of hydrogen peroxide metabolic process {GO:0010727}; positive regulation of oxidative stress-induced cell death {GO:1903209}; positive regulation of protein oligomerization {GO:0032461}; proteolysis {GO:0006508}; regulation of neuroinflammatory response {GO:0150077}; response to amyloid-beta {GO:1904645}</t>
  </si>
  <si>
    <t>extracellular matrix {GO:0031012}; extracellular region {GO:0005576}; extracellular space {GO:0005615}</t>
  </si>
  <si>
    <t>endopeptidase activity {GO:0004175}; metalloendopeptidase activity {GO:0004222}; metallopeptidase activity {GO:0008237}; serine-type endopeptidase activity {GO:0004252}; zinc ion binding {GO:0008270}</t>
  </si>
  <si>
    <t>Collagen degradation {R-HSA-1442490}; Degradation of the extracellular matrix {R-HSA-1474228}; Activation of Matrix Metalloproteinases {R-HSA-1592389}; Assembly of collagen fibrils and other multimeric structures {R-HSA-2022090}; EGFR Transactivation by Gastrin {R-HSA-2179392}; Interleukin-4 and Interleukin-13 signaling {R-HSA-6785807}; Non-genomic estrogen signaling {R-HSA-9009391}</t>
  </si>
  <si>
    <t>AH receptor-interacting protein (AIP)</t>
  </si>
  <si>
    <t>Aryl-hydrocarbon receptor-interacting protein; HBV X-associated protein 2 (XAP-2); Immunophilin homolog ARA9</t>
  </si>
  <si>
    <t>AIP_HUMAN</t>
  </si>
  <si>
    <t>O00170</t>
  </si>
  <si>
    <t>A0SZW3; A0SZW4; A0SZW5; A0SZW6; Q2M3Q2; Q99606</t>
  </si>
  <si>
    <t>XAP2</t>
  </si>
  <si>
    <t>3D-structure; Cushing syndrome; Cytoplasm; Phosphoprotein; Polymorphism; Repeat; TPR repeat</t>
  </si>
  <si>
    <t>Cushing syndrome</t>
  </si>
  <si>
    <t>Repeat; TPR repeat</t>
  </si>
  <si>
    <t>interleukin-12-mediated signaling pathway {GO:0035722}; negative regulation of cyclic-nucleotide phosphodiesterase activity {GO:0051344}; protein maturation by protein folding {GO:0022417}; protein targeting to mitochondrion {GO:0006626}; regulation of protein kinase A signaling {GO:0010738}; xenobiotic metabolic process {GO:0006805}</t>
  </si>
  <si>
    <t>aryl hydrocarbon receptor complex {GO:0034751}; cytoplasm {GO:0005737}; cytosol {GO:0005829}; membrane {GO:0016020}; nucleoplasm {GO:0005654}</t>
  </si>
  <si>
    <t>aryl hydrocarbon receptor binding {GO:0017162}; GAF domain binding {GO:0036004}; transcription coactivator activity {GO:0003713}; transcription factor binding {GO:0008134}; unfolded protein binding {GO:0051082}</t>
  </si>
  <si>
    <t>Aryl hydrocarbon receptor signalling {R-HSA-8937144}; Gene and protein expression by JAK-STAT signaling after Interleukin-12 stimulation {R-HSA-8950505}</t>
  </si>
  <si>
    <t>Mucin-5B (MUC-5B)</t>
  </si>
  <si>
    <t>Cervical mucin; High molecular weight salivary mucin MG1; Mucin-5 subtype B, tracheobronchial; Sublingual gland mucin</t>
  </si>
  <si>
    <t>MUC5B_HUMAN</t>
  </si>
  <si>
    <t>Q9HC84</t>
  </si>
  <si>
    <t>O00447; O00573; O14985; O15494; O95291; O95451; Q14881; Q7M4S5; Q99552; Q9UE28</t>
  </si>
  <si>
    <t>MUC5</t>
  </si>
  <si>
    <t>Disulfide bond; Glycoprotein; Polymorphism; Repeat; Secreted; Signal</t>
  </si>
  <si>
    <t>O-glycan processing {GO:0016266}; stimulatory C-type lectin receptor signaling pathway {GO:0002223}</t>
  </si>
  <si>
    <t>extracellular exosome {GO:0070062}; extracellular space {GO:0005615}; Golgi lumen {GO:0005796}; intracellular membrane-bounded organelle {GO:0043231}; plasma membrane {GO:0005886}</t>
  </si>
  <si>
    <t>Defective GALNT3 causes familial hyperphosphatemic tumoral calcinosis (HFTC) {R-HSA-5083625}; Defective C1GALT1C1 causes Tn polyagglutination syndrome (TNPS) {R-HSA-5083632}; Defective GALNT12 causes colorectal cancer 1 (CRCS1) {R-HSA-5083636}; Dectin-2 family {R-HSA-5621480}; O-linked glycosylation of mucins {R-HSA-913709}; Termination of O-glycan biosynthesis {R-HSA-977068}</t>
  </si>
  <si>
    <t>Glutathione S-transferase P</t>
  </si>
  <si>
    <t>GST class-pi; GSTP1-1</t>
  </si>
  <si>
    <t>GSTP1_HUMAN</t>
  </si>
  <si>
    <t>P09211</t>
  </si>
  <si>
    <t>O00460; Q15690; Q5TZY3</t>
  </si>
  <si>
    <t>FAEES3; GST3</t>
  </si>
  <si>
    <t>3D-structure; Acetylation; Cytoplasm; Mitochondrion; Nucleus; Phosphoprotein; Polymorphism; Transferase</t>
  </si>
  <si>
    <t>Cytoplasm; Mitochondrion; Nucleus</t>
  </si>
  <si>
    <t>animal organ regeneration {GO:0031100}; cellular response to cell-matrix adhesion {GO:0071460}; cellular response to epidermal growth factor stimulus {GO:0071364}; cellular response to glucocorticoid stimulus {GO:0071385}; cellular response to insulin stimulus {GO:0032869}; cellular response to lipopolysaccharide {GO:0071222}; cellular response to oxidative stress {GO:0034599}; central nervous system development {GO:0007417}; common myeloid progenitor cell proliferation {GO:0035726}; glutathione derivative biosynthetic process {GO:1901687}; glutathione metabolic process {GO:0006749}; linoleic acid metabolic process {GO:0043651}; negative regulation of acute inflammatory response {GO:0002674}; negative regulation of apoptotic process {GO:0043066}; negative regulation of biosynthetic process {GO:0009890}; negative regulation of ERK1 and ERK2 cascade {GO:0070373}; negative regulation of extrinsic apoptotic signaling pathway {GO:2001237}; negative regulation of fibroblast proliferation {GO:0048147}; negative regulation of I-kappaB kinase/NF-kappaB signaling {GO:0043124}; negative regulation of interleukin-1 beta production {GO:0032691}; negative regulation of JUN kinase activity {GO:0043508}; negative regulation of leukocyte proliferation {GO:0070664}; negative regulation of MAP kinase activity {GO:0043407}; negative regulation of MAPK cascade {GO:0043409}; negative regulation of monocyte chemotactic protein-1 production {GO:0071638}; negative regulation of nitric-oxide synthase biosynthetic process {GO:0051771}; negative regulation of protein kinase activity {GO:0006469}; negative regulation of smooth muscle cell chemotaxis {GO:0071672}; negative regulation of stress-activated MAPK cascade {GO:0032873}; negative regulation of tumor necrosis factor production {GO:0032720}; negative regulation of tumor necrosis factor-mediated signaling pathway {GO:0010804}; negative regulation of vascular smooth muscle cell proliferation {GO:1904706}; neutrophil degranulation {GO:0043312}; nitric oxide storage {GO:0035732}; oligodendrocyte development {GO:0014003}; positive regulation of superoxide anion generation {GO:0032930}; regulation of ERK1 and ERK2 cascade {GO:0070372}; regulation of stress-activated MAPK cascade {GO:0032872}; response to amino acid {GO:0043200}; response to estradiol {GO:0032355}; response to ethanol {GO:0045471}; response to L-ascorbic acid {GO:0033591}; response to reactive oxygen species {GO:0000302}; xenobiotic catabolic process {GO:0042178}; xenobiotic metabolic process {GO:0006805}</t>
  </si>
  <si>
    <t>cytoplasm {GO:0005737}; cytosol {GO:0005829}; extracellular exosome {GO:0070062}; extracellular region {GO:0005576}; extracellular space {GO:0005615}; ficolin-1-rich granule lumen {GO:1904813}; mitochondrion {GO:0005739}; nucleus {GO:0005634}; plasma membrane {GO:0005886}; secretory granule lumen {GO:0034774}; TRAF2-GSTP1 complex {GO:0097057}; vesicle {GO:0031982}</t>
  </si>
  <si>
    <t>dinitrosyl-iron complex binding {GO:0035731}; drug binding {GO:0008144}; glutathione binding {GO:0043295}; glutathione peroxidase activity {GO:0004602}; glutathione transferase activity {GO:0004364}; JUN kinase binding {GO:0008432}; kinase regulator activity {GO:0019207}; nitric oxide binding {GO:0070026}; S-nitrosoglutathione binding {GO:0035730}</t>
  </si>
  <si>
    <t>Glutathione conjugation {R-HSA-156590}; Detoxification of Reactive Oxygen Species {R-HSA-3299685}; Neutrophil degranulation {R-HSA-6798695}</t>
  </si>
  <si>
    <t>Tumor susceptibility gene 101 protein</t>
  </si>
  <si>
    <t>ESCRT-I complex subunit TSG101</t>
  </si>
  <si>
    <t>TS101_HUMAN</t>
  </si>
  <si>
    <t>Q99816</t>
  </si>
  <si>
    <t>Q9BUM5</t>
  </si>
  <si>
    <t>3D-structure; Acetylation; Alternative splicing; Cell cycle; Cell division; Coiled coil; Cytoplasm; Cytoskeleton; Endosome; Growth regulation; Host-virus interaction; Membrane; Nucleus; Phosphoprotein; Polymorphism; Protein transport; Transport; Ubl conjugation</t>
  </si>
  <si>
    <t>Cell cycle; Cell division; Growth regulation; Host-virus interaction; Protein transport; Transport</t>
  </si>
  <si>
    <t>Cytoplasm; Cytoskeleton; Endosome; Membrane; Nucleus</t>
  </si>
  <si>
    <t>Acetylation; Phosphoprotein; Ubl conjugation</t>
  </si>
  <si>
    <t>autophagosome maturation {GO:0097352}; cell cycle arrest {GO:0007050}; cell division {GO:0051301}; endosomal transport {GO:0016197}; endosome to lysosome transport {GO:0008333}; exosomal secretion {GO:1990182}; extracellular transport {GO:0006858}; intracellular transport of virus {GO:0075733}; keratinocyte differentiation {GO:0030216}; macroautophagy {GO:0016236}; multivesicular body assembly {GO:0036258}; negative regulation of cell population proliferation {GO:0008285}; negative regulation of epidermal growth factor receptor signaling pathway {GO:0042059}; negative regulation of epidermal growth factor-activated receptor activity {GO:0007175}; negative regulation of transcription, DNA-templated {GO:0045892}; positive regulation of exosomal secretion {GO:1903543}; positive regulation of ubiquitin-dependent endocytosis {GO:2000397}; positive regulation of viral budding via host ESCRT complex {GO:1903774}; positive regulation of viral release from host cell {GO:1902188}; protein monoubiquitination {GO:0006513}; protein transport {GO:0015031}; regulation of cell growth {GO:0001558}; regulation of extracellular exosome assembly {GO:1903551}; regulation of MAP kinase activity {GO:0043405}; ubiquitin-dependent protein catabolic process via the multivesicular body sorting pathway {GO:0043162}; viral budding {GO:0046755}; viral budding via host ESCRT complex {GO:0039702}; viral life cycle {GO:0019058}</t>
  </si>
  <si>
    <t>cytoplasm {GO:0005737}; cytosol {GO:0005829}; early endosome {GO:0005769}; early endosome membrane {GO:0031901}; endosome {GO:0005768}; endosome membrane {GO:0010008}; ESCRT I complex {GO:0000813}; extracellular exosome {GO:0070062}; Flemming body {GO:0090543}; host cell {GO:0043657}; late endosome {GO:0005770}; late endosome membrane {GO:0031902}; microtubule organizing center {GO:0005815}; multivesicular body {GO:0005771}; nucleolus {GO:0005730}; plasma membrane {GO:0005886}</t>
  </si>
  <si>
    <t>calcium-dependent protein binding {GO:0048306}; DNA binding {GO:0003677}; nuclear receptor transcription coactivator activity {GO:0030374}; protein homodimerization activity {GO:0042803}; protein-containing complex binding {GO:0044877}; transcription corepressor activity {GO:0003714}; ubiquitin binding {GO:0043130}; ubiquitin protein ligase binding {GO:0031625}; virion binding {GO:0046790}</t>
  </si>
  <si>
    <t>60S acidic ribosomal protein P2</t>
  </si>
  <si>
    <t>Large ribosomal subunit protein P2; Renal carcinoma antigen NY-REN-44</t>
  </si>
  <si>
    <t>RLA2_HUMAN</t>
  </si>
  <si>
    <t>P05387</t>
  </si>
  <si>
    <t>Q6FG96</t>
  </si>
  <si>
    <t>D11S2243E; RPP2</t>
  </si>
  <si>
    <t>3D-structure; Acetylation; Phosphoprotein; Ribonucleoprotein; Ribosomal protein</t>
  </si>
  <si>
    <t>nuclear-transcribed mRNA catabolic process, nonsense-mediated decay {GO:0000184}; SRP-dependent cotranslational protein targeting to membrane {GO:0006614}; translation {GO:0006412}; translational elongation {GO:0006414}; translational initiation {GO:0006413}; viral transcription {GO:0019083}</t>
  </si>
  <si>
    <t>cytosol {GO:0005829}; cytosolic large ribosomal subunit {GO:0022625}; extracellular exosome {GO:0070062}; focal adhesion {GO:0005925}; membrane {GO:0016020}; synapse {GO:0045202}</t>
  </si>
  <si>
    <t>structural constituent of ribosome {GO:0003735}</t>
  </si>
  <si>
    <t>Signal peptide, CUB and EGF-like domain-containing protein 2</t>
  </si>
  <si>
    <t>Protein CEGP1; Scube/You</t>
  </si>
  <si>
    <t>SCUB2_HUMAN</t>
  </si>
  <si>
    <t>Q9NQ36</t>
  </si>
  <si>
    <t>Q2NKQ8; Q6ZWI1</t>
  </si>
  <si>
    <t>CEGP1</t>
  </si>
  <si>
    <t>Alternative splicing; Calcium; Developmental protein; Disulfide bond; EGF-like domain; Glycoprotein; Lipid-binding; Polymorphism; Repeat; Secreted; Signal</t>
  </si>
  <si>
    <t>Calcium; Lipid-binding</t>
  </si>
  <si>
    <t>multicellular organism development {GO:0007275}</t>
  </si>
  <si>
    <t>cell surface {GO:0009986}; extracellular region {GO:0005576}; extracellular space {GO:0005615}</t>
  </si>
  <si>
    <t>Release of Hh-Np from the secreting cell {R-HSA-5362798}</t>
  </si>
  <si>
    <t>Quinone oxidoreductase</t>
  </si>
  <si>
    <t>NADPH:quinone reductase; Zeta-crystallin</t>
  </si>
  <si>
    <t>QOR_HUMAN</t>
  </si>
  <si>
    <t>Q08257</t>
  </si>
  <si>
    <t>A6NN60; D3DQ76; Q53FT0; Q59EU7; Q5HYE7; Q6NSK9</t>
  </si>
  <si>
    <t>3D-structure; Acetylation; Alternative splicing; Cytoplasm; NADP; Oxidoreductase; Phosphoprotein; Polymorphism; RNA-binding</t>
  </si>
  <si>
    <t>Oxidoreductase; RNA-binding</t>
  </si>
  <si>
    <t>protein homotetramerization {GO:0051289}; visual perception {GO:0007601}; xenobiotic catabolic process {GO:0042178}</t>
  </si>
  <si>
    <t>mRNA 3'-UTR binding {GO:0003730}; NADPH binding {GO:0070402}; NADPH:quinone reductase activity {GO:0003960}; zinc ion binding {GO:0008270}</t>
  </si>
  <si>
    <t>RNA-binding protein 14</t>
  </si>
  <si>
    <t>Paraspeckle protein 2 (PSP2); RNA-binding motif protein 14; RRM-containing coactivator activator/modulator; Synaptotagmin-interacting protein (SYT-interacting protein)</t>
  </si>
  <si>
    <t>RBM14_HUMAN</t>
  </si>
  <si>
    <t>Q96PK6</t>
  </si>
  <si>
    <t>B0LM41; B3KMN4; D6RGD8; O75932; Q2PYN1; Q53GV1; Q68DQ9; Q96PK5</t>
  </si>
  <si>
    <t>SIP</t>
  </si>
  <si>
    <t>3D-structure; Acetylation; Alternative splicing; Cytoplasm; Immunity; Innate immunity; Isopeptide bond; Nucleus; Phosphoprotein; Repeat; Repressor; RNA-binding; Transcription; Transcription regulation; Ubl conjugation</t>
  </si>
  <si>
    <t>Immunity; Innate immunity; Transcription; Transcription regulation</t>
  </si>
  <si>
    <t>activation of innate immune response {GO:0002218}; centriole assembly {GO:0098534}; DNA recombination {GO:0006310}; DNA repair {GO:0006281}; DNA replication {GO:0006260}; glucocorticoid receptor signaling pathway {GO:0042921}; histone deacetylation {GO:0016575}; innate immune response {GO:0045087}; intracellular estrogen receptor signaling pathway {GO:0030520}; negative regulation of centriole replication {GO:0046600}; positive regulation of transcription by RNA polymerase II {GO:0045944}; response to hormone {GO:0009725}; SMAD protein signal transduction {GO:0060395}</t>
  </si>
  <si>
    <t>cytoplasm {GO:0005737}; mediator complex {GO:0016592}; nuclear speck {GO:0016607}; nucleolus {GO:0005730}; nucleoplasm {GO:0005654}; nucleus {GO:0005634}; ribonucleoprotein complex {GO:1990904}; transcription factor complex {GO:0005667}</t>
  </si>
  <si>
    <t>nuclear receptor transcription coactivator activity {GO:0030374}; protein binding, bridging {GO:0030674}; RNA binding {GO:0003723}; transcription coregulator activity {GO:0003712}</t>
  </si>
  <si>
    <t>RUNX2 regulates bone development {R-HSA-8941326}</t>
  </si>
  <si>
    <t>RNA-binding protein 4</t>
  </si>
  <si>
    <t>Lark homolog (hLark); RNA-binding motif protein 4; RNA-binding motif protein 4a</t>
  </si>
  <si>
    <t>RBM4_HUMAN</t>
  </si>
  <si>
    <t>Q9BWF3</t>
  </si>
  <si>
    <t>B3KUN0; B4E1U0; E7EQS3; O02916; Q4VC48; Q6P1P2; Q8WU85</t>
  </si>
  <si>
    <t>RBM4A</t>
  </si>
  <si>
    <t>3D-structure; Activator; Alternative splicing; Cytoplasm; Differentiation; Isopeptide bond; Metal-binding; mRNA processing; mRNA splicing; Nucleus; Phosphoprotein; Repeat; RNA-binding; RNA-mediated gene silencing; Ubl conjugation; Zinc; Zinc-finger</t>
  </si>
  <si>
    <t>Differentiation; RNA-mediated gene silencing; mRNA processing; mRNA splicing</t>
  </si>
  <si>
    <t>Activator; RNA-binding</t>
  </si>
  <si>
    <t>cap-independent translational initiation {GO:0002190}; cell differentiation {GO:0030154}; circadian regulation of translation {GO:0097167}; entrainment of circadian clock by photoperiod {GO:0043153}; IRES-dependent translational initiation of linear mRNA {GO:0002192}; miRNA mediated inhibition of translation {GO:0035278}; mRNA cis splicing, via spliceosome {GO:0045292}; negative regulation of translation {GO:0017148}; negative regulation of translation in response to stress {GO:0032055}; negative regulation of translational initiation {GO:0045947}; positive regulation of muscle cell differentiation {GO:0051149}; regulation of alternative mRNA splicing, via spliceosome {GO:0000381}; regulation of nucleocytoplasmic transport {GO:0046822}; response to arsenic-containing substance {GO:0046685}; RNA processing {GO:0006396}</t>
  </si>
  <si>
    <t>cytoplasm {GO:0005737}; cytoplasmic stress granule {GO:0010494}; cytosol {GO:0005829}; nuclear speck {GO:0016607}; nucleolus {GO:0005730}; nucleoplasm {GO:0005654}; nucleus {GO:0005634}</t>
  </si>
  <si>
    <t>cyclin binding {GO:0030332}; miRNA binding {GO:0035198}; mRNA 3'-UTR binding {GO:0003730}; mRNA binding {GO:0003729}; pre-mRNA intronic binding {GO:0097157}; pre-mRNA intronic pyrimidine-rich binding {GO:0097158}; RNA binding {GO:0003723}; zinc ion binding {GO:0008270}</t>
  </si>
  <si>
    <t>Circadian Clock {R-HSA-400253}</t>
  </si>
  <si>
    <t>AP-2 complex subunit alpha-2</t>
  </si>
  <si>
    <t>100 kDa coated vesicle protein C; Adaptor protein complex AP-2 subunit alpha-2; Adaptor-related protein complex 2 subunit alpha-2; Alpha-adaptin C; Alpha2-adaptin; Clathrin assembly protein complex 2 alpha-C large chain; Huntingtin yeast partner J; Huntingtin-interacting protein 9 (HIP-9); Huntingtin-interacting protein J; Plasma membrane adaptor HA2/AP2 adaptin alpha C subunit</t>
  </si>
  <si>
    <t>AP2A2_HUMAN</t>
  </si>
  <si>
    <t>O94973</t>
  </si>
  <si>
    <t>O75403; Q53ET1; Q96SI8</t>
  </si>
  <si>
    <t>ADTAB; CLAPA2; HIP9; HYPJ; KIAA0899</t>
  </si>
  <si>
    <t>Alternative splicing; Cell membrane; Coated pit; Endocytosis; Lipid-binding; Membrane; Protein transport; Transport</t>
  </si>
  <si>
    <t>Endocytosis; Protein transport; Transport</t>
  </si>
  <si>
    <t>Cell membrane; Coated pit; Membrane</t>
  </si>
  <si>
    <t>antigen processing and presentation of exogenous peptide antigen via MHC class II {GO:0019886}; clathrin-dependent endocytosis {GO:0072583}; ephrin receptor signaling pathway {GO:0048013}; intracellular protein transport {GO:0006886}; low-density lipoprotein particle clearance {GO:0034383}; low-density lipoprotein particle receptor catabolic process {GO:0032802}; membrane organization {GO:0061024}; neutrophil degranulation {GO:0043312}; regulation of defense response to virus by virus {GO:0050690}; Wnt signaling pathway, planar cell polarity pathway {GO:0060071}</t>
  </si>
  <si>
    <t>AP-2 adaptor complex {GO:0030122}; clathrin-coated endocytic vesicle {GO:0045334}; clathrin-coated endocytic vesicle membrane {GO:0030669}; cytoplasmic vesicle {GO:0031410}; cytosol {GO:0005829}; endocytic vesicle membrane {GO:0030666}; endolysosome membrane {GO:0036020}; ficolin-1-rich granule membrane {GO:0101003}; plasma membrane {GO:0005886}; secretory granule membrane {GO:0030667}</t>
  </si>
  <si>
    <t>clathrin adaptor activity {GO:0035615}; disordered domain specific binding {GO:0097718}; lipid binding {GO:0008289}; protein kinase binding {GO:0019901}</t>
  </si>
  <si>
    <t>Nef Mediated CD4 Down-regulation {R-HSA-167590}; Retrograde neurotrophin signalling {R-HSA-177504}; Nef Mediated CD8 Down-regulation {R-HSA-182218}; MHC class II antigen presentation {R-HSA-2132295}; EPH-ephrin mediated repulsion of cells {R-HSA-3928665}; Trafficking of GluR2-containing AMPA receptors {R-HSA-416993}; Recycling pathway of L1 {R-HSA-437239}; WNT5A-dependent internalization of FZD4 {R-HSA-5099900}; WNT5A-dependent internalization of FZD2, FZD5 and ROR2 {R-HSA-5140745}; Neutrophil degranulation {R-HSA-6798695}; Cargo recognition for clathrin-mediated endocytosis {R-HSA-8856825}; Clathrin-mediated endocytosis {R-HSA-8856828}; VLDLR internalisation and degradation {R-HSA-8866427}; LDL clearance {R-HSA-8964038}</t>
  </si>
  <si>
    <t>Lymphatic vessel endothelial hyaluronic acid receptor 1 (LYVE-1)</t>
  </si>
  <si>
    <t>Cell surface retention sequence-binding protein 1 (CRSBP-1); Extracellular link domain-containing protein 1; Hyaluronic acid receptor</t>
  </si>
  <si>
    <t>LYVE1_HUMAN</t>
  </si>
  <si>
    <t>Q9Y5Y7</t>
  </si>
  <si>
    <t>Q8TC18; Q9UNF4</t>
  </si>
  <si>
    <t>CRSBP1; HAR; XLKD1</t>
  </si>
  <si>
    <t>Disulfide bond; Glycoprotein; Membrane; Polymorphism; Receptor; Signal; Transmembrane; Transmembrane helix; Transport</t>
  </si>
  <si>
    <t>anatomical structure morphogenesis {GO:0009653}; cell-matrix adhesion {GO:0007160}; hyaluronan catabolic process {GO:0030214}; response to wounding {GO:0009611}</t>
  </si>
  <si>
    <t>extracellular exosome {GO:0070062}; integral component of plasma membrane {GO:0005887}; membrane {GO:0016020}; plasma membrane {GO:0005886}</t>
  </si>
  <si>
    <t>hyaluronic acid binding {GO:0005540}; signaling receptor activity {GO:0038023}; transmembrane signaling receptor activity {GO:0004888}</t>
  </si>
  <si>
    <t>Hyaluronan uptake and degradation {R-HSA-2160916}</t>
  </si>
  <si>
    <t>Out at first protein homolog</t>
  </si>
  <si>
    <t>HCV NS5A-transactivated protein 13 target protein 2</t>
  </si>
  <si>
    <t>OAF_HUMAN</t>
  </si>
  <si>
    <t>Q86UD1</t>
  </si>
  <si>
    <t>NS5ATP13TP2</t>
  </si>
  <si>
    <t>Polymorphism; Signal</t>
  </si>
  <si>
    <t>EGF-containing fibulin-like extracellular matrix protein 2</t>
  </si>
  <si>
    <t>Fibulin-4 (FIBL-4); Protein UPH1</t>
  </si>
  <si>
    <t>FBLN4_HUMAN</t>
  </si>
  <si>
    <t>O95967</t>
  </si>
  <si>
    <t>A8K7R4; B3KM31; B3KQT1; O75967</t>
  </si>
  <si>
    <t>FBLN4</t>
  </si>
  <si>
    <t>3D-structure; Calcium; Disease mutation; Disulfide bond; EGF-like domain; Glycoprotein; Polymorphism; Repeat; Secreted; Signal</t>
  </si>
  <si>
    <t>elastic fiber assembly {GO:0048251}</t>
  </si>
  <si>
    <t>basement membrane {GO:0005604}; collagen-containing extracellular matrix {GO:0062023}; extracellular exosome {GO:0070062}; extracellular region {GO:0005576}; extracellular vesicle {GO:1903561}</t>
  </si>
  <si>
    <t>calcium ion binding {GO:0005509}; extracellular matrix structural constituent {GO:0005201}</t>
  </si>
  <si>
    <t>Cell surface glycoprotein MUC18</t>
  </si>
  <si>
    <t>Cell surface glycoprotein P1H12; Melanoma cell adhesion molecule; Melanoma-associated antigen A32; Melanoma-associated antigen MUC18; S-endo 1 endothelial-associated antigen; CD_antigen=CD146</t>
  </si>
  <si>
    <t>MUC18_HUMAN</t>
  </si>
  <si>
    <t>P43121</t>
  </si>
  <si>
    <t>O95812; Q59E86; Q6PHR3; Q6ZTR2</t>
  </si>
  <si>
    <t>MUC18</t>
  </si>
  <si>
    <t>Alternative splicing; Cell adhesion; Disulfide bond; Glycoprotein; Immunoglobulin domain; Membrane; Phosphoprotein; Polymorphism; Repeat; Signal; Transmembrane; Transmembrane helix</t>
  </si>
  <si>
    <t>anatomical structure morphogenesis {GO:0009653}; angiogenesis {GO:0001525}; cell adhesion {GO:0007155}; glomerular filtration {GO:0003094}; positive regulation of cell migration {GO:0030335}; vascular wound healing {GO:0061042}</t>
  </si>
  <si>
    <t>external side of plasma membrane {GO:0009897}; extracellular region {GO:0005576}; extracellular space {GO:0005615}; focal adhesion {GO:0005925}; integral component of membrane {GO:0016021}; nucleus {GO:0005634}; plasma membrane {GO:0005886}</t>
  </si>
  <si>
    <t>Peroxiredoxin-5, mitochondrial</t>
  </si>
  <si>
    <t>Alu corepressor 1; Antioxidant enzyme B166 (AOEB166); Liver tissue 2D-page spot 71B; PLP; Peroxiredoxin V (Prx-V); Peroxisomal antioxidant enzyme; TPx type VI; Thioredoxin peroxidase PMP20</t>
  </si>
  <si>
    <t>PRDX5_HUMAN</t>
  </si>
  <si>
    <t>P30044</t>
  </si>
  <si>
    <t>A6NC19; A6NG06; B7ZLJ4; B7ZVW3; Q14CK0; Q6IAF2; Q9UBU5; Q9UJU4; Q9UKX4</t>
  </si>
  <si>
    <t>ACR1</t>
  </si>
  <si>
    <t>3D-structure; Acetylation; Alternative initiation; Alternative splicing; Antioxidant; Cytoplasm; Disulfide bond; Mitochondrion; Oxidoreductase; Peroxidase; Peroxisome; Phosphoprotein; Polymorphism; Redox-active center; Transit peptide</t>
  </si>
  <si>
    <t>Cytoplasm; Mitochondrion; Peroxisome</t>
  </si>
  <si>
    <t>Alternative initiation; Alternative splicing; Polymorphism</t>
  </si>
  <si>
    <t>cell redox homeostasis {GO:0045454}; cellular response to oxidative stress {GO:0034599}; cellular response to reactive oxygen species {GO:0034614}; hydrogen peroxide catabolic process {GO:0042744}; inflammatory response {GO:0006954}; NADPH oxidation {GO:0070995}; negative regulation of apoptotic process {GO:0043066}; negative regulation of oxidoreductase activity {GO:0051354}; negative regulation of transcription by RNA polymerase III {GO:0016480}; positive regulation of collagen biosynthetic process {GO:0032967}; reactive nitrogen species metabolic process {GO:2001057}; regulation of apoptosis involved in tissue homeostasis {GO:0060785}; response to oxidative stress {GO:0006979}</t>
  </si>
  <si>
    <t>cytoplasm {GO:0005737}; cytoplasmic vesicle {GO:0031410}; cytosol {GO:0005829}; extracellular exosome {GO:0070062}; extracellular space {GO:0005615}; intracellular membrane-bounded organelle {GO:0043231}; mitochondrial matrix {GO:0005759}; mitochondrion {GO:0005739}; nucleus {GO:0005634}; perinuclear region of cytoplasm {GO:0048471}; peroxisomal matrix {GO:0005782}; peroxisome {GO:0005777}</t>
  </si>
  <si>
    <t>antioxidant activity {GO:0016209}; cysteine-type endopeptidase inhibitor activity involved in apoptotic process {GO:0043027}; peroxidase activity {GO:0004601}; peroxiredoxin activity {GO:0051920}; peroxynitrite reductase activity {GO:0072541}; protein dimerization activity {GO:0046983}; RNA polymerase III regulatory region DNA binding {GO:0001016}; signaling receptor binding {GO:0005102}; thioredoxin peroxidase activity {GO:0008379}</t>
  </si>
  <si>
    <t>Detoxification of Reactive Oxygen Species {R-HSA-3299685}; TP53 Regulates Metabolic Genes {R-HSA-5628897}</t>
  </si>
  <si>
    <t>Apolipoprotein C-III (Apo-CIII; ApoC-III)</t>
  </si>
  <si>
    <t>Apolipoprotein C3</t>
  </si>
  <si>
    <t>APOC3_HUMAN</t>
  </si>
  <si>
    <t>P02656</t>
  </si>
  <si>
    <t>Q08E83; Q6Q786</t>
  </si>
  <si>
    <t>3D-structure; Chylomicron; Disease mutation; Glycoprotein; Lipid degradation; Lipid metabolism; Lipid transport; Polymorphism; Secreted; Sialic acid; Signal; Transport; VLDL</t>
  </si>
  <si>
    <t>Lipid degradation; Lipid metabolism; Lipid transport; Transport</t>
  </si>
  <si>
    <t>Chylomicron; Secreted; VLDL</t>
  </si>
  <si>
    <t>cholesterol efflux {GO:0033344}; cholesterol homeostasis {GO:0042632}; chylomicron assembly {GO:0034378}; chylomicron remnant clearance {GO:0034382}; chylomicron remodeling {GO:0034371}; G protein-coupled receptor signaling pathway {GO:0007186}; high-density lipoprotein particle remodeling {GO:0034375}; lipoprotein metabolic process {GO:0042157}; negative regulation of cholesterol import {GO:0060621}; negative regulation of fatty acid biosynthetic process {GO:0045717}; negative regulation of high-density lipoprotein particle clearance {GO:0010987}; negative regulation of lipid catabolic process {GO:0050995}; negative regulation of lipid metabolic process {GO:0045833}; negative regulation of lipoprotein lipase activity {GO:0051005}; negative regulation of low-density lipoprotein particle clearance {GO:0010989}; negative regulation of receptor-mediated endocytosis {GO:0048261}; negative regulation of triglyceride catabolic process {GO:0010897}; negative regulation of very-low-density lipoprotein particle clearance {GO:0010916}; negative regulation of very-low-density lipoprotein particle remodeling {GO:0010903}; phospholipid efflux {GO:0033700}; regulation of Cdc42 protein signal transduction {GO:0032489}; retinoid metabolic process {GO:0001523}; reverse cholesterol transport {GO:0043691}; triglyceride catabolic process {GO:0019433}; triglyceride homeostasis {GO:0070328}; triglyceride metabolic process {GO:0006641}; very-low-density lipoprotein particle assembly {GO:0034379}</t>
  </si>
  <si>
    <t>chylomicron {GO:0042627}; collagen-containing extracellular matrix {GO:0062023}; early endosome {GO:0005769}; extracellular exosome {GO:0070062}; extracellular region {GO:0005576}; extracellular space {GO:0005615}; intermediate-density lipoprotein particle {GO:0034363}; spherical high-density lipoprotein particle {GO:0034366}; very-low-density lipoprotein particle {GO:0034361}</t>
  </si>
  <si>
    <t>cholesterol binding {GO:0015485}; enzyme regulator activity {GO:0030234}; high-density lipoprotein particle receptor binding {GO:0070653}; lipase inhibitor activity {GO:0055102}; phospholipid binding {GO:0005543}</t>
  </si>
  <si>
    <t>Chylomicron assembly {R-HSA-8963888}; Chylomicron remodeling {R-HSA-8963901}; HDL remodeling {R-HSA-8964058}; Retinoid metabolism and transport {R-HSA-975634}</t>
  </si>
  <si>
    <t>Pepsin A-4</t>
  </si>
  <si>
    <t>Pepsinogen-4</t>
  </si>
  <si>
    <t>PEPA4_HUMAN</t>
  </si>
  <si>
    <t>P0DJD7</t>
  </si>
  <si>
    <t>A8K749; B7ZW75; P00790; Q7M4R0; Q8N1E3</t>
  </si>
  <si>
    <t>3D-structure; Aspartyl protease; Digestion; Disulfide bond; Hydrolase; Phosphoprotein; Protease; Secreted; Signal; Zymogen</t>
  </si>
  <si>
    <t>Disulfide bond; Phosphoprotein; Zymogen</t>
  </si>
  <si>
    <t>Latent-transforming growth factor beta-binding protein 3 (LTBP-3)</t>
  </si>
  <si>
    <t>LTBP3_HUMAN</t>
  </si>
  <si>
    <t>Q9NS15</t>
  </si>
  <si>
    <t>O15107; Q96HB9; Q9H7K2; Q9UFN4</t>
  </si>
  <si>
    <t>Alternative splicing; Amelogenesis imperfecta; Disease mutation; Disulfide bond; Dwarfism; EGF-like domain; Extracellular matrix; Glycoprotein; Growth factor binding; Repeat; Secreted; Signal</t>
  </si>
  <si>
    <t>Amelogenesis imperfecta; Disease mutation; Dwarfism</t>
  </si>
  <si>
    <t>positive regulation of mesenchymal stem cell differentiation {GO:2000741}; positive regulation of mesenchymal stem cell proliferation {GO:1902462}; transforming growth factor beta activation {GO:0036363}</t>
  </si>
  <si>
    <t>collagen-containing extracellular matrix {GO:0062023}; extracellular exosome {GO:0070062}; extracellular region {GO:0005576}</t>
  </si>
  <si>
    <t>calcium ion binding {GO:0005509}; transforming growth factor beta binding {GO:0050431}</t>
  </si>
  <si>
    <t>Endosialin</t>
  </si>
  <si>
    <t>Tumor endothelial marker 1; CD_antigen=CD248</t>
  </si>
  <si>
    <t>CD248_HUMAN</t>
  </si>
  <si>
    <t>Q9HCU0</t>
  </si>
  <si>
    <t>Q2M2V5; Q3SX55; Q96KB6</t>
  </si>
  <si>
    <t>CD164L1; TEM1</t>
  </si>
  <si>
    <t>Alternative splicing; Calcium; Disulfide bond; EGF-like domain; Glycoprotein; Lectin; Membrane; Phosphoprotein; Polymorphism; Signal; Transmembrane; Transmembrane helix</t>
  </si>
  <si>
    <t>anatomical structure regression {GO:0060033}; cell migration {GO:0016477}; lymph node development {GO:0048535}; positive regulation of cell population proliferation {GO:0008284}; positive regulation of endothelial cell apoptotic process {GO:2000353}</t>
  </si>
  <si>
    <t>cytoplasm {GO:0005737}; external side of plasma membrane {GO:0009897}; extracellular exosome {GO:0070062}; extracellular matrix {GO:0031012}; integral component of membrane {GO:0016021}</t>
  </si>
  <si>
    <t>calcium ion binding {GO:0005509}; carbohydrate binding {GO:0030246}; extracellular matrix binding {GO:0050840}; extracellular matrix protein binding {GO:1990430}</t>
  </si>
  <si>
    <t>Oxysterol-binding protein 1</t>
  </si>
  <si>
    <t>OSBP1_HUMAN</t>
  </si>
  <si>
    <t>P22059</t>
  </si>
  <si>
    <t>Q6P524</t>
  </si>
  <si>
    <t>OSBP1</t>
  </si>
  <si>
    <t>3D-structure; Acetylation; Coiled coil; Cytoplasm; Endoplasmic reticulum; Golgi apparatus; Lipid transport; Lipid-binding; Membrane; Phosphoprotein; Polymorphism; Transport</t>
  </si>
  <si>
    <t>Cytoplasm; Endoplasmic reticulum; Golgi apparatus; Membrane</t>
  </si>
  <si>
    <t>bile acid biosynthetic process {GO:0006699}; intracellular cholesterol transport {GO:0032367}; positive regulation of growth of symbiont in host {GO:0044128}; sterol transport {GO:0015918}</t>
  </si>
  <si>
    <t>cell junction {GO:0030054}; cytoplasm {GO:0005737}; cytosol {GO:0005829}; endoplasmic reticulum membrane {GO:0005789}; Golgi apparatus {GO:0005794}; Golgi membrane {GO:0000139}; intracellular membrane-bounded organelle {GO:0043231}; membrane {GO:0016020}; nucleolus {GO:0005730}; nucleoplasm {GO:0005654}; nucleus {GO:0005634}; perinuclear endoplasmic reticulum {GO:0097038}; perinuclear region of cytoplasm {GO:0048471}; plasma membrane {GO:0005886}; trans-Golgi network {GO:0005802}</t>
  </si>
  <si>
    <t>lipid binding {GO:0008289}; oxysterol binding {GO:0008142}; phosphatidylinositol-4-phosphate binding {GO:0070273}; protein domain specific binding {GO:0019904}; sterol binding {GO:0032934}; sterol transporter activity {GO:0015248}</t>
  </si>
  <si>
    <t>Sphingolipid de novo biosynthesis {R-HSA-1660661}; Synthesis of bile acids and bile salts {R-HSA-192105}</t>
  </si>
  <si>
    <t>Ester hydrolase C11orf54</t>
  </si>
  <si>
    <t>CK054_HUMAN</t>
  </si>
  <si>
    <t>Q9H0W9</t>
  </si>
  <si>
    <t>A8K850; Q6FI88; Q6XYB0; Q96EI3; Q96IX1; Q9Y6B4</t>
  </si>
  <si>
    <t>3D-structure; Alternative splicing; Hydrolase; Metal-binding; Nucleus; Zinc</t>
  </si>
  <si>
    <t>extracellular exosome {GO:0070062}; nuclear body {GO:0016604}; nucleoplasm {GO:0005654}; nucleus {GO:0005634}</t>
  </si>
  <si>
    <t>hydrolase activity, acting on ester bonds {GO:0016788}; zinc ion binding {GO:0008270}</t>
  </si>
  <si>
    <t>Src substrate cortactin</t>
  </si>
  <si>
    <t>Amplaxin; Oncogene EMS1</t>
  </si>
  <si>
    <t>SRC8_HUMAN</t>
  </si>
  <si>
    <t>Q14247</t>
  </si>
  <si>
    <t>Q8N707; Q96H99</t>
  </si>
  <si>
    <t>EMS1</t>
  </si>
  <si>
    <t>3D-structure; Acetylation; Alternative splicing; Cell junction; Cell membrane; Cell projection; Coated pit; Coiled coil; Cytoplasm; Cytoskeleton; Endocytosis; Isopeptide bond; Membrane; Methylation; Phosphoprotein; Repeat; SH3 domain; Ubl conjugation</t>
  </si>
  <si>
    <t>Cell junction; Cell membrane; Cell projection; Coated pit; Cytoplasm; Cytoskeleton; Membrane</t>
  </si>
  <si>
    <t>Coiled coil; Repeat; SH3 domain</t>
  </si>
  <si>
    <t>actin cytoskeleton reorganization {GO:0031532}; actin filament polymerization {GO:0030041}; cell motility {GO:0048870}; dendritic spine maintenance {GO:0097062}; focal adhesion assembly {GO:0048041}; intracellular protein transport {GO:0006886}; lamellipodium organization {GO:0097581}; membrane organization {GO:0061024}; negative regulation of extrinsic apoptotic signaling pathway {GO:2001237}; neuron projection morphogenesis {GO:0048812}; positive regulation of actin filament polymerization {GO:0030838}; positive regulation of smooth muscle contraction {GO:0045987}; receptor-mediated endocytosis {GO:0006898}; regulation of autophagy of mitochondrion {GO:1903146}; regulation of axon extension {GO:0030516}; substrate-dependent cell migration, cell extension {GO:0006930}</t>
  </si>
  <si>
    <t>cell cortex {GO:0005938}; clathrin-coated pit {GO:0005905}; cortical cytoskeleton {GO:0030863}; cytoplasm {GO:0005737}; cytoskeleton {GO:0005856}; cytosol {GO:0005829}; dendritic spine {GO:0043197}; focal adhesion {GO:0005925}; Golgi apparatus {GO:0005794}; intracellular membrane-bounded organelle {GO:0043231}; lamellipodium {GO:0030027}; mitotic spindle midzone {GO:1990023}; plasma membrane {GO:0005886}; podosome {GO:0002102}; ruffle {GO:0001726}; voltage-gated potassium channel complex {GO:0008076}</t>
  </si>
  <si>
    <t>cadherin binding {GO:0045296}; profilin binding {GO:0005522}</t>
  </si>
  <si>
    <t>RHO GTPases activate PAKs {R-HSA-5627123}; Clathrin-mediated endocytosis {R-HSA-8856828}</t>
  </si>
  <si>
    <t>Transcobalamin-1 (TC-1)</t>
  </si>
  <si>
    <t>Haptocorrin (HC); Protein R; Transcobalamin I (TC I; TCI)</t>
  </si>
  <si>
    <t>TCO1_HUMAN</t>
  </si>
  <si>
    <t>P20061</t>
  </si>
  <si>
    <t>A8KAC5; Q8WV77</t>
  </si>
  <si>
    <t>TC1</t>
  </si>
  <si>
    <t>3D-structure; Cobalt; Cobalt transport; Disulfide bond; Glycoprotein; Ion transport; Polymorphism; Secreted; Signal; Transport</t>
  </si>
  <si>
    <t>cobalamin metabolic process {GO:0009235}; cobalamin transport {GO:0015889}; cobalt ion transport {GO:0006824}; neutrophil degranulation {GO:0043312}</t>
  </si>
  <si>
    <t>extracellular region {GO:0005576}; extracellular space {GO:0005615}; specific granule lumen {GO:0035580}; tertiary granule lumen {GO:1904724}</t>
  </si>
  <si>
    <t>Cobalamin (Cbl, vitamin B12) transport and metabolism {R-HSA-196741}; Neutrophil degranulation {R-HSA-6798695}</t>
  </si>
  <si>
    <t>Apolipoprotein A-IV (Apo-AIV; ApoA-IV)</t>
  </si>
  <si>
    <t>Apolipoprotein A4</t>
  </si>
  <si>
    <t>APOA4_HUMAN</t>
  </si>
  <si>
    <t>P06727</t>
  </si>
  <si>
    <t>A8MSL6; Q14CW8; Q6Q787</t>
  </si>
  <si>
    <t>3D-structure; Chylomicron; HDL; Lipid transport; Phosphoprotein; Polymorphism; Repeat; Secreted; Signal; Transport</t>
  </si>
  <si>
    <t>Chylomicron; HDL; Secreted</t>
  </si>
  <si>
    <t>cellular protein metabolic process {GO:0044267}; cholesterol biosynthetic process {GO:0006695}; cholesterol efflux {GO:0033344}; cholesterol homeostasis {GO:0042632}; cholesterol metabolic process {GO:0008203}; chylomicron assembly {GO:0034378}; chylomicron remodeling {GO:0034371}; high-density lipoprotein particle assembly {GO:0034380}; high-density lipoprotein particle remodeling {GO:0034375}; hydrogen peroxide catabolic process {GO:0042744}; innate immune response in mucosa {GO:0002227}; leukocyte cell-cell adhesion {GO:0007159}; lipid catabolic process {GO:0016042}; lipid homeostasis {GO:0055088}; lipid transport {GO:0006869}; lipoprotein metabolic process {GO:0042157}; negative regulation of plasma lipoprotein oxidation {GO:0034445}; phosphatidylcholine metabolic process {GO:0046470}; phospholipid efflux {GO:0033700}; positive regulation of cholesterol esterification {GO:0010873}; positive regulation of fatty acid biosynthetic process {GO:0045723}; positive regulation of lipid biosynthetic process {GO:0046889}; positive regulation of lipoprotein lipase activity {GO:0051006}; positive regulation of triglyceride catabolic process {GO:0010898}; protein-lipid complex assembly {GO:0065005}; regulation of cholesterol transport {GO:0032374}; regulation of intestinal cholesterol absorption {GO:0030300}; removal of superoxide radicals {GO:0019430}; response to lipid hydroperoxide {GO:0006982}; response to stilbenoid {GO:0035634}; retinoid metabolic process {GO:0001523}; reverse cholesterol transport {GO:0043691}; triglyceride catabolic process {GO:0019433}; triglyceride homeostasis {GO:0070328}; very-low-density lipoprotein particle remodeling {GO:0034372}</t>
  </si>
  <si>
    <t>blood microparticle {GO:0072562}; chylomicron {GO:0042627}; collagen-containing extracellular matrix {GO:0062023}; cytosol {GO:0005829}; early endosome {GO:0005769}; endoplasmic reticulum lumen {GO:0005788}; extracellular exosome {GO:0070062}; extracellular region {GO:0005576}; extracellular space {GO:0005615}; high-density lipoprotein particle {GO:0034364}; very-low-density lipoprotein particle {GO:0034361}</t>
  </si>
  <si>
    <t>antioxidant activity {GO:0016209}; cholesterol binding {GO:0015485}; cholesterol transporter activity {GO:0017127}; copper ion binding {GO:0005507}; identical protein binding {GO:0042802}; lipid binding {GO:0008289}; lipid transporter activity {GO:0005319}; phosphatidylcholine binding {GO:0031210}; phosphatidylcholine-sterol O-acyltransferase activator activity {GO:0060228}; phospholipid binding {GO:0005543}; protein homodimerization activity {GO:0042803}</t>
  </si>
  <si>
    <t>Chylomicron assembly {R-HSA-8963888}; Assembly of active LPL and LIPC lipase complexes {R-HSA-8963889}; Chylomicron remodeling {R-HSA-8963901}; Retinoid metabolism and transport {R-HSA-975634}; Amyloid fiber formation {R-HSA-977225}</t>
  </si>
  <si>
    <t>Reticulon-4 receptor-like 2</t>
  </si>
  <si>
    <t>Nogo receptor-like 3; Nogo-66 receptor homolog 1; Nogo-66 receptor-related protein 2 (NgR2)</t>
  </si>
  <si>
    <t>R4RL2_HUMAN</t>
  </si>
  <si>
    <t>Q86UN3</t>
  </si>
  <si>
    <t>Q0GGW3; Q17RL9; Q6X813</t>
  </si>
  <si>
    <t>Alternative splicing; Cell membrane; Cell projection; Disulfide bond; Glycoprotein; GPI-anchor; Leucine-rich repeat; Lipoprotein; Membrane; Receptor; Repeat; Signal</t>
  </si>
  <si>
    <t>Leucine-rich repeat; Repeat; Signal</t>
  </si>
  <si>
    <t>axon regeneration {GO:0031103}; cell surface receptor signaling pathway {GO:0007166}; corpus callosum development {GO:0022038}; negative regulation of neuron projection development {GO:0010977}</t>
  </si>
  <si>
    <t>anchored component of plasma membrane {GO:0046658}; axon {GO:0030424}; cell surface {GO:0009986}; dendrite {GO:0030425}; external side of plasma membrane {GO:0009897}; extracellular exosome {GO:0070062}; extracellular matrix {GO:0031012}; extracellular region {GO:0005576}; extracellular space {GO:0005615}; membrane raft {GO:0045121}; neuron projection {GO:0043005}; perikaryon {GO:0043204}; plasma membrane {GO:0005886}</t>
  </si>
  <si>
    <t>signaling receptor activity {GO:0038023}</t>
  </si>
  <si>
    <t>Transmembrane protein 132A</t>
  </si>
  <si>
    <t>HSPA5-binding protein 1</t>
  </si>
  <si>
    <t>T132A_HUMAN</t>
  </si>
  <si>
    <t>Q24JP5</t>
  </si>
  <si>
    <t>Q69YU7; Q86VZ8; Q86W97; Q9H8K3; Q9HCI9; Q9NWY0</t>
  </si>
  <si>
    <t>HSPA5BP1; KIAA1583</t>
  </si>
  <si>
    <t>Alternative splicing; Endoplasmic reticulum; Glycoprotein; Golgi apparatus; Membrane; Phosphoprotein; Polymorphism; Signal; Transmembrane; Transmembrane helix</t>
  </si>
  <si>
    <t>cellular protein metabolic process {GO:0044267}; post-translational protein modification {GO:0043687}</t>
  </si>
  <si>
    <t>endoplasmic reticulum {GO:0005783}; endoplasmic reticulum lumen {GO:0005788}; endoplasmic reticulum membrane {GO:0005789}; extracellular exosome {GO:0070062}; Golgi apparatus {GO:0005794}; Golgi membrane {GO:0000139}; integral component of membrane {GO:0016021}</t>
  </si>
  <si>
    <t>Aspartyl aminopeptidase</t>
  </si>
  <si>
    <t>DNPEP_HUMAN</t>
  </si>
  <si>
    <t>Q9ULA0</t>
  </si>
  <si>
    <t>Q9BW44; Q9NUV5; Q9NV55</t>
  </si>
  <si>
    <t>ASPEP; DAP</t>
  </si>
  <si>
    <t>3D-structure; Acetylation; Aminopeptidase; Cytoplasm; Hydrolase; Metal-binding; Metalloprotease; Phosphoprotein; Protease; Zinc</t>
  </si>
  <si>
    <t>peptide metabolic process {GO:0006518}</t>
  </si>
  <si>
    <t>blood microparticle {GO:0072562}; cytoplasm {GO:0005737}; cytosol {GO:0005829}; extracellular region {GO:0005576}; nucleus {GO:0005634}</t>
  </si>
  <si>
    <t>aminopeptidase activity {GO:0004177}; identical protein binding {GO:0042802}; metalloaminopeptidase activity {GO:0070006}; zinc ion binding {GO:0008270}</t>
  </si>
  <si>
    <t>Preptin</t>
  </si>
  <si>
    <t>Somatomedin-A; T3M-11-derived growth factor</t>
  </si>
  <si>
    <t>IGF2_HUMAN</t>
  </si>
  <si>
    <t>P01344</t>
  </si>
  <si>
    <t>B3KX48; B7WP08; C9JAF2; E3UN45; P78449; Q14299; Q1WM26; Q9UC68; Q9UC69</t>
  </si>
  <si>
    <t>3D-structure; Alternative splicing; Carbohydrate metabolism; Cleavage on pair of basic residues; Disulfide bond; Dwarfism; Glucose metabolism; Glycoprotein; Growth factor; Hormone; Mitogen; Osteogenesis; Polymorphism; Secreted; Signal</t>
  </si>
  <si>
    <t>Carbohydrate metabolism; Glucose metabolism; Osteogenesis</t>
  </si>
  <si>
    <t>Dwarfism</t>
  </si>
  <si>
    <t>Growth factor; Hormone; Mitogen</t>
  </si>
  <si>
    <t>animal organ morphogenesis {GO:0009887}; cellular protein metabolic process {GO:0044267}; embryonic placenta development {GO:0001892}; embryonic placenta morphogenesis {GO:0060669}; exocrine pancreas development {GO:0031017}; glucose metabolic process {GO:0006006}; in utero embryonic development {GO:0001701}; insulin receptor signaling pathway {GO:0008286}; insulin receptor signaling pathway via phosphatidylinositol 3-kinase {GO:0038028}; multicellular organism development {GO:0007275}; negative regulation of transcription by RNA polymerase II {GO:0000122}; osteoblast differentiation {GO:0001649}; platelet degranulation {GO:0002576}; positive regulation of activated T cell proliferation {GO:0042104}; positive regulation of catalytic activity {GO:0043085}; positive regulation of cell division {GO:0051781}; positive regulation of cell population proliferation {GO:0008284}; positive regulation of glycogen (starch) synthase activity {GO:2000467}; positive regulation of glycogen biosynthetic process {GO:0045725}; positive regulation of insulin receptor signaling pathway {GO:0046628}; positive regulation of MAPK cascade {GO:0043410}; positive regulation of mitotic nuclear division {GO:0045840}; positive regulation of multicellular organism growth {GO:0040018}; positive regulation of peptidyl-tyrosine phosphorylation {GO:0050731}; positive regulation of protein kinase B signaling {GO:0051897}; positive regulation of protein phosphorylation {GO:0001934}; positive regulation of transcription by RNA polymerase II {GO:0045944}; regulation of gene expression by genetic imprinting {GO:0006349}; regulation of histone modification {GO:0031056}; regulation of muscle cell differentiation {GO:0051147}; regulation of transcription, DNA-templated {GO:0006355}; skeletal system development {GO:0001501}; striated muscle cell differentiation {GO:0051146}</t>
  </si>
  <si>
    <t>extracellular region {GO:0005576}; extracellular space {GO:0005615}; platelet alpha granule lumen {GO:0031093}</t>
  </si>
  <si>
    <t>growth factor activity {GO:0008083}; hormone activity {GO:0005179}; insulin receptor binding {GO:0005158}; insulin-like growth factor receptor binding {GO:0005159}; integrin binding {GO:0005178}; protein serine/threonine kinase activator activity {GO:0043539}; receptor ligand activity {GO:0048018}</t>
  </si>
  <si>
    <t>Platelet degranulation {R-HSA-114608}; Signaling by Type 1 Insulin-like Growth Factor 1 Receptor (IGF1R) {R-HSA-2404192}; IRS-related events triggered by IGF1R {R-HSA-2428928}; SHC-related events triggered by IGF1R {R-HSA-2428933}; Regulation of Insulin-like Growth Factor (IGF) transport and uptake by Insulin-like Growth Factor Binding Proteins (IGFBPs) {R-HSA-381426}</t>
  </si>
  <si>
    <t>L-lactate dehydrogenase A chain (LDH-A)</t>
  </si>
  <si>
    <t>Cell proliferation-inducing gene 19 protein; LDH muscle subunit (LDH-M); Renal carcinoma antigen NY-REN-59</t>
  </si>
  <si>
    <t>LDHA_HUMAN</t>
  </si>
  <si>
    <t>P00338</t>
  </si>
  <si>
    <t>B4DKQ2; B7Z5E3; D3DQY3; F8W819; Q53G53; Q6IBM7; Q6ZNV1; Q9UDE8; Q9UDE9</t>
  </si>
  <si>
    <t>3D-structure; Acetylation; Alternative splicing; Cytoplasm; Disease mutation; Glycogen storage disease; Isopeptide bond; NAD; Oxidoreductase; Phosphoprotein; Polymorphism; Ubl conjugation</t>
  </si>
  <si>
    <t>glycolytic process {GO:0006096}; pyruvate metabolic process {GO:0006090}; substantia nigra development {GO:0021762}</t>
  </si>
  <si>
    <t>cytosol {GO:0005829}; extracellular exosome {GO:0070062}; membrane {GO:0016020}; nucleus {GO:0005634}</t>
  </si>
  <si>
    <t>cadherin binding {GO:0045296}; L-lactate dehydrogenase activity {GO:0004459}</t>
  </si>
  <si>
    <t>Fermentation; pyruvate fermentation to lactate; (S)- lactate from pyruvate: step 1/1.</t>
  </si>
  <si>
    <t>Pyruvate metabolism {R-HSA-70268}</t>
  </si>
  <si>
    <t>EH domain-binding protein 1-like protein 1</t>
  </si>
  <si>
    <t>EH1L1_HUMAN</t>
  </si>
  <si>
    <t>Q8N3D4</t>
  </si>
  <si>
    <t>Q8TB89; Q9H7M7</t>
  </si>
  <si>
    <t>Coiled coil; Endosome; Phosphoprotein; Polymorphism</t>
  </si>
  <si>
    <t>endosome {GO:0005768}; membrane {GO:0016020}</t>
  </si>
  <si>
    <t>Caveolae-associated protein 3</t>
  </si>
  <si>
    <t>Cavin-3; Protein kinase C delta-binding protein; Serum deprivation response factor-related gene product that binds to C-kinase (hSRBC)</t>
  </si>
  <si>
    <t>CAVN3_HUMAN</t>
  </si>
  <si>
    <t>Q969G5</t>
  </si>
  <si>
    <t>Biological rhythms; Cytoplasm; Isopeptide bond; Membrane; Phosphoprotein; Polymorphism; Tumor suppressor; Ubl conjugation</t>
  </si>
  <si>
    <t>Biological rhythms</t>
  </si>
  <si>
    <t>circadian regulation of gene expression {GO:0032922}; cortical actin cytoskeleton organization {GO:0030866}; negative regulation of fermentation {GO:1901003}; negative regulation of protein kinase B signaling {GO:0051898}; positive regulation of ERK1 and ERK2 cascade {GO:0070374}</t>
  </si>
  <si>
    <t>caveola {GO:0005901}; cytoplasm {GO:0005737}; cytosol {GO:0005829}; protein-containing complex {GO:0032991}</t>
  </si>
  <si>
    <t>protein kinase C binding {GO:0005080}</t>
  </si>
  <si>
    <t>Cathepsin D heavy chain</t>
  </si>
  <si>
    <t>CATD_HUMAN</t>
  </si>
  <si>
    <t>P07339</t>
  </si>
  <si>
    <t>Q6IB57</t>
  </si>
  <si>
    <t>CPSD</t>
  </si>
  <si>
    <t>3D-structure; Alzheimer disease; Aspartyl protease; Disease mutation; Disulfide bond; Glycoprotein; Hydrolase; Lysosome; Neurodegeneration; Neuronal ceroid lipofuscinosis; Polymorphism; Protease; Secreted; Signal; Zymogen</t>
  </si>
  <si>
    <t>Alzheimer disease; Disease mutation; Neurodegeneration; Neuronal ceroid lipofuscinosis</t>
  </si>
  <si>
    <t>antigen processing and presentation of exogenous peptide antigen via MHC class II {GO:0019886}; collagen catabolic process {GO:0030574}; lipoprotein catabolic process {GO:0042159}; neutrophil degranulation {GO:0043312}; positive regulation of apoptotic process {GO:0043065}; positive regulation of cysteine-type endopeptidase activity involved in apoptotic process {GO:0043280}; protein catabolic process {GO:0030163}; proteolysis {GO:0006508}; regulation of establishment of protein localization {GO:0070201}</t>
  </si>
  <si>
    <t>collagen-containing extracellular matrix {GO:0062023}; endosome membrane {GO:0010008}; extracellular exosome {GO:0070062}; extracellular region {GO:0005576}; extracellular space {GO:0005615}; ficolin-1-rich granule lumen {GO:1904813}; lysosomal lumen {GO:0043202}; lysosomal membrane {GO:0005765}; lysosome {GO:0005764}; melanosome {GO:0042470}; membrane raft {GO:0045121}; specific granule lumen {GO:0035580}; tertiary granule lumen {GO:1904724}</t>
  </si>
  <si>
    <t>aspartic-type endopeptidase activity {GO:0004190}; aspartic-type peptidase activity {GO:0070001}; peptidase activity {GO:0008233}</t>
  </si>
  <si>
    <t>Collagen degradation {R-HSA-1442490}; Metabolism of Angiotensinogen to Angiotensins {R-HSA-2022377}; MHC class II antigen presentation {R-HSA-2132295}; Neutrophil degranulation {R-HSA-6798695}; Estrogen-dependent gene expression {R-HSA-9018519}</t>
  </si>
  <si>
    <t>Solute carrier family 22 member 11</t>
  </si>
  <si>
    <t>Organic anion transporter 4</t>
  </si>
  <si>
    <t>S22AB_HUMAN</t>
  </si>
  <si>
    <t>Q9NSA0</t>
  </si>
  <si>
    <t>A8K426; Q53GR2; Q6ZP72; Q8NBU4</t>
  </si>
  <si>
    <t>OAT4</t>
  </si>
  <si>
    <t>Alternative splicing; Cell membrane; Glycoprotein; Ion transport; Membrane; Polymorphism; Transmembrane; Transmembrane helix; Transport</t>
  </si>
  <si>
    <t>organic anion transport {GO:0015711}; urate metabolic process {GO:0046415}</t>
  </si>
  <si>
    <t>apical plasma membrane {GO:0016324}; external side of plasma membrane {GO:0009897}; extracellular exosome {GO:0070062}; integral component of plasma membrane {GO:0005887}; plasma membrane {GO:0005886}</t>
  </si>
  <si>
    <t>inorganic anion exchanger activity {GO:0005452}; organic anion transmembrane transporter activity {GO:0008514}; sodium-independent organic anion transmembrane transporter activity {GO:0015347}</t>
  </si>
  <si>
    <t>Organic anion transport {R-HSA-561048}</t>
  </si>
  <si>
    <t>Uteroglobin</t>
  </si>
  <si>
    <t>Clara cell phospholipid-binding protein (CCPBP); Clara cells 10 kDa secretory protein (CC10); Secretoglobin family 1A member 1; Urinary protein 1 (UP-1; UP1; Urine protein 1)</t>
  </si>
  <si>
    <t>UTER_HUMAN</t>
  </si>
  <si>
    <t>P11684</t>
  </si>
  <si>
    <t>B2R5F2; Q6FHH3; Q9UCM2; Q9UCM4</t>
  </si>
  <si>
    <t>CC10; CCSP; UGB</t>
  </si>
  <si>
    <t>Disulfide bond; Phospholipase A2 inhibitor; Polymorphism; Secreted; Signal</t>
  </si>
  <si>
    <t>Phospholipase A2 inhibitor</t>
  </si>
  <si>
    <t>embryo implantation {GO:0007566}; female pregnancy {GO:0007565}; negative regulation of interferon-gamma production {GO:0032689}; negative regulation of interleukin-13 production {GO:0032696}; negative regulation of interleukin-4 production {GO:0032713}; negative regulation of interleukin-5 production {GO:0032714}; negative regulation of T cell proliferation {GO:0042130}; negative regulation of transcription by RNA polymerase II {GO:0000122}; regulation of inflammatory response {GO:0050727}; regulation of mRNA stability {GO:0043488}; response to cytokine {GO:0034097}; response to fibroblast growth factor {GO:0071774}; response to glucocorticoid {GO:0051384}; response to lipopolysaccharide {GO:0032496}; response to ozone {GO:0010193}; response to silicon dioxide {GO:0034021}; response to xenobiotic stimulus {GO:0009410}; signal transduction {GO:0007165}</t>
  </si>
  <si>
    <t>cytoplasm {GO:0005737}; extracellular exosome {GO:0070062}; extracellular space {GO:0005615}; nuclear envelope {GO:0005635}; rough endoplasmic reticulum {GO:0005791}; secretory granule {GO:0030141}</t>
  </si>
  <si>
    <t>phospholipase A2 inhibitor activity {GO:0019834}; polychlorinated biphenyl binding {GO:0097160}</t>
  </si>
  <si>
    <t>Barrier-to-autointegration factor, N-terminally processed</t>
  </si>
  <si>
    <t>Breakpoint cluster region protein 1</t>
  </si>
  <si>
    <t>BAF_HUMAN</t>
  </si>
  <si>
    <t>O75531</t>
  </si>
  <si>
    <t>O60558; Q6FGG7</t>
  </si>
  <si>
    <t>BAF; BCRG1</t>
  </si>
  <si>
    <t>3D-structure; Acetylation; Chromosome; Cytoplasm; Disease mutation; DNA-binding; Host-virus interaction; Nucleus; Phosphoprotein</t>
  </si>
  <si>
    <t>Chromosome; Cytoplasm; Nucleus</t>
  </si>
  <si>
    <t>chromosome condensation {GO:0030261}; chromosome segregation {GO:0007059}; DNA integration {GO:0015074}; establishment of integrated proviral latency {GO:0075713}; mitotic nuclear envelope reassembly {GO:0007084}; negative regulation of viral genome replication {GO:0045071}; nuclear transport {GO:0051169}; response to virus {GO:0009615}</t>
  </si>
  <si>
    <t>condensed chromosome {GO:0000793}; cytoplasm {GO:0005737}; cytosol {GO:0005829}; nuclear envelope {GO:0005635}; nucleoplasm {GO:0005654}; nucleus {GO:0005634}</t>
  </si>
  <si>
    <t>DNA binding {GO:0003677}; enzyme binding {GO:0019899}; identical protein binding {GO:0042802}; LEM domain binding {GO:0097726}; protein C-terminus binding {GO:0008022}; protein homodimerization activity {GO:0042803}; protein N-terminus binding {GO:0047485}</t>
  </si>
  <si>
    <t>Integration of provirus {R-HSA-162592}; 2-LTR circle formation {R-HSA-164843}; Integration of viral DNA into host genomic DNA {R-HSA-175567}; Autointegration results in viral DNA circles {R-HSA-177539}; APOBEC3G mediated resistance to HIV-1 infection {R-HSA-180689}; Vpr-mediated nuclear import of PICs {R-HSA-180910}; Nuclear Envelope Breakdown {R-HSA-2980766}; Initiation of Nuclear Envelope Reformation {R-HSA-2995383}</t>
  </si>
  <si>
    <t>Plasma protease C1 inhibitor (C1 Inh; C1Inh)</t>
  </si>
  <si>
    <t>C1 esterase inhibitor; C1-inhibiting factor; Serpin G1</t>
  </si>
  <si>
    <t>IC1_HUMAN</t>
  </si>
  <si>
    <t>P05155</t>
  </si>
  <si>
    <t>A6NMU0; A8KAI9; B2R6L5; B4E1F0; B4E1H2; Q16304; Q547W3; Q59EI5; Q7Z455; Q96FE0; Q9UC49; Q9UCF9</t>
  </si>
  <si>
    <t>C1IN; C1NH</t>
  </si>
  <si>
    <t>3D-structure; Alternative splicing; Blood coagulation; Complement pathway; Disease mutation; Disulfide bond; Fibrinolysis; Glycoprotein; Hemostasis; Immunity; Innate immunity; Polymorphism; Protease inhibitor; Repeat; Secreted; Serine protease inhibitor; Signal</t>
  </si>
  <si>
    <t>Blood coagulation; Complement pathway; Fibrinolysis; Hemostasis; Immunity; Innate immunity</t>
  </si>
  <si>
    <t>aging {GO:0007568}; blood circulation {GO:0008015}; blood coagulation, intrinsic pathway {GO:0007597}; complement activation, classical pathway {GO:0006958}; fibrinolysis {GO:0042730}; innate immune response {GO:0045087}; negative regulation of complement activation, lectin pathway {GO:0001869}; negative regulation of endopeptidase activity {GO:0010951}; platelet degranulation {GO:0002576}; regulation of complement activation {GO:0030449}</t>
  </si>
  <si>
    <t>blood microparticle {GO:0072562}; collagen-containing extracellular matrix {GO:0062023}; extracellular exosome {GO:0070062}; extracellular region {GO:0005576}; extracellular space {GO:0005615}; platelet alpha granule lumen {GO:0031093}</t>
  </si>
  <si>
    <t>Platelet degranulation {R-HSA-114608}; Intrinsic Pathway of Fibrin Clot Formation {R-HSA-140837}; Regulation of Complement cascade {R-HSA-977606}</t>
  </si>
  <si>
    <t>Neurotrimin (hNT)</t>
  </si>
  <si>
    <t>IgLON family member 2</t>
  </si>
  <si>
    <t>NTRI_HUMAN</t>
  </si>
  <si>
    <t>Q9P121</t>
  </si>
  <si>
    <t>A0MTT2; Q6UXJ3; Q86VJ9</t>
  </si>
  <si>
    <t>IGLON2; NT</t>
  </si>
  <si>
    <t>3D-structure; Alternative splicing; Cell adhesion; Cell membrane; Disulfide bond; Glycoprotein; GPI-anchor; Immunoglobulin domain; Lipoprotein; Membrane; Repeat; Signal</t>
  </si>
  <si>
    <t>cell adhesion {GO:0007155}; neuron recognition {GO:0008038}</t>
  </si>
  <si>
    <t>anchored component of membrane {GO:0031225}; extracellular region {GO:0005576}; plasma membrane {GO:0005886}</t>
  </si>
  <si>
    <t>Endothelial cell-selective adhesion molecule</t>
  </si>
  <si>
    <t>ESAM_HUMAN</t>
  </si>
  <si>
    <t>Q96AP7</t>
  </si>
  <si>
    <t>B4DVN8; Q96T50</t>
  </si>
  <si>
    <t>Alternative splicing; Cell adhesion; Cell junction; Cell membrane; Disulfide bond; Glycoprotein; Immunoglobulin domain; Membrane; Phosphoprotein; Polymorphism; Repeat; Signal; Tight junction; Transmembrane; Transmembrane helix</t>
  </si>
  <si>
    <t>homophilic cell adhesion via plasma membrane adhesion molecules {GO:0007156}; leukocyte migration {GO:0050900}</t>
  </si>
  <si>
    <t>adherens junction {GO:0005912}; bicellular tight junction {GO:0005923}; integral component of membrane {GO:0016021}; plasma membrane {GO:0005886}</t>
  </si>
  <si>
    <t>Cell surface interactions at the vascular wall {R-HSA-202733}</t>
  </si>
  <si>
    <t>V-set and immunoglobulin domain-containing protein 2</t>
  </si>
  <si>
    <t>Cortical thymocyte-like protein (CT-like protein)</t>
  </si>
  <si>
    <t>VSIG2_HUMAN</t>
  </si>
  <si>
    <t>Q96IQ7</t>
  </si>
  <si>
    <t>O95791; Q9NX42</t>
  </si>
  <si>
    <t>CTH; CTXL</t>
  </si>
  <si>
    <t>Alternative splicing; Disulfide bond; Glycoprotein; Immunoglobulin domain; Membrane; Repeat; Signal; Transmembrane; Transmembrane helix</t>
  </si>
  <si>
    <t>integral component of plasma membrane {GO:0005887}; membrane {GO:0016020}</t>
  </si>
  <si>
    <t>Thymosin beta-10</t>
  </si>
  <si>
    <t>TYB10_HUMAN</t>
  </si>
  <si>
    <t>P63313</t>
  </si>
  <si>
    <t>P13472; Q596K9</t>
  </si>
  <si>
    <t>PTMB10; THYB10</t>
  </si>
  <si>
    <t>Acetylation; Actin-binding; Cytoplasm; Cytoskeleton; Phosphoprotein; Polymorphism</t>
  </si>
  <si>
    <t>actin filament organization {GO:0007015}; regulation of cell migration {GO:0030334}; sequestering of actin monomers {GO:0042989}</t>
  </si>
  <si>
    <t>cytoplasm {GO:0005737}; cytoskeleton {GO:0005856}</t>
  </si>
  <si>
    <t>actin monomer binding {GO:0003785}</t>
  </si>
  <si>
    <t>Sodium-coupled monocarboxylate transporter 2</t>
  </si>
  <si>
    <t>Electroneutral sodium monocarboxylate cotransporter; Low-affinity sodium-lactate cotransporter; Solute carrier family 5 member 12</t>
  </si>
  <si>
    <t>SC5AC_HUMAN</t>
  </si>
  <si>
    <t>Q1EHB4</t>
  </si>
  <si>
    <t>Q86UC7</t>
  </si>
  <si>
    <t>SMCT2</t>
  </si>
  <si>
    <t>Alternative splicing; Cell membrane; Glycoprotein; Ion transport; Membrane; Polymorphism; Sodium; Sodium transport; Symport; Transmembrane; Transmembrane helix; Transport</t>
  </si>
  <si>
    <t>Ion transport; Sodium transport; Symport; Transport</t>
  </si>
  <si>
    <t>ion transport {GO:0006811}</t>
  </si>
  <si>
    <t>apical plasma membrane {GO:0016324}; extracellular exosome {GO:0070062}; integral component of membrane {GO:0016021}; plasma membrane {GO:0005886}</t>
  </si>
  <si>
    <t>lactate transmembrane transporter activity {GO:0015129}; organic acid:sodium symporter activity {GO:0005343}</t>
  </si>
  <si>
    <t>Multifunctional anion exchangers {R-HSA-427601}</t>
  </si>
  <si>
    <t>Toll-interacting protein</t>
  </si>
  <si>
    <t>TOLIP_HUMAN</t>
  </si>
  <si>
    <t>Q9H0E2</t>
  </si>
  <si>
    <t>B3KXC6; Q9H9E6; Q9UJ69</t>
  </si>
  <si>
    <t>3D-structure; Acetylation; Alternative splicing; Autophagy; Cytoplasm; Immunity; Inflammatory response; Innate immunity; Phosphoprotein; Polymorphism; Repeat</t>
  </si>
  <si>
    <t>Autophagy; Immunity; Inflammatory response; Innate immunity</t>
  </si>
  <si>
    <t>autophagy {GO:0006914}; cell-cell signaling {GO:0007267}; epithelial cell differentiation {GO:0030855}; inflammatory response {GO:0006954}; innate immune response {GO:0045087}; interleukin-1-mediated signaling pathway {GO:0070498}; intracellular signal transduction {GO:0035556}; leukocyte activation {GO:0045321}; neutrophil degranulation {GO:0043312}; phosphorylation {GO:0016310}; positive regulation of protein sumoylation {GO:0033235}; protein localization to endosome {GO:0036010}; signal transduction {GO:0007165}; ubiquitin-dependent protein catabolic process {GO:0006511}</t>
  </si>
  <si>
    <t>azurophil granule lumen {GO:0035578}; cytoplasm {GO:0005737}; cytosol {GO:0005829}; extracellular exosome {GO:0070062}; extracellular region {GO:0005576}; interleukin-1 receptor complex {GO:0045323}; interleukin-18 receptor complex {GO:0045092}; nuclear body {GO:0016604}; perinuclear region of cytoplasm {GO:0048471}; specific granule lumen {GO:0035580}</t>
  </si>
  <si>
    <t>interleukin-1, type I receptor binding {GO:0005150}; kinase binding {GO:0019900}; SUMO binding {GO:0032183}; Toll-like receptor binding {GO:0035325}; ubiquitin binding {GO:0043130}; ubiquitin conjugating enzyme binding {GO:0031624}; ubiquitin protein ligase binding {GO:0031625}</t>
  </si>
  <si>
    <t>Neutrophil degranulation {R-HSA-6798695}; Interleukin-1 signaling {R-HSA-9020702}</t>
  </si>
  <si>
    <t>Splicing factor 3B subunit 2</t>
  </si>
  <si>
    <t>Pre-mRNA-splicing factor SF3b 145 kDa subunit (SF3b145); Spliceosome-associated protein 145 (SAP 145)</t>
  </si>
  <si>
    <t>SF3B2_HUMAN</t>
  </si>
  <si>
    <t>Q13435</t>
  </si>
  <si>
    <t>A8K485; B4DT19; Q7L4T5; Q7Z627; Q969K1; Q96CM6; Q9BWD2</t>
  </si>
  <si>
    <t>SAP145</t>
  </si>
  <si>
    <t>3D-structure; Acetylation; Coiled coil; Host-virus interaction; Isopeptide bond; Methylation; mRNA processing; mRNA splicing; Nucleus; Phosphoprotein; Spliceosome; Ubl conjugation</t>
  </si>
  <si>
    <t>Host-virus interaction; mRNA processing; mRNA splicing</t>
  </si>
  <si>
    <t>mRNA processing {GO:0006397}; mRNA splicing, via spliceosome {GO:0000398}; RNA splicing {GO:0008380}; viral process {GO:0016032}</t>
  </si>
  <si>
    <t>catalytic step 2 spliceosome {GO:0071013}; nuclear speck {GO:0016607}; nucleoplasm {GO:0005654}; nucleus {GO:0005634}; spliceosomal complex {GO:0005681}; U12-type spliceosomal complex {GO:0005689}; U2 snRNP {GO:0005686}; U2-type precatalytic spliceosome {GO:0071005}</t>
  </si>
  <si>
    <t>mRNA Splicing - Major Pathway {R-HSA-72163}; mRNA Splicing - Minor Pathway {R-HSA-72165}</t>
  </si>
  <si>
    <t>CD81 antigen</t>
  </si>
  <si>
    <t>26 kDa cell surface protein TAPA-1; Target of the antiproliferative antibody 1; Tetraspanin-28 (Tspan-28); CD_antigen=CD81</t>
  </si>
  <si>
    <t>CD81_HUMAN</t>
  </si>
  <si>
    <t>P60033</t>
  </si>
  <si>
    <t>P18582; Q5U0J6</t>
  </si>
  <si>
    <t>3D-structure; Adaptive immunity; Cell membrane; Disulfide bond; Host cell receptor for virus entry; Host-virus interaction; Immunity; Lipid-binding; Membrane; Receptor; Transmembrane; Transmembrane helix</t>
  </si>
  <si>
    <t>Adaptive immunity; Host-virus interaction; Immunity</t>
  </si>
  <si>
    <t>activation of MAPK activity {GO:0000187}; CD4-positive, alpha-beta T cell costimulation {GO:0035783}; cellular response to low-density lipoprotein particle stimulus {GO:0071404}; humoral immune response mediated by circulating immunoglobulin {GO:0002455}; immunological synapse formation {GO:0001771}; macrophage fusion {GO:0034238}; myoblast fusion involved in skeletal muscle regeneration {GO:0014905}; osteoclast fusion {GO:0072675}; positive regulation of 1-phosphatidylinositol 4-kinase activity {GO:0043128}; positive regulation of adaptive immune memory response {GO:1905676}; positive regulation of B cell proliferation {GO:0030890}; positive regulation of B cell receptor signaling pathway {GO:0050861}; positive regulation of CD4-positive, alpha-beta T cell proliferation {GO:2000563}; positive regulation of cell population proliferation {GO:0008284}; positive regulation of inflammatory response to antigenic stimulus {GO:0002863}; positive regulation of peptidyl-tyrosine phosphorylation {GO:0050731}; positive regulation of protein catabolic process in the vacuole {GO:1904352}; positive regulation of protein exit from endoplasmic reticulum {GO:0070863}; positive regulation of receptor clustering {GO:1903911}; positive regulation of T cell activation via T cell receptor contact with antigen bound to MHC molecule on antigen presenting cell {GO:2001190}; positive regulation of T cell receptor signaling pathway {GO:0050862}; positive regulation of T-helper 2 cell cytokine production {GO:2000553}; positive regulation of transcription by RNA polymerase II {GO:0045944}; protein localization {GO:0008104}; protein localization to lysosome {GO:0061462}; protein localization to plasma membrane {GO:0072659}; receptor internalization {GO:0031623}; receptor-mediated virion attachment to host cell {GO:0046813}; regulation of complement activation {GO:0030449}; regulation of immune response {GO:0050776}; regulation of macrophage migration {GO:1905521}; regulation of protein stability {GO:0031647}; viral entry into host cell {GO:0046718}</t>
  </si>
  <si>
    <t>basolateral plasma membrane {GO:0016323}; extracellular exosome {GO:0070062}; focal adhesion {GO:0005925}; immunological synapse {GO:0001772}; integral component of membrane {GO:0016021}; integral component of plasma membrane {GO:0005887}; membrane {GO:0016020}; plasma membrane {GO:0005886}; tetraspanin-enriched microdomain {GO:0097197}; vesicle {GO:0031982}</t>
  </si>
  <si>
    <t>cholesterol binding {GO:0015485}; integrin binding {GO:0005178}; MHC class II protein binding {GO:0042289}; MHC class II protein complex binding {GO:0023026}; transferrin receptor binding {GO:1990459}; virus receptor activity {GO:0001618}</t>
  </si>
  <si>
    <t>Immunoregulatory interactions between a Lymphoid and a non-Lymphoid cell {R-HSA-198933}; Regulation of Complement cascade {R-HSA-977606}</t>
  </si>
  <si>
    <t>Transgelin</t>
  </si>
  <si>
    <t>22 kDa actin-binding protein; Protein WS3-10; Smooth muscle protein 22-alpha (SM22-alpha)</t>
  </si>
  <si>
    <t>TAGL_HUMAN</t>
  </si>
  <si>
    <t>Q01995</t>
  </si>
  <si>
    <t>O15542</t>
  </si>
  <si>
    <t>SM22; WS3-10</t>
  </si>
  <si>
    <t>Acetylation; Actin-binding; Cytoplasm; Methylation; Muscle protein; Phosphoprotein; Polymorphism</t>
  </si>
  <si>
    <t>epithelial cell differentiation {GO:0030855}; muscle organ development {GO:0007517}</t>
  </si>
  <si>
    <t>Calpain-1 catalytic subunit</t>
  </si>
  <si>
    <t>Calcium-activated neutral proteinase 1 (CANP 1); Calpain mu-type; Calpain-1 large subunit; Cell proliferation-inducing gene 30 protein; Micromolar-calpain (muCANP)</t>
  </si>
  <si>
    <t>CAN1_HUMAN</t>
  </si>
  <si>
    <t>P07384</t>
  </si>
  <si>
    <t>Q2TTR0; Q6DHV4</t>
  </si>
  <si>
    <t>CANPL1</t>
  </si>
  <si>
    <t>3D-structure; Acetylation; Autocatalytic cleavage; Calcium; Cell membrane; Cytoplasm; Disease mutation; Hereditary spastic paraplegia; Hydrolase; Membrane; Metal-binding; Neurodegeneration; Phosphoprotein; Polymorphism; Protease; Repeat; Thiol protease</t>
  </si>
  <si>
    <t>Disease mutation; Hereditary spastic paraplegia; Neurodegeneration</t>
  </si>
  <si>
    <t>Acetylation; Autocatalytic cleavage; Phosphoprotein</t>
  </si>
  <si>
    <t>cornification {GO:0070268}; extracellular matrix disassembly {GO:0022617}; mammary gland involution {GO:0060056}; neutrophil degranulation {GO:0043312}; positive regulation of cell population proliferation {GO:0008284}; proteolysis {GO:0006508}; receptor catabolic process {GO:0032801}; regulation of catalytic activity {GO:0050790}; regulation of macroautophagy {GO:0016241}; regulation of NMDA receptor activity {GO:2000310}; self proteolysis {GO:0097264}</t>
  </si>
  <si>
    <t>cytoplasm {GO:0005737}; cytosol {GO:0005829}; extracellular exosome {GO:0070062}; extracellular region {GO:0005576}; ficolin-1-rich granule lumen {GO:1904813}; focal adhesion {GO:0005925}; lysosome {GO:0005764}; membrane {GO:0016020}; mitochondrion {GO:0005739}; plasma membrane {GO:0005886}</t>
  </si>
  <si>
    <t>calcium ion binding {GO:0005509}; calcium-dependent cysteine-type endopeptidase activity {GO:0004198}</t>
  </si>
  <si>
    <t>Degradation of the extracellular matrix {R-HSA-1474228}; Neutrophil degranulation {R-HSA-6798695}; Formation of the cornified envelope {R-HSA-6809371}; Deregulated CDK5 triggers multiple neurodegenerative pathways in Alzheimer's disease models {R-HSA-8862803}</t>
  </si>
  <si>
    <t>Troponin I, fast skeletal muscle</t>
  </si>
  <si>
    <t>Troponin I, fast-twitch isoform</t>
  </si>
  <si>
    <t>TNNI2_HUMAN</t>
  </si>
  <si>
    <t>P48788</t>
  </si>
  <si>
    <t>A6NIV8; A6NJU5</t>
  </si>
  <si>
    <t>3D-structure; Acetylation; Actin-binding; Alternative splicing; Disease mutation; Muscle protein; Phosphoprotein</t>
  </si>
  <si>
    <t>cardiac muscle contraction {GO:0060048}; muscle contraction {GO:0006936}; muscle filament sliding {GO:0030049}; positive regulation of transcription, DNA-templated {GO:0045893}; regulation of muscle contraction {GO:0006937}; skeletal muscle contraction {GO:0003009}</t>
  </si>
  <si>
    <t>cytosol {GO:0005829}; nucleus {GO:0005634}; troponin complex {GO:0005861}</t>
  </si>
  <si>
    <t>actin binding {GO:0003779}; troponin T binding {GO:0031014}</t>
  </si>
  <si>
    <t>Cystatin-M</t>
  </si>
  <si>
    <t>Cystatin-6; Cystatin-E</t>
  </si>
  <si>
    <t>CYTM_HUMAN</t>
  </si>
  <si>
    <t>Q15828</t>
  </si>
  <si>
    <t>Q540N7</t>
  </si>
  <si>
    <t>3D-structure; Disulfide bond; Glycoprotein; Protease inhibitor; Secreted; Signal; Thiol protease inhibitor</t>
  </si>
  <si>
    <t>Protease inhibitor; Thiol protease inhibitor</t>
  </si>
  <si>
    <t>anatomical structure morphogenesis {GO:0009653}; epidermis development {GO:0008544}</t>
  </si>
  <si>
    <t>cornified envelope {GO:0001533}; extracellular exosome {GO:0070062}</t>
  </si>
  <si>
    <t>cysteine-type endopeptidase inhibitor activity {GO:0004869}</t>
  </si>
  <si>
    <t>Beta-1,4-glucuronyltransferase 1</t>
  </si>
  <si>
    <t>I-beta-1,3-N-acetylglucosaminyltransferase (iGnT); N-acetyllactosaminide beta-1,3-N-acetylglucosaminyltransferase; Poly-N-acetyllactosamine extension enzyme; UDP-GlcNAc:betaGal beta-1,3-N-acetylglucosaminyltransferase 1</t>
  </si>
  <si>
    <t>B4GA1_HUMAN</t>
  </si>
  <si>
    <t>O43505</t>
  </si>
  <si>
    <t>Q4TTN0</t>
  </si>
  <si>
    <t>Congenital muscular dystrophy; Disease mutation; Dystroglycanopathy; Glycoprotein; Glycosyltransferase; Golgi apparatus; Lissencephaly; Manganese; Membrane; Metal-binding; Polymorphism; Signal-anchor; Transferase; Transmembrane; Transmembrane helix</t>
  </si>
  <si>
    <t>Congenital muscular dystrophy; Disease mutation; Dystroglycanopathy; Lissencephaly</t>
  </si>
  <si>
    <t>keratan sulfate biosynthetic process {GO:0018146}; protein O-linked glycosylation {GO:0006493}; protein O-linked mannosylation {GO:0035269}</t>
  </si>
  <si>
    <t>extracellular exosome {GO:0070062}; Golgi apparatus {GO:0005794}; Golgi membrane {GO:0000139}; integral component of Golgi membrane {GO:0030173}</t>
  </si>
  <si>
    <t>glucuronosyltransferase activity {GO:0015020}; metal ion binding {GO:0046872}</t>
  </si>
  <si>
    <t xml:space="preserve">Protein modification; protein glycosylation. </t>
  </si>
  <si>
    <t>Keratan sulfate biosynthesis {R-HSA-2022854}; Defective LARGE causes MDDGA6 and MDDGB6 {R-HSA-5083627}; O-linked glycosylation {R-HSA-5173105}</t>
  </si>
  <si>
    <t>Catenin delta-1</t>
  </si>
  <si>
    <t>Cadherin-associated Src substrate (CAS); p120 catenin (p120(ctn)); p120(cas)</t>
  </si>
  <si>
    <t>CTND1_HUMAN</t>
  </si>
  <si>
    <t>O60716</t>
  </si>
  <si>
    <t>A8K939; O15088; O60713; O60714; O60715; O60935; Q6DHZ7; Q6RBX8; Q9UP71; Q9UP72; Q9UP73</t>
  </si>
  <si>
    <t>KIAA0384</t>
  </si>
  <si>
    <t>3D-structure; Acetylation; Alternative initiation; Alternative splicing; Cell adhesion; Cell membrane; Coiled coil; Cytoplasm; Disease mutation; Ectodermal dysplasia; Isopeptide bond; Membrane; Nucleus; Phosphoprotein; Polymorphism; Repeat; Transcription; Transcription regulation; Ubl conjugation; Wnt signaling pathway</t>
  </si>
  <si>
    <t>Cell adhesion; Transcription; Transcription regulation; Wnt signaling pathway</t>
  </si>
  <si>
    <t>Disease mutation; Ectodermal dysplasia</t>
  </si>
  <si>
    <t>adherens junction organization {GO:0034332}; brain development {GO:0007420}; cell adhesion {GO:0007155}; cell-cell adhesion {GO:0098609}; cell-cell junction assembly {GO:0007043}; entry of bacterium into host cell {GO:0035635}; negative regulation of canonical Wnt signaling pathway {GO:0090090}; regulation of postsynaptic membrane neurotransmitter receptor levels {GO:0099072}; Wnt signaling pathway {GO:0016055}</t>
  </si>
  <si>
    <t>catenin complex {GO:0016342}; cell-cell adherens junction {GO:0005913}; cell-cell junction {GO:0005911}; cytoplasm {GO:0005737}; cytosol {GO:0005829}; dendritic spine {GO:0043197}; extracellular exosome {GO:0070062}; glutamatergic synapse {GO:0098978}; growth cone {GO:0030426}; hippocampal mossy fiber to CA3 synapse {GO:0098686}; lamellipodium {GO:0030027}; midbody {GO:0030496}; nucleus {GO:0005634}; plasma membrane {GO:0005886}; postsynaptic density, intracellular component {GO:0099092}; presynaptic active zone cytoplasmic component {GO:0098831}; Schaffer collateral - CA1 synapse {GO:0098685}; zonula adherens {GO:0005915}</t>
  </si>
  <si>
    <t>cadherin binding {GO:0045296}; protein kinase binding {GO:0019901}; signaling receptor binding {GO:0005102}</t>
  </si>
  <si>
    <t>Adherens junctions interactions {R-HSA-418990}; VEGFR2 mediated vascular permeability {R-HSA-5218920}; InlA-mediated entry of Listeria monocytogenes into host cells {R-HSA-8876493}</t>
  </si>
  <si>
    <t>Endonuclease domain-containing 1 protein</t>
  </si>
  <si>
    <t>ENDD1_HUMAN</t>
  </si>
  <si>
    <t>O94919</t>
  </si>
  <si>
    <t>A8K6K8; Q6GQY5; Q8TAQ8</t>
  </si>
  <si>
    <t>KIAA0830</t>
  </si>
  <si>
    <t>Acetylation; Endonuclease; Hydrolase; Nuclease; Polymorphism; Secreted; Signal</t>
  </si>
  <si>
    <t>platelet degranulation {GO:0002576}</t>
  </si>
  <si>
    <t>cytosol {GO:0005829}; extracellular exosome {GO:0070062}; extracellular region {GO:0005576}; membrane {GO:0016020}</t>
  </si>
  <si>
    <t>endonuclease activity {GO:0004519}; metal ion binding {GO:0046872}; nucleic acid binding {GO:0003676}</t>
  </si>
  <si>
    <t>GTPase HRas, N-terminally processed</t>
  </si>
  <si>
    <t>H-Ras-1; Ha-Ras; Transforming protein p21; c-H-ras; p21ras</t>
  </si>
  <si>
    <t>RASH_HUMAN</t>
  </si>
  <si>
    <t>P01112</t>
  </si>
  <si>
    <t>B5BUA0; Q14080; Q6FHV9; Q9BR65; Q9UCE2</t>
  </si>
  <si>
    <t>HRAS1</t>
  </si>
  <si>
    <t>3D-structure; Acetylation; Alternative splicing; Cell membrane; Cytoplasm; Disease mutation; Golgi apparatus; GTP-binding; Isopeptide bond; Lipoprotein; Membrane; Methylation; Nucleotide-binding; Nucleus; Palmitate; Prenylation; Proto-oncogene; S-nitrosylation; Ubl conjugation</t>
  </si>
  <si>
    <t>Cell membrane; Cytoplasm; Golgi apparatus; Membrane; Nucleus</t>
  </si>
  <si>
    <t>Acetylation; Isopeptide bond; Lipoprotein; Methylation; Palmitate; Prenylation; S-nitrosylation; Ubl conjugation</t>
  </si>
  <si>
    <t>animal organ morphogenesis {GO:0009887}; cell cycle arrest {GO:0007050}; cell population proliferation {GO:0008283}; cell surface receptor signaling pathway {GO:0007166}; cellular response to gamma radiation {GO:0071480}; cellular senescence {GO:0090398}; chemotaxis {GO:0006935}; defense response to protozoan {GO:0042832}; endocytosis {GO:0006897}; ephrin receptor signaling pathway {GO:0048013}; intrinsic apoptotic signaling pathway {GO:0097193}; MAPK cascade {GO:0000165}; mitotic cell cycle checkpoint {GO:0007093}; negative regulation of cell population proliferation {GO:0008285}; negative regulation of gene expression {GO:0010629}; negative regulation of GTPase activity {GO:0034260}; negative regulation of neuron apoptotic process {GO:0043524}; positive regulation of actin cytoskeleton reorganization {GO:2000251}; positive regulation of cell migration {GO:0030335}; positive regulation of cell population proliferation {GO:0008284}; positive regulation of DNA replication {GO:0045740}; positive regulation of epithelial cell proliferation {GO:0050679}; positive regulation of ERK1 and ERK2 cascade {GO:0070374}; positive regulation of GTPase activity {GO:0043547}; positive regulation of interferon-gamma production {GO:0032729}; positive regulation of JNK cascade {GO:0046330}; positive regulation of MAP kinase activity {GO:0043406}; positive regulation of MAPK cascade {GO:0043410}; positive regulation of miRNA metabolic process {GO:2000630}; positive regulation of phospholipase C activity {GO:0010863}; positive regulation of protein phosphorylation {GO:0001934}; positive regulation of protein targeting to membrane {GO:0090314}; positive regulation of Ras protein signal transduction {GO:0046579}; positive regulation of ruffle assembly {GO:1900029}; positive regulation of transcription by RNA polymerase II {GO:0045944}; positive regulation of wound healing {GO:0090303}; protein heterooligomerization {GO:0051291}; Ras protein signal transduction {GO:0007265}; regulation of long-term neuronal synaptic plasticity {GO:0048169}; regulation of neurotransmitter receptor localization to postsynaptic specialization membrane {GO:0098696}; response to isolation stress {GO:0035900}; signal transduction {GO:0007165}; stimulatory C-type lectin receptor signaling pathway {GO:0002223}; T cell receptor signaling pathway {GO:0050852}; T-helper 1 type immune response {GO:0042088}</t>
  </si>
  <si>
    <t>cytoplasm {GO:0005737}; glutamatergic synapse {GO:0098978}; Golgi apparatus {GO:0005794}; Golgi membrane {GO:0000139}; nucleus {GO:0005634}; perinuclear region of cytoplasm {GO:0048471}; plasma membrane {GO:0005886}</t>
  </si>
  <si>
    <t>GDP binding {GO:0019003}; GTP binding {GO:0005525}; GTPase activity {GO:0003924}; protein C-terminus binding {GO:0008022}</t>
  </si>
  <si>
    <t>SOS-mediated signalling {R-HSA-112412}; Activation of RAS in B cells {R-HSA-1169092}; Constitutive Signaling by Ligand-Responsive EGFR Cancer Variants {R-HSA-1236382}; SHC1 events in ERBB2 signaling {R-HSA-1250196}; SHC1 events in ERBB4 signaling {R-HSA-1250347}; Signaling by SCF-KIT {R-HSA-1433557}; Signalling to RAS {R-HSA-167044}; p38MAPK events {R-HSA-171007}; GRB2 events in EGFR signaling {R-HSA-179812}; SHC1 events in EGFR signaling {R-HSA-180336}; Downstream signal transduction {R-HSA-186763}; GRB2 events in ERBB2 signaling {R-HSA-1963640}; Tie2 Signaling {R-HSA-210993}; EGFR Transactivation by Gastrin {R-HSA-2179392}; DAP12 signaling {R-HSA-2424491}; SHC-related events triggered by IGF1R {R-HSA-2428933}; FCERI mediated MAPK activation {R-HSA-2871796}; NCAM signaling for neurite out-growth {R-HSA-375165}; EPHB-mediated forward signaling {R-HSA-3928662}; Ras activation upon Ca2+ influx through NMDA receptor {R-HSA-442982}; VEGFR2 mediated cell proliferation {R-HSA-5218921}; CD209 (DC-SIGN) signaling {R-HSA-5621575}; Constitutive Signaling by EGFRvIII {R-HSA-5637810}; SHC-mediated cascade:FGFR1 {R-HSA-5654688}; FRS-mediated FGFR1 signaling {R-HSA-5654693}; SHC-mediated cascade:FGFR2 {R-HSA-5654699}; FRS-mediated FGFR2 signaling {R-HSA-5654700}; SHC-mediated cascade:FGFR3 {R-HSA-5654704}; FRS-mediated FGFR3 signaling {R-HSA-5654706}; FRS-mediated FGFR4 signaling {R-HSA-5654712}; SHC-mediated cascade:FGFR4 {R-HSA-5654719}; Signaling by FGFR2 in disease {R-HSA-5655253}; Signaling by FGFR4 in disease {R-HSA-5655291}; Signaling by FGFR1 in disease {R-HSA-5655302}; Regulation of RAS by GAPs {R-HSA-5658442}; RAF activation {R-HSA-5673000}; RAF/MAP kinase cascade {R-HSA-5673001}; 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RAS signaling downstream of NF1 loss-of-function variants {R-HSA-6802953}; Paradoxical activation of RAF signaling by kinase inactive BRAF {R-HSA-6802955}; Insulin receptor signalling cascade {R-HSA-74751}; PTK6 Regulates RHO GTPases, RAS GTPase and MAP kinases {R-HSA-8849471}; MET activates RAS signaling {R-HSA-8851805}; Signaling by FGFR3 fusions in cancer {R-HSA-8853334}; Signaling by FGFR3 point mutants in cancer {R-HSA-8853338}; Activated NTRK2 signals through RAS {R-HSA-9026519}; Erythropoietin activates RAS {R-HSA-9027284}; Activated NTRK2 signals through FRS2 and FRS3 {R-HSA-9028731}; Activated NTRK3 signals through RAS {R-HSA-9034864}; Estrogen-stimulated signaling through PRKCZ {R-HSA-9634635}</t>
  </si>
  <si>
    <t>Hypoxia up-regulated protein 1</t>
  </si>
  <si>
    <t>150 kDa oxygen-regulated protein (ORP-150); 170 kDa glucose-regulated protein (GRP-170)</t>
  </si>
  <si>
    <t>HYOU1_HUMAN</t>
  </si>
  <si>
    <t>Q9Y4L1</t>
  </si>
  <si>
    <t>A8C1Z0; B7Z909; Q2I204; Q53H25</t>
  </si>
  <si>
    <t>GRP170; ORP150</t>
  </si>
  <si>
    <t>Acetylation; Alternative splicing; ATP-binding; Chaperone; Endoplasmic reticulum; Glycoprotein; Nucleotide-binding; Phosphoprotein; Signal; Stress response</t>
  </si>
  <si>
    <t>cellular response to hypoxia {GO:0071456}; endoplasmic reticulum to Golgi vesicle-mediated transport {GO:0006888}; IRE1-mediated unfolded protein response {GO:0036498}; negative regulation of endoplasmic reticulum stress-induced neuron intrinsic apoptotic signaling pathway {GO:1903382}; negative regulation of hypoxia-induced intrinsic apoptotic signaling pathway {GO:1903298}; receptor-mediated endocytosis {GO:0006898}; response to endoplasmic reticulum stress {GO:0034976}; response to ischemia {GO:0002931}</t>
  </si>
  <si>
    <t>endocytic vesicle lumen {GO:0071682}; endoplasmic reticulum {GO:0005783}; endoplasmic reticulum chaperone complex {GO:0034663}; endoplasmic reticulum lumen {GO:0005788}; extracellular exosome {GO:0070062}; extracellular region {GO:0005576}; focal adhesion {GO:0005925}; membrane {GO:0016020}; smooth endoplasmic reticulum {GO:0005790}</t>
  </si>
  <si>
    <t>ATP binding {GO:0005524}; chaperone binding {GO:0051087}</t>
  </si>
  <si>
    <t>Scavenging by Class F Receptors {R-HSA-3000484}; XBP1(S) activates chaperone genes {R-HSA-381038}</t>
  </si>
  <si>
    <t>Mucin-5AC (MUC-5AC)</t>
  </si>
  <si>
    <t>Gastric mucin; Lewis B blood group antigen (LeB); Major airway glycoprotein; Mucin-5 subtype AC, tracheobronchial; Tracheobronchial mucin (TBM)</t>
  </si>
  <si>
    <t>MUC5A_HUMAN</t>
  </si>
  <si>
    <t>P98088</t>
  </si>
  <si>
    <t>A0A096LPK4; O60460; O76065; Q13792; Q14425; Q658Q1; Q7M4S5; Q8N4M9; Q8WWQ3; Q8WWQ4; Q8WWQ5</t>
  </si>
  <si>
    <t>3D-structure; Disulfide bond; Glycoprotein; Polymorphism; Repeat; Secreted; Signal</t>
  </si>
  <si>
    <t>O-glycan processing {GO:0016266}; phosphatidylinositol-mediated signaling {GO:0048015}; stimulatory C-type lectin receptor signaling pathway {GO:0002223}</t>
  </si>
  <si>
    <t>cytoplasm {GO:0005737}; extracellular exosome {GO:0070062}; extracellular space {GO:0005615}; Golgi lumen {GO:0005796}; mucus layer {GO:0070701}; plasma membrane {GO:0005886}</t>
  </si>
  <si>
    <t>extracellular matrix structural constituent {GO:0005201}</t>
  </si>
  <si>
    <t>Mucin-2 (MUC-2)</t>
  </si>
  <si>
    <t>Intestinal mucin-2</t>
  </si>
  <si>
    <t>MUC2_HUMAN</t>
  </si>
  <si>
    <t>Q02817</t>
  </si>
  <si>
    <t>Q14878</t>
  </si>
  <si>
    <t>SMUC</t>
  </si>
  <si>
    <t>Autocatalytic cleavage; Disulfide bond; Glycoprotein; Phosphoprotein; Polymorphism; Repeat; Secreted; Signal</t>
  </si>
  <si>
    <t>Autocatalytic cleavage; Disulfide bond; Glycoprotein; Phosphoprotein</t>
  </si>
  <si>
    <t>maintenance of gastrointestinal epithelium {GO:0030277}; O-glycan processing {GO:0016266}; stimulatory C-type lectin receptor signaling pathway {GO:0002223}</t>
  </si>
  <si>
    <t>collagen-containing extracellular matrix {GO:0062023}; Golgi lumen {GO:0005796}; inner mucus layer {GO:0070702}; outer mucus layer {GO:0070703}; plasma membrane {GO:0005886}</t>
  </si>
  <si>
    <t>Solute carrier family 22 member 10</t>
  </si>
  <si>
    <t>Organic anion transporter 5</t>
  </si>
  <si>
    <t>S22AA_HUMAN</t>
  </si>
  <si>
    <t>Q63ZE4</t>
  </si>
  <si>
    <t>Q68CJ0</t>
  </si>
  <si>
    <t>OAT5</t>
  </si>
  <si>
    <t>Alternative splicing; Glycoprotein; Membrane; Transmembrane; Transmembrane helix; Transport</t>
  </si>
  <si>
    <t>organic anion transport {GO:0015711}</t>
  </si>
  <si>
    <t>transmembrane transporter activity {GO:0022857}</t>
  </si>
  <si>
    <t>Cysteine and glycine-rich protein 3</t>
  </si>
  <si>
    <t>Cardiac LIM protein; Cysteine-rich protein 3 (CRP3); LIM domain protein, cardiac; Muscle LIM protein</t>
  </si>
  <si>
    <t>CSRP3_HUMAN</t>
  </si>
  <si>
    <t>P50461</t>
  </si>
  <si>
    <t>Q9P131; S4S7M7</t>
  </si>
  <si>
    <t>CLP; MLP</t>
  </si>
  <si>
    <t>3D-structure; Actin-binding; Alternative splicing; Cardiomyopathy; Cytoplasm; Cytoskeleton; Developmental protein; Differentiation; Disease mutation; LIM domain; Metal-binding; Myogenesis; Nucleus; Phosphoprotein; Repeat; Transcription; Transcription regulation; Zinc</t>
  </si>
  <si>
    <t>Differentiation; Myogenesis; Transcription; Transcription regulation</t>
  </si>
  <si>
    <t>Actin-binding; Developmental protein</t>
  </si>
  <si>
    <t>actin cytoskeleton organization {GO:0030036}; cardiac muscle contraction {GO:0060048}; cardiac muscle hypertrophy {GO:0003300}; cardiac muscle tissue development {GO:0048738}; cardiac myofibril assembly {GO:0055003}; cellular calcium ion homeostasis {GO:0006874}; detection of muscle stretch {GO:0035995}; glucose homeostasis {GO:0042593}; inflammatory response {GO:0006954}; insulin receptor signaling pathway {GO:0008286}; muscle tissue development {GO:0060537}; negative regulation of actin filament severing {GO:1903919}; negative regulation of myoblast differentiation {GO:0045662}; positive regulation of actin filament severing {GO:1903920}; positive regulation of myoblast differentiation {GO:0045663}; positive regulation of transcription by RNA polymerase II {GO:0045944}; protein kinase C signaling {GO:0070528}; protein localization to organelle {GO:0033365}; regulation of protein localization to plasma membrane {GO:1903076}; regulation of the force of heart contraction {GO:0002026}; sarcomere organization {GO:0045214}; skeletal muscle tissue development {GO:0007519}; T-tubule organization {GO:0033292}</t>
  </si>
  <si>
    <t>cytoplasm {GO:0005737}; cytoskeleton {GO:0005856}; nucleus {GO:0005634}; Z disc {GO:0030018}</t>
  </si>
  <si>
    <t>actin binding {GO:0003779}; actinin binding {GO:0042805}; identical protein binding {GO:0042802}; metal ion binding {GO:0046872}; structural constituent of muscle {GO:0008307}; telethonin binding {GO:0031433}</t>
  </si>
  <si>
    <t>Fatty acid-binding protein 5</t>
  </si>
  <si>
    <t>Epidermal-type fatty acid-binding protein (E-FABP); Fatty acid-binding protein, epidermal; Psoriasis-associated fatty acid-binding protein homolog (PA-FABP)</t>
  </si>
  <si>
    <t>FABP5_HUMAN</t>
  </si>
  <si>
    <t>Q01469</t>
  </si>
  <si>
    <t>B2R4K0</t>
  </si>
  <si>
    <t>3D-structure; Acetylation; Cell junction; Cell membrane; Cytoplasm; Disulfide bond; Lipid-binding; Membrane; Nucleus; Phosphoprotein; Postsynaptic cell membrane; Secreted; Synapse; Transport</t>
  </si>
  <si>
    <t>Cell junction; Cell membrane; Cytoplasm; Membrane; Nucleus; Postsynaptic cell membrane; Secreted; Synapse</t>
  </si>
  <si>
    <t>epidermis development {GO:0008544}; glucose homeostasis {GO:0042593}; glucose metabolic process {GO:0006006}; lipid metabolic process {GO:0006629}; negative regulation of glucose transmembrane transport {GO:0010829}; neutrophil degranulation {GO:0043312}; phosphatidylcholine biosynthetic process {GO:0006656}; positive regulation of cold-induced thermogenesis {GO:0120162}; positive regulation of peroxisome proliferator activated receptor signaling pathway {GO:0035360}; regulation of prostaglandin biosynthetic process {GO:0031392}; regulation of retrograde trans-synaptic signaling by endocanabinoid {GO:0099178}; regulation of sensory perception of pain {GO:0051930}; triglyceride catabolic process {GO:0019433}</t>
  </si>
  <si>
    <t>azurophil granule lumen {GO:0035578}; cell junction {GO:0030054}; cytoplasm {GO:0005737}; cytosol {GO:0005829}; extracellular exosome {GO:0070062}; extracellular region {GO:0005576}; nucleoplasm {GO:0005654}; nucleus {GO:0005634}; plasma membrane {GO:0005886}; postsynaptic density {GO:0014069}; postsynaptic membrane {GO:0045211}; secretory granule membrane {GO:0030667}; synapse {GO:0045202}</t>
  </si>
  <si>
    <t>fatty acid binding {GO:0005504}; identical protein binding {GO:0042802}; lipid binding {GO:0008289}; retinoic acid binding {GO:0001972}</t>
  </si>
  <si>
    <t>Triglyceride catabolism {R-HSA-163560}; Signaling by Retinoic Acid {R-HSA-5362517}; Neutrophil degranulation {R-HSA-6798695}</t>
  </si>
  <si>
    <t>Serum amyloid protein A(4-101)</t>
  </si>
  <si>
    <t>Amyloid fibril protein AA</t>
  </si>
  <si>
    <t>SAA1_HUMAN</t>
  </si>
  <si>
    <t>P0DJI8</t>
  </si>
  <si>
    <t>P02735; P02736; P02737; Q16730; Q16834; Q16835; Q16879; Q3KRB3; Q6FG67; Q96QN0; Q9UCK9; Q9UCL0</t>
  </si>
  <si>
    <t>3D-structure; Acute phase; Amyloid; Amyloidosis; HDL; Heparin-binding; Methylation; Polymorphism; Secreted; Signal</t>
  </si>
  <si>
    <t>Amyloid; HDL; Secreted</t>
  </si>
  <si>
    <t>Amyloidosis</t>
  </si>
  <si>
    <t>activation of MAPK activity {GO:0000187}; acute-phase response {GO:0006953}; cell chemotaxis {GO:0060326}; cellular protein metabolic process {GO:0044267}; cytokine-mediated signaling pathway {GO:0019221}; G protein-coupled receptor signaling pathway {GO:0007186}; innate immune response {GO:0045087}; lymphocyte chemotaxis {GO:0048247}; macrophage chemotaxis {GO:0048246}; negative regulation of inflammatory response {GO:0050728}; neutrophil chemotaxis {GO:0030593}; platelet activation {GO:0030168}; positive regulation of cell adhesion {GO:0045785}; positive regulation of cytokine secretion {GO:0050715}; positive regulation of cytosolic calcium ion concentration {GO:0007204}; positive regulation of interleukin-1 secretion {GO:0050716}; receptor-mediated endocytosis {GO:0006898}; regulation of protein secretion {GO:0050708}</t>
  </si>
  <si>
    <t>cytoplasmic microtubule {GO:0005881}; endocytic vesicle lumen {GO:0071682}; extracellular exosome {GO:0070062}; extracellular region {GO:0005576}; extracellular space {GO:0005615}; high-density lipoprotein particle {GO:0034364}</t>
  </si>
  <si>
    <t>chemoattractant activity {GO:0042056}; G protein-coupled receptor binding {GO:0001664}; heparin binding {GO:0008201}</t>
  </si>
  <si>
    <t>Scavenging by Class B Receptors {R-HSA-3000471}; G alpha (q) signalling events {R-HSA-416476}; G alpha (i) signalling events {R-HSA-418594}; Formyl peptide receptors bind formyl peptides and many other ligands {R-HSA-444473}; TAK1 activates NFkB by phosphorylation and activation of IKKs complex {R-HSA-445989}; Interleukin-4 and Interleukin-13 signaling {R-HSA-6785807}; Advanced glycosylation endproduct receptor signaling {R-HSA-879415}; TRAF6 mediated NF-kB activation {R-HSA-933542}; Amyloid fiber formation {R-HSA-977225}</t>
  </si>
  <si>
    <t>Smoothelin-like protein 1</t>
  </si>
  <si>
    <t>SMTL1_HUMAN</t>
  </si>
  <si>
    <t>A8MU46</t>
  </si>
  <si>
    <t>E9PPJ3</t>
  </si>
  <si>
    <t>Calmodulin-binding; Coiled coil; Cytoplasm; Muscle protein; Nucleus; Phosphoprotein</t>
  </si>
  <si>
    <t>Calmodulin-binding; Muscle protein</t>
  </si>
  <si>
    <t>actin cytoskeleton organization {GO:0030036}; muscle organ morphogenesis {GO:0048644}; negative regulation of blood vessel diameter {GO:0097756}; negative regulation of transcription, DNA-templated {GO:0045892}; peptidyl-serine phosphorylation {GO:0018105}; positive regulation of vasoconstriction {GO:0045907}; response to activity {GO:0014823}; response to drug {GO:0042493}</t>
  </si>
  <si>
    <t>contractile fiber {GO:0043292}; cytoplasm {GO:0005737}; filamentous actin {GO:0031941}; I band {GO:0031674}; M band {GO:0031430}; microtubule organizing center {GO:0005815}; nucleus {GO:0005634}</t>
  </si>
  <si>
    <t>calmodulin binding {GO:0005516}; CH domain binding {GO:0051401}; disordered domain specific binding {GO:0097718}; protein phosphatase 1 binding {GO:0008157}; protein self-association {GO:0043621}; tropomyosin binding {GO:0005523}</t>
  </si>
  <si>
    <t>Layilin</t>
  </si>
  <si>
    <t>LAYN_HUMAN</t>
  </si>
  <si>
    <t>Q6UX15</t>
  </si>
  <si>
    <t>A6NJB0; B4DJU0; Q8TAY8; Q96NC5; Q96NF3</t>
  </si>
  <si>
    <t>Alternative splicing; Disulfide bond; Glycoprotein; Lectin; Membrane; Phosphoprotein; Polymorphism; Repeat; Signal; Transmembrane; Transmembrane helix</t>
  </si>
  <si>
    <t>cell surface {GO:0009986}; focal adhesion {GO:0005925}; integral component of membrane {GO:0016021}; ruffle {GO:0001726}</t>
  </si>
  <si>
    <t>carbohydrate binding {GO:0030246}; hyaluronic acid binding {GO:0005540}</t>
  </si>
  <si>
    <t>Solute carrier family 22 member 12</t>
  </si>
  <si>
    <t>Organic anion transporter 4-like protein; Renal-specific transporter (RST); Urate anion exchanger 1</t>
  </si>
  <si>
    <t>S22AC_HUMAN</t>
  </si>
  <si>
    <t>Q96S37</t>
  </si>
  <si>
    <t>B7WPG1; G3XAN7; Q19PF7; Q19PF8; Q19PF9; Q19PG0; Q6UXW3; Q96DT2</t>
  </si>
  <si>
    <t>OATL4; URAT1</t>
  </si>
  <si>
    <t>Alternative splicing; Cell membrane; Disease mutation; Glycoprotein; Ion transport; Membrane; Phosphoprotein; Polymorphism; Transmembrane; Transmembrane helix; Transport</t>
  </si>
  <si>
    <t>cellular homeostasis {GO:0019725}; organic anion transport {GO:0015711}; response to drug {GO:0042493}; urate metabolic process {GO:0046415}; urate transport {GO:0015747}</t>
  </si>
  <si>
    <t>apical plasma membrane {GO:0016324}; brush border membrane {GO:0031526}; extracellular exosome {GO:0070062}; integral component of membrane {GO:0016021}; plasma membrane {GO:0005886}</t>
  </si>
  <si>
    <t>PDZ domain binding {GO:0030165}; urate transmembrane transporter activity {GO:0015143}</t>
  </si>
  <si>
    <t>Organic anion transport {R-HSA-561048}; Defective SLC22A12 causes renal hypouricemia 1 (RHUC1) {R-HSA-5619071}</t>
  </si>
  <si>
    <t>Eosinophil granule major basic protein</t>
  </si>
  <si>
    <t>Proteoglycan 2 (EMBP; MBP); Pregnancy-associated major basic protein</t>
  </si>
  <si>
    <t>PRG2_HUMAN</t>
  </si>
  <si>
    <t>P13727</t>
  </si>
  <si>
    <t>A6XMW0; B2R5I1; P81448; Q14227; Q6ICT2</t>
  </si>
  <si>
    <t>MBP</t>
  </si>
  <si>
    <t>3D-structure; Alternative splicing; Antibiotic; Antimicrobial; Cytoplasmic vesicle; Disulfide bond; Glycoprotein; Heparin-binding; Immunity; Lectin; Nitration; Polymorphism; Proteoglycan; Secreted; Signal</t>
  </si>
  <si>
    <t>Antibiotic; Antimicrobial; Heparin-binding</t>
  </si>
  <si>
    <t>Disulfide bond; Glycoprotein; Nitration; Proteoglycan</t>
  </si>
  <si>
    <t>defense response to bacterium {GO:0042742}; neutrophil degranulation {GO:0043312}</t>
  </si>
  <si>
    <t>collagen-containing extracellular matrix {GO:0062023}; extracellular exosome {GO:0070062}; extracellular region {GO:0005576}; ficolin-1-rich granule lumen {GO:1904813}; transport vesicle {GO:0030133}</t>
  </si>
  <si>
    <t>carbohydrate binding {GO:0030246}; extracellular matrix structural constituent conferring compression resistance {GO:0030021}; heparin binding {GO:0008201}</t>
  </si>
  <si>
    <t>Alpha-crystallin B chain</t>
  </si>
  <si>
    <t>Alpha(B)-crystallin; Heat shock protein beta-5 (HspB5); Renal carcinoma antigen NY-REN-27; Rosenthal fiber component</t>
  </si>
  <si>
    <t>CRYAB_HUMAN</t>
  </si>
  <si>
    <t>P02511</t>
  </si>
  <si>
    <t>B0YIX0; O43416; Q9UC37; Q9UC38; Q9UC39; Q9UC40; Q9UC41</t>
  </si>
  <si>
    <t>CRYA2; HSPB5</t>
  </si>
  <si>
    <t>3D-structure; Acetylation; Cardiomyopathy; Cataract; Chaperone; Cytoplasm; Disease mutation; Eye lens protein; Glycoprotein; Metal-binding; Myofibrillar myopathy; Nucleus; Oxidation; Phosphoprotein; Polymorphism; Zinc</t>
  </si>
  <si>
    <t>Cardiomyopathy; Cataract; Disease mutation; Myofibrillar myopathy</t>
  </si>
  <si>
    <t>Chaperone; Eye lens protein</t>
  </si>
  <si>
    <t>Acetylation; Glycoprotein; Oxidation; Phosphoprotein</t>
  </si>
  <si>
    <t>apoptotic process involved in morphogenesis {GO:0060561}; cellular response to gamma radiation {GO:0071480}; lens development in camera-type eye {GO:0002088}; microtubule polymerization or depolymerization {GO:0031109}; multicellular organism aging {GO:0010259}; muscle contraction {GO:0006936}; muscle organ development {GO:0007517}; negative regulation of amyloid fibril formation {GO:1905907}; negative regulation of apoptotic process {GO:0043066}; negative regulation of cell growth {GO:0030308}; negative regulation of cysteine-type endopeptidase activity involved in apoptotic process {GO:0043154}; negative regulation of intracellular transport {GO:0032387}; negative regulation of protein homooligomerization {GO:0032463}; negative regulation of reactive oxygen species metabolic process {GO:2000378}; negative regulation of transcription, DNA-templated {GO:0045892}; protein folding {GO:0006457}; protein homooligomerization {GO:0051260}; protein stabilization {GO:0050821}; regulation of cell death {GO:0010941}; regulation of cellular response to heat {GO:1900034}; response to estradiol {GO:0032355}; response to hydrogen peroxide {GO:0042542}; response to hypoxia {GO:0001666}; stress-activated MAPK cascade {GO:0051403}; tubulin complex assembly {GO:0007021}</t>
  </si>
  <si>
    <t>actin filament bundle {GO:0032432}; axon {GO:0030424}; cardiac myofibril {GO:0097512}; cell surface {GO:0009986}; cytoplasm {GO:0005737}; cytosol {GO:0005829}; dendritic spine {GO:0043197}; extracellular exosome {GO:0070062}; Golgi apparatus {GO:0005794}; M band {GO:0031430}; microtubule cytoskeleton {GO:0015630}; mitochondrion {GO:0005739}; nucleoplasm {GO:0005654}; nucleus {GO:0005634}; perikaryon {GO:0043204}; postsynaptic density {GO:0014069}; protein-containing complex {GO:0032991}; synaptic membrane {GO:0097060}; Z disc {GO:0030018}</t>
  </si>
  <si>
    <t>amyloid-beta binding {GO:0001540}; identical protein binding {GO:0042802}; metal ion binding {GO:0046872}; microtubule binding {GO:0008017}; protein homodimerization activity {GO:0042803}; protein-containing complex binding {GO:0044877}; structural constituent of eye lens {GO:0005212}; unfolded protein binding {GO:0051082}</t>
  </si>
  <si>
    <t>HSF1-dependent transactivation {R-HSA-3371571}</t>
  </si>
  <si>
    <t>Truncated apolipoprotein A-I</t>
  </si>
  <si>
    <t>Apolipoprotein A1 (ProapoA-I); Apolipoprotein A-I(1-242)</t>
  </si>
  <si>
    <t>APOA1_HUMAN</t>
  </si>
  <si>
    <t>P02647</t>
  </si>
  <si>
    <t>A8K866; Q6LDN9; Q6Q785; Q9UCS8; Q9UCT8</t>
  </si>
  <si>
    <t>3D-structure; Amyloid; Amyloidosis; Atherosclerosis; Cholesterol metabolism; Disease mutation; Glycation; Glycoprotein; HDL; Lipid metabolism; Lipid transport; Lipoprotein; Neuropathy; Oxidation; Palmitate; Phosphoprotein; Polymorphism; Repeat; Secreted; Signal; Steroid metabolism; Sterol metabolism; Transport</t>
  </si>
  <si>
    <t>Amyloidosis; Atherosclerosis; Disease mutation; Neuropathy</t>
  </si>
  <si>
    <t>Glycation; Glycoprotein; Lipoprotein; Oxidation; Palmitate; Phosphoprotein</t>
  </si>
  <si>
    <t>adrenal gland development {GO:0030325}; animal organ regeneration {GO:0031100}; blood vessel endothelial cell migration {GO:0043534}; cellular protein metabolic process {GO:0044267}; cholesterol biosynthetic process {GO:0006695}; cholesterol efflux {GO:0033344}; cholesterol homeostasis {GO:0042632}; cholesterol import {GO:0070508}; cholesterol metabolic process {GO:0008203}; cholesterol transport {GO:0030301}; chylomicron assembly {GO:0034378}; chylomicron remodeling {GO:0034371}; endothelial cell proliferation {GO:0001935}; G protein-coupled receptor signaling pathway {GO:0007186}; glucocorticoid metabolic process {GO:0008211}; high-density lipoprotein particle assembly {GO:0034380}; high-density lipoprotein particle clearance {GO:0034384}; high-density lipoprotein particle remodeling {GO:0034375}; integrin-mediated signaling pathway {GO:0007229}; lipid storage {GO:0019915}; lipoprotein biosynthetic process {GO:0042158}; lipoprotein metabolic process {GO:0042157}; negative chemotaxis {GO:0050919}; negative regulation of cell adhesion molecule production {GO:0060354}; negative regulation of cytokine secretion involved in immune response {GO:0002740}; negative regulation of heterotypic cell-cell adhesion {GO:0034115}; negative regulation of inflammatory response {GO:0050728}; negative regulation of interleukin-1 beta secretion {GO:0050713}; negative regulation of lipase activity {GO:0060192}; negative regulation of response to cytokine stimulus {GO:0060761}; negative regulation of tumor necrosis factor-mediated signaling pathway {GO:0010804}; negative regulation of very-low-density lipoprotein particle remodeling {GO:0010903}; peptidyl-methionine modification {GO:0018206}; peripheral nervous system axon regeneration {GO:0014012}; phosphatidylcholine biosynthetic process {GO:0006656}; phospholipid efflux {GO:0033700}; phospholipid homeostasis {GO:0055091}; platelet degranulation {GO:0002576}; positive regulation of cholesterol efflux {GO:0010875}; positive regulation of cholesterol esterification {GO:0010873}; positive regulation of hydrolase activity {GO:0051345}; positive regulation of lipid biosynthetic process {GO:0046889}; positive regulation of phagocytosis {GO:0050766}; positive regulation of phospholipid efflux {GO:1902995}; positive regulation of Rho protein signal transduction {GO:0035025}; positive regulation of stress fiber assembly {GO:0051496}; positive regulation of substrate adhesion-dependent cell spreading {GO:1900026}; post-translational protein modification {GO:0043687}; protein oxidation {GO:0018158}; protein stabilization {GO:0050821}; receptor-mediated endocytosis {GO:0006898}; regulation of Cdc42 protein signal transduction {GO:0032489}; regulation of cholesterol transport {GO:0032374}; regulation of intestinal cholesterol absorption {GO:0030300}; regulation of lipid metabolic process {GO:0019216}; regulation of protein phosphorylation {GO:0001932}; response to drug {GO:0042493}; response to estrogen {GO:0043627}; response to nutrient {GO:0007584}; retinoid metabolic process {GO:0001523}; reverse cholesterol transport {GO:0043691}; transmembrane transport {GO:0055085}; triglyceride catabolic process {GO:0019433}; triglyceride homeostasis {GO:0070328}; very-low-density lipoprotein particle remodeling {GO:0034372}; vitamin transport {GO:0051180}</t>
  </si>
  <si>
    <t>blood microparticle {GO:0072562}; cell surface {GO:0009986}; chylomicron {GO:0042627}; collagen-containing extracellular matrix {GO:0062023}; cytoplasmic vesicle {GO:0031410}; cytosol {GO:0005829}; discoidal high-density lipoprotein particle {GO:0034365}; early endosome {GO:0005769}; endocytic vesicle {GO:0030139}; endocytic vesicle lumen {GO:0071682}; endoplasmic reticulum lumen {GO:0005788}; extracellular exosome {GO:0070062}; extracellular region {GO:0005576}; extracellular space {GO:0005615}; extracellular vesicle {GO:1903561}; high-density lipoprotein particle {GO:0034364}; intermediate-density lipoprotein particle {GO:0034363}; low-density lipoprotein particle {GO:0034362}; nucleus {GO:0005634}; plasma membrane {GO:0005886}; secretory granule lumen {GO:0034774}; spherical high-density lipoprotein particle {GO:0034366}; very-low-density lipoprotein particle {GO:0034361}</t>
  </si>
  <si>
    <t>amyloid-beta binding {GO:0001540}; apolipoprotein A-I receptor binding {GO:0034191}; apolipoprotein receptor binding {GO:0034190}; chemorepellent activity {GO:0045499}; cholesterol binding {GO:0015485}; cholesterol transporter activity {GO:0017127}; enzyme binding {GO:0019899}; heat shock protein binding {GO:0031072}; high-density lipoprotein particle binding {GO:0008035}; high-density lipoprotein particle receptor binding {GO:0070653}; identical protein binding {GO:0042802}; lipase inhibitor activity {GO:0055102}; phosphatidylcholine-sterol O-acyltransferase activator activity {GO:0060228}; phospholipid binding {GO:0005543}; phospholipid transporter activity {GO:0005548}; signaling receptor binding {GO:0005102}</t>
  </si>
  <si>
    <t>Platelet degranulation {R-HSA-114608}; ABC transporters in lipid homeostasis {R-HSA-1369062}; PPARA activates gene expression {R-HSA-1989781}; Scavenging of heme from plasma {R-HSA-2168880}; Scavenging by Class B Receptors {R-HSA-3000471}; Scavenging by Class A Receptors {R-HSA-3000480}; Regulation of Insulin-like Growth Factor (IGF) transport and uptake by Insulin-like Growth Factor Binding Proteins (IGFBPs) {R-HSA-381426}; Defective ABCA1 causes Tangier disease {R-HSA-5682113}; Post-translational protein phosphorylation {R-HSA-8957275}; Chylomicron assembly {R-HSA-8963888}; HDL assembly {R-HSA-8963896}; Chylomicron remodeling {R-HSA-8963901}; HDL clearance {R-HSA-8964011}; HDL remodeling {R-HSA-8964058}; Retinoid metabolism and transport {R-HSA-975634}; Amyloid fiber formation {R-HSA-977225}</t>
  </si>
  <si>
    <t>Neutrophil collagenase</t>
  </si>
  <si>
    <t>Matrix metalloproteinase-8 (MMP-8); PMNL collagenase (PMNL-CL)</t>
  </si>
  <si>
    <t>MMP8_HUMAN</t>
  </si>
  <si>
    <t>P22894</t>
  </si>
  <si>
    <t>Q45F99</t>
  </si>
  <si>
    <t>CLG1</t>
  </si>
  <si>
    <t>3D-structure; Calcium; Collagen degradation; Disulfide bond; Extracellular matrix; Glycoprotein; Hydrolase; Metal-binding; Metalloprotease; Polymorphism; Protease; Repeat; Secreted; Signal; Zinc; Zymogen</t>
  </si>
  <si>
    <t>collagen catabolic process {GO:0030574}; endodermal cell differentiation {GO:0035987}; extracellular matrix disassembly {GO:0022617}; extracellular matrix organization {GO:0030198}; negative regulation of gene expression {GO:0010629}; negative regulation of interleukin-10 production {GO:0032693}; neutrophil degranulation {GO:0043312}; positive regulation of DNA binding {GO:0043388}; positive regulation of gene expression {GO:0010628}; positive regulation of interleukin-6 production {GO:0032755}; positive regulation of JNK cascade {GO:0046330}; positive regulation of MAPK cascade {GO:0043410}; positive regulation of microglial cell activation {GO:1903980}; positive regulation of neuroinflammatory response {GO:0150078}; positive regulation of NIK/NF-kappaB signaling {GO:1901224}; positive regulation of nitric oxide biosynthetic process {GO:0045429}; positive regulation of reactive oxygen species biosynthetic process {GO:1903428}; positive regulation of tumor necrosis factor secretion {GO:1904469}; proteolysis {GO:0006508}; regulation of microglial cell activation {GO:1903978}; regulation of neuroinflammatory response {GO:0150077}</t>
  </si>
  <si>
    <t>collagen-containing extracellular matrix {GO:0062023}; extracellular region {GO:0005576}; extracellular space {GO:0005615}; specific granule lumen {GO:0035580}; tertiary granule lumen {GO:1904724}</t>
  </si>
  <si>
    <t>endopeptidase activity {GO:0004175}; metalloendopeptidase activity {GO:0004222}; serine-type endopeptidase activity {GO:0004252}; zinc ion binding {GO:0008270}</t>
  </si>
  <si>
    <t>Collagen degradation {R-HSA-1442490}; Degradation of the extracellular matrix {R-HSA-1474228}; Activation of Matrix Metalloproteinases {R-HSA-1592389}; Neutrophil degranulation {R-HSA-6798695}</t>
  </si>
  <si>
    <t>Hemopexin</t>
  </si>
  <si>
    <t>Beta-1B-glycoprotein</t>
  </si>
  <si>
    <t>HEMO_HUMAN</t>
  </si>
  <si>
    <t>P02790</t>
  </si>
  <si>
    <t>B2R957</t>
  </si>
  <si>
    <t>Disulfide bond; Glycoprotein; Heme; Host-virus interaction; Iron; Metal-binding; Polymorphism; Repeat; Secreted; Signal; Transport</t>
  </si>
  <si>
    <t>Host-virus interaction; Transport</t>
  </si>
  <si>
    <t>cellular iron ion homeostasis {GO:0006879}; heme metabolic process {GO:0042168}; heme transport {GO:0015886}; hemoglobin metabolic process {GO:0020027}; positive regulation of humoral immune response mediated by circulating immunoglobulin {GO:0002925}; positive regulation of immunoglobulin production {GO:0002639}; positive regulation of interferon-gamma-mediated signaling pathway {GO:0060335}; positive regulation of tyrosine phosphorylation of STAT protein {GO:0042531}; receptor-mediated endocytosis {GO:0006898}; viral process {GO:0016032}</t>
  </si>
  <si>
    <t>blood microparticle {GO:0072562}; collagen-containing extracellular matrix {GO:0062023}; endocytic vesicle lumen {GO:0071682}; extracellular exosome {GO:0070062}; extracellular region {GO:0005576}; extracellular space {GO:0005615}</t>
  </si>
  <si>
    <t>heme transporter activity {GO:0015232}; metal ion binding {GO:0046872}</t>
  </si>
  <si>
    <t>Scavenging of heme from plasma {R-HSA-2168880}</t>
  </si>
  <si>
    <t>Stress-induced-phosphoprotein 1 (STI1)</t>
  </si>
  <si>
    <t>Hsc70/Hsp90-organizing protein (Hop); Renal carcinoma antigen NY-REN-11; Transformation-sensitive protein IEF SSP 3521</t>
  </si>
  <si>
    <t>STIP1_HUMAN</t>
  </si>
  <si>
    <t>P31948</t>
  </si>
  <si>
    <t>B4DM70; F5H0T1; G3XAD8; Q3ZCU9; Q5TZU9</t>
  </si>
  <si>
    <t>3D-structure; Acetylation; Alternative splicing; Cytoplasm; Isopeptide bond; Nucleus; Phosphoprotein; Repeat; TPR repeat; Ubl conjugation</t>
  </si>
  <si>
    <t>cellular response to interleukin-7 {GO:0098761}</t>
  </si>
  <si>
    <t>chaperone complex {GO:0101031}; cytosol {GO:0005829}; Golgi apparatus {GO:0005794}; nucleus {GO:0005634}; protein-containing complex {GO:0032991}</t>
  </si>
  <si>
    <t>chaperone binding {GO:0051087}; Hsp70 protein binding {GO:0030544}; Hsp90 protein binding {GO:0051879}; protein C-terminus binding {GO:0008022}; RNA binding {GO:0003723}</t>
  </si>
  <si>
    <t>HSP90 chaperone cycle for steroid hormone receptors (SHR) {R-HSA-3371497}</t>
  </si>
  <si>
    <t>Roundabout homolog 4</t>
  </si>
  <si>
    <t>Magic roundabout</t>
  </si>
  <si>
    <t>ROBO4_HUMAN</t>
  </si>
  <si>
    <t>Q8WZ75</t>
  </si>
  <si>
    <t>A8K154; Q14DU7; Q8TEG1; Q96JV6; Q9H718; Q9NWJ8</t>
  </si>
  <si>
    <t>Alternative splicing; Angiogenesis; Developmental protein; Differentiation; Disulfide bond; Glycoprotein; Immunoglobulin domain; Phosphoprotein; Polymorphism; Receptor; Repeat; Signal</t>
  </si>
  <si>
    <t>Angiogenesis; Differentiation</t>
  </si>
  <si>
    <t>angiogenesis {GO:0001525}; axon guidance {GO:0007411}; dendrite self-avoidance {GO:0070593}; homophilic cell adhesion via plasma membrane adhesion molecules {GO:0007156}; regulation of cell migration {GO:0030334}</t>
  </si>
  <si>
    <t>axon {GO:0030424}; extracellular exosome {GO:0070062}; integral component of membrane {GO:0016021}; plasma membrane {GO:0005886}</t>
  </si>
  <si>
    <t>cell-cell adhesion mediator activity {GO:0098632}; signaling receptor activity {GO:0038023}</t>
  </si>
  <si>
    <t>Glycine N-acyltransferase</t>
  </si>
  <si>
    <t>Acyl-CoA:glycine N-acyltransferase (AAc); Aralkyl acyl-CoA N-acyltransferase; Aralkyl acyl-CoA:amino acid N-acyltransferase; Benzoyl-coenzyme A:glycine N-acyltransferase; Glycine N-benzoyltransferase; HRP-1(CLP)</t>
  </si>
  <si>
    <t>GLYAT_HUMAN</t>
  </si>
  <si>
    <t>Q6IB77</t>
  </si>
  <si>
    <t>H1AE11; O14833; Q96QK7</t>
  </si>
  <si>
    <t>ACGNAT; CAT; GAT</t>
  </si>
  <si>
    <t>Acetylation; Acyltransferase; Alternative splicing; Detoxification; Mitochondrion; Polymorphism; Transferase</t>
  </si>
  <si>
    <t>Detoxification</t>
  </si>
  <si>
    <t>acyl-CoA metabolic process {GO:0006637}; benzoyl-CoA metabolic process {GO:1901787}; glycine metabolic process {GO:0006544}; monocarboxylic acid metabolic process {GO:0032787}; response to toxic substance {GO:0009636}; xenobiotic metabolic process {GO:0006805}</t>
  </si>
  <si>
    <t>glycine N-acyltransferase activity {GO:0047961}; glycine N-benzoyltransferase activity {GO:0047962}; transferase activity, transferring acyl groups {GO:0016746}</t>
  </si>
  <si>
    <t>Conjugation of salicylate with glycine {R-HSA-177128}; Conjugation of benzoate with glycine {R-HSA-177135}</t>
  </si>
  <si>
    <t>Nectin-1</t>
  </si>
  <si>
    <t>Herpes virus entry mediator C (Herpesvirus entry mediator C; HveC); Herpesvirus Ig-like receptor (HIgR); Nectin cell adhesion molecule 1; Poliovirus receptor-related protein 1; CD_antigen=CD111</t>
  </si>
  <si>
    <t>NECT1_HUMAN</t>
  </si>
  <si>
    <t>Q15223</t>
  </si>
  <si>
    <t>O75465; Q2M3D3; Q9HBE6; Q9HBW2</t>
  </si>
  <si>
    <t>3D-structure; Alternative splicing; Cell adhesion; Cell junction; Cell membrane; Disulfide bond; Ectodermal dysplasia; Glycoprotein; Host cell receptor for virus entry; Host-virus interaction; Immunoglobulin domain; Membrane; Phosphoprotein; Receptor; Repeat; Secreted; Signal; Synapse; Transmembrane; Transmembrane helix</t>
  </si>
  <si>
    <t>Cell junction; Cell membrane; Membrane; Secreted; Synapse</t>
  </si>
  <si>
    <t>Ectodermal dysplasia</t>
  </si>
  <si>
    <t>adherens junction organization {GO:0034332}; axon guidance {GO:0007411}; cell adhesion {GO:0007155}; cell-cell adhesion {GO:0098609}; desmosome organization {GO:0002934}; enamel mineralization {GO:0070166}; heterophilic cell-cell adhesion via plasma membrane cell adhesion molecules {GO:0007157}; homophilic cell adhesion via plasma membrane adhesion molecules {GO:0007156}; immune response {GO:0006955}; iron ion transport {GO:0006826}; lens morphogenesis in camera-type eye {GO:0002089}; protein localization to cell junction {GO:1902414}; regulation of synapse assembly {GO:0051963}; retina development in camera-type eye {GO:0060041}; viral entry into host cell {GO:0046718}; virion attachment to host cell {GO:0019062}</t>
  </si>
  <si>
    <t>adherens junction {GO:0005912}; apical junction complex {GO:0043296}; cell-cell adherens junction {GO:0005913}; cell-cell contact zone {GO:0044291}; dendrite {GO:0030425}; extracellular region {GO:0005576}; growth cone membrane {GO:0032584}; hippocampal mossy fiber to CA3 synapse {GO:0098686}; integral component of membrane {GO:0016021}; integral component of presynaptic active zone membrane {GO:0099059}; intracellular membrane-bounded organelle {GO:0043231}; membrane {GO:0016020}; plasma membrane {GO:0005886}</t>
  </si>
  <si>
    <t>carbohydrate binding {GO:0030246}; cell adhesion molecule binding {GO:0050839}; coreceptor activity {GO:0015026}; identical protein binding {GO:0042802}; protein heterodimerization activity {GO:0046982}; protein homodimerization activity {GO:0042803}; signaling receptor activity {GO:0038023}; virion binding {GO:0046790}; virus receptor activity {GO:0001618}</t>
  </si>
  <si>
    <t>Low-density lipoprotein receptor class A domain-containing protein 3 (LDLR class A domain-containing protein 3)</t>
  </si>
  <si>
    <t>LRAD3_HUMAN</t>
  </si>
  <si>
    <t>Q86YD5</t>
  </si>
  <si>
    <t>B7Z1U3; B9EG81; Q8NBJ0</t>
  </si>
  <si>
    <t>LRAD3</t>
  </si>
  <si>
    <t>Alternative splicing; Cell membrane; Disulfide bond; Glycoprotein; Lipoprotein; Membrane; Receptor; Repeat; Signal; Transmembrane; Transmembrane helix</t>
  </si>
  <si>
    <t>Disulfide bond; Glycoprotein; Lipoprotein</t>
  </si>
  <si>
    <t>receptor-mediated endocytosis {GO:0006898}; regulation of protein processing {GO:0070613}</t>
  </si>
  <si>
    <t>amyloid-beta binding {GO:0001540}</t>
  </si>
  <si>
    <t>Opioid-binding protein/cell adhesion molecule (OBCAM; OPCML; Opioid-binding cell adhesion molecule)</t>
  </si>
  <si>
    <t>IgLON family member 1</t>
  </si>
  <si>
    <t>OPCM_HUMAN</t>
  </si>
  <si>
    <t>Q14982</t>
  </si>
  <si>
    <t>B2CZX2; B7ZLQ1; Q17RN7; Q7Z3W6</t>
  </si>
  <si>
    <t>IGLON1; OBCAM</t>
  </si>
  <si>
    <t>3D-structure; Alternative splicing; Cell adhesion; Cell membrane; Disease mutation; Disulfide bond; Glycoprotein; GPI-anchor; Immunoglobulin domain; Lipoprotein; Membrane; Repeat; Signal</t>
  </si>
  <si>
    <t>Nuclear mitotic apparatus protein 1</t>
  </si>
  <si>
    <t>Nuclear matrix protein-22 (NMP-22); Nuclear mitotic apparatus protein (NuMA protein); SP-H antigen</t>
  </si>
  <si>
    <t>NUMA1_HUMAN</t>
  </si>
  <si>
    <t>Q14980</t>
  </si>
  <si>
    <t>H0YH75; Q14981; Q9BTE9</t>
  </si>
  <si>
    <t>3D-structure; Acetylation; ADP-ribosylation; Alternative splicing; Cell cycle; Cell division; Cell membrane; Chromosome; Chromosome partition; Coiled coil; Cytoplasm; Cytoskeleton; Glycoprotein; Isopeptide bond; Lipid-binding; Lipoprotein; Membrane; Microtubule; Mitosis; Nucleus; Phosphoprotein; Polymorphism; Ubl conjugation</t>
  </si>
  <si>
    <t>Cell cycle; Cell division; Chromosome partition; Mitosis</t>
  </si>
  <si>
    <t>Cell membrane; Chromosome; Cytoplasm; Cytoskeleton; Membrane; Microtubule; Nucleus</t>
  </si>
  <si>
    <t>ADP-ribosylation; Acetylation; Glycoprotein; Isopeptide bond; Lipoprotein; Phosphoprotein; Ubl conjugation</t>
  </si>
  <si>
    <t>anastral spindle assembly {GO:0055048}; astral microtubule organization {GO:0030953}; cell division {GO:0051301}; chromosome segregation {GO:0007059}; establishment of mitotic spindle orientation {GO:0000132}; meiotic cell cycle {GO:0051321}; microtubule bundle formation {GO:0001578}; nucleus organization {GO:0006997}; positive regulation of BMP signaling pathway {GO:0030513}; positive regulation of chromosome segregation {GO:0051984}; positive regulation of chromosome separation {GO:1905820}; positive regulation of hair follicle development {GO:0051798}; positive regulation of intracellular transport {GO:0032388}; positive regulation of keratinocyte differentiation {GO:0045618}; positive regulation of microtubule polymerization {GO:0031116}; positive regulation of mitotic spindle elongation {GO:1902846}; positive regulation of protein localization to cell cortex {GO:1904778}; positive regulation of protein localization to spindle pole body {GO:1902365}; positive regulation of spindle assembly {GO:1905832}; regulation of metaphase plate congression {GO:0090235}; regulation of mitotic spindle organization {GO:0060236}</t>
  </si>
  <si>
    <t>cell cortex {GO:0005938}; cell cortex region {GO:0099738}; centrosome {GO:0005813}; chromosome {GO:0005694}; cortical microtubule {GO:0055028}; cytoplasm {GO:0005737}; cytoplasmic microtubule bundle {GO:1905720}; cytosol {GO:0005829}; dendrite {GO:0030425}; extracellular exosome {GO:0070062}; extrinsic component of plasma membrane {GO:0019897}; Golgi membrane {GO:0000139}; lateral cell cortex {GO:0097575}; lateral plasma membrane {GO:0016328}; microtubule bundle {GO:0097427}; microtubule minus-end {GO:0036449}; microtubule plus-end {GO:0035371}; mitotic spindle {GO:0072686}; mitotic spindle astral microtubule {GO:0061673}; mitotic spindle midzone {GO:1990023}; mitotic spindle pole {GO:0097431}; neuronal cell body {GO:0043025}; nuclear matrix {GO:0016363}; nucleoplasm {GO:0005654}; nucleus {GO:0005634}; protein-containing complex {GO:0032991}; spindle {GO:0005819}; spindle microtubule {GO:0005876}; spindle pole {GO:0000922}; spindle pole centrosome {GO:0031616}</t>
  </si>
  <si>
    <t>disordered domain specific binding {GO:0097718}; dynein complex binding {GO:0070840}; microtubule binding {GO:0008017}; microtubule minus-end binding {GO:0051011}; microtubule plus-end binding {GO:0051010}; phosphatidylinositol binding {GO:0035091}; protein C-terminus binding {GO:0008022}; protein domain specific binding {GO:0019904}; protein-containing complex binding {GO:0044877}; structural molecule activity {GO:0005198}; tubulin binding {GO:0015631}</t>
  </si>
  <si>
    <t>Recruitment of NuMA to mitotic centrosomes {R-HSA-380320}; Mitotic Prophase {R-HSA-68875}</t>
  </si>
  <si>
    <t>Folate receptor alpha (FR-alpha)</t>
  </si>
  <si>
    <t>Adult folate-binding protein (FBP); Folate receptor 1; Folate receptor, adult; KB cells FBP; Ovarian tumor-associated antigen MOv18</t>
  </si>
  <si>
    <t>FOLR1_HUMAN</t>
  </si>
  <si>
    <t>P15328</t>
  </si>
  <si>
    <t>Q53EW2; Q6FGT8; Q6LC90; Q9UCT2</t>
  </si>
  <si>
    <t>FOLR</t>
  </si>
  <si>
    <t>3D-structure; Cell membrane; Cytoplasmic vesicle; Disulfide bond; Endosome; Folate-binding; Glycoprotein; GPI-anchor; Lipoprotein; Membrane; Neurodegeneration; Polymorphism; Receptor; Secreted; Signal; Transport</t>
  </si>
  <si>
    <t>Cell membrane; Cytoplasmic vesicle; Endosome; Membrane; Secreted</t>
  </si>
  <si>
    <t>Neurodegeneration</t>
  </si>
  <si>
    <t>Folate-binding</t>
  </si>
  <si>
    <t>anterior neural tube closure {GO:0061713}; axon regeneration {GO:0031103}; cardiac neural crest cell migration involved in outflow tract morphogenesis {GO:0003253}; cellular response to folic acid {GO:0071231}; COPII vesicle coating {GO:0048208}; endoplasmic reticulum to Golgi vesicle-mediated transport {GO:0006888}; folate import across plasma membrane {GO:1904447}; folic acid metabolic process {GO:0046655}; folic acid transport {GO:0015884}; heart looping {GO:0001947}; neural crest cell migration involved in heart formation {GO:0003147}; pharyngeal arch artery morphogenesis {GO:0061626}; receptor-mediated endocytosis {GO:0006898}; regulation of canonical Wnt signaling pathway {GO:0060828}; regulation of transforming growth factor beta receptor signaling pathway {GO:0017015}</t>
  </si>
  <si>
    <t>anchored component of external side of plasma membrane {GO:0031362}; apical plasma membrane {GO:0016324}; basolateral plasma membrane {GO:0016323}; brush border membrane {GO:0031526}; cell surface {GO:0009986}; clathrin-coated vesicle {GO:0030136}; endoplasmic reticulum membrane {GO:0005789}; endoplasmic reticulum-Golgi intermediate compartment membrane {GO:0033116}; endosome {GO:0005768}; ER to Golgi transport vesicle membrane {GO:0012507}; extracellular exosome {GO:0070062}; Golgi membrane {GO:0000139}; membrane {GO:0016020}; nucleus {GO:0005634}; plasma membrane {GO:0005886}; transport vesicle {GO:0030133}</t>
  </si>
  <si>
    <t>drug binding {GO:0008144}; folic acid binding {GO:0005542}; folic acid receptor activity {GO:0061714}; methotrexate binding {GO:0051870}; signaling receptor activity {GO:0038023}</t>
  </si>
  <si>
    <t>COPII-mediated vesicle transport {R-HSA-204005}; Cargo concentration in the ER {R-HSA-5694530}; COPI-mediated anterograde transport {R-HSA-6807878}</t>
  </si>
  <si>
    <t>Folate receptor beta (FR-beta)</t>
  </si>
  <si>
    <t>Folate receptor 2; Folate receptor, fetal/placental; Placental folate-binding protein (FBP)</t>
  </si>
  <si>
    <t>FOLR2_HUMAN</t>
  </si>
  <si>
    <t>P14207</t>
  </si>
  <si>
    <t>Q05CA5; Q6GTE8</t>
  </si>
  <si>
    <t>3D-structure; Cell membrane; Disulfide bond; Folate-binding; Glycoprotein; GPI-anchor; Lipoprotein; Membrane; Polymorphism; Receptor; Secreted; Signal; Transport</t>
  </si>
  <si>
    <t>cell adhesion {GO:0007155}; folate import across plasma membrane {GO:1904447}; folic acid metabolic process {GO:0046655}; folic acid transport {GO:0015884}; fusion of sperm to egg plasma membrane involved in single fertilization {GO:0007342}; inflammatory response {GO:0006954}; positive regulation of cell population proliferation {GO:0008284}; receptor-mediated endocytosis {GO:0006898}; regulation of thymidylate synthase biosynthetic process {GO:0050758}; sperm-egg recognition {GO:0035036}</t>
  </si>
  <si>
    <t>anchored component of external side of plasma membrane {GO:0031362}; cell surface {GO:0009986}; extracellular region {GO:0005576}; plasma membrane {GO:0005886}</t>
  </si>
  <si>
    <t>Post-translational modification: synthesis of GPI-anchored proteins {R-HSA-163125}; Metabolism of folate and pterines {R-HSA-196757}</t>
  </si>
  <si>
    <t>Interleukin-18-binding protein (IL-18BP)</t>
  </si>
  <si>
    <t>Tadekinig-alfa</t>
  </si>
  <si>
    <t>I18BP_HUMAN</t>
  </si>
  <si>
    <t>O95998</t>
  </si>
  <si>
    <t>B3KUZ0; B7WPK4; O95993; O96027; Q9NZA9; Q9UBR7</t>
  </si>
  <si>
    <t>Alternative splicing; Disulfide bond; Glycoprotein; Immunoglobulin domain; Polymorphism; Secreted; Signal</t>
  </si>
  <si>
    <t>cellular response to cytokine stimulus {GO:0071345}; interleukin-18-mediated signaling pathway {GO:0035655}; T-helper 1 type immune response {GO:0042088}</t>
  </si>
  <si>
    <t>interleukin-18 binding {GO:0042007}; receptor antagonist activity {GO:0048019}</t>
  </si>
  <si>
    <t>Interleukin-37 signaling {R-HSA-9008059}; Interleukin-18 signaling {R-HSA-9012546}</t>
  </si>
  <si>
    <t>4F2 cell-surface antigen heavy chain (4F2hc)</t>
  </si>
  <si>
    <t>4F2 heavy chain antigen; Lymphocyte activation antigen 4F2 large subunit; Solute carrier family 3 member 2; CD_antigen=CD98</t>
  </si>
  <si>
    <t>4F2_HUMAN</t>
  </si>
  <si>
    <t>P08195</t>
  </si>
  <si>
    <t>Q13543</t>
  </si>
  <si>
    <t>MDU1</t>
  </si>
  <si>
    <t>3D-structure; Acetylation; Alternative splicing; Amino-acid transport; Cell membrane; Disulfide bond; Glycoprotein; Isopeptide bond; Membrane; Phosphoprotein; Signal-anchor; Transmembrane; Transmembrane helix; Transport; Ubl conjugation</t>
  </si>
  <si>
    <t>Amino-acid transport; Transport</t>
  </si>
  <si>
    <t>Acetylation; Disulfide bond; Glycoprotein; Isopeptide bond; Phosphoprotein; Ubl conjugation</t>
  </si>
  <si>
    <t>amino acid transport {GO:0006865}; calcium ion transport {GO:0006816}; carbohydrate metabolic process {GO:0005975}; L-alpha-amino acid transmembrane transport {GO:1902475}; L-leucine import across plasma membrane {GO:1903801}; leukocyte migration {GO:0050900}; response to exogenous dsRNA {GO:0043330}; tryptophan transport {GO:0015827}</t>
  </si>
  <si>
    <t>apical plasma membrane {GO:0016324}; cell surface {GO:0009986}; cytosol {GO:0005829}; extracellular exosome {GO:0070062}; integral component of membrane {GO:0016021}; melanosome {GO:0042470}; membrane {GO:0016020}; nucleus {GO:0005634}; plasma membrane {GO:0005886}</t>
  </si>
  <si>
    <t>cadherin binding {GO:0045296}; calcium:sodium antiporter activity {GO:0005432}; catalytic activity {GO:0003824}; double-stranded RNA binding {GO:0003725}; neutral amino acid transmembrane transporter activity {GO:0015175}; RNA binding {GO:0003723}</t>
  </si>
  <si>
    <t>Basigin interactions {R-HSA-210991}; Amino acid transport across the plasma membrane {R-HSA-352230}; Defective SLC7A7 causes lysinuric protein intolerance (LPI) {R-HSA-5660862}; Tryptophan catabolism {R-HSA-71240}</t>
  </si>
  <si>
    <t>ATP synthase subunit g, mitochondrial (ATPase subunit g)</t>
  </si>
  <si>
    <t>ATP synthase membrane subunit g</t>
  </si>
  <si>
    <t>ATP5L_HUMAN</t>
  </si>
  <si>
    <t>O75964</t>
  </si>
  <si>
    <t>A8K0K3; Q96BV6; Q9UBZ7</t>
  </si>
  <si>
    <t>ATP5L</t>
  </si>
  <si>
    <t>Acetylation; ATP synthesis; CF(0); Hydrogen ion transport; Ion transport; Membrane; Mitochondrion; Mitochondrion inner membrane; Transport</t>
  </si>
  <si>
    <t>CF(0); Membrane; Mitochondrion; Mitochondrion inner membrane</t>
  </si>
  <si>
    <t>ATP biosynthetic process {GO:0006754}; ATP hydrolysis coupled cation transmembrane transport {GO:0099132}; ATP synthesis coupled proton transport {GO:0015986}; cristae formation {GO:0042407}; mitochondrial ATP synthesis coupled proton transport {GO:0042776}</t>
  </si>
  <si>
    <t>mitochondrial inner membrane {GO:0005743}; mitochondrial proton-transporting ATP synthase complex {GO:0005753}; mitochondrial proton-transporting ATP synthase complex, coupling factor F(o) {GO:0000276}; mitochondrion {GO:0005739}</t>
  </si>
  <si>
    <t>proton transmembrane transporter activity {GO:0015078}; transmembrane transporter activity {GO:0022857}</t>
  </si>
  <si>
    <t>Formation of ATP by chemiosmotic coupling {R-HSA-163210}; Cristae formation {R-HSA-8949613}</t>
  </si>
  <si>
    <t>Fatty acid-binding protein, heart</t>
  </si>
  <si>
    <t>Fatty acid-binding protein 3; Heart-type fatty acid-binding protein (H-FABP); Mammary-derived growth inhibitor (MDGI); Muscle fatty acid-binding protein (M-FABP)</t>
  </si>
  <si>
    <t>FABPH_HUMAN</t>
  </si>
  <si>
    <t>P05413</t>
  </si>
  <si>
    <t>B2RAB6; Q5VV93; Q99957</t>
  </si>
  <si>
    <t>FABP11; MDGI</t>
  </si>
  <si>
    <t>3D-structure; Acetylation; Cytoplasm; Lipid-binding; Phosphoprotein; Polymorphism; Transport</t>
  </si>
  <si>
    <t>cholesterol homeostasis {GO:0042632}; fatty acid metabolic process {GO:0006631}; intracellular lipid transport {GO:0032365}; long-chain fatty acid transport {GO:0015909}; negative regulation of cell population proliferation {GO:0008285}; phospholipid homeostasis {GO:0055091}; positive regulation of long-chain fatty acid import into cell {GO:0140214}; positive regulation of phospholipid biosynthetic process {GO:0071073}; regulation of fatty acid oxidation {GO:0046320}; regulation of phosphatidylcholine biosynthetic process {GO:2001245}; response to drug {GO:0042493}; response to fatty acid {GO:0070542}; response to insulin {GO:0032868}; triglyceride catabolic process {GO:0019433}</t>
  </si>
  <si>
    <t>cytosol {GO:0005829}; extracellular exosome {GO:0070062}; extracellular space {GO:0005615}; sarcoplasm {GO:0016528}</t>
  </si>
  <si>
    <t>cytoskeletal protein binding {GO:0008092}; icosatetraenoic acid binding {GO:0050543}; long-chain fatty acid binding {GO:0036041}; long-chain fatty acid transporter activity {GO:0005324}; oleic acid binding {GO:0070538}</t>
  </si>
  <si>
    <t>Transcription initiation factor IIB</t>
  </si>
  <si>
    <t>General transcription factor TFIIB; S300-II</t>
  </si>
  <si>
    <t>TF2B_HUMAN</t>
  </si>
  <si>
    <t>Q00403</t>
  </si>
  <si>
    <t>A8K1A7; Q5JS30</t>
  </si>
  <si>
    <t>TF2B; TFIIB</t>
  </si>
  <si>
    <t>3D-structure; Acetylation; Acyltransferase; Chromosome; DNA-binding; Host-virus interaction; Metal-binding; Nucleus; Phosphoprotein; Polymorphism; Repeat; Transcription; Transcription regulation; Transferase; Zinc; Zinc-finger</t>
  </si>
  <si>
    <t>Host-virus interaction; Transcription; Transcription regulation</t>
  </si>
  <si>
    <t>Chromosome; Nucleus</t>
  </si>
  <si>
    <t>Acyltransferase; DNA-binding; Transferase</t>
  </si>
  <si>
    <t>DNA-templated transcription, initiation {GO:0006352}; positive regulation by host of viral transcription {GO:0043923}; positive regulation of core promoter binding {GO:1904798}; positive regulation of transcription initiation from RNA polymerase II promoter {GO:0060261}; positive regulation of viral transcription {GO:0050434}; protein acetylation {GO:0006473}; RNA polymerase II core complex assembly {GO:1990114}; RNA polymerase II preinitiation complex assembly {GO:0051123}; snRNA transcription by RNA polymerase II {GO:0042795}; transcription by RNA polymerase II {GO:0006366}; transcription initiation from RNA polymerase II promoter {GO:0006367}; transcriptional start site selection at RNA polymerase II promoter {GO:0001174}; viral process {GO:0016032}</t>
  </si>
  <si>
    <t>chromosome {GO:0005694}; nuclear body {GO:0016604}; nucleoplasm {GO:0005654}; nucleus {GO:0005634}; protein-DNA complex {GO:0032993}; RNA polymerase II transcription factor complex {GO:0090575}; transcription factor TFIID complex {GO:0005669}; transcriptional preinitiation complex {GO:0097550}</t>
  </si>
  <si>
    <t>acetyltransferase activity {GO:0016407}; core promoter binding {GO:0001047}; histone acetyltransferase activity {GO:0004402}; promoter-specific chromatin binding {GO:1990841}; RNA polymerase II complex binding {GO:0000993}; RNA polymerase II complex recruiting activity {GO:0001139}; RNA polymerase II core promoter sequence-specific DNA binding {GO:0000979}; RNA polymerase II general transcription initiation factor activity {GO:0016251}; TBP-class protein binding {GO:0017025}; thyroid hormone receptor binding {GO:0046966}; transcription factor binding {GO:0008134}; zinc ion binding {GO:0008270}</t>
  </si>
  <si>
    <t>HIV Transcription Initiation {R-HSA-167161}; RNA Polymerase II HIV Promoter Escape {R-HSA-167162}; Transcription of the HIV genome {R-HSA-167172}; RNA Polymerase II Pre-transcription Events {R-HSA-674695}; RNA polymerase II transcribes snRNA genes {R-HSA-6807505}; RNA Polymerase II Promoter Escape {R-HSA-73776}; RNA Polymerase II Transcription Pre-Initiation And Promoter Opening {R-HSA-73779}; RNA Polymerase II Transcription Initiation {R-HSA-75953}; RNA Polymerase II Transcription Initiation And Promoter Clearance {R-HSA-76042}</t>
  </si>
  <si>
    <t>Ras-related protein Rab-1B</t>
  </si>
  <si>
    <t>RAB1B_HUMAN</t>
  </si>
  <si>
    <t>Q9H0U4</t>
  </si>
  <si>
    <t>A8K7S1</t>
  </si>
  <si>
    <t>3D-structure; Acetylation; Autophagy; Cytoplasm; GTP-binding; Lipoprotein; Membrane; Methylation; Nucleotide-binding; Phosphoprotein; Prenylation; Protein transport; Transport</t>
  </si>
  <si>
    <t>Autophagy; Protein transport; Transport</t>
  </si>
  <si>
    <t>Acetylation; Lipoprotein; Methylation; Phosphoprotein; Prenylation</t>
  </si>
  <si>
    <t>autophagy {GO:0006914}; COPII vesicle coating {GO:0048208}; endoplasmic reticulum to Golgi vesicle-mediated transport {GO:0006888}; intracellular protein transport {GO:0006886}; positive regulation of glycoprotein metabolic process {GO:1903020}; post-translational protein modification {GO:0043687}; Rab protein signal transduction {GO:0032482}; regulation of autophagosome assembly {GO:2000785}; retrograde vesicle-mediated transport, Golgi to endoplasmic reticulum {GO:0006890}; virion assembly {GO:0019068}</t>
  </si>
  <si>
    <t>cytosol {GO:0005829}; endoplasmic reticulum membrane {GO:0005789}; endoplasmic reticulum-Golgi intermediate compartment membrane {GO:0033116}; extracellular exosome {GO:0070062}; Golgi apparatus {GO:0005794}; Golgi membrane {GO:0000139}; perinuclear region of cytoplasm {GO:0048471}; phagophore assembly site membrane {GO:0034045}; transport vesicle {GO:0030133}</t>
  </si>
  <si>
    <t>GTP binding {GO:0005525}; GTPase activity {GO:0003924}</t>
  </si>
  <si>
    <t>Golgi Cisternae Pericentriolar Stack Reorganization {R-HSA-162658}; COPII-mediated vesicle transport {R-HSA-204005}; COPI-mediated anterograde transport {R-HSA-6807878}; COPI-dependent Golgi-to-ER retrograde traffic {R-HSA-6811434}; RAB geranylgeranylation {R-HSA-8873719}; RAB GEFs exchange GTP for GDP on RABs {R-HSA-8876198}</t>
  </si>
  <si>
    <t>26S proteasome regulatory subunit 6A</t>
  </si>
  <si>
    <t>26S proteasome AAA-ATPase subunit RPT5; Proteasome 26S subunit ATPase 3; Proteasome subunit P50; Tat-binding protein 1 (TBP-1)</t>
  </si>
  <si>
    <t>PRS6A_HUMAN</t>
  </si>
  <si>
    <t>P17980</t>
  </si>
  <si>
    <t>B2R8V1; Q3B757; Q3B865; Q53HU5; Q6GPG8; Q6IBS1; Q96HD3</t>
  </si>
  <si>
    <t>TBP1</t>
  </si>
  <si>
    <t>3D-structure; Acetylation; ATP-binding; Cytoplasm; Host-virus interaction; Nucleotide-binding; Nucleus; Phosphoprotein; Proteasome; Ubl conjugation</t>
  </si>
  <si>
    <t>anaphase-promoting complex-dependent catabolic process {GO:0031145}; antigen processing and presentation of exogenous peptide antigen via MHC class I, TAP-dependent {GO:0002479}; blastocyst development {GO:0001824}; Fc-epsilon receptor signaling pathway {GO:0038095}; interleukin-1-mediated signaling pathway {GO:0070498}; MAPK cascade {GO:0000165}; modulation by host of viral transcription {GO:0043921};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positive regulation of RNA polymerase II transcriptional preinitiation complex assembly {GO:0045899}; positive regulation of transcription by RNA polymerase II {GO:0045944};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</si>
  <si>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cytosol {GO:0005829}; extracellular region {GO:0005576}; ficolin-1-rich granule lumen {GO:1904813}; membrane {GO:0016020}; nucleoplasm {GO:0005654}; nucleus {GO:0005634}; P-body {GO:0000932}; proteasome accessory complex {GO:0022624}; proteasome complex {GO:0000502}; proteasome regulatory particle, base subcomplex {GO:0008540}; secretory granule lumen {GO:0034774}</t>
  </si>
  <si>
    <t>ATP binding {GO:0005524}; ATPase activity {GO:0016887}; identical protein binding {GO:0042802}; proteasome-activating ATPase activity {GO:0036402}</t>
  </si>
  <si>
    <t>Aldo-keto reductase family 1 member A1</t>
  </si>
  <si>
    <t>Alcohol dehydrogenase [NADP(+)]; Aldehyde reductase; Glucuronate reductase; Glucuronolactone reductase</t>
  </si>
  <si>
    <t>AK1A1_HUMAN</t>
  </si>
  <si>
    <t>P14550</t>
  </si>
  <si>
    <t>A8KAL8; D3DQ04; Q6IAZ4</t>
  </si>
  <si>
    <t>ALDR1; ALR</t>
  </si>
  <si>
    <t>3D-structure; Acetylation; Cell membrane; Cytoplasm; Membrane; NADP; Oxidoreductase; Phosphoprotein; Polymorphism</t>
  </si>
  <si>
    <t>aldehyde catabolic process {GO:0046185}; cellular aldehyde metabolic process {GO:0006081}; cellular detoxification of aldehyde {GO:0110095}; D-glucuronate catabolic process {GO:0042840}; daunorubicin metabolic process {GO:0044597}; doxorubicin metabolic process {GO:0044598}; glucose metabolic process {GO:0006006}; glucuronate catabolic process to xylulose 5-phosphate {GO:0019640}; glutathione derivative biosynthetic process {GO:1901687}; L-ascorbic acid biosynthetic process {GO:0019853}</t>
  </si>
  <si>
    <t>apical plasma membrane {GO:0016324}; cytosol {GO:0005829}; extracellular exosome {GO:0070062}; extracellular space {GO:0005615}; synapse {GO:0045202}</t>
  </si>
  <si>
    <t>alcohol dehydrogenase (NADP+) activity {GO:0008106}; alditol:NADP+ 1-oxidoreductase activity {GO:0004032}; aldo-keto reductase (NADP) activity {GO:0004033}; allyl-alcohol dehydrogenase activity {GO:0047655}; electron transfer activity {GO:0009055}; glucuronolactone reductase activity {GO:0047941}; L-glucuronate reductase activity {GO:0047939}; oxidoreductase activity {GO:0016491}</t>
  </si>
  <si>
    <t>Glutathione conjugation {R-HSA-156590}; Formation of xylulose-5-phosphate {R-HSA-5661270}</t>
  </si>
  <si>
    <t>Coronin-1B</t>
  </si>
  <si>
    <t>Coronin-2</t>
  </si>
  <si>
    <t>COR1B_HUMAN</t>
  </si>
  <si>
    <t>Q9BR76</t>
  </si>
  <si>
    <t>B2RD45</t>
  </si>
  <si>
    <t>Actin-binding; Coiled coil; Cytoplasm; Cytoskeleton; Phosphoprotein; Polymorphism; Repeat; WD repeat</t>
  </si>
  <si>
    <t>actin cytoskeleton organization {GO:0030036}; actin filament branching {GO:0090135}; actin filament bundle assembly {GO:0051017}; actin filament organization {GO:0007015}; cell migration {GO:0016477}; cellular response to platelet-derived growth factor stimulus {GO:0036120}; endothelial cell chemotaxis {GO:0035767}; negative regulation of Arp2/3 complex-mediated actin nucleation {GO:0034316}; negative regulation of smooth muscle cell chemotaxis {GO:0071672}; positive regulation of lamellipodium morphogenesis {GO:2000394}; protein localization to cell leading edge {GO:1902463}; regulation of Arp2/3 complex-mediated actin nucleation {GO:0034315}; ruffle organization {GO:0031529}; wound healing {GO:0042060}</t>
  </si>
  <si>
    <t>actin filament {GO:0005884}; cell leading edge {GO:0031252}; cell periphery {GO:0071944}; cytoplasm {GO:0005737}; cytosol {GO:0005829}; extracellular exosome {GO:0070062}; focal adhesion {GO:0005925}; lamellipodium {GO:0030027}; perinuclear region of cytoplasm {GO:0048471}; plasma membrane {GO:0005886}; stress fiber {GO:0001725}</t>
  </si>
  <si>
    <t>actin filament binding {GO:0051015}; Arp2/3 complex binding {GO:0071933}; cadherin binding {GO:0045296}; identical protein binding {GO:0042802}</t>
  </si>
  <si>
    <t>Proteasome subunit alpha type-1</t>
  </si>
  <si>
    <t>30 kDa prosomal protein (PROS-30); Macropain subunit C2; Multicatalytic endopeptidase complex subunit C2; Proteasome component C2; Proteasome nu chain</t>
  </si>
  <si>
    <t>PSA1_HUMAN</t>
  </si>
  <si>
    <t>P25786</t>
  </si>
  <si>
    <t>A8K400; Q53YE8; Q9BRV9</t>
  </si>
  <si>
    <t>HC2; NU; PROS30; PSC2</t>
  </si>
  <si>
    <t>3D-structure; Acetylation; Alternative splicing; Cytoplasm; Glycoprotein; Hydrolase; Immunity; Isopeptide bond; Nucleus; Phosphoprotein; Polymorphism; Protease; Proteasome; Threonine protease; Ubl conjugation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</si>
  <si>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inflammatory response to antigenic stimulus {GO:0002862};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</si>
  <si>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centrosome {GO:0005813}; cytoplasm {GO:0005737}; cytosol {GO:0005829}; extracellular exosome {GO:0070062}; nucleoplasm {GO:0005654}; nucleus {GO:0005634}; polysome {GO:0005844}; proteasome complex {GO:0000502}; proteasome core complex {GO:0005839}; proteasome core complex, alpha-subunit complex {GO:0019773}</t>
  </si>
  <si>
    <t>endopeptidase activity {GO:0004175}; lipopolysaccharide binding {GO:0001530}; RNA binding {GO:0003723}; threonine-type endopeptidase activity {GO:0004298}</t>
  </si>
  <si>
    <t>Tripeptidyl-peptidase 1 (TPP-1)</t>
  </si>
  <si>
    <t>Cell growth-inhibiting gene 1 protein; Lysosomal pepstatin-insensitive protease (LPIC); Tripeptidyl aminopeptidase; Tripeptidyl-peptidase I (TPP-I)</t>
  </si>
  <si>
    <t>TPP1_HUMAN</t>
  </si>
  <si>
    <t>O14773</t>
  </si>
  <si>
    <t>Q53HT1; Q5JAK6; Q6UX56; Q71JP6; Q96C37</t>
  </si>
  <si>
    <t>CLN2</t>
  </si>
  <si>
    <t>3D-structure; Alternative splicing; Autocatalytic cleavage; Calcium; Disease mutation; Disulfide bond; Epilepsy; Glycoprotein; Hydrolase; Lysosome; Metal-binding; Neurodegeneration; Neuronal ceroid lipofuscinosis; Polymorphism; Protease; Serine protease; Signal; Spinocerebellar ataxia; Zymogen</t>
  </si>
  <si>
    <t>Disease mutation; Epilepsy; Neurodegeneration; Neuronal ceroid lipofuscinosis; Spinocerebellar ataxia</t>
  </si>
  <si>
    <t>Autocatalytic cleavage; Disulfide bond; Glycoprotein; Zymogen</t>
  </si>
  <si>
    <t>bone resorption {GO:0045453}; central nervous system development {GO:0007417}; epithelial cell differentiation {GO:0030855}; IRE1-mediated unfolded protein response {GO:0036498}; lipid metabolic process {GO:0006629}; lysosome organization {GO:0007040}; nervous system development {GO:0007399}; neuromuscular process controlling balance {GO:0050885}; peptide catabolic process {GO:0043171}; protein catabolic process {GO:0030163}; proteolysis {GO:0006508}</t>
  </si>
  <si>
    <t>extracellular exosome {GO:0070062}; lysosomal lumen {GO:0043202}; lysosome {GO:0005764}; melanosome {GO:0042470}</t>
  </si>
  <si>
    <t>endopeptidase activity {GO:0004175}; metal ion binding {GO:0046872}; peptidase activity {GO:0008233}; peptide binding {GO:0042277}; serine-type endopeptidase activity {GO:0004252}; serine-type peptidase activity {GO:0008236}; tripeptidyl-peptidase activity {GO:0008240}</t>
  </si>
  <si>
    <t>XBP1(S) activates chaperone genes {R-HSA-381038}</t>
  </si>
  <si>
    <t>Dickkopf-related protein 3 (Dickkopf-3; Dkk-3; hDkk-3)</t>
  </si>
  <si>
    <t>DKK3_HUMAN</t>
  </si>
  <si>
    <t>Q9UBP4</t>
  </si>
  <si>
    <t>A8K1I2; D3DQW1; Q9ULB7</t>
  </si>
  <si>
    <t>REIC</t>
  </si>
  <si>
    <t>Coiled coil; Developmental protein; Disulfide bond; Glycoprotein; Polymorphism; Secreted; Signal; Wnt signaling pathway</t>
  </si>
  <si>
    <t>adrenal gland development {GO:0030325}; anatomical structure morphogenesis {GO:0009653}; negative regulation of aldosterone biosynthetic process {GO:0032348}; negative regulation of anti-Mullerian hormone signaling pathway {GO:1902613}; negative regulation of canonical Wnt signaling pathway {GO:0090090}; negative regulation of cortisol biosynthetic process {GO:2000065}; negative regulation of transcription, DNA-templated {GO:0045892}; regulation of transforming growth factor beta receptor signaling pathway {GO:0017015}; Wnt signaling pathway {GO:0016055}</t>
  </si>
  <si>
    <t>co-receptor binding {GO:0039706}; receptor antagonist activity {GO:0048019}</t>
  </si>
  <si>
    <t>Cathepsin F (CATSF)</t>
  </si>
  <si>
    <t>CATF_HUMAN</t>
  </si>
  <si>
    <t>Q9UBX1</t>
  </si>
  <si>
    <t>B2R964; O95240; Q9NSU4; Q9UKQ5</t>
  </si>
  <si>
    <t>3D-structure; Disease mutation; Disulfide bond; Glycoprotein; Hydrolase; Lysosome; Neurodegeneration; Neuronal ceroid lipofuscinosis; Polymorphism; Protease; Signal; Thiol protease; Zymogen</t>
  </si>
  <si>
    <t>antigen processing and presentation of exogenous peptide antigen via MHC class II {GO:0019886}; proteolysis {GO:0006508}; proteolysis involved in cellular protein catabolic process {GO:0051603}</t>
  </si>
  <si>
    <t>collagen-containing extracellular matrix {GO:0062023}; extracellular exosome {GO:0070062}; extracellular space {GO:0005615}; extracellular vesicle {GO:1903561}; lysosomal lumen {GO:0043202}; lysosome {GO:0005764}</t>
  </si>
  <si>
    <t>cysteine-type endopeptidase activity {GO:0004197}</t>
  </si>
  <si>
    <t>MHC class II antigen presentation {R-HSA-2132295}</t>
  </si>
  <si>
    <t>Copper chaperone for superoxide dismutase</t>
  </si>
  <si>
    <t>Superoxide dismutase copper chaperone</t>
  </si>
  <si>
    <t>CCS_HUMAN</t>
  </si>
  <si>
    <t>O14618</t>
  </si>
  <si>
    <t>Q2M366; Q8NEV0</t>
  </si>
  <si>
    <t>3D-structure; Chaperone; Copper; Cytoplasm; Disulfide bond; Isopeptide bond; Metal-binding; Phosphoprotein; Polymorphism; Ubl conjugation; Zinc</t>
  </si>
  <si>
    <t>Copper; Metal-binding; Zinc</t>
  </si>
  <si>
    <t>Disulfide bond; Isopeptide bond; Phosphoprotein; Ubl conjugation</t>
  </si>
  <si>
    <t>cellular response to oxidative stress {GO:0034599}; metal ion transport {GO:0030001}; positive regulation of oxidoreductase activity {GO:0051353}; protein maturation by copper ion transfer {GO:0015680}; removal of superoxide radicals {GO:0019430}; superoxide metabolic process {GO:0006801}</t>
  </si>
  <si>
    <t>cadherin binding {GO:0045296}; copper ion binding {GO:0005507}; protein disulfide oxidoreductase activity {GO:0015035}; superoxide dismutase copper chaperone activity {GO:0016532}</t>
  </si>
  <si>
    <t>Peptidyl-prolyl cis-trans isomerase FKBP2 (PPIase FKBP2)</t>
  </si>
  <si>
    <t>13 kDa FK506-binding protein (13 kDa FKBP; FKBP-13); FK506-binding protein 2 (FKBP-2); Immunophilin FKBP13; Rotamase</t>
  </si>
  <si>
    <t>FKBP2_HUMAN</t>
  </si>
  <si>
    <t>P26885</t>
  </si>
  <si>
    <t>Q5BJH9; Q9BTS7</t>
  </si>
  <si>
    <t>FKBP13</t>
  </si>
  <si>
    <t>3D-structure; Endoplasmic reticulum; Isomerase; Membrane; Polymorphism; Rotamase; Signal</t>
  </si>
  <si>
    <t>endoplasmic reticulum {GO:0005783}; endoplasmic reticulum membrane {GO:0005789}</t>
  </si>
  <si>
    <t>FK506 binding {GO:0005528}; peptidyl-prolyl cis-trans isomerase activity {GO:0003755}</t>
  </si>
  <si>
    <t>Lymphocyte-specific protein 1</t>
  </si>
  <si>
    <t>47 kDa actin-binding protein; 52 kDa phosphoprotein (pp52); Lymphocyte-specific antigen WP34</t>
  </si>
  <si>
    <t>LSP1_HUMAN</t>
  </si>
  <si>
    <t>P33241</t>
  </si>
  <si>
    <t>B3KPP1; B3KRR6; E9PBV6; E9PFP3; Q16096; Q53H48; Q6FHM3; Q9BUY8</t>
  </si>
  <si>
    <t>WP34</t>
  </si>
  <si>
    <t>3D-structure; Acetylation; Alternative splicing; Cell membrane; Membrane; Phosphoprotein; Polymorphism</t>
  </si>
  <si>
    <t>cellular defense response {GO:0006968}; signal transduction {GO:0007165}</t>
  </si>
  <si>
    <t>actin cytoskeleton {GO:0015629}; extracellular exosome {GO:0070062}; membrane {GO:0016020}; plasma membrane {GO:0005886}</t>
  </si>
  <si>
    <t>actin binding {GO:0003779}</t>
  </si>
  <si>
    <t>Mth938 domain-containing protein</t>
  </si>
  <si>
    <t>Adipogenesis associated Mth938 domain-containing protein</t>
  </si>
  <si>
    <t>AAMDC_HUMAN</t>
  </si>
  <si>
    <t>Q9H7C9</t>
  </si>
  <si>
    <t>Q96AQ4; Q9Y6B1</t>
  </si>
  <si>
    <t>C11orf67</t>
  </si>
  <si>
    <t>3D-structure; Alternative splicing; Cytoplasm; Polymorphism</t>
  </si>
  <si>
    <t>positive regulation of fat cell differentiation {GO:0045600}</t>
  </si>
  <si>
    <t>Thrombin heavy chain</t>
  </si>
  <si>
    <t>Coagulation factor II</t>
  </si>
  <si>
    <t>THRB_HUMAN</t>
  </si>
  <si>
    <t>P00734</t>
  </si>
  <si>
    <t>B2R7F7; B4E1A7; Q4QZ40; Q53H04; Q53H06; Q69EZ7; Q7Z7P3; Q9UCA1</t>
  </si>
  <si>
    <t>3D-structure; Acute phase; Blood coagulation; Calcium; Cleavage on pair of basic residues; Disease mutation; Disulfide bond; Gamma-carboxyglutamic acid; Glycoprotein; Hemostasis; Hydrolase; Kringle; Pharmaceutical; Polymorphism; Protease; Repeat; Secreted; Serine protease; Signal; Thrombophilia; Zymogen</t>
  </si>
  <si>
    <t>Kringle; Repeat; Signal</t>
  </si>
  <si>
    <t>Cleavage on pair of basic residues; Disulfide bond; Gamma-carboxyglutamic acid; Glycoprotein; Zymogen</t>
  </si>
  <si>
    <t>acute-phase response {GO:0006953}; antimicrobial humoral immune response mediated by antimicrobial peptide {GO:0061844}; blood coagulation {GO:0007596}; blood coagulation, intrinsic pathway {GO:0007597}; cell surface receptor signaling pathway {GO:0007166}; cellular protein metabolic process {GO:0044267}; cytolysis by host of symbiont cells {GO:0051838}; endoplasmic reticulum to Golgi vesicle-mediated transport {GO:0006888}; fibrinolysis {GO:0042730}; G protein-coupled receptor signaling pathway {GO:0007186}; leukocyte migration {GO:0050900}; multicellular organism development {GO:0007275}; negative regulation of astrocyte differentiation {GO:0048712}; negative regulation of cytokine production involved in inflammatory response {GO:1900016}; negative regulation of fibrinolysis {GO:0051918}; negative regulation of platelet activation {GO:0010544}; negative regulation of proteolysis {GO:0045861}; neutrophil mediated killing of gram-negative bacterium {GO:0070945}; platelet activation {GO:0030168}; positive regulation of blood coagulation {GO:0030194}; positive regulation of cell growth {GO:0030307}; positive regulation of cell population proliferation {GO:0008284}; positive regulation of collagen biosynthetic process {GO:0032967}; positive regulation of lipid kinase activity {GO:0090218}; positive regulation of phosphatidylinositol 3-kinase signaling {GO:0014068}; positive regulation of phospholipase C-activating G protein-coupled receptor signaling pathway {GO:1900738}; positive regulation of protein localization to nucleus {GO:1900182}; positive regulation of protein phosphorylation {GO:0001934}; positive regulation of reactive oxygen species metabolic process {GO:2000379}; positive regulation of receptor signaling pathway via JAK-STAT {GO:0046427}; positive regulation of release of sequestered calcium ion into cytosol {GO:0051281}; proteolysis {GO:0006508}; regulation of blood coagulation {GO:0030193}; regulation of cell shape {GO:0008360}; regulation of complement activation {GO:0030449}; regulation of cytosolic calcium ion concentration {GO:0051480}; regulation of gene expression {GO:0010468}; response to wounding {GO:0009611}</t>
  </si>
  <si>
    <t>blood microparticle {GO:0072562}; endoplasmic reticulum lumen {GO:0005788}; extracellular exosome {GO:0070062}; extracellular region {GO:0005576}; extracellular space {GO:0005615}; Golgi lumen {GO:0005796}; plasma membrane {GO:0005886}</t>
  </si>
  <si>
    <t>calcium ion binding {GO:0005509}; enzyme activator activity {GO:0008047}; growth factor activity {GO:0008083}; heparin binding {GO:0008201}; lipopolysaccharide binding {GO:0001530}; serine-type endopeptidase activity {GO:0004252}; signaling receptor binding {GO:0005102}; thrombospondin receptor activity {GO:0070053}</t>
  </si>
  <si>
    <t>Intrinsic Pathway of Fibrin Clot Formation {R-HSA-140837};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Peptide ligand-binding receptors {R-HSA-375276}; Regulation of Insulin-like Growth Factor (IGF) transport and uptake by Insulin-like Growth Factor Binding Proteins (IGFBPs) {R-HSA-381426}; G alpha (q) signalling events {R-HSA-416476}; Thrombin signalling through proteinase activated receptors (PARs) {R-HSA-456926}; Platelet Aggregation (Plug Formation) {R-HSA-76009}; Regulation of Complement cascade {R-HSA-977606}</t>
  </si>
  <si>
    <t>Myelin protein zero-like protein 2</t>
  </si>
  <si>
    <t>Epithelial V-like antigen 1</t>
  </si>
  <si>
    <t>MPZL2_HUMAN</t>
  </si>
  <si>
    <t>O60487</t>
  </si>
  <si>
    <t>A8K2R1</t>
  </si>
  <si>
    <t>EVA EVA1</t>
  </si>
  <si>
    <t>Cell adhesion; Deafness; Disease mutation; Disulfide bond; Glycoprotein; Immunoglobulin domain; Membrane; Non-syndromic deafness; Polymorphism; Signal; Transmembrane; Transmembrane helix</t>
  </si>
  <si>
    <t>anatomical structure morphogenesis {GO:0009653}; homophilic cell adhesion via plasma membrane adhesion molecules {GO:0007156}</t>
  </si>
  <si>
    <t>cytoskeleton {GO:0005856}; integral component of membrane {GO:0016021}</t>
  </si>
  <si>
    <t>Nesfatin-1</t>
  </si>
  <si>
    <t>DNA-binding protein NEFA; Epididymis secretory protein Li 109; Gastric cancer antigen Zg4; Prepronesfatin</t>
  </si>
  <si>
    <t>NUCB2_HUMAN</t>
  </si>
  <si>
    <t>P80303</t>
  </si>
  <si>
    <t>A8K642; D3DQX5; Q8NFT5; V9HW75</t>
  </si>
  <si>
    <t>NEFA</t>
  </si>
  <si>
    <t>Alternative splicing; Calcium; Cleavage on pair of basic residues; Cytoplasm; DNA-binding; Endoplasmic reticulum; Golgi apparatus; Membrane; Metal-binding; Nucleus; Phosphoprotein; Polymorphism; Repeat; Secreted; Signal</t>
  </si>
  <si>
    <t>Cytoplasm; Endoplasmic reticulum; Golgi apparatus; Membrane; Nucleus; Secreted</t>
  </si>
  <si>
    <t>Cleavage on pair of basic residues; Phosphoprotein</t>
  </si>
  <si>
    <t>negative regulation of appetite {GO:0032099}</t>
  </si>
  <si>
    <t>cytosol {GO:0005829}; endoplasmic reticulum {GO:0005783}; endoplasmic reticulum-Golgi intermediate compartment {GO:0005793}; extracellular exosome {GO:0070062}; extracellular space {GO:0005615}; Golgi apparatus {GO:0005794}; nuclear outer membrane {GO:0005640}; plasma membrane {GO:0005886}</t>
  </si>
  <si>
    <t>calcium ion binding {GO:0005509}; DNA binding {GO:0003677}</t>
  </si>
  <si>
    <t>40S ribosomal protein S13</t>
  </si>
  <si>
    <t>Small ribosomal subunit protein uS15</t>
  </si>
  <si>
    <t>RS13_HUMAN</t>
  </si>
  <si>
    <t>P62277</t>
  </si>
  <si>
    <t>B2R549; P19116; Q02546; Q29200; Q498Y0</t>
  </si>
  <si>
    <t>negative regulation of RNA splicing {GO:0033119};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</si>
  <si>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nucleolus {GO:0005730}; nucleoplasm {GO:0005654}; nucleus {GO:0005634}; postsynaptic density {GO:0014069}; ribosome {GO:0005840}</t>
  </si>
  <si>
    <t>mRNA 5'-UTR binding {GO:0048027}; mRNA binding {GO:0003729}; RNA binding {GO:0003723}; small ribosomal subunit rRNA binding {GO:0070181}; structural constituent of ribosome {GO:0003735}</t>
  </si>
  <si>
    <t>Catalase</t>
  </si>
  <si>
    <t>CATA_HUMAN</t>
  </si>
  <si>
    <t>P04040</t>
  </si>
  <si>
    <t>A8K6C0; B2RCZ9; D3DR07; Q2M1U4; Q4VXX5; Q9BWT9; Q9UC85</t>
  </si>
  <si>
    <t>3D-structure; Acetylation; Heme; Hydrogen peroxide; Iron; Metal-binding; Mitogen; NADP; Oxidoreductase; Peroxidase; Peroxisome; Phosphoprotein</t>
  </si>
  <si>
    <t>Heme; Iron; Metal-binding; NADP</t>
  </si>
  <si>
    <t>Mitogen; Oxidoreductase; Peroxidase</t>
  </si>
  <si>
    <t>aerobic respiration {GO:0009060}; aging {GO:0007568}; cellular response to growth factor stimulus {GO:0071363}; cellular response to oxidative stress {GO:0034599}; cholesterol metabolic process {GO:0008203}; hemoglobin metabolic process {GO:0020027}; hydrogen peroxide catabolic process {GO:0042744}; negative regulation of apoptotic process {GO:0043066}; negative regulation of NF-kappaB transcription factor activity {GO:0032088}; neutrophil degranulation {GO:0043312}; osteoblast differentiation {GO:0001649}; positive regulation of cell division {GO:0051781}; positive regulation of NF-kappaB transcription factor activity {GO:0051092}; positive regulation of phosphatidylinositol 3-kinase signaling {GO:0014068}; protein homotetramerization {GO:0051289}; protein targeting to peroxisome {GO:0006625}; protein tetramerization {GO:0051262}; response to activity {GO:0014823}; response to cadmium ion {GO:0046686}; response to estradiol {GO:0032355}; response to ethanol {GO:0045471}; response to fatty acid {GO:0070542}; response to hydrogen peroxide {GO:0042542}; response to hyperoxia {GO:0055093}; response to hypoxia {GO:0001666}; response to inactivity {GO:0014854}; response to insulin {GO:0032868}; response to L-ascorbic acid {GO:0033591}; response to lead ion {GO:0010288}; response to light intensity {GO:0009642}; response to ozone {GO:0010193}; response to phenylpropanoid {GO:0080184}; response to reactive oxygen species {GO:0000302}; response to vitamin A {GO:0033189}; response to vitamin E {GO:0033197}; triglyceride metabolic process {GO:0006641}; ureteric bud development {GO:0001657}; UV protection {GO:0009650}</t>
  </si>
  <si>
    <t>cytosol {GO:0005829}; endoplasmic reticulum {GO:0005783}; extracellular exosome {GO:0070062}; extracellular region {GO:0005576}; ficolin-1-rich granule lumen {GO:1904813}; focal adhesion {GO:0005925}; Golgi apparatus {GO:0005794}; intracellular membrane-bounded organelle {GO:0043231}; lysosome {GO:0005764}; membrane {GO:0016020}; mitochondrial intermembrane space {GO:0005758}; peroxisomal matrix {GO:0005782}; peroxisomal membrane {GO:0005778}; peroxisome {GO:0005777}; plasma membrane {GO:0005886}; secretory granule lumen {GO:0034774}</t>
  </si>
  <si>
    <t>aminoacylase activity {GO:0004046}; antioxidant activity {GO:0016209}; catalase activity {GO:0004096}; enzyme binding {GO:0019899}; heme binding {GO:0020037}; identical protein binding {GO:0042802}; metal ion binding {GO:0046872}; NADP binding {GO:0050661}; oxidoreductase activity, acting on peroxide as acceptor {GO:0016684}; protein homodimerization activity {GO:0042803}; signaling receptor binding {GO:0005102}</t>
  </si>
  <si>
    <t>Detoxification of Reactive Oxygen Species {R-HSA-3299685}; Neutrophil degranulation {R-HSA-6798695}; Peroxisomal protein import {R-HSA-9033241}; FOXO-mediated transcription of oxidative stress, metabolic and neuronal genes {R-HSA-9615017}</t>
  </si>
  <si>
    <t>EphB2/CTF2</t>
  </si>
  <si>
    <t>Developmentally-regulated Eph-related tyrosine kinase; ELK-related tyrosine kinase; EPH tyrosine kinase 3; EPH-like kinase 5 (EK5; hEK5); Renal carcinoma antigen NY-REN-47; Tyrosine-protein kinase TYRO5; Tyrosine-protein kinase receptor EPH-3</t>
  </si>
  <si>
    <t>EPHB2_HUMAN</t>
  </si>
  <si>
    <t>P29323</t>
  </si>
  <si>
    <t>O43477; Q5T0U6; Q5T0U7; Q5T0U8</t>
  </si>
  <si>
    <t>DRT; EPHT3; EPTH3; ERK; HEK5; TYRO5</t>
  </si>
  <si>
    <t>3D-structure; Alternative splicing; ATP-binding; Cell membrane; Cell projection; Developmental protein; Disease mutation; Disulfide bond; Glycoprotein; Kinase; Membrane; Neurogenesis; Nucleotide-binding; Phosphoprotein; Polymorphism; Receptor; Repeat; Signal; Transferase; Transmembrane; Transmembrane helix; Tumor suppressor; Tyrosine-protein kinase; Ubl conjugation</t>
  </si>
  <si>
    <t>Neurogenesis</t>
  </si>
  <si>
    <t>Disease mutation; Tumor suppressor</t>
  </si>
  <si>
    <t>Developmental protein; Kinase; Receptor; Transferase; Tyrosine-protein kinase</t>
  </si>
  <si>
    <t>angiogenesis {GO:0001525}; axon guidance {GO:0007411}; axonal fasciculation {GO:0007413}; camera-type eye morphogenesis {GO:0048593}; central nervous system projection neuron axonogenesis {GO:0021952}; commissural neuron axon guidance {GO:0071679}; corpus callosum development {GO:0022038}; dendritic spine development {GO:0060996}; dendritic spine morphogenesis {GO:0060997}; ephrin receptor signaling pathway {GO:0048013}; inactivation of MAPKK activity {GO:0051389}; inner ear morphogenesis {GO:0042472}; learning {GO:0007612}; learning or memory {GO:0007611}; negative regulation of axonogenesis {GO:0050771}; negative regulation of ERK1 and ERK2 cascade {GO:0070373}; negative regulation of NMDA glutamate receptor activity {GO:1904782}; negative regulation of protein phosphorylation {GO:0001933}; negative regulation of Ras protein signal transduction {GO:0046580}; nervous system development {GO:0007399}; neuron projection retraction {GO:0106028}; optic nerve morphogenesis {GO:0021631}; peptidyl-tyrosine phosphorylation {GO:0018108}; phosphorylation {GO:0016310}; positive regulation of gene expression {GO:0010628}; positive regulation of long-term neuronal synaptic plasticity {GO:0048170}; positive regulation of long-term synaptic potentiation {GO:1900273}; positive regulation of NMDA glutamate receptor activity {GO:1904783}; positive regulation of protein localization to plasma membrane {GO:1903078}; positive regulation of synapse assembly {GO:0051965}; positive regulation of synaptic plasticity {GO:0031915}; postsynaptic membrane assembly {GO:0097104}; regulation of body fluid levels {GO:0050878}; regulation of neuronal synaptic plasticity {GO:0048168}; retinal ganglion cell axon guidance {GO:0031290}; roof of mouth development {GO:0060021}; trans-synaptic signaling by trans-synaptic complex, modulating synaptic transmission {GO:0099557}; transmembrane receptor protein tyrosine kinase signaling pathway {GO:0007169}; urogenital system development {GO:0001655}</t>
  </si>
  <si>
    <t>axon {GO:0030424}; cytosol {GO:0005829}; dendrite {GO:0030425}; extracellular region {GO:0005576}; glutamatergic synapse {GO:0098978}; integral component of plasma membrane {GO:0005887}; integral component of postsynaptic membrane {GO:0099055}; integral component of presynaptic membrane {GO:0099056}; neuron projection {GO:0043005}; neuronal cell body {GO:0043025}; nucleus {GO:0005634}; plasma membrane {GO:0005886}; postsynapse {GO:0098794}; receptor complex {GO:0043235}</t>
  </si>
  <si>
    <t>amyloid-beta binding {GO:0001540}; ATP binding {GO:0005524}; axon guidance receptor activity {GO:0008046}; identical protein binding {GO:0042802}; protein tyrosine kinase activity {GO:0004713}; protein-containing complex binding {GO:0044877}; signaling receptor binding {GO:0005102}; transmembrane receptor protein tyrosine kinase activity {GO:0004714}; transmembrane-ephrin receptor activity {GO:0005005}</t>
  </si>
  <si>
    <t>EPH-Ephrin signaling {R-HSA-2682334}; L1CAM interactions {R-HSA-373760}; EPHB-mediated forward signaling {R-HSA-3928662}; Ephrin signaling {R-HSA-3928664}; EPH-ephrin mediated repulsion of cells {R-HSA-3928665}</t>
  </si>
  <si>
    <t>Rho-related GTP-binding protein RhoG</t>
  </si>
  <si>
    <t>RHOG_HUMAN</t>
  </si>
  <si>
    <t>P84095</t>
  </si>
  <si>
    <t>P35238; Q8NI04</t>
  </si>
  <si>
    <t>ARHG</t>
  </si>
  <si>
    <t>ADP-ribosylation; Cell membrane; GTP-binding; Lipoprotein; Membrane; Methylation; Nucleotide-binding; Phosphoprotein; Prenylation</t>
  </si>
  <si>
    <t>ADP-ribosylation; Lipoprotein; Methylation; Phosphoprotein; Prenylation</t>
  </si>
  <si>
    <t>actin cytoskeleton organization {GO:0030036}; actin filament organization {GO:0007015}; activation of GTPase activity {GO:0090630}; cell chemotaxis {GO:0060326}; establishment or maintenance of cell polarity {GO:0007163}; neutrophil degranulation {GO:0043312}; positive regulation of cell population proliferation {GO:0008284}; positive regulation of protein kinase B signaling {GO:0051897}; positive regulation of protein localization to plasma membrane {GO:1903078}; positive regulation of transcription, DNA-templated {GO:0045893}; Rac protein signal transduction {GO:0016601}; regulation of actin cytoskeleton organization {GO:0032956}; regulation of cell shape {GO:0008360}; regulation of ruffle assembly {GO:1900027}; regulation of small GTPase mediated signal transduction {GO:0051056}; Rho protein signal transduction {GO:0007266}</t>
  </si>
  <si>
    <t>cell cortex {GO:0005938}; cell projection {GO:0042995}; cytoplasm {GO:0005737}; cytosol {GO:0005829}; endoplasmic reticulum membrane {GO:0005789}; extracellular exosome {GO:0070062}; focal adhesion {GO:0005925}; plasma membrane {GO:0005886}; secretory granule membrane {GO:0030667}</t>
  </si>
  <si>
    <t>GTP binding {GO:0005525}; GTPase activity {GO:0003924}; protein kinase binding {GO:0019901}</t>
  </si>
  <si>
    <t>GPVI-mediated activation cascade {R-HSA-114604}; PIP3 activates AKT signaling {R-HSA-1257604}; Rho GTPase cycle {R-HSA-194840}; Constitutive Signaling by Aberrant PI3K in Cancer {R-HSA-2219530}; RHO GTPases activate KTN1 {R-HSA-5625970}; Neutrophil degranulation {R-HSA-6798695}; PI5P, PP2A and IER3 Regulate PI3K/AKT Signaling {R-HSA-6811558}</t>
  </si>
  <si>
    <t>Ragulator complex protein LAMTOR5</t>
  </si>
  <si>
    <t>Hepatitis B virus X-interacting protein (HBV X-interacting protein; HBX-interacting protein); Late endosomal/lysosomal adaptor and MAPK and MTOR activator 5</t>
  </si>
  <si>
    <t>LTOR5_HUMAN</t>
  </si>
  <si>
    <t>O43504</t>
  </si>
  <si>
    <t>Q6IBD8</t>
  </si>
  <si>
    <t>HBXIP; XIP</t>
  </si>
  <si>
    <t>3D-structure; Acetylation; Cytoplasm; Lysosome</t>
  </si>
  <si>
    <t>Cytoplasm; Lysosome</t>
  </si>
  <si>
    <t>cell cycle arrest {GO:0007050}; cellular response to amino acid stimulus {GO:0071230}; negative regulation of apoptotic process {GO:0043066}; negative regulation of cysteine-type endopeptidase activity involved in apoptotic process {GO:0043154}; positive regulation of TOR signaling {GO:0032008}; positive regulation of TORC1 signaling {GO:1904263}; protein localization to lysosome {GO:0061462}; regulation of cell size {GO:0008361}; regulation of macroautophagy {GO:0016241}; response to virus {GO:0009615}; viral genome replication {GO:0019079}</t>
  </si>
  <si>
    <t>cytosol {GO:0005829}; lysosomal membrane {GO:0005765}; lysosome {GO:0005764}; Ragulator complex {GO:0071986}</t>
  </si>
  <si>
    <t>Macroautophagy {R-HSA-1632852}; mTOR signalling {R-HSA-165159}; mTORC1-mediated signalling {R-HSA-166208}; Energy dependent regulation of mTOR by LKB1-AMPK {R-HSA-380972}; TP53 Regulates Metabolic Genes {R-HSA-5628897}; Regulation of PTEN gene transcription {R-HSA-8943724}</t>
  </si>
  <si>
    <t>27 kDa interstitial collagenase</t>
  </si>
  <si>
    <t>Fibroblast collagenase; Matrix metalloproteinase-1 (MMP-1)</t>
  </si>
  <si>
    <t>MMP1_HUMAN</t>
  </si>
  <si>
    <t>P03956</t>
  </si>
  <si>
    <t>P08156</t>
  </si>
  <si>
    <t>CLG</t>
  </si>
  <si>
    <t>3D-structure; Autocatalytic cleavage; Calcium; Collagen degradation; Disulfide bond; Extracellular matrix; Glycoprotein; Host-virus interaction; Hydrolase; Metal-binding; Metalloprotease; Phosphoprotein; Polymorphism; Protease; Repeat; Secreted; Signal; Zinc; Zymogen</t>
  </si>
  <si>
    <t>Collagen degradation; Host-virus interaction</t>
  </si>
  <si>
    <t>Autocatalytic cleavage; Disulfide bond; Glycoprotein; Phosphoprotein; Zymogen</t>
  </si>
  <si>
    <t>cellular protein metabolic process {GO:0044267}; collagen catabolic process {GO:0030574}; cytokine-mediated signaling pathway {GO:0019221}; extracellular matrix disassembly {GO:0022617}; extracellular matrix organization {GO:0030198}; leukocyte migration {GO:0050900}; positive regulation of protein oligomerization {GO:0032461}; proteolysis {GO:0006508}; viral process {GO:0016032}</t>
  </si>
  <si>
    <t>Collagen degradation {R-HSA-1442490}; Degradation of the extracellular matrix {R-HSA-1474228}; Activation of Matrix Metalloproteinases {R-HSA-1592389}; Basigin interactions {R-HSA-210991}; Regulation of Insulin-like Growth Factor (IGF) transport and uptake by Insulin-like Growth Factor Binding Proteins (IGFBPs) {R-HSA-381426}; Interleukin-4 and Interleukin-13 signaling {R-HSA-6785807}</t>
  </si>
  <si>
    <t>Pyruvate carboxylase, mitochondrial</t>
  </si>
  <si>
    <t>Pyruvic carboxylase (PCB)</t>
  </si>
  <si>
    <t>PYC_HUMAN</t>
  </si>
  <si>
    <t>P11498</t>
  </si>
  <si>
    <t>B4DN00; Q16705</t>
  </si>
  <si>
    <t>3D-structure; Acetylation; Alternative splicing; ATP-binding; Biotin; Disease mutation; Gluconeogenesis; Ligase; Lipid biosynthesis; Lipid metabolism; Manganese; Metal-binding; Mitochondrion; Multifunctional enzyme; Nucleotide-binding; Phosphoprotein; Polymorphism; Pyruvate; Transit peptide</t>
  </si>
  <si>
    <t>Gluconeogenesis; Lipid biosynthesis; Lipid metabolism</t>
  </si>
  <si>
    <t>ATP-binding; Biotin; Manganese; Metal-binding; Nucleotide-binding; Pyruvate</t>
  </si>
  <si>
    <t>Ligase; Multifunctional enzyme</t>
  </si>
  <si>
    <t>biotin metabolic process {GO:0006768}; gluconeogenesis {GO:0006094}; lipid metabolic process {GO:0006629}; negative regulation of gene expression {GO:0010629}; positive regulation by host of viral process {GO:0044794}; positive regulation by host of viral release from host cell {GO:0044791}; pyruvate metabolic process {GO:0006090}; viral RNA genome packaging {GO:0019074}</t>
  </si>
  <si>
    <t>ATP binding {GO:0005524}; biotin binding {GO:0009374}; identical protein binding {GO:0042802}; metal ion binding {GO:0046872}; pyruvate carboxylase activity {GO:0004736}</t>
  </si>
  <si>
    <t>Biotin transport and metabolism {R-HSA-196780}; Defective HLCS causes multiple carboxylase deficiency {R-HSA-3371599}; Gluconeogenesis {R-HSA-70263}</t>
  </si>
  <si>
    <t>HLA class I histocompatibility antigen, A-68 alpha chain</t>
  </si>
  <si>
    <t>Aw-68; HLA class I histocompatibility antigen, A-28 alpha chain; MHC class I antigen A*68</t>
  </si>
  <si>
    <t>1A68_HUMAN</t>
  </si>
  <si>
    <t>P01891</t>
  </si>
  <si>
    <t>O19673; O19695; O19794; O19795; O43907; O77938; O98010; P10315; P79505; Q9MYA5; Q9MYC4; Q9TQG7; Q9TQN5; Q9UIN2</t>
  </si>
  <si>
    <t>HLAA</t>
  </si>
  <si>
    <t>3D-structure; Disulfide bond; Glycoprotein; Immunity; Membrane; MHC I; Phosphoprotein; Polymorphism; Signal; Transmembrane; Transmembrane helix; Ubl conjugation</t>
  </si>
  <si>
    <t>MHC I; Membrane</t>
  </si>
  <si>
    <t>antigen processing and presentation of endogenous peptide antigen via MHC class I via ER pathway, TAP-independent {GO:0002486}; antigen processing and presentation of endogenous peptide antigen via MHC class Ib {GO:0002476}; antigen processing and presentation of exogenous peptide antigen via MHC class I, TAP-dependent {GO:0002479}; antigen processing and presentation of exogenous peptide antigen via MHC class I, TAP-independent {GO:0002480}; antigen processing and presentation of peptide antigen via MHC class I {GO:0002474}; immune response {GO:0006955}; interferon-gamma-mediated signaling pathway {GO:0060333}; positive regulation of T cell mediated cytotoxicity {GO:0001916}; regulation of immune response {GO:0050776}; type I interferon signaling pathway {GO:0060337}</t>
  </si>
  <si>
    <t>cell surface {GO:0009986}; early endosome membrane {GO:0031901}; endoplasmic reticulum {GO:0005783}; ER to Golgi transport vesicle membrane {GO:0012507}; external side of plasma membrane {GO:0009897}; extracellular space {GO:0005615}; Golgi apparatus {GO:0005794}; Golgi membrane {GO:0000139}; integral component of lumenal side of endoplasmic reticulum membrane {GO:0071556}; MHC class I protein complex {GO:0042612}; phagocytic vesicle membrane {GO:0030670}; plasma membrane {GO:0005886}; recycling endosome membrane {GO:0055038}</t>
  </si>
  <si>
    <t>beta-2-microglobulin binding {GO:0030881}; peptide antigen binding {GO:0042605}; RNA binding {GO:0003723}; signaling receptor binding {GO:0005102}</t>
  </si>
  <si>
    <t>ER-Phagosome pathway {R-HSA-1236974}; Endosomal/Vacuolar pathway {R-HSA-1236977}; Immunoregulatory interactions between a Lymphoid and a non-Lymphoid cell {R-HSA-198933}; Interferon gamma signaling {R-HSA-877300}; Interferon alpha/beta signaling {R-HSA-909733}; Antigen Presentation: Folding, assembly and peptide loading of class I MHC {R-HSA-983170}</t>
  </si>
  <si>
    <t>Cystatin-C</t>
  </si>
  <si>
    <t>Cystatin-3; Gamma-trace; Neuroendocrine basic polypeptide; Post-gamma-globulin</t>
  </si>
  <si>
    <t>CYTC_HUMAN</t>
  </si>
  <si>
    <t>P01034</t>
  </si>
  <si>
    <t>B2R5J9; D3DW42; Q6FGW9</t>
  </si>
  <si>
    <t>3D-structure; Age-related macular degeneration; Amyloid; Amyloidosis; Disease mutation; Disulfide bond; Glycoprotein; Phosphoprotein; Polymorphism; Protease inhibitor; Secreted; Signal; Thiol protease inhibitor</t>
  </si>
  <si>
    <t>Amyloid; Secreted</t>
  </si>
  <si>
    <t>Age-related macular degeneration; Amyloidosis; Disease mutation</t>
  </si>
  <si>
    <t>apoptotic process {GO:0006915}; brain development {GO:0007420}; cellular protein metabolic process {GO:0044267}; cellular response to hydrogen peroxide {GO:0070301}; circadian sleep/wake cycle, REM sleep {GO:0042747}; defense response {GO:0006952}; embryo implantation {GO:0007566}; eye development {GO:0001654}; negative regulation of blood vessel remodeling {GO:0060313}; negative regulation of cell death {GO:0060548}; negative regulation of collagen catabolic process {GO:0010711}; negative regulation of elastin catabolic process {GO:0060311}; negative regulation of extracellular matrix disassembly {GO:0010716}; negative regulation of peptidase activity {GO:0010466}; negative regulation of proteolysis {GO:0045861}; neutrophil degranulation {GO:0043312}; positive regulation of cell population proliferation {GO:0008284}; positive regulation of DNA replication {GO:0045740}; post-translational protein modification {GO:0043687}; regulation of programmed cell death {GO:0043067}; regulation of tissue remodeling {GO:0034103}; response to axon injury {GO:0048678}; response to carbohydrate {GO:0009743}; response to estradiol {GO:0032355}; response to hypoxia {GO:0001666}; response to nutrient levels {GO:0031667}; salivary gland development {GO:0007431}; Sertoli cell development {GO:0060009}; supramolecular fiber organization {GO:0097435}</t>
  </si>
  <si>
    <t>axon {GO:0030424}; basement membrane {GO:0005604}; contractile fiber {GO:0043292}; endoplasmic reticulum {GO:0005783}; endoplasmic reticulum lumen {GO:0005788}; extracellular exosome {GO:0070062}; extracellular region {GO:0005576}; extracellular space {GO:0005615}; ficolin-1-rich granule lumen {GO:1904813}; Golgi apparatus {GO:0005794}; lysosome {GO:0005764}; multivesicular body {GO:0005771}; neuronal cell body {GO:0043025}; nuclear membrane {GO:0031965}; perinuclear region of cytoplasm {GO:0048471}; plasma membrane {GO:0005886}; tertiary granule lumen {GO:1904724}</t>
  </si>
  <si>
    <t>amyloid-beta binding {GO:0001540}; cysteine-type endopeptidase inhibitor activity {GO:0004869}; endopeptidase inhibitor activity {GO:0004866}; identical protein binding {GO:0042802}; peptidase inhibitor activity {GO:0030414}; protease binding {GO:0002020}</t>
  </si>
  <si>
    <t>Regulation of Insulin-like Growth Factor (IGF) transport and uptake by Insulin-like Growth Factor Binding Proteins (IGFBPs) {R-HSA-381426}; Neutrophil degranulation {R-HSA-6798695}; Post-translational protein phosphorylation {R-HSA-8957275}; Amyloid fiber formation {R-HSA-977225}</t>
  </si>
  <si>
    <t>Tubulin beta chain</t>
  </si>
  <si>
    <t>Tubulin beta-5 chain</t>
  </si>
  <si>
    <t>TBB5_HUMAN</t>
  </si>
  <si>
    <t>P07437</t>
  </si>
  <si>
    <t>P05218; Q8WUC1; Q9CY33</t>
  </si>
  <si>
    <t>TUBB5</t>
  </si>
  <si>
    <t>3D-structure; Acetylation; Cytoplasm; Cytoskeleton; Disease mutation; GTP-binding; Isopeptide bond; Methylation; Microtubule; Nucleotide-binding; Phosphoprotein; Ubl conjugation</t>
  </si>
  <si>
    <t>Cytoplasm; Cytoskeleton; Microtubule</t>
  </si>
  <si>
    <t>cell division {GO:0051301}; cellular process {GO:0009987}; ciliary basal body-plasma membrane docking {GO:0097711}; cytoskeleton-dependent intracellular transport {GO:0030705}; G2/M transition of mitotic cell cycle {GO:0000086}; microtubule cytoskeleton organization {GO:0000226}; microtubule-based process {GO:0007017}; mitotic cell cycle {GO:0000278}; natural killer cell mediated cytotoxicity {GO:0042267}; neutrophil degranulation {GO:0043312}; regulation of G2/M transition of mitotic cell cycle {GO:0010389}; regulation of synapse organization {GO:0050807}; spindle assembly {GO:0051225}</t>
  </si>
  <si>
    <t>azurophil granule lumen {GO:0035578}; cell body {GO:0044297}; cytoplasm {GO:0005737}; cytoplasmic ribonucleoprotein granule {GO:0036464}; cytoskeleton {GO:0005856}; extracellular exosome {GO:0070062}; extracellular region {GO:0005576}; membrane raft {GO:0045121}; microtubule {GO:0005874}; nuclear envelope lumen {GO:0005641}; nucleus {GO:0005634}</t>
  </si>
  <si>
    <t>GTP binding {GO:0005525}; GTPase activating protein binding {GO:0032794}; GTPase activity {GO:0003924}; MHC class I protein binding {GO:0042288}; protein domain specific binding {GO:0019904}; protein-containing complex binding {GO:0044877}; structural constituent of cytoskeleton {GO:0005200}; structural molecule activity {GO:0005198}; ubiquitin protein ligase binding {GO:0031625}</t>
  </si>
  <si>
    <t>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Neutrophil degranulation {R-HSA-6798695}; AURKA Activation by TPX2 {R-HSA-8854518}</t>
  </si>
  <si>
    <t>HLA class I histocompatibility antigen, B-73 alpha chain</t>
  </si>
  <si>
    <t>MHC class I antigen B*73</t>
  </si>
  <si>
    <t>1B73_HUMAN</t>
  </si>
  <si>
    <t>Q31612</t>
  </si>
  <si>
    <t>G3GN01</t>
  </si>
  <si>
    <t>HLAB</t>
  </si>
  <si>
    <t>Disulfide bond; Glycoprotein; Immunity; Membrane; MHC I; Polymorphism; Signal; Transmembrane; Transmembrane helix; Ubl conjugation</t>
  </si>
  <si>
    <t>peptide antigen binding {GO:0042605}; signaling receptor binding {GO:0005102}</t>
  </si>
  <si>
    <t>HLA class I histocompatibility antigen, Cw-17 alpha chain</t>
  </si>
  <si>
    <t>MHC class I antigen Cw*17</t>
  </si>
  <si>
    <t>1C17_HUMAN</t>
  </si>
  <si>
    <t>Q95604</t>
  </si>
  <si>
    <t>O02864; O02958; Q29643; Q9MY30</t>
  </si>
  <si>
    <t>D6S204; HLA-JY3; HLAC</t>
  </si>
  <si>
    <t>Histone H1.3</t>
  </si>
  <si>
    <t>Histone H1c; Histone H1s-2</t>
  </si>
  <si>
    <t>H13_HUMAN</t>
  </si>
  <si>
    <t>P16402</t>
  </si>
  <si>
    <t>B2R751; Q2M2I2</t>
  </si>
  <si>
    <t>H1F3</t>
  </si>
  <si>
    <t>Acetylation; Chromosome; Citrullination; DNA-binding; Hydroxylation; Nucleus; Phosphoprotein; Polymorphism</t>
  </si>
  <si>
    <t>Acetylation; Citrullination; Hydroxylation; Phosphoprotein</t>
  </si>
  <si>
    <t>chromosome condensation {GO:0030261}; histone H3-K27 trimethylation {GO:0098532}; histone H3-K4 trimethylation {GO:0080182}; negative regulation of chromatin silencing {GO:0031936}; negative regulation of DNA recombination {GO:0045910}; negative regulation of transcription by RNA polymerase II {GO:0000122}; nucleosome assembly {GO:0006334}; nucleosome positioning {GO:0016584}; regulation of transcription, DNA-templated {GO:0006355}</t>
  </si>
  <si>
    <t>nuclear chromatin {GO:0000790}; nuclear euchromatin {GO:0005719}; nucleosome {GO:0000786}; nucleus {GO:0005634}</t>
  </si>
  <si>
    <t>chromatin DNA binding {GO:0031490}; double-stranded DNA binding {GO:0003690}; nucleosomal DNA binding {GO:0031492}; RNA binding {GO:0003723}</t>
  </si>
  <si>
    <t>Apoptosis induced DNA fragmentation {R-HSA-140342}; Formation of Senescence-Associated Heterochromatin Foci (SAHF) {R-HSA-2559584}</t>
  </si>
  <si>
    <t>Complement component C8 beta chain</t>
  </si>
  <si>
    <t>Complement component 8 subunit beta</t>
  </si>
  <si>
    <t>CO8B_HUMAN</t>
  </si>
  <si>
    <t>P07358</t>
  </si>
  <si>
    <t>A1L4K7</t>
  </si>
  <si>
    <t>3D-structure; Complement alternate pathway; Complement pathway; Cytolysis; Disulfide bond; EGF-like domain; Glycoprotein; Immunity; Innate immunity; Membrane attack complex; Phosphoprotein; Polymorphism; Repeat; Secreted; Signal</t>
  </si>
  <si>
    <t>Membrane attack complex; Secreted</t>
  </si>
  <si>
    <t>extracellular exosome {GO:0070062}; extracellular region {GO:0005576}; extracellular vesicle {GO:1903561}; membrane {GO:0016020}; membrane attack complex {GO:0005579}</t>
  </si>
  <si>
    <t>protein-containing complex binding {GO:0044877}</t>
  </si>
  <si>
    <t>Cystatin-B</t>
  </si>
  <si>
    <t>CPI-B; Liver thiol proteinase inhibitor; Stefin-B</t>
  </si>
  <si>
    <t>CYTB_HUMAN</t>
  </si>
  <si>
    <t>P04080</t>
  </si>
  <si>
    <t>CST6; STFB</t>
  </si>
  <si>
    <t>3D-structure; Acetylation; Cytoplasm; Disease mutation; Epilepsy; Nucleus; Protease inhibitor; Thiol protease inhibitor</t>
  </si>
  <si>
    <t>adult locomotory behavior {GO:0008344}; negative regulation of peptidase activity {GO:0010466}; negative regulation of proteolysis {GO:0045861}; neutrophil degranulation {GO:0043312}</t>
  </si>
  <si>
    <t>collagen-containing extracellular matrix {GO:0062023}; cytoplasm {GO:0005737}; cytosol {GO:0005829}; extracellular exosome {GO:0070062}; extracellular region {GO:0005576}; extracellular space {GO:0005615}; ficolin-1-rich granule lumen {GO:1904813}; nucleolus {GO:0005730}; secretory granule lumen {GO:0034774}; tertiary granule lumen {GO:1904724}</t>
  </si>
  <si>
    <t>cysteine-type endopeptidase inhibitor activity {GO:0004869}; endopeptidase inhibitor activity {GO:0004866}; protease binding {GO:0002020}; RNA binding {GO:0003723}</t>
  </si>
  <si>
    <t>Small ubiquitin-related modifier 2 (SUMO-2)</t>
  </si>
  <si>
    <t>HSMT3; SMT3 homolog 2; SUMO-3; Sentrin-2; Ubiquitin-like protein SMT3B (Smt3B)</t>
  </si>
  <si>
    <t>SUMO2_HUMAN</t>
  </si>
  <si>
    <t>P61956</t>
  </si>
  <si>
    <t>B2R4I2; P55855; Q32Q42; Q6IPZ6; Q96HK1</t>
  </si>
  <si>
    <t>3D-structure; Acetylation; Alternative splicing; Isopeptide bond; Nucleus; Polymorphism; Ubl conjugation; Ubl conjugation pathway</t>
  </si>
  <si>
    <t>positive regulation of proteasomal ubiquitin-dependent protein catabolic process {GO:0032436}; positive regulation of transcription by RNA polymerase II {GO:0045944}; protein sumoylation {GO:0016925}</t>
  </si>
  <si>
    <t>nucleoplasm {GO:0005654}; nucleus {GO:0005634}; PML body {GO:0016605}</t>
  </si>
  <si>
    <t>protein tag {GO:0031386}; RNA binding {GO:0003723}; SUMO transferase activity {GO:0019789}; transcription corepressor binding {GO:0001222}; ubiquitin protein ligase binding {GO:0031625}; ubiquitin-like protein ligase binding {GO:0044389}</t>
  </si>
  <si>
    <t>Vitamin D (calciferol) metabolism {R-HSA-196791}; SUMO is conjugated to E1 (UBA2:SAE1) {R-HSA-3065676}; SUMO is transferred from E1 to E2 (UBE2I, UBC9) {R-HSA-3065678}; SUMO is proteolytically processed {R-HSA-3065679}; SUMOylation of DNA damage response and repair proteins {R-HSA-3108214}; SUMOylation of transcription factors {R-HSA-3232118}; SUMOylation of transcription cofactors {R-HSA-3899300}; SUMOylation of SUMOylation proteins {R-HSA-4085377}; SUMOylation of intracellular receptors {R-HSA-4090294}; SUMOylation of chromatin organization proteins {R-HSA-4551638}; SUMOylation of RNA binding proteins {R-HSA-4570464}; SUMOylation of DNA replication proteins {R-HSA-4615885}; Processing of DNA double-strand break ends {R-HSA-5693607}; Formation of Incision Complex in GG-NER {R-HSA-5696395}</t>
  </si>
  <si>
    <t>2-hydroxyacyl-CoA lyase 1</t>
  </si>
  <si>
    <t>2-hydroxyphytanoyl-CoA lyase (2-HPCL); Phytanoyl-CoA 2-hydroxylase 2</t>
  </si>
  <si>
    <t>HACL1_HUMAN</t>
  </si>
  <si>
    <t>Q9UJ83</t>
  </si>
  <si>
    <t>B4DWI1; B4DXI5; E9PEN4; Q9BV42; Q9P0A2</t>
  </si>
  <si>
    <t>HPCL; HPCL2; PHYH2</t>
  </si>
  <si>
    <t>Alternative splicing; Lyase; Magnesium; Metal-binding; Peroxisome; Phosphoprotein; Thiamine pyrophosphate</t>
  </si>
  <si>
    <t>Magnesium; Metal-binding; Thiamine pyrophosphate</t>
  </si>
  <si>
    <t>fatty acid alpha-oxidation {GO:0001561}; protein complex oligomerization {GO:0051259}; protein targeting to peroxisome {GO:0006625}</t>
  </si>
  <si>
    <t>cytosol {GO:0005829}; peroxisomal matrix {GO:0005782}; peroxisome {GO:0005777}</t>
  </si>
  <si>
    <t>carbon-carbon lyase activity {GO:0016830}; cofactor binding {GO:0048037}; identical protein binding {GO:0042802}; magnesium ion binding {GO:0000287}; signaling receptor binding {GO:0005102}; thiamine pyrophosphate binding {GO:0030976}</t>
  </si>
  <si>
    <t>Alpha-oxidation of phytanate {R-HSA-389599}; Peroxisomal protein import {R-HSA-9033241}</t>
  </si>
  <si>
    <t>Biotinidase (Biotinase)</t>
  </si>
  <si>
    <t>BTD_HUMAN</t>
  </si>
  <si>
    <t>P43251</t>
  </si>
  <si>
    <t>A6NHF2; B2R865; B4DFX1; B4DLJ9; B7Z7C9; F8W1Q3; Q96EM9</t>
  </si>
  <si>
    <t>Alternative splicing; Disease mutation; Glycoprotein; Hydrolase; Polymorphism; Secreted; Signal</t>
  </si>
  <si>
    <t>biotin metabolic process {GO:0006768}; central nervous system development {GO:0007417}</t>
  </si>
  <si>
    <t>extracellular exosome {GO:0070062}; extracellular region {GO:0005576}; extracellular space {GO:0005615}; mitochondrial matrix {GO:0005759}</t>
  </si>
  <si>
    <t>biotinidase activity {GO:0047708}</t>
  </si>
  <si>
    <t>Biotin transport and metabolism {R-HSA-196780}; Defective BTD causes biotidinase deficiency {R-HSA-3371598}</t>
  </si>
  <si>
    <t>26S proteasome non-ATPase regulatory subunit 4</t>
  </si>
  <si>
    <t>26S proteasome regulatory subunit RPN10; 26S proteasome regulatory subunit S5A; Antisecretory factor 1 (AF; ASF); Multiubiquitin chain-binding protein</t>
  </si>
  <si>
    <t>PSMD4_HUMAN</t>
  </si>
  <si>
    <t>P55036</t>
  </si>
  <si>
    <t>D3DV16; Q5VWC5; Q9NS92</t>
  </si>
  <si>
    <t>MCB1</t>
  </si>
  <si>
    <t>3D-structure; Alternative splicing; Isopeptide bond; Phosphoprotein; Proteasome; Repeat; Ubl conjugation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</si>
  <si>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proteasome assembly {GO:0043248};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</si>
  <si>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nucleoplasm {GO:0005654}; nucleus {GO:0005634}; proteasome accessory complex {GO:0022624}; proteasome complex {GO:0000502}; proteasome regulatory particle, base subcomplex {GO:0008540}</t>
  </si>
  <si>
    <t>identical protein binding {GO:0042802}; polyubiquitin modification-dependent protein binding {GO:0031593}; RNA binding {GO:0003723}</t>
  </si>
  <si>
    <t>Enteropeptidase catalytic light chain</t>
  </si>
  <si>
    <t>Enterokinase; Serine protease 7; Transmembrane protease serine 15</t>
  </si>
  <si>
    <t>ENTK_HUMAN</t>
  </si>
  <si>
    <t>P98073</t>
  </si>
  <si>
    <t>Q2NKL7</t>
  </si>
  <si>
    <t>ENTK; PRSS7</t>
  </si>
  <si>
    <t>3D-structure; Disulfide bond; Glycoprotein; Hydrolase; Lipoprotein; Membrane; Myristate; Polymorphism; Protease; Repeat; Serine protease; Signal-anchor; Transmembrane; Transmembrane helix; Zymogen</t>
  </si>
  <si>
    <t>Disulfide bond; Glycoprotein; Lipoprotein; Myristate; Zymogen</t>
  </si>
  <si>
    <t>brush border {GO:0005903}; integral component of membrane {GO:0016021}; membrane {GO:0016020}</t>
  </si>
  <si>
    <t>scavenger receptor activity {GO:0005044}; serine-type endopeptidase activity {GO:0004252}</t>
  </si>
  <si>
    <t>Type 2 lactosamine alpha-2,3-sialyltransferase</t>
  </si>
  <si>
    <t>CMP-NeuAc:beta-galactoside alpha-2,3-sialyltransferase VI; ST3Gal VI (ST3GalVI); Sialyltransferase 10</t>
  </si>
  <si>
    <t>SIA10_HUMAN</t>
  </si>
  <si>
    <t>Q9Y274</t>
  </si>
  <si>
    <t>B2RCH2; B3KMI1; D3DN39; F8W6U0</t>
  </si>
  <si>
    <t>SIAT10</t>
  </si>
  <si>
    <t>Alternative splicing; Glycoprotein; Glycosyltransferase; Golgi apparatus; Membrane; Polymorphism; Signal-anchor; Transferase; Transmembrane; Transmembrane helix</t>
  </si>
  <si>
    <t>cellular protein modification process {GO:0006464}; cellular response to interleukin-6 {GO:0071354}; glycolipid biosynthetic process {GO:0009247}; glycolipid metabolic process {GO:0006664}; keratan sulfate biosynthetic process {GO:0018146}; oligosaccharide metabolic process {GO:0009311}; protein glycosylation {GO:0006486}</t>
  </si>
  <si>
    <t>extracellular exosome {GO:0070062}; Golgi membrane {GO:0000139}; integral component of membrane {GO:0016021}</t>
  </si>
  <si>
    <t>beta-galactoside alpha-2,3-sialyltransferase activity {GO:0052798}; sialyltransferase activity {GO:0008373}</t>
  </si>
  <si>
    <t>Pre-NOTCH Processing in Golgi {R-HSA-1912420}; Keratan sulfate biosynthesis {R-HSA-2022854}; Sialic acid metabolism {R-HSA-4085001}; Lewis blood group biosynthesis {R-HSA-9037629}</t>
  </si>
  <si>
    <t>Ceruloplasmin</t>
  </si>
  <si>
    <t>Ferroxidase</t>
  </si>
  <si>
    <t>CERU_HUMAN</t>
  </si>
  <si>
    <t>P00450</t>
  </si>
  <si>
    <t>Q14063; Q2PP18; Q9UKS4</t>
  </si>
  <si>
    <t>3D-structure; Copper; Copper transport; Disulfide bond; Glycoprotein; Ion transport; Metal-binding; Oxidoreductase; Phosphoprotein; Polymorphism; Repeat; Secreted; Signal; Transport</t>
  </si>
  <si>
    <t>Copper transport; Ion transport; Transport</t>
  </si>
  <si>
    <t>cellular iron ion homeostasis {GO:0006879}; cellular protein metabolic process {GO:0044267}; copper ion transport {GO:0006825}; iron ion homeostasis {GO:0055072}; iron ion transport {GO:0006826}; post-translational protein modification {GO:0043687}</t>
  </si>
  <si>
    <t>blood microparticle {GO:0072562}; endoplasmic reticulum lumen {GO:0005788}; extracellular exosome {GO:0070062}; extracellular region {GO:0005576}; extracellular space {GO:0005615}; lysosomal membrane {GO:0005765}; plasma membrane {GO:0005886}</t>
  </si>
  <si>
    <t>chaperone binding {GO:0051087}; copper ion binding {GO:0005507}; ferroxidase activity {GO:0004322}</t>
  </si>
  <si>
    <t>Regulation of Insulin-like Growth Factor (IGF) transport and uptake by Insulin-like Growth Factor Binding Proteins (IGFBPs) {R-HSA-381426}; Metal ion SLC transporters {R-HSA-425410}; Defective SLC40A1 causes hemochromatosis 4 (HFE4) (macrophages) {R-HSA-5619049}; Defective CP causes aceruloplasminemia (ACERULOP) {R-HSA-5619060}; Post-translational protein phosphorylation {R-HSA-8957275}; Iron uptake and transport {R-HSA-917937}</t>
  </si>
  <si>
    <t>40S ribosomal protein SA</t>
  </si>
  <si>
    <t>37 kDa laminin receptor precursor (37LRP); 37/67 kDa laminin receptor (LRP/LR); 67 kDa laminin receptor (67LR); Colon carcinoma laminin-binding protein; Laminin receptor 1 (LamR); Laminin-binding protein precursor p40 (LBP/p40); Multidrug resistance-associated protein MGr1-Ag; NEM/1CHD4; Small ribosomal subunit protein uS2</t>
  </si>
  <si>
    <t>RSSA_HUMAN</t>
  </si>
  <si>
    <t>P08865</t>
  </si>
  <si>
    <t>P11085; P12030; Q16471; Q6IPD1; Q6IPD2; Q6NSD1; Q6NXQ8; Q86VC0</t>
  </si>
  <si>
    <t>3D-structure; Acetylation; Cell membrane; Cytoplasm; Disease mutation; Host cell receptor for virus entry; Host-virus interaction; Isopeptide bond; Membrane; Nucleus; Phosphoprotein; Polymorphism; Receptor; Repeat; Ribonucleoprotein; Ribosomal protein; Ubl conjugation</t>
  </si>
  <si>
    <t>Host cell receptor for virus entry; Receptor; Ribonucleoprotein; Ribosomal protein</t>
  </si>
  <si>
    <t>cell adhesion {GO:0007155}; cytoplasmic translation {GO:0002181}; nuclear-transcribed mRNA catabolic process, nonsense-mediated decay {GO:0000184}; ribosomal small subunit assembly {GO:0000028};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</si>
  <si>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extracellular exosome {GO:0070062}; membrane {GO:0016020}; nucleoplasm {GO:0005654}; nucleus {GO:0005634}; plasma membrane {GO:0005886}</t>
  </si>
  <si>
    <t>laminin binding {GO:0043236}; laminin receptor activity {GO:0005055}; ribosome binding {GO:0043022}; RNA binding {GO:0003723}; structural constituent of ribosome {GO:0003735}; virus receptor activity {GO:0001618}</t>
  </si>
  <si>
    <t>Carboxypeptidase Q</t>
  </si>
  <si>
    <t>Lysosomal dipeptidase; Plasma glutamate carboxypeptidase</t>
  </si>
  <si>
    <t>CBPQ_HUMAN</t>
  </si>
  <si>
    <t>Q9Y646</t>
  </si>
  <si>
    <t>B2RD88; Q8NBZ1; Q9UNM8; Q9Y5X6</t>
  </si>
  <si>
    <t>LCH1; PGCP</t>
  </si>
  <si>
    <t>Carboxypeptidase; Endoplasmic reticulum; Glycoprotein; Golgi apparatus; Hydrolase; Lysosome; Metal-binding; Metalloprotease; Polymorphism; Protease; Secreted; Signal; Zinc; Zymogen</t>
  </si>
  <si>
    <t>Endoplasmic reticulum; Golgi apparatus; Lysosome; Secreted</t>
  </si>
  <si>
    <t>Glycoprotein; Zymogen</t>
  </si>
  <si>
    <t>peptide catabolic process {GO:0043171}; proteolysis {GO:0006508}; thyroid hormone generation {GO:0006590}; tissue regeneration {GO:0042246}</t>
  </si>
  <si>
    <t>cytoplasm {GO:0005737}; endoplasmic reticulum {GO:0005783}; extracellular exosome {GO:0070062}; extracellular space {GO:0005615}; Golgi apparatus {GO:0005794}; intracellular membrane-bounded organelle {GO:0043231}; lysosome {GO:0005764}</t>
  </si>
  <si>
    <t>carboxypeptidase activity {GO:0004180}; metal ion binding {GO:0046872}; metallodipeptidase activity {GO:0070573}; protein homodimerization activity {GO:0042803}</t>
  </si>
  <si>
    <t>Protein TFG</t>
  </si>
  <si>
    <t>TRK-fused gene protein</t>
  </si>
  <si>
    <t>TFG_HUMAN</t>
  </si>
  <si>
    <t>Q92734</t>
  </si>
  <si>
    <t>D3DN49; G5E9V1; K0J5S8; K0J6K2; Q15656; Q969I2</t>
  </si>
  <si>
    <t>Acetylation; Alternative splicing; Chromosomal rearrangement; Coiled coil; Disease mutation; Endoplasmic reticulum; ER-Golgi transport; Hereditary spastic paraplegia; Methylation; Neurodegeneration; Neuropathy; Phosphoprotein; Polymorphism; Proto-oncogene; Transport</t>
  </si>
  <si>
    <t>Alternative splicing; Chromosomal rearrangement; Polymorphism</t>
  </si>
  <si>
    <t>Disease mutation; Hereditary spastic paraplegia; Neurodegeneration; Neuropathy; Proto-oncogene</t>
  </si>
  <si>
    <t>COPII vesicle coating {GO:0048208}; endoplasmic reticulum to Golgi vesicle-mediated transport {GO:0006888}; positive regulation of I-kappaB kinase/NF-kappaB signaling {GO:0043123}</t>
  </si>
  <si>
    <t>cytoplasm {GO:0005737}; cytosol {GO:0005829}; endoplasmic reticulum exit site {GO:0070971}; Golgi membrane {GO:0000139}</t>
  </si>
  <si>
    <t>COPII-mediated vesicle transport {R-HSA-204005}</t>
  </si>
  <si>
    <t>Syntaxin-binding protein 2</t>
  </si>
  <si>
    <t>Protein unc-18 homolog 2 (Unc18-2); Protein unc-18 homolog B (Unc-18B)</t>
  </si>
  <si>
    <t>STXB2_HUMAN</t>
  </si>
  <si>
    <t>Q15833</t>
  </si>
  <si>
    <t>B4E175; E7EQD5; Q9BU65</t>
  </si>
  <si>
    <t>UNC18B</t>
  </si>
  <si>
    <t>3D-structure; Alternative splicing; Disease mutation; Exocytosis; Polymorphism; Protein transport; Transport</t>
  </si>
  <si>
    <t>Exocytosis; Protein transport; Transport</t>
  </si>
  <si>
    <t>cellular response to interferon-gamma {GO:0071346}; leukocyte mediated cytotoxicity {GO:0001909}; neutrophil degranulation {GO:0043312}; platelet degranulation {GO:0002576}; protein transport {GO:0015031}; regulation of mast cell degranulation {GO:0043304}; vesicle docking involved in exocytosis {GO:0006904}</t>
  </si>
  <si>
    <t>apical plasma membrane {GO:0016324}; azurophil granule {GO:0042582}; cytolytic granule {GO:0044194}; cytosol {GO:0005829}; extracellular exosome {GO:0070062}; extracellular region {GO:0005576}; phagocytic vesicle {GO:0045335}; plasma membrane {GO:0005886}; specific granule {GO:0042581}; tertiary granule {GO:0070820}; zymogen granule membrane {GO:0042589}</t>
  </si>
  <si>
    <t>syntaxin-1 binding {GO:0017075}; syntaxin-3 binding {GO:0030348}</t>
  </si>
  <si>
    <t>Platelet degranulation {R-HSA-114608}; Other interleukin signaling {R-HSA-449836}</t>
  </si>
  <si>
    <t>Receptor-type tyrosine-protein phosphatase S (R-PTP-S)</t>
  </si>
  <si>
    <t>Receptor-type tyrosine-protein phosphatase sigma (R-PTP-sigma)</t>
  </si>
  <si>
    <t>PTPRS_HUMAN</t>
  </si>
  <si>
    <t>Q13332</t>
  </si>
  <si>
    <t>O75255; O75870; Q15718; Q16341; Q2M3R7</t>
  </si>
  <si>
    <t>3D-structure; Alternative splicing; Cell adhesion; Cell junction; Cell membrane; Cell projection; Cytoplasmic vesicle; Disulfide bond; Glycoprotein; Heparin-binding; Hydrolase; Immunoglobulin domain; Membrane; Polymorphism; Postsynaptic cell membrane; Protein phosphatase; Receptor; Repeat; Signal; Synapse; Synaptosome; Transmembrane; Transmembrane helix</t>
  </si>
  <si>
    <t>Cell junction; Cell membrane; Cell projection; Cytoplasmic vesicle; Membrane; Postsynaptic cell membrane; Synapse; Synaptosome</t>
  </si>
  <si>
    <t>Heparin-binding; Hydrolase; Protein phosphatase; Receptor</t>
  </si>
  <si>
    <t>cerebellum development {GO:0021549}; cerebral cortex development {GO:0021987}; corpus callosum development {GO:0022038}; establishment of endothelial intestinal barrier {GO:0090557}; hippocampus development {GO:0021766}; modulation of chemical synaptic transmission {GO:0050804}; negative regulation of axon extension {GO:0030517}; negative regulation of axon regeneration {GO:0048681}; negative regulation of collateral sprouting {GO:0048671}; negative regulation of dendritic spine development {GO:0061000}; negative regulation of interferon-alpha production {GO:0032687}; negative regulation of interferon-beta production {GO:0032688}; negative regulation of neuron projection development {GO:0010977}; negative regulation of toll-like receptor 9 signaling pathway {GO:0034164}; peptidyl-tyrosine dephosphorylation {GO:0035335}; protein dephosphorylation {GO:0006470}; regulation of postsynaptic density assembly {GO:0099151}; spinal cord development {GO:0021510}; synaptic membrane adhesion {GO:0099560}</t>
  </si>
  <si>
    <t>axon {GO:0030424}; cell junction {GO:0030054}; extracellular exosome {GO:0070062}; glutamatergic synapse {GO:0098978}; integral component of plasma membrane {GO:0005887}; integral component of postsynaptic density membrane {GO:0099061}; integral component of presynaptic membrane {GO:0099056}; integral component of synaptic vesicle membrane {GO:0030285}; perikaryon {GO:0043204}; plasma membrane {GO:0005886}; Schaffer collateral - CA1 synapse {GO:0098685}</t>
  </si>
  <si>
    <t>chondroitin sulfate binding {GO:0035374}; heparan sulfate proteoglycan binding {GO:0043395}; heparin binding {GO:0008201}; phosphoprotein phosphatase activity {GO:0004721}; protein tyrosine phosphatase activity {GO:0004725}</t>
  </si>
  <si>
    <t>ECM proteoglycans {R-HSA-3000178}; Receptor-type tyrosine-protein phosphatases {R-HSA-388844}; Synaptic adhesion-like molecules {R-HSA-8849932}; Signaling by NTRK3 (TRKC) {R-HSA-9034015}</t>
  </si>
  <si>
    <t>Junctional sarcoplasmic reticulum protein 1</t>
  </si>
  <si>
    <t>Junctional-face membrane protein of 45 kDa homolog (JP-45)</t>
  </si>
  <si>
    <t>JSPR1_HUMAN</t>
  </si>
  <si>
    <t>Q96MG2</t>
  </si>
  <si>
    <t>JP45</t>
  </si>
  <si>
    <t>Endoplasmic reticulum; Membrane; Polymorphism; Sarcoplasmic reticulum</t>
  </si>
  <si>
    <t>regulation of ryanodine-sensitive calcium-release channel activity {GO:0060314}; skeletal muscle contraction {GO:0003009}</t>
  </si>
  <si>
    <t>sarcoplasmic reticulum {GO:0016529}; sarcoplasmic reticulum membrane {GO:0033017}</t>
  </si>
  <si>
    <t>Neutrophil elastase</t>
  </si>
  <si>
    <t>Bone marrow serine protease; Elastase-2; Human leukocyte elastase (HLE); Medullasin; PMN elastase</t>
  </si>
  <si>
    <t>ELNE_HUMAN</t>
  </si>
  <si>
    <t>P08246</t>
  </si>
  <si>
    <t>P09649; Q6B0D9; Q6LDP5</t>
  </si>
  <si>
    <t>ELA2</t>
  </si>
  <si>
    <t>3D-structure; Cytoplasmic vesicle; Disease mutation; Disulfide bond; Glycoprotein; Hydrolase; Polymorphism; Protease; Serine protease; Signal; Zymogen</t>
  </si>
  <si>
    <t>Cytoplasmic vesicle</t>
  </si>
  <si>
    <t>acute inflammatory response to antigenic stimulus {GO:0002438}; antimicrobial humoral response {GO:0019730}; biosynthetic process of antibacterial peptides active against Gram-negative bacteria {GO:0002812}; cellular calcium ion homeostasis {GO:0006874}; defense response to bacterium {GO:0042742}; extracellular matrix disassembly {GO:0022617}; leukocyte migration involved in inflammatory response {GO:0002523}; negative regulation of chemokine biosynthetic process {GO:0045079}; negative regulation of chemotaxis {GO:0050922}; negative regulation of growth of symbiont in host {GO:0044130}; negative regulation of inflammatory response {GO:0050728}; negative regulation of interleukin-8 biosynthetic process {GO:0045415}; negative regulation of transcription by RNA polymerase II {GO:0000122}; neutrophil degranulation {GO:0043312}; neutrophil mediated killing of fungus {GO:0070947}; neutrophil mediated killing of gram-negative bacterium {GO:0070945}; phagocytosis {GO:0006909}; positive regulation of immune response {GO:0050778}; positive regulation of interleukin-8 biosynthetic process {GO:0045416}; positive regulation of leukocyte tethering or rolling {GO:1903238}; positive regulation of MAP kinase activity {GO:0043406}; positive regulation of smooth muscle cell proliferation {GO:0048661}; protein catabolic process {GO:0030163}; proteolysis {GO:0006508}; response to lipopolysaccharide {GO:0032496}; response to UV {GO:0009411}; response to yeast {GO:0001878}</t>
  </si>
  <si>
    <t>azurophil granule lumen {GO:0035578}; cell surface {GO:0009986}; collagen-containing extracellular matrix {GO:0062023}; cytoplasm {GO:0005737}; extracellular exosome {GO:0070062}; extracellular region {GO:0005576}; extracellular space {GO:0005615}; secretory granule {GO:0030141}; specific granule lumen {GO:0035580}; transcriptional repressor complex {GO:0017053}</t>
  </si>
  <si>
    <t>cytokine binding {GO:0019955}; endopeptidase activity {GO:0004175}; heparin binding {GO:0008201}; peptidase activity {GO:0008233}; protease binding {GO:0002020}; serine-type endopeptidase activity {GO:0004252}; transcription corepressor activity {GO:0003714}</t>
  </si>
  <si>
    <t>Collagen degradation {R-HSA-1442490}; Degradation of the extracellular matrix {R-HSA-1474228}; Activation of Matrix Metalloproteinases {R-HSA-1592389}; Neutrophil degranulation {R-HSA-6798695}; Antimicrobial peptides {R-HSA-6803157}; Regulation of Complement cascade {R-HSA-977606}</t>
  </si>
  <si>
    <t>Ephrin-A2</t>
  </si>
  <si>
    <t>EPH-related receptor tyrosine kinase ligand 6 (LERK-6); HEK7 ligand (HEK7-L)</t>
  </si>
  <si>
    <t>EFNA2_HUMAN</t>
  </si>
  <si>
    <t>O43921</t>
  </si>
  <si>
    <t>O76020</t>
  </si>
  <si>
    <t>EPLG6; LERK6</t>
  </si>
  <si>
    <t>3D-structure; Cell membrane; Disulfide bond; Glycoprotein; GPI-anchor; Lipoprotein; Membrane; Signal</t>
  </si>
  <si>
    <t>axon guidance {GO:0007411}; bone remodeling {GO:0046849}; cell-cell signaling {GO:0007267}; ephrin receptor signaling pathway {GO:0048013}; olfactory bulb development {GO:0021772}; osteoclast differentiation {GO:0030316}</t>
  </si>
  <si>
    <t>anchored component of membrane {GO:0031225}; neuromuscular junction {GO:0031594}; perikaryon {GO:0043204}; plasma membrane {GO:0005886}</t>
  </si>
  <si>
    <t>ephrin receptor binding {GO:0046875}</t>
  </si>
  <si>
    <t>EPH-Ephrin signaling {R-HSA-2682334}; EPHA-mediated growth cone collapse {R-HSA-3928663}; EPH-ephrin mediated repulsion of cells {R-HSA-3928665}</t>
  </si>
  <si>
    <t>Guanidinoacetate N-methyltransferase</t>
  </si>
  <si>
    <t>GAMT_HUMAN</t>
  </si>
  <si>
    <t>Q14353</t>
  </si>
  <si>
    <t>A8K0A0; Q53Y34; Q8WVJ1</t>
  </si>
  <si>
    <t>3D-structure; Acetylation; Alternative splicing; Disease mutation; Methyltransferase; Polymorphism; S-adenosyl-L-methionine; Transferase</t>
  </si>
  <si>
    <t>S-adenosyl-L-methionine</t>
  </si>
  <si>
    <t>Methyltransferase; Transferase</t>
  </si>
  <si>
    <t>animal organ morphogenesis {GO:0009887}; creatine biosynthetic process {GO:0006601}; creatine metabolic process {GO:0006600}; muscle contraction {GO:0006936}; regulation of multicellular organism growth {GO:0040014}; S-adenosylhomocysteine metabolic process {GO:0046498}; S-adenosylmethionine metabolic process {GO:0046500}; spermatogenesis {GO:0007283}</t>
  </si>
  <si>
    <t>guanidinoacetate N-methyltransferase activity {GO:0030731}; methyltransferase activity {GO:0008168}; S-adenosylmethionine-dependent methyltransferase activity {GO:0008757}</t>
  </si>
  <si>
    <t>Amine and polyamine biosynthesis; creatine biosynthesis; creatine from L-arginine and glycine: step 2/2.</t>
  </si>
  <si>
    <t>Creatine metabolism {R-HSA-71288}; Transcriptional Regulation by MECP2 {R-HSA-8986944}</t>
  </si>
  <si>
    <t>Transmembrane protein 43</t>
  </si>
  <si>
    <t>Protein LUMA</t>
  </si>
  <si>
    <t>TMM43_HUMAN</t>
  </si>
  <si>
    <t>Q9BTV4</t>
  </si>
  <si>
    <t>Q7L4N5; Q8NC30; Q96A63; Q96F19; Q96JX0; Q9H076</t>
  </si>
  <si>
    <t>Acetylation; Cardiomyopathy; Disease mutation; Emery-Dreifuss muscular dystrophy; Endoplasmic reticulum; Membrane; Nucleus; Polymorphism; Transmembrane; Transmembrane helix</t>
  </si>
  <si>
    <t>Endoplasmic reticulum; Membrane; Nucleus</t>
  </si>
  <si>
    <t>Cardiomyopathy; Disease mutation; Emery-Dreifuss muscular dystrophy</t>
  </si>
  <si>
    <t>nuclear membrane organization {GO:0071763}</t>
  </si>
  <si>
    <t>endoplasmic reticulum lumen {GO:0005788}; Golgi apparatus {GO:0005794}; integral component of nuclear inner membrane {GO:0005639}; membrane {GO:0016020}</t>
  </si>
  <si>
    <t>protein self-association {GO:0043621}</t>
  </si>
  <si>
    <t>Syndecan-2 (SYND2)</t>
  </si>
  <si>
    <t>Fibroglycan; Heparan sulfate proteoglycan core protein (HSPG); CD_antigen=CD362</t>
  </si>
  <si>
    <t>SDC2_HUMAN</t>
  </si>
  <si>
    <t>P34741</t>
  </si>
  <si>
    <t>B3KQA3; Q6PIS6; Q9H6V1</t>
  </si>
  <si>
    <t>HSPG1</t>
  </si>
  <si>
    <t>3D-structure; Differentiation; Glycoprotein; Heparan sulfate; Membrane; Neurogenesis; Phosphoprotein; Polymorphism; Proteoglycan; Signal; Transmembrane; Transmembrane helix</t>
  </si>
  <si>
    <t>Glycoprotein; Heparan sulfate; Phosphoprotein; Proteoglycan</t>
  </si>
  <si>
    <t>cell migration {GO:0016477}; cellular protein metabolic process {GO:0044267}; dendrite morphogenesis {GO:0048813}; ephrin receptor signaling pathway {GO:0048013}; glycosaminoglycan biosynthetic process {GO:0006024}; glycosaminoglycan catabolic process {GO:0006027}; leukocyte migration {GO:0050900}; post-translational protein modification {GO:0043687}; regulation of dendrite morphogenesis {GO:0048814}; retinoid metabolic process {GO:0001523}</t>
  </si>
  <si>
    <t>cell surface {GO:0009986}; collagen-containing extracellular matrix {GO:0062023}; endoplasmic reticulum lumen {GO:0005788}; Golgi lumen {GO:0005796}; integral component of membrane {GO:0016021}; lysosomal lumen {GO:0043202}; plasma membrane {GO:0005886}</t>
  </si>
  <si>
    <t>identical protein binding {GO:0042802}; PDZ domain binding {GO:0030165}</t>
  </si>
  <si>
    <t>A tetrasaccharide linker sequence is required for GAG synthesis {R-HSA-1971475}; HS-GAG biosynthesis {R-HSA-2022928}; HS-GAG degradation {R-HSA-2024096}; Cell surface interactions at the vascular wall {R-HSA-202733}; Syndecan interactions {R-HSA-3000170}; Defective B4GALT7 causes EDS, progeroid type {R-HSA-3560783}; Defective B3GAT3 causes JDSSDHD {R-HSA-3560801}; Defective EXT2 causes exostoses 2 {R-HSA-3656237}; Defective EXT1 causes exostoses 1, TRPS2 and CHDS {R-HSA-3656253}; Regulation of Insulin-like Growth Factor (IGF) transport and uptake by Insulin-like Growth Factor Binding Proteins (IGFBPs) {R-HSA-381426}; EPHB-mediated forward signaling {R-HSA-3928662}; Defective B3GALT6 causes EDSP2 and SEMDJL1 {R-HSA-4420332}; Post-translational protein phosphorylation {R-HSA-8957275}; Retinoid metabolism and transport {R-HSA-975634}</t>
  </si>
  <si>
    <t>CCN family member 3</t>
  </si>
  <si>
    <t>Cellular communication network factor 3; Insulin-like growth factor-binding protein 9 (IBP-9; IGF-binding protein 9; IGFBP-9); Nephro blastoma-overexpressed gene protein homolog; Protein NOV homolog (NovH)</t>
  </si>
  <si>
    <t>CCN3_HUMAN</t>
  </si>
  <si>
    <t>P48745</t>
  </si>
  <si>
    <t>B2R5X7; Q6I9S3; Q96BY5; Q9UDE4</t>
  </si>
  <si>
    <t>Cell junction; Cytoplasm; Disulfide bond; Gap junction; Glycoprotein; Growth factor; Lipoprotein; Palmitate; Polymorphism; Secreted; Signal</t>
  </si>
  <si>
    <t>Cell junction; Cytoplasm; Gap junction; Secreted</t>
  </si>
  <si>
    <t>angiogenesis {GO:0001525}; bone regeneration {GO:1990523}; cell adhesion {GO:0007155}; cell adhesion mediated by integrin {GO:0033627}; cell chemotaxis {GO:0060326}; chondrocyte differentiation {GO:0002062}; endothelial cell chemotaxis {GO:0035767}; endothelial cell-cell adhesion {GO:0071603}; fibroblast migration {GO:0010761}; hematopoietic stem cell homeostasis {GO:0061484}; negative regulation of cell death {GO:0060548}; negative regulation of cell growth {GO:0030308}; negative regulation of chondrocyte proliferation {GO:1902731}; negative regulation of inflammatory response {GO:0050728}; negative regulation of insulin secretion {GO:0046676}; negative regulation of monocyte chemotaxis {GO:0090027}; negative regulation of myotube differentiation {GO:0010832}; negative regulation of NIK/NF-kappaB signaling {GO:1901223}; negative regulation of sensory perception of pain {GO:1904057}; negative regulation of SMAD protein signal transduction {GO:0060392}; positive regulation of Notch signaling pathway {GO:0045747}; regulation of gene expression {GO:0010468}; smooth muscle cell migration {GO:0014909}; smooth muscle cell proliferation {GO:0048659}; type B pancreatic cell proliferation {GO:0044342}</t>
  </si>
  <si>
    <t>axon {GO:0030424}; collagen-containing extracellular matrix {GO:0062023}; cytoplasm {GO:0005737}; dendrite {GO:0030425}; extracellular matrix {GO:0031012}; extracellular region {GO:0005576}; gap junction {GO:0005921}; intracellular membrane-bounded organelle {GO:0043231}; neuronal cell body {GO:0043025}</t>
  </si>
  <si>
    <t>growth factor activity {GO:0008083}; heparin binding {GO:0008201}; insulin-like growth factor binding {GO:0005520}; integrin binding {GO:0005178}; Notch binding {GO:0005112}</t>
  </si>
  <si>
    <t>PEST proteolytic signal-containing nuclear protein (PCNP; PEST-containing nuclear protein)</t>
  </si>
  <si>
    <t>PCNP_HUMAN</t>
  </si>
  <si>
    <t>Q8WW12</t>
  </si>
  <si>
    <t>B2RBE7; D3DN52; Q53GF3; Q6AI44; Q96CU3; Q9NS81</t>
  </si>
  <si>
    <t>Acetylation; Alternative splicing; Cell cycle; Nucleus; Phosphoprotein; Ubl conjugation</t>
  </si>
  <si>
    <t>cell cycle {GO:0007049}; proteasome-mediated ubiquitin-dependent protein catabolic process {GO:0043161}; protein ubiquitination {GO:0016567}</t>
  </si>
  <si>
    <t>nuclear body {GO:0016604}; nucleus {GO:0005634}</t>
  </si>
  <si>
    <t>60S ribosomal protein L24</t>
  </si>
  <si>
    <t>60S ribosomal protein L30; Large ribosomal subunit protein eL24</t>
  </si>
  <si>
    <t>RL24_HUMAN</t>
  </si>
  <si>
    <t>P83731</t>
  </si>
  <si>
    <t>B2R4Y3; P38663; Q6IBS3</t>
  </si>
  <si>
    <t>assembly of large subunit precursor of preribosome {GO:1902626}; cytoplasmic translation {GO:0002181}; exit from mitosis {GO:0010458}; mitotic cell cycle checkpoint {GO:0007093}; nuclear-transcribed mRNA catabolic process, nonsense-mediated decay {GO:0000184}; optic nerve development {GO:0021554}; retina development in camera-type eye {GO:0060041}; retinal ganglion cell axon guidance {GO:0031290}; ribosomal large subunit assembly {GO:0000027};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</si>
  <si>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endoplasmic reticulum {GO:0005783}; extracellular exosome {GO:0070062}; membrane {GO:0016020}; polysomal ribosome {GO:0042788}; synapse {GO:0045202}</t>
  </si>
  <si>
    <t>cadherin binding {GO:0045296}; RNA binding {GO:0003723}; structural constituent of ribosome {GO:0003735}</t>
  </si>
  <si>
    <t>Complement C1q subcomponent subunit B</t>
  </si>
  <si>
    <t>C1QB_HUMAN</t>
  </si>
  <si>
    <t>P02746</t>
  </si>
  <si>
    <t>Q5T959; Q96H17</t>
  </si>
  <si>
    <t>3D-structure; Collagen; Complement pathway; Disease mutation; Disulfide bond; Glycoprotein; Hydroxylation; Immunity; Innate immunity; Polymorphism; Pyrrolidone carboxylic acid; Repeat; Secreted; Signal</t>
  </si>
  <si>
    <t>Complement pathway; Immunity; Innate immunity</t>
  </si>
  <si>
    <t>complement activation {GO:0006956}; complement activation, classical pathway {GO:0006958}; innate immune response {GO:0045087}; inner ear development {GO:0048839}; regulation of complement activation {GO:0030449}; synapse pruning {GO:0098883}</t>
  </si>
  <si>
    <t>blood microparticle {GO:0072562}; cell {GO:0005623}; collagen trimer {GO:0005581}; collagen-containing extracellular matrix {GO:0062023}; complement component C1 complex {GO:0005602}; extracellular region {GO:0005576}; postsynapse {GO:0098794}; synapse {GO:0045202}</t>
  </si>
  <si>
    <t>protein homodimerization activity {GO:0042803}</t>
  </si>
  <si>
    <t>Initial triggering of complement {R-HSA-166663}; Classical antibody-mediated complement activation {R-HSA-173623}; Regulation of Complement cascade {R-HSA-977606}</t>
  </si>
  <si>
    <t>Transferrin receptor protein 1, serum form</t>
  </si>
  <si>
    <t>T9; p90; CD_antigen=CD71 (sTfR)</t>
  </si>
  <si>
    <t>TFR1_HUMAN</t>
  </si>
  <si>
    <t>P02786</t>
  </si>
  <si>
    <t>D3DXB0; Q1HE24; Q59G55; Q9UCN0; Q9UCU5; Q9UDF9; Q9UK21</t>
  </si>
  <si>
    <t>3D-structure; Cell membrane; Disease mutation; Disulfide bond; Endocytosis; Glycoprotein; Host cell receptor for virus entry; Host-virus interaction; Lipoprotein; Membrane; Palmitate; Phosphoprotein; Polymorphism; Receptor; Secreted; Signal-anchor; Transmembrane; Transmembrane helix</t>
  </si>
  <si>
    <t>cellular iron ion homeostasis {GO:0006879}; cellular response to drug {GO:0035690}; cellular response to leukemia inhibitory factor {GO:1990830}; iron ion transport {GO:0006826}; membrane organization {GO:0061024}; osteoclast differentiation {GO:0030316}; positive regulation of B cell proliferation {GO:0030890}; positive regulation of bone resorption {GO:0045780}; positive regulation of isotype switching {GO:0045830}; positive regulation of T cell proliferation {GO:0042102}; receptor internalization {GO:0031623}; transferrin transport {GO:0033572}</t>
  </si>
  <si>
    <t>basolateral plasma membrane {GO:0016323}; blood microparticle {GO:0072562}; cell surface {GO:0009986}; clathrin-coated pit {GO:0005905}; clathrin-coated vesicle membrane {GO:0030665}; cytoplasmic vesicle {GO:0031410}; early endosome {GO:0005769}; endosome {GO:0005768}; endosome membrane {GO:0010008}; external side of plasma membrane {GO:0009897}; extracellular exosome {GO:0070062}; extracellular region {GO:0005576}; extracellular space {GO:0005615}; extracellular vesicle {GO:1903561}; HFE-transferrin receptor complex {GO:1990712}; integral component of plasma membrane {GO:0005887}; melanosome {GO:0042470}; membrane {GO:0016020}; perinuclear region of cytoplasm {GO:0048471}; plasma membrane {GO:0005886}; recycling endosome {GO:0055037}</t>
  </si>
  <si>
    <t>double-stranded RNA binding {GO:0003725}; identical protein binding {GO:0042802}; protein homodimerization activity {GO:0042803}; RNA binding {GO:0003723}; transferrin receptor activity {GO:0004998}; transferrin transmembrane transporter activity {GO:0033570}; virus receptor activity {GO:0001618}</t>
  </si>
  <si>
    <t>Golgi Associated Vesicle Biogenesis {R-HSA-432722}; Cargo recognition for clathrin-mediated endocytosis {R-HSA-8856825}; Clathrin-mediated endocytosis {R-HSA-8856828}; Transferrin endocytosis and recycling {R-HSA-917977}</t>
  </si>
  <si>
    <t>CD97 antigen subunit beta</t>
  </si>
  <si>
    <t>Leukocyte antigen CD97; CD_antigen=CD97</t>
  </si>
  <si>
    <t>CD97_HUMAN</t>
  </si>
  <si>
    <t>P48960</t>
  </si>
  <si>
    <t>A8K7Z4; B2RBJ9; O00718; O76101; Q8NG72; Q8TBQ7</t>
  </si>
  <si>
    <t>3D-structure; Alternative splicing; Calcium; Cell adhesion; Cell membrane; Disulfide bond; EGF-like domain; G-protein coupled receptor; Glycoprotein; Membrane; Phosphoprotein; Polymorphism; Receptor; Repeat; Secreted; Signal; Transducer; Transmembrane; Transmembrane helix</t>
  </si>
  <si>
    <t>adenylate cyclase-activating G protein-coupled receptor signaling pathway {GO:0007189}; cell adhesion {GO:0007155}; cell surface receptor signaling pathway {GO:0007166}; cell-cell signaling {GO:0007267}; G protein-coupled receptor signaling pathway {GO:0007186}; immune response {GO:0006955}; inflammatory response {GO:0006954}; neutrophil degranulation {GO:0043312}</t>
  </si>
  <si>
    <t>extracellular exosome {GO:0070062}; focal adhesion {GO:0005925}; integral component of plasma membrane {GO:0005887}; membrane {GO:0016020}; plasma membrane {GO:0005886}; secretory granule membrane {GO:0030667}</t>
  </si>
  <si>
    <t>calcium ion binding {GO:0005509}; G protein-coupled receptor activity {GO:0004930}; transmembrane signaling receptor activity {GO:0004888}</t>
  </si>
  <si>
    <t>Class B/2 (Secretin family receptors) {R-HSA-373080}; Neutrophil degranulation {R-HSA-6798695}</t>
  </si>
  <si>
    <t>PDZ domain-containing protein GIPC1</t>
  </si>
  <si>
    <t>GAIP C-terminus-interacting protein; RGS-GAIP-interacting protein; RGS19-interacting protein 1; Synectin; Tax interaction protein 2 (TIP-2)</t>
  </si>
  <si>
    <t>GIPC1_HUMAN</t>
  </si>
  <si>
    <t>O14908</t>
  </si>
  <si>
    <t>A8K4I3; A8MZG3; Q9BTC9</t>
  </si>
  <si>
    <t>C19orf3; GIPC; RGS19IP1</t>
  </si>
  <si>
    <t>Alternative splicing; Cytoplasm; Membrane; Phosphoprotein</t>
  </si>
  <si>
    <t>cellular response to interleukin-7 {GO:0098761}; chemical synaptic transmission {GO:0007268}; endothelial cell migration {GO:0043542}; G protein-coupled receptor signaling pathway {GO:0007186}; glutamate secretion {GO:0014047}; negative regulation of proteasomal ubiquitin-dependent protein catabolic process {GO:0032435}; positive regulation of cytokinesis {GO:0032467}; positive regulation of melanin biosynthetic process {GO:0048023}; positive regulation of transforming growth factor beta receptor signaling pathway {GO:0030511}; protein targeting {GO:0006605}; regulation of protein stability {GO:0031647}; regulation of synaptic plasticity {GO:0048167}; regulation of synaptic vesicle exocytosis {GO:2000300}</t>
  </si>
  <si>
    <t>brush border {GO:0005903}; cell cortex {GO:0005938}; cytoplasm {GO:0005737}; cytoplasmic vesicle {GO:0031410}; cytosol {GO:0005829}; dendritic shaft {GO:0043198}; dendritic spine {GO:0043197}; endocytic vesicle {GO:0030139}; extracellular exosome {GO:0070062}; glutamatergic synapse {GO:0098978}; membrane {GO:0016020}; Schaffer collateral - CA1 synapse {GO:0098685}; synaptic vesicle {GO:0008021}; vesicle membrane {GO:0012506}</t>
  </si>
  <si>
    <t>actin binding {GO:0003779}; cadherin binding {GO:0045296}; myosin binding {GO:0017022}; PDZ domain binding {GO:0030165}; protein homodimerization activity {GO:0042803}; signaling receptor binding {GO:0005102}</t>
  </si>
  <si>
    <t>ANGPTL4 C-terminal chain</t>
  </si>
  <si>
    <t>Angiopoietin-like protein 4; Hepatic fibrinogen/angiopoietin-related protein (HFARP)</t>
  </si>
  <si>
    <t>ANGL4_HUMAN</t>
  </si>
  <si>
    <t>Q9BY76</t>
  </si>
  <si>
    <t>A8MY84; B4E089; D6W670; F5H0I2; Q53HQ6; Q53HU1; Q6UXN0; Q9HBV4; Q9NZU4; Q9Y5B3</t>
  </si>
  <si>
    <t>3D-structure; Alternative splicing; Angiogenesis; Coiled coil; Disulfide bond; Extracellular matrix; Glycoprotein; Lipid metabolism; Polymorphism; Secreted; Signal</t>
  </si>
  <si>
    <t>Angiogenesis; Lipid metabolism</t>
  </si>
  <si>
    <t>angiogenesis {GO:0001525}; lipid metabolic process {GO:0006629}; negative regulation of apoptotic process {GO:0043066}; negative regulation of endothelial cell apoptotic process {GO:2000352}; negative regulation of lipoprotein lipase activity {GO:0051005}; positive regulation of angiogenesis {GO:0045766}; protein homooligomerization {GO:0051260}; regulation of lipid metabolic process {GO:0019216}; response to hypoxia {GO:0001666}; triglyceride homeostasis {GO:0070328}</t>
  </si>
  <si>
    <t>blood microparticle {GO:0072562}; extracellular region {GO:0005576}; extracellular space {GO:0005615}</t>
  </si>
  <si>
    <t>enzyme inhibitor activity {GO:0004857}; identical protein binding {GO:0042802}</t>
  </si>
  <si>
    <t>PPARA activates gene expression {R-HSA-1989781}; Transcriptional regulation of white adipocyte differentiation {R-HSA-381340}; Assembly of active LPL and LIPC lipase complexes {R-HSA-8963889}</t>
  </si>
  <si>
    <t>Transforming protein RhoA</t>
  </si>
  <si>
    <t>Rho cDNA clone 12 (h12)</t>
  </si>
  <si>
    <t>RHOA_HUMAN</t>
  </si>
  <si>
    <t>P61586</t>
  </si>
  <si>
    <t>P06749; Q53HM4; Q5U024; Q9UDJ0; Q9UEJ4</t>
  </si>
  <si>
    <t>ARH12; ARHA; RHO12</t>
  </si>
  <si>
    <t>3D-structure; ADP-ribosylation; Cell cycle; Cell division; Cell membrane; Cell projection; Cytoplasm; Cytoskeleton; Glycoprotein; GTP-binding; Host-virus interaction; Lipoprotein; Magnesium; Membrane; Methylation; Nucleotide-binding; Phosphoprotein; Prenylation; Proto-oncogene; Ubl conjugation</t>
  </si>
  <si>
    <t>Cell cycle; Cell division; Host-virus interaction</t>
  </si>
  <si>
    <t>GTP-binding; Magnesium; Nucleotide-binding</t>
  </si>
  <si>
    <t>ADP-ribosylation; Glycoprotein; Lipoprotein; Methylation; Phosphoprotein; Prenylation; Ubl conjugation</t>
  </si>
  <si>
    <t>actin cytoskeleton organization {GO:0030036}; actin cytoskeleton reorganization {GO:0031532}; actin filament bundle assembly {GO:0051017}; actin filament organization {GO:0007015}; alpha-beta T cell lineage commitment {GO:0002363}; androgen receptor signaling pathway {GO:0030521}; angiotensin-mediated vasoconstriction involved in regulation of systemic arterial blood pressure {GO:0001998}; apical junction assembly {GO:0043297}; apolipoprotein A-I-mediated signaling pathway {GO:0038027}; beta selection {GO:0043366}; cell junction assembly {GO:0034329}; cell migration {GO:0016477}; cell-matrix adhesion {GO:0007160}; cellular response to chemokine {GO:1990869}; cellular response to cytokine stimulus {GO:0071345}; cellular response to lipopolysaccharide {GO:0071222}; cerebral cortex cell migration {GO:0021795}; cleavage furrow formation {GO:0036089}; endothelial cell migration {GO:0043542}; endothelial tube lumen extension {GO:0097498}; ephrin receptor signaling pathway {GO:0048013}; establishment of epithelial cell apical/basal polarity {GO:0045198}; establishment or maintenance of actin cytoskeleton polarity {GO:0030950}; forebrain radial glial cell differentiation {GO:0021861}; G protein-coupled receptor signaling pathway {GO:0007186}; GTP metabolic process {GO:0046039}; mitotic cleavage furrow formation {GO:1903673}; mitotic spindle assembly {GO:0090307}; negative chemotaxis {GO:0050919}; negative regulation of axonogenesis {GO:0050771}; negative regulation of cell migration involved in sprouting angiogenesis {GO:0090051}; negative regulation of cell size {GO:0045792}; negative regulation of cell-substrate adhesion {GO:0010812}; negative regulation of I-kappaB kinase/NF-kappaB signaling {GO:0043124}; negative regulation of intracellular steroid hormone receptor signaling pathway {GO:0033144}; negative regulation of neuron apoptotic process {GO:0043524}; negative regulation of oxidative phosphorylation {GO:0090324}; negative regulation of reactive oxygen species biosynthetic process {GO:1903427}; neuron projection morphogenesis {GO:0048812}; neutrophil degranulation {GO:0043312}; odontogenesis {GO:0042476}; ossification involved in bone maturation {GO:0043931}; phosphatidylinositol-mediated signaling {GO:0048015}; positive regulation of actin filament polymerization {GO:0030838}; positive regulation of alpha-beta T cell differentiation {GO:0046638}; positive regulation of axonogenesis {GO:0050772}; positive regulation of cell growth {GO:0030307}; positive regulation of cysteine-type endopeptidase activity involved in apoptotic process {GO:0043280}; positive regulation of cytokinesis {GO:0032467}; positive regulation of I-kappaB kinase/NF-kappaB signaling {GO:0043123}; positive regulation of leukocyte adhesion to vascular endothelial cell {GO:1904996}; positive regulation of lipase activity {GO:0060193}; positive regulation of neuron apoptotic process {GO:0043525}; positive regulation of neuron differentiation {GO:0045666}; positive regulation of NIK/NF-kappaB signaling {GO:1901224}; positive regulation of podosome assembly {GO:0071803}; positive regulation of protein serine/threonine kinase activity {GO:0071902}; positive regulation of stress fiber assembly {GO:0051496}; positive regulation of T cell migration {GO:2000406}; positive regulation of translation {GO:0045727}; positive regulation of vascular smooth muscle contraction {GO:1904695}; protein deubiquitination {GO:0016579}; regulation of actin cytoskeleton organization {GO:0032956}; regulation of calcium ion transport {GO:0051924}; regulation of cell migration {GO:0030334}; regulation of cell motility {GO:2000145}; regulation of cell shape {GO:0008360}; regulation of dendrite development {GO:0050773}; regulation of focal adhesion assembly {GO:0051893}; regulation of microtubule cytoskeleton organization {GO:0070507}; regulation of modification of postsynaptic actin cytoskeleton {GO:1905274}; regulation of neural precursor cell proliferation {GO:2000177}; regulation of osteoblast proliferation {GO:0033688}; regulation of small GTPase mediated signal transduction {GO:0051056}; regulation of systemic arterial blood pressure by endothelin {GO:0003100}; regulation of transcription by RNA polymerase II {GO:0006357}; response to amino acid {GO:0043200}; response to ethanol {GO:0045471}; response to glucocorticoid {GO:0051384}; response to glucose {GO:0009749}; response to hypoxia {GO:0001666}; response to mechanical stimulus {GO:0009612}; Rho protein signal transduction {GO:0007266}; Roundabout signaling pathway {GO:0035385}; skeletal muscle satellite cell migration {GO:1902766}; skeletal muscle tissue development {GO:0007519}; stress fiber assembly {GO:0043149}; stress-activated protein kinase signaling cascade {GO:0031098}; substantia nigra development {GO:0021762}; trabecula morphogenesis {GO:0061383}; transforming growth factor beta receptor signaling pathway {GO:0007179}; vascular endothelial growth factor receptor signaling pathway {GO:0048010}; viral process {GO:0016032}; Wnt signaling pathway, planar cell polarity pathway {GO:0060071}; wound healing, spreading of cells {GO:0044319}</t>
  </si>
  <si>
    <t>apical junction complex {GO:0043296}; axon {GO:0030424}; cell cortex {GO:0005938}; cell division site {GO:0032153}; cell junction {GO:0030054}; cell periphery {GO:0071944}; cleavage furrow {GO:0032154}; cytoplasm {GO:0005737}; cytoskeleton {GO:0005856}; cytosol {GO:0005829}; dendritic spine {GO:0043197}; endoplasmic reticulum membrane {GO:0005789}; endosome {GO:0005768}; extracellular exosome {GO:0070062}; extrinsic component of cytoplasmic side of plasma membrane {GO:0031234}; ficolin-1-rich granule membrane {GO:0101003}; focal adhesion {GO:0005925}; glutamatergic synapse {GO:0098978}; intracellular membrane-bounded organelle {GO:0043231}; lamellipodium {GO:0030027}; midbody {GO:0030496}; nucleus {GO:0005634}; plasma membrane {GO:0005886}; postsynapse {GO:0098794}; ruffle membrane {GO:0032587}; secretory granule membrane {GO:0030667}; vesicle {GO:0031982}</t>
  </si>
  <si>
    <t>GDP binding {GO:0019003}; GTP binding {GO:0005525}; GTPase activity {GO:0003924}; myosin binding {GO:0017022}; protein domain specific binding {GO:0019904}; protein kinase binding {GO:0019901}; Rho GDP-dissociation inhibitor binding {GO:0051022}</t>
  </si>
  <si>
    <t>GPVI-mediated activation cascade {R-HSA-114604}; Axonal growth inhibition (RHOA activation) {R-HSA-193634}; Rho GTPase cycle {R-HSA-194840}; PI3K/AKT activation {R-HSA-198203}; Axonal growth stimulation {R-HSA-209563}; TGF-beta receptor signaling in EMT (epithelial to mesenchymal transition) {R-HSA-2173791}; G beta:gamma signalling through PI3Kgamma {R-HSA-392451}; EPHB-mediated forward signaling {R-HSA-3928662}; EPHA-mediated growth cone collapse {R-HSA-3928663}; PCP/CE pathway {R-HSA-4086400}; G alpha (12/13) signalling events {R-HSA-416482}; Sema4D mediated inhibition of cell attachment and migration {R-HSA-416550}; Sema4D induced cell migration and growth-cone collapse {R-HSA-416572}; VEGFA-VEGFR2 Pathway {R-HSA-4420097}; RHO GTPases activate PKNs {R-HSA-5625740}; RHO GTPases activate CIT {R-HSA-5625900}; RHO GTPases activate KTN1 {R-HSA-5625970}; RHO GTPases Activate ROCKs {R-HSA-5627117}; RHO GTPases Activate Formins {R-HSA-5663220}; RHO GTPases Activate Rhotekin and Rhophilins {R-HSA-5666185}; Ovarian tumor domain proteases {R-HSA-5689896}; ERBB2 Regulates Cell Motility {R-HSA-6785631}; Neutrophil degranulation {R-HSA-6798695}; PTK6 Regulates RHO GTPases, RAS GTPase and MAP kinases {R-HSA-8849471}; SLIT2:ROBO1 increases RHOA activity {R-HSA-8985586}</t>
  </si>
  <si>
    <t>Xin actin-binding repeat-containing protein 1</t>
  </si>
  <si>
    <t>Cardiomyopathy-associated protein 1</t>
  </si>
  <si>
    <t>XIRP1_HUMAN</t>
  </si>
  <si>
    <t>Q702N8</t>
  </si>
  <si>
    <t>A0JP25; A4QPE2; Q68DF2; Q6ZTR3; Q702N9; Q8IVN7; Q8N1N3; Q8N904; Q8TCG7</t>
  </si>
  <si>
    <t>CMYA1; XIN</t>
  </si>
  <si>
    <t>Actin-binding; Alternative splicing; Cell junction; Coiled coil; Phosphoprotein; Polymorphism; Repeat</t>
  </si>
  <si>
    <t>Cell junction</t>
  </si>
  <si>
    <t>actin filament organization {GO:0007015}; heart development {GO:0007507}; negative regulation of protein binding {GO:0032091}</t>
  </si>
  <si>
    <t>cell junction {GO:0030054}</t>
  </si>
  <si>
    <t>actin filament binding {GO:0051015}; RNA binding {GO:0003723}</t>
  </si>
  <si>
    <t>Microtubule-associated protein 4 (MAP-4)</t>
  </si>
  <si>
    <t>MAP4_HUMAN</t>
  </si>
  <si>
    <t>P27816</t>
  </si>
  <si>
    <t>Q13082; Q59FT2; Q68D74; Q6ZUW9; Q86V26; Q96A76; Q96NS9</t>
  </si>
  <si>
    <t>Acetylation; Alternative splicing; Cytoplasm; Cytoskeleton; Isopeptide bond; Microtubule; Phosphoprotein; Polymorphism; Repeat; Ubl conjugation</t>
  </si>
  <si>
    <t>cell division {GO:0051301}; establishment of spindle orientation {GO:0051294}; microtubule cytoskeleton organization {GO:0000226}; microtubule sliding {GO:0051012}; mitotic spindle organization {GO:0007052}; negative regulation of non-motile cilium assembly {GO:1902856}; neuron projection development {GO:0031175}</t>
  </si>
  <si>
    <t>axon {GO:0030424}; axoneme {GO:0005930}; cytosol {GO:0005829}; microtubule {GO:0005874}; microtubule associated complex {GO:0005875}; microtubule cytoskeleton {GO:0015630}; mitotic spindle {GO:0072686}; neuron projection {GO:0043005}; plasma membrane {GO:0005886}; postsynaptic density {GO:0014069}</t>
  </si>
  <si>
    <t>microtubule binding {GO:0008017}; RNA binding {GO:0003723}; structural molecule activity {GO:0005198}</t>
  </si>
  <si>
    <t>Intercellular adhesion molecule 3 (ICAM-3)</t>
  </si>
  <si>
    <t>CDw50; ICAM-R; CD_antigen=CD50</t>
  </si>
  <si>
    <t>ICAM3_HUMAN</t>
  </si>
  <si>
    <t>P32942</t>
  </si>
  <si>
    <t>Q6PD68</t>
  </si>
  <si>
    <t>3D-structure; Cell adhesion; Disulfide bond; Glycoprotein; Immunoglobulin domain; Membrane; Phagocytosis; Phosphoprotein; Polymorphism; Repeat; Signal; Transmembrane; Transmembrane helix</t>
  </si>
  <si>
    <t>Cell adhesion; Phagocytosis</t>
  </si>
  <si>
    <t>cell adhesion {GO:0007155}; cell-cell adhesion {GO:0098609}; extracellular matrix organization {GO:0030198}; phagocytosis {GO:0006909}; regulation of immune response {GO:0050776}; stimulatory C-type lectin receptor signaling pathway {GO:0002223}</t>
  </si>
  <si>
    <t>extracellular exosome {GO:0070062}; integral component of plasma membrane {GO:0005887}; plasma membrane {GO:0005886}</t>
  </si>
  <si>
    <t>integrin binding {GO:0005178}; signaling receptor binding {GO:0005102}</t>
  </si>
  <si>
    <t>Glycogenin-1 (GN-1; GN1)</t>
  </si>
  <si>
    <t>GLYG_HUMAN</t>
  </si>
  <si>
    <t>P46976</t>
  </si>
  <si>
    <t>D3DNH0; D3DNH1; D3DNH2; Q6FHZ1; Q9UNV0</t>
  </si>
  <si>
    <t>GYG</t>
  </si>
  <si>
    <t>3D-structure; Acetylation; Alternative splicing; Disease mutation; Glycogen biosynthesis; Glycogen storage disease; Glycoprotein; Manganese; Metal-binding; Phosphoprotein; Transferase</t>
  </si>
  <si>
    <t>Glycogen biosynthesis</t>
  </si>
  <si>
    <t>glycogen biosynthetic process {GO:0005978}; neutrophil degranulation {GO:0043312}</t>
  </si>
  <si>
    <t>cytosol {GO:0005829}; extracellular region {GO:0005576}; ficolin-1-rich granule lumen {GO:1904813}; lysosomal lumen {GO:0043202}; membrane {GO:0016020}; secretory granule lumen {GO:0034774}</t>
  </si>
  <si>
    <t>glycogenin glucosyltransferase activity {GO:0008466}; manganese ion binding {GO:0030145}; protein homodimerization activity {GO:0042803}; UDP-alpha-D-glucose:glucosyl-glycogenin alpha-D-glucosyltransferase activity {GO:0102751}</t>
  </si>
  <si>
    <t>Glycan biosynthesis; glycogen biosynthesis.</t>
  </si>
  <si>
    <t>Glycogen synthesis {R-HSA-3322077}; Myoclonic epilepsy of Lafora {R-HSA-3785653}; Glycogen storage disease type XV (GYG1) {R-HSA-3814836}; Glycogen storage disease type 0 (muscle GYS1) {R-HSA-3828062}; Glycogen storage disease type II (GAA) {R-HSA-5357609}; Neutrophil degranulation {R-HSA-6798695}; Glycogen breakdown (glycogenolysis) {R-HSA-70221}</t>
  </si>
  <si>
    <t>60S ribosomal protein L15</t>
  </si>
  <si>
    <t>Large ribosomal subunit protein eL15</t>
  </si>
  <si>
    <t>RL15_HUMAN</t>
  </si>
  <si>
    <t>P61313</t>
  </si>
  <si>
    <t>P39030; P41051; Q5U0C0; Q642I1; Q6IPX6; Q8WYP2; Q96C44; Q9H2E5</t>
  </si>
  <si>
    <t>EC45</t>
  </si>
  <si>
    <t>3D-structure; Alternative splicing; Diamond-Blackfan anemia; Isopeptide bond; Lipoprotein; Membrane; Myristate; Phosphoprotein; Ribonucleoprotein; Ribosomal protein; Ubl conjugation</t>
  </si>
  <si>
    <t>Isopeptide bond; Lipoprotein; Myristate; Phosphoprotein; Ubl conjugation</t>
  </si>
  <si>
    <t>cytosol {GO:0005829}; cytosolic large ribosomal subunit {GO:0022625}; membrane {GO:0016020}; nucleus {GO:0005634}; ribosome {GO:0005840}</t>
  </si>
  <si>
    <t>Protein phosphatase inhibitor 2 (IPP-2)</t>
  </si>
  <si>
    <t>IPP2_HUMAN</t>
  </si>
  <si>
    <t>P41236</t>
  </si>
  <si>
    <t>IPP2</t>
  </si>
  <si>
    <t>Acetylation; Carbohydrate metabolism; Glycogen metabolism; Phosphoprotein; Protein phosphatase inhibitor</t>
  </si>
  <si>
    <t>Protein phosphatase inhibitor</t>
  </si>
  <si>
    <t>generation of precursor metabolites and energy {GO:0006091}; glycogen metabolic process {GO:0005977}; regulation of phosphoprotein phosphatase activity {GO:0043666}; regulation of signal transduction {GO:0009966}</t>
  </si>
  <si>
    <t>protein phosphatase inhibitor activity {GO:0004864}; protein serine/threonine phosphatase inhibitor activity {GO:0004865}</t>
  </si>
  <si>
    <t>Apolipoprotein D (Apo-D; ApoD)</t>
  </si>
  <si>
    <t>APOD_HUMAN</t>
  </si>
  <si>
    <t>P05090</t>
  </si>
  <si>
    <t>B2R579; D3DNW6; Q6IBG6</t>
  </si>
  <si>
    <t>3D-structure; Disulfide bond; Glycoprotein; Lipid-binding; Polymorphism; Pyrrolidone carboxylic acid; Secreted; Signal; Transport</t>
  </si>
  <si>
    <t>aging {GO:0007568}; angiogenesis {GO:0001525}; brain development {GO:0007420}; glucose metabolic process {GO:0006006}; lipid metabolic process {GO:0006629}; negative regulation of cytokine production involved in inflammatory response {GO:1900016}; negative regulation of focal adhesion assembly {GO:0051895}; negative regulation of lipoprotein lipid oxidation {GO:0060588}; negative regulation of monocyte chemotactic protein-1 production {GO:0071638}; negative regulation of platelet-derived growth factor receptor signaling pathway {GO:0010642}; negative regulation of protein import into nucleus {GO:0042308}; negative regulation of smooth muscle cell proliferation {GO:0048662}; negative regulation of smooth muscle cell-matrix adhesion {GO:2000098}; negative regulation of T cell migration {GO:2000405}; peripheral nervous system axon regeneration {GO:0014012}; response to axon injury {GO:0048678}; response to drug {GO:0042493}; response to reactive oxygen species {GO:0000302}; tissue regeneration {GO:0042246}</t>
  </si>
  <si>
    <t>cytoplasm {GO:0005737}; cytosolic ribosome {GO:0022626}; dendrite {GO:0030425}; endoplasmic reticulum {GO:0005783}; extracellular exosome {GO:0070062}; extracellular region {GO:0005576}; extracellular space {GO:0005615}; neuronal cell body {GO:0043025}; perinuclear region of cytoplasm {GO:0048471}</t>
  </si>
  <si>
    <t>cholesterol binding {GO:0015485}; lipid transporter activity {GO:0005319}</t>
  </si>
  <si>
    <t>Transport of fatty acids {R-HSA-804914}</t>
  </si>
  <si>
    <t>Transketolase (TK)</t>
  </si>
  <si>
    <t>TKT_HUMAN</t>
  </si>
  <si>
    <t>P29401</t>
  </si>
  <si>
    <t>A8K089; B4DE31; E7EPA7; Q8TBA3; Q96HH3</t>
  </si>
  <si>
    <t>3D-structure; Acetylation; Alternative splicing; Calcium; Disease mutation; Dwarfism; Isopeptide bond; Magnesium; Metal-binding; Phosphoprotein; Polymorphism; Thiamine pyrophosphate; Transferase; Ubl conjugation</t>
  </si>
  <si>
    <t>Calcium; Magnesium; Metal-binding; Thiamine pyrophosphate</t>
  </si>
  <si>
    <t>glyceraldehyde-3-phosphate biosynthetic process {GO:0046166}; pentose-phosphate shunt {GO:0006098}; pentose-phosphate shunt, non-oxidative branch {GO:0009052}; regulation of growth {GO:0040008}; xylulose biosynthetic process {GO:0005999}</t>
  </si>
  <si>
    <t>cytosol {GO:0005829}; extracellular exosome {GO:0070062}; nuclear body {GO:0016604}; nuclear speck {GO:0016607}; nucleoplasm {GO:0005654}; peroxisome {GO:0005777}; vesicle {GO:0031982}</t>
  </si>
  <si>
    <t>cofactor binding {GO:0048037}; metal ion binding {GO:0046872}; protein homodimerization activity {GO:0042803}; transketolase activity {GO:0004802}</t>
  </si>
  <si>
    <t>Insulin effects increased synthesis of Xylulose-5-Phosphate {R-HSA-163754}; Pentose phosphate pathway {R-HSA-71336}</t>
  </si>
  <si>
    <t>Lamin-B2</t>
  </si>
  <si>
    <t>LMNB2_HUMAN</t>
  </si>
  <si>
    <t>Q03252</t>
  </si>
  <si>
    <t>O75292; Q14734; Q96DF6</t>
  </si>
  <si>
    <t>LMN2</t>
  </si>
  <si>
    <t>3D-structure; Acetylation; Coiled coil; Disease mutation; Epilepsy; Intermediate filament; Isopeptide bond; Lipoprotein; Membrane; Methylation; Nucleus; Phosphoprotein; Polymorphism; Prenylation; Ubl conjugation</t>
  </si>
  <si>
    <t>Intermediate filament; Membrane; Nucleus</t>
  </si>
  <si>
    <t>Acetylation; Isopeptide bond; Lipoprotein; Methylation; Phosphoprotein; Prenylation; Ubl conjugation</t>
  </si>
  <si>
    <t>lamin filament {GO:0005638}; nuclear inner membrane {GO:0005637}; nuclear membrane {GO:0031965}</t>
  </si>
  <si>
    <t>cAMP-dependent protein kinase type II-alpha regulatory subunit</t>
  </si>
  <si>
    <t>KAP2_HUMAN</t>
  </si>
  <si>
    <t>P13861</t>
  </si>
  <si>
    <t>Q16823; Q9BUB1</t>
  </si>
  <si>
    <t>PKR2; PRKAR2</t>
  </si>
  <si>
    <t>3D-structure; Acetylation; Alternative splicing; cAMP; cAMP-binding; Cell membrane; Cytoplasm; Membrane; Nucleotide-binding; Phosphoprotein; Repeat</t>
  </si>
  <si>
    <t>Nucleotide-binding; cAMP; cAMP-binding</t>
  </si>
  <si>
    <t>activation of protein kinase A activity {GO:0034199}; blood coagulation {GO:0007596}; cellular response to glucagon stimulus {GO:0071377}; cGMP-mediated signaling {GO:0019934}; intracellular signal transduction {GO:0035556}; negative regulation of cAMP-dependent protein kinase activity {GO:2000480}; renal water homeostasis {GO:0003091}</t>
  </si>
  <si>
    <t>cAMP-dependent protein kinase complex {GO:0005952}; centrosome {GO:0005813}; ciliary base {GO:0097546}; cytoplasm {GO:0005737}; cytosol {GO:0005829}; extracellular exosome {GO:0070062}; focal adhesion {GO:0005925}; membrane {GO:0016020}; nucleotide-activated protein kinase complex {GO:0031588}; plasma membrane {GO:0005886}; plasma membrane raft {GO:0044853}; protein-containing complex {GO:0032991}</t>
  </si>
  <si>
    <t>3',5'-cyclic-GMP phosphodiesterase activity {GO:0047555}; cAMP binding {GO:0030552}; cAMP-dependent protein kinase inhibitor activity {GO:0004862}; cAMP-dependent protein kinase regulator activity {GO:0008603}; protein domain specific binding {GO:0019904}; protein kinase A catalytic subunit binding {GO:0034236}; ubiquitin protein ligase binding {GO:0031625}</t>
  </si>
  <si>
    <t>PKA activation {R-HSA-163615}; PKA activation in glucagon signalling {R-HSA-164378}; DARPP-32 events {R-HSA-180024}; Glucagon-like Peptide-1 (GLP1) regulates insulin secretion {R-HSA-381676}; Vasopressin regulates renal water homeostasis via Aquaporins {R-HSA-432040}; CREB1 phosphorylation through the activation of Adenylate Cyclase {R-HSA-442720}; Hedgehog 'off' state {R-HSA-5610787}; ROBO receptors bind AKAP5 {R-HSA-9010642}; Factors involved in megakaryocyte development and platelet production {R-HSA-983231}</t>
  </si>
  <si>
    <t>Filamin-B (FLN-B)</t>
  </si>
  <si>
    <t>ABP-278; ABP-280 homolog; Actin-binding-like protein; Beta-filamin; Filamin homolog 1 (Fh1); Filamin-3; Thyroid autoantigen; Truncated actin-binding protein (Truncated ABP)</t>
  </si>
  <si>
    <t>FLNB_HUMAN</t>
  </si>
  <si>
    <t>O75369</t>
  </si>
  <si>
    <t>B2ZZ83; B2ZZ84; B2ZZ85; C9JKE6; C9JMC4; Q13706; Q59EC2; Q60FE7; Q6MZJ1; Q8WXS9; Q8WXT0; Q8WXT1; Q8WXT2; Q8WXT3; Q9NRB5; Q9NT26; Q9UEV9</t>
  </si>
  <si>
    <t>FLN1L; FLN3; TABP; TAP</t>
  </si>
  <si>
    <t>3D-structure; Acetylation; Actin-binding; Alternative splicing; Cytoplasm; Cytoskeleton; Developmental protein; Differentiation; Disease mutation; Dwarfism; Isopeptide bond; Myogenesis; Phosphoprotein; Polymorphism; Repeat; Ubl conjugation</t>
  </si>
  <si>
    <t>Differentiation; Myogenesis</t>
  </si>
  <si>
    <t>actin cytoskeleton organization {GO:0030036}; cellular response to interferon-gamma {GO:0071346}; cytoskeletal anchoring at plasma membrane {GO:0007016}; epithelial cell morphogenesis {GO:0003382}; keratinocyte development {GO:0003334}; signal transduction {GO:0007165}; skeletal muscle tissue development {GO:0007519}</t>
  </si>
  <si>
    <t>actin cytoskeleton {GO:0015629}; brush border {GO:0005903}; cell cortex {GO:0005938}; cytoplasm {GO:0005737}; cytosol {GO:0005829}; extracellular exosome {GO:0070062}; focal adhesion {GO:0005925}; integral component of membrane {GO:0016021}; neuron projection {GO:0043005}; neuronal cell body {GO:0043025}; nucleus {GO:0005634}; phagocytic vesicle {GO:0045335}; plasma membrane {GO:0005886}; stress fiber {GO:0001725}; Z disc {GO:0030018}</t>
  </si>
  <si>
    <t>actin binding {GO:0003779}; cadherin binding {GO:0045296}; identical protein binding {GO:0042802}; RNA binding {GO:0003723}</t>
  </si>
  <si>
    <t>ISG15 antiviral mechanism {R-HSA-1169408}</t>
  </si>
  <si>
    <t>ELAV-like protein 1</t>
  </si>
  <si>
    <t>Hu-antigen R (HuR)</t>
  </si>
  <si>
    <t>ELAV1_HUMAN</t>
  </si>
  <si>
    <t>Q15717</t>
  </si>
  <si>
    <t>B4DVB8; Q53XN6; Q9BTT1</t>
  </si>
  <si>
    <t>HUR</t>
  </si>
  <si>
    <t>3D-structure; Acetylation; Alternative splicing; Cytoplasm; Isopeptide bond; Methylation; Nucleus; Phosphoprotein; Repeat; RNA-binding; Ubl conjugation</t>
  </si>
  <si>
    <t>3'-UTR-mediated mRNA stabilization {GO:0070935}; mRNA splicing, via spliceosome {GO:0000398}; mRNA stabilization {GO:0048255}; negative regulation of gene silencing by miRNA {GO:0060965}; positive regulation of translation {GO:0045727}; protein homooligomerization {GO:0051260}; regulation of mRNA stability {GO:0043488}; regulation of stem cell population maintenance {GO:2000036}</t>
  </si>
  <si>
    <t>cytoplasm {GO:0005737}; cytoplasmic stress granule {GO:0010494}; cytosol {GO:0005829}; glutamatergic synapse {GO:0098978}; membrane {GO:0016020}; nucleoplasm {GO:0005654}; nucleus {GO:0005634}; postsynapse {GO:0098794}; ribonucleoprotein complex {GO:1990904}</t>
  </si>
  <si>
    <t>AU-rich element binding {GO:0017091}; double-stranded RNA binding {GO:0003725}; miRNA binding {GO:0035198}; mRNA 3'-UTR AU-rich region binding {GO:0035925}; mRNA 3'-UTR binding {GO:0003730}; mRNA binding {GO:0003729}; protein homodimerization activity {GO:0042803}; protein kinase binding {GO:0019901}; RNA binding {GO:0003723}</t>
  </si>
  <si>
    <t>HuR (ELAVL1) binds and stabilizes mRNA {R-HSA-450520}; mRNA Splicing - Major Pathway {R-HSA-72163}</t>
  </si>
  <si>
    <t>Small ubiquitin-related modifier 3 (SUMO-3)</t>
  </si>
  <si>
    <t>SMT3 homolog 1; SUMO-2; Ubiquitin-like protein SMT3A (Smt3A)</t>
  </si>
  <si>
    <t>SUMO3_HUMAN</t>
  </si>
  <si>
    <t>P55854</t>
  </si>
  <si>
    <t>B2R5X4; B4DUW4; Q53HI9; Q6FGD4; Q9BWR4</t>
  </si>
  <si>
    <t>3D-structure; Alternative splicing; Cytoplasm; Isopeptide bond; Nucleus; Polymorphism; Ubl conjugation; Ubl conjugation pathway</t>
  </si>
  <si>
    <t>negative regulation of DNA binding {GO:0043392}; protein sumoylation {GO:0016925}</t>
  </si>
  <si>
    <t>cytoplasm {GO:0005737}; kinetochore {GO:0000776}; nucleoplasm {GO:0005654}; nucleus {GO:0005634}; PML body {GO:0016605}</t>
  </si>
  <si>
    <t>enzyme binding {GO:0019899}; protein tag {GO:0031386}; ubiquitin-like protein ligase binding {GO:0044389}</t>
  </si>
  <si>
    <t>SUMO is conjugated to E1 (UBA2:SAE1) {R-HSA-3065676}; SUMO is transferred from E1 to E2 (UBE2I, UBC9) {R-HSA-3065678}; SUMO is proteolytically processed {R-HSA-3065679}; SUMOylation of DNA damage response and repair proteins {R-HSA-3108214}; SUMOylation of transcription factors {R-HSA-3232118}; SUMOylation of transcription cofactors {R-HSA-3899300}; SUMOylation of intracellular receptors {R-HSA-4090294}; SUMOylation of chromatin organization proteins {R-HSA-4551638}; SUMOylation of DNA replication proteins {R-HSA-4615885}; SUMOylation of immune response proteins {R-HSA-4755510}; Formation of Incision Complex in GG-NER {R-HSA-5696395}</t>
  </si>
  <si>
    <t>Adhesion G protein-coupled receptor L1</t>
  </si>
  <si>
    <t>Calcium-independent alpha-latrotoxin receptor 1 (CIRL-1); Latrophilin-1; Lectomedin-2</t>
  </si>
  <si>
    <t>AGRL1_HUMAN</t>
  </si>
  <si>
    <t>O94910</t>
  </si>
  <si>
    <t>Q96IE7; Q9BU07; Q9HAR3</t>
  </si>
  <si>
    <t>Alternative splicing; Autocatalytic cleavage; Cell junction; Cell membrane; Cell projection; Disulfide bond; G-protein coupled receptor; Glycoprotein; Lectin; Membrane; Methylation; Phosphoprotein; Polymorphism; Receptor; Signal; Synapse; Synaptosome; Transducer; Transmembrane; Transmembrane helix</t>
  </si>
  <si>
    <t>Cell junction; Cell membrane; Cell projection; Membrane; Synapse; Synaptosome</t>
  </si>
  <si>
    <t>Autocatalytic cleavage; Disulfide bond; Glycoprotein; Methylation; Phosphoprotein</t>
  </si>
  <si>
    <t>adenylate cyclase-activating G protein-coupled receptor signaling pathway {GO:0007189}; calcium-mediated signaling using intracellular calcium source {GO:0035584}; cell surface receptor signaling pathway {GO:0007166}; G protein-coupled receptor signaling pathway {GO:0007186}; heterophilic cell-cell adhesion via plasma membrane cell adhesion molecules {GO:0007157}; positive regulation of synapse assembly {GO:0051965}; positive regulation of synapse maturation {GO:0090129}</t>
  </si>
  <si>
    <t>axon {GO:0030424}; cell junction {GO:0030054}; growth cone {GO:0030426}; integral component of membrane {GO:0016021}; integral component of plasma membrane {GO:0005887}; neuron projection {GO:0043005}; plasma membrane {GO:0005886}; postsynaptic density {GO:0014069}; presynaptic membrane {GO:0042734}; synapse {GO:0045202}</t>
  </si>
  <si>
    <t>carbohydrate binding {GO:0030246}; cell adhesion molecule binding {GO:0050839}; G protein-coupled receptor activity {GO:0004930}; latrotoxin receptor activity {GO:0016524}</t>
  </si>
  <si>
    <t>Coiled-coil domain-containing protein 80</t>
  </si>
  <si>
    <t>Down-regulated by oncogenes protein 1; Up-regulated in BRS-3 deficient mouse homolog</t>
  </si>
  <si>
    <t>CCD80_HUMAN</t>
  </si>
  <si>
    <t>Q76M96</t>
  </si>
  <si>
    <t>D3DN67; Q5PR20; Q6GPG9; Q8IVT6; Q8NBV1; Q8NHY8</t>
  </si>
  <si>
    <t>DRO1; URB</t>
  </si>
  <si>
    <t>Alternative splicing; Coiled coil; Extracellular matrix; Isopeptide bond; Phosphoprotein; Secreted; Signal; Ubl conjugation</t>
  </si>
  <si>
    <t>extracellular matrix organization {GO:0030198}; positive regulation of cell-substrate adhesion {GO:0010811}; response to bacterium {GO:0009617}</t>
  </si>
  <si>
    <t>basement membrane {GO:0005604}; interstitial matrix {GO:0005614}</t>
  </si>
  <si>
    <t>fibronectin binding {GO:0001968}; heparin binding {GO:0008201}</t>
  </si>
  <si>
    <t>Elongation factor 2 (EF-2)</t>
  </si>
  <si>
    <t>EF2_HUMAN</t>
  </si>
  <si>
    <t>P13639</t>
  </si>
  <si>
    <t>B2RMP5; D6W618; Q58J86</t>
  </si>
  <si>
    <t>EF2</t>
  </si>
  <si>
    <t>3D-structure; Acetylation; ADP-ribosylation; Cytoplasm; Disease mutation; Elongation factor; GTP-binding; Isopeptide bond; Methylation; Neurodegeneration; Nucleotide-binding; Nucleus; Phosphoprotein; Protein biosynthesis; Spinocerebellar ataxia; Ubl conjugation</t>
  </si>
  <si>
    <t>Disease mutation; Neurodegeneration; Spinocerebellar ataxia</t>
  </si>
  <si>
    <t>ADP-ribosylation; Acetylation; Isopeptide bond; Methylation; Phosphoprotein; Ubl conjugation</t>
  </si>
  <si>
    <t>aging {GO:0007568}; cellular response to brain-derived neurotrophic factor stimulus {GO:1990416}; glial cell proliferation {GO:0014009}; hematopoietic progenitor cell differentiation {GO:0002244}; neutrophil degranulation {GO:0043312}; positive regulation of cytoplasmic translation {GO:2000767}; positive regulation of translation {GO:0045727}; response to endoplasmic reticulum stress {GO:0034976}; response to estradiol {GO:0032355}; response to ethanol {GO:0045471}; response to folic acid {GO:0051593}; response to hydrogen peroxide {GO:0042542}; response to ischemia {GO:0002931}; skeletal muscle cell differentiation {GO:0035914}; skeletal muscle contraction {GO:0003009}; translational elongation {GO:0006414}</t>
  </si>
  <si>
    <t>aggresome {GO:0016235}; cytoplasm {GO:0005737}; cytosol {GO:0005829}; extracellular exosome {GO:0070062}; extracellular region {GO:0005576}; ficolin-1-rich granule lumen {GO:1904813}; membrane {GO:0016020}; membrane raft {GO:0045121}; nucleus {GO:0005634}; plasma membrane {GO:0005886}; polysomal ribosome {GO:0042788}; ribonucleoprotein complex {GO:1990904}; secretory granule lumen {GO:0034774}; synapse {GO:0045202}</t>
  </si>
  <si>
    <t>5S rRNA binding {GO:0008097}; actin filament binding {GO:0051015}; cadherin binding {GO:0045296}; GTP binding {GO:0005525}; GTPase activity {GO:0003924}; p53 binding {GO:0002039}; protein kinase binding {GO:0019901}; ribosome binding {GO:0043022}; RNA binding {GO:0003723}; translation elongation factor activity {GO:0003746}</t>
  </si>
  <si>
    <t>Peptide chain elongation {R-HSA-156902}; Uptake and function of diphtheria toxin {R-HSA-5336415}; Synthesis of diphthamide-EEF2 {R-HSA-5358493}; Neutrophil degranulation {R-HSA-6798695}; Protein methylation {R-HSA-8876725}</t>
  </si>
  <si>
    <t>3-ketoacyl-CoA thiolase, peroxisomal</t>
  </si>
  <si>
    <t>Acetyl-CoA acyltransferase; Beta-ketothiolase; Peroxisomal 3-oxoacyl-CoA thiolase</t>
  </si>
  <si>
    <t>THIK_HUMAN</t>
  </si>
  <si>
    <t>P09110</t>
  </si>
  <si>
    <t>G5E935; Q96CA6</t>
  </si>
  <si>
    <t>ACAA; PTHIO</t>
  </si>
  <si>
    <t>3D-structure; Acyltransferase; Alternative splicing; Fatty acid metabolism; Lipid metabolism; Peroxisome; Phosphoprotein; Polymorphism; Transferase; Transit peptide</t>
  </si>
  <si>
    <t>alpha-linolenic acid metabolic process {GO:0036109}; bile acid metabolic process {GO:0008206}; fatty acid beta-oxidation {GO:0006635}; fatty acid beta-oxidation using acyl-CoA oxidase {GO:0033540}; neutrophil degranulation {GO:0043312}; phenylacetate catabolic process {GO:0010124}; protein targeting to peroxisome {GO:0006625}; very long-chain fatty acid metabolic process {GO:0000038}</t>
  </si>
  <si>
    <t>cytosol {GO:0005829}; extracellular region {GO:0005576}; intracellular membrane-bounded organelle {GO:0043231}; membrane {GO:0016020}; peroxisomal matrix {GO:0005782}; peroxisome {GO:0005777}; specific granule lumen {GO:0035580}</t>
  </si>
  <si>
    <t>acetate CoA-transferase activity {GO:0008775}; acetyl-CoA C-acyltransferase activity {GO:0003988}; palmitoyl-CoA oxidase activity {GO:0016401}</t>
  </si>
  <si>
    <t>alpha-linolenic acid (ALA) metabolism {R-HSA-2046106}; Beta-oxidation of very long chain fatty acids {R-HSA-390247}; Neutrophil degranulation {R-HSA-6798695}; Peroxisomal protein import {R-HSA-9033241}; TYSND1 cleaves peroxisomal proteins {R-HSA-9033500}</t>
  </si>
  <si>
    <t>Myeloid differentiation primary response protein MyD88</t>
  </si>
  <si>
    <t>MYD88_HUMAN</t>
  </si>
  <si>
    <t>Q99836</t>
  </si>
  <si>
    <t>B4DKH8; B4DKU4; B4DQ60; B4DQ72; J3KPU4; J3KQ87; J3KQJ6; P78397; Q53XS7</t>
  </si>
  <si>
    <t>3D-structure; Alternative splicing; Cytoplasm; Disease mutation; Immunity; Inflammatory response; Innate immunity; Nucleus; Phosphoprotein; Ubl conjugation</t>
  </si>
  <si>
    <t>Immunity; Inflammatory response; Innate immunity</t>
  </si>
  <si>
    <t>3'-UTR-mediated mRNA stabilization {GO:0070935}; apoptotic process {GO:0006915}; cell surface receptor signaling pathway {GO:0007166}; cellular response to mechanical stimulus {GO:0071260}; cellular response to oxidised low-density lipoprotein particle stimulus {GO:0140052}; defense response to bacterium {GO:0042742}; defense response to Gram-positive bacterium {GO:0050830}; inflammatory response {GO:0006954}; innate immune response {GO:0045087}; interleukin-1-mediated signaling pathway {GO:0070498}; MyD88-dependent toll-like receptor signaling pathway {GO:0002755}; negative regulation of apoptotic process {GO:0043066}; phagocytosis {GO:0006909}; positive regulation of cytokine production involved in inflammatory response {GO:1900017}; positive regulation of gene expression {GO:0010628}; positive regulation of I-kappaB kinase/NF-kappaB signaling {GO:0043123}; positive regulation of interleukin-17 production {GO:0032740}; positive regulation of interleukin-23 production {GO:0032747}; positive regulation of interleukin-6 production {GO:0032755}; positive regulation of interleukin-8 production {GO:0032757}; positive regulation of NF-kappaB transcription factor activity {GO:0051092}; positive regulation of type I interferon production {GO:0032481}; regulation of inflammatory response {GO:0050727}; response to interleukin-1 {GO:0070555}; signal transduction {GO:0007165}; Toll signaling pathway {GO:0008063}; toll-like receptor 9 signaling pathway {GO:0034162}; toll-like receptor signaling pathway {GO:0002224}; type I interferon signaling pathway {GO:0060337}</t>
  </si>
  <si>
    <t>cytoplasm {GO:0005737}; cytosol {GO:0005829}; endosome membrane {GO:0010008}; nucleus {GO:0005634}; plasma membrane {GO:0005886}</t>
  </si>
  <si>
    <t>death receptor binding {GO:0005123}; identical protein binding {GO:0042802}; protein self-association {GO:0043621}; TIR domain binding {GO:0070976}; Toll-like receptor binding {GO:0035325}</t>
  </si>
  <si>
    <t>ER-Phagosome pathway {R-HSA-1236974}; PIP3 activates AKT signaling {R-HSA-1257604}; MyD88:MAL(TIRAP) cascade initiated on plasma membrane {R-HSA-166058}; RIP-mediated NFkB activation via ZBP1 {R-HSA-1810476}; p75NTR recruits signalling complexes {R-HSA-209543}; DEx/H-box helicases activate type I IFN and inflammatory cytokines production {R-HSA-3134963}; MyD88 deficiency (TLR2/4) {R-HSA-5602498}; MyD88 deficiency (TLR5) {R-HSA-5602680}; IRAK4 deficiency (TLR5) {R-HSA-5603037}; IRAK4 deficiency (TLR2/4) {R-HSA-5603041}; PI5P, PP2A and IER3 Regulate PI3K/AKT Signaling {R-HSA-6811558}; Interleukin-1 signaling {R-HSA-9020702}; TRAF6 mediated IRF7 activation in TLR7/8 or 9 signaling {R-HSA-975110}; TRAF6 mediated induction of NFkB and MAP kinases upon TLR7/8 or 9 activation {R-HSA-975138}; MyD88 dependent cascade initiated on endosome {R-HSA-975155}; MyD88 cascade initiated on plasma membrane {R-HSA-975871}</t>
  </si>
  <si>
    <t>Small integral membrane protein 24</t>
  </si>
  <si>
    <t>SIM24_HUMAN</t>
  </si>
  <si>
    <t>O75264</t>
  </si>
  <si>
    <t>B9EJF4; Q9P059</t>
  </si>
  <si>
    <t>C19orf77</t>
  </si>
  <si>
    <t>Membrane; Signal; Transmembrane; Transmembrane helix</t>
  </si>
  <si>
    <t>Coxsackievirus and adenovirus receptor (CAR; hCAR)</t>
  </si>
  <si>
    <t>CVB3-binding protein; Coxsackievirus B-adenovirus receptor; HCVADR</t>
  </si>
  <si>
    <t>CXAR_HUMAN</t>
  </si>
  <si>
    <t>P78310</t>
  </si>
  <si>
    <t>B2R8V8; B7WPI3; D3YHP0; O00694; Q8WWT6; Q8WWT7; Q8WWT8; Q9UKV4</t>
  </si>
  <si>
    <t>CAR</t>
  </si>
  <si>
    <t>3D-structure; Alternative splicing; Cell adhesion; Cell junction; Cell membrane; Disulfide bond; Glycoprotein; Host cell receptor for virus entry; Host-virus interaction; Immunoglobulin domain; Lipoprotein; Membrane; Palmitate; Phosphoprotein; Polymorphism; Receptor; Repeat; Secreted; Signal; Tight junction; Transmembrane; Transmembrane helix</t>
  </si>
  <si>
    <t>actin cytoskeleton reorganization {GO:0031532}; AV node cell to bundle of His cell communication {GO:0086067}; AV node cell-bundle of His cell adhesion involved in cell communication {GO:0086072}; cardiac muscle fiber development {GO:0048739}; cell-cell junction organization {GO:0045216}; defense response to virus {GO:0051607}; epithelial structure maintenance {GO:0010669}; gamma-delta T cell activation {GO:0046629}; germ cell migration {GO:0008354}; heart development {GO:0007507}; heterophilic cell-cell adhesion via plasma membrane cell adhesion molecules {GO:0007157}; homotypic cell-cell adhesion {GO:0034109}; leukocyte migration {GO:0050900}; mitochondrion organization {GO:0007005}; neutrophil chemotaxis {GO:0030593}; regulation of AV node cell action potential {GO:0098904}; regulation of immune response {GO:0050776}; transepithelial transport {GO:0070633}</t>
  </si>
  <si>
    <t>acrosomal vesicle {GO:0001669}; adherens junction {GO:0005912}; apicolateral plasma membrane {GO:0016327}; basolateral plasma membrane {GO:0016323}; bicellular tight junction {GO:0005923}; cell body {GO:0044297}; cell junction {GO:0030054}; cell-cell adherens junction {GO:0005913}; cell-cell junction {GO:0005911}; cytoplasm {GO:0005737}; extracellular region {GO:0005576}; extracellular space {GO:0005615}; filopodium {GO:0030175}; growth cone {GO:0030426}; integral component of plasma membrane {GO:0005887}; intercalated disc {GO:0014704}; membrane raft {GO:0045121}; neuromuscular junction {GO:0031594}; neuron projection {GO:0043005}; nucleoplasm {GO:0005654}; plasma membrane {GO:0005886}; protein-containing complex {GO:0032991}</t>
  </si>
  <si>
    <t>beta-catenin binding {GO:0008013}; cell adhesion molecule binding {GO:0050839}; cell adhesive protein binding involved in AV node cell-bundle of His cell communication {GO:0086082}; connexin binding {GO:0071253}; identical protein binding {GO:0042802}; integrin binding {GO:0005178}; PDZ domain binding {GO:0030165}; signaling receptor binding {GO:0005102}; virus receptor activity {GO:0001618}</t>
  </si>
  <si>
    <t>Chondrolectin</t>
  </si>
  <si>
    <t>Transmembrane protein MT75</t>
  </si>
  <si>
    <t>CHODL_HUMAN</t>
  </si>
  <si>
    <t>Q9H9P2</t>
  </si>
  <si>
    <t>B2R9C0; B4DJB8; Q7Z798; Q7Z799; Q7Z7A0; Q9HCY3</t>
  </si>
  <si>
    <t>C21orf68</t>
  </si>
  <si>
    <t>Alternative promoter usage; Alternative splicing; Cytoplasm; Disulfide bond; Endoplasmic reticulum; Glycoprotein; Lectin; Membrane; Neurogenesis; Signal; Transmembrane; Transmembrane helix</t>
  </si>
  <si>
    <t>Cytoplasm; Endoplasmic reticulum; Membrane</t>
  </si>
  <si>
    <t>Alternative promoter usage; Alternative splicing</t>
  </si>
  <si>
    <t>muscle organ development {GO:0007517}; positive regulation of axonogenesis {GO:0050772}</t>
  </si>
  <si>
    <t>cytoplasm {GO:0005737}; endoplasmic reticulum membrane {GO:0005789}; integral component of membrane {GO:0016021}; perinuclear region of cytoplasm {GO:0048471}</t>
  </si>
  <si>
    <t>carbohydrate binding {GO:0030246}</t>
  </si>
  <si>
    <t>Non-collagenous domain 1 (NC1)</t>
  </si>
  <si>
    <t>COIA1_HUMAN</t>
  </si>
  <si>
    <t>P39060</t>
  </si>
  <si>
    <t>A8MVI4; Q58EX6; Q6RZ39; Q6RZ40; Q6RZ41; Q8N4S4; Q8WXI5; Q96T70; Q9UK38; Q9Y6Q7; Q9Y6Q8</t>
  </si>
  <si>
    <t>3D-structure; Alternative promoter usage; Alternative splicing; Basement membrane; Cell adhesion; Collagen; Disulfide bond; Extracellular matrix; Glycoprotein; Hydroxylation; Metal-binding; Phosphoprotein; Polymorphism; Repeat; Secreted; Signal; Zinc</t>
  </si>
  <si>
    <t>angiogenesis {GO:0001525}; animal organ morphogenesis {GO:0009887}; cell adhesion {GO:0007155}; endothelial cell morphogenesis {GO:0001886}; extracellular matrix organization {GO:0030198}; negative regulation of cell population proliferation {GO:0008285}; positive regulation of cell migration {GO:0030335}; positive regulation of cell population proliferation {GO:0008284}; positive regulation of endothelial cell apoptotic process {GO:2000353}; response to drug {GO:0042493}; response to hydrostatic pressure {GO:0051599}; visual perception {GO:0007601}</t>
  </si>
  <si>
    <t>basement membrane {GO:0005604}; collagen trimer {GO:0005581}; collagen-containing extracellular matrix {GO:0062023}; endoplasmic reticulum lumen {GO:0005788}; extracellular exosome {GO:0070062}; extracellular matrix {GO:0031012}; extracellular region {GO:0005576}; extracellular space {GO:0005615}</t>
  </si>
  <si>
    <t>extracellular matrix structural constituent {GO:0005201}; identical protein binding {GO:0042802}; metal ion binding {GO:0046872}</t>
  </si>
  <si>
    <t>Collagen degradation {R-HSA-1442490}; Activation of Matrix Metalloproteinases {R-HSA-1592389}; Collagen biosynthesis and modifying enzymes {R-HSA-1650814}; Assembly of collagen fibrils and other multimeric structures {R-HSA-2022090}; Integrin cell surface interactions {R-HSA-216083}; Laminin interactions {R-HSA-3000157}; Collagen chain trimerization {R-HSA-8948216}</t>
  </si>
  <si>
    <t>Mucin-16 (MUC-16)</t>
  </si>
  <si>
    <t>Ovarian cancer-related tumor marker CA125 (CA-125); Ovarian carcinoma antigen CA125</t>
  </si>
  <si>
    <t>MUC16_HUMAN</t>
  </si>
  <si>
    <t>Q8WXI7</t>
  </si>
  <si>
    <t>B5ME49; Q6ZQW5; Q96RK2</t>
  </si>
  <si>
    <t>Cell membrane; Disulfide bond; Glycoprotein; Membrane; Phosphoprotein; Polymorphism; Repeat; Secreted; Transmembrane; Transmembrane helix</t>
  </si>
  <si>
    <t>cell adhesion {GO:0007155}; O-glycan processing {GO:0016266}; stimulatory C-type lectin receptor signaling pathway {GO:0002223}</t>
  </si>
  <si>
    <t>extracellular exosome {GO:0070062}; extrinsic component of membrane {GO:0019898}; Golgi lumen {GO:0005796}; integral component of membrane {GO:0016021}; plasma membrane {GO:0005886}; vesicle {GO:0031982}</t>
  </si>
  <si>
    <t>Nectin-3</t>
  </si>
  <si>
    <t>CDw113; Nectin cell adhesion molecule 3; Poliovirus receptor-related protein 3; CD_antigen=CD113</t>
  </si>
  <si>
    <t>NECT3_HUMAN</t>
  </si>
  <si>
    <t>Q9NQS3</t>
  </si>
  <si>
    <t>E9PFR0; Q6NVZ3; Q8NC05; Q8WVU4; Q9BVA9; Q9Y412</t>
  </si>
  <si>
    <t>3D-structure; Alternative splicing; Cell adhesion; Cell junction; Cell membrane; Disulfide bond; Glycoprotein; Immunoglobulin domain; Membrane; Polymorphism; Postsynaptic cell membrane; Repeat; Signal; Synapse; Transmembrane; Transmembrane helix</t>
  </si>
  <si>
    <t>Cell junction; Cell membrane; Membrane; Postsynaptic cell membrane; Synapse</t>
  </si>
  <si>
    <t>adherens junction organization {GO:0034332}; establishment of protein localization to plasma membrane {GO:0061951}; fertilization {GO:0009566}; heterophilic cell-cell adhesion via plasma membrane cell adhesion molecules {GO:0007157}; homophilic cell adhesion via plasma membrane adhesion molecules {GO:0007156}; lens morphogenesis in camera-type eye {GO:0002089}; protein localization to cell junction {GO:1902414}; retina morphogenesis in camera-type eye {GO:0060042}; spermatid development {GO:0007286}</t>
  </si>
  <si>
    <t>apical junction complex {GO:0043296}; axon {GO:0030424}; cell-cell adherens junction {GO:0005913}; cell-cell contact zone {GO:0044291}; cell-cell junction {GO:0005911}; dendrite {GO:0030425}; hippocampal mossy fiber to CA3 synapse {GO:0098686}; integral component of postsynaptic density membrane {GO:0099061}; plasma membrane {GO:0005886}</t>
  </si>
  <si>
    <t>cell adhesion molecule binding {GO:0050839}; identical protein binding {GO:0042802}; protein homodimerization activity {GO:0042803}; signaling receptor activity {GO:0038023}</t>
  </si>
  <si>
    <t>Interleukin enhancer-binding factor 3</t>
  </si>
  <si>
    <t>Double-stranded RNA-binding protein 76 (DRBP76); M-phase phosphoprotein 4 (MPP4); Nuclear factor associated with dsRNA (NFAR); Nuclear factor of activated T-cells 90 kDa (NF-AT-90); Translational control protein 80 (TCP80)</t>
  </si>
  <si>
    <t>ILF3_HUMAN</t>
  </si>
  <si>
    <t>Q12906</t>
  </si>
  <si>
    <t>A8K6F2; G5E9M5; O43409; Q6P1X1; Q86XY7; Q99544; Q99545; Q9BZH4; Q9BZH5; Q9NQ95; Q9NQ96; Q9NQ97; Q9NQ98; Q9NQ99; Q9NQA0; Q9NQA1; Q9NQA2; Q9NRN2; Q9NRN3; Q9NRN4; Q9UMZ9; Q9UN00; Q9UN84; Q9UNA2</t>
  </si>
  <si>
    <t>DRBF; MPHOSPH4; NF90</t>
  </si>
  <si>
    <t>3D-structure; Acetylation; Alternative splicing; Antiviral defense; Cytoplasm; DNA-binding; Isopeptide bond; Methylation; Nucleus; Phosphoprotein; Polymorphism; Repeat; RNA-binding; Transcription; Transcription regulation; Ubl conjugation</t>
  </si>
  <si>
    <t>Antiviral defense; Transcription; Transcription regulation</t>
  </si>
  <si>
    <t>DNA-binding; RNA-binding</t>
  </si>
  <si>
    <t>defense response to virus {GO:0051607}; negative regulation of transcription, DNA-templated {GO:0045892}; negative regulation of translation {GO:0017148}; negative regulation of viral genome replication {GO:0045071}; positive regulation of transcription, DNA-templated {GO:0045893}; protein phosphorylation {GO:0006468}</t>
  </si>
  <si>
    <t>cytoplasm {GO:0005737}; extracellular region {GO:0005576}; membrane {GO:0016020}; mitochondrion {GO:0005739}; nucleolus {GO:0005730}; nucleoplasm {GO:0005654}; nucleus {GO:0005634}; ribonucleoprotein complex {GO:1990904}</t>
  </si>
  <si>
    <t>DNA binding {GO:0003677}; double-stranded RNA binding {GO:0003725}; mRNA 3'-UTR AU-rich region binding {GO:0035925}; RNA binding {GO:0003723}; single-stranded RNA binding {GO:0003727}</t>
  </si>
  <si>
    <t>WNT1-inducible-signaling pathway protein 1 (WISP-1)</t>
  </si>
  <si>
    <t>CCN family member 4; Wnt-1-induced secreted protein</t>
  </si>
  <si>
    <t>WISP1_HUMAN</t>
  </si>
  <si>
    <t>O95388</t>
  </si>
  <si>
    <t>A8KAG6; E7EMM5; Q5JBS6; Q5JBS7; Q5JBS8; Q9HCS3</t>
  </si>
  <si>
    <t>CCN4</t>
  </si>
  <si>
    <t>Alternative splicing; Cell adhesion; Disulfide bond; Glycoprotein; Polymorphism; Proto-oncogene; Secreted; Signal; Wnt signaling pathway</t>
  </si>
  <si>
    <t>Cell adhesion; Wnt signaling pathway</t>
  </si>
  <si>
    <t>bone development {GO:0060348}; cell adhesion {GO:0007155}; cell-cell signaling {GO:0007267}; glucose homeostasis {GO:0042593}; negative regulation of cell death {GO:0060548}; negative regulation of chondrocyte differentiation {GO:0032331}; negative regulation of fat cell differentiation {GO:0045599}; osteoblast differentiation {GO:0001649}; osteoclast differentiation {GO:0030316}; positive regulation of inflammatory response {GO:0050729}; positive regulation of osteoblast differentiation {GO:0045669}; positive regulation of smooth muscle cell migration {GO:0014911}; positive regulation of smooth muscle cell proliferation {GO:0048661}; positive regulation of Wnt signaling pathway {GO:0030177}; positive regulation of wound healing {GO:0090303}; regulation of cytokine secretion {GO:0050707}; signal transduction {GO:0007165}; Wnt signaling pathway {GO:0016055}</t>
  </si>
  <si>
    <t>cytosol {GO:0005829}; extracellular matrix {GO:0031012}; extracellular space {GO:0005615}</t>
  </si>
  <si>
    <t>heparin binding {GO:0008201}; insulin-like growth factor binding {GO:0005520}; integrin binding {GO:0005178}</t>
  </si>
  <si>
    <t>Beta-galactosidase</t>
  </si>
  <si>
    <t>Acid beta-galactosidase (Lactase); Elastin receptor 1</t>
  </si>
  <si>
    <t>BGAL_HUMAN</t>
  </si>
  <si>
    <t>P16278</t>
  </si>
  <si>
    <t>B2R7H8; B7Z6B0; P16279</t>
  </si>
  <si>
    <t>ELNR1</t>
  </si>
  <si>
    <t>3D-structure; Alternative splicing; Cytoplasm; Disease mutation; Disulfide bond; Gangliosidosis; Glycoprotein; Glycosidase; Hydrolase; Lysosome; Mucopolysaccharidosis; Polymorphism; Signal; Zymogen</t>
  </si>
  <si>
    <t>Disease mutation; Gangliosidosis; Mucopolysaccharidosis</t>
  </si>
  <si>
    <t>cellular carbohydrate metabolic process {GO:0044262}; galactose catabolic process {GO:0019388}; glycosaminoglycan catabolic process {GO:0006027}; glycosphingolipid metabolic process {GO:0006687}; keratan sulfate catabolic process {GO:0042340}; neutrophil degranulation {GO:0043312}; response to cortisone {GO:0051413}; response to Thyroglobulin triiodothyronine {GO:1904016}</t>
  </si>
  <si>
    <t>azurophil granule lumen {GO:0035578}; cytoplasm {GO:0005737}; extracellular exosome {GO:0070062}; extracellular region {GO:0005576}; ficolin-1-rich granule lumen {GO:1904813}; Golgi apparatus {GO:0005794}; intracellular membrane-bounded organelle {GO:0043231}; lysosomal lumen {GO:0043202}; perinuclear region of cytoplasm {GO:0048471}; vacuole {GO:0005773}</t>
  </si>
  <si>
    <t>beta-galactosidase activity {GO:0004565}; galactoside binding {GO:0016936}; protein homodimerization activity {GO:0042803}</t>
  </si>
  <si>
    <t>Glycosphingolipid metabolism {R-HSA-1660662}; Keratan sulfate degradation {R-HSA-2022857}; HS-GAG degradation {R-HSA-2024096}; MPS IV - Morquio syndrome B {R-HSA-2206308}; Sialic acid metabolism {R-HSA-4085001}; Defective NEU1 causes sialidosis {R-HSA-4341670}; Neutrophil degranulation {R-HSA-6798695}</t>
  </si>
  <si>
    <t>Programmed cell death 6-interacting protein (PDCD6-interacting protein)</t>
  </si>
  <si>
    <t>ALG-2-interacting protein 1; ALG-2-interacting protein X; Hp95</t>
  </si>
  <si>
    <t>PDC6I_HUMAN</t>
  </si>
  <si>
    <t>Q8WUM4</t>
  </si>
  <si>
    <t>C5MQH7; E9PFU1; Q6NUS1; Q9BX86; Q9NUN0; Q9P2H2; Q9UKL5</t>
  </si>
  <si>
    <t>AIP1; ALIX; KIAA1375</t>
  </si>
  <si>
    <t>3D-structure; Acetylation; Alternative splicing; Apoptosis; Cell cycle; Cell division; Cell junction; Cytoplasm; Cytoskeleton; Host-virus interaction; Methylation; Phosphoprotein; Polymorphism; Protein transport; Secreted; Tight junction; Transport</t>
  </si>
  <si>
    <t>Apoptosis; Cell cycle; Cell division; Host-virus interaction; Protein transport; Transport</t>
  </si>
  <si>
    <t>Cell junction; Cytoplasm; Cytoskeleton; Secreted; Tight junction</t>
  </si>
  <si>
    <t>actomyosin contractile ring assembly {GO:0000915}; apoptotic process {GO:0006915}; bicellular tight junction assembly {GO:0070830}; maintenance of epithelial cell apical/basal polarity {GO:0045199}; midbody abscission {GO:0061952}; mitotic cytokinesis {GO:0000281}; multivesicular body assembly {GO:0036258}; positive regulation of exosomal secretion {GO:1903543}; positive regulation of extracellular exosome assembly {GO:1903553}; protein homooligomerization {GO:0051260}; protein transport {GO:0015031}; regulation of centrosome duplication {GO:0010824}; regulation of extracellular exosome assembly {GO:1903551}; regulation of membrane permeability {GO:0090559}; ubiquitin-independent protein catabolic process via the multivesicular body sorting pathway {GO:0090611}; viral budding {GO:0046755}; viral budding via host ESCRT complex {GO:0039702}; viral life cycle {GO:0019058}</t>
  </si>
  <si>
    <t>actomyosin {GO:0042641}; bicellular tight junction {GO:0005923}; cytosol {GO:0005829}; endoplasmic reticulum exit site {GO:0070971}; extracellular exosome {GO:0070062}; extracellular vesicle {GO:1903561}; Flemming body {GO:0090543}; focal adhesion {GO:0005925}; immunological synapse {GO:0001772}; melanosome {GO:0042470}; membrane {GO:0016020}; microtubule organizing center {GO:0005815}</t>
  </si>
  <si>
    <t>calcium-dependent protein binding {GO:0048306}; protein homodimerization activity {GO:0042803}; proteinase activated receptor binding {GO:0031871}</t>
  </si>
  <si>
    <t>Budding and maturation of HIV virion {R-HSA-162588}; Uptake and function of anthrax toxins {R-HSA-5210891}</t>
  </si>
  <si>
    <t>Protein S100-A10</t>
  </si>
  <si>
    <t>Calpactin I light chain; Calpactin-1 light chain; Cellular ligand of annexin II; S100 calcium-binding protein A10; p10 protein; p11</t>
  </si>
  <si>
    <t>S10AA_HUMAN</t>
  </si>
  <si>
    <t>P60903</t>
  </si>
  <si>
    <t>A8K4V8; P08206; Q5T1C5</t>
  </si>
  <si>
    <t>ANX2LG; CAL1L; CLP11</t>
  </si>
  <si>
    <t>3D-structure; Acetylation; Isopeptide bond; Ubl conjugation</t>
  </si>
  <si>
    <t>membrane raft assembly {GO:0001765}; positive regulation of binding {GO:0051099}; positive regulation of focal adhesion assembly {GO:0051894}; positive regulation of GTPase activity {GO:0043547}; positive regulation of stress fiber assembly {GO:0051496}; positive regulation of substrate adhesion-dependent cell spreading {GO:1900026}; protein heterotetramerization {GO:0051290}; protein localization to plasma membrane {GO:0072659}; response to drug {GO:0042493}; vesicle budding from membrane {GO:0006900}</t>
  </si>
  <si>
    <t>collagen-containing extracellular matrix {GO:0062023}; endoplasmic reticulum {GO:0005783}; extracellular exosome {GO:0070062}; extracellular region {GO:0005576}; extrinsic component of plasma membrane {GO:0019897}</t>
  </si>
  <si>
    <t>calcium ion binding {GO:0005509}; ion channel binding {GO:0044325}; protein homodimerization activity {GO:0042803}</t>
  </si>
  <si>
    <t>Coatomer subunit beta'</t>
  </si>
  <si>
    <t>Beta'-coat protein (Beta'-COP); p102</t>
  </si>
  <si>
    <t>COPB2_HUMAN</t>
  </si>
  <si>
    <t>P35606</t>
  </si>
  <si>
    <t>B4DZI8</t>
  </si>
  <si>
    <t>Acetylation; Alternative splicing; Coiled coil; Cytoplasm; Cytoplasmic vesicle; Disease mutation; ER-Golgi transport; Golgi apparatus; Membrane; Phosphoprotein; Primary microcephaly; Protein transport; Repeat; Transport; WD repeat</t>
  </si>
  <si>
    <t>Disease mutation; Primary microcephaly</t>
  </si>
  <si>
    <t>endoplasmic reticulum to Golgi vesicle-mediated transport {GO:0006888}; intra-Golgi vesicle-mediated transport {GO:0006891}; intracellular protein transport {GO:0006886}; retrograde vesicle-mediated transport, Golgi to endoplasmic reticulum {GO:0006890}; toxin transport {GO:1901998}</t>
  </si>
  <si>
    <t>COPI vesicle coat {GO:0030126}; cytosol {GO:0005829}; endoplasmic reticulum membrane {GO:0005789}; Golgi membrane {GO:0000139}; transport vesicle {GO:0030133}</t>
  </si>
  <si>
    <t>Pyruvate dehydrogenase E1 component subunit beta, mitochondrial (PDHE1-B)</t>
  </si>
  <si>
    <t>ODPB_HUMAN</t>
  </si>
  <si>
    <t>P11177</t>
  </si>
  <si>
    <t>B2R7L0; B4DDD7; Q6FH45; Q9BQ27; Q9UFK3</t>
  </si>
  <si>
    <t>PHE1B</t>
  </si>
  <si>
    <t>3D-structure; Acetylation; Alternative splicing; Carbohydrate metabolism; Disease mutation; Glucose metabolism; Mitochondrion; Oxidoreductase; Phosphoprotein; Polymorphism; Pyruvate; Thiamine pyrophosphate; Transit peptide; Tricarboxylic acid cycle</t>
  </si>
  <si>
    <t>Pyruvate; Thiamine pyrophosphate</t>
  </si>
  <si>
    <t>acetyl-CoA biosynthetic process from pyruvate {GO:0006086}; glucose metabolic process {GO:0006006}; mitochondrial acetyl-CoA biosynthetic process from pyruvate {GO:0061732}; pyruvate metabolic process {GO:0006090}; tricarboxylic acid cycle {GO:0006099}</t>
  </si>
  <si>
    <t>mitochondrial matrix {GO:0005759}; mitochondrion {GO:0005739}; nucleoplasm {GO:0005654}; nucleus {GO:0005634}; pyruvate dehydrogenase complex {GO:0045254}</t>
  </si>
  <si>
    <t>pyruvate dehydrogenase (acetyl-transferring) activity {GO:0004739}; pyruvate dehydrogenase activity {GO:0004738}</t>
  </si>
  <si>
    <t>Protein HEG homolog 1</t>
  </si>
  <si>
    <t>HEG1_HUMAN</t>
  </si>
  <si>
    <t>Q9ULI3</t>
  </si>
  <si>
    <t>Q6NX66; Q8NC40; Q9BSV0</t>
  </si>
  <si>
    <t>KIAA1237</t>
  </si>
  <si>
    <t>3D-structure; Alternative splicing; Calcium; Cell junction; Cell membrane; Developmental protein; Disulfide bond; EGF-like domain; Glycoprotein; Membrane; Phosphoprotein; Polymorphism; Repeat; Secreted; Signal; Transmembrane; Transmembrane helix</t>
  </si>
  <si>
    <t>Cell junction; Cell membrane; Membrane; Secreted</t>
  </si>
  <si>
    <t>cardiac atrium morphogenesis {GO:0003209}; cardiac muscle tissue growth {GO:0055017}; cell-cell junction assembly {GO:0007043}; endothelial cell morphogenesis {GO:0001886}; heart development {GO:0007507}; in utero embryonic development {GO:0001701}; lung development {GO:0030324}; lymph circulation {GO:0003017}; lymph vessel development {GO:0001945}; multicellular organism growth {GO:0035264}; negative regulation of membrane permeability {GO:1905709}; negative regulation of Rho protein signal transduction {GO:0035024}; negative regulation of Rho-dependent protein serine/threonine kinase activity {GO:2000299}; pericardium development {GO:0060039}; positive regulation of fibroblast growth factor production {GO:0090271}; post-embryonic development {GO:0009791}; protein localization to cell junction {GO:1902414}; regulation of body fluid levels {GO:0050878}; vasculogenesis {GO:0001570}; venous blood vessel morphogenesis {GO:0048845}; ventricular septum development {GO:0003281}; ventricular trabecula myocardium morphogenesis {GO:0003222}</t>
  </si>
  <si>
    <t>cell-cell junction {GO:0005911}; external side of plasma membrane {GO:0009897}; extracellular region {GO:0005576}; integral component of membrane {GO:0016021}</t>
  </si>
  <si>
    <t>35 kDa inter-alpha-trypsin inhibitor heavy chain H4</t>
  </si>
  <si>
    <t>Inter-alpha-trypsin inhibitor family heavy chain-related protein (IHRP); Plasma kallikrein sensitive glycoprotein 120 (Gp120; PK-120)</t>
  </si>
  <si>
    <t>ITIH4_HUMAN</t>
  </si>
  <si>
    <t>Q14624</t>
  </si>
  <si>
    <t>B7Z545; E9PGN5; Q15135; Q9P190; Q9UQ54</t>
  </si>
  <si>
    <t>IHRP; ITIHL1; PK120</t>
  </si>
  <si>
    <t>Acute phase; Alternative splicing; Disulfide bond; Glycoprotein; Polymorphism; Protease inhibitor; Secreted; Serine protease inhibitor; Signal</t>
  </si>
  <si>
    <t>acute-phase response {GO:0006953}; hyaluronan metabolic process {GO:0030212}; platelet degranulation {GO:0002576}; response to cytokine {GO:0034097}</t>
  </si>
  <si>
    <t>blood microparticle {GO:0072562}; collagen-containing extracellular matrix {GO:0062023}; extracellular exosome {GO:0070062}; extracellular region {GO:0005576}; plasma membrane {GO:0005886}; platelet dense granule lumen {GO:0031089}</t>
  </si>
  <si>
    <t>endopeptidase inhibitor activity {GO:0004866}; serine-type endopeptidase inhibitor activity {GO:0004867}</t>
  </si>
  <si>
    <t>Musculoskeletal embryonic nuclear protein 1</t>
  </si>
  <si>
    <t>MSTN1_HUMAN</t>
  </si>
  <si>
    <t>Q8IVN3</t>
  </si>
  <si>
    <t>Nucleus; Phosphoprotein</t>
  </si>
  <si>
    <t>chondrocyte differentiation {GO:0002062}; chondrocyte proliferation {GO:0035988}; tissue regeneration {GO:0042246}</t>
  </si>
  <si>
    <t>Inosine-5'-monophosphate dehydrogenase 2 (IMP dehydrogenase 2; IMPD 2; IMPDH 2)</t>
  </si>
  <si>
    <t>IMPDH-II</t>
  </si>
  <si>
    <t>IMDH2_HUMAN</t>
  </si>
  <si>
    <t>P12268</t>
  </si>
  <si>
    <t>Q6LEF3</t>
  </si>
  <si>
    <t>IMPD2</t>
  </si>
  <si>
    <t>3D-structure; Acetylation; CBS domain; Cytoplasm; DNA-binding; GMP biosynthesis; Isopeptide bond; Metal-binding; NAD; Nucleus; Oxidoreductase; Phosphoprotein; Polymorphism; Potassium; Purine biosynthesis; Repeat; RNA-binding; Ubl conjugation</t>
  </si>
  <si>
    <t>GMP biosynthesis; Purine biosynthesis</t>
  </si>
  <si>
    <t>CBS domain; Repeat</t>
  </si>
  <si>
    <t>Metal-binding; NAD; Potassium</t>
  </si>
  <si>
    <t>DNA-binding; Oxidoreductase; RNA-binding</t>
  </si>
  <si>
    <t>cellular response to interleukin-4 {GO:0071353}; circadian rhythm {GO:0007623}; GMP biosynthetic process {GO:0006177}; GTP biosynthetic process {GO:0006183}; lymphocyte proliferation {GO:0046651}; neutrophil degranulation {GO:0043312}; protein homotetramerization {GO:0051289}; purine ribonucleoside monophosphate biosynthetic process {GO:0009168}; retina development in camera-type eye {GO:0060041}</t>
  </si>
  <si>
    <t>cytoplasm {GO:0005737}; cytosol {GO:0005829}; extracellular exosome {GO:0070062}; extracellular region {GO:0005576}; ficolin-1-rich granule lumen {GO:1904813}; membrane {GO:0016020}; nucleus {GO:0005634}; peroxisomal membrane {GO:0005778}; secretory granule lumen {GO:0034774}</t>
  </si>
  <si>
    <t>DNA binding {GO:0003677}; IMP dehydrogenase activity {GO:0003938}; metal ion binding {GO:0046872}; nucleotide binding {GO:0000166}; RNA binding {GO:0003723}</t>
  </si>
  <si>
    <t>Purine metabolism; XMP biosynthesis via de novo pathway; XMP from IMP: step 1/1..</t>
  </si>
  <si>
    <t>Neutrophil degranulation {R-HSA-6798695}; Purine ribonucleoside monophosphate biosynthesis {R-HSA-73817}</t>
  </si>
  <si>
    <t>Intercellular adhesion molecule 1 (ICAM-1)</t>
  </si>
  <si>
    <t>Major group rhinovirus receptor; CD_antigen=CD54</t>
  </si>
  <si>
    <t>ICAM1_HUMAN</t>
  </si>
  <si>
    <t>P05362</t>
  </si>
  <si>
    <t>B2R6M3; Q5NKV7; Q96B50</t>
  </si>
  <si>
    <t>3D-structure; Cell adhesion; Disulfide bond; Glycoprotein; Host cell receptor for virus entry; Host-virus interaction; Immunoglobulin domain; Membrane; Phosphoprotein; Polymorphism; Receptor; Repeat; Signal; Transmembrane; Transmembrane helix; Ubl conjugation</t>
  </si>
  <si>
    <t>acute inflammatory response to antigenic stimulus {GO:0002438}; adhesion of symbiont to host {GO:0044406}; cell adhesion {GO:0007155}; cell adhesion mediated by integrin {GO:0033627}; cell aging {GO:0007569}; cellular response to alkaloid {GO:0071312}; cellular response to amyloid-beta {GO:1904646}; cellular response to dexamethasone stimulus {GO:0071549}; cellular response to glucose stimulus {GO:0071333}; cellular response to hypoxia {GO:0071456}; cellular response to interleukin-1 {GO:0071347}; cellular response to interleukin-6 {GO:0071354}; cellular response to leukemia inhibitory factor {GO:1990830}; cellular response to lipopolysaccharide {GO:0071222}; cellular response to nutrient levels {GO:0031669}; cellular response to tumor necrosis factor {GO:0071356}; cytokine-mediated signaling pathway {GO:0019221}; establishment of endothelial barrier {GO:0061028}; establishment of endothelial intestinal barrier {GO:0090557}; establishment of Sertoli cell barrier {GO:0097368}; extracellular matrix organization {GO:0030198}; heterophilic cell-cell adhesion via plasma membrane cell adhesion molecules {GO:0007157}; interferon-gamma-mediated signaling pathway {GO:0060333}; leukocyte cell-cell adhesion {GO:0007159}; leukocyte migration {GO:0050900}; membrane to membrane docking {GO:0022614}; negative regulation of calcium ion transport {GO:0051926}; negative regulation of endothelial cell apoptotic process {GO:2000352}; negative regulation of extrinsic apoptotic signaling pathway via death domain receptors {GO:1902042}; ovarian follicle development {GO:0001541}; positive regulation of actin filament polymerization {GO:0030838}; positive regulation of cellular extravasation {GO:0002693}; positive regulation of ERK1 and ERK2 cascade {GO:0070374}; positive regulation of GTPase activity {GO:0043547}; positive regulation of leukocyte adhesion to vascular endothelial cell {GO:1904996}; positive regulation of NF-kappaB transcription factor activity {GO:0051092}; positive regulation of nitric oxide biosynthetic process {GO:0045429}; positive regulation of peptidyl-tyrosine phosphorylation {GO:0050731}; positive regulation of vasoconstriction {GO:0045907}; receptor-mediated virion attachment to host cell {GO:0046813}; regulation of cell shape {GO:0008360}; regulation of immune response {GO:0050776}; regulation of leukocyte mediated cytotoxicity {GO:0001910}; regulation of ruffle assembly {GO:1900027}; response to amino acid {GO:0043200}; response to amphetamine {GO:0001975}; response to copper ion {GO:0046688}; response to ethanol {GO:0045471}; response to gonadotropin {GO:0034698}; response to insulin {GO:0032868}; response to ionizing radiation {GO:0010212}; response to sulfur dioxide {GO:0010477}; sensory perception of sound {GO:0007605}; T cell activation via T cell receptor contact with antigen bound to MHC molecule on antigen presenting cell {GO:0002291}; T cell antigen processing and presentation {GO:0002457}; T cell extravasation {GO:0072683}</t>
  </si>
  <si>
    <t>cell surface {GO:0009986}; collagen-containing extracellular matrix {GO:0062023}; external side of plasma membrane {GO:0009897}; extracellular exosome {GO:0070062}; extracellular space {GO:0005615}; focal adhesion {GO:0005925}; immunological synapse {GO:0001772}; integral component of plasma membrane {GO:0005887}; membrane {GO:0016020}; membrane raft {GO:0045121}; plasma membrane {GO:0005886}</t>
  </si>
  <si>
    <t>integrin binding {GO:0005178}; signaling receptor activity {GO:0038023}; transmembrane signaling receptor activity {GO:0004888}; virus receptor activity {GO:0001618}</t>
  </si>
  <si>
    <t>Immunoregulatory interactions between a Lymphoid and a non-Lymphoid cell {R-HSA-198933}; Integrin cell surface interactions {R-HSA-216083}; Interleukin-10 signaling {R-HSA-6783783}; Interleukin-4 and Interleukin-13 signaling {R-HSA-6785807}; Interferon gamma signaling {R-HSA-877300}</t>
  </si>
  <si>
    <t>TRAF2 and NCK-interacting protein kinase</t>
  </si>
  <si>
    <t>TNIK_HUMAN</t>
  </si>
  <si>
    <t>Q9UKE5</t>
  </si>
  <si>
    <t>A7E2A3; A8K4U1; D3DNQ6; O60298; Q8WUY7; Q9UKD8; Q9UKD9; Q9UKE0; Q9UKE1; Q9UKE2; Q9UKE3; Q9UKE4</t>
  </si>
  <si>
    <t>KIAA0551</t>
  </si>
  <si>
    <t>3D-structure; Alternative splicing; ATP-binding; Cytoplasm; Cytoskeleton; Endosome; Kinase; Mental retardation; Neurogenesis; Nucleotide-binding; Nucleus; Phosphoprotein; Polymorphism; Serine/threonine-protein kinase; Transferase; Wnt signaling pathway</t>
  </si>
  <si>
    <t>Neurogenesis; Wnt signaling pathway</t>
  </si>
  <si>
    <t>Cytoplasm; Cytoskeleton; Endosome; Nucleus</t>
  </si>
  <si>
    <t>Kinase; Serine/threonine-protein kinase; Transferase</t>
  </si>
  <si>
    <t>actin cytoskeleton reorganization {GO:0031532}; activation of JNKK activity {GO:0007256}; activation of protein kinase activity {GO:0032147}; cytoskeleton organization {GO:0007010}; intracellular signal transduction {GO:0035556}; MAPK cascade {GO:0000165}; microvillus assembly {GO:0030033}; neuron projection morphogenesis {GO:0048812}; positive regulation of protein phosphorylation {GO:0001934}; protein autophosphorylation {GO:0046777}; protein localization to plasma membrane {GO:0072659}; protein phosphorylation {GO:0006468}; regulation of dendrite morphogenesis {GO:0048814}; signal transduction by protein phosphorylation {GO:0023014}; stress-activated protein kinase signaling cascade {GO:0031098}; Wnt signaling pathway {GO:0016055}</t>
  </si>
  <si>
    <t>apical plasma membrane {GO:0016324}; cytoplasm {GO:0005737}; cytoskeleton {GO:0005856}; cytosol {GO:0005829}; extracellular exosome {GO:0070062}; glutamatergic synapse {GO:0098978}; nucleoplasm {GO:0005654}; nucleus {GO:0005634}; postsynaptic density, intracellular component {GO:0099092}; presynapse {GO:0098793}; recycling endosome {GO:0055037}</t>
  </si>
  <si>
    <t>ATP binding {GO:0005524}; protein kinase activity {GO:0004672}; protein serine/threonine kinase activity {GO:0004674}</t>
  </si>
  <si>
    <t>Oxidative Stress Induced Senescence {R-HSA-2559580}</t>
  </si>
  <si>
    <t>Protein-arginine deiminase type-4</t>
  </si>
  <si>
    <t>HL-60 PAD; Peptidylarginine deiminase IV; Protein-arginine deiminase type IV</t>
  </si>
  <si>
    <t>PADI4_HUMAN</t>
  </si>
  <si>
    <t>Q9UM07</t>
  </si>
  <si>
    <t>A8K392; B2RBW0; Q5VTZ8; Q70SX4</t>
  </si>
  <si>
    <t>PAD4; PADI5; PDI5</t>
  </si>
  <si>
    <t>3D-structure; Calcium; Chromatin regulator; Citrullination; Cytoplasm; Hydrolase; Immunity; Innate immunity; Metal-binding; Nucleus; Polymorphism; Transcription; Transcription regulation</t>
  </si>
  <si>
    <t>Chromatin regulator; Hydrolase</t>
  </si>
  <si>
    <t>Citrullination</t>
  </si>
  <si>
    <t>arginine deiminase pathway {GO:0019546}; cellular protein modification process {GO:0006464}; chromatin organization {GO:0006325}; chromatin remodeling {GO:0006338}; histone citrullination {GO:0036414}; histone H3-R26 citrullination {GO:0036413}; innate immune response {GO:0045087}; nucleosome assembly {GO:0006334}; protein citrullination {GO:0018101}; stem cell population maintenance {GO:0019827}</t>
  </si>
  <si>
    <t>cytoplasm {GO:0005737}; cytosol {GO:0005829}; nucleoplasm {GO:0005654}; nucleus {GO:0005634}; protein-containing complex {GO:0032991}</t>
  </si>
  <si>
    <t>arginine binding {GO:0034618}; arginine deiminase activity {GO:0016990}; calcium ion binding {GO:0005509}; protein homodimerization activity {GO:0042803}; protein-arginine deiminase activity {GO:0004668}</t>
  </si>
  <si>
    <t>Chromatin modifying enzymes {R-HSA-3247509}</t>
  </si>
  <si>
    <t>Protein shisa-5</t>
  </si>
  <si>
    <t>Putative NF-kappa-B-activating protein 120; Scotin</t>
  </si>
  <si>
    <t>SHSA5_HUMAN</t>
  </si>
  <si>
    <t>Q8N114</t>
  </si>
  <si>
    <t>B3KW99; F8W9N8; Q69YY9; Q7Z433; Q8NHL9; Q96MW8; Q9BV58</t>
  </si>
  <si>
    <t>SCOTIN</t>
  </si>
  <si>
    <t>Alternative splicing; Apoptosis; Endoplasmic reticulum; Membrane; Nucleus; Polymorphism; Signal; Transmembrane; Transmembrane helix</t>
  </si>
  <si>
    <t>cellular protein metabolic process {GO:0044267}; intrinsic apoptotic signaling pathway in response to DNA damage by p53 class mediator {GO:0042771}; positive regulation of I-kappaB kinase/NF-kappaB signaling {GO:0043123}; post-translational protein modification {GO:0043687}</t>
  </si>
  <si>
    <t>endoplasmic reticulum {GO:0005783}; endoplasmic reticulum lumen {GO:0005788}; endoplasmic reticulum membrane {GO:0005789}; integral component of membrane {GO:0016021}; nuclear membrane {GO:0031965}</t>
  </si>
  <si>
    <t>WW domain binding {GO:0050699}</t>
  </si>
  <si>
    <t>Serotransferrin (Transferrin)</t>
  </si>
  <si>
    <t>Beta-1 metal-binding globulin; Siderophilin</t>
  </si>
  <si>
    <t>TRFE_HUMAN</t>
  </si>
  <si>
    <t>P02787</t>
  </si>
  <si>
    <t>O43890; Q1HBA5; Q9NQB8; Q9UHV0</t>
  </si>
  <si>
    <t>3D-structure; Disease mutation; Disulfide bond; Glycoprotein; Ion transport; Iron; Iron transport; Metal-binding; Methylation; Phosphoprotein; Polymorphism; Repeat; Secreted; Signal; Transport</t>
  </si>
  <si>
    <t>Ion transport; Iron transport; Transport</t>
  </si>
  <si>
    <t>Disulfide bond; Glycoprotein; Methylation; Phosphoprotein</t>
  </si>
  <si>
    <t>cellular iron ion homeostasis {GO:0006879}; cellular protein metabolic process {GO:0044267}; cellular response to iron ion {GO:0071281}; iron ion homeostasis {GO:0055072}; membrane organization {GO:0061024}; platelet degranulation {GO:0002576}; positive regulation of receptor-mediated endocytosis {GO:0048260}; post-translational protein modification {GO:0043687}; regulation of iron ion transport {GO:0034756}; regulation of protein stability {GO:0031647}; retina homeostasis {GO:0001895}; transferrin transport {GO:0033572}</t>
  </si>
  <si>
    <t>apical plasma membrane {GO:0016324}; basal part of cell {GO:0045178}; basal plasma membrane {GO:0009925}; blood microparticle {GO:0072562}; cell surface {GO:0009986}; clathrin-coated pit {GO:0005905}; clathrin-coated vesicle membrane {GO:0030665}; cytoplasmic vesicle {GO:0031410}; early endosome {GO:0005769}; endocytic vesicle {GO:0030139}; endoplasmic reticulum lumen {GO:0005788}; endosome membrane {GO:0010008}; extracellular exosome {GO:0070062}; extracellular region {GO:0005576}; extracellular space {GO:0005615}; extrinsic component of external side of plasma membrane {GO:0031232}; HFE-transferrin receptor complex {GO:1990712}; late endosome {GO:0005770}; perinuclear region of cytoplasm {GO:0048471}; recycling endosome {GO:0055037}; secretory granule lumen {GO:0034774}; vesicle {GO:0031982}</t>
  </si>
  <si>
    <t>ferric iron binding {GO:0008199}; ferric iron transmembrane transporter activity {GO:0015091}; ferrous iron binding {GO:0008198}; iron chaperone activity {GO:0034986}; transferrin receptor binding {GO:1990459}</t>
  </si>
  <si>
    <t>Platelet degranulation {R-HSA-114608}; Regulation of Insulin-like Growth Factor (IGF) transport and uptake by Insulin-like Growth Factor Binding Proteins (IGFBPs) {R-HSA-381426}; Cargo recognition for clathrin-mediated endocytosis {R-HSA-8856825}; Clathrin-mediated endocytosis {R-HSA-8856828}; Post-translational protein phosphorylation {R-HSA-8957275}; Iron uptake and transport {R-HSA-917937}; Transferrin endocytosis and recycling {R-HSA-917977}</t>
  </si>
  <si>
    <t>Calcyphosin</t>
  </si>
  <si>
    <t>Calcyphosine</t>
  </si>
  <si>
    <t>CAYP1_HUMAN</t>
  </si>
  <si>
    <t>Q13938</t>
  </si>
  <si>
    <t>A0A0X1KG78; K7EL21; Q3MJA7; Q8NF12; Q8WUZ3</t>
  </si>
  <si>
    <t>3D-structure; Alternative splicing; Calcium; Cytoplasm; Metal-binding; Phosphoprotein; Polymorphism; Repeat</t>
  </si>
  <si>
    <t>intracellular signal transduction {GO:0035556}</t>
  </si>
  <si>
    <t>cytoplasm {GO:0005737}; vesicle {GO:0031982}</t>
  </si>
  <si>
    <t>Heterogeneous nuclear ribonucleoprotein M (hnRNP M)</t>
  </si>
  <si>
    <t>HNRPM_HUMAN</t>
  </si>
  <si>
    <t>P52272</t>
  </si>
  <si>
    <t>Q15584; Q8WZ44; Q96H56; Q9BWL9; Q9Y492</t>
  </si>
  <si>
    <t>HNRPM; NAGR1</t>
  </si>
  <si>
    <t>3D-structure; Acetylation; Alternative splicing; Isopeptide bond; Methylation; mRNA processing; mRNA splicing; Nucleus; Phosphoprotein; Repeat; Ribonucleoprotein; RNA-binding; Spliceosome; Ubl conjugation</t>
  </si>
  <si>
    <t>alternative mRNA splicing, via spliceosome {GO:0000380}; fibroblast growth factor receptor signaling pathway {GO:0008543}; mRNA splicing, via spliceosome {GO:0000398}; regulation of mRNA stability involved in response to oxidative stress {GO:2000815}; RNA metabolic process {GO:0016070}</t>
  </si>
  <si>
    <t>catalytic step 2 spliceosome {GO:0071013}; collagen-containing extracellular matrix {GO:0062023}; cytoplasm {GO:0005737}; extracellular exosome {GO:0070062}; membrane {GO:0016020}; nuclear matrix {GO:0016363}; nucleolus {GO:0005730}; nucleoplasm {GO:0005654}; nucleus {GO:0005634}; paraspeckles {GO:0042382}; post-mRNA release spliceosomal complex {GO:0071014}; ribonucleoprotein complex {GO:1990904}; spliceosomal complex {GO:0005681}</t>
  </si>
  <si>
    <t>mRNA binding {GO:0003729}; protein domain specific binding {GO:0019904}; RNA binding {GO:0003723}</t>
  </si>
  <si>
    <t>FGFR2 alternative splicing {R-HSA-6803529}; mRNA Splicing - Major Pathway {R-HSA-72163}; Processing of Capped Intron-Containing Pre-mRNA {R-HSA-72203}</t>
  </si>
  <si>
    <t>C31</t>
  </si>
  <si>
    <t>ABPP; APPI; Alzheimer disease amyloid protein; Amyloid precursor protein; Amyloid-beta A4 protein; Cerebral vascular amyloid peptide (CVAP); PreA4; Protease nexin-II (PN-II; S-APP-alpha; S-APP-beta); Beta-secretase C-terminal fragment (Beta-CTF; Abeta42); Beta-APP42 (Abeta40); Beta-APP40; Alpha-secretase C-terminal fragment (Alpha-CTF); Amyloid intracellular domain 59 (AICD-59; AID(59)); Gamma-CTF(59); Amyloid intracellular domain 57 (AICD-57; AID(57)); Gamma-CTF(57); Amyloid intracellular domain 50 (AICD-50; AID(50)); Gamma-CTF(50)</t>
  </si>
  <si>
    <t>A4_HUMAN</t>
  </si>
  <si>
    <t>P05067</t>
  </si>
  <si>
    <t>B2R5V1; B4DII8; D3DSD1; D3DSD2; D3DSD3; P09000; P78438; Q13764; Q13778; Q13793; Q16011; Q16014; Q16019; Q16020; Q6GSC0; Q8WZ99; Q9BT38; Q9UC33; Q9UCA9; Q9UCB6; Q9UCC8; Q9UCD1; Q9UQ58</t>
  </si>
  <si>
    <t>3D-structure; Alternative splicing; Alzheimer disease; Amyloid; Amyloidosis; Apoptosis; Cell adhesion; Cell membrane; Cell projection; Coated pit; Copper; Cytoplasm; Cytoplasmic vesicle; Disease mutation; Disulfide bond; Endocytosis; Endosome; Glycoprotein; Heparin-binding; Iron; Isopeptide bond; Membrane; Metal-binding; Neurodegeneration; Notch signaling pathway; Nucleus; Oxidation; Phosphoprotein; Polymorphism; Protease inhibitor; Proteoglycan; Secreted; Serine protease inhibitor; Signal; Transmembrane; Transmembrane helix; Ubl conjugation; Zinc</t>
  </si>
  <si>
    <t>Apoptosis; Cell adhesion; Endocytosis; Notch signaling pathway</t>
  </si>
  <si>
    <t>Amyloid; Cell membrane; Cell projection; Coated pit; Cytoplasm; Cytoplasmic vesicle; Endosome; Membrane; Nucleus; Secreted</t>
  </si>
  <si>
    <t>Copper; Iron; Metal-binding; Zinc</t>
  </si>
  <si>
    <t>Disulfide bond; Glycoprotein; Isopeptide bond; Oxidation; Phosphoprotein; Proteoglycan; Ubl conjugation</t>
  </si>
  <si>
    <t>activation of MAPK activity {GO:0000187}; activation of MAPKKK activity {GO:0000185}; adenylate cyclase-activating G protein-coupled receptor signaling pathway {GO:0007189}; adenylate cyclase-inhibiting G protein-coupled receptor signaling pathway {GO:0007193}; adult locomotory behavior {GO:0008344}; amyloid fibril formation {GO:1990000}; antibacterial humoral response {GO:0019731}; antifungal humoral response {GO:0019732}; antimicrobial humoral immune response mediated by antimicrobial peptide {GO:0061844}; associative learning {GO:0008306}; astrocyte activation {GO:0048143}; astrocyte activation involved in immune response {GO:0002265}; axo-dendritic transport {GO:0008088}; axon midline choice point recognition {GO:0016199}; axonogenesis {GO:0007409}; calcium-mediated signaling {GO:0019722}; cell adhesion {GO:0007155}; cellular copper ion homeostasis {GO:0006878}; cellular process {GO:0009987}; cellular protein metabolic process {GO:0044267}; cellular response to amyloid-beta {GO:1904646}; cellular response to cAMP {GO:0071320}; cellular response to copper ion {GO:0071280}; cellular response to manganese ion {GO:0071287}; cellular response to nerve growth factor stimulus {GO:1990090}; cellular response to norepinephrine stimulus {GO:0071874}; cholesterol metabolic process {GO:0008203}; cognition {GO:0050890}; collateral sprouting in absence of injury {GO:0048669}; defense response to Gram-negative bacterium {GO:0050829}; defense response to Gram-positive bacterium {GO:0050830}; dendrite development {GO:0016358}; endocytosis {GO:0006897}; extracellular matrix organization {GO:0030198}; forebrain development {GO:0030900}; G protein-coupled receptor signaling pathway {GO:0007186}; innate immune response {GO:0045087}; ionotropic glutamate receptor signaling pathway {GO:0035235}; learning {GO:0007612}; learning or memory {GO:0007611}; lipoprotein metabolic process {GO:0042157}; locomotory behavior {GO:0007626}; mating behavior {GO:0007617}; memory {GO:0007613}; microglia development {GO:0014005}; microglial cell activation {GO:0001774}; modulation of age-related behavioral decline {GO:0090647}; modulation of excitatory postsynaptic potential {GO:0098815}; mRNA polyadenylation {GO:0006378}; negative regulation of blood circulation {GO:1903523}; negative regulation of canonical Wnt signaling pathway {GO:0090090}; negative regulation of cell population proliferation {GO:0008285}; negative regulation of gene expression {GO:0010629}; negative regulation of long-term synaptic potentiation {GO:1900272}; negative regulation of mitochondrion organization {GO:0010823}; negative regulation of neuron death {GO:1901215}; negative regulation of neuron differentiation {GO:0045665}; negative regulation of pri-miRNA transcription by RNA polymerase II {GO:1902894}; negative regulation of protein localization to nucleus {GO:1900181}; negative regulation of transcription by RNA polymerase II {GO:0000122}; neuromuscular process controlling balance {GO:0050885}; neuron apoptotic process {GO:0051402}; neuron projection development {GO:0031175}; neuron projection maintenance {GO:1990535}; neuron remodeling {GO:0016322}; Notch signaling pathway {GO:0007219}; platelet degranulation {GO:0002576}; positive regulation of 1-phosphatidylinositol-3-kinase activity {GO:0061903}; positive regulation of amyloid fibril formation {GO:1905908}; positive regulation of amyloid-beta formation {GO:1902004}; positive regulation of apoptotic process {GO:0043065}; positive regulation of aspartic-type endopeptidase activity involved in amyloid precursor protein catabolic process {GO:1902961}; positive regulation of astrocyte activation {GO:0061890}; positive regulation of cell activation {GO:0050867}; positive regulation of cellular response to thapsigargin {GO:1905893}; positive regulation of cellular response to tunicamycin {GO:1905896}; positive regulation of chemokine biosynthetic process {GO:0045080}; positive regulation of cysteine-type endopeptidase activity involved in apoptotic process {GO:0043280}; positive regulation of cytosolic calcium ion concentration {GO:0007204}; positive regulation of DNA-binding transcription factor activity {GO:0051091}; positive regulation of endothelin secretion {GO:1904472}; positive regulation of ERK1 and ERK2 cascade {GO:0070374}; positive regulation of excitatory postsynaptic potential {GO:2000463}; positive regulation of G protein-coupled receptor internalization {GO:1904022}; positive regulation of G protein-coupled receptor signaling pathway {GO:0045745}; positive regulation of G2/M transition of mitotic cell cycle {GO:0010971}; positive regulation of gene expression {GO:0010628}; positive regulation of histone acetylation {GO:0035066}; positive regulation of interleukin-1 beta biosynthetic process {GO:0050725}; positive regulation of interleukin-6 biosynthetic process {GO:0045410}; positive regulation of JNK cascade {GO:0046330}; positive regulation of long-term synaptic potentiation {GO:1900273}; positive regulation of MAPK cascade {GO:0043410}; positive regulation of membrane protein ectodomain proteolysis {GO:0051044}; positive regulation of microglial cell activation {GO:1903980}; positive regulation of mitotic cell cycle {GO:0045931}; positive regulation of monocyte chemotaxis {GO:0090026}; positive regulation of neuron apoptotic process {GO:0043525}; positive regulation of neuron death {GO:1901216}; positive regulation of neuron differentiation {GO:0045666}; positive regulation of NF-kappaB transcription factor activity {GO:0051092}; positive regulation of NIK/NF-kappaB signaling {GO:1901224}; positive regulation of nitric oxide biosynthetic process {GO:0045429}; positive regulation of oxidative stress-induced neuron death {GO:1903223}; positive regulation of peptidyl-serine phosphorylation {GO:0033138}; positive regulation of peptidyl-threonine phosphorylation {GO:0010800}; positive regulation of phosphorylation {GO:0042327}; positive regulation of protein binding {GO:0032092}; positive regulation of protein import {GO:1904591}; positive regulation of protein kinase A signaling {GO:0010739}; positive regulation of protein kinase B signaling {GO:0051897}; positive regulation of protein metabolic process {GO:0051247}; positive regulation of protein phosphorylation {GO:0001934}; positive regulation of protein tyrosine kinase activity {GO:0061098}; positive regulation of receptor binding {GO:1900122}; positive regulation of response to endoplasmic reticulum stress {GO:1905898}; positive regulation of superoxide anion generation {GO:0032930}; positive regulation of T cell migration {GO:2000406}; positive regulation of tau-protein kinase activity {GO:1902949}; positive regulation of transcription by RNA polymerase II {GO:0045944}; positive regulation of tumor necrosis factor biosynthetic process {GO:0042535}; post-translational protein modification {GO:0043687}; protein homooligomerization {GO:0051260}; protein phosphorylation {GO:0006468}; protein tetramerization {GO:0051262}; protein trimerization {GO:0070206}; regulation of acetylcholine-gated cation channel activity {GO:1903048}; regulation of amyloid fibril formation {GO:1905906}; regulation of amyloid-beta clearance {GO:1900221}; regulation of dendritic spine maintenance {GO:1902950}; regulation of epidermal growth factor-activated receptor activity {GO:0007176}; regulation of gene expression {GO:0010468}; regulation of long-term neuronal synaptic plasticity {GO:0048169}; regulation of multicellular organism growth {GO:0040014}; regulation of NMDA receptor activity {GO:2000310}; regulation of peptidyl-tyrosine phosphorylation {GO:0050730}; regulation of presynapse assembly {GO:1905606}; regulation of response to calcium ion {GO:1905945}; regulation of spontaneous synaptic transmission {GO:0150003}; regulation of synapse structure or activity {GO:0050803}; regulation of toll-like receptor signaling pathway {GO:0034121}; regulation of transcription by RNA polymerase II {GO:0006357}; regulation of translation {GO:0006417}; regulation of Wnt signaling pathway {GO:0030111}; response to interleukin-1 {GO:0070555}; response to lead ion {GO:0010288}; response to oxidative stress {GO:0006979}; response to yeast {GO:0001878}; smooth endoplasmic reticulum calcium ion homeostasis {GO:0051563}; suckling behavior {GO:0001967}; synapse organization {GO:0050808}; synaptic growth at neuromuscular junction {GO:0051124}; tumor necrosis factor production {GO:0032640}; visual learning {GO:0008542}</t>
  </si>
  <si>
    <t>amyloid-beta complex {GO:0106003}; apical part of cell {GO:0045177}; astrocyte projection {GO:0097449}; axon {GO:0030424}; cell {GO:0005623}; cell surface {GO:0009986}; cell-cell junction {GO:0005911}; ciliary rootlet {GO:0035253}; clathrin-coated pit {GO:0005905}; COPII-coated ER to Golgi transport vesicle {GO:0030134}; cytoplasm {GO:0005737}; cytosol {GO:0005829}; dendritic shaft {GO:0043198}; dendritic spine {GO:0043197}; early endosome {GO:0005769}; endoplasmic reticulum lumen {GO:0005788}; endosome {GO:0005768}; endosome lumen {GO:0031904}; endosome to plasma membrane transport vesicle {GO:0070381}; extracellular exosome {GO:0070062}; extracellular region {GO:0005576}; extracellular space {GO:0005615}; Golgi apparatus {GO:0005794}; Golgi lumen {GO:0005796}; Golgi-associated vesicle {GO:0005798}; growth cone filopodium {GO:1990812}; growth cone lamellipodium {GO:1990761}; high-density lipoprotein particle {GO:0034364}; integral component of membrane {GO:0016021}; integral component of plasma membrane {GO:0005887}; intermediate-density lipoprotein particle {GO:0034363}; lipoprotein particle {GO:1990777}; main axon {GO:0044304}; membrane {GO:0016020}; membrane raft {GO:0045121}; mitochondrion {GO:0005739}; neuromuscular junction {GO:0031594}; nuclear envelope lumen {GO:0005641}; nucleus {GO:0005634}; perikaryon {GO:0043204}; perinuclear region of cytoplasm {GO:0048471}; plasma membrane {GO:0005886}; platelet alpha granule lumen {GO:0031093}; presynaptic active zone {GO:0048786}; protein-containing complex {GO:0032991}; receptor complex {GO:0043235}; recycling endosome {GO:0055037}; rough endoplasmic reticulum {GO:0005791}; smooth endoplasmic reticulum {GO:0005790}; spindle midzone {GO:0051233}; synapse {GO:0045202}; synaptic vesicle {GO:0008021}; trans-Golgi network membrane {GO:0032588}</t>
  </si>
  <si>
    <t>acetylcholine receptor activator activity {GO:0030549}; acetylcholine receptor binding {GO:0033130}; amylin binding {GO:0097645}; apolipoprotein binding {GO:0034185}; chaperone binding {GO:0051087}; chemoattractant activity {GO:0042056}; DNA binding {GO:0003677}; enzyme binding {GO:0019899}; ephrin receptor binding {GO:0046875}; frizzled binding {GO:0005109}; G protein-coupled receptor binding {GO:0001664}; growth factor receptor binding {GO:0070851}; heparan sulfate binding {GO:1904399}; heparan sulfate proteoglycan binding {GO:0043395}; heparin binding {GO:0008201}; identical protein binding {GO:0042802}; insulin receptor binding {GO:0005158}; integrin binding {GO:0005178}; low-density lipoprotein particle receptor binding {GO:0050750}; peptidase activator activity {GO:0016504}; protein dimerization activity {GO:0046983}; protein heterodimerization activity {GO:0046982}; protein homodimerization activity {GO:0042803}; PTB domain binding {GO:0051425}; RAGE receptor binding {GO:0050786}; receptor activator activity {GO:0030546}; RNA polymerase II core promoter sequence-specific DNA binding {GO:0000979}; serine-type endopeptidase inhibitor activity {GO:0004867}; signaling receptor binding {GO:0005102}; transition metal ion binding {GO:0046914}</t>
  </si>
  <si>
    <t>Platelet degranulation {R-HSA-114608}; ECM proteoglycans {R-HSA-3000178}; Regulation of Insulin-like Growth Factor (IGF) transport and uptake by Insulin-like Growth Factor Binding Proteins (IGFBPs) {R-HSA-381426}; G alpha (q) signalling events {R-HSA-416476}; G alpha (i) signalling events {R-HSA-418594}; Lysosome Vesicle Biogenesis {R-HSA-432720}; Formyl peptide receptors bind formyl peptides and many other ligands {R-HSA-444473}; TAK1 activates NFkB by phosphorylation and activation of IKKs complex {R-HSA-445989}; The NLRP3 inflammasome {R-HSA-844456}; Advanced glycosylation endproduct receptor signaling {R-HSA-879415}; Deregulated CDK5 triggers multiple neurodegenerative pathways in Alzheimer's disease models {R-HSA-8862803}; Post-translational protein phosphorylation {R-HSA-8957275}; TRAF6 mediated NF-kB activation {R-HSA-933542}; Insertion of tail-anchored proteins into the endoplasmic reticulum membrane {R-HSA-9609523}; Amyloid fiber formation {R-HSA-977225}</t>
  </si>
  <si>
    <t>Protein FAM3D</t>
  </si>
  <si>
    <t>FAM3D_HUMAN</t>
  </si>
  <si>
    <t>Q96BQ1</t>
  </si>
  <si>
    <t>Q547G2</t>
  </si>
  <si>
    <t>Disulfide bond; Glycoprotein; Polymorphism; Secreted; Signal</t>
  </si>
  <si>
    <t>negative regulation of glucagon secretion {GO:0070093}; negative regulation of insulin secretion {GO:0046676}</t>
  </si>
  <si>
    <t>Heat shock protein beta-7 (HspB7)</t>
  </si>
  <si>
    <t>Cardiovascular heat shock protein (cvHsp)</t>
  </si>
  <si>
    <t>HSPB7_HUMAN</t>
  </si>
  <si>
    <t>Q9UBY9</t>
  </si>
  <si>
    <t>B3KQ37; C9K0Y0; Q9NU17</t>
  </si>
  <si>
    <t>CVHSP</t>
  </si>
  <si>
    <t>Alternative splicing; Chaperone; Cytoplasm; Nucleus; Stress response</t>
  </si>
  <si>
    <t>heart development {GO:0007507}; regulation of heart contraction {GO:0008016}; response to unfolded protein {GO:0006986}</t>
  </si>
  <si>
    <t>aggresome {GO:0016235}; Cajal body {GO:0015030}; cytoplasm {GO:0005737}; nucleoplasm {GO:0005654}; nucleus {GO:0005634}</t>
  </si>
  <si>
    <t>protein C-terminus binding {GO:0008022}</t>
  </si>
  <si>
    <t>Eukaryotic initiation factor 4A-II (eIF-4A-II; eIF4A-II)</t>
  </si>
  <si>
    <t>ATP-dependent RNA helicase eIF4A-2</t>
  </si>
  <si>
    <t>IF4A2_HUMAN</t>
  </si>
  <si>
    <t>Q14240</t>
  </si>
  <si>
    <t>D3DNU9; Q53XJ6; Q96B90; Q96EA8</t>
  </si>
  <si>
    <t>DDX2B; EIF4F</t>
  </si>
  <si>
    <t>3D-structure; Alternative splicing; ATP-binding; Helicase; Host-virus interaction; Hydrolase; Initiation factor; Nucleotide-binding; Phosphoprotein; Polymorphism; Protein biosynthesis; RNA-binding</t>
  </si>
  <si>
    <t>cellular response to leukemia inhibitory factor {GO:1990830}; negative regulation of RNA-directed 5'-3' RNA polymerase activity {GO:1900260}; regulation of translational initiation {GO:0006446}; translational initiation {GO:0006413}; viral process {GO:0016032}</t>
  </si>
  <si>
    <t>cytosol {GO:0005829}; eukaryotic translation initiation factor 4F complex {GO:0016281}; perinuclear region of cytoplasm {GO:0048471}</t>
  </si>
  <si>
    <t>ATP binding {GO:0005524}; ATP-dependent RNA helicase activity {GO:0004004}; ATPase activity {GO:0016887}; helicase activity {GO:0004386}; RNA binding {GO:0003723}; translation initiation factor activity {GO:0003743}</t>
  </si>
  <si>
    <t>Hepatocyte growth factor-like protein beta chain</t>
  </si>
  <si>
    <t>Macrophage stimulatory protein; Macrophage-stimulating protein (MSP)</t>
  </si>
  <si>
    <t>HGFL_HUMAN</t>
  </si>
  <si>
    <t>P26927</t>
  </si>
  <si>
    <t>A6NLA3; A8MSX3; Q13350; Q14870; Q6GTN4</t>
  </si>
  <si>
    <t>D3F15S2; DNF15S2; HGFL</t>
  </si>
  <si>
    <t>3D-structure; Disulfide bond; Glycoprotein; Kringle; Polymorphism; Repeat; Secreted; Serine protease homolog; Signal</t>
  </si>
  <si>
    <t>Serine protease homolog</t>
  </si>
  <si>
    <t>hepatocyte growth factor receptor signaling pathway {GO:0048012}; negative regulation of gluconeogenesis {GO:0045721}; positive regulation of mammary gland epithelial cell proliferation {GO:0033601}; regulation of cAMP-dependent protein kinase activity {GO:2000479}; regulation of macrophage chemotaxis {GO:0010758}</t>
  </si>
  <si>
    <t>collagen-containing extracellular matrix {GO:0062023}; extracellular region {GO:0005576}; extracellular space {GO:0005615}</t>
  </si>
  <si>
    <t>receptor tyrosine kinase binding {GO:0030971}; serine-type endopeptidase activity {GO:0004252}</t>
  </si>
  <si>
    <t>Signaling by MST1 {R-HSA-8852405}</t>
  </si>
  <si>
    <t>Protein CDV3 homolog</t>
  </si>
  <si>
    <t>CDV3_HUMAN</t>
  </si>
  <si>
    <t>Q9UKY7</t>
  </si>
  <si>
    <t>B3KUC2; Q96IP9</t>
  </si>
  <si>
    <t>H41</t>
  </si>
  <si>
    <t>Acetylation; Alternative splicing; Cytoplasm; Phosphoprotein</t>
  </si>
  <si>
    <t>cell population proliferation {GO:0008283}</t>
  </si>
  <si>
    <t>cytosol {GO:0005829}; plasma membrane {GO:0005886}</t>
  </si>
  <si>
    <t>Glutamine amidotransferase-like class 1 domain-containing protein 3B, mitochondrial</t>
  </si>
  <si>
    <t>Keio novel protein-I (KNP-I); Protein GT335; Protein HES1</t>
  </si>
  <si>
    <t>GAL3B_HUMAN</t>
  </si>
  <si>
    <t>A0A0B4J2D5</t>
  </si>
  <si>
    <t>A6NFJ6; A6NJY7; O00650; O00660; O15011; O15012; P30042; P55346; P78474; Q92505; Q92507</t>
  </si>
  <si>
    <t>Acetylation; Alternative splicing; Mitochondrion; Transit peptide</t>
  </si>
  <si>
    <t>mitochondrion {GO:0005739}</t>
  </si>
  <si>
    <t>Myosin light chain kinase, smooth muscle, deglutamylated form</t>
  </si>
  <si>
    <t>Kinase-related protein (KRP); Telokin</t>
  </si>
  <si>
    <t>MYLK_HUMAN</t>
  </si>
  <si>
    <t>Q15746</t>
  </si>
  <si>
    <t>B4DUE3; D3DN97; O95796; O95797; O95798; O95799; Q14844; Q16794; Q17S15; Q3ZCP9; Q5MY99; Q5MYA0; Q6P2N0; Q7Z4J0; Q9C0L5; Q9UBG5; Q9UBY6; Q9UIT9</t>
  </si>
  <si>
    <t>MLCK; MLCK1; MYLK1</t>
  </si>
  <si>
    <t>3D-structure; Acetylation; Actin-binding; Alternative promoter usage; Alternative splicing; Aortic aneurysm; ATP-binding; Calcium; Calmodulin-binding; Cell projection; Cytoplasm; Cytoskeleton; Disease mutation; Disulfide bond; Immunoglobulin domain; Kinase; Magnesium; Metal-binding; Nucleotide-binding; Phosphoprotein; Polymorphism; Repeat; Serine/threonine-protein kinase; Transferase</t>
  </si>
  <si>
    <t>Aortic aneurysm; Disease mutation</t>
  </si>
  <si>
    <t>Actin-binding; Calmodulin-binding; Kinase; Serine/threonine-protein kinase; Transferase</t>
  </si>
  <si>
    <t>aorta smooth muscle tissue morphogenesis {GO:0060414}; bleb assembly {GO:0032060}; cardiovascular system development {GO:0072358}; cellular hypotonic response {GO:0071476}; muscle contraction {GO:0006936}; positive regulation of calcium ion transport {GO:0051928}; positive regulation of cell migration {GO:0030335}; positive regulation of wound healing {GO:0090303}; protein phosphorylation {GO:0006468}; smooth muscle contraction {GO:0006939}; tonic smooth muscle contraction {GO:0014820}</t>
  </si>
  <si>
    <t>actin cytoskeleton {GO:0015629}; cleavage furrow {GO:0032154}; cytoplasm {GO:0005737}; cytosol {GO:0005829}; lamellipodium {GO:0030027}; plasma membrane {GO:0005886}; stress fiber {GO:0001725}</t>
  </si>
  <si>
    <t>actin binding {GO:0003779}; ATP binding {GO:0005524}; calmodulin binding {GO:0005516}; metal ion binding {GO:0046872}; myosin light chain kinase activity {GO:0004687}; protein kinase activity {GO:0004672}</t>
  </si>
  <si>
    <t>Smooth Muscle Contraction {R-HSA-445355}; RHO GTPases activate PAKs {R-HSA-5627123}</t>
  </si>
  <si>
    <t>Complement C3c alpha' chain fragment 2</t>
  </si>
  <si>
    <t>C3 and PZP-like alpha-2-macroglobulin domain-containing protein 1 (C3bc; ASP); C3adesArg</t>
  </si>
  <si>
    <t>CO3_HUMAN</t>
  </si>
  <si>
    <t>P01024</t>
  </si>
  <si>
    <t>A7E236</t>
  </si>
  <si>
    <t>CPAMD1</t>
  </si>
  <si>
    <t>3D-structure; Age-related macular degeneration; Cleavage on pair of basic residues; Complement alternate pathway; Complement pathway; Disease mutation; Disulfide bond; Fatty acid metabolism; Glycoprotein; Hemolytic uremic syndrome; Immunity; Inflammatory response; Innate immunity; Lipid metabolism; Phosphoprotein; Polymorphism; Secreted; Signal; Thioester bond</t>
  </si>
  <si>
    <t>Complement alternate pathway; Complement pathway; Fatty acid metabolism; Immunity; Inflammatory response; Innate immunity; Lipid metabolism</t>
  </si>
  <si>
    <t>Age-related macular degeneration; Disease mutation; Hemolytic uremic syndrome</t>
  </si>
  <si>
    <t>Cleavage on pair of basic residues; Disulfide bond; Glycoprotein; Phosphoprotein; Thioester bond</t>
  </si>
  <si>
    <t>amyloid-beta clearance {GO:0097242}; cell surface receptor signaling pathway involved in cell-cell signaling {GO:1905114}; cellular protein metabolic process {GO:0044267}; complement activation {GO:0006956}; complement activation, alternative pathway {GO:0006957}; complement activation, classical pathway {GO:0006958}; complement-dependent cytotoxicity {GO:0097278}; complement-mediated synapse pruning {GO:0150062}; fatty acid metabolic process {GO:0006631}; G protein-coupled receptor signaling pathway {GO:0007186}; immune response {GO:0006955}; inflammatory response {GO:0006954}; neuron remodeling {GO:0016322}; neutrophil degranulation {GO:0043312}; positive regulation of activation of membrane attack complex {GO:0001970}; positive regulation of angiogenesis {GO:0045766}; positive regulation of apoptotic cell clearance {GO:2000427}; positive regulation of G protein-coupled receptor signaling pathway {GO:0045745}; positive regulation of glucose transmembrane transport {GO:0010828}; positive regulation of lipid storage {GO:0010884}; positive regulation of phagocytosis, engulfment {GO:0060100}; positive regulation of protein phosphorylation {GO:0001934}; positive regulation of receptor-mediated endocytosis {GO:0048260}; positive regulation of type IIa hypersensitivity {GO:0001798}; positive regulation of vascular endothelial growth factor production {GO:0010575}; post-translational protein modification {GO:0043687}; regulation of complement activation {GO:0030449}; regulation of immune response {GO:0050776}; regulation of triglyceride biosynthetic process {GO:0010866}; response to bacterium {GO:0009617}; signal transduction {GO:0007165}; vertebrate eye-specific patterning {GO:0150064}</t>
  </si>
  <si>
    <t>azurophil granule lumen {GO:0035578}; blood microparticle {GO:0072562}; cell surface {GO:0009986}; endoplasmic reticulum lumen {GO:0005788}; extracellular exosome {GO:0070062}; extracellular region {GO:0005576}; extracellular space {GO:0005615}; plasma membrane {GO:0005886}; protein-containing complex {GO:0032991}; secretory granule lumen {GO:0034774}</t>
  </si>
  <si>
    <t>C5L2 anaphylatoxin chemotactic receptor binding {GO:0031715}; endopeptidase inhibitor activity {GO:0004866}; signaling receptor binding {GO:0005102}</t>
  </si>
  <si>
    <t>Alternative complement activation {R-HSA-173736}; Activation of C3 and C5 {R-HSA-174577}; Immunoregulatory interactions between a Lymphoid and a non-Lymphoid cell {R-HSA-198933}; Peptide ligand-binding receptors {R-HSA-375276}; Regulation of Insulin-like Growth Factor (IGF) transport and uptake by Insulin-like Growth Factor Binding Proteins (IGFBPs) {R-HSA-381426}; G alpha (i) signalling events {R-HSA-418594}; Neutrophil degranulation {R-HSA-6798695}; Post-translational protein phosphorylation {R-HSA-8957275}; Regulation of Complement cascade {R-HSA-977606}</t>
  </si>
  <si>
    <t>cAMP-dependent protein kinase catalytic subunit alpha (PKA C-alpha)</t>
  </si>
  <si>
    <t>KAPCA_HUMAN</t>
  </si>
  <si>
    <t>P17612</t>
  </si>
  <si>
    <t>Q32P54; Q9H2Y0; Q9NRB4; Q9NRH9</t>
  </si>
  <si>
    <t>PKACA</t>
  </si>
  <si>
    <t>3D-structure; Alternative splicing; ATP-binding; cAMP; Cell membrane; Cell projection; Cilium; Cushing syndrome; Cytoplasm; Cytoplasmic vesicle; Disease mutation; Flagellum; Kinase; Lipoprotein; Membrane; Mitochondrion; Myristate; Nucleotide-binding; Nucleus; Phosphoprotein; Polymorphism; Serine/threonine-protein kinase; Transferase</t>
  </si>
  <si>
    <t>Cell membrane; Cell projection; Cilium; Cytoplasm; Cytoplasmic vesicle; Flagellum; Membrane; Mitochondrion; Nucleus</t>
  </si>
  <si>
    <t>Cushing syndrome; Disease mutation</t>
  </si>
  <si>
    <t>ATP-binding; Nucleotide-binding; cAMP</t>
  </si>
  <si>
    <t>Lipoprotein; Myristate; Phosphoprotein</t>
  </si>
  <si>
    <t>activation of protein kinase A activity {GO:0034199}; blood coagulation {GO:0007596}; calcium-mediated signaling using intracellular calcium source {GO:0035584}; cell communication by electrical coupling involved in cardiac conduction {GO:0086064}; cellular response to epinephrine stimulus {GO:0071872}; cellular response to glucagon stimulus {GO:0071377}; cellular response to glucose stimulus {GO:0071333}; cellular response to heat {GO:0034605}; cellular response to parathyroid hormone stimulus {GO:0071374}; ciliary basal body-plasma membrane docking {GO:0097711}; cytokine-mediated signaling pathway {GO:0019221}; G2/M transition of mitotic cell cycle {GO:0000086}; high-density lipoprotein particle assembly {GO:0034380}; mesoderm formation {GO:0001707}; modulation of chemical synaptic transmission {GO:0050804}; mRNA processing {GO:0006397}; negative regulation of smoothened signaling pathway involved in dorsal/ventral neural tube patterning {GO:1901621}; neural tube closure {GO:0001843}; peptidyl-serine phosphorylation {GO:0018105}; peptidyl-threonine phosphorylation {GO:0018107}; positive regulation of cell cycle arrest {GO:0071158}; positive regulation of protein export from nucleus {GO:0046827}; protein autophosphorylation {GO:0046777}; protein kinase A signaling {GO:0010737}; protein phosphorylation {GO:0006468}; regulation of bicellular tight junction assembly {GO:2000810}; regulation of cardiac conduction {GO:1903779}; regulation of cardiac muscle contraction {GO:0055117}; regulation of cardiac muscle contraction by regulation of the release of sequestered calcium ion {GO:0010881}; regulation of cytosolic calcium ion concentration {GO:0051480}; regulation of G2/M transition of mitotic cell cycle {GO:0010389}; regulation of heart rate {GO:0002027}; regulation of macroautophagy {GO:0016241}; regulation of osteoblast differentiation {GO:0045667}; regulation of proteasomal protein catabolic process {GO:0061136}; regulation of protein binding {GO:0043393}; regulation of protein processing {GO:0070613}; regulation of ryanodine-sensitive calcium-release channel activity {GO:0060314}; renal water homeostasis {GO:0003091}; sperm capacitation {GO:0048240}; stimulatory C-type lectin receptor signaling pathway {GO:0002223}</t>
  </si>
  <si>
    <t>acrosomal vesicle {GO:0001669}; calcium channel complex {GO:0034704}; cAMP-dependent protein kinase complex {GO:0005952}; centrosome {GO:0005813}; ciliary base {GO:0097546}; cytoplasm {GO:0005737}; cytosol {GO:0005829}; dendritic spine {GO:0043197}; extracellular exosome {GO:0070062}; intercellular bridge {GO:0045171}; membrane {GO:0016020}; mitochondrion {GO:0005739}; neuromuscular junction {GO:0031594}; nuclear speck {GO:0016607}; nucleoplasm {GO:0005654}; nucleotide-activated protein kinase complex {GO:0031588}; nucleus {GO:0005634}; perinuclear region of cytoplasm {GO:0048471}; plasma membrane raft {GO:0044853}; sperm flagellum {GO:0036126}; sperm midpiece {GO:0097225}</t>
  </si>
  <si>
    <t>ATP binding {GO:0005524}; cAMP-dependent protein kinase activity {GO:0004691}; magnesium ion binding {GO:0000287}; manganese ion binding {GO:0030145}; protein domain specific binding {GO:0019904}; protein kinase A regulatory subunit binding {GO:0034237}; protein kinase activity {GO:0004672}; protein kinase binding {GO:0019901}; protein serine/threonine kinase activity {GO:0004674}; protein serine/threonine/tyrosine kinase activity {GO:0004712}; ubiquitin protein ligase binding {GO:0031625}</t>
  </si>
  <si>
    <t>PKA-mediated phosphorylation of CREB {R-HSA-111931}; PKA-mediated phosphorylation of key metabolic factors {R-HSA-163358}; Triglyceride catabolism {R-HSA-163560}; PKA activation {R-HSA-163615}; PKA activation in glucagon signalling {R-HSA-164378}; DARPP-32 events {R-HSA-180024}; 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Glucagon-like Peptide-1 (GLP1) regulates insulin secretion {R-HSA-381676}; Rap1 signalling {R-HSA-392517}; Regulation of insulin secretion {R-HSA-422356}; Vasopressin regulates renal water homeostasis via Aquaporins {R-HSA-432040}; VEGFA-VEGFR2 Pathway {R-HSA-4420097}; CREB1 phosphorylation through the activation of Adenylate Cyclase {R-HSA-442720}; Interleukin-3, Interleukin-5 and GM-CSF signaling {R-HSA-512988}; Ion homeostasis {R-HSA-5578775}; Degradation of GLI1 by the proteasome {R-HSA-5610780}; Degradation of GLI2 by the proteasome {R-HSA-5610783}; GLI3 is processed to GLI3R by the proteasome {R-HSA-5610785}; Hedgehog 'off' state {R-HSA-5610787}; Anchoring of the basal body to the plasma membrane {R-HSA-5620912}; CD209 (DC-SIGN) signaling {R-HSA-5621575}; MAPK6/MAPK4 signaling {R-HSA-5687128}; RET signaling {R-HSA-8853659}; AURKA Activation by TPX2 {R-HSA-8854518}; HDL assembly {R-HSA-8963896}; ROBO receptors bind AKAP5 {R-HSA-9010642}; Loss of phosphorylation of MECP2 at T308 {R-HSA-9022535}; Regulation of MECP2 expression and activity {R-HSA-9022692}; Regulation of glycolysis by fructose 2,6-bisphosphate metabolism {R-HSA-9634600}; Factors involved in megakaryocyte development and platelet production {R-HSA-983231}</t>
  </si>
  <si>
    <t>Angiopoietin-related protein 6</t>
  </si>
  <si>
    <t>Angiopoietin-like protein 6; Angiopoietin-related growth factor; Angiopoietin-related protein 5</t>
  </si>
  <si>
    <t>ANGL6_HUMAN</t>
  </si>
  <si>
    <t>Q8NI99</t>
  </si>
  <si>
    <t>A5PKV7; Q9BZZ0</t>
  </si>
  <si>
    <t>AGF; ARP5</t>
  </si>
  <si>
    <t>Angiogenesis; Coiled coil; Developmental protein; Differentiation; Disulfide bond; Glycoprotein; Secreted; Signal</t>
  </si>
  <si>
    <t>angiogenesis {GO:0001525}; cell differentiation {GO:0030154}</t>
  </si>
  <si>
    <t>collagen-containing extracellular matrix {GO:0062023}; extracellular exosome {GO:0070062}; secretory granule {GO:0030141}</t>
  </si>
  <si>
    <t>Eukaryotic translation initiation factor 3 subunit G (eIF3g)</t>
  </si>
  <si>
    <t>Eukaryotic translation initiation factor 3 RNA-binding subunit (eIF-3 RNA-binding subunit); Eukaryotic translation initiation factor 3 subunit 4; eIF-3-delta; eIF3 p42; eIF3 p44</t>
  </si>
  <si>
    <t>EIF3G_HUMAN</t>
  </si>
  <si>
    <t>O75821</t>
  </si>
  <si>
    <t>O14801; Q969U5</t>
  </si>
  <si>
    <t>3D-structure; Cytoplasm; Initiation factor; Nucleus; Phosphoprotein; Protein biosynthesis; RNA-binding</t>
  </si>
  <si>
    <t>formation of cytoplasmic translation initiation complex {GO:0001732}; translational initiation {GO:0006413}; viral translational termination-reinitiation {GO:0075525}</t>
  </si>
  <si>
    <t>cytoplasm {GO:0005737}; cytosol {GO:0005829}; eukaryotic 43S preinitiation complex {GO:0016282}; eukaryotic 48S preinitiation complex {GO:0033290}; eukaryotic translation initiation factor 3 complex {GO:0005852}; perinuclear region of cytoplasm {GO:0048471}</t>
  </si>
  <si>
    <t>RNA binding {GO:0003723}; translation initiation factor activity {GO:0003743}</t>
  </si>
  <si>
    <t>L13a-mediated translational silencing of Ceruloplasmin expression {R-HSA-156827};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</t>
  </si>
  <si>
    <t>Myeloid-derived growth factor (MYDGF)</t>
  </si>
  <si>
    <t>MYDGF_HUMAN</t>
  </si>
  <si>
    <t>Q969H8</t>
  </si>
  <si>
    <t>D6W628; O75256; O75272; Q9BTK7; Q9NP69</t>
  </si>
  <si>
    <t>Angiogenesis; Apoptosis; Endoplasmic reticulum; Golgi apparatus; Polymorphism; Secreted; Signal</t>
  </si>
  <si>
    <t>Angiogenesis; Apoptosis</t>
  </si>
  <si>
    <t>Endoplasmic reticulum; Golgi apparatus; Secreted</t>
  </si>
  <si>
    <t>angiogenesis {GO:0001525}; apoptotic process {GO:0006915}; IRE1-mediated unfolded protein response {GO:0036498}; negative regulation of apoptotic process {GO:0043066}; positive regulation of angiogenesis {GO:0045766}; positive regulation of endothelial cell proliferation {GO:0001938}; positive regulation of MAPK cascade {GO:0043410}; positive regulation of phosphatidylinositol 3-kinase signaling {GO:0014068}; positive regulation of protein kinase B signaling {GO:0051897}; positive regulation of protein phosphorylation {GO:0001934}; positive regulation of transcription by RNA polymerase II {GO:0045944}</t>
  </si>
  <si>
    <t>endoplasmic reticulum {GO:0005783}; endoplasmic reticulum lumen {GO:0005788}; endoplasmic reticulum-Golgi intermediate compartment {GO:0005793}; extracellular space {GO:0005615}; Golgi apparatus {GO:0005794}</t>
  </si>
  <si>
    <t>Eukaryotic translation initiation factor 4 gamma 1 (eIF-4-gamma 1; eIF-4G 1; eIF-4G1)</t>
  </si>
  <si>
    <t>p220</t>
  </si>
  <si>
    <t>IF4G1_HUMAN</t>
  </si>
  <si>
    <t>Q04637</t>
  </si>
  <si>
    <t>D3DNT2; D3DNT4; D3DNT5; E9PFM1; G5E9S1; O43177; O95066; Q5HYG0; Q6ZN21; Q8N102</t>
  </si>
  <si>
    <t>EIF4F; EIF4G; EIF4GI</t>
  </si>
  <si>
    <t>3D-structure; Acetylation; Alternative initiation; Alternative splicing; Disease mutation; Host-virus interaction; Initiation factor; Methylation; Neurodegeneration; Parkinson disease; Parkinsonism; Phosphoprotein; Polymorphism; Protein biosynthesis; RNA-binding; Translation regulation; Translational shunt</t>
  </si>
  <si>
    <t>Host-virus interaction; Protein biosynthesis; Translation regulation</t>
  </si>
  <si>
    <t>Disease mutation; Neurodegeneration; Parkinson disease; Parkinsonism</t>
  </si>
  <si>
    <t>Initiation factor; RNA-binding; Translational shunt</t>
  </si>
  <si>
    <t>behavioral fear response {GO:0001662}; cap-dependent translational initiation {GO:0002191}; cellular macromolecule biosynthetic process {GO:0034645}; cellular response to nutrient levels {GO:0031669}; developmental process {GO:0032502}; energy homeostasis {GO:0097009}; lung development {GO:0030324}; mitochondrion organization {GO:0007005}; negative regulation of autophagy {GO:0010507}; negative regulation of neuron death {GO:1901215}; negative regulation of peptidyl-threonine phosphorylation {GO:0010801}; nuclear-transcribed mRNA catabolic process, nonsense-mediated decay {GO:0000184}; positive regulation of cell death {GO:0010942}; positive regulation of cell growth {GO:0030307}; positive regulation of cell population proliferation {GO:0008284}; positive regulation of cellular protein metabolic process {GO:0032270}; positive regulation of eukaryotic translation initiation factor 4F complex assembly {GO:1905537}; positive regulation of G1/S transition of mitotic cell cycle {GO:1900087}; positive regulation of miRNA mediated inhibition of translation {GO:1905618}; positive regulation of mRNA cap binding {GO:1905612}; positive regulation of neuron differentiation {GO:0045666}; positive regulation of peptidyl-serine phosphorylation {GO:0033138}; regulation of cellular response to stress {GO:0080135}; regulation of gene silencing by miRNA {GO:0060964}; regulation of mRNA stability {GO:0043488}; regulation of polysome binding {GO:1905696}; regulation of presynapse assembly {GO:1905606}; regulation of translational initiation {GO:0006446}; response to ethanol {GO:0045471}; translation {GO:0006412}; translational initiation {GO:0006413}; viral process {GO:0016032}</t>
  </si>
  <si>
    <t>cytoplasm {GO:0005737}; cytosol {GO:0005829}; eukaryotic translation initiation factor 4F complex {GO:0016281}; membrane {GO:0016020}; nucleus {GO:0005634}; polysome {GO:0005844}; postsynapse {GO:0098794}</t>
  </si>
  <si>
    <t>ATP binding {GO:0005524}; eukaryotic initiation factor 4E binding {GO:0008190}; identical protein binding {GO:0042802}; molecular adaptor activity {GO:0060090}; mRNA binding {GO:0003729}; RNA binding {GO:0003723}; translation factor activity, RNA binding {GO:0008135}; translation initiation factor activity {GO:0003743}; translation initiation factor binding {GO:0031369}</t>
  </si>
  <si>
    <t>ISG15 antiviral mechanism {R-HSA-1169408}; L13a-mediated translational silencing of Ceruloplasmin expression {R-HSA-156827}; mTORC1-mediated signalling {R-HSA-166208}; Deadenylation of mRNA {R-HSA-429947}; AUF1 (hnRNP D0) binds and destabilizes mRNA {R-HSA-450408};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{R-HSA-72706}; Regulation of expression of SLITs and ROBOs {R-HSA-9010553}; Nonsense Mediated Decay (NMD) independent of the Exon Junction Complex (EJC) {R-HSA-975956}; Nonsense Mediated Decay (NMD) enhanced by the Exon Junction Complex (EJC) {R-HSA-975957}</t>
  </si>
  <si>
    <t>Pyridoxal kinase</t>
  </si>
  <si>
    <t>Pyridoxine kinase</t>
  </si>
  <si>
    <t>PDXK_HUMAN</t>
  </si>
  <si>
    <t>O00764</t>
  </si>
  <si>
    <t>Q7Z2Y0; Q9BS02</t>
  </si>
  <si>
    <t>C21orf124; C21orf97; PKH; PNK</t>
  </si>
  <si>
    <t>3D-structure; Acetylation; Alternative splicing; ATP-binding; Cytoplasm; Kinase; Metal-binding; Nucleotide-binding; Phosphoprotein; Transferase; Zinc</t>
  </si>
  <si>
    <t>ATP-binding; Metal-binding; Nucleotide-binding; Zinc</t>
  </si>
  <si>
    <t>cell population proliferation {GO:0008283}; neutrophil degranulation {GO:0043312}; pyridoxal 5'-phosphate salvage {GO:0009443}; pyridoxal phosphate biosynthetic process {GO:0042823}; vitamin B6 metabolic process {GO:0042816}</t>
  </si>
  <si>
    <t>cytosol {GO:0005829}; extracellular exosome {GO:0070062}; extracellular region {GO:0005576}; nucleoplasm {GO:0005654}; nucleus {GO:0005634}; secretory granule lumen {GO:0034774}; specific granule lumen {GO:0035580}</t>
  </si>
  <si>
    <t>ATP binding {GO:0005524}; lithium ion binding {GO:0031403}; magnesium ion binding {GO:0000287}; potassium ion binding {GO:0030955}; protein homodimerization activity {GO:0042803}; pyridoxal kinase activity {GO:0008478}; pyridoxal phosphate binding {GO:0030170}; sodium ion binding {GO:0031402}; zinc ion binding {GO:0008270}</t>
  </si>
  <si>
    <t>Neutrophil degranulation {R-HSA-6798695}; Vitamins B6 activation to pyridoxal phosphate {R-HSA-964975}</t>
  </si>
  <si>
    <t>60S ribosomal protein L32</t>
  </si>
  <si>
    <t>Large ribosomal subunit protein eL32</t>
  </si>
  <si>
    <t>RL32_HUMAN</t>
  </si>
  <si>
    <t>P62910</t>
  </si>
  <si>
    <t>B2R4Q3; P02433</t>
  </si>
  <si>
    <t>cytosol {GO:0005829}; cytosolic large ribosomal subunit {GO:0022625}; membrane {GO:0016020}; polysomal ribosome {GO:0042788}</t>
  </si>
  <si>
    <t>Succinate--CoA ligase [GDP-forming] subunit beta, mitochondrial</t>
  </si>
  <si>
    <t>GTP-specific succinyl-CoA synthetase subunit beta (G-SCS; GTPSCS); Succinyl-CoA synthetase beta-G chain (SCS-betaG)</t>
  </si>
  <si>
    <t>SUCB2_HUMAN</t>
  </si>
  <si>
    <t>Q96I99</t>
  </si>
  <si>
    <t>C9JVT2; O95195; Q6NUH7; Q86VX8; Q8WUQ1</t>
  </si>
  <si>
    <t>Acetylation; Alternative splicing; GTP-binding; Ligase; Magnesium; Metal-binding; Mitochondrion; Nucleotide-binding; Phosphoprotein; Polymorphism; Transit peptide; Tricarboxylic acid cycle</t>
  </si>
  <si>
    <t>Ligase</t>
  </si>
  <si>
    <t>succinate metabolic process {GO:0006105}; succinyl-CoA metabolic process {GO:0006104}; tricarboxylic acid cycle {GO:0006099}</t>
  </si>
  <si>
    <t>mitochondrial matrix {GO:0005759}; mitochondrion {GO:0005739}; plasma membrane {GO:0005886}; succinate-CoA ligase complex {GO:0042709}; succinate-CoA ligase complex (GDP-forming) {GO:0045244}</t>
  </si>
  <si>
    <t>ATP binding {GO:0005524}; GDP binding {GO:0019003}; GTP binding {GO:0005525}; magnesium ion binding {GO:0000287}; protein heterodimerization activity {GO:0046982}; succinate-CoA ligase (ADP-forming) activity {GO:0004775}; succinate-CoA ligase (GDP-forming) activity {GO:0004776}</t>
  </si>
  <si>
    <t>Carbohydrate metabolism; tricarboxylic acid cycle; succinate from succinyl-CoA (ligase route): step 1/1.</t>
  </si>
  <si>
    <t>Citric acid cycle (TCA cycle) {R-HSA-71403}</t>
  </si>
  <si>
    <t>DNA-directed RNA polymerases I, II, and III subunit RPABC3 (RNA polymerases I, II, and III subunit ABC3)</t>
  </si>
  <si>
    <t>DNA-directed RNA polymerase II subunit H; DNA-directed RNA polymerases I, II, and III 17.1 kDa polypeptide; RPB17; RPB8 homolog (hRPB8)</t>
  </si>
  <si>
    <t>RPAB3_HUMAN</t>
  </si>
  <si>
    <t>P52434</t>
  </si>
  <si>
    <t>C9J413; C9JBJ6; C9JCU7; C9JUA8; P53802; Q969R0</t>
  </si>
  <si>
    <t>3D-structure; Acetylation; Alternative splicing; DNA-binding; DNA-directed RNA polymerase; Nucleus; Transcription</t>
  </si>
  <si>
    <t>Transcription</t>
  </si>
  <si>
    <t>DNA-directed RNA polymerase; Nucleus</t>
  </si>
  <si>
    <t>7-methylguanosine mRNA capping {GO:0006370}; fibroblast growth factor receptor signaling pathway {GO:0008543}; mRNA splicing, via spliceosome {GO:0000398}; positive regulation of gene expression, epigenetic {GO:0045815}; positive regulation of type I interferon production {GO:0032481}; positive regulation of viral transcription {GO:0050434}; regulation of gene silencing by miRNA {GO:0060964}; RNA metabolic process {GO:0016070}; snRNA transcription by RNA polymerase II {GO:0042795}; somatic stem cell population maintenance {GO:0035019}; termination of RNA polymerase I transcription {GO:0006363}; transcription by RNA polymerase II {GO:0006366}; transcription by RNA polymerase III {GO:0006383}; transcription elongation from RNA polymerase I promoter {GO:0006362}; transcription elongation from RNA polymerase II promoter {GO:0006368}; transcription initiation from RNA polymerase I promoter {GO:0006361}; transcription initiation from RNA polymerase II promoter {GO:0006367}; transcription, DNA-templated {GO:0006351}; transcription-coupled nucleotide-excision repair {GO:0006283}</t>
  </si>
  <si>
    <t>cytosol {GO:0005829}; nucleoplasm {GO:0005654}; nucleus {GO:0005634}; protein-DNA complex {GO:0032993}; RNA polymerase I complex {GO:0005736}; RNA polymerase II, core complex {GO:0005665}; RNA polymerase III complex {GO:0005666}</t>
  </si>
  <si>
    <t>DNA-directed 5'-3' RNA polymerase activity {GO:0003899}; single-stranded DNA binding {GO:0003697}</t>
  </si>
  <si>
    <t>Formation of RNA Pol II elongation complex {R-HSA-112382}; Formation of the Early Elongation Complex {R-HSA-113418}; Formation of HIV elongation complex in the absence of HIV Tat {R-HSA-167152}; Formation of the HIV-1 Early Elongation Complex {R-HSA-167158}; RNA Pol II CTD phosphorylation and interaction with CE during HIV infection {R-HSA-167160}; HIV Transcription Initiation {R-HSA-167161}; RNA Polymerase II HIV Promoter Escape {R-HSA-167162}; Transcription of the HIV genome {R-HSA-167172}; Formation of HIV-1 elongation complex containing HIV-1 Tat {R-HSA-167200}; Pausing and recovery of Tat-mediated HIV elongation {R-HSA-167238}; Abortive elongation of HIV-1 transcript in the absence of Tat {R-HSA-167242}; Tat-mediated HIV elongation arrest and recovery {R-HSA-167243}; Tat-mediated elongation of the HIV-1 transcript {R-HSA-167246}; HIV elongation arrest and recovery {R-HSA-167287}; Pausing and recovery of HIV elongation {R-HSA-167290}; Viral Messenger RNA Synthesis {R-HSA-168325}; Cytosolic sensors of pathogen-associated DNA {R-HSA-1834949}; MicroRNA (miRNA) biogenesis {R-HSA-203927}; NoRC negatively regulates rRNA expression {R-HSA-427413}; B-WICH complex positively regulates rRNA expression {R-HSA-5250924}; Transcriptional regulation by small RNAs {R-HSA-5578749}; PIWI-interacting RNA (piRNA) biogenesis {R-HSA-5601884}; Activation of anterior HOX genes in hindbrain development during early embryogenesis {R-HSA-5617472}; RNA Polymerase II Pre-transcription Events {R-HSA-674695}; Formation of TC-NER Pre-Incision Complex {R-HSA-6781823}; Transcription-Coupled Nucleotide Excision Repair (TC-NER) {R-HSA-6781827}; Dual incision in TC-NER {R-HSA-6782135}; Gap-filling DNA repair synthesis and ligation in TC-NER {R-HSA-6782210}; TP53 Regulates Transcription of DNA Repair Genes {R-HSA-6796648}; FGFR2 alternative splicing {R-HSA-6803529}; RNA polymerase II transcribes snRNA genes {R-HSA-6807505}; mRNA Capping {R-HSA-72086}; mRNA Splicing - Major Pathway {R-HSA-72163}; mRNA Splicing - Minor Pathway {R-HSA-72165}; Processing of Capped Intron-Containing Pre-mRNA {R-HSA-72203}; RNA Polymerase I Transcription Initiation {R-HSA-73762}; RNA Polymerase I Promoter Escape {R-HSA-73772}; RNA Polymerase II Promoter Escape {R-HSA-73776}; RNA Polymerase II Transcription Pre-Initiation And Promoter Opening {R-HSA-73779}; RNA Polymerase III Chain Elongation {R-HSA-73780}; RNA Polymerase I Transcription Termination {R-HSA-73863}; RNA Polymerase III Transcription Termination {R-HSA-73980}; RNA Polymerase III Abortive And Retractive Initiation {R-HSA-749476}; RNA Polymerase II Transcription Initiation {R-HSA-75953}; RNA Polymerase II Transcription Elongation {R-HSA-75955}; RNA Polymerase II Transcription Initiation And Promoter Clearance {R-HSA-76042}; RNA Polymerase III Transcription Initiation From Type 1 Promoter {R-HSA-76061}; RNA Polymerase III Transcription Initiation From Type 2 Promoter {R-HSA-76066}; RNA Polymerase III Transcription Initiation From Type 3 Promoter {R-HSA-76071}; RNA Pol II CTD phosphorylation and interaction with CE {R-HSA-77075}; Signaling by FGFR2 IIIa TM {R-HSA-8851708}; Estrogen-dependent gene expression {R-HSA-9018519}</t>
  </si>
  <si>
    <t>Plastin-1</t>
  </si>
  <si>
    <t>Intestine-specific plastin (I-plastin)</t>
  </si>
  <si>
    <t>PLSI_HUMAN</t>
  </si>
  <si>
    <t>Q14651</t>
  </si>
  <si>
    <t>A8K2Q1; D3DNG3; Q8NEG6</t>
  </si>
  <si>
    <t>Acetylation; Actin-binding; Calcium; Cytoplasm; Metal-binding; Phosphoprotein; Polymorphism; Repeat</t>
  </si>
  <si>
    <t>actin filament bundle assembly {GO:0051017}; actin filament network formation {GO:0051639}; intestinal D-glucose absorption {GO:0001951}; positive regulation of multicellular organism growth {GO:0040018}; positive regulation of protein localization to plasma membrane {GO:1903078}; regulation of microvillus length {GO:0032532}; terminal web assembly {GO:1902896}</t>
  </si>
  <si>
    <t>actin filament {GO:0005884}; actin filament bundle {GO:0032432}; brush border {GO:0005903}; cytoplasm {GO:0005737}; extracellular exosome {GO:0070062}; terminal web {GO:1990357}</t>
  </si>
  <si>
    <t>actin filament binding {GO:0051015}; calcium ion binding {GO:0005509}; structural constituent of cytoskeleton {GO:0005200}</t>
  </si>
  <si>
    <t>Retinol-binding protein 1</t>
  </si>
  <si>
    <t>Cellular retinol-binding protein (CRBP); Cellular retinol-binding protein I (CRBP-I)</t>
  </si>
  <si>
    <t>RET1_HUMAN</t>
  </si>
  <si>
    <t>P09455</t>
  </si>
  <si>
    <t>A8K2Q0; B7Z7A0; E7EWV0; F2Z2F2; Q6FGX8</t>
  </si>
  <si>
    <t>CRBP1</t>
  </si>
  <si>
    <t>3D-structure; Alternative splicing; Cytoplasm; Lipid droplet; Methylation; Retinol-binding; Transport; Vitamin A</t>
  </si>
  <si>
    <t>Cytoplasm; Lipid droplet</t>
  </si>
  <si>
    <t>lipid homeostasis {GO:0055088}; retinoic acid biosynthetic process {GO:0002138}; retinoid metabolic process {GO:0001523}; vitamin A metabolic process {GO:0006776}</t>
  </si>
  <si>
    <t>cytosol {GO:0005829}; lipid droplet {GO:0005811}; nucleoplasm {GO:0005654}</t>
  </si>
  <si>
    <t>all-trans-retinol binding {GO:1904768}; retinal binding {GO:0016918}; retinoid binding {GO:0005501}</t>
  </si>
  <si>
    <t>Retinoid cycle disease events {R-HSA-2453864}; The canonical retinoid cycle in rods (twilight vision) {R-HSA-2453902}; Retinoid metabolism and transport {R-HSA-975634}</t>
  </si>
  <si>
    <t>Carboxypeptidase B</t>
  </si>
  <si>
    <t>Pancreas-specific protein (PASP)</t>
  </si>
  <si>
    <t>CBPB1_HUMAN</t>
  </si>
  <si>
    <t>P15086</t>
  </si>
  <si>
    <t>O60834; Q53XJ0; Q96BQ8</t>
  </si>
  <si>
    <t>CPB; PCPB</t>
  </si>
  <si>
    <t>Metabolism of Angiotensinogen to Angiotensins {R-HSA-2022377}</t>
  </si>
  <si>
    <t>Vitamin K-dependent protein S</t>
  </si>
  <si>
    <t>PROS_HUMAN</t>
  </si>
  <si>
    <t>P07225</t>
  </si>
  <si>
    <t>A8KAC9; D3DN28; Q15518; Q7Z715; Q9UCZ8</t>
  </si>
  <si>
    <t>PROS</t>
  </si>
  <si>
    <t>3D-structure; Blood coagulation; Calcium; Cleavage on pair of basic residues; Disease mutation; Disulfide bond; EGF-like domain; Fibrinolysis; Gamma-carboxyglutamic acid; Glycoprotein; Hemostasis; Hydroxylation; Polymorphism; Repeat; Secreted; Signal; Thrombophilia; Zymogen</t>
  </si>
  <si>
    <t>Blood coagulation; Fibrinolysis; Hemostasis</t>
  </si>
  <si>
    <t>Cleavage on pair of basic residues; Disulfide bond; Gamma-carboxyglutamic acid; Glycoprotein; Hydroxylation; Zymogen</t>
  </si>
  <si>
    <t>blood coagulation {GO:0007596}; endoplasmic reticulum to Golgi vesicle-mediated transport {GO:0006888}; fibrinolysis {GO:0042730}; leukocyte migration {GO:0050900}; platelet degranulation {GO:0002576}; regulation of complement activation {GO:0030449}</t>
  </si>
  <si>
    <t>blood microparticle {GO:0072562}; endoplasmic reticulum membrane {GO:0005789}; extracellular exosome {GO:0070062}; extracellular region {GO:0005576}; extracellular space {GO:0005615}; Golgi lumen {GO:0005796}; Golgi membrane {GO:0000139}; plasma membrane {GO:0005886}; platelet alpha granule lumen {GO:0031093}</t>
  </si>
  <si>
    <t>calcium ion binding {GO:0005509}; endopeptidase inhibitor activity {GO:0004866}</t>
  </si>
  <si>
    <t>Platelet degranulation {R-HSA-114608};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Regulation of Complement cascade {R-HSA-977606}</t>
  </si>
  <si>
    <t>A disintegrin and metalloproteinase with thrombospondin motifs 5 (ADAM-TS 5; ADAM-TS5; ADAMTS-5)</t>
  </si>
  <si>
    <t>A disintegrin and metalloproteinase with thrombospondin motifs 11 (ADAM-TS 11; ADAMTS-11); ADMP-2; Aggrecanase-2</t>
  </si>
  <si>
    <t>ATS5_HUMAN</t>
  </si>
  <si>
    <t>Q9UNA0</t>
  </si>
  <si>
    <t>Q52LV4; Q9UKP2</t>
  </si>
  <si>
    <t>ADAMTS11; ADMP2</t>
  </si>
  <si>
    <t>3D-structure; Cleavage on pair of basic residues; Disulfide bond; Extracellular matrix; Glycoprotein; Hydrolase; Metal-binding; Metalloprotease; Polymorphism; Protease; Repeat; Secreted; Signal; Zinc; Zymogen</t>
  </si>
  <si>
    <t>defense response to bacterium {GO:0042742}; extracellular matrix disassembly {GO:0022617}; negative regulation of cold-induced thermogenesis {GO:0120163}; proteolysis {GO:0006508}; tooth eruption {GO:0044691}</t>
  </si>
  <si>
    <t>collagen-containing extracellular matrix {GO:0062023}; endoplasmic reticulum lumen {GO:0005788}; extracellular matrix {GO:0031012}; extracellular region {GO:0005576}; extracellular space {GO:0005615}</t>
  </si>
  <si>
    <t>extracellular matrix binding {GO:0050840}; heparin binding {GO:0008201}; integrin binding {GO:0005178}; metalloendopeptidase activity {GO:0004222}; metallopeptidase activity {GO:0008237}; zinc ion binding {GO:0008270}</t>
  </si>
  <si>
    <t>Lymphocyte antigen 6H (Ly-6H)</t>
  </si>
  <si>
    <t>LY6H_HUMAN</t>
  </si>
  <si>
    <t>O94772</t>
  </si>
  <si>
    <t>B2RAD2; J3KQI0; Q6IAX0</t>
  </si>
  <si>
    <t>Alternative splicing; Cell membrane; Disulfide bond; Glycoprotein; GPI-anchor; Lipoprotein; Membrane; Signal</t>
  </si>
  <si>
    <t>acetylcholine receptor signaling pathway {GO:0095500}; animal organ morphogenesis {GO:0009887}; nervous system development {GO:0007399}</t>
  </si>
  <si>
    <t>acetylcholine receptor binding {GO:0033130}; acetylcholine receptor inhibitor activity {GO:0030550}</t>
  </si>
  <si>
    <t>Phospholipid hydroperoxide glutathione peroxidase (PHGPx)</t>
  </si>
  <si>
    <t>Glutathione peroxidase 4 (GPx-4; GSHPx-4)</t>
  </si>
  <si>
    <t>GPX4_HUMAN</t>
  </si>
  <si>
    <t>P36969</t>
  </si>
  <si>
    <t>O43381; Q6PJ59; Q9UPK2</t>
  </si>
  <si>
    <t>3D-structure; Alternative initiation; Cytoplasm; Developmental protein; Dwarfism; Mitochondrion; Oxidoreductase; Peroxidase; Phosphoprotein; Polymorphism; Selenocysteine; Transit peptide</t>
  </si>
  <si>
    <t>Cytoplasm; Mitochondrion</t>
  </si>
  <si>
    <t>Alternative initiation; Polymorphism; Selenocysteine</t>
  </si>
  <si>
    <t>Developmental protein; Oxidoreductase; Peroxidase</t>
  </si>
  <si>
    <t>aging {GO:0007568}; chromatin organization {GO:0006325}; glutathione metabolic process {GO:0006749}; lipoxygenase pathway {GO:0019372}; long-chain fatty acid biosynthetic process {GO:0042759}; multicellular organism development {GO:0007275}; negative regulation of ferroptosis {GO:0110076}; oxidation-reduction process {GO:0055114}; phospholipid metabolic process {GO:0006644}; protein polymerization {GO:0051258}; regulation of inflammatory response {GO:0050727}; response to estradiol {GO:0032355}; response to oxidative stress {GO:0006979}; spermatogenesis {GO:0007283}</t>
  </si>
  <si>
    <t>cytosol {GO:0005829}; extracellular exosome {GO:0070062}; mitochondrion {GO:0005739}; nuclear envelope {GO:0005635}; nucleoplasm {GO:0005654}; nucleus {GO:0005634}; protein-containing complex {GO:0032991}</t>
  </si>
  <si>
    <t>glutathione peroxidase activity {GO:0004602}; identical protein binding {GO:0042802}; peroxidase activity {GO:0004601}; phospholipid-hydroperoxide glutathione peroxidase activity {GO:0047066}; selenium binding {GO:0008430}</t>
  </si>
  <si>
    <t>Synthesis of 5-eicosatetraenoic acids {R-HSA-2142688}; Synthesis of 12-eicosatetraenoic acid derivatives {R-HSA-2142712}; Synthesis of 15-eicosatetraenoic acid derivatives {R-HSA-2142770}; Biosynthesis of D-series resolvins {R-HSA-9018676}; Biosynthesis of E-series 18(S)-resolvins {R-HSA-9018896}; Biosynthesis of aspirin-triggered D-series resolvins {R-HSA-9020265}; Biosynthesis of E-series 18(R)-resolvins {R-HSA-9023661}</t>
  </si>
  <si>
    <t>Perilipin-4</t>
  </si>
  <si>
    <t>Adipocyte protein S3-12</t>
  </si>
  <si>
    <t>PLIN4_HUMAN</t>
  </si>
  <si>
    <t>Q96Q06</t>
  </si>
  <si>
    <t>A6NEI2</t>
  </si>
  <si>
    <t>KIAA1881</t>
  </si>
  <si>
    <t>Alternative splicing; Cell membrane; Cytoplasm; Lipid droplet; Membrane; Phosphoprotein; Polymorphism; Repeat</t>
  </si>
  <si>
    <t>cytosol {GO:0005829}; intracellular membrane-bounded organelle {GO:0043231}; lipid droplet {GO:0005811}; plasma membrane {GO:0005886}</t>
  </si>
  <si>
    <t>Processed cyclic AMP-responsive element-binding protein 3-like protein 3</t>
  </si>
  <si>
    <t>Transcription factor CREB-H</t>
  </si>
  <si>
    <t>CR3L3_HUMAN</t>
  </si>
  <si>
    <t>Q68CJ9</t>
  </si>
  <si>
    <t>B2R7S6; B7ZL69; M0QYW7; Q6ZMC5; Q96TB9</t>
  </si>
  <si>
    <t>CREBH</t>
  </si>
  <si>
    <t>Activator; Alternative splicing; DNA-binding; Endoplasmic reticulum; Glycoprotein; Membrane; Nucleus; Phosphoprotein; Signal-anchor; Transcription; Transcription regulation; Transmembrane; Transmembrane helix; Unfolded protein response</t>
  </si>
  <si>
    <t>Transcription; Transcription regulation; Unfolded protein response</t>
  </si>
  <si>
    <t>Activator; DNA-binding</t>
  </si>
  <si>
    <t>endoplasmic reticulum unfolded protein response {GO:0030968}; positive regulation of acute inflammatory response {GO:0002675}; positive regulation of transcription by RNA polymerase II {GO:0045944}; positive regulation of transcription from RNA polymerase II promoter in response to endoplasmic reticulum stress {GO:1990440}</t>
  </si>
  <si>
    <t>cytosol {GO:0005829}; endoplasmic reticulum {GO:0005783}; endoplasmic reticulum membrane {GO:0005789}; Golgi membrane {GO:0000139}; integral component of membrane {GO:0016021}; membrane {GO:0016020}; nucleoplasm {GO:0005654}; nucleus {GO:0005634}</t>
  </si>
  <si>
    <t>cAMP response element binding {GO:0035497}; DNA-binding transcription activator activity, RNA polymerase II-specific {GO:0001228}; DNA-binding transcription factor activity, RNA polymerase II-specific {GO:0000981}; protein heterodimerization activity {GO:0046982}; protein homodimerization activity {GO:0042803}; RNA polymerase II regulatory region sequence-specific DNA binding {GO:0000977}; transcription regulatory region sequence-specific DNA binding {GO:0000976}</t>
  </si>
  <si>
    <t>CREB3 factors activate genes {R-HSA-8874211}; Assembly of active LPL and LIPC lipase complexes {R-HSA-8963889}</t>
  </si>
  <si>
    <t>Endophilin-A2</t>
  </si>
  <si>
    <t>EEN fusion partner of MLL; Endophilin-2; Extra eleven-nineteen leukemia fusion gene protein (EEN); SH3 domain protein 2B; SH3 domain-containing GRB2-like protein 1</t>
  </si>
  <si>
    <t>SH3G1_HUMAN</t>
  </si>
  <si>
    <t>Q99961</t>
  </si>
  <si>
    <t>B4DRA1; E7EVZ4; M0QZV5; Q99668</t>
  </si>
  <si>
    <t>CNSA1; SH3D2B</t>
  </si>
  <si>
    <t>Alternative splicing; Cell junction; Cell projection; Chromosomal rearrangement; Coiled coil; Cytoplasm; Endocytosis; Endosome; Lipid-binding; Membrane; Phosphoprotein; Proto-oncogene; SH3 domain</t>
  </si>
  <si>
    <t>Cell junction; Cell projection; Cytoplasm; Endosome; Membrane</t>
  </si>
  <si>
    <t>central nervous system development {GO:0007417}; modulation of excitatory postsynaptic potential {GO:0098815}; positive regulation of synaptic vesicle endocytosis {GO:1900244}; signal transduction {GO:0007165}; synaptic vesicle uncoating {GO:0016191}</t>
  </si>
  <si>
    <t>cell junction {GO:0030054}; cell projection {GO:0042995}; cytoplasm {GO:0005737}; cytosol {GO:0005829}; early endosome membrane {GO:0031901}; glutamatergic synapse {GO:0098978}; hippocampal mossy fiber to CA3 synapse {GO:0098686}; podosome {GO:0002102}; postsynaptic density, intracellular component {GO:0099092}; presynapse {GO:0098793}; Schaffer collateral - CA1 synapse {GO:0098685}</t>
  </si>
  <si>
    <t>beta-1 adrenergic receptor binding {GO:0031697}; cadherin binding {GO:0045296}; GTPase binding {GO:0051020}; identical protein binding {GO:0042802}; ion channel binding {GO:0044325}; lipid binding {GO:0008289}; phosphatase binding {GO:0019902}; protein C-terminus binding {GO:0008022}; SH3 domain binding {GO:0017124}</t>
  </si>
  <si>
    <t>EGFR downregulation {R-HSA-182971}; Negative regulation of MET activity {R-HSA-6807004}; Cargo recognition for clathrin-mediated endocytosis {R-HSA-8856825}; Clathrin-mediated endocytosis {R-HSA-8856828}; InlB-mediated entry of Listeria monocytogenes into host cell {R-HSA-8875360}</t>
  </si>
  <si>
    <t>Troponin C, slow skeletal and cardiac muscles (TN-C)</t>
  </si>
  <si>
    <t>TNNC1_HUMAN</t>
  </si>
  <si>
    <t>P63316</t>
  </si>
  <si>
    <t>O14800; P02590; P04463</t>
  </si>
  <si>
    <t>TNNC</t>
  </si>
  <si>
    <t>3D-structure; Acetylation; Calcium; Cardiomyopathy; Disease mutation; Metal-binding; Muscle protein; Phosphoprotein; Polymorphism; Repeat</t>
  </si>
  <si>
    <t>cardiac muscle contraction {GO:0060048}; diaphragm contraction {GO:0002086}; muscle filament sliding {GO:0030049}; regulation of ATPase activity {GO:0043462}; regulation of muscle contraction {GO:0006937}; regulation of muscle filament sliding speed {GO:0032972}; response to metal ion {GO:0010038}; skeletal muscle contraction {GO:0003009}; transition between fast and slow fiber {GO:0014883}; ventricular cardiac muscle tissue morphogenesis {GO:0055010}</t>
  </si>
  <si>
    <t>cardiac Troponin complex {GO:1990584}; cytosol {GO:0005829}; troponin complex {GO:0005861}</t>
  </si>
  <si>
    <t>actin filament binding {GO:0051015}; calcium ion binding {GO:0005509}; calcium-dependent protein binding {GO:0048306}; protein homodimerization activity {GO:0042803}; troponin I binding {GO:0031013}; troponin T binding {GO:0031014}</t>
  </si>
  <si>
    <t>Hematopoietic lineage cell-specific protein</t>
  </si>
  <si>
    <t>Hematopoietic cell-specific LYN substrate 1; LckBP1; p75</t>
  </si>
  <si>
    <t>HCLS1_HUMAN</t>
  </si>
  <si>
    <t>P14317</t>
  </si>
  <si>
    <t>B4DQ69; Q53Y93; Q6IBK9; Q9UDK0</t>
  </si>
  <si>
    <t>HS1</t>
  </si>
  <si>
    <t>Acetylation; Alternative splicing; Cytoplasm; Membrane; Mitochondrion; Phosphoprotein; Polymorphism; Repeat; SH3 domain</t>
  </si>
  <si>
    <t>Cytoplasm; Membrane; Mitochondrion</t>
  </si>
  <si>
    <t>actin filament polymerization {GO:0030041}; cellular response to cytokine stimulus {GO:0071345}; erythrocyte differentiation {GO:0030218}; intracellular signal transduction {GO:0035556}; negative regulation of leukocyte apoptotic process {GO:2000107}; negative regulation of transcription by RNA polymerase II {GO:0000122}; positive regulation of actin cytoskeleton reorganization {GO:2000251}; positive regulation of cell population proliferation {GO:0008284}; positive regulation of DNA-binding transcription factor activity {GO:0051091}; positive regulation of granulocyte differentiation {GO:0030854}; positive regulation of macrophage differentiation {GO:0045651}; positive regulation of peptidyl-serine phosphorylation {GO:0033138}; positive regulation of peptidyl-tyrosine phosphorylation {GO:0050731}; positive regulation of phosphatidylinositol 3-kinase signaling {GO:0014068}; positive regulation of protein import into nucleus {GO:0042307}; positive regulation of protein kinase B signaling {GO:0051897}; positive regulation of transcription by RNA polymerase II {GO:0045944}; positive regulation of tyrosine phosphorylation of STAT protein {GO:0042531}; regulation of actin filament polymerization {GO:0030833}; regulation of transcription, DNA-templated {GO:0006355}; response to hormone {GO:0009725}</t>
  </si>
  <si>
    <t>cytoplasm {GO:0005737}; cytosol {GO:0005829}; mitochondrion {GO:0005739}; nucleus {GO:0005634}; plasma membrane {GO:0005886}; transcription factor complex {GO:0005667}</t>
  </si>
  <si>
    <t>actin binding {GO:0003779}; protein kinase binding {GO:0019901}; protein-containing complex binding {GO:0044877}; RNA polymerase II transcription factor binding {GO:0001085}; SH3 domain binding {GO:0017124}</t>
  </si>
  <si>
    <t>Filaggrin-2 (FLG-2)</t>
  </si>
  <si>
    <t>Intermediate filament-associated and psoriasis-susceptibility protein (Ifapsoriasin)</t>
  </si>
  <si>
    <t>FILA2_HUMAN</t>
  </si>
  <si>
    <t>Q5D862</t>
  </si>
  <si>
    <t>Q9H4U1</t>
  </si>
  <si>
    <t>IFPS</t>
  </si>
  <si>
    <t>Calcium; Cytoplasm; Disease mutation; Metal-binding; Phosphoprotein; Polymorphism; Repeat</t>
  </si>
  <si>
    <t>cell adhesion {GO:0007155}; epidermis morphogenesis {GO:0048730}; establishment of skin barrier {GO:0061436}; neutrophil degranulation {GO:0043312}</t>
  </si>
  <si>
    <t>cornified envelope {GO:0001533}; cytoplasm {GO:0005737}; extracellular region {GO:0005576}; keratohyalin granule {GO:0036457}; nucleus {GO:0005634}; tertiary granule lumen {GO:1904724}</t>
  </si>
  <si>
    <t>calcium ion binding {GO:0005509}; structural constituent of epidermis {GO:0030280}; transition metal ion binding {GO:0046914}</t>
  </si>
  <si>
    <t>Mannan-binding lectin serine protease 1 light chain</t>
  </si>
  <si>
    <t>Complement factor MASP-3; Complement-activating component of Ra-reactive factor; Mannose-binding lectin-associated serine protease 1 (MASP-1); Mannose-binding protein-associated serine protease; Ra-reactive factor serine protease p100 (RaRF); Serine protease 5</t>
  </si>
  <si>
    <t>MASP1_HUMAN</t>
  </si>
  <si>
    <t>P48740</t>
  </si>
  <si>
    <t>A8K542; A8K6M1; B4E2L7; O95570; Q68D21; Q8IUV8; Q96RS4; Q9UF09</t>
  </si>
  <si>
    <t>CRARF; CRARF1; PRSS5</t>
  </si>
  <si>
    <t>3D-structure; Alternative splicing; Autocatalytic cleavage; Calcium; Complement activation lectin pathway; Disease mutation; Disulfide bond; EGF-like domain; Glycoprotein; Hydrolase; Hydroxylation; Immunity; Innate immunity; Metal-binding; Polymorphism; Protease; Repeat; Secreted; Serine protease; Signal; Sushi</t>
  </si>
  <si>
    <t>Complement activation lectin pathway; Immunity; Innate immunity</t>
  </si>
  <si>
    <t>EGF-like domain; Repeat; Signal; Sushi</t>
  </si>
  <si>
    <t>Autocatalytic cleavage; Disulfide bond; Glycoprotein; Hydroxylation</t>
  </si>
  <si>
    <t>complement activation {GO:0006956}; complement activation, lectin pathway {GO:0001867}; negative regulation of complement activation {GO:0045916}; receptor-mediated endocytosis {GO:0006898}</t>
  </si>
  <si>
    <t>cytosol {GO:0005829}; extracellular region {GO:0005576}; extracellular space {GO:0005615}; nucleoplasm {GO:0005654}</t>
  </si>
  <si>
    <t>calcium ion binding {GO:0005509}; calcium-dependent protein binding {GO:0048306}; peptidase activity {GO:0008233}; protein homodimerization activity {GO:0042803}; serine-type endopeptidase activity {GO:0004252}</t>
  </si>
  <si>
    <t>Lectin pathway of complement activation {R-HSA-166662}; Initial triggering of complement {R-HSA-166663}; Ficolins bind to repetitive carbohydrate structures on the target cell surface {R-HSA-2855086}; Scavenging by Class A Receptors {R-HSA-3000480}</t>
  </si>
  <si>
    <t>Golgi integral membrane protein 4</t>
  </si>
  <si>
    <t>Golgi integral membrane protein, cis (GIMPc); Golgi phosphoprotein 4; Golgi-localized phosphoprotein of 130 kDa (Golgi phosphoprotein of 130 kDa)</t>
  </si>
  <si>
    <t>GOLI4_HUMAN</t>
  </si>
  <si>
    <t>O00461</t>
  </si>
  <si>
    <t>GIMPC; GOLPH4; GPP130</t>
  </si>
  <si>
    <t>Coiled coil; Endosome; Glycoprotein; Golgi apparatus; Lipoprotein; Membrane; Myristate; Phosphoprotein; Polymorphism; Signal-anchor; Transmembrane; Transmembrane helix; Transport</t>
  </si>
  <si>
    <t>Glycoprotein; Lipoprotein; Myristate; Phosphoprotein</t>
  </si>
  <si>
    <t>cis-Golgi network {GO:0005801}; endocytic vesicle {GO:0030139}; endosome membrane {GO:0010008}; Golgi apparatus {GO:0005794}; Golgi cisterna membrane {GO:0032580}; Golgi lumen {GO:0005796}; Golgi membrane {GO:0000139}; integral component of membrane {GO:0016021}; membrane {GO:0016020}; transport vesicle {GO:0030133}</t>
  </si>
  <si>
    <t>Intra-Golgi traffic {R-HSA-6811438}</t>
  </si>
  <si>
    <t>Unconventional myosin-If</t>
  </si>
  <si>
    <t>Myosin-Ie</t>
  </si>
  <si>
    <t>MYO1F_HUMAN</t>
  </si>
  <si>
    <t>O00160</t>
  </si>
  <si>
    <t>Q8WWN7</t>
  </si>
  <si>
    <t>Actin-binding; ATP-binding; Calmodulin-binding; Deafness; Disease mutation; Motor protein; Myosin; Non-syndromic deafness; Nucleotide-binding; Phosphoprotein; Polymorphism; SH3 domain</t>
  </si>
  <si>
    <t>unconventional myosin complex {GO:0016461}</t>
  </si>
  <si>
    <t>actin binding {GO:0003779}; ATP binding {GO:0005524}; calmodulin binding {GO:0005516}; motor activity {GO:0003774}</t>
  </si>
  <si>
    <t>ATP synthase subunit delta, mitochondrial</t>
  </si>
  <si>
    <t>ATP synthase F1 subunit delta; F-ATPase delta subunit</t>
  </si>
  <si>
    <t>ATPD_HUMAN</t>
  </si>
  <si>
    <t>P30049</t>
  </si>
  <si>
    <t>D6W5Y3; Q6FG90</t>
  </si>
  <si>
    <t>Acetylation; ATP synthesis; CF(1); Disease mutation; Hydrogen ion transport; Ion transport; Membrane; Mitochondrion; Mitochondrion inner membrane; Primary mitochondrial disease; Transit peptide; Transport</t>
  </si>
  <si>
    <t>CF(1); Membrane; Mitochondrion; Mitochondrion inner membrane</t>
  </si>
  <si>
    <t>aerobic respiration {GO:0009060}; ATP biosynthetic process {GO:0006754}; ATP synthesis coupled proton transport {GO:0015986}; cristae formation {GO:0042407}; mitochondrial ATP synthesis coupled proton transport {GO:0042776}; mitochondrial proton-transporting ATP synthase complex assembly {GO:0033615}; oxidative phosphorylation {GO:0006119}; response to copper ion {GO:0046688}</t>
  </si>
  <si>
    <t>mitochondrial inner membrane {GO:0005743}; mitochondrial matrix {GO:0005759}; mitochondrial proton-transporting ATP synthase complex {GO:0005753}; mitochondrial proton-transporting ATP synthase complex, catalytic core F(1) {GO:0000275}; mitochondrion {GO:0005739}</t>
  </si>
  <si>
    <t>ATPase activity {GO:0016887}; proton-transporting ATP synthase activity, rotational mechanism {GO:0046933}; transmembrane transporter activity {GO:0022857}</t>
  </si>
  <si>
    <t>Latexin</t>
  </si>
  <si>
    <t>Endogenous carboxypeptidase inhibitor (ECI); Protein MUM; Tissue carboxypeptidase inhibitor (TCI)</t>
  </si>
  <si>
    <t>LXN_HUMAN</t>
  </si>
  <si>
    <t>Q9BS40</t>
  </si>
  <si>
    <t>Q96PN2; Q9NQS6</t>
  </si>
  <si>
    <t>3D-structure; Acetylation; Cytoplasm; Heparin-binding; Inflammatory response; Metalloenzyme inhibitor; Metalloprotease inhibitor; Polymorphism; Protease inhibitor; Repeat</t>
  </si>
  <si>
    <t>Heparin-binding; Metalloenzyme inhibitor; Metalloprotease inhibitor; Protease inhibitor</t>
  </si>
  <si>
    <t>detection of temperature stimulus involved in sensory perception of pain {GO:0050965}; inflammatory response {GO:0006954}</t>
  </si>
  <si>
    <t>heparin binding {GO:0008201}; metalloendopeptidase inhibitor activity {GO:0008191}</t>
  </si>
  <si>
    <t>Cartilage oligomeric matrix protein (COMP)</t>
  </si>
  <si>
    <t>Thrombospondin-5 (TSP5)</t>
  </si>
  <si>
    <t>COMP_HUMAN</t>
  </si>
  <si>
    <t>P49747</t>
  </si>
  <si>
    <t>B4DKJ3; O14592; Q16388; Q16389; Q2NL86; Q8N4T2</t>
  </si>
  <si>
    <t>3D-structure; Alternative splicing; Apoptosis; Calcium; Cell adhesion; Disease mutation; Disulfide bond; Dwarfism; EGF-like domain; Extracellular matrix; Glycoprotein; Heparin-binding; Polymorphism; Repeat; Secreted; Signal</t>
  </si>
  <si>
    <t>Apoptosis; Cell adhesion</t>
  </si>
  <si>
    <t>animal organ morphogenesis {GO:0009887}; animal organ senescence {GO:0010260}; apoptotic process {GO:0006915}; artery morphogenesis {GO:0048844}; BMP signaling pathway {GO:0030509}; bone mineralization {GO:0030282}; chondrocyte development {GO:0002063}; chondrocyte proliferation {GO:0035988}; collagen fibril organization {GO:0030199}; extracellular matrix organization {GO:0030198}; growth plate cartilage development {GO:0003417}; limb development {GO:0060173}; multicellular organism aging {GO:0010259}; multicellular organism growth {GO:0035264}; muscle fiber development {GO:0048747}; musculoskeletal movement {GO:0050881}; negative regulation of apoptotic process {GO:0043066}; negative regulation of hemostasis {GO:1900047}; neuromuscular process {GO:0050905}; platelet aggregation {GO:0070527}; positive regulation of chondrocyte proliferation {GO:1902732}; protein processing {GO:0016485}; protein secretion {GO:0009306}; regulation of bone mineralization {GO:0030500}; response to unfolded protein {GO:0006986}; skeletal system development {GO:0001501}; skin development {GO:0043588}; tendon development {GO:0035989}; vascular smooth muscle cell development {GO:0097084}; vascular smooth muscle contraction {GO:0014829}</t>
  </si>
  <si>
    <t>collagen-containing extracellular matrix {GO:0062023}; extracellular exosome {GO:0070062}; extracellular matrix {GO:0031012}; extracellular region {GO:0005576}; extracellular space {GO:0005615}; protein-containing complex {GO:0032991}</t>
  </si>
  <si>
    <t>BMP binding {GO:0036122}; calcium ion binding {GO:0005509}; collagen binding {GO:0005518}; extracellular matrix structural constituent {GO:0005201}; heparan sulfate proteoglycan binding {GO:0043395}; heparin binding {GO:0008201}; integrin binding {GO:0005178}; protease binding {GO:0002020}; proteoglycan binding {GO:0043394}</t>
  </si>
  <si>
    <t>Integrin cell surface interactions {R-HSA-216083}; ECM proteoglycans {R-HSA-3000178}</t>
  </si>
  <si>
    <t>Peptidyl-prolyl cis-trans isomerase NIMA-interacting 1</t>
  </si>
  <si>
    <t>Peptidyl-prolyl cis-trans isomerase Pin1 (PPIase Pin1); Rotamase Pin1</t>
  </si>
  <si>
    <t>PIN1_HUMAN</t>
  </si>
  <si>
    <t>Q13526</t>
  </si>
  <si>
    <t>A8K4V9; Q53X75</t>
  </si>
  <si>
    <t>3D-structure; Acetylation; Cell cycle; Cytoplasm; Isomerase; Nucleus; Phosphoprotein; Rotamase</t>
  </si>
  <si>
    <t>cell cycle {GO:0007049}; negative regulation of cell motility {GO:2000146}; negative regulation of ERK1 and ERK2 cascade {GO:0070373}; negative regulation of neuron apoptotic process {GO:0043524}; negative regulation of protein binding {GO:0032091}; negative regulation of protein catabolic process {GO:0042177}; negative regulation of transforming growth factor beta receptor signaling pathway {GO:0030512}; negative regulation of type I interferon production {GO:0032480}; neuron differentiation {GO:0030182}; positive regulation of canonical Wnt signaling pathway {GO:0090263}; positive regulation of cell growth involved in cardiac muscle cell development {GO:0061051}; positive regulation of GTPase activity {GO:0043547}; positive regulation of neuron apoptotic process {GO:0043525}; positive regulation of protein binding {GO:0032092}; positive regulation of protein dephosphorylation {GO:0035307}; positive regulation of protein phosphorylation {GO:0001934}; positive regulation of transcription by RNA polymerase II {GO:0045944}; positive regulation of ubiquitin-protein transferase activity {GO:0051443}; protein peptidyl-prolyl isomerization {GO:0000413}; protein stabilization {GO:0050821}; regulation of cytokinesis {GO:0032465}; regulation of gene expression {GO:0010468}; regulation of mitotic nuclear division {GO:0007088}; regulation of pathway-restricted SMAD protein phosphorylation {GO:0060393}; regulation of protein localization to nucleus {GO:1900180}; regulation of protein phosphorylation {GO:0001932}; regulation of signal transduction by p53 class mediator {GO:1901796}; synapse organization {GO:0050808}</t>
  </si>
  <si>
    <t>cytoplasm {GO:0005737}; cytosol {GO:0005829}; glutamatergic synapse {GO:0098978}; midbody {GO:0030496}; mitochondrion {GO:0005739}; neuron projection {GO:0043005}; nuclear speck {GO:0016607}; nucleoplasm {GO:0005654}; nucleus {GO:0005634}; postsynaptic cytosol {GO:0099524}</t>
  </si>
  <si>
    <t>beta-catenin binding {GO:0008013}; GTPase activating protein binding {GO:0032794}; mitogen-activated protein kinase kinase binding {GO:0031434}; motor activity {GO:0003774}; peptidyl-prolyl cis-trans isomerase activity {GO:0003755}; phosphoprotein binding {GO:0051219}; phosphoserine residue binding {GO:0050815}; phosphothreonine residue binding {GO:0050816}; tau protein binding {GO:0048156}</t>
  </si>
  <si>
    <t>ISG15 antiviral mechanism {R-HSA-1169408}; RHO GTPases Activate NADPH Oxidases {R-HSA-5668599}; Regulation of TP53 Activity through Phosphorylation {R-HSA-6804756}; PI5P Regulates TP53 Acetylation {R-HSA-6811555}; Negative regulators of DDX58/IFIH1 signaling {R-HSA-936440}</t>
  </si>
  <si>
    <t>Resistin</t>
  </si>
  <si>
    <t>Adipose tissue-specific secretory factor (ADSF); C/EBP-epsilon-regulated myeloid-specific secreted cysteine-rich protein; Cysteine-rich secreted protein A12-alpha-like 2; Cysteine-rich secreted protein FIZZ3</t>
  </si>
  <si>
    <t>RETN_HUMAN</t>
  </si>
  <si>
    <t>Q9HD89</t>
  </si>
  <si>
    <t>D6W649; Q540D9; Q76B53</t>
  </si>
  <si>
    <t>FIZZ3; HXCP1; RSTN</t>
  </si>
  <si>
    <t>3D-structure; Alternative splicing; Diabetes mellitus; Disulfide bond; Hormone; Obesity; Secreted; Signal</t>
  </si>
  <si>
    <t>Diabetes mellitus; Obesity</t>
  </si>
  <si>
    <t>aging {GO:0007568}; fat cell differentiation {GO:0045444}; negative regulation of feeding behavior {GO:2000252}; neutrophil degranulation {GO:0043312}; positive regulation of progesterone secretion {GO:2000872}; positive regulation of synaptic transmission {GO:0050806}; response to insulin {GO:0032868}; response to mechanical stimulus {GO:0009612}</t>
  </si>
  <si>
    <t>azurophil granule lumen {GO:0035578}; extracellular exosome {GO:0070062}; extracellular region {GO:0005576}; extracellular space {GO:0005615}; nucleus {GO:0005634}; specific granule lumen {GO:0035580}</t>
  </si>
  <si>
    <t>hormone activity {GO:0005179}</t>
  </si>
  <si>
    <t>Neutrophil degranulation {R-HSA-6798695}; FOXO-mediated transcription of oxidative stress, metabolic and neuronal genes {R-HSA-9615017}</t>
  </si>
  <si>
    <t>Neprilysin</t>
  </si>
  <si>
    <t>Atriopeptidase; Common acute lymphocytic leukemia antigen (CALLA); Enkephalinase; Neutral endopeptidase 24.11 (NEP; Neutral endopeptidase); Skin fibroblast elastase (SFE); CD_antigen=CD10</t>
  </si>
  <si>
    <t>NEP_HUMAN</t>
  </si>
  <si>
    <t>P08473</t>
  </si>
  <si>
    <t>A8K6U6; D3DNJ9; Q3MIX4</t>
  </si>
  <si>
    <t>EPN</t>
  </si>
  <si>
    <t>3D-structure; Cell membrane; Charcot-Marie-Tooth disease; Disease mutation; Disulfide bond; Glycoprotein; Hydrolase; Lipoprotein; Membrane; Metal-binding; Metalloprotease; Myristate; Neurodegeneration; Neuropathy; Phosphoprotein; Protease; Signal-anchor; Spinocerebellar ataxia; Transmembrane; Transmembrane helix; Zinc</t>
  </si>
  <si>
    <t>Charcot-Marie-Tooth disease; Disease mutation; Neurodegeneration; Neuropathy; Spinocerebellar ataxia</t>
  </si>
  <si>
    <t>Disulfide bond; Glycoprotein; Lipoprotein; Myristate; Phosphoprotein</t>
  </si>
  <si>
    <t>aging {GO:0007568}; amyloid-beta clearance {GO:0097242}; amyloid-beta clearance by cellular catabolic process {GO:0150094}; amyloid-beta metabolic process {GO:0050435}; angiotensin maturation {GO:0002003}; cellular response to cytokine stimulus {GO:0071345}; cellular response to UV-A {GO:0071492}; cellular response to UV-B {GO:0071493}; creatinine metabolic process {GO:0046449}; kidney development {GO:0001822}; learning or memory {GO:0007611}; lung development {GO:0030324}; neuropeptide processing {GO:0061837}; neutrophil degranulation {GO:0043312}; peptide metabolic process {GO:0006518}; placenta development {GO:0001890}; positive regulation of long-term synaptic potentiation {GO:1900273}; positive regulation of neurogenesis {GO:0050769}; proteolysis {GO:0006508}; replicative senescence {GO:0090399}; sensory perception of pain {GO:0019233}</t>
  </si>
  <si>
    <t>axon {GO:0030424}; brush border {GO:0005903}; cell surface {GO:0009986}; cytoplasm {GO:0005737}; cytoplasmic vesicle {GO:0031410}; dendrite {GO:0030425}; early endosome {GO:0005769}; extracellular exosome {GO:0070062}; focal adhesion {GO:0005925}; integral component of membrane {GO:0016021}; integral component of plasma membrane {GO:0005887}; membrane raft {GO:0045121}; neuron projection terminus {GO:0044306}; neuronal cell body {GO:0043025}; plasma membrane {GO:0005886}; presynapse {GO:0098793}; secretory granule membrane {GO:0030667}; synapse {GO:0045202}; synaptic vesicle {GO:0008021}; trans-Golgi network {GO:0005802}</t>
  </si>
  <si>
    <t>cardiolipin binding {GO:1901612}; endopeptidase activity {GO:0004175}; exopeptidase activity {GO:0008238}; metalloendopeptidase activity {GO:0004222}; metallopeptidase activity {GO:0008237}; oligopeptidase activity {GO:0070012}; peptide binding {GO:0042277}; phosphatidylserine binding {GO:0001786}; protein homodimerization activity {GO:0042803}; zinc ion binding {GO:0008270}</t>
  </si>
  <si>
    <t>Polypyrimidine tract-binding protein 1 (PTB)</t>
  </si>
  <si>
    <t>57 kDa RNA-binding protein PPTB-1; Heterogeneous nuclear ribonucleoprotein I (hnRNP I)</t>
  </si>
  <si>
    <t>PTBP1_HUMAN</t>
  </si>
  <si>
    <t>P26599</t>
  </si>
  <si>
    <t>Q9BUQ0</t>
  </si>
  <si>
    <t>PTB</t>
  </si>
  <si>
    <t>3D-structure; Acetylation; Activator; Alternative splicing; Isopeptide bond; mRNA processing; mRNA splicing; Nucleus; Phosphoprotein; Repeat; Repressor; RNA-binding; Ubl conjugation</t>
  </si>
  <si>
    <t>Activator; RNA-binding; Repressor</t>
  </si>
  <si>
    <t>fibroblast growth factor receptor signaling pathway {GO:0008543}; IRES-dependent viral translational initiation {GO:0075522}; mRNA processing {GO:0006397}; mRNA splicing, via spliceosome {GO:0000398}; negative regulation of mRNA splicing, via spliceosome {GO:0048025}; negative regulation of muscle cell differentiation {GO:0051148}; negative regulation of RNA splicing {GO:0033119}; positive regulation of calcineurin-NFAT signaling cascade {GO:0070886}; positive regulation of protein dephosphorylation {GO:0035307}; regulation of alternative mRNA splicing, via spliceosome {GO:0000381}; RNA metabolic process {GO:0016070}; RNA splicing {GO:0008380}</t>
  </si>
  <si>
    <t>extracellular exosome {GO:0070062}; membrane {GO:0016020}; nucleolus {GO:0005730}; nucleoplasm {GO:0005654}</t>
  </si>
  <si>
    <t>poly-pyrimidine tract binding {GO:0008187}; pre-mRNA binding {GO:0036002}; RNA binding {GO:0003723}</t>
  </si>
  <si>
    <t>Leucine-rich alpha-2-glycoprotein (LRG)</t>
  </si>
  <si>
    <t>A2GL_HUMAN</t>
  </si>
  <si>
    <t>P02750</t>
  </si>
  <si>
    <t>Q8N4F5; Q96QZ4</t>
  </si>
  <si>
    <t>LRG</t>
  </si>
  <si>
    <t>Disulfide bond; Glycoprotein; Leucine-rich repeat; Polymorphism; Repeat; Secreted; Signal</t>
  </si>
  <si>
    <t>brown fat cell differentiation {GO:0050873}; neutrophil degranulation {GO:0043312}; positive regulation of angiogenesis {GO:0045766}; positive regulation of endothelial cell proliferation {GO:0001938}; positive regulation of transforming growth factor beta receptor signaling pathway {GO:0030511}; response to bacterium {GO:0009617}</t>
  </si>
  <si>
    <t>extracellular exosome {GO:0070062}; extracellular region {GO:0005576}; extracellular space {GO:0005615}; ficolin-1-rich granule lumen {GO:1904813}; intracellular membrane-bounded organelle {GO:0043231}; membrane {GO:0016020}; specific granule lumen {GO:0035580}; tertiary granule lumen {GO:1904724}</t>
  </si>
  <si>
    <t>transforming growth factor beta receptor binding {GO:0005160}</t>
  </si>
  <si>
    <t>Multivesicular body subunit 12A</t>
  </si>
  <si>
    <t>CIN85/CD2AP family-binding protein; ESCRT-I complex subunit MVB12A; Protein FAM125A</t>
  </si>
  <si>
    <t>MB12A_HUMAN</t>
  </si>
  <si>
    <t>Q96EY5</t>
  </si>
  <si>
    <t>Q96I18</t>
  </si>
  <si>
    <t>CFBP; FAM125A</t>
  </si>
  <si>
    <t>Alternative splicing; Cytoplasm; Cytoskeleton; Endosome; Membrane; Nucleus; Phosphoprotein; Polymorphism; Protein transport; SH3-binding; Transport</t>
  </si>
  <si>
    <t>endosomal transport {GO:0016197}; intracellular transport of virus {GO:0075733}; macroautophagy {GO:0016236}; multivesicular body assembly {GO:0036258}; protein transport {GO:0015031}; regulation of epidermal growth factor receptor signaling pathway {GO:0042058}; ubiquitin-dependent protein catabolic process via the multivesicular body sorting pathway {GO:0043162}; viral budding {GO:0046755}; viral budding via host ESCRT complex {GO:0039702}; viral life cycle {GO:0019058}; virus maturation {GO:0019075}</t>
  </si>
  <si>
    <t>centrosome {GO:0005813}; cytosol {GO:0005829}; endosome membrane {GO:0010008}; ESCRT I complex {GO:0000813}; extracellular exosome {GO:0070062}; Golgi apparatus {GO:0005794}; host cell {GO:0043657}; late endosome membrane {GO:0031902}; nucleoplasm {GO:0005654}; vesicle {GO:0031982}</t>
  </si>
  <si>
    <t>lipid binding {GO:0008289}; SH3 domain binding {GO:0017124}; ubiquitin binding {GO:0043130}</t>
  </si>
  <si>
    <t>ICOS ligand</t>
  </si>
  <si>
    <t>B7 homolog 2 (B7-H2); B7-like protein Gl50; B7-related protein 1 (B7RP-1); CD_antigen=CD275</t>
  </si>
  <si>
    <t>ICOSL_HUMAN</t>
  </si>
  <si>
    <t>O75144</t>
  </si>
  <si>
    <t>A8MUZ1; Q9HD18; Q9NRQ1</t>
  </si>
  <si>
    <t>B7H2; B7RP1; ICOSL; KIAA0653</t>
  </si>
  <si>
    <t>Adaptive immunity; Alternative splicing; B-cell activation; Cell membrane; Disulfide bond; Glycoprotein; Immunity; Immunoglobulin domain; Membrane; Polymorphism; Signal; Transmembrane; Transmembrane helix</t>
  </si>
  <si>
    <t>Adaptive immunity; B-cell activation; Immunity</t>
  </si>
  <si>
    <t>adaptive immune response {GO:0002250}; B cell activation {GO:0042113}; defense response {GO:0006952}; hyperosmotic response {GO:0006972}; positive regulation of activated T cell proliferation {GO:0042104}; regulation of immune response {GO:0050776}; signal transduction {GO:0007165}; T cell activation {GO:0042110}; T cell costimulation {GO:0031295}; T cell receptor signaling pathway {GO:0050852}</t>
  </si>
  <si>
    <t>cytoplasmic ribonucleoprotein granule {GO:0036464}; external side of plasma membrane {GO:0009897}; extracellular exosome {GO:0070062}; integral component of membrane {GO:0016021}; plasma membrane {GO:0005886}</t>
  </si>
  <si>
    <t>identical protein binding {GO:0042802}; signaling receptor binding {GO:0005102}</t>
  </si>
  <si>
    <t>Costimulation by the CD28 family {R-HSA-388841}</t>
  </si>
  <si>
    <t>Actin-related protein 2/3 complex subunit 4</t>
  </si>
  <si>
    <t>Arp2/3 complex 20 kDa subunit (p20-ARC)</t>
  </si>
  <si>
    <t>ARPC4_HUMAN</t>
  </si>
  <si>
    <t>P59998</t>
  </si>
  <si>
    <t>C9JWM7; E7ETI0; F6TTL5; O15509; Q6P0W5; Q96QJ3</t>
  </si>
  <si>
    <t>ARC20</t>
  </si>
  <si>
    <t>Acetylation; Actin-binding; Alternative splicing; Cell projection; Cytoplasm; Cytoskeleton; Nucleus</t>
  </si>
  <si>
    <t>actin filament polymerization {GO:0030041}; actin nucleation {GO:0045010}; Arp2/3 complex-mediated actin nucleation {GO:0034314}; ephrin receptor signaling pathway {GO:0048013}; Fc-gamma receptor signaling pathway involved in phagocytosis {GO:0038096}; membrane organization {GO:0061024}</t>
  </si>
  <si>
    <t>Arp2/3 protein complex {GO:0005885}; cell projection {GO:0042995}; cytosol {GO:0005829}; extracellular exosome {GO:0070062}; nucleus {GO:0005634}; site of double-strand break {GO:0035861}</t>
  </si>
  <si>
    <t>actin binding {GO:0003779}; enzyme binding {GO:0019899}; structural constituent of cytoskeleton {GO:0005200}</t>
  </si>
  <si>
    <t>Isomaltase</t>
  </si>
  <si>
    <t>SUIS_HUMAN</t>
  </si>
  <si>
    <t>P14410</t>
  </si>
  <si>
    <t>A2RUC3; Q1JQ80; Q1RMC2</t>
  </si>
  <si>
    <t>3D-structure; Cell membrane; Disease mutation; Disulfide bond; Glycoprotein; Glycosidase; Hydrolase; Membrane; Multifunctional enzyme; Phosphoprotein; Polymorphism; Repeat; Signal-anchor; Sulfation; Transmembrane; Transmembrane helix</t>
  </si>
  <si>
    <t>carbohydrate metabolic process {GO:0005975}; polysaccharide digestion {GO:0044245}</t>
  </si>
  <si>
    <t>apical plasma membrane {GO:0016324}; brush border {GO:0005903}; extracellular exosome {GO:0070062}; Golgi apparatus {GO:0005794}; integral component of membrane {GO:0016021}; plasma membrane {GO:0005886}</t>
  </si>
  <si>
    <t>carbohydrate binding {GO:0030246}; oligo-1,6-glucosidase activity {GO:0004574}; sucrose alpha-glucosidase activity {GO:0004575}</t>
  </si>
  <si>
    <t>Digestion of dietary carbohydrate {R-HSA-189085}; Intestinal saccharidase deficiencies {R-HSA-5659898}</t>
  </si>
  <si>
    <t>Deoxyribonuclease-2-alpha</t>
  </si>
  <si>
    <t>Acid DNase; Deoxyribonuclease II alpha (DNase II alpha); Lysosomal DNase II; R31240_2</t>
  </si>
  <si>
    <t>DNS2A_HUMAN</t>
  </si>
  <si>
    <t>O00115</t>
  </si>
  <si>
    <t>B2RD06; B7Z4K6; O43910</t>
  </si>
  <si>
    <t>DNASE2A; DNL2</t>
  </si>
  <si>
    <t>Alternative splicing; Apoptosis; Developmental protein; Disulfide bond; Endonuclease; Glycoprotein; Hydrolase; Lysosome; Nuclease; Polymorphism; Signal</t>
  </si>
  <si>
    <t>Developmental protein; Endonuclease; Hydrolase; Nuclease</t>
  </si>
  <si>
    <t>apoptotic DNA fragmentation {GO:0006309}; DNA metabolic process {GO:0006259}; erythrocyte differentiation {GO:0030218}; regulation of immune response {GO:0050776}</t>
  </si>
  <si>
    <t>extracellular exosome {GO:0070062}; lysosome {GO:0005764}</t>
  </si>
  <si>
    <t>deoxyribonuclease II activity {GO:0004531}; DNA binding {GO:0003677}</t>
  </si>
  <si>
    <t>Lysosome Vesicle Biogenesis {R-HSA-432720}</t>
  </si>
  <si>
    <t>Aminoacylase-1 (ACY-1)</t>
  </si>
  <si>
    <t>N-acyl-L-amino-acid amidohydrolase</t>
  </si>
  <si>
    <t>ACY1_HUMAN</t>
  </si>
  <si>
    <t>Q03154</t>
  </si>
  <si>
    <t>C9J6I6; C9J9D8; C9JWD4</t>
  </si>
  <si>
    <t>3D-structure; Alternative splicing; Cytoplasm; Disease mutation; Hydrolase; Metal-binding; Polymorphism; Zinc</t>
  </si>
  <si>
    <t>cellular amino acid metabolic process {GO:0006520}; xenobiotic metabolic process {GO:0006805}</t>
  </si>
  <si>
    <t>aminoacylase activity {GO:0004046}; identical protein binding {GO:0042802}; metal ion binding {GO:0046872}; metallopeptidase activity {GO:0008237}</t>
  </si>
  <si>
    <t>Aflatoxin activation and detoxification {R-HSA-5423646}; Defective ACY1 causes encephalopathy {R-HSA-5579007}</t>
  </si>
  <si>
    <t>Protein ABHD14B</t>
  </si>
  <si>
    <t>Alpha/beta hydrolase domain-containing protein 14B (Abhydrolase domain-containing protein 14B); CCG1-interacting factor B</t>
  </si>
  <si>
    <t>ABHEB_HUMAN</t>
  </si>
  <si>
    <t>Q96IU4</t>
  </si>
  <si>
    <t>Q86VK8; Q8N8W5</t>
  </si>
  <si>
    <t>CIB</t>
  </si>
  <si>
    <t>3D-structure; Acetylation; Alternative splicing; Cytoplasm; Hydrolase; Nucleus; Phosphoprotein</t>
  </si>
  <si>
    <t>3'-phosphoadenosine 5'-phosphosulfate metabolic process {GO:0050427}; positive regulation of transcription by RNA polymerase II {GO:0045944}</t>
  </si>
  <si>
    <t>Cytosolic sulfonation of small molecules {R-HSA-156584}</t>
  </si>
  <si>
    <t>DNA polymerase theta</t>
  </si>
  <si>
    <t>DNA polymerase eta</t>
  </si>
  <si>
    <t>DPOLQ_HUMAN</t>
  </si>
  <si>
    <t>O75417</t>
  </si>
  <si>
    <t>O95160; Q6VMB5</t>
  </si>
  <si>
    <t>3D-structure; Acetylation; Alternative splicing; ATP-binding; Chromosome; Coiled coil; DNA damage; DNA repair; DNA-directed DNA polymerase; Nucleotide-binding; Nucleotidyltransferase; Nucleus; Polymorphism; Transferase</t>
  </si>
  <si>
    <t>DNA damage; DNA repair</t>
  </si>
  <si>
    <t>DNA-directed DNA polymerase; Nucleotidyltransferase; Transferase</t>
  </si>
  <si>
    <t>base-excision repair {GO:0006284}; cellular response to DNA damage stimulus {GO:0006974}; DNA repair {GO:0006281}; DNA-dependent DNA replication {GO:0006261}; double-strand break repair {GO:0006302}; double-strand break repair via alternative nonhomologous end joining {GO:0097681}; double-strand break repair via homologous recombination {GO:0000724}; negative regulation of double-strand break repair via homologous recombination {GO:2000042}; protein homooligomerization {GO:0051260}; somatic hypermutation of immunoglobulin genes {GO:0016446}</t>
  </si>
  <si>
    <t>chromosome {GO:0005694}; cytoplasm {GO:0005737}; nucleoplasm {GO:0005654}; nucleus {GO:0005634}</t>
  </si>
  <si>
    <t>5'-deoxyribose-5-phosphate lyase activity {GO:0051575}; ATP binding {GO:0005524}; chromatin binding {GO:0003682}; damaged DNA binding {GO:0003684}; DNA-directed DNA polymerase activity {GO:0003887}; identical protein binding {GO:0042802}; single-stranded DNA-dependent ATPase activity {GO:0043142}</t>
  </si>
  <si>
    <t>HDR through MMEJ (alt-NHEJ) {R-HSA-5685939}</t>
  </si>
  <si>
    <t>Cytochrome b-c1 complex subunit 1, mitochondrial</t>
  </si>
  <si>
    <t>Complex III subunit 1; Core protein I; Ubiquinol-cytochrome-c reductase complex core protein 1</t>
  </si>
  <si>
    <t>QCR1_HUMAN</t>
  </si>
  <si>
    <t>P31930</t>
  </si>
  <si>
    <t>B2R7R8; Q96DD2</t>
  </si>
  <si>
    <t>3D-structure; Acetylation; Electron transport; Membrane; Mitochondrion; Mitochondrion inner membrane; Phosphoprotein; Polymorphism; Respiratory chain; Transit peptide; Transport</t>
  </si>
  <si>
    <t>Electron transport; Respiratory chain; Transport</t>
  </si>
  <si>
    <t>aerobic respiration {GO:0009060}; mitochondrial electron transport, ubiquinol to cytochrome c {GO:0006122}; oxidation-reduction process {GO:0055114}; oxidative phosphorylation {GO:0006119}; response to activity {GO:0014823}; response to alkaloid {GO:0043279}</t>
  </si>
  <si>
    <t>cytosol {GO:0005829}; mitochondrial inner membrane {GO:0005743}; mitochondrial respirasome {GO:0005746}; mitochondrial respiratory chain complex III {GO:0005750}; mitochondrion {GO:0005739}</t>
  </si>
  <si>
    <t>metal ion binding {GO:0046872}; protein-containing complex binding {GO:0044877}; ubiquinol-cytochrome-c reductase activity {GO:0008121}; ubiquitin protein ligase binding {GO:0031625}</t>
  </si>
  <si>
    <t>ADP-ribosylation factor 4</t>
  </si>
  <si>
    <t>ARF4_HUMAN</t>
  </si>
  <si>
    <t>P18085</t>
  </si>
  <si>
    <t>B2R7J7; P21371</t>
  </si>
  <si>
    <t>ARF2</t>
  </si>
  <si>
    <t>3D-structure; ER-Golgi transport; Golgi apparatus; GTP-binding; Lipoprotein; Membrane; Myristate; Nucleotide-binding; Phosphoprotein; Polymorphism; Protein transport; Transport</t>
  </si>
  <si>
    <t>activation of phospholipase D activity {GO:0031584}; apical protein localization {GO:0045176}; brain development {GO:0007420}; cell migration {GO:0016477}; dendritic spine development {GO:0060996}; endoplasmic reticulum to Golgi vesicle-mediated transport {GO:0006888}; epidermal growth factor receptor signaling pathway {GO:0007173}; establishment or maintenance of epithelial cell apical/basal polarity {GO:0045197}; Golgi to plasma membrane transport {GO:0006893}; intracellular protein transport {GO:0006886}; learning {GO:0007612}; negative regulation of apoptotic process {GO:0043066}; positive regulation of transcription by RNA polymerase II {GO:0045944}; protein ADP-ribosylation {GO:0006471}; protein localization to cilium {GO:0061512}; regulation of postsynapse organization {GO:0099175}; regulation of reactive oxygen species metabolic process {GO:2000377}; response to axon injury {GO:0048678}; retrograde vesicle-mediated transport, Golgi to endoplasmic reticulum {GO:0006890}; vesicle-mediated transport {GO:0016192}</t>
  </si>
  <si>
    <t>cytoplasm {GO:0005737}; cytosol {GO:0005829}; dendritic spine {GO:0043197}; extracellular exosome {GO:0070062}; glutamatergic synapse {GO:0098978}; Golgi apparatus {GO:0005794}; membrane {GO:0016020}; plasma membrane {GO:0005886}; ruffle membrane {GO:0032587}</t>
  </si>
  <si>
    <t>ARF guanyl-nucleotide exchange factor activity {GO:0005086}; epidermal growth factor receptor binding {GO:0005154}; GTP binding {GO:0005525}; GTPase activity {GO:0003924}</t>
  </si>
  <si>
    <t>VxPx cargo-targeting to cilium {R-HSA-5620916}; COPI-mediated anterograde transport {R-HSA-6807878}; COPI-dependent Golgi-to-ER retrograde traffic {R-HSA-6811434}</t>
  </si>
  <si>
    <t>Mucosal addressin cell adhesion molecule 1 (MAdCAM-1; hMAdCAM-1)</t>
  </si>
  <si>
    <t>MADCA_HUMAN</t>
  </si>
  <si>
    <t>Q13477</t>
  </si>
  <si>
    <t>A5PKV4; B2RPL9; O60222; O75867; Q5UGI7</t>
  </si>
  <si>
    <t>3D-structure; Alternative splicing; Cell adhesion; Disulfide bond; Glycoprotein; Immunoglobulin domain; Membrane; Polymorphism; Repeat; Signal; Transmembrane; Transmembrane helix</t>
  </si>
  <si>
    <t>cell adhesion {GO:0007155}; cell-matrix adhesion {GO:0007160}; extracellular matrix organization {GO:0030198}; heterotypic cell-cell adhesion {GO:0034113}; immune response {GO:0006955}; integrin-mediated signaling pathway {GO:0007229}; leukocyte tethering or rolling {GO:0050901}; positive regulation of leukocyte migration {GO:0002687}; positive regulation of lymphocyte migration {GO:2000403}; receptor clustering {GO:0043113}; regulation of immune response {GO:0050776}; signal transduction {GO:0007165}</t>
  </si>
  <si>
    <t>integral component of membrane {GO:0016021}; membrane {GO:0016020}; plasma membrane {GO:0005886}</t>
  </si>
  <si>
    <t>integrin binding involved in cell-matrix adhesion {GO:0098640}</t>
  </si>
  <si>
    <t>Immunoregulatory interactions between a Lymphoid and a non-Lymphoid cell {R-HSA-198933}; Integrin cell surface interactions {R-HSA-216083}</t>
  </si>
  <si>
    <t>Nuclear pore membrane glycoprotein 210 (Nuclear pore protein gp210)</t>
  </si>
  <si>
    <t>Nuclear envelope pore membrane protein POM 210 (POM210); Nucleoporin Nup210; Pore membrane protein of 210 kDa</t>
  </si>
  <si>
    <t>PO210_HUMAN</t>
  </si>
  <si>
    <t>Q8TEM1</t>
  </si>
  <si>
    <t>A6NN56; O94980; Q6NXG6; Q8NBJ1; Q9H6C8; Q9UFP3</t>
  </si>
  <si>
    <t>KIAA0906</t>
  </si>
  <si>
    <t>Alternative splicing; Endoplasmic reticulum; Glycoprotein; Membrane; mRNA transport; Nuclear pore complex; Nucleus; Phosphoprotein; Polymorphism; Protein transport; Signal; Translocation; Transmembrane; Transmembrane helix; Transport</t>
  </si>
  <si>
    <t>Endoplasmic reticulum; Membrane; Nuclear pore complex; Nucleus</t>
  </si>
  <si>
    <t>intracellular transport of virus {GO:0075733}; mRNA export from nucleus {GO:0006406}; protein sumoylation {GO:0016925}; regulation of cellular response to heat {GO:1900034}; regulation of gene silencing by miRNA {GO:0060964}; regulation of glycolytic process {GO:0006110}; tRNA export from nucleus {GO:0006409}; viral process {GO:0016032}; viral transcription {GO:0019083}</t>
  </si>
  <si>
    <t>endoplasmic reticulum membrane {GO:0005789}; host cell {GO:0043657}; integral component of membrane {GO:0016021}; membrane {GO:0016020}; nuclear envelope {GO:0005635}; nuclear membrane {GO:0031965}; nuclear pore {GO:0005643}</t>
  </si>
  <si>
    <t>protein dimerization activity {GO:0046983}</t>
  </si>
  <si>
    <t>ISG15 antiviral mechanism {R-HSA-1169408}; Transport of the SLBP independent Mature mRNA {R-HSA-159227}; Transport of the SLBP Dependant Mature mRNA {R-HSA-159230}; Transport of Mature mRNA Derived from an Intronless Transcript {R-HSA-159231}; Transport of Mature mRNA derived from an Intron-Containing Transcript {R-HSA-159236}; Rev-mediated nuclear export of HIV RNA {R-HSA-165054}; Transport of Ribonucleoproteins into the Host Nucleus {R-HSA-168271}; NS1 Mediated Effects on Host Pathways {R-HSA-168276}; Viral Messenger RNA Synthesis {R-HSA-168325}; NEP/NS2 Interacts with the Cellular Export Machinery {R-HSA-168333}; Regulation of Glucokinase by Glucokinase Regulatory Protein {R-HSA-170822}; Nuclear import of Rev protein {R-HSA-180746}; Vpr-mediated nuclear import of PICs {R-HSA-180910}; snRNP Assembly {R-HSA-191859}; SUMOylation of DNA damage response and repair proteins {R-HSA-3108214}; SUMOylation of ubiquitinylation proteins {R-HSA-3232142}; Nuclear Pore Complex (NPC) Disassembly {R-HSA-3301854}; Regulation of HSF1-mediated heat shock response {R-HSA-3371453}; SUMOylation of SUMOylation proteins {R-HSA-4085377}; SUMOylation of chromatin organization proteins {R-HSA-4551638}; SUMOylation of RNA binding proteins {R-HSA-4570464}; SUMOylation of DNA replication proteins {R-HSA-4615885}; Transcriptional regulation by small RNAs {R-HSA-5578749}; Defective TPR may confer susceptibility towards thyroid papillary carcinoma (TPC) {R-HSA-5619107}; tRNA processing in the nucleus {R-HSA-6784531}</t>
  </si>
  <si>
    <t>Beta-dystroglycan</t>
  </si>
  <si>
    <t>Dystrophin-associated glycoprotein 1 (Alpha-DG; Beta-DG)</t>
  </si>
  <si>
    <t>DAG1_HUMAN</t>
  </si>
  <si>
    <t>Q14118</t>
  </si>
  <si>
    <t>A8K6M7; Q969J9</t>
  </si>
  <si>
    <t>3D-structure; Autocatalytic cleavage; Cell junction; Cell membrane; Congenital muscular dystrophy; Cytoplasm; Cytoskeleton; Disease mutation; Disulfide bond; Dystroglycanopathy; Glycoprotein; Host cell receptor for virus entry; Host-virus interaction; Limb-girdle muscular dystrophy; Lissencephaly; Membrane; Nucleus; Phosphoprotein; Polymorphism; Postsynaptic cell membrane; Receptor; Secreted; Signal; Synapse; Transmembrane; Transmembrane helix</t>
  </si>
  <si>
    <t>Cell junction; Cell membrane; Cytoplasm; Cytoskeleton; Membrane; Nucleus; Postsynaptic cell membrane; Secreted; Synapse</t>
  </si>
  <si>
    <t>Congenital muscular dystrophy; Disease mutation; Dystroglycanopathy; Limb-girdle muscular dystrophy; Lissencephaly</t>
  </si>
  <si>
    <t>aging {GO:0007568}; angiogenesis involved in wound healing {GO:0060055}; axon regeneration {GO:0031103}; basement membrane organization {GO:0071711}; branching involved in salivary gland morphogenesis {GO:0060445}; calcium-dependent cell-matrix adhesion {GO:0016340}; cellular response to cholesterol {GO:0071397}; cellular response to mechanical stimulus {GO:0071260}; commissural neuron axon guidance {GO:0071679}; cytoskeletal anchoring at plasma membrane {GO:0007016}; epithelial tube branching involved in lung morphogenesis {GO:0060441}; extracellular matrix organization {GO:0030198}; membrane protein ectodomain proteolysis {GO:0006509}; microtubule anchoring {GO:0034453}; modulation by virus of host morphology or physiology {GO:0019048}; morphogenesis of an epithelial sheet {GO:0002011}; myelination in peripheral nervous system {GO:0022011}; negative regulation of cell migration {GO:0030336}; negative regulation of MAPK cascade {GO:0043409}; negative regulation of protein kinase B signaling {GO:0051898}; nerve maturation {GO:0021682}; positive regulation of basement membrane assembly involved in embryonic body morphogenesis {GO:1904261}; positive regulation of cell-matrix adhesion {GO:0001954}; positive regulation of myelination {GO:0031643}; positive regulation of oligodendrocyte differentiation {GO:0048714}; positive regulation of protein kinase activity {GO:0045860}; regulation of embryonic cell shape {GO:0016476}; regulation of epithelial to mesenchymal transition {GO:0010717}; regulation of gastrulation {GO:0010470}; regulation of neurotransmitter receptor localization to postsynaptic specialization membrane {GO:0098696}; regulation of synapse organization {GO:0050807}; response to denervation involved in regulation of muscle adaptation {GO:0014894}; response to peptide hormone {GO:0043434}; retrograde trans-synaptic signaling by trans-synaptic protein complex {GO:0098942}; skeletal muscle tissue regeneration {GO:0043403}</t>
  </si>
  <si>
    <t>basement membrane {GO:0005604}; basolateral plasma membrane {GO:0016323}; cell-cell adherens junction {GO:0005913}; collagen-containing extracellular matrix {GO:0062023}; contractile ring {GO:0070938}; costamere {GO:0043034}; cytoplasm {GO:0005737}; cytoskeleton {GO:0005856}; cytosol {GO:0005829}; dystroglycan complex {GO:0016011}; dystrophin-associated glycoprotein complex {GO:0016010}; endoplasmic reticulum lumen {GO:0005788}; external side of plasma membrane {GO:0009897}; extracellular exosome {GO:0070062}; extracellular region {GO:0005576}; extracellular space {GO:0005615}; filopodium {GO:0030175}; focal adhesion {GO:0005925}; GABA-ergic synapse {GO:0098982}; glutamatergic synapse {GO:0098978}; Golgi lumen {GO:0005796}; integral component of membrane {GO:0016021}; lamellipodium {GO:0030027}; node of Ranvier {GO:0033268}; nuclear periphery {GO:0034399}; nucleoplasm {GO:0005654}; plasma membrane {GO:0005886}; plasma membrane raft {GO:0044853}; postsynaptic cytosol {GO:0099524}; postsynaptic membrane {GO:0045211}; sarcolemma {GO:0042383}</t>
  </si>
  <si>
    <t>actin binding {GO:0003779}; alpha-actinin binding {GO:0051393}; calcium ion binding {GO:0005509}; dystroglycan binding {GO:0002162}; laminin-1 binding {GO:0043237}; SH2 domain binding {GO:0042169}; structural constituent of muscle {GO:0008307}; tubulin binding {GO:0015631}; vinculin binding {GO:0017166}; virus receptor activity {GO:0001618}</t>
  </si>
  <si>
    <t>Non-integrin membrane-ECM interactions {R-HSA-3000171}; ECM proteoglycans {R-HSA-3000178}; Defective POMGNT1 causes MDDGA3, MDDGB3 and MDDGC3 {R-HSA-5083628}; Defective POMT2 causes MDDGA2, MDDGB2 and MDDGC2 {R-HSA-5083629}; Defective POMT1 causes MDDGA1, MDDGB1 and MDDGC1 {R-HSA-5083633}; O-linked glycosylation {R-HSA-5173105}; Regulation of expression of SLITs and ROBOs {R-HSA-9010553}</t>
  </si>
  <si>
    <t>CD320 antigen</t>
  </si>
  <si>
    <t>8D6 antigen; FDC-signaling molecule 8D6 (FDC-SM-8D6); Transcobalamin receptor (TCblR); CD_antigen=CD320</t>
  </si>
  <si>
    <t>CD320_HUMAN</t>
  </si>
  <si>
    <t>Q9NPF0</t>
  </si>
  <si>
    <t>B2RDS5; D6W668; F5H6D3; Q53HF7</t>
  </si>
  <si>
    <t>8D6A</t>
  </si>
  <si>
    <t>3D-structure; Alternative splicing; Calcium; Cell membrane; Disease mutation; Disulfide bond; Glycoprotein; Growth factor; Membrane; Metal-binding; Polymorphism; Repeat; Signal; Transmembrane; Transmembrane helix</t>
  </si>
  <si>
    <t>B cell costimulation {GO:0031296}; cobalamin metabolic process {GO:0009235}; cobalamin transport {GO:0015889}; positive regulation of B cell proliferation {GO:0030890}; regulation of vitamin metabolic process {GO:0030656}</t>
  </si>
  <si>
    <t>endoplasmic reticulum {GO:0005783}; endosome membrane {GO:0010008}; integral component of plasma membrane {GO:0005887}; membrane {GO:0016020}; plasma membrane {GO:0005886}</t>
  </si>
  <si>
    <t>calcium ion binding {GO:0005509}; cobalamin binding {GO:0031419}; cobalamin-transporting ATPase activity {GO:0015420}; growth factor activity {GO:0008083}</t>
  </si>
  <si>
    <t>Cobalamin (Cbl, vitamin B12) transport and metabolism {R-HSA-196741}; Defective CD320 causes methylmalonic aciduria {R-HSA-3359485}</t>
  </si>
  <si>
    <t>CD209 antigen</t>
  </si>
  <si>
    <t>C-type lectin domain family 4 member L; Dendritic cell-specific ICAM-3-grabbing non-integrin 1 (DC-SIGN; DC-SIGN1); CD_antigen=CD209</t>
  </si>
  <si>
    <t>CD209_HUMAN</t>
  </si>
  <si>
    <t>Q9NNX6</t>
  </si>
  <si>
    <t>A8KAM4; A8MVQ9; G5E9C4; Q2TB19; Q96QP7; Q96QP8; Q96QP9; Q96QQ0; Q96QQ1; Q96QQ2; Q96QQ3; Q96QQ4; Q96QQ5; Q96QQ6; Q96QQ7; Q96QQ8</t>
  </si>
  <si>
    <t>CLEC4L</t>
  </si>
  <si>
    <t>3D-structure; Adaptive immunity; Alternative splicing; Calcium; Cell adhesion; Cell membrane; Disulfide bond; Endocytosis; Glycoprotein; Host cell receptor for virus entry; Host-virus interaction; Immunity; Innate immunity; Lectin; Mannose-binding; Membrane; Metal-binding; Polymorphism; Receptor; Repeat; Secreted; Signal-anchor; Transmembrane; Transmembrane helix</t>
  </si>
  <si>
    <t>Adaptive immunity; Cell adhesion; Endocytosis; Host-virus interaction; Immunity; Innate immunity</t>
  </si>
  <si>
    <t>Calcium; Lectin; Mannose-binding; Metal-binding</t>
  </si>
  <si>
    <t>adaptive immune response {GO:0002250}; antigen processing and presentation {GO:0019882}; B cell adhesion {GO:0097323}; cell-cell recognition {GO:0009988}; endocytosis {GO:0006897}; heterophilic cell-cell adhesion via plasma membrane cell adhesion molecules {GO:0007157}; innate immune response {GO:0045087}; intracellular signal transduction {GO:0035556}; intracellular transport of virus {GO:0075733}; leukocyte cell-cell adhesion {GO:0007159}; modulation by virus of host morphology or physiology {GO:0019048}; peptide antigen transport {GO:0046968}; positive regulation of T cell proliferation {GO:0042102}; regulation of T cell proliferation {GO:0042129}; stimulatory C-type lectin receptor signaling pathway {GO:0002223}; viral genome replication {GO:0019079}; virion attachment to host cell {GO:0019062}</t>
  </si>
  <si>
    <t>cell surface {GO:0009986}; cytoplasm {GO:0005737}; external side of plasma membrane {GO:0009897}; extracellular region {GO:0005576}; host cell {GO:0043657}; integral component of membrane {GO:0016021}; membrane {GO:0016020}; plasma membrane {GO:0005886}</t>
  </si>
  <si>
    <t>carbohydrate binding {GO:0030246}; mannose binding {GO:0005537}; metal ion binding {GO:0046872}; peptide antigen binding {GO:0042605}; virion binding {GO:0046790}; virus receptor activity {GO:0001618}</t>
  </si>
  <si>
    <t>CD209 (DC-SIGN) signaling {R-HSA-5621575}; Butyrophilin (BTN) family interactions {R-HSA-8851680}</t>
  </si>
  <si>
    <t>Transcription factor BTF3</t>
  </si>
  <si>
    <t>Nascent polypeptide-associated complex subunit beta (NAC-beta); RNA polymerase B transcription factor 3</t>
  </si>
  <si>
    <t>BTF3_HUMAN</t>
  </si>
  <si>
    <t>P20290</t>
  </si>
  <si>
    <t>A8K510; Q13893; Q76M56</t>
  </si>
  <si>
    <t>NACB</t>
  </si>
  <si>
    <t>3D-structure; Alternative splicing; Chaperone; Cytoplasm; Methylation; Nucleus; Phosphoprotein; Protein transport; Transcription; Transcription regulation; Transport</t>
  </si>
  <si>
    <t>Protein transport; Transcription; Transcription regulation; Transport</t>
  </si>
  <si>
    <t>protein transport {GO:0015031}; transcription by RNA polymerase II {GO:0006366}</t>
  </si>
  <si>
    <t>cytosol {GO:0005829}; nascent polypeptide-associated complex {GO:0005854}; nucleus {GO:0005634}; polysomal ribosome {GO:0042788}</t>
  </si>
  <si>
    <t>Acetolactate synthase-like protein</t>
  </si>
  <si>
    <t>IlvB-like protein</t>
  </si>
  <si>
    <t>ILVBL_HUMAN</t>
  </si>
  <si>
    <t>A1L0T0</t>
  </si>
  <si>
    <t>O43341; Q96F08; Q99651; Q9BWN5; Q9UEB2</t>
  </si>
  <si>
    <t>AHAS</t>
  </si>
  <si>
    <t>Magnesium; Membrane; Metal-binding; Polymorphism; Thiamine pyrophosphate; Transferase; Transmembrane; Transmembrane helix</t>
  </si>
  <si>
    <t>integral component of membrane {GO:0016021}; membrane {GO:0016020}</t>
  </si>
  <si>
    <t>magnesium ion binding {GO:0000287}; thiamine pyrophosphate binding {GO:0030976}; transferase activity {GO:0016740}</t>
  </si>
  <si>
    <t>Chloride intracellular channel protein 6</t>
  </si>
  <si>
    <t>Parchorin</t>
  </si>
  <si>
    <t>CLIC6_HUMAN</t>
  </si>
  <si>
    <t>Q96NY7</t>
  </si>
  <si>
    <t>A8K0U8; Q8IX31</t>
  </si>
  <si>
    <t>CLIC1L</t>
  </si>
  <si>
    <t>Alternative splicing; Cell membrane; Chloride; Chloride channel; Cytoplasm; Ion channel; Ion transport; Membrane; Phosphoprotein; Polymorphism; Repeat; Transmembrane; Transmembrane helix; Transport; Voltage-gated channel</t>
  </si>
  <si>
    <t>regulation of ion transmembrane transport {GO:0034765}</t>
  </si>
  <si>
    <t>chloride channel complex {GO:0034707}; cytoplasm {GO:0005737}; extracellular exosome {GO:0070062}; plasma membrane {GO:0005886}</t>
  </si>
  <si>
    <t>chloride channel activity {GO:0005254}; D2 dopamine receptor binding {GO:0031749}; D3 dopamine receptor binding {GO:0031750}; D4 dopamine receptor binding {GO:0031751}; voltage-gated ion channel activity {GO:0005244}</t>
  </si>
  <si>
    <t>S-phase kinase-associated protein 1</t>
  </si>
  <si>
    <t>Cyclin-A/CDK2-associated protein p19 (p19A); Organ of Corti protein 2 (OCP-2); Organ of Corti protein II (OCP-II); RNA polymerase II elongation factor-like protein; SIII; Transcription elongation factor B polypeptide 1-like; p19skp1</t>
  </si>
  <si>
    <t>SKP1_HUMAN</t>
  </si>
  <si>
    <t>P63208</t>
  </si>
  <si>
    <t>D3DQ97; D3DQ98; P34991; Q8TAY2</t>
  </si>
  <si>
    <t>EMC19; OCP2; SKP1A; TCEB1L</t>
  </si>
  <si>
    <t>3D-structure; Alternative splicing; Host-virus interaction; Isopeptide bond; Phosphoprotein; Ubl conjugation; Ubl conjugation pathway</t>
  </si>
  <si>
    <t>Host-virus interaction; Ubl conjugation pathway</t>
  </si>
  <si>
    <t>cellular iron ion homeostasis {GO:0006879}; Fc-epsilon receptor signaling pathway {GO:0038095}; G2/M transition of mitotic cell cycle {GO:0000086}; histone H2A monoubiquitination {GO:0035518}; interleukin-1-mediated signaling pathway {GO:0070498}; maintenance of protein location in nucleus {GO:0051457}; negative regulation of G2/M transition of mitotic cell cycle {GO:0010972}; NIK/NF-kappaB signaling {GO:0038061}; post-translational protein modification {GO:0043687}; protein polyubiquitination {GO:0000209}; protein ubiquitination {GO:0016567}; regulation of mitotic cell cycle phase transition {GO:1901990}; SCF complex assembly {GO:0010265}; SCF-dependent proteasomal ubiquitin-dependent protein catabolic process {GO:0031146}; stimulatory C-type lectin receptor signaling pathway {GO:0002223}; stress-activated MAPK cascade {GO:0051403}; T cell receptor signaling pathway {GO:0050852}; viral process {GO:0016032}; Wnt signaling pathway {GO:0016055}</t>
  </si>
  <si>
    <t>centrosome {GO:0005813}; Cul7-RING ubiquitin ligase complex {GO:0031467}; cytoplasm {GO:0005737}; cytosol {GO:0005829}; nucleoplasm {GO:0005654}; nucleus {GO:0005634}; SCF ubiquitin ligase complex {GO:0019005}</t>
  </si>
  <si>
    <t>beta-catenin binding {GO:0008013}; cullin family protein binding {GO:0097602}; protein domain specific binding {GO:0019904}; ubiquitin-protein transferase activity {GO:0004842}</t>
  </si>
  <si>
    <t>Activation of NF-kappaB in B cells {R-HSA-1169091}; Prolactin receptor signaling {R-HSA-1170546}; SCF-beta-TrCP mediated degradation of Emi1 {R-HSA-174113}; Vpu mediated degradation of CD4 {R-HSA-180534}; SCF(Skp2)-mediated degradation of p27/p21 {R-HSA-187577}; Degradation of beta-catenin by the destruction complex {R-HSA-195253}; Downstream TCR signaling {R-HSA-202424}; NOTCH1 Intracellular Domain Regulates Transcription {R-HSA-2122947}; Regulation of PLK1 Activity at G2/M Transition {R-HSA-2565942}; Constitutive Signaling by NOTCH1 PEST Domain Mutants {R-HSA-2644606}; Loss of Function of FBXW7 in Cancer and NOTCH1 Signaling {R-HSA-2644607}; FCERI mediated NF-kB activation {R-HSA-2871837}; Constitutive Signaling by NOTCH1 HD+PEST Domain Mutants {R-HSA-2894862}; Circadian Clock {R-HSA-400253};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NIK--&gt;noncanonical NF-kB signaling {R-HSA-5676590}; MAP3K8 (TPL2)-dependent MAPK1/3 activation {R-HSA-5684264}; Orc1 removal from chromatin {R-HSA-68949}; Cyclin D associated events in G1 {R-HSA-69231}; FBXL7 down-regulates AURKA during mitotic entry and in early mitosis {R-HSA-8854050}; Regulation of RUNX2 expression and activity {R-HSA-8939902}; Neddylation {R-HSA-8951664}; Interleukin-1 signaling {R-HSA-9020702}; Iron uptake and transport {R-HSA-917937}; Negative regulation of NOTCH4 signaling {R-HSA-9604323}; Antigen processing: Ubiquitination &amp; Proteasome degradation {R-HSA-983168}</t>
  </si>
  <si>
    <t>Coatomer subunit epsilon</t>
  </si>
  <si>
    <t>Epsilon-coat protein (Epsilon-COP)</t>
  </si>
  <si>
    <t>COPE_HUMAN</t>
  </si>
  <si>
    <t>O14579</t>
  </si>
  <si>
    <t>A6NE29; A6NKA3; O76097; Q6IBB8; Q9UGP6</t>
  </si>
  <si>
    <t>Alternative splicing; Cytoplasm; Cytoplasmic vesicle; ER-Golgi transport; Golgi apparatus; Membrane; Phosphoprotein; Polymorphism; Protein transport; Transport; Ubl conjugation</t>
  </si>
  <si>
    <t>endoplasmic reticulum to Golgi vesicle-mediated transport {GO:0006888}; intra-Golgi vesicle-mediated transport {GO:0006891}; protein transport {GO:0015031}; retrograde vesicle-mediated transport, Golgi to endoplasmic reticulum {GO:0006890}</t>
  </si>
  <si>
    <t>COPI vesicle coat {GO:0030126}; cytosol {GO:0005829}; endoplasmic reticulum membrane {GO:0005789}; Golgi apparatus {GO:0005794}; Golgi membrane {GO:0000139}; nucleoplasm {GO:0005654}; transport vesicle {GO:0030133}</t>
  </si>
  <si>
    <t>Tetranectin (TN)</t>
  </si>
  <si>
    <t>C-type lectin domain family 3 member B; Plasminogen kringle 4-binding protein</t>
  </si>
  <si>
    <t>TETN_HUMAN</t>
  </si>
  <si>
    <t>P05452</t>
  </si>
  <si>
    <t>Q6FGX6</t>
  </si>
  <si>
    <t>TNA</t>
  </si>
  <si>
    <t>3D-structure; Disulfide bond; Glycoprotein; Lectin; Polymorphism; Secreted; Signal</t>
  </si>
  <si>
    <t>bone mineralization {GO:0030282}; cellular response to organic substance {GO:0071310}; cellular response to transforming growth factor beta stimulus {GO:0071560}; ossification {GO:0001503}; platelet degranulation {GO:0002576}; positive regulation of plasminogen activation {GO:0010756}</t>
  </si>
  <si>
    <t>collagen-containing extracellular matrix {GO:0062023}; cytoplasm {GO:0005737}; extracellular exosome {GO:0070062}; extracellular region {GO:0005576}; extracellular space {GO:0005615}; granular component {GO:0001652}; platelet dense granule lumen {GO:0031089}</t>
  </si>
  <si>
    <t>calcium ion binding {GO:0005509}; carbohydrate binding {GO:0030246}; heparin binding {GO:0008201}; kringle domain binding {GO:0036143}</t>
  </si>
  <si>
    <t>CD166 antigen</t>
  </si>
  <si>
    <t>Activated leukocyte cell adhesion molecule; CD_antigen=CD166</t>
  </si>
  <si>
    <t>CD166_HUMAN</t>
  </si>
  <si>
    <t>Q13740</t>
  </si>
  <si>
    <t>B2RNS3; B4DTU0; O60892; Q1HGM8; Q1HGM9; Q6PEY4; Q6ZS95</t>
  </si>
  <si>
    <t>MEMD</t>
  </si>
  <si>
    <t>3D-structure; Adaptive immunity; Alternative splicing; Cell adhesion; Cell membrane; Cell projection; Disulfide bond; Glycoprotein; Immunity; Immunoglobulin domain; Membrane; Polymorphism; Repeat; Secreted; Signal; Transmembrane; Transmembrane helix</t>
  </si>
  <si>
    <t>Adaptive immunity; Cell adhesion; Immunity</t>
  </si>
  <si>
    <t>Cell membrane; Cell projection; Membrane; Secreted</t>
  </si>
  <si>
    <t>adaptive immune response {GO:0002250}; axon extension involved in axon guidance {GO:0048846}; cell adhesion {GO:0007155}; heterophilic cell-cell adhesion via plasma membrane cell adhesion molecules {GO:0007157}; motor neuron axon guidance {GO:0008045}; neuron projection extension {GO:1990138}; retinal ganglion cell axon guidance {GO:0031290}; signal transduction {GO:0007165}</t>
  </si>
  <si>
    <t>axon {GO:0030424}; dendrite {GO:0030425}; external side of plasma membrane {GO:0009897}; extracellular exosome {GO:0070062}; focal adhesion {GO:0005925}; immunological synapse {GO:0001772}; integral component of plasma membrane {GO:0005887}; intrinsic component of plasma membrane {GO:0031226}; neuronal cell body {GO:0043025}</t>
  </si>
  <si>
    <t>Guanine nucleotide-binding protein G(i) subunit alpha-2</t>
  </si>
  <si>
    <t>GNAI2_HUMAN</t>
  </si>
  <si>
    <t>P04899</t>
  </si>
  <si>
    <t>B3KTZ0; B4DYA0; B4E2X5; Q6B6N3; Q8IZ71</t>
  </si>
  <si>
    <t>GNAI2B</t>
  </si>
  <si>
    <t>3D-structure; ADP-ribosylation; Alternative splicing; Cell cycle; Cell division; Cell membrane; Cytoplasm; Cytoskeleton; GTP-binding; Lipoprotein; Magnesium; Membrane; Metal-binding; Myristate; Nucleotide-binding; Palmitate; Transducer</t>
  </si>
  <si>
    <t>Cell cycle; Cell division</t>
  </si>
  <si>
    <t>adenosine receptor signaling pathway {GO:0001973}; adenylate cyclase-activating G protein-coupled receptor signaling pathway {GO:0007189}; adenylate cyclase-inhibiting G protein-coupled receptor signaling pathway {GO:0007193}; adenylate cyclase-modulating G protein-coupled receptor signaling pathway {GO:0007188}; cell cycle {GO:0007049}; cell division {GO:0051301}; cell population proliferation {GO:0008283}; G protein-coupled acetylcholine receptor signaling pathway {GO:0007213}; G protein-coupled receptor signaling pathway {GO:0007186}; gamma-aminobutyric acid signaling pathway {GO:0007214}; negative regulation of adenylate cyclase activity {GO:0007194}; negative regulation of adenylate cyclase-activating adrenergic receptor signaling pathway involved in heart process {GO:0140199}; negative regulation of apoptotic signaling pathway {GO:2001234}; negative regulation of calcium ion-dependent exocytosis {GO:0045955}; negative regulation of protein tyrosine phosphatase activity {GO:1903614}; negative regulation of synaptic transmission {GO:0050805}; positive regulation of cell migration {GO:0030335}; positive regulation of cell population proliferation {GO:0008284}; positive regulation of ERK1 and ERK2 cascade {GO:0070374}; positive regulation of insulin receptor signaling pathway {GO:0046628}; positive regulation of NAD(P)H oxidase activity {GO:0033864}; positive regulation of neural precursor cell proliferation {GO:2000179}; positive regulation of renal sodium excretion {GO:0035815}; positive regulation of superoxide anion generation {GO:0032930}; positive regulation of urine volume {GO:0035810}; positive regulation of vascular smooth muscle cell proliferation {GO:1904707}; protein folding {GO:0006457}; regulation of calcium ion transport {GO:0051924}; response to nutrient {GO:0007584}; signal transduction {GO:0007165}</t>
  </si>
  <si>
    <t>cell body {GO:0044297}; centrosome {GO:0005813}; cytoplasm {GO:0005737}; cytosol {GO:0005829}; dendrite {GO:0030425}; extracellular exosome {GO:0070062}; extracellular vesicle {GO:1903561}; heterotrimeric G-protein complex {GO:0005834}; membrane {GO:0016020}; membrane raft {GO:0045121}; midbody {GO:0030496}; nucleoplasm {GO:0005654}; plasma membrane {GO:0005886}</t>
  </si>
  <si>
    <t>G protein-coupled receptor binding {GO:0001664}; G-protein beta/gamma-subunit complex binding {GO:0031683}; GTP binding {GO:0005525}; GTPase activity {GO:0003924}; metal ion binding {GO:0046872}</t>
  </si>
  <si>
    <t>A disintegrin and metalloproteinase with thrombospondin motifs 1 (ADAM-TS 1; ADAM-TS1; ADAMTS-1)</t>
  </si>
  <si>
    <t>METH-1</t>
  </si>
  <si>
    <t>ATS1_HUMAN</t>
  </si>
  <si>
    <t>Q9UHI8</t>
  </si>
  <si>
    <t>D3DSD5; Q9NSJ8; Q9P2K0; Q9UH83; Q9UP80</t>
  </si>
  <si>
    <t>KIAA1346; METH1</t>
  </si>
  <si>
    <t>3D-structure; Calcium; Cleavage on pair of basic residues; Disulfide bond; Extracellular matrix; Glycoprotein; Heparin-binding; Hydrolase; Metal-binding; Metalloprotease; Polymorphism; Protease; Repeat; Secreted; Signal; Zinc; Zymogen</t>
  </si>
  <si>
    <t>heart trabecula formation {GO:0060347}; integrin-mediated signaling pathway {GO:0007229}; kidney development {GO:0001822}; negative regulation of cell population proliferation {GO:0008285}; ovulation from ovarian follicle {GO:0001542}; positive regulation of G1/S transition of mitotic cell cycle {GO:1900087}; positive regulation of vascular associated smooth muscle cell migration {GO:1904754}; positive regulation of vascular smooth muscle cell proliferation {GO:1904707}</t>
  </si>
  <si>
    <t>basement membrane {GO:0005604}; cytoplasmic vesicle {GO:0031410}</t>
  </si>
  <si>
    <t>heparin binding {GO:0008201}; metalloendopeptidase activity {GO:0004222}; metallopeptidase activity {GO:0008237}; zinc ion binding {GO:0008270}</t>
  </si>
  <si>
    <t>Far upstream element-binding protein 2 (FUSE-binding protein 2)</t>
  </si>
  <si>
    <t>KH type-splicing regulatory protein (KSRP); p75</t>
  </si>
  <si>
    <t>FUBP2_HUMAN</t>
  </si>
  <si>
    <t>Q92945</t>
  </si>
  <si>
    <t>O00301; Q59EZ9; Q5U4P6; Q9UNT5; Q9UQH5</t>
  </si>
  <si>
    <t>FUBP2</t>
  </si>
  <si>
    <t>3D-structure; Acetylation; Cytoplasm; DNA-binding; Isopeptide bond; Methylation; mRNA processing; mRNA splicing; mRNA transport; Nucleus; Phosphoprotein; Repeat; RNA-binding; Transcription; Transcription regulation; Transport; Ubl conjugation</t>
  </si>
  <si>
    <t>Transcription; Transcription regulation; Transport; mRNA processing; mRNA splicing; mRNA transport</t>
  </si>
  <si>
    <t>3'-UTR-mediated mRNA destabilization {GO:0061158}; cellular response to cytokine stimulus {GO:0071345}; miRNA metabolic process {GO:0010586}; mRNA catabolic process {GO:0006402}; mRNA processing {GO:0006397}; mRNA transport {GO:0051028}; negative regulation of low-density lipoprotein particle clearance {GO:0010989}; negative regulation of nitric oxide biosynthetic process {GO:0045019}; positive regulation of mRNA catabolic process {GO:0061014}; regulation of miRNA metabolic process {GO:2000628}; regulation of mRNA stability {GO:0043488}; regulation of transcription, DNA-templated {GO:0006355}; RNA splicing {GO:0008380}; RNA splicing, via transesterification reactions {GO:0000375}</t>
  </si>
  <si>
    <t>cytoplasmic stress granule {GO:0010494}; cytosol {GO:0005829}; membrane {GO:0016020}; nucleoplasm {GO:0005654}</t>
  </si>
  <si>
    <t>DNA binding {GO:0003677}; mRNA 3'-UTR AU-rich region binding {GO:0035925}; RNA binding {GO:0003723}</t>
  </si>
  <si>
    <t>ATF4 activates genes in response to endoplasmic reticulum stress {R-HSA-380994}; KSRP (KHSRP) binds and destabilizes mRNA {R-HSA-450604}</t>
  </si>
  <si>
    <t>Caspase-14 subunit p8, intermediate form (CASP-14)</t>
  </si>
  <si>
    <t>CASPE_HUMAN</t>
  </si>
  <si>
    <t>P31944</t>
  </si>
  <si>
    <t>O95823; Q3SYC9</t>
  </si>
  <si>
    <t>Cytoplasm; Differentiation; Hydrolase; Ichthyosis; Nucleus; Protease; Thiol protease; Zymogen</t>
  </si>
  <si>
    <t>Ichthyosis</t>
  </si>
  <si>
    <t>apoptotic process {GO:0006915}; cornification {GO:0070268}; epidermis development {GO:0008544}; intrinsic apoptotic signaling pathway in response to DNA damage {GO:0008630}; keratinization {GO:0031424}</t>
  </si>
  <si>
    <t>cytoplasm {GO:0005737}; cytosol {GO:0005829}; keratin filament {GO:0045095}; mitochondrion {GO:0005739}; nucleus {GO:0005634}</t>
  </si>
  <si>
    <t>cysteine-type endopeptidase activity {GO:0004197}; cysteine-type endopeptidase activity involved in apoptotic process {GO:0097153}</t>
  </si>
  <si>
    <t>Mucin-13 (MUC-13)</t>
  </si>
  <si>
    <t>Down-regulated in colon cancer 1</t>
  </si>
  <si>
    <t>MUC13_HUMAN</t>
  </si>
  <si>
    <t>Q9H3R2</t>
  </si>
  <si>
    <t>Q6UWD9; Q9NXT5</t>
  </si>
  <si>
    <t>DRCC1; RECC</t>
  </si>
  <si>
    <t>Cell membrane; Disulfide bond; EGF-like domain; Glycoprotein; Membrane; Polymorphism; Repeat; Secreted; Signal; Transmembrane; Transmembrane helix</t>
  </si>
  <si>
    <t>apical plasma membrane {GO:0016324}; cytosol {GO:0005829}; extracellular space {GO:0005615}; Golgi lumen {GO:0005796}; integral component of membrane {GO:0016021}; plasma membrane {GO:0005886}</t>
  </si>
  <si>
    <t>Interleukin-1 receptor accessory protein (IL-1 receptor accessory protein; IL-1RAcP)</t>
  </si>
  <si>
    <t>Interleukin-1 receptor 3 (IL-1R-3; IL-1R3)</t>
  </si>
  <si>
    <t>IL1AP_HUMAN</t>
  </si>
  <si>
    <t>Q9NPH3</t>
  </si>
  <si>
    <t>B1NLD0; D3DNW0; O14915; Q86WJ7</t>
  </si>
  <si>
    <t>C3orf13; IL1R3</t>
  </si>
  <si>
    <t>3D-structure; Alternative splicing; Cell membrane; Disulfide bond; Glycoprotein; Immunity; Immunoglobulin domain; Inflammatory response; Innate immunity; Membrane; Phosphoprotein; Polymorphism; Receptor; Repeat; Secreted; Signal; Transmembrane; Transmembrane helix</t>
  </si>
  <si>
    <t>cytokine-mediated signaling pathway {GO:0019221}; immune response {GO:0006955}; inflammatory response {GO:0006954}; innate immune response {GO:0045087}; interleukin-1-mediated signaling pathway {GO:0070498}; interleukin-2 biosynthetic process {GO:0042094}; interleukin-33-mediated signaling pathway {GO:0038172}; interleukin-4 secretion {GO:0072602}; positive regulation of interleukin-13 production {GO:0032736}; positive regulation of interleukin-5 production {GO:0032754}; positive regulation of interleukin-6 secretion {GO:2000778}; positive regulation of NF-kappaB transcription factor activity {GO:0051092}; positive regulation of synapse assembly {GO:0051965}; protein-containing complex assembly {GO:0065003}; regulation of postsynaptic density assembly {GO:0099151}; regulation of presynapse assembly {GO:1905606}; synaptic membrane adhesion {GO:0099560}; trans-synaptic signaling by trans-synaptic complex {GO:0099545}</t>
  </si>
  <si>
    <t>extracellular region {GO:0005576}; glutamatergic synapse {GO:0098978}; integral component of plasma membrane {GO:0005887}; membrane {GO:0016020}; plasma membrane {GO:0005886}</t>
  </si>
  <si>
    <t>interleukin-1 receptor activity {GO:0004908}; interleukin-1 receptor binding {GO:0005149}; interleukin-33 receptor activity {GO:0002114}</t>
  </si>
  <si>
    <t>PIP3 activates AKT signaling {R-HSA-1257604}; Receptor-type tyrosine-protein phosphatases {R-HSA-388844}; PI5P, PP2A and IER3 Regulate PI3K/AKT Signaling {R-HSA-6811558}; Interleukin-36 pathway {R-HSA-9014826}; Interleukin-33 signaling {R-HSA-9014843}; Interleukin-1 signaling {R-HSA-9020702}</t>
  </si>
  <si>
    <t>Leucine-rich repeat-containing protein 15</t>
  </si>
  <si>
    <t>Leucine-rich repeat protein induced by beta-amyloid homolog (hLib)</t>
  </si>
  <si>
    <t>LRC15_HUMAN</t>
  </si>
  <si>
    <t>Q8TF66</t>
  </si>
  <si>
    <t>Q495Q6; Q7RTN7</t>
  </si>
  <si>
    <t>LIB</t>
  </si>
  <si>
    <t>Alternative splicing; Glycoprotein; Leucine-rich repeat; Membrane; Polymorphism; Repeat; Signal; Transmembrane; Transmembrane helix</t>
  </si>
  <si>
    <t>negative regulation of protein localization to plasma membrane {GO:1903077}; positive regulation of cell migration {GO:0030335}; receptor-mediated virion attachment to host cell {GO:0046813}</t>
  </si>
  <si>
    <t>extracellular exosome {GO:0070062}; extracellular matrix {GO:0031012}; extracellular space {GO:0005615}; integral component of membrane {GO:0016021}</t>
  </si>
  <si>
    <t>collagen binding {GO:0005518}; fibronectin binding {GO:0001968}; laminin binding {GO:0043236}</t>
  </si>
  <si>
    <t>Limbic system-associated membrane protein (LSAMP)</t>
  </si>
  <si>
    <t>IgLON family member 3</t>
  </si>
  <si>
    <t>LSAMP_HUMAN</t>
  </si>
  <si>
    <t>Q13449</t>
  </si>
  <si>
    <t>Q8IV49</t>
  </si>
  <si>
    <t>IGLON3; LAMP</t>
  </si>
  <si>
    <t>Cell adhesion; Cell membrane; Disulfide bond; Glycoprotein; GPI-anchor; Immunoglobulin domain; Lipoprotein; Membrane; Phosphoprotein; Repeat; Signal</t>
  </si>
  <si>
    <t>cell adhesion {GO:0007155}; nervous system development {GO:0007399}</t>
  </si>
  <si>
    <t>anchored component of membrane {GO:0031225}; cytosol {GO:0005829}; extracellular region {GO:0005576}; plasma membrane {GO:0005886}</t>
  </si>
  <si>
    <t>Basic helix-loop-helix domain-containing protein USF3</t>
  </si>
  <si>
    <t>Upstream transcription factor 3</t>
  </si>
  <si>
    <t>USF3_HUMAN</t>
  </si>
  <si>
    <t>Q68DE3</t>
  </si>
  <si>
    <t>Q7Z3L9; Q8IVF3; Q9H8T4</t>
  </si>
  <si>
    <t>KIAA2018</t>
  </si>
  <si>
    <t>Coiled coil; DNA-binding; Nucleus; Polymorphism</t>
  </si>
  <si>
    <t>negative regulation of epithelial to mesenchymal transition {GO:0010719}</t>
  </si>
  <si>
    <t>DNA binding {GO:0003677}; DNA-binding transcription factor activity, RNA polymerase II-specific {GO:0000981}; protein dimerization activity {GO:0046983}</t>
  </si>
  <si>
    <t>NADH dehydrogenase [ubiquinone] 1 alpha subcomplex subunit 7</t>
  </si>
  <si>
    <t>Complex I-B14.5a (CI-B14.5a); NADH-ubiquinone oxidoreductase subunit B14.5a</t>
  </si>
  <si>
    <t>NDUA7_HUMAN</t>
  </si>
  <si>
    <t>O95182</t>
  </si>
  <si>
    <t>3D-structure; Acetylation; Electron transport; Membrane; Mitochondrion; Mitochondrion inner membrane; Phosphoprotein; Polymorphism; Respiratory chain; Transport</t>
  </si>
  <si>
    <t>mitochondrial electron transport, NADH to ubiquinone {GO:0006120}; mitochondrial respiratory chain complex I assembly {GO:0032981}; mitochondrial translation {GO:0032543}</t>
  </si>
  <si>
    <t>mitochondrial inner membrane {GO:0005743}; mitochondrial respiratory chain complex I {GO:0005747}; mitochondrial ribosome {GO:0005761}; mitochondrion {GO:0005739}</t>
  </si>
  <si>
    <t>NADH dehydrogenase (ubiquinone) activity {GO:0008137}; structural constituent of ribosome {GO:0003735}</t>
  </si>
  <si>
    <t>Respiratory electron transport {R-HSA-611105}; Complex I biogenesis {R-HSA-6799198}</t>
  </si>
  <si>
    <t>40S ribosomal protein S28</t>
  </si>
  <si>
    <t>Small ribosomal subunit protein eS28</t>
  </si>
  <si>
    <t>RS28_HUMAN</t>
  </si>
  <si>
    <t>P62857</t>
  </si>
  <si>
    <t>P25112</t>
  </si>
  <si>
    <t>3D-structure; Acetylation; Cytoplasm; Diamond-Blackfan anemia; Endoplasmic reticulum; Phosphoprotein; Ribonucleoprotein; Ribosomal protein</t>
  </si>
  <si>
    <t>cytoplasmic translation {GO:0002181}; maturation of SSU-rRNA {GO:0030490}; nuclear-transcribed mRNA catabolic process, nonsense-mediated decay {GO:0000184}; ribosomal small subunit assembly {GO:0000028}; ribosomal small subunit biogenesis {GO:0042274}; ribosome biogenesis {GO:0042254}; rRNA processing {GO:0006364}; SRP-dependent cotranslational protein targeting to membrane {GO:0006614}; translation {GO:0006412}; translational initiation {GO:0006413}; viral transcription {GO:0019083}</t>
  </si>
  <si>
    <t>cytoplasmic side of rough endoplasmic reticulum membrane {GO:0098556}; cytosol {GO:0005829}; cytosolic small ribosomal subunit {GO:0022627}; extracellular exosome {GO:0070062}; nucleoplasm {GO:0005654}; polysomal ribosome {GO:0042788}; small ribosomal subunit {GO:0015935}</t>
  </si>
  <si>
    <t>Antibacterial peptide LL-37</t>
  </si>
  <si>
    <t>18 kDa cationic antimicrobial protein (CAP-18; hCAP-18); FALL-39 peptide antibiotic</t>
  </si>
  <si>
    <t>CAMP_HUMAN</t>
  </si>
  <si>
    <t>P49913</t>
  </si>
  <si>
    <t>Q71SN9</t>
  </si>
  <si>
    <t>3D-structure; Antibiotic; Antimicrobial; Cleavage on pair of basic residues; Disulfide bond; Secreted; Signal</t>
  </si>
  <si>
    <t>Antibiotic; Antimicrobial</t>
  </si>
  <si>
    <t>Cleavage on pair of basic residues; Disulfide bond</t>
  </si>
  <si>
    <t>antibacterial humoral response {GO:0019731}; antifungal humoral response {GO:0019732}; antimicrobial humoral immune response mediated by antimicrobial peptide {GO:0061844}; antimicrobial humoral response {GO:0019730}; chronic inflammatory response {GO:0002544}; cytolysis by host of symbiont cells {GO:0051838}; defense response to bacterium {GO:0042742}; defense response to Gram-negative bacterium {GO:0050829}; defense response to Gram-positive bacterium {GO:0050830}; innate immune response {GO:0045087}; innate immune response in mucosa {GO:0002227}; killing by host of symbiont cells {GO:0051873}; modification of morphology or physiology of other organism {GO:0035821}; negative regulation of growth of symbiont on or near host surface {GO:0044140}; neutrophil degranulation {GO:0043312}; positive regulation of interleukin-8 secretion {GO:2000484}; response to yeast {GO:0001878}</t>
  </si>
  <si>
    <t>extracellular exosome {GO:0070062}; extracellular region {GO:0005576}; extracellular space {GO:0005615}; specific granule {GO:0042581}; specific granule lumen {GO:0035580}; tertiary granule lumen {GO:1904724}</t>
  </si>
  <si>
    <t>lipopolysaccharide binding {GO:0001530}</t>
  </si>
  <si>
    <t>Neutrophil degranulation {R-HSA-6798695}; Antimicrobial peptides {R-HSA-6803157}</t>
  </si>
  <si>
    <t>Acyl-CoA dehydrogenase family member 9, mitochondrial (ACAD-9)</t>
  </si>
  <si>
    <t>ACAD9_HUMAN</t>
  </si>
  <si>
    <t>Q9H845</t>
  </si>
  <si>
    <t>D3DNB8; Q8WXX3</t>
  </si>
  <si>
    <t>Acetylation; Disease mutation; FAD; Flavoprotein; Mitochondrion; Oxidoreductase; Phosphoprotein; Polymorphism; Primary mitochondrial disease; Transit peptide</t>
  </si>
  <si>
    <t>long-chain fatty acid metabolic process {GO:0001676}; medium-chain fatty acid metabolic process {GO:0051791}; mitochondrial respiratory chain complex I assembly {GO:0032981}</t>
  </si>
  <si>
    <t>dendrite {GO:0030425}; mitochondrial inner membrane {GO:0005743}; mitochondrial membrane {GO:0031966}; mitochondrion {GO:0005739}; nucleus {GO:0005634}</t>
  </si>
  <si>
    <t>fatty-acyl-CoA binding {GO:0000062}; flavin adenine dinucleotide binding {GO:0050660}; long-chain-acyl-CoA dehydrogenase activity {GO:0004466}; medium-chain-acyl-CoA dehydrogenase activity {GO:0070991}; very-long-chain-acyl-CoA dehydrogenase activity {GO:0017099}</t>
  </si>
  <si>
    <t>Complex I biogenesis {R-HSA-6799198}</t>
  </si>
  <si>
    <t>Catenin beta-1</t>
  </si>
  <si>
    <t>Beta-catenin</t>
  </si>
  <si>
    <t>CTNB1_HUMAN</t>
  </si>
  <si>
    <t>P35222</t>
  </si>
  <si>
    <t>A8K1L7; Q8NEW9; Q8NI94; Q9H391</t>
  </si>
  <si>
    <t>CTNNB</t>
  </si>
  <si>
    <t>3D-structure; Acetylation; Activator; Cell adhesion; Cell junction; Cell membrane; Cell projection; Chromosomal rearrangement; Cytoplasm; Cytoskeleton; Disease mutation; Glycoprotein; Host-virus interaction; Membrane; Mental retardation; Neurogenesis; Nucleus; Phosphoprotein; Polymorphism; Repeat; S-nitrosylation; Synapse; Transcription; Transcription regulation; Ubl conjugation; Wnt signaling pathway</t>
  </si>
  <si>
    <t>Cell adhesion; Host-virus interaction; Neurogenesis; Transcription; Transcription regulation; Wnt signaling pathway</t>
  </si>
  <si>
    <t>Cell junction; Cell membrane; Cell projection; Cytoplasm; Cytoskeleton; Membrane; Nucleus; Synapse</t>
  </si>
  <si>
    <t>Activator</t>
  </si>
  <si>
    <t>Acetylation; Glycoprotein; Phosphoprotein; S-nitrosylation; Ubl conjugation</t>
  </si>
  <si>
    <t>adherens junction assembly {GO:0034333}; androgen receptor signaling pathway {GO:0030521}; anterior/posterior axis specification {GO:0009948}; beta-catenin destruction complex disassembly {GO:1904886}; beta-catenin-TCF complex assembly {GO:1904837}; bone resorption {GO:0045453}; branching involved in blood vessel morphogenesis {GO:0001569}; branching involved in ureteric bud morphogenesis {GO:0001658}; canonical Wnt signaling pathway {GO:0060070}; canonical Wnt signaling pathway involved in midbrain dopaminergic neuron differentiation {GO:1904954}; canonical Wnt signaling pathway involved in negative regulation of apoptotic process {GO:0044336}; canonical Wnt signaling pathway involved in positive regulation of cardiac outflow tract cell proliferation {GO:0061324}; canonical Wnt signaling pathway involved in positive regulation of epithelial to mesenchymal transition {GO:0044334}; cell adhesion {GO:0007155}; cell fate specification {GO:0001708}; cell maturation {GO:0048469}; cell morphogenesis involved in differentiation {GO:0000904}; cell-cell adhesion {GO:0098609}; cell-matrix adhesion {GO:0007160}; cellular response to growth factor stimulus {GO:0071363}; cellular response to indole-3-methanol {GO:0071681}; central nervous system vasculogenesis {GO:0022009}; chemical synaptic transmission {GO:0007268}; chromatin-mediated maintenance of transcription {GO:0048096}; cranial ganglion development {GO:0061550}; cranial skeletal system development {GO:1904888}; dorsal root ganglion development {GO:1990791}; dorsal/ventral axis specification {GO:0009950}; ectoderm development {GO:0007398}; embryonic axis specification {GO:0000578}; embryonic brain development {GO:1990403}; embryonic digit morphogenesis {GO:0042733}; embryonic foregut morphogenesis {GO:0048617}; embryonic forelimb morphogenesis {GO:0035115}; embryonic heart tube development {GO:0035050}; embryonic hindlimb morphogenesis {GO:0035116}; embryonic skeletal limb joint morphogenesis {GO:0036023}; endodermal cell fate commitment {GO:0001711}; endothelial tube morphogenesis {GO:0061154}; entry of bacterium into host cell {GO:0035635}; epithelial cell differentiation involved in prostate gland development {GO:0060742}; epithelial to mesenchymal transition {GO:0001837}; epithelial tube branching involved in lung morphogenesis {GO:0060441}; fungiform papilla formation {GO:0061198}; gastrulation with mouth forming second {GO:0001702}; genitalia morphogenesis {GO:0035112}; glial cell fate determination {GO:0007403}; hair cell differentiation {GO:0035315}; hair follicle morphogenesis {GO:0031069}; hair follicle placode formation {GO:0060789}; hindbrain development {GO:0030902}; in utero embryonic development {GO:0001701}; layer formation in cerebral cortex {GO:0021819}; lens morphogenesis in camera-type eye {GO:0002089}; lung cell differentiation {GO:0060479}; lung induction {GO:0060492}; lung-associated mesenchyme development {GO:0060484}; male genitalia development {GO:0030539}; mesenchymal cell proliferation involved in lung development {GO:0060916}; metanephros morphogenesis {GO:0003338}; midbrain dopaminergic neuron differentiation {GO:1904948}; negative regulation of angiogenesis {GO:0016525}; negative regulation of apoptotic process {GO:0043066}; negative regulation of apoptotic signaling pathway {GO:2001234}; negative regulation of cell population proliferation {GO:0008285}; negative regulation of chondrocyte differentiation {GO:0032331}; negative regulation of mesenchymal to epithelial transition involved in metanephros morphogenesis {GO:0003340}; negative regulation of mitotic cell cycle, embryonic {GO:0045976}; negative regulation of oligodendrocyte differentiation {GO:0048715}; negative regulation of osteoclast differentiation {GO:0045671}; negative regulation of oxidative stress-induced neuron death {GO:1903204}; negative regulation of protein sumoylation {GO:0033234}; negative regulation of transcription by RNA polymerase II {GO:0000122}; negative regulation of transcription, DNA-templated {GO:0045892}; nephron tubule formation {GO:0072079}; neural plate development {GO:0001840}; neuron migration {GO:0001764}; neuron projection extension {GO:1990138}; odontogenesis of dentin-containing tooth {GO:0042475}; oocyte development {GO:0048599}; osteoclast differentiation {GO:0030316}; oviduct development {GO:0060066}; pancreas development {GO:0031016}; positive regulation of apoptotic process {GO:0043065}; positive regulation of chromatin-mediated maintenance of transcription {GO:1904501}; positive regulation of core promoter binding {GO:1904798}; positive regulation of determination of dorsal identity {GO:2000017}; positive regulation of DNA-binding transcription factor activity {GO:0051091}; positive regulation of DNA-templated transcription, initiation {GO:2000144}; positive regulation of endothelial cell differentiation {GO:0045603}; positive regulation of epithelial cell proliferation involved in prostate gland development {GO:0060769}; positive regulation of epithelial to mesenchymal transition {GO:0010718}; positive regulation of fibroblast growth factor receptor signaling pathway {GO:0045743}; positive regulation of heparan sulfate proteoglycan biosynthetic process {GO:0010909}; positive regulation of histone H3-K4 methylation {GO:0051571}; positive regulation of I-kappaB kinase/NF-kappaB signaling {GO:0043123}; positive regulation of MAPK cascade {GO:0043410}; positive regulation of mesenchymal cell proliferation {GO:0002053}; positive regulation of muscle cell differentiation {GO:0051149}; positive regulation of neuroblast proliferation {GO:0002052}; positive regulation of neuron apoptotic process {GO:0043525}; positive regulation of osteoblast differentiation {GO:0045669}; positive regulation of skeletal muscle tissue development {GO:0048643}; positive regulation of telomerase activity {GO:0051973}; positive regulation of telomere maintenance via telomerase {GO:0032212}; positive regulation of transcription by RNA polymerase II {GO:0045944}; positive regulation of transcription, DNA-templated {GO:0045893}; positive regulation of type I interferon production {GO:0032481}; proteasome-mediated ubiquitin-dependent protein catabolic process {GO:0043161}; protein localization to cell surface {GO:0034394}; protein polyubiquitination {GO:0000209}; proximal/distal pattern formation {GO:0009954}; regulation of angiogenesis {GO:0045765}; regulation of calcium ion import {GO:0090279}; regulation of canonical Wnt signaling pathway {GO:0060828}; regulation of centriole-centriole cohesion {GO:0030997}; regulation of centromeric sister chromatid cohesion {GO:0070602}; regulation of euchromatin binding {GO:1904793}; regulation of fibroblast proliferation {GO:0048145}; regulation of myelination {GO:0031641}; regulation of nephron tubule epithelial cell differentiation {GO:0072182}; regulation of neurogenesis {GO:0050767}; regulation of protein localization to cell surface {GO:2000008}; regulation of secondary heart field cardioblast proliferation {GO:0003266}; regulation of smooth muscle cell proliferation {GO:0048660}; regulation of T cell proliferation {GO:0042129}; regulation of timing of anagen {GO:0051884}; renal inner medulla development {GO:0072053}; renal outer medulla development {GO:0072054}; renal vesicle formation {GO:0072033}; response to drug {GO:0042493}; response to estradiol {GO:0032355}; smooth muscle cell differentiation {GO:0051145}; stem cell population maintenance {GO:0019827}; sympathetic ganglion development {GO:0061549}; synapse organization {GO:0050808}; synaptic vesicle clustering {GO:0097091}; synaptic vesicle transport {GO:0048489}; T cell differentiation in thymus {GO:0033077}; thymus development {GO:0048538}; trachea formation {GO:0060440}; viral process {GO:0016032}; Wnt signaling pathway {GO:0016055}; Wnt signaling pathway, calcium modulating pathway {GO:0007223}</t>
  </si>
  <si>
    <t>adherens junction {GO:0005912}; apical part of cell {GO:0045177}; basolateral plasma membrane {GO:0016323}; beta-catenin destruction complex {GO:0030877}; beta-catenin-TCF complex {GO:1990907}; beta-catenin-TCF7L2 complex {GO:0070369}; bicellular tight junction {GO:0005923}; catenin complex {GO:0016342}; cell cortex {GO:0005938}; cell junction {GO:0030054}; cell periphery {GO:0071944}; cell-cell adherens junction {GO:0005913}; cell-cell junction {GO:0005911}; centrosome {GO:0005813}; cytoplasm {GO:0005737}; cytosol {GO:0005829}; extracellular exosome {GO:0070062}; fascia adherens {GO:0005916}; flotillin complex {GO:0016600}; focal adhesion {GO:0005925}; lamellipodium {GO:0030027}; lateral plasma membrane {GO:0016328}; membrane {GO:0016020}; microvillus membrane {GO:0031528}; nuclear euchromatin {GO:0005719}; nucleoplasm {GO:0005654}; nucleus {GO:0005634}; perinuclear region of cytoplasm {GO:0048471}; plasma membrane {GO:0005886}; postsynaptic density, intracellular component {GO:0099092}; postsynaptic membrane {GO:0045211}; presynaptic active zone cytoplasmic component {GO:0098831}; presynaptic membrane {GO:0042734}; protein-containing complex {GO:0032991}; protein-DNA complex {GO:0032993}; Schaffer collateral - CA1 synapse {GO:0098685}; Scrib-APC-beta-catenin complex {GO:0034750}; spindle pole {GO:0000922}; synapse {GO:0045202}; transcription factor complex {GO:0005667}; Wnt signalosome {GO:1990909}; Z disc {GO:0030018}</t>
  </si>
  <si>
    <t>alpha-catenin binding {GO:0045294}; androgen receptor binding {GO:0050681}; cadherin binding {GO:0045296}; chromatin binding {GO:0003682}; disordered domain specific binding {GO:0097718}; DNA-binding transcription factor activity {GO:0003700}; enzyme binding {GO:0019899}; estrogen receptor binding {GO:0030331}; I-SMAD binding {GO:0070411}; ion channel binding {GO:0044325}; kinase binding {GO:0019900}; nuclear hormone receptor binding {GO:0035257}; protein C-terminus binding {GO:0008022}; protein heterodimerization activity {GO:0046982}; protein kinase binding {GO:0019901}; protein phosphatase binding {GO:0019903}; repressing transcription factor binding {GO:0070491}; RNA polymerase II activating transcription factor binding {GO:0001102}; RNA polymerase II transcription factor binding {GO:0001085}; SMAD binding {GO:0046332}; transcription coactivator activity {GO:0003713}; transcription factor binding {GO:0008134}</t>
  </si>
  <si>
    <t>Degradation of beta-catenin by the destruction complex {R-HSA-195253}; Beta-catenin phosphorylation cascade {R-HSA-196299}; TCF dependent signaling in response to WNT {R-HSA-201681}; Formation of the beta-catenin:TCF transactivating complex {R-HSA-201722}; LRR FLII-interacting protein 1 (LRRFIP1) activates type I IFN production {R-HSA-3134973}; Apoptotic cleavage of cell adhesion proteins {R-HSA-351906}; Deactivation of the beta-catenin transactivating complex {R-HSA-3769402}; Synthesis, secretion, and inactivation of Glucagon-like Peptide-1 (GLP-1) {R-HSA-381771}; Ca2+ pathway {R-HSA-4086398}; Adherens junctions interactions {R-HSA-418990}; Binding of TCF/LEF:CTNNB1 to target gene promoters {R-HSA-4411364}; Disassembly of the destruction complex and recruitment of AXIN to the membrane {R-HSA-4641262}; VEGFR2 mediated vascular permeability {R-HSA-5218920}; Myogenesis {R-HSA-525793}; Misspliced GSK3beta mutants stabilize beta-catenin {R-HSA-5339716}; S33 mutants of beta-catenin aren't phosphorylated {R-HSA-5358747}; S37 mutants of beta-catenin aren't phosphorylated {R-HSA-5358749}; S45 mutants of beta-catenin aren't phosphorylated {R-HSA-5358751}; T41 mutants of beta-catenin aren't phosphorylated {R-HSA-5358752}; RHO GTPases activate IQGAPs {R-HSA-5626467}; InlA-mediated entry of Listeria monocytogenes into host cells {R-HSA-8876493}; RUNX3 regulates WNT signaling {R-HSA-8951430}</t>
  </si>
  <si>
    <t>Alpha-2-HS-glycoprotein chain B</t>
  </si>
  <si>
    <t>Alpha-2-Z-globulin; Ba-alpha-2-glycoprotein; Fetuin-A</t>
  </si>
  <si>
    <t>FETUA_HUMAN</t>
  </si>
  <si>
    <t>P02765</t>
  </si>
  <si>
    <t>A8K9N6; B2R7G1; O14961; O14962; Q9P152</t>
  </si>
  <si>
    <t>FETUA</t>
  </si>
  <si>
    <t>Disease mutation; Disulfide bond; Glycoprotein; Hypotrichosis; Mental retardation; Mineral balance; Phosphoprotein; Polymorphism; Repeat; Secreted; Signal</t>
  </si>
  <si>
    <t>Mineral balance</t>
  </si>
  <si>
    <t>Disease mutation; Hypotrichosis; Mental retardation</t>
  </si>
  <si>
    <t>acute-phase response {GO:0006953}; cellular protein metabolic process {GO:0044267}; negative regulation of bone mineralization {GO:0030502}; negative regulation of endopeptidase activity {GO:0010951}; negative regulation of insulin receptor signaling pathway {GO:0046627}; neutrophil degranulation {GO:0043312}; pinocytosis {GO:0006907}; platelet degranulation {GO:0002576}; positive regulation of phagocytosis {GO:0050766}; post-translational protein modification {GO:0043687}; regulation of bone mineralization {GO:0030500}; regulation of inflammatory response {GO:0050727}; skeletal system development {GO:0001501}</t>
  </si>
  <si>
    <t>blood microparticle {GO:0072562}; collagen-containing extracellular matrix {GO:0062023}; endoplasmic reticulum lumen {GO:0005788}; extracellular exosome {GO:0070062}; extracellular region {GO:0005576}; extracellular space {GO:0005615}; Golgi apparatus {GO:0005794}; platelet alpha granule lumen {GO:0031093}; secretory granule lumen {GO:0034774}</t>
  </si>
  <si>
    <t>cysteine-type endopeptidase inhibitor activity {GO:0004869}; kinase inhibitor activity {GO:0019210}</t>
  </si>
  <si>
    <t>Platelet degranulation {R-HSA-114608}; Regulation of Insulin-like Growth Factor (IGF) transport and uptake by Insulin-like Growth Factor Binding Proteins (IGFBPs) {R-HSA-381426}; Neutrophil degranulation {R-HSA-6798695}; Post-translational protein phosphorylation {R-HSA-8957275}</t>
  </si>
  <si>
    <t>Glycerol-3-phosphate dehydrogenase 1-like protein (GPD1-L)</t>
  </si>
  <si>
    <t>GPD1L_HUMAN</t>
  </si>
  <si>
    <t>Q8N335</t>
  </si>
  <si>
    <t>A8K9U3; Q14702; Q9BRM5</t>
  </si>
  <si>
    <t>KIAA0089</t>
  </si>
  <si>
    <t>3D-structure; Brugada syndrome; Cytoplasm; Disease mutation; NAD; Oxidoreductase; Polymorphism</t>
  </si>
  <si>
    <t>Brugada syndrome; Disease mutation</t>
  </si>
  <si>
    <t>carbohydrate metabolic process {GO:0005975}; glycerol-3-phosphate catabolic process {GO:0046168}; NAD metabolic process {GO:0019674}; NADH metabolic process {GO:0006734}; negative regulation of peptidyl-serine phosphorylation {GO:0033137}; negative regulation of protein kinase C signaling {GO:0090038}; phosphatidic acid biosynthetic process {GO:0006654}; positive regulation of protein localization to cell surface {GO:2000010}; positive regulation of sodium ion transport {GO:0010765}; regulation of heart rate {GO:0002027}; regulation of sodium ion transmembrane transporter activity {GO:2000649}; regulation of ventricular cardiac muscle cell membrane depolarization {GO:0060373}; ventricular cardiac muscle cell action potential {GO:0086005}</t>
  </si>
  <si>
    <t>cytosol {GO:0005829}; extracellular exosome {GO:0070062}; glycerol-3-phosphate dehydrogenase complex {GO:0009331}; plasma membrane {GO:0005886}</t>
  </si>
  <si>
    <t>ion channel binding {GO:0044325}; NAD binding {GO:0051287}; oxidoreductase activity, acting on the CH-OH group of donors, NAD or NADP as acceptor {GO:0016616}; protein homodimerization activity {GO:0042803}; sodium channel regulator activity {GO:0017080}</t>
  </si>
  <si>
    <t>Myosin light chain 3</t>
  </si>
  <si>
    <t>Cardiac myosin light chain 1 (CMLC1); Myosin light chain 1, slow-twitch muscle B/ventricular isoform (MLC1SB); Ventricular myosin alkali light chain; Ventricular myosin light chain 1 (VLCl); Ventricular/slow twitch myosin alkali light chain (MLC-lV/sb)</t>
  </si>
  <si>
    <t>MYL3_HUMAN</t>
  </si>
  <si>
    <t>P08590</t>
  </si>
  <si>
    <t>B2R534; Q9NRS8</t>
  </si>
  <si>
    <t>3D-structure; Cardiomyopathy; Disease mutation; Methylation; Motor protein; Muscle protein; Myosin; Phosphoprotein; Repeat</t>
  </si>
  <si>
    <t>cardiac muscle contraction {GO:0060048}; muscle filament sliding {GO:0030049}; positive regulation of ATPase activity {GO:0032781}; regulation of striated muscle contraction {GO:0006942}; regulation of the force of heart contraction {GO:0002026}; skeletal muscle tissue development {GO:0007519}; ventricular cardiac muscle tissue morphogenesis {GO:0055010}</t>
  </si>
  <si>
    <t>A band {GO:0031672}; cytosol {GO:0005829}; I band {GO:0031674}; muscle myosin complex {GO:0005859}; sarcomere {GO:0030017}</t>
  </si>
  <si>
    <t>actin monomer binding {GO:0003785}; calcium ion binding {GO:0005509}; motor activity {GO:0003774}; myosin II heavy chain binding {GO:0032038}; structural constituent of muscle {GO:0008307}</t>
  </si>
  <si>
    <t>Guanine nucleotide-binding protein subunit alpha-11 (G alpha-11; G-protein subunit alpha-11)</t>
  </si>
  <si>
    <t>Guanine nucleotide-binding protein G(y) subunit alpha</t>
  </si>
  <si>
    <t>GNA11_HUMAN</t>
  </si>
  <si>
    <t>P29992</t>
  </si>
  <si>
    <t>O15109; Q14350; Q6IB00</t>
  </si>
  <si>
    <t>GA11</t>
  </si>
  <si>
    <t>ADP-ribosylation; Cell membrane; Cytoplasm; Disease mutation; GTP-binding; Lipoprotein; Magnesium; Membrane; Metal-binding; Nucleotide-binding; Palmitate; Transducer</t>
  </si>
  <si>
    <t>ADP-ribosylation; Lipoprotein; Palmitate</t>
  </si>
  <si>
    <t>action potential {GO:0001508}; adenylate cyclase-modulating G protein-coupled receptor signaling pathway {GO:0007188}; cellular response to pH {GO:0071467}; developmental pigmentation {GO:0048066}; entrainment of circadian clock {GO:0009649}; G protein-coupled acetylcholine receptor signaling pathway {GO:0007213}; G protein-coupled receptor signaling pathway {GO:0007186}; heart development {GO:0007507}; phospholipase C-activating dopamine receptor signaling pathway {GO:0060158}; phototransduction, visible light {GO:0007603}; platelet activation {GO:0030168}; regulation of melanocyte differentiation {GO:0045634}; signal transduction {GO:0007165}; skeletal system development {GO:0001501}</t>
  </si>
  <si>
    <t>cytoplasm {GO:0005737}; extracellular exosome {GO:0070062}; heterotrimeric G-protein complex {GO:0005834}; lysosomal membrane {GO:0005765}; photoreceptor outer segment {GO:0001750}; plasma membrane {GO:0005886}</t>
  </si>
  <si>
    <t>G protein-coupled receptor binding {GO:0001664}; G-protein beta/gamma-subunit complex binding {GO:0031683}; GTP binding {GO:0005525}; GTPase activity {GO:0003924}; metal ion binding {GO:0046872}; type 2A serotonin receptor binding {GO:0031826}</t>
  </si>
  <si>
    <t>Acetylcholine regulates insulin secretion {R-HSA-399997}; G alpha (q) signalling events {R-HSA-416476}; ADP signalling through P2Y purinoceptor 1 {R-HSA-418592}; Thromboxane signalling through TP receptor {R-HSA-428930}; Fatty Acids bound to GPR40 (FFAR1) regulate insulin secretion {R-HSA-434316}; Thrombin signalling through proteinase activated receptors (PARs) {R-HSA-456926}</t>
  </si>
  <si>
    <t>Cytosolic 10-formyltetrahydrofolate dehydrogenase (10-FTHFDH; FDH)</t>
  </si>
  <si>
    <t>Aldehyde dehydrogenase family 1 member L1</t>
  </si>
  <si>
    <t>AL1L1_HUMAN</t>
  </si>
  <si>
    <t>O75891</t>
  </si>
  <si>
    <t>B4DG36; E9PBX3; Q68CS1; Q8TBP8</t>
  </si>
  <si>
    <t>FTHFD</t>
  </si>
  <si>
    <t>3D-structure; Acetylation; Alternative splicing; Cytoplasm; NADP; One-carbon metabolism; Oxidoreductase; Phosphopantetheine; Phosphoprotein; Polymorphism</t>
  </si>
  <si>
    <t>Acetylation; Phosphopantetheine; Phosphoprotein</t>
  </si>
  <si>
    <t>10-formyltetrahydrofolate catabolic process {GO:0009258}; biosynthetic process {GO:0009058}; folic acid metabolic process {GO:0046655}; one-carbon metabolic process {GO:0006730}</t>
  </si>
  <si>
    <t>aldehyde dehydrogenase (NAD) activity {GO:0004029}; catalytic activity {GO:0003824}; formyltetrahydrofolate dehydrogenase activity {GO:0016155}; hydroxymethyl-, formyl- and related transferase activity {GO:0016742}</t>
  </si>
  <si>
    <t>Glutaryl-CoA dehydrogenase, mitochondrial (GCD)</t>
  </si>
  <si>
    <t>GCDH_HUMAN</t>
  </si>
  <si>
    <t>Q92947</t>
  </si>
  <si>
    <t>A8K2Z2; O14719</t>
  </si>
  <si>
    <t>3D-structure; Acetylation; Alternative splicing; Disease mutation; FAD; Flavoprotein; Glutaricaciduria; Mitochondrion; Oxidoreductase; Polymorphism; Transit peptide</t>
  </si>
  <si>
    <t>fatty acid beta-oxidation using acyl-CoA dehydrogenase {GO:0033539}; fatty-acyl-CoA biosynthetic process {GO:0046949}; lysine catabolic process {GO:0006554}; tryptophan metabolic process {GO:0006568}</t>
  </si>
  <si>
    <t>fatty-acyl-CoA binding {GO:0000062}; flavin adenine dinucleotide binding {GO:0050660}; glutaryl-CoA dehydrogenase activity {GO:0004361}; glutaryl-CoA hydrolase activity {GO:0044466}</t>
  </si>
  <si>
    <t>Amino-acid metabolism; tryptophan metabolism.</t>
  </si>
  <si>
    <t>Lysine catabolism {R-HSA-71064}</t>
  </si>
  <si>
    <t>Cystatin-A, N-terminally processed</t>
  </si>
  <si>
    <t>Cystatin-AS; Stefin-A</t>
  </si>
  <si>
    <t>CYTA_HUMAN</t>
  </si>
  <si>
    <t>P01040</t>
  </si>
  <si>
    <t>Q6IB90</t>
  </si>
  <si>
    <t>STF1; STFA</t>
  </si>
  <si>
    <t>3D-structure; Acetylation; Cell adhesion; Cytoplasm; Ichthyosis; Polymorphism; Protease inhibitor; Thiol protease inhibitor</t>
  </si>
  <si>
    <t>cell-cell adhesion {GO:0098609}; cornification {GO:0070268}; keratinocyte differentiation {GO:0030216}; negative regulation of peptidase activity {GO:0010466}; negative regulation of proteolysis {GO:0045861}; peptide cross-linking {GO:0018149}</t>
  </si>
  <si>
    <t>cornified envelope {GO:0001533}; cytoplasm {GO:0005737}; cytosol {GO:0005829}; extracellular space {GO:0005615}; nucleus {GO:0005634}</t>
  </si>
  <si>
    <t>cysteine-type endopeptidase inhibitor activity {GO:0004869}; protease binding {GO:0002020}</t>
  </si>
  <si>
    <t>LIM and cysteine-rich domains protein 1</t>
  </si>
  <si>
    <t>Dyxin</t>
  </si>
  <si>
    <t>LMCD1_HUMAN</t>
  </si>
  <si>
    <t>Q9NZU5</t>
  </si>
  <si>
    <t>B4DG80</t>
  </si>
  <si>
    <t>Alternative splicing; Cytoplasm; LIM domain; Metal-binding; Nucleus; Phosphoprotein; Repeat; Repressor; Transcription; Transcription regulation; Zinc</t>
  </si>
  <si>
    <t>cellular protein metabolic process {GO:0044267}; negative regulation of transcription by RNA polymerase II {GO:0000122}; positive regulation of calcineurin-NFAT signaling cascade {GO:0070886}; regulation of cardiac muscle hypertrophy {GO:0010611}</t>
  </si>
  <si>
    <t>cytoplasm {GO:0005737}; nucleoplasm {GO:0005654}; nucleus {GO:0005634}</t>
  </si>
  <si>
    <t>transcription corepressor activity {GO:0003714}; zinc ion binding {GO:0008270}</t>
  </si>
  <si>
    <t>Complement factor D</t>
  </si>
  <si>
    <t>Adipsin; C3 convertase activator; Properdin factor D</t>
  </si>
  <si>
    <t>CFAD_HUMAN</t>
  </si>
  <si>
    <t>P00746</t>
  </si>
  <si>
    <t>B4DV76; Q5U5S1; Q86VJ5; Q8N4E0; Q8WZB4</t>
  </si>
  <si>
    <t>DF; PFD</t>
  </si>
  <si>
    <t>3D-structure; Complement alternate pathway; Disease mutation; Disulfide bond; Hydrolase; Immunity; Innate immunity; Polymorphism; Protease; Secreted; Serine protease; Signal; Zymogen</t>
  </si>
  <si>
    <t>Complement alternate pathway; Immunity; Innate immunity</t>
  </si>
  <si>
    <t>complement activation {GO:0006956}; complement activation, alternative pathway {GO:0006957}; neutrophil degranulation {GO:0043312}; platelet degranulation {GO:0002576}; proteolysis {GO:0006508}</t>
  </si>
  <si>
    <t>extracellular exosome {GO:0070062}; extracellular region {GO:0005576}; ficolin-1-rich granule lumen {GO:1904813}; platelet alpha granule lumen {GO:0031093}; secretory granule lumen {GO:0034774}</t>
  </si>
  <si>
    <t>serine-type endopeptidase activity {GO:0004252}; serine-type peptidase activity {GO:0008236}</t>
  </si>
  <si>
    <t>Platelet degranulation {R-HSA-114608}; Alternative complement activation {R-HSA-173736}; Neutrophil degranulation {R-HSA-6798695}</t>
  </si>
  <si>
    <t>Coatomer subunit gamma-1</t>
  </si>
  <si>
    <t>Gamma-1-coat protein (Gamma-1-COP)</t>
  </si>
  <si>
    <t>COPG1_HUMAN</t>
  </si>
  <si>
    <t>Q9Y678</t>
  </si>
  <si>
    <t>A8K6M8; B3KMF6; Q54AC4</t>
  </si>
  <si>
    <t>COPG</t>
  </si>
  <si>
    <t>3D-structure; Cytoplasm; Cytoplasmic vesicle; ER-Golgi transport; Golgi apparatus; Membrane; Phosphoprotein; Polymorphism; Protein transport; Repeat; Transport</t>
  </si>
  <si>
    <t>endoplasmic reticulum to Golgi vesicle-mediated transport {GO:0006888}; establishment of Golgi localization {GO:0051683}; intra-Golgi vesicle-mediated transport {GO:0006891}; intracellular protein transport {GO:0006886}; organelle transport along microtubule {GO:0072384}; protein secretion {GO:0009306}; retrograde vesicle-mediated transport, Golgi to endoplasmic reticulum {GO:0006890}</t>
  </si>
  <si>
    <t>Trefoil factor 3</t>
  </si>
  <si>
    <t>Intestinal trefoil factor (hITF); Polypeptide P1.B (hP1.B)</t>
  </si>
  <si>
    <t>TFF3_HUMAN</t>
  </si>
  <si>
    <t>Q07654</t>
  </si>
  <si>
    <t>A0A0A6YYJ4; E9PBB5; Q96NX0; Q9UDA5</t>
  </si>
  <si>
    <t>ITF; TFI</t>
  </si>
  <si>
    <t>3D-structure; Cytoplasm; Disulfide bond; Extracellular matrix; Secreted; Signal</t>
  </si>
  <si>
    <t>Cytoplasm; Extracellular matrix; Secreted</t>
  </si>
  <si>
    <t>maintenance of gastrointestinal epithelium {GO:0030277}; regulation of glucose metabolic process {GO:0010906}</t>
  </si>
  <si>
    <t>extracellular region {GO:0005576}; extracellular space {GO:0005615}; secretory granule {GO:0030141}</t>
  </si>
  <si>
    <t>Estrogen-dependent gene expression {R-HSA-9018519}</t>
  </si>
  <si>
    <t>Processed neural cell adhesion molecule L1-like protein</t>
  </si>
  <si>
    <t>Close homolog of L1</t>
  </si>
  <si>
    <t>NCHL1_HUMAN</t>
  </si>
  <si>
    <t>O00533</t>
  </si>
  <si>
    <t>B7ZL03; Q2M3G2; Q59FY0</t>
  </si>
  <si>
    <t>CALL</t>
  </si>
  <si>
    <t>Alternative splicing; Cell adhesion; Cell membrane; Developmental protein; Differentiation; Disulfide bond; Extracellular matrix; Glycoprotein; Immunoglobulin domain; Membrane; Neurogenesis; Phosphoprotein; Polymorphism; Repeat; Secreted; Signal; Transmembrane; Transmembrane helix</t>
  </si>
  <si>
    <t>Cell adhesion; Differentiation; Neurogenesis</t>
  </si>
  <si>
    <t>Cell membrane; Extracellular matrix; Membrane; Secreted</t>
  </si>
  <si>
    <t>adult locomotory behavior {GO:0008344}; axon guidance {GO:0007411}; cell adhesion {GO:0007155}; cognition {GO:0050890}; exploration behavior {GO:0035640}; negative regulation of neuron apoptotic process {GO:0043524}; neuron migration {GO:0001764}; signal transduction {GO:0007165}</t>
  </si>
  <si>
    <t>apical part of cell {GO:0045177}; dendrite {GO:0030425}; extracellular exosome {GO:0070062}; integral component of membrane {GO:0016021}; plasma membrane {GO:0005886}</t>
  </si>
  <si>
    <t>protease binding {GO:0002020}</t>
  </si>
  <si>
    <t>CHL1 interactions {R-HSA-447041}</t>
  </si>
  <si>
    <t>Perilipin-3</t>
  </si>
  <si>
    <t>47 kDa mannose 6-phosphate receptor-binding protein (47 kDa MPR-binding protein); Cargo selection protein TIP47; Mannose-6-phosphate receptor-binding protein 1; Placental protein 17 (PP17)</t>
  </si>
  <si>
    <t>PLIN3_HUMAN</t>
  </si>
  <si>
    <t>O60664</t>
  </si>
  <si>
    <t>A8K4Y9; K7EQF4; Q53G77; Q9BS03; Q9UBD7; Q9UP92</t>
  </si>
  <si>
    <t>M6PRBP1; TIP47</t>
  </si>
  <si>
    <t>Acetylation; Alternative splicing; Coiled coil; Cytoplasm; Endosome; Isopeptide bond; Lipid droplet; Membrane; Phosphoprotein; Polymorphism; Transport; Ubl conjugation</t>
  </si>
  <si>
    <t>Cytoplasm; Endosome; Lipid droplet; Membrane</t>
  </si>
  <si>
    <t>vesicle-mediated transport {GO:0016192}</t>
  </si>
  <si>
    <t>cytoplasm {GO:0005737}; cytosol {GO:0005829}; endosome {GO:0005768}; endosome membrane {GO:0010008}; Golgi apparatus {GO:0005794}; lipid droplet {GO:0005811}; membrane {GO:0016020}; transport vesicle {GO:0030133}</t>
  </si>
  <si>
    <t>cadherin binding {GO:0045296}</t>
  </si>
  <si>
    <t>Triglyceride catabolism {R-HSA-163560}; Retrograde transport at the Trans-Golgi-Network {R-HSA-6811440}</t>
  </si>
  <si>
    <t>Twinfilin-2</t>
  </si>
  <si>
    <t>A6-related protein (hA6RP); Protein tyrosine kinase 9-like; Twinfilin-1-like protein</t>
  </si>
  <si>
    <t>TWF2_HUMAN</t>
  </si>
  <si>
    <t>Q6IBS0</t>
  </si>
  <si>
    <t>Q9Y3F5</t>
  </si>
  <si>
    <t>PTK9L</t>
  </si>
  <si>
    <t>3D-structure; Acetylation; Actin-binding; Cell projection; Cilium biogenesis/degradation; Cytoplasm; Cytoskeleton; Phosphoprotein; Polymorphism; Repeat</t>
  </si>
  <si>
    <t>Cilium biogenesis/degradation</t>
  </si>
  <si>
    <t>actin filament depolymerization {GO:0030042}; barbed-end actin filament capping {GO:0051016}; cell projection organization {GO:0030030}; cellular response to growth factor stimulus {GO:0071363}; cellular response to retinoic acid {GO:0071300}; negative regulation of actin filament polymerization {GO:0030837}; positive regulation of axon extension {GO:0045773}; positive regulation of lamellipodium assembly {GO:0010592}; positive regulation of neuron projection development {GO:0010976}; regulation of actin cytoskeleton organization {GO:0032956}; regulation of lamellipodium assembly {GO:0010591}; regulation of microvillus length {GO:0032532}; sequestering of actin monomers {GO:0042989}</t>
  </si>
  <si>
    <t>actin filament {GO:0005884}; cytoplasm {GO:0005737}; extracellular exosome {GO:0070062}; filopodium {GO:0030175}; growth cone {GO:0030426}; lamellipodium {GO:0030027}; myofibril {GO:0030016}; perinuclear region of cytoplasm {GO:0048471}; stereocilium {GO:0032420}</t>
  </si>
  <si>
    <t>actin filament binding {GO:0051015}; actin monomer binding {GO:0003785}; ATP binding {GO:0005524}; cadherin binding {GO:0045296}; phosphatidylinositol-4,5-bisphosphate binding {GO:0005546}; protein kinase C binding {GO:0005080}; RNA binding {GO:0003723}</t>
  </si>
  <si>
    <t>Lysosome-associated membrane glycoprotein 3 (LAMP-3; Lysosomal-associated membrane protein 3)</t>
  </si>
  <si>
    <t>DC-lysosome-associated membrane glycoprotein (DC LAMP); Protein TSC403; CD_antigen=CD208</t>
  </si>
  <si>
    <t>LAMP3_HUMAN</t>
  </si>
  <si>
    <t>Q9UQV4</t>
  </si>
  <si>
    <t>D3DNS4; O94781; Q8NEC8</t>
  </si>
  <si>
    <t>DCLAMP; TSC403</t>
  </si>
  <si>
    <t>3D-structure; Adaptive immunity; Cytoplasmic vesicle; Disulfide bond; Glycoprotein; Immunity; Lysosome; Membrane; Polymorphism; Signal; Transmembrane; Transmembrane helix</t>
  </si>
  <si>
    <t>Cytoplasmic vesicle; Lysosome; Membrane</t>
  </si>
  <si>
    <t>adaptive immune response {GO:0002250}; establishment of protein localization to organelle {GO:0072594}; negative regulation of cysteine-type endopeptidase activity involved in apoptotic process {GO:0043154}; negative regulation of proteasomal protein catabolic process {GO:1901799}; positive regulation of gene expression {GO:0010628}; regulation of autophagy {GO:0010506}; regulation of viral life cycle {GO:1903900}; response to interferon-alpha {GO:0035455}</t>
  </si>
  <si>
    <t>alveolar lamellar body membrane {GO:0097233}; early endosome {GO:0005769}; integral component of membrane {GO:0016021}; intracellular membrane-bounded organelle {GO:0043231}; late endosome membrane {GO:0031902}; lysosomal membrane {GO:0005765}; perinuclear region of cytoplasm {GO:0048471}; plasma membrane {GO:0005886}; vesicle {GO:0031982}</t>
  </si>
  <si>
    <t>Collagen alpha-2(VI) chain</t>
  </si>
  <si>
    <t>CO6A2_HUMAN</t>
  </si>
  <si>
    <t>P12110</t>
  </si>
  <si>
    <t>Q13909; Q13910; Q13911; Q14048; Q14049; Q16259; Q16597; Q6P0Q1; Q9UML3; Q9Y4S8</t>
  </si>
  <si>
    <t>Alternative splicing; Cell adhesion; Collagen; Congenital muscular dystrophy; Disease mutation; Extracellular matrix; Glycoprotein; Hydroxylation; Limb-girdle muscular dystrophy; Membrane; Phosphoprotein; Polymorphism; Repeat; Secreted; Signal</t>
  </si>
  <si>
    <t>Extracellular matrix; Membrane; Secreted</t>
  </si>
  <si>
    <t>Congenital muscular dystrophy; Disease mutation; Limb-girdle muscular dystrophy</t>
  </si>
  <si>
    <t>Glycoprotein; Hydroxylation; Phosphoprotein</t>
  </si>
  <si>
    <t>cell adhesion {GO:0007155}; extracellular matrix organization {GO:0030198}; growth plate cartilage chondrocyte morphogenesis {GO:0003429}; protein heterotrimerization {GO:0070208}; response to glucose {GO:0009749}</t>
  </si>
  <si>
    <t>collagen trimer {GO:0005581}; collagen-containing extracellular matrix {GO:0062023}; endoplasmic reticulum lumen {GO:0005788}; extracellular exosome {GO:0070062}; extracellular matrix {GO:0031012}; extracellular region {GO:0005576}; extracellular space {GO:0005615}; extracellular vesicle {GO:1903561}; protein-containing complex {GO:0032991}; sarcolemma {GO:0042383}</t>
  </si>
  <si>
    <t>extracellular matrix structural constituent conferring tensile strength {GO:0030020}</t>
  </si>
  <si>
    <t>Collagen degradation {R-HSA-1442490}; Collagen biosynthesis and modifying enzymes {R-HSA-1650814}; Signaling by PDGF {R-HSA-186797}; Assembly of collagen fibrils and other multimeric structures {R-HSA-2022090}; Integrin cell surface interactions {R-HSA-216083}; ECM proteoglycans {R-HSA-3000178}; NCAM1 interactions {R-HSA-419037}; Collagen chain trimerization {R-HSA-8948216}</t>
  </si>
  <si>
    <t>Superoxide dismutase [Cu-Zn]</t>
  </si>
  <si>
    <t>Superoxide dismutase 1 (hSod1)</t>
  </si>
  <si>
    <t>SODC_HUMAN</t>
  </si>
  <si>
    <t>P00441</t>
  </si>
  <si>
    <t>A6NHJ0; D3DSE4; Q16669; Q16711; Q16838; Q16839; Q16840; Q6NR85</t>
  </si>
  <si>
    <t>3D-structure; Acetylation; Amyotrophic lateral sclerosis; Antioxidant; Copper; Cytoplasm; Disease mutation; Disulfide bond; Lipoprotein; Metal-binding; Mitochondrion; Neurodegeneration; Nucleus; Oxidoreductase; Palmitate; Phosphoprotein; Ubl conjugation; Zinc</t>
  </si>
  <si>
    <t>Antioxidant; Oxidoreductase</t>
  </si>
  <si>
    <t>Acetylation; Disulfide bond; Lipoprotein; Palmitate; Phosphoprotein; Ubl conjugation</t>
  </si>
  <si>
    <t>activation of MAPK activity {GO:0000187}; anterograde axonal transport {GO:0008089}; auditory receptor cell stereocilium organization {GO:0060088}; cell aging {GO:0007569}; cellular iron ion homeostasis {GO:0006879}; cellular response to ATP {GO:0071318}; cellular response to cadmium ion {GO:0071276}; cellular response to oxidative stress {GO:0034599}; cellular response to potassium ion {GO:0035865}; embryo implantation {GO:0007566}; glutathione metabolic process {GO:0006749}; heart contraction {GO:0060047}; hydrogen peroxide biosynthetic process {GO:0050665}; interleukin-12-mediated signaling pathway {GO:0035722}; locomotory behavior {GO:0007626}; muscle cell cellular homeostasis {GO:0046716}; myeloid cell homeostasis {GO:0002262}; negative regulation of cholesterol biosynthetic process {GO:0045541}; negative regulation of inflammatory response {GO:0050728}; negative regulation of neuron apoptotic process {GO:0043524}; neurofilament cytoskeleton organization {GO:0060052}; ovarian follicle development {GO:0001541}; peripheral nervous system myelin maintenance {GO:0032287}; placenta development {GO:0001890}; platelet degranulation {GO:0002576}; positive regulation of apoptotic process {GO:0043065}; positive regulation of catalytic activity {GO:0043085}; positive regulation of cytokine production {GO:0001819}; positive regulation of oxidative stress-induced intrinsic apoptotic signaling pathway {GO:1902177}; positive regulation of phagocytosis {GO:0050766}; positive regulation of superoxide anion generation {GO:0032930}; reactive oxygen species metabolic process {GO:0072593}; regulation of blood pressure {GO:0008217}; regulation of GTPase activity {GO:0043087}; regulation of mitochondrial membrane potential {GO:0051881}; regulation of multicellular organism growth {GO:0040014}; regulation of organ growth {GO:0046620}; regulation of protein kinase activity {GO:0045859}; regulation of T cell differentiation in thymus {GO:0033081}; relaxation of vascular smooth muscle {GO:0060087}; removal of superoxide radicals {GO:0019430}; response to amphetamine {GO:0001975}; response to antipsychotic drug {GO:0097332}; response to axon injury {GO:0048678}; response to carbon monoxide {GO:0034465}; response to copper ion {GO:0046688}; response to drug {GO:0042493}; response to ethanol {GO:0045471}; response to heat {GO:0009408}; response to hydrogen peroxide {GO:0042542}; response to organic substance {GO:0010033}; response to superoxide {GO:0000303}; retina homeostasis {GO:0001895}; retrograde axonal transport {GO:0008090}; sensory perception of sound {GO:0007605}; spermatogenesis {GO:0007283}; superoxide anion generation {GO:0042554}; superoxide metabolic process {GO:0006801}; thymus development {GO:0048538}; transmission of nerve impulse {GO:0019226}</t>
  </si>
  <si>
    <t>axon cytoplasm {GO:1904115}; cytoplasm {GO:0005737}; cytoplasmic vesicle {GO:0031410}; cytosol {GO:0005829}; dendrite cytoplasm {GO:0032839}; dense core granule {GO:0031045}; extracellular exosome {GO:0070062}; extracellular region {GO:0005576}; extracellular space {GO:0005615}; lysosome {GO:0005764}; mitochondrial intermembrane space {GO:0005758}; mitochondrial matrix {GO:0005759}; mitochondrion {GO:0005739}; neuronal cell body {GO:0043025}; nucleoplasm {GO:0005654}; nucleus {GO:0005634}; peroxisome {GO:0005777}; protein-containing complex {GO:0032991}</t>
  </si>
  <si>
    <t>chaperone binding {GO:0051087}; copper ion binding {GO:0005507}; identical protein binding {GO:0042802}; protein homodimerization activity {GO:0042803}; protein phosphatase 2B binding {GO:0030346}; Rac GTPase binding {GO:0048365}; superoxide dismutase activity {GO:0004784}; zinc ion binding {GO:0008270}</t>
  </si>
  <si>
    <t>Platelet degranulation {R-HSA-114608}; Detoxification of Reactive Oxygen Species {R-HSA-3299685}; Gene and protein expression by JAK-STAT signaling after Interleukin-12 stimulation {R-HSA-8950505}</t>
  </si>
  <si>
    <t>N-acetylmuramoyl-L-alanine amidase</t>
  </si>
  <si>
    <t>Peptidoglycan recognition protein 2; Peptidoglycan recognition protein long (PGRP-L)</t>
  </si>
  <si>
    <t>PGRP2_HUMAN</t>
  </si>
  <si>
    <t>Q96PD5</t>
  </si>
  <si>
    <t>A8K050; A8K8C7; B2RMZ2; B7ZM33; Q68CK1; Q96N74; Q9UC60</t>
  </si>
  <si>
    <t>PGLYRPL; PGRPL</t>
  </si>
  <si>
    <t>Alternative splicing; Disulfide bond; Glycoprotein; Hydrolase; Immunity; Membrane; Metal-binding; Phosphoprotein; Polymorphism; Secreted; Signal; Zinc</t>
  </si>
  <si>
    <t>antimicrobial humoral response {GO:0019730}; defense response to Gram-positive bacterium {GO:0050830}; detection of bacterium {GO:0016045}; innate immune response {GO:0045087}; negative regulation of natural killer cell differentiation involved in immune response {GO:0032827}; peptide amidation {GO:0001519}; peptidoglycan catabolic process {GO:0009253}</t>
  </si>
  <si>
    <t>extracellular exosome {GO:0070062}; extracellular region {GO:0005576}; extracellular space {GO:0005615}; membrane {GO:0016020}</t>
  </si>
  <si>
    <t>N-acetylmuramoyl-L-alanine amidase activity {GO:0008745}; peptidoglycan binding {GO:0042834}; peptidoglycan receptor activity {GO:0016019}; zinc ion binding {GO:0008270}</t>
  </si>
  <si>
    <t>Ras-related protein Rab-3D</t>
  </si>
  <si>
    <t>RAB3D_HUMAN</t>
  </si>
  <si>
    <t>O95716</t>
  </si>
  <si>
    <t>GOV; RAB16</t>
  </si>
  <si>
    <t>3D-structure; Acetylation; Cell membrane; Exocytosis; GTP-binding; Lipoprotein; Membrane; Methylation; Nucleotide-binding; Phosphoprotein; Polymorphism; Prenylation; Protein transport; Transport</t>
  </si>
  <si>
    <t>bone resorption {GO:0045453}; intracellular protein transport {GO:0006886}; neutrophil degranulation {GO:0043312}; peptidyl-cysteine methylation {GO:0018125}; positive regulation of regulated secretory pathway {GO:1903307}; protein localization to plasma membrane {GO:0072659}; protein secretion {GO:0009306}; Rab protein signal transduction {GO:0032482}; regulation of exocytosis {GO:0017157}; vesicle docking involved in exocytosis {GO:0006904}</t>
  </si>
  <si>
    <t>azurophil granule membrane {GO:0035577}; cytoplasmic microtubule {GO:0005881}; endosome {GO:0005768}; extracellular exosome {GO:0070062}; plasma membrane {GO:0005886}; secretory vesicle {GO:0099503}; synaptic vesicle {GO:0008021}; vesicle {GO:0031982}; zymogen granule {GO:0042588}</t>
  </si>
  <si>
    <t>GTP binding {GO:0005525}; GTP-dependent protein binding {GO:0030742}; GTPase activity {GO:0003924}; myosin V binding {GO:0031489}</t>
  </si>
  <si>
    <t>Neutrophil degranulation {R-HSA-6798695}; RAB geranylgeranylation {R-HSA-8873719}</t>
  </si>
  <si>
    <t>Ras-related protein Rab-7a</t>
  </si>
  <si>
    <t>RAB7A_HUMAN</t>
  </si>
  <si>
    <t>P51149</t>
  </si>
  <si>
    <t>A8K3V6; Q9NWJ0; Q9UPB0</t>
  </si>
  <si>
    <t>RAB7</t>
  </si>
  <si>
    <t>3D-structure; Acetylation; Autophagy; Charcot-Marie-Tooth disease; Cytoplasmic vesicle; Disease mutation; Endosome; GTP-binding; Lipid degradation; Lipid droplet; Lipid metabolism; Lipoprotein; Lysosome; Membrane; Methylation; Neurodegeneration; Neuropathy; Nucleotide-binding; Phosphoprotein; Prenylation; Protein transport; Transport</t>
  </si>
  <si>
    <t>Autophagy; Lipid degradation; Lipid metabolism; Protein transport; Transport</t>
  </si>
  <si>
    <t>Cytoplasmic vesicle; Endosome; Lipid droplet; Lysosome; Membrane</t>
  </si>
  <si>
    <t>Charcot-Marie-Tooth disease; Disease mutation; Neurodegeneration; Neuropathy</t>
  </si>
  <si>
    <t>antigen processing and presentation of exogenous peptide antigen via MHC class II {GO:0019886}; autophagosome assembly {GO:0000045}; early endosome to late endosome transport {GO:0045022}; endocytosis {GO:0006897}; endosome to lysosome transport {GO:0008333}; epidermal growth factor catabolic process {GO:0007174}; intracellular protein transport {GO:0006886}; lipid catabolic process {GO:0016042}; lipophagy {GO:0061724}; multi-organism intracellular transport {GO:1902583}; negative regulation of exosomal secretion {GO:1903542}; negative regulation of intralumenal vesicle formation {GO:1905366}; neutrophil degranulation {GO:0043312}; phagosome acidification {GO:0090383}; phagosome maturation {GO:0090382}; phagosome-lysosome fusion {GO:0090385}; positive regulation of exosomal secretion {GO:1903543}; positive regulation of protein catabolic process {GO:0045732}; positive regulation of viral process {GO:0048524}; protein targeting to lysosome {GO:0006622}; protein to membrane docking {GO:0022615}; protein transport {GO:0015031}; Rab protein signal transduction {GO:0032482}; retrograde transport, endosome to Golgi {GO:0042147}; viral release from host cell {GO:0019076}</t>
  </si>
  <si>
    <t>autophagosome membrane {GO:0000421}; cytosol {GO:0005829}; endosome membrane {GO:0010008}; extracellular exosome {GO:0070062}; extrinsic component of lysosome membrane {GO:0032419}; Golgi apparatus {GO:0005794}; late endosome {GO:0005770}; late endosome membrane {GO:0031902}; lipid droplet {GO:0005811}; lysosomal membrane {GO:0005765}; lysosome {GO:0005764}; melanosome membrane {GO:0033162}; phagocytic vesicle {GO:0045335}; phagocytic vesicle membrane {GO:0030670}; phagophore assembly site membrane {GO:0034045}; plasma membrane {GO:0005886}; secretory granule membrane {GO:0030667}; vacuolar membrane {GO:0005774}</t>
  </si>
  <si>
    <t>GDP binding {GO:0019003}; GTP binding {GO:0005525}; GTPase activity {GO:0003924}; retromer complex binding {GO:1905394}</t>
  </si>
  <si>
    <t>MHC class II antigen presentation {R-HSA-2132295}; Neutrophil degranulation {R-HSA-6798695}; TBC/RABGAPs {R-HSA-8854214}; RAB geranylgeranylation {R-HSA-8873719}; RAB GEFs exchange GTP for GDP on RABs {R-HSA-8876198}</t>
  </si>
  <si>
    <t>Hyaluronidase-1 (Hyal-1)</t>
  </si>
  <si>
    <t>Hyaluronoglucosaminidase-1; Lung carcinoma protein 1 (LuCa-1)</t>
  </si>
  <si>
    <t>HYAL1_HUMAN</t>
  </si>
  <si>
    <t>Q12794</t>
  </si>
  <si>
    <t>Q6FH23; Q6PIZ6; Q7KYU2; Q7LE34; Q8NFK5; Q8NFK6; Q8NFK7; Q8NFK8; Q8NFK9; Q93013; Q9UKD5; Q9UNI8</t>
  </si>
  <si>
    <t>LUCA1</t>
  </si>
  <si>
    <t>3D-structure; Alternative splicing; Disease mutation; Disulfide bond; EGF-like domain; Glycoprotein; Glycosidase; Hydrolase; Lysosome; Mucopolysaccharidosis; Secreted; Signal</t>
  </si>
  <si>
    <t>Disease mutation; Mucopolysaccharidosis</t>
  </si>
  <si>
    <t>EGF-like domain; Signal</t>
  </si>
  <si>
    <t>carbohydrate metabolic process {GO:0005975}; cartilage development {GO:0051216}; cellular response to fibroblast growth factor stimulus {GO:0044344}; cellular response to interleukin-1 {GO:0071347}; cellular response to pH {GO:0071467}; cellular response to platelet-derived growth factor stimulus {GO:0036120}; cellular response to tumor necrosis factor {GO:0071356}; cellular response to UV-B {GO:0071493}; chondroitin sulfate catabolic process {GO:0030207}; embryonic skeletal joint morphogenesis {GO:0060272}; hyaluronan biosynthetic process {GO:0030213}; hyaluronan catabolic process {GO:0030214}; hyaluronan metabolic process {GO:0030212}; inflammatory response {GO:0006954}; negative regulation of cell growth {GO:0030308}; positive regulation of angiogenesis {GO:0045766}; positive regulation of cell adhesion {GO:0045785}; positive regulation of cell growth {GO:0030307}; positive regulation of epithelial cell migration {GO:0010634}; positive regulation of epithelial cell proliferation {GO:0050679}; positive regulation of G1/S transition of mitotic cell cycle {GO:1900087}; positive regulation of growth {GO:0045927}; positive regulation of hyaluranon cable assembly {GO:1900106}; response to antibiotic {GO:0046677}; response to reactive oxygen species {GO:0000302}; response to virus {GO:0009615}; viral entry into host cell {GO:0046718}</t>
  </si>
  <si>
    <t>cytoplasm {GO:0005737}; cytoplasmic vesicle {GO:0031410}; extracellular exosome {GO:0070062}; extracellular space {GO:0005615}; hyaluranon cable {GO:0036117}; lysosomal lumen {GO:0043202}; lysosome {GO:0005764}</t>
  </si>
  <si>
    <t>hyaluronan synthase activity {GO:0050501}; hyalurononglucosaminidase activity {GO:0004415}; transcription factor binding {GO:0008134}</t>
  </si>
  <si>
    <t>CS/DS degradation {R-HSA-2024101}; Hyaluronan uptake and degradation {R-HSA-2160916}; MPS IX - Natowicz syndrome {R-HSA-2206280}</t>
  </si>
  <si>
    <t>Calmodulin regulator protein PCP4</t>
  </si>
  <si>
    <t>Brain-specific polypeptide PEP-19; Purkinje cell protein 4</t>
  </si>
  <si>
    <t>PCP4_HUMAN</t>
  </si>
  <si>
    <t>P48539</t>
  </si>
  <si>
    <t>A6NDJ9; Q6ICS4; Q93059</t>
  </si>
  <si>
    <t>3D-structure; Calmodulin-binding</t>
  </si>
  <si>
    <t>calmodulin dependent kinase signaling pathway {GO:0099004}; positive regulation of neuron differentiation {GO:0045666}</t>
  </si>
  <si>
    <t>cytosol {GO:0005829}; nucleus {GO:0005634}; protein-containing complex {GO:0032991}</t>
  </si>
  <si>
    <t>calcium ion binding {GO:0005509}; calmodulin binding {GO:0005516}</t>
  </si>
  <si>
    <t>Collagen alpha-3(V) chain</t>
  </si>
  <si>
    <t>CO5A3_HUMAN</t>
  </si>
  <si>
    <t>P25940</t>
  </si>
  <si>
    <t>Q9NZQ6</t>
  </si>
  <si>
    <t>Collagen; Disulfide bond; Extracellular matrix; Glycoprotein; Hydroxylation; Polymorphism; Repeat; Secreted; Signal</t>
  </si>
  <si>
    <t>Disulfide bond; Glycoprotein; Hydroxylation</t>
  </si>
  <si>
    <t>cell adhesion {GO:0007155}; cell-matrix adhesion {GO:0007160}; collagen fibril organization {GO:0030199}; extracellular matrix organization {GO:0030198}; skin development {GO:0043588}</t>
  </si>
  <si>
    <t>collagen type V trimer {GO:0005588}; collagen-containing extracellular matrix {GO:0062023}; endoplasmic reticulum lumen {GO:0005788}; extracellular matrix {GO:0031012}; extracellular region {GO:0005576}; extracellular space {GO:0005615}</t>
  </si>
  <si>
    <t>collagen binding {GO:0005518}; extracellular matrix structural constituent {GO:0005201}; extracellular matrix structural constituent conferring tensile strength {GO:0030020}; heparin binding {GO:0008201}; proteoglycan binding {GO:0043394}</t>
  </si>
  <si>
    <t>Collagen degradation {R-HSA-1442490}; Extracellular matrix organization {R-HSA-1474244}; Collagen biosynthesis and modifying enzymes {R-HSA-1650814}; Signaling by PDGF {R-HSA-186797}; Assembly of collagen fibrils and other multimeric structures {R-HSA-2022090}; Integrin cell surface interactions {R-HSA-216083}; Syndecan interactions {R-HSA-3000170}; Non-integrin membrane-ECM interactions {R-HSA-3000171}; ECM proteoglycans {R-HSA-3000178}; NCAM1 interactions {R-HSA-419037}; MET activates PTK2 signaling {R-HSA-8874081}; Collagen chain trimerization {R-HSA-8948216}</t>
  </si>
  <si>
    <t>Trefoil factor 2</t>
  </si>
  <si>
    <t>Spasmolysin; Spasmolytic polypeptide (SP)</t>
  </si>
  <si>
    <t>TFF2_HUMAN</t>
  </si>
  <si>
    <t>Q03403</t>
  </si>
  <si>
    <t>Q15854</t>
  </si>
  <si>
    <t>SML1</t>
  </si>
  <si>
    <t>Disulfide bond; Polymorphism; Repeat; Secreted; Signal</t>
  </si>
  <si>
    <t>chemokine-mediated signaling pathway {GO:0070098}; maintenance of gastrointestinal epithelium {GO:0030277}; negative regulation of gastric acid secretion {GO:0060455}</t>
  </si>
  <si>
    <t>CXCR4 chemokine receptor binding {GO:0031723}</t>
  </si>
  <si>
    <t>Trefoil factor 1</t>
  </si>
  <si>
    <t>Breast cancer estrogen-inducible protein; PNR-2; Polypeptide P1.A (hP1.A); Protein pS2</t>
  </si>
  <si>
    <t>TFF1_HUMAN</t>
  </si>
  <si>
    <t>P04155</t>
  </si>
  <si>
    <t>BCEI; PS2</t>
  </si>
  <si>
    <t>3D-structure; Disulfide bond; Growth factor; Polymorphism; Secreted; Signal</t>
  </si>
  <si>
    <t>carbohydrate metabolic process {GO:0005975}; cell differentiation {GO:0030154}; maintenance of gastrointestinal epithelium {GO:0030277}; negative regulation of cell population proliferation {GO:0008285}; response to immobilization stress {GO:0035902}; response to iron ion {GO:0010039}; response to peptide hormone {GO:0043434}</t>
  </si>
  <si>
    <t>extracellular region {GO:0005576}; extracellular space {GO:0005615}</t>
  </si>
  <si>
    <t>growth factor activity {GO:0008083}</t>
  </si>
  <si>
    <t>ATP-dependent 6-phosphofructokinase, liver type (ATP-PFK; PFK-L)</t>
  </si>
  <si>
    <t>6-phosphofructokinase type B; Phosphofructo-1-kinase isozyme B (PFK-B); Phosphohexokinase</t>
  </si>
  <si>
    <t>PFKAL_HUMAN</t>
  </si>
  <si>
    <t>P17858</t>
  </si>
  <si>
    <t>Q96A64; Q96IH4; Q9BR91</t>
  </si>
  <si>
    <t>Acetylation; Allosteric enzyme; Alternative splicing; ATP-binding; Cytoplasm; Glycolysis; Glycoprotein; Kinase; Magnesium; Metal-binding; Nucleotide-binding; Phosphoprotein; Polymorphism; Transferase</t>
  </si>
  <si>
    <t>canonical glycolysis {GO:0061621}; fructose 1,6-bisphosphate metabolic process {GO:0030388}; fructose 6-phosphate metabolic process {GO:0006002}; glucose catabolic process {GO:0006007}; glycolytic process {GO:0006096}; negative regulation of insulin secretion {GO:0046676}; neutrophil degranulation {GO:0043312}; protein complex oligomerization {GO:0051259}; protein homotetramerization {GO:0051289}; response to glucose {GO:0009749}</t>
  </si>
  <si>
    <t>6-phosphofructokinase complex {GO:0005945}; cytosol {GO:0005829}; extracellular exosome {GO:0070062}; extracellular region {GO:0005576}; ficolin-1-rich granule lumen {GO:1904813}; membrane {GO:0016020}; secretory granule lumen {GO:0034774}</t>
  </si>
  <si>
    <t>6-phosphofructokinase activity {GO:0003872}; AMP binding {GO:0016208}; ATP binding {GO:0005524}; fructose binding {GO:0070061}; fructose-6-phosphate binding {GO:0070095}; identical protein binding {GO:0042802}; kinase binding {GO:0019900}; metal ion binding {GO:0046872}; monosaccharide binding {GO:0048029}</t>
  </si>
  <si>
    <t>Carbohydrate degradation; glycolysis; D-glyceraldehyde 3- phosphate and glycerone phosphate from D-glucose: step 3/4.</t>
  </si>
  <si>
    <t>26S proteasome non-ATPase regulatory subunit 2</t>
  </si>
  <si>
    <t>26S proteasome regulatory subunit RPN1; 26S proteasome regulatory subunit S2; 26S proteasome subunit p97; Protein 55.11; Tumor necrosis factor type 1 receptor-associated protein 2</t>
  </si>
  <si>
    <t>PSMD2_HUMAN</t>
  </si>
  <si>
    <t>Q13200</t>
  </si>
  <si>
    <t>B4DX07; B4DXY1; E7EW34; E9PCS3; Q12932; Q15321; Q53XQ4; Q96I12</t>
  </si>
  <si>
    <t>TRAP2</t>
  </si>
  <si>
    <t>3D-structure; Acetylation; Alternative splicing; Phosphoprotein; Polymorphism; Proteasome; Repeat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</si>
  <si>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protein catabolic process {GO:0042176};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</si>
  <si>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extracellular exosome {GO:0070062}; extracellular region {GO:0005576}; ficolin-1-rich granule lumen {GO:1904813}; membrane {GO:0016020}; nucleoplasm {GO:0005654}; nucleus {GO:0005634}; proteasome accessory complex {GO:0022624}; proteasome complex {GO:0000502}; proteasome regulatory particle {GO:0005838}; proteasome regulatory particle, base subcomplex {GO:0008540}; proteasome storage granule {GO:0034515}; secretory granule lumen {GO:0034774}</t>
  </si>
  <si>
    <t>Brother of CDO (Protein BOC)</t>
  </si>
  <si>
    <t>BOC_HUMAN</t>
  </si>
  <si>
    <t>Q9BWV1</t>
  </si>
  <si>
    <t>A6NJ30; B2RMS8; D3DN70; Q6UXJ5; Q8N2P7; Q8NF26</t>
  </si>
  <si>
    <t>3D-structure; Alternative splicing; Cell adhesion; Cell membrane; Disulfide bond; Glycoprotein; Immunoglobulin domain; Membrane; Polymorphism; Repeat; Signal; Transmembrane; Transmembrane helix</t>
  </si>
  <si>
    <t>axon guidance {GO:0007411}; cell adhesion {GO:0007155}; positive regulation of muscle cell differentiation {GO:0051149}; positive regulation of myoblast differentiation {GO:0045663}; smoothened signaling pathway {GO:0007224}</t>
  </si>
  <si>
    <t>axonal growth cone {GO:0044295}; integral component of plasma membrane {GO:0005887}; nucleoplasm {GO:0005654}; plasma membrane {GO:0005886}</t>
  </si>
  <si>
    <t>Myogenesis {R-HSA-525793}; Ligand-receptor interactions {R-HSA-5632681}; Activation of SMO {R-HSA-5635838}</t>
  </si>
  <si>
    <t>Procollagen-lysine,2-oxoglutarate 5-dioxygenase 2</t>
  </si>
  <si>
    <t>Lysyl hydroxylase 2 (LH2)</t>
  </si>
  <si>
    <t>PLOD2_HUMAN</t>
  </si>
  <si>
    <t>O00469</t>
  </si>
  <si>
    <t>B3KWS3; Q59ED2; Q8N170</t>
  </si>
  <si>
    <t>Alternative splicing; Dioxygenase; Disease mutation; Endoplasmic reticulum; Glycoprotein; Iron; Membrane; Metal-binding; Osteogenesis imperfecta; Oxidoreductase; Phosphoprotein; Signal; Vitamin C</t>
  </si>
  <si>
    <t>Disease mutation; Osteogenesis imperfecta</t>
  </si>
  <si>
    <t>cellular protein modification process {GO:0006464}; collagen fibril organization {GO:0030199}; collagen metabolic process {GO:0032963}; hydroxylysine biosynthetic process {GO:0046947}; peptidyl-lysine hydroxylation {GO:0017185}; response to hypoxia {GO:0001666}</t>
  </si>
  <si>
    <t>endoplasmic reticulum {GO:0005783}; endoplasmic reticulum membrane {GO:0005789}; extracellular exosome {GO:0070062}; rough endoplasmic reticulum membrane {GO:0030867}</t>
  </si>
  <si>
    <t>iron ion binding {GO:0005506}; L-ascorbic acid binding {GO:0031418}; procollagen-lysine 5-dioxygenase activity {GO:0008475}</t>
  </si>
  <si>
    <t>Formylglycine-generating enzyme (FGE)</t>
  </si>
  <si>
    <t>C-alpha-formylglycine-generating enzyme 1; Sulfatase-modifying factor 1</t>
  </si>
  <si>
    <t>SUMF1_HUMAN</t>
  </si>
  <si>
    <t>Q8NBK3</t>
  </si>
  <si>
    <t>B4DXK5; B7XD05; E9PGL0; G5E9B0; Q0VAC6; Q0VAC7; Q2NL78; Q53ZE4; Q6UY39; Q96AK5; Q96DK8</t>
  </si>
  <si>
    <t>3D-structure; Alternative splicing; Calcium; Copper; Disease mutation; Disulfide bond; Endoplasmic reticulum; Glycoprotein; Ichthyosis; Leukodystrophy; Metachromatic leukodystrophy; Metal-binding; Mucopolysaccharidosis; Oxidoreductase; Polymorphism; Signal</t>
  </si>
  <si>
    <t>Disease mutation; Ichthyosis; Leukodystrophy; Metachromatic leukodystrophy; Mucopolysaccharidosis</t>
  </si>
  <si>
    <t>Calcium; Copper; Metal-binding</t>
  </si>
  <si>
    <t>glycosphingolipid metabolic process {GO:0006687}; post-translational protein modification {GO:0043687}; protein oxidation {GO:0018158}</t>
  </si>
  <si>
    <t>endoplasmic reticulum {GO:0005783}; endoplasmic reticulum lumen {GO:0005788}</t>
  </si>
  <si>
    <t>cupric ion binding {GO:1903135}; Formylglycine-generating oxidase activity {GO:0120147}; oxidoreductase activity {GO:0016491}; protein homodimerization activity {GO:0042803}</t>
  </si>
  <si>
    <t xml:space="preserve">Protein modification; sulfatase oxidation. </t>
  </si>
  <si>
    <t>Glycosphingolipid metabolism {R-HSA-1660662}; The activation of arylsulfatases {R-HSA-1663150}</t>
  </si>
  <si>
    <t>Multimerin-2</t>
  </si>
  <si>
    <t>EMILIN-3; Elastin microfibril interface located protein 3 (Elastin microfibril interfacer 3); EndoGlyx-1 p125/p140 subunit</t>
  </si>
  <si>
    <t>MMRN2_HUMAN</t>
  </si>
  <si>
    <t>Q9H8L6</t>
  </si>
  <si>
    <t>Q504V7; Q6P2N2</t>
  </si>
  <si>
    <t>EMILIN3</t>
  </si>
  <si>
    <t>Angiogenesis; Coiled coil; Disulfide bond; Extracellular matrix; Glycoprotein; Polymorphism; Secreted; Signal</t>
  </si>
  <si>
    <t>Angiogenesis</t>
  </si>
  <si>
    <t>cell migration involved in sprouting angiogenesis {GO:0002042}; negative regulation of cell migration involved in sprouting angiogenesis {GO:0090051}; negative regulation of vascular endothelial growth factor receptor signaling pathway {GO:0030948}; positive regulation of cell-substrate adhesion {GO:0010811}</t>
  </si>
  <si>
    <t>basement membrane {GO:0005604}; collagen-containing extracellular matrix {GO:0062023}; extracellular exosome {GO:0070062}; extracellular matrix {GO:0031012}; extracellular space {GO:0005615}</t>
  </si>
  <si>
    <t>Inter-alpha-trypsin inhibitor heavy chain H1 (ITI heavy chain H1; ITI-HC1; Inter-alpha-inhibitor heavy chain 1)</t>
  </si>
  <si>
    <t>Inter-alpha-trypsin inhibitor complex component III; Serum-derived hyaluronan-associated protein (SHAP)</t>
  </si>
  <si>
    <t>ITIH1_HUMAN</t>
  </si>
  <si>
    <t>P19827</t>
  </si>
  <si>
    <t>A8K9N5; B2RAH9; B7Z558; B7Z8C0; F5H165; F5H7Y8; P78455; Q01746; Q562G1</t>
  </si>
  <si>
    <t>IGHEP1</t>
  </si>
  <si>
    <t>3D-structure; Alternative splicing; Disulfide bond; Glycoprotein; Phosphoprotein; Polymorphism; Protease inhibitor; Proteoglycan; Secreted; Serine protease inhibitor; Signal</t>
  </si>
  <si>
    <t>hyaluronan metabolic process {GO:0030212}</t>
  </si>
  <si>
    <t>blood microparticle {GO:0072562}; collagen-containing extracellular matrix {GO:0062023}; extracellular exosome {GO:0070062}; extracellular region {GO:0005576}</t>
  </si>
  <si>
    <t>calcium ion binding {GO:0005509}; serine-type endopeptidase inhibitor activity {GO:0004867}</t>
  </si>
  <si>
    <t>UV excision repair protein RAD23 homolog A (HR23A; hHR23A)</t>
  </si>
  <si>
    <t>RD23A_HUMAN</t>
  </si>
  <si>
    <t>P54725</t>
  </si>
  <si>
    <t>K7ESE3; Q59EU8; Q5M7Z1</t>
  </si>
  <si>
    <t>3D-structure; Alternative splicing; DNA damage; DNA repair; Host-virus interaction; Isopeptide bond; Nucleus; Phosphoprotein; Polymorphism; Proteasome; Repeat; Ubl conjugation</t>
  </si>
  <si>
    <t>DNA damage; DNA repair; Host-virus interaction</t>
  </si>
  <si>
    <t>Nucleus; Proteasome</t>
  </si>
  <si>
    <t>nucleotide-excision repair {GO:0006289}; positive regulation of cell cycle {GO:0045787}; positive regulation of proteasomal ubiquitin-dependent protein catabolic process {GO:0032436}; positive regulation of viral genome replication {GO:0045070}; proteasome-mediated ubiquitin-dependent protein catabolic process {GO:0043161}; protein destabilization {GO:0031648}; protein deubiquitination {GO:0016579}; regulation of proteasomal ubiquitin-dependent protein catabolic process {GO:0032434}; viral process {GO:0016032}</t>
  </si>
  <si>
    <t>cytoplasm {GO:0005737}; cytosol {GO:0005829}; intracellular membrane-bounded organelle {GO:0043231}; microtubule organizing center {GO:0005815}; nucleoplasm {GO:0005654}; nucleus {GO:0005634}; proteasome complex {GO:0000502}; protein-containing complex {GO:0032991}</t>
  </si>
  <si>
    <t>damaged DNA binding {GO:0003684}; kinase binding {GO:0019900}; polyubiquitin modification-dependent protein binding {GO:0031593}; proteasome binding {GO:0070628}; single-stranded DNA binding {GO:0003697}; ubiquitin binding {GO:0043130}; ubiquitin-specific protease binding {GO:1990381}</t>
  </si>
  <si>
    <t>Josephin domain DUBs {R-HSA-5689877}; DNA Damage Recognition in GG-NER {R-HSA-5696394}; Formation of Incision Complex in GG-NER {R-HSA-5696395}</t>
  </si>
  <si>
    <t>Inter-alpha-trypsin inhibitor heavy chain H3 (ITI heavy chain H3; ITI-HC3; Inter-alpha-inhibitor heavy chain 3)</t>
  </si>
  <si>
    <t>Serum-derived hyaluronan-associated protein (SHAP)</t>
  </si>
  <si>
    <t>ITIH3_HUMAN</t>
  </si>
  <si>
    <t>Q06033</t>
  </si>
  <si>
    <t>Q3B7H5; Q53F06; Q6LAM2; Q99085</t>
  </si>
  <si>
    <t>Alternative splicing; Glycoprotein; Polymorphism; Protease inhibitor; Proteoglycan; Secreted; Serine protease inhibitor; Signal</t>
  </si>
  <si>
    <t>Glycoprotein; Proteoglycan</t>
  </si>
  <si>
    <t>hyaluronan metabolic process {GO:0030212}; platelet degranulation {GO:0002576}</t>
  </si>
  <si>
    <t>extracellular exosome {GO:0070062}; extracellular region {GO:0005576}; platelet dense granule lumen {GO:0031089}</t>
  </si>
  <si>
    <t>LIM domain-binding protein 3</t>
  </si>
  <si>
    <t>Protein cypher; Z-band alternatively spliced PDZ-motif protein</t>
  </si>
  <si>
    <t>LDB3_HUMAN</t>
  </si>
  <si>
    <t>O75112</t>
  </si>
  <si>
    <t>A2TDB7; A6NIV4; B4E3K3; Q5K6N9; Q5K6P0; Q5K6P1; Q96FH2; Q9Y4Z3; Q9Y4Z4; Q9Y4Z5</t>
  </si>
  <si>
    <t>3D-structure; Alternative splicing; Cardiomyopathy; Cell projection; Cytoplasm; Cytoskeleton; Disease mutation; LIM domain; Metal-binding; Methylation; Myofibrillar myopathy; Phosphoprotein; Polymorphism; Repeat; Zinc</t>
  </si>
  <si>
    <t>actin cytoskeleton organization {GO:0030036}; heart development {GO:0007507}; muscle structure development {GO:0061061}; sarcomere organization {GO:0045214}</t>
  </si>
  <si>
    <t>cell-cell adherens junction {GO:0005913}; cytoskeleton {GO:0005856}; filamentous actin {GO:0031941}; perinuclear region of cytoplasm {GO:0048471}; pseudopodium {GO:0031143}; stress fiber {GO:0001725}; Z disc {GO:0030018}</t>
  </si>
  <si>
    <t>actin binding {GO:0003779}; cytoskeletal protein binding {GO:0008092}; metal ion binding {GO:0046872}; muscle alpha-actinin binding {GO:0051371}; protein kinase C binding {GO:0005080}</t>
  </si>
  <si>
    <t>Histone H1x</t>
  </si>
  <si>
    <t>H1X_HUMAN</t>
  </si>
  <si>
    <t>Q92522</t>
  </si>
  <si>
    <t>3D-structure; Acetylation; Chromosome; Citrullination; DNA-binding; Nucleus; Phosphoprotein</t>
  </si>
  <si>
    <t>Acetylation; Citrullination; Phosphoprotein</t>
  </si>
  <si>
    <t>chromosome condensation {GO:0030261}; negative regulation of chromatin silencing {GO:0031936}; negative regulation of DNA recombination {GO:0045910}; nucleosome assembly {GO:0006334}; nucleosome positioning {GO:0016584}; regulation of transcription, DNA-templated {GO:0006355}</t>
  </si>
  <si>
    <t>nucleolus {GO:0005730}; nucleosome {GO:0000786}; nucleus {GO:0005634}</t>
  </si>
  <si>
    <t>cadherin binding {GO:0045296}; double-stranded DNA binding {GO:0003690}; nucleosomal DNA binding {GO:0031492}; RNA binding {GO:0003723}</t>
  </si>
  <si>
    <t>SH3 domain-binding glutamic acid-rich protein (SH3BGR protein)</t>
  </si>
  <si>
    <t>21-glutamic acid-rich protein (21-GARP)</t>
  </si>
  <si>
    <t>SH3BG_HUMAN</t>
  </si>
  <si>
    <t>P55822</t>
  </si>
  <si>
    <t>A6ND59; D3DSI2; Q9BRB8</t>
  </si>
  <si>
    <t>Alternative splicing; Polymorphism; SH3-binding</t>
  </si>
  <si>
    <t>protein-containing complex assembly {GO:0065003}</t>
  </si>
  <si>
    <t>SH3 domain binding {GO:0017124}; SH3/SH2 adaptor activity {GO:0005070}</t>
  </si>
  <si>
    <t>MAP1S light chain</t>
  </si>
  <si>
    <t>BPY2-interacting protein 1; Microtubule-associated protein 8; Variable charge Y chromosome 2-interacting protein 1 (VCY2-interacting protein 1; VCY2IP-1)</t>
  </si>
  <si>
    <t>MAP1S_HUMAN</t>
  </si>
  <si>
    <t>Q66K74</t>
  </si>
  <si>
    <t>B4DH53; Q27QB1; Q6NXF1; Q8N3L8; Q8N3W5; Q8NI88; Q96H94; Q96IT4; Q96SP8; Q9BRC6; Q9H928; Q9NVK7</t>
  </si>
  <si>
    <t>BPY2IP1; C19orf5; MAP8; VCY2IP1</t>
  </si>
  <si>
    <t>Alternative splicing; Apoptosis; Cytoplasm; Cytoskeleton; DNA-binding; Microtubule; Nucleus; Phosphoprotein; Polymorphism</t>
  </si>
  <si>
    <t>apoptotic process {GO:0006915}; autophagy {GO:0006914}; axonogenesis {GO:0007409}; brain development {GO:0007420}; dendrite development {GO:0016358}; DNA metabolic process {GO:0006259}; microtubule bundle formation {GO:0001578}; microtubule cytoskeleton organization {GO:0000226}; mitochondrion transport along microtubule {GO:0047497}; nervous system development {GO:0007399}; neuron projection morphogenesis {GO:0048812}; regulation of chromatin disassembly {GO:0010848}; regulation of microtubule depolymerization {GO:0031114}</t>
  </si>
  <si>
    <t>cell junction {GO:0030054}; cell projection {GO:0042995}; cytosol {GO:0005829}; dendrite {GO:0030425}; microtubule {GO:0005874}; microtubule associated complex {GO:0005875}; neuronal cell body {GO:0043025}; nucleolus {GO:0005730}; nucleus {GO:0005634}; perinuclear region of cytoplasm {GO:0048471}; spindle {GO:0005819}; synapse {GO:0045202}</t>
  </si>
  <si>
    <t>actin binding {GO:0003779}; actin filament binding {GO:0051015}; beta-tubulin binding {GO:0048487}; DNA binding {GO:0003677}; identical protein binding {GO:0042802}; microtubule binding {GO:0008017}; tubulin binding {GO:0015631}</t>
  </si>
  <si>
    <t>Glutathione peroxidase 1 (GPx-1; GSHPx-1)</t>
  </si>
  <si>
    <t>Cellular glutathione peroxidase</t>
  </si>
  <si>
    <t>GPX1_HUMAN</t>
  </si>
  <si>
    <t>P07203</t>
  </si>
  <si>
    <t>E9PAS1; Q7Z5H1; Q9BW12</t>
  </si>
  <si>
    <t>3D-structure; Acetylation; Alternative splicing; Cytoplasm; Oxidoreductase; Peroxidase; Phosphoprotein; Polymorphism; Selenocysteine</t>
  </si>
  <si>
    <t>angiogenesis involved in wound healing {GO:0060055}; blood vessel endothelial cell migration {GO:0043534}; cell redox homeostasis {GO:0045454}; cellular response to oxidative stress {GO:0034599}; endothelial cell development {GO:0001885}; fat cell differentiation {GO:0045444}; glutathione metabolic process {GO:0006749}; heart contraction {GO:0060047}; hydrogen peroxide catabolic process {GO:0042744}; interaction with symbiont {GO:0051702}; intrinsic apoptotic signaling pathway in response to oxidative stress {GO:0008631}; lipoxygenase pathway {GO:0019372}; myoblast proliferation {GO:0051450}; negative regulation of cysteine-type endopeptidase activity involved in apoptotic process {GO:0043154}; negative regulation of extrinsic apoptotic signaling pathway via death domain receptors {GO:1902042}; negative regulation of inflammatory response to antigenic stimulus {GO:0002862}; negative regulation of oxidative stress-induced intrinsic apoptotic signaling pathway {GO:1902176}; negative regulation of release of cytochrome c from mitochondria {GO:0090201}; positive regulation of protein kinase B signaling {GO:0051897}; positive regulation of supramolecular fiber organization {GO:1902905}; protein oxidation {GO:0018158}; purine nucleotide catabolic process {GO:0006195}; regulation of gene expression, epigenetic {GO:0040029}; regulation of mammary gland epithelial cell proliferation {GO:0033599}; regulation of neuron apoptotic process {GO:0043523}; regulation of proteasomal protein catabolic process {GO:0061136}; response to gamma radiation {GO:0010332}; response to hydrogen peroxide {GO:0042542}; response to hydroperoxide {GO:0033194}; response to selenium ion {GO:0010269}; response to symbiotic bacterium {GO:0009609}; response to xenobiotic stimulus {GO:0009410}; sensory perception of sound {GO:0007605}; skeletal muscle fiber development {GO:0048741}; skeletal muscle tissue regeneration {GO:0043403}; temperature homeostasis {GO:0001659}; triglyceride metabolic process {GO:0006641}; UV protection {GO:0009650}; vasodilation {GO:0042311}</t>
  </si>
  <si>
    <t>glutathione peroxidase activity {GO:0004602}; peroxidase activity {GO:0004601}; SH3 domain binding {GO:0017124}</t>
  </si>
  <si>
    <t>Synthesis of 5-eicosatetraenoic acids {R-HSA-2142688}; Synthesis of 12-eicosatetraenoic acid derivatives {R-HSA-2142712}; Synthesis of 15-eicosatetraenoic acid derivatives {R-HSA-2142770}; Detoxification of Reactive Oxygen Species {R-HSA-3299685}; Purine catabolism {R-HSA-74259}</t>
  </si>
  <si>
    <t>Peroxiredoxin-2</t>
  </si>
  <si>
    <t>Natural killer cell-enhancing factor B (NKEF-B); PRP; Thiol-specific antioxidant protein (TSA); Thioredoxin peroxidase 1; Thioredoxin-dependent peroxide reductase 1</t>
  </si>
  <si>
    <t>PRDX2_HUMAN</t>
  </si>
  <si>
    <t>P32119</t>
  </si>
  <si>
    <t>A8K0C0; P31945; P32118; P35701; Q6FHG4; Q92763; Q9UC23</t>
  </si>
  <si>
    <t>NKEFB; TDPX1</t>
  </si>
  <si>
    <t>3D-structure; Acetylation; Alternative splicing; Antioxidant; Cytoplasm; Disulfide bond; Oxidoreductase; Peroxidase; Phosphoprotein; Polymorphism; Redox-active center</t>
  </si>
  <si>
    <t>activation of MAPK activity {GO:0000187}; cell redox homeostasis {GO:0045454}; cellular response to oxidative stress {GO:0034599}; homeostasis of number of cells {GO:0048872}; hydrogen peroxide catabolic process {GO:0042744}; leukocyte activation {GO:0045321}; negative regulation of apoptotic process {GO:0043066}; negative regulation of extrinsic apoptotic signaling pathway in absence of ligand {GO:2001240}; negative regulation of lipopolysaccharide-mediated signaling pathway {GO:0031665}; negative regulation of NF-kappaB transcription factor activity {GO:0032088}; negative regulation of T cell differentiation {GO:0045581}; positive regulation of blood coagulation {GO:0030194}; regulation of apoptotic process {GO:0042981}; regulation of hydrogen peroxide metabolic process {GO:0010310}; removal of superoxide radicals {GO:0019430}; respiratory burst involved in inflammatory response {GO:0002536}; response to lipopolysaccharide {GO:0032496}; response to oxidative stress {GO:0006979}; T cell proliferation {GO:0042098}; thymus development {GO:0048538}</t>
  </si>
  <si>
    <t>antioxidant activity {GO:0016209}; thioredoxin peroxidase activity {GO:0008379}</t>
  </si>
  <si>
    <t>Uroplakin-1b (UP1b)</t>
  </si>
  <si>
    <t>Tetraspanin-20 (Tspan-20); Uroplakin Ib (UPIb)</t>
  </si>
  <si>
    <t>UPK1B_HUMAN</t>
  </si>
  <si>
    <t>O75841</t>
  </si>
  <si>
    <t>O60753; Q9UIM2; Q9UNX6</t>
  </si>
  <si>
    <t>TSPAN20</t>
  </si>
  <si>
    <t>Glycoprotein; Membrane; Polymorphism; Transmembrane; Transmembrane helix</t>
  </si>
  <si>
    <t>epithelial cell differentiation {GO:0030855}; response to bacterium {GO:0009617}</t>
  </si>
  <si>
    <t>apical plasma membrane urothelial plaque {GO:0120001}; extracellular exosome {GO:0070062}; integral component of membrane {GO:0016021}; integral component of plasma membrane {GO:0005887}</t>
  </si>
  <si>
    <t>Fibulin-2 (FIBL-2)</t>
  </si>
  <si>
    <t>FBLN2_HUMAN</t>
  </si>
  <si>
    <t>P98095</t>
  </si>
  <si>
    <t>B7Z9C5; Q8IUI0; Q8IUI1</t>
  </si>
  <si>
    <t>Alternative splicing; Calcium; Disulfide bond; EGF-like domain; Extracellular matrix; Glycoprotein; Phosphoprotein; Polymorphism; Repeat; Secreted; Signal</t>
  </si>
  <si>
    <t>extracellular matrix organization {GO:0030198}; positive regulation of cell-substrate adhesion {GO:0010811}</t>
  </si>
  <si>
    <t>collagen-containing extracellular matrix {GO:0062023}; extracellular matrix {GO:0031012}; extracellular region {GO:0005576}; extracellular vesicle {GO:1903561}</t>
  </si>
  <si>
    <t>calcium ion binding {GO:0005509}; extracellular matrix binding {GO:0050840}; extracellular matrix constituent conferring elasticity {GO:0030023}; extracellular matrix structural constituent {GO:0005201}</t>
  </si>
  <si>
    <t>Dolichyl-diphosphooligosaccharide--protein glycosyltransferase subunit 1</t>
  </si>
  <si>
    <t>Dolichyl-diphosphooligosaccharide--protein glycosyltransferase 67 kDa subunit; Ribophorin I (RPN-I); Ribophorin-1</t>
  </si>
  <si>
    <t>RPN1_HUMAN</t>
  </si>
  <si>
    <t>P04843</t>
  </si>
  <si>
    <t>B2R5Z0; D3DNB6; Q68DT1</t>
  </si>
  <si>
    <t>Acetylation; Endoplasmic reticulum; Glycoprotein; Isopeptide bond; Membrane; Signal; Transmembrane; Transmembrane helix; Ubl conjugation</t>
  </si>
  <si>
    <t>Acetylation; Glycoprotein; Isopeptide bond; Ubl conjugation</t>
  </si>
  <si>
    <t>cellular protein modification process {GO:0006464}; protein N-linked glycosylation via asparagine {GO:0018279}</t>
  </si>
  <si>
    <t>cytosol {GO:0005829}; endoplasmic reticulum {GO:0005783}; endoplasmic reticulum membrane {GO:0005789}; integral component of membrane {GO:0016021}; melanosome {GO:0042470}; membrane {GO:0016020}; oligosaccharyltransferase complex {GO:0008250}; rough endoplasmic reticulum {GO:0005791}</t>
  </si>
  <si>
    <t>dolichyl-diphosphooligosaccharide-protein glycotransferase activity {GO:0004579}; RNA binding {GO:0003723}</t>
  </si>
  <si>
    <t>Protein modification; protein glycosylation.</t>
  </si>
  <si>
    <t>SRP-dependent cotranslational protein targeting to membrane {R-HSA-1799339}; Asparagine N-linked glycosylation {R-HSA-446203}</t>
  </si>
  <si>
    <t>Leucine-rich repeats and immunoglobulin-like domains protein 1 (LIG-1)</t>
  </si>
  <si>
    <t>LRIG1_HUMAN</t>
  </si>
  <si>
    <t>Q96JA1</t>
  </si>
  <si>
    <t>Q6IQ51; Q96CF9; Q9BYB8; Q9UFI4</t>
  </si>
  <si>
    <t>LIG1</t>
  </si>
  <si>
    <t>3D-structure; Alternative splicing; Cell membrane; Disulfide bond; Glycoprotein; Immunoglobulin domain; Leucine-rich repeat; Membrane; Polymorphism; Repeat; Signal; Transmembrane; Transmembrane helix</t>
  </si>
  <si>
    <t>Immunoglobulin domain; Leucine-rich repeat; Repeat; Signal; Transmembrane; Transmembrane helix</t>
  </si>
  <si>
    <t>hair cycle process {GO:0022405}; innervation {GO:0060384}; otolith morphogenesis {GO:0032474}; sensory perception of sound {GO:0007605}</t>
  </si>
  <si>
    <t>extracellular matrix {GO:0031012}; extracellular space {GO:0005615}; integral component of membrane {GO:0016021}; plasma membrane {GO:0005886}</t>
  </si>
  <si>
    <t>Signaling by EGFR {R-HSA-177929}; Negative regulation of MET activity {R-HSA-6807004}</t>
  </si>
  <si>
    <t>60S ribosomal protein L29</t>
  </si>
  <si>
    <t>Cell surface heparin-binding protein HIP; Large ribosomal subunit protein eL29</t>
  </si>
  <si>
    <t>RL29_HUMAN</t>
  </si>
  <si>
    <t>P47914</t>
  </si>
  <si>
    <t>A8K0H3; B2R4M8; Q6IPY3</t>
  </si>
  <si>
    <t>3D-structure; Acetylation; Heparin-binding; Methylation; Phosphoprotein; Repeat; Ribonucleoprotein; Ribosomal protein</t>
  </si>
  <si>
    <t>Heparin-binding; Ribonucleoprotein; Ribosomal protein</t>
  </si>
  <si>
    <t>cytoplasmic translation {GO:0002181}; embryo implantation {GO:0007566};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</si>
  <si>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membrane {GO:0016020}</t>
  </si>
  <si>
    <t>cadherin binding {GO:0045296}; heparin binding {GO:0008201}; RNA binding {GO:0003723}; structural constituent of ribosome {GO:0003735}</t>
  </si>
  <si>
    <t>Collagen alpha-1(VI) chain</t>
  </si>
  <si>
    <t>CO6A1_HUMAN</t>
  </si>
  <si>
    <t>P12109</t>
  </si>
  <si>
    <t>O00117; O00118; Q14040; Q14041; Q16258; Q7Z645; Q9BSA8</t>
  </si>
  <si>
    <t>Cell adhesion; Collagen; Congenital muscular dystrophy; Disease mutation; Extracellular matrix; Glycoprotein; Hydroxylation; Limb-girdle muscular dystrophy; Polymorphism; Repeat; Secreted; Signal</t>
  </si>
  <si>
    <t>Glycoprotein; Hydroxylation</t>
  </si>
  <si>
    <t>cell adhesion {GO:0007155}; cellular response to amino acid stimulus {GO:0071230}; endodermal cell differentiation {GO:0035987}; extracellular matrix organization {GO:0030198}; growth plate cartilage chondrocyte morphogenesis {GO:0003429}; osteoblast differentiation {GO:0001649}; protein heterotrimerization {GO:0070208}</t>
  </si>
  <si>
    <t>collagen type VI trimer {GO:0005589}; collagen-containing extracellular matrix {GO:0062023}; endoplasmic reticulum lumen {GO:0005788}; extracellular exosome {GO:0070062}; extracellular matrix {GO:0031012}; extracellular region {GO:0005576}; extracellular space {GO:0005615}; lysosomal membrane {GO:0005765}; membrane {GO:0016020}; protein-containing complex {GO:0032991}; sarcolemma {GO:0042383}</t>
  </si>
  <si>
    <t>extracellular matrix structural constituent conferring tensile strength {GO:0030020}; platelet-derived growth factor binding {GO:0048407}</t>
  </si>
  <si>
    <t>Myopalladin</t>
  </si>
  <si>
    <t>145 kDa sarcomeric protein</t>
  </si>
  <si>
    <t>MYPN_HUMAN</t>
  </si>
  <si>
    <t>Q86TC9</t>
  </si>
  <si>
    <t>Q5VV35; Q5VV36; Q86T37; Q8N3L4; Q96K90; Q96KF5</t>
  </si>
  <si>
    <t>MYOP</t>
  </si>
  <si>
    <t>Actin-binding; Alternative splicing; Cardiomyopathy; Coiled coil; Cytoplasm; Disease mutation; Disulfide bond; Immunoglobulin domain; Nemaline myopathy; Nucleus; Phosphoprotein; Polymorphism; Repeat</t>
  </si>
  <si>
    <t>Cardiomyopathy; Disease mutation; Nemaline myopathy</t>
  </si>
  <si>
    <t>axon guidance {GO:0007411}; dendrite self-avoidance {GO:0070593}; homophilic cell adhesion via plasma membrane adhesion molecules {GO:0007156}; sarcomere organization {GO:0045214}</t>
  </si>
  <si>
    <t>axon {GO:0030424}; I band {GO:0031674}; nucleus {GO:0005634}; plasma membrane {GO:0005886}; Z disc {GO:0030018}</t>
  </si>
  <si>
    <t>actin binding {GO:0003779}; cell-cell adhesion mediator activity {GO:0098632}; cytoskeletal protein binding {GO:0008092}; muscle alpha-actinin binding {GO:0051371}; SH3 domain binding {GO:0017124}</t>
  </si>
  <si>
    <t>Lysosomal alpha-mannosidase E peptide</t>
  </si>
  <si>
    <t>Lysosomal acid alpha-mannosidase; Mannosidase alpha class 2B member 1; Mannosidase alpha-B</t>
  </si>
  <si>
    <t>MA2B1_HUMAN</t>
  </si>
  <si>
    <t>O00754</t>
  </si>
  <si>
    <t>G5E928; O15330; Q16680; Q93094; Q9BW13</t>
  </si>
  <si>
    <t>LAMAN; MANB</t>
  </si>
  <si>
    <t>Alternative splicing; Disease mutation; Disulfide bond; Glycoprotein; Glycosidase; Hydrolase; Lysosome; Metal-binding; Polymorphism; Signal; Zinc; Zymogen</t>
  </si>
  <si>
    <t>cellular protein modification process {GO:0006464}; mannose metabolic process {GO:0006013}; neutrophil degranulation {GO:0043312}; oligosaccharide catabolic process {GO:0009313}; protein deglycosylation {GO:0006517}</t>
  </si>
  <si>
    <t>azurophil granule lumen {GO:0035578}; extracellular exosome {GO:0070062}; extracellular region {GO:0005576}; extracellular space {GO:0005615}; lysosomal lumen {GO:0043202}; vacuolar membrane {GO:0005774}</t>
  </si>
  <si>
    <t>alpha-mannosidase activity {GO:0004559}; carbohydrate binding {GO:0030246}; metal ion binding {GO:0046872}</t>
  </si>
  <si>
    <t>Neutrophil degranulation {R-HSA-6798695}; Lysosomal oligosaccharide catabolism {R-HSA-8853383}</t>
  </si>
  <si>
    <t>T-complex protein 1 subunit theta (TCP-1-theta)</t>
  </si>
  <si>
    <t>CCT-theta; Chaperonin containing T-complex polypeptide 1 subunit 8; Renal carcinoma antigen NY-REN-15</t>
  </si>
  <si>
    <t>TCPQ_HUMAN</t>
  </si>
  <si>
    <t>P50990</t>
  </si>
  <si>
    <t>A6NN54; B4DEM7; B4DQH4; Q4VBP8</t>
  </si>
  <si>
    <t>C21orf112; CCTQ; KIAA0002</t>
  </si>
  <si>
    <t>Acetylation; Alternative splicing; ATP-binding; Cell projection; Chaperone; Cilium; Cytoplasm; Cytoskeleton; Isopeptide bond; Nucleotide-binding; Phosphoprotein; Polymorphism; Ubl conjugation</t>
  </si>
  <si>
    <t>Cell projection; Cilium; Cytoplasm; Cytoskeleton</t>
  </si>
  <si>
    <t>binding of sperm to zona pellucida {GO:0007339}; neutrophil degranulation {GO:0043312}; pore complex assembly {GO:0046931};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toxin transport {GO:1901998}</t>
  </si>
  <si>
    <t>azurophil granule lumen {GO:0035578}; cell body {GO:0044297}; centrosome {GO:0005813}; chaperonin-containing T-complex {GO:0005832}; cilium {GO:0005929}; cytoplasm {GO:0005737}; cytosol {GO:0005829}; extracellular exosome {GO:0070062}; extracellular region {GO:0005576}; ficolin-1-rich granule lumen {GO:1904813}; intermediate filament cytoskeleton {GO:0045111}; microtubule {GO:0005874}; nucleoplasm {GO:0005654}; secretory granule lumen {GO:0034774}; zona pellucida receptor complex {GO:0002199}</t>
  </si>
  <si>
    <t>ATP binding {GO:0005524}; ATPase activity, coupled {GO:0042623}; cadherin binding {GO:0045296}; unfolded protein binding {GO:0051082}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</si>
  <si>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BBSome-mediated cargo-targeting to cilium {R-HSA-5620922}; Neutrophil degranulation {R-HSA-6798695}; Cooperation of PDCL (PhLP1) and TRiC/CCT in G-protein beta folding {R-HSA-6814122}</t>
  </si>
  <si>
    <t>Retinoic acid receptor responder protein 1</t>
  </si>
  <si>
    <t>Phorbol ester-induced gene 1 protein (PERG-1); RAR-responsive protein TIG1; Tazarotene-induced gene 1 protein</t>
  </si>
  <si>
    <t>TIG1_HUMAN</t>
  </si>
  <si>
    <t>P49788</t>
  </si>
  <si>
    <t>Q8N1D7</t>
  </si>
  <si>
    <t>PEIG1; TIG1</t>
  </si>
  <si>
    <t>Alternative splicing; Membrane; Polymorphism; Signal-anchor; Transmembrane; Transmembrane helix</t>
  </si>
  <si>
    <t>extracellular exosome {GO:0070062}; extracellular space {GO:0005615}; integral component of membrane {GO:0016021}</t>
  </si>
  <si>
    <t>metalloendopeptidase inhibitor activity {GO:0008191}</t>
  </si>
  <si>
    <t>Carboxypeptidase N subunit 2</t>
  </si>
  <si>
    <t>Carboxypeptidase N 83 kDa chain; Carboxypeptidase N large subunit; Carboxypeptidase N polypeptide 2; Carboxypeptidase N regulatory subunit</t>
  </si>
  <si>
    <t>CPN2_HUMAN</t>
  </si>
  <si>
    <t>P22792</t>
  </si>
  <si>
    <t>B2RPE7; Q86SU4; Q8N5V4</t>
  </si>
  <si>
    <t>ACBP</t>
  </si>
  <si>
    <t>protein stabilization {GO:0050821}; regulation of complement activation {GO:0030449}</t>
  </si>
  <si>
    <t>blood microparticle {GO:0072562}; extracellular exosome {GO:0070062}; extracellular matrix {GO:0031012}; extracellular region {GO:0005576}; extracellular space {GO:0005615}</t>
  </si>
  <si>
    <t>Regulation of Complement cascade {R-HSA-977606}</t>
  </si>
  <si>
    <t>Notch 3 intracellular domain (Notch 3)</t>
  </si>
  <si>
    <t>NOTC3_HUMAN</t>
  </si>
  <si>
    <t>Q9UM47</t>
  </si>
  <si>
    <t>Q9UEB3; Q9UPL3; Q9Y6L8</t>
  </si>
  <si>
    <t>3D-structure; Activator; ANK repeat; Cell membrane; Developmental protein; Differentiation; Disease mutation; Disulfide bond; EGF-like domain; Glycoprotein; Membrane; Methylation; Notch signaling pathway; Nucleus; Phosphoprotein; Polymorphism; Receptor; Repeat; Signal; Transcription; Transcription regulation; Transmembrane; Transmembrane helix</t>
  </si>
  <si>
    <t>Differentiation; Notch signaling pathway; Transcription; Transcription regulation</t>
  </si>
  <si>
    <t>ANK repeat; EGF-like domain; Repeat; Signal; Transmembrane; Transmembrane helix</t>
  </si>
  <si>
    <t>Activator; Developmental protein; Receptor</t>
  </si>
  <si>
    <t>artery morphogenesis {GO:0048844}; forebrain development {GO:0030900}; glomerular capillary formation {GO:0072104}; negative regulation of neuron differentiation {GO:0045665}; negative regulation of Notch signaling pathway {GO:0045746}; negative regulation of transcription by RNA polymerase II {GO:0000122}; neuron fate commitment {GO:0048663}; Notch signaling pathway {GO:0007219}; positive regulation of smooth muscle cell proliferation {GO:0048661}; positive regulation of transcription of Notch receptor target {GO:0007221}; transcription initiation from RNA polymerase II promoter {GO:0006367}</t>
  </si>
  <si>
    <t>actin cytoskeleton {GO:0015629}; cell surface {GO:0009986}; cytosol {GO:0005829}; endoplasmic reticulum membrane {GO:0005789}; extracellular region {GO:0005576}; Golgi membrane {GO:0000139}; integral component of membrane {GO:0016021}; nucleoplasm {GO:0005654}; plasma membrane {GO:0005886}; receptor complex {GO:0043235}</t>
  </si>
  <si>
    <t>cadherin binding {GO:0045296}; calcium ion binding {GO:0005509}; enzyme binding {GO:0019899}; identical protein binding {GO:0042802}; signaling receptor activity {GO:0038023}</t>
  </si>
  <si>
    <t>Pre-NOTCH Processing in the Endoplasmic Reticulum {R-HSA-1912399}; Pre-NOTCH Transcription and Translation {R-HSA-1912408}; Pre-NOTCH Processing in Golgi {R-HSA-1912420}; Notch-HLH transcription pathway {R-HSA-350054}; Defective LFNG causes SCDO3 {R-HSA-5083630}; NOTCH3 Activation and Transmission of Signal to the Nucleus {R-HSA-9013507}; NOTCH3 Intracellular Domain Regulates Transcription {R-HSA-9013508}; Noncanonical activation of NOTCH3 {R-HSA-9017802}</t>
  </si>
  <si>
    <t>Solute carrier family 15 member 2</t>
  </si>
  <si>
    <t>Kidney H(+)/peptide cotransporter; Oligopeptide transporter, kidney isoform; Peptide transporter 2</t>
  </si>
  <si>
    <t>S15A2_HUMAN</t>
  </si>
  <si>
    <t>Q16348</t>
  </si>
  <si>
    <t>A8K1A5; B4E2A7</t>
  </si>
  <si>
    <t>PEPT2</t>
  </si>
  <si>
    <t>3D-structure; Alternative splicing; Cell membrane; Glycoprotein; Membrane; Peptide transport; Phosphoprotein; Polymorphism; Protein transport; Symport; Transmembrane; Transmembrane helix; Transport</t>
  </si>
  <si>
    <t>Peptide transport; Protein transport; Symport; Transport</t>
  </si>
  <si>
    <t>drug transport {GO:0015893}; ion transport {GO:0006811}; protein transport {GO:0015031}</t>
  </si>
  <si>
    <t>extracellular exosome {GO:0070062}; integral component of membrane {GO:0016021}; integral component of plasma membrane {GO:0005887}; plasma membrane {GO:0005886}</t>
  </si>
  <si>
    <t>dipeptide transmembrane transporter activity {GO:0071916}; oligopeptide transmembrane transporter activity {GO:0035673}; peptide transmembrane transporter activity {GO:1904680}; peptide:proton symporter activity {GO:0015333}</t>
  </si>
  <si>
    <t>Proton/oligopeptide cotransporters {R-HSA-427975}</t>
  </si>
  <si>
    <t>Low molecular weight growth-promoting factor</t>
  </si>
  <si>
    <t>Alpha-2-thiol proteinase inhibitor; Fitzgerald factor; High molecular weight kininogen (HMWK); Williams-Fitzgerald-Flaujeac factor; Ile-Ser-Bradykinin; Kallidin I; Kallidin II</t>
  </si>
  <si>
    <t>KNG1_HUMAN</t>
  </si>
  <si>
    <t>P01042</t>
  </si>
  <si>
    <t>A8K474; B2RCR2; C9JEX1; P01043; Q53EQ0; Q6PAU9; Q7M4P1</t>
  </si>
  <si>
    <t>BDK; KNG</t>
  </si>
  <si>
    <t>3D-structure; Alternative splicing; Blood coagulation; Disulfide bond; Glycoprotein; Hemostasis; Hydroxylation; Inflammatory response; Phosphoprotein; Polymorphism; Protease inhibitor; Pyrrolidone carboxylic acid; Repeat; Secreted; Signal; Thiol protease inhibitor; Vasoactive; Vasodilator</t>
  </si>
  <si>
    <t>Blood coagulation; Hemostasis; Inflammatory response</t>
  </si>
  <si>
    <t>Protease inhibitor; Thiol protease inhibitor; Vasoactive; Vasodilator</t>
  </si>
  <si>
    <t>antimicrobial humoral immune response mediated by antimicrobial peptide {GO:0061844}; blood coagulation, intrinsic pathway {GO:0007597}; cellular protein metabolic process {GO:0044267}; G protein-coupled receptor signaling pathway {GO:0007186}; inflammatory response {GO:0006954}; killing of cells of other organism {GO:0031640}; negative regulation of blood coagulation {GO:0030195}; negative regulation of cell adhesion {GO:0007162}; negative regulation of endopeptidase activity {GO:0010951}; negative regulation of proteolysis {GO:0045861}; platelet degranulation {GO:0002576}; positive regulation of apoptotic process {GO:0043065}; positive regulation of cytosolic calcium ion concentration {GO:0007204}; post-translational protein modification {GO:0043687}; vasodilation {GO:0042311}</t>
  </si>
  <si>
    <t>blood microparticle {GO:0072562}; collagen-containing extracellular matrix {GO:0062023}; endoplasmic reticulum lumen {GO:0005788}; extracellular exosome {GO:0070062}; extracellular region {GO:0005576}; extracellular space {GO:0005615}; plasma membrane {GO:0005886}; platelet alpha granule lumen {GO:0031093}</t>
  </si>
  <si>
    <t>cysteine-type endopeptidase inhibitor activity {GO:0004869}; heparin binding {GO:0008201}; signaling receptor binding {GO:0005102}; zinc ion binding {GO:0008270}</t>
  </si>
  <si>
    <t>Platelet degranulation {R-HSA-114608}; Intrinsic Pathway of Fibrin Clot Formation {R-HSA-140837}; Peptide ligand-binding receptors {R-HSA-375276}; Regulation of Insulin-like Growth Factor (IGF) transport and uptake by Insulin-like Growth Factor Binding Proteins (IGFBPs) {R-HSA-381426}; G alpha (q) signalling events {R-HSA-416476}; G alpha (i) signalling events {R-HSA-418594}; Post-translational protein phosphorylation {R-HSA-8957275}</t>
  </si>
  <si>
    <t>Follistatin-related protein 1</t>
  </si>
  <si>
    <t>Follistatin-like protein 1</t>
  </si>
  <si>
    <t>FSTL1_HUMAN</t>
  </si>
  <si>
    <t>Q12841</t>
  </si>
  <si>
    <t>A8K523; B4DTT5; D3DN90; Q549Z0</t>
  </si>
  <si>
    <t>FRP</t>
  </si>
  <si>
    <t>Alternative splicing; Disulfide bond; Glycoprotein; Heparin-binding; Phosphoprotein; Repeat; Secreted; Signal</t>
  </si>
  <si>
    <t>BMP signaling pathway {GO:0030509}; cellular protein metabolic process {GO:0044267}; post-translational protein modification {GO:0043687}; response to starvation {GO:0042594}</t>
  </si>
  <si>
    <t>calcium ion binding {GO:0005509}; heparin binding {GO:0008201}</t>
  </si>
  <si>
    <t>Signaling by BMP {R-HSA-201451}; Regulation of Insulin-like Growth Factor (IGF) transport and uptake by Insulin-like Growth Factor Binding Proteins (IGFBPs) {R-HSA-381426}; Post-translational protein phosphorylation {R-HSA-8957275}</t>
  </si>
  <si>
    <t>Leucine-rich repeat neuronal protein 1</t>
  </si>
  <si>
    <t>Neuronal leucine-rich repeat protein 1 (NLRR-1)</t>
  </si>
  <si>
    <t>LRRN1_HUMAN</t>
  </si>
  <si>
    <t>Q6UXK5</t>
  </si>
  <si>
    <t>Q3LID5; Q8IYV5; Q9H8V1; Q9P231</t>
  </si>
  <si>
    <t>KIAA1497</t>
  </si>
  <si>
    <t>Disulfide bond; Glycoprotein; Immunoglobulin domain; Leucine-rich repeat; Membrane; Polymorphism; Repeat; Signal; Transmembrane; Transmembrane helix</t>
  </si>
  <si>
    <t>positive regulation of synapse assembly {GO:0051965}</t>
  </si>
  <si>
    <t>extracellular matrix {GO:0031012}; extracellular space {GO:0005615}; integral component of membrane {GO:0016021}</t>
  </si>
  <si>
    <t>Adiponectin</t>
  </si>
  <si>
    <t>30 kDa adipocyte complement-related protein; Adipocyte complement-related 30 kDa protein (ACRP30); Adipocyte, C1q and collagen domain-containing protein; Adipose most abundant gene transcript 1 protein (apM-1); Gelatin-binding protein</t>
  </si>
  <si>
    <t>ADIPO_HUMAN</t>
  </si>
  <si>
    <t>Q15848</t>
  </si>
  <si>
    <t>Q58EX9</t>
  </si>
  <si>
    <t>3D-structure; Collagen; Diabetes mellitus; Disease mutation; Disulfide bond; Glycoprotein; Hormone; Hydroxylation; Obesity; Pharmaceutical; Polymorphism; Repeat; Secreted; Signal</t>
  </si>
  <si>
    <t>Diabetes mellitus; Disease mutation; Obesity</t>
  </si>
  <si>
    <t>brown fat cell differentiation {GO:0050873}; cellular response to cAMP {GO:0071320}; cellular response to drug {GO:0035690}; cellular response to epinephrine stimulus {GO:0071872}; cellular response to insulin stimulus {GO:0032869}; circadian rhythm {GO:0007623}; detection of oxidative stress {GO:0070994}; fatty acid beta-oxidation {GO:0006635}; fatty acid oxidation {GO:0019395}; generation of precursor metabolites and energy {GO:0006091}; glucose homeostasis {GO:0042593}; glucose metabolic process {GO:0006006}; low-density lipoprotein particle clearance {GO:0034383}; negative regulation of blood pressure {GO:0045776}; negative regulation of cell migration {GO:0030336}; negative regulation of cold-induced thermogenesis {GO:0120163}; negative regulation of DNA biosynthetic process {GO:2000279}; negative regulation of ERK1 and ERK2 cascade {GO:0070373}; negative regulation of fat cell differentiation {GO:0045599}; negative regulation of gluconeogenesis {GO:0045721}; negative regulation of granulocyte differentiation {GO:0030853}; negative regulation of heterotypic cell-cell adhesion {GO:0034115}; negative regulation of hormone secretion {GO:0046888}; negative regulation of I-kappaB kinase/NF-kappaB signaling {GO:0043124}; negative regulation of inflammatory response {GO:0050728}; negative regulation of intracellular protein transport {GO:0090317}; negative regulation of low-density lipoprotein particle receptor biosynthetic process {GO:0045715}; negative regulation of macrophage derived foam cell differentiation {GO:0010745}; negative regulation of macrophage differentiation {GO:0045650}; negative regulation of MAP kinase activity {GO:0043407}; negative regulation of metanephric mesenchymal cell migration {GO:2000590}; negative regulation of phagocytosis {GO:0050765}; negative regulation of platelet-derived growth factor receptor signaling pathway {GO:0010642}; negative regulation of platelet-derived growth factor receptor-alpha signaling pathway {GO:2000584}; negative regulation of protein autophosphorylation {GO:0031953}; negative regulation of receptor binding {GO:1900121}; negative regulation of synaptic transmission {GO:0050805}; negative regulation of transcription, DNA-templated {GO:0045892}; negative regulation of tumor necrosis factor production {GO:0032720}; negative regulation of tumor necrosis factor-mediated signaling pathway {GO:0010804}; negative regulation of vascular associated smooth muscle cell migration {GO:1904753}; negative regulation of vascular smooth muscle cell proliferation {GO:1904706}; positive regulation of cAMP-dependent protein kinase activity {GO:2000481}; positive regulation of cellular protein metabolic process {GO:0032270}; positive regulation of cholesterol efflux {GO:0010875}; positive regulation of cold-induced thermogenesis {GO:0120162}; positive regulation of fatty acid metabolic process {GO:0045923}; positive regulation of glucose import {GO:0046326}; positive regulation of glycogen (starch) synthase activity {GO:2000467}; positive regulation of I-kappaB kinase/NF-kappaB signaling {GO:0043123}; positive regulation of interleukin-8 production {GO:0032757}; positive regulation of metanephric glomerular visceral epithelial cell development {GO:2000478}; positive regulation of monocyte chemotactic protein-1 production {GO:0071639}; positive regulation of myeloid cell apoptotic process {GO:0033034}; positive regulation of peptidyl-tyrosine phosphorylation {GO:0050731}; positive regulation of protein kinase A signaling {GO:0010739}; positive regulation of protein phosphorylation {GO:0001934}; positive regulation of renal albumin absorption {GO:2000534}; positive regulation of signal transduction {GO:0009967}; protein heterotrimerization {GO:0070208}; protein homooligomerization {GO:0051260}; protein localization to plasma membrane {GO:0072659}; regulation of fatty acid biosynthetic process {GO:0042304}; regulation of glucose metabolic process {GO:0010906}; response to activity {GO:0014823}; response to bacterium {GO:0009617}; response to ethanol {GO:0045471}; response to glucocorticoid {GO:0051384}; response to glucose {GO:0009749}; response to hypoxia {GO:0001666}; response to linoleic acid {GO:0070543}; response to nutrient {GO:0007584}; response to sucrose {GO:0009744}; response to tumor necrosis factor {GO:0034612}</t>
  </si>
  <si>
    <t>cell surface {GO:0009986}; collagen trimer {GO:0005581}; collagen-containing extracellular matrix {GO:0062023}; endoplasmic reticulum {GO:0005783}; extracellular region {GO:0005576}; extracellular space {GO:0005615}</t>
  </si>
  <si>
    <t>cytokine activity {GO:0005125}; hormone activity {GO:0005179}; identical protein binding {GO:0042802}; protein homodimerization activity {GO:0042803}; sialic acid binding {GO:0033691}; signaling receptor binding {GO:0005102}</t>
  </si>
  <si>
    <t>AMPK inhibits chREBP transcriptional activation activity {R-HSA-163680}; Transcriptional regulation of white adipocyte differentiation {R-HSA-381340}</t>
  </si>
  <si>
    <t>Protein kinase C delta type catalytic subunit</t>
  </si>
  <si>
    <t>Tyrosine-protein kinase PRKCD; nPKC-delta; Sphingosine-dependent protein kinase-1 (SDK1)</t>
  </si>
  <si>
    <t>KPCD_HUMAN</t>
  </si>
  <si>
    <t>Q05655</t>
  </si>
  <si>
    <t>B0KZ81; B2R834; Q15144; Q86XJ6</t>
  </si>
  <si>
    <t>3D-structure; Alternative splicing; Apoptosis; ATP-binding; Cell cycle; Cell membrane; Cytoplasm; Kinase; Membrane; Metal-binding; Nucleotide-binding; Nucleus; Phosphoprotein; Polymorphism; Repeat; Serine/threonine-protein kinase; Transferase; Tumor suppressor; Zinc; Zinc-finger</t>
  </si>
  <si>
    <t>Apoptosis; Cell cycle</t>
  </si>
  <si>
    <t>activation of protein kinase activity {GO:0032147}; apoptotic process {GO:0006915}; B cell proliferation {GO:0042100}; cell chemotaxis {GO:0060326}; cell cycle {GO:0007049}; cellular response to angiotensin {GO:1904385}; cellular response to hydrogen peroxide {GO:0070301}; cellular response to hydroperoxide {GO:0071447}; cellular senescence {GO:0090398}; defense response to bacterium {GO:0042742}; Fc-gamma receptor signaling pathway involved in phagocytosis {GO:0038096}; histone phosphorylation {GO:0016572}; immunoglobulin mediated immune response {GO:0016064}; interferon-gamma-mediated signaling pathway {GO:0060333}; interleukin-10 production {GO:0032613}; interleukin-12 production {GO:0032615}; intracellular signal transduction {GO:0035556}; intrinsic apoptotic signaling pathway in response to oxidative stress {GO:0008631}; negative regulation of actin filament polymerization {GO:0030837}; negative regulation of filopodium assembly {GO:0051490}; negative regulation of glial cell apoptotic process {GO:0034351}; negative regulation of inflammatory response {GO:0050728}; negative regulation of insulin receptor signaling pathway {GO:0046627}; negative regulation of MAP kinase activity {GO:0043407}; negative regulation of peptidyl-tyrosine phosphorylation {GO:0050732}; negative regulation of platelet aggregation {GO:0090331}; negative regulation of protein binding {GO:0032091}; neutrophil activation {GO:0042119}; neutrophil degranulation {GO:0043312}; peptidyl-serine phosphorylation {GO:0018105}; peptidyl-threonine phosphorylation {GO:0018107}; platelet activation {GO:0030168}; positive regulation of apoptotic signaling pathway {GO:2001235}; positive regulation of ceramide biosynthetic process {GO:2000304}; positive regulation of endodeoxyribonuclease activity {GO:0032079}; positive regulation of glucosylceramide catabolic process {GO:2000753}; positive regulation of phospholipid scramblase activity {GO:1900163}; positive regulation of protein dephosphorylation {GO:0035307}; positive regulation of protein import into nucleus {GO:0042307}; positive regulation of response to DNA damage stimulus {GO:2001022}; positive regulation of sphingomyelin catabolic process {GO:2000755}; positive regulation of superoxide anion generation {GO:0032930}; protein phosphorylation {GO:0006468}; protein stabilization {GO:0050821}; regulation of actin cytoskeleton organization {GO:0032956}; regulation of mRNA stability {GO:0043488}; regulation of signaling receptor activity {GO:0010469}; signal transduction {GO:0007165}; stimulatory C-type lectin receptor signaling pathway {GO:0002223}; termination of signal transduction {GO:0023021}</t>
  </si>
  <si>
    <t>azurophil granule lumen {GO:0035578}; cell-cell junction {GO:0005911}; cytoplasm {GO:0005737}; cytosol {GO:0005829}; endoplasmic reticulum {GO:0005783}; extracellular exosome {GO:0070062}; extracellular region {GO:0005576}; nuclear matrix {GO:0016363}; nucleoplasm {GO:0005654}; nucleus {GO:0005634}; perinuclear region of cytoplasm {GO:0048471}; plasma membrane {GO:0005886}</t>
  </si>
  <si>
    <t>ATP binding {GO:0005524}; calcium-independent protein kinase C activity {GO:0004699}; enzyme activator activity {GO:0008047}; enzyme binding {GO:0019899}; insulin receptor substrate binding {GO:0043560}; kinase binding {GO:0019900}; metal ion binding {GO:0046872}; non-membrane spanning protein tyrosine kinase activity {GO:0004715}; protein kinase activity {GO:0004672}; protein kinase binding {GO:0019901}; protein kinase C activity {GO:0004697}; protein serine/threonine kinase activity {GO:0004674}</t>
  </si>
  <si>
    <t>Apoptotic cleavage of cellular proteins {R-HSA-111465}; Calmodulin induced events {R-HSA-111933}; Effects of PIP2 hydrolysis {R-HSA-114508}; SHC1 events in ERBB2 signaling {R-HSA-1250196}; DAG and IP3 signaling {R-HSA-1489509}; Role of phospholipids in phagocytosis {R-HSA-2029485}; G alpha (z) signalling events {R-HSA-418597}; HuR (ELAVL1) binds and stabilizes mRNA {R-HSA-450520}; VEGFR2 mediated cell proliferation {R-HSA-5218921}; CLEC7A (Dectin-1) signaling {R-HSA-5607764}; RHO GTPases Activate NADPH Oxidases {R-HSA-5668599}; Neutrophil degranulation {R-HSA-6798695}; Interferon gamma signaling {R-HSA-877300}</t>
  </si>
  <si>
    <t>Hsp90 co-chaperone Cdc37, N-terminally processed</t>
  </si>
  <si>
    <t>Hsp90 chaperone protein kinase-targeting subunit; p50Cdc37</t>
  </si>
  <si>
    <t>CDC37_HUMAN</t>
  </si>
  <si>
    <t>Q16543</t>
  </si>
  <si>
    <t>Q53YA2</t>
  </si>
  <si>
    <t>CDC37A</t>
  </si>
  <si>
    <t>3D-structure; Acetylation; Chaperone; Cytoplasm; Phosphoprotein; Polymorphism; Ubl conjugation</t>
  </si>
  <si>
    <t>ERBB2 signaling pathway {GO:0038128}; positive regulation of mitophagy in response to mitochondrial depolarization {GO:0098779}; posttranscriptional regulation of gene expression {GO:0010608}; protein folding {GO:0006457}; protein stabilization {GO:0050821}; protein targeting {GO:0006605}; regulation of cyclin-dependent protein serine/threonine kinase activity {GO:0000079}; regulation of interferon-gamma-mediated signaling pathway {GO:0060334}; regulation of type I interferon-mediated signaling pathway {GO:0060338}</t>
  </si>
  <si>
    <t>chaperone complex {GO:0101031}; cytoplasm {GO:0005737}; cytosol {GO:0005829}; extracellular exosome {GO:0070062}; HSP90-CDC37 chaperone complex {GO:1990565}</t>
  </si>
  <si>
    <t>chaperone binding {GO:0051087}; heat shock protein binding {GO:0031072}; Hsp90 protein binding {GO:0051879}; kinase binding {GO:0019900}; protein kinase binding {GO:0019901}; protein kinase regulator activity {GO:0019887}; scaffold protein binding {GO:0097110}; unfolded protein binding {GO:0051082}</t>
  </si>
  <si>
    <t>Signaling by ERBB2 {R-HSA-1227986}; Constitutive Signaling by Ligand-Responsive EGFR Cancer Variants {R-HSA-1236382}; Constitutive Signaling by EGFRvIII {R-HSA-5637810}; Downregulation of ERBB2 signaling {R-HSA-8863795}</t>
  </si>
  <si>
    <t>Basigin</t>
  </si>
  <si>
    <t>5F7; Collagenase stimulatory factor; Extracellular matrix metalloproteinase inducer (EMMPRIN); Leukocyte activation antigen M6; OK blood group antigen; Tumor cell-derived collagenase stimulatory factor (TCSF); CD_antigen=CD147</t>
  </si>
  <si>
    <t>BASI_HUMAN</t>
  </si>
  <si>
    <t>P35613</t>
  </si>
  <si>
    <t>A6NJW1; D3YLG5; Q7Z796; Q8IZL7</t>
  </si>
  <si>
    <t>3D-structure; Alternative promoter usage; Alternative splicing; Blood group antigen; Cell membrane; Disulfide bond; Glycoprotein; Immunoglobulin domain; Lectin; Mannose-binding; Membrane; Phosphoprotein; Polymorphism; Signal; Transmembrane; Transmembrane helix</t>
  </si>
  <si>
    <t>Lectin; Mannose-binding</t>
  </si>
  <si>
    <t>axon guidance {GO:0007411}; cell surface receptor signaling pathway {GO:0007166}; decidualization {GO:0046697}; dendrite self-avoidance {GO:0070593}; embryo implantation {GO:0007566}; extracellular matrix disassembly {GO:0022617}; extracellular matrix organization {GO:0030198}; homophilic cell adhesion via plasma membrane adhesion molecules {GO:0007156}; leukocyte migration {GO:0050900}; odontogenesis of dentin-containing tooth {GO:0042475}; protein localization to plasma membrane {GO:0072659}; pyruvate metabolic process {GO:0006090}; response to cAMP {GO:0051591}; response to mercury ion {GO:0046689}; response to peptide hormone {GO:0043434}</t>
  </si>
  <si>
    <t>acrosomal membrane {GO:0002080}; axon {GO:0030424}; extracellular exosome {GO:0070062}; focal adhesion {GO:0005925}; Golgi membrane {GO:0000139}; integral component of plasma membrane {GO:0005887}; intracellular membrane-bounded organelle {GO:0043231}; melanosome {GO:0042470}; membrane {GO:0016020}; membrane raft {GO:0045121}; mitochondrion {GO:0005739}; plasma membrane {GO:0005886}; sarcolemma {GO:0042383}</t>
  </si>
  <si>
    <t>cadherin binding {GO:0045296}; cell-cell adhesion mediator activity {GO:0098632}; mannose binding {GO:0005537}</t>
  </si>
  <si>
    <t>Degradation of the extracellular matrix {R-HSA-1474228}; Basigin interactions {R-HSA-210991}; Integrin cell surface interactions {R-HSA-216083}; Proton-coupled monocarboxylate transport {R-HSA-433692}; Pyruvate metabolism {R-HSA-70268}</t>
  </si>
  <si>
    <t>ATP synthase subunit O, mitochondrial</t>
  </si>
  <si>
    <t>ATP synthase peripheral stalk subunit OSCP; Oligomycin sensitivity conferral protein (OSCP)</t>
  </si>
  <si>
    <t>ATPO_HUMAN</t>
  </si>
  <si>
    <t>P48047</t>
  </si>
  <si>
    <t>B2R4E2; Q5U042; Q6IBI2</t>
  </si>
  <si>
    <t>Acetylation; ATP synthesis; Hydrogen ion transport; Ion transport; Membrane; Mitochondrion; Mitochondrion inner membrane; Polymorphism; Transit peptide; Transport</t>
  </si>
  <si>
    <t>ATP biosynthetic process {GO:0006754}; cristae formation {GO:0042407}; mitochondrial ATP synthesis coupled proton transport {GO:0042776}; proton transmembrane transport {GO:1902600}</t>
  </si>
  <si>
    <t>mitochondrial inner membrane {GO:0005743}; mitochondrial proton-transporting ATP synthase complex {GO:0005753}; mitochondrion {GO:0005739}; nucleus {GO:0005634}; plasma membrane {GO:0005886}</t>
  </si>
  <si>
    <t>ATPase activity {GO:0016887}; drug binding {GO:0008144}; proton-transporting ATP synthase activity, rotational mechanism {GO:0046933}; transmembrane transporter activity {GO:0022857}</t>
  </si>
  <si>
    <t>Solute carrier family 22 member 13</t>
  </si>
  <si>
    <t>Organic cation transporter-like 3 (ORCTL-3)</t>
  </si>
  <si>
    <t>S22AD_HUMAN</t>
  </si>
  <si>
    <t>Q9Y226</t>
  </si>
  <si>
    <t>B2RCV9; Q8IYG1</t>
  </si>
  <si>
    <t>OCTL1; ORCTL3</t>
  </si>
  <si>
    <t>Alternative splicing; Glycoprotein; Membrane; Polymorphism; Transmembrane; Transmembrane helix</t>
  </si>
  <si>
    <t>NAD biosynthesis via nicotinamide riboside salvage pathway {GO:0034356}; nicotinate transport {GO:2001142}; organic cation transport {GO:0015695}; urate transport {GO:0015747}</t>
  </si>
  <si>
    <t>apical plasma membrane {GO:0016324}; extracellular exosome {GO:0070062}; integral component of plasma membrane {GO:0005887}; plasma membrane {GO:0005886}</t>
  </si>
  <si>
    <t>nicotinate transmembrane transporter activity {GO:0090416}; organic cation transmembrane transporter activity {GO:0015101}</t>
  </si>
  <si>
    <t>Nicotinamide salvaging {R-HSA-197264}</t>
  </si>
  <si>
    <t>OX-2 membrane glycoprotein</t>
  </si>
  <si>
    <t>CD_antigen=CD200</t>
  </si>
  <si>
    <t>OX2G_HUMAN</t>
  </si>
  <si>
    <t>P41217</t>
  </si>
  <si>
    <t>B3KQI1; B4DLW9; D3DN65; Q6J2Q6; Q6PIQ4; Q8TB85; Q9H3J3</t>
  </si>
  <si>
    <t>MOX1; MOX2</t>
  </si>
  <si>
    <t>Alternative splicing; Cell membrane; Disulfide bond; Glycoprotein; Immunoglobulin domain; Membrane; Polymorphism; Signal; Transmembrane; Transmembrane helix</t>
  </si>
  <si>
    <t>cell-cell adhesion {GO:0098609}; heterotypic cell-cell adhesion {GO:0034113}; negative regulation of cell population proliferation {GO:0008285}; negative regulation of interleukin-6 secretion {GO:1900165}; negative regulation of leukocyte activation {GO:0002695}; negative regulation of macrophage activation {GO:0043031}; negative regulation of macrophage migration {GO:1905522}; negative regulation of matrix metallopeptidase secretion {GO:1904465}; negative regulation of neuroinflammatory response {GO:0150079}; negative regulation of neuron death {GO:1901215}; negative regulation of NF-kappaB transcription factor activity {GO:0032088}; negative regulation of T cell migration {GO:2000405}; positive regulation of arginase activity {GO:0150072}; positive regulation of CREB transcription factor activity {GO:0032793}; positive regulation of protein-glutamine gamma-glutamyltransferase activity {GO:0150074}; positive regulation of transforming growth factor beta production {GO:0071636}; regulation of immune response {GO:0050776}; regulation of neuroinflammatory response {GO:0150077}</t>
  </si>
  <si>
    <t>axon {GO:0030424}; cell body {GO:0044297}; cell surface {GO:0009986}; integral component of plasma membrane {GO:0005887}; membrane {GO:0016020}; neuron projection {GO:0043005}; neuronal cell body {GO:0043025}; plasma membrane {GO:0005886}</t>
  </si>
  <si>
    <t>glycosylated region protein binding {GO:0140081}; protein binding involved in heterotypic cell-cell adhesion {GO:0086080}</t>
  </si>
  <si>
    <t>Cytochrome c oxidase copper chaperone</t>
  </si>
  <si>
    <t>COX17_HUMAN</t>
  </si>
  <si>
    <t>Q14061</t>
  </si>
  <si>
    <t>B2R5D2; D3DN84; Q3MHD6</t>
  </si>
  <si>
    <t>3D-structure; Chaperone; Copper; Cytoplasm; Disulfide bond; Metal-binding; Mitochondrion; Phosphoprotein</t>
  </si>
  <si>
    <t>brain development {GO:0007420}; copper ion transport {GO:0006825}; generation of precursor metabolites and energy {GO:0006091}; heart development {GO:0007507}; mitochondrial respiratory chain complex IV assembly {GO:0033617}; positive regulation of cell population proliferation {GO:0008284}; positive regulation of cytochrome-c oxidase activity {GO:1904960}</t>
  </si>
  <si>
    <t>cytoplasm {GO:0005737}; mitochondrial intermembrane space {GO:0005758}</t>
  </si>
  <si>
    <t>copper chaperone activity {GO:0016531}; copper ion binding {GO:0005507}; cuprous ion binding {GO:1903136}</t>
  </si>
  <si>
    <t>Mitochondrial protein import {R-HSA-1268020}</t>
  </si>
  <si>
    <t>Glucosidase 2 subunit beta</t>
  </si>
  <si>
    <t>80K-H protein; Glucosidase II subunit beta; Protein kinase C substrate 60.1 kDa protein heavy chain (PKCSH)</t>
  </si>
  <si>
    <t>GLU2B_HUMAN</t>
  </si>
  <si>
    <t>P14314</t>
  </si>
  <si>
    <t>A8K318; Q96BU9; Q96D06; Q9P0W9</t>
  </si>
  <si>
    <t>Alternative splicing; Calcium; Disease mutation; Disulfide bond; Endoplasmic reticulum; Glycoprotein; Metal-binding; Phosphoprotein; Polymorphism; Repeat; Signal</t>
  </si>
  <si>
    <t>cellular protein metabolic process {GO:0044267}; intracellular signal transduction {GO:0035556}; N-glycan processing {GO:0006491}; post-translational protein modification {GO:0043687}; protein folding {GO:0006457}</t>
  </si>
  <si>
    <t>endoplasmic reticulum {GO:0005783}; endoplasmic reticulum lumen {GO:0005788}; glucosidase II complex {GO:0017177}; intracellular membrane-bounded organelle {GO:0043231}</t>
  </si>
  <si>
    <t>calcium ion binding {GO:0005509}; ion channel binding {GO:0044325}; phosphoprotein binding {GO:0051219}; protein kinase C binding {GO:0005080}</t>
  </si>
  <si>
    <t>Regulation of Insulin-like Growth Factor (IGF) transport and uptake by Insulin-like Growth Factor Binding Proteins (IGFBPs) {R-HSA-381426}; N-glycan trimming in the ER and Calnexin/Calreticulin cycle {R-HSA-532668}; Advanced glycosylation endproduct receptor signaling {R-HSA-879415}; Post-translational protein phosphorylation {R-HSA-8957275}; Calnexin/calreticulin cycle {R-HSA-901042}</t>
  </si>
  <si>
    <t>Fetuin-B</t>
  </si>
  <si>
    <t>16G2; Fetuin-like protein IRL685; Gugu</t>
  </si>
  <si>
    <t>FETUB_HUMAN</t>
  </si>
  <si>
    <t>Q9UGM5</t>
  </si>
  <si>
    <t>B2RCW6; E9PG06; Q1RMZ0; Q5J876; Q6DK58; Q6GRB6; Q9Y6Z0</t>
  </si>
  <si>
    <t>Alternative splicing; Disulfide bond; Fertilization; Glycoprotein; Metalloenzyme inhibitor; Metalloprotease inhibitor; Phosphoprotein; Polymorphism; Protease inhibitor; Repeat; Secreted; Signal</t>
  </si>
  <si>
    <t>Fertilization</t>
  </si>
  <si>
    <t>Metalloenzyme inhibitor; Metalloprotease inhibitor; Protease inhibitor</t>
  </si>
  <si>
    <t>binding of sperm to zona pellucida {GO:0007339}; negative regulation of endopeptidase activity {GO:0010951}; single fertilization {GO:0007338}</t>
  </si>
  <si>
    <t>extracellular exosome {GO:0070062}; extracellular region {GO:0005576}</t>
  </si>
  <si>
    <t>cysteine-type endopeptidase inhibitor activity {GO:0004869}; metalloendopeptidase inhibitor activity {GO:0008191}</t>
  </si>
  <si>
    <t>RuvB-like 1</t>
  </si>
  <si>
    <t>49 kDa TATA box-binding protein-interacting protein (49 kDa TBP-interacting protein); 54 kDa erythrocyte cytosolic protein (ECP-54); INO80 complex subunit H; Nuclear matrix protein 238 (NMP 238); Pontin 52; TIP49a; TIP60-associated protein 54-alpha (TAP54-alpha)</t>
  </si>
  <si>
    <t>RUVB1_HUMAN</t>
  </si>
  <si>
    <t>Q9Y265</t>
  </si>
  <si>
    <t>B2R5S0; P82276; Q1KMR0; Q53HK5; Q53HL7; Q53Y27; Q9BSX9</t>
  </si>
  <si>
    <t>INO80H; NMP238; TIP49; TIP49A</t>
  </si>
  <si>
    <t>3D-structure; Acetylation; Activator; Alternative splicing; ATP-binding; Cell cycle; Cell division; Chromatin regulator; Cytoplasm; Cytoskeleton; DNA damage; DNA recombination; DNA repair; Growth regulation; Helicase; Hydrolase; Isopeptide bond; Membrane; Mitosis; Nucleotide-binding; Nucleus; Transcription; Transcription regulation; Ubl conjugation</t>
  </si>
  <si>
    <t>Cell cycle; Cell division; DNA damage; DNA recombination; DNA repair; Growth regulation; Mitosis; Transcription; Transcription regulation</t>
  </si>
  <si>
    <t>Cytoplasm; Cytoskeleton; Membrane; Nucleus</t>
  </si>
  <si>
    <t>Activator; Chromatin regulator; Helicase; Hydrolase</t>
  </si>
  <si>
    <t>beta-catenin-TCF complex assembly {GO:1904837}; box C/D snoRNP assembly {GO:0000492}; cell cycle {GO:0007049}; cell division {GO:0051301}; CENP-A containing nucleosome assembly {GO:0034080}; chromatin remodeling {GO:0006338}; DNA recombination {GO:0006310}; DNA repair {GO:0006281}; histone acetylation {GO:0016573}; histone H2A acetylation {GO:0043968}; histone H4 acetylation {GO:0043967}; positive regulation of canonical Wnt signaling pathway {GO:0090263}; positive regulation of telomerase RNA localization to Cajal body {GO:1904874}; protein deubiquitination {GO:0016579}; regulation of growth {GO:0040008}; regulation of transcription by RNA polymerase II {GO:0006357}; spermatogenesis {GO:0007283}</t>
  </si>
  <si>
    <t>cytosol {GO:0005829}; extracellular exosome {GO:0070062}; Ino80 complex {GO:0031011}; membrane {GO:0016020}; microtubule organizing center {GO:0005815}; MLL1 complex {GO:0071339}; NuA4 histone acetyltransferase complex {GO:0035267}; nuclear matrix {GO:0016363}; nucleoplasm {GO:0005654}; nucleus {GO:0005634}; R2TP complex {GO:0097255}; ribonucleoprotein complex {GO:1990904}; Swr1 complex {GO:0000812}</t>
  </si>
  <si>
    <t>ADP binding {GO:0043531}; ATP binding {GO:0005524}; ATP-dependent 5'-3' DNA helicase activity {GO:0043141}; ATP-dependent DNA helicase activity {GO:0004003}; ATPase activity {GO:0016887}; ATPase binding {GO:0051117}; cadherin binding {GO:0045296}; DNA helicase activity {GO:0003678}; TBP-class protein binding {GO:0017025}; TFIID-class transcription factor complex binding {GO:0001094}; transcription coactivator activity {GO:0003713}</t>
  </si>
  <si>
    <t>Telomere Extension By Telomerase {R-HSA-171319}; Formation of the beta-catenin:TCF transactivating complex {R-HSA-201722}; HATs acetylate histones {R-HSA-3214847}; UCH proteinases {R-HSA-5689603}; Ub-specific processing proteases {R-HSA-5689880}; DNA Damage Recognition in GG-NER {R-HSA-5696394}; Deposition of new CENPA-containing nucleosomes at the centromere {R-HSA-606279}</t>
  </si>
  <si>
    <t>Omega-amidase NIT2</t>
  </si>
  <si>
    <t>Nitrilase homolog 2</t>
  </si>
  <si>
    <t>NIT2_HUMAN</t>
  </si>
  <si>
    <t>Q9NQR4</t>
  </si>
  <si>
    <t>B2R9A3; D3DN47; Q8WUF0</t>
  </si>
  <si>
    <t>Acetylation; Cytoplasm; Hydrolase; Phosphoprotein; Polymorphism</t>
  </si>
  <si>
    <t>asparagine metabolic process {GO:0006528}; glutamine metabolic process {GO:0006541}; neutrophil degranulation {GO:0043312}; oxaloacetate metabolic process {GO:0006107}</t>
  </si>
  <si>
    <t>centrosome {GO:0005813}; cytosol {GO:0005829}; extracellular exosome {GO:0070062}; extracellular region {GO:0005576}; specific granule lumen {GO:0035580}; tertiary granule lumen {GO:1904724}</t>
  </si>
  <si>
    <t>omega-amidase activity {GO:0050152}</t>
  </si>
  <si>
    <t>Dynamin-2</t>
  </si>
  <si>
    <t>DYN2_HUMAN</t>
  </si>
  <si>
    <t>P50570</t>
  </si>
  <si>
    <t>A8K1B6; E7EV30; E9PEQ4; K7ESI9; Q5I0Y0; Q7Z5S3; Q9UPH4</t>
  </si>
  <si>
    <t>DYN2</t>
  </si>
  <si>
    <t>3D-structure; Acetylation; Alternative splicing; Cell junction; Cell membrane; Cell projection; Charcot-Marie-Tooth disease; Coated pit; Cytoplasm; Cytoplasmic vesicle; Cytoskeleton; Disease mutation; Endocytosis; GTP-binding; Hydrolase; Membrane; Microtubule; Motor protein; Neurodegeneration; Neuropathy; Nucleotide-binding; Phagocytosis; Phosphoprotein; Polymorphism; Postsynaptic cell membrane; Synapse</t>
  </si>
  <si>
    <t>Endocytosis; Phagocytosis</t>
  </si>
  <si>
    <t>Cell junction; Cell membrane; Cell projection; Coated pit; Cytoplasm; Cytoplasmic vesicle; Cytoskeleton; Membrane; Microtubule; Postsynaptic cell membrane; Synapse</t>
  </si>
  <si>
    <t>Hydrolase; Motor protein</t>
  </si>
  <si>
    <t>antigen processing and presentation of exogenous peptide antigen via MHC class II {GO:0019886}; aorta development {GO:0035904}; cellular response to carbon monoxide {GO:0071245}; cellular response to dopamine {GO:1903351}; cellular response to nitric oxide {GO:0071732}; cellular response to X-ray {GO:0071481}; coronary vasculature development {GO:0060976}; endocytosis {GO:0006897}; G protein-coupled receptor internalization {GO:0002031}; G2/M transition of mitotic cell cycle {GO:0000086}; Golgi to plasma membrane transport {GO:0006893}; macropinocytosis {GO:0044351}; membrane organization {GO:0061024}; negative regulation of membrane tubulation {GO:1903526}; negative regulation of non-motile cilium assembly {GO:1902856}; negative regulation of transforming growth factor beta receptor signaling pathway {GO:0030512}; neuron projection morphogenesis {GO:0048812}; phagocytosis {GO:0006909}; positive regulation of apoptotic process {GO:0043065}; positive regulation of clathrin-dependent endocytosis {GO:2000370}; positive regulation of lamellipodium assembly {GO:0010592}; positive regulation of nitric oxide biosynthetic process {GO:0045429}; positive regulation of phagocytosis {GO:0050766}; positive regulation of sodium:potassium-exchanging ATPase activity {GO:1903408}; positive regulation of substrate adhesion-dependent cell spreading {GO:1900026}; positive regulation of transcription, DNA-templated {GO:0045893}; postsynaptic neurotransmitter receptor internalization {GO:0098884}; receptor internalization {GO:0031623}; receptor-mediated endocytosis {GO:0006898}; regulation of axon extension {GO:0030516}; regulation of Golgi organization {GO:1903358}; regulation of nitric-oxide synthase activity {GO:0050999}; regulation of Rac protein signal transduction {GO:0035020}; regulation of synapse structure or activity {GO:0050803}; regulation of transcription, DNA-templated {GO:0006355}; response to cocaine {GO:0042220}; response to light stimulus {GO:0009416}; signal transduction {GO:0007165}; spermatogenesis {GO:0007283}; synaptic vesicle budding from presynaptic endocytic zone membrane {GO:0016185}; synaptic vesicle transport {GO:0048489}; transferrin transport {GO:0033572}; ventricular septum development {GO:0003281}</t>
  </si>
  <si>
    <t>axon {GO:0030424}; centrosome {GO:0005813}; clathrin-coated endocytic vesicle {GO:0045334}; clathrin-coated pit {GO:0005905}; cytoplasm {GO:0005737}; cytoplasmic vesicle {GO:0031410}; cytosol {GO:0005829}; dendritic spine {GO:0043197}; dendritic spine head {GO:0044327}; endocytic vesicle membrane {GO:0030666}; endosome {GO:0005768}; extracellular exosome {GO:0070062}; focal adhesion {GO:0005925}; glutamatergic synapse {GO:0098978}; Golgi apparatus {GO:0005794}; Golgi membrane {GO:0000139}; growth cone {GO:0030426}; lamellipodium {GO:0030027}; membrane {GO:0016020}; microtubule {GO:0005874}; midbody {GO:0030496}; nucleus {GO:0005634}; perinuclear region of cytoplasm {GO:0048471}; phagocytic cup {GO:0001891}; phagocytic vesicle membrane {GO:0030670}; photoreceptor inner segment {GO:0001917}; plasma membrane {GO:0005886}; postsynaptic density {GO:0014069}; postsynaptic density, intracellular component {GO:0099092}; postsynaptic endocytic zone membrane {GO:0098844}; postsynaptic membrane {GO:0045211}; presynapse {GO:0098793}; protein-containing complex {GO:0032991}; ruffle membrane {GO:0032587}; synapse {GO:0045202}; trans-Golgi network {GO:0005802}</t>
  </si>
  <si>
    <t>D2 dopamine receptor binding {GO:0031749}; enzyme binding {GO:0019899}; GTP binding {GO:0005525}; GTPase activity {GO:0003924}; microtubule binding {GO:0008017}; nitric-oxide synthase binding {GO:0050998}; phosphatidylinositol 3-kinase regulatory subunit binding {GO:0036312}; protein kinase binding {GO:0019901}; protein-containing complex binding {GO:0044877}; SH3 domain binding {GO:0017124}; WW domain binding {GO:0050699}</t>
  </si>
  <si>
    <t>Toll Like Receptor 4 (TLR4) Cascade {R-HSA-166016}; Retrograde neurotrophin signalling {R-HSA-177504}; Gap junction degradation {R-HSA-190873}; Formation of annular gap junctions {R-HSA-196025}; NOSTRIN mediated eNOS trafficking {R-HSA-203641}; MHC class II antigen presentation {R-HSA-2132295}; Lysosome Vesicle Biogenesis {R-HSA-432720}; Golgi Associated Vesicle Biogenesis {R-HSA-432722}; Recycling pathway of L1 {R-HSA-437239}; Clathrin-mediated endocytosis {R-HSA-8856828}</t>
  </si>
  <si>
    <t>Integrin beta-2</t>
  </si>
  <si>
    <t>Cell surface adhesion glycoproteins LFA-1/CR3/p150,95 subunit beta; Complement receptor C3 subunit beta; CD_antigen=CD18</t>
  </si>
  <si>
    <t>ITB2_HUMAN</t>
  </si>
  <si>
    <t>P05107</t>
  </si>
  <si>
    <t>B3KTS8; D3DSM1; Q16418; Q53HS5; Q9UD72</t>
  </si>
  <si>
    <t>CD18; MFI7</t>
  </si>
  <si>
    <t>3D-structure; Cell adhesion; Cell membrane; Disease mutation; Disulfide bond; Glycoprotein; Integrin; Membrane; Metal-binding; Phagocytosis; Phosphoprotein; Pyrrolidone carboxylic acid; Receptor; Repeat; Signal; Transmembrane; Transmembrane helix</t>
  </si>
  <si>
    <t>Integrin; Receptor</t>
  </si>
  <si>
    <t>Disulfide bond; Glycoprotein; Phosphoprotein; Pyrrolidone carboxylic acid</t>
  </si>
  <si>
    <t>aging {GO:0007568}; amyloid-beta clearance {GO:0097242}; apoptotic process {GO:0006915}; cell adhesion {GO:0007155}; cell adhesion mediated by integrin {GO:0033627}; cell migration {GO:0016477}; cell-cell adhesion {GO:0098609}; cell-cell adhesion via plasma-membrane adhesion molecules {GO:0098742}; cell-cell signaling {GO:0007267}; cell-matrix adhesion {GO:0007160}; cellular extravasation {GO:0045123}; cellular response to low-density lipoprotein particle stimulus {GO:0071404}; cytokine-mediated signaling pathway {GO:0019221}; endodermal cell differentiation {GO:0035987}; endothelial cell migration {GO:0043542}; extracellular matrix organization {GO:0030198}; heterotypic cell-cell adhesion {GO:0034113}; inflammatory response {GO:0006954}; integrin-mediated signaling pathway {GO:0007229}; leukocyte cell-cell adhesion {GO:0007159}; leukocyte migration {GO:0050900}; leukocyte migration involved in inflammatory response {GO:0002523}; microglial cell activation {GO:0001774}; natural killer cell activation {GO:0030101}; negative regulation of dopamine metabolic process {GO:0045963}; neutrophil chemotaxis {GO:0030593}; neutrophil degranulation {GO:0043312}; neutrophil migration {GO:1990266}; phagocytosis, engulfment {GO:0006911}; positive regulation of angiogenesis {GO:0045766}; positive regulation of leukocyte adhesion to vascular endothelial cell {GO:1904996}; positive regulation of microglial cell activation {GO:1903980}; positive regulation of neuron death {GO:1901216}; positive regulation of neutrophil degranulation {GO:0043315}; positive regulation of NF-kappaB transcription factor activity {GO:0051092}; positive regulation of nitric oxide biosynthetic process {GO:0045429}; positive regulation of prostaglandin-E synthase activity {GO:2000363}; positive regulation of protein targeting to membrane {GO:0090314}; positive regulation of superoxide anion generation {GO:0032930}; receptor clustering {GO:0043113}; receptor internalization {GO:0031623}; receptor-mediated endocytosis {GO:0006898}; regulation of cell shape {GO:0008360}; regulation of immune response {GO:0050776}; regulation of peptidyl-tyrosine phosphorylation {GO:0050730}; toll-like receptor 4 signaling pathway {GO:0034142}</t>
  </si>
  <si>
    <t>cell surface {GO:0009986}; external side of plasma membrane {GO:0009897}; extracellular exosome {GO:0070062}; extracellular vesicle {GO:1903561}; ficolin-1-rich granule membrane {GO:0101003}; focal adhesion {GO:0005925}; integrin alphaL-beta2 complex {GO:0034687}; integrin alphaM-beta2 complex {GO:0034688}; integrin complex {GO:0008305}; membrane {GO:0016020}; plasma membrane {GO:0005886}; plasma membrane raft {GO:0044853}; protein-containing complex {GO:0032991}; receptor complex {GO:0043235}; specific granule membrane {GO:0035579}; tertiary granule membrane {GO:0070821}</t>
  </si>
  <si>
    <t>amyloid-beta binding {GO:0001540}; cell adhesion molecule binding {GO:0050839}; complement component C3b binding {GO:0001851}; heat shock protein binding {GO:0031072}; ICAM-3 receptor activity {GO:0030369}; integrin binding {GO:0005178}; metal ion binding {GO:0046872}; protein heterodimerization activity {GO:0046982}; protein kinase binding {GO:0019901}</t>
  </si>
  <si>
    <t>Toll Like Receptor 4 (TLR4) Cascade {R-HSA-166016}; Immunoregulatory interactions between a Lymphoid and a non-Lymphoid cell {R-HSA-198933}; Cell surface interactions at the vascular wall {R-HSA-202733}; Integrin cell surface interactions {R-HSA-216083}; Interleukin-4 and Interleukin-13 signaling {R-HSA-6785807}; Neutrophil degranulation {R-HSA-6798695}</t>
  </si>
  <si>
    <t>Lipoma-preferred partner</t>
  </si>
  <si>
    <t>LIM domain-containing preferred translocation partner in lipoma</t>
  </si>
  <si>
    <t>LPP_HUMAN</t>
  </si>
  <si>
    <t>Q93052</t>
  </si>
  <si>
    <t>A1L4L6; D3DNV6; Q8NFX5</t>
  </si>
  <si>
    <t>Acetylation; Activator; Cell adhesion; Cell junction; Cell membrane; Chromosomal rearrangement; Cytoplasm; Isopeptide bond; LIM domain; Membrane; Metal-binding; Nucleus; Phosphoprotein; Polymorphism; Repeat; Ubl conjugation; Zinc</t>
  </si>
  <si>
    <t>Cell junction; Cell membrane; Cytoplasm; Membrane; Nucleus</t>
  </si>
  <si>
    <t>cell-cell adhesion {GO:0098609}</t>
  </si>
  <si>
    <t>cytosol {GO:0005829}; focal adhesion {GO:0005925}; nucleus {GO:0005634}; plasma membrane {GO:0005886}; stress fiber {GO:0001725}</t>
  </si>
  <si>
    <t>Xylulose kinase (Xylulokinase)</t>
  </si>
  <si>
    <t>XYLB_HUMAN</t>
  </si>
  <si>
    <t>O75191</t>
  </si>
  <si>
    <t>B2RAW4; B4DDT2; B9EH64</t>
  </si>
  <si>
    <t>3D-structure; Alternative splicing; ATP-binding; Carbohydrate metabolism; Kinase; Nucleotide-binding; Polymorphism; Transferase; Xylose metabolism</t>
  </si>
  <si>
    <t>Carbohydrate metabolism; Xylose metabolism</t>
  </si>
  <si>
    <t>carbohydrate metabolic process {GO:0005975}; D-xylose metabolic process {GO:0042732}; generation of precursor metabolites and energy {GO:0006091}; glucuronate catabolic process to xylulose 5-phosphate {GO:0019640}; phosphorylation {GO:0016310}; xylulose catabolic process {GO:0005998}; xylulose metabolic process {GO:0005997}</t>
  </si>
  <si>
    <t>ATP binding {GO:0005524}; xylulokinase activity {GO:0004856}</t>
  </si>
  <si>
    <t>Formation of xylulose-5-phosphate {R-HSA-5661270}</t>
  </si>
  <si>
    <t>Myoferlin</t>
  </si>
  <si>
    <t>Fer-1-like protein 3</t>
  </si>
  <si>
    <t>MYOF_HUMAN</t>
  </si>
  <si>
    <t>Q9NZM1</t>
  </si>
  <si>
    <t>B3KQN5; Q5VWW2; Q5VWW3; Q5VWW4; Q5VWW5; Q7Z642; Q8IWH0; Q9HBU3; Q9NZM0; Q9ULL3; Q9Y4U4</t>
  </si>
  <si>
    <t>FER1L3; KIAA1207</t>
  </si>
  <si>
    <t>3D-structure; Acetylation; Alternative splicing; Cell membrane; Cytoplasmic vesicle; Membrane; Nucleus; Phosphoprotein; Polymorphism; Repeat; Signal-anchor; Transmembrane; Transmembrane helix</t>
  </si>
  <si>
    <t>Cell membrane; Cytoplasmic vesicle; Membrane; Nucleus</t>
  </si>
  <si>
    <t>blood circulation {GO:0008015}; cellular response to heat {GO:0034605}; glycerol metabolic process {GO:0006071}; muscle contraction {GO:0006936}; muscle fiber development {GO:0048747}; myoblast fusion {GO:0007520}; plasma membrane repair {GO:0001778}; regulation of vascular endothelial growth factor receptor signaling pathway {GO:0030947}; T-tubule organization {GO:0033292}</t>
  </si>
  <si>
    <t>caveola {GO:0005901}; cytoplasmic vesicle {GO:0031410}; cytoplasmic vesicle membrane {GO:0030659}; extracellular exosome {GO:0070062}; integral component of membrane {GO:0016021}; intracellular membrane-bounded organelle {GO:0043231}; nuclear envelope {GO:0005635}; nuclear membrane {GO:0031965}; plasma membrane {GO:0005886}</t>
  </si>
  <si>
    <t>phospholipid binding {GO:0005543}</t>
  </si>
  <si>
    <t>Collagen alpha-1(VII) chain</t>
  </si>
  <si>
    <t>Long-chain collagen (LC collagen)</t>
  </si>
  <si>
    <t>CO7A1_HUMAN</t>
  </si>
  <si>
    <t>Q02388</t>
  </si>
  <si>
    <t>Q14054; Q16507</t>
  </si>
  <si>
    <t>Alternative splicing; Basement membrane; Cell adhesion; Collagen; Disease mutation; Disulfide bond; Epidermolysis bullosa; Extracellular matrix; Glycoprotein; Hydroxylation; Polymorphism; Protease inhibitor; Repeat; Secreted; Serine protease inhibitor; Signal</t>
  </si>
  <si>
    <t>Disease mutation; Epidermolysis bullosa</t>
  </si>
  <si>
    <t>cell adhesion {GO:0007155}; COPII vesicle coating {GO:0048208}; endodermal cell differentiation {GO:0035987}; endoplasmic reticulum to Golgi vesicle-mediated transport {GO:0006888}; epidermis development {GO:0008544}; extracellular matrix organization {GO:0030198}; growth plate cartilage chondrocyte morphogenesis {GO:0003429}</t>
  </si>
  <si>
    <t>basement membrane {GO:0005604}; collagen type VII trimer {GO:0005590}; collagen-containing extracellular matrix {GO:0062023}; COPII-coated ER to Golgi transport vesicle {GO:0030134}; endoplasmic reticulum lumen {GO:0005788}; endoplasmic reticulum-Golgi intermediate compartment membrane {GO:0033116}; extracellular matrix {GO:0031012}; extracellular region {GO:0005576}; extracellular space {GO:0005615}; Golgi membrane {GO:0000139}</t>
  </si>
  <si>
    <t>extracellular matrix structural constituent conferring tensile strength {GO:0030020}; serine-type endopeptidase inhibitor activity {GO:0004867}</t>
  </si>
  <si>
    <t>Collagen degradation {R-HSA-1442490}; Extracellular matrix organization {R-HSA-1474244}; Collagen biosynthesis and modifying enzymes {R-HSA-1650814}; Assembly of collagen fibrils and other multimeric structures {R-HSA-2022090}; COPII-mediated vesicle transport {R-HSA-204005}; Integrin cell surface interactions {R-HSA-216083}; Anchoring fibril formation {R-HSA-2214320}; Laminin interactions {R-HSA-3000157}; Cargo concentration in the ER {R-HSA-5694530}; Collagen chain trimerization {R-HSA-8948216}</t>
  </si>
  <si>
    <t>Receptor-type tyrosine-protein phosphatase gamma (Protein-tyrosine phosphatase gamma; R-PTP-gamma)</t>
  </si>
  <si>
    <t>PTPRG_HUMAN</t>
  </si>
  <si>
    <t>P23470</t>
  </si>
  <si>
    <t>B2RU12; B7ZLX5; Q15623; Q59EE0; Q68DU5</t>
  </si>
  <si>
    <t>PTPG</t>
  </si>
  <si>
    <t>3D-structure; Alternative splicing; Disulfide bond; Glycoprotein; Hydrolase; Membrane; Phosphoprotein; Polymorphism; Protein phosphatase; Repeat; Signal; Transmembrane; Transmembrane helix</t>
  </si>
  <si>
    <t>brain development {GO:0007420}; negative regulation of epithelial cell migration {GO:0010633}; negative regulation of neuron projection development {GO:0010977}; protein dephosphorylation {GO:0006470}; transmembrane receptor protein tyrosine kinase signaling pathway {GO:0007169}</t>
  </si>
  <si>
    <t>extracellular exosome {GO:0070062}; integral component of plasma membrane {GO:0005887}</t>
  </si>
  <si>
    <t>identical protein binding {GO:0042802}; protein tyrosine phosphatase activity {GO:0004725}; transmembrane receptor protein tyrosine phosphatase activity {GO:0005001}</t>
  </si>
  <si>
    <t>Cholinesterase</t>
  </si>
  <si>
    <t>Acylcholine acylhydrolase; Butyrylcholine esterase; Choline esterase II; Pseudocholinesterase</t>
  </si>
  <si>
    <t>CHLE_HUMAN</t>
  </si>
  <si>
    <t>P06276</t>
  </si>
  <si>
    <t>A8K7P8</t>
  </si>
  <si>
    <t>CHE1</t>
  </si>
  <si>
    <t>3D-structure; Disease mutation; Disulfide bond; Glycoprotein; Hydrolase; Phosphoprotein; Polymorphism; Secreted; Serine esterase; Sialic acid; Signal</t>
  </si>
  <si>
    <t>Hydrolase; Serine esterase</t>
  </si>
  <si>
    <t>choline metabolic process {GO:0019695}; cocaine metabolic process {GO:0050783}; learning {GO:0007612}; negative regulation of cell population proliferation {GO:0008285}; negative regulation of synaptic transmission {GO:0050805}; neuroblast differentiation {GO:0014016}; response to alkaloid {GO:0043279}; response to folic acid {GO:0051593}; response to glucocorticoid {GO:0051384}</t>
  </si>
  <si>
    <t>blood microparticle {GO:0072562}; endoplasmic reticulum lumen {GO:0005788}; extracellular region {GO:0005576}; membrane {GO:0016020}; nuclear envelope lumen {GO:0005641}</t>
  </si>
  <si>
    <t>acetylcholinesterase activity {GO:0003990}; amyloid-beta binding {GO:0001540}; catalytic activity {GO:0003824}; choline binding {GO:0033265}; cholinesterase activity {GO:0004104}; enzyme binding {GO:0019899}; identical protein binding {GO:0042802}</t>
  </si>
  <si>
    <t>Neurotransmitter clearance {R-HSA-112311}; Synthesis of PC {R-HSA-1483191}; Synthesis, secretion, and deacylation of Ghrelin {R-HSA-422085}</t>
  </si>
  <si>
    <t>Carbonyl reductase [NADPH] 3</t>
  </si>
  <si>
    <t>NADPH-dependent carbonyl reductase 3; Short chain dehydrogenase/reductase family 21C member 2</t>
  </si>
  <si>
    <t>CBR3_HUMAN</t>
  </si>
  <si>
    <t>O75828</t>
  </si>
  <si>
    <t>Q6FHP2</t>
  </si>
  <si>
    <t>cognition {GO:0050890}; phylloquinone catabolic process {GO:0042376}; xenobiotic metabolic process {GO:0006805}</t>
  </si>
  <si>
    <t>cytosol {GO:0005829}; extracellular space {GO:0005615}; nucleoplasm {GO:0005654}</t>
  </si>
  <si>
    <t>3-keto sterol reductase activity {GO:0000253}; carbonyl reductase (NADPH) activity {GO:0004090}; NADPH binding {GO:0070402}</t>
  </si>
  <si>
    <t>Phase I - Functionalization of compounds {R-HSA-211945}</t>
  </si>
  <si>
    <t>Calponin-2</t>
  </si>
  <si>
    <t>Calponin H2, smooth muscle; Neutral calponin</t>
  </si>
  <si>
    <t>CNN2_HUMAN</t>
  </si>
  <si>
    <t>Q99439</t>
  </si>
  <si>
    <t>A5D8U8; A6NFI4; D6W5X9; Q92578</t>
  </si>
  <si>
    <t>3D-structure; Acetylation; Actin-binding; Alternative splicing; Calmodulin-binding; Phosphoprotein; Repeat</t>
  </si>
  <si>
    <t>actomyosin structure organization {GO:0031032}; cellular response to mechanical stimulus {GO:0071260}; cytoskeleton organization {GO:0007010}; interleukin-12-mediated signaling pathway {GO:0035722}; neutrophil degranulation {GO:0043312}; regulation of actin filament-based process {GO:0032970}</t>
  </si>
  <si>
    <t>cell-cell junction {GO:0005911}; cytoskeleton {GO:0005856}; extracellular region {GO:0005576}; focal adhesion {GO:0005925}; membrane {GO:0016020}; specific granule lumen {GO:0035580}; stress fiber {GO:0001725}; tertiary granule lumen {GO:1904724}</t>
  </si>
  <si>
    <t>actin binding {GO:0003779}; cadherin binding {GO:0045296}; calmodulin binding {GO:0005516}</t>
  </si>
  <si>
    <t>Neutrophil degranulation {R-HSA-6798695}; Gene and protein expression by JAK-STAT signaling after Interleukin-12 stimulation {R-HSA-8950505}</t>
  </si>
  <si>
    <t>Methylthioribose-1-phosphate isomerase (M1Pi; MTR-1-P isomerase)</t>
  </si>
  <si>
    <t>Mediator of RhoA-dependent invasion; S-methyl-5-thioribose-1-phosphate isomerase; Translation initiation factor eIF-2B subunit alpha/beta/delta-like protein</t>
  </si>
  <si>
    <t>MTNA_HUMAN</t>
  </si>
  <si>
    <t>Q9BV20</t>
  </si>
  <si>
    <t>Q8NDC9</t>
  </si>
  <si>
    <t>MRDI</t>
  </si>
  <si>
    <t>3D-structure; Acetylation; Alternative splicing; Amino-acid biosynthesis; Cell projection; Cytoplasm; Isomerase; Methionine biosynthesis; Nucleus; Polymorphism</t>
  </si>
  <si>
    <t>Amino-acid biosynthesis; Methionine biosynthesis</t>
  </si>
  <si>
    <t>Cell projection; Cytoplasm; Nucleus</t>
  </si>
  <si>
    <t>L-methionine salvage from methylthioadenosine {GO:0019509}; L-methionine salvage from S-adenosylmethionine {GO:0019284}</t>
  </si>
  <si>
    <t>cell projection {GO:0042995}; cytosol {GO:0005829}; fibrillar center {GO:0001650}; nucleoplasm {GO:0005654}</t>
  </si>
  <si>
    <t>identical protein binding {GO:0042802}; S-methyl-5-thioribose-1-phosphate isomerase activity {GO:0046523}</t>
  </si>
  <si>
    <t>Amino-acid biosynthesis; L-methionine biosynthesis via salvage pathway; L-methionine from S-methyl-5-thio-alpha-D-ribose 1-phosphate: step 1/6..</t>
  </si>
  <si>
    <t>Methionine salvage pathway {R-HSA-1237112}</t>
  </si>
  <si>
    <t>Calreticulin</t>
  </si>
  <si>
    <t>CRP55; Calregulin; Endoplasmic reticulum resident protein 60 (ERp60); HACBP; grp60</t>
  </si>
  <si>
    <t>CALR_HUMAN</t>
  </si>
  <si>
    <t>P27797</t>
  </si>
  <si>
    <t>Q6IAT4; Q9UDG2</t>
  </si>
  <si>
    <t>CRTC</t>
  </si>
  <si>
    <t>3D-structure; Acetylation; Calcium; Chaperone; Cytoplasm; Disulfide bond; Endoplasmic reticulum; Extracellular matrix; Glycoprotein; Lectin; Metal-binding; Repeat; Sarcoplasmic reticulum; Secreted; Signal; Zinc</t>
  </si>
  <si>
    <t>Cytoplasm; Endoplasmic reticulum; Extracellular matrix; Sarcoplasmic reticulum; Secreted</t>
  </si>
  <si>
    <t>Calcium; Lectin; Metal-binding; Zinc</t>
  </si>
  <si>
    <t>antigen processing and presentation of exogenous peptide antigen via MHC class I, TAP-dependent {GO:0002479}; antigen processing and presentation of peptide antigen via MHC class I {GO:0002474}; ATF6-mediated unfolded protein response {GO:0036500}; cardiac muscle cell differentiation {GO:0055007}; cellular calcium ion homeostasis {GO:0006874}; cellular response to lithium ion {GO:0071285}; cellular senescence {GO:0090398}; cortical actin cytoskeleton organization {GO:0030866}; glucocorticoid receptor signaling pathway {GO:0042921}; negative regulation of cell cycle arrest {GO:0071157}; negative regulation of intracellular steroid hormone receptor signaling pathway {GO:0033144}; negative regulation of neuron differentiation {GO:0045665}; negative regulation of retinoic acid receptor signaling pathway {GO:0048387}; negative regulation of transcription by RNA polymerase II {GO:0000122}; negative regulation of transcription, DNA-templated {GO:0045892}; negative regulation of translation {GO:0017148}; negative regulation of trophoblast cell migration {GO:1901164}; peptide antigen assembly with MHC class I protein complex {GO:0002502}; positive regulation of cell cycle {GO:0045787}; positive regulation of cell population proliferation {GO:0008284}; positive regulation of dendritic cell chemotaxis {GO:2000510}; positive regulation of endothelial cell migration {GO:0010595}; positive regulation of gene expression {GO:0010628}; positive regulation of NIK/NF-kappaB signaling {GO:1901224}; positive regulation of phagocytosis {GO:0050766}; positive regulation of substrate adhesion-dependent cell spreading {GO:1900026}; protein export from nucleus {GO:0006611}; protein folding {GO:0006457}; protein folding in endoplasmic reticulum {GO:0034975}; protein localization to nucleus {GO:0034504}; protein maturation by protein folding {GO:0022417}; protein stabilization {GO:0050821}; receptor-mediated endocytosis {GO:0006898}; regulation of apoptotic process {GO:0042981}; regulation of meiotic nuclear division {GO:0040020}; regulation of transcription, DNA-templated {GO:0006355}; response to drug {GO:0042493}; response to estradiol {GO:0032355}; response to testosterone {GO:0033574}; sequestering of calcium ion {GO:0051208}; spermatogenesis {GO:0007283}; vesicle fusion with endoplasmic reticulum-Golgi intermediate compartment (ERGIC) membrane {GO:1990668}</t>
  </si>
  <si>
    <t>acrosomal vesicle {GO:0001669}; cell surface {GO:0009986}; collagen-containing extracellular matrix {GO:0062023}; cytoplasm {GO:0005737}; cytosol {GO:0005829}; endocytic vesicle lumen {GO:0071682}; endoplasmic reticulum {GO:0005783}; endoplasmic reticulum lumen {GO:0005788}; endoplasmic reticulum quality control compartment {GO:0044322}; endoplasmic reticulum-Golgi intermediate compartment membrane {GO:0033116}; external side of plasma membrane {GO:0009897}; extracellular exosome {GO:0070062}; extracellular region {GO:0005576}; extracellular space {GO:0005615}; focal adhesion {GO:0005925}; Golgi apparatus {GO:0005794}; integral component of lumenal side of endoplasmic reticulum membrane {GO:0071556}; membrane {GO:0016020}; MHC class I peptide loading complex {GO:0042824}; nuclear envelope {GO:0005635}; nucleus {GO:0005634}; perinuclear region of cytoplasm {GO:0048471}; phagocytic vesicle membrane {GO:0030670}; polysome {GO:0005844}; sarcoplasmic reticulum lumen {GO:0033018}; smooth endoplasmic reticulum {GO:0005790}</t>
  </si>
  <si>
    <t>androgen receptor binding {GO:0050681}; calcium ion binding {GO:0005509}; carbohydrate binding {GO:0030246}; chaperone binding {GO:0051087}; complement component C1q binding {GO:0001849}; DNA binding {GO:0003677}; hormone binding {GO:0042562}; integrin binding {GO:0005178}; iron ion binding {GO:0005506}; mRNA binding {GO:0003729}; peptide binding {GO:0042277}; protein folding chaperone {GO:0044183}; RNA binding {GO:0003723}; ubiquitin protein ligase binding {GO:0031625}; unfolded protein binding {GO:0051082}; zinc ion binding {GO:0008270}</t>
  </si>
  <si>
    <t>ER-Phagosome pathway {R-HSA-1236974}; Assembly of Viral Components at the Budding Site {R-HSA-168316}; Scavenging by Class A Receptors {R-HSA-3000480}; Scavenging by Class F Receptors {R-HSA-3000484}; ATF6 (ATF6-alpha) activates chaperone genes {R-HSA-381183}; Calnexin/calreticulin cycle {R-HSA-901042}; Antigen Presentation: Folding, assembly and peptide loading of class I MHC {R-HSA-983170}</t>
  </si>
  <si>
    <t>Retinol-binding protein 2</t>
  </si>
  <si>
    <t>Cellular retinol-binding protein II (CRBP-II)</t>
  </si>
  <si>
    <t>RET2_HUMAN</t>
  </si>
  <si>
    <t>P50120</t>
  </si>
  <si>
    <t>A8K7G3; Q6ISQ9; Q6ISS7</t>
  </si>
  <si>
    <t>CRBP2</t>
  </si>
  <si>
    <t>epidermis development {GO:0008544}; retinoid metabolic process {GO:0001523}; vitamin A metabolic process {GO:0006776}</t>
  </si>
  <si>
    <t>retinal binding {GO:0016918}; retinoid binding {GO:0005501}; retinol binding {GO:0019841}</t>
  </si>
  <si>
    <t>Retinoid metabolism and transport {R-HSA-975634}</t>
  </si>
  <si>
    <t>Neuroserpin</t>
  </si>
  <si>
    <t>Peptidase inhibitor 12 (PI-12); Serpin I1</t>
  </si>
  <si>
    <t>NEUS_HUMAN</t>
  </si>
  <si>
    <t>Q99574</t>
  </si>
  <si>
    <t>A8K217; D3DNP1; Q6AHZ4</t>
  </si>
  <si>
    <t>PI12</t>
  </si>
  <si>
    <t>3D-structure; Cytoplasmic vesicle; Disease mutation; Glycoprotein; Neurodegeneration; Protease inhibitor; Secreted; Serine protease inhibitor; Signal</t>
  </si>
  <si>
    <t>Disease mutation; Neurodegeneration</t>
  </si>
  <si>
    <t>central nervous system development {GO:0007417}; negative regulation of endopeptidase activity {GO:0010951}; peripheral nervous system development {GO:0007422}; positive regulation of neuron projection development {GO:0010976}; regulation of cell adhesion {GO:0030155}</t>
  </si>
  <si>
    <t>cytoplasmic vesicle lumen {GO:0060205}; extracellular exosome {GO:0070062}; extracellular space {GO:0005615}; neuronal cell body {GO:0043025}; perikaryon {GO:0043204}; secretory granule lumen {GO:0034774}</t>
  </si>
  <si>
    <t>Lactoferroxin-C</t>
  </si>
  <si>
    <t>Growth-inhibiting protein 12; Talalactoferrin (Lfcin-H)</t>
  </si>
  <si>
    <t>TRFL_HUMAN</t>
  </si>
  <si>
    <t>P02788</t>
  </si>
  <si>
    <t>A8K9U8; B2MV13; B7Z4X2; E7EQH5; O00756; Q16780; Q16785; Q16786; Q16789; Q5DSM0; Q8IU92; Q8IZH6; Q8TCD2; Q96KZ4; Q96KZ5; Q9H1Z3; Q9UCY5</t>
  </si>
  <si>
    <t>GIG12; LF</t>
  </si>
  <si>
    <t>3D-structure; Alternative promoter usage; Antibiotic; Antimicrobial; Cytoplasm; Disulfide bond; DNA-binding; Glycoprotein; Heparin-binding; Hydrolase; Immunity; Ion transport; Iron; Iron transport; Isopeptide bond; Metal-binding; Nucleus; Osteogenesis; Polymorphism; Protease; Repeat; Secreted; Serine protease; Signal; Transcription; Transcription regulation; Transport; Ubl conjugation</t>
  </si>
  <si>
    <t>Immunity; Ion transport; Iron transport; Osteogenesis; Transcription; Transcription regulation; Transport</t>
  </si>
  <si>
    <t>Alternative promoter usage; Polymorphism</t>
  </si>
  <si>
    <t>Antibiotic; Antimicrobial; DNA-binding; Heparin-binding; Hydrolase; Protease; Serine protease</t>
  </si>
  <si>
    <t>Disulfide bond; Glycoprotein; Isopeptide bond; Ubl conjugation</t>
  </si>
  <si>
    <t>antibacterial humoral response {GO:0019731}; antifungal humoral response {GO:0019732}; antimicrobial humoral immune response mediated by antimicrobial peptide {GO:0061844}; antimicrobial humoral response {GO:0019730}; bone morphogenesis {GO:0060349}; cellular protein metabolic process {GO:0044267}; defense response to Gram-negative bacterium {GO:0050829}; defense response to Gram-positive bacterium {GO:0050830}; humoral immune response {GO:0006959}; innate immune response {GO:0045087}; innate immune response in mucosa {GO:0002227}; killing of cells of other organism {GO:0031640}; membrane disruption in other organism {GO:0051673}; negative regulation by host of viral process {GO:0044793}; negative regulation of apoptotic process {GO:0043066}; negative regulation of ATPase activity {GO:0032780}; negative regulation of cysteine-type endopeptidase activity {GO:2000117}; negative regulation of lipopolysaccharide-mediated signaling pathway {GO:0031665}; negative regulation of membrane potential {GO:0045837}; negative regulation of osteoclast development {GO:2001205}; negative regulation of single-species biofilm formation in or on host organism {GO:1900229}; negative regulation of tumor necrosis factor (ligand) superfamily member 11 production {GO:2000308}; negative regulation of viral genome replication {GO:0045071}; negative regulation of viral process {GO:0048525}; neutrophil degranulation {GO:0043312}; ossification {GO:0001503}; positive regulation of bone mineralization involved in bone maturation {GO:1900159}; positive regulation of chondrocyte proliferation {GO:1902732}; positive regulation of I-kappaB kinase/NF-kappaB signaling {GO:0043123}; positive regulation of NF-kappaB transcription factor activity {GO:0051092}; positive regulation of osteoblast differentiation {GO:0045669}; positive regulation of osteoblast proliferation {GO:0033690}; positive regulation of protein serine/threonine kinase activity {GO:0071902}; positive regulation of toll-like receptor 4 signaling pathway {GO:0034145}; regulation of cytokine production {GO:0001817}; regulation of tumor necrosis factor production {GO:0032680}; retina homeostasis {GO:0001895}; siderophore-dependent iron import into cell {GO:0033214}</t>
  </si>
  <si>
    <t>cell surface {GO:0009986}; cytoplasm {GO:0005737}; extracellular exosome {GO:0070062}; extracellular region {GO:0005576}; extracellular space {GO:0005615}; nucleus {GO:0005634}; other organism cell membrane {GO:0044218}; phagocytic vesicle lumen {GO:0097013}; protein-containing complex {GO:0032991}; secretory granule {GO:0030141}; specific granule {GO:0042581}; specific granule lumen {GO:0035580}; tertiary granule lumen {GO:1904724}</t>
  </si>
  <si>
    <t>cysteine-type endopeptidase inhibitor activity {GO:0004869}; DNA binding {GO:0003677}; heparin binding {GO:0008201}; iron ion binding {GO:0005506}; lipopolysaccharide binding {GO:0001530}; protein serine/threonine kinase activator activity {GO:0043539}; serine-type endopeptidase activity {GO:0004252}</t>
  </si>
  <si>
    <t>Mtb iron assimilation by chelation {R-HSA-1222449}; Neutrophil degranulation {R-HSA-6798695}; Metal sequestration by antimicrobial proteins {R-HSA-6799990}; Antimicrobial peptides {R-HSA-6803157}; Amyloid fiber formation {R-HSA-977225}</t>
  </si>
  <si>
    <t>PAK-2p34</t>
  </si>
  <si>
    <t>Gamma-PAK; PAK65; S6/H4 kinase; p21-activated kinase 2 (PAK-2); p58 (p27; p34); C-t-PAK2</t>
  </si>
  <si>
    <t>PAK2_HUMAN</t>
  </si>
  <si>
    <t>Q13177</t>
  </si>
  <si>
    <t>Q13154; Q6ISC3</t>
  </si>
  <si>
    <t>3D-structure; Acetylation; Allosteric enzyme; Apoptosis; ATP-binding; Cytoplasm; Growth regulation; Host-virus interaction; Kinase; Lipoprotein; Membrane; Myristate; Nucleotide-binding; Nucleus; Phosphoprotein; Serine/threonine-protein kinase; Transferase; Ubl conjugation</t>
  </si>
  <si>
    <t>Apoptosis; Growth regulation; Host-virus interaction</t>
  </si>
  <si>
    <t>Allosteric enzyme; Kinase; Serine/threonine-protein kinase; Transferase</t>
  </si>
  <si>
    <t>Acetylation; Lipoprotein; Myristate; Phosphoprotein; Ubl conjugation</t>
  </si>
  <si>
    <t>activation of protein kinase activity {GO:0032147}; apoptotic process {GO:0006915}; cell migration {GO:0016477}; cellular response to organic cyclic compound {GO:0071407}; dendritic spine development {GO:0060996}; Fc-epsilon receptor signaling pathway {GO:0038095}; interleukin-12-mediated signaling pathway {GO:0035722}; negative regulation of apoptotic process {GO:0043066}; negative regulation of cysteine-type endopeptidase activity involved in execution phase of apoptosis {GO:2001271}; negative regulation of protein kinase activity {GO:0006469}; peptidyl-serine phosphorylation {GO:0018105}; phosphorylation {GO:0016310}; positive regulation of extrinsic apoptotic signaling pathway {GO:2001238}; positive regulation of peptidyl-tyrosine phosphorylation {GO:0050731}; protein autophosphorylation {GO:0046777}; protein phosphorylation {GO:0006468}; regulation of defense response to virus by virus {GO:0050690}; regulation of growth {GO:0040008}; regulation of MAPK cascade {GO:0043408}; signal transduction {GO:0007165}; signal transduction by protein phosphorylation {GO:0023014}; stimulatory C-type lectin receptor signaling pathway {GO:0002223}; stress-activated protein kinase signaling cascade {GO:0031098}; T cell costimulation {GO:0031295}; T cell receptor signaling pathway {GO:0050852}; vascular endothelial growth factor receptor signaling pathway {GO:0048010}</t>
  </si>
  <si>
    <t>cytoplasm {GO:0005737}; cytosol {GO:0005829}; glutamatergic synapse {GO:0098978}; nucleus {GO:0005634}; perinuclear region of cytoplasm {GO:0048471}; plasma membrane {GO:0005886}; postsynaptic density {GO:0014069}</t>
  </si>
  <si>
    <t>ATP binding {GO:0005524}; cadherin binding {GO:0045296}; identical protein binding {GO:0042802}; protein kinase activity {GO:0004672}; protein kinase binding {GO:0019901}; protein serine/threonine kinase activity {GO:0004674}; protein tyrosine kinase activator activity {GO:0030296}; Rac GTPase binding {GO:0048365}; small GTPase binding {GO:0031267}</t>
  </si>
  <si>
    <t>Nef and signal transduction {R-HSA-164944}; Generation of second messenger molecules {R-HSA-202433}; Regulation of PAK-2p34 activity by PS-GAP/RHG10 {R-HSA-211728}; Regulation of activated PAK-2p34 by proteasome mediated degradation {R-HSA-211733}; Stimulation of the cell death response by PAK-2p34 {R-HSA-211736}; FCERI mediated MAPK activation {R-HSA-2871796}; CD28 dependent Vav1 pathway {R-HSA-389359}; Ephrin signaling {R-HSA-3928664}; Sema3A PAK dependent Axon repulsion {R-HSA-399954}; Activation of RAC1 {R-HSA-428540}; VEGFA-VEGFR2 Pathway {R-HSA-4420097}; Smooth Muscle Contraction {R-HSA-445355}; VEGFR2 mediated vascular permeability {R-HSA-5218920}; CD209 (DC-SIGN) signaling {R-HSA-5621575}; RHO GTPases activate PAKs {R-HSA-5627123}; MAPK6/MAPK4 signaling {R-HSA-5687128}; Gene and protein expression by JAK-STAT signaling after Interleukin-12 stimulation {R-HSA-8950505}</t>
  </si>
  <si>
    <t>Profilin-2</t>
  </si>
  <si>
    <t>Profilin II</t>
  </si>
  <si>
    <t>PROF2_HUMAN</t>
  </si>
  <si>
    <t>P35080</t>
  </si>
  <si>
    <t>B2R4C8; D3DNI4; Q4VBQ4; Q8WVF9; Q9HBK2</t>
  </si>
  <si>
    <t>3D-structure; Acetylation; Actin-binding; Alternative splicing; Cytoplasm; Cytoskeleton</t>
  </si>
  <si>
    <t>actin cytoskeleton organization {GO:0030036}; modification of postsynaptic actin cytoskeleton {GO:0098885}; negative regulation of actin filament polymerization {GO:0030837}; negative regulation of epithelial cell migration {GO:0010633}; negative regulation of ruffle assembly {GO:1900028}; positive regulation of actin filament bundle assembly {GO:0032233}; positive regulation of actin filament polymerization {GO:0030838}; positive regulation of ATPase activity {GO:0032781}; positive regulation of peptidyl-serine phosphorylation {GO:0033138}; positive regulation of stress fiber assembly {GO:0051496}; protein stabilization {GO:0050821}; regulation of actin filament polymerization {GO:0030833}; regulation of synaptic vesicle exocytosis {GO:2000300}</t>
  </si>
  <si>
    <t>cytoplasm {GO:0005737}; cytoskeleton {GO:0005856}; extracellular exosome {GO:0070062}; glutamatergic synapse {GO:0098978}; postsynapse {GO:0098794}; presynapse {GO:0098793}; Schaffer collateral - CA1 synapse {GO:0098685}</t>
  </si>
  <si>
    <t>actin binding {GO:0003779}; actin monomer binding {GO:0003785}; ATPase activity {GO:0016887}; phosphatidylinositol-4,5-bisphosphate binding {GO:0005546}</t>
  </si>
  <si>
    <t>Signaling by ROBO receptors {R-HSA-376176}; RHO GTPases Activate Formins {R-HSA-5663220}</t>
  </si>
  <si>
    <t>Ephrin type-B receptor 3</t>
  </si>
  <si>
    <t>EPH-like tyrosine kinase 2 (EPH-like kinase 2); Embryonic kinase 2 (EK2; hEK2); Tyrosine-protein kinase TYRO6</t>
  </si>
  <si>
    <t>EPHB3_HUMAN</t>
  </si>
  <si>
    <t>P54753</t>
  </si>
  <si>
    <t>Q7Z740</t>
  </si>
  <si>
    <t>ETK2; HEK2; TYRO6</t>
  </si>
  <si>
    <t>3D-structure; Angiogenesis; ATP-binding; Cell membrane; Cell projection; Developmental protein; Disulfide bond; Glycoprotein; Kinase; Membrane; Neurogenesis; Nucleotide-binding; Phosphoprotein; Polymorphism; Receptor; Repeat; Signal; Transferase; Transmembrane; Transmembrane helix; Tyrosine-protein kinase</t>
  </si>
  <si>
    <t>Angiogenesis; Neurogenesis</t>
  </si>
  <si>
    <t>angiogenesis {GO:0001525}; axon guidance {GO:0007411}; axonal fasciculation {GO:0007413}; cell migration {GO:0016477}; central nervous system projection neuron axonogenesis {GO:0021952}; corpus callosum development {GO:0022038}; dendritic spine development {GO:0060996}; dendritic spine morphogenesis {GO:0060997}; digestive tract morphogenesis {GO:0048546}; ephrin receptor signaling pathway {GO:0048013}; positive regulation of synapse assembly {GO:0051965}; protein autophosphorylation {GO:0046777}; regulation of axonogenesis {GO:0050770}; regulation of cell-cell adhesion {GO:0022407}; regulation of GTPase activity {GO:0043087}; retinal ganglion cell axon guidance {GO:0031290}; roof of mouth development {GO:0060021}; substrate adhesion-dependent cell spreading {GO:0034446}; thymus development {GO:0048538}; transmembrane receptor protein tyrosine kinase signaling pathway {GO:0007169}; urogenital system development {GO:0001655}</t>
  </si>
  <si>
    <t>cytosol {GO:0005829}; dendrite {GO:0030425}; extracellular region {GO:0005576}; integral component of plasma membrane {GO:0005887}; neuron projection {GO:0043005}; plasma membrane {GO:0005886}; receptor complex {GO:0043235}</t>
  </si>
  <si>
    <t>ATP binding {GO:0005524}; axon guidance receptor activity {GO:0008046}; ephrin receptor activity {GO:0005003}; transmembrane receptor protein tyrosine kinase activity {GO:0004714}; transmembrane-ephrin receptor activity {GO:0005005}</t>
  </si>
  <si>
    <t>Follistatin-related protein 3</t>
  </si>
  <si>
    <t>Follistatin-like protein 3; Follistatin-related gene protein</t>
  </si>
  <si>
    <t>FSTL3_HUMAN</t>
  </si>
  <si>
    <t>O95633</t>
  </si>
  <si>
    <t>A8K7E3</t>
  </si>
  <si>
    <t>FLRG</t>
  </si>
  <si>
    <t>3D-structure; Alternative initiation; Chromosomal rearrangement; Disulfide bond; Glycoprotein; Nucleus; Osteogenesis; Phosphoprotein; Proto-oncogene; Repeat; Secreted; Signal; Transcription; Transcription regulation</t>
  </si>
  <si>
    <t>Osteogenesis; Transcription; Transcription regulation</t>
  </si>
  <si>
    <t>Nucleus; Secreted</t>
  </si>
  <si>
    <t>Alternative initiation; Chromosomal rearrangement</t>
  </si>
  <si>
    <t>adrenal gland development {GO:0030325}; cellular protein metabolic process {GO:0044267}; cellular response to metal ion {GO:0071248}; hematopoietic progenitor cell differentiation {GO:0002244}; kidney development {GO:0001822}; lung development {GO:0030324}; male gonad development {GO:0008584}; negative regulation of activin receptor signaling pathway {GO:0032926}; negative regulation of BMP signaling pathway {GO:0030514}; negative regulation of osteoclast differentiation {GO:0045671}; negative regulation of transmembrane receptor protein serine/threonine kinase signaling pathway {GO:0090101}; ossification {GO:0001503}; positive regulation of cell-cell adhesion {GO:0022409}; positive regulation of transcription by RNA polymerase II {GO:0045944}; post-translational protein modification {GO:0043687}; regulation of transcription by RNA polymerase II {GO:0006357}; spermatogenesis {GO:0007283}</t>
  </si>
  <si>
    <t>endoplasmic reticulum lumen {GO:0005788}; extracellular region {GO:0005576}; extracellular space {GO:0005615}; Golgi apparatus {GO:0005794}; neuron projection terminus {GO:0044306}; nucleoplasm {GO:0005654}; nucleus {GO:0005634}; secretory granule {GO:0030141}</t>
  </si>
  <si>
    <t>activin binding {GO:0048185}; fibronectin binding {GO:0001968}</t>
  </si>
  <si>
    <t>Antagonism of Activin by Follistatin {R-HSA-2473224}; Regulation of Insulin-like Growth Factor (IGF) transport and uptake by Insulin-like Growth Factor Binding Proteins (IGFBPs) {R-HSA-381426}; Post-translational protein phosphorylation {R-HSA-8957275}</t>
  </si>
  <si>
    <t>Mucin-4 beta chain</t>
  </si>
  <si>
    <t>Ascites sialoglycoprotein (ASGP); Pancreatic adenocarcinoma mucin; Testis mucin; Tracheobronchial mucin; Ascites sialoglycoprotein 1 (ASGP-1); Ascites sialoglycoprotein 2 (ASGP-2)</t>
  </si>
  <si>
    <t>MUC4_HUMAN</t>
  </si>
  <si>
    <t>Q99102</t>
  </si>
  <si>
    <t>O95938; Q9GZM2; Q9GZV6; Q9H481; Q9H482; Q9H483; Q9H484; Q9H485; Q9H486; Q9H487; Q9H4D6; Q9H4D8; Q9NPJ0; Q9NY09; Q9NY75; Q9NY76; Q9NY77; Q9NY78; Q9NY79; Q9NY80; Q9NY81</t>
  </si>
  <si>
    <t>Alternative splicing; Cell adhesion; Cell membrane; Disulfide bond; EGF-like domain; Glycoprotein; Membrane; Polymorphism; Repeat; Secreted; Signal; Transmembrane; Transmembrane helix</t>
  </si>
  <si>
    <t>cell-matrix adhesion {GO:0007160}; maintenance of gastrointestinal epithelium {GO:0030277}; O-glycan processing {GO:0016266}; regulation of signaling receptor activity {GO:0010469}; stimulatory C-type lectin receptor signaling pathway {GO:0002223}</t>
  </si>
  <si>
    <t>extracellular exosome {GO:0070062}; extracellular matrix {GO:0031012}; extracellular space {GO:0005615}; Golgi lumen {GO:0005796}; integral component of plasma membrane {GO:0005887}; membrane {GO:0016020}; plasma membrane {GO:0005886}; vesicle {GO:0031982}</t>
  </si>
  <si>
    <t>ErbB-2 class receptor binding {GO:0005176}; extracellular matrix constituent, lubricant activity {GO:0030197}</t>
  </si>
  <si>
    <t>60S ribosomal protein L14</t>
  </si>
  <si>
    <t>CAG-ISL 7; Large ribosomal subunit protein eL14</t>
  </si>
  <si>
    <t>RL14_HUMAN</t>
  </si>
  <si>
    <t>P50914</t>
  </si>
  <si>
    <t>Q45RF0; Q53G20; Q8TBD5; Q8WUT0; Q92579; Q96GR0; Q9BSB8; Q9BW65; Q9BYF6</t>
  </si>
  <si>
    <t>3D-structure; Acetylation; Isopeptide bond; Phosphoprotein; Polymorphism; Repeat; Ribonucleoprotein; Ribosomal protein; Triplet repeat expansion; Ubl conjugation</t>
  </si>
  <si>
    <t>Polymorphism; Triplet repeat expansion</t>
  </si>
  <si>
    <t>nuclear-transcribed mRNA catabolic process, nonsense-mediated decay {GO:0000184};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</si>
  <si>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cytosol {GO:0005829}; cytosolic large ribosomal subunit {GO:0022625}; extracellular exosome {GO:0070062}; membrane {GO:0016020}; postsynaptic density {GO:0014069}</t>
  </si>
  <si>
    <t>6-phosphogluconolactonase (6PGL)</t>
  </si>
  <si>
    <t>6PGL_HUMAN</t>
  </si>
  <si>
    <t>O95336</t>
  </si>
  <si>
    <t>Acetylation; Cytoplasm; Hydrolase; Phosphoprotein</t>
  </si>
  <si>
    <t>carbohydrate metabolic process {GO:0005975}; pentose-phosphate shunt {GO:0006098}; pentose-phosphate shunt, oxidative branch {GO:0009051}</t>
  </si>
  <si>
    <t>6-phosphogluconolactonase activity {GO:0017057}</t>
  </si>
  <si>
    <t>Carbohydrate degradation; pentose phosphate pathway; D- ribulose 5-phosphate from D-glucose 6-phosphate (oxidative stage): step 2/3.</t>
  </si>
  <si>
    <t>Pentose phosphate pathway {R-HSA-71336}</t>
  </si>
  <si>
    <t>Procollagen C-endopeptidase enhancer 2</t>
  </si>
  <si>
    <t>Procollagen COOH-terminal proteinase enhancer 2 (PCPE-2; Procollagen C-proteinase enhancer 2)</t>
  </si>
  <si>
    <t>PCOC2_HUMAN</t>
  </si>
  <si>
    <t>Q9UKZ9</t>
  </si>
  <si>
    <t>B2RCH9; D3DNG4; Q9BRH3</t>
  </si>
  <si>
    <t>PCPE2</t>
  </si>
  <si>
    <t>Disulfide bond; Glycoprotein; Heparin-binding; Polymorphism; Repeat; Secreted; Signal</t>
  </si>
  <si>
    <t>cellular response to leukemia inhibitory factor {GO:1990830}</t>
  </si>
  <si>
    <t>collagen binding {GO:0005518}; heparin binding {GO:0008201}; peptidase activator activity {GO:0016504}</t>
  </si>
  <si>
    <t>V-type proton ATPase catalytic subunit A (V-ATPase subunit A)</t>
  </si>
  <si>
    <t>V-ATPase 69 kDa subunit; Vacuolar ATPase isoform VA68; Vacuolar proton pump subunit alpha</t>
  </si>
  <si>
    <t>VATA_HUMAN</t>
  </si>
  <si>
    <t>P38606</t>
  </si>
  <si>
    <t>B2RBR8; B7Z1R5; D3DN75; Q53YD9; Q96DY6; Q9UHY3</t>
  </si>
  <si>
    <t>ATP6A1; ATP6V1A1; VPP2</t>
  </si>
  <si>
    <t>Acetylation; Alternative splicing; ATP-binding; Cytoplasm; Disease mutation; Epilepsy; Hydrogen ion transport; Ion transport; Nucleotide-binding; Phosphoprotein; Polymorphism; Translocase; Transport</t>
  </si>
  <si>
    <t>ATP hydrolysis coupled proton transport {GO:0015991}; ATP metabolic process {GO:0046034}; cellular iron ion homeostasis {GO:0006879}; cellular response to increased oxygen levels {GO:0036295}; insulin receptor signaling pathway {GO:0008286}; ion transmembrane transport {GO:0034220}; phagosome acidification {GO:0090383}; regulation of macroautophagy {GO:0016241}; transferrin transport {GO:0033572}</t>
  </si>
  <si>
    <t>apical plasma membrane {GO:0016324}; cytosol {GO:0005829}; extracellular exosome {GO:0070062}; lysosomal membrane {GO:0005765}; microvillus {GO:0005902}; plasma membrane {GO:0005886}; proton-transporting two-sector ATPase complex {GO:0016469}; proton-transporting V-type ATPase, V1 domain {GO:0033180}; vacuolar membrane {GO:0005774}</t>
  </si>
  <si>
    <t>ATP binding {GO:0005524}; proton-transporting ATPase activity, rotational mechanism {GO:0046961}</t>
  </si>
  <si>
    <t>Sodium- and chloride-dependent transporter XTRP3</t>
  </si>
  <si>
    <t>Sodium/imino-acid transporter 1; Solute carrier family 6 member 20; Transporter rB21A homolog</t>
  </si>
  <si>
    <t>S6A20_HUMAN</t>
  </si>
  <si>
    <t>Q9NP91</t>
  </si>
  <si>
    <t>A1A4F2; O75590; Q8TF10; Q9NPQ2; Q9NQ77</t>
  </si>
  <si>
    <t>SIT1; XT3; XTRP3</t>
  </si>
  <si>
    <t>Alternative splicing; Amino-acid transport; Cell membrane; Glycoprotein; Membrane; Polymorphism; Symport; Transmembrane; Transmembrane helix; Transport</t>
  </si>
  <si>
    <t>Amino-acid transport; Symport; Transport</t>
  </si>
  <si>
    <t>amino acid transport {GO:0006865}; glycine transport {GO:0015816}; proline transport {GO:0015824}</t>
  </si>
  <si>
    <t>apical plasma membrane {GO:0016324}; integral component of plasma membrane {GO:0005887}; plasma membrane {GO:0005886}</t>
  </si>
  <si>
    <t>amino acid transmembrane transporter activity {GO:0015171}; L-proline transmembrane transporter activity {GO:0015193}; neurotransmitter:sodium symporter activity {GO:0005328}</t>
  </si>
  <si>
    <t>Amino acid transport across the plasma membrane {R-HSA-352230}; Na+/Cl- dependent neurotransmitter transporters {R-HSA-442660}; Variant SLC6A20 contributes towards hyperglycinuria (HG) and iminoglycinuria (IG) {R-HSA-5619101}; Variant SLC6A20 contributes towards hyperglycinuria (HG) and iminoglycinuria (IG) {R-HSA-5660686}</t>
  </si>
  <si>
    <t>Cartilage intermediate layer protein 2 C2 (CILP-2)</t>
  </si>
  <si>
    <t>CILP2_HUMAN</t>
  </si>
  <si>
    <t>Q8IUL8</t>
  </si>
  <si>
    <t>Q6NV88; Q8N4A6; Q8WV21</t>
  </si>
  <si>
    <t>Cleavage on pair of basic residues; Disulfide bond; Extracellular matrix; Glycoprotein; Immunoglobulin domain; Secreted; Signal</t>
  </si>
  <si>
    <t>dephosphorylation {GO:0016311}</t>
  </si>
  <si>
    <t>Growth/differentiation factor 15 (GDF-15)</t>
  </si>
  <si>
    <t>Macrophage inhibitory cytokine 1 (MIC-1); NSAID-activated gene 1 protein (NAG-1); NSAID-regulated gene 1 protein (NRG-1); Placental TGF-beta; Placental bone morphogenetic protein; Prostate differentiation factor</t>
  </si>
  <si>
    <t>GDF15_HUMAN</t>
  </si>
  <si>
    <t>Q99988</t>
  </si>
  <si>
    <t>O14629; P78360; Q9BWA0; Q9NRT0</t>
  </si>
  <si>
    <t>3D-structure; Cleavage on pair of basic residues; Cytokine; Disulfide bond; Glycoprotein; Growth factor; Polymorphism; Secreted; Signal</t>
  </si>
  <si>
    <t>Cytokine; Growth factor</t>
  </si>
  <si>
    <t>activation of MAPK activity {GO:0000187}; BMP signaling pathway {GO:0030509}; cell development {GO:0048468}; cell-cell signaling {GO:0007267}; glial cell-derived neurotrophic factor receptor signaling pathway {GO:0035860}; negative regulation of growth hormone receptor signaling pathway {GO:0060400}; negative regulation of multicellular organism growth {GO:0040015}; positive regulation of MAPK cascade {GO:0043410}; positive regulation of myoblast fusion {GO:1901741}; positive regulation of pathway-restricted SMAD protein phosphorylation {GO:0010862}; positive regulation of protein kinase B signaling {GO:0051897}; reduction of food intake in response to dietary excess {GO:0002023}; regulation of apoptotic process {GO:0042981}; regulation of MAPK cascade {GO:0043408}; signal transduction {GO:0007165}; SMAD protein signal transduction {GO:0060395}; transforming growth factor beta receptor signaling pathway {GO:0007179}</t>
  </si>
  <si>
    <t>cytoplasm {GO:0005737}; extracellular exosome {GO:0070062}; extracellular region {GO:0005576}; extracellular space {GO:0005615}; Golgi apparatus {GO:0005794}; nucleus {GO:0005634}</t>
  </si>
  <si>
    <t>cytokine activity {GO:0005125}; growth factor activity {GO:0008083}; protein homodimerization activity {GO:0042803}; transforming growth factor beta receptor binding {GO:0005160}</t>
  </si>
  <si>
    <t>Clarin-3</t>
  </si>
  <si>
    <t>Transmembrane protein 12; Usher syndrome type-3A-like protein 1</t>
  </si>
  <si>
    <t>CLRN3_HUMAN</t>
  </si>
  <si>
    <t>Q8NCR9</t>
  </si>
  <si>
    <t>Q6MZX8</t>
  </si>
  <si>
    <t>TMEM12; USH3AL1</t>
  </si>
  <si>
    <t>4-hydroxy-2-oxoglutarate aldolase, mitochondrial</t>
  </si>
  <si>
    <t>Dihydrodipicolinate synthase-like (DHDPS-like protein); Probable 2-keto-4-hydroxyglutarate aldolase (Probable KHG-aldolase); Protein 569272</t>
  </si>
  <si>
    <t>HOGA1_HUMAN</t>
  </si>
  <si>
    <t>Q86XE5</t>
  </si>
  <si>
    <t>A8K075; Q5T680; Q5T684; Q711P0; Q8N9F2; Q96EV5</t>
  </si>
  <si>
    <t>C10orf65; DHDPSL</t>
  </si>
  <si>
    <t>3D-structure; Alternative splicing; Disease mutation; Lyase; Mitochondrion; Schiff base; Transit peptide</t>
  </si>
  <si>
    <t>4-hydroxyproline catabolic process {GO:0019470}; glyoxylate catabolic process {GO:0009436}; glyoxylate metabolic process {GO:0046487}; oxalate metabolic process {GO:0033609}; pyruvate biosynthetic process {GO:0042866}</t>
  </si>
  <si>
    <t>4-hydroxy-2-oxoglutarate aldolase activity {GO:0008700}; protein homodimerization activity {GO:0042803}</t>
  </si>
  <si>
    <t>Glyoxylate metabolism and glycine degradation {R-HSA-389661}</t>
  </si>
  <si>
    <t>Olfactomedin-4 (OLM4)</t>
  </si>
  <si>
    <t>Antiapoptotic protein GW112; G-CSF-stimulated clone 1 protein (hGC-1); hOLfD</t>
  </si>
  <si>
    <t>OLFM4_HUMAN</t>
  </si>
  <si>
    <t>Q6UX06</t>
  </si>
  <si>
    <t>O95362; Q5VWG0; Q86T22</t>
  </si>
  <si>
    <t>GW112</t>
  </si>
  <si>
    <t>Cell adhesion; Coiled coil; Disulfide bond; Glycoprotein; Mitochondrion; Polymorphism; Secreted; Signal</t>
  </si>
  <si>
    <t>Mitochondrion; Secreted</t>
  </si>
  <si>
    <t>cell adhesion {GO:0007155}; neutrophil degranulation {GO:0043312}; positive regulation of substrate adhesion-dependent cell spreading {GO:1900026}; protein homooligomerization {GO:0051260}</t>
  </si>
  <si>
    <t>extracellular exosome {GO:0070062}; extracellular region {GO:0005576}; extracellular space {GO:0005615}; mitochondrion {GO:0005739}; perinuclear region of cytoplasm {GO:0048471}; plasma membrane {GO:0005886}; specific granule {GO:0042581}; specific granule lumen {GO:0035580}; tertiary granule lumen {GO:1904724}</t>
  </si>
  <si>
    <t>cadherin binding {GO:0045296}; catalytic activity {GO:0003824}; protein homodimerization activity {GO:0042803}</t>
  </si>
  <si>
    <t>Activated factor Xa heavy chain</t>
  </si>
  <si>
    <t>Stuart factor; Stuart-Prower factor</t>
  </si>
  <si>
    <t>FA10_HUMAN</t>
  </si>
  <si>
    <t>P00742</t>
  </si>
  <si>
    <t>Q14340</t>
  </si>
  <si>
    <t>3D-structure; Blood coagulation; Calcium; Cleavage on pair of basic residues; Disease mutation; Disulfide bond; EGF-like domain; Gamma-carboxyglutamic acid; Glycoprotein; Hemostasis; Hydrolase; Hydroxylation; Polymorphism; Protease; Repeat; Secreted; Serine protease; Signal; Zymogen</t>
  </si>
  <si>
    <t>blood coagulation {GO:0007596}; blood coagulation, extrinsic pathway {GO:0007598}; endoplasmic reticulum to Golgi vesicle-mediated transport {GO:0006888}; positive regulation of cell migration {GO:0030335}; positive regulation of protein kinase B signaling {GO:0051897}</t>
  </si>
  <si>
    <t>endoplasmic reticulum lumen {GO:0005788}; extracellular region {GO:0005576}; extracellular space {GO:0005615}; Golgi lumen {GO:0005796}; intrinsic component of external side of plasma membrane {GO:0031233}; plasma membrane {GO:0005886}</t>
  </si>
  <si>
    <t>calcium ion binding {GO:0005509}; phospholipid binding {GO:0005543}; serine-type endopeptidase activity {GO:0004252}</t>
  </si>
  <si>
    <t>Extrinsic Pathway of Fibrin Clot Formation {R-HSA-140834}; Intrinsic Pathway of Fibrin Clot Formation {R-HSA-140837};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</t>
  </si>
  <si>
    <t>Macrophage receptor MARCO</t>
  </si>
  <si>
    <t>Macrophage receptor with collagenous structure; Scavenger receptor class A member 2</t>
  </si>
  <si>
    <t>MARCO_HUMAN</t>
  </si>
  <si>
    <t>Q9UEW3</t>
  </si>
  <si>
    <t>B4DW79; Q9Y5S3</t>
  </si>
  <si>
    <t>SCARA2</t>
  </si>
  <si>
    <t>Alternative splicing; Cell membrane; Collagen; Disulfide bond; Glycoprotein; Immunity; Innate immunity; Membrane; Polymorphism; Receptor; Signal-anchor; Transmembrane; Transmembrane helix</t>
  </si>
  <si>
    <t>Immunity; Innate immunity</t>
  </si>
  <si>
    <t>Collagen; Signal-anchor; Transmembrane; Transmembrane helix</t>
  </si>
  <si>
    <t>adenylate cyclase-inhibiting G protein-coupled receptor signaling pathway {GO:0007193}; amyloid-beta clearance {GO:0097242}; apoptotic cell clearance {GO:0043277}; cell surface receptor signaling pathway {GO:0007166}; endocytosis {GO:0006897}; innate immune response {GO:0045087}; phagocytosis, engulfment {GO:0006911}; positive regulation of ERK1 and ERK2 cascade {GO:0070374}; positive regulation of protein phosphorylation {GO:0001934}; receptor-mediated endocytosis {GO:0006898}</t>
  </si>
  <si>
    <t>collagen trimer {GO:0005581}; cytoplasm {GO:0005737}; endocytic vesicle membrane {GO:0030666}; integral component of plasma membrane {GO:0005887}; plasma membrane {GO:0005886}</t>
  </si>
  <si>
    <t>amyloid-beta binding {GO:0001540}; cargo receptor activity {GO:0038024}; G protein-coupled receptor binding {GO:0001664}; scavenger receptor activity {GO:0005044}; signaling pattern recognition receptor activity {GO:0008329}; transmembrane signaling receptor activity {GO:0004888}</t>
  </si>
  <si>
    <t>Scavenging by Class A Receptors {R-HSA-3000480}</t>
  </si>
  <si>
    <t>Intestinal-type alkaline phosphatase (IAP; Intestinal alkaline phosphatase)</t>
  </si>
  <si>
    <t>PPBI_HUMAN</t>
  </si>
  <si>
    <t>P09923</t>
  </si>
  <si>
    <t>B2R7Y4; Q53S80; Q9UBV5; Q9UCL2</t>
  </si>
  <si>
    <t>Cell membrane; Disulfide bond; Glycoprotein; GPI-anchor; Hydrolase; Lipoprotein; Magnesium; Membrane; Metal-binding; Polymorphism; Signal; Zinc</t>
  </si>
  <si>
    <t>dephosphorylation {GO:0016311}; digestion {GO:0007586}; phosphatidic acid biosynthetic process {GO:0006654}</t>
  </si>
  <si>
    <t>alkaline phosphatase activity {GO:0004035}; magnesium ion binding {GO:0000287}; protease binding {GO:0002020}; zinc ion binding {GO:0008270}</t>
  </si>
  <si>
    <t>Synthesis of PA {R-HSA-1483166}; Post-translational modification: synthesis of GPI-anchored proteins {R-HSA-163125}; Digestion {R-HSA-8935690}</t>
  </si>
  <si>
    <t>Collagen alpha-3(VI) chain</t>
  </si>
  <si>
    <t>CO6A3_HUMAN</t>
  </si>
  <si>
    <t>P12111</t>
  </si>
  <si>
    <t>A8MT30; B4E3U5; B7ZMJ7; E9PFQ6; E9PGQ9; Q16501; Q53QF4; Q53QF6</t>
  </si>
  <si>
    <t>3D-structure; Alternative splicing; Cell adhesion; Collagen; Congenital muscular dystrophy; Disease mutation; Disulfide bond; Dystonia; Extracellular matrix; Glycoprotein; Hydroxylation; Limb-girdle muscular dystrophy; Phosphoprotein; Polymorphism; Protease inhibitor; Repeat; Secreted; Serine protease inhibitor; Signal</t>
  </si>
  <si>
    <t>Congenital muscular dystrophy; Disease mutation; Dystonia; Limb-girdle muscular dystrophy</t>
  </si>
  <si>
    <t>cell adhesion {GO:0007155}; extracellular matrix organization {GO:0030198}; growth plate cartilage chondrocyte morphogenesis {GO:0003429}; muscle organ development {GO:0007517}</t>
  </si>
  <si>
    <t>collagen type VI trimer {GO:0005589}; collagen-containing extracellular matrix {GO:0062023}; endoplasmic reticulum lumen {GO:0005788}; extracellular exosome {GO:0070062}; extracellular matrix {GO:0031012}; extracellular region {GO:0005576}; extracellular space {GO:0005615}; extracellular vesicle {GO:1903561}; sarcolemma {GO:0042383}</t>
  </si>
  <si>
    <t>Gamma-glutamylaminecyclotransferase (GGACT)</t>
  </si>
  <si>
    <t>AIG2-like domain-containing protein 1; Gamma-glutamylamine cyclotransferase</t>
  </si>
  <si>
    <t>GGACT_HUMAN</t>
  </si>
  <si>
    <t>Q9BVM4</t>
  </si>
  <si>
    <t>B3KTN1; Q9BT41</t>
  </si>
  <si>
    <t>A2LD1</t>
  </si>
  <si>
    <t>3D-structure; Lyase</t>
  </si>
  <si>
    <t>cellular modified amino acid catabolic process {GO:0042219}</t>
  </si>
  <si>
    <t>gamma-glutamylaminecyclotransferase activity {GO:0061929}</t>
  </si>
  <si>
    <t>Ugl-Y3</t>
  </si>
  <si>
    <t>Cold-insoluble globulin (CIG)</t>
  </si>
  <si>
    <t>FINC_HUMAN</t>
  </si>
  <si>
    <t>P02751</t>
  </si>
  <si>
    <t>B7ZLF0; E9PE77; E9PG29; O95609; O95610; Q14312; Q14325; Q14326; Q17RV7; Q564H7; Q585T2; Q59EH1; Q60FE4; Q68DP8; Q68DP9; Q68DT4; Q6LDP6; Q6MZS0; Q6MZU5; Q6N025; Q6N0A6; Q7Z391; Q86T27; Q8IVI8; Q96KP7; Q96KP8; Q96KP9; Q9H1B8; Q9HAP3; Q9UMK2</t>
  </si>
  <si>
    <t>FN</t>
  </si>
  <si>
    <t>3D-structure; Acute phase; Alternative splicing; Angiogenesis; Cell adhesion; Cell shape; Disease mutation; Disulfide bond; Dwarfism; Extracellular matrix; Glycoprotein; Heparin-binding; Isopeptide bond; Oxidation; Phosphoprotein; Polymorphism; Pyrrolidone carboxylic acid; Repeat; Secreted; Signal; Sulfation</t>
  </si>
  <si>
    <t>Acute phase; Angiogenesis; Cell adhesion; Cell shape</t>
  </si>
  <si>
    <t>Disulfide bond; Glycoprotein; Isopeptide bond; Oxidation; Phosphoprotein; Pyrrolidone carboxylic acid; Sulfation</t>
  </si>
  <si>
    <t>acute-phase response {GO:0006953}; angiogenesis {GO:0001525}; calcium-independent cell-matrix adhesion {GO:0007161}; cell adhesion {GO:0007155}; cell-substrate junction assembly {GO:0007044}; cellular protein metabolic process {GO:0044267}; cytokine-mediated signaling pathway {GO:0019221}; endodermal cell differentiation {GO:0035987}; extracellular matrix organization {GO:0030198}; integrin activation {GO:0033622}; interaction with other organism via secreted substance involved in symbiotic interaction {GO:0052047}; interaction with symbiont {GO:0051702}; leukocyte migration {GO:0050900}; negative regulation of transforming growth factor-beta secretion {GO:2001202}; neural crest cell migration involved in autonomic nervous system development {GO:1901166}; peptide cross-linking {GO:0018149}; platelet degranulation {GO:0002576}; positive regulation of axon extension {GO:0045773}; positive regulation of cell population proliferation {GO:0008284}; positive regulation of fibroblast proliferation {GO:0048146}; positive regulation of gene expression {GO:0010628}; positive regulation of substrate-dependent cell migration, cell attachment to substrate {GO:1904237}; post-translational protein modification {GO:0043687}; regulation of cell shape {GO:0008360}; regulation of ERK1 and ERK2 cascade {GO:0070372}; regulation of protein phosphorylation {GO:0001932}; response to wounding {GO:0009611}; substrate adhesion-dependent cell spreading {GO:0034446}; wound healing {GO:0042060}</t>
  </si>
  <si>
    <t>apical plasma membrane {GO:0016324}; basement membrane {GO:0005604}; blood microparticle {GO:0072562}; collagen-containing extracellular matrix {GO:0062023}; endoplasmic reticulum lumen {GO:0005788}; endoplasmic reticulum-Golgi intermediate compartment {GO:0005793}; extracellular exosome {GO:0070062}; extracellular matrix {GO:0031012}; extracellular region {GO:0005576}; extracellular space {GO:0005615}; fibrinogen complex {GO:0005577}; platelet alpha granule lumen {GO:0031093}</t>
  </si>
  <si>
    <t>chaperone binding {GO:0051087}; collagen binding {GO:0005518}; disordered domain specific binding {GO:0097718}; enzyme binding {GO:0019899}; extracellular matrix structural constituent {GO:0005201}; heparin binding {GO:0008201}; identical protein binding {GO:0042802}; integrin binding {GO:0005178}; peptidase activator activity {GO:0016504}; protease binding {GO:0002020}; protein C-terminus binding {GO:0008022}; proteoglycan binding {GO:0043394}; signaling receptor binding {GO:0005102}</t>
  </si>
  <si>
    <t>Platelet degranulation {R-HSA-114608}; Degradation of the extracellular matrix {R-HSA-1474228}; Extracellular matrix organization {R-HSA-1474244}; Fibronectin matrix formation {R-HSA-1566977}; Cell surface interactions at the vascular wall {R-HSA-202733}; Molecules associated with elastic fibres {R-HSA-2129379}; Integrin cell surface interactions {R-HSA-216083}; Syndecan interactions {R-HSA-3000170}; Non-integrin membrane-ECM interactions {R-HSA-3000171}; ECM proteoglycans {R-HSA-3000178}; Integrin alphaIIb beta3 signaling {R-HSA-354192}; GRB2:SOS provides linkage to MAPK signaling for Integrins {R-HSA-354194}; p130Cas linkage to MAPK signaling for integrins {R-HSA-372708}; Regulation of Insulin-like Growth Factor (IGF) transport and uptake by Insulin-like Growth Factor Binding Proteins (IGFBPs) {R-HSA-381426}; MAP2K and MAPK activation {R-HSA-5674135}; Interleukin-4 and Interleukin-13 signaling {R-HSA-6785807};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MET activates PTK2 signaling {R-HSA-8874081}; Post-translational protein phosphorylation {R-HSA-8957275}</t>
  </si>
  <si>
    <t>Myosin light chain 1/3, skeletal muscle isoform (MLC1/MLC3; MLC1F/MLC3F)</t>
  </si>
  <si>
    <t>Myosin light chain alkali 1/2 (Myosin light chain A1/A2)</t>
  </si>
  <si>
    <t>MYL1_HUMAN</t>
  </si>
  <si>
    <t>P05976</t>
  </si>
  <si>
    <t>B2R4N6; B2R4T6; P06741; Q6IBD5</t>
  </si>
  <si>
    <t>Acetylation; Alternative splicing; Methylation; Motor protein; Muscle protein; Myosin; Phosphoprotein; Repeat</t>
  </si>
  <si>
    <t>cardiac muscle contraction {GO:0060048}; muscle contraction {GO:0006936}; muscle filament sliding {GO:0030049}</t>
  </si>
  <si>
    <t>cytosol {GO:0005829}; muscle myosin complex {GO:0005859}; myofibril {GO:0030016}; sarcomere {GO:0030017}</t>
  </si>
  <si>
    <t>calcium ion binding {GO:0005509}; structural constituent of muscle {GO:0008307}</t>
  </si>
  <si>
    <t>Inhibin alpha chain</t>
  </si>
  <si>
    <t>INHA_HUMAN</t>
  </si>
  <si>
    <t>P05111</t>
  </si>
  <si>
    <t>A8K8H5</t>
  </si>
  <si>
    <t>Cleavage on pair of basic residues; Disulfide bond; Glycoprotein; Growth factor; Hormone; Polymorphism; Secreted; Signal</t>
  </si>
  <si>
    <t>Growth factor; Hormone</t>
  </si>
  <si>
    <t>cell cycle arrest {GO:0007050}; cell development {GO:0048468}; cell differentiation {GO:0030154}; cell surface receptor signaling pathway {GO:0007166}; cell-cell signaling {GO:0007267}; erythrocyte differentiation {GO:0030218}; hemoglobin biosynthetic process {GO:0042541}; male gonad development {GO:0008584}; negative regulation of B cell differentiation {GO:0045578}; negative regulation of cell cycle {GO:0045786}; negative regulation of follicle-stimulating hormone secretion {GO:0046882}; negative regulation of interferon-gamma biosynthetic process {GO:0045077}; negative regulation of macrophage differentiation {GO:0045650}; negative regulation of phosphorylation {GO:0042326}; ovarian follicle development {GO:0001541}; positive regulation of follicle-stimulating hormone secretion {GO:0046881}; positive regulation of pathway-restricted SMAD protein phosphorylation {GO:0010862}; regulation of apoptotic process {GO:0042981}; regulation of cell cycle {GO:0051726}; regulation of cell population proliferation {GO:0042127}; regulation of MAPK cascade {GO:0043408}; signal transduction {GO:0007165}; skeletal system development {GO:0001501}; SMAD protein signal transduction {GO:0060395}</t>
  </si>
  <si>
    <t>cytoplasm {GO:0005737}; extracellular region {GO:0005576}; extracellular space {GO:0005615}; inhibin A complex {GO:0043512}; inhibin B complex {GO:0043513}; inhibin-betaglycan-ActRII complex {GO:0034673}; neuronal cell body {GO:0043025}; photoreceptor inner segment {GO:0001917}; photoreceptor outer segment {GO:0001750}</t>
  </si>
  <si>
    <t>cytokine activity {GO:0005125}; growth factor activity {GO:0008083}; hormone activity {GO:0005179}; inhibin binding {GO:0034711}; protein heterodimerization activity {GO:0046982}; signaling receptor binding {GO:0005102}; transforming growth factor beta receptor binding {GO:0005160}</t>
  </si>
  <si>
    <t>Glycoprotein hormones {R-HSA-209822}</t>
  </si>
  <si>
    <t>BTB/POZ domain-containing protein KCTD12</t>
  </si>
  <si>
    <t>Pfetin; Predominantly fetal expressed T1 domain</t>
  </si>
  <si>
    <t>KCD12_HUMAN</t>
  </si>
  <si>
    <t>Q96CX2</t>
  </si>
  <si>
    <t>C13orf2; KIAA1778; PFET1</t>
  </si>
  <si>
    <t>3D-structure; Acetylation; Cell junction; Cell membrane; Membrane; Phosphoprotein; Postsynaptic cell membrane; Synapse</t>
  </si>
  <si>
    <t>protein homooligomerization {GO:0051260}</t>
  </si>
  <si>
    <t>cell junction {GO:0030054}; postsynaptic membrane {GO:0045211}; presynaptic membrane {GO:0042734}</t>
  </si>
  <si>
    <t>identical protein binding {GO:0042802}; RNA binding {GO:0003723}</t>
  </si>
  <si>
    <t>Tissue factor pathway inhibitor (TFPI)</t>
  </si>
  <si>
    <t>Extrinsic pathway inhibitor (EPI); Lipoprotein-associated coagulation inhibitor (LACI)</t>
  </si>
  <si>
    <t>TFPI1_HUMAN</t>
  </si>
  <si>
    <t>P10646</t>
  </si>
  <si>
    <t>O95103; Q53TS4</t>
  </si>
  <si>
    <t>LACI; TFPI1</t>
  </si>
  <si>
    <t>3D-structure; Alternative splicing; Blood coagulation; Disulfide bond; Endoplasmic reticulum; Glycoprotein; GPI-anchor; Hemostasis; Lipoprotein; Membrane; Microsome; Polymorphism; Protease inhibitor; Repeat; Secreted; Serine protease inhibitor; Signal</t>
  </si>
  <si>
    <t>Endoplasmic reticulum; Membrane; Microsome; Secreted</t>
  </si>
  <si>
    <t>blood coagulation {GO:0007596}; blood coagulation, extrinsic pathway {GO:0007598}; cellular response to interleukin-1 {GO:0071347}; cellular response to lipopolysaccharide {GO:0071222}; cellular response to steroid hormone stimulus {GO:0071383}; negative regulation of blood coagulation {GO:0030195}; response to estradiol {GO:0032355}</t>
  </si>
  <si>
    <t>anchored component of membrane {GO:0031225}; caveola {GO:0005901}; cell surface {GO:0009986}; endoplasmic reticulum {GO:0005783}; extracellular region {GO:0005576}; extracellular space {GO:0005615}; organelle membrane {GO:0031090}; plasma membrane {GO:0005886}</t>
  </si>
  <si>
    <t>Extrinsic Pathway of Fibrin Clot Formation {R-HSA-140834}</t>
  </si>
  <si>
    <t>Splicing factor 3B subunit 1</t>
  </si>
  <si>
    <t>Pre-mRNA-splicing factor SF3b 155 kDa subunit (SF3b155); Spliceosome-associated protein 155 (SAP 155)</t>
  </si>
  <si>
    <t>SF3B1_HUMAN</t>
  </si>
  <si>
    <t>O75533</t>
  </si>
  <si>
    <t>E9PCH3</t>
  </si>
  <si>
    <t>SAP155</t>
  </si>
  <si>
    <t>3D-structure; Acetylation; Alternative splicing; Citrullination; Isopeptide bond; mRNA processing; mRNA splicing; Nucleus; Phosphoprotein; Repeat; RNA-binding; Spliceosome; Ubl conjugation</t>
  </si>
  <si>
    <t>Acetylation; Citrullination; Isopeptide bond; Phosphoprotein; Ubl conjugation</t>
  </si>
  <si>
    <t>mRNA splicing, via spliceosome {GO:0000398}; positive regulation of gene expression, epigenetic {GO:0045815}; RNA splicing, via transesterification reactions {GO:0000375}; spliceosomal complex assembly {GO:0000245}</t>
  </si>
  <si>
    <t>catalytic step 2 spliceosome {GO:0071013}; nuclear speck {GO:0016607}; nucleoplasm {GO:0005654}; nucleus {GO:0005634}; spliceosomal complex {GO:0005681}; U11/U12 snRNP {GO:0034693}; U12-type spliceosomal complex {GO:0005689}; U2 snRNP {GO:0005686}; U2-type precatalytic spliceosome {GO:0071005}; U2-type prespliceosome {GO:0071004}</t>
  </si>
  <si>
    <t>B-WICH complex positively regulates rRNA expression {R-HSA-5250924}; mRNA Splicing - Major Pathway {R-HSA-72163}; mRNA Splicing - Minor Pathway {R-HSA-72165}</t>
  </si>
  <si>
    <t>Lysosome-associated membrane glycoprotein 1 (LAMP-1; Lysosome-associated membrane protein 1)</t>
  </si>
  <si>
    <t>CD107 antigen-like family member A; CD_antigen=CD107a</t>
  </si>
  <si>
    <t>LAMP1_HUMAN</t>
  </si>
  <si>
    <t>P11279</t>
  </si>
  <si>
    <t>B4DWL3; Q8WU33; Q96I40; Q9BRD2; Q9NP13</t>
  </si>
  <si>
    <t>Alternative splicing; Cell membrane; Disulfide bond; Endosome; Glycoprotein; Host cell receptor for virus entry; Host-virus interaction; Lysosome; Membrane; Polymorphism; Receptor; Signal; Transmembrane; Transmembrane helix</t>
  </si>
  <si>
    <t>Cell membrane; Endosome; Lysosome; Membrane</t>
  </si>
  <si>
    <t>autophagic cell death {GO:0048102}; establishment of protein localization to organelle {GO:0072594}; Golgi to lysosome transport {GO:0090160}; granzyme-mediated apoptotic signaling pathway {GO:0008626}; neutrophil degranulation {GO:0043312}; positive regulation of natural killer cell degranulation {GO:0043323}; positive regulation of natural killer cell mediated cytotoxicity {GO:0045954}; protein stabilization {GO:0050821}; regulation of organelle transport along microtubule {GO:1902513}</t>
  </si>
  <si>
    <t>alveolar lamellar body {GO:0097208}; autolysosome {GO:0044754}; azurophil granule membrane {GO:0035577}; cytolytic granule {GO:0044194}; cytoplasm {GO:0005737}; cytosol {GO:0005829}; dendrite {GO:0030425}; endosome membrane {GO:0010008}; external side of plasma membrane {GO:0009897}; extracellular exosome {GO:0070062}; ficolin-1-rich granule membrane {GO:0101003}; integral component of plasma membrane {GO:0005887}; integral component of synaptic vesicle membrane {GO:0030285}; late endosome {GO:0005770}; late endosome membrane {GO:0031902}; lysosomal membrane {GO:0005765}; lysosome {GO:0005764}; melanosome {GO:0042470}; membrane {GO:0016020}; multivesicular body {GO:0005771}; neuronal cell body {GO:0043025}; perinuclear region of cytoplasm {GO:0048471}; phagolysosome membrane {GO:0061474}; plasma membrane {GO:0005886}; sarcolemma {GO:0042383}</t>
  </si>
  <si>
    <t>enzyme binding {GO:0019899}; protein domain specific binding {GO:0019904}; virus receptor activity {GO:0001618}</t>
  </si>
  <si>
    <t>Translationally-controlled tumor protein (TCTP)</t>
  </si>
  <si>
    <t>Fortilin; Histamine-releasing factor (HRF); p23</t>
  </si>
  <si>
    <t>TCTP_HUMAN</t>
  </si>
  <si>
    <t>P13693</t>
  </si>
  <si>
    <t>B2R7E5; Q6YLS2; Q7Z4J4; Q8TBK7; Q96EE2; Q9UC70</t>
  </si>
  <si>
    <t>3D-structure; Alternative splicing; Calcium; Cytoplasm; Phosphoprotein; Polymorphism</t>
  </si>
  <si>
    <t>calcium ion transport {GO:0006816}; cellular calcium ion homeostasis {GO:0006874}; negative regulation of apoptotic process {GO:0043066}; negative regulation of intrinsic apoptotic signaling pathway in response to DNA damage {GO:1902230}; regulation of apoptotic process {GO:0042981}; response to virus {GO:0009615}</t>
  </si>
  <si>
    <t>cytoplasm {GO:0005737}; cytoplasmic microtubule {GO:0005881}; cytosol {GO:0005829}; extracellular exosome {GO:0070062}; extracellular space {GO:0005615}; multivesicular body {GO:0005771}; nucleus {GO:0005634}; spindle pole {GO:0000922}</t>
  </si>
  <si>
    <t>calcium ion binding {GO:0005509}; RNA binding {GO:0003723}</t>
  </si>
  <si>
    <t>Myc box-dependent-interacting protein 1</t>
  </si>
  <si>
    <t>Amphiphysin II; Amphiphysin-like protein; Box-dependent myc-interacting protein 1; Bridging integrator 1</t>
  </si>
  <si>
    <t>BIN1_HUMAN</t>
  </si>
  <si>
    <t>O00499</t>
  </si>
  <si>
    <t>O00297; O00545; O43867; O60552; O60553; O60554; O60555; O75514; O75515; O75516; O75517; O75518; Q659B7; Q92944; Q99688</t>
  </si>
  <si>
    <t>AMPHL</t>
  </si>
  <si>
    <t>3D-structure; Acetylation; Alternative splicing; Cell membrane; Coiled coil; Cytoplasm; Developmental protein; Differentiation; Disease mutation; Endocytosis; Endosome; Host-virus interaction; Membrane; Nucleus; Phosphoprotein; SH3 domain</t>
  </si>
  <si>
    <t>Differentiation; Endocytosis; Host-virus interaction</t>
  </si>
  <si>
    <t>Cell membrane; Cytoplasm; Endosome; Membrane; Nucleus</t>
  </si>
  <si>
    <t>cytoskeleton organization {GO:0007010}; endocytosis {GO:0006897}; endosome to lysosome transport {GO:0008333}; lipid tube assembly {GO:0060988}; membrane organization {GO:0061024}; negative regulation of amyloid-beta formation {GO:1902430}; negative regulation of aspartic-type endopeptidase activity involved in amyloid precursor protein catabolic process {GO:1902960}; negative regulation of calcium ion transmembrane transport via high voltage-gated calcium channel {GO:1904878}; negative regulation of potassium ion transmembrane transport {GO:1901380}; negative regulation of ventricular cardiac muscle cell action potential {GO:1903946}; nucleus localization {GO:0051647}; nucleus organization {GO:0006997}; positive regulation of actin filament polymerization {GO:0030838}; positive regulation of apoptotic process {GO:0043065}; positive regulation of astrocyte differentiation {GO:0048711}; regulation of cell cycle arrest {GO:0071156}; regulation of endocytosis {GO:0030100}; regulation of heart rate by cardiac conduction {GO:0086091}; regulation of neuron differentiation {GO:0045664}; T-tubule organization {GO:0033292}; viral process {GO:0016032}</t>
  </si>
  <si>
    <t>actin cytoskeleton {GO:0015629}; axon {GO:0030424}; axon initial segment {GO:0043194}; cytoplasm {GO:0005737}; cytosol {GO:0005829}; endosome {GO:0005768}; I band {GO:0031674}; lipid tube {GO:0060987}; membrane {GO:0016020}; node of Ranvier {GO:0033268}; nuclear envelope {GO:0005635}; nucleus {GO:0005634}; plasma membrane {GO:0005886}; synaptic vesicle {GO:0008021}; T-tubule {GO:0030315}; Z disc {GO:0030018}</t>
  </si>
  <si>
    <t>actin filament binding {GO:0051015}; chaperone binding {GO:0051087}; clathrin binding {GO:0030276}; identical protein binding {GO:0042802}; phospholipid binding {GO:0005543}; protease binding {GO:0002020}; RNA polymerase binding {GO:0070063}; tau protein binding {GO:0048156}</t>
  </si>
  <si>
    <t>Heterogeneous nuclear ribonucleoprotein A3 (hnRNP A3)</t>
  </si>
  <si>
    <t>ROA3_HUMAN</t>
  </si>
  <si>
    <t>P51991</t>
  </si>
  <si>
    <t>D3DPF4; Q53RW7; Q6URK5</t>
  </si>
  <si>
    <t>HNRPA3</t>
  </si>
  <si>
    <t>Acetylation; Alternative splicing; Isopeptide bond; Methylation; mRNA processing; mRNA splicing; Nucleus; Phosphoprotein; Repeat; Ribonucleoprotein; RNA-binding; Spliceosome; Ubl conjugation</t>
  </si>
  <si>
    <t>mRNA splicing, via spliceosome {GO:0000398}; mRNA transport {GO:0051028}; RNA metabolic process {GO:0016070}</t>
  </si>
  <si>
    <t>catalytic step 2 spliceosome {GO:0071013}; cytoplasm {GO:0005737}; messenger ribonucleoprotein complex {GO:1990124}; neuron projection {GO:0043005}; nucleoplasm {GO:0005654}; nucleus {GO:0005634}; postsynaptic density {GO:0014069}; ribonucleoprotein complex {GO:1990904}; ribonucleoprotein granule {GO:0035770}</t>
  </si>
  <si>
    <t>mRNA binding {GO:0003729}; RNA binding {GO:0003723}; RNA transmembrane transporter activity {GO:0051033}</t>
  </si>
  <si>
    <t>mRNA Splicing - Major Pathway {R-HSA-72163}; Processing of Capped Intron-Containing Pre-mRNA {R-HSA-72203}</t>
  </si>
  <si>
    <t>Actin-related protein 3</t>
  </si>
  <si>
    <t>Actin-like protein 3</t>
  </si>
  <si>
    <t>ARP3_HUMAN</t>
  </si>
  <si>
    <t>P61158</t>
  </si>
  <si>
    <t>P32391; Q53QM2</t>
  </si>
  <si>
    <t>ARP3</t>
  </si>
  <si>
    <t>Acetylation; Actin-binding; ATP-binding; Cell projection; Cilium biogenesis/degradation; Cytoplasm; Cytoskeleton; Nucleotide-binding; Nucleus</t>
  </si>
  <si>
    <t>actin polymerization-dependent cell motility {GO:0070358}; Arp2/3 complex-mediated actin nucleation {GO:0034314}; asymmetric cell division {GO:0008356}; cellular response to interferon-gamma {GO:0071346}; cilium assembly {GO:0060271}; ephrin receptor signaling pathway {GO:0048013}; establishment or maintenance of cell polarity {GO:0007163}; Fc-gamma receptor signaling pathway involved in phagocytosis {GO:0038096}; meiotic chromosome movement towards spindle pole {GO:0016344}; meiotic cytokinesis {GO:0033206}; membrane organization {GO:0061024}; positive regulation of transcription by RNA polymerase II {GO:0045944}; spindle localization {GO:0051653}</t>
  </si>
  <si>
    <t>actin cortical patch {GO:0030479}; actin cytoskeleton {GO:0015629}; Arp2/3 protein complex {GO:0005885}; brush border {GO:0005903}; cell-cell junction {GO:0005911}; cytoplasm {GO:0005737}; cytosol {GO:0005829}; extracellular exosome {GO:0070062}; focal adhesion {GO:0005925}; lamellipodium {GO:0030027}; membrane {GO:0016020}; nucleus {GO:0005634}; site of double-strand break {GO:0035861}</t>
  </si>
  <si>
    <t>actin binding {GO:0003779}; ATP binding {GO:0005524}; structural constituent of cytoskeleton {GO:0005200}</t>
  </si>
  <si>
    <t>Unconventional myosin-VIIb</t>
  </si>
  <si>
    <t>MYO7B_HUMAN</t>
  </si>
  <si>
    <t>Q6PIF6</t>
  </si>
  <si>
    <t>Q14786; Q8TEE1</t>
  </si>
  <si>
    <t>3D-structure; Actin-binding; Alternative splicing; ATP-binding; Cell projection; Cytoplasm; Cytoskeleton; Differentiation; Motor protein; Myosin; Nucleotide-binding; Phosphoprotein; Polymorphism; Repeat; SH3 domain</t>
  </si>
  <si>
    <t>Actin-binding; Motor protein; Myosin</t>
  </si>
  <si>
    <t>brush border assembly {GO:1904970}; cell differentiation {GO:0030154}</t>
  </si>
  <si>
    <t>apical cytoplasm {GO:0090651}; brush border {GO:0005903}; microvillus {GO:0005902}; myosin complex {GO:0016459}</t>
  </si>
  <si>
    <t>actin filament binding {GO:0051015}; ATP binding {GO:0005524}; motor activity {GO:0003774}</t>
  </si>
  <si>
    <t>Leucine-rich repeat flightless-interacting protein 1 (LRR FLII-interacting protein 1)</t>
  </si>
  <si>
    <t>GC-binding factor 2; TAR RNA-interacting protein</t>
  </si>
  <si>
    <t>LRRF1_HUMAN</t>
  </si>
  <si>
    <t>Q32MZ4</t>
  </si>
  <si>
    <t>E9PGZ2; O75766; O75799; Q32MZ5; Q53T49; Q6PKG2; Q9Y607</t>
  </si>
  <si>
    <t>GCF2; TRIP</t>
  </si>
  <si>
    <t>3D-structure; Acetylation; Alternative splicing; Coiled coil; Cytoplasm; DNA-binding; Isopeptide bond; Nucleus; Phosphoprotein; Polymorphism; Repressor; Transcription; Transcription regulation; Ubl conjugation</t>
  </si>
  <si>
    <t>DNA-binding; Repressor</t>
  </si>
  <si>
    <t>negative regulation of transcription by RNA polymerase II {GO:0000122}; negative regulation of transcription, DNA-templated {GO:0045892}; positive regulation of NF-kappaB transcription factor activity {GO:0051092}; positive regulation of type I interferon production {GO:0032481}; regulation of transcription by RNA polymerase II {GO:0006357}</t>
  </si>
  <si>
    <t>cytoplasm {GO:0005737}; cytoskeleton {GO:0005856}; cytosol {GO:0005829}; nucleus {GO:0005634}; plasma membrane {GO:0005886}</t>
  </si>
  <si>
    <t>cadherin binding {GO:0045296}; DNA binding {GO:0003677}; DNA-binding transcription factor activity, RNA polymerase II-specific {GO:0000981}; DNA-binding transcription repressor activity, RNA polymerase II-specific {GO:0001227}; double-stranded RNA binding {GO:0003725}; protein homodimerization activity {GO:0042803}; RNA polymerase II proximal promoter sequence-specific DNA binding {GO:0000978}</t>
  </si>
  <si>
    <t>Signaling by cytosolic FGFR1 fusion mutants {R-HSA-1839117}; LRR FLII-interacting protein 1 (LRRFIP1) activates type I IFN production {R-HSA-3134973}; Signaling by FGFR1 in disease {R-HSA-5655302}</t>
  </si>
  <si>
    <t>Transforming growth factor beta receptor type 3 (TGF-beta receptor type 3; TGFR-3)</t>
  </si>
  <si>
    <t>Betaglycan; Transforming growth factor beta receptor III (TGF-beta receptor type III)</t>
  </si>
  <si>
    <t>TGBR3_HUMAN</t>
  </si>
  <si>
    <t>Q03167</t>
  </si>
  <si>
    <t>A0AUW8; A8K5N0; B9EG88; Q5T2T4; Q5U731; Q9UGI2</t>
  </si>
  <si>
    <t>Alternative splicing; Cell membrane; Disulfide bond; Glycoprotein; Membrane; Polymorphism; Proteoglycan; Receptor; Secreted; Signal; Transmembrane; Transmembrane helix</t>
  </si>
  <si>
    <t>animal organ regeneration {GO:0031100}; BMP signaling pathway {GO:0030509}; cardiac epithelial to mesenchymal transition {GO:0060317}; cardiac muscle cell proliferation {GO:0060038}; cell migration {GO:0016477}; definitive erythrocyte differentiation {GO:0060318}; definitive hemopoiesis {GO:0060216}; epicardium-derived cardiac fibroblast cell development {GO:0060939}; epithelial to mesenchymal transition {GO:0001837}; heart morphogenesis {GO:0003007}; heart trabecula formation {GO:0060347}; heart trabecula morphogenesis {GO:0061384}; immune response {GO:0006955}; intracellular signal transduction {GO:0035556}; liver development {GO:0001889}; muscular septum morphogenesis {GO:0003150}; negative regulation of cellular component movement {GO:0051271}; negative regulation of epithelial cell proliferation {GO:0050680}; negative regulation of transforming growth factor beta receptor signaling pathway {GO:0030512}; outflow tract morphogenesis {GO:0003151}; pathway-restricted SMAD protein phosphorylation {GO:0060389}; positive regulation of cardiac muscle cell proliferation {GO:0060045}; positive regulation of transforming growth factor beta receptor signaling pathway {GO:0030511}; regulation of protein binding {GO:0043393}; response to follicle-stimulating hormone {GO:0032354}; response to hypoxia {GO:0001666}; response to luteinizing hormone {GO:0034699}; response to prostaglandin E {GO:0034695}; secondary palate development {GO:0062009}; transforming growth factor beta receptor complex assembly {GO:0007181}; transforming growth factor beta receptor signaling pathway {GO:0007179}; vasculogenesis involved in coronary vascular morphogenesis {GO:0060979}; ventricular cardiac muscle tissue morphogenesis {GO:0055010}; ventricular compact myocardium morphogenesis {GO:0003223}; ventricular septum morphogenesis {GO:0060412}</t>
  </si>
  <si>
    <t>cell surface {GO:0009986}; cytoplasm {GO:0005737}; external side of plasma membrane {GO:0009897}; extracellular exosome {GO:0070062}; extracellular matrix {GO:0031012}; extracellular space {GO:0005615}; inhibin-betaglycan-ActRII complex {GO:0034673}; integral component of plasma membrane {GO:0005887}; receptor complex {GO:0043235}</t>
  </si>
  <si>
    <t>activin binding {GO:0048185}; coreceptor activity {GO:0015026}; fibroblast growth factor binding {GO:0017134}; glycosaminoglycan binding {GO:0005539}; heparin binding {GO:0008201}; PDZ domain binding {GO:0030165}; SMAD binding {GO:0046332}; transforming growth factor beta binding {GO:0050431}; transforming growth factor beta receptor activity, type III {GO:0070123}; transforming growth factor beta receptor binding {GO:0005160}; transforming growth factor beta-activated receptor activity {GO:0005024}; type II transforming growth factor beta receptor binding {GO:0005114}</t>
  </si>
  <si>
    <t>Signal transducer and activator of transcription 1-alpha/beta</t>
  </si>
  <si>
    <t>Transcription factor ISGF-3 components p91/p84</t>
  </si>
  <si>
    <t>STAT1_HUMAN</t>
  </si>
  <si>
    <t>P42224</t>
  </si>
  <si>
    <t>A8K989; B2RCA0; D2KFR8; D3DPI7; Q53S88; Q53XW4; Q68D00; Q9UDL5</t>
  </si>
  <si>
    <t>3D-structure; Acetylation; Activator; ADP-ribosylation; Alternative splicing; Antiviral defense; Coiled coil; Cytoplasm; Disease mutation; DNA-binding; Host-virus interaction; Isopeptide bond; Methylation; Nucleus; Phosphoprotein; Polymorphism; SH2 domain; Transcription; Transcription regulation; Ubl conjugation</t>
  </si>
  <si>
    <t>Antiviral defense; Host-virus interaction; Transcription; Transcription regulation</t>
  </si>
  <si>
    <t>Coiled coil; SH2 domain</t>
  </si>
  <si>
    <t>blood circulation {GO:0008015}; cellular response to insulin stimulus {GO:0032869}; cellular response to interferon-beta {GO:0035458}; cellular response to interferon-gamma {GO:0071346}; cellular response to organic cyclic compound {GO:0071407}; cytokine-mediated signaling pathway {GO:0019221}; defense response {GO:0006952}; defense response to virus {GO:0051607}; interferon-gamma-mediated signaling pathway {GO:0060333}; interleukin-21-mediated signaling pathway {GO:0038114}; interleukin-27-mediated signaling pathway {GO:0070106}; interleukin-35-mediated signaling pathway {GO:0070757}; interleukin-6-mediated signaling pathway {GO:0070102}; interleukin-9-mediated signaling pathway {GO:0038113}; macrophage derived foam cell differentiation {GO:0010742}; metanephric mesenchymal cell differentiation {GO:0072162}; metanephric mesenchymal cell proliferation involved in metanephros development {GO:0072136}; negative regulation by virus of viral protein levels in host cell {GO:0046725}; negative regulation of angiogenesis {GO:0016525}; negative regulation of endothelial cell proliferation {GO:0001937}; negative regulation of I-kappaB kinase/NF-kappaB signaling {GO:0043124}; negative regulation of mesenchymal to epithelial transition involved in metanephros morphogenesis {GO:0003340}; negative regulation of metanephric nephron tubule epithelial cell differentiation {GO:0072308}; negative regulation of transcription by RNA polymerase II {GO:0000122}; positive regulation of defense response to virus by host {GO:0002230}; positive regulation of erythrocyte differentiation {GO:0045648}; positive regulation of interferon-alpha production {GO:0032727}; positive regulation of mesenchymal cell proliferation {GO:0002053}; positive regulation of nitric-oxide synthase biosynthetic process {GO:0051770}; positive regulation of smooth muscle cell proliferation {GO:0048661}; positive regulation of transcription by RNA polymerase II {GO:0045944}; positive regulation of transcription of Notch receptor target {GO:0007221}; positive regulation of transcription, DNA-templated {GO:0045893}; receptor signaling pathway via JAK-STAT {GO:0007259}; regulation of apoptotic process {GO:0042981}; regulation of cell population proliferation {GO:0042127}; regulation of interferon-gamma-mediated signaling pathway {GO:0060334}; regulation of transcription, DNA-templated {GO:0006355}; renal tubule development {GO:0061326}; response to cAMP {GO:0051591}; response to cytokine {GO:0034097}; response to hydrogen peroxide {GO:0042542}; response to interferon-beta {GO:0035456}; response to mechanical stimulus {GO:0009612}; response to nutrient {GO:0007584}; response to peptide hormone {GO:0043434}; tumor necrosis factor-mediated signaling pathway {GO:0033209}; type I interferon signaling pathway {GO:0060337}; viral process {GO:0016032}</t>
  </si>
  <si>
    <t>axon {GO:0030424}; cytoplasm {GO:0005737}; cytosol {GO:0005829}; dendrite {GO:0030425}; nuclear chromatin {GO:0000790}; nucleolus {GO:0005730}; nucleoplasm {GO:0005654}; nucleus {GO:0005634}; perinuclear region of cytoplasm {GO:0048471}; protein-containing complex {GO:0032991}</t>
  </si>
  <si>
    <t>cadherin binding {GO:0045296}; CCR5 chemokine receptor binding {GO:0031730}; DNA-binding transcription activator activity, RNA polymerase II-specific {GO:0001228}; DNA-binding transcription factor activity {GO:0003700}; DNA-binding transcription factor activity, RNA polymerase II-specific {GO:0000981}; double-stranded DNA binding {GO:0003690}; enzyme binding {GO:0019899}; histone acetyltransferase binding {GO:0035035}; histone binding {GO:0042393}; identical protein binding {GO:0042802}; nuclear hormone receptor binding {GO:0035257}; promoter-specific chromatin binding {GO:1990841}; protein homodimerization activity {GO:0042803}; protein phosphatase 2A binding {GO:0051721}; repressing transcription factor binding {GO:0070491}; RNA polymerase II core promoter sequence-specific DNA binding {GO:0000979}; RNA polymerase II proximal promoter sequence-specific DNA binding {GO:0000978}; tumor necrosis factor receptor binding {GO:0005164}; ubiquitin-like protein ligase binding {GO:0044389}</t>
  </si>
  <si>
    <t>Interleukin-6 signaling {R-HSA-1059683}; ISG15 antiviral mechanism {R-HSA-1169408}; Signaling by SCF-KIT {R-HSA-1433557}; Signaling by cytosolic FGFR1 fusion mutants {R-HSA-1839117}; Downstream signal transduction {R-HSA-186763}; Interleukin-4 and Interleukin-13 signaling {R-HSA-6785807}; Interferon gamma signaling {R-HSA-877300}; Regulation of IFNG signaling {R-HSA-877312}; Interleukin-20 family signaling {R-HSA-8854691}; Regulation of RUNX2 expression and activity {R-HSA-8939902}; Interleukin-35 Signalling {R-HSA-8984722}; Interleukin-9 signaling {R-HSA-8985947}; NOTCH3 Intracellular Domain Regulates Transcription {R-HSA-9013508}; Interleukin-27 signaling {R-HSA-9020956}; Interleukin-21 signaling {R-HSA-9020958}; Interferon alpha/beta signaling {R-HSA-909733}; Regulation of IFNA signaling {R-HSA-912694}; Growth hormone receptor signaling {R-HSA-982772}</t>
  </si>
  <si>
    <t>PDZ and LIM domain protein 1</t>
  </si>
  <si>
    <t>C-terminal LIM domain protein 1; Elfin; LIM domain protein CLP-36</t>
  </si>
  <si>
    <t>PDLI1_HUMAN</t>
  </si>
  <si>
    <t>O00151</t>
  </si>
  <si>
    <t>B2RBS6; Q5VZH5; Q9BPZ9</t>
  </si>
  <si>
    <t>CLIM1; CLP36</t>
  </si>
  <si>
    <t>3D-structure; Acetylation; Cytoplasm; Cytoskeleton; LIM domain; Metal-binding; Phosphoprotein; Polymorphism; Zinc</t>
  </si>
  <si>
    <t>actin cytoskeleton organization {GO:0030036}; heart development {GO:0007507}; muscle structure development {GO:0061061}; regulation of transcription, DNA-templated {GO:0006355}; response to hypoxia {GO:0001666}; response to oxidative stress {GO:0006979}</t>
  </si>
  <si>
    <t>cell-cell adherens junction {GO:0005913}; filamentous actin {GO:0031941}; focal adhesion {GO:0005925}; stress fiber {GO:0001725}; transcription factor complex {GO:0005667}; Z disc {GO:0030018}</t>
  </si>
  <si>
    <t>actin binding {GO:0003779}; cadherin binding involved in cell-cell adhesion {GO:0098641}; metal ion binding {GO:0046872}; muscle alpha-actinin binding {GO:0051371}; transcription coactivator activity {GO:0003713}</t>
  </si>
  <si>
    <t>Actin-related protein 2/3 complex subunit 2</t>
  </si>
  <si>
    <t>Arp2/3 complex 34 kDa subunit (p34-ARC)</t>
  </si>
  <si>
    <t>ARPC2_HUMAN</t>
  </si>
  <si>
    <t>O15144</t>
  </si>
  <si>
    <t>Q92801; Q9P1D4</t>
  </si>
  <si>
    <t>ARC34</t>
  </si>
  <si>
    <t>Acetylation; Actin-binding; Cell junction; Cell projection; Cytoplasm; Cytoskeleton; Nucleus; Synapse; Synaptosome</t>
  </si>
  <si>
    <t>Cell junction; Cell projection; Cytoplasm; Cytoskeleton; Nucleus; Synapse; Synaptosome</t>
  </si>
  <si>
    <t>actin filament polymerization {GO:0030041}; actin polymerization-dependent cell motility {GO:0070358}; Arp2/3 complex-mediated actin nucleation {GO:0034314}; ephrin receptor signaling pathway {GO:0048013}; Fc-gamma receptor signaling pathway involved in phagocytosis {GO:0038096}; membrane organization {GO:0061024}; positive regulation of lamellipodium assembly {GO:0010592}; positive regulation of substrate adhesion-dependent cell spreading {GO:1900026}</t>
  </si>
  <si>
    <t>actin cytoskeleton {GO:0015629}; Arp2/3 protein complex {GO:0005885}; cytosol {GO:0005829}; endosome {GO:0005768}; extracellular exosome {GO:0070062}; focal adhesion {GO:0005925}; glutamatergic synapse {GO:0098978}; lamellipodium {GO:0030027}; muscle cell projection membrane {GO:0036195}; neuron projection {GO:0043005}; nucleus {GO:0005634}; site of double-strand break {GO:0035861}</t>
  </si>
  <si>
    <t>actin filament binding {GO:0051015}; structural constituent of cytoskeleton {GO:0005200}</t>
  </si>
  <si>
    <t>Calcium-binding protein 39</t>
  </si>
  <si>
    <t>MO25alpha; Protein Mo25</t>
  </si>
  <si>
    <t>CAB39_HUMAN</t>
  </si>
  <si>
    <t>Q9Y376</t>
  </si>
  <si>
    <t>A8K8L7</t>
  </si>
  <si>
    <t>MO25</t>
  </si>
  <si>
    <t>3D-structure; Cytoplasm</t>
  </si>
  <si>
    <t>cell cycle arrest {GO:0007050}; cellular hypotonic response {GO:0071476}; intracellular signal transduction {GO:0035556}; negative regulation of potassium ion transmembrane transport {GO:1901380}; negative regulation of potassium ion transmembrane transporter activity {GO:1901017}; neutrophil degranulation {GO:0043312}; peptidyl-serine phosphorylation {GO:0018105}; positive regulation of peptidyl-threonine phosphorylation {GO:0010800}; positive regulation of protein serine/threonine kinase activity {GO:0071902}; protein heterooligomerization {GO:0051291}; signal transduction by protein phosphorylation {GO:0023014}</t>
  </si>
  <si>
    <t>cytosol {GO:0005829}; extracellular exosome {GO:0070062}; extracellular region {GO:0005576}; ficolin-1-rich granule lumen {GO:1904813}; secretory granule lumen {GO:0034774}; serine/threonine protein kinase complex {GO:1902554}</t>
  </si>
  <si>
    <t>kinase binding {GO:0019900}; protein kinase activator activity {GO:0030295}; protein serine/threonine kinase activator activity {GO:0043539}; protein serine/threonine kinase activity {GO:0004674}</t>
  </si>
  <si>
    <t>Energy dependent regulation of mTOR by LKB1-AMPK {R-HSA-380972}; Neutrophil degranulation {R-HSA-6798695}</t>
  </si>
  <si>
    <t>Secreted glypican-1</t>
  </si>
  <si>
    <t>GPC1_HUMAN</t>
  </si>
  <si>
    <t>P35052</t>
  </si>
  <si>
    <t>B3KTD1; Q53QM4</t>
  </si>
  <si>
    <t>3D-structure; Alternative splicing; Cell membrane; Copper; Disulfide bond; Endosome; Glycoprotein; GPI-anchor; Heparan sulfate; Lipoprotein; Membrane; Polymorphism; Proteoglycan; S-nitrosylation; Secreted; Signal; Zinc</t>
  </si>
  <si>
    <t>Cell membrane; Endosome; Membrane; Secreted</t>
  </si>
  <si>
    <t>Copper; Zinc</t>
  </si>
  <si>
    <t>Disulfide bond; GPI-anchor; Glycoprotein; Heparan sulfate; Lipoprotein; Proteoglycan; S-nitrosylation</t>
  </si>
  <si>
    <t>axon guidance {GO:0007411}; cell migration {GO:0016477}; glycosaminoglycan biosynthetic process {GO:0006024}; glycosaminoglycan catabolic process {GO:0006027}; heparan sulfate proteoglycan catabolic process {GO:0030200}; leukocyte migration {GO:0050900}; myelin assembly {GO:0032288}; negative regulation of fibroblast growth factor receptor signaling pathway {GO:0040037}; positive regulation of skeletal muscle cell differentiation {GO:2001016}; regulation of protein localization to membrane {GO:1905475}; retinoid metabolic process {GO:0001523}; Schwann cell differentiation {GO:0014037}</t>
  </si>
  <si>
    <t>anchored component of plasma membrane {GO:0046658}; cell surface {GO:0009986}; collagen-containing extracellular matrix {GO:0062023}; cytosol {GO:0005829}; endosome {GO:0005768}; extracellular exosome {GO:0070062}; extracellular matrix {GO:0031012}; extracellular region {GO:0005576}; extracellular space {GO:0005615}; Golgi lumen {GO:0005796}; intrinsic component of plasma membrane {GO:0031226}; lysosomal lumen {GO:0043202}; membrane raft {GO:0045121}; nucleoplasm {GO:0005654}; plasma membrane {GO:0005886}; synapse {GO:0045202}</t>
  </si>
  <si>
    <t>copper ion binding {GO:0005507}; fibroblast growth factor binding {GO:0017134}; laminin binding {GO:0043236}</t>
  </si>
  <si>
    <t>A tetrasaccharide linker sequence is required for GAG synthesis {R-HSA-1971475}; HS-GAG biosynthesis {R-HSA-2022928}; HS-GAG degradation {R-HSA-2024096}; Cell surface interactions at the vascular wall {R-HSA-202733}; Defective B4GALT7 causes EDS, progeroid type {R-HSA-3560783}; Defective B3GAT3 causes JDSSDHD {R-HSA-3560801}; Defective EXT2 causes exostoses 2 {R-HSA-3656237}; Defective EXT1 causes exostoses 1, TRPS2 and CHDS {R-HSA-3656253}; Signaling by ROBO receptors {R-HSA-376176}; Defective B3GALT6 causes EDSP2 and SEMDJL1 {R-HSA-4420332}; Retinoid metabolism and transport {R-HSA-975634}</t>
  </si>
  <si>
    <t>Septin-2</t>
  </si>
  <si>
    <t>Neural precursor cell expressed developmentally down-regulated protein 5 (NEDD-5)</t>
  </si>
  <si>
    <t>SEPT2_HUMAN</t>
  </si>
  <si>
    <t>Q15019</t>
  </si>
  <si>
    <t>B4DGE8; Q14132; Q53QU3; Q8IUK9; Q96CB0</t>
  </si>
  <si>
    <t>DIFF6; KIAA0158; NEDD5</t>
  </si>
  <si>
    <t>3D-structure; Acetylation; Alternative splicing; Cell cycle; Cell division; Cell membrane; Cell projection; Centromere; Chromosome; Cilium; Cytoplasm; Cytoskeleton; Differentiation; Flagellum; GTP-binding; Kinetochore; Membrane; Mitosis; Nucleotide-binding; Phosphoprotein; Spermatogenesis</t>
  </si>
  <si>
    <t>Cell membrane; Cell projection; Centromere; Chromosome; Cilium; Cytoplasm; Cytoskeleton; Flagellum; Kinetochore; Membrane</t>
  </si>
  <si>
    <t>cilium assembly {GO:0060271}; cytoskeleton-dependent cytokinesis {GO:0061640}; neuron projection development {GO:0031175}; smoothened signaling pathway {GO:0007224}; spermatogenesis {GO:0007283}</t>
  </si>
  <si>
    <t>axoneme {GO:0005930}; ciliary membrane {GO:0060170}; cleavage furrow {GO:0032154}; condensed chromosome kinetochore {GO:0000777}; cytoplasm {GO:0005737}; exocyst {GO:0000145}; extracellular exosome {GO:0070062}; microtubule cytoskeleton {GO:0015630}; midbody {GO:0030496}; non-motile cilium {GO:0097730}; nucleus {GO:0005634}; perinuclear region of cytoplasm {GO:0048471}; photoreceptor connecting cilium {GO:0032391}; septin complex {GO:0031105}; septin ring {GO:0005940}; sperm annulus {GO:0097227}; spindle {GO:0005819}</t>
  </si>
  <si>
    <t>cadherin binding {GO:0045296}; GTP binding {GO:0005525}; GTPase activity {GO:0003924}; identical protein binding {GO:0042802}</t>
  </si>
  <si>
    <t>Anchoring of the basal body to the plasma membrane {R-HSA-5620912}</t>
  </si>
  <si>
    <t>Protein phosphatase 1 regulatory subunit 7</t>
  </si>
  <si>
    <t>Protein phosphatase 1 regulatory subunit 22</t>
  </si>
  <si>
    <t>PP1R7_HUMAN</t>
  </si>
  <si>
    <t>Q15435</t>
  </si>
  <si>
    <t>B4DFD4; B5MCY6; Q9UQE5; Q9UQE6; Q9Y6K4</t>
  </si>
  <si>
    <t>SDS22</t>
  </si>
  <si>
    <t>3D-structure; Acetylation; Alternative splicing; Leucine-rich repeat; Nucleus; Phosphoprotein; Repeat</t>
  </si>
  <si>
    <t>positive regulation of protein dephosphorylation {GO:0035307}</t>
  </si>
  <si>
    <t>chromosome {GO:0005694}; cytoplasm {GO:0005737}; extracellular exosome {GO:0070062}; nucleus {GO:0005634}</t>
  </si>
  <si>
    <t>enzyme regulator activity {GO:0030234}; protein phosphatase regulator activity {GO:0019888}</t>
  </si>
  <si>
    <t>Desmin</t>
  </si>
  <si>
    <t>DESM_HUMAN</t>
  </si>
  <si>
    <t>P17661</t>
  </si>
  <si>
    <t>Q15787; Q549R7; Q549R8; Q549R9; Q8IZR1; Q8IZR6; Q8NES2; Q8NEU6; Q8TAC4; Q8TCX2; Q8TD99; Q9UHN5; Q9UJ80</t>
  </si>
  <si>
    <t>ADP-ribosylation; Cardiomyopathy; Cell membrane; Coiled coil; Cytoplasm; Desmin-related myopathy; Disease mutation; Intermediate filament; Limb-girdle muscular dystrophy; Membrane; Methylation; Muscle protein; Myofibrillar myopathy; Nucleus; Phosphoprotein; Polymorphism</t>
  </si>
  <si>
    <t>Cell membrane; Cytoplasm; Intermediate filament; Membrane; Nucleus</t>
  </si>
  <si>
    <t>Cardiomyopathy; Desmin-related myopathy; Disease mutation; Limb-girdle muscular dystrophy; Myofibrillar myopathy</t>
  </si>
  <si>
    <t>cytoskeleton organization {GO:0007010}; intermediate filament organization {GO:0045109}; muscle contraction {GO:0006936}; muscle filament sliding {GO:0030049}; regulation of heart contraction {GO:0008016}</t>
  </si>
  <si>
    <t>cardiac myofibril {GO:0097512}; cytosol {GO:0005829}; extracellular exosome {GO:0070062}; fascia adherens {GO:0005916}; intercalated disc {GO:0014704}; intermediate filament {GO:0005882}; intermediate filament cytoskeleton {GO:0045111}; neuromuscular junction {GO:0031594}; nucleus {GO:0005634}; sarcolemma {GO:0042383}; Z disc {GO:0030018}</t>
  </si>
  <si>
    <t>cytoskeletal protein binding {GO:0008092}; identical protein binding {GO:0042802}; structural constituent of cytoskeleton {GO:0005200}</t>
  </si>
  <si>
    <t>Bri23 peptide</t>
  </si>
  <si>
    <t>Immature BRI2 (imBRI2); Protein E25B; Transmembrane protein BRI (Bri); Mature BRI2 (mBRI2; BRI2 ICD; Bri2-23); ABri23; C-terminal peptide; P23 peptide</t>
  </si>
  <si>
    <t>ITM2B_HUMAN</t>
  </si>
  <si>
    <t>Q9Y287</t>
  </si>
  <si>
    <t>Q5W0A3; Q96B24; Q9NYH1</t>
  </si>
  <si>
    <t>BRI; BRI2</t>
  </si>
  <si>
    <t>Alternative splicing; Amyloid; Amyloidosis; Cell membrane; Cleavage on pair of basic residues; Deafness; Disease mutation; Disulfide bond; Endosome; Glycoprotein; Golgi apparatus; Membrane; Neurodegeneration; Secreted; Signal-anchor; Transmembrane; Transmembrane helix</t>
  </si>
  <si>
    <t>Amyloid; Cell membrane; Endosome; Golgi apparatus; Membrane; Secreted</t>
  </si>
  <si>
    <t>Amyloidosis; Deafness; Disease mutation; Neurodegeneration</t>
  </si>
  <si>
    <t>cellular protein metabolic process {GO:0044267}; negative regulation of amyloid precursor protein biosynthetic process {GO:0042985}; nervous system development {GO:0007399}</t>
  </si>
  <si>
    <t>endosome membrane {GO:0010008}; extracellular exosome {GO:0070062}; extracellular region {GO:0005576}; extracellular space {GO:0005615}; Golgi apparatus {GO:0005794}; Golgi membrane {GO:0000139}; Golgi-associated vesicle membrane {GO:0030660}; integral component of organelle membrane {GO:0031301}; intracellular membrane-bounded organelle {GO:0043231}; membrane {GO:0016020}; plasma membrane {GO:0005886}</t>
  </si>
  <si>
    <t>amyloid-beta binding {GO:0001540}; ATP binding {GO:0005524}</t>
  </si>
  <si>
    <t>LIM domain only protein 7 (LMO-7)</t>
  </si>
  <si>
    <t>F-box only protein 20; LOMP</t>
  </si>
  <si>
    <t>LMO7_HUMAN</t>
  </si>
  <si>
    <t>Q8WWI1</t>
  </si>
  <si>
    <t>E9PLH4; O15462; O95346; Q5TBK6; Q9UKC1; Q9UQM5; Q9Y6A7</t>
  </si>
  <si>
    <t>FBX20; FBXO20; KIAA0858</t>
  </si>
  <si>
    <t>3D-structure; Acetylation; Alternative splicing; Isopeptide bond; LIM domain; Metal-binding; Phosphoprotein; Polymorphism; Ubl conjugation; Zinc</t>
  </si>
  <si>
    <t>positive regulation of transcription by RNA polymerase II {GO:0045944}; post-translational protein modification {GO:0043687}; protein polyubiquitination {GO:0000209}; protein ubiquitination {GO:0016567}; regulation of cell adhesion {GO:0030155}; regulation of signaling {GO:0023051}</t>
  </si>
  <si>
    <t>apical plasma membrane {GO:0016324}; cell surface {GO:0009986}; cytoplasm {GO:0005737}; cytosol {GO:0005829}; focal adhesion {GO:0005925}; nuclear envelope {GO:0005635}; nucleus {GO:0005634}; ubiquitin ligase complex {GO:0000151}</t>
  </si>
  <si>
    <t>metal ion binding {GO:0046872}; ubiquitin-protein transferase activity {GO:0004842}</t>
  </si>
  <si>
    <t>Neddylation {R-HSA-8951664}; Antigen processing: Ubiquitination &amp; Proteasome degradation {R-HSA-983168}</t>
  </si>
  <si>
    <t>26S proteasome non-ATPase regulatory subunit 1</t>
  </si>
  <si>
    <t>26S proteasome regulatory subunit RPN2; 26S proteasome regulatory subunit S1; 26S proteasome subunit p112</t>
  </si>
  <si>
    <t>PSMD1_HUMAN</t>
  </si>
  <si>
    <t>Q99460</t>
  </si>
  <si>
    <t>B8ZZH9; Q24JU0; Q53TI2; Q6GMU5; Q6P2P4; Q6PJM7; Q6PKG9; Q86VU1; Q8IV79</t>
  </si>
  <si>
    <t>3D-structure; Acetylation; Alternative splicing; Phosphoprotein; Proteasome; Repeat</t>
  </si>
  <si>
    <t>azurophil granule lumen {GO:0035578}; cytosol {GO:0005829}; extracellular region {GO:0005576}; membrane {GO:0016020}; nucleoplasm {GO:0005654}; nucleus {GO:0005634}; proteasome accessory complex {GO:0022624}; proteasome complex {GO:0000502}; proteasome regulatory particle {GO:0005838}; proteasome regulatory particle, base subcomplex {GO:0008540}; proteasome storage granule {GO:0034515}</t>
  </si>
  <si>
    <t>enzyme regulator activity {GO:0030234}; ubiquitin protein ligase binding {GO:0031625}</t>
  </si>
  <si>
    <t>Serine/threonine-protein kinase 24 12 kDa subunit</t>
  </si>
  <si>
    <t>Mammalian STE20-like protein kinase 3 (MST-3); STE20-like kinase MST3; Mammalian STE20-like protein kinase 3 N-terminal (MST3/N); Mammalian STE20-like protein kinase 3 C-terminal (MST3/C)</t>
  </si>
  <si>
    <t>STK24_HUMAN</t>
  </si>
  <si>
    <t>Q9Y6E0</t>
  </si>
  <si>
    <t>O14840; Q5JV92</t>
  </si>
  <si>
    <t>MST3; STK3</t>
  </si>
  <si>
    <t>3D-structure; Acetylation; Alternative splicing; Apoptosis; ATP-binding; Cytoplasm; Kinase; Magnesium; Membrane; Metal-binding; Nucleotide-binding; Nucleus; Phosphoprotein; Polymorphism; Serine/threonine-protein kinase; Transferase</t>
  </si>
  <si>
    <t>activation of protein kinase activity {GO:0032147}; cellular response to starvation {GO:0009267}; execution phase of apoptosis {GO:0097194}; intrinsic apoptotic signaling pathway in response to oxidative stress {GO:0008631}; MAPK cascade {GO:0000165}; negative regulation of cell migration {GO:0030336}; neuron projection morphogenesis {GO:0048812}; protein autophosphorylation {GO:0046777}; protein phosphorylation {GO:0006468}; regulation of axon regeneration {GO:0048679}; response to hydrogen peroxide {GO:0042542}; signal transduction {GO:0007165}; signal transduction by protein phosphorylation {GO:0023014}; stress-activated protein kinase signaling cascade {GO:0031098}</t>
  </si>
  <si>
    <t>cytoplasm {GO:0005737}; cytosol {GO:0005829}; extracellular exosome {GO:0070062}; Golgi apparatus {GO:0005794}; membrane {GO:0016020}; nucleolus {GO:0005730}; nucleoplasm {GO:0005654}; nucleus {GO:0005634}</t>
  </si>
  <si>
    <t>ATP binding {GO:0005524}; cadherin binding {GO:0045296}; metal ion binding {GO:0046872}; protein kinase activity {GO:0004672}; protein serine/threonine kinase activity {GO:0004674}</t>
  </si>
  <si>
    <t>Apoptotic cleavage of cellular proteins {R-HSA-111465}; Apoptotic execution phase {R-HSA-75153}</t>
  </si>
  <si>
    <t>Nuclease-sensitive element-binding protein 1</t>
  </si>
  <si>
    <t>CCAAT-binding transcription factor I subunit A (CBF-A); DNA-binding protein B (DBPB); Enhancer factor I subunit A (EFI-A); Y-box transcription factor; Y-box-binding protein 1 (YB-1)</t>
  </si>
  <si>
    <t>YBOX1_HUMAN</t>
  </si>
  <si>
    <t>P67809</t>
  </si>
  <si>
    <t>P16990; P16991; Q14972; Q15325; Q5FVF0</t>
  </si>
  <si>
    <t>NSEP1; YB1</t>
  </si>
  <si>
    <t>3D-structure; Acetylation; Activator; Cytoplasm; DNA-binding; Isopeptide bond; Mitogen; mRNA processing; mRNA splicing; Nucleus; Phosphoprotein; Repressor; RNA-binding; Secreted; Transcription; Transcription regulation; Ubl conjugation</t>
  </si>
  <si>
    <t>Transcription; Transcription regulation; mRNA processing; mRNA splicing</t>
  </si>
  <si>
    <t>Activator; DNA-binding; Mitogen; RNA-binding; Repressor</t>
  </si>
  <si>
    <t>cellular response to interleukin-7 {GO:0098761}; CRD-mediated mRNA stabilization {GO:0070934}; in utero embryonic development {GO:0001701}; mRNA splicing, via spliceosome {GO:0000398}; negative regulation of striated muscle cell differentiation {GO:0051154}; negative regulation of transcription by RNA polymerase II {GO:0000122}; Notch signaling pathway {GO:0007219}; positive regulation of cell division {GO:0051781}; positive regulation of transcription by RNA polymerase II {GO:0045944}; protein localization to cytoplasmic stress granule {GO:1903608}; regulation of transcription, DNA-templated {GO:0006355}; transcription by RNA polymerase II {GO:0006366}</t>
  </si>
  <si>
    <t>CRD-mediated mRNA stability complex {GO:0070937}; cytoplasm {GO:0005737}; cytoplasmic stress granule {GO:0010494}; cytosol {GO:0005829}; extracellular exosome {GO:0070062}; extracellular region {GO:0005576}; histone pre-mRNA 3'end processing complex {GO:0071204}; intracellular membrane-bounded organelle {GO:0043231}; nuclear membrane {GO:0031965}; nucleoplasm {GO:0005654}; nucleus {GO:0005634}; ribonucleoprotein complex {GO:1990904}; U12-type spliceosomal complex {GO:0005689}</t>
  </si>
  <si>
    <t>chromatin binding {GO:0003682}; DNA binding {GO:0003677}; DNA-binding transcription activator activity, RNA polymerase II-specific {GO:0001228}; DNA-binding transcription factor activity {GO:0003700}; DNA-binding transcription factor activity, RNA polymerase II-specific {GO:0000981}; double-stranded DNA binding {GO:0003690}; GTPase binding {GO:0051020}; RNA binding {GO:0003723}; RNA polymerase II proximal promoter sequence-specific DNA binding {GO:0000978}; single-stranded DNA binding {GO:0003697}</t>
  </si>
  <si>
    <t>mRNA Splicing - Major Pathway {R-HSA-72163}; mRNA Splicing - Minor Pathway {R-HSA-72165}; Noncanonical activation of NOTCH3 {R-HSA-9017802}</t>
  </si>
  <si>
    <t>Nebulin</t>
  </si>
  <si>
    <t>NEBU_HUMAN</t>
  </si>
  <si>
    <t>P20929</t>
  </si>
  <si>
    <t>F8WCL5; F8WCP0; Q15346; Q53QQ2; Q53TG8</t>
  </si>
  <si>
    <t>3D-structure; Actin-binding; Alternative splicing; Cytoplasm; Cytoskeleton; Muscle protein; Nemaline myopathy; Polymorphism; Repeat; SH3 domain</t>
  </si>
  <si>
    <t>Nemaline myopathy</t>
  </si>
  <si>
    <t>cardiac muscle thin filament assembly {GO:0071691}; muscle fiber development {GO:0048747}; muscle filament sliding {GO:0030049}; muscle organ development {GO:0007517}; regulation of actin filament length {GO:0030832}; somatic muscle development {GO:0007525}</t>
  </si>
  <si>
    <t>actin cytoskeleton {GO:0015629}; cytosol {GO:0005829}; extracellular exosome {GO:0070062}; Z disc {GO:0030018}</t>
  </si>
  <si>
    <t>actin filament binding {GO:0051015}; structural constituent of muscle {GO:0008307}</t>
  </si>
  <si>
    <t>Plastin-2</t>
  </si>
  <si>
    <t>L-plastin; LC64P; Lymphocyte cytosolic protein 1 (LCP-1)</t>
  </si>
  <si>
    <t>PLSL_HUMAN</t>
  </si>
  <si>
    <t>P13796</t>
  </si>
  <si>
    <t>B2R613; B4DUA0; Q5TBN4</t>
  </si>
  <si>
    <t>PLS2</t>
  </si>
  <si>
    <t>3D-structure; Acetylation; Actin-binding; Alternative splicing; Calcium; Cell junction; Cell membrane; Cell projection; Chromosomal rearrangement; Cytoplasm; Cytoskeleton; Disease mutation; Membrane; Metal-binding; Phosphoprotein; Polymorphism; Repeat</t>
  </si>
  <si>
    <t>actin filament bundle assembly {GO:0051017}; actin filament network formation {GO:0051639}; animal organ regeneration {GO:0031100}; cell migration {GO:0016477}; extracellular matrix disassembly {GO:0022617}; interleukin-12-mediated signaling pathway {GO:0035722}; positive regulation of podosome assembly {GO:0071803}; protein kinase A signaling {GO:0010737}; regulation of intracellular protein transport {GO:0033157}; T cell activation involved in immune response {GO:0002286}</t>
  </si>
  <si>
    <t>actin cytoskeleton {GO:0015629}; actin filament {GO:0005884}; actin filament bundle {GO:0032432}; cell junction {GO:0030054}; cytoplasm {GO:0005737}; cytosol {GO:0005829}; extracellular exosome {GO:0070062}; extracellular space {GO:0005615}; filopodium {GO:0030175}; focal adhesion {GO:0005925}; phagocytic cup {GO:0001891}; plasma membrane {GO:0005886}; podosome {GO:0002102}; ruffle {GO:0001726}; ruffle membrane {GO:0032587}</t>
  </si>
  <si>
    <t>actin binding {GO:0003779}; actin filament binding {GO:0051015}; calcium ion binding {GO:0005509}; GTPase binding {GO:0051020}; identical protein binding {GO:0042802}; integrin binding {GO:0005178}</t>
  </si>
  <si>
    <t>Gene and protein expression by JAK-STAT signaling after Interleukin-12 stimulation {R-HSA-8950505}</t>
  </si>
  <si>
    <t>Ubiquitin carboxyl-terminal hydrolase isozyme L3 (UCH-L3)</t>
  </si>
  <si>
    <t>Ubiquitin thioesterase L3</t>
  </si>
  <si>
    <t>UCHL3_HUMAN</t>
  </si>
  <si>
    <t>P15374</t>
  </si>
  <si>
    <t>B2R970; Q5TBK8; Q6IBE9</t>
  </si>
  <si>
    <t>3D-structure; Cytoplasm; Hydrolase; Phosphoprotein; Protease; Thiol protease; Ubl conjugation pathway</t>
  </si>
  <si>
    <t>post-translational protein modification {GO:0043687}; protein catabolic process {GO:0030163}; protein deubiquitination {GO:0016579}; protein ubiquitination {GO:0016567}; ubiquitin-dependent protein catabolic process {GO:0006511}</t>
  </si>
  <si>
    <t>NEDD8-specific protease activity {GO:0019784}; peptidase activity {GO:0008233}; thiol-dependent ubiquitin-specific protease activity {GO:0004843}; thiol-dependent ubiquitinyl hydrolase activity {GO:0036459}; ubiquitin binding {GO:0043130}</t>
  </si>
  <si>
    <t>UCH proteinases {R-HSA-5689603}; Synthesis of active ubiquitin: roles of E1 and E2 enzymes {R-HSA-8866652}; Neddylation {R-HSA-8951664}</t>
  </si>
  <si>
    <t>Secreted alpha-1,6-mannosylglycoprotein 6-beta-N-acetylglucosaminyltransferase A</t>
  </si>
  <si>
    <t>Alpha-mannoside beta-1,6-N-acetylglucosaminyltransferase V; GlcNAc-T V (GNT-V); Mannoside acetylglucosaminyltransferase 5; N-acetylglucosaminyl-transferase V; Secreted beta-1,6-N-acetylglucosaminyltransferase V (Secreted GNT-V)</t>
  </si>
  <si>
    <t>MGT5A_HUMAN</t>
  </si>
  <si>
    <t>Q09328</t>
  </si>
  <si>
    <t>D3DP70</t>
  </si>
  <si>
    <t>GGNT5</t>
  </si>
  <si>
    <t>3D-structure; Disulfide bond; Glycoprotein; Glycosyltransferase; Golgi apparatus; Membrane; Secreted; Signal-anchor; Transferase; Transmembrane; Transmembrane helix</t>
  </si>
  <si>
    <t>Golgi apparatus; Membrane; Secreted</t>
  </si>
  <si>
    <t>negative regulation of protein tyrosine phosphatase activity {GO:1903614}; positive regulation of cell migration {GO:0030335}; positive regulation of receptor signaling pathway via STAT {GO:1904894}; protein N-linked glycosylation {GO:0006487}; protein N-linked glycosylation via asparagine {GO:0018279}</t>
  </si>
  <si>
    <t>extracellular exosome {GO:0070062}; Golgi apparatus {GO:0005794}; Golgi membrane {GO:0000139}; integral component of membrane {GO:0016021}; membrane {GO:0016020}</t>
  </si>
  <si>
    <t>alpha-1,6-mannosylglycoprotein 6-beta-N-acetylglucosaminyltransferase activity {GO:0030144}; manganese ion binding {GO:0030145}; protein phosphatase inhibitor activity {GO:0004864}</t>
  </si>
  <si>
    <t>N-Glycan antennae elongation {R-HSA-975577}</t>
  </si>
  <si>
    <t>Low-density lipoprotein receptor-related protein 2 (LRP-2)</t>
  </si>
  <si>
    <t>Glycoprotein 330 (gp330); Megalin</t>
  </si>
  <si>
    <t>LRP2_HUMAN</t>
  </si>
  <si>
    <t>P98164</t>
  </si>
  <si>
    <t>O00711; Q16215</t>
  </si>
  <si>
    <t>3D-structure; Calcium; Cell membrane; Cell projection; Coated pit; Disease mutation; Disulfide bond; EGF-like domain; Endocytosis; Endosome; Glycoprotein; Hearing; Membrane; Metal-binding; Neurogenesis; Phosphoprotein; Polymorphism; Receptor; Repeat; SH3-binding; Signal; Transmembrane; Transmembrane helix; Transport</t>
  </si>
  <si>
    <t>Endocytosis; Hearing; Neurogenesis; Transport</t>
  </si>
  <si>
    <t>Cell membrane; Cell projection; Coated pit; Endosome; Membrane</t>
  </si>
  <si>
    <t>EGF-like domain; Repeat; SH3-binding; Signal; Transmembrane; Transmembrane helix</t>
  </si>
  <si>
    <t>aorta development {GO:0035904}; cell population proliferation {GO:0008283}; coronary artery morphogenesis {GO:0060982}; endocytosis {GO:0006897}; folate import across plasma membrane {GO:1904447}; forebrain development {GO:0030900}; lipid metabolic process {GO:0006629}; male gonad development {GO:0008584}; membrane organization {GO:0061024}; metal ion transport {GO:0030001}; negative regulation of BMP signaling pathway {GO:0030514}; neural tube closure {GO:0001843}; neuron projection arborization {GO:0140058}; outflow tract septum morphogenesis {GO:0003148}; positive regulation of lysosomal protein catabolic process {GO:1905167}; positive regulation of neurogenesis {GO:0050769}; positive regulation of oligodendrocyte progenitor proliferation {GO:0070447}; pulmonary artery morphogenesis {GO:0061156}; receptor-mediated endocytosis {GO:0006898}; retinoid metabolic process {GO:0001523}; secondary heart field specification {GO:0003139}; sensory perception of sound {GO:0007605}; vagina development {GO:0060068}; ventricular compact myocardium morphogenesis {GO:0003223}; ventricular septum development {GO:0003281}; vitamin D metabolic process {GO:0042359}</t>
  </si>
  <si>
    <t>apical plasma membrane {GO:0016324}; axon {GO:0030424}; brush border membrane {GO:0031526}; clathrin-coated pit {GO:0005905}; clathrin-coated vesicle membrane {GO:0030665}; dendrite {GO:0030425}; endocytic vesicle {GO:0030139}; endoplasmic reticulum {GO:0005783}; endosome lumen {GO:0031904}; external side of plasma membrane {GO:0009897}; extracellular exosome {GO:0070062}; Golgi apparatus {GO:0005794}; integral component of membrane {GO:0016021}; lysosomal membrane {GO:0005765}; lysosome {GO:0005764}; plasma membrane {GO:0005886}; receptor complex {GO:0043235}</t>
  </si>
  <si>
    <t>calcium ion binding {GO:0005509}; chaperone binding {GO:0051087}; drug binding {GO:0008144}; SH3 domain binding {GO:0017124}</t>
  </si>
  <si>
    <t>Vitamin D (calciferol) metabolism {R-HSA-196791}; Cargo recognition for clathrin-mediated endocytosis {R-HSA-8856825}; Clathrin-mediated endocytosis {R-HSA-8856828}; Retinoid metabolism and transport {R-HSA-975634}</t>
  </si>
  <si>
    <t>Insulin-like growth factor-binding protein 5 (IBP-5; IGF-binding protein 5; IGFBP-5)</t>
  </si>
  <si>
    <t>IBP5_HUMAN</t>
  </si>
  <si>
    <t>P24593</t>
  </si>
  <si>
    <t>Q5U0A3</t>
  </si>
  <si>
    <t>IBP5</t>
  </si>
  <si>
    <t>3D-structure; Disulfide bond; Glycoprotein; Growth factor binding; Phosphoprotein; Polymorphism; Secreted; Signal</t>
  </si>
  <si>
    <t>aging {GO:0007568}; cellular protein metabolic process {GO:0044267}; cellular response to cAMP {GO:0071320}; cellular response to organic cyclic compound {GO:0071407}; female pregnancy {GO:0007565}; glucose homeostasis {GO:0042593}; glucose metabolic process {GO:0006006}; hair follicle morphogenesis {GO:0031069}; intracellular signal transduction {GO:0035556}; lung alveolus development {GO:0048286}; mammary gland involution {GO:0060056}; negative regulation of cell migration {GO:0030336}; negative regulation of growth {GO:0045926}; negative regulation of insulin-like growth factor receptor signaling pathway {GO:0043569}; negative regulation of muscle tissue development {GO:1901862}; negative regulation of osteoblast differentiation {GO:0045668}; negative regulation of skeletal muscle hypertrophy {GO:1904205}; negative regulation of smooth muscle cell migration {GO:0014912}; negative regulation of smooth muscle cell proliferation {GO:0048662}; negative regulation of translation {GO:0017148}; osteoblast differentiation {GO:0001649}; positive regulation of insulin-like growth factor receptor signaling pathway {GO:0043568}; positive regulation of protein kinase B signaling {GO:0051897}; positive regulation of vascular associated smooth muscle cell migration {GO:1904754}; positive regulation of vascular smooth muscle cell proliferation {GO:1904707}; post-translational protein modification {GO:0043687}; regulation of cell growth {GO:0001558}; regulation of glucose metabolic process {GO:0010906}; regulation of insulin-like growth factor receptor signaling pathway {GO:0043567}; response to growth hormone {GO:0060416}; signal transduction {GO:0007165}; striated muscle cell differentiation {GO:0051146}; type B pancreatic cell proliferation {GO:0044342}</t>
  </si>
  <si>
    <t>endoplasmic reticulum lumen {GO:0005788}; extracellular region {GO:0005576}; extracellular space {GO:0005615}; insulin-like growth factor binding protein complex {GO:0016942}; insulin-like growth factor ternary complex {GO:0042567}</t>
  </si>
  <si>
    <t>fibronectin binding {GO:0001968}; insulin-like growth factor I binding {GO:0031994}; insulin-like growth factor II binding {GO:0031995}</t>
  </si>
  <si>
    <t>Unconventional myosin-Ib</t>
  </si>
  <si>
    <t>MYH-1c; Myosin I alpha (MMI-alpha; MMIa)</t>
  </si>
  <si>
    <t>MYO1B_HUMAN</t>
  </si>
  <si>
    <t>O43795</t>
  </si>
  <si>
    <t>O43794; Q7Z6L5</t>
  </si>
  <si>
    <t>Actin-binding; Alternative splicing; ATP-binding; Calmodulin-binding; Isopeptide bond; Motor protein; Myosin; Nucleotide-binding; Phosphoprotein; Polymorphism; Repeat; Ubl conjugation</t>
  </si>
  <si>
    <t>actin filament bundle assembly {GO:0051017}; actin filament organization {GO:0007015}; actin filament-based movement {GO:0030048}; post-Golgi vesicle-mediated transport {GO:0006892}</t>
  </si>
  <si>
    <t>actin filament {GO:0005884}; apical part of cell {GO:0045177}; brush border {GO:0005903}; cell periphery {GO:0071944}; cytoplasm {GO:0005737}; early endosome {GO:0005769}; endosome membrane {GO:0010008}; extracellular exosome {GO:0070062}; filopodium {GO:0030175}; myosin complex {GO:0016459}; perinuclear region of cytoplasm {GO:0048471}; plasma membrane {GO:0005886}</t>
  </si>
  <si>
    <t>actin filament binding {GO:0051015}; actin-dependent ATPase activity {GO:0030898}; ATP binding {GO:0005524}; cadherin binding {GO:0045296}; calmodulin binding {GO:0005516}; microfilament motor activity {GO:0000146}; phosphatidylinositol-3,4,5-trisphosphate binding {GO:0005547}; phosphatidylinositol-4,5-bisphosphate binding {GO:0005546}</t>
  </si>
  <si>
    <t>Heterogeneous nuclear ribonucleoprotein F, N-terminally processed</t>
  </si>
  <si>
    <t>Nucleolin-like protein mcs94-1</t>
  </si>
  <si>
    <t>HNRPF_HUMAN</t>
  </si>
  <si>
    <t>P52597</t>
  </si>
  <si>
    <t>B3KM84; Q5T0N2; Q96AU2</t>
  </si>
  <si>
    <t>HNRPF</t>
  </si>
  <si>
    <t>3D-structure; Acetylation; Isopeptide bond; mRNA processing; mRNA splicing; Nucleus; Phosphoprotein; Polymorphism; Repeat; Ribonucleoprotein; RNA-binding; Spliceosome; Ubl conjugation</t>
  </si>
  <si>
    <t>fibroblast growth factor receptor signaling pathway {GO:0008543}; interleukin-12-mediated signaling pathway {GO:0035722}; mRNA splicing, via spliceosome {GO:0000398}; regulation of RNA splicing {GO:0043484}; RNA metabolic process {GO:0016070}; RNA processing {GO:0006396}</t>
  </si>
  <si>
    <t>catalytic step 2 spliceosome {GO:0071013}; cytosol {GO:0005829}; membrane {GO:0016020}; nucleoplasm {GO:0005654}; nucleus {GO:0005634}; plasma membrane {GO:0005886}</t>
  </si>
  <si>
    <t>RNA binding {GO:0003723}; single-stranded RNA binding {GO:0003727}; TBP-class protein binding {GO:0017025}</t>
  </si>
  <si>
    <t>FGFR2 alternative splicing {R-HSA-6803529}; mRNA Splicing - Major Pathway {R-HSA-72163}; Processing of Capped Intron-Containing Pre-mRNA {R-HSA-72203}; Gene and protein expression by JAK-STAT signaling after Interleukin-12 stimulation {R-HSA-8950505}</t>
  </si>
  <si>
    <t>Acyl-CoA-binding protein (ACBP)</t>
  </si>
  <si>
    <t>Diazepam-binding inhibitor (DBI); Endozepine (EP)</t>
  </si>
  <si>
    <t>ACBP_HUMAN</t>
  </si>
  <si>
    <t>P07108</t>
  </si>
  <si>
    <t>B8ZWD2; B8ZWD6; B8ZWD7; P08869; Q4VWZ6; Q53SQ7; Q6IB48; Q9UCI8</t>
  </si>
  <si>
    <t>3D-structure; Acetylation; Alternative promoter usage; Alternative splicing; Endoplasmic reticulum; Golgi apparatus; Lipid-binding; Phosphoprotein; Polymorphism; Transport</t>
  </si>
  <si>
    <t>acyl-CoA metabolic process {GO:0006637}; phosphatidylcholine acyl-chain remodeling {GO:0036151}</t>
  </si>
  <si>
    <t>endoplasmic reticulum lumen {GO:0005788}; extracellular exosome {GO:0070062}; Golgi apparatus {GO:0005794}; perinuclear endoplasmic reticulum {GO:0097038}</t>
  </si>
  <si>
    <t>benzodiazepine receptor binding {GO:0030156}; lipid binding {GO:0008289}; long-chain fatty acyl-CoA binding {GO:0036042}; protein dimerization activity {GO:0046983}</t>
  </si>
  <si>
    <t>Elongation factor 1-beta (EF-1-beta)</t>
  </si>
  <si>
    <t>EF1B_HUMAN</t>
  </si>
  <si>
    <t>P24534</t>
  </si>
  <si>
    <t>A8K795; Q6IBH9</t>
  </si>
  <si>
    <t>EEF1B; EF1B</t>
  </si>
  <si>
    <t>3D-structure; Acetylation; Elongation factor; Isopeptide bond; Phosphoprotein; Protein biosynthesis; Ubl conjugation</t>
  </si>
  <si>
    <t>translational elongation {GO:0006414}</t>
  </si>
  <si>
    <t>cytoplasm {GO:0005737}; cytosol {GO:0005829}; eukaryotic translation elongation factor 1 complex {GO:0005853}</t>
  </si>
  <si>
    <t>guanyl-nucleotide exchange factor activity {GO:0005085}; translation elongation factor activity {GO:0003746}</t>
  </si>
  <si>
    <t>Manserin</t>
  </si>
  <si>
    <t>Chromogranin-C; Secretogranin II (SgII; SN)</t>
  </si>
  <si>
    <t>SCG2_HUMAN</t>
  </si>
  <si>
    <t>P13521</t>
  </si>
  <si>
    <t>B2R662; Q53T11; Q8TBH3</t>
  </si>
  <si>
    <t>CHGC</t>
  </si>
  <si>
    <t>Calcium; Cleavage on pair of basic residues; Glycoprotein; Phosphoprotein; Polymorphism; Secreted; Signal; Sulfation</t>
  </si>
  <si>
    <t>Cleavage on pair of basic residues; Glycoprotein; Phosphoprotein; Sulfation</t>
  </si>
  <si>
    <t>angiogenesis {GO:0001525}; cellular protein metabolic process {GO:0044267}; endothelial cell migration {GO:0043542}; eosinophil chemotaxis {GO:0048245}; induction of positive chemotaxis {GO:0050930}; inflammatory response {GO:0006954}; intracellular signal transduction {GO:0035556}; MAPK cascade {GO:0000165}; negative regulation of endothelial cell apoptotic process {GO:2000352}; negative regulation of endothelial cell proliferation {GO:0001937}; negative regulation of extrinsic apoptotic signaling pathway {GO:2001237}; positive chemotaxis {GO:0050918}; positive regulation of endothelial cell proliferation {GO:0001938}; post-translational protein modification {GO:0043687}; protein secretion {GO:0009306}</t>
  </si>
  <si>
    <t>endoplasmic reticulum lumen {GO:0005788}; extracellular space {GO:0005615}; neuronal dense core vesicle {GO:0098992}; secretory granule {GO:0030141}</t>
  </si>
  <si>
    <t>chemoattractant activity {GO:0042056}; cytokine activity {GO:0005125}</t>
  </si>
  <si>
    <t>Lymphocyte antigen 75 (Ly-75)</t>
  </si>
  <si>
    <t>C-type lectin domain family 13 member B; DEC-205; gp200-MR6; CD_antigen=CD205</t>
  </si>
  <si>
    <t>LY75_HUMAN</t>
  </si>
  <si>
    <t>O60449</t>
  </si>
  <si>
    <t>O75913; Q53R46; Q53TF5; Q7Z575; Q7Z577</t>
  </si>
  <si>
    <t>CD205; CLEC13B</t>
  </si>
  <si>
    <t>Alternative splicing; Disulfide bond; Endocytosis; Glycoprotein; Lectin; Membrane; Phosphoprotein; Polymorphism; Receptor; Repeat; Signal; Transmembrane; Transmembrane helix</t>
  </si>
  <si>
    <t>endocytosis {GO:0006897}; immune response {GO:0006955}; inflammatory response {GO:0006954}</t>
  </si>
  <si>
    <t>carbohydrate binding {GO:0030246}; signaling receptor activity {GO:0038023}; transmembrane signaling receptor activity {GO:0004888}</t>
  </si>
  <si>
    <t>Ephrin type-A receptor 4</t>
  </si>
  <si>
    <t>EPH-like kinase 8 (EK8; hEK8); Tyrosine-protein kinase TYRO1; Tyrosine-protein kinase receptor SEK</t>
  </si>
  <si>
    <t>EPHA4_HUMAN</t>
  </si>
  <si>
    <t>P54764</t>
  </si>
  <si>
    <t>A8K2P1; B2R601; B7Z6Q8; Q2M380</t>
  </si>
  <si>
    <t>HEK8; SEK; TYRO1</t>
  </si>
  <si>
    <t>3D-structure; Alternative splicing; ATP-binding; Cell adhesion; Cell junction; Cell membrane; Cell projection; Developmental protein; Endosome; Glycoprotein; Kinase; Membrane; Neurogenesis; Nucleotide-binding; Phosphoprotein; Polymorphism; Postsynaptic cell membrane; Receptor; Repeat; Signal; Synapse; Transferase; Transmembrane; Transmembrane helix; Tyrosine-protein kinase</t>
  </si>
  <si>
    <t>Cell junction; Cell membrane; Cell projection; Endosome; Membrane; Postsynaptic cell membrane; Synapse</t>
  </si>
  <si>
    <t>adult walking behavior {GO:0007628}; axon guidance {GO:0007411}; cell adhesion {GO:0007155}; cellular response to amyloid-beta {GO:1904646}; corticospinal tract morphogenesis {GO:0021957}; ephrin receptor signaling pathway {GO:0048013}; fasciculation of motor neuron axon {GO:0097156}; fasciculation of sensory neuron axon {GO:0097155}; glial cell migration {GO:0008347}; motor neuron axon guidance {GO:0008045}; negative regulation of axon regeneration {GO:0048681}; negative regulation of long-term synaptic potentiation {GO:1900272}; negative regulation of neuron projection development {GO:0010977}; negative regulation of proteolysis involved in cellular protein catabolic process {GO:1903051}; nephric duct morphogenesis {GO:0072178}; neuron projection fasciculation {GO:0106030}; neuron projection guidance {GO:0097485}; peptidyl-tyrosine phosphorylation {GO:0018108}; positive regulation of amyloid-beta formation {GO:1902004}; positive regulation of aspartic-type endopeptidase activity involved in amyloid precursor protein catabolic process {GO:1902961}; positive regulation of dendrite morphogenesis {GO:0050775}; positive regulation of JUN kinase activity {GO:0043507}; positive regulation of protein tyrosine kinase activity {GO:0061098}; positive regulation of Rho guanyl-nucleotide exchange factor activity {GO:2001108}; protein autophosphorylation {GO:0046777}; protein stabilization {GO:0050821}; regulation of astrocyte differentiation {GO:0048710}; regulation of axonogenesis {GO:0050770}; regulation of dendritic spine morphogenesis {GO:0061001}; regulation of GTPase activity {GO:0043087}; regulation of modification of synaptic structure {GO:1905244}; synapse pruning {GO:0098883}; transmembrane receptor protein tyrosine kinase signaling pathway {GO:0007169}</t>
  </si>
  <si>
    <t>axon {GO:0030424}; axon terminus {GO:0043679}; axonal growth cone {GO:0044295}; cell junction {GO:0030054}; cell surface {GO:0009986}; cytoplasm {GO:0005737}; dendrite {GO:0030425}; dendritic shaft {GO:0043198}; dendritic spine {GO:0043197}; early endosome membrane {GO:0031901}; endoplasmic reticulum {GO:0005783}; filopodium {GO:0030175}; glutamatergic synapse {GO:0098978}; Golgi apparatus {GO:0005794}; integral component of plasma membrane {GO:0005887}; integral component of postsynaptic membrane {GO:0099055}; integral component of presynaptic membrane {GO:0099056}; mitochondrial outer membrane {GO:0005741}; neuromuscular junction {GO:0031594}; neuron projection {GO:0043005}; perikaryon {GO:0043204}; plasma membrane {GO:0005886}; postsynaptic density {GO:0014069}; receptor complex {GO:0043235}; Schaffer collateral - CA1 synapse {GO:0098685}</t>
  </si>
  <si>
    <t>amyloid-beta binding {GO:0001540}; ATP binding {GO:0005524}; DH domain binding {GO:0097161}; ephrin receptor binding {GO:0046875}; GPI-linked ephrin receptor activity {GO:0005004}; identical protein binding {GO:0042802}; kinase activity {GO:0016301}; PH domain binding {GO:0042731}; protein kinase activity {GO:0004672}; protein tyrosine kinase binding {GO:1990782}; transmembrane receptor protein tyrosine kinase activity {GO:0004714}; transmembrane-ephrin receptor activity {GO:0005005}</t>
  </si>
  <si>
    <t>Villin-1</t>
  </si>
  <si>
    <t>VILI_HUMAN</t>
  </si>
  <si>
    <t>P09327</t>
  </si>
  <si>
    <t>B2R9A7; Q53S11; Q96AC8</t>
  </si>
  <si>
    <t>VIL</t>
  </si>
  <si>
    <t>3D-structure; Actin capping; Actin-binding; Alternative splicing; Apoptosis; Calcium; Cell projection; Cytoplasm; Cytoskeleton; Phosphoprotein; Polymorphism; Repeat</t>
  </si>
  <si>
    <t>actin filament capping {GO:0051693}; actin filament depolymerization {GO:0030042}; actin filament polymerization {GO:0030041}; actin filament severing {GO:0051014}; actin nucleation {GO:0045010}; barbed-end actin filament capping {GO:0051016}; cellular response to epidermal growth factor stimulus {GO:0071364}; cellular response to hepatocyte growth factor stimulus {GO:0035729}; cytoplasmic actin-based contraction involved in cell motility {GO:0060327}; epidermal growth factor receptor signaling pathway {GO:0007173}; epithelial cell differentiation {GO:0030855}; intestinal D-glucose absorption {GO:0001951}; positive regulation of actin filament bundle assembly {GO:0032233}; positive regulation of actin filament depolymerization {GO:0030836}; positive regulation of cell migration {GO:0030335}; positive regulation of epithelial cell migration {GO:0010634}; positive regulation of lamellipodium morphogenesis {GO:2000394}; positive regulation of multicellular organism growth {GO:0040018}; positive regulation of protein localization to plasma membrane {GO:1903078}; protein-containing complex assembly {GO:0065003}; regulation of actin nucleation {GO:0051125}; regulation of cell shape {GO:0008360}; regulation of lamellipodium morphogenesis {GO:2000392}; regulation of microvillus length {GO:0032532}; regulation of wound healing {GO:0061041}; response to bacterium {GO:0009617}; terminal web assembly {GO:1902896}</t>
  </si>
  <si>
    <t>actin filament bundle {GO:0032432}; brush border {GO:0005903}; cytoplasm {GO:0005737}; extracellular exosome {GO:0070062}; filopodium {GO:0030175}; filopodium tip {GO:0032433}; lamellipodium {GO:0030027}; microvillus {GO:0005902}; plasma membrane {GO:0005886}; ruffle {GO:0001726}</t>
  </si>
  <si>
    <t>actin filament binding {GO:0051015}; calcium ion binding {GO:0005509}; cysteine-type endopeptidase inhibitor activity involved in apoptotic process {GO:0043027}; identical protein binding {GO:0042802}; lysophosphatidic acid binding {GO:0035727}; phosphatidylinositol-4,5-bisphosphate binding {GO:0005546}; protein homodimerization activity {GO:0042803}</t>
  </si>
  <si>
    <t>Cordon-bleu protein-like 1</t>
  </si>
  <si>
    <t>COBL1_HUMAN</t>
  </si>
  <si>
    <t>Q53SF7</t>
  </si>
  <si>
    <t>A6NMZ3; Q6IQ33; Q7Z3I6; Q9BRH4; Q9UG88; Q9Y2I3</t>
  </si>
  <si>
    <t>KIAA0977</t>
  </si>
  <si>
    <t>3D-structure; Alternative splicing; Phosphoprotein; Repeat</t>
  </si>
  <si>
    <t>actin monomer binding {GO:0003785}; cadherin binding {GO:0045296}</t>
  </si>
  <si>
    <t>SDF-1-alpha(3-67)</t>
  </si>
  <si>
    <t>C-X-C motif chemokine 12; Intercrine reduced in hepatomas (IRH; hIRH); Pre-B cell growth-stimulating factor (PBSF)</t>
  </si>
  <si>
    <t>SDF1_HUMAN</t>
  </si>
  <si>
    <t>P48061</t>
  </si>
  <si>
    <t>B2R4G0; E7EVL0; H7BYN8; Q2L985; Q2L986; Q2L988; Q5IT36; Q6ICW0; Q9H554</t>
  </si>
  <si>
    <t>SDF1; SDF1A; SDF1B</t>
  </si>
  <si>
    <t>3D-structure; Alternative splicing; Chemotaxis; Cytokine; Disulfide bond; Growth factor; Host-virus interaction; Secreted; Signal</t>
  </si>
  <si>
    <t>Chemotaxis; Host-virus interaction</t>
  </si>
  <si>
    <t>adult locomotory behavior {GO:0008344}; animal organ regeneration {GO:0031100}; antimicrobial humoral immune response mediated by antimicrobial peptide {GO:0061844}; axon guidance {GO:0007411}; blood circulation {GO:0008015}; cell adhesion {GO:0007155}; cell chemotaxis {GO:0060326}; cellular calcium ion homeostasis {GO:0006874}; cellular response to chemokine {GO:1990869}; chemokine (C-X-C motif) ligand 12 signaling pathway {GO:0038146}; chemokine-mediated signaling pathway {GO:0070098}; chemotaxis {GO:0006935}; defense response {GO:0006952}; detection of mechanical stimulus involved in sensory perception of pain {GO:0050966}; detection of temperature stimulus involved in sensory perception of pain {GO:0050965}; G protein-coupled receptor signaling pathway {GO:0007186}; immune response {GO:0006955}; induction of positive chemotaxis {GO:0050930}; integrin activation {GO:0033622}; killing of cells of other organism {GO:0031640}; negative regulation of dendritic cell apoptotic process {GO:2000669}; negative regulation of intrinsic apoptotic signaling pathway in response to DNA damage {GO:1902230}; negative regulation of leukocyte tethering or rolling {GO:1903237}; neuron migration {GO:0001764}; positive regulation of axon extension involved in axon guidance {GO:0048842}; positive regulation of calcium ion import {GO:0090280}; positive regulation of cell adhesion {GO:0045785}; positive regulation of cell migration {GO:0030335}; positive regulation of dopamine secretion {GO:0033603}; positive regulation of endothelial cell proliferation {GO:0001938}; positive regulation of monocyte chemotaxis {GO:0090026}; positive regulation of T cell migration {GO:2000406}; regulation of actin polymerization or depolymerization {GO:0008064}; response to heat {GO:0009408}; response to hypoxia {GO:0001666}; response to peptide hormone {GO:0043434}; response to radiation {GO:0009314}; response to ultrasound {GO:1990478}; response to virus {GO:0009615}; signal transduction {GO:0007165}; T cell chemotaxis {GO:0010818}; telencephalon cell migration {GO:0022029}; viral process {GO:0016032}</t>
  </si>
  <si>
    <t>collagen-containing extracellular matrix {GO:0062023}; cytoplasm {GO:0005737}; external side of plasma membrane {GO:0009897}; extracellular exosome {GO:0070062}; extracellular region {GO:0005576}; nucleus {GO:0005634}</t>
  </si>
  <si>
    <t>chemokine activity {GO:0008009}; chemokine receptor binding {GO:0042379}; CXCR chemokine receptor binding {GO:0045236}; growth factor activity {GO:0008083}; integrin binding {GO:0005178}; signaling receptor binding {GO:0005102}</t>
  </si>
  <si>
    <t>Nuclear signaling by ERBB4 {R-HSA-1251985}; Signaling by ROBO receptors {R-HSA-376176}; Chemokine receptors bind chemokines {R-HSA-380108}; G alpha (i) signalling events {R-HSA-418594}; Estrogen-dependent gene expression {R-HSA-9018519}</t>
  </si>
  <si>
    <t>Bifunctional purine biosynthesis protein PURH, N-terminally processed</t>
  </si>
  <si>
    <t>5-aminoimidazole-4-carboxamide ribonucleotide formyltransferase; AICAR transformylase; ATIC; IMP synthase; Inosinicase</t>
  </si>
  <si>
    <t>PUR9_HUMAN</t>
  </si>
  <si>
    <t>P31939</t>
  </si>
  <si>
    <t>A8K202; E9PBU3; Q13856; Q53S28</t>
  </si>
  <si>
    <t>PURH</t>
  </si>
  <si>
    <t>3D-structure; Acetylation; Alternative splicing; Disease mutation; Epilepsy; Hydrolase; Multifunctional enzyme; Polymorphism; Purine biosynthesis; Transferase</t>
  </si>
  <si>
    <t>Purine biosynthesis</t>
  </si>
  <si>
    <t>Hydrolase; Multifunctional enzyme; Transferase</t>
  </si>
  <si>
    <t>'de novo' IMP biosynthetic process {GO:0006189}; animal organ regeneration {GO:0031100}; brainstem development {GO:0003360}; cellular response to interleukin-7 {GO:0098761}; cerebellum development {GO:0021549}; cerebral cortex development {GO:0021987}; dihydrofolate metabolic process {GO:0046452}; nucleobase-containing compound metabolic process {GO:0006139}; nucleoside metabolic process {GO:0009116}; purine ribonucleoside monophosphate biosynthetic process {GO:0009168}; response to inorganic substance {GO:0010035}; tetrahydrofolate biosynthetic process {GO:0046654}</t>
  </si>
  <si>
    <t>cytosol {GO:0005829}; extracellular exosome {GO:0070062}; membrane {GO:0016020}; plasma membrane {GO:0005886}</t>
  </si>
  <si>
    <t>cadherin binding {GO:0045296}; IMP cyclohydrolase activity {GO:0003937}; phosphoribosylaminoimidazolecarboxamide formyltransferase activity {GO:0004643}; protein homodimerization activity {GO:0042803}</t>
  </si>
  <si>
    <t>Purine metabolism; IMP biosynthesis via de novo pathway; IMP from 5-formamido-1-(5-phospho-D-ribosyl)imidazole-4- carboxamide: step 1/1.</t>
  </si>
  <si>
    <t>Purine ribonucleoside monophosphate biosynthesis {R-HSA-73817}</t>
  </si>
  <si>
    <t>Glycerol-3-phosphate dehydrogenase, mitochondrial (GPD-M; GPDH-M)</t>
  </si>
  <si>
    <t>mtGPD</t>
  </si>
  <si>
    <t>GPDM_HUMAN</t>
  </si>
  <si>
    <t>P43304</t>
  </si>
  <si>
    <t>A8K4V0; B3KSA9; Q59FR1; Q9HAP9</t>
  </si>
  <si>
    <t>Alternative splicing; Calcium; FAD; Flavoprotein; Metal-binding; Mitochondrion; Oxidoreductase; Phosphoprotein; Polymorphism; Repeat; Transit peptide</t>
  </si>
  <si>
    <t>Repeat; Transit peptide</t>
  </si>
  <si>
    <t>Calcium; FAD; Flavoprotein; Metal-binding</t>
  </si>
  <si>
    <t>camera-type eye development {GO:0043010}; gluconeogenesis {GO:0006094}; glycerol catabolic process {GO:0019563}; glycerol-3-phosphate catabolic process {GO:0046168}; glycerophosphate shuttle {GO:0006127}; multicellular organism growth {GO:0035264}</t>
  </si>
  <si>
    <t>glycerol-3-phosphate dehydrogenase complex {GO:0009331}; mitochondrial inner membrane {GO:0005743}; mitochondrion {GO:0005739}</t>
  </si>
  <si>
    <t>calcium ion binding {GO:0005509}; glycerol-3-phosphate dehydrogenase (quinone) activity {GO:0004368}; glycerol-3-phosphate dehydrogenase [NAD+] activity {GO:0004367}; sn-glycerol-3-phosphate:ubiquinone-8 oxidoreductase activity {GO:0052591}</t>
  </si>
  <si>
    <t>Polyol metabolism; glycerol degradation via glycerol kinase pathway; glycerone phosphate from sn-glycerol 3-phosphate (anaerobic route): step 1/1.</t>
  </si>
  <si>
    <t>Synthesis of PA {R-HSA-1483166}; Triglyceride catabolism {R-HSA-163560}</t>
  </si>
  <si>
    <t>Ubiquitin-fold modifier 1</t>
  </si>
  <si>
    <t>UFM1_HUMAN</t>
  </si>
  <si>
    <t>P61960</t>
  </si>
  <si>
    <t>Q14346; Q5VXS0; Q6IAG6; Q9CPX2; Q9NZF2</t>
  </si>
  <si>
    <t>C13orf20</t>
  </si>
  <si>
    <t>3D-structure; Alternative splicing; Cytoplasm; Disease mutation; Isopeptide bond; Leukodystrophy; Nucleus; Ubl conjugation; Ubl conjugation pathway</t>
  </si>
  <si>
    <t>Disease mutation; Leukodystrophy</t>
  </si>
  <si>
    <t>brain development {GO:0007420}; negative regulation of apoptotic process {GO:0043066}; protein K69-linked ufmylation {GO:1990592}; protein ufmylation {GO:0071569}; regulation of intracellular estrogen receptor signaling pathway {GO:0033146}; response to endoplasmic reticulum stress {GO:0034976}</t>
  </si>
  <si>
    <t>cytoplasm {GO:0005737}; endoplasmic reticulum {GO:0005783}; nucleus {GO:0005634}</t>
  </si>
  <si>
    <t>NADH-ubiquinone oxidoreductase 75 kDa subunit, mitochondrial</t>
  </si>
  <si>
    <t>Complex I-75kD (CI-75kD)</t>
  </si>
  <si>
    <t>NDUS1_HUMAN</t>
  </si>
  <si>
    <t>P28331</t>
  </si>
  <si>
    <t>B4DIN9; B4DJA0; B4DPG1; B4DUC1; E7ENF3; Q53TR8; Q8N1C4; Q8TCC9</t>
  </si>
  <si>
    <t>2Fe-2S; 3D-structure; 4Fe-4S; Acetylation; Alternative splicing; Disease mutation; Electron transport; Iron; Iron-sulfur; Membrane; Metal-binding; Mitochondrion; Mitochondrion inner membrane; NAD; Oxidoreductase; Polymorphism; Primary mitochondrial disease; Respiratory chain; Transit peptide; Translocase; Transport; Ubiquinone</t>
  </si>
  <si>
    <t>2Fe-2S; 4Fe-4S; Iron; Iron-sulfur; Metal-binding; NAD; Ubiquinone</t>
  </si>
  <si>
    <t>Oxidoreductase; Translocase</t>
  </si>
  <si>
    <t>apoptotic mitochondrial changes {GO:0008637}; ATP metabolic process {GO:0046034}; cellular respiration {GO:0045333}; mitochondrial electron transport, NADH to ubiquinone {GO:0006120}; mitochondrial respiratory chain complex I assembly {GO:0032981}; reactive oxygen species metabolic process {GO:0072593}; regulation of mitochondrial membrane potential {GO:0051881}</t>
  </si>
  <si>
    <t>mitochondrial intermembrane space {GO:0005758}; mitochondrial matrix {GO:0005759}; mitochondrial respiratory chain complex I {GO:0005747}; mitochondrion {GO:0005739}; plasma membrane respiratory chain complex I {GO:0045272}</t>
  </si>
  <si>
    <t>2 iron, 2 sulfur cluster binding {GO:0051537}; 4 iron, 4 sulfur cluster binding {GO:0051539}; electron transfer activity {GO:0009055}; metal ion binding {GO:0046872}; NADH dehydrogenase (ubiquinone) activity {GO:0008137}</t>
  </si>
  <si>
    <t>Ephrin-B2</t>
  </si>
  <si>
    <t>EPH-related receptor tyrosine kinase ligand 5 (LERK-5); HTK ligand (HTK-L)</t>
  </si>
  <si>
    <t>EFNB2_HUMAN</t>
  </si>
  <si>
    <t>P52799</t>
  </si>
  <si>
    <t>Q5JV56</t>
  </si>
  <si>
    <t>EPLG5; HTKL; LERK5</t>
  </si>
  <si>
    <t>3D-structure; Angiogenesis; Cell membrane; Developmental protein; Differentiation; Disulfide bond; Glycoprotein; Host cell receptor for virus entry; Host-virus interaction; Membrane; Methylation; Neurogenesis; Phosphoprotein; Receptor; Signal; Transmembrane; Transmembrane helix</t>
  </si>
  <si>
    <t>Angiogenesis; Differentiation; Host-virus interaction; Neurogenesis</t>
  </si>
  <si>
    <t>Developmental protein; Host cell receptor for virus entry; Receptor</t>
  </si>
  <si>
    <t>anatomical structure morphogenesis {GO:0009653}; animal organ morphogenesis {GO:0009887}; axon guidance {GO:0007411}; blood vessel morphogenesis {GO:0048514}; cell adhesion {GO:0007155}; cell migration involved in sprouting angiogenesis {GO:0002042}; cell-cell signaling {GO:0007267}; ephrin receptor signaling pathway {GO:0048013}; lymph vessel development {GO:0001945}; negative regulation of keratinocyte proliferation {GO:0010839}; negative regulation of neuron projection development {GO:0010977}; nephric duct morphogenesis {GO:0072178}; positive regulation of aorta morphogenesis {GO:1903849}; positive regulation of cardiac muscle cell differentiation {GO:2000727}; positive regulation of cell population proliferation {GO:0008284}; positive regulation of neuron death {GO:1901216}; presynapse assembly {GO:0099054}; regulation of chemotaxis {GO:0050920}; regulation of postsynaptic membrane neurotransmitter receptor levels {GO:0099072}; regulation of postsynaptic neurotransmitter receptor internalization {GO:0099149}; T cell costimulation {GO:0031295}; venous blood vessel morphogenesis {GO:0048845}</t>
  </si>
  <si>
    <t>focal adhesion {GO:0005925}; glutamatergic synapse {GO:0098978}; integral component of plasma membrane {GO:0005887}; integral component of postsynaptic density membrane {GO:0099061}; integral component of presynaptic membrane {GO:0099056}; plasma membrane {GO:0005886}; Schaffer collateral - CA1 synapse {GO:0098685}</t>
  </si>
  <si>
    <t>ephrin receptor binding {GO:0046875}; virus receptor activity {GO:0001618}</t>
  </si>
  <si>
    <t>Small ubiquitin-related modifier 1 (SUMO-1)</t>
  </si>
  <si>
    <t>GAP-modifying protein 1 (GMP1); SMT3 homolog 3; Sentrin; Ubiquitin-homology domain protein PIC1; Ubiquitin-like protein SMT3C (Smt3C); Ubiquitin-like protein UBL1</t>
  </si>
  <si>
    <t>SUMO1_HUMAN</t>
  </si>
  <si>
    <t>P63165</t>
  </si>
  <si>
    <t>A8MUS8; B2R4I5; P55856; Q6FGG0; Q6NZ62; Q93068</t>
  </si>
  <si>
    <t>SMT3C; SMT3H3; UBL1</t>
  </si>
  <si>
    <t>3D-structure; Acetylation; Alternative splicing; Cell membrane; Chromosomal rearrangement; Cytoplasm; Host-virus interaction; Isopeptide bond; Membrane; Nucleus; Phosphoprotein; Ubl conjugation; Ubl conjugation pathway</t>
  </si>
  <si>
    <t>cellular response to cadmium ion {GO:0071276}; cellular response to heat {GO:0034605}; DNA repair {GO:0006281}; double-strand break repair via nonhomologous end joining {GO:0006303}; negative regulation of action potential {GO:0045759}; negative regulation of delayed rectifier potassium channel activity {GO:1902260}; negative regulation of DNA binding {GO:0043392}; negative regulation of DNA-binding transcription factor activity {GO:0043433}; negative regulation of transcription by RNA polymerase II {GO:0000122}; negative regulation of transcription, DNA-templated {GO:0045892}; PML body organization {GO:0030578}; positive regulation of calcium-transporting ATPase activity {GO:1901896}; positive regulation of proteasomal ubiquitin-dependent protein catabolic process {GO:0032436}; positive regulation of protein complex assembly {GO:0031334}; protein localization to nuclear pore {GO:0090204}; protein stabilization {GO:0050821}; protein sumoylation {GO:0016925}; regulation of cardiac muscle cell contraction {GO:0086004}; regulation of interferon-gamma-mediated signaling pathway {GO:0060334}; regulation of protein localization {GO:0032880}; roof of mouth development {GO:0060021}; viral process {GO:0016032}</t>
  </si>
  <si>
    <t>cytosol {GO:0005829}; nuclear body {GO:0016604}; nuclear envelope {GO:0005635}; nuclear membrane {GO:0031965}; nuclear pore {GO:0005643}; nuclear speck {GO:0016607}; nuclear stress granule {GO:0097165}; nucleolus {GO:0005730}; nucleoplasm {GO:0005654}; nucleus {GO:0005634}; plasma membrane {GO:0005886}; PML body {GO:0016605}; SUMO activating enzyme complex {GO:0031510}; XY body {GO:0001741}</t>
  </si>
  <si>
    <t>enzyme binding {GO:0019899}; glucocorticoid receptor binding {GO:0035259}; potassium channel regulator activity {GO:0015459}; protein binding, bridging {GO:0030674}; protein C-terminus binding {GO:0008022}; protein tag {GO:0031386}; RNA binding {GO:0003723}; small protein activating enzyme binding {GO:0044388}; transcription corepressor binding {GO:0001222}; transcription factor binding {GO:0008134}; ubiquitin protein ligase binding {GO:0031625}; ubiquitin-like protein ligase binding {GO:0044389}</t>
  </si>
  <si>
    <t>SUMO is conjugated to E1 (UBA2:SAE1) {R-HSA-3065676}; SUMO is transferred from E1 to E2 (UBE2I, UBC9) {R-HSA-3065678}; SUMO is proteolytically processed {R-HSA-3065679}; SUMOylation of DNA damage response and repair proteins {R-HSA-3108214}; SUMOylation of transcription factors {R-HSA-3232118}; SUMOylation of ubiquitinylation proteins {R-HSA-3232142}; SUMOylation of transcription cofactors {R-HSA-3899300}; SUMOylation of SUMOylation proteins {R-HSA-4085377}; SUMOylation of intracellular receptors {R-HSA-4090294}; SUMOylation of chromatin organization proteins {R-HSA-4551638}; SUMOylation of RNA binding proteins {R-HSA-4570464}; SUMOylation of DNA replication proteins {R-HSA-4615885}; SUMOylation of DNA methylation proteins {R-HSA-4655427}; SUMOylation of immune response proteins {R-HSA-4755510}; Recruitment and ATM-mediated phosphorylation of repair and signaling proteins at DNA double strand breaks {R-HSA-5693565}; Nonhomologous End-Joining (NHEJ) {R-HSA-5693571}; Processing of DNA double-strand break ends {R-HSA-5693607}; Formation of Incision Complex in GG-NER {R-HSA-5696395}; G2/M DNA damage checkpoint {R-HSA-69473}; Regulation of IFNG signaling {R-HSA-877312}; Negative regulation of activity of TFAP2 (AP-2) family transcription factors {R-HSA-8866904}</t>
  </si>
  <si>
    <t>Tubulin-specific chaperone E</t>
  </si>
  <si>
    <t>Tubulin-folding cofactor E</t>
  </si>
  <si>
    <t>TBCE_HUMAN</t>
  </si>
  <si>
    <t>Q15813</t>
  </si>
  <si>
    <t>A8K8C2; B7Z3P1</t>
  </si>
  <si>
    <t>3D-structure; Acetylation; Alternative splicing; Chaperone; Cytoplasm; Cytoskeleton; Disease mutation; Dwarfism; Leucine-rich repeat; Mental retardation; Neurodegeneration; Phosphoprotein; Polymorphism; Repeat</t>
  </si>
  <si>
    <t>Disease mutation; Dwarfism; Mental retardation; Neurodegeneration</t>
  </si>
  <si>
    <t>microtubule cytoskeleton organization {GO:0000226}; mitotic spindle organization {GO:0007052}; post-chaperonin tubulin folding pathway {GO:0007023}; protein folding {GO:0006457}; tubulin complex assembly {GO:0007021}</t>
  </si>
  <si>
    <t>cytoplasm {GO:0005737}; microtubule {GO:0005874}</t>
  </si>
  <si>
    <t>alpha-tubulin binding {GO:0043014}; chaperone binding {GO:0051087}</t>
  </si>
  <si>
    <t>Post-chaperonin tubulin folding pathway {R-HSA-389977}</t>
  </si>
  <si>
    <t>Transmembrane 9 superfamily member 2</t>
  </si>
  <si>
    <t>p76</t>
  </si>
  <si>
    <t>TM9S2_HUMAN</t>
  </si>
  <si>
    <t>Q99805</t>
  </si>
  <si>
    <t>A8K399; Q2TAY5</t>
  </si>
  <si>
    <t>Endosome; Membrane; Signal; Transmembrane; Transmembrane helix</t>
  </si>
  <si>
    <t>protein localization to membrane {GO:0072657}</t>
  </si>
  <si>
    <t>endosome {GO:0005768}; endosome membrane {GO:0010008}; extracellular exosome {GO:0070062}; integral component of plasma membrane {GO:0005887}; membrane {GO:0016020}</t>
  </si>
  <si>
    <t>Lambda-crystallin homolog</t>
  </si>
  <si>
    <t>L-gulonate 3-dehydrogenase (Gul3DH)</t>
  </si>
  <si>
    <t>CRYL1_HUMAN</t>
  </si>
  <si>
    <t>Q9Y2S2</t>
  </si>
  <si>
    <t>A0PJ43; B3KN92; Q0VDI1; Q7Z4Z9; Q9P0G7</t>
  </si>
  <si>
    <t>CRY</t>
  </si>
  <si>
    <t>3D-structure; Acetylation; Alternative splicing; Cytoplasm; NAD; Oxidoreductase; Phosphoprotein</t>
  </si>
  <si>
    <t>fatty acid metabolic process {GO:0006631}; glucuronate catabolic process to xylulose 5-phosphate {GO:0019640}</t>
  </si>
  <si>
    <t>3-hydroxyacyl-CoA dehydrogenase activity {GO:0003857}; L-gulonate 3-dehydrogenase activity {GO:0050104}; NAD+ binding {GO:0070403}; protein homodimerization activity {GO:0042803}</t>
  </si>
  <si>
    <t>Carboxypeptidase B2</t>
  </si>
  <si>
    <t>Carboxypeptidase U (CPU); Plasma carboxypeptidase B (pCPB); Thrombin-activable fibrinolysis inhibitor (TAFI)</t>
  </si>
  <si>
    <t>CBPB2_HUMAN</t>
  </si>
  <si>
    <t>Q96IY4</t>
  </si>
  <si>
    <t>A8K464; Q15114; Q5T9K1; Q5T9K2; Q9P2Y6</t>
  </si>
  <si>
    <t>3D-structure; Alternative splicing; Blood coagulation; Carboxypeptidase; Disulfide bond; Fibrinolysis; Glycoprotein; Hemostasis; Hydrolase; Metal-binding; Metalloprotease; Polymorphism; Protease; Secreted; Signal; Zinc; Zymogen</t>
  </si>
  <si>
    <t>blood coagulation {GO:0007596}; cellular response to glucose stimulus {GO:0071333}; fibrinolysis {GO:0042730}; liver regeneration {GO:0097421}; negative regulation of fibrinolysis {GO:0051918}; negative regulation of hepatocyte proliferation {GO:2000346}; negative regulation of plasminogen activation {GO:0010757}; positive regulation of extracellular matrix constituent secretion {GO:0003331}; proteolysis {GO:0006508}; regulation of complement activation {GO:0030449}; response to drug {GO:0042493}; response to heat {GO:0009408}</t>
  </si>
  <si>
    <t>cell {GO:0005623}; extracellular exosome {GO:0070062}; extracellular region {GO:0005576}; extracellular space {GO:0005615}</t>
  </si>
  <si>
    <t>Metabolism of Angiotensinogen to Angiotensins {R-HSA-2022377}; Regulation of Complement cascade {R-HSA-977606}</t>
  </si>
  <si>
    <t>High mobility group protein B1</t>
  </si>
  <si>
    <t>High mobility group protein 1 (HMG-1)</t>
  </si>
  <si>
    <t>HMGB1_HUMAN</t>
  </si>
  <si>
    <t>P09429</t>
  </si>
  <si>
    <t>A5D8W9; Q14321; Q5T7C3; Q6IBE1</t>
  </si>
  <si>
    <t>HMG1</t>
  </si>
  <si>
    <t>3D-structure; Acetylation; Adaptive immunity; ADP-ribosylation; Autophagy; Cell membrane; Chemotaxis; Chromosome; Cytoplasm; Disulfide bond; DNA damage; DNA recombination; DNA repair; DNA-binding; Endosome; Immunity; Inflammatory response; Innate immunity; Membrane; Nucleus; Oxidation; Phosphoprotein; Polymorphism; Repeat; Secreted</t>
  </si>
  <si>
    <t>Adaptive immunity; Autophagy; Chemotaxis; DNA damage; DNA recombination; DNA repair; Immunity; Inflammatory response; Innate immunity</t>
  </si>
  <si>
    <t>Cell membrane; Chromosome; Cytoplasm; Endosome; Membrane; Nucleus; Secreted</t>
  </si>
  <si>
    <t>ADP-ribosylation; Acetylation; Disulfide bond; Oxidation; Phosphoprotein</t>
  </si>
  <si>
    <t>activation of innate immune response {GO:0002218}; apoptotic cell clearance {GO:0043277}; apoptotic DNA fragmentation {GO:0006309}; autophagy {GO:0006914}; cell chemotaxis {GO:0060326}; cellular response to lipopolysaccharide {GO:0071222}; chromatin remodeling {GO:0006338}; chromatin silencing {GO:0006342}; dendritic cell chemotaxis {GO:0002407}; developmental process {GO:0032502}; DNA geometric change {GO:0032392}; DNA ligation involved in DNA repair {GO:0051103}; DNA recombination {GO:0006310}; DNA topological change {GO:0006265}; inflammatory response {GO:0006954}; inflammatory response to antigenic stimulus {GO:0002437}; innate immune response {GO:0045087}; myeloid dendritic cell activation {GO:0001773}; negative regulation of apoptotic cell clearance {GO:2000426}; negative regulation of blood vessel endothelial cell migration {GO:0043537}; negative regulation of CD4-positive, alpha-beta T cell differentiation {GO:0043371}; negative regulation of interferon-gamma production {GO:0032689}; negative regulation of RNA polymerase II transcriptional preinitiation complex assembly {GO:0017055}; negative regulation of transcription by RNA polymerase II {GO:0000122}; neuron projection development {GO:0031175}; neutrophil clearance {GO:0097350}; neutrophil degranulation {GO:0043312}; positive regulation of activated T cell proliferation {GO:0042104}; positive regulation of apoptotic process {GO:0043065}; positive regulation of autophagy {GO:0010508}; positive regulation of blood vessel endothelial cell migration {GO:0043536}; positive regulation of cysteine-type endopeptidase activity involved in apoptotic process {GO:0043280}; positive regulation of cytosolic calcium ion concentration {GO:0007204}; positive regulation of dendritic cell differentiation {GO:2001200}; positive regulation of DNA binding {GO:0043388}; positive regulation of DNA ligation {GO:0051106}; positive regulation of ERK1 and ERK2 cascade {GO:0070374}; positive regulation of innate immune response {GO:0045089}; positive regulation of interferon-alpha secretion {GO:1902741}; positive regulation of interleukin-1 beta secretion {GO:0050718}; positive regulation of interleukin-1 secretion {GO:0050716}; positive regulation of interleukin-10 production {GO:0032733}; positive regulation of interleukin-12 production {GO:0032735}; positive regulation of interleukin-6 production {GO:0032755}; positive regulation of interleukin-6 secretion {GO:2000778}; positive regulation of JNK cascade {GO:0046330}; positive regulation of MAPK cascade {GO:0043410}; positive regulation of mismatch repair {GO:0032425}; positive regulation of monocyte chemotaxis {GO:0090026}; positive regulation of NIK/NF-kappaB signaling {GO:1901224}; positive regulation of toll-like receptor 9 signaling pathway {GO:0034165}; positive regulation of transcription by RNA polymerase II {GO:0045944}; positive regulation of tumor necrosis factor production {GO:0032760}; positive regulation of vascular endothelial cell proliferation {GO:1905564}; regulation of autophagy {GO:0010506}; regulation of restriction endodeoxyribonuclease activity {GO:0032072}; regulation of signaling receptor activity {GO:0010469}; regulation of T cell mediated immune response to tumor cell {GO:0002840}; regulation of tolerance induction {GO:0002643}; regulation of transcription by RNA polymerase II {GO:0006357}; T-helper 1 cell activation {GO:0035711}; T-helper 1 cell differentiation {GO:0045063}; toll-like receptor signaling pathway {GO:0002224}; tumor necrosis factor secretion {GO:1990774}; V(D)J recombination {GO:0033151}</t>
  </si>
  <si>
    <t>alphav-beta3 integrin-HMGB1 complex {GO:0035868}; cell surface {GO:0009986}; condensed chromosome {GO:0000793}; cytoplasm {GO:0005737}; endoplasmic reticulum-Golgi intermediate compartment {GO:0005793}; endosome {GO:0005768}; extracellular region {GO:0005576}; extracellular space {GO:0005615}; ficolin-1-rich granule lumen {GO:1904813}; nuclear chromatin {GO:0000790}; nucleoplasm {GO:0005654}; nucleus {GO:0005634}; secretory granule lumen {GO:0034774}; transcriptional repressor complex {GO:0017053}</t>
  </si>
  <si>
    <t>bubble DNA binding {GO:0000405}; C-X-C chemokine binding {GO:0019958}; chemoattractant activity {GO:0042056}; cytokine activity {GO:0005125}; damaged DNA binding {GO:0003684}; DNA binding, bending {GO:0008301}; DNA polymerase binding {GO:0070182}; double-stranded DNA binding {GO:0003690}; four-way junction DNA binding {GO:0000400}; integrin binding {GO:0005178}; lipopolysaccharide binding {GO:0001530}; lyase activity {GO:0016829}; phosphatidylserine binding {GO:0001786}; RAGE receptor binding {GO:0050786}; repressing transcription factor binding {GO:0070491}; RNA binding {GO:0003723}; single-stranded DNA binding {GO:0003697}; supercoiled DNA binding {GO:0097100}; transcription coactivator activity {GO:0003713}; transcription factor binding {GO:0008134}; transcription regulatory region DNA binding {GO:0044212}</t>
  </si>
  <si>
    <t>Apoptosis induced DNA fragmentation {R-HSA-140342}; TAK1 activates NFkB by phosphorylation and activation of IKKs complex {R-HSA-445989}; Regulation of TLR by endogenous ligand {R-HSA-5686938}; Neutrophil degranulation {R-HSA-6798695}; Advanced glycosylation endproduct receptor signaling {R-HSA-879415}; TRAF6 mediated NF-kB activation {R-HSA-933542}</t>
  </si>
  <si>
    <t>Secreted phosphoprotein 24 (Spp-24)</t>
  </si>
  <si>
    <t>Secreted phosphoprotein 2</t>
  </si>
  <si>
    <t>SPP24_HUMAN</t>
  </si>
  <si>
    <t>Q13103</t>
  </si>
  <si>
    <t>A4QMV3; Q3B892; Q546M5</t>
  </si>
  <si>
    <t>SPP24</t>
  </si>
  <si>
    <t>Disulfide bond; Phosphoprotein; Polymorphism; Secreted; Signal</t>
  </si>
  <si>
    <t>bone remodeling {GO:0046849}; cellular protein metabolic process {GO:0044267}; platelet degranulation {GO:0002576}; post-translational protein modification {GO:0043687}; skeletal system development {GO:0001501}</t>
  </si>
  <si>
    <t>collagen-containing extracellular matrix {GO:0062023}; endoplasmic reticulum lumen {GO:0005788}; extracellular region {GO:0005576}; platelet dense granule lumen {GO:0031089}</t>
  </si>
  <si>
    <t>endopeptidase inhibitor activity {GO:0004866}</t>
  </si>
  <si>
    <t>Factor VII heavy chain</t>
  </si>
  <si>
    <t>Proconvertin; Serum prothrombin conversion accelerator (SPCA); INN=Eptacog alfa</t>
  </si>
  <si>
    <t>FA7_HUMAN</t>
  </si>
  <si>
    <t>P08709</t>
  </si>
  <si>
    <t>B0YJC8; Q14339; Q5JVF1; Q5JVF2; Q9UD52; Q9UD53; Q9UD54</t>
  </si>
  <si>
    <t>3D-structure; Alternative splicing; Blood coagulation; Calcium; Cleavage on pair of basic residues; Disease mutation; Disulfide bond; EGF-like domain; Gamma-carboxyglutamic acid; Glycoprotein; Hemostasis; Hydrolase; Hydroxylation; Pharmaceutical; Polymorphism; Protease; Repeat; Secreted; Serine protease; Signal; Zymogen</t>
  </si>
  <si>
    <t>animal organ regeneration {GO:0031100}; blood coagulation {GO:0007596}; blood coagulation, extrinsic pathway {GO:0007598}; circadian rhythm {GO:0007623}; endoplasmic reticulum to Golgi vesicle-mediated transport {GO:0006888}; positive regulation of blood coagulation {GO:0030194}; positive regulation of cell migration {GO:0030335}; positive regulation of leukocyte chemotaxis {GO:0002690}; positive regulation of platelet-derived growth factor receptor signaling pathway {GO:0010641}; positive regulation of positive chemotaxis {GO:0050927}; positive regulation of protein kinase B signaling {GO:0051897}; protein processing {GO:0016485}; response to 2,3,7,8-tetrachlorodibenzodioxine {GO:1904612}; response to astaxanthin {GO:1905217}; response to carbon dioxide {GO:0010037}; response to cholesterol {GO:0070723}; response to estradiol {GO:0032355}; response to estrogen {GO:0043627}; response to genistein {GO:0033595}; response to growth hormone {GO:0060416}; response to hypoxia {GO:0001666}; response to Thyroid stimulating hormone {GO:1904400}; response to thyrotropin-releasing hormone {GO:1905225}; response to thyroxine {GO:0097068}; response to vitamin K {GO:0032571}</t>
  </si>
  <si>
    <t>collagen-containing extracellular matrix {GO:0062023}; endoplasmic reticulum lumen {GO:0005788}; extracellular region {GO:0005576}; extracellular space {GO:0005615}; Golgi lumen {GO:0005796}; plasma membrane {GO:0005886}; serine-type peptidase complex {GO:1905286}; vesicle {GO:0031982}</t>
  </si>
  <si>
    <t>calcium ion binding {GO:0005509}; serine-type endopeptidase activity {GO:0004252}; serine-type peptidase activity {GO:0008236}; signaling receptor binding {GO:0005102}</t>
  </si>
  <si>
    <t>BMAL1:CLOCK,NPAS2 activates circadian gene expression {R-HSA-1368108}; Extrinsic Pathway of Fibrin Clot Formation {R-HSA-140834}; Gamma-carboxylation of protein precursors {R-HSA-159740}; Transport of gamma-carboxylated protein precursors from the endoplasmic reticulum to the Golgi apparatus {R-HSA-159763}; Removal of aminoterminal propeptides from gamma-carboxylated proteins {R-HSA-159782}</t>
  </si>
  <si>
    <t>Hematopoietic system regulatory peptide</t>
  </si>
  <si>
    <t>Fx; Seraspenide</t>
  </si>
  <si>
    <t>TYB4_HUMAN</t>
  </si>
  <si>
    <t>P62328</t>
  </si>
  <si>
    <t>P01253; P01254; Q546P5; Q63576; Q9UE55</t>
  </si>
  <si>
    <t>TB4X; THYB4; TMSB4</t>
  </si>
  <si>
    <t>3D-structure; Acetylation; Actin-binding; Cytoplasm; Cytoskeleton; Isopeptide bond; Phosphoprotein; Ubl conjugation</t>
  </si>
  <si>
    <t>actin filament organization {GO:0007015}; cytoplasmic sequestering of NF-kappaB {GO:0007253}; negative regulation of interleukin-8 secretion {GO:2000483}; negative regulation of NF-kappaB transcription factor activity {GO:0032088}; negative regulation of NIK/NF-kappaB signaling {GO:1901223}; negative regulation of RNA polymerase II regulatory region sequence-specific DNA binding {GO:1903026}; platelet degranulation {GO:0002576}; positive regulation of ATP biosynthetic process {GO:2001171}; positive regulation of blood vessel endothelial cell migration {GO:0043536}; positive regulation of endothelial cell chemotaxis {GO:2001028}; positive regulation of proton-transporting ATP synthase activity, rotational mechanism {GO:1905273}; regulation of cell migration {GO:0030334}; regulation of inflammatory response {GO:0050727}; regulation of NIK/NF-kappaB signaling {GO:1901222}; sequestering of actin monomers {GO:0042989}; tumor necrosis factor-mediated signaling pathway {GO:0033209}</t>
  </si>
  <si>
    <t>cytoplasm {GO:0005737}; cytoskeleton {GO:0005856}; cytosol {GO:0005829}; extracellular region {GO:0005576}; nucleus {GO:0005634}; platelet alpha granule lumen {GO:0031093}</t>
  </si>
  <si>
    <t>actin monomer binding {GO:0003785}; enzyme binding {GO:0019899}; RNA binding {GO:0003723}</t>
  </si>
  <si>
    <t>S-formylglutathione hydrolase (FGH)</t>
  </si>
  <si>
    <t>Esterase D; Methylumbelliferyl-acetate deacetylase</t>
  </si>
  <si>
    <t>ESTD_HUMAN</t>
  </si>
  <si>
    <t>P10768</t>
  </si>
  <si>
    <t>Q5TBU8; Q5TBV0; Q5TBV2; Q9BVJ2</t>
  </si>
  <si>
    <t>3D-structure; Acetylation; Cytoplasm; Cytoplasmic vesicle; Hydrolase; Polymorphism; Serine esterase</t>
  </si>
  <si>
    <t>Cytoplasm; Cytoplasmic vesicle</t>
  </si>
  <si>
    <t>formaldehyde catabolic process {GO:0046294}; glutathione derivative biosynthetic process {GO:1901687}</t>
  </si>
  <si>
    <t>cytoplasmic vesicle {GO:0031410}; cytosol {GO:0005829}; endoplasmic reticulum lumen {GO:0005788}; extracellular exosome {GO:0070062}</t>
  </si>
  <si>
    <t>carboxylic ester hydrolase activity {GO:0052689}; hydrolase activity, acting on ester bonds {GO:0016788}; identical protein binding {GO:0042802}; methylumbelliferyl-acetate deacetylase activity {GO:0047374}; S-formylglutathione hydrolase activity {GO:0018738}</t>
  </si>
  <si>
    <t>NEDD8-conjugating enzyme UBE2F</t>
  </si>
  <si>
    <t>NEDD8 carrier protein UBE2F; NEDD8 protein ligase UBE2F; NEDD8-conjugating enzyme 2; RING-type E3 NEDD8 transferase UBE2F; Ubiquitin-conjugating enzyme E2 F</t>
  </si>
  <si>
    <t>UBE2F_HUMAN</t>
  </si>
  <si>
    <t>Q969M7</t>
  </si>
  <si>
    <t>A8K1Z8; B4DDT9; B4DFI1; B4DMK3; B4DZU2; B8ZZG2; C9J212; H9KVB9</t>
  </si>
  <si>
    <t>NCE2</t>
  </si>
  <si>
    <t>3D-structure; Acetylation; Alternative splicing; ATP-binding; Nucleotide-binding; Transferase; Ubl conjugation pathway</t>
  </si>
  <si>
    <t>post-translational protein modification {GO:0043687}; protein neddylation {GO:0045116}</t>
  </si>
  <si>
    <t>ATP binding {GO:0005524}; NEDD8 conjugating enzyme activity {GO:0061654}; NEDD8 transferase activity {GO:0019788}</t>
  </si>
  <si>
    <t>Protein modification; protein neddylation.</t>
  </si>
  <si>
    <t>NHL repeat-containing protein 3</t>
  </si>
  <si>
    <t>NHLC3_HUMAN</t>
  </si>
  <si>
    <t>Q5JS37</t>
  </si>
  <si>
    <t>B2RTZ2; B4DTL0; Q69YI9</t>
  </si>
  <si>
    <t>Alternative splicing; Glycoprotein; Polymorphism; Repeat; Secreted; Signal</t>
  </si>
  <si>
    <t>neutrophil degranulation {GO:0043312}; proteasome-mediated ubiquitin-dependent protein catabolic process {GO:0043161}; protein polyubiquitination {GO:0000209}</t>
  </si>
  <si>
    <t>azurophil granule lumen {GO:0035578}; extracellular region {GO:0005576}</t>
  </si>
  <si>
    <t>ubiquitin protein ligase activity {GO:0061630}</t>
  </si>
  <si>
    <t>Isocitrate dehydrogenase [NADP] cytoplasmic (IDH)</t>
  </si>
  <si>
    <t>Cytosolic NADP-isocitrate dehydrogenase; IDP; NADP(+)-specific ICDH; Oxalosuccinate decarboxylase</t>
  </si>
  <si>
    <t>IDHC_HUMAN</t>
  </si>
  <si>
    <t>O75874</t>
  </si>
  <si>
    <t>Q567U4; Q6FHQ6; Q7Z3V0; Q93090; Q9NTJ9; Q9UKW8</t>
  </si>
  <si>
    <t>PICD</t>
  </si>
  <si>
    <t>3D-structure; Acetylation; Cytoplasm; Glyoxylate bypass; Magnesium; Manganese; Metal-binding; NADP; Oxidoreductase; Peroxisome; Phosphoprotein; Polymorphism; Tricarboxylic acid cycle</t>
  </si>
  <si>
    <t>Cytoplasm; Peroxisome</t>
  </si>
  <si>
    <t>2-oxoglutarate metabolic process {GO:0006103}; female gonad development {GO:0008585}; glutathione metabolic process {GO:0006749}; glyoxylate cycle {GO:0006097}; isocitrate metabolic process {GO:0006102}; NADP metabolic process {GO:0006739}; NADPH regeneration {GO:0006740}; neutrophil degranulation {GO:0043312}; protein targeting to peroxisome {GO:0006625}; regulation of phospholipid biosynthetic process {GO:0071071}; regulation of phospholipid catabolic process {GO:0060696}; response to oxidative stress {GO:0006979}; response to steroid hormone {GO:0048545}; tricarboxylic acid cycle {GO:0006099}</t>
  </si>
  <si>
    <t>cytoplasm {GO:0005737}; cytosol {GO:0005829}; extracellular exosome {GO:0070062}; extracellular region {GO:0005576}; ficolin-1-rich granule lumen {GO:1904813}; mitochondrion {GO:0005739}; peroxisomal matrix {GO:0005782}; peroxisome {GO:0005777}; secretory granule lumen {GO:0034774}; tertiary granule lumen {GO:1904724}</t>
  </si>
  <si>
    <t>cadherin binding {GO:0045296}; identical protein binding {GO:0042802}; isocitrate dehydrogenase (NADP+) activity {GO:0004450}; magnesium ion binding {GO:0000287}; NAD binding {GO:0051287}; NADP binding {GO:0050661}; protein homodimerization activity {GO:0042803}; signaling receptor binding {GO:0005102}</t>
  </si>
  <si>
    <t>Abnormal conversion of 2-oxoglutarate to 2-hydroxyglutarate {R-HSA-2978092}; NADPH regeneration {R-HSA-389542}; Neutrophil degranulation {R-HSA-6798695}; Peroxisomal protein import {R-HSA-9033241}</t>
  </si>
  <si>
    <t>Nucleolin</t>
  </si>
  <si>
    <t>Protein C23</t>
  </si>
  <si>
    <t>NUCL_HUMAN</t>
  </si>
  <si>
    <t>P19338</t>
  </si>
  <si>
    <t>Q53SK1; Q8NB06; Q9UCF0; Q9UDG1</t>
  </si>
  <si>
    <t>3D-structure; Acetylation; Cytoplasm; DNA-binding; Isopeptide bond; Methylation; Nucleus; Phosphoprotein; Polymorphism; Repeat; RNA-binding; Ubl conjugation</t>
  </si>
  <si>
    <t>angiogenesis {GO:0001525}; cellular response to epidermal growth factor stimulus {GO:0071364}; cellular response to leukemia inhibitory factor {GO:1990830}; negative regulation of translation {GO:0017148}; positive regulation of transcription by RNA polymerase II {GO:0045944}; positive regulation of transcription of nucleolar large rRNA by RNA polymerase I {GO:1901838}</t>
  </si>
  <si>
    <t>cell cortex {GO:0005938}; cytoplasmic ribonucleoprotein granule {GO:0036464}; extracellular exosome {GO:0070062}; membrane {GO:0016020}; nucleolus {GO:0005730}; nucleoplasm {GO:0005654}; nucleus {GO:0005634}; ribonucleoprotein complex {GO:1990904}</t>
  </si>
  <si>
    <t>DNA topoisomerase binding {GO:0044547}; identical protein binding {GO:0042802}; mRNA 5'-UTR binding {GO:0048027}; protein C-terminus binding {GO:0008022}; RNA binding {GO:0003723}; telomeric DNA binding {GO:0042162}</t>
  </si>
  <si>
    <t>Major pathway of rRNA processing in the nucleolus and cytosol {R-HSA-6791226}</t>
  </si>
  <si>
    <t>Fibrous sheath-interacting protein 2</t>
  </si>
  <si>
    <t>FSIP2_HUMAN</t>
  </si>
  <si>
    <t>Q5CZC0</t>
  </si>
  <si>
    <t>Q53TL3; Q53TN5; Q5HYH2; Q6ZTZ5; Q6ZU14; Q6ZU21</t>
  </si>
  <si>
    <t>Alternative splicing; Coiled coil; Phosphoprotein; Polymorphism; Repeat</t>
  </si>
  <si>
    <t>Collagen alpha-1(III) chain</t>
  </si>
  <si>
    <t>CO3A1_HUMAN</t>
  </si>
  <si>
    <t>P02461</t>
  </si>
  <si>
    <t>D2JYH5; D3DPH4; P78429; Q15112; Q16403; Q53S91; Q541P8; Q6LDB3; Q6LDJ2; Q6LDJ3; Q7KZ56; Q8N6U4; Q9UC88; Q9UC89; Q9UC90; Q9UC91; R4N3C5; V9GZI1</t>
  </si>
  <si>
    <t>3D-structure; Alternative splicing; Aortic aneurysm; Calcium; Collagen; Disease mutation; Disulfide bond; Ehlers-Danlos syndrome; Extracellular matrix; Glycoprotein; Hydroxylation; Metal-binding; Polymorphism; Repeat; Secreted; Signal</t>
  </si>
  <si>
    <t>Aortic aneurysm; Disease mutation; Ehlers-Danlos syndrome</t>
  </si>
  <si>
    <t>aorta smooth muscle tissue morphogenesis {GO:0060414}; cell-matrix adhesion {GO:0007160}; cellular response to amino acid stimulus {GO:0071230}; cerebral cortex development {GO:0021987}; collagen fibril organization {GO:0030199}; digestive tract development {GO:0048565}; extracellular matrix organization {GO:0030198}; heart development {GO:0007507}; integrin-mediated signaling pathway {GO:0007229}; negative regulation of immune response {GO:0050777}; negative regulation of neuron migration {GO:2001223}; peptide cross-linking {GO:0018149}; platelet activation {GO:0030168}; positive regulation of Rho protein signal transduction {GO:0035025}; regulation of immune response {GO:0050776}; response to cytokine {GO:0034097}; response to mechanical stimulus {GO:0009612}; response to radiation {GO:0009314}; skeletal system development {GO:0001501}; skin development {GO:0043588}; supramolecular fiber organization {GO:0097435}; transforming growth factor beta receptor signaling pathway {GO:0007179}; wound healing {GO:0042060}</t>
  </si>
  <si>
    <t>collagen type III trimer {GO:0005586};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</si>
  <si>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integrin binding {GO:0005178}; metal ion binding {GO:0046872}; platelet-derived growth factor binding {GO:0048407}; protease binding {GO:0002020}; SMAD binding {GO:0046332}</t>
  </si>
  <si>
    <t>Collagen degradation {R-HSA-1442490}; Extracellular matrix organization {R-HSA-1474244}; Collagen biosynthesis and modifying enzymes {R-HSA-1650814}; Signaling by PDGF {R-HSA-186797}; Immunoregulatory interactions between a Lymphoid and a non-Lymphoid cell {R-HSA-198933}; Assembly of collagen fibrils and other multimeric structures {R-HSA-2022090}; Integrin cell surface interactions {R-HSA-216083}; Syndecan interactions {R-HSA-3000170}; Non-integrin membrane-ECM interactions {R-HSA-3000171}; ECM proteoglycans {R-HSA-3000178}; Scavenging by Class A Receptors {R-HSA-3000480}; NCAM1 interactions {R-HSA-419037}; MET activates PTK2 signaling {R-HSA-8874081}; Collagen chain trimerization {R-HSA-8948216}</t>
  </si>
  <si>
    <t>Cytoplasmic dynein 1 intermediate chain 2</t>
  </si>
  <si>
    <t>Cytoplasmic dynein intermediate chain 2; Dynein intermediate chain 2, cytosolic (DH IC-2)</t>
  </si>
  <si>
    <t>DC1I2_HUMAN</t>
  </si>
  <si>
    <t>Q13409</t>
  </si>
  <si>
    <t>B7ZA04; D3DPD4; D3DPD5; D3DPD6; Q32LY9; Q53S84; Q5BJF8; Q7Z4X1; Q96NG7; Q96S87; Q9BXZ5; Q9NT58</t>
  </si>
  <si>
    <t>DNCI2; DNCIC2</t>
  </si>
  <si>
    <t>3D-structure; Acetylation; Alternative splicing; Cytoplasm; Cytoskeleton; Dynein; Host-virus interaction; Microtubule; Motor protein; Phosphoprotein; Repeat; Transport; WD repeat</t>
  </si>
  <si>
    <t>Repeat; WD repeat</t>
  </si>
  <si>
    <t>antigen processing and presentation of exogenous peptide antigen via MHC class II {GO:0019886}; ciliary basal body-plasma membrane docking {GO:0097711}; endoplasmic reticulum to Golgi vesicle-mediated transport {GO:0006888}; G2/M transition of mitotic cell cycle {GO:0000086}; microtubule-based movement {GO:0007018}; regulation of G2/M transition of mitotic cell cycle {GO:0010389}; viral process {GO:0016032}</t>
  </si>
  <si>
    <t>centrosome {GO:0005813}; cytoplasm {GO:0005737}; cytoplasmic dynein complex {GO:0005868}; cytosol {GO:0005829}; microtubule {GO:0005874}; vesicle {GO:0031982}</t>
  </si>
  <si>
    <t>dynein heavy chain binding {GO:0045504}; dynein light chain binding {GO:0045503}; microtubule motor activity {GO:0003777}</t>
  </si>
  <si>
    <t>Amplification of signal from unattached kinetochores via a MAD2 inhibitory signal {R-HSA-141444};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Formins {R-HSA-5663220}; COPI-mediated anterograde transport {R-HSA-6807878}; COPI-independent Golgi-to-ER retrograde traffic {R-HSA-6811436}; Mitotic Prometaphase {R-HSA-68877}; AURKA Activation by TPX2 {R-HSA-8854518}</t>
  </si>
  <si>
    <t>Multidrug resistance-associated protein 4</t>
  </si>
  <si>
    <t>ATP-binding cassette sub-family C member 4; MRP/cMOAT-related ABC transporter; Multi-specific organic anion transporter B (MOAT-B)</t>
  </si>
  <si>
    <t>MRP4_HUMAN</t>
  </si>
  <si>
    <t>O15439</t>
  </si>
  <si>
    <t>A9Z1Z7; B7Z3Q7; Q8IVZ4; Q8IZN6; Q8NEW8; Q9Y6J2</t>
  </si>
  <si>
    <t>MRP4</t>
  </si>
  <si>
    <t>Alternative splicing; ATP-binding; Glycoprotein; Membrane; Nucleotide-binding; Phosphoprotein; Polymorphism; Repeat; Transmembrane; Transmembrane helix; Transport</t>
  </si>
  <si>
    <t>cilium assembly {GO:0060271}; platelet degranulation {GO:0002576}; positive regulation of smooth muscle cell proliferation {GO:0048661}; prostaglandin secretion {GO:0032310}; response to drug {GO:0042493}; response to organic cyclic compound {GO:0014070}; response to organonitrogen compound {GO:0010243}; transmembrane transport {GO:0055085}</t>
  </si>
  <si>
    <t>basolateral plasma membrane {GO:0016323}; integral component of membrane {GO:0016021}; membrane {GO:0016020}; plasma membrane {GO:0005886}; platelet dense granule membrane {GO:0031088}</t>
  </si>
  <si>
    <t>15-hydroxyprostaglandin dehydrogenase (NAD+) activity {GO:0016404}; ATP binding {GO:0005524}; ATPase activity, coupled to transmembrane movement of ions, phosphorylative mechanism {GO:0015662}; ATPase activity, coupled to transmembrane movement of substances {GO:0042626}</t>
  </si>
  <si>
    <t>Platelet degranulation {R-HSA-114608}; ABC-family proteins mediated transport {R-HSA-382556}</t>
  </si>
  <si>
    <t>Golgi reassembly-stacking protein 2 (GRS2)</t>
  </si>
  <si>
    <t>Golgi phosphoprotein 6 (GOLPH6); Golgi reassembly-stacking protein of 55 kDa (GRASP55); p59</t>
  </si>
  <si>
    <t>GORS2_HUMAN</t>
  </si>
  <si>
    <t>Q9H8Y8</t>
  </si>
  <si>
    <t>B4DKT0; Q53TE3; Q96I74; Q96K84; Q9H946; Q9UFW4</t>
  </si>
  <si>
    <t>GOLPH6</t>
  </si>
  <si>
    <t>3D-structure; Alternative splicing; Differentiation; Endoplasmic reticulum; Golgi apparatus; Lipoprotein; Membrane; Methylation; Myristate; Palmitate; Phosphoprotein; Polymorphism; Repeat; Spermatogenesis</t>
  </si>
  <si>
    <t>Differentiation; Spermatogenesis</t>
  </si>
  <si>
    <t>Lipoprotein; Methylation; Myristate; Palmitate; Phosphoprotein</t>
  </si>
  <si>
    <t>cell differentiation {GO:0030154}; establishment of protein localization to plasma membrane {GO:0061951}; Golgi organization {GO:0007030}; organelle assembly {GO:0070925}; organelle organization {GO:0006996}; response to endoplasmic reticulum stress {GO:0034976}; spermatogenesis {GO:0007283}</t>
  </si>
  <si>
    <t>endoplasmic reticulum membrane {GO:0005789}; Golgi apparatus {GO:0005794}; Golgi membrane {GO:0000139}; membrane {GO:0016020}</t>
  </si>
  <si>
    <t>Golgi Cisternae Pericentriolar Stack Reorganization {R-HSA-162658}</t>
  </si>
  <si>
    <t>Collagen alpha-2(V) chain</t>
  </si>
  <si>
    <t>CO5A2_HUMAN</t>
  </si>
  <si>
    <t>P05997</t>
  </si>
  <si>
    <t>P78440; Q13908; Q53WR4; Q59GR4; Q6LDJ5; Q7KZ55; Q86XF6; Q96QB0; Q96QB3</t>
  </si>
  <si>
    <t>3D-structure; Calcium; Collagen; Disease mutation; Disulfide bond; Ehlers-Danlos syndrome; Extracellular matrix; Glycoprotein; Hydroxylation; Metal-binding; Polymorphism; Repeat; Secreted; Signal</t>
  </si>
  <si>
    <t>cellular response to amino acid stimulus {GO:0071230}; collagen fibril organization {GO:0030199}; extracellular matrix organization {GO:0030198}; eye morphogenesis {GO:0048592}; negative regulation of endodermal cell differentiation {GO:1903225}; notochord development {GO:0030903}; ossification {GO:0001503}; skeletal system development {GO:0001501}; skin development {GO:0043588}</t>
  </si>
  <si>
    <t>collagen trimer {GO:0005581}; collagen type V trimer {GO:0005588};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</si>
  <si>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metal ion binding {GO:0046872}; SMAD binding {GO:0046332}</t>
  </si>
  <si>
    <t>ATPase inhibitor, mitochondrial</t>
  </si>
  <si>
    <t>ATP synthase F1 subunit epsilon; Inhibitor of F(1)F(o)-ATPase (IF(1); IF1)</t>
  </si>
  <si>
    <t>ATIF1_HUMAN</t>
  </si>
  <si>
    <t>Q9UII2</t>
  </si>
  <si>
    <t>Q5JXL8; Q6IAQ7; Q9BSL9</t>
  </si>
  <si>
    <t>Alternative splicing; Coiled coil; Mitochondrion; Phosphoprotein; Transit peptide</t>
  </si>
  <si>
    <t>Coiled coil; Transit peptide</t>
  </si>
  <si>
    <t>angiogenesis {GO:0001525}; erythrocyte differentiation {GO:0030218}; generation of precursor metabolites and energy {GO:0006091}; heme biosynthetic process {GO:0006783}; mitochondrial depolarization {GO:0051882}; negative regulation of ATPase activity {GO:0032780}; negative regulation of endothelial cell proliferation {GO:0001937}; negative regulation of hydrolase activity {GO:0051346}; positive regulation of autophagy of mitochondrion in response to mitochondrial depolarization {GO:1904925}; positive regulation of mitochondrial outer membrane permeabilization involved in apoptotic signaling pathway {GO:1901030}; positive regulation of proteolysis involved in cellular protein catabolic process {GO:1903052}; protein homooligomerization {GO:0051260}; protein homotetramerization {GO:0051289}; reactive oxygen species metabolic process {GO:0072593}; regulation of ATP metabolic process {GO:1903578}; regulation of protein targeting to mitochondrion {GO:1903214}</t>
  </si>
  <si>
    <t>cell surface {GO:0009986}; mitochondrion {GO:0005739}</t>
  </si>
  <si>
    <t>angiostatin binding {GO:0043532}; ATPase binding {GO:0051117}; ATPase inhibitor activity {GO:0042030}; calmodulin binding {GO:0005516}; enzyme binding {GO:0019899}; enzyme inhibitor activity {GO:0004857}; mitochondrial proton-transporting ATP synthase complex binding {GO:0140260}; protein homodimerization activity {GO:0042803}</t>
  </si>
  <si>
    <t>Titin</t>
  </si>
  <si>
    <t>Connectin; Rhabdomyosarcoma antigen MU-RMS-40.14</t>
  </si>
  <si>
    <t>TITIN_HUMAN</t>
  </si>
  <si>
    <t>Q8WZ42</t>
  </si>
  <si>
    <t>A6NKB1; E7EQE6; E7ET18; K7ENY1; Q10465; Q10466; Q15598; Q2XUS3; Q32Q60; Q4U1Z6; Q4ZG20; Q6NSG0; Q6PDB1; Q6PJP0; Q7KYM2; Q7KYN4; Q7KYN5; Q7LDM3; Q7Z2X3; Q8TCG8; Q8WZ51; Q8WZ52; Q8WZ53; Q8WZB3; Q92761; Q92762; Q9UD97; Q9UP84; Q9Y6L9</t>
  </si>
  <si>
    <t>3D-structure; Alternative splicing; ATP-binding; Calcium; Calmodulin-binding; Cardiomyopathy; Coiled coil; Cytoplasm; Disease mutation; Disulfide bond; Immunoglobulin domain; Kinase; Limb-girdle muscular dystrophy; Magnesium; Metal-binding; Nucleotide-binding; Nucleus; Phosphoprotein; Polymorphism; Repeat; Serine/threonine-protein kinase; Transferase</t>
  </si>
  <si>
    <t>Cardiomyopathy; Disease mutation; Limb-girdle muscular dystrophy</t>
  </si>
  <si>
    <t>Calmodulin-binding; Kinase; Serine/threonine-protein kinase; Transferase</t>
  </si>
  <si>
    <t>cardiac muscle contraction {GO:0060048}; cardiac muscle fiber development {GO:0048739}; cardiac muscle hypertrophy {GO:0003300}; cardiac muscle tissue morphogenesis {GO:0055008}; cardiac myofibril assembly {GO:0055003}; detection of muscle stretch {GO:0035995}; mitotic chromosome condensation {GO:0007076}; muscle contraction {GO:0006936}; muscle filament sliding {GO:0030049}; platelet degranulation {GO:0002576}; positive regulation of gene expression {GO:0010628}; positive regulation of protein secretion {GO:0050714}; protein kinase A signaling {GO:0010737}; regulation of catalytic activity {GO:0050790}; regulation of protein kinase activity {GO:0045859}; response to calcium ion {GO:0051592}; sarcomere organization {GO:0045214}; sarcomerogenesis {GO:0048769}; skeletal muscle myosin thick filament assembly {GO:0030241}; skeletal muscle thin filament assembly {GO:0030240}; striated muscle contraction {GO:0006941}; striated muscle myosin thick filament assembly {GO:0071688}</t>
  </si>
  <si>
    <t>condensed nuclear chromosome {GO:0000794}; cytosol {GO:0005829}; extracellular exosome {GO:0070062}; extracellular region {GO:0005576}; I band {GO:0031674}; M band {GO:0031430}; sarcomere {GO:0030017}; striated muscle thin filament {GO:0005865}; Z disc {GO:0030018}</t>
  </si>
  <si>
    <t>actin filament binding {GO:0051015}; actinin binding {GO:0042805}; ATP binding {GO:0005524}; calcium ion binding {GO:0005509}; calmodulin binding {GO:0005516}; enzyme binding {GO:0019899}; identical protein binding {GO:0042802}; muscle alpha-actinin binding {GO:0051371}; protease binding {GO:0002020}; protein kinase binding {GO:0019901}; protein self-association {GO:0043621}; protein serine/threonine kinase activity {GO:0004674}; protein tyrosine kinase activity {GO:0004713}; structural constituent of muscle {GO:0008307}; structural molecule activity conferring elasticity {GO:0097493}; telethonin binding {GO:0031433}</t>
  </si>
  <si>
    <t>Platelet degranulation {R-HSA-114608}; Striated Muscle Contraction {R-HSA-390522}</t>
  </si>
  <si>
    <t>UDP-glucose:glycoprotein glucosyltransferase 1 (UGT1; hUGT1)</t>
  </si>
  <si>
    <t>UDP--Glc:glycoprotein glucosyltransferase; UDP-glucose ceramide glucosyltransferase-like 1</t>
  </si>
  <si>
    <t>UGGG1_HUMAN</t>
  </si>
  <si>
    <t>Q9NYU2</t>
  </si>
  <si>
    <t>Q53QP2; Q53SL3; Q8IW30; Q9H8I4</t>
  </si>
  <si>
    <t>Alternative splicing; Endoplasmic reticulum; Glycoprotein; Glycosyltransferase; Phosphoprotein; Signal; Transferase</t>
  </si>
  <si>
    <t>'de novo' posttranslational protein folding {GO:0051084}; endoplasmic reticulum mannose trimming {GO:1904380}; ER-associated misfolded protein catabolic process {GO:0071712}; protein N-linked glycosylation via asparagine {GO:0018279}</t>
  </si>
  <si>
    <t>endoplasmic reticulum {GO:0005783}; endoplasmic reticulum lumen {GO:0005788}; endoplasmic reticulum quality control compartment {GO:0044322}; endoplasmic reticulum-Golgi intermediate compartment {GO:0005793}; extracellular exosome {GO:0070062}; protein-containing complex {GO:0032991}</t>
  </si>
  <si>
    <t>UDP-glucose:glycoprotein glucosyltransferase activity {GO:0003980}; unfolded protein binding {GO:0051082}</t>
  </si>
  <si>
    <t>ER Quality Control Compartment (ERQC) {R-HSA-901032}</t>
  </si>
  <si>
    <t>Canstatin</t>
  </si>
  <si>
    <t>CO4A2_HUMAN</t>
  </si>
  <si>
    <t>P08572</t>
  </si>
  <si>
    <t>Q14052; Q548C3; Q5VZA9; Q66K23</t>
  </si>
  <si>
    <t>3D-structure; Angiogenesis; Basement membrane; Collagen; Disease mutation; Disulfide bond; Extracellular matrix; Glycoprotein; Hydroxylation; Polymorphism; Repeat; Secreted; Signal</t>
  </si>
  <si>
    <t>aging {GO:0007568}; angiogenesis {GO:0001525}; cellular response to transforming growth factor beta stimulus {GO:0071560}; collagen-activated tyrosine kinase receptor signaling pathway {GO:0038063}; endodermal cell differentiation {GO:0035987}; extracellular matrix organization {GO:0030198}; negative regulation of angiogenesis {GO:0016525}; response to activity {GO:0014823}; transcription, DNA-templated {GO:0006351}</t>
  </si>
  <si>
    <t>collagen type IV trimer {GO:0005587}; collagen-containing extracellular matrix {GO:0062023}; endoplasmic reticulum lumen {GO:0005788}; extracellular exosome {GO:0070062}; extracellular matrix {GO:0031012}; extracellular region {GO:0005576}; extracellular space {GO:0005615}</t>
  </si>
  <si>
    <t>extracellular matrix structural constituent {GO:0005201}; extracellular matrix structural constituent conferring tensile strength {GO:0030020}</t>
  </si>
  <si>
    <t>Collagen degradation {R-HSA-1442490}; Extracellular matrix organization {R-HSA-1474244}; Collagen biosynthesis and modifying enzymes {R-HSA-1650814}; Signaling by PDGF {R-HSA-186797}; Assembly of collagen fibrils and other multimeric structures {R-HSA-2022090}; Integrin cell surface interactions {R-HSA-216083}; Anchoring fibril formation {R-HSA-2214320}; Crosslinking of collagen fibrils {R-HSA-2243919}; Laminin interactions {R-HSA-3000157}; Non-integrin membrane-ECM interactions {R-HSA-3000171}; ECM proteoglycans {R-HSA-3000178}; Scavenging by Class A Receptors {R-HSA-3000480}; NCAM1 interactions {R-HSA-419037}; Collagen chain trimerization {R-HSA-8948216}</t>
  </si>
  <si>
    <t>Inactive phospholipase C-like protein 1 (PLC-L1)</t>
  </si>
  <si>
    <t>Phospholipase C-deleted in lung carcinoma; Phospholipase C-related but catalytically inactive protein (PRIP)</t>
  </si>
  <si>
    <t>PLCL1_HUMAN</t>
  </si>
  <si>
    <t>Q15111</t>
  </si>
  <si>
    <t>Q3MJ90; Q53SD3; Q7Z3S3</t>
  </si>
  <si>
    <t>Alternative splicing; Coiled coil; Cytoplasm; Phosphoprotein; Polymorphism; Transducer</t>
  </si>
  <si>
    <t>gamma-aminobutyric acid signaling pathway {GO:0007214}; inositol trisphosphate biosynthetic process {GO:0032959}; intracellular signal transduction {GO:0035556}; lipid metabolic process {GO:0006629}; negative regulation of cold-induced thermogenesis {GO:0120163}; positive regulation of receptor binding {GO:1900122}; regulation of peptidyl-serine phosphorylation {GO:0033135}; regulation of synaptic transmission, GABAergic {GO:0032228}</t>
  </si>
  <si>
    <t>cytoplasm {GO:0005737}; plasma membrane {GO:0005886}</t>
  </si>
  <si>
    <t>GABA receptor binding {GO:0050811}; inositol 1,4,5 trisphosphate binding {GO:0070679}; phosphatidylinositol phospholipase C activity {GO:0004435}; phospholipase C activity {GO:0004629}</t>
  </si>
  <si>
    <t>CT-BRI3</t>
  </si>
  <si>
    <t>Cerebral protein 14; Transmembrane protein BRI3</t>
  </si>
  <si>
    <t>ITM2C_HUMAN</t>
  </si>
  <si>
    <t>Q9NQX7</t>
  </si>
  <si>
    <t>B3KPG4; Q4G0A8; Q53H84; Q6IAE7; Q86VK5; Q8N288; Q8TAW0; Q9BUP8</t>
  </si>
  <si>
    <t>BRI3</t>
  </si>
  <si>
    <t>Alternative splicing; Cell membrane; Cleavage on pair of basic residues; Disulfide bond; Glycoprotein; Lysosome; Membrane; Phosphoprotein; Polymorphism; Signal-anchor; Transmembrane; Transmembrane helix</t>
  </si>
  <si>
    <t>Cell membrane; Lysosome; Membrane</t>
  </si>
  <si>
    <t>negative regulation of amyloid precursor protein biosynthetic process {GO:0042985}; negative regulation of neuron projection development {GO:0010977}; neuron differentiation {GO:0030182}; positive regulation of extrinsic apoptotic signaling pathway {GO:2001238}</t>
  </si>
  <si>
    <t>extracellular exosome {GO:0070062}; Golgi apparatus {GO:0005794}; integral component of membrane {GO:0016021}; lysosomal membrane {GO:0005765}; lysosome {GO:0005764}; perinuclear region of cytoplasm {GO:0048471}; plasma membrane {GO:0005886}</t>
  </si>
  <si>
    <t>Frizzled-7 (Fz-7; hFz7)</t>
  </si>
  <si>
    <t>FzE3</t>
  </si>
  <si>
    <t>FZD7_HUMAN</t>
  </si>
  <si>
    <t>O75084</t>
  </si>
  <si>
    <t>O94816; Q53S59; Q96B74</t>
  </si>
  <si>
    <t>3D-structure; Cell membrane; Developmental protein; Disulfide bond; Endosome; G-protein coupled receptor; Glycoprotein; Membrane; Polymorphism; Receptor; Signal; Transducer; Transmembrane; Transmembrane helix; Ubl conjugation; Wnt signaling pathway</t>
  </si>
  <si>
    <t>canonical Wnt signaling pathway {GO:0060070}; cellular response to retinoic acid {GO:0071300}; mesenchymal to epithelial transition {GO:0060231}; negative regulation of cardiac muscle cell differentiation {GO:2000726}; negative regulation of cell-substrate adhesion {GO:0010812}; negative regulation of ectodermal cell fate specification {GO:0042666}; neuron differentiation {GO:0030182}; non-canonical Wnt signaling pathway {GO:0035567}; non-canonical Wnt signaling pathway via JNK cascade {GO:0038031}; positive regulation of epithelial cell proliferation involved in wound healing {GO:0060054}; positive regulation of JNK cascade {GO:0046330}; positive regulation of phosphorylation {GO:0042327}; positive regulation of transcription, DNA-templated {GO:0045893}; regulation of canonical Wnt signaling pathway {GO:0060828}; regulation of transcription, DNA-templated {GO:0006355}; skeletal muscle satellite cell maintenance involved in skeletal muscle regeneration {GO:0014834}; somatic stem cell division {GO:0048103}; stem cell population maintenance {GO:0019827}; substrate adhesion-dependent cell spreading {GO:0034446}; T cell differentiation in thymus {GO:0033077}; Wnt signaling pathway, planar cell polarity pathway {GO:0060071}</t>
  </si>
  <si>
    <t>integral component of membrane {GO:0016021}; plasma membrane {GO:0005886}; recycling endosome membrane {GO:0055038}</t>
  </si>
  <si>
    <t>frizzled binding {GO:0005109}; G protein-coupled receptor activity {GO:0004930}; PDZ domain binding {GO:0030165}; phosphatidylinositol-4,5-bisphosphate binding {GO:0005546}; Wnt-activated receptor activity {GO:0042813}; Wnt-protein binding {GO:0017147}</t>
  </si>
  <si>
    <t>Class B/2 (Secretin family receptors) {R-HSA-373080}; PCP/CE pathway {R-HSA-4086400}; Asymmetric localization of PCP proteins {R-HSA-4608870}</t>
  </si>
  <si>
    <t>UBX domain-containing protein 4</t>
  </si>
  <si>
    <t>Erasin; UBX domain-containing protein 2</t>
  </si>
  <si>
    <t>UBXN4_HUMAN</t>
  </si>
  <si>
    <t>Q92575</t>
  </si>
  <si>
    <t>A8K9W4; Q4ZG56; Q8IYM5</t>
  </si>
  <si>
    <t>KIAA0242; UBXD2; UBXDC1</t>
  </si>
  <si>
    <t>3D-structure; Endoplasmic reticulum; Membrane; Nucleus; Phosphoprotein; Polymorphism; Unfolded protein response</t>
  </si>
  <si>
    <t>Unfolded protein response</t>
  </si>
  <si>
    <t>response to unfolded protein {GO:0006986}; ubiquitin-dependent ERAD pathway {GO:0030433}</t>
  </si>
  <si>
    <t>cytosol {GO:0005829}; endoplasmic reticulum {GO:0005783}; endoplasmic reticulum membrane {GO:0005789}; nuclear envelope {GO:0005635}</t>
  </si>
  <si>
    <t>Periostin (PN)</t>
  </si>
  <si>
    <t>Osteoblast-specific factor 2 (OSF-2)</t>
  </si>
  <si>
    <t>POSTN_HUMAN</t>
  </si>
  <si>
    <t>Q15063</t>
  </si>
  <si>
    <t>B1ALD8; C0IMJ1; C0IMJ2; C0IMJ4; D2KRH7; F5H628; Q15064; Q29XZ0; Q3KPJ5; Q5VSY5; Q8IZF9</t>
  </si>
  <si>
    <t>OSF2</t>
  </si>
  <si>
    <t>3D-structure; Alternative splicing; Cell adhesion; Disulfide bond; Extracellular matrix; Gamma-carboxyglutamic acid; Glycoprotein; Golgi apparatus; Heparin-binding; Polymorphism; Repeat; Secreted; Signal</t>
  </si>
  <si>
    <t>Extracellular matrix; Golgi apparatus; Secreted</t>
  </si>
  <si>
    <t>Disulfide bond; Gamma-carboxyglutamic acid; Glycoprotein</t>
  </si>
  <si>
    <t>bone regeneration {GO:1990523}; cell adhesion {GO:0007155}; cellular response to fibroblast growth factor stimulus {GO:0044344}; cellular response to transforming growth factor beta stimulus {GO:0071560}; cellular response to tumor necrosis factor {GO:0071356}; cellular response to vitamin K {GO:0071307}; extracellular matrix organization {GO:0030198}; negative regulation of cell-matrix adhesion {GO:0001953}; negative regulation of substrate adhesion-dependent cell spreading {GO:1900025}; neuron projection extension {GO:1990138}; positive regulation of chemokine (C-C motif) ligand 2 secretion {GO:1904209}; positive regulation of smooth muscle cell migration {GO:0014911}; regulation of Notch signaling pathway {GO:0008593}; regulation of systemic arterial blood pressure {GO:0003073}; response to estradiol {GO:0032355}; response to hypoxia {GO:0001666}; response to mechanical stimulus {GO:0009612}; response to muscle activity {GO:0014850}</t>
  </si>
  <si>
    <t>collagen-containing extracellular matrix {GO:0062023}; extracellular matrix {GO:0031012}; extracellular space {GO:0005615}; neuromuscular junction {GO:0031594}; trans-Golgi network {GO:0005802}</t>
  </si>
  <si>
    <t>cell adhesion molecule binding {GO:0050839}; heparin binding {GO:0008201}; metal ion binding {GO:0046872}</t>
  </si>
  <si>
    <t>Growth arrest-specific protein 6 (GAS-6)</t>
  </si>
  <si>
    <t>AXL receptor tyrosine kinase ligand</t>
  </si>
  <si>
    <t>GAS6_HUMAN</t>
  </si>
  <si>
    <t>Q14393</t>
  </si>
  <si>
    <t>B3KRQ7; B3KVL4; E9PBL7; Q6IMN1; Q7Z7N3</t>
  </si>
  <si>
    <t>AXLLG</t>
  </si>
  <si>
    <t>3D-structure; Alternative splicing; Calcium; Disulfide bond; EGF-like domain; Gamma-carboxyglutamic acid; Glycoprotein; Growth regulation; Host-virus interaction; Metal-binding; Phosphoprotein; Polymorphism; Repeat; Secreted; Signal</t>
  </si>
  <si>
    <t>Growth regulation; Host-virus interaction</t>
  </si>
  <si>
    <t>Disulfide bond; Gamma-carboxyglutamic acid; Glycoprotein; Phosphoprotein</t>
  </si>
  <si>
    <t>activation of protein kinase B activity {GO:0032148}; animal organ regeneration {GO:0031100}; apoptotic cell clearance {GO:0043277}; B cell chemotaxis {GO:0035754}; calcium ion transmembrane transport {GO:0070588}; cell adhesion {GO:0007155}; cell cycle arrest {GO:0007050}; cell migration {GO:0016477}; cell population proliferation {GO:0008283}; cell-substrate adhesion {GO:0031589}; cellular protein metabolic process {GO:0044267}; cellular response to drug {GO:0035690}; cellular response to glucose stimulus {GO:0071333}; cellular response to growth factor stimulus {GO:0071363}; cellular response to interferon-alpha {GO:0035457}; cellular response to starvation {GO:0009267}; cellular response to vitamin K {GO:0071307}; dendritic cell differentiation {GO:0097028}; endoplasmic reticulum to Golgi vesicle-mediated transport {GO:0006888}; enzyme linked receptor protein signaling pathway {GO:0007167}; extracellular matrix assembly {GO:0085029}; fusion of virus membrane with host plasma membrane {GO:0019064}; hematopoietic stem cell migration to bone marrow {GO:0097241}; leukocyte migration {GO:0050900}; macrophage cytokine production {GO:0010934}; negative regulation of apoptotic process {GO:0043066}; negative regulation of biomineral tissue development {GO:0070168}; negative regulation of cysteine-type endopeptidase activity involved in apoptotic process {GO:0043154}; negative regulation of dendritic cell apoptotic process {GO:2000669}; negative regulation of DNA-binding transcription factor activity {GO:0043433}; negative regulation of endothelial cell apoptotic process {GO:2000352}; negative regulation of fibroblast apoptotic process {GO:2000270}; negative regulation of interferon-gamma production {GO:0032689}; negative regulation of interleukin-1 secretion {GO:0050711}; negative regulation of interleukin-6 production {GO:0032715}; negative regulation of interleukin-6 secretion {GO:1900165}; negative regulation of oligodendrocyte apoptotic process {GO:1900142}; negative regulation of renal albumin absorption {GO:2000533}; negative regulation of transcription, DNA-templated {GO:0045892}; negative regulation of tumor necrosis factor production {GO:0032720}; negative regulation of tumor necrosis factor-mediated signaling pathway {GO:0010804}; neuron migration {GO:0001764}; peptidyl-serine phosphorylation {GO:0018105}; phagocytosis {GO:0006909}; platelet activation {GO:0030168}; platelet aggregation {GO:0070527}; platelet degranulation {GO:0002576}; positive regulation of cytokine-mediated signaling pathway {GO:0001961}; positive regulation of dendritic cell chemotaxis {GO:2000510}; positive regulation of ERK1 and ERK2 cascade {GO:0070374}; positive regulation of fibroblast proliferation {GO:0048146}; positive regulation of gene expression {GO:0010628}; positive regulation of glomerular filtration {GO:0003104}; positive regulation of natural killer cell differentiation {GO:0032825}; positive regulation of peptidyl-serine phosphorylation {GO:0033138}; positive regulation of phagocytosis {GO:0050766}; positive regulation of protein export from nucleus {GO:0046827}; positive regulation of protein kinase activity {GO:0045860}; positive regulation of protein kinase B signaling {GO:0051897}; positive regulation of protein phosphorylation {GO:0001934}; positive regulation of protein tyrosine kinase activity {GO:0061098}; positive regulation of TOR signaling {GO:0032008}; post-translational protein modification {GO:0043687}; protein kinase B signaling {GO:0043491}; protein localization to plasma membrane {GO:0072659}; protein phosphorylation {GO:0006468}; receptor-mediated virion attachment to host cell {GO:0046813}; regulation of growth {GO:0040008}; signal transduction {GO:0007165}; viral entry into host cell {GO:0046718}; viral genome replication {GO:0019079}</t>
  </si>
  <si>
    <t>cytoplasm {GO:0005737}; endoplasmic reticulum lumen {GO:0005788}; extracellular exosome {GO:0070062}; extracellular region {GO:0005576}; extracellular space {GO:0005615}; Golgi lumen {GO:0005796}; platelet alpha granule lumen {GO:0031093}</t>
  </si>
  <si>
    <t>calcium ion binding {GO:0005509}; cysteine-type endopeptidase inhibitor activity involved in apoptotic process {GO:0043027}; phosphatidylserine binding {GO:0001786}; protein binding, bridging {GO:0030674}; protein tyrosine kinase activator activity {GO:0030296}; receptor ligand activity {GO:0048018}; receptor tyrosine kinase binding {GO:0030971}; signaling receptor binding {GO:0005102}; voltage-gated calcium channel activity {GO:0005245}</t>
  </si>
  <si>
    <t>Platelet degranulation {R-HSA-114608};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Regulation of Insulin-like Growth Factor (IGF) transport and uptake by Insulin-like Growth Factor Binding Proteins (IGFBPs) {R-HSA-381426}; Post-translational protein phosphorylation {R-HSA-8957275}</t>
  </si>
  <si>
    <t>Dipeptidyl peptidase 4 soluble form</t>
  </si>
  <si>
    <t>ADABP; Adenosine deaminase complexing protein 2 (ADCP-2); Dipeptidyl peptidase IV (DPP IV); T-cell activation antigen CD26; TP103; CD_antigen=CD26; Dipeptidyl peptidase IV membrane form; Dipeptidyl peptidase IV soluble form</t>
  </si>
  <si>
    <t>DPP4_HUMAN</t>
  </si>
  <si>
    <t>P27487</t>
  </si>
  <si>
    <t>Q53TN1</t>
  </si>
  <si>
    <t>ADCP2; CD26</t>
  </si>
  <si>
    <t>3D-structure; Aminopeptidase; Cell adhesion; Cell junction; Cell membrane; Cell projection; Disulfide bond; Glycoprotein; Hydrolase; Membrane; Protease; Receptor; Secreted; Serine protease; Signal-anchor; Transmembrane; Transmembrane helix</t>
  </si>
  <si>
    <t>Cell junction; Cell membrane; Cell projection; Membrane; Secreted</t>
  </si>
  <si>
    <t>Aminopeptidase; Hydrolase; Protease; Receptor; Serine protease</t>
  </si>
  <si>
    <t>behavioral fear response {GO:0001662}; cell adhesion {GO:0007155}; endothelial cell migration {GO:0043542}; locomotory exploration behavior {GO:0035641}; negative regulation of extracellular matrix disassembly {GO:0010716}; positive regulation of cell population proliferation {GO:0008284}; proteolysis {GO:0006508}; psychomotor behavior {GO:0036343}; regulation of cell-cell adhesion mediated by integrin {GO:0033632}; regulation of insulin secretion {GO:0050796}; response to hypoxia {GO:0001666}; T cell activation {GO:0042110}; T cell costimulation {GO:0031295}</t>
  </si>
  <si>
    <t>apical plasma membrane {GO:0016324}; cell surface {GO:0009986}; endocytic vesicle {GO:0030139}; extracellular exosome {GO:0070062}; extracellular region {GO:0005576}; focal adhesion {GO:0005925}; integral component of membrane {GO:0016021}; intercellular canaliculus {GO:0046581}; invadopodium membrane {GO:0071438}; lamellipodium {GO:0030027}; lamellipodium membrane {GO:0031258}; lysosomal membrane {GO:0005765}; membrane {GO:0016020}; membrane raft {GO:0045121}; plasma membrane {GO:0005886}</t>
  </si>
  <si>
    <t>dipeptidyl-peptidase activity {GO:0008239}; identical protein binding {GO:0042802}; protease binding {GO:0002020}; protein homodimerization activity {GO:0042803}; serine-type endopeptidase activity {GO:0004252}; serine-type peptidase activity {GO:0008236}; signaling receptor binding {GO:0005102}; virus receptor activity {GO:0001618}</t>
  </si>
  <si>
    <t>Synthesis, secretion, and inactivation of Glucagon-like Peptide-1 (GLP-1) {R-HSA-381771}; Synthesis, secretion, and inactivation of Glucose-dependent Insulinotropic Polypeptide (GIP) {R-HSA-400511}</t>
  </si>
  <si>
    <t>Neutral ceramidase soluble form</t>
  </si>
  <si>
    <t>Acylsphingosine deacylase 2; BCDase; LCDase (hCD); N-acylsphingosine amidohydrolase 2; Non-lysosomal ceramidase</t>
  </si>
  <si>
    <t>ASAH2_HUMAN</t>
  </si>
  <si>
    <t>Q9NR71</t>
  </si>
  <si>
    <t>Q3KNU1; Q5SNT7; Q5SZP6; Q5SZP7; Q5T1D5; Q71ME6</t>
  </si>
  <si>
    <t>HNAC1</t>
  </si>
  <si>
    <t>3D-structure; Alternative splicing; Apoptosis; Calcium; Cell membrane; Disulfide bond; Glycoprotein; Golgi apparatus; Hydrolase; Lipid metabolism; Membrane; Metal-binding; Mitochondrion; Phosphoprotein; Polymorphism; Secreted; Signal-anchor; Sphingolipid metabolism; Transmembrane; Transmembrane helix; Ubl conjugation; Zinc</t>
  </si>
  <si>
    <t>Apoptosis; Lipid metabolism; Sphingolipid metabolism</t>
  </si>
  <si>
    <t>Cell membrane; Golgi apparatus; Membrane; Mitochondrion; Secreted</t>
  </si>
  <si>
    <t>apoptotic process {GO:0006915}; cellular response to cytokine stimulus {GO:0071345}; ceramide biosynthetic process {GO:0046513}; ceramide catabolic process {GO:0046514}; ceramide metabolic process {GO:0006672}; lipid digestion {GO:0044241}; long-chain fatty acid biosynthetic process {GO:0042759}; negative regulation of apoptotic signaling pathway {GO:2001234}; regulation of mitotic cell cycle {GO:0007346}; sphingosine biosynthetic process {GO:0046512}; sphingosine metabolic process {GO:0006670}</t>
  </si>
  <si>
    <t>caveola {GO:0005901}; extracellular exosome {GO:0070062}; extracellular region {GO:0005576}; Golgi apparatus {GO:0005794}; Golgi membrane {GO:0000139}; integral component of plasma membrane {GO:0005887}; mitochondrion {GO:0005739}; plasma membrane {GO:0005886}</t>
  </si>
  <si>
    <t>calcium ion binding {GO:0005509}; ceramidase activity {GO:0102121}; N-acylsphingosine amidohydrolase activity {GO:0017040}; zinc ion binding {GO:0008270}</t>
  </si>
  <si>
    <t>Insulin-like growth factor-binding protein 2 (IBP-2; IGF-binding protein 2; IGFBP-2)</t>
  </si>
  <si>
    <t>IBP2_HUMAN</t>
  </si>
  <si>
    <t>P18065</t>
  </si>
  <si>
    <t>Q14619; Q9UCL3</t>
  </si>
  <si>
    <t>BP2; IBP2</t>
  </si>
  <si>
    <t>3D-structure; Disulfide bond; Glycoprotein; Growth factor binding; Growth regulation; Polymorphism; Secreted; Signal</t>
  </si>
  <si>
    <t>Growth regulation</t>
  </si>
  <si>
    <t>aging {GO:0007568}; cellular protein metabolic process {GO:0044267}; cellular response to hormone stimulus {GO:0032870}; female pregnancy {GO:0007565}; negative regulation of canonical Wnt signaling pathway {GO:0090090}; positive regulation of activated T cell proliferation {GO:0042104}; regulation of growth {GO:0040008}; regulation of insulin-like growth factor receptor signaling pathway {GO:0043567}; response to drug {GO:0042493}; response to estradiol {GO:0032355}; response to estrogen {GO:0043627}; response to glucocorticoid {GO:0051384}; response to lithium ion {GO:0010226}; response to mechanical stimulus {GO:0009612}; response to nutrient {GO:0007584}; response to retinoic acid {GO:0032526}; signal transduction {GO:0007165}</t>
  </si>
  <si>
    <t>apical plasma membrane {GO:0016324}; cytoplasmic vesicle {GO:0031410}; extracellular exosome {GO:0070062}; extracellular region {GO:0005576}; extracellular space {GO:0005615}</t>
  </si>
  <si>
    <t>insulin-like growth factor I binding {GO:0031994}; insulin-like growth factor II binding {GO:0031995}; signaling receptor binding {GO:0005102}</t>
  </si>
  <si>
    <t>Regulation of Insulin-like Growth Factor (IGF) transport and uptake by Insulin-like Growth Factor Binding Proteins (IGFBPs) {R-HSA-381426}</t>
  </si>
  <si>
    <t>Glucagon-like peptide 2</t>
  </si>
  <si>
    <t>Incretin hormone (GLP-1(7-37); GLP-1(7-36); GLP-2)</t>
  </si>
  <si>
    <t>GLUC_HUMAN</t>
  </si>
  <si>
    <t>P01275</t>
  </si>
  <si>
    <t>A6NN65; Q53TP6</t>
  </si>
  <si>
    <t>3D-structure; Amidation; Cleavage on pair of basic residues; Hormone; Pharmaceutical; Phosphoprotein; Polymorphism; Secreted; Signal</t>
  </si>
  <si>
    <t>adenylate cyclase-activating G protein-coupled receptor signaling pathway {GO:0007189}; adenylate cyclase-modulating G protein-coupled receptor signaling pathway {GO:0007188}; cellular response to glucagon stimulus {GO:0071377}; feeding behavior {GO:0007631}; G protein-coupled receptor signaling pathway {GO:0007186}; negative regulation of apoptotic process {GO:0043066}; negative regulation of execution phase of apoptosis {GO:1900118}; positive regulation of calcium ion import {GO:0090280}; positive regulation of ERK1 and ERK2 cascade {GO:0070374}; positive regulation of gluconeogenesis by positive regulation of transcription from RNA polymerase II promoter {GO:0035948}; positive regulation of histone H3-K4 methylation {GO:0051571}; positive regulation of insulin secretion involved in cellular response to glucose stimulus {GO:0035774}; positive regulation of peptidyl-serine phosphorylation {GO:0033138}; positive regulation of peptidyl-threonine phosphorylation {GO:0010800}; positive regulation of protein binding {GO:0032092}; positive regulation of protein kinase activity {GO:0045860}; protein kinase A signaling {GO:0010737}; regulation of insulin secretion {GO:0050796}</t>
  </si>
  <si>
    <t>endoplasmic reticulum lumen {GO:0005788}; extracellular region {GO:0005576}; extracellular space {GO:0005615}; secretory granule lumen {GO:0034774}</t>
  </si>
  <si>
    <t>glucagon receptor binding {GO:0031769}; hormone activity {GO:0005179}; identical protein binding {GO:0042802}; signaling receptor binding {GO:0005102}</t>
  </si>
  <si>
    <t>Glucagon signaling in metabolic regulation {R-HSA-163359}; Glucagon-like Peptide-1 (GLP1) regulates insulin secretion {R-HSA-381676}; Synthesis, secretion, and inactivation of Glucagon-like Peptide-1 (GLP-1) {R-HSA-381771}; G alpha (q) signalling events {R-HSA-416476}; G alpha (s) signalling events {R-HSA-418555}; Glucagon-type ligand receptors {R-HSA-420092}; Synthesis, secretion, and deacylation of Ghrelin {R-HSA-422085}</t>
  </si>
  <si>
    <t>Protein SGT1 homolog</t>
  </si>
  <si>
    <t>Protein 40-6-3; Sgt1; Suppressor of G2 allele of SKP1 homolog</t>
  </si>
  <si>
    <t>SGT1_HUMAN</t>
  </si>
  <si>
    <t>Q9Y2Z0</t>
  </si>
  <si>
    <t>A2A303; Q5JAK5; Q5TAM6; Q6VXY6</t>
  </si>
  <si>
    <t>3D-structure; Acetylation; Alternative splicing; Cytoplasm; Isopeptide bond; Nucleus; Phosphoprotein; Repeat; TPR repeat; Ubl conjugation; Ubl conjugation pathway</t>
  </si>
  <si>
    <t>mitotic cell cycle {GO:0000278}; positive regulation by host of symbiont catalytic activity {GO:0043947}; protein stabilization {GO:0050821}; regulation of protein stability {GO:0031647}</t>
  </si>
  <si>
    <t>cytosol {GO:0005829}; kinetochore {GO:0000776}; nucleus {GO:0005634}; protein-containing complex {GO:0032991}; ubiquitin ligase complex {GO:0000151}</t>
  </si>
  <si>
    <t>The NLRP3 inflammasome {R-HSA-844456}</t>
  </si>
  <si>
    <t>Tubulin alpha-4A chain</t>
  </si>
  <si>
    <t>Alpha-tubulin 1; Testis-specific alpha-tubulin; Tubulin H2-alpha; Tubulin alpha-1 chain</t>
  </si>
  <si>
    <t>TBA4A_HUMAN</t>
  </si>
  <si>
    <t>P68366</t>
  </si>
  <si>
    <t>A8MUB1; B3KNQ6; P05215</t>
  </si>
  <si>
    <t>TUBA1</t>
  </si>
  <si>
    <t>Acetylation; Alternative splicing; Amyotrophic lateral sclerosis; Cytoplasm; Cytoskeleton; GTP-binding; Methylation; Microtubule; Neurodegeneration; Nitration; Nucleotide-binding; Phosphoprotein</t>
  </si>
  <si>
    <t>Amyotrophic lateral sclerosis; Neurodegeneration</t>
  </si>
  <si>
    <t>Acetylation; Methylation; Nitration; Phosphoprotein</t>
  </si>
  <si>
    <t>ciliary basal body-plasma membrane docking {GO:0097711}; G2/M transition of mitotic cell cycle {GO:0000086}; microtubule cytoskeleton organization {GO:0000226}; microtubule-based process {GO:0007017}; mitotic cell cycle {GO:0000278}; platelet degranulation {GO:0002576}; regulation of G2/M transition of mitotic cell cycle {GO:0010389}</t>
  </si>
  <si>
    <t>cytoplasm {GO:0005737}; cytoskeleton {GO:0005856}; cytosol {GO:0005829}; extracellular exosome {GO:0070062}; extracellular region {GO:0005576}; microtubule {GO:0005874}; microtubule cytoskeleton {GO:0015630}</t>
  </si>
  <si>
    <t>GTP binding {GO:0005525}; GTPase activity {GO:0003924}; protein kinase binding {GO:0019901}; structural constituent of cytoskeleton {GO:0005200}</t>
  </si>
  <si>
    <t>Platelet degranulation {R-HSA-114608}; 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Prefoldin mediated transfer of substrate to CCT/TriC {R-HSA-389957}; Formation of tubulin folding intermediates by CCT/TriC {R-HSA-389960}; Post-chaperonin tubulin folding pathway {R-HSA-389977}; Recycling pathway of L1 {R-HSA-437239}; Hedgehog 'off' state {R-HSA-5610787}; Cilium Assembly {R-HSA-5617833}; Anchoring of the basal body to the plasma membrane {R-HSA-5620912}; Intraflagellar transport {R-HSA-5620924}; RHO GTPases activate IQGAPs {R-HSA-5626467}; RHO GTPases Activate Formins {R-HSA-5663220};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AURKA Activation by TPX2 {R-HSA-8854518}; Carboxyterminal post-translational modifications of tubulin {R-HSA-8955332}; Assembly and cell surface presentation of NMDA receptors {R-HSA-9609736}; Activation of AMPK downstream of NMDARs {R-HSA-9619483}; Kinesins {R-HSA-983189}</t>
  </si>
  <si>
    <t>Synaptopodin 2-like protein</t>
  </si>
  <si>
    <t>SYP2L_HUMAN</t>
  </si>
  <si>
    <t>Q9H987</t>
  </si>
  <si>
    <t>A5PKV9; Q68A20</t>
  </si>
  <si>
    <t>Actin-binding; Alternative splicing; Cytoplasm; Cytoskeleton; Methylation; Phosphoprotein; Polymorphism</t>
  </si>
  <si>
    <t>heart morphogenesis {GO:0003007}; positive regulation of actin filament bundle assembly {GO:0032233}; positive regulation of Rho protein signal transduction {GO:0035025}; positive regulation of stress fiber assembly {GO:0051496}; sarcomere organization {GO:0045214}</t>
  </si>
  <si>
    <t>actin cytoskeleton {GO:0015629}; cell junction {GO:0030054}; cytosol {GO:0005829}; nuclear speck {GO:0016607}; nucleoplasm {GO:0005654}; nucleus {GO:0005634}; Z disc {GO:0030018}</t>
  </si>
  <si>
    <t>Secreted frizzled-related protein 3 (sFRP-3)</t>
  </si>
  <si>
    <t>Frezzled; Fritz; Frizzled-related protein 1; FrzB-1</t>
  </si>
  <si>
    <t>SFRP3_HUMAN</t>
  </si>
  <si>
    <t>Q92765</t>
  </si>
  <si>
    <t>O00181; Q99686</t>
  </si>
  <si>
    <t>FIZ; FRE; FRP; FRZB1; SFRP3</t>
  </si>
  <si>
    <t>Developmental protein; Differentiation; Disease mutation; Disulfide bond; Glycoprotein; Polymorphism; Secreted; Signal; Wnt signaling pathway</t>
  </si>
  <si>
    <t>canonical Wnt signaling pathway {GO:0060070}; cochlea morphogenesis {GO:0090103}; convergent extension involved in organogenesis {GO:0060029}; negative regulation of canonical Wnt signaling pathway {GO:0090090}; negative regulation of cartilage development {GO:0061037}; negative regulation of cell development {GO:0010721}; negative regulation of cell growth {GO:0030308}; negative regulation of cell population proliferation {GO:0008285}; negative regulation of hepatocyte differentiation {GO:0070367}; negative regulation of Wnt signaling pathway {GO:0030178}; neural crest cell differentiation {GO:0014033}; non-canonical Wnt signaling pathway {GO:0035567}; positive regulation of apoptotic process {GO:0043065}; positive regulation of fat cell differentiation {GO:0045600}; skeletal system development {GO:0001501}; somite development {GO:0061053}</t>
  </si>
  <si>
    <t>cytoplasm {GO:0005737}; extracellular space {GO:0005615}; membrane {GO:0016020}</t>
  </si>
  <si>
    <t>TSC22 domain family protein 1</t>
  </si>
  <si>
    <t>Cerebral protein 2; Regulatory protein TSC-22; TGFB-stimulated clone 22 homolog; Transforming growth factor beta-1-induced transcript 4 protein</t>
  </si>
  <si>
    <t>T22D1_HUMAN</t>
  </si>
  <si>
    <t>Q15714</t>
  </si>
  <si>
    <t>B3KRL7; B9EGI0; O00666; Q6AHX5; Q6IBU1; Q8NCN1; Q96JS5</t>
  </si>
  <si>
    <t>KIAA1994; TGFB1I4; TSC22</t>
  </si>
  <si>
    <t>Alternative splicing; Cytoplasm; Nucleus; Phosphoprotein; Polymorphism; Repressor; Transcription; Transcription regulation</t>
  </si>
  <si>
    <t>transcription by RNA polymerase II {GO:0006366}</t>
  </si>
  <si>
    <t>cytoplasm {GO:0005737}; nucleus {GO:0005634}</t>
  </si>
  <si>
    <t>DNA-binding transcription factor activity, RNA polymerase II-specific {GO:0000981}</t>
  </si>
  <si>
    <t>Activation peptide</t>
  </si>
  <si>
    <t>Anticoagulant protein C; Autoprothrombin IIA; Blood coagulation factor XIV</t>
  </si>
  <si>
    <t>PROC_HUMAN</t>
  </si>
  <si>
    <t>P04070</t>
  </si>
  <si>
    <t>B4DPQ7; Q15189; Q15190; Q16001; Q53S74; Q9UC55</t>
  </si>
  <si>
    <t>3D-structure; Alternative splicing; Blood coagulation; Calcium; Cleavage on pair of basic residues; Disease mutation; Disulfide bond; EGF-like domain; Endoplasmic reticulum; Gamma-carboxyglutamic acid; Glycoprotein; Golgi apparatus; Hemostasis; Hydrolase; Hydroxylation; Phosphoprotein; Polymorphism; Protease; Repeat; Secreted; Serine protease; Signal; Thrombophilia; Zymogen</t>
  </si>
  <si>
    <t>Cleavage on pair of basic residues; Disulfide bond; Gamma-carboxyglutamic acid; Glycoprotein; Hydroxylation; Phosphoprotein; Zymogen</t>
  </si>
  <si>
    <t>blood coagulation {GO:0007596}; cellular protein metabolic process {GO:0044267}; endoplasmic reticulum to Golgi vesicle-mediated transport {GO:0006888}; negative regulation of apoptotic process {GO:0043066}; negative regulation of blood coagulation {GO:0030195}; negative regulation of coagulation {GO:0050819}; negative regulation of inflammatory response {GO:0050728}; positive regulation of establishment of endothelial barrier {GO:1903142}; post-translational protein modification {GO:0043687}; proteolysis {GO:0006508}</t>
  </si>
  <si>
    <t>endoplasmic reticulum {GO:0005783}; endoplasmic reticulum lumen {GO:0005788}; extracellular region {GO:0005576}; extracellular space {GO:0005615}; Golgi apparatus {GO:0005794}; Golgi lumen {GO:0005796}</t>
  </si>
  <si>
    <t>Intrinsic Pathway of Fibrin Clot Formation {R-HSA-140837}; Common Pathway of Fibrin Clot Formation {R-HSA-140875}; Gamma-carboxylation of protein precursors {R-HSA-159740}; Transport of gamma-carboxylated protein precursors from the endoplasmic reticulum to the Golgi apparatus {R-HSA-159763}; Removal of aminoterminal propeptides from gamma-carboxylated proteins {R-HSA-159782}; Cell surface interactions at the vascular wall {R-HSA-202733}; Regulation of Insulin-like Growth Factor (IGF) transport and uptake by Insulin-like Growth Factor Binding Proteins (IGFBPs) {R-HSA-381426}; Post-translational protein phosphorylation {R-HSA-8957275}</t>
  </si>
  <si>
    <t>60 kDa heat shock protein, mitochondrial</t>
  </si>
  <si>
    <t>60 kDa chaperonin; Chaperonin 60 (CPN60); Heat shock protein 60 (HSP-60; Hsp60); HuCHA60; Mitochondrial matrix protein P1; P60 lymphocyte protein</t>
  </si>
  <si>
    <t>CH60_HUMAN</t>
  </si>
  <si>
    <t>P10809</t>
  </si>
  <si>
    <t>B2R5M6; B7Z712; Q38L19; Q9UCR6</t>
  </si>
  <si>
    <t>HSP60</t>
  </si>
  <si>
    <t>3D-structure; Acetylation; Alternative splicing; ATP-binding; Chaperone; Disease mutation; Hereditary spastic paraplegia; Host-virus interaction; Isomerase; Isopeptide bond; Leukodystrophy; Mitochondrion; Neurodegeneration; Nucleotide-binding; Phosphoprotein; Transit peptide; Ubl conjugation</t>
  </si>
  <si>
    <t>Disease mutation; Hereditary spastic paraplegia; Leukodystrophy; Neurodegeneration</t>
  </si>
  <si>
    <t>Chaperone; Isomerase</t>
  </si>
  <si>
    <t>'de novo' protein folding {GO:0006458}; activation of cysteine-type endopeptidase activity involved in apoptotic process {GO:0006919}; apoptotic mitochondrial changes {GO:0008637}; B cell activation {GO:0042113}; B cell cytokine production {GO:0002368}; B cell proliferation {GO:0042100}; chaperone-mediated protein complex assembly {GO:0051131}; interaction with symbiont {GO:0051702}; isotype switching to IgG isotypes {GO:0048291}; mitochondrion organization {GO:0007005}; MyD88-dependent toll-like receptor signaling pathway {GO:0002755}; negative regulation of apoptotic process {GO:0043066}; positive regulation of apoptotic process {GO:0043065}; positive regulation of interferon-alpha production {GO:0032727}; positive regulation of interferon-gamma production {GO:0032729}; positive regulation of interleukin-10 production {GO:0032733}; positive regulation of interleukin-12 production {GO:0032735}; positive regulation of interleukin-6 production {GO:0032755}; positive regulation of macrophage activation {GO:0043032}; positive regulation of T cell activation {GO:0050870}; positive regulation of T cell mediated immune response to tumor cell {GO:0002842}; protein import into mitochondrial intermembrane space {GO:0045041}; protein maturation {GO:0051604}; protein refolding {GO:0042026}; protein stabilization {GO:0050821}; regulation of transcription by RNA polymerase II {GO:0006357}; response to cold {GO:0009409}; response to unfolded protein {GO:0006986}; T cell activation {GO:0042110}; viral process {GO:0016032}</t>
  </si>
  <si>
    <t>cell surface {GO:0009986}; clathrin-coated pit {GO:0005905}; coated vesicle {GO:0030135}; cytoplasm {GO:0005737}; cytosol {GO:0005829}; early endosome {GO:0005769}; extracellular exosome {GO:0070062}; extracellular space {GO:0005615}; lipopolysaccharide receptor complex {GO:0046696}; membrane {GO:0016020}; mitochondrial inner membrane {GO:0005743}; mitochondrial matrix {GO:0005759}; mitochondrion {GO:0005739}; plasma membrane {GO:0005886}; protein-containing complex {GO:0032991}; secretory granule {GO:0030141}</t>
  </si>
  <si>
    <t>apolipoprotein A-I binding {GO:0034186}; apolipoprotein binding {GO:0034185}; ATP binding {GO:0005524}; ATPase activity {GO:0016887}; chaperone binding {GO:0051087}; DNA replication origin binding {GO:0003688}; double-stranded RNA binding {GO:0003725}; enzyme binding {GO:0019899}; high-density lipoprotein particle binding {GO:0008035}; isomerase activity {GO:0016853}; lipopolysaccharide binding {GO:0001530}; p53 binding {GO:0002039}; RNA binding {GO:0003723}; single-stranded DNA binding {GO:0003697}; ubiquitin protein ligase binding {GO:0031625}; unfolded protein binding {GO:0051082}</t>
  </si>
  <si>
    <t>Mitochondrial protein import {R-HSA-1268020}; TFAP2A acts as a transcriptional repressor during retinoic acid induced cell differentiation {R-HSA-8869496}</t>
  </si>
  <si>
    <t>10 kDa heat shock protein, mitochondrial (Hsp10)</t>
  </si>
  <si>
    <t>10 kDa chaperonin; Chaperonin 10 (CPN10); Early-pregnancy factor (EPF)</t>
  </si>
  <si>
    <t>CH10_HUMAN</t>
  </si>
  <si>
    <t>P61604</t>
  </si>
  <si>
    <t>O95421; Q04984; Q53X54; Q9UDH0</t>
  </si>
  <si>
    <t>3D-structure; Acetylation; Chaperone; Mitochondrion; Phosphoprotein; Stress response</t>
  </si>
  <si>
    <t>activation of cysteine-type endopeptidase activity involved in apoptotic process {GO:0006919}; chaperone cofactor-dependent protein refolding {GO:0051085}; osteoblast differentiation {GO:0001649}; protein folding {GO:0006457}; response to unfolded protein {GO:0006986}</t>
  </si>
  <si>
    <t>extracellular exosome {GO:0070062}; membrane {GO:0016020}; mitochondrial matrix {GO:0005759}; mitochondrion {GO:0005739}</t>
  </si>
  <si>
    <t>ATP binding {GO:0005524}; chaperone binding {GO:0051087}; metal ion binding {GO:0046872}; RNA binding {GO:0003723}; unfolded protein binding {GO:0051082}</t>
  </si>
  <si>
    <t>Bone morphogenetic protein receptor type-2 (BMP type-2 receptor; BMPR-2)</t>
  </si>
  <si>
    <t>Bone morphogenetic protein receptor type II (BMP type II receptor; BMPR-II)</t>
  </si>
  <si>
    <t>BMPR2_HUMAN</t>
  </si>
  <si>
    <t>Q13873</t>
  </si>
  <si>
    <t>Q13161; Q16569; Q4ZG08; Q53SA5; Q585T8</t>
  </si>
  <si>
    <t>PPH1</t>
  </si>
  <si>
    <t>3D-structure; Alternative splicing; ATP-binding; Cell membrane; Disease mutation; Disulfide bond; Glycoprotein; Kinase; Magnesium; Manganese; Membrane; Metal-binding; Nucleotide-binding; Phosphoprotein; Polymorphism; Receptor; Serine/threonine-protein kinase; Signal; Transferase; Transmembrane; Transmembrane helix</t>
  </si>
  <si>
    <t>ATP-binding; Magnesium; Manganese; Metal-binding; Nucleotide-binding</t>
  </si>
  <si>
    <t>Kinase; Receptor; Serine/threonine-protein kinase; Transferase</t>
  </si>
  <si>
    <t>anterior/posterior pattern specification {GO:0009952}; aortic valve development {GO:0003176}; artery development {GO:0060840}; atrial septum morphogenesis {GO:0060413}; blood vessel remodeling {GO:0001974}; BMP signaling pathway {GO:0030509}; brain development {GO:0007420}; cellular response to BMP stimulus {GO:0071773}; cellular response to starvation {GO:0009267}; chondrocyte development {GO:0002063}; endocardial cushion development {GO:0003197}; endochondral bone morphogenesis {GO:0060350}; endothelial cell apoptotic process {GO:0072577}; endothelial cell proliferation {GO:0001935}; limb development {GO:0060173}; lung alveolus development {GO:0048286}; lymphangiogenesis {GO:0001946}; lymphatic endothelial cell differentiation {GO:0060836}; maternal placenta development {GO:0001893}; mesoderm formation {GO:0001707}; mitral valve morphogenesis {GO:0003183}; negative regulation of cell growth {GO:0030308}; negative regulation of cell proliferation involved in heart valve morphogenesis {GO:0003252}; negative regulation of chondrocyte proliferation {GO:1902731}; negative regulation of DNA biosynthetic process {GO:2000279}; negative regulation of systemic arterial blood pressure {GO:0003085}; negative regulation of vasoconstriction {GO:0045906}; outflow tract morphogenesis {GO:0003151}; outflow tract septum morphogenesis {GO:0003148}; pattern specification process {GO:0007389}; pharyngeal arch artery morphogenesis {GO:0061626}; positive regulation of axon extension involved in axon guidance {GO:0048842}; positive regulation of BMP signaling pathway {GO:0030513}; positive regulation of bone mineralization {GO:0030501}; positive regulation of cartilage development {GO:0061036}; positive regulation of endothelial cell migration {GO:0010595}; positive regulation of endothelial cell proliferation {GO:0001938}; positive regulation of epithelial cell migration {GO:0010634}; positive regulation of ossification {GO:0045778}; positive regulation of osteoblast differentiation {GO:0045669}; positive regulation of pathway-restricted SMAD protein phosphorylation {GO:0010862}; positive regulation of transcription by RNA polymerase II {GO:0045944}; proteoglycan biosynthetic process {GO:0030166}; pulmonary valve development {GO:0003177}; regulation of cell population proliferation {GO:0042127}; regulation of lung blood pressure {GO:0014916}; retina vasculature development in camera-type eye {GO:0061298}; semi-lunar valve development {GO:1905314}; transcription by RNA polymerase II {GO:0006366}; transforming growth factor beta receptor signaling pathway {GO:0007179}; transmembrane receptor protein serine/threonine kinase signaling pathway {GO:0007178}; tricuspid valve morphogenesis {GO:0003186}; venous blood vessel development {GO:0060841}; ventricular septum morphogenesis {GO:0060412}</t>
  </si>
  <si>
    <t>apical plasma membrane {GO:0016324}; basal plasma membrane {GO:0009925}; caveola {GO:0005901}; cell surface {GO:0009986}; cell-cell adherens junction {GO:0005913}; cytoplasm {GO:0005737}; dendrite {GO:0030425}; extracellular space {GO:0005615}; integral component of plasma membrane {GO:0005887}; neuronal cell body {GO:0043025}; nucleoplasm {GO:0005654}; plasma membrane {GO:0005886}; postsynaptic density {GO:0014069}; receptor complex {GO:0043235}; spanning component of plasma membrane {GO:0044214}</t>
  </si>
  <si>
    <t>activin receptor activity, type II {GO:0016362}; ATP binding {GO:0005524}; BMP binding {GO:0036122}; BMP receptor activity {GO:0098821}; growth factor binding {GO:0019838}; metal ion binding {GO:0046872}; SMAD binding {GO:0046332}; transforming growth factor beta receptor activity, type II {GO:0005026}; transforming growth factor beta-activated receptor activity {GO:0005024}</t>
  </si>
  <si>
    <t>Signaling by BMP {R-HSA-201451}</t>
  </si>
  <si>
    <t>Inactive pancreatic lipase-related protein 1 (PL-RP1)</t>
  </si>
  <si>
    <t>LIPR1_HUMAN</t>
  </si>
  <si>
    <t>P54315</t>
  </si>
  <si>
    <t>Q68D83; Q68DR6; Q8TAU2; Q9BS82</t>
  </si>
  <si>
    <t>PLRP1</t>
  </si>
  <si>
    <t>3D-structure; Alternative splicing; Calcium; Disulfide bond; Metal-binding; Polymorphism; Secreted; Signal</t>
  </si>
  <si>
    <t>lipid metabolic process {GO:0006629}</t>
  </si>
  <si>
    <t>calcium ion binding {GO:0005509}; triglyceride lipase activity {GO:0004806}</t>
  </si>
  <si>
    <t>Digestion of dietary lipid {R-HSA-192456}</t>
  </si>
  <si>
    <t>Shootin-1</t>
  </si>
  <si>
    <t>Shootin1</t>
  </si>
  <si>
    <t>SHOT1_HUMAN</t>
  </si>
  <si>
    <t>A0MZ66</t>
  </si>
  <si>
    <t>A8MYU7; B3KRD3; B3KRH2; B3KTE0; B3KTJ7; B3KTJ8; B4E3U1; B7Z7Z9; Q68DG1; Q6PIM5; Q9HCH4; Q9NUV0</t>
  </si>
  <si>
    <t>KIAA1598</t>
  </si>
  <si>
    <t>Acetylation; Alternative splicing; Cell projection; Coiled coil; Cytoplasm; Cytoskeleton; Developmental protein; Phosphoprotein</t>
  </si>
  <si>
    <t>actin filament bundle retrograde transport {GO:0061573}; axonogenesis {GO:0007409}; Cdc42 protein signal transduction {GO:0032488}; cytoplasmic actin-based contraction involved in cell motility {GO:0060327}; endoplasmic reticulum polarization {GO:0061163}; netrin-activated signaling pathway {GO:0038007}; neuron projection morphogenesis {GO:0048812}; positive regulation of axon extension {GO:0045773}; positive regulation of neuron migration {GO:2001224}; Ras protein signal transduction {GO:0007265}; regulation of establishment of cell polarity {GO:2000114}; substrate-dependent cell migration, cell extension {GO:0006930}</t>
  </si>
  <si>
    <t>axon {GO:0030424}; axonal growth cone {GO:0044295}; cell leading edge {GO:0031252}; cytoplasm {GO:0005737}; filopodium {GO:0030175}; growth cone {GO:0030426}; lamellipodium {GO:0030027}; microtubule {GO:0005874}; microtubule associated complex {GO:0005875}; microtubule cytoskeleton {GO:0015630}; perikaryon {GO:0043204}; perinuclear region of cytoplasm {GO:0048471}</t>
  </si>
  <si>
    <t>actin filament binding {GO:0051015}; cadherin binding {GO:0045296}; kinesin binding {GO:0019894}</t>
  </si>
  <si>
    <t>Cysteine sulfinic acid decarboxylase</t>
  </si>
  <si>
    <t>Aspartate 1-decarboxylase; Cysteine-sulfinate decarboxylase; Sulfinoalanine decarboxylase</t>
  </si>
  <si>
    <t>CSAD_HUMAN</t>
  </si>
  <si>
    <t>Q9Y600</t>
  </si>
  <si>
    <t>A8K0U4; Q4QQH9; Q9UNJ5; Q9Y601</t>
  </si>
  <si>
    <t>CSD</t>
  </si>
  <si>
    <t>3D-structure; Alternative splicing; Decarboxylase; Lyase; Pyridoxal phosphate</t>
  </si>
  <si>
    <t>L-cysteine catabolic process to hypotaurine {GO:0019449}; L-cysteine catabolic process to taurine {GO:0019452}; taurine biosynthetic process {GO:0042412}</t>
  </si>
  <si>
    <t>aspartate 1-decarboxylase activity {GO:0004068}; pyridoxal phosphate binding {GO:0030170}; sulfinoalanine decarboxylase activity {GO:0004782}</t>
  </si>
  <si>
    <t>Organosulfur biosynthesis; taurine biosynthesis; hypotaurine from L-cysteine: step 2/2.</t>
  </si>
  <si>
    <t>Degradation of cysteine and homocysteine {R-HSA-1614558}</t>
  </si>
  <si>
    <t>T-complex protein 1 subunit beta (TCP-1-beta)</t>
  </si>
  <si>
    <t>CCT-beta</t>
  </si>
  <si>
    <t>TCPB_HUMAN</t>
  </si>
  <si>
    <t>P78371</t>
  </si>
  <si>
    <t>A8K402; B5BTY7; B7Z243; B7Z7K4; B7ZAT2; Q14D36; Q6IAT3</t>
  </si>
  <si>
    <t>99D8.1; CCTB</t>
  </si>
  <si>
    <t>Acetylation; Alternative splicing; ATP-binding; Chaperone; Cytoplasm; Isopeptide bond; Nucleotide-binding; Phosphoprotein; Ubl conjugation</t>
  </si>
  <si>
    <t>binding of sperm to zona pellucida {GO:0007339}; chaperone mediated protein folding independent of cofactor {GO:0051086}; chaperone-mediated protein complex assembly {GO:0051131}; neutrophil degranulation {GO:0043312}; positive regulation of establishment of protein localization to telomere {GO:1904851}; positive regulation of protein localization to Cajal body {GO:1904871}; positive regulation of telomerase activity {GO:0051973}; positive regulation of telomerase RNA localization to Cajal body {GO:1904874}; positive regulation of telomere maintenance via telomerase {GO:0032212}; protein folding {GO:0006457}; protein stabilization {GO:0050821}; scaRNA localization to Cajal body {GO:0090666}; toxin transport {GO:1901998}</t>
  </si>
  <si>
    <t>azurophil granule lumen {GO:0035578}; cell body {GO:0044297}; chaperonin-containing T-complex {GO:0005832}; cytosol {GO:0005829}; extracellular exosome {GO:0070062}; extracellular region {GO:0005576}; microtubule {GO:0005874}; zona pellucida receptor complex {GO:0002199}</t>
  </si>
  <si>
    <t>ATP binding {GO:0005524}; protein folding chaperone {GO:0044183}; ubiquitin protein ligase binding {GO:0031625}; unfolded protein binding {GO:0051082}</t>
  </si>
  <si>
    <t>Ubiquitin carboxyl-terminal hydrolase 5</t>
  </si>
  <si>
    <t>Deubiquitinating enzyme 5; Isopeptidase T; Ubiquitin thioesterase 5; Ubiquitin-specific-processing protease 5</t>
  </si>
  <si>
    <t>UBP5_HUMAN</t>
  </si>
  <si>
    <t>P45974</t>
  </si>
  <si>
    <t>D3DUS7; D3DUS8; Q96J22</t>
  </si>
  <si>
    <t>ISOT</t>
  </si>
  <si>
    <t>3D-structure; Acetylation; Alternative splicing; Disulfide bond; Hydrolase; Metal-binding; Phosphoprotein; Protease; Repeat; Thiol protease; Ubl conjugation pathway; Zinc; Zinc-finger</t>
  </si>
  <si>
    <t>positive regulation of proteasomal ubiquitin-dependent protein catabolic process {GO:0032436}; protein deubiquitination {GO:0016579}; protein K48-linked deubiquitination {GO:0071108}; protein ubiquitination {GO:0016567}; ubiquitin-dependent protein catabolic process {GO:0006511}</t>
  </si>
  <si>
    <t>cytosol {GO:0005829}; lysosome {GO:0005764}</t>
  </si>
  <si>
    <t>cysteine-type endopeptidase activity {GO:0004197}; thiol-dependent ubiquitin-specific protease activity {GO:0004843}; thiol-dependent ubiquitinyl hydrolase activity {GO:0036459}; ubiquitin binding {GO:0043130}; zinc ion binding {GO:0008270}</t>
  </si>
  <si>
    <t>Ub-specific processing proteases {R-HSA-5689880}; Synthesis of active ubiquitin: roles of E1 and E2 enzymes {R-HSA-8866652}</t>
  </si>
  <si>
    <t>Phosphoglycerate mutase 1</t>
  </si>
  <si>
    <t>BPG-dependent PGAM 1; Phosphoglycerate mutase isozyme B (PGAM-B)</t>
  </si>
  <si>
    <t>PGAM1_HUMAN</t>
  </si>
  <si>
    <t>P18669</t>
  </si>
  <si>
    <t>Q9BWC0</t>
  </si>
  <si>
    <t>PGAMA</t>
  </si>
  <si>
    <t>3D-structure; Acetylation; Glycolysis; Hydrolase; Isomerase; Phosphoprotein</t>
  </si>
  <si>
    <t>canonical glycolysis {GO:0061621}; gluconeogenesis {GO:0006094}; glycolytic process {GO:0006096}; neutrophil degranulation {GO:0043312}; regulation of glycolytic process {GO:0006110}; regulation of pentose-phosphate shunt {GO:0043456}; respiratory burst {GO:0045730}</t>
  </si>
  <si>
    <t>cytoplasm {GO:0005737}; cytosol {GO:0005829}; extracellular exosome {GO:0070062}; extracellular region {GO:0005576}; ficolin-1-rich granule lumen {GO:1904813}; membrane {GO:0016020}; nucleus {GO:0005634}; secretory granule lumen {GO:0034774}</t>
  </si>
  <si>
    <t>bisphosphoglycerate mutase activity {GO:0004082}; hydrolase activity {GO:0016787}; phosphoglycerate mutase activity {GO:0004619}; protein kinase binding {GO:0019901}</t>
  </si>
  <si>
    <t>Neutrophil degranulation {R-HSA-6798695}; Glycolysis {R-HSA-70171}; Gluconeogenesis {R-HSA-70263}</t>
  </si>
  <si>
    <t>Triosephosphate isomerase (TIM)</t>
  </si>
  <si>
    <t>Methylglyoxal synthase; Triose-phosphate isomerase</t>
  </si>
  <si>
    <t>TPIS_HUMAN</t>
  </si>
  <si>
    <t>P60174</t>
  </si>
  <si>
    <t>B7Z5D8; D3DUS9; P00938; Q6FHP9; Q6IS07; Q8WWD0; Q96AG5</t>
  </si>
  <si>
    <t>TPI</t>
  </si>
  <si>
    <t>3D-structure; Acetylation; Alternative promoter usage; Alternative splicing; Cytoplasm; Disease mutation; Gluconeogenesis; Glycolysis; Hereditary hemolytic anemia; Isomerase; Isopeptide bond; Lyase; Methylation; Nitration; Phosphoprotein; Polymorphism; Ubl conjugation</t>
  </si>
  <si>
    <t>Gluconeogenesis; Glycolysis</t>
  </si>
  <si>
    <t>Isomerase; Lyase</t>
  </si>
  <si>
    <t>Acetylation; Isopeptide bond; Methylation; Nitration; Phosphoprotein; Ubl conjugation</t>
  </si>
  <si>
    <t>canonical glycolysis {GO:0061621}; gluconeogenesis {GO:0006094}; glyceraldehyde-3-phosphate biosynthetic process {GO:0046166}; glycerol catabolic process {GO:0019563}; glycolytic process {GO:0006096}; methylglyoxal biosynthetic process {GO:0019242}; multicellular organism development {GO:0007275}</t>
  </si>
  <si>
    <t>cytosol {GO:0005829}; extracellular exosome {GO:0070062}; extracellular space {GO:0005615}; nucleus {GO:0005634}</t>
  </si>
  <si>
    <t>methylglyoxal synthase activity {GO:0008929}; protein homodimerization activity {GO:0042803}; triose-phosphate isomerase activity {GO:0004807}; ubiquitin protein ligase binding {GO:0031625}</t>
  </si>
  <si>
    <t>Hsc70-interacting protein (Hip)</t>
  </si>
  <si>
    <t>Aging-associated protein 2; Progesterone receptor-associated p48 protein; Protein FAM10A1; Putative tumor suppressor ST13; Renal carcinoma antigen NY-REN-33; Suppression of tumorigenicity 13 protein</t>
  </si>
  <si>
    <t>F10A1_HUMAN</t>
  </si>
  <si>
    <t>P50502</t>
  </si>
  <si>
    <t>O14999; Q2TU77</t>
  </si>
  <si>
    <t>AAG2; FAM10A1; HIP; SNC6</t>
  </si>
  <si>
    <t>3D-structure; Acetylation; Chaperone; Cytoplasm; Phosphoprotein; Polymorphism; Repeat; TPR repeat</t>
  </si>
  <si>
    <t>chaperone cofactor-dependent protein refolding {GO:0051085}; negative regulation of protein refolding {GO:0061084}; protein folding {GO:0006457}; protein homotetramerization {GO:0051289}; response to bacterium {GO:0009617}</t>
  </si>
  <si>
    <t>cytoplasm {GO:0005737}; cytosol {GO:0005829}; extracellular exosome {GO:0070062}; protein-containing complex {GO:0032991}</t>
  </si>
  <si>
    <t>chaperone binding {GO:0051087}; dATP binding {GO:0032564}; Hsp70 protein binding {GO:0030544}; identical protein binding {GO:0042802}; protein binding, bridging {GO:0030674}; protein dimerization activity {GO:0046983}; protein domain specific binding {GO:0019904}; protein-containing complex binding {GO:0044877}; unfolded protein binding {GO:0051082}</t>
  </si>
  <si>
    <t>Regulation of HSF1-mediated heat shock response {R-HSA-3371453}</t>
  </si>
  <si>
    <t>Thioredoxin reductase 1, cytoplasmic (TR)</t>
  </si>
  <si>
    <t>Gene associated with retinoic and interferon-induced mortality 12 protein (GRIM-12; Gene associated with retinoic and IFN-induced mortality 12 protein); KM-102-derived reductase-like factor; Thioredoxin reductase TR1</t>
  </si>
  <si>
    <t>TRXR1_HUMAN</t>
  </si>
  <si>
    <t>Q16881</t>
  </si>
  <si>
    <t>B7Z1F4; B7Z3Y8; B7Z904; E9PMY9; F5H780; Q6FI31; Q6VB40; Q6VB41; Q6VB42; Q6VBP2; Q6VBP3; Q6VBP4; Q6VBP5; Q6VBP9; Q6VBQ0; Q6YNQ1; Q76P53; Q7LA96; Q8WVC8; Q99475; Q9UES8; Q9UH79</t>
  </si>
  <si>
    <t>GRIM12; KDRF</t>
  </si>
  <si>
    <t>3D-structure; Acetylation; Alternative splicing; Cytoplasm; Disulfide bond; Electron transport; FAD; Flavoprotein; NADP; Nucleus; Oxidoreductase; Phosphoprotein; Polymorphism; Redox-active center; Selenocysteine; Transport; Ubl conjugation</t>
  </si>
  <si>
    <t>Acetylation; Disulfide bond; Phosphoprotein; Ubl conjugation</t>
  </si>
  <si>
    <t>cell population proliferation {GO:0008283}; cell redox homeostasis {GO:0045454}; cellular response to oxidative stress {GO:0034599}; mesoderm formation {GO:0001707}; nucleobase-containing small molecule interconversion {GO:0015949}; regulation of lipid metabolic process {GO:0019216}; selenium compound metabolic process {GO:0001887}; signal transduction {GO:0007165}</t>
  </si>
  <si>
    <t>cytoplasm {GO:0005737}; cytosol {GO:0005829}; extracellular exosome {GO:0070062}; fibrillar center {GO:0001650}; mitochondrion {GO:0005739}; nucleoplasm {GO:0005654}</t>
  </si>
  <si>
    <t>electron transfer activity {GO:0009055}; flavin adenine dinucleotide binding {GO:0050660}; protein disulfide oxidoreductase activity {GO:0015035}; thioredoxin-disulfide reductase activity {GO:0004791}</t>
  </si>
  <si>
    <t>PPARA activates gene expression {R-HSA-1989781}; Metabolism of ingested H2SeO4 and H2SeO3 into H2Se {R-HSA-2408550}; Detoxification of Reactive Oxygen Species {R-HSA-3299685}; Interconversion of nucleotide di- and triphosphates {R-HSA-499943}; Metabolism of ingested MeSeO2H into MeSeH {R-HSA-5263617}; Uptake and function of diphtheria toxin {R-HSA-5336415}; TP53 Regulates Metabolic Genes {R-HSA-5628897}</t>
  </si>
  <si>
    <t>Myosin-9</t>
  </si>
  <si>
    <t>Cellular myosin heavy chain, type A; Myosin heavy chain 9; Myosin heavy chain, non-muscle IIa; Non-muscle myosin heavy chain A (NMMHC-A); Non-muscle myosin heavy chain IIa (NMMHC II-a; NMMHC-IIA)</t>
  </si>
  <si>
    <t>MYH9_HUMAN</t>
  </si>
  <si>
    <t>P35579</t>
  </si>
  <si>
    <t>A8K6E4; O60805; Q60FE2; Q86T83</t>
  </si>
  <si>
    <t>3D-structure; Acetylation; Actin-binding; Alport syndrome; Alternative splicing; ATP-binding; Calmodulin-binding; Cataract; Cell adhesion; Cell shape; Coiled coil; Cytoplasm; Cytoskeleton; Deafness; Disease mutation; Methylation; Motor protein; Myosin; Non-syndromic deafness; Nucleotide-binding; Phosphoprotein; Polymorphism; Ubl conjugation</t>
  </si>
  <si>
    <t>Cell adhesion; Cell shape</t>
  </si>
  <si>
    <t>Alport syndrome; Cataract; Deafness; Disease mutation; Non-syndromic deafness</t>
  </si>
  <si>
    <t>Acetylation; Methylation; Phosphoprotein; Ubl conjugation</t>
  </si>
  <si>
    <t>actin cytoskeleton reorganization {GO:0031532}; actin filament-based movement {GO:0030048}; actomyosin structure organization {GO:0031032}; angiogenesis {GO:0001525}; blood vessel endothelial cell migration {GO:0043534}; cytokinetic process {GO:0032506}; establishment of meiotic spindle localization {GO:0051295}; establishment of T cell polarity {GO:0001768}; in utero embryonic development {GO:0001701}; integrin-mediated signaling pathway {GO:0007229}; leukocyte migration {GO:0050900}; lysosome localization {GO:0032418}; meiotic spindle organization {GO:0000212}; membrane protein ectodomain proteolysis {GO:0006509}; monocyte differentiation {GO:0030224}; myoblast fusion {GO:0007520}; negative regulation of actin filament severing {GO:1903919}; phagocytosis, engulfment {GO:0006911}; plasma membrane repair {GO:0001778}; platelet aggregation {GO:0070527}; platelet formation {GO:0030220}; positive regulation of protein processing in phagocytic vesicle {GO:1903923}; protein transport {GO:0015031}; regulated exocytosis {GO:0045055}; regulation of cell shape {GO:0008360}; regulation of plasma membrane repair {GO:1905684}; uropod organization {GO:0032796}</t>
  </si>
  <si>
    <t>actin cytoskeleton {GO:0015629}; actomyosin {GO:0042641}; actomyosin contractile ring {GO:0005826}; brush border {GO:0005903}; cell leading edge {GO:0031252}; cell-cell adherens junction {GO:0005913}; cleavage furrow {GO:0032154}; cytoplasm {GO:0005737}; cytosol {GO:0005829}; extracellular exosome {GO:0070062}; focal adhesion {GO:0005925}; immunological synapse {GO:0001772}; membrane {GO:0016020}; myosin II complex {GO:0016460}; myosin II filament {GO:0097513}; neuromuscular junction {GO:0031594}; nucleus {GO:0005634}; plasma membrane {GO:0005886}; protein-containing complex {GO:0032991}; ruffle {GO:0001726}; spindle {GO:0005819}; stress fiber {GO:0001725}; uropod {GO:0001931}</t>
  </si>
  <si>
    <t>actin binding {GO:0003779}; actin filament binding {GO:0051015}; actin-dependent ATPase activity {GO:0030898}; ADP binding {GO:0043531}; ATP binding {GO:0005524}; ATPase activity {GO:0016887}; cadherin binding {GO:0045296}; calmodulin binding {GO:0005516}; integrin binding {GO:0005178}; microfilament motor activity {GO:0000146}; motor activity {GO:0003774}; protein domain specific binding {GO:0019904}; protein homodimerization activity {GO:0042803}; protein membrane anchor {GO:0043495}; RNA binding {GO:0003723}</t>
  </si>
  <si>
    <t>Translocation of SLC2A4 (GLUT4) to the plasma membrane {R-HSA-1445148}; Regulation of actin dynamics for phagocytic cup formation {R-HSA-2029482}; EPHA-mediated growth cone collapse {R-HSA-3928663}; Sema4D induced cell migration and growth-cone collapse {R-HSA-416572}; RHO GTPases activate PKNs {R-HSA-5625740}; RHO GTPases activate CIT {R-HSA-5625900}; RHO GTPases Activate ROCKs {R-HSA-5627117}; RHO GTPases activate PAKs {R-HSA-5627123}</t>
  </si>
  <si>
    <t>Low-density lipoprotein receptor-related protein 1 intracellular domain</t>
  </si>
  <si>
    <t>Alpha-2-macroglobulin receptor (A2MR); Apolipoprotein E receptor (APOER); CD_antigen=CD91 (LRP-85; LRP-515; LRPICD)</t>
  </si>
  <si>
    <t>LRP1_HUMAN</t>
  </si>
  <si>
    <t>Q07954</t>
  </si>
  <si>
    <t>Q2PP12; Q86SW0; Q8IVG8</t>
  </si>
  <si>
    <t>A2MR; APR</t>
  </si>
  <si>
    <t>3D-structure; Acetylation; Alternative splicing; Calcium; Cell membrane; Coated pit; Cytoplasm; Developmental protein; Disease mutation; Disulfide bond; EGF-like domain; Endocytosis; Glycoprotein; Membrane; Metal-binding; Nucleus; Phosphoprotein; Polymorphism; Receptor; Repeat; Signal; Transmembrane; Transmembrane helix</t>
  </si>
  <si>
    <t>Cell membrane; Coated pit; Cytoplasm; Membrane; Nucleus</t>
  </si>
  <si>
    <t>Acetylation; Disulfide bond; Glycoprotein; Phosphoprotein</t>
  </si>
  <si>
    <t>aging {GO:0007568}; amyloid-beta clearance {GO:0097242}; amyloid-beta clearance by cellular catabolic process {GO:0150094}; amyloid-beta clearance by transcytosis {GO:0150093}; aorta morphogenesis {GO:0035909}; apoptotic cell clearance {GO:0043277}; astrocyte activation involved in immune response {GO:0002265}; cell population proliferation {GO:0008283}; cellular lipid catabolic process {GO:0044242}; cellular response to amyloid-beta {GO:1904646}; cerebral cortex development {GO:0021987}; chemoattraction of axon {GO:0061642}; lipid metabolic process {GO:0006629}; lipoprotein metabolic process {GO:0042157}; lipoprotein transport {GO:0042953}; lysosomal transport {GO:0007041}; negative regulation of cytosolic calcium ion concentration {GO:0051481}; negative regulation of focal adhesion assembly {GO:0051895}; negative regulation of neuron apoptotic process {GO:0043524}; negative regulation of neuron projection development {GO:0010977}; negative regulation of platelet-derived growth factor receptor-beta signaling pathway {GO:2000587}; negative regulation of smooth muscle cell migration {GO:0014912}; negative regulation of Wnt signaling pathway {GO:0030178}; phagocytosis {GO:0006909}; positive regulation of amyloid-beta clearance {GO:1900223}; positive regulation of axon extension involved in regeneration {GO:0048691}; positive regulation of cell death {GO:0010942}; positive regulation of chemokine (C-C motif) ligand 2 secretion {GO:1904209}; positive regulation of cholesterol efflux {GO:0010875}; positive regulation of cholesterol import {GO:1904109}; positive regulation of collateral sprouting of injured axon {GO:0048694}; positive regulation of cytosolic calcium ion concentration {GO:0007204}; positive regulation of endocytosis {GO:0045807}; positive regulation of ERK1 and ERK2 cascade {GO:0070374}; positive regulation of insulin secretion involved in cellular response to glucose stimulus {GO:0035774}; positive regulation of lipid transport {GO:0032370}; positive regulation of lysosomal protein catabolic process {GO:1905167}; positive regulation of phagocytosis {GO:0050766}; positive regulation of protein binding {GO:0032092}; positive regulation of protein localization to plasma membrane {GO:1903078}; positive regulation of Schwann cell migration {GO:1900149}; positive regulation of vascular associated smooth muscle cell migration {GO:1904754}; protein kinase C-activating G protein-coupled receptor signaling pathway {GO:0007205}; receptor internalization {GO:0031623}; receptor-mediated endocytosis {GO:0006898}; regulation of actin cytoskeleton organization {GO:0032956}; regulation of cholesterol transport {GO:0032374}; regulation of extracellular matrix disassembly {GO:0010715}; regulation of phospholipase A2 activity {GO:0032429}; retinoid metabolic process {GO:0001523}; transcytosis {GO:0045056}</t>
  </si>
  <si>
    <t>apical part of cell {GO:0045177}; axonal growth cone {GO:0044295}; basolateral plasma membrane {GO:0016323}; clathrin-coated pit {GO:0005905}; clathrin-coated vesicle {GO:0030136}; dendrite {GO:0030425}; early endosome {GO:0005769}; endocytic vesicle membrane {GO:0030666}; focal adhesion {GO:0005925}; insulin-responsive compartment {GO:0032593}; integral component of plasma membrane {GO:0005887}; lysosomal membrane {GO:0005765}; membrane {GO:0016020}; neuronal cell body {GO:0043025}; nucleus {GO:0005634}; plasma membrane {GO:0005886}; plasma membrane protein complex {GO:0098797}; receptor complex {GO:0043235}</t>
  </si>
  <si>
    <t>alpha-2 macroglobulin receptor activity {GO:0016964}; amyloid-beta binding {GO:0001540}; apolipoprotein binding {GO:0034185}; apolipoprotein receptor activity {GO:0030226}; calcium ion binding {GO:0005509}; cargo receptor activity {GO:0038024}; clathrin heavy chain binding {GO:0032050}; coreceptor activity {GO:0015026}; heparan sulfate proteoglycan binding {GO:0043395}; lipoprotein particle receptor binding {GO:0070325}; low-density lipoprotein particle receptor activity {GO:0005041}; protease binding {GO:0002020}; protein-containing complex binding {GO:0044877}; RNA binding {GO:0003723}; scavenger receptor activity {GO:0005044}; signaling receptor activity {GO:0038023}</t>
  </si>
  <si>
    <t>Scavenging of heme from plasma {R-HSA-2168880}; Retinoid metabolism and transport {R-HSA-975634}</t>
  </si>
  <si>
    <t>ADP-sugar pyrophosphatase</t>
  </si>
  <si>
    <t>8-oxo-dGDP phosphatase; Nuclear ATP-synthesis protein NUDIX5; Nucleoside diphosphate-linked moiety X motif 5 (Nudix motif 5; hNUDT5); YSA1H</t>
  </si>
  <si>
    <t>NUDT5_HUMAN</t>
  </si>
  <si>
    <t>Q9UKK9</t>
  </si>
  <si>
    <t>A8K516; Q6IAG0; Q9UH49</t>
  </si>
  <si>
    <t>NUDIX5</t>
  </si>
  <si>
    <t>3D-structure; Acetylation; Hydrolase; Isopeptide bond; Magnesium; Metal-binding; Nucleus; Phosphoprotein; Polymorphism; RNA-binding; Transferase; Ubl conjugation</t>
  </si>
  <si>
    <t>Hydrolase; RNA-binding; Transferase</t>
  </si>
  <si>
    <t>ATP generation from poly-ADP-D-ribose {GO:1990966}; chromatin remodeling {GO:0006338}; D-ribose catabolic process {GO:0019303}; nucleobase-containing small molecule catabolic process {GO:0034656}; nucleoside phosphate metabolic process {GO:0006753}; nucleotide metabolic process {GO:0009117}; ribonucleoside diphosphate catabolic process {GO:0009191}; ribose phosphate metabolic process {GO:0019693}</t>
  </si>
  <si>
    <t>8-oxo-dGDP phosphatase activity {GO:0044715}; ADP-ribose diphosphatase activity {GO:0047631}; ADP-sugar diphosphatase activity {GO:0019144}; magnesium ion binding {GO:0000287}; nucleotidyltransferase activity {GO:0016779}; protein homodimerization activity {GO:0042803}; snoRNA binding {GO:0030515}</t>
  </si>
  <si>
    <t>Phosphate bond hydrolysis by NUDT proteins {R-HSA-2393930}</t>
  </si>
  <si>
    <t>Poly(rC)-binding protein 2</t>
  </si>
  <si>
    <t>Alpha-CP2; Heterogeneous nuclear ribonucleoprotein E2 (hnRNP E2)</t>
  </si>
  <si>
    <t>PCBP2_HUMAN</t>
  </si>
  <si>
    <t>Q15366</t>
  </si>
  <si>
    <t>A8K7X6; B4DXP5; F8VYL7; G3V0E8; I6L8F9; Q32Q82; Q59HD4; Q68Y55; Q6IPF4; Q6PKG5</t>
  </si>
  <si>
    <t>3D-structure; Alternative splicing; Antiviral defense; Cytoplasm; DNA-binding; Immunity; Innate immunity; Isopeptide bond; Nucleus; Phosphoprotein; Repeat; Ribonucleoprotein; RNA-binding; Ubl conjugation; Viral RNA replication</t>
  </si>
  <si>
    <t>Antiviral defense; Immunity; Innate immunity; Viral RNA replication</t>
  </si>
  <si>
    <t>DNA-binding; RNA-binding; Ribonucleoprotein</t>
  </si>
  <si>
    <t>defense response to virus {GO:0051607}; innate immune response {GO:0045087}; IRES-dependent viral translational initiation {GO:0075522}; mRNA metabolic process {GO:0016071}; mRNA splicing, via spliceosome {GO:0000398}; negative regulation of defense response to virus {GO:0050687}; negative regulation of type I interferon production {GO:0032480}; proteasome-mediated ubiquitin-dependent protein catabolic process {GO:0043161}; RNA metabolic process {GO:0016070}; viral RNA genome replication {GO:0039694}</t>
  </si>
  <si>
    <t>cytoplasm {GO:0005737}; cytosol {GO:0005829}; extracellular exosome {GO:0070062}; focal adhesion {GO:0005925}; membrane {GO:0016020}; nucleoplasm {GO:0005654}; nucleus {GO:0005634}; postsynaptic density {GO:0014069}</t>
  </si>
  <si>
    <t>C-rich single-stranded DNA binding {GO:1990829}; enzyme binding {GO:0019899}; RNA binding {GO:0003723}; ubiquitin protein ligase binding {GO:0031625}</t>
  </si>
  <si>
    <t>mRNA Splicing - Major Pathway {R-HSA-72163}; Processing of Capped Intron-Containing Pre-mRNA {R-HSA-72203}; Negative regulators of DDX58/IFIH1 signaling {R-HSA-936440}</t>
  </si>
  <si>
    <t>Hyaluronan-binding protein 2 27 kDa light chain alternate form</t>
  </si>
  <si>
    <t>Factor VII-activating protease; Factor seven-activating protease (FSAP); Hepatocyte growth factor activator-like protein; Plasma hyaluronan-binding protein</t>
  </si>
  <si>
    <t>HABP2_HUMAN</t>
  </si>
  <si>
    <t>Q14520</t>
  </si>
  <si>
    <t>A8K467; B7Z8U5; F5H5M6; O00663</t>
  </si>
  <si>
    <t>HGFAL; PHBP</t>
  </si>
  <si>
    <t>Alternative splicing; Cleavage on pair of basic residues; Disulfide bond; EGF-like domain; Glycoprotein; Hydrolase; Kringle; Polymorphism; Protease; Repeat; Secreted; Serine protease; Signal</t>
  </si>
  <si>
    <t>EGF-like domain; Kringle; Repeat; Signal</t>
  </si>
  <si>
    <t>cell adhesion {GO:0007155}; proteolysis {GO:0006508}</t>
  </si>
  <si>
    <t>calcium ion binding {GO:0005509}; glycosaminoglycan binding {GO:0005539}; serine-type endopeptidase activity {GO:0004252}</t>
  </si>
  <si>
    <t>60S ribosomal protein L3</t>
  </si>
  <si>
    <t>HIV-1 TAR RNA-binding protein B (TARBP-B); Large ribosomal subunit protein uL3</t>
  </si>
  <si>
    <t>RL3_HUMAN</t>
  </si>
  <si>
    <t>P39023</t>
  </si>
  <si>
    <t>B2RDV9; Q15548; Q5I0G0</t>
  </si>
  <si>
    <t>3D-structure; Acetylation; Cytoplasm; Isopeptide bond; Nucleus; Phosphoprotein; Polymorphism; Ribonucleoprotein; Ribosomal protein; Ubl conjugation</t>
  </si>
  <si>
    <t>cellular response to interleukin-4 {GO:0071353}; nuclear-transcribed mRNA catabolic process, nonsense-mediated decay {GO:0000184}; ribosomal large subunit assembly {GO:0000027};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</si>
  <si>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nucleolus {GO:0005730}; nucleus {GO:0005634}; protein-containing complex {GO:0032991}; synapse {GO:0045202}</t>
  </si>
  <si>
    <t>5S rRNA binding {GO:0008097}; RNA binding {GO:0003723}; structural constituent of ribosome {GO:0003735}</t>
  </si>
  <si>
    <t>Putative nascent polypeptide-associated complex subunit alpha-like protein</t>
  </si>
  <si>
    <t>Alpha-NAC pseudogene 1; NAC-alpha pseudogene 1; NACA family member 4, pseudogene</t>
  </si>
  <si>
    <t>NACP4_HUMAN</t>
  </si>
  <si>
    <t>Q9BZK3</t>
  </si>
  <si>
    <t>nascent polypeptide-associated complex {GO:0005854}</t>
  </si>
  <si>
    <t>Kinesin-1 heavy chain</t>
  </si>
  <si>
    <t>Conventional kinesin heavy chain; Ubiquitous kinesin heavy chain (UKHC)</t>
  </si>
  <si>
    <t>KINH_HUMAN</t>
  </si>
  <si>
    <t>P33176</t>
  </si>
  <si>
    <t>A0AVB2; Q5VZ85</t>
  </si>
  <si>
    <t>KNS; KNS1</t>
  </si>
  <si>
    <t>3D-structure; Acetylation; ATP-binding; Coiled coil; Cytoplasm; Cytoskeleton; Isopeptide bond; Methylation; Microtubule; Motor protein; Nucleotide-binding; Phosphoprotein; Ubl conjugation</t>
  </si>
  <si>
    <t>anterograde axonal protein transport {GO:0099641}; anterograde neuronal dense core vesicle transport {GO:1990048}; cellular response to interferon-gamma {GO:0071346}; centrosome localization {GO:0051642}; cytoplasm organization {GO:0007028}; hippocampus development {GO:0021766}; microtubule-based movement {GO:0007018}; plus-end-directed vesicle transport along microtubule {GO:0072383}; positive regulation of insulin secretion involved in cellular response to glucose stimulus {GO:0035774}; positive regulation of intracellular protein transport {GO:0090316}; positive regulation of potassium ion transport {GO:0043268}; positive regulation of protein localization to plasma membrane {GO:1903078}; positive regulation of synaptic transmission, GABAergic {GO:0032230}; positive regulation of vesicle fusion {GO:0031340}; positive regulation of voltage-gated sodium channel activity {GO:1905152}; regulation of membrane potential {GO:0042391}; retrograde neuronal dense core vesicle transport {GO:1990049}; stress granule disassembly {GO:0035617}; vesicle transport along microtubule {GO:0047496}</t>
  </si>
  <si>
    <t>axon cytoplasm {GO:1904115}; axonal growth cone {GO:0044295}; ciliary rootlet {GO:0035253}; cytosol {GO:0005829}; kinesin complex {GO:0005871}; membrane {GO:0016020}; microtubule {GO:0005874}; microtubule organizing center {GO:0005815}; perinuclear region of cytoplasm {GO:0048471}; phagocytic vesicle {GO:0045335}; vesicle {GO:0031982}</t>
  </si>
  <si>
    <t>ATP binding {GO:0005524}; ATPase activity {GO:0016887}; cadherin binding {GO:0045296}; identical protein binding {GO:0042802}; JUN kinase binding {GO:0008432}; microtubule binding {GO:0008017}; microtubule lateral binding {GO:0099609}; microtubule motor activity {GO:0003777}</t>
  </si>
  <si>
    <t>MHC class II antigen presentation {R-HSA-2132295}; Insulin processing {R-HSA-264876}; RHO GTPases activate KTN1 {R-HSA-5625970}; COPI-dependent Golgi-to-ER retrograde traffic {R-HSA-6811434}; Kinesins {R-HSA-983189}</t>
  </si>
  <si>
    <t>Ras-related protein Rab-5B</t>
  </si>
  <si>
    <t>RAB5B_HUMAN</t>
  </si>
  <si>
    <t>P61020</t>
  </si>
  <si>
    <t>A8K982; B4DKD7; P35239; P35277; Q6PIK9; Q86TH0; Q8IXL2</t>
  </si>
  <si>
    <t>3D-structure; Acetylation; Alternative splicing; Cell membrane; Endosome; GTP-binding; Lipoprotein; Membrane; Nucleotide-binding; Prenylation; Protein transport; Transport</t>
  </si>
  <si>
    <t>Acetylation; Lipoprotein; Prenylation</t>
  </si>
  <si>
    <t>antigen processing and presentation {GO:0019882}; endocytosis {GO:0006897}; endosome organization {GO:0007032}; intracellular protein transport {GO:0006886}; neutrophil degranulation {GO:0043312}; plasma membrane to endosome transport {GO:0048227}; Rab protein signal transduction {GO:0032482}; regulation of endocytosis {GO:0030100}</t>
  </si>
  <si>
    <t>anchored component of synaptic vesicle membrane {GO:0098993}; early endosome {GO:0005769}; early endosome membrane {GO:0031901}; endocytic vesicle {GO:0030139}; endosome {GO:0005768}; extracellular exosome {GO:0070062}; intracellular {GO:0005622}; intracellular membrane-bounded organelle {GO:0043231}; melanosome {GO:0042470}; membrane {GO:0016020}; plasma membrane {GO:0005886}; secretory granule membrane {GO:0030667}</t>
  </si>
  <si>
    <t>GDP binding {GO:0019003}; GTP binding {GO:0005525}; GTP-dependent protein binding {GO:0030742}; GTPase activity {GO:0003924}</t>
  </si>
  <si>
    <t>Neutrophil degranulation {R-HSA-6798695}; TBC/RABGAPs {R-HSA-8854214}; Clathrin-mediated endocytosis {R-HSA-8856828}; RAB geranylgeranylation {R-HSA-8873719}; RAB GEFs exchange GTP for GDP on RABs {R-HSA-8876198}</t>
  </si>
  <si>
    <t>Integrin beta-1</t>
  </si>
  <si>
    <t>Fibronectin receptor subunit beta; Glycoprotein IIa (GPIIA); VLA-4 subunit beta; CD_antigen=CD29</t>
  </si>
  <si>
    <t>ITB1_HUMAN</t>
  </si>
  <si>
    <t>P05556</t>
  </si>
  <si>
    <t>A8K6N2; D3DRX9; D3DRY3; D3DRY4; D3DRY5; P78466; P78467; Q13089; Q13090; Q13091; Q13212; Q14622; Q14647; Q29RW2; Q7Z3V1; Q8WUM6</t>
  </si>
  <si>
    <t>FNRB; MDF2; MSK12</t>
  </si>
  <si>
    <t>3D-structure; Acetylation; Alternative splicing; Calcium; Cell adhesion; Cell junction; Cell membrane; Cell projection; Disulfide bond; Endosome; Glycoprotein; Host cell receptor for virus entry; Host-virus interaction; Integrin; Isopeptide bond; Magnesium; Membrane; Metal-binding; Phosphoprotein; Receptor; Repeat; Signal; Transmembrane; Transmembrane helix; Ubl conjugation</t>
  </si>
  <si>
    <t>Cell junction; Cell membrane; Cell projection; Endosome; Membrane</t>
  </si>
  <si>
    <t>Host cell receptor for virus entry; Integrin; Receptor</t>
  </si>
  <si>
    <t>axon extension {GO:0048675}; B cell differentiation {GO:0030183}; basement membrane organization {GO:0071711}; calcium-independent cell-matrix adhesion {GO:0007161}; cardiac muscle cell differentiation {GO:0055007}; cell adhesion {GO:0007155}; cell adhesion mediated by integrin {GO:0033627}; cell fate specification {GO:0001708}; cell migration {GO:0016477}; cell migration involved in sprouting angiogenesis {GO:0002042}; cell projection organization {GO:0030030}; cell-cell adhesion mediated by integrin {GO:0033631}; cell-matrix adhesion {GO:0007160}; cell-substrate adhesion {GO:0031589}; cellular defense response {GO:0006968}; cellular response to low-density lipoprotein particle stimulus {GO:0071404}; cytokine-mediated signaling pathway {GO:0019221}; dendrite morphogenesis {GO:0048813}; extracellular matrix organization {GO:0030198}; formation of radial glial scaffolds {GO:0021943}; G1/S transition of mitotic cell cycle {GO:0000082}; germ cell migration {GO:0008354}; heterotypic cell-cell adhesion {GO:0034113}; homophilic cell adhesion via plasma membrane adhesion molecules {GO:0007156}; in utero embryonic development {GO:0001701}; integrin-mediated signaling pathway {GO:0007229}; lamellipodium assembly {GO:0030032}; leukocyte cell-cell adhesion {GO:0007159}; leukocyte migration {GO:0050900}; leukocyte tethering or rolling {GO:0050901}; mesodermal cell differentiation {GO:0048333}; modulation of chemical synaptic transmission {GO:0050804}; negative regulation of anoikis {GO:2000811}; negative regulation of cell differentiation {GO:0045596}; negative regulation of Rho protein signal transduction {GO:0035024}; phagocytosis {GO:0006909}; positive regulation of angiogenesis {GO:0045766}; positive regulation of apoptotic process {GO:0043065}; positive regulation of cell migration {GO:0030335}; positive regulation of cell population proliferation {GO:0008284}; positive regulation of GTPase activity {GO:0043547}; positive regulation of protein kinase B signaling {GO:0051897}; positive regulation of protein localization to plasma membrane {GO:1903078}; positive regulation of signaling receptor activity {GO:2000273}; receptor internalization {GO:0031623}; regulation of cell cycle {GO:0051726}; regulation of collagen catabolic process {GO:0010710}; regulation of immune response {GO:0050776}; sarcomere organization {GO:0045214}; visual learning {GO:0008542}</t>
  </si>
  <si>
    <t>cell surface {GO:0009986}; cleavage furrow {GO:0032154}; cytoplasm {GO:0005737}; dendritic spine {GO:0043197}; external side of plasma membrane {GO:0009897}; extracellular exosome {GO:0070062}; filopodium {GO:0030175}; focal adhesion {GO:0005925}; glial cell projection {GO:0097386}; glutamatergic synapse {GO:0098978}; integral component of synaptic membrane {GO:0099699}; integrin alpha1-beta1 complex {GO:0034665}; integrin alpha10-beta1 complex {GO:0034680}; integrin alpha11-beta1 complex {GO:0034681}; integrin alpha2-beta1 complex {GO:0034666}; integrin alpha3-beta1 complex {GO:0034667}; integrin alpha7-beta1 complex {GO:0034677}; integrin alpha8-beta1 complex {GO:0034678}; integrin complex {GO:0008305}; intercalated disc {GO:0014704}; invadopodium membrane {GO:0071438}; lamellipodium {GO:0030027}; melanosome {GO:0042470}; membrane {GO:0016020}; membrane raft {GO:0045121}; myelin sheath abaxonal region {GO:0035748}; neuromuscular junction {GO:0031594}; perinuclear region of cytoplasm {GO:0048471}; plasma membrane {GO:0005886}; protein-containing complex {GO:0032991}; receptor complex {GO:0043235}; recycling endosome {GO:0055037}; ruffle {GO:0001726}; ruffle membrane {GO:0032587}; sarcolemma {GO:0042383}; Schaffer collateral - CA1 synapse {GO:0098685}</t>
  </si>
  <si>
    <t>actin binding {GO:0003779}; cadherin binding {GO:0045296}; cell adhesion molecule binding {GO:0050839}; collagen binding involved in cell-matrix adhesion {GO:0098639}; coreceptor activity {GO:0015026}; fibronectin binding {GO:0001968}; integrin binding {GO:0005178}; laminin binding {GO:0043236}; metal ion binding {GO:0046872}; protease binding {GO:0002020}; protein heterodimerization activity {GO:0046982}; protein-containing complex binding {GO:0044877}; virus receptor activity {GO:0001618}</t>
  </si>
  <si>
    <t>Elastic fibre formation {R-HSA-1566948}; Fibronectin matrix formation {R-HSA-1566977}; Immunoregulatory interactions between a Lymphoid and a non-Lymphoid cell {R-HSA-198933}; Cell surface interactions at the vascular wall {R-HSA-202733}; Basigin interactions {R-HSA-210991}; Molecules associated with elastic fibres {R-HSA-2129379}; Integrin cell surface interactions {R-HSA-216083}; Laminin interactions {R-HSA-3000157}; Syndecan interactions {R-HSA-3000170}; ECM proteoglycans {R-HSA-3000178}; Other semaphorin interactions {R-HSA-416700}; Signal transduction by L1 {R-HSA-445144}; Localization of the PINCH-ILK-PARVIN complex to focal adhesions {R-HSA-446343}; CHL1 interactions {R-HSA-447041}; RHO GTPases Activate Formins {R-HSA-5663220}; Interleukin-4 and Interleukin-13 signaling {R-HSA-6785807}; Platelet Adhesion to exposed collagen {R-HSA-75892}; MET activates PTK2 signaling {R-HSA-8874081}; MET interacts with TNS proteins {R-HSA-8875513}</t>
  </si>
  <si>
    <t>Ras-related protein Rap-1b</t>
  </si>
  <si>
    <t>GTP-binding protein smg p21B</t>
  </si>
  <si>
    <t>RAP1B_HUMAN</t>
  </si>
  <si>
    <t>P61224</t>
  </si>
  <si>
    <t>B2R5Z2; B4DQI8; B4DW74; B4DW94; P09526; Q502X3; Q5TZR4; Q6DCA1; Q6LES0</t>
  </si>
  <si>
    <t>3D-structure; ADP-ribosylation; Alternative splicing; Cell junction; Cell membrane; Cytoplasm; GTP-binding; Lipoprotein; Membrane; Methylation; Nucleotide-binding; Phosphoprotein; Prenylation</t>
  </si>
  <si>
    <t>Cell junction; Cell membrane; Cytoplasm; Membrane</t>
  </si>
  <si>
    <t>cell population proliferation {GO:0008283}; cellular response to cAMP {GO:0071320}; cellular response to drug {GO:0035690}; cellular response to gonadotropin-releasing hormone {GO:0097211}; establishment of endothelial barrier {GO:0061028}; interleukin-12-mediated signaling pathway {GO:0035722}; negative regulation of synaptic vesicle exocytosis {GO:2000301}; neutrophil degranulation {GO:0043312}; positive regulation of ERK1 and ERK2 cascade {GO:0070374}; Rap protein signal transduction {GO:0032486}; regulation of cell junction assembly {GO:1901888}; regulation of establishment of cell polarity {GO:2000114}; response to carbohydrate {GO:0009743}; small GTPase mediated signal transduction {GO:0007264}</t>
  </si>
  <si>
    <t>azurophil granule membrane {GO:0035577}; cell-cell junction {GO:0005911}; cytosol {GO:0005829}; extracellular exosome {GO:0070062}; intracellular {GO:0005622}; lipid droplet {GO:0005811}; membrane {GO:0016020}; plasma membrane {GO:0005886}</t>
  </si>
  <si>
    <t>GDP binding {GO:0019003}; GTP binding {GO:0005525}; GTPase activity {GO:0003924}; protein-containing complex binding {GO:0044877}</t>
  </si>
  <si>
    <t>Integrin alphaIIb beta3 signaling {R-HSA-354192}; GRB2:SOS provides linkage to MAPK signaling for Integrins {R-HSA-354194}; p130Cas linkage to MAPK signaling for integrins {R-HSA-372708}; Rap1 signalling {R-HSA-392517};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MET activates RAP1 and RAC1 {R-HSA-8875555}; Gene and protein expression by JAK-STAT signaling after Interleukin-12 stimulation {R-HSA-8950505}</t>
  </si>
  <si>
    <t>SAP domain-containing ribonucleoprotein</t>
  </si>
  <si>
    <t>Cytokine-induced protein of 29 kDa; Nuclear protein Hcc-1; Proliferation-associated cytokine-inducible protein CIP29</t>
  </si>
  <si>
    <t>SARNP_HUMAN</t>
  </si>
  <si>
    <t>P82979</t>
  </si>
  <si>
    <t>A8K393; Q9P066</t>
  </si>
  <si>
    <t>HCC1</t>
  </si>
  <si>
    <t>3D-structure; Acetylation; DNA-binding; mRNA transport; Nucleus; Phosphoprotein; RNA-binding; Transcription; Transcription regulation; Translation regulation; Transport</t>
  </si>
  <si>
    <t>Transcription; Transcription regulation; Translation regulation; Transport; mRNA transport</t>
  </si>
  <si>
    <t>mRNA 3'-end processing {GO:0031124}; mRNA export from nucleus {GO:0006406}; regulation of translation {GO:0006417}; RNA export from nucleus {GO:0006405}</t>
  </si>
  <si>
    <t>cytoplasmic ribonucleoprotein granule {GO:0036464}; nuclear speck {GO:0016607}; nucleoplasm {GO:0005654}; nucleus {GO:0005634}; transcription export complex {GO:0000346}</t>
  </si>
  <si>
    <t>DNA-binding transcription repressor activity, RNA polymerase II-specific {GO:0001227}; protein C-terminus binding {GO:0008022}; RNA binding {GO:0003723}; RNA polymerase II proximal promoter sequence-specific DNA binding {GO:0000978}; RS domain binding {GO:0050733}</t>
  </si>
  <si>
    <t>Transport of Mature mRNA derived from an Intron-Containing Transcript {R-HSA-159236}; mRNA 3'-end processing {R-HSA-72187}; RNA Polymerase II Transcription Termination {R-HSA-73856}</t>
  </si>
  <si>
    <t>Y-box-binding protein 3</t>
  </si>
  <si>
    <t>Cold shock domain-containing protein A; DNA-binding protein A; Single-strand DNA-binding protein NF-GMB</t>
  </si>
  <si>
    <t>YBOX3_HUMAN</t>
  </si>
  <si>
    <t>P16989</t>
  </si>
  <si>
    <t>B2RBW6; Q14121; Q969N6; Q96B76</t>
  </si>
  <si>
    <t>CSDA; DBPA</t>
  </si>
  <si>
    <t>Acetylation; Alternative splicing; Cytoplasm; DNA-binding; Methylation; Nucleus; Phosphoprotein; Polymorphism; Repressor; Transcription; Transcription regulation</t>
  </si>
  <si>
    <t>3'-UTR-mediated mRNA stabilization {GO:0070935}; cellular hyperosmotic response {GO:0071474}; cellular response to tumor necrosis factor {GO:0071356}; fertilization {GO:0009566}; in utero embryonic development {GO:0001701}; male gonad development {GO:0008584}; negative regulation of intrinsic apoptotic signaling pathway in response to osmotic stress {GO:1902219}; negative regulation of necroptotic process {GO:0060546}; negative regulation of skeletal muscle tissue development {GO:0048642}; negative regulation of transcription by RNA polymerase II {GO:0000122}; positive regulation of cytoplasmic translation {GO:2000767}; positive regulation of organ growth {GO:0046622}; response to cold {GO:0009409}; spermatogenesis {GO:0007283}</t>
  </si>
  <si>
    <t>bicellular tight junction {GO:0005923}; cytoplasm {GO:0005737}; cytosol {GO:0005829}; nucleus {GO:0005634}; perinuclear region of cytoplasm {GO:0048471}</t>
  </si>
  <si>
    <t>DNA-binding transcription factor activity {GO:0003700}; DNA-binding transcription factor activity, RNA polymerase II-specific {GO:0000981}; DNA-binding transcription repressor activity, RNA polymerase II-specific {GO:0001227}; double-stranded DNA binding {GO:0003690}; mRNA 3'-UTR binding {GO:0003730}; polysome binding {GO:1905538}; Rho GTPase binding {GO:0017048}; RNA binding {GO:0003723}; RNA polymerase II regulatory region sequence-specific DNA binding {GO:0000977}; transcription corepressor activity {GO:0003714}</t>
  </si>
  <si>
    <t>Cysteine and glycine-rich protein 2</t>
  </si>
  <si>
    <t>Cysteine-rich protein 2 (CRP2); LIM domain only protein 5 (LMO-5); Smooth muscle cell LIM protein (SmLIM)</t>
  </si>
  <si>
    <t>CSRP2_HUMAN</t>
  </si>
  <si>
    <t>Q16527</t>
  </si>
  <si>
    <t>Q93030</t>
  </si>
  <si>
    <t>LMO5; SMLIM</t>
  </si>
  <si>
    <t>Acetylation; Developmental protein; Differentiation; Isopeptide bond; LIM domain; Metal-binding; Nucleus; Repeat; Ubl conjugation; Zinc</t>
  </si>
  <si>
    <t>actin cytoskeleton organization {GO:0030036}; cell differentiation {GO:0030154}; multicellular organism development {GO:0007275}; muscle tissue development {GO:0060537}; sarcomere organization {GO:0045214}</t>
  </si>
  <si>
    <t>cytoplasm {GO:0005737}; focal adhesion {GO:0005925}; nucleus {GO:0005634}; Z disc {GO:0030018}</t>
  </si>
  <si>
    <t>actinin binding {GO:0042805}; metal ion binding {GO:0046872}; structural constituent of muscle {GO:0008307}</t>
  </si>
  <si>
    <t>Leukotriene A-4 hydrolase (LTA-4 hydrolase)</t>
  </si>
  <si>
    <t>Leukotriene A(4) hydrolase</t>
  </si>
  <si>
    <t>LKHA4_HUMAN</t>
  </si>
  <si>
    <t>P09960</t>
  </si>
  <si>
    <t>B4DNQ9; F8VV40; Q6IAT6; Q9UCT7</t>
  </si>
  <si>
    <t>LTA4</t>
  </si>
  <si>
    <t>3D-structure; Acetylation; Alternative splicing; Cytoplasm; Hydrolase; Leukotriene biosynthesis; Metal-binding; Metalloprotease; Phosphoprotein; Polymorphism; Protease; Zinc</t>
  </si>
  <si>
    <t>Leukotriene biosynthesis</t>
  </si>
  <si>
    <t>cellular lipid metabolic process {GO:0044255}; cellular protein metabolic process {GO:0044267}; leukotriene biosynthetic process {GO:0019370}; leukotriene metabolic process {GO:0006691}; long-chain fatty acid biosynthetic process {GO:0042759}; neutrophil degranulation {GO:0043312}; peptide catabolic process {GO:0043171}</t>
  </si>
  <si>
    <t>cytosol {GO:0005829}; extracellular exosome {GO:0070062}; extracellular region {GO:0005576}; ficolin-1-rich granule lumen {GO:1904813}; nucleoplasm {GO:0005654}; nucleus {GO:0005634}; tertiary granule lumen {GO:1904724}</t>
  </si>
  <si>
    <t>aminopeptidase activity {GO:0004177}; epoxide hydrolase activity {GO:0004301}; leukotriene-A4 hydrolase activity {GO:0004463}; metalloaminopeptidase activity {GO:0070006}; peptidase activity {GO:0008233}; RNA binding {GO:0003723}; zinc ion binding {GO:0008270}</t>
  </si>
  <si>
    <t>Lipid metabolism; leukotriene B4 biosynthesis.</t>
  </si>
  <si>
    <t>Synthesis of Leukotrienes (LT) and Eoxins (EX) {R-HSA-2142691}; Neutrophil degranulation {R-HSA-6798695}; Biosynthesis of D-series resolvins {R-HSA-9018676}; Biosynthesis of protectins {R-HSA-9018681}; Biosynthesis of E-series 18(S)-resolvins {R-HSA-9018896}; Biosynthesis of aspirin-triggered D-series resolvins {R-HSA-9020265}; Biosynthesis of E-series 18(R)-resolvins {R-HSA-9023661}</t>
  </si>
  <si>
    <t>tRNA-splicing ligase RtcB homolog</t>
  </si>
  <si>
    <t>RTCB_HUMAN</t>
  </si>
  <si>
    <t>Q9Y3I0</t>
  </si>
  <si>
    <t>B2R6A8; Q6IAI0; Q9BWL4; Q9NTH1; Q9P037; Q9P0J3</t>
  </si>
  <si>
    <t>C22orf28</t>
  </si>
  <si>
    <t>ATP-binding; Cytoplasm; Isopeptide bond; Ligase; Manganese; Metal-binding; Nucleotide-binding; Nucleus; Phosphoprotein; Polymorphism; tRNA processing; Ubl conjugation</t>
  </si>
  <si>
    <t>ATP-binding; Manganese; Metal-binding; Nucleotide-binding</t>
  </si>
  <si>
    <t>in utero embryonic development {GO:0001701}; placenta development {GO:0001890}; tRNA exon ligation utilizing 2',3' cyclic phosphate of 5'-exon as source of linkage phosphate {GO:0000971}; tRNA splicing, via endonucleolytic cleavage and ligation {GO:0006388}</t>
  </si>
  <si>
    <t>cytoplasm {GO:0005737}; cytosol {GO:0005829}; endoplasmic reticulum membrane {GO:0005789}; intracellular membrane-bounded organelle {GO:0043231}; nuclear envelope {GO:0005635}; nucleoplasm {GO:0005654}; nucleus {GO:0005634}; tRNA-splicing ligase complex {GO:0072669}</t>
  </si>
  <si>
    <t>ATP binding {GO:0005524}; metal ion binding {GO:0046872}; RNA binding {GO:0003723}; RNA ligase (ATP) activity {GO:0003972}; vinculin binding {GO:0017166}</t>
  </si>
  <si>
    <t>Nascent polypeptide-associated complex subunit alpha, muscle-specific form</t>
  </si>
  <si>
    <t>Alpha-NAC, muscle-specific form (skNAC)</t>
  </si>
  <si>
    <t>NACAM_HUMAN</t>
  </si>
  <si>
    <t>E9PAV3</t>
  </si>
  <si>
    <t>Acetylation; Activator; Alternative splicing; Cytoplasm; DNA-binding; Isopeptide bond; Nucleus; Phosphoprotein; Polymorphism; Repeat; Transcription; Transcription regulation; Ubl conjugation</t>
  </si>
  <si>
    <t>nascent polypeptide-associated complex {GO:0005854}; nucleus {GO:0005634}</t>
  </si>
  <si>
    <t>DNA binding {GO:0003677}</t>
  </si>
  <si>
    <t>Protein phosphatase 1 regulatory subunit 12A</t>
  </si>
  <si>
    <t>Myosin phosphatase-targeting subunit 1 (Myosin phosphatase target subunit 1); Protein phosphatase myosin-binding subunit</t>
  </si>
  <si>
    <t>MYPT1_HUMAN</t>
  </si>
  <si>
    <t>O14974</t>
  </si>
  <si>
    <t>B4DZ09; F8VWB4; Q2NKL4; Q569H0; Q86WU3; Q8NFR6; Q9BYH0</t>
  </si>
  <si>
    <t>3D-structure; Alternative splicing; ANK repeat; Cytoplasm; Cytoskeleton; Hydroxylation; Phosphoprotein; Polymorphism; Repeat</t>
  </si>
  <si>
    <t>cellular response to drug {GO:0035690}; centrosome cycle {GO:0007098}; G2/M transition of mitotic cell cycle {GO:0000086}; mitotic cell cycle {GO:0000278}; negative regulation of catalytic activity {GO:0043086}; positive regulation of myosin-light-chain-phosphatase activity {GO:0035508}; positive regulation of transcription by RNA polymerase II {GO:0045944}; protein dephosphorylation {GO:0006470}; regulation of cell adhesion {GO:0030155}; regulation of myosin-light-chain-phosphatase activity {GO:0035507}; regulation of nucleocytoplasmic transport {GO:0046822}; signal transduction {GO:0007165}</t>
  </si>
  <si>
    <t>A band {GO:0031672}; actin cytoskeleton {GO:0015629}; centrosome {GO:0005813}; contractile fiber {GO:0043292}; cytoplasm {GO:0005737}; cytosol {GO:0005829}; focal adhesion {GO:0005925}; kinetochore {GO:0000776}; nucleoplasm {GO:0005654}; PTW/PP1 phosphatase complex {GO:0072357}; Z disc {GO:0030018}</t>
  </si>
  <si>
    <t>14-3-3 protein binding {GO:0071889}; enzyme inhibitor activity {GO:0004857}; phosphatase regulator activity {GO:0019208}; protein kinase binding {GO:0019901}</t>
  </si>
  <si>
    <t>Regulation of PLK1 Activity at G2/M Transition {R-HSA-2565942}; RHO GTPases activate PKNs {R-HSA-5625740}; RHO GTPases activate CIT {R-HSA-5625900}; RHO GTPases Activate ROCKs {R-HSA-5627117}; RHO GTPases activate PAKs {R-HSA-5627123}</t>
  </si>
  <si>
    <t>Myosin light chain 6B</t>
  </si>
  <si>
    <t>Myosin light chain 1 slow-twitch muscle A isoform (MLC1sa); Smooth muscle and nonmuscle myosin light chain alkali 6B</t>
  </si>
  <si>
    <t>MYL6B_HUMAN</t>
  </si>
  <si>
    <t>P14649</t>
  </si>
  <si>
    <t>MLC1SA</t>
  </si>
  <si>
    <t>3D-structure; Motor protein; Muscle protein; Myosin; Repeat</t>
  </si>
  <si>
    <t>muscle contraction {GO:0006936}; muscle filament sliding {GO:0030049}; skeletal muscle tissue development {GO:0007519}</t>
  </si>
  <si>
    <t>cytosol {GO:0005829}; extracellular exosome {GO:0070062}; muscle myosin complex {GO:0005859}; myosin complex {GO:0016459}; unconventional myosin complex {GO:0016461}</t>
  </si>
  <si>
    <t>calcium ion binding {GO:0005509}; motor activity {GO:0003774}; structural constituent of muscle {GO:0008307}</t>
  </si>
  <si>
    <t>Myosin light polypeptide 6</t>
  </si>
  <si>
    <t>17 kDa myosin light chain (LC17); Myosin light chain 3 (MLC-3); Myosin light chain alkali 3 (Myosin light chain A3); Smooth muscle and nonmuscle myosin light chain alkali 6</t>
  </si>
  <si>
    <t>MYL6_HUMAN</t>
  </si>
  <si>
    <t>P60660</t>
  </si>
  <si>
    <t>P16475; P24572; P24573; Q12790; Q561V9; Q6IAZ0; Q6IPY5</t>
  </si>
  <si>
    <t>Acetylation; Alternative splicing; Motor protein; Muscle protein; Myosin; Phosphoprotein; Polymorphism; Repeat</t>
  </si>
  <si>
    <t>brush border {GO:0005903}; cytosol {GO:0005829}; extracellular exosome {GO:0070062}; membrane {GO:0016020}; myosin complex {GO:0016459}; unconventional myosin complex {GO:0016461}; vesicle {GO:0031982}</t>
  </si>
  <si>
    <t>actin-dependent ATPase activity {GO:0030898}; calcium ion binding {GO:0005509}; motor activity {GO:0003774}; structural constituent of muscle {GO:0008307}</t>
  </si>
  <si>
    <t>Cullin-associated NEDD8-dissociated protein 1</t>
  </si>
  <si>
    <t>Cullin-associated and neddylation-dissociated protein 1; TBP-interacting protein of 120 kDa A (TBP-interacting protein 120A); p120 CAND1</t>
  </si>
  <si>
    <t>CAND1_HUMAN</t>
  </si>
  <si>
    <t>Q86VP6</t>
  </si>
  <si>
    <t>B2RAU3; O94918; Q6PIY4; Q8NDJ4; Q96JZ9; Q96T19; Q9BTC4; Q9H0G2; Q9P0H7; Q9UF85</t>
  </si>
  <si>
    <t>KIAA0829; TIP120; TIP120A</t>
  </si>
  <si>
    <t>3D-structure; Acetylation; Alternative splicing; Cytoplasm; Nucleus; Phosphoprotein; Polymorphism; Repeat; Ubl conjugation pathway</t>
  </si>
  <si>
    <t>cell differentiation {GO:0030154}; cellular iron ion homeostasis {GO:0006879}; negative regulation of catalytic activity {GO:0043086}; neutrophil degranulation {GO:0043312}; positive regulation of RNA polymerase II transcriptional preinitiation complex assembly {GO:0045899}; post-translational protein modification {GO:0043687}; protein ubiquitination {GO:0016567}; SCF complex assembly {GO:0010265}</t>
  </si>
  <si>
    <t>cullin-RING ubiquitin ligase complex {GO:0031461}; cytoplasm {GO:0005737}; cytosol {GO:0005829}; extracellular exosome {GO:0070062}; extracellular region {GO:0005576}; ficolin-1-rich granule lumen {GO:1904813}; Golgi apparatus {GO:0005794}; membrane {GO:0016020}; nucleoplasm {GO:0005654}; nucleus {GO:0005634}; secretory granule lumen {GO:0034774}; ubiquitin ligase complex {GO:0000151}</t>
  </si>
  <si>
    <t>TBP-class protein binding {GO:0017025}</t>
  </si>
  <si>
    <t>Neutrophil degranulation {R-HSA-6798695}; Neddylation {R-HSA-8951664}; Iron uptake and transport {R-HSA-917937}</t>
  </si>
  <si>
    <t>Eukaryotic translation initiation factor 4B (eIF-4B)</t>
  </si>
  <si>
    <t>IF4B_HUMAN</t>
  </si>
  <si>
    <t>P23588</t>
  </si>
  <si>
    <t>B4DS13; Q4G0E3; Q53HQ2; Q6GPH5; Q6IB46; Q8WYK5</t>
  </si>
  <si>
    <t>3D-structure; Acetylation; Alternative splicing; Initiation factor; Isopeptide bond; Phosphoprotein; Polymorphism; Protein biosynthesis; RNA-binding; Ubl conjugation</t>
  </si>
  <si>
    <t>cytoplasmic translation {GO:0002181}; eukaryotic translation initiation factor 4F complex assembly {GO:0097010}; formation of translation preinitiation complex {GO:0001731}; regulation of translational initiation {GO:0006446}; translational initiation {GO:0006413}</t>
  </si>
  <si>
    <t>cytosol {GO:0005829}; eukaryotic translation initiation factor 4F complex {GO:0016281}; polysome {GO:0005844}</t>
  </si>
  <si>
    <t>ribosomal small subunit binding {GO:0043024}; RNA binding {GO:0003723}; RNA strand annealing activity {GO:0033592}; RNA strand-exchange activity {GO:0034057}; translation initiation factor activity {GO:0003743}</t>
  </si>
  <si>
    <t>L13a-mediated translational silencing of Ceruloplasmin expression {R-HSA-156827}; mTORC1-mediated signalling {R-HSA-166208}; Deadenylation of mRNA {R-HSA-429947};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</si>
  <si>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Glycerol-3-phosphate dehydrogenase [NAD(+)], cytoplasmic (GPD-C; GPDH-C)</t>
  </si>
  <si>
    <t>GPDA_HUMAN</t>
  </si>
  <si>
    <t>P21695</t>
  </si>
  <si>
    <t>F8W1L5; Q8N1B0</t>
  </si>
  <si>
    <t>3D-structure; Alternative splicing; Cytoplasm; Disease mutation; NAD; Oxidoreductase; Phosphoprotein; Polymorphism</t>
  </si>
  <si>
    <t>cellular response to cAMP {GO:0071320}; cellular response to tumor necrosis factor {GO:0071356}; gluconeogenesis {GO:0006094}; glycerol-3-phosphate catabolic process {GO:0046168}; glycerol-3-phosphate metabolic process {GO:0006072}; glycerophosphate shuttle {GO:0006127}; NADH oxidation {GO:0006116}; phosphatidic acid biosynthetic process {GO:0006654}; positive regulation of glycolytic process {GO:0045821}</t>
  </si>
  <si>
    <t>cytosol {GO:0005829}; extracellular exosome {GO:0070062}; glycerol-3-phosphate dehydrogenase complex {GO:0009331}</t>
  </si>
  <si>
    <t>glycerol-3-phosphate dehydrogenase (quinone) activity {GO:0004368}; glycerol-3-phosphate dehydrogenase [NAD+] activity {GO:0004367}; NAD binding {GO:0051287}; protein homodimerization activity {GO:0042803}</t>
  </si>
  <si>
    <t>Thymopentin</t>
  </si>
  <si>
    <t>Thymopoietin isoform alpha (TP alpha); Thymopoietin-related peptide isoform alpha (TPRP isoform alpha; TP); Splenin; TP5</t>
  </si>
  <si>
    <t>LAP2A_HUMAN</t>
  </si>
  <si>
    <t>P42166</t>
  </si>
  <si>
    <t>P08918; P08919; Q14860; Q16295</t>
  </si>
  <si>
    <t>LAP2</t>
  </si>
  <si>
    <t>3D-structure; Acetylation; Alternative splicing; Cardiomyopathy; Chromosome; Coiled coil; DNA-binding; Methylation; Nucleus; Pharmaceutical; Phosphoprotein; Polymorphism</t>
  </si>
  <si>
    <t>Cardiomyopathy</t>
  </si>
  <si>
    <t>chromatin {GO:0000785}; nuclear envelope {GO:0005635}; nucleus {GO:0005634}</t>
  </si>
  <si>
    <t>cadherin binding {GO:0045296}; DNA binding {GO:0003677}; lamin binding {GO:0005521}</t>
  </si>
  <si>
    <t>V-type proton ATPase subunit E 1 (V-ATPase subunit E 1)</t>
  </si>
  <si>
    <t>V-ATPase 31 kDa subunit (p31); Vacuolar proton pump subunit E 1</t>
  </si>
  <si>
    <t>VATE1_HUMAN</t>
  </si>
  <si>
    <t>P36543</t>
  </si>
  <si>
    <t>A8MUE4; A8MUN4</t>
  </si>
  <si>
    <t>ATP6E; ATP6E2</t>
  </si>
  <si>
    <t>Acetylation; Alternative splicing; Disease mutation; Hydrogen ion transport; Hydrolase; Ion transport; Phosphoprotein; Polymorphism; Transport</t>
  </si>
  <si>
    <t>ATP hydrolysis coupled proton transport {GO:0015991}; insulin receptor signaling pathway {GO:0008286}; ion transmembrane transport {GO:0034220}; phagosome acidification {GO:0090383}; proton transmembrane transport {GO:1902600}; regulation of macroautophagy {GO:0016241}; transferrin transport {GO:0033572}</t>
  </si>
  <si>
    <t>apical plasma membrane {GO:0016324}; cytosol {GO:0005829}; endosome {GO:0005768}; extracellular exosome {GO:0070062}; lysosomal membrane {GO:0005765}; proton-transporting two-sector ATPase complex {GO:0016469}; proton-transporting two-sector ATPase complex, catalytic domain {GO:0033178}</t>
  </si>
  <si>
    <t>Peptidyl-prolyl cis-trans isomerase FKBP4, N-terminally processed</t>
  </si>
  <si>
    <t>51 kDa FK506-binding protein (FKBP51); 52 kDa FK506-binding protein (52 kDa FKBP; FKBP-52); 59 kDa immunophilin (p59); FK506-binding protein 4 (FKBP-4); FKBP59; HSP-binding immunophilin (HBI); Immunophilin FKBP52; Rotamase</t>
  </si>
  <si>
    <t>FKBP4_HUMAN</t>
  </si>
  <si>
    <t>Q02790</t>
  </si>
  <si>
    <t>D3DUQ1; Q9UCP1; Q9UCV7</t>
  </si>
  <si>
    <t>FKBP52</t>
  </si>
  <si>
    <t>3D-structure; Acetylation; Cell projection; Chaperone; Cytoplasm; Cytoskeleton; Isomerase; Isopeptide bond; Methylation; Microtubule; Mitochondrion; Nucleus; Phosphoprotein; Polymorphism; Repeat; Rotamase; TPR repeat; Ubl conjugation</t>
  </si>
  <si>
    <t>Cell projection; Cytoplasm; Cytoskeleton; Microtubule; Mitochondrion; Nucleus</t>
  </si>
  <si>
    <t>androgen receptor signaling pathway {GO:0030521}; chaperone-mediated protein folding {GO:0061077}; copper ion transport {GO:0006825}; embryo implantation {GO:0007566}; male sex differentiation {GO:0046661}; negative regulation of microtubule polymerization {GO:0031115}; negative regulation of microtubule polymerization or depolymerization {GO:0031111}; negative regulation of neuron projection development {GO:0010977}; prostate gland development {GO:0030850}; protein folding {GO:0006457}; protein peptidyl-prolyl isomerization {GO:0000413}; protein-containing complex localization {GO:0031503}; regulation of cellular response to heat {GO:1900034}; steroid hormone receptor complex assembly {GO:0006463}</t>
  </si>
  <si>
    <t>axonal growth cone {GO:0044295}; cytoplasm {GO:0005737}; cytosol {GO:0005829}; extracellular exosome {GO:0070062}; microtubule {GO:0005874}; mitochondrion {GO:0005739}; neuronal cell body {GO:0043025}; nucleoplasm {GO:0005654}; perinuclear region of cytoplasm {GO:0048471}; protein-containing complex {GO:0032991}</t>
  </si>
  <si>
    <t>ATP binding {GO:0005524}; copper-dependent protein binding {GO:0032767}; FK506 binding {GO:0005528}; glucocorticoid receptor binding {GO:0035259}; GTP binding {GO:0005525}; heat shock protein binding {GO:0031072}; peptidyl-prolyl cis-trans isomerase activity {GO:0003755}; phosphoprotein binding {GO:0051219}; protein binding, bridging {GO:0030674}; RNA binding {GO:0003723}; tau protein binding {GO:0048156}</t>
  </si>
  <si>
    <t>HSP90 chaperone cycle for steroid hormone receptors (SHR) {R-HSA-3371497}; Attenuation phase {R-HSA-3371568}; ESR-mediated signaling {R-HSA-8939211}; Estrogen-dependent gene expression {R-HSA-9018519}</t>
  </si>
  <si>
    <t>Thiosulfate sulfurtransferase</t>
  </si>
  <si>
    <t>Rhodanese</t>
  </si>
  <si>
    <t>THTR_HUMAN</t>
  </si>
  <si>
    <t>Q16762</t>
  </si>
  <si>
    <t>B3KRM1; Q6IB06</t>
  </si>
  <si>
    <t>Acetylation; Glycoprotein; Mitochondrion; Phosphoprotein; Polymorphism; Repeat; RNA-binding; Transferase</t>
  </si>
  <si>
    <t>RNA-binding; Transferase</t>
  </si>
  <si>
    <t>cyanate catabolic process {GO:0009440}; epithelial cell differentiation {GO:0030855}; rRNA import into mitochondrion {GO:0035928}; rRNA transport {GO:0051029}; sulfur amino acid catabolic process {GO:0000098}</t>
  </si>
  <si>
    <t>extracellular space {GO:0005615}; mitochondrial matrix {GO:0005759}; mitochondrion {GO:0005739}</t>
  </si>
  <si>
    <t>5S rRNA binding {GO:0008097}; thiosulfate sulfurtransferase activity {GO:0004792}</t>
  </si>
  <si>
    <t>Sulfide oxidation to sulfate {R-HSA-1614517}; Degradation of cysteine and homocysteine {R-HSA-1614558}</t>
  </si>
  <si>
    <t>3-mercaptopyruvate sulfurtransferase (MST)</t>
  </si>
  <si>
    <t>THTM_HUMAN</t>
  </si>
  <si>
    <t>P25325</t>
  </si>
  <si>
    <t>A8MZ34; B3KP52; J3KPV7; O75750; Q6FHN9</t>
  </si>
  <si>
    <t>TST2</t>
  </si>
  <si>
    <t>3D-structure; Acetylation; Alternative splicing; Cell junction; Cytoplasm; Disulfide bond; Mitochondrion; Phosphoprotein; Redox-active center; Repeat; Synapse; Synaptosome; Transferase</t>
  </si>
  <si>
    <t>Cell junction; Cytoplasm; Mitochondrion; Synapse; Synaptosome</t>
  </si>
  <si>
    <t>Redox-active center; Repeat</t>
  </si>
  <si>
    <t>cyanate catabolic process {GO:0009440}; hydrogen sulfide biosynthetic process {GO:0070814}; kidney development {GO:0001822}; liver development {GO:0001889}; response to toxic substance {GO:0009636}; spinal cord development {GO:0021510}; sulfur amino acid catabolic process {GO:0000098}; transsulfuration {GO:0019346}</t>
  </si>
  <si>
    <t>cell junction {GO:0030054}; cytosol {GO:0005829}; extracellular exosome {GO:0070062}; mitochondrial matrix {GO:0005759}; neuron projection {GO:0043005}; synapse {GO:0045202}</t>
  </si>
  <si>
    <t>3-mercaptopyruvate sulfurtransferase activity {GO:0016784}; identical protein binding {GO:0042802}; thiosulfate sulfurtransferase activity {GO:0004792}</t>
  </si>
  <si>
    <t>Activin receptor type-1B</t>
  </si>
  <si>
    <t>Activin receptor type IB (ACTR-IB); Activin receptor-like kinase 4 (ALK-4); Serine/threonine-protein kinase receptor R2 (SKR2)</t>
  </si>
  <si>
    <t>ACV1B_HUMAN</t>
  </si>
  <si>
    <t>P36896</t>
  </si>
  <si>
    <t>B7Z5L8; B7Z5W5; Q15479; Q15480; Q15481; Q15482</t>
  </si>
  <si>
    <t>ACVRLK4; ALK4</t>
  </si>
  <si>
    <t>Alternative splicing; ATP-binding; Cell membrane; Glycoprotein; Kinase; Magnesium; Manganese; Membrane; Metal-binding; Nucleotide-binding; Phosphoprotein; Polymorphism; Receptor; Serine/threonine-protein kinase; Signal; Transferase; Transmembrane; Transmembrane helix; Ubl conjugation</t>
  </si>
  <si>
    <t>activin receptor signaling pathway {GO:0032924}; central nervous system development {GO:0007417}; development of primary female sexual characteristics {GO:0046545}; extrinsic apoptotic signaling pathway {GO:0097191}; G1/S transition of mitotic cell cycle {GO:0000082}; hair follicle development {GO:0001942}; in utero embryonic development {GO:0001701}; negative regulation of cell growth {GO:0030308}; negative regulation of gene expression {GO:0010629}; nodal signaling pathway {GO:0038092}; pattern specification process {GO:0007389}; peptidyl-threonine phosphorylation {GO:0018107}; positive regulation of activin receptor signaling pathway {GO:0032927}; positive regulation of erythrocyte differentiation {GO:0045648}; positive regulation of pathway-restricted SMAD protein phosphorylation {GO:0010862}; positive regulation of transcription by RNA polymerase II {GO:0045944}; positive regulation of trophoblast cell migration {GO:1901165}; protein autophosphorylation {GO:0046777}; protein phosphorylation {GO:0006468}; regulation of transcription, DNA-templated {GO:0006355}; signal transduction {GO:0007165}; transforming growth factor beta receptor signaling pathway {GO:0007179}; transmembrane receptor protein serine/threonine kinase signaling pathway {GO:0007178}</t>
  </si>
  <si>
    <t>activin receptor complex {GO:0048179}; cell surface {GO:0009986}; cytosol {GO:0005829}; integral component of plasma membrane {GO:0005887}; plasma membrane {GO:0005886}; receptor complex {GO:0043235}</t>
  </si>
  <si>
    <t>activin binding {GO:0048185}; activin receptor activity, type I {GO:0016361}; ATP binding {GO:0005524}; growth factor binding {GO:0019838}; inhibin binding {GO:0034711}; metal ion binding {GO:0046872}; protein serine/threonine kinase activity {GO:0004674}; SMAD binding {GO:0046332}; transforming growth factor beta receptor activity, type I {GO:0005025}; transforming growth factor beta-activated receptor activity {GO:0005024}; transmembrane receptor protein serine/threonine kinase activity {GO:0004675}; ubiquitin protein ligase binding {GO:0031625}</t>
  </si>
  <si>
    <t>Signaling by NODAL {R-HSA-1181150}; Regulation of signaling by NODAL {R-HSA-1433617}; Signaling by Activin {R-HSA-1502540}</t>
  </si>
  <si>
    <t>Plexin-B2</t>
  </si>
  <si>
    <t>MM1</t>
  </si>
  <si>
    <t>PLXB2_HUMAN</t>
  </si>
  <si>
    <t>O15031</t>
  </si>
  <si>
    <t>A6QRH0; Q7KZU3; Q9BSU7</t>
  </si>
  <si>
    <t>KIAA0315</t>
  </si>
  <si>
    <t>3D-structure; Cell membrane; Developmental protein; Disulfide bond; Glycoprotein; Membrane; Phosphoprotein; Polymorphism; Receptor; Repeat; Signal; Transmembrane; Transmembrane helix</t>
  </si>
  <si>
    <t>brain development {GO:0007420}; excitatory synapse assembly {GO:1904861}; homophilic cell adhesion via plasma membrane adhesion molecules {GO:0007156}; negative regulation of cell adhesion {GO:0007162}; neural tube closure {GO:0001843}; neuroblast proliferation {GO:0007405}; positive regulation of axonogenesis {GO:0050772}; positive regulation of neuron projection development {GO:0010976}; regulation of cell migration {GO:0030334}; regulation of cell shape {GO:0008360}; regulation of GTPase activity {GO:0043087}; regulation of neuron migration {GO:2001222}; regulation of protein phosphorylation {GO:0001932}; semaphorin-plexin signaling pathway {GO:0071526}; semaphorin-plexin signaling pathway involved in axon guidance {GO:1902287}</t>
  </si>
  <si>
    <t>cell surface {GO:0009986}; extracellular exosome {GO:0070062}; integral component of plasma membrane {GO:0005887}; semaphorin receptor complex {GO:0002116}</t>
  </si>
  <si>
    <t>semaphorin receptor activity {GO:0017154}</t>
  </si>
  <si>
    <t>ADP-ribosylation factor GTPase-activating protein 3 (ARF GAP 3)</t>
  </si>
  <si>
    <t>ARFG3_HUMAN</t>
  </si>
  <si>
    <t>Q9NP61</t>
  </si>
  <si>
    <t>E9PB03; Q9BSC6; Q9H9J0; Q9NT10; Q9NUP5; Q9Y4V3; Q9Y4V4</t>
  </si>
  <si>
    <t>ARFGAP1</t>
  </si>
  <si>
    <t>3D-structure; Alternative splicing; Coiled coil; Cytoplasm; ER-Golgi transport; Golgi apparatus; GTPase activation; Membrane; Metal-binding; Phosphoprotein; Polymorphism; Protein transport; Transport; Zinc; Zinc-finger</t>
  </si>
  <si>
    <t>Cytoplasm; Golgi apparatus; Membrane</t>
  </si>
  <si>
    <t>Coiled coil; Zinc-finger</t>
  </si>
  <si>
    <t>COPI coating of Golgi vesicle {GO:0048205}; endoplasmic reticulum to Golgi vesicle-mediated transport {GO:0006888}; intracellular protein transport {GO:0006886}; protein secretion {GO:0009306}; retrograde vesicle-mediated transport, Golgi to endoplasmic reticulum {GO:0006890}; vesicle-mediated transport {GO:0016192}</t>
  </si>
  <si>
    <t>cytosol {GO:0005829}; Golgi apparatus {GO:0005794}; Golgi membrane {GO:0000139}; membrane {GO:0016020}; trans-Golgi network {GO:0005802}</t>
  </si>
  <si>
    <t>GTPase activator activity {GO:0005096}; metal ion binding {GO:0046872}</t>
  </si>
  <si>
    <t>Plexin domain-containing protein 2</t>
  </si>
  <si>
    <t>Tumor endothelial marker 7-related protein</t>
  </si>
  <si>
    <t>PXDC2_HUMAN</t>
  </si>
  <si>
    <t>Q6UX71</t>
  </si>
  <si>
    <t>Q96E59; Q96PD9; Q96SU9</t>
  </si>
  <si>
    <t>TEM7R</t>
  </si>
  <si>
    <t>GTPase KRas, N-terminally processed</t>
  </si>
  <si>
    <t>K-Ras 2; Ki-Ras; c-K-ras; c-Ki-ras</t>
  </si>
  <si>
    <t>RASK_HUMAN</t>
  </si>
  <si>
    <t>P01116</t>
  </si>
  <si>
    <t>A8K8Z5; B0LPF9; P01118; Q96D10</t>
  </si>
  <si>
    <t>KRAS2; RASK2</t>
  </si>
  <si>
    <t>3D-structure; Acetylation; Alternative splicing; Cardiomyopathy; Cell membrane; Cytoplasm; Deafness; Disease mutation; Ectodermal dysplasia; GTP-binding; Isopeptide bond; Lipoprotein; Membrane; Mental retardation; Methylation; Nucleotide-binding; Palmitate; Polymorphism; Prenylation; Proto-oncogene; Ubl conjugation</t>
  </si>
  <si>
    <t>Cardiomyopathy; Deafness; Disease mutation; Ectodermal dysplasia; Mental retardation; Proto-oncogene</t>
  </si>
  <si>
    <t>Acetylation; Isopeptide bond; Lipoprotein; Methylation; Palmitate; Prenylation; Ubl conjugation</t>
  </si>
  <si>
    <t>actin cytoskeleton organization {GO:0030036}; cytokine-mediated signaling pathway {GO:0019221}; endocrine signaling {GO:0038002}; epithelial tube branching involved in lung morphogenesis {GO:0060441}; female pregnancy {GO:0007565}; forebrain astrocyte development {GO:0021897}; homeostasis of number of cells within a tissue {GO:0048873}; liver development {GO:0001889}; MAPK cascade {GO:0000165}; negative regulation of cell differentiation {GO:0045596}; negative regulation of neuron apoptotic process {GO:0043524}; positive regulation of cell population proliferation {GO:0008284}; positive regulation of cellular senescence {GO:2000774}; positive regulation of gene expression {GO:0010628}; positive regulation of MAP kinase activity {GO:0043406}; positive regulation of NF-kappaB transcription factor activity {GO:0051092}; positive regulation of nitric-oxide synthase activity {GO:0051000}; positive regulation of protein phosphorylation {GO:0001934}; positive regulation of Rac protein signal transduction {GO:0035022}; Ras protein signal transduction {GO:0007265}; regulation of long-term neuronal synaptic plasticity {GO:0048169}; regulation of protein stability {GO:0031647}; regulation of synaptic transmission, GABAergic {GO:0032228}; response to glucocorticoid {GO:0051384}; response to isolation stress {GO:0035900}; response to mineralocorticoid {GO:0051385}; stimulatory C-type lectin receptor signaling pathway {GO:0002223}; striated muscle cell differentiation {GO:0051146}; visual learning {GO:0008542}</t>
  </si>
  <si>
    <t>cytoplasm {GO:0005737}; cytosol {GO:0005829}; extrinsic component of cytoplasmic side of plasma membrane {GO:0031234}; focal adhesion {GO:0005925}; membrane {GO:0016020}; membrane raft {GO:0045121}; mitochondrion {GO:0005739}; plasma membrane {GO:0005886}</t>
  </si>
  <si>
    <t>GDP binding {GO:0019003}; GMP binding {GO:0019002}; GTP binding {GO:0005525}; GTPase activity {GO:0003924}; identical protein binding {GO:0042802}; LRR domain binding {GO:0030275}; protein-containing complex binding {GO:0044877}</t>
  </si>
  <si>
    <t>SOS-mediated signalling {R-HSA-112412}; Activation of RAS in B cells {R-HSA-1169092}; Constitutive Signaling by Ligand-Responsive EGFR Cancer Variants {R-HSA-1236382}; SHC1 events in ERBB2 signaling {R-HSA-1250196}; SHC1 events in ERBB4 signaling {R-HSA-1250347}; Signaling by SCF-KIT {R-HSA-1433557}; Signalling to RAS {R-HSA-167044}; p38MAPK events {R-HSA-171007}; GRB2 events in EGFR signaling {R-HSA-179812}; SHC1 events in EGFR signaling {R-HSA-180336}; Downstream signal transduction {R-HSA-186763}; GRB2 events in ERBB2 signaling {R-HSA-1963640}; Tie2 Signaling {R-HSA-210993}; EGFR Transactivation by Gastrin {R-HSA-2179392}; DAP12 signaling {R-HSA-2424491}; SHC-related events triggered by IGF1R {R-HSA-2428933}; FCERI mediated MAPK activation {R-HSA-2871796}; NCAM signaling for neurite out-growth {R-HSA-375165}; Ras activation upon Ca2+ influx through NMDA receptor {R-HSA-442982}; VEGFR2 mediated cell proliferation {R-HSA-5218921}; CD209 (DC-SIGN) signaling {R-HSA-5621575}; Constitutive Signaling by EGFRvIII {R-HSA-5637810}; SHC-mediated cascade:FGFR1 {R-HSA-5654688}; FRS-mediated FGFR1 signaling {R-HSA-5654693}; SHC-mediated cascade:FGFR2 {R-HSA-5654699}; FRS-mediated FGFR2 signaling {R-HSA-5654700}; SHC-mediated cascade:FGFR3 {R-HSA-5654704}; FRS-mediated FGFR3 signaling {R-HSA-5654706}; FRS-mediated FGFR4 signaling {R-HSA-5654712}; SHC-mediated cascade:FGFR4 {R-HSA-5654719}; Signaling by FGFR2 in disease {R-HSA-5655253}; Signaling by FGFR4 in disease {R-HSA-5655291}; Signaling by FGFR1 in disease {R-HSA-5655302}; Regulation of RAS by GAPs {R-HSA-5658442}; RAF activation {R-HSA-5673000}; RAF/MAP kinase cascade {R-HSA-5673001}; 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RAS signaling downstream of NF1 loss-of-function variants {R-HSA-6802953}; Paradoxical activation of RAF signaling by kinase inactive BRAF {R-HSA-6802955}; Insulin receptor signalling cascade {R-HSA-74751}; PTK6 Regulates RHO GTPases, RAS GTPase and MAP kinases {R-HSA-8849471}; MET activates RAS signaling {R-HSA-8851805}; Signaling by FGFR3 fusions in cancer {R-HSA-8853334}; Signaling by FGFR3 point mutants in cancer {R-HSA-8853338}; RUNX3 regulates p14-ARF {R-HSA-8951936}; Activated NTRK2 signals through RAS {R-HSA-9026519}; Erythropoietin activates RAS {R-HSA-9027284}; Activated NTRK2 signals through FRS2 and FRS3 {R-HSA-9028731}; Activated NTRK3 signals through RAS {R-HSA-9034864}; Estrogen-stimulated signaling through PRKCZ {R-HSA-9634635}</t>
  </si>
  <si>
    <t>ADP-ribosylation factor 3</t>
  </si>
  <si>
    <t>ARF3_HUMAN</t>
  </si>
  <si>
    <t>P61204</t>
  </si>
  <si>
    <t>A8K6G8; B7ZB63; P16587</t>
  </si>
  <si>
    <t>Alternative splicing; Cytoplasm; ER-Golgi transport; Golgi apparatus; GTP-binding; Lipoprotein; Myristate; Nucleotide-binding; Protein transport; Transport</t>
  </si>
  <si>
    <t>Golgi to plasma membrane transport {GO:0006893}; intracellular protein transport {GO:0006886}; phosphatidylinositol biosynthetic process {GO:0006661}; retrograde vesicle-mediated transport, Golgi to endoplasmic reticulum {GO:0006890}; vesicle-mediated transport {GO:0016192}</t>
  </si>
  <si>
    <t>cytoplasm {GO:0005737}; extracellular exosome {GO:0070062}; Golgi apparatus {GO:0005794}; Golgi membrane {GO:0000139}; perinuclear region of cytoplasm {GO:0048471}; plasma membrane {GO:0005886}</t>
  </si>
  <si>
    <t>Synthesis of PIPs at the Golgi membrane {R-HSA-1660514}; COPI-mediated anterograde transport {R-HSA-6807878}; COPI-dependent Golgi-to-ER retrograde traffic {R-HSA-6811434}</t>
  </si>
  <si>
    <t>Extended synaptotagmin-1 (E-Syt1)</t>
  </si>
  <si>
    <t>Membrane-bound C2 domain-containing protein</t>
  </si>
  <si>
    <t>ESYT1_HUMAN</t>
  </si>
  <si>
    <t>Q9BSJ8</t>
  </si>
  <si>
    <t>A0FGR7; A8K2S2; O94848; Q6PJN4; Q9H6J1; Q9H6W2; Q9Y416</t>
  </si>
  <si>
    <t>Acetylation; Alternative splicing; Calcium; Cell membrane; Coiled coil; Endoplasmic reticulum; Lipid transport; Lipid-binding; Membrane; Metal-binding; Phosphoprotein; Polymorphism; Repeat; Transmembrane; Transmembrane helix; Transport</t>
  </si>
  <si>
    <t>Cell membrane; Endoplasmic reticulum; Membrane</t>
  </si>
  <si>
    <t>Coiled coil; Repeat; Transmembrane; Transmembrane helix</t>
  </si>
  <si>
    <t>Calcium; Lipid-binding; Metal-binding</t>
  </si>
  <si>
    <t>endoplasmic reticulum-plasma membrane tethering {GO:0061817}; glycosphingolipid metabolic process {GO:0006687}; lipid transport {GO:0006869}</t>
  </si>
  <si>
    <t>endoplasmic reticulum {GO:0005783}; endoplasmic reticulum membrane {GO:0005789}; extrinsic component of cytoplasmic side of plasma membrane {GO:0031234}; integral component of endoplasmic reticulum membrane {GO:0030176}; intrinsic component of endoplasmic reticulum membrane {GO:0031227}; membrane {GO:0016020}</t>
  </si>
  <si>
    <t>calcium ion binding {GO:0005509}; calcium-dependent phospholipid binding {GO:0005544}; identical protein binding {GO:0042802}; phosphatidylcholine binding {GO:0031210}; phosphatidylethanolamine binding {GO:0008429}; phosphatidylinositol binding {GO:0035091}</t>
  </si>
  <si>
    <t>Microfibrillar-associated protein 5 (MFAP-5)</t>
  </si>
  <si>
    <t>MP25; Microfibril-associated glycoprotein 2 (MAGP-2)</t>
  </si>
  <si>
    <t>MFAP5_HUMAN</t>
  </si>
  <si>
    <t>Q13361</t>
  </si>
  <si>
    <t>B0AZL6; D3DUV1; Q7Z490</t>
  </si>
  <si>
    <t>MAGP2</t>
  </si>
  <si>
    <t>Alternative splicing; Aortic aneurysm; Disease mutation; Disulfide bond; Extracellular matrix; Glycoprotein; Polymorphism; Secreted; Signal</t>
  </si>
  <si>
    <t>definitive hemopoiesis {GO:0060216}; extracellular matrix organization {GO:0030198}; supramolecular fiber organization {GO:0097435}</t>
  </si>
  <si>
    <t>collagen-containing extracellular matrix {GO:0062023}; extracellular region {GO:0005576}; microfibril {GO:0001527}</t>
  </si>
  <si>
    <t>Serine/threonine-protein kinase receptor R3 (SKR3)</t>
  </si>
  <si>
    <t>Activin receptor-like kinase 1 (ALK-1); TGF-B superfamily receptor type I (TSR-I)</t>
  </si>
  <si>
    <t>ACVL1_HUMAN</t>
  </si>
  <si>
    <t>P37023</t>
  </si>
  <si>
    <t>A6NGA8</t>
  </si>
  <si>
    <t>ACVRLK1; ALK1</t>
  </si>
  <si>
    <t>3D-structure; Angiogenesis; ATP-binding; Cell membrane; Disease mutation; Disulfide bond; Glycoprotein; Kinase; Magnesium; Manganese; Membrane; Metal-binding; Nucleotide-binding; Phosphoprotein; Polymorphism; Receptor; Serine/threonine-protein kinase; Signal; Transferase; Transmembrane; Transmembrane helix</t>
  </si>
  <si>
    <t>angiogenesis {GO:0001525}; artery development {GO:0060840}; blood circulation {GO:0008015}; blood vessel endothelial cell proliferation involved in sprouting angiogenesis {GO:0002043}; blood vessel maturation {GO:0001955}; blood vessel remodeling {GO:0001974}; BMP signaling pathway {GO:0030509}; cellular response to BMP stimulus {GO:0071773}; cellular response to transforming growth factor beta stimulus {GO:0071560}; dorsal aorta morphogenesis {GO:0035912}; endocardial cushion morphogenesis {GO:0003203}; endothelial tube morphogenesis {GO:0061154}; in utero embryonic development {GO:0001701}; lymphangiogenesis {GO:0001946}; lymphatic endothelial cell differentiation {GO:0060836}; negative regulation of blood vessel endothelial cell migration {GO:0043537}; negative regulation of cell adhesion {GO:0007162}; negative regulation of cell growth {GO:0030308}; negative regulation of cell migration {GO:0030336}; negative regulation of cell population proliferation {GO:0008285}; negative regulation of DNA biosynthetic process {GO:2000279}; negative regulation of endothelial cell differentiation {GO:0045602}; negative regulation of endothelial cell migration {GO:0010596}; negative regulation of endothelial cell proliferation {GO:0001937}; negative regulation of focal adhesion assembly {GO:0051895}; negative regulation of gene expression {GO:0010629}; pattern specification process {GO:0007389}; positive regulation of angiogenesis {GO:0045766}; positive regulation of BMP signaling pathway {GO:0030513}; positive regulation of chondrocyte differentiation {GO:0032332}; positive regulation of endothelial cell differentiation {GO:0045603}; positive regulation of endothelial cell proliferation {GO:0001938}; positive regulation of pathway-restricted SMAD protein phosphorylation {GO:0010862}; positive regulation of transcription by RNA polymerase II {GO:0045944}; positive regulation of transcription, DNA-templated {GO:0045893}; protein phosphorylation {GO:0006468}; regulation of blood pressure {GO:0008217}; regulation of blood vessel endothelial cell migration {GO:0043535}; regulation of DNA replication {GO:0006275}; regulation of endothelial cell proliferation {GO:0001936}; regulation of transcription, DNA-templated {GO:0006355}; response to hypoxia {GO:0001666}; retina vasculature development in camera-type eye {GO:0061298}; signal transduction {GO:0007165}; transforming growth factor beta receptor signaling pathway {GO:0007179}; venous blood vessel development {GO:0060841}; wound healing, spreading of epidermal cells {GO:0035313}</t>
  </si>
  <si>
    <t>activin receptor complex {GO:0048179}; cell surface {GO:0009986}; dendrite {GO:0030425}; integral component of plasma membrane {GO:0005887}; neuronal cell body {GO:0043025}; plasma membrane {GO:0005886}; receptor complex {GO:0043235}</t>
  </si>
  <si>
    <t>activin binding {GO:0048185}; activin receptor activity, type I {GO:0016361}; ATP binding {GO:0005524}; BMP receptor activity {GO:0098821}; growth factor binding {GO:0019838}; metal ion binding {GO:0046872}; protein kinase binding {GO:0019901}; protein serine/threonine kinase activity {GO:0004674}; SMAD binding {GO:0046332}; transforming growth factor beta binding {GO:0050431}; transforming growth factor beta receptor activity, type I {GO:0005025}; transforming growth factor beta-activated receptor activity {GO:0005024}; transmembrane receptor protein serine/threonine kinase activity {GO:0004675}</t>
  </si>
  <si>
    <t>Glutamate dehydrogenase 1, mitochondrial (GDH 1)</t>
  </si>
  <si>
    <t>DHE3_HUMAN</t>
  </si>
  <si>
    <t>P00367</t>
  </si>
  <si>
    <t>B3KV55; B4DGN5; Q5TBU3</t>
  </si>
  <si>
    <t>GLUD</t>
  </si>
  <si>
    <t>3D-structure; Acetylation; ADP-ribosylation; Alternative splicing; ATP-binding; Disease mutation; GTP-binding; Mitochondrion; NADP; Nucleotide-binding; Oxidoreductase; Phosphoprotein; Transit peptide</t>
  </si>
  <si>
    <t>ATP-binding; GTP-binding; NADP; Nucleotide-binding</t>
  </si>
  <si>
    <t>ADP-ribosylation; Acetylation; Phosphoprotein</t>
  </si>
  <si>
    <t>cellular amino acid biosynthetic process {GO:0008652}; glutamate biosynthetic process {GO:0006537}; glutamate catabolic process {GO:0006538}; glutamine metabolic process {GO:0006541}; positive regulation of insulin secretion {GO:0032024}; substantia nigra development {GO:0021762}; tricarboxylic acid metabolic process {GO:0072350}</t>
  </si>
  <si>
    <t>ADP binding {GO:0043531}; ATP binding {GO:0005524}; glutamate dehydrogenase (NAD+) activity {GO:0004352}; glutamate dehydrogenase [NAD(P)+] activity {GO:0004353}; GTP binding {GO:0005525}; identical protein binding {GO:0042802}; leucine binding {GO:0070728}; NAD+ binding {GO:0070403}</t>
  </si>
  <si>
    <t>Transcriptional activation of mitochondrial biogenesis {R-HSA-2151201}; Amino acid synthesis and interconversion (transamination) {R-HSA-70614}</t>
  </si>
  <si>
    <t>Saposin-D</t>
  </si>
  <si>
    <t>Proactivator polypeptide; Protein A; Cerebroside sulfate activator (CSAct); Dispersin; Sphingolipid activator protein 1 (SAP-1); Sulfatide/GM1 activator; A1 activator; Co-beta-glucosidase; Glucosylceramidase activator; Sphingolipid activator protein 2 (SAP-2); Component C; Protein C</t>
  </si>
  <si>
    <t>SAP_HUMAN</t>
  </si>
  <si>
    <t>P07602</t>
  </si>
  <si>
    <t>P07292; P15793; P78538; P78541; P78546; P78547; P78558; Q53Y86; Q6IBQ6; Q92739; Q92740; Q92741; Q92742</t>
  </si>
  <si>
    <t>GLBA; SAP1</t>
  </si>
  <si>
    <t>3D-structure; Alternative splicing; Disease mutation; Disulfide bond; Gangliosidosis; Gaucher disease; Glycoprotein; Leukodystrophy; Lipid metabolism; Lysosome; Metachromatic leukodystrophy; Repeat; Secreted; Signal; Sphingolipid metabolism</t>
  </si>
  <si>
    <t>Disease mutation; Gangliosidosis; Gaucher disease; Leukodystrophy; Metachromatic leukodystrophy</t>
  </si>
  <si>
    <t>adenylate cyclase-inhibiting G protein-coupled receptor signaling pathway {GO:0007193}; cellular response to organic substance {GO:0071310}; cochlea development {GO:0090102}; corneocyte development {GO:0003335}; cornified envelope assembly {GO:1903575}; epithelial cell differentiation involved in prostate gland development {GO:0060742}; G protein-coupled receptor signaling pathway {GO:0007186}; galactosylceramide catabolic process {GO:0006683}; ganglioside GM1 transport to membrane {GO:1905572}; glycosphingolipid metabolic process {GO:0006687}; lipid transport {GO:0006869}; lysosomal transport {GO:0007041}; micturition {GO:0060073}; myelination {GO:0042552}; negative regulation of hydrogen peroxide-induced cell death {GO:1903206}; neuromuscular process controlling balance {GO:0050885}; neutrophil degranulation {GO:0043312}; platelet degranulation {GO:0002576}; positive regulation of hydrolase activity {GO:0051345}; positive regulation of MAPK cascade {GO:0043410}; prostate gland growth {GO:0060736}; regulation of autophagy {GO:0010506}; regulation of lipid metabolic process {GO:0019216}; sensory perception of sound {GO:0007605}; walking behavior {GO:0090659}</t>
  </si>
  <si>
    <t>azurophil granule membrane {GO:0035577}; collagen-containing extracellular matrix {GO:0062023}; extracellular exosome {GO:0070062}; extracellular region {GO:0005576}; extracellular space {GO:0005615}; intracellular membrane-bounded organelle {GO:0043231}; late endosome {GO:0005770}; lysosomal lumen {GO:0043202}; lysosomal membrane {GO:0005765}; lysosome {GO:0005764}; plasma membrane {GO:0005886}</t>
  </si>
  <si>
    <t>beta-galactosidase activity {GO:0004565}; enzyme activator activity {GO:0008047}; G protein-coupled receptor binding {GO:0001664}; ganglioside GM1 binding {GO:1905573}; ganglioside GM2 binding {GO:1905574}; ganglioside GM3 binding {GO:1905575}; ganglioside GP1c binding {GO:1905577}; ganglioside GT1b binding {GO:1905576}; identical protein binding {GO:0042802}; lipid binding {GO:0008289}; phospholipid binding {GO:0005543}; protease binding {GO:0002020}; protein homodimerization activity {GO:0042803}</t>
  </si>
  <si>
    <t>Platelet degranulation {R-HSA-114608}; Glycosphingolipid metabolism {R-HSA-1660662}; Peptide ligand-binding receptors {R-HSA-375276}; G alpha (i) signalling events {R-HSA-418594}; Neutrophil degranulation {R-HSA-6798695}</t>
  </si>
  <si>
    <t>Protein kinase C and casein kinase substrate in neurons protein 2</t>
  </si>
  <si>
    <t>Syndapin-2; Syndapin-II</t>
  </si>
  <si>
    <t>PACN2_HUMAN</t>
  </si>
  <si>
    <t>Q9UNF0</t>
  </si>
  <si>
    <t>O95921; Q96HV9; Q9H0D3; Q9NPN1; Q9Y4V2</t>
  </si>
  <si>
    <t>3D-structure; Acetylation; Alternative splicing; Cell membrane; Cell projection; Coiled coil; Cytoplasm; Cytoplasmic vesicle; Cytoskeleton; Endocytosis; Endosome; Lipid-binding; Membrane; Phosphoprotein; Polymorphism; SH3 domain</t>
  </si>
  <si>
    <t>Cell membrane; Cell projection; Cytoplasm; Cytoplasmic vesicle; Cytoskeleton; Endosome; Membrane</t>
  </si>
  <si>
    <t>actin cytoskeleton organization {GO:0030036}; caveola assembly {GO:0070836}; caveolin-mediated endocytosis {GO:0072584}; cell projection morphogenesis {GO:0048858}; cytoskeleton organization {GO:0007010}; membrane organization {GO:0061024}; modulation of chemical synaptic transmission {GO:0050804}; negative regulation of endocytosis {GO:0045806}; plasma membrane tubulation {GO:0097320}; protein localization to endosome {GO:0036010}</t>
  </si>
  <si>
    <t>caveola {GO:0005901}; cell-cell junction {GO:0005911}; cytoplasm {GO:0005737}; cytoplasmic vesicle membrane {GO:0030659}; cytoskeleton {GO:0005856}; cytosol {GO:0005829}; early endosome {GO:0005769}; extracellular exosome {GO:0070062}; extrinsic component of membrane {GO:0019898}; focal adhesion {GO:0005925}; glutamatergic synapse {GO:0098978}; intracellular membrane-bounded organelle {GO:0043231}; nuclear speck {GO:0016607}; plasma membrane {GO:0005886}; recycling endosome membrane {GO:0055038}; ruffle membrane {GO:0032587}</t>
  </si>
  <si>
    <t>cadherin binding {GO:0045296}; cytoskeletal protein binding {GO:0008092}; identical protein binding {GO:0042802}; phosphatidic acid binding {GO:0070300}; phospholipid binding {GO:0005543}; transporter activity {GO:0005215}</t>
  </si>
  <si>
    <t>Vimentin</t>
  </si>
  <si>
    <t>VIME_HUMAN</t>
  </si>
  <si>
    <t>P08670</t>
  </si>
  <si>
    <t>B0YJC2; D3DRU4; Q15867; Q15868; Q15869; Q548L2; Q6LER9; Q8N850; Q96ML2; Q9NTM3</t>
  </si>
  <si>
    <t>3D-structure; Acetylation; Cataract; Coiled coil; Cytoplasm; Cytoskeleton; Disease mutation; Glycoprotein; Host-virus interaction; Intermediate filament; Isopeptide bond; Nucleus; Phosphoprotein; S-nitrosylation; Ubl conjugation</t>
  </si>
  <si>
    <t>Cytoplasm; Cytoskeleton; Intermediate filament; Nucleus</t>
  </si>
  <si>
    <t>Acetylation; Glycoprotein; Isopeptide bond; Phosphoprotein; S-nitrosylation; Ubl conjugation</t>
  </si>
  <si>
    <t>astrocyte development {GO:0014002}; Bergmann glial cell differentiation {GO:0060020}; cellular response to interferon-gamma {GO:0071346}; cellular response to lipopolysaccharide {GO:0071222}; cellular response to muramyl dipeptide {GO:0071225}; cytokine-mediated signaling pathway {GO:0019221}; intermediate filament organization {GO:0045109}; lens fiber cell development {GO:0070307}; muscle filament sliding {GO:0030049}; negative regulation of neuron projection development {GO:0010977}; positive regulation of collagen biosynthetic process {GO:0032967}; positive regulation of translation {GO:0045727}; regulation of mRNA stability {GO:0043488}; SMAD protein signal transduction {GO:0060395}; viral process {GO:0016032}</t>
  </si>
  <si>
    <t>cell leading edge {GO:0031252}; cytoplasm {GO:0005737}; cytoskeleton {GO:0005856}; cytosol {GO:0005829}; extracellular exosome {GO:0070062}; focal adhesion {GO:0005925}; intermediate filament {GO:0005882}; neuron projection {GO:0043005}; nuclear matrix {GO:0016363}; peroxisome {GO:0005777}; phagocytic vesicle {GO:0045335}; plasma membrane {GO:0005886}; polysome {GO:0005844}; ribonucleoprotein complex {GO:1990904}</t>
  </si>
  <si>
    <t>double-stranded RNA binding {GO:0003725}; identical protein binding {GO:0042802}; keratin filament binding {GO:1990254}; protein domain specific binding {GO:0019904}; scaffold protein binding {GO:0097110}; structural constituent of cytoskeleton {GO:0005200}; structural constituent of eye lens {GO:0005212}</t>
  </si>
  <si>
    <t>Caspase-mediated cleavage of cytoskeletal proteins {R-HSA-264870}; Striated Muscle Contraction {R-HSA-390522}; Interleukin-4 and Interleukin-13 signaling {R-HSA-6785807}</t>
  </si>
  <si>
    <t>MANSC domain-containing protein 1</t>
  </si>
  <si>
    <t>Loss of heterozygosity 12 chromosomal region 3 protein</t>
  </si>
  <si>
    <t>MANS1_HUMAN</t>
  </si>
  <si>
    <t>Q9H8J5</t>
  </si>
  <si>
    <t>Q8NEC1; Q9NW60</t>
  </si>
  <si>
    <t>LOH12CR3</t>
  </si>
  <si>
    <t>Alternative splicing; Glycoprotein; Membrane; Polymorphism; Signal; Transmembrane; Transmembrane helix</t>
  </si>
  <si>
    <t>Contactin-1</t>
  </si>
  <si>
    <t>Glycoprotein gp135; Neural cell surface protein F3</t>
  </si>
  <si>
    <t>CNTN1_HUMAN</t>
  </si>
  <si>
    <t>Q12860</t>
  </si>
  <si>
    <t>A8K0H9; A8K0Y3; Q12861; Q14030; Q7M4P0; Q8N466</t>
  </si>
  <si>
    <t>3D-structure; Alternative splicing; Cell adhesion; Cell membrane; Disulfide bond; Glycoprotein; GPI-anchor; Immunoglobulin domain; Lipoprotein; Membrane; Notch signaling pathway; Polymorphism; Repeat; Signal</t>
  </si>
  <si>
    <t>Cell adhesion; Notch signaling pathway</t>
  </si>
  <si>
    <t>cell adhesion {GO:0007155}; cerebellum development {GO:0021549}; neuron projection development {GO:0031175}; Notch signaling pathway {GO:0007219}; positive regulation of gene expression {GO:0010628}; positive regulation of neuron projection development {GO:0010976}; positive regulation of peptidyl-tyrosine phosphorylation {GO:0050731}; positive regulation of sodium ion transport {GO:0010765}</t>
  </si>
  <si>
    <t>anchored component of postsynaptic membrane {GO:0099025}; anchored component of presynaptic membrane {GO:0099026}; extracellular exosome {GO:0070062}; membrane {GO:0016020}; membrane raft {GO:0045121}</t>
  </si>
  <si>
    <t>Activated NOTCH1 Transmits Signal to the Nucleus {R-HSA-2122948}; NOTCH2 Activation and Transmission of Signal to the Nucleus {R-HSA-2979096}; L1CAM interactions {R-HSA-373760}; Neurofascin interactions {R-HSA-447043}</t>
  </si>
  <si>
    <t>Prostaglandin E synthase 3</t>
  </si>
  <si>
    <t>Cytosolic prostaglandin E2 synthase (cPGES); Hsp90 co-chaperone; Progesterone receptor complex p23; Telomerase-binding protein p23</t>
  </si>
  <si>
    <t>TEBP_HUMAN</t>
  </si>
  <si>
    <t>Q15185</t>
  </si>
  <si>
    <t>A8K7D0; B4DHP2; B4DP11; B4DP21; Q8WU70</t>
  </si>
  <si>
    <t>P23; TEBP</t>
  </si>
  <si>
    <t>3D-structure; Acetylation; Alternative splicing; Chaperone; Cytoplasm; Fatty acid biosynthesis; Fatty acid metabolism; Isomerase; Isopeptide bond; Lipid biosynthesis; Lipid metabolism; Phosphoprotein; Prostaglandin biosynthesis; Prostaglandin metabolism; Ubl conjugation</t>
  </si>
  <si>
    <t>Fatty acid biosynthesis; Fatty acid metabolism; Lipid biosynthesis; Lipid metabolism; Prostaglandin biosynthesis; Prostaglandin metabolism</t>
  </si>
  <si>
    <t>chaperone cofactor-dependent protein refolding {GO:0051085}; chaperone-mediated protein complex assembly {GO:0051131}; cyclooxygenase pathway {GO:0019371}; positive regulation of phosphorylation {GO:0042327}; positive regulation of telomerase activity {GO:0051973}; prostaglandin biosynthetic process {GO:0001516}; protein folding {GO:0006457}; protein stabilization {GO:0050821}; regulation of cellular response to heat {GO:1900034}; signal transduction {GO:0007165}; telomerase holoenzyme complex assembly {GO:1905323}; telomere maintenance {GO:0000723}; telomere maintenance via telomerase {GO:0007004}; xenobiotic metabolic process {GO:0006805}</t>
  </si>
  <si>
    <t>chaperone complex {GO:0101031}; chromosome, telomeric region {GO:0000781}; cytoplasm {GO:0005737}; cytosol {GO:0005829}; nucleoplasm {GO:0005654}; nucleus {GO:0005634}; protein-containing complex {GO:0032991}; telomerase holoenzyme complex {GO:0005697}</t>
  </si>
  <si>
    <t>chaperone binding {GO:0051087}; DNA polymerase binding {GO:0070182}; Hsp90 protein binding {GO:0051879}; prostaglandin-E synthase activity {GO:0050220}; telomerase activity {GO:0003720}; unfolded protein binding {GO:0051082}</t>
  </si>
  <si>
    <t>Lipid metabolism; prostaglandin biosynthesis.</t>
  </si>
  <si>
    <t>Synthesis of Prostaglandins (PG) and Thromboxanes (TX) {R-HSA-2162123}; HSP90 chaperone cycle for steroid hormone receptors (SHR) {R-HSA-3371497}; HSF1 activation {R-HSA-3371511}; Attenuation phase {R-HSA-3371568}; Aryl hydrocarbon receptor signalling {R-HSA-8937144}; ESR-mediated signaling {R-HSA-8939211}; Estrogen-dependent gene expression {R-HSA-9018519}</t>
  </si>
  <si>
    <t>Chondrocalcin</t>
  </si>
  <si>
    <t>Alpha-1 type II collagen</t>
  </si>
  <si>
    <t>CO2A1_HUMAN</t>
  </si>
  <si>
    <t>P02458</t>
  </si>
  <si>
    <t>A6NGA0; Q12985; Q14009; Q14044; Q14045; Q14046; Q14047; Q14056; Q14058; Q16672; Q1JQ82; Q2V4X7; Q6LBY1; Q6LBY2; Q6LBY3; Q96IT5; Q99227; Q9UE38; Q9UE39; Q9UE40; Q9UE41; Q9UE42; Q9UE43</t>
  </si>
  <si>
    <t>3D-structure; Alternative splicing; Calcium; Cataract; Collagen; Deafness; Disease mutation; Disulfide bond; Dwarfism; Extracellular matrix; Glycoprotein; Hydroxylation; Metal-binding; Polymorphism; Repeat; Secreted; Signal; Stickler syndrome</t>
  </si>
  <si>
    <t>Cataract; Deafness; Disease mutation; Dwarfism; Stickler syndrome</t>
  </si>
  <si>
    <t>anterior head development {GO:0097065}; cartilage condensation {GO:0001502}; cartilage development {GO:0051216}; cartilage development involved in endochondral bone morphogenesis {GO:0060351}; cellular response to BMP stimulus {GO:0071773}; central nervous system development {GO:0007417}; chondrocyte differentiation {GO:0002062}; collagen fibril organization {GO:0030199}; embryonic skeletal joint morphogenesis {GO:0060272}; endochondral ossification {GO:0001958}; extracellular matrix organization {GO:0030198}; heart morphogenesis {GO:0003007}; inner ear morphogenesis {GO:0042472}; limb bud formation {GO:0060174}; negative regulation of extrinsic apoptotic signaling pathway in absence of ligand {GO:2001240}; notochord development {GO:0030903}; otic vesicle development {GO:0071599}; proteoglycan metabolic process {GO:0006029}; regulation of gene expression {GO:0010468}; regulation of immune response {GO:0050776}; roof of mouth development {GO:0060021}; sensory perception of sound {GO:0007605}; skeletal system development {GO:0001501}; tissue homeostasis {GO:0001894}; visual perception {GO:0007601}</t>
  </si>
  <si>
    <t>basement membrane {GO:0005604}; collagen trimer {GO:0005581}; collagen type II trimer {GO:0005585};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</si>
  <si>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identical protein binding {GO:0042802}; metal ion binding {GO:0046872}; MHC class II protein binding {GO:0042289}; platelet-derived growth factor binding {GO:0048407}; proteoglycan binding {GO:0043394}</t>
  </si>
  <si>
    <t>Collagen degradation {R-HSA-1442490}; Extracellular matrix organization {R-HSA-1474244}; Collagen biosynthesis and modifying enzymes {R-HSA-1650814}; Signaling by PDGF {R-HSA-186797}; Immunoregulatory interactions between a Lymphoid and a non-Lymphoid cell {R-HSA-198933}; Assembly of collagen fibrils and other multimeric structures {R-HSA-2022090}; Integrin cell surface interactions {R-HSA-216083}; Non-integrin membrane-ECM interactions {R-HSA-3000171}; ECM proteoglycans {R-HSA-3000178}; NCAM1 interactions {R-HSA-419037}; MET activates PTK2 signaling {R-HSA-8874081}; Collagen chain trimerization {R-HSA-8948216}</t>
  </si>
  <si>
    <t>Lumican</t>
  </si>
  <si>
    <t>Keratan sulfate proteoglycan lumican (KSPG lumican)</t>
  </si>
  <si>
    <t>LUM_HUMAN</t>
  </si>
  <si>
    <t>P51884</t>
  </si>
  <si>
    <t>B2R6R5; Q96QM7</t>
  </si>
  <si>
    <t>LDC; SLRR2D</t>
  </si>
  <si>
    <t>Disulfide bond; Extracellular matrix; Glycoprotein; Leucine-rich repeat; Phosphoprotein; Polymorphism; Proteoglycan; Pyrrolidone carboxylic acid; Repeat; Secreted; Signal; Sulfation</t>
  </si>
  <si>
    <t>Disulfide bond; Glycoprotein; Phosphoprotein; Proteoglycan; Pyrrolidone carboxylic acid; Sulfation</t>
  </si>
  <si>
    <t>cartilage development {GO:0051216}; collagen fibril organization {GO:0030199}; extracellular matrix organization {GO:0030198}; keratan sulfate biosynthetic process {GO:0018146}; keratan sulfate catabolic process {GO:0042340}; positive regulation of transcription by RNA polymerase II {GO:0045944}; positive regulation of transforming growth factor beta1 production {GO:0032914}; response to growth factor {GO:0070848}; response to organic cyclic compound {GO:0014070}; visual perception {GO:0007601}</t>
  </si>
  <si>
    <t>collagen-containing extracellular matrix {GO:0062023}; extracellular exosome {GO:0070062}; extracellular matrix {GO:0031012}; extracellular region {GO:0005576}; extracellular space {GO:0005615}; fibrillar collagen trimer {GO:0005583}; Golgi lumen {GO:0005796}; lysosomal lumen {GO:0043202}</t>
  </si>
  <si>
    <t>collagen binding {GO:0005518}; extracellular matrix structural constituent {GO:0005201}; extracellular matrix structural constituent conferring compression resistance {GO:0030021}</t>
  </si>
  <si>
    <t>Keratan sulfate biosynthesis {R-HSA-2022854}; Keratan sulfate degradation {R-HSA-2022857}; Integrin cell surface interactions {R-HSA-216083}; ECM proteoglycans {R-HSA-3000178}; Defective CHST6 causes MCDC1 {R-HSA-3656225}; Defective ST3GAL3 causes MCT12 and EIEE15 {R-HSA-3656243}; Defective B4GALT1 causes B4GALT1-CDG (CDG-2d) {R-HSA-3656244}</t>
  </si>
  <si>
    <t>Bridging integrator 2</t>
  </si>
  <si>
    <t>Breast cancer-associated protein 1</t>
  </si>
  <si>
    <t>BIN2_HUMAN</t>
  </si>
  <si>
    <t>Q9UBW5</t>
  </si>
  <si>
    <t>B7Z6F3; F5H0W4; Q86VV0; Q9NWK4; Q9UKN4</t>
  </si>
  <si>
    <t>BRAP1</t>
  </si>
  <si>
    <t>3D-structure; Alternative splicing; Cell junction; Cell membrane; Cell projection; Coiled coil; Cytoplasm; Membrane; Phosphoprotein; Polymorphism</t>
  </si>
  <si>
    <t>Cell junction; Cell membrane; Cell projection; Cytoplasm; Membrane</t>
  </si>
  <si>
    <t>cell chemotaxis {GO:0060326}; neutrophil degranulation {GO:0043312}; phagocytosis, engulfment {GO:0006911}; plasma membrane tubulation {GO:0097320}; podosome assembly {GO:0071800}</t>
  </si>
  <si>
    <t>cell cortex {GO:0005938}; cell junction {GO:0030054}; cell projection {GO:0042995}; extracellular region {GO:0005576}; ficolin-1-rich granule lumen {GO:1904813}; phagocytic cup {GO:0001891}; plasma membrane {GO:0005886}; podosome {GO:0002102}; secretory granule lumen {GO:0034774}</t>
  </si>
  <si>
    <t>Lysozyme C</t>
  </si>
  <si>
    <t>1,4-beta-N-acetylmuramidase C</t>
  </si>
  <si>
    <t>LYSC_HUMAN</t>
  </si>
  <si>
    <t>P61626</t>
  </si>
  <si>
    <t>P00695; Q13170; Q9UCF8</t>
  </si>
  <si>
    <t>LZM</t>
  </si>
  <si>
    <t>3D-structure; Amyloid; Amyloidosis; Antimicrobial; Bacteriolytic enzyme; Disease mutation; Disulfide bond; Glycosidase; Hydrolase; Polymorphism; Secreted; Signal</t>
  </si>
  <si>
    <t>Antimicrobial; Bacteriolytic enzyme; Glycosidase; Hydrolase</t>
  </si>
  <si>
    <t>antimicrobial humoral response {GO:0019730}; cellular protein metabolic process {GO:0044267}; cytolysis {GO:0019835}; defense response to bacterium {GO:0042742}; defense response to Gram-negative bacterium {GO:0050829}; defense response to Gram-positive bacterium {GO:0050830}; inflammatory response {GO:0006954}; killing of cells of other organism {GO:0031640}; neutrophil degranulation {GO:0043312}; retina homeostasis {GO:0001895}</t>
  </si>
  <si>
    <t>azurophil granule lumen {GO:0035578}; extracellular exosome {GO:0070062}; extracellular region {GO:0005576}; extracellular space {GO:0005615}; specific granule lumen {GO:0035580}; tertiary granule lumen {GO:1904724}</t>
  </si>
  <si>
    <t>identical protein binding {GO:0042802}; lysozyme activity {GO:0003796}</t>
  </si>
  <si>
    <t>Neutrophil degranulation {R-HSA-6798695}; Antimicrobial peptides {R-HSA-6803157}; Amyloid fiber formation {R-HSA-977225}</t>
  </si>
  <si>
    <t>Acyl-CoA-binding domain-containing protein 7</t>
  </si>
  <si>
    <t>ACBD7_HUMAN</t>
  </si>
  <si>
    <t>Q8N6N7</t>
  </si>
  <si>
    <t>A6NCI2; B3KTG8</t>
  </si>
  <si>
    <t>3D-structure; Lipid-binding</t>
  </si>
  <si>
    <t>fatty-acyl-CoA binding {GO:0000062}; lipid binding {GO:0008289}</t>
  </si>
  <si>
    <t>Ubiquitin-conjugating enzyme E2 N</t>
  </si>
  <si>
    <t>Bendless-like ubiquitin-conjugating enzyme; E2 ubiquitin-conjugating enzyme N; Ubc13; UbcH13; Ubiquitin carrier protein N; Ubiquitin-protein ligase N</t>
  </si>
  <si>
    <t>UBE2N_HUMAN</t>
  </si>
  <si>
    <t>P61088</t>
  </si>
  <si>
    <t>Q16781; Q53Y81</t>
  </si>
  <si>
    <t>BLU</t>
  </si>
  <si>
    <t>3D-structure; Acetylation; ATP-binding; Cytoplasm; Disulfide bond; DNA damage; DNA repair; Isopeptide bond; Nucleotide-binding; Nucleus; Transferase; Ubl conjugation; Ubl conjugation pathway</t>
  </si>
  <si>
    <t>DNA damage; DNA repair; Ubl conjugation pathway</t>
  </si>
  <si>
    <t>Acetylation; Disulfide bond; Isopeptide bond; Ubl conjugation</t>
  </si>
  <si>
    <t>activation of MAPK activity {GO:0000187}; cellular protein modification process {GO:0006464}; DNA double-strand break processing {GO:0000729}; double-strand break repair via homologous recombination {GO:0000724}; double-strand break repair via nonhomologous end joining {GO:0006303}; histone ubiquitination {GO:0016574}; interleukin-1-mediated signaling pathway {GO:0070498}; JNK cascade {GO:0007254}; nucleotide-binding oligomerization domain containing signaling pathway {GO:0070423}; positive regulation of DNA repair {GO:0045739}; positive regulation of histone modification {GO:0031058}; positive regulation of I-kappaB kinase/NF-kappaB signaling {GO:0043123}; positive regulation of NF-kappaB transcription factor activity {GO:0051092}; positive regulation of ubiquitin-protein transferase activity {GO:0051443}; postreplication repair {GO:0006301}; protein K63-linked ubiquitination {GO:0070534}; protein ubiquitination {GO:0016567}; proteolysis {GO:0006508}; regulation of DNA repair {GO:0006282}; regulation of histone ubiquitination {GO:0033182}; T cell receptor signaling pathway {GO:0050852}</t>
  </si>
  <si>
    <t>cytoplasm {GO:0005737}; cytosol {GO:0005829}; extracellular exosome {GO:0070062}; fibrillar center {GO:0001650}; nucleoplasm {GO:0005654}; nucleus {GO:0005634}; protein-containing complex {GO:0032991}; UBC13-MMS2 complex {GO:0031372}; UBC13-UEV1A complex {GO:0035370}; ubiquitin ligase complex {GO:0000151}</t>
  </si>
  <si>
    <t>ATP binding {GO:0005524}; RNA binding {GO:0003723}; ubiquitin binding {GO:0043130}; ubiquitin conjugating enzyme activity {GO:0061631}; ubiquitin protein ligase binding {GO:0031625}; ubiquitin-protein transferase activity {GO:0004842}</t>
  </si>
  <si>
    <t>ISG15 antiviral mechanism {R-HSA-1169408}; NOD1/2 Signaling Pathway {R-HSA-168638}; TICAM1, RIP1-mediated IKK complex recruitment {R-HSA-168927}; Downstream TCR signaling {R-HSA-202424}; FCERI mediated NF-kB activation {R-HSA-2871837}; TAK1 activates NFkB by phosphorylation and activation of IKKs complex {R-HSA-445989}; activated TAK1 mediates p38 MAPK activation {R-HSA-450302}; JNK (c-Jun kinases) phosphorylation and activation mediated by activated human TAK1 {R-HSA-450321}; CLEC7A (Dectin-1) signaling {R-HSA-5607764}; Recruitment and ATM-mediated phosphorylation of repair and signaling proteins at DNA double strand breaks {R-HSA-5693565}; Nonhomologous End-Joining (NHEJ) {R-HSA-5693571}; Processing of DNA double-strand break ends {R-HSA-5693607}; Formation of Incision Complex in GG-NER {R-HSA-5696395}; G2/M DNA damage checkpoint {R-HSA-69473}; E3 ubiquitin ligases ubiquitinate target proteins {R-HSA-8866654}; Interleukin-1 signaling {R-HSA-9020702}; IRAK1 recruits IKK complex {R-HSA-937039}; IKK complex recruitment mediated by RIP1 {R-HSA-937041}; TRAF6 mediated IRF7 activation in TLR7/8 or 9 signaling {R-HSA-975110}; IRAK1 recruits IKK complex upon TLR7/8 or 9 stimulation {R-HSA-975144}; Antigen processing: Ubiquitination &amp; Proteasome degradation {R-HSA-983168}</t>
  </si>
  <si>
    <t>Diphosphoinositol polyphosphate phosphohydrolase NUDT4B (DIPP-2B)</t>
  </si>
  <si>
    <t>Nucleoside diphosphate-linked moiety X motif 4B (Nudix motif 4B); Nudix hydrolase 4B</t>
  </si>
  <si>
    <t>NUD4B_HUMAN</t>
  </si>
  <si>
    <t>A0A024RBG1</t>
  </si>
  <si>
    <t>Cytoplasm; Hydrolase; Magnesium; Metal-binding; RNA-binding</t>
  </si>
  <si>
    <t>Hydrolase; RNA-binding</t>
  </si>
  <si>
    <t>diphosphoinositol-polyphosphate diphosphatase activity {GO:0008486}; inositol diphosphate pentakisphosphate diphosphatase activity {GO:0052842}; inositol diphosphate tetrakisphosphate diphosphatase activity {GO:0052840}; metal ion binding {GO:0046872}; RNA binding {GO:0003723}</t>
  </si>
  <si>
    <t>Tumor necrosis factor-binding protein 1</t>
  </si>
  <si>
    <t>Tumor necrosis factor receptor 1 (TNF-R1); Tumor necrosis factor receptor type I (TNF-RI; TNFR-I); p55; p60; CD_antigen=CD120a (TBPI)</t>
  </si>
  <si>
    <t>TNR1A_HUMAN</t>
  </si>
  <si>
    <t>P19438</t>
  </si>
  <si>
    <t>A8K4X3; B2RDE4; B3KPQ1; B4DQB7; B4E309; B5M0B5; D3DUR1; Q9UCA4</t>
  </si>
  <si>
    <t>TNFAR; TNFR1</t>
  </si>
  <si>
    <t>3D-structure; Alternative splicing; Amyloidosis; Apoptosis; Cell membrane; Cleavage on pair of basic residues; Disease mutation; Disulfide bond; Glycoprotein; Golgi apparatus; Host-virus interaction; Membrane; Polymorphism; Receptor; Repeat; Secreted; Signal; Transmembrane; Transmembrane helix</t>
  </si>
  <si>
    <t>Apoptosis; Host-virus interaction</t>
  </si>
  <si>
    <t>Cell membrane; Golgi apparatus; Membrane; Secreted</t>
  </si>
  <si>
    <t>aortic valve development {GO:0003176}; cellular response to mechanical stimulus {GO:0071260}; cytokine-mediated signaling pathway {GO:0019221}; death-inducing signaling complex assembly {GO:0071550}; defense response to bacterium {GO:0042742}; extrinsic apoptotic signaling pathway via death domain receptors {GO:0008625}; I-kappaB kinase/NF-kappaB signaling {GO:0007249}; inflammatory response {GO:0006954}; intrinsic apoptotic signaling pathway in response to DNA damage {GO:0008630}; negative regulation of cardiac muscle hypertrophy {GO:0010614}; negative regulation of extracellular matrix constituent secretion {GO:0003332}; negative regulation of inflammatory response {GO:0050728}; positive regulation of apoptotic process involved in morphogenesis {GO:1902339}; positive regulation of ceramide biosynthetic process {GO:2000304}; positive regulation of I-kappaB kinase/NF-kappaB signaling {GO:0043123}; positive regulation of inflammatory response {GO:0050729}; positive regulation of transcription by RNA polymerase II {GO:0045944}; positive regulation of tyrosine phosphorylation of STAT protein {GO:0042531}; prostaglandin metabolic process {GO:0006693}; protein localization to plasma membrane {GO:0072659}; pulmonary valve development {GO:0003177}; regulation of establishment of endothelial barrier {GO:1903140}; regulation of tumor necrosis factor-mediated signaling pathway {GO:0010803}; tumor necrosis factor-mediated signaling pathway {GO:0033209}; viral process {GO:0016032}</t>
  </si>
  <si>
    <t>cell surface {GO:0009986}; extracellular region {GO:0005576}; extracellular space {GO:0005615}; Golgi membrane {GO:0000139}; integral component of plasma membrane {GO:0005887}; membrane {GO:0016020}; membrane raft {GO:0045121}; mitochondrion {GO:0005739}; plasma membrane {GO:0005886}; receptor complex {GO:0043235}; tumor necrosis factor receptor superfamily complex {GO:0002947}</t>
  </si>
  <si>
    <t>identical protein binding {GO:0042802}; tumor necrosis factor binding {GO:0043120}; tumor necrosis factor-activated receptor activity {GO:0005031}</t>
  </si>
  <si>
    <t>TNFR1-induced proapoptotic signaling {R-HSA-5357786}; Regulation of TNFR1 signaling {R-HSA-5357905}; TNFR1-induced NFkappaB signaling pathway {R-HSA-5357956}; TNFR1-mediated ceramide production {R-HSA-5626978}; TNFs bind their physiological receptors {R-HSA-5669034}; Interleukin-10 signaling {R-HSA-6783783}; TNF signaling {R-HSA-75893}</t>
  </si>
  <si>
    <t>Sorting and assembly machinery component 50 homolog</t>
  </si>
  <si>
    <t>Transformation-related gene 3 protein (TRG-3)</t>
  </si>
  <si>
    <t>SAM50_HUMAN</t>
  </si>
  <si>
    <t>Q9Y512</t>
  </si>
  <si>
    <t>Q53HC4; Q56VW7; Q969Y9; Q96I46; Q9NW85; Q9UQM9</t>
  </si>
  <si>
    <t>SAM50</t>
  </si>
  <si>
    <t>Cytoplasm; Membrane; Methylation; Mitochondrion; Mitochondrion outer membrane; Polymorphism; Transmembrane; Transmembrane beta strand</t>
  </si>
  <si>
    <t>Transmembrane; Transmembrane beta strand</t>
  </si>
  <si>
    <t>cellular protein-containing complex assembly {GO:0034622}; cristae formation {GO:0042407}; mitochondrial respiratory chain complex assembly {GO:0033108}; protein insertion into mitochondrial outer membrane {GO:0045040}</t>
  </si>
  <si>
    <t>extracellular exosome {GO:0070062}; integral component of membrane {GO:0016021}; mitochondrial outer membrane {GO:0005741}; mitochondrion {GO:0005739}; SAM complex {GO:0001401}</t>
  </si>
  <si>
    <t>Mitochondrial protein import {R-HSA-1268020}; Cristae formation {R-HSA-8949613}</t>
  </si>
  <si>
    <t>Endoplasmin</t>
  </si>
  <si>
    <t>94 kDa glucose-regulated protein (GRP-94); Heat shock protein 90 kDa beta member 1; Tumor rejection antigen 1; gp96 homolog</t>
  </si>
  <si>
    <t>ENPL_HUMAN</t>
  </si>
  <si>
    <t>P14625</t>
  </si>
  <si>
    <t>Q96A97</t>
  </si>
  <si>
    <t>GRP94; TRA1</t>
  </si>
  <si>
    <t>3D-structure; Acetylation; ATP-binding; Calcium; Chaperone; Disulfide bond; Endoplasmic reticulum; Glycoprotein; Nucleotide-binding; Phosphoprotein; Sarcoplasmic reticulum; Signal</t>
  </si>
  <si>
    <t>Endoplasmic reticulum; Sarcoplasmic reticulum</t>
  </si>
  <si>
    <t>ATP-binding; Calcium; Nucleotide-binding</t>
  </si>
  <si>
    <t>actin rod assembly {GO:0031247}; ATF6-mediated unfolded protein response {GO:0036500}; cellular protein metabolic process {GO:0044267}; cellular response to ATP {GO:0071318}; cytokine-mediated signaling pathway {GO:0019221}; negative regulation of apoptotic process {GO:0043066}; post-translational protein modification {GO:0043687}; protein folding {GO:0006457}; protein folding in endoplasmic reticulum {GO:0034975}; protein transport {GO:0015031}; receptor-mediated endocytosis {GO:0006898}; regulation of phosphoprotein phosphatase activity {GO:0043666}; response to endoplasmic reticulum stress {GO:0034976}; response to hypoxia {GO:0001666}; retrograde protein transport, ER to cytosol {GO:0030970}; sequestering of calcium ion {GO:0051208}; toll-like receptor signaling pathway {GO:0002224}; ubiquitin-dependent ERAD pathway {GO:0030433}</t>
  </si>
  <si>
    <t>collagen-containing extracellular matrix {GO:0062023}; cytosol {GO:0005829}; endocytic vesicle lumen {GO:0071682}; endoplasmic reticulum {GO:0005783}; endoplasmic reticulum chaperone complex {GO:0034663}; endoplasmic reticulum lumen {GO:0005788}; endoplasmic reticulum membrane {GO:0005789}; extracellular exosome {GO:0070062}; extracellular region {GO:0005576}; focal adhesion {GO:0005925}; melanosome {GO:0042470}; membrane {GO:0016020}; midbody {GO:0030496}; nucleus {GO:0005634}; perinuclear region of cytoplasm {GO:0048471}; plasma membrane {GO:0005886}; protein-containing complex {GO:0032991}</t>
  </si>
  <si>
    <t>ATP binding {GO:0005524}; calcium ion binding {GO:0005509}; low-density lipoprotein particle receptor binding {GO:0050750}; protein phosphatase binding {GO:0019903}; RNA binding {GO:0003723}; unfolded protein binding {GO:0051082}</t>
  </si>
  <si>
    <t>Trafficking and processing of endosomal TLR {R-HSA-1679131}; Scavenging by Class A Receptors {R-HSA-3000480}; ATF6 (ATF6-alpha) activates chaperone genes {R-HSA-381183}; Regulation of Insulin-like Growth Factor (IGF) transport and uptake by Insulin-like Growth Factor Binding Proteins (IGFBPs) {R-HSA-381426}; Interleukin-4 and Interleukin-13 signaling {R-HSA-6785807}; Post-translational protein phosphorylation {R-HSA-8957275}</t>
  </si>
  <si>
    <t>Inter-alpha-trypsin inhibitor heavy chain H2 (ITI heavy chain H2; ITI-HC2; Inter-alpha-inhibitor heavy chain 2)</t>
  </si>
  <si>
    <t>Inter-alpha-trypsin inhibitor complex component II; Serum-derived hyaluronan-associated protein (SHAP)</t>
  </si>
  <si>
    <t>ITIH2_HUMAN</t>
  </si>
  <si>
    <t>P19823</t>
  </si>
  <si>
    <t>Q14659; Q15484; Q5T986</t>
  </si>
  <si>
    <t>IGHEP2</t>
  </si>
  <si>
    <t>Disulfide bond; Gamma-carboxyglutamic acid; Glycoprotein; Phosphoprotein; Polymorphism; Protease inhibitor; Proteoglycan; Secreted; Serine protease inhibitor; Signal</t>
  </si>
  <si>
    <t>Disulfide bond; Gamma-carboxyglutamic acid; Glycoprotein; Phosphoprotein; Proteoglycan</t>
  </si>
  <si>
    <t>cellular protein metabolic process {GO:0044267}; hyaluronan metabolic process {GO:0030212}; post-translational protein modification {GO:0043687}</t>
  </si>
  <si>
    <t>blood microparticle {GO:0072562}; collagen-containing extracellular matrix {GO:0062023}; endoplasmic reticulum lumen {GO:0005788}; extracellular exosome {GO:0070062}; extracellular region {GO:0005576}</t>
  </si>
  <si>
    <t>Osteostatin</t>
  </si>
  <si>
    <t>Parathyroid hormone-like protein (PLP); PTHrP[107-139]</t>
  </si>
  <si>
    <t>PTHR_HUMAN</t>
  </si>
  <si>
    <t>P12272</t>
  </si>
  <si>
    <t>Q15251; Q6FH74</t>
  </si>
  <si>
    <t>PTHRP</t>
  </si>
  <si>
    <t>3D-structure; Alternative splicing; Calcium; Cleavage on pair of basic residues; Cytoplasm; Disease mutation; Hormone; Nucleus; Polymorphism; Secreted; Signal</t>
  </si>
  <si>
    <t>Cleavage on pair of basic residues</t>
  </si>
  <si>
    <t>adenylate cyclase-activating G protein-coupled receptor signaling pathway {GO:0007189}; bone mineralization {GO:0030282}; cAMP metabolic process {GO:0046058}; cell-cell signaling {GO:0007267}; epidermis development {GO:0008544}; female pregnancy {GO:0007565}; G protein-coupled receptor signaling pathway {GO:0007186}; negative regulation of cell population proliferation {GO:0008285}; negative regulation of chondrocyte development {GO:0061182}; negative regulation of chondrocyte differentiation {GO:0032331}; osteoblast development {GO:0002076}; positive regulation of cell population proliferation {GO:0008284}; regulation of gene expression {GO:0010468}; skeletal system development {GO:0001501}</t>
  </si>
  <si>
    <t>cytoplasm {GO:0005737}; cytosol {GO:0005829}; extracellular region {GO:0005576}; extracellular space {GO:0005615}; Golgi apparatus {GO:0005794}; nucleoplasm {GO:0005654}</t>
  </si>
  <si>
    <t>hormone activity {GO:0005179}; peptide hormone receptor binding {GO:0051428}</t>
  </si>
  <si>
    <t>Class B/2 (Secretin family receptors) {R-HSA-373080}; G alpha (s) signalling events {R-HSA-418555}</t>
  </si>
  <si>
    <t>Amiloride-sensitive sodium channel subunit alpha</t>
  </si>
  <si>
    <t>Alpha-NaCH; Epithelial Na(+) channel subunit alpha (Alpha-ENaC; ENaCA); Nonvoltage-gated sodium channel 1 subunit alpha; SCNEA</t>
  </si>
  <si>
    <t>SCNNA_HUMAN</t>
  </si>
  <si>
    <t>P37088</t>
  </si>
  <si>
    <t>A5X2U9; B4E2Q5; C5HTZ0; O43271; Q6GSQ6; Q9UM64</t>
  </si>
  <si>
    <t>SCNN1</t>
  </si>
  <si>
    <t>3D-structure; Alternative splicing; Cell membrane; Cell projection; Cilium; Cytoplasm; Cytoplasmic vesicle; Disease mutation; Flagellum; Glycoprotein; Ion channel; Ion transport; Membrane; Polymorphism; Sensory transduction; Sodium; Sodium channel; Sodium transport; Taste; Transmembrane; Transmembrane helix; Transport; Ubl conjugation</t>
  </si>
  <si>
    <t>Ion transport; Sensory transduction; Sodium transport; Taste; Transport</t>
  </si>
  <si>
    <t>Cell membrane; Cell projection; Cilium; Cytoplasm; Cytoplasmic vesicle; Flagellum; Membrane</t>
  </si>
  <si>
    <t>Ion channel; Sodium channel</t>
  </si>
  <si>
    <t>ion transmembrane transport {GO:0034220}; multicellular organismal water homeostasis {GO:0050891}; response to stimulus {GO:0050896}; sensory perception of taste {GO:0050909}; sodium ion homeostasis {GO:0055078}; sodium ion transmembrane transport {GO:0035725}</t>
  </si>
  <si>
    <t>acrosomal vesicle {GO:0001669}; apical plasma membrane {GO:0016324}; ciliary membrane {GO:0060170}; cytoplasm {GO:0005737}; extracellular exosome {GO:0070062}; integral component of plasma membrane {GO:0005887}; motile cilium {GO:0031514}; plasma membrane {GO:0005886}; sodium channel complex {GO:0034706}; sperm principal piece {GO:0097228}</t>
  </si>
  <si>
    <t>ligand-gated sodium channel activity {GO:0015280}; WW domain binding {GO:0050699}</t>
  </si>
  <si>
    <t>Tumor necrosis factor receptor superfamily member 3</t>
  </si>
  <si>
    <t>Lymphotoxin-beta receptor; Tumor necrosis factor C receptor; Tumor necrosis factor receptor 2-related protein; Tumor necrosis factor receptor type III (TNF-RIII; TNFR-III)</t>
  </si>
  <si>
    <t>TNR3_HUMAN</t>
  </si>
  <si>
    <t>P36941</t>
  </si>
  <si>
    <t>B7Z1D2; D3DUR2; F5GXE7</t>
  </si>
  <si>
    <t>D12S370; TNFCR; TNFR3; TNFRSF3</t>
  </si>
  <si>
    <t>3D-structure; Alternative splicing; Apoptosis; Disulfide bond; Glycoprotein; Host-virus interaction; Membrane; Phosphoprotein; Polymorphism; Receptor; Repeat; Signal; Transmembrane; Transmembrane helix</t>
  </si>
  <si>
    <t>apoptotic process {GO:0006915}; cellular response to mechanical stimulus {GO:0071260}; immune response {GO:0006955}; myeloid dendritic cell differentiation {GO:0043011}; positive regulation of extrinsic apoptotic signaling pathway {GO:2001238}; positive regulation of I-kappaB kinase/NF-kappaB signaling {GO:0043123}; positive regulation of JNK cascade {GO:0046330}; signal transduction {GO:0007165}; tumor necrosis factor-mediated signaling pathway {GO:0033209}; viral process {GO:0016032}</t>
  </si>
  <si>
    <t>Golgi apparatus {GO:0005794}; integral component of membrane {GO:0016021}; plasma membrane {GO:0005886}</t>
  </si>
  <si>
    <t>identical protein binding {GO:0042802}; ubiquitin protein ligase binding {GO:0031625}</t>
  </si>
  <si>
    <t>Prohibitin-2</t>
  </si>
  <si>
    <t>B-cell receptor-associated protein BAP37; D-prohibitin; Repressor of estrogen receptor activity</t>
  </si>
  <si>
    <t>PHB2_HUMAN</t>
  </si>
  <si>
    <t>Q99623</t>
  </si>
  <si>
    <t>B4DP75; Q2YDA4; Q7KYU3; Q92978</t>
  </si>
  <si>
    <t>Acetylation; Alternative splicing; Coiled coil; Cytoplasm; Membrane; Mitochondrion; Mitochondrion inner membrane; Nucleus; Phosphoprotein; Receptor; Repressor; Transcription; Transcription regulation</t>
  </si>
  <si>
    <t>Cytoplasm; Membrane; Mitochondrion; Mitochondrion inner membrane; Nucleus</t>
  </si>
  <si>
    <t>Receptor; Repressor</t>
  </si>
  <si>
    <t>cellular response to hypoxia {GO:0071456}; cellular response to retinoic acid {GO:0071300}; mammary gland alveolus development {GO:0060749}; mammary gland branching involved in thelarche {GO:0060744}; mitochondrial calcium ion transmembrane transport {GO:0006851}; mitochondrion organization {GO:0007005}; negative regulation of apoptotic process {GO:0043066}; negative regulation of DNA-binding transcription factor activity {GO:0043433}; negative regulation of intracellular estrogen receptor signaling pathway {GO:0033147}; negative regulation of mammary gland epithelial cell proliferation {GO:0033600}; negative regulation of transcription, DNA-templated {GO:0045892}; positive regulation of cell cycle G1/S phase transition {GO:1902808}; positive regulation of DNA-binding transcription factor activity {GO:0051091}; positive regulation of ERK1 and ERK2 cascade {GO:0070374}; positive regulation of exit from mitosis {GO:0031536}; protein import into nucleus {GO:0006606}; protein stabilization {GO:0050821}; regulation of branching involved in mammary gland duct morphogenesis {GO:0060762}; regulation of cytochrome-c oxidase activity {GO:1904959}; response to wounding {GO:0009611}; sister chromatid cohesion {GO:0007062}</t>
  </si>
  <si>
    <t>axon {GO:0030424}; cell periphery {GO:0071944}; cell surface {GO:0009986}; cytoplasm {GO:0005737}; GABA-ergic synapse {GO:0098982}; glutamatergic synapse {GO:0098978}; mitochondrial inner membrane {GO:0005743}; mitochondrial outer membrane {GO:0005741}; mitochondrion {GO:0005739}; nuclear matrix {GO:0016363}; nucleus {GO:0005634}; postsynaptic density {GO:0014069}; presynaptic active zone {GO:0048786}; protein-containing complex {GO:0032991}</t>
  </si>
  <si>
    <t>amide binding {GO:0033218}; estrogen receptor binding {GO:0030331}; protein C-terminus binding {GO:0008022}; protein N-terminus binding {GO:0047485}; sphingolipid binding {GO:0046625}</t>
  </si>
  <si>
    <t>Processing of SMDT1 {R-HSA-8949664}</t>
  </si>
  <si>
    <t>Voltage-dependent anion-selective channel protein 3 (VDAC-3; hVDAC3)</t>
  </si>
  <si>
    <t>Outer mitochondrial membrane protein porin 3</t>
  </si>
  <si>
    <t>VDAC3_HUMAN</t>
  </si>
  <si>
    <t>Q9Y277</t>
  </si>
  <si>
    <t>Q9UIS0</t>
  </si>
  <si>
    <t>Acetylation; Alternative splicing; Ion transport; Isopeptide bond; Membrane; Mitochondrion; Mitochondrion outer membrane; NAD; Nucleotide-binding; Phosphoprotein; Porin; Transmembrane; Transmembrane beta strand; Transport; Ubl conjugation</t>
  </si>
  <si>
    <t>Membrane; Mitochondrion; Mitochondrion outer membrane</t>
  </si>
  <si>
    <t>NAD; Nucleotide-binding</t>
  </si>
  <si>
    <t>Porin</t>
  </si>
  <si>
    <t>adenine transport {GO:0015853}; behavioral fear response {GO:0001662}; learning {GO:0007612}; neuron-neuron synaptic transmission {GO:0007270}; regulation of cilium assembly {GO:1902017}</t>
  </si>
  <si>
    <t>extracellular exosome {GO:0070062}; mitochondrial outer membrane {GO:0005741}; mitochondrion {GO:0005739}; nucleus {GO:0005634}; pore complex {GO:0046930}</t>
  </si>
  <si>
    <t>nucleotide binding {GO:0000166}; porin activity {GO:0015288}; voltage-gated anion channel activity {GO:0008308}</t>
  </si>
  <si>
    <t>Ub-specific processing proteases {R-HSA-5689880}; Mitochondrial calcium ion transport {R-HSA-8949215}</t>
  </si>
  <si>
    <t>ATP synthase subunit gamma, mitochondrial</t>
  </si>
  <si>
    <t>ATP synthase F1 subunit gamma; F-ATPase gamma subunit</t>
  </si>
  <si>
    <t>ATPG_HUMAN</t>
  </si>
  <si>
    <t>P36542</t>
  </si>
  <si>
    <t>A8KA31; Q5VYP3; Q6I9V2; Q96AS8</t>
  </si>
  <si>
    <t>Acetylation; Alternative splicing; ATP synthesis; CF(1); Hydrogen ion transport; Ion transport; Membrane; Mitochondrion; Mitochondrion inner membrane; Phosphoprotein; Transit peptide; Transport</t>
  </si>
  <si>
    <t>ATP biosynthetic process {GO:0006754}; ATP synthesis coupled proton transport {GO:0015986}; cristae formation {GO:0042407}; mitochondrial ATP synthesis coupled proton transport {GO:0042776}; oxidative phosphorylation {GO:0006119}</t>
  </si>
  <si>
    <t>membrane {GO:0016020}; mitochondrial inner membrane {GO:0005743}; mitochondrial matrix {GO:0005759}; mitochondrial proton-transporting ATP synthase complex {GO:0005753}; mitochondrial proton-transporting ATP synthase complex, catalytic core F(1) {GO:0000275}; mitochondrion {GO:0005739}</t>
  </si>
  <si>
    <t>proton-transporting ATP synthase activity, rotational mechanism {GO:0046933}; RNA binding {GO:0003723}; transmembrane transporter activity {GO:0022857}</t>
  </si>
  <si>
    <t>2-amino-3-ketobutyrate coenzyme A ligase, mitochondrial (AKB ligase)</t>
  </si>
  <si>
    <t>Aminoacetone synthase; Glycine acetyltransferase</t>
  </si>
  <si>
    <t>KBL_HUMAN</t>
  </si>
  <si>
    <t>O75600</t>
  </si>
  <si>
    <t>E2QC23; Q6ZWF1; Q96CA9</t>
  </si>
  <si>
    <t>KBL</t>
  </si>
  <si>
    <t>Acetylation; Acyltransferase; Alternative splicing; Mitochondrion; Nucleus; Polymorphism; Pyridoxal phosphate; Transferase; Transit peptide</t>
  </si>
  <si>
    <t>biosynthetic process {GO:0009058}; cellular amino acid metabolic process {GO:0006520}; L-threonine catabolic process to glycine {GO:0019518}</t>
  </si>
  <si>
    <t>mitochondrial inner membrane {GO:0005743}; mitochondrion {GO:0005739}; nuclear speck {GO:0016607}; nucleoplasm {GO:0005654}</t>
  </si>
  <si>
    <t>glycine C-acetyltransferase activity {GO:0008890}; pyridoxal phosphate binding {GO:0030170}</t>
  </si>
  <si>
    <t>Amino-acid degradation; L-threonine degradation via oxydo-reductase pathway; glycine from L-threonine: step 2/2.</t>
  </si>
  <si>
    <t>Threonine catabolism {R-HSA-8849175}</t>
  </si>
  <si>
    <t>Matrix Gla protein (MGP)</t>
  </si>
  <si>
    <t>Cell growth-inhibiting gene 36 protein</t>
  </si>
  <si>
    <t>MGP_HUMAN</t>
  </si>
  <si>
    <t>P08493</t>
  </si>
  <si>
    <t>A0M8W5; B2R519; J3KMX7; Q2TU41; Q567P9; Q6ICN5</t>
  </si>
  <si>
    <t>MGLAP</t>
  </si>
  <si>
    <t>Alternative splicing; Chondrogenesis; Deafness; Developmental protein; Differentiation; Disulfide bond; Gamma-carboxyglutamic acid; Osteogenesis; Phosphoprotein; Polymorphism; Secreted; Signal</t>
  </si>
  <si>
    <t>Chondrogenesis; Differentiation; Osteogenesis</t>
  </si>
  <si>
    <t>Deafness</t>
  </si>
  <si>
    <t>Disulfide bond; Gamma-carboxyglutamic acid; Phosphoprotein</t>
  </si>
  <si>
    <t>cartilage condensation {GO:0001502}; cell differentiation {GO:0030154}; ossification {GO:0001503}; regulation of bone mineralization {GO:0030500}</t>
  </si>
  <si>
    <t>collagen-containing extracellular matrix {GO:0062023}; extracellular exosome {GO:0070062}; extracellular matrix {GO:0031012}</t>
  </si>
  <si>
    <t>calcium ion binding {GO:0005509}; extracellular matrix structural constituent {GO:0005201}; structural constituent of bone {GO:0008147}</t>
  </si>
  <si>
    <t>NADH dehydrogenase [ubiquinone] 1 alpha subcomplex subunit 12</t>
  </si>
  <si>
    <t>13 kDa differentiation-associated protein; Complex I-B17.2 (CI-B17.2; CIB17.2); NADH-ubiquinone oxidoreductase subunit B17.2</t>
  </si>
  <si>
    <t>NDUAC_HUMAN</t>
  </si>
  <si>
    <t>Q9UI09</t>
  </si>
  <si>
    <t>F8VQS7; Q53XX0; Q9BRV6</t>
  </si>
  <si>
    <t>DAP13</t>
  </si>
  <si>
    <t>3D-structure; Acetylation; Alternative splicing; Disease mutation; Electron transport; Membrane; Mitochondrion; Mitochondrion inner membrane; Polymorphism; Primary mitochondrial disease; Respiratory chain; Transport</t>
  </si>
  <si>
    <t>mitochondrial ATP synthesis coupled electron transport {GO:0042775}; mitochondrial electron transport, NADH to ubiquinone {GO:0006120}; mitochondrial respiratory chain complex I assembly {GO:0032981}; respiratory gaseous exchange {GO:0007585}; response to oxidative stress {GO:0006979}</t>
  </si>
  <si>
    <t>cytosol {GO:0005829}; mitochondrial inner membrane {GO:0005743}; mitochondrial respiratory chain complex I {GO:0005747}; mitochondrion {GO:0005739}</t>
  </si>
  <si>
    <t>electron transfer activity {GO:0009055}; NADH dehydrogenase (ubiquinone) activity {GO:0008137}</t>
  </si>
  <si>
    <t>Insulin-like growth factor-binding protein 6 (IBP-6; IGF-binding protein 6; IGFBP-6)</t>
  </si>
  <si>
    <t>IBP6_HUMAN</t>
  </si>
  <si>
    <t>P24592</t>
  </si>
  <si>
    <t>Q14492</t>
  </si>
  <si>
    <t>IBP6</t>
  </si>
  <si>
    <t>3D-structure; Disulfide bond; Glycoprotein; Growth factor binding; Polymorphism; Secreted; Signal</t>
  </si>
  <si>
    <t>cellular protein metabolic process {GO:0044267}; negative regulation of canonical Wnt signaling pathway {GO:0090090}; negative regulation of cell population proliferation {GO:0008285}; regulation of insulin-like growth factor receptor signaling pathway {GO:0043567}; signal transduction {GO:0007165}</t>
  </si>
  <si>
    <t>extracellular region {GO:0005576}; extracellular space {GO:0005615}; Golgi apparatus {GO:0005794}; insulin-like growth factor binary complex {GO:0042568}</t>
  </si>
  <si>
    <t>fibronectin binding {GO:0001968}; insulin-like growth factor I binding {GO:0031994}; insulin-like growth factor II binding {GO:0031995}; signaling receptor binding {GO:0005102}</t>
  </si>
  <si>
    <t>CD27 antigen</t>
  </si>
  <si>
    <t>CD27L receptor; T-cell activation antigen CD27; T14; Tumor necrosis factor receptor superfamily member 7; CD_antigen=CD27</t>
  </si>
  <si>
    <t>CD27_HUMAN</t>
  </si>
  <si>
    <t>P26842</t>
  </si>
  <si>
    <t>B2RDZ0</t>
  </si>
  <si>
    <t>TNFRSF7</t>
  </si>
  <si>
    <t>3D-structure; Apoptosis; Disease mutation; Disulfide bond; Glycoprotein; Membrane; Phosphoprotein; Polymorphism; Receptor; Repeat; Signal; Transmembrane; Transmembrane helix</t>
  </si>
  <si>
    <t>cell surface receptor signaling pathway {GO:0007166}; extrinsic apoptotic signaling pathway {GO:0097191}; immunoglobulin mediated immune response {GO:0016064}; negative regulation of apoptotic process {GO:0043066}; negative regulation of T cell apoptotic process {GO:0070233}; positive regulation of B cell differentiation {GO:0045579}; positive regulation of JNK cascade {GO:0046330}; positive regulation of NIK/NF-kappaB signaling {GO:1901224}; positive regulation of T cell differentiation {GO:0045582}; response to ethanol {GO:0045471}; tumor necrosis factor-mediated signaling pathway {GO:0033209}</t>
  </si>
  <si>
    <t>external side of plasma membrane {GO:0009897}; extracellular region {GO:0005576}; integral component of plasma membrane {GO:0005887}; plasma membrane {GO:0005886}</t>
  </si>
  <si>
    <t>cysteine-type endopeptidase inhibitor activity involved in apoptotic process {GO:0043027}; transmembrane signaling receptor activity {GO:0004888}</t>
  </si>
  <si>
    <t>TNFs bind their physiological receptors {R-HSA-5669034}</t>
  </si>
  <si>
    <t>Soluble CD163</t>
  </si>
  <si>
    <t>Hemoglobin scavenger receptor; CD_antigen=CD163 (sCD163)</t>
  </si>
  <si>
    <t>C163A_HUMAN</t>
  </si>
  <si>
    <t>Q86VB7</t>
  </si>
  <si>
    <t>C9JIG2; Q07898; Q07899; Q07900; Q07901; Q2VLH7</t>
  </si>
  <si>
    <t>M130</t>
  </si>
  <si>
    <t>Acute phase; Alternative splicing; Cell membrane; Disulfide bond; Glycoprotein; Inflammatory response; Membrane; Phosphoprotein; Polymorphism; Repeat; Secreted; Signal; Transmembrane; Transmembrane helix</t>
  </si>
  <si>
    <t>Acute phase; Inflammatory response</t>
  </si>
  <si>
    <t>acute-phase response {GO:0006953}; receptor-mediated endocytosis {GO:0006898}</t>
  </si>
  <si>
    <t>endocytic vesicle membrane {GO:0030666}; external side of plasma membrane {GO:0009897}; extracellular region {GO:0005576}; integral component of plasma membrane {GO:0005887}; plasma membrane {GO:0005886}</t>
  </si>
  <si>
    <t>scavenger receptor activity {GO:0005044}</t>
  </si>
  <si>
    <t>Complement C1s subcomponent light chain</t>
  </si>
  <si>
    <t>C1 esterase; Complement component 1 subcomponent s</t>
  </si>
  <si>
    <t>C1S_HUMAN</t>
  </si>
  <si>
    <t>P09871</t>
  </si>
  <si>
    <t>D3DUT4; Q9UCU7; Q9UCU8; Q9UCU9; Q9UCV0; Q9UCV1; Q9UCV2; Q9UCV3; Q9UCV4; Q9UCV5; Q9UM14</t>
  </si>
  <si>
    <t>3D-structure; Calcium; Complement pathway; Disease mutation; Disulfide bond; EGF-like domain; Ehlers-Danlos syndrome; Glycoprotein; Hydrolase; Hydroxylation; Immunity; Innate immunity; Metal-binding; Polymorphism; Protease; Repeat; Serine protease; Signal; Sushi</t>
  </si>
  <si>
    <t>complement activation {GO:0006956}; complement activation, classical pathway {GO:0006958}; innate immune response {GO:0045087}; regulation of complement activation {GO:0030449}</t>
  </si>
  <si>
    <t>calcium ion binding {GO:0005509}; identical protein binding {GO:0042802}; serine-type endopeptidase activity {GO:0004252}</t>
  </si>
  <si>
    <t>Epidermal growth factor receptor kinase substrate 8</t>
  </si>
  <si>
    <t>EPS8_HUMAN</t>
  </si>
  <si>
    <t>Q12929</t>
  </si>
  <si>
    <t>A6NMC3; A8K6W2; A8KA66; B4DX66; Q8N6J0</t>
  </si>
  <si>
    <t>3D-structure; Actin-binding; Alternative splicing; Cell junction; Cell membrane; Cell projection; Cytoplasm; Deafness; Membrane; Non-syndromic deafness; Phosphoprotein; Polymorphism; SH3 domain; Synapse; Synaptosome; Ubl conjugation</t>
  </si>
  <si>
    <t>Cell junction; Cell membrane; Cell projection; Cytoplasm; Membrane; Synapse; Synaptosome</t>
  </si>
  <si>
    <t>actin crosslink formation {GO:0051764}; actin cytoskeleton reorganization {GO:0031532}; actin filament bundle assembly {GO:0051017}; actin polymerization-dependent cell motility {GO:0070358}; adult locomotory behavior {GO:0008344}; barbed-end actin filament capping {GO:0051016}; behavioral response to ethanol {GO:0048149}; cellular response to leukemia inhibitory factor {GO:1990830}; dendritic cell migration {GO:0036336}; exit from mitosis {GO:0010458}; positive regulation of ruffle assembly {GO:1900029}; Rac protein signal transduction {GO:0016601}; regulation of actin filament length {GO:0030832}; regulation of cell shape {GO:0008360}; regulation of postsynaptic membrane neurotransmitter receptor levels {GO:0099072}; regulation of Rho protein signal transduction {GO:0035023}; Rho protein signal transduction {GO:0007266}</t>
  </si>
  <si>
    <t>brush border {GO:0005903}; cell cortex {GO:0005938}; cell junction {GO:0030054}; extracellular exosome {GO:0070062}; glutamatergic synapse {GO:0098978}; growth cone {GO:0030426}; NMDA selective glutamate receptor complex {GO:0017146}; plasma membrane {GO:0005886}; postsynaptic density {GO:0014069}; ruffle membrane {GO:0032587}; stereocilium {GO:0032420}; stereocilium tip {GO:0032426}; vesicle {GO:0031982}</t>
  </si>
  <si>
    <t>actin binding {GO:0003779}; Rac GTPase binding {GO:0048365}; signaling adaptor activity {GO:0035591}</t>
  </si>
  <si>
    <t>N-acetylglucosamine-6-sulfatase</t>
  </si>
  <si>
    <t>Glucosamine-6-sulfatase (G6S)</t>
  </si>
  <si>
    <t>GNS_HUMAN</t>
  </si>
  <si>
    <t>P15586</t>
  </si>
  <si>
    <t>B4DYH8; Q53F05</t>
  </si>
  <si>
    <t>Alternative splicing; Calcium; Disease mutation; Glycoprotein; Hydrolase; Lysosome; Metal-binding; Mucopolysaccharidosis; Phosphoprotein; Polymorphism; Signal</t>
  </si>
  <si>
    <t>glycosaminoglycan catabolic process {GO:0006027}; keratan sulfate catabolic process {GO:0042340}; neutrophil degranulation {GO:0043312}</t>
  </si>
  <si>
    <t>azurophil granule lumen {GO:0035578}; extracellular exosome {GO:0070062}; extracellular region {GO:0005576}; ficolin-1-rich granule lumen {GO:1904813}; lysosomal lumen {GO:0043202}</t>
  </si>
  <si>
    <t>glycosaminoglycan binding {GO:0005539}; metal ion binding {GO:0046872}; N-acetylglucosamine-6-sulfatase activity {GO:0008449}; sulfuric ester hydrolase activity {GO:0008484}</t>
  </si>
  <si>
    <t>Keratan sulfate degradation {R-HSA-2022857}; MPS IIID - Sanfilippo syndrome D {R-HSA-2206305}; Lysosome Vesicle Biogenesis {R-HSA-432720}; Neutrophil degranulation {R-HSA-6798695}</t>
  </si>
  <si>
    <t>Adaptin ear-binding coat-associated protein 2</t>
  </si>
  <si>
    <t>NECAP endocytosis-associated protein 2 (NECAP-2)</t>
  </si>
  <si>
    <t>NECP2_HUMAN</t>
  </si>
  <si>
    <t>Q9NVZ3</t>
  </si>
  <si>
    <t>B4DY19; E9PGQ8; Q5VSU4; Q5VSU5; Q9H7L1; Q9H8L1</t>
  </si>
  <si>
    <t>Alternative splicing; Cell membrane; Cytoplasmic vesicle; Endocytosis; Membrane; Phosphoprotein; Polymorphism; Protein transport; Repeat; Transport</t>
  </si>
  <si>
    <t>endocytosis {GO:0006897}; protein transport {GO:0015031}</t>
  </si>
  <si>
    <t>clathrin vesicle coat {GO:0030125}; clathrin-coated pit {GO:0005905}; intracellular {GO:0005622}; plasma membrane {GO:0005886}</t>
  </si>
  <si>
    <t>Cargo recognition for clathrin-mediated endocytosis {R-HSA-8856825}; Clathrin-mediated endocytosis {R-HSA-8856828}</t>
  </si>
  <si>
    <t>Tumor necrosis factor receptor superfamily member 13C</t>
  </si>
  <si>
    <t>B-cell-activating factor receptor; BAFF receptor (BAFF-R); BLyS receptor 3; CD_antigen=CD268</t>
  </si>
  <si>
    <t>TR13C_HUMAN</t>
  </si>
  <si>
    <t>Q96RJ3</t>
  </si>
  <si>
    <t>BAFFR; BR3</t>
  </si>
  <si>
    <t>3D-structure; Adaptive immunity; Alternative splicing; Disease mutation; Disulfide bond; Immunity; Membrane; Polymorphism; Receptor; Signal-anchor; Transmembrane; Transmembrane helix</t>
  </si>
  <si>
    <t>adaptive immune response {GO:0002250}; B cell costimulation {GO:0031296}; B cell homeostasis {GO:0001782}; positive regulation of B cell proliferation {GO:0030890}; positive regulation of germinal center formation {GO:0002636}; positive regulation of interferon-gamma biosynthetic process {GO:0045078}; positive regulation of T cell proliferation {GO:0042102}; T cell costimulation {GO:0031295}; tumor necrosis factor-mediated signaling pathway {GO:0033209}</t>
  </si>
  <si>
    <t>external side of plasma membrane {GO:0009897}; integral component of membrane {GO:0016021}; plasma membrane {GO:0005886}</t>
  </si>
  <si>
    <t>Alpha-2-macroglobulin (Alpha-2-M)</t>
  </si>
  <si>
    <t>C3 and PZP-like alpha-2-macroglobulin domain-containing protein 5</t>
  </si>
  <si>
    <t>A2MG_HUMAN</t>
  </si>
  <si>
    <t>P01023</t>
  </si>
  <si>
    <t>Q13677; Q59F47; Q5QTS0; Q68DN2; Q6PIY3; Q6PN97</t>
  </si>
  <si>
    <t>CPAMD5</t>
  </si>
  <si>
    <t>3D-structure; Bait region; Disulfide bond; Glycoprotein; Isopeptide bond; Polymorphism; Protease inhibitor; Secreted; Serine protease inhibitor; Signal; Thioester bond</t>
  </si>
  <si>
    <t>Bait region; Signal</t>
  </si>
  <si>
    <t>Disulfide bond; Glycoprotein; Isopeptide bond; Thioester bond</t>
  </si>
  <si>
    <t>blood coagulation, intrinsic pathway {GO:0007597}; extracellular matrix disassembly {GO:0022617}; negative regulation of complement activation, lectin pathway {GO:0001869}; platelet degranulation {GO:0002576}; regulation of small GTPase mediated signal transduction {GO:0051056}; stem cell differentiation {GO:0048863}</t>
  </si>
  <si>
    <t>blood microparticle {GO:0072562}; collagen-containing extracellular matrix {GO:0062023}; cytosol {GO:0005829}; extracellular exosome {GO:0070062}; extracellular region {GO:0005576}; extracellular space {GO:0005615}; platelet alpha granule lumen {GO:0031093}</t>
  </si>
  <si>
    <t>calcium-dependent protein binding {GO:0048306}; endopeptidase inhibitor activity {GO:0004866}; enzyme binding {GO:0019899}; growth factor binding {GO:0019838}; interleukin-1 binding {GO:0019966}; interleukin-8 binding {GO:0019959}; protease binding {GO:0002020}; serine-type endopeptidase inhibitor activity {GO:0004867}; signaling receptor binding {GO:0005102}; tumor necrosis factor binding {GO:0043120}</t>
  </si>
  <si>
    <t>Platelet degranulation {R-HSA-114608}; Intrinsic Pathway of Fibrin Clot Formation {R-HSA-140837}; Degradation of the extracellular matrix {R-HSA-1474228}; Rho GTPase cycle {R-HSA-194840}; HDL assembly {R-HSA-8963896}</t>
  </si>
  <si>
    <t>Myoglobin</t>
  </si>
  <si>
    <t>MYG_HUMAN</t>
  </si>
  <si>
    <t>P02144</t>
  </si>
  <si>
    <t>Q52H51; Q5THY7</t>
  </si>
  <si>
    <t>3D-structure; Heme; Iron; Metal-binding; Muscle protein; Oxygen transport; Phosphoprotein; Polymorphism; Transport</t>
  </si>
  <si>
    <t>Oxygen transport; Transport</t>
  </si>
  <si>
    <t>brown fat cell differentiation {GO:0050873}; enucleate erythrocyte differentiation {GO:0043353}; heart development {GO:0007507}; oxygen transport {GO:0015671}; response to hormone {GO:0009725}; response to hydrogen peroxide {GO:0042542}; response to hypoxia {GO:0001666}; slow-twitch skeletal muscle fiber contraction {GO:0031444}</t>
  </si>
  <si>
    <t>heme binding {GO:0020037}; metal ion binding {GO:0046872}; oxygen binding {GO:0019825}; oxygen carrier activity {GO:0005344}</t>
  </si>
  <si>
    <t>Intracellular oxygen transport {R-HSA-8981607}</t>
  </si>
  <si>
    <t>Phosphate carrier protein, mitochondrial</t>
  </si>
  <si>
    <t>Phosphate transport protein (PTP); Solute carrier family 25 member 3</t>
  </si>
  <si>
    <t>MPCP_HUMAN</t>
  </si>
  <si>
    <t>Q00325</t>
  </si>
  <si>
    <t>B3KS34; Q7Z7N7; Q96A03</t>
  </si>
  <si>
    <t>PHC</t>
  </si>
  <si>
    <t>Acetylation; Alternative splicing; Disease mutation; Membrane; Methylation; Mitochondrion; Mitochondrion inner membrane; Phosphoprotein; Repeat; Symport; Transit peptide; Transmembrane; Transmembrane helix; Transport</t>
  </si>
  <si>
    <t>Symport; Transport</t>
  </si>
  <si>
    <t>Repeat; Transit peptide; Transmembrane; Transmembrane helix</t>
  </si>
  <si>
    <t>phosphate ion transmembrane transport {GO:0035435}</t>
  </si>
  <si>
    <t>extracellular exosome {GO:0070062}; integral component of mitochondrial inner membrane {GO:0031305}; integral component of plasma membrane {GO:0005887}; membrane {GO:0016020}; mitochondrial inner membrane {GO:0005743}; mitochondrion {GO:0005739}</t>
  </si>
  <si>
    <t>inorganic phosphate transmembrane transporter activity {GO:0005315}; phosphate:proton symporter activity {GO:0015317}; protein-containing complex binding {GO:0044877}</t>
  </si>
  <si>
    <t>Citrate synthase, mitochondrial</t>
  </si>
  <si>
    <t>Citrate (Si)-synthase</t>
  </si>
  <si>
    <t>CISY_HUMAN</t>
  </si>
  <si>
    <t>O75390</t>
  </si>
  <si>
    <t>Q71UT9; Q7KZH0; Q96FZ8; Q9BWN8</t>
  </si>
  <si>
    <t>3D-structure; Acetylation; Methylation; Mitochondrion; Transferase; Transit peptide; Tricarboxylic acid cycle</t>
  </si>
  <si>
    <t>carbohydrate metabolic process {GO:0005975}; citrate metabolic process {GO:0006101}; tricarboxylic acid cycle {GO:0006099}</t>
  </si>
  <si>
    <t>extracellular exosome {GO:0070062}; mitochondrial matrix {GO:0005759}; mitochondrion {GO:0005739}; nucleus {GO:0005634}</t>
  </si>
  <si>
    <t>citrate (Si)-synthase activity {GO:0004108}; RNA binding {GO:0003723}</t>
  </si>
  <si>
    <t>Carbohydrate metabolism; tricarboxylic acid cycle; isocitrate from oxaloacetate: step 1/2.</t>
  </si>
  <si>
    <t>Mitochondrial protein import {R-HSA-1268020}; Citric acid cycle (TCA cycle) {R-HSA-71403}</t>
  </si>
  <si>
    <t>60S ribosomal protein L10</t>
  </si>
  <si>
    <t>Laminin receptor homolog; Large ribosomal subunit protein uL16; Protein QM; Ribosomal protein L10; Tumor suppressor QM</t>
  </si>
  <si>
    <t>RL10_HUMAN</t>
  </si>
  <si>
    <t>P27635</t>
  </si>
  <si>
    <t>A3KQT0; D3DWW6; Q16470; Q2HXT7; Q53FH7; Q6FGN8; Q8TDA5</t>
  </si>
  <si>
    <t>3D-structure; Autism; Autism spectrum disorder; Citrullination; Developmental protein; Disease mutation; Isopeptide bond; Mental retardation; Polymorphism; Ribonucleoprotein; Ribosomal protein; Translation regulation; Ubl conjugation</t>
  </si>
  <si>
    <t>Translation regulation</t>
  </si>
  <si>
    <t>Autism; Autism spectrum disorder; Disease mutation; Mental retardation</t>
  </si>
  <si>
    <t>Developmental protein; Ribonucleoprotein; Ribosomal protein</t>
  </si>
  <si>
    <t>Citrullination; Isopeptide bond; Ubl conjugation</t>
  </si>
  <si>
    <t>embryonic brain development {GO:1990403}; negative regulation of apoptotic process {GO:0043066}; negative regulation of transcription by RNA polymerase II {GO:0000122}; nuclear-transcribed mRNA catabolic process, nonsense-mediated decay {GO:0000184}; regulation of translation {GO:0006417}; ribosomal large subunit assembly {GO:0000027}; SRP-dependent cotranslational protein targeting to membrane {GO:0006614}; translation {GO:0006412}; translational initiation {GO:0006413}; viral transcription {GO:0019083}</t>
  </si>
  <si>
    <t>cytosol {GO:0005829}; cytosolic large ribosomal subunit {GO:0022625}; endoplasmic reticulum {GO:0005783}; membrane {GO:0016020}; nucleus {GO:0005634}; protein-containing complex {GO:0032991}</t>
  </si>
  <si>
    <t>RNA binding {GO:0003723}; structural constituent of ribosome {GO:0003735}; translation regulator activity {GO:0045182}</t>
  </si>
  <si>
    <t>Fibulin-1 (FIBL-1)</t>
  </si>
  <si>
    <t>FBLN1_HUMAN</t>
  </si>
  <si>
    <t>P23142</t>
  </si>
  <si>
    <t>B0QY42; B1AHL4; P23143; P23144; P37888; Q5TIC4; Q8TBH8; Q9HBQ5; Q9UC21; Q9UGR4; Q9UH41</t>
  </si>
  <si>
    <t>Alternative splicing; Calcium; Chromosomal rearrangement; Disulfide bond; EGF-like domain; Extracellular matrix; Glycoprotein; Host-virus interaction; Polymorphism; Repeat; Secreted; Signal</t>
  </si>
  <si>
    <t>blood coagulation, fibrin clot formation {GO:0072378}; embryo implantation {GO:0007566}; extracellular matrix organization {GO:0030198}; negative regulation of cell adhesion {GO:0007162}; negative regulation of cell motility {GO:2000146}; negative regulation of ERK1 and ERK2 cascade {GO:0070373}; negative regulation of protein phosphorylation {GO:0001933}; negative regulation of stem cell proliferation {GO:2000647}; negative regulation of substrate adhesion-dependent cell spreading {GO:1900025}; negative regulation of transformation of host cell by virus {GO:1904188}; negative regulation of transforming growth factor-beta secretion {GO:2001202}; positive regulation of fibroblast proliferation {GO:0048146}; positive regulation of gene expression {GO:0010628}; positive regulation of substrate-dependent cell migration, cell attachment to substrate {GO:1904237}; viral process {GO:0016032}</t>
  </si>
  <si>
    <t>basement membrane {GO:0005604}; collagen-containing extracellular matrix {GO:0062023}; elastic fiber {GO:0071953}; extracellular exosome {GO:0070062}; extracellular matrix {GO:0031012}; extracellular region {GO:0005576}; extracellular space {GO:0005615}</t>
  </si>
  <si>
    <t>calcium ion binding {GO:0005509}; extracellular matrix structural constituent {GO:0005201}; fibrinogen binding {GO:0070051}; fibronectin binding {GO:0001968}; identical protein binding {GO:0042802}; integrin binding {GO:0005178}; peptidase activator activity {GO:0016504}; protein C-terminus binding {GO:0008022}; protein-containing complex binding {GO:0044877}</t>
  </si>
  <si>
    <t>LIM domain and actin-binding protein 1</t>
  </si>
  <si>
    <t>Epithelial protein lost in neoplasm</t>
  </si>
  <si>
    <t>LIMA1_HUMAN</t>
  </si>
  <si>
    <t>Q9UHB6</t>
  </si>
  <si>
    <t>B2RB09; Q2TAN7; Q59FE8; Q9BVF2; Q9H8J1; Q9HBN5; Q9NX96; Q9NXC3; Q9NXU6; Q9P0H8; Q9UHB5</t>
  </si>
  <si>
    <t>3D-structure; Acetylation; Actin-binding; Alternative promoter usage; Alternative splicing; Cell junction; Cell membrane; Cholesterol metabolism; Cytoplasm; Cytoskeleton; LIM domain; Lipid metabolism; Membrane; Metal-binding; Phosphoprotein; Polymorphism; Steroid metabolism; Sterol metabolism; Zinc</t>
  </si>
  <si>
    <t>Cholesterol metabolism; Lipid metabolism; Steroid metabolism; Sterol metabolism</t>
  </si>
  <si>
    <t>actin filament bundle assembly {GO:0051017}; cell migration {GO:0016477}; cholesterol homeostasis {GO:0042632}; cholesterol metabolic process {GO:0008203}; intestinal cholesterol absorption {GO:0030299}; negative regulation of actin filament depolymerization {GO:0030835}; ruffle organization {GO:0031529}</t>
  </si>
  <si>
    <t>actin cytoskeleton {GO:0015629}; brush border membrane {GO:0031526}; cleavage furrow {GO:0032154}; cytosol {GO:0005829}; focal adhesion {GO:0005925}; plasma membrane {GO:0005886}; ruffle {GO:0001726}; stress fiber {GO:0001725}</t>
  </si>
  <si>
    <t>actin filament binding {GO:0051015}; actin monomer binding {GO:0003785}; cadherin binding {GO:0045296}; metal ion binding {GO:0046872}</t>
  </si>
  <si>
    <t>Complement C1r subcomponent light chain</t>
  </si>
  <si>
    <t>Complement component 1 subcomponent r</t>
  </si>
  <si>
    <t>C1R_HUMAN</t>
  </si>
  <si>
    <t>P00736</t>
  </si>
  <si>
    <t>A6NJQ8; Q68D77; Q8J012</t>
  </si>
  <si>
    <t>3D-structure; Complement pathway; Disease mutation; Disulfide bond; EGF-like domain; Ehlers-Danlos syndrome; Glycoprotein; Hydrolase; Hydroxylation; Immunity; Innate immunity; Phosphoprotein; Polymorphism; Protease; Repeat; Secreted; Serine protease; Signal; Sushi</t>
  </si>
  <si>
    <t>complement activation {GO:0006956}; complement activation, classical pathway {GO:0006958}; immune response {GO:0006955}; innate immune response {GO:0045087}; regulation of complement activation {GO:0030449}; zymogen activation {GO:0031638}</t>
  </si>
  <si>
    <t>blood microparticle {GO:0072562}; extracellular exosome {GO:0070062}; extracellular region {GO:0005576}; extracellular space {GO:0005615}</t>
  </si>
  <si>
    <t>calcium ion binding {GO:0005509}; serine-type endopeptidase activity {GO:0004252}; serine-type peptidase activity {GO:0008236}</t>
  </si>
  <si>
    <t>Insulin-like growth factor I (IGF-I)</t>
  </si>
  <si>
    <t>Mechano growth factor (MGF); Somatomedin-C</t>
  </si>
  <si>
    <t>IGF1_HUMAN</t>
  </si>
  <si>
    <t>P05019</t>
  </si>
  <si>
    <t>B2RWM7; E9PD02; P01343; Q14620</t>
  </si>
  <si>
    <t>3D-structure; Alternative splicing; Deafness; Disulfide bond; Growth factor; Polymorphism; Secreted; Signal</t>
  </si>
  <si>
    <t>activation of MAPK activity {GO:0000187}; activation of protein kinase B activity {GO:0032148}; bone mineralization involved in bone maturation {GO:0035630}; cell activation {GO:0001775}; cell population proliferation {GO:0008283}; cellular protein metabolic process {GO:0044267}; cellular response to amyloid-beta {GO:1904646}; ERK1 and ERK2 cascade {GO:0070371}; glycolate metabolic process {GO:0009441}; insulin-like growth factor receptor signaling pathway {GO:0048009}; muscle hypertrophy {GO:0014896}; muscle organ development {GO:0007517}; myoblast differentiation {GO:0045445}; myoblast proliferation {GO:0051450}; myotube cell development {GO:0014904}; negative regulation of amyloid-beta formation {GO:1902430}; negative regulation of apoptotic process {GO:0043066}; negative regulation of extrinsic apoptotic signaling pathway {GO:2001237}; negative regulation of gene expression {GO:0010629}; negative regulation of interleukin-1 beta production {GO:0032691}; negative regulation of neuroinflammatory response {GO:0150079}; negative regulation of oocyte development {GO:0060283}; negative regulation of release of cytochrome c from mitochondria {GO:0090201}; negative regulation of smooth muscle cell apoptotic process {GO:0034392}; negative regulation of tumor necrosis factor production {GO:0032720}; negative regulation of vascular associated smooth muscle cell apoptotic process {GO:1905460}; phosphatidylinositol 3-kinase signaling {GO:0014065}; phosphatidylinositol-mediated signaling {GO:0048015}; platelet degranulation {GO:0002576}; positive regulation of activated T cell proliferation {GO:0042104}; positive regulation of calcineurin-NFAT signaling cascade {GO:0070886}; positive regulation of cardiac muscle hypertrophy {GO:0010613}; positive regulation of cell growth involved in cardiac muscle cell development {GO:0061051}; positive regulation of cell migration {GO:0030335}; positive regulation of cell population proliferation {GO:0008284}; positive regulation of DNA binding {GO:0043388}; positive regulation of epithelial cell proliferation {GO:0050679}; positive regulation of fibroblast proliferation {GO:0048146}; positive regulation of gene expression {GO:0010628}; positive regulation of glucose import {GO:0046326}; positive regulation of glycogen biosynthetic process {GO:0045725}; positive regulation of glycolytic process {GO:0045821}; positive regulation of glycoprotein biosynthetic process {GO:0010560}; positive regulation of insulin-like growth factor receptor signaling pathway {GO:0043568}; positive regulation of MAPK cascade {GO:0043410}; positive regulation of mitotic nuclear division {GO:0045840}; positive regulation of osteoblast differentiation {GO:0045669}; positive regulation of peptidyl-tyrosine phosphorylation {GO:0050731}; positive regulation of phosphatidylinositol 3-kinase signaling {GO:0014068}; positive regulation of protein secretion {GO:0050714}; positive regulation of Ras protein signal transduction {GO:0046579}; positive regulation of smooth muscle cell migration {GO:0014911}; positive regulation of smooth muscle cell proliferation {GO:0048661}; positive regulation of transcription by RNA polymerase II {GO:0045944}; positive regulation of transcription regulatory region DNA binding {GO:2000679}; positive regulation of transcription, DNA-templated {GO:0045893}; positive regulation of trophectodermal cell proliferation {GO:1904075}; positive regulation of tyrosine phosphorylation of STAT protein {GO:0042531}; positive regulation of vascular smooth muscle cell proliferation {GO:1904707}; protein kinase B signaling {GO:0043491}; protein stabilization {GO:0050821}; proteoglycan biosynthetic process {GO:0030166}; Ras protein signal transduction {GO:0007265}; regulation of gene expression {GO:0010468}; regulation of multicellular organism growth {GO:0040014}; response to heat {GO:0009408}; signal transduction {GO:0007165}; skeletal muscle satellite cell maintenance involved in skeletal muscle regeneration {GO:0014834}; skeletal system development {GO:0001501}</t>
  </si>
  <si>
    <t>alphav-beta3 integrin-IGF-1-IGF1R complex {GO:0035867}; exocytic vesicle {GO:0070382}; extracellular region {GO:0005576}; extracellular space {GO:0005615}; insulin-like growth factor binding protein complex {GO:0016942}; insulin-like growth factor ternary complex {GO:0042567}; platelet alpha granule lumen {GO:0031093}</t>
  </si>
  <si>
    <t>growth factor activity {GO:0008083}; hormone activity {GO:0005179}; insulin receptor binding {GO:0005158}; insulin-like growth factor receptor binding {GO:0005159}; integrin binding {GO:0005178}</t>
  </si>
  <si>
    <t>Platelet degranulation {R-HSA-114608}; Signaling by Type 1 Insulin-like Growth Factor 1 Receptor (IGF1R) {R-HSA-2404192}; IRS-related events triggered by IGF1R {R-HSA-2428928}; SHC-related events triggered by IGF1R {R-HSA-2428933}; Regulation of Insulin-like Growth Factor (IGF) transport and uptake by Insulin-like Growth Factor Binding Proteins (IGFBPs) {R-HSA-381426}; Synthesis, secretion, and deacylation of Ghrelin {R-HSA-422085}</t>
  </si>
  <si>
    <t>Secreted lymphocyte activation gene 3 protein</t>
  </si>
  <si>
    <t>CD_antigen=CD223 (sLAG-3)</t>
  </si>
  <si>
    <t>LAG3_HUMAN</t>
  </si>
  <si>
    <t>P18627</t>
  </si>
  <si>
    <t>A8K7T9; Q7Z643</t>
  </si>
  <si>
    <t>FDC</t>
  </si>
  <si>
    <t>Adaptive immunity; Alternative splicing; Cell membrane; Disulfide bond; Glycoprotein; Immunity; Immunoglobulin domain; Membrane; Polymorphism; Repeat; Secreted; Signal; Transmembrane; Transmembrane helix</t>
  </si>
  <si>
    <t>adaptive immune response {GO:0002250}; antigen processing and presentation of exogenous peptide antigen via MHC class II {GO:0019886}; cell surface receptor signaling pathway {GO:0007166}; negative regulation of interleukin-2 biosynthetic process {GO:0045085}; negative regulation of regulatory T cell differentiation {GO:0045590}; plasmacytoid dendritic cell activation {GO:0002270}; positive regulation of natural killer cell mediated cytotoxicity {GO:0045954}; regulation of immune response {GO:0050776}</t>
  </si>
  <si>
    <t>external side of plasma membrane {GO:0009897}; extracellular region {GO:0005576}; integral component of membrane {GO:0016021}; plasma membrane {GO:0005886}</t>
  </si>
  <si>
    <t>antigen binding {GO:0003823}; MHC class II protein binding {GO:0042289}; transmembrane signaling receptor activity {GO:0004888}</t>
  </si>
  <si>
    <t>Detyrosinated tubulin alpha-1C chain</t>
  </si>
  <si>
    <t>Alpha-tubulin 6; Tubulin alpha-6 chain</t>
  </si>
  <si>
    <t>TBA1C_HUMAN</t>
  </si>
  <si>
    <t>Q9BQE3</t>
  </si>
  <si>
    <t>TUBA6</t>
  </si>
  <si>
    <t>Acetylation; Cytoplasm; Cytoskeleton; GTP-binding; Methylation; Microtubule; Nitration; Nucleotide-binding; Phosphoprotein</t>
  </si>
  <si>
    <t>cell division {GO:0051301}; cytoskeleton-dependent intracellular transport {GO:0030705}; microtubule cytoskeleton organization {GO:0000226}; microtubule-based process {GO:0007017}; mitotic cell cycle {GO:0000278}</t>
  </si>
  <si>
    <t>cytoplasm {GO:0005737}; microtubule {GO:0005874}; microtubule cytoskeleton {GO:0015630}; nucleus {GO:0005634}; vesicle {GO:0031982}</t>
  </si>
  <si>
    <t>GTP binding {GO:0005525}; GTPase activity {GO:0003924}; structural constituent of cytoskeleton {GO:0005200}; structural molecule activity {GO:0005198}</t>
  </si>
  <si>
    <t>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HSP90 chaperone cycle for steroid hormone receptors (SHR) {R-HSA-3371497}; Recruitment of NuMA to mitotic centrosomes {R-HSA-380320}; Prefoldin mediated transfer of substrate to CCT/TriC {R-HSA-389957}; Formation of tubulin folding intermediates by CCT/TriC {R-HSA-389960}; Post-chaperonin tubulin folding pathway {R-HSA-389977}; Recycling pathway of L1 {R-HSA-437239}; Hedgehog 'off' state {R-HSA-5610787}; Cilium Assembly {R-HSA-5617833}; Intraflagellar transport {R-HSA-5620924}; RHO GTPases activate IQGAPs {R-HSA-5626467}; RHO GTPases Activate Formins {R-HSA-5663220};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Carboxyterminal post-translational modifications of tubulin {R-HSA-8955332}; Assembly and cell surface presentation of NMDA receptors {R-HSA-9609736}; Activation of AMPK downstream of NMDARs {R-HSA-9619483}; Kinesins {R-HSA-983189}</t>
  </si>
  <si>
    <t>Plexin-C1</t>
  </si>
  <si>
    <t>Virus-encoded semaphorin protein receptor; CD_antigen=CD232</t>
  </si>
  <si>
    <t>PLXC1_HUMAN</t>
  </si>
  <si>
    <t>O60486</t>
  </si>
  <si>
    <t>Q59H25</t>
  </si>
  <si>
    <t>VESPR</t>
  </si>
  <si>
    <t>3D-structure; Disulfide bond; Glycoprotein; Membrane; Phosphoprotein; Polymorphism; Signal; Transmembrane; Transmembrane helix</t>
  </si>
  <si>
    <t>cell adhesion {GO:0007155}; negative regulation of cell adhesion {GO:0007162}; positive regulation of axonogenesis {GO:0050772}; regulation of cell migration {GO:0030334}; regulation of cell shape {GO:0008360}; regulation of GTPase activity {GO:0043087}; semaphorin-plexin signaling pathway involved in axon guidance {GO:1902287}</t>
  </si>
  <si>
    <t>integral component of plasma membrane {GO:0005887}; membrane {GO:0016020}; plasma membrane {GO:0005886}; semaphorin receptor complex {GO:0002116}</t>
  </si>
  <si>
    <t>semaphorin receptor activity {GO:0017154}; signaling receptor binding {GO:0005102}</t>
  </si>
  <si>
    <t>Other semaphorin interactions {R-HSA-416700}</t>
  </si>
  <si>
    <t>Myosin-binding protein C, slow-type (Slow MyBP-C)</t>
  </si>
  <si>
    <t>C-protein, skeletal muscle slow isoform</t>
  </si>
  <si>
    <t>MYPC1_HUMAN</t>
  </si>
  <si>
    <t>Q00872</t>
  </si>
  <si>
    <t>B4DKR5; B7Z8G8; B7ZL02; B7ZL09; B7ZL10; E7ESM5; E7EWS6; G3XAE8; Q15497; Q17RR7; Q569K7; Q86T48; Q86TC8; Q8N3L2</t>
  </si>
  <si>
    <t>MYBPCS</t>
  </si>
  <si>
    <t>3D-structure; Actin-binding; Alternative splicing; Cell adhesion; Disease mutation; Immunoglobulin domain; Muscle protein; Phosphoprotein; Polymorphism; Repeat; Thick filament</t>
  </si>
  <si>
    <t>Thick filament</t>
  </si>
  <si>
    <t>cardiac muscle fiber development {GO:0048739}; cardiac muscle tissue morphogenesis {GO:0055008}; cardiac myofibril assembly {GO:0055003}; cell adhesion {GO:0007155}; muscle contraction {GO:0006936}; muscle filament sliding {GO:0030049}; sarcomere organization {GO:0045214}; skeletal muscle myosin thick filament assembly {GO:0030241}; skeletal muscle thin filament assembly {GO:0030240}; striated muscle myosin thick filament assembly {GO:0071688}</t>
  </si>
  <si>
    <t>cytosol {GO:0005829}; M band {GO:0031430}; myofibril {GO:0030016}; myosin filament {GO:0032982}; sarcomere {GO:0030017}; striated muscle thin filament {GO:0005865}; Z disc {GO:0030018}</t>
  </si>
  <si>
    <t>actin filament binding {GO:0051015}; muscle alpha-actinin binding {GO:0051371}; structural constituent of muscle {GO:0008307}; titin binding {GO:0031432}</t>
  </si>
  <si>
    <t>STE20-like serine/threonine-protein kinase (STE20-like kinase; hSLK)</t>
  </si>
  <si>
    <t>CTCL tumor antigen se20-9; STE20-related serine/threonine-protein kinase (STE20-related kinase); Serine/threonine-protein kinase 2</t>
  </si>
  <si>
    <t>SLK_HUMAN</t>
  </si>
  <si>
    <t>Q9H2G2</t>
  </si>
  <si>
    <t>D3DRA0; D3DRA1; O00211; Q6P1Z4; Q86WU7; Q86WW1; Q92603; Q9NQL0; Q9NQL1</t>
  </si>
  <si>
    <t>KIAA0204; STK2</t>
  </si>
  <si>
    <t>3D-structure; Alternative splicing; Apoptosis; ATP-binding; Coiled coil; Cytoplasm; Kinase; Nucleotide-binding; Phosphoprotein; Polymorphism; Serine/threonine-protein kinase; Transferase</t>
  </si>
  <si>
    <t>activation of protein kinase activity {GO:0032147}; apoptotic process {GO:0006915}; cytoplasmic microtubule organization {GO:0031122}; protein autophosphorylation {GO:0046777}; regulation of apoptotic process {GO:0042981}; regulation of cell migration {GO:0030334}; regulation of focal adhesion assembly {GO:0051893}; signal transduction by protein phosphorylation {GO:0023014}; stress-activated protein kinase signaling cascade {GO:0031098}</t>
  </si>
  <si>
    <t>cell leading edge {GO:0031252}; cytoplasm {GO:0005737}; extracellular exosome {GO:0070062}; perinuclear region of cytoplasm {GO:0048471}</t>
  </si>
  <si>
    <t>ATP binding {GO:0005524}; cadherin binding {GO:0045296}; identical protein binding {GO:0042802}; protein homodimerization activity {GO:0042803}; protein serine/threonine kinase activity {GO:0004674}</t>
  </si>
  <si>
    <t>Apolipoprotein F (Apo-F)</t>
  </si>
  <si>
    <t>Lipid transfer inhibitor protein (LTIP)</t>
  </si>
  <si>
    <t>APOF_HUMAN</t>
  </si>
  <si>
    <t>Q13790</t>
  </si>
  <si>
    <t>Q8TC13</t>
  </si>
  <si>
    <t>Cholesterol metabolism; Glycoprotein; HDL; LDL; Lipid metabolism; Lipid transport; Phosphoprotein; Polymorphism; Secreted; Signal; Steroid metabolism; Sterol metabolism; Transport</t>
  </si>
  <si>
    <t>HDL; LDL; Secreted</t>
  </si>
  <si>
    <t>cholesterol metabolic process {GO:0008203}; lipid metabolic process {GO:0006629}; lipid transport {GO:0006869}</t>
  </si>
  <si>
    <t>extracellular space {GO:0005615}; high-density lipoprotein particle {GO:0034364}; low-density lipoprotein particle {GO:0034362}</t>
  </si>
  <si>
    <t>cholesterol binding {GO:0015485}; lipid transporter activity {GO:0005319}; signaling receptor binding {GO:0005102}</t>
  </si>
  <si>
    <t>LDL remodeling {R-HSA-8964041}</t>
  </si>
  <si>
    <t>Twinfilin-1</t>
  </si>
  <si>
    <t>Protein A6; Protein tyrosine kinase 9</t>
  </si>
  <si>
    <t>TWF1_HUMAN</t>
  </si>
  <si>
    <t>Q12792</t>
  </si>
  <si>
    <t>A8K5A8; B3KXS6; B4DLX9; Q59G07; Q5U0B1; Q6FHJ1; Q6FHL6; Q6NUK9; Q86XL6; Q8TCD3</t>
  </si>
  <si>
    <t>PTK9</t>
  </si>
  <si>
    <t>Acetylation; Actin-binding; Alternative splicing; Cytoplasm; Cytoskeleton; Disease mutation; Phosphoprotein; Repeat</t>
  </si>
  <si>
    <t>actin filament depolymerization {GO:0030042}; barbed-end actin filament capping {GO:0051016}; negative regulation of actin filament polymerization {GO:0030837}; peptidyl-tyrosine phosphorylation {GO:0018108}; positive regulation of cardiac muscle hypertrophy {GO:0010613}; positive regulation of neuron projection development {GO:0010976}; regulation of actin phosphorylation {GO:0043538}; regulation of lamellipodium assembly {GO:0010591}; sequestering of actin monomers {GO:0042989}</t>
  </si>
  <si>
    <t>actin cytoskeleton {GO:0015629}; actin filament {GO:0005884}; cell-cell junction {GO:0005911}; cytoplasm {GO:0005737}; cytosol {GO:0005829}; filopodium {GO:0030175}; focal adhesion {GO:0005925}; myofibril {GO:0030016}; perinuclear region of cytoplasm {GO:0048471}; ruffle membrane {GO:0032587}</t>
  </si>
  <si>
    <t>actin binding {GO:0003779}; actin filament binding {GO:0051015}; actin monomer binding {GO:0003785}; ATP binding {GO:0005524}; cadherin binding {GO:0045296}; phosphatidylinositol-4,5-bisphosphate binding {GO:0005546}</t>
  </si>
  <si>
    <t>CDGSH iron-sulfur domain-containing protein 1</t>
  </si>
  <si>
    <t>MitoNEET</t>
  </si>
  <si>
    <t>CISD1_HUMAN</t>
  </si>
  <si>
    <t>Q9NZ45</t>
  </si>
  <si>
    <t>Q1X902</t>
  </si>
  <si>
    <t>C10orf70; ZCD1</t>
  </si>
  <si>
    <t>2Fe-2S; 3D-structure; Acetylation; Iron; Iron-sulfur; Isopeptide bond; Membrane; Metal-binding; Mitochondrion; Mitochondrion outer membrane; Signal-anchor; Transmembrane; Transmembrane helix; Ubl conjugation</t>
  </si>
  <si>
    <t>2Fe-2S; Iron; Iron-sulfur; Metal-binding</t>
  </si>
  <si>
    <t>regulation of cellular respiration {GO:0043457}</t>
  </si>
  <si>
    <t>cytoplasmic side of mitochondrial outer membrane {GO:0032473}; integral component of membrane {GO:0016021}; mitochondrion {GO:0005739}</t>
  </si>
  <si>
    <t>2 iron, 2 sulfur cluster binding {GO:0051537}; identical protein binding {GO:0042802}; metal ion binding {GO:0046872}</t>
  </si>
  <si>
    <t>Phosphatidylinositol 5-phosphate 4-kinase type-2 gamma</t>
  </si>
  <si>
    <t>Phosphatidylinositol 5-phosphate 4-kinase type II gamma (PI(5)P 4-kinase type II gamma; PIP4KII-gamma)</t>
  </si>
  <si>
    <t>PI42C_HUMAN</t>
  </si>
  <si>
    <t>Q8TBX8</t>
  </si>
  <si>
    <t>B2RDL3; B4DM11; B4DY44; Q9H6N2</t>
  </si>
  <si>
    <t>PIP5K2C</t>
  </si>
  <si>
    <t>3D-structure; Acetylation; Alternative splicing; ATP-binding; Cytoplasm; Kinase; Membrane; Nucleotide-binding; Phosphoprotein; Polymorphism; Transferase</t>
  </si>
  <si>
    <t>phosphatidylinositol biosynthetic process {GO:0006661}; positive regulation of autophagosome assembly {GO:2000786}; regulation of autophagy {GO:0010506}; regulation of phosphatidylinositol 3-kinase signaling {GO:0014066}</t>
  </si>
  <si>
    <t>autophagosome {GO:0005776}; cytosol {GO:0005829}; extracellular exosome {GO:0070062}; membrane {GO:0016020}</t>
  </si>
  <si>
    <t>1-phosphatidylinositol-5-phosphate 4-kinase activity {GO:0016309}; ATP binding {GO:0005524}; identical protein binding {GO:0042802}</t>
  </si>
  <si>
    <t>Synthesis of PIPs at the plasma membrane {R-HSA-1660499}; PI5P Regulates TP53 Acetylation {R-HSA-6811555}; PI5P, PP2A and IER3 Regulate PI3K/AKT Signaling {R-HSA-6811558}; Synthesis of PIPs in the nucleus {R-HSA-8847453}</t>
  </si>
  <si>
    <t>Aconitate hydratase, mitochondrial (Aconitase)</t>
  </si>
  <si>
    <t>Citrate hydro-lyase</t>
  </si>
  <si>
    <t>ACON_HUMAN</t>
  </si>
  <si>
    <t>Q99798</t>
  </si>
  <si>
    <t>O75809; Q5JZ41; Q6FHX0; Q8TAQ6</t>
  </si>
  <si>
    <t>4Fe-4S; Acetylation; Disease mutation; Iron; Iron-sulfur; Lyase; Metal-binding; Mitochondrion; Neurodegeneration; Phosphoprotein; Polymorphism; Transit peptide; Tricarboxylic acid cycle</t>
  </si>
  <si>
    <t>4Fe-4S; Iron; Iron-sulfur; Metal-binding</t>
  </si>
  <si>
    <t>citrate metabolic process {GO:0006101}; generation of precursor metabolites and energy {GO:0006091}; isocitrate metabolic process {GO:0006102}; liver development {GO:0001889}; response to isolation stress {GO:0035900}; tricarboxylic acid cycle {GO:0006099}</t>
  </si>
  <si>
    <t>3 iron, 4 sulfur cluster binding {GO:0051538}; 4 iron, 4 sulfur cluster binding {GO:0051539}; aconitate hydratase activity {GO:0003994}; iron ion binding {GO:0005506}</t>
  </si>
  <si>
    <t>Carbohydrate metabolism; tricarboxylic acid cycle; isocitrate from oxaloacetate: step 2/2.</t>
  </si>
  <si>
    <t>Signal peptide, CUB and EGF-like domain-containing protein 1</t>
  </si>
  <si>
    <t>SCUB1_HUMAN</t>
  </si>
  <si>
    <t>Q8IWY4</t>
  </si>
  <si>
    <t>Q5R336</t>
  </si>
  <si>
    <t>Calcium; Cell membrane; Disulfide bond; EGF-like domain; Glycoprotein; Membrane; Polymorphism; Repeat; Secreted; Signal</t>
  </si>
  <si>
    <t>adult heart development {GO:0007512}; blood coagulation {GO:0007596}; endothelial cell differentiation {GO:0045446}; extracellular matrix disassembly {GO:0022617}; inflammatory response {GO:0006954}; positive regulation of smoothened signaling pathway {GO:0045880}; post-embryonic development {GO:0009791}; protein homooligomerization {GO:0051260}</t>
  </si>
  <si>
    <t>cell surface {GO:0009986}; external side of plasma membrane {GO:0009897}; extracellular space {GO:0005615}; extrinsic component of plasma membrane {GO:0019897}; plasma membrane {GO:0005886}</t>
  </si>
  <si>
    <t>calcium ion binding {GO:0005509}; identical protein binding {GO:0042802}; protein heterodimerization activity {GO:0046982}</t>
  </si>
  <si>
    <t>Degradation of the extracellular matrix {R-HSA-1474228}</t>
  </si>
  <si>
    <t>ATP synthase subunit beta, mitochondrial</t>
  </si>
  <si>
    <t>ATP synthase F1 subunit beta</t>
  </si>
  <si>
    <t>ATPB_HUMAN</t>
  </si>
  <si>
    <t>P06576</t>
  </si>
  <si>
    <t>A8K4X0; Q14283</t>
  </si>
  <si>
    <t>Acetylation; ATP synthesis; ATP-binding; CF(1); Glycoprotein; Hydrogen ion transport; Ion transport; Membrane; Mitochondrion; Mitochondrion inner membrane; Nucleotide-binding; Phosphoprotein; Polymorphism; Transit peptide; Translocase; Transport</t>
  </si>
  <si>
    <t>angiogenesis {GO:0001525}; ATP biosynthetic process {GO:0006754}; cellular response to interleukin-7 {GO:0098761}; cristae formation {GO:0042407}; generation of precursor metabolites and energy {GO:0006091}; lipid metabolic process {GO:0006629}; mitochondrial ATP synthesis coupled proton transport {GO:0042776}; mitochondrion organization {GO:0007005}; negative regulation of cell adhesion involved in substrate-bound cell migration {GO:0006933}; osteoblast differentiation {GO:0001649}; positive regulation of blood vessel endothelial cell migration {GO:0043536}; proton transmembrane transport {GO:1902600}; regulation of intracellular pH {GO:0051453}</t>
  </si>
  <si>
    <t>cell surface {GO:0009986}; extracellular exosome {GO:0070062}; membrane {GO:0016020}; mitochondrial matrix {GO:0005759}; mitochondrial membrane {GO:0031966}; mitochondrial nucleoid {GO:0042645}; mitochondrial proton-transporting ATP synthase complex {GO:0005753}; mitochondrial proton-transporting ATP synthase, catalytic core {GO:0005754}; mitochondrion {GO:0005739}; nucleus {GO:0005634}; plasma membrane {GO:0005886}; proton-transporting ATP synthase complex {GO:0045259}; proton-transporting ATP synthase complex, catalytic core F(1) {GO:0045261}</t>
  </si>
  <si>
    <t>angiostatin binding {GO:0043532}; ATP binding {GO:0005524}; MHC class I protein binding {GO:0042288}; proton-transporting ATP synthase activity, rotational mechanism {GO:0046933}; proton-transporting ATPase activity, rotational mechanism {GO:0046961}; transmembrane transporter activity {GO:0022857}</t>
  </si>
  <si>
    <t>Mitochondrial protein import {R-HSA-1268020}; Formation of ATP by chemiosmotic coupling {R-HSA-163210}; Transcriptional activation of mitochondrial biogenesis {R-HSA-2151201}; Cristae formation {R-HSA-8949613}</t>
  </si>
  <si>
    <t>Galectin-1 (Gal-1)</t>
  </si>
  <si>
    <t>14 kDa laminin-binding protein (HLBP14); 14 kDa lectin; Beta-galactoside-binding lectin L-14-I; Galaptin; HBL; HPL; Lactose-binding lectin 1; Lectin galactoside-binding soluble 1; Putative MAPK-activating protein PM12; S-Lac lectin 1</t>
  </si>
  <si>
    <t>LEG1_HUMAN</t>
  </si>
  <si>
    <t>P09382</t>
  </si>
  <si>
    <t>B2R5E8; Q9UDK5</t>
  </si>
  <si>
    <t>3D-structure; Acetylation; Apoptosis; Extracellular matrix; Lectin; Phosphoprotein; Secreted</t>
  </si>
  <si>
    <t>apoptotic process {GO:0006915}; cellular protein metabolic process {GO:0044267}; cellular response to glucose stimulus {GO:0071333}; cellular response to organic cyclic compound {GO:0071407}; myoblast differentiation {GO:0045445}; negative regulation of cell-substrate adhesion {GO:0010812}; negative regulation of neuron projection development {GO:0010977}; plasma cell differentiation {GO:0002317}; positive regulation of erythrocyte aggregation {GO:0034120}; positive regulation of I-kappaB kinase/NF-kappaB signaling {GO:0043123}; positive regulation of viral entry into host cell {GO:0046598}; post-translational protein modification {GO:0043687}; regulation of apoptotic process {GO:0042981}; response to axon injury {GO:0048678}; response to drug {GO:0042493}; response to isolation stress {GO:0035900}; T cell costimulation {GO:0031295}</t>
  </si>
  <si>
    <t>cell surface {GO:0009986}; collagen-containing extracellular matrix {GO:0062023}; cytoplasm {GO:0005737}; cytosol {GO:0005829}; endoplasmic reticulum lumen {GO:0005788}; extracellular exosome {GO:0070062}; extracellular region {GO:0005576}; extracellular space {GO:0005615}; intracellular {GO:0005622}; nucleus {GO:0005634}</t>
  </si>
  <si>
    <t>carbohydrate binding {GO:0030246}; lactose binding {GO:0030395}; laminin binding {GO:0043236}; protein homodimerization activity {GO:0042803}; RNA binding {GO:0003723}</t>
  </si>
  <si>
    <t>Alpha-N-acetylgalactosaminidase</t>
  </si>
  <si>
    <t>Alpha-galactosidase B</t>
  </si>
  <si>
    <t>NAGAB_HUMAN</t>
  </si>
  <si>
    <t>P17050</t>
  </si>
  <si>
    <t>3D-structure; Disease mutation; Disulfide bond; Epilepsy; Glycoprotein; Glycosidase; Hydrolase; Lysosome; Phosphoprotein; Signal</t>
  </si>
  <si>
    <t>carbohydrate catabolic process {GO:0016052}; glycolipid catabolic process {GO:0019377}; glycoside catabolic process {GO:0016139}; glycosylceramide catabolic process {GO:0046477}; oligosaccharide metabolic process {GO:0009311}</t>
  </si>
  <si>
    <t>cytoplasm {GO:0005737}; extracellular exosome {GO:0070062}; lysosome {GO:0005764}</t>
  </si>
  <si>
    <t>alpha-galactosidase activity {GO:0004557}; alpha-N-acetylgalactosaminidase activity {GO:0008456}; protein homodimerization activity {GO:0042803}</t>
  </si>
  <si>
    <t>Isopentenyl-diphosphate Delta-isomerase 1</t>
  </si>
  <si>
    <t>Isopentenyl pyrophosphate isomerase 1 (IPP isomerase 1; IPPI1)</t>
  </si>
  <si>
    <t>IDI1_HUMAN</t>
  </si>
  <si>
    <t>Q13907</t>
  </si>
  <si>
    <t>B4E155; Q32Q13; Q53GQ6; Q86U81; Q8WUX8; Q96IZ4; Q9BQ74</t>
  </si>
  <si>
    <t>3D-structure; Acetylation; Alternative splicing; Cholesterol biosynthesis; Cholesterol metabolism; Isomerase; Isoprene biosynthesis; Lipid biosynthesis; Lipid metabolism; Magnesium; Metal-binding; Peroxisome; Steroid biosynthesis; Steroid metabolism; Sterol biosynthesis; Sterol metabolism</t>
  </si>
  <si>
    <t>Cholesterol biosynthesis; Cholesterol metabolism; Isoprene biosynthesis; Lipid biosynthesis; Lipid metabolism; Steroid biosynthesis; Steroid metabolism; Sterol biosynthesis; Sterol metabolism</t>
  </si>
  <si>
    <t>cholesterol biosynthetic process {GO:0006695}; dimethylallyl diphosphate biosynthetic process {GO:0050992}; isopentenyl diphosphate biosynthetic process {GO:0009240}; isoprenoid biosynthetic process {GO:0008299}; regulation of cholesterol biosynthetic process {GO:0045540}</t>
  </si>
  <si>
    <t>cytosol {GO:0005829}; peroxisome {GO:0005777}</t>
  </si>
  <si>
    <t>hydrolase activity {GO:0016787}; isopentenyl-diphosphate delta-isomerase activity {GO:0004452}; magnesium ion binding {GO:0000287}; manganese ion binding {GO:0030145}; metal ion binding {GO:0046872}</t>
  </si>
  <si>
    <t>Isoprenoid biosynthesis; dimethylallyl diphosphate biosynthesis; dimethylallyl diphosphate from isopentenyl diphosphate: step 1/1.</t>
  </si>
  <si>
    <t>Cholesterol biosynthesis {R-HSA-191273}; Activation of gene expression by SREBF (SREBP) {R-HSA-2426168}</t>
  </si>
  <si>
    <t>Growth/differentiation factor 2 (GDF-2)</t>
  </si>
  <si>
    <t>Bone morphogenetic protein 9 (BMP-9)</t>
  </si>
  <si>
    <t>GDF2_HUMAN</t>
  </si>
  <si>
    <t>Q9UK05</t>
  </si>
  <si>
    <t>Q5VSQ9; Q9Y571</t>
  </si>
  <si>
    <t>BMP9</t>
  </si>
  <si>
    <t>3D-structure; Angiogenesis; Cleavage on pair of basic residues; Cytokine; Disease mutation; Disulfide bond; Glycoprotein; Growth factor; Secreted; Signal</t>
  </si>
  <si>
    <t>activin receptor signaling pathway {GO:0032924}; angiogenesis {GO:0001525}; blood vessel morphogenesis {GO:0048514}; BMP signaling pathway {GO:0030509}; branching involved in blood vessel morphogenesis {GO:0001569}; cartilage development {GO:0051216}; cell development {GO:0048468}; cellular iron ion homeostasis {GO:0006879}; cellular response to BMP stimulus {GO:0071773}; negative regulation of angiogenesis {GO:0016525}; negative regulation of blood vessel endothelial cell migration {GO:0043537}; negative regulation of cell growth {GO:0030308}; negative regulation of DNA biosynthetic process {GO:2000279}; negative regulation of DNA replication {GO:0008156}; negative regulation of endothelial cell migration {GO:0010596}; negative regulation of endothelial cell proliferation {GO:0001937}; ossification {GO:0001503}; osteoblast differentiation {GO:0001649}; pathway-restricted SMAD protein phosphorylation {GO:0060389}; positive regulation of angiogenesis {GO:0045766}; positive regulation of BMP signaling pathway {GO:0030513}; positive regulation of cartilage development {GO:0061036}; positive regulation of endothelial cell differentiation {GO:0045603}; positive regulation of endothelial cell proliferation {GO:0001938}; positive regulation of interleukin-8 production {GO:0032757}; positive regulation of osteoblast differentiation {GO:0045669}; positive regulation of pathway-restricted SMAD protein phosphorylation {GO:0010862}; positive regulation of transcription by RNA polymerase II {GO:0045944}; positive regulation of transcription, DNA-templated {GO:0045893}; regulation of apoptotic process {GO:0042981}; regulation of MAPK cascade {GO:0043408}; SMAD protein signal transduction {GO:0060395}; vasculogenesis {GO:0001570}</t>
  </si>
  <si>
    <t>cytokine activity {GO:0005125}; growth factor activity {GO:0008083}; transforming growth factor beta receptor binding {GO:0005160}</t>
  </si>
  <si>
    <t>Sodium-coupled monocarboxylate transporter 1</t>
  </si>
  <si>
    <t>Apical iodide transporter; Electrogenic sodium monocarboxylate cotransporter; Sodium iodide-related cotransporter; Solute carrier family 5 member 8</t>
  </si>
  <si>
    <t>SC5A8_HUMAN</t>
  </si>
  <si>
    <t>Q8N695</t>
  </si>
  <si>
    <t>Q2TB99; Q7Z2H9</t>
  </si>
  <si>
    <t>Apoptosis; Cell membrane; Glycoprotein; Ion transport; Membrane; Polymorphism; Sodium; Sodium transport; Symport; Transmembrane; Transmembrane helix; Transport; Tumor suppressor</t>
  </si>
  <si>
    <t>Apoptosis; Ion transport; Sodium transport; Symport; Transport</t>
  </si>
  <si>
    <t>apoptotic process {GO:0006915}; ion transport {GO:0006811}; NAD biosynthesis via nicotinamide riboside salvage pathway {GO:0034356}; short-chain fatty acid import {GO:0015913}</t>
  </si>
  <si>
    <t>lactate transmembrane transporter activity {GO:0015129}; monocarboxylate:sodium symporter activity {GO:0140161}; monocarboxylic acid transmembrane transporter activity {GO:0008028}; passive transmembrane transporter activity {GO:0022803}; propionate transmembrane transporter activity {GO:0015552}</t>
  </si>
  <si>
    <t>Nicotinamide salvaging {R-HSA-197264}; Organic anion transporters {R-HSA-428643}</t>
  </si>
  <si>
    <t>Dynactin subunit 2</t>
  </si>
  <si>
    <t>50 kDa dynein-associated polypeptide; Dynactin complex 50 kDa subunit (DCTN-50); p50 dynamitin</t>
  </si>
  <si>
    <t>DCTN2_HUMAN</t>
  </si>
  <si>
    <t>Q13561</t>
  </si>
  <si>
    <t>B2RBK5; Q86YN2; Q9BW17</t>
  </si>
  <si>
    <t>DCTN50</t>
  </si>
  <si>
    <t>Acetylation; Alternative splicing; Coiled coil; Cytoplasm; Cytoskeleton; Dynein; Membrane; Microtubule; Phosphoprotein</t>
  </si>
  <si>
    <t>Cytoplasm; Cytoskeleton; Dynein; Membrane; Microtubule</t>
  </si>
  <si>
    <t>antigen processing and presentation of exogenous peptide antigen via MHC class II {GO:0019886}; cell population proliferation {GO:0008283}; ciliary basal body-plasma membrane docking {GO:0097711}; endoplasmic reticulum to Golgi vesicle-mediated transport {GO:0006888}; G2/M transition of mitotic cell cycle {GO:0000086}; melanosome transport {GO:0032402}; mitotic cell cycle {GO:0000278}; mitotic spindle organization {GO:0007052}; protein localization to centrosome {GO:0071539}; regulation of G2/M transition of mitotic cell cycle {GO:0010389}</t>
  </si>
  <si>
    <t>centrosome {GO:0005813}; cytoplasm {GO:0005737}; cytosol {GO:0005829}; dynactin complex {GO:0005869}; dynein complex {GO:0030286}; extracellular exosome {GO:0070062}; growth cone {GO:0030426}; kinetochore {GO:0000776}; membrane {GO:0016020}; microtubule {GO:0005874}; vesicle {GO:0031982}</t>
  </si>
  <si>
    <t>identical protein binding {GO:0042802}; motor activity {GO:0003774}; protein kinase binding {GO:0019901}; spectrin binding {GO:0030507}</t>
  </si>
  <si>
    <t>MHC class II antigen presentation {R-HSA-2132295};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COPI-mediated anterograde transport {R-HSA-6807878}; COPI-independent Golgi-to-ER retrograde traffic {R-HSA-6811436}; AURKA Activation by TPX2 {R-HSA-8854518}</t>
  </si>
  <si>
    <t>NADH-cytochrome b5 reductase 3 soluble form</t>
  </si>
  <si>
    <t>Diaphorase-1</t>
  </si>
  <si>
    <t>NB5R3_HUMAN</t>
  </si>
  <si>
    <t>P00387</t>
  </si>
  <si>
    <t>B1AHF2; B7Z7L3; O75675; Q8TDL8; Q8WTS8; Q9UEN4; Q9UEN5; Q9UL55; Q9UL56</t>
  </si>
  <si>
    <t>DIA1</t>
  </si>
  <si>
    <t>3D-structure; Acetylation; Alternative promoter usage; Alternative splicing; Cholesterol biosynthesis; Cholesterol metabolism; Cytoplasm; Disease mutation; Endoplasmic reticulum; FAD; Flavoprotein; Lipid biosynthesis; Lipid metabolism; Lipoprotein; Membrane; Mitochondrion; Mitochondrion outer membrane; Myristate; NAD; Oxidoreductase; Phosphoprotein; Polymorphism; Steroid biosynthesis; Steroid metabolism; Sterol biosynthesis; Sterol metabolism</t>
  </si>
  <si>
    <t>Cholesterol biosynthesis; Cholesterol metabolism; Lipid biosynthesis; Lipid metabolism; Steroid biosynthesis; Steroid metabolism; Sterol biosynthesis; Sterol metabolism</t>
  </si>
  <si>
    <t>Cytoplasm; Endoplasmic reticulum; Membrane; Mitochondrion; Mitochondrion outer membrane</t>
  </si>
  <si>
    <t>Acetylation; Lipoprotein; Myristate; Phosphoprotein</t>
  </si>
  <si>
    <t>blood circulation {GO:0008015}; cholesterol biosynthetic process {GO:0006695}; L-ascorbic acid metabolic process {GO:0019852}; neutrophil degranulation {GO:0043312}; xenobiotic metabolic process {GO:0006805}</t>
  </si>
  <si>
    <t>azurophil granule lumen {GO:0035578}; cytoplasm {GO:0005737}; endoplasmic reticulum {GO:0005783}; endoplasmic reticulum membrane {GO:0005789}; extracellular region {GO:0005576}; hemoglobin complex {GO:0005833}; lipid droplet {GO:0005811}; membrane {GO:0016020}; mitochondrial outer membrane {GO:0005741}; mitochondrion {GO:0005739}</t>
  </si>
  <si>
    <t>ADP binding {GO:0043531}; AMP binding {GO:0016208}; cytochrome-b5 reductase activity, acting on NAD(P)H {GO:0004128}; FAD binding {GO:0071949}; NAD binding {GO:0051287}</t>
  </si>
  <si>
    <t>Vitamin C (ascorbate) metabolism {R-HSA-196836}; Phase I - Functionalization of compounds {R-HSA-211945}; Neutrophil degranulation {R-HSA-6798695}</t>
  </si>
  <si>
    <t>Phosphotriesterase-related protein</t>
  </si>
  <si>
    <t>Parathion hydrolase-related protein (hPHRP)</t>
  </si>
  <si>
    <t>PTER_HUMAN</t>
  </si>
  <si>
    <t>Q96BW5</t>
  </si>
  <si>
    <t>B0YJ77; B3KTF5; D3DRU0; Q9BY46</t>
  </si>
  <si>
    <t>Alternative splicing; Hydrolase; Metal-binding; Polymorphism</t>
  </si>
  <si>
    <t>catabolic process {GO:0009056}; epithelial cell differentiation {GO:0030855}</t>
  </si>
  <si>
    <t>Complement C1q-like protein 3</t>
  </si>
  <si>
    <t>C1q and tumor necrosis factor-related protein 13 (C1q/TNF-related protein 13)</t>
  </si>
  <si>
    <t>C1QL3_HUMAN</t>
  </si>
  <si>
    <t>Q5VWW1</t>
  </si>
  <si>
    <t>A0PJY4; A0PJY5</t>
  </si>
  <si>
    <t>CTRP13</t>
  </si>
  <si>
    <t>Alternative splicing; Collagen; Secreted; Signal</t>
  </si>
  <si>
    <t>regulation of synapse organization {GO:0050807}</t>
  </si>
  <si>
    <t>collagen trimer {GO:0005581}; extracellular region {GO:0005576}</t>
  </si>
  <si>
    <t>Target of Myb protein 1</t>
  </si>
  <si>
    <t>TOM1_HUMAN</t>
  </si>
  <si>
    <t>O60784</t>
  </si>
  <si>
    <t>B4DEL9; B4DNA1; Q5TIJ6; Q86X74</t>
  </si>
  <si>
    <t>3D-structure; Acetylation; Alternative splicing; Cytoplasm; Isopeptide bond; Membrane; Phosphoprotein; Polymorphism; Protein transport; Transport; Ubl conjugation</t>
  </si>
  <si>
    <t>endocytosis {GO:0006897}; endosomal transport {GO:0016197}; intracellular protein transport {GO:0006886}; neutrophil degranulation {GO:0043312}; protein transport {GO:0015031}</t>
  </si>
  <si>
    <t>azurophil granule membrane {GO:0035577}; cytoplasm {GO:0005737}; cytosol {GO:0005829}; early endosome {GO:0005769}; endosome {GO:0005768}; extracellular exosome {GO:0070062}; membrane {GO:0016020}; plasma membrane {GO:0005886}; specific granule membrane {GO:0035579}</t>
  </si>
  <si>
    <t>clathrin binding {GO:0030276}</t>
  </si>
  <si>
    <t>Glyceraldehyde-3-phosphate dehydrogenase (GAPDH)</t>
  </si>
  <si>
    <t>Peptidyl-cysteine S-nitrosylase GAPDH</t>
  </si>
  <si>
    <t>G3P_HUMAN</t>
  </si>
  <si>
    <t>P04406</t>
  </si>
  <si>
    <t>E7EUT4; P00354; Q53X65</t>
  </si>
  <si>
    <t>GAPD</t>
  </si>
  <si>
    <t>3D-structure; Acetylation; ADP-ribosylation; Alternative splicing; Apoptosis; Cytoplasm; Cytoskeleton; Glycolysis; Isopeptide bond; Membrane; Methylation; NAD; Nucleus; Oxidation; Oxidoreductase; Phosphoprotein; Polymorphism; S-nitrosylation; Transferase; Translation regulation; Ubl conjugation</t>
  </si>
  <si>
    <t>Apoptosis; Glycolysis; Translation regulation</t>
  </si>
  <si>
    <t>Oxidoreductase; Transferase</t>
  </si>
  <si>
    <t>ADP-ribosylation; Acetylation; Isopeptide bond; Methylation; Oxidation; Phosphoprotein; S-nitrosylation; Ubl conjugation</t>
  </si>
  <si>
    <t>antimicrobial humoral immune response mediated by antimicrobial peptide {GO:0061844}; canonical glycolysis {GO:0061621}; cellular response to interferon-gamma {GO:0071346}; defense response to fungus {GO:0050832}; gluconeogenesis {GO:0006094}; glycolytic process {GO:0006096}; killing by host of symbiont cells {GO:0051873}; killing of cells of other organism {GO:0031640}; microtubule cytoskeleton organization {GO:0000226}; negative regulation of endopeptidase activity {GO:0010951}; negative regulation of translation {GO:0017148}; neuron apoptotic process {GO:0051402}; peptidyl-cysteine S-trans-nitrosylation {GO:0035606}; positive regulation by organism of apoptotic process in other organism involved in symbiotic interaction {GO:0052501}; positive regulation of cytokine secretion {GO:0050715}; protein stabilization {GO:0050821}; regulation of macroautophagy {GO:0016241}</t>
  </si>
  <si>
    <t>cytoplasm {GO:0005737}; cytosol {GO:0005829}; extracellular exosome {GO:0070062}; GAIT complex {GO:0097452}; intracellular membrane-bounded organelle {GO:0043231}; lipid droplet {GO:0005811}; membrane {GO:0016020}; microtubule cytoskeleton {GO:0015630}; nuclear membrane {GO:0031965}; nucleus {GO:0005634}; perinuclear region of cytoplasm {GO:0048471}; plasma membrane {GO:0005886}; ribonucleoprotein complex {GO:1990904}; vesicle {GO:0031982}</t>
  </si>
  <si>
    <t>aspartic-type endopeptidase inhibitor activity {GO:0019828}; disordered domain specific binding {GO:0097718}; glyceraldehyde-3-phosphate dehydrogenase (NAD+) (phosphorylating) activity {GO:0004365}; identical protein binding {GO:0042802}; microtubule binding {GO:0008017}; NAD binding {GO:0051287}; NADP binding {GO:0050661}; peptidyl-cysteine S-nitrosylase activity {GO:0035605}</t>
  </si>
  <si>
    <t>Carbohydrate degradation; glycolysis; pyruvate from D- glyceraldehyde 3-phosphate: step 1/5.</t>
  </si>
  <si>
    <t>Ras-related C3 botulinum toxin substrate 2</t>
  </si>
  <si>
    <t>GX; Small G protein; p21-Rac2</t>
  </si>
  <si>
    <t>RAC2_HUMAN</t>
  </si>
  <si>
    <t>P15153</t>
  </si>
  <si>
    <t>Q9UDJ4</t>
  </si>
  <si>
    <t>3D-structure; Acetylation; ADP-ribosylation; Cytoplasm; Disease mutation; Glycoprotein; GTP-binding; Lipoprotein; Methylation; Nucleotide-binding; Polymorphism; Prenylation</t>
  </si>
  <si>
    <t>ADP-ribosylation; Acetylation; Glycoprotein; Lipoprotein; Methylation; Prenylation</t>
  </si>
  <si>
    <t>actin cytoskeleton organization {GO:0030036}; actin filament organization {GO:0007015}; bone resorption {GO:0045453}; cell migration {GO:0016477}; cell projection assembly {GO:0030031}; cell redox homeostasis {GO:0045454}; G protein-coupled receptor signaling pathway {GO:0007186}; lymphocyte aggregation {GO:0071593}; motor neuron axon guidance {GO:0008045}; positive regulation of cell population proliferation {GO:0008284}; positive regulation of lamellipodium assembly {GO:0010592}; positive regulation of neutrophil chemotaxis {GO:0090023}; positive regulation of protein kinase B signaling {GO:0051897}; positive regulation of protein targeting to mitochondrion {GO:1903955}; Rac protein signal transduction {GO:0016601}; regulation of cell-substrate adhesion {GO:0010810}; regulation of hydrogen peroxide metabolic process {GO:0010310}; regulation of mast cell chemotaxis {GO:0060753}; regulation of mast cell degranulation {GO:0043304}; regulation of neutrophil migration {GO:1902622}; regulation of respiratory burst {GO:0060263}; regulation of small GTPase mediated signal transduction {GO:0051056}; regulation of T cell proliferation {GO:0042129}; Rho protein signal transduction {GO:0007266}; signal transduction {GO:0007165}</t>
  </si>
  <si>
    <t>cell projection {GO:0042995}; cytoplasm {GO:0005737}; cytoplasmic vesicle {GO:0031410}; cytosol {GO:0005829}; extracellular exosome {GO:0070062}; focal adhesion {GO:0005925}; lamellipodium {GO:0030027}; nuclear envelope {GO:0005635}; phagocytic vesicle membrane {GO:0030670}; plasma membrane {GO:0005886}</t>
  </si>
  <si>
    <t>GTP binding {GO:0005525}; GTPase activity {GO:0003924}; protein kinase binding {GO:0019901}; protein kinase regulator activity {GO:0019887}</t>
  </si>
  <si>
    <t>GPVI-mediated activation cascade {R-HSA-114604}; ROS and RNS production in phagocytes {R-HSA-1222556}; PIP3 activates AKT signaling {R-HSA-1257604}; Rho GTPase cycle {R-HSA-194840}; Constitutive Signaling by Aberrant PI3K in Cancer {R-HSA-2219530}; PCP/CE pathway {R-HSA-4086400}; RHO GTPases Activate NADPH Oxidases {R-HSA-5668599}; PI5P, PP2A and IER3 Regulate PI3K/AKT Signaling {R-HSA-6811558}</t>
  </si>
  <si>
    <t>1,5-anhydro-D-fructose reductase (AF reductase)</t>
  </si>
  <si>
    <t>Aldo-keto reductase family 1 member C-like protein 2; Aldo-keto reductase family 1 member E2; LoopADR; Testis aldo-keto reductase (htAKR); Testis-specific protein (hTSP)</t>
  </si>
  <si>
    <t>AKCL2_HUMAN</t>
  </si>
  <si>
    <t>Q96JD6</t>
  </si>
  <si>
    <t>Q86Z16; Q86Z17; Q86Z18; Q9BU71</t>
  </si>
  <si>
    <t>AKR1CL2; AKRDC1</t>
  </si>
  <si>
    <t>Alternative splicing; Cytoplasm; NADP; Oxidoreductase; Polymorphism</t>
  </si>
  <si>
    <t>oxidation-reduction process {GO:0055114}</t>
  </si>
  <si>
    <t>cytosol {GO:0005829}; Golgi apparatus {GO:0005794}; nucleoplasm {GO:0005654}</t>
  </si>
  <si>
    <t>1,5-anhydro-D-fructose reductase activity {GO:0050571}; alcohol dehydrogenase (NADP+) activity {GO:0008106}; alditol:NADP+ 1-oxidoreductase activity {GO:0004032}; oxidoreductase activity {GO:0016491}</t>
  </si>
  <si>
    <t>Receptor-type tyrosine-protein phosphatase O (R-PTP-O)</t>
  </si>
  <si>
    <t>Glomerular epithelial protein 1; Protein tyrosine phosphatase U2 (PTP-U2; PTPase U2)</t>
  </si>
  <si>
    <t>PTPRO_HUMAN</t>
  </si>
  <si>
    <t>Q16827</t>
  </si>
  <si>
    <t>A0AV39; Q13101; Q8IYG3; Q9UBF0; Q9UBT5</t>
  </si>
  <si>
    <t>GLEPP1; PTPU2</t>
  </si>
  <si>
    <t>3D-structure; Alternative splicing; Glycoprotein; Hydrolase; Membrane; Phosphoprotein; Protein phosphatase; Receptor; Repeat; Signal; Transmembrane; Transmembrane helix</t>
  </si>
  <si>
    <t>axon guidance {GO:0007411}; cell morphogenesis {GO:0000902}; glomerular visceral epithelial cell differentiation {GO:0072112}; glomerulus development {GO:0032835}; lamellipodium assembly {GO:0030032}; monocyte chemotaxis {GO:0002548}; negative regulation of canonical Wnt signaling pathway {GO:0090090}; negative regulation of cell-substrate adhesion {GO:0010812}; negative regulation of glomerular filtration {GO:0003105}; negative regulation of neuron projection development {GO:0010977}; negative regulation of retinal ganglion cell axon guidance {GO:0090260}; peptidyl-tyrosine dephosphorylation {GO:0035335}; protein dephosphorylation {GO:0006470}; regulation of glomerular filtration {GO:0003093}; regulation of synapse organization {GO:0050807}; slit diaphragm assembly {GO:0036060}</t>
  </si>
  <si>
    <t>apical plasma membrane {GO:0016324}; axon {GO:0030424}; dendritic spine {GO:0043197}; extracellular exosome {GO:0070062}; GABA-ergic synapse {GO:0098982}; glutamatergic synapse {GO:0098978}; growth cone {GO:0030426}; integral component of membrane {GO:0016021}; integral component of plasma membrane {GO:0005887}; integral component of postsynaptic density membrane {GO:0099061}; lamellipodium {GO:0030027}; lateral plasma membrane {GO:0016328}; neuron projection {GO:0043005}; plasma membrane {GO:0005886}</t>
  </si>
  <si>
    <t>phosphatase activity {GO:0016791}; protein homodimerization activity {GO:0042803}; protein tyrosine phosphatase activity {GO:0004725}; transmembrane receptor protein tyrosine phosphatase activity {GO:0005001}; Wnt-protein binding {GO:0017147}</t>
  </si>
  <si>
    <t>Signaling by NTRK3 (TRKC) {R-HSA-9034015}</t>
  </si>
  <si>
    <t>Annexin A8</t>
  </si>
  <si>
    <t>Annexin VIII; Annexin-8; Vascular anticoagulant-beta (VAC-beta)</t>
  </si>
  <si>
    <t>ANXA8_HUMAN</t>
  </si>
  <si>
    <t>P13928</t>
  </si>
  <si>
    <t>A6NDE6; A6NLM1; B4DKI1; B4DTC9; Q5T2P8; Q5VTM4; Q6GMY3; Q9BT34</t>
  </si>
  <si>
    <t>ANX8</t>
  </si>
  <si>
    <t>3D-structure; Alternative splicing; Annexin; Blood coagulation; Calcium; Calcium/phospholipid-binding; Hemostasis; Metal-binding; Polymorphism; Repeat</t>
  </si>
  <si>
    <t>Calcium; Calcium/phospholipid-binding; Metal-binding</t>
  </si>
  <si>
    <t>blood coagulation {GO:0007596}; endosomal transport {GO:0016197}; endosome organization {GO:0007032}; negative regulation of phospholipase A2 activity {GO:1900138}; negative regulation of serine-type endopeptidase activity {GO:1900004}</t>
  </si>
  <si>
    <t>collagen-containing extracellular matrix {GO:0062023}; cytosol {GO:0005829}; late endosome membrane {GO:0031902}; plasma membrane {GO:0005886}</t>
  </si>
  <si>
    <t>actin filament binding {GO:0051015}; calcium ion binding {GO:0005509}; calcium-dependent phospholipid binding {GO:0005544}; phosphatidylinositol-3,4,5-trisphosphate binding {GO:0005547}; phosphatidylinositol-3,4-bisphosphate binding {GO:0043325}; phosphatidylinositol-4,5-bisphosphate binding {GO:0005546}</t>
  </si>
  <si>
    <t>L-lactate dehydrogenase B chain (LDH-B)</t>
  </si>
  <si>
    <t>LDH heart subunit (LDH-H); Renal carcinoma antigen NY-REN-46</t>
  </si>
  <si>
    <t>LDHB_HUMAN</t>
  </si>
  <si>
    <t>P07195</t>
  </si>
  <si>
    <t>3D-structure; Acetylation; Cytoplasm; Disease mutation; NAD; Oxidoreductase; Phosphoprotein; Polymorphism</t>
  </si>
  <si>
    <t>carbohydrate metabolic process {GO:0005975}; pyruvate metabolic process {GO:0006090}</t>
  </si>
  <si>
    <t>cytoplasm {GO:0005737}; cytosol {GO:0005829}; extracellular exosome {GO:0070062}; membrane {GO:0016020}; membrane raft {GO:0045121}</t>
  </si>
  <si>
    <t>identical protein binding {GO:0042802}; L-lactate dehydrogenase activity {GO:0004459}</t>
  </si>
  <si>
    <t>Tetraspanin-8 (Tspan-8)</t>
  </si>
  <si>
    <t>Transmembrane 4 superfamily member 3; Tumor-associated antigen CO-029</t>
  </si>
  <si>
    <t>TSN8_HUMAN</t>
  </si>
  <si>
    <t>P19075</t>
  </si>
  <si>
    <t>B2R7T7; Q9BS78</t>
  </si>
  <si>
    <t>TM4SF3</t>
  </si>
  <si>
    <t>negative regulation of blood coagulation {GO:0030195}; regulation of gene expression {GO:0010468}; spermatogenesis {GO:0007283}</t>
  </si>
  <si>
    <t>cell surface {GO:0009986}; extracellular exosome {GO:0070062}; integral component of plasma membrane {GO:0005887}</t>
  </si>
  <si>
    <t>Platelet-derived growth factor subunit B (PDGF subunit B)</t>
  </si>
  <si>
    <t>PDGF-2; Platelet-derived growth factor B chain; Platelet-derived growth factor beta polypeptide; Proto-oncogene c-Sis; INN=Becaplermin</t>
  </si>
  <si>
    <t>PDGFB_HUMAN</t>
  </si>
  <si>
    <t>P01127</t>
  </si>
  <si>
    <t>G3XAG8; P78431; Q15354; Q6FHE7; Q9UF23</t>
  </si>
  <si>
    <t>PDGF2; SIS</t>
  </si>
  <si>
    <t>3D-structure; Alternative promoter usage; Chromosomal rearrangement; Cleavage on pair of basic residues; Developmental protein; Disease mutation; Disulfide bond; Glycoprotein; Growth factor; Mitogen; Pharmaceutical; Polymorphism; Proto-oncogene; Secreted; Signal</t>
  </si>
  <si>
    <t>Alternative promoter usage; Chromosomal rearrangement; Polymorphism</t>
  </si>
  <si>
    <t>Developmental protein; Growth factor; Mitogen</t>
  </si>
  <si>
    <t>activation of protein kinase activity {GO:0032147}; activation of protein kinase B activity {GO:0032148}; cell chemotaxis {GO:0060326}; cellular response to growth factor stimulus {GO:0071363}; cellular response to mycophenolic acid {GO:0071506}; embryonic placenta development {GO:0001892}; extracellular matrix organization {GO:0030198}; heart development {GO:0007507}; interleukin-18-mediated signaling pathway {GO:0035655}; MAPK cascade {GO:0000165}; metanephric glomerular mesangial cell development {GO:0072255}; monocyte chemotaxis {GO:0002548}; negative regulation of gene expression {GO:0010629}; negative regulation of phosphatidylinositol biosynthetic process {GO:0010512}; negative regulation of platelet activation {GO:0010544}; negative regulation of pri-miRNA transcription by RNA polymerase II {GO:1902894}; negative regulation of protein binding {GO:0032091}; negative regulation of transcription, DNA-templated {GO:0045892}; negative regulation of vascular smooth muscle cell differentiation {GO:1905064}; paracrine signaling {GO:0038001}; peptidyl-serine phosphorylation {GO:0018105}; peptidyl-tyrosine phosphorylation {GO:0018108}; platelet degranulation {GO:0002576}; platelet-derived growth factor receptor signaling pathway {GO:0048008}; positive regulation of blood vessel endothelial cell migration {GO:0043536}; positive regulation of calcium ion import {GO:0090280}; positive regulation of cell division {GO:0051781}; positive regulation of cell migration {GO:0030335}; positive regulation of cell population proliferation {GO:0008284}; positive regulation of chemotaxis {GO:0050921}; positive regulation of cyclin-dependent protein serine/threonine kinase activity {GO:0045737}; positive regulation of DNA biosynthetic process {GO:2000573}; positive regulation of endothelial cell proliferation {GO:0001938}; positive regulation of ERK1 and ERK2 cascade {GO:0070374}; positive regulation of fibroblast proliferation {GO:0048146}; positive regulation of gene expression {GO:0010628}; positive regulation of glomerular filtration {GO:0003104}; positive regulation of glomerular mesangial cell proliferation {GO:0072126}; positive regulation of hyaluronan biosynthetic process {GO:1900127}; positive regulation of MAP kinase activity {GO:0043406}; positive regulation of MAPK cascade {GO:0043410}; positive regulation of metanephric mesenchymal cell migration {GO:2000591}; positive regulation of metanephric mesenchymal cell migration by platelet-derived growth factor receptor-beta signaling pathway {GO:0035793}; positive regulation of mitotic nuclear division {GO:0045840}; positive regulation of peptidyl-tyrosine phosphorylation {GO:0050731}; positive regulation of phosphatidylinositol 3-kinase activity {GO:0043552}; positive regulation of phosphatidylinositol 3-kinase signaling {GO:0014068}; positive regulation of pri-miRNA transcription by RNA polymerase II {GO:1902895}; positive regulation of protein autophosphorylation {GO:0031954}; positive regulation of protein kinase B signaling {GO:0051897}; positive regulation of protein tyrosine kinase activity {GO:0061098}; positive regulation of reactive oxygen species metabolic process {GO:2000379}; positive regulation of smooth muscle cell migration {GO:0014911}; positive regulation of smooth muscle cell proliferation {GO:0048661}; positive regulation of transcription, DNA-templated {GO:0045893}; positive regulation of vascular associated smooth muscle cell migration {GO:1904754}; positive regulation of vascular smooth muscle cell dedifferentiation {GO:1905176}; positive regulation of vascular smooth muscle cell proliferation {GO:1904707}; protein kinase C signaling {GO:0070528}; protein phosphorylation {GO:0006468}; reactive oxygen species metabolic process {GO:0072593}; response to wounding {GO:0009611}</t>
  </si>
  <si>
    <t>basolateral plasma membrane {GO:0016323}; cell surface {GO:0009986}; collagen-containing extracellular matrix {GO:0062023}; cytoplasm {GO:0005737}; endoplasmic reticulum lumen {GO:0005788}; extracellular region {GO:0005576}; extracellular space {GO:0005615}; Golgi lumen {GO:0005796}; Golgi membrane {GO:0000139}; platelet alpha granule lumen {GO:0031093}</t>
  </si>
  <si>
    <t>chemoattractant activity {GO:0042056}; collagen binding {GO:0005518}; growth factor activity {GO:0008083}; identical protein binding {GO:0042802}; platelet-derived growth factor binding {GO:0048407}; platelet-derived growth factor receptor binding {GO:0005161}; protein heterodimerization activity {GO:0046982}; protein homodimerization activity {GO:0042803}; superoxide-generating NADPH oxidase activator activity {GO:0016176}</t>
  </si>
  <si>
    <t>Platelet degranulation {R-HSA-114608}; PIP3 activates AKT signaling {R-HSA-1257604}; Downstream signal transduction {R-HSA-186763}; Signaling by PDGF {R-HSA-186797}; Constitutive Signaling by Aberrant PI3K in Cancer {R-HSA-2219530}; Non-integrin membrane-ECM interactions {R-HSA-3000171}; RAF/MAP kinase cascade {R-HSA-5673001}; PI5P, PP2A and IER3 Regulate PI3K/AKT Signaling {R-HSA-6811558}</t>
  </si>
  <si>
    <t>Probable ATP-dependent RNA helicase DDX17</t>
  </si>
  <si>
    <t>DEAD box protein 17; DEAD box protein p72; DEAD box protein p82; RNA-dependent helicase p72</t>
  </si>
  <si>
    <t>DDX17_HUMAN</t>
  </si>
  <si>
    <t>Q92841</t>
  </si>
  <si>
    <t>B1AHM0; H3BLZ8; Q69YT1; Q6ICD6</t>
  </si>
  <si>
    <t>Acetylation; Alternative initiation; Alternative splicing; Antiviral defense; ATP-binding; Cytoplasm; Helicase; Hydrolase; Immunity; Isopeptide bond; Methylation; mRNA processing; mRNA splicing; Nucleotide-binding; Nucleus; Phosphoprotein; RNA-binding; RNA-mediated gene silencing; rRNA processing; Transcription; Transcription regulation; Ubl conjugation</t>
  </si>
  <si>
    <t>Antiviral defense; Immunity; RNA-mediated gene silencing; Transcription; Transcription regulation; mRNA processing; mRNA splicing; rRNA processing</t>
  </si>
  <si>
    <t>Helicase; Hydrolase; RNA-binding</t>
  </si>
  <si>
    <t>alternative mRNA splicing, via spliceosome {GO:0000380}; androgen receptor signaling pathway {GO:0030521}; defense response to virus {GO:0051607}; epithelial to mesenchymal transition {GO:0001837}; gene silencing by RNA {GO:0031047}; intracellular estrogen receptor signaling pathway {GO:0030520}; miRNA metabolic process {GO:0010586}; myoblast differentiation {GO:0045445}; positive regulation of transcription by RNA polymerase II {GO:0045944}; regulation of alternative mRNA splicing, via spliceosome {GO:0000381}; regulation of skeletal muscle cell differentiation {GO:2001014}; regulation of transcription by RNA polymerase II {GO:0006357}; RNA processing {GO:0006396}; rRNA processing {GO:0006364}</t>
  </si>
  <si>
    <t>cytosol {GO:0005829}; membrane {GO:0016020}; nuclear speck {GO:0016607}; nucleolus {GO:0005730}; nucleoplasm {GO:0005654}; nucleus {GO:0005634}</t>
  </si>
  <si>
    <t>ATP binding {GO:0005524}; RNA binding {GO:0003723}; RNA helicase activity {GO:0003724}; RNA-dependent ATPase activity {GO:0008186}; transcription coactivator activity {GO:0003713}</t>
  </si>
  <si>
    <t>Alpha-actinin-2</t>
  </si>
  <si>
    <t>Alpha-actinin skeletal muscle isoform 2; F-actin cross-linking protein</t>
  </si>
  <si>
    <t>ACTN2_HUMAN</t>
  </si>
  <si>
    <t>P35609</t>
  </si>
  <si>
    <t>B1ANE4; B2RCS5; Q86TF4; Q86TI8</t>
  </si>
  <si>
    <t>3D-structure; Actin-binding; Alternative splicing; Calcium; Cardiomyopathy; Cytoplasm; Disease mutation; Metal-binding; Phosphoprotein; Polymorphism; Repeat; Ubl conjugation</t>
  </si>
  <si>
    <t>actin filament uncapping {GO:0051695}; cardiac muscle cell development {GO:0055013}; cell adhesion {GO:0007155}; focal adhesion assembly {GO:0048041}; MAPK cascade {GO:0000165}; microspike assembly {GO:0030035}; muscle filament sliding {GO:0030049}; negative regulation of potassium ion transmembrane transporter activity {GO:1901017}; negative regulation of potassium ion transport {GO:0043267}; negative regulation of protein localization to cell surface {GO:2000009}; phospholipase C-activating angiotensin-activated signaling pathway {GO:0086097}; platelet degranulation {GO:0002576}; positive regulation of cation channel activity {GO:2001259}; positive regulation of endocytic recycling {GO:2001137}; positive regulation of potassium ion transmembrane transporter activity {GO:1901018}; positive regulation of potassium ion transport {GO:0043268}; protein homotetramerization {GO:0051289}; protein localization to plasma membrane {GO:0072659}; regulation of apoptotic process {GO:0042981}; regulation of membrane potential {GO:0042391}; regulation of NMDA receptor activity {GO:2000310}; sarcomere organization {GO:0045214}</t>
  </si>
  <si>
    <t>actin filament {GO:0005884}; cortical actin cytoskeleton {GO:0030864}; cytoskeleton {GO:0005856}; cytosol {GO:0005829}; dendritic spine {GO:0043197}; extracellular exosome {GO:0070062}; extracellular region {GO:0005576}; filopodium {GO:0030175}; focal adhesion {GO:0005925}; glutamatergic synapse {GO:0098978}; platelet alpha granule lumen {GO:0031093}; postsynaptic density membrane {GO:0098839}; postsynaptic density, intracellular component {GO:0099092}; pseudopodium {GO:0031143}; Z disc {GO:0030018}</t>
  </si>
  <si>
    <t>actin filament binding {GO:0051015}; calcium ion binding {GO:0005509}; cytoskeletal protein binding {GO:0008092}; FATZ binding {GO:0051373}; identical protein binding {GO:0042802}; integrin binding {GO:0005178}; ion channel binding {GO:0044325}; LIM domain binding {GO:0030274}; phosphatidylinositol-4,5-bisphosphate binding {GO:0005546}; protein dimerization activity {GO:0046983}; protein domain specific binding {GO:0019904}; protein homodimerization activity {GO:0042803}; structural constituent of muscle {GO:0008307}; thyroid hormone receptor coactivator activity {GO:0030375}; titin binding {GO:0031432}; titin Z domain binding {GO:0070080}</t>
  </si>
  <si>
    <t>Platelet degranulation {R-HSA-114608}; Nephrin family interactions {R-HSA-373753}; Striated Muscle Contraction {R-HSA-390522}; Unblocking of NMDA receptors, glutamate binding and activation {R-HSA-438066}; Ras activation upon Ca2+ influx through NMDA receptor {R-HSA-442982}; RAF/MAP kinase cascade {R-HSA-5673001}; Assembly and cell surface presentation of NMDA receptors {R-HSA-9609736}; Negative regulation of NMDA receptor-mediated neuronal transmission {R-HSA-9617324}; Long-term potentiation {R-HSA-9620244}</t>
  </si>
  <si>
    <t>Uroplakin-3a (UP3a)</t>
  </si>
  <si>
    <t>Uroplakin III (UPIII)</t>
  </si>
  <si>
    <t>UPK3A_HUMAN</t>
  </si>
  <si>
    <t>O75631</t>
  </si>
  <si>
    <t>B0QY25; O60261; Q32N05; Q5TII6</t>
  </si>
  <si>
    <t>UPK3</t>
  </si>
  <si>
    <t>Alternative splicing; Disease mutation; Endoplasmic reticulum; Glycoprotein; Membrane; Polymorphism; Signal; Transmembrane; Transmembrane helix</t>
  </si>
  <si>
    <t>cell morphogenesis {GO:0000902}; epithelial cell differentiation {GO:0030855}; kidney development {GO:0001822}; potassium ion homeostasis {GO:0055075}; sodium ion homeostasis {GO:0055078}; urea transport {GO:0015840}; urinary bladder development {GO:0060157}; water transport {GO:0006833}</t>
  </si>
  <si>
    <t>apical plasma membrane urothelial plaque {GO:0120001}; endoplasmic reticulum membrane {GO:0005789}; extracellular exosome {GO:0070062}</t>
  </si>
  <si>
    <t>Syntenin-1</t>
  </si>
  <si>
    <t>Melanoma differentiation-associated protein 9 (MDA-9); Pro-TGF-alpha cytoplasmic domain-interacting protein 18 (TACIP18); Scaffold protein Pbp1; Syndecan-binding protein 1</t>
  </si>
  <si>
    <t>SDCB1_HUMAN</t>
  </si>
  <si>
    <t>O00560</t>
  </si>
  <si>
    <t>B2R5Q7; B4DUH3; B7ZLN2; O00173; O43391; Q14CP2</t>
  </si>
  <si>
    <t>MDA9; SYCL</t>
  </si>
  <si>
    <t>3D-structure; Acetylation; Alternative splicing; Cell junction; Cell membrane; Cytoplasm; Cytoskeleton; Endoplasmic reticulum; Lipid-binding; Membrane; Nucleus; Phosphoprotein; Polymorphism; Repeat; Secreted</t>
  </si>
  <si>
    <t>Cell junction; Cell membrane; Cytoplasm; Cytoskeleton; Endoplasmic reticulum; Membrane; Nucleus; Secreted</t>
  </si>
  <si>
    <t>actin cytoskeleton organization {GO:0030036}; chemical synaptic transmission {GO:0007268}; ephrin receptor signaling pathway {GO:0048013}; intracellular signal transduction {GO:0035556}; negative regulation of proteasomal ubiquitin-dependent protein catabolic process {GO:0032435}; negative regulation of receptor internalization {GO:0002091}; neutrophil degranulation {GO:0043312}; positive regulation of cell growth {GO:0030307}; positive regulation of cell migration {GO:0030335}; positive regulation of cell population proliferation {GO:0008284}; positive regulation of epithelial to mesenchymal transition {GO:0010718}; positive regulation of exosomal secretion {GO:1903543}; positive regulation of extracellular exosome assembly {GO:1903553}; positive regulation of JNK cascade {GO:0046330}; positive regulation of pathway-restricted SMAD protein phosphorylation {GO:0010862}; positive regulation of phosphorylation {GO:0042327}; positive regulation of transforming growth factor beta receptor signaling pathway {GO:0030511}; protein targeting to membrane {GO:0006612}; regulation of mitotic cell cycle {GO:0007346}; substrate-dependent cell migration, cell extension {GO:0006930}</t>
  </si>
  <si>
    <t>adherens junction {GO:0005912}; azurophil granule lumen {GO:0035578}; blood microparticle {GO:0072562}; cytoplasm {GO:0005737}; cytoskeleton {GO:0005856}; cytosol {GO:0005829}; endoplasmic reticulum membrane {GO:0005789}; extracellular exosome {GO:0070062}; extracellular region {GO:0005576}; extracellular space {GO:0005615}; extracellular vesicle {GO:1903561}; focal adhesion {GO:0005925}; interleukin-5 receptor complex {GO:0005895}; intracellular membrane-bounded organelle {GO:0043231}; melanosome {GO:0042470}; membrane {GO:0016020}; membrane raft {GO:0045121}; nuclear membrane {GO:0031965}; nucleoplasm {GO:0005654}; nucleus {GO:0005634}; plasma membrane {GO:0005886}</t>
  </si>
  <si>
    <t>cytoskeletal adaptor activity {GO:0008093}; frizzled binding {GO:0005109}; identical protein binding {GO:0042802}; interleukin-5 receptor binding {GO:0005137}; phosphatidylinositol-4,5-bisphosphate binding {GO:0005546}; protein heterodimerization activity {GO:0046982}; protein N-terminus binding {GO:0047485}; syndecan binding {GO:0045545}</t>
  </si>
  <si>
    <t>Ephrin signaling {R-HSA-3928664}; Neurofascin interactions {R-HSA-447043}; Neutrophil degranulation {R-HSA-6798695}</t>
  </si>
  <si>
    <t>Microsomal glutathione S-transferase 1 (Microsomal GST-1)</t>
  </si>
  <si>
    <t>Microsomal GST-I</t>
  </si>
  <si>
    <t>MGST1_HUMAN</t>
  </si>
  <si>
    <t>P10620</t>
  </si>
  <si>
    <t>A8K533; G5EA53</t>
  </si>
  <si>
    <t>GST12; MGST</t>
  </si>
  <si>
    <t>Acetylation; Alternative splicing; Endoplasmic reticulum; Membrane; Microsome; Mitochondrion; Mitochondrion outer membrane; Nitration; Transferase; Transmembrane; Transmembrane helix</t>
  </si>
  <si>
    <t>Endoplasmic reticulum; Membrane; Microsome; Mitochondrion; Mitochondrion outer membrane</t>
  </si>
  <si>
    <t>cellular response to lipid hydroperoxide {GO:0071449}; glutathione derivative biosynthetic process {GO:1901687}; glutathione metabolic process {GO:0006749}; Leydig cell differentiation {GO:0033327}; neutrophil degranulation {GO:0043312}; oxidation-reduction process {GO:0055114}; protein homotrimerization {GO:0070207}; response to drug {GO:0042493}; response to lipopolysaccharide {GO:0032496}; response to organonitrogen compound {GO:0010243}; xenobiotic metabolic process {GO:0006805}</t>
  </si>
  <si>
    <t>apical part of cell {GO:0045177}; azurophil granule membrane {GO:0035577}; endoplasmic reticulum {GO:0005783}; endoplasmic reticulum membrane {GO:0005789}; integral component of membrane {GO:0016021}; mitochondrial outer membrane {GO:0005741}; mitochondrion {GO:0005739}; nucleus {GO:0005634}; peroxisomal membrane {GO:0005778}; plasma membrane {GO:0005886}</t>
  </si>
  <si>
    <t>glutathione binding {GO:0043295}; glutathione peroxidase activity {GO:0004602}; glutathione transferase activity {GO:0004364}; protein homodimerization activity {GO:0042803}</t>
  </si>
  <si>
    <t>Glutathione conjugation {R-HSA-156590}; Aflatoxin activation and detoxification {R-HSA-5423646}; Neutrophil degranulation {R-HSA-6798695}</t>
  </si>
  <si>
    <t>Histone H3.3</t>
  </si>
  <si>
    <t>H33_HUMAN</t>
  </si>
  <si>
    <t>P84243</t>
  </si>
  <si>
    <t>P06351; P33155; Q5VV55; Q5VV56; Q66I33; Q9V3W4</t>
  </si>
  <si>
    <t>H3.3A; H3F3</t>
  </si>
  <si>
    <t>3D-structure; Acetylation; ADP-ribosylation; Chromosome; Citrullination; Disease mutation; DNA-binding; Hydroxylation; Methylation; Nucleosome core; Nucleus; Phosphoprotein; Ubl conjugation</t>
  </si>
  <si>
    <t>ADP-ribosylation; Acetylation; Citrullination; Hydroxylation; Methylation; Phosphoprotein; Ubl conjugation</t>
  </si>
  <si>
    <t>blood coagulation {GO:0007596}; cell population proliferation {GO:0008283}; cellular protein metabolic process {GO:0044267}; chromatin silencing at rDNA {GO:0000183}; DNA replication-independent nucleosome assembly {GO:0006336}; embryo implantation {GO:0007566}; male gonad development {GO:0008584}; multicellular organism growth {GO:0035264}; muscle cell differentiation {GO:0042692}; negative regulation of chromosome condensation {GO:1902340}; negative regulation of gene expression, epigenetic {GO:0045814}; nucleosome assembly {GO:0006334}; nucleus organization {GO:0006997}; oogenesis {GO:0048477}; osteoblast differentiation {GO:0001649}; pericentric heterochromatin assembly {GO:0031508}; positive regulation of cell growth {GO:0030307}; regulation of centromere complex assembly {GO:0090230}; regulation of gene silencing by miRNA {GO:0060964}; regulation of megakaryocyte differentiation {GO:0045652}; single fertilization {GO:0007338}; spermatid development {GO:0007286}; telomere organization {GO:0032200}; telomeric heterochromatin assembly {GO:0031509}</t>
  </si>
  <si>
    <t>Barr body {GO:0001740}; extracellular exosome {GO:0070062}; extracellular region {GO:0005576}; nuclear chromosome {GO:0000228}; nuclear chromosome, telomeric region {GO:0000784}; nuclear nucleosome {GO:0000788}; nucleoplasm {GO:0005654}; nucleosome {GO:0000786}; nucleus {GO:0005634}; protein-containing complex {GO:0032991}</t>
  </si>
  <si>
    <t>nucleosomal DNA binding {GO:0031492}; protein heterodimerization activity {GO:0046982}; RNA polymerase II core promoter sequence-specific DNA binding {GO:0000979}; RNA polymerase II distal enhancer sequence-specific DNA binding {GO:0000980}</t>
  </si>
  <si>
    <t>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{R-HSA-977225}; Factors involved in megakaryocyte development and platelet production {R-HSA-983231}</t>
  </si>
  <si>
    <t>Angiopoietin-related protein 5</t>
  </si>
  <si>
    <t>Angiopoietin-like protein 5</t>
  </si>
  <si>
    <t>ANGL5_HUMAN</t>
  </si>
  <si>
    <t>Q86XS5</t>
  </si>
  <si>
    <t>A8K658; Q86VR9</t>
  </si>
  <si>
    <t>von Willebrand antigen 2 (vWF)</t>
  </si>
  <si>
    <t>von Willebrand antigen II</t>
  </si>
  <si>
    <t>VWF_HUMAN</t>
  </si>
  <si>
    <t>P04275</t>
  </si>
  <si>
    <t>Q8TCE8; Q99806</t>
  </si>
  <si>
    <t>F8VWF</t>
  </si>
  <si>
    <t>3D-structure; Alternative splicing; Blood coagulation; Cell adhesion; Cleavage on pair of basic residues; Disease mutation; Disulfide bond; Extracellular matrix; Glycoprotein; Hemostasis; Polymorphism; Repeat; Secreted; Signal; von Willebrand disease</t>
  </si>
  <si>
    <t>Disease mutation; von Willebrand disease</t>
  </si>
  <si>
    <t>blood coagulation {GO:0007596}; blood coagulation, intrinsic pathway {GO:0007597}; cell adhesion {GO:0007155}; cell-substrate adhesion {GO:0031589}; extracellular matrix organization {GO:0030198}; hemostasis {GO:0007599}; platelet activation {GO:0030168}; platelet degranulation {GO:0002576}; protein homooligomerization {GO:0051260}; response to wounding {GO:0009611}</t>
  </si>
  <si>
    <t>collagen-containing extracellular matrix {GO:0062023}; endoplasmic reticulum {GO:0005783}; extracellular exosome {GO:0070062}; extracellular region {GO:0005576}; platelet alpha granule {GO:0031091}; platelet alpha granule lumen {GO:0031093}; Weibel-Palade body {GO:0033093}</t>
  </si>
  <si>
    <t>chaperone binding {GO:0051087}; collagen binding {GO:0005518}; identical protein binding {GO:0042802}; immunoglobulin binding {GO:0019865}; integrin binding {GO:0005178}; protease binding {GO:0002020}; protein homodimerization activity {GO:0042803}; protein N-terminus binding {GO:0047485}</t>
  </si>
  <si>
    <t>Platelet degranulation {R-HSA-114608}; Intrinsic Pathway of Fibrin Clot Formation {R-HSA-140837}; Integrin cell surface interactions {R-HSA-216083}; Integrin alphaIIb beta3 signaling {R-HSA-354192}; GRB2:SOS provides linkage to MAPK signaling for Integrins {R-HSA-354194}; p130Cas linkage to MAPK signaling for integrins {R-HSA-372708}; GP1b-IX-V activation signalling {R-HSA-430116}; MAP2K and MAPK activation {R-HSA-5674135};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Platelet Adhesion to exposed collagen {R-HSA-75892}; Platelet Aggregation (Plug Formation) {R-HSA-76009}</t>
  </si>
  <si>
    <t>Prefoldin subunit 5</t>
  </si>
  <si>
    <t>Myc modulator 1; c-Myc-binding protein Mm-1</t>
  </si>
  <si>
    <t>PFD5_HUMAN</t>
  </si>
  <si>
    <t>Q99471</t>
  </si>
  <si>
    <t>A8K9A8; Q54AA8; Q9C083; Q9C084</t>
  </si>
  <si>
    <t>MM1; PFD5</t>
  </si>
  <si>
    <t>Acetylation; Alternative splicing; Chaperone; Cytoplasm; Nucleus; Phosphoprotein</t>
  </si>
  <si>
    <t>negative regulation of canonical Wnt signaling pathway {GO:0090090}; negative regulation of transcription, DNA-templated {GO:0045892}; protein folding {GO:0006457}; regulation of transcription, DNA-templated {GO:0006355}; retina development in camera-type eye {GO:0060041}</t>
  </si>
  <si>
    <t>cytoplasm {GO:0005737}; nucleus {GO:0005634}; prefoldin complex {GO:0016272}</t>
  </si>
  <si>
    <t>transcription corepressor activity {GO:0003714}; unfolded protein binding {GO:0051082}</t>
  </si>
  <si>
    <t>Prefoldin mediated transfer of substrate to CCT/TriC {R-HSA-389957}</t>
  </si>
  <si>
    <t>Rho GDP-dissociation inhibitor 2 (Rho GDI 2)</t>
  </si>
  <si>
    <t>Ly-GDI; Rho-GDI beta</t>
  </si>
  <si>
    <t>GDIR2_HUMAN</t>
  </si>
  <si>
    <t>P52566</t>
  </si>
  <si>
    <t>B5BU79</t>
  </si>
  <si>
    <t>GDIA2; GDID4; RAP1GN1</t>
  </si>
  <si>
    <t>3D-structure; Acetylation; Cytoplasm; GTPase activation; Phosphoprotein</t>
  </si>
  <si>
    <t>cellular response to redox state {GO:0071461}; multicellular organism development {GO:0007275}; negative regulation of cell adhesion {GO:0007162}; negative regulation of trophoblast cell migration {GO:1901164}; regulation of actin cytoskeleton reorganization {GO:2000249}; regulation of Rho protein signal transduction {GO:0035023}; regulation of small GTPase mediated signal transduction {GO:0051056}; Rho protein signal transduction {GO:0007266}</t>
  </si>
  <si>
    <t>cytoplasm {GO:0005737}; cytoplasmic vesicle {GO:0031410}; cytoskeleton {GO:0005856}; cytosol {GO:0005829}; extracellular exosome {GO:0070062}; membrane {GO:0016020}</t>
  </si>
  <si>
    <t>GTPase activator activity {GO:0005096}; GTPase activity {GO:0003924}; Rac GTPase binding {GO:0048365}; Rho GDP-dissociation inhibitor activity {GO:0005094}</t>
  </si>
  <si>
    <t>Rho GTPase cycle {R-HSA-194840}</t>
  </si>
  <si>
    <t>Coatomer subunit zeta-1</t>
  </si>
  <si>
    <t>Zeta-1-coat protein (Zeta-1 COP)</t>
  </si>
  <si>
    <t>COPZ1_HUMAN</t>
  </si>
  <si>
    <t>P61923</t>
  </si>
  <si>
    <t>B4DDX8; B4DHZ0; F8VS17; F8VWL5; Q549N6; Q9Y3C3</t>
  </si>
  <si>
    <t>COPZ</t>
  </si>
  <si>
    <t>3D-structure; Acetylation; Alternative splicing; Cytoplasm; Cytoplasmic vesicle; ER-Golgi transport; Golgi apparatus; Membrane; Protein transport; Transport</t>
  </si>
  <si>
    <t>Rab GDP dissociation inhibitor beta (Rab GDI beta)</t>
  </si>
  <si>
    <t>Guanosine diphosphate dissociation inhibitor 2 (GDI-2)</t>
  </si>
  <si>
    <t>GDIB_HUMAN</t>
  </si>
  <si>
    <t>P50395</t>
  </si>
  <si>
    <t>O43928; Q5SX88; Q9UQM6</t>
  </si>
  <si>
    <t>RABGDIB</t>
  </si>
  <si>
    <t>Acetylation; Alternative splicing; Cytoplasm; GTPase activation; Membrane; Phosphoprotein</t>
  </si>
  <si>
    <t>neutrophil degranulation {GO:0043312}; protein transport {GO:0015031}; regulation of small GTPase mediated signal transduction {GO:0051056}; signal transduction {GO:0007165}; small GTPase mediated signal transduction {GO:0007264}; vesicle-mediated transport {GO:0016192}</t>
  </si>
  <si>
    <t>azurophil granule lumen {GO:0035578}; cytoplasm {GO:0005737}; cytosol {GO:0005829}; extracellular exosome {GO:0070062}; extracellular region {GO:0005576}; focal adhesion {GO:0005925}; Golgi apparatus {GO:0005794}; membrane {GO:0016020}; secretory granule lumen {GO:0034774}; synapse {GO:0045202}; vesicle {GO:0031982}</t>
  </si>
  <si>
    <t>GTPase activator activity {GO:0005096}; Rab GDP-dissociation inhibitor activity {GO:0005093}; Rab GTPase binding {GO:0017137}; RNA binding {GO:0003723}</t>
  </si>
  <si>
    <t>Rho GTPase cycle {R-HSA-194840}; Neutrophil degranulation {R-HSA-6798695}; RAB GEFs exchange GTP for GDP on RABs {R-HSA-8876198}</t>
  </si>
  <si>
    <t>Nucleosome assembly protein 1-like 1</t>
  </si>
  <si>
    <t>NAP-1-related protein (hNRP)</t>
  </si>
  <si>
    <t>NP1L1_HUMAN</t>
  </si>
  <si>
    <t>P55209</t>
  </si>
  <si>
    <t>B3KNT8; B3KV44</t>
  </si>
  <si>
    <t>NRP</t>
  </si>
  <si>
    <t>Acetylation; Alternative splicing; Cytoplasm; Lipoprotein; Methylation; Neurogenesis; Nucleus; Phosphoprotein; Prenylation</t>
  </si>
  <si>
    <t>DNA replication {GO:0006260}; nucleosome assembly {GO:0006334}; positive regulation of cell population proliferation {GO:0008284}; positive regulation of neural precursor cell proliferation {GO:2000179}; positive regulation of neurogenesis {GO:0050769}</t>
  </si>
  <si>
    <t>cytoplasm {GO:0005737}; melanosome {GO:0042470}; membrane {GO:0016020}; nucleus {GO:0005634}</t>
  </si>
  <si>
    <t>40S ribosomal protein S26</t>
  </si>
  <si>
    <t>Small ribosomal subunit protein eS26</t>
  </si>
  <si>
    <t>RS26_HUMAN</t>
  </si>
  <si>
    <t>P62854</t>
  </si>
  <si>
    <t>P02383; P70394; Q06722; Q3MHD8; Q6IRY4</t>
  </si>
  <si>
    <t>3D-structure; Cytoplasm; Diamond-Blackfan anemia; Disease mutation; Endoplasmic reticulum; Phosphoprotein; Ribonucleoprotein; Ribosomal protein</t>
  </si>
  <si>
    <t>Diamond-Blackfan anemia; Disease mutation</t>
  </si>
  <si>
    <t>cytoplasmic translation {GO:0002181}; negative regulation of RNA splicing {GO:0033119};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</si>
  <si>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cytoplasmic side of rough endoplasmic reticulum membrane {GO:0098556}; cytosol {GO:0005829}; cytosolic small ribosomal subunit {GO:0022627}; extracellular exosome {GO:0070062}; membrane {GO:0016020}; nucleoplasm {GO:0005654}; polysomal ribosome {GO:0042788}; small ribosomal subunit {GO:0015935}</t>
  </si>
  <si>
    <t>cadherin binding {GO:0045296}; mRNA binding {GO:0003729}; RNA binding {GO:0003723}; structural constituent of ribosome {GO:0003735}</t>
  </si>
  <si>
    <t>BH3-interacting domain death agonist p11</t>
  </si>
  <si>
    <t>p22 BID (BID); p15 BID; p13 BID; p11 BID</t>
  </si>
  <si>
    <t>BID_HUMAN</t>
  </si>
  <si>
    <t>P55957</t>
  </si>
  <si>
    <t>Q549M7; Q71T04; Q7Z4M9; Q8IY86</t>
  </si>
  <si>
    <t>3D-structure; Acetylation; Alternative splicing; Apoptosis; Cytoplasm; Membrane; Mitochondrion; Mitochondrion outer membrane; Phosphoprotein; Polymorphism; Ubl conjugation</t>
  </si>
  <si>
    <t>activation of cysteine-type endopeptidase activity involved in apoptotic process {GO:0006919}; apoptotic mitochondrial changes {GO:0008637}; establishment of protein localization to membrane {GO:0090150}; extrinsic apoptotic signaling pathway via death domain receptors {GO:0008625}; hepatocyte apoptotic process {GO:0097284}; mitochondrial ATP synthesis coupled electron transport {GO:0042775}; mitochondrial outer membrane permeabilization {GO:0097345}; negative regulation of apoptotic process {GO:0043066}; negative regulation of intrinsic apoptotic signaling pathway in response to DNA damage {GO:1902230}; neuron apoptotic process {GO:0051402}; positive regulation of apoptotic process {GO:0043065}; positive regulation of extrinsic apoptotic signaling pathway {GO:2001238}; positive regulation of fibroblast apoptotic process {GO:2000271}; positive regulation of intrinsic apoptotic signaling pathway {GO:2001244}; positive regulation of mitochondrial membrane potential {GO:0010918}; positive regulation of mitochondrial outer membrane permeabilization involved in apoptotic signaling pathway {GO:1901030}; positive regulation of protein homooligomerization {GO:0032464}; positive regulation of protein insertion into mitochondrial membrane involved in apoptotic signaling pathway {GO:1900740}; positive regulation of protein oligomerization {GO:0032461}; positive regulation of release of cytochrome c from mitochondria {GO:0090200}; protein homooligomerization {GO:0051260}; protein targeting to mitochondrion {GO:0006626}; regulation of apoptotic process {GO:0042981}; regulation of cell population proliferation {GO:0042127}; regulation of G1/S transition of mitotic cell cycle {GO:2000045}; release of cytochrome c from mitochondria {GO:0001836}; signal transduction in response to DNA damage {GO:0042770}</t>
  </si>
  <si>
    <t>cytosol {GO:0005829}; integral component of mitochondrial membrane {GO:0032592}; membrane {GO:0016020}; mitochondrial outer membrane {GO:0005741}; mitochondrion {GO:0005739}</t>
  </si>
  <si>
    <t>death receptor binding {GO:0005123}; protein heterodimerization activity {GO:0046982}; ubiquitin protein ligase binding {GO:0031625}</t>
  </si>
  <si>
    <t>Activation of BAD and translocation to mitochondria {R-HSA-111447}; Activation and oligomerization of BAK protein {R-HSA-111452}; BH3-only proteins associate with and inactivate anti-apoptotic BCL-2 members {R-HSA-111453}; Activation, translocation and oligomerization of BAX {R-HSA-114294}; TP53 Regulates Transcription of Genes Involved in Cytochrome C Release {R-HSA-6803204}; Activation, myristolyation of BID and translocation to mitochondria {R-HSA-75108}</t>
  </si>
  <si>
    <t>Tetratricopeptide repeat protein 38 (TPR repeat protein 38)</t>
  </si>
  <si>
    <t>TTC38_HUMAN</t>
  </si>
  <si>
    <t>Q5R3I4</t>
  </si>
  <si>
    <t>Q8WV27; Q9NWP8</t>
  </si>
  <si>
    <t>Acetylation; Phosphoprotein; Polymorphism; Repeat; TPR repeat</t>
  </si>
  <si>
    <t>ATP-dependent 6-phosphofructokinase, platelet type (ATP-PFK; PFK-P)</t>
  </si>
  <si>
    <t>6-phosphofructokinase type C; Phosphofructo-1-kinase isozyme C (PFK-C); Phosphohexokinase</t>
  </si>
  <si>
    <t>PFKAP_HUMAN</t>
  </si>
  <si>
    <t>Q01813</t>
  </si>
  <si>
    <t>B3KS15; Q5VSR7; Q5VSR8</t>
  </si>
  <si>
    <t>PFKF</t>
  </si>
  <si>
    <t>3D-structure; Acetylation; Allosteric enzyme; Alternative splicing; ATP-binding; Cytoplasm; Glycolysis; Glycoprotein; Kinase; Magnesium; Metal-binding; Nucleotide-binding; Phosphoprotein; Transferase</t>
  </si>
  <si>
    <t>canonical glycolysis {GO:0061621}; cellular response to leukemia inhibitory factor {GO:1990830}; fructose 1,6-bisphosphate metabolic process {GO:0030388}; fructose 6-phosphate metabolic process {GO:0006002}; glucose catabolic process {GO:0006007}; protein homotetramerization {GO:0051289}</t>
  </si>
  <si>
    <t>6-phosphofructokinase complex {GO:0005945}; cytoplasm {GO:0005737}; cytosol {GO:0005829}; extracellular exosome {GO:0070062}; membrane {GO:0016020}; nucleus {GO:0005634}</t>
  </si>
  <si>
    <t>6-phosphofructokinase activity {GO:0003872}; AMP binding {GO:0016208}; ATP binding {GO:0005524}; cadherin binding {GO:0045296}; fructose-6-phosphate binding {GO:0070095}; identical protein binding {GO:0042802}; metal ion binding {GO:0046872}; monosaccharide binding {GO:0048029}; protein-containing complex binding {GO:0044877}</t>
  </si>
  <si>
    <t>CD63 antigen</t>
  </si>
  <si>
    <t>Granulophysin; Lysosomal-associated membrane protein 3 (LAMP-3); Melanoma-associated antigen ME491; OMA81H; Ocular melanoma-associated antigen; Tetraspanin-30 (Tspan-30); CD_antigen=CD63</t>
  </si>
  <si>
    <t>CD63_HUMAN</t>
  </si>
  <si>
    <t>P08962</t>
  </si>
  <si>
    <t>F8VZE2; Q5TZP3; Q8N6Z9; Q9UCG6</t>
  </si>
  <si>
    <t>MLA1; TSPAN30</t>
  </si>
  <si>
    <t>Alternative splicing; Cell membrane; Endosome; Glycoprotein; Lipoprotein; Lysosome; Membrane; Palmitate; Protein transport; Secreted; Transmembrane; Transmembrane helix; Transport</t>
  </si>
  <si>
    <t>Cell membrane; Endosome; Lysosome; Membrane; Secreted</t>
  </si>
  <si>
    <t>Glycoprotein; Lipoprotein; Palmitate</t>
  </si>
  <si>
    <t>cell migration {GO:0016477}; cell-matrix adhesion {GO:0007160}; cellular protein localization {GO:0034613}; endosome to melanosome transport {GO:0035646}; neutrophil degranulation {GO:0043312}; pigment granule maturation {GO:0048757}; platelet degranulation {GO:0002576}; positive regulation of integrin-mediated signaling pathway {GO:2001046}; positive regulation of receptor internalization {GO:0002092}; protein transport {GO:0015031}; regulation of potassium ion transmembrane transport {GO:1901379}; regulation of vascular endothelial growth factor signaling pathway {GO:1900746}</t>
  </si>
  <si>
    <t>azurophil granule membrane {GO:0035577}; cell surface {GO:0009986}; endosome lumen {GO:0031904}; endosome membrane {GO:0010008}; extracellular exosome {GO:0070062}; extracellular space {GO:0005615}; integral component of plasma membrane {GO:0005887}; intrinsic component of plasma membrane {GO:0031226}; late endosome membrane {GO:0031902}; lysosomal membrane {GO:0005765}; melanosome {GO:0042470}; multivesicular body membrane {GO:0032585}; multivesicular body, internal vesicle {GO:0097487}; plasma membrane {GO:0005886}; platelet dense granule membrane {GO:0031088}</t>
  </si>
  <si>
    <t>BMP and activin membrane-bound inhibitor homolog</t>
  </si>
  <si>
    <t>Non-metastatic gene A protein; Putative transmembrane protein NMA</t>
  </si>
  <si>
    <t>BAMBI_HUMAN</t>
  </si>
  <si>
    <t>Q13145</t>
  </si>
  <si>
    <t>NMA</t>
  </si>
  <si>
    <t>Glycoprotein; Membrane; Signal; Transmembrane; Transmembrane helix</t>
  </si>
  <si>
    <t>cell migration {GO:0016477}; negative regulation of transforming growth factor beta receptor signaling pathway {GO:0030512}; positive regulation of canonical Wnt signaling pathway {GO:0090263}; positive regulation of cell population proliferation {GO:0008284}; positive regulation of epithelial to mesenchymal transition {GO:0010718}; positive regulation of protein binding {GO:0032092}; positive regulation of transcription, DNA-templated {GO:0045893}; regulation of cell shape {GO:0008360}; transforming growth factor beta receptor signaling pathway {GO:0007179}</t>
  </si>
  <si>
    <t>cytoplasm {GO:0005737}; integral component of membrane {GO:0016021}; plasma membrane {GO:0005886}</t>
  </si>
  <si>
    <t>frizzled binding {GO:0005109}; type II transforming growth factor beta receptor binding {GO:0005114}</t>
  </si>
  <si>
    <t>Downregulation of TGF-beta receptor signaling {R-HSA-2173788}</t>
  </si>
  <si>
    <t>Complement C1r subcomponent-like protein (C1r-LP; C1r-like protein)</t>
  </si>
  <si>
    <t>C1r-like serine protease analog protein (CLSPa)</t>
  </si>
  <si>
    <t>C1RL_HUMAN</t>
  </si>
  <si>
    <t>Q9NZP8</t>
  </si>
  <si>
    <t>Q53GX9</t>
  </si>
  <si>
    <t>C1RL1; C1RLP; CLSPA</t>
  </si>
  <si>
    <t>Complement pathway; Disulfide bond; Glycoprotein; Hydrolase; Immunity; Innate immunity; Polymorphism; Protease; Secreted; Serine protease; Signal</t>
  </si>
  <si>
    <t>complement activation, classical pathway {GO:0006958}; innate immune response {GO:0045087}; zymogen activation {GO:0031638}</t>
  </si>
  <si>
    <t>serine-type endopeptidase activity {GO:0004252}</t>
  </si>
  <si>
    <t>Histone H1.0, N-terminally processed</t>
  </si>
  <si>
    <t>Histone H1'; Histone H1(0)</t>
  </si>
  <si>
    <t>H10_HUMAN</t>
  </si>
  <si>
    <t>P07305</t>
  </si>
  <si>
    <t>B2R6I0; B4DRD6; Q6FG88; Q8N6R3</t>
  </si>
  <si>
    <t>H1FV</t>
  </si>
  <si>
    <t>3D-structure; Acetylation; ADP-ribosylation; Alternative splicing; Chromosome; Citrullination; DNA-binding; Nucleus; Phosphoprotein; RNA editing</t>
  </si>
  <si>
    <t>Alternative splicing; RNA editing</t>
  </si>
  <si>
    <t>ADP-ribosylation; Acetylation; Citrullination; Phosphoprotein</t>
  </si>
  <si>
    <t>apoptotic DNA fragmentation {GO:0006309}; chromatin silencing {GO:0006342}; chromosome condensation {GO:0030261}; negative regulation of chromatin silencing {GO:0031936}; negative regulation of DNA recombination {GO:0045910}; negative regulation of transcription by RNA polymerase II {GO:0000122}; nucleosome assembly {GO:0006334}; nucleosome positioning {GO:0016584}; positive regulation of transcription regulatory region DNA binding {GO:2000679}; regulation of transcription, DNA-templated {GO:0006355}</t>
  </si>
  <si>
    <t>actin cytoskeleton {GO:0015629}; Golgi apparatus {GO:0005794}; nuclear body {GO:0016604}; nuclear chromatin {GO:0000790}; nuclear euchromatin {GO:0005719}; nucleoplasm {GO:0005654}; nucleosome {GO:0000786}; nucleus {GO:0005634}; transcriptional repressor complex {GO:0017053}</t>
  </si>
  <si>
    <t>AT DNA binding {GO:0003680}; chromatin DNA binding {GO:0031490}; double-stranded DNA binding {GO:0003690}; nucleosomal DNA binding {GO:0031492}; RNA binding {GO:0003723}</t>
  </si>
  <si>
    <t>Cubilin</t>
  </si>
  <si>
    <t>460 kDa receptor; Intestinal intrinsic factor receptor; Intrinsic factor-cobalamin receptor; Intrinsic factor-vitamin B12 receptor</t>
  </si>
  <si>
    <t>CUBN_HUMAN</t>
  </si>
  <si>
    <t>O60494</t>
  </si>
  <si>
    <t>B0YIZ4; Q5VTA6; Q96RU9</t>
  </si>
  <si>
    <t>IFCR</t>
  </si>
  <si>
    <t>3D-structure; Calcium; Cell membrane; Cholesterol metabolism; Cleavage on pair of basic residues; Coated pit; Cobalamin; Cobalt; Disease mutation; Disulfide bond; EGF-like domain; Endocytosis; Endosome; Glycoprotein; Lipid metabolism; Lysosome; Membrane; Metal-binding; Phosphoprotein; Polymorphism; Protein transport; Receptor; Repeat; Signal; Steroid metabolism; Sterol metabolism; Transport</t>
  </si>
  <si>
    <t>Cholesterol metabolism; Endocytosis; Lipid metabolism; Protein transport; Steroid metabolism; Sterol metabolism; Transport</t>
  </si>
  <si>
    <t>Cell membrane; Coated pit; Endosome; Lysosome; Membrane</t>
  </si>
  <si>
    <t>Calcium; Cobalamin; Cobalt; Metal-binding</t>
  </si>
  <si>
    <t>cholesterol metabolic process {GO:0008203}; cobalamin metabolic process {GO:0009235}; cobalamin transport {GO:0015889}; high-density lipoprotein particle clearance {GO:0034384}; lipoprotein transport {GO:0042953}; receptor-mediated endocytosis {GO:0006898}; response to bacterium {GO:0009617}; tissue homeostasis {GO:0001894}; vitamin D metabolic process {GO:0042359}</t>
  </si>
  <si>
    <t>apical plasma membrane {GO:0016324}; brush border membrane {GO:0031526}; clathrin-coated pit {GO:0005905}; cytosol {GO:0005829}; endocytic vesicle {GO:0030139}; endoplasmic reticulum {GO:0005783}; endosome membrane {GO:0010008}; extracellular exosome {GO:0070062}; extrinsic component of external side of plasma membrane {GO:0031232}; Golgi apparatus {GO:0005794}; lysosomal lumen {GO:0043202}; lysosomal membrane {GO:0005765}; membrane {GO:0016020}; plasma membrane {GO:0005886}</t>
  </si>
  <si>
    <t>calcium ion binding {GO:0005509}; cargo receptor activity {GO:0038024}; cobalamin binding {GO:0031419}; drug binding {GO:0008144}; protein homodimerization activity {GO:0042803}; signaling receptor activity {GO:0038023}</t>
  </si>
  <si>
    <t>Cobalamin (Cbl, vitamin B12) transport and metabolism {R-HSA-196741}; Vitamin D (calciferol) metabolism {R-HSA-196791}; Defective AMN causes hereditary megaloblastic anemia 1 {R-HSA-3359462}; Defective CUBN causes hereditary megaloblastic anemia 1 {R-HSA-3359463}; HDL clearance {R-HSA-8964011}</t>
  </si>
  <si>
    <t>Frizzled-8 (Fz-8; hFz8)</t>
  </si>
  <si>
    <t>FZD8_HUMAN</t>
  </si>
  <si>
    <t>Q9H461</t>
  </si>
  <si>
    <t>3D-structure; Cell membrane; Developmental protein; Disulfide bond; G-protein coupled receptor; Glycoprotein; Golgi apparatus; Membrane; Receptor; Signal; Transducer; Transmembrane; Transmembrane helix; Ubl conjugation; Wnt signaling pathway</t>
  </si>
  <si>
    <t>angiogenesis {GO:0001525}; canonical Wnt signaling pathway {GO:0060070}; negative regulation of transcription by RNA polymerase II {GO:0000122}; neuron differentiation {GO:0030182}; non-canonical Wnt signaling pathway {GO:0035567}; positive regulation of JUN kinase activity {GO:0043507}; positive regulation of transcription by RNA polymerase II {GO:0045944}; T cell differentiation in thymus {GO:0033077}</t>
  </si>
  <si>
    <t>Golgi apparatus {GO:0005794}; integral component of membrane {GO:0016021}; plasma membrane {GO:0005886}; Wnt-Frizzled-LRP5/6 complex {GO:1990851}</t>
  </si>
  <si>
    <t>G protein-coupled receptor activity {GO:0004930}; PDZ domain binding {GO:0030165}; signaling receptor binding {GO:0005102}; ubiquitin protein ligase binding {GO:0031625}; Wnt-activated receptor activity {GO:0042813}; Wnt-protein binding {GO:0017147}</t>
  </si>
  <si>
    <t>Class B/2 (Secretin family receptors) {R-HSA-373080}; Asymmetric localization of PCP proteins {R-HSA-4608870}; Regulation of FZD by ubiquitination {R-HSA-4641263}; RNF mutants show enhanced WNT signaling and proliferation {R-HSA-5340588}</t>
  </si>
  <si>
    <t>Heme oxygenase 1 (HO-1)</t>
  </si>
  <si>
    <t>HMOX1_HUMAN</t>
  </si>
  <si>
    <t>P09601</t>
  </si>
  <si>
    <t>HO; HO1</t>
  </si>
  <si>
    <t>3D-structure; Apoptosis; Endoplasmic reticulum; Heme; Iron; Membrane; Metal-binding; Microsome; Oxidoreductase; Phosphoprotein; Polymorphism</t>
  </si>
  <si>
    <t>Endoplasmic reticulum; Membrane; Microsome</t>
  </si>
  <si>
    <t>angiogenesis {GO:0001525}; cell death {GO:0008219}; cellular iron ion homeostasis {GO:0006879}; cellular response to arsenic-containing substance {GO:0071243}; cellular response to cadmium ion {GO:0071276}; cellular response to cisplatin {GO:0072719}; cellular response to heat {GO:0034605}; cellular response to hypoxia {GO:0071456}; cellular response to nutrient {GO:0031670}; cytokine-mediated signaling pathway {GO:0019221}; endothelial cell proliferation {GO:0001935}; erythrocyte homeostasis {GO:0034101}; excretion {GO:0007588}; heme catabolic process {GO:0042167}; heme oxidation {GO:0006788}; intracellular signal transduction {GO:0035556}; intrinsic apoptotic signaling pathway in response to DNA damage {GO:0008630}; iron ion homeostasis {GO:0055072}; liver regeneration {GO:0097421}; low-density lipoprotein particle clearance {GO:0034383}; negative regulation of DNA binding {GO:0043392}; negative regulation of DNA-binding transcription factor activity {GO:0043433}; negative regulation of epithelial cell apoptotic process {GO:1904036}; negative regulation of extrinsic apoptotic signaling pathway via death domain receptors {GO:1902042}; negative regulation of leukocyte migration {GO:0002686}; negative regulation of macroautophagy {GO:0016242}; negative regulation of mast cell cytokine production {GO:0032764}; negative regulation of mast cell degranulation {GO:0043305}; negative regulation of muscle cell apoptotic process {GO:0010656}; negative regulation of neuron apoptotic process {GO:0043524}; negative regulation of smooth muscle cell proliferation {GO:0048662}; negative regulation of vascular smooth muscle cell proliferation {GO:1904706}; positive regulation of angiogenesis {GO:0045766}; positive regulation of apoptotic process {GO:0043065}; positive regulation of blood vessel diameter {GO:0097755}; positive regulation of blood vessel endothelial cell proliferation involved in sprouting angiogenesis {GO:1903589}; positive regulation of cell migration involved in sprouting angiogenesis {GO:0090050}; positive regulation of chemokine biosynthetic process {GO:0045080}; positive regulation of I-kappaB kinase/NF-kappaB signaling {GO:0043123}; positive regulation of macroautophagy {GO:0016239}; positive regulation of smooth muscle cell proliferation {GO:0048661}; protein homooligomerization {GO:0051260}; regulation of angiogenesis {GO:0045765}; regulation of blood pressure {GO:0008217}; regulation of DNA-binding transcription factor activity {GO:0051090}; regulation of transcription from RNA polymerase II promoter in response to iron {GO:0034395}; regulation of transcription from RNA polymerase II promoter in response to oxidative stress {GO:0043619}; response to estrogen {GO:0043627}; response to hydrogen peroxide {GO:0042542}; response to nicotine {GO:0035094}; response to oxidative stress {GO:0006979}; small GTPase mediated signal transduction {GO:0007264}; smooth muscle hyperplasia {GO:0014806}; wound healing involved in inflammatory response {GO:0002246}</t>
  </si>
  <si>
    <t>caveola {GO:0005901}; cytosol {GO:0005829}; endoplasmic reticulum {GO:0005783}; endoplasmic reticulum membrane {GO:0005789}; extracellular space {GO:0005615}; membrane {GO:0016020}; nucleolus {GO:0005730}; nucleus {GO:0005634}; perinuclear region of cytoplasm {GO:0048471}</t>
  </si>
  <si>
    <t>enzyme binding {GO:0019899}; heme binding {GO:0020037}; heme oxygenase (decyclizing) activity {GO:0004392}; metal ion binding {GO:0046872}; phospholipase D activity {GO:0004630}; protein homodimerization activity {GO:0042803}</t>
  </si>
  <si>
    <t>Heme degradation {R-HSA-189483}; Interleukin-4 and Interleukin-13 signaling {R-HSA-6785807}; Iron uptake and transport {R-HSA-917937}; Insertion of tail-anchored proteins into the endoplasmic reticulum membrane {R-HSA-9609523}</t>
  </si>
  <si>
    <t>Adenosine deaminase 2</t>
  </si>
  <si>
    <t>Cat eye syndrome critical region protein 1</t>
  </si>
  <si>
    <t>ADA2_HUMAN</t>
  </si>
  <si>
    <t>Q9NZK5</t>
  </si>
  <si>
    <t>A8K9H4; Q6ICF1; Q86UB6; Q8NCJ2; Q96K41</t>
  </si>
  <si>
    <t>3D-structure; Alternative splicing; Disease mutation; Disulfide bond; Glycoprotein; Heparin-binding; Hydrolase; Metal-binding; Polymorphism; Secreted; Signal; Zinc</t>
  </si>
  <si>
    <t>Heparin-binding; Hydrolase</t>
  </si>
  <si>
    <t>adenosine catabolic process {GO:0006154}; cellular protein metabolic process {GO:0044267}; inosine biosynthetic process {GO:0046103}; multicellular organism development {GO:0007275}; neutrophil degranulation {GO:0043312}</t>
  </si>
  <si>
    <t>azurophil granule lumen {GO:0035578}; extracellular region {GO:0005576}; extracellular space {GO:0005615}</t>
  </si>
  <si>
    <t>adenosine deaminase activity {GO:0004000}; adenosine receptor binding {GO:0031685}; growth factor activity {GO:0008083}; heparin binding {GO:0008201}; protein homodimerization activity {GO:0042803}; proteoglycan binding {GO:0043394}; zinc ion binding {GO:0008270}</t>
  </si>
  <si>
    <t>Surfactant metabolism {R-HSA-5683826}; Neutrophil degranulation {R-HSA-6798695}</t>
  </si>
  <si>
    <t>Heme-binding protein 1</t>
  </si>
  <si>
    <t>p22HBP</t>
  </si>
  <si>
    <t>HEBP1_HUMAN</t>
  </si>
  <si>
    <t>Q9NRV9</t>
  </si>
  <si>
    <t>A8K1G2; Q9Y5Z5</t>
  </si>
  <si>
    <t>HBP</t>
  </si>
  <si>
    <t>Cytoplasm; Polymorphism</t>
  </si>
  <si>
    <t>circadian rhythm {GO:0007623}; G protein-coupled receptor signaling pathway {GO:0007186}</t>
  </si>
  <si>
    <t>cytoplasm {GO:0005737}; extracellular exosome {GO:0070062}; extracellular region {GO:0005576}</t>
  </si>
  <si>
    <t>heme binding {GO:0020037}</t>
  </si>
  <si>
    <t>G alpha (i) signalling events {R-HSA-418594}; Formyl peptide receptors bind formyl peptides and many other ligands {R-HSA-444473}</t>
  </si>
  <si>
    <t>Parvalbumin alpha</t>
  </si>
  <si>
    <t>PRVA_HUMAN</t>
  </si>
  <si>
    <t>P20472</t>
  </si>
  <si>
    <t>B2R4H7; P78378; Q4VB78; Q5R3Q9</t>
  </si>
  <si>
    <t>3D-structure; Acetylation; Calcium; Metal-binding; Muscle protein; Phosphoprotein; Repeat</t>
  </si>
  <si>
    <t>cochlea development {GO:0090102}</t>
  </si>
  <si>
    <t>axon {GO:0030424}; cuticular plate {GO:0032437}; cytoplasm {GO:0005737}; neuronal cell body {GO:0043025}; nucleus {GO:0005634}; protein-containing complex {GO:0032991}; stereocilium {GO:0032420}</t>
  </si>
  <si>
    <t>calcium ion binding {GO:0005509}; protein heterodimerization activity {GO:0046982}; protein homodimerization activity {GO:0042803}</t>
  </si>
  <si>
    <t>Transcriptional Regulation by MECP2 {R-HSA-8986944}</t>
  </si>
  <si>
    <t>Aquaporin-2 (AQP-2)</t>
  </si>
  <si>
    <t>ADH water channel; Aquaporin-CD (AQP-CD); Collecting duct water channel protein; WCH-CD; Water channel protein for renal collecting duct</t>
  </si>
  <si>
    <t>AQP2_HUMAN</t>
  </si>
  <si>
    <t>P41181</t>
  </si>
  <si>
    <t>Q9UD68</t>
  </si>
  <si>
    <t>3D-structure; Cell membrane; Cytoplasmic vesicle; Diabetes insipidus; Disease mutation; Glycoprotein; Golgi apparatus; Membrane; Phosphoprotein; Polymorphism; Repeat; Transmembrane; Transmembrane helix; Transport</t>
  </si>
  <si>
    <t>Cell membrane; Cytoplasmic vesicle; Golgi apparatus; Membrane</t>
  </si>
  <si>
    <t>Diabetes insipidus; Disease mutation</t>
  </si>
  <si>
    <t>cellular response to copper ion {GO:0071280}; cellular response to mercury ion {GO:0071288}; cellular response to water deprivation {GO:0042631}; glycerol transport {GO:0015793}; metanephric collecting duct development {GO:0072205}; protein homotetramerization {GO:0051289}; renal water homeostasis {GO:0003091}; renal water transport {GO:0003097}; water transport {GO:0006833}</t>
  </si>
  <si>
    <t>apical plasma membrane {GO:0016324}; basolateral plasma membrane {GO:0016323}; extracellular exosome {GO:0070062}; Golgi apparatus {GO:0005794}; integral component of membrane {GO:0016021}; integral component of plasma membrane {GO:0005887}; membrane {GO:0016020}; plasma membrane {GO:0005886}; recycling endosome {GO:0055037}; transport vesicle membrane {GO:0030658}</t>
  </si>
  <si>
    <t>glycerol transmembrane transporter activity {GO:0015168}; water channel activity {GO:0015250}; water transmembrane transporter activity {GO:0005372}</t>
  </si>
  <si>
    <t>Vasopressin regulates renal water homeostasis via Aquaporins {R-HSA-432040}; Passive transport by Aquaporins {R-HSA-432047}</t>
  </si>
  <si>
    <t>Inhibin beta E chain</t>
  </si>
  <si>
    <t>Activin beta-E chain</t>
  </si>
  <si>
    <t>INHBE_HUMAN</t>
  </si>
  <si>
    <t>P58166</t>
  </si>
  <si>
    <t>cell development {GO:0048468}; positive regulation of pathway-restricted SMAD protein phosphorylation {GO:0010862}; regulation of apoptotic process {GO:0042981}; regulation of MAPK cascade {GO:0043408}; SMAD protein signal transduction {GO:0060395}</t>
  </si>
  <si>
    <t>collagen-containing extracellular matrix {GO:0062023}; extracellular space {GO:0005615}</t>
  </si>
  <si>
    <t>cytokine activity {GO:0005125}; growth factor activity {GO:0008083}; hormone activity {GO:0005179}; transforming growth factor beta receptor binding {GO:0005160}</t>
  </si>
  <si>
    <t>Arylsulfatase A component C</t>
  </si>
  <si>
    <t>Cerebroside-sulfatase</t>
  </si>
  <si>
    <t>ARSA_HUMAN</t>
  </si>
  <si>
    <t>P15289</t>
  </si>
  <si>
    <t>B2RCA6; B7XD04; F8WCC8; Q6ICI5; Q96CJ0</t>
  </si>
  <si>
    <t>3D-structure; Alternative splicing; Calcium; Disease mutation; Disulfide bond; Endoplasmic reticulum; Glycoprotein; Hydrolase; Ichthyosis; Leukodystrophy; Lysosome; Metachromatic leukodystrophy; Metal-binding; Polymorphism; Signal</t>
  </si>
  <si>
    <t>Endoplasmic reticulum; Lysosome</t>
  </si>
  <si>
    <t>Disease mutation; Ichthyosis; Leukodystrophy; Metachromatic leukodystrophy</t>
  </si>
  <si>
    <t>glycosphingolipid metabolic process {GO:0006687}; neutrophil degranulation {GO:0043312}</t>
  </si>
  <si>
    <t>azurophil granule lumen {GO:0035578}; endoplasmic reticulum lumen {GO:0005788}; extracellular exosome {GO:0070062}; extracellular region {GO:0005576}; lysosomal lumen {GO:0043202}; lysosome {GO:0005764}</t>
  </si>
  <si>
    <t>arylsulfatase activity {GO:0004065}; calcium ion binding {GO:0005509}; cerebroside-sulfatase activity {GO:0004098}; sulfuric ester hydrolase activity {GO:0008484}</t>
  </si>
  <si>
    <t>Glycosphingolipid metabolism {R-HSA-1660662}; The activation of arylsulfatases {R-HSA-1663150}; Neutrophil degranulation {R-HSA-6798695}</t>
  </si>
  <si>
    <t>SH3 domain-binding protein 1</t>
  </si>
  <si>
    <t>3BP1_HUMAN</t>
  </si>
  <si>
    <t>Q9Y3L3</t>
  </si>
  <si>
    <t>Q5R3N0; Q6IBZ2; Q6ZVL9; Q96HQ5; Q9NSQ9</t>
  </si>
  <si>
    <t>3D-structure; Alternative initiation; Alternative splicing; Cell junction; Cell projection; Cytoplasm; GTPase activation; Nucleus; Phagocytosis; Phosphoprotein; Polymorphism; SH3-binding; Tight junction</t>
  </si>
  <si>
    <t>Phagocytosis</t>
  </si>
  <si>
    <t>Cell junction; Cell projection; Cytoplasm; Nucleus; Tight junction</t>
  </si>
  <si>
    <t>actin filament organization {GO:0007015}; cell junction assembly {GO:0034329}; cell migration {GO:0016477}; establishment of epithelial cell apical/basal polarity {GO:0045198}; filopodium assembly {GO:0046847}; negative regulation of small GTPase mediated signal transduction {GO:0051058}; phagocytosis, engulfment {GO:0006911}; positive regulation of GTPase activity {GO:0043547}; regulation of actin cytoskeleton organization {GO:0032956}; regulation of actin filament depolymerization {GO:0030834}; regulation of blood vessel endothelial cell migration {GO:0043535}; ruffle assembly {GO:0097178}; semaphorin-plexin signaling pathway {GO:0071526}</t>
  </si>
  <si>
    <t>adherens junction {GO:0005912}; bicellular tight junction {GO:0005923}; cell leading edge {GO:0031252}; cytosol {GO:0005829}; lamellipodium {GO:0030027}; nucleus {GO:0005634}; phagocytic cup {GO:0001891}</t>
  </si>
  <si>
    <t>GTPase activator activity {GO:0005096}; Rac GTPase binding {GO:0048365}; semaphorin receptor binding {GO:0030215}; SH3 domain binding {GO:0017124}</t>
  </si>
  <si>
    <t>Nidogen-1 (NID-1)</t>
  </si>
  <si>
    <t>Entactin</t>
  </si>
  <si>
    <t>NID1_HUMAN</t>
  </si>
  <si>
    <t>P14543</t>
  </si>
  <si>
    <t>Q14942; Q59FL2; Q5TAF2; Q5TAF3; Q86XD7</t>
  </si>
  <si>
    <t>NID</t>
  </si>
  <si>
    <t>3D-structure; Alternative splicing; Basement membrane; Calcium; Cell adhesion; Disulfide bond; EGF-like domain; Extracellular matrix; Glycoprotein; Polymorphism; Repeat; Secreted; Signal; Sulfation</t>
  </si>
  <si>
    <t>basement membrane organization {GO:0071711}; cell-matrix adhesion {GO:0007160}; extracellular matrix organization {GO:0030198}; glomerular basement membrane development {GO:0032836}; positive regulation of cell-substrate adhesion {GO:0010811}</t>
  </si>
  <si>
    <t>basement membrane {GO:0005604}; cell periphery {GO:0071944}; collagen-containing extracellular matrix {GO:0062023}; extracellular exosome {GO:0070062}; extracellular region {GO:0005576}</t>
  </si>
  <si>
    <t>calcium ion binding {GO:0005509}; collagen binding {GO:0005518}; extracellular matrix structural constituent {GO:0005201}; laminin binding {GO:0043236}; laminin-1 binding {GO:0043237}; proteoglycan binding {GO:0043394}</t>
  </si>
  <si>
    <t>Degradation of the extracellular matrix {R-HSA-1474228}; Laminin interactions {R-HSA-3000157}</t>
  </si>
  <si>
    <t>Vinculin</t>
  </si>
  <si>
    <t>Metavinculin (MV)</t>
  </si>
  <si>
    <t>VINC_HUMAN</t>
  </si>
  <si>
    <t>P18206</t>
  </si>
  <si>
    <t>Q16450; Q5SWX2; Q7Z3B8; Q8IXU7</t>
  </si>
  <si>
    <t>3D-structure; Acetylation; Actin-binding; Alternative splicing; Cardiomyopathy; Cell adhesion; Cell junction; Cell membrane; Cytoplasm; Cytoskeleton; Disease mutation; Lipoprotein; Membrane; Palmitate; Phosphoprotein; Polymorphism; Repeat</t>
  </si>
  <si>
    <t>Acetylation; Lipoprotein; Palmitate; Phosphoprotein</t>
  </si>
  <si>
    <t>adherens junction assembly {GO:0034333}; apical junction assembly {GO:0043297}; axon extension {GO:0048675}; cell adhesion {GO:0007155}; cell-matrix adhesion {GO:0007160}; epithelial cell-cell adhesion {GO:0090136}; lamellipodium assembly {GO:0030032}; morphogenesis of an epithelium {GO:0002009}; muscle contraction {GO:0006936}; negative regulation of cell migration {GO:0030336}; neutrophil degranulation {GO:0043312}; platelet aggregation {GO:0070527}; platelet degranulation {GO:0002576}; protein localization to cell surface {GO:0034394}</t>
  </si>
  <si>
    <t>adherens junction {GO:0005912}; brush border {GO:0005903}; cell {GO:0005623}; cell-cell adherens junction {GO:0005913}; cell-cell junction {GO:0005911}; cell-substrate junction {GO:0030055}; costamere {GO:0043034}; cytoskeleton {GO:0005856}; cytosol {GO:0005829}; extracellular exosome {GO:0070062}; extracellular region {GO:0005576}; extracellular vesicle {GO:1903561}; fascia adherens {GO:0005916}; ficolin-1-rich granule lumen {GO:1904813}; focal adhesion {GO:0005925}; inner dense plaque of desmosome {GO:0090637}; membrane raft {GO:0045121}; outer dense plaque of desmosome {GO:0090636}; plasma membrane {GO:0005886}; podosome {GO:0002102}; protein-containing complex {GO:0032991}; sarcolemma {GO:0042383}; secretory granule lumen {GO:0034774}; specific granule lumen {GO:0035580}; terminal web {GO:1990357}; zonula adherens {GO:0005915}</t>
  </si>
  <si>
    <t>actin binding {GO:0003779}; alpha-catenin binding {GO:0045294}; beta-catenin binding {GO:0008013}; cadherin binding {GO:0045296}; dystroglycan binding {GO:0002162}; structural molecule activity {GO:0005198}; ubiquitin protein ligase binding {GO:0031625}</t>
  </si>
  <si>
    <t>Platelet degranulation {R-HSA-114608}; Smooth Muscle Contraction {R-HSA-445355};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</si>
  <si>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Adenosine kinase (AK)</t>
  </si>
  <si>
    <t>Adenosine 5'-phosphotransferase</t>
  </si>
  <si>
    <t>ADK_HUMAN</t>
  </si>
  <si>
    <t>P55263</t>
  </si>
  <si>
    <t>B7Z783; B7Z800; O00741; O00742; Q16710; Q5JQ10; Q5JQ11; Q9BTN2</t>
  </si>
  <si>
    <t>3D-structure; Acetylation; Alternative splicing; ATP-binding; Cytoplasm; Disease mutation; Kinase; Magnesium; Metal-binding; Nucleotide-binding; Nucleus; Phosphoprotein; Purine salvage; Transferase</t>
  </si>
  <si>
    <t>Purine salvage</t>
  </si>
  <si>
    <t>AMP salvage {GO:0044209}; dATP biosynthetic process {GO:0006175}; purine ribonucleoside salvage {GO:0006166}; purine-containing compound salvage {GO:0043101}; ribonucleoside monophosphate biosynthetic process {GO:0009156}</t>
  </si>
  <si>
    <t>adenosine kinase activity {GO:0004001}; ATP binding {GO:0005524}; metal ion binding {GO:0046872}; RNA binding {GO:0003723}</t>
  </si>
  <si>
    <t>Purine metabolism; AMP biosynthesis via salvage pathway; AMP from adenosine: step 1/1.</t>
  </si>
  <si>
    <t>Pancreatic triacylglycerol lipase (PL; PTL; Pancreatic lipase)</t>
  </si>
  <si>
    <t>LIPP_HUMAN</t>
  </si>
  <si>
    <t>P16233</t>
  </si>
  <si>
    <t>Q5VSQ2</t>
  </si>
  <si>
    <t>3D-structure; Calcium; Disease mutation; Disulfide bond; Glycoprotein; Hydrolase; Lipid degradation; Lipid metabolism; Metal-binding; Secreted; Signal</t>
  </si>
  <si>
    <t>intestinal cholesterol absorption {GO:0030299}; lipid catabolic process {GO:0016042}; lipid digestion {GO:0044241}; lipid metabolic process {GO:0006629}; positive regulation of triglyceride lipase activity {GO:0061365}; retinoid metabolic process {GO:0001523}</t>
  </si>
  <si>
    <t>lipase activity {GO:0016298}; metal ion binding {GO:0046872}; triglyceride lipase activity {GO:0004806}</t>
  </si>
  <si>
    <t>Digestion of dietary lipid {R-HSA-192456}; Retinoid metabolism and transport {R-HSA-975634}</t>
  </si>
  <si>
    <t>Voltage-dependent anion-selective channel protein 2 (VDAC-2; hVDAC2)</t>
  </si>
  <si>
    <t>Outer mitochondrial membrane protein porin 2</t>
  </si>
  <si>
    <t>VDAC2_HUMAN</t>
  </si>
  <si>
    <t>P45880</t>
  </si>
  <si>
    <t>Q5VWK1; Q5VWK3; Q6IB40; Q7L3J5; Q9BWK8; Q9Y5I6</t>
  </si>
  <si>
    <t>Acetylation; Alternative splicing; Ion transport; Isopeptide bond; Membrane; Mitochondrion; Mitochondrion outer membrane; NAD; Nucleotide-binding; Phosphoprotein; Polymorphism; Porin; Transmembrane; Transmembrane beta strand; Transport; Ubl conjugation</t>
  </si>
  <si>
    <t>anion transport {GO:0006820}; binding of sperm to zona pellucida {GO:0007339}; negative regulation of intrinsic apoptotic signaling pathway {GO:2001243}; negative regulation of protein polymerization {GO:0032272}</t>
  </si>
  <si>
    <t>acrosomal vesicle {GO:0001669}; membrane raft {GO:0045121}; mitochondrial nucleoid {GO:0042645}; mitochondrial outer membrane {GO:0005741}; mitochondrion {GO:0005739}; nucleus {GO:0005634}; pore complex {GO:0046930}; synaptic vesicle {GO:0008021}</t>
  </si>
  <si>
    <t>Myozenin-1</t>
  </si>
  <si>
    <t>Calsarcin-2; Filamin-, actinin- and telethonin-binding protein; Protein FATZ</t>
  </si>
  <si>
    <t>MYOZ1_HUMAN</t>
  </si>
  <si>
    <t>Q9NP98</t>
  </si>
  <si>
    <t>Q9H1I7</t>
  </si>
  <si>
    <t>Cell projection; Nucleus; Phosphoprotein</t>
  </si>
  <si>
    <t>Cell projection; Nucleus</t>
  </si>
  <si>
    <t>myofibril assembly {GO:0030239}; negative regulation of calcineurin-NFAT signaling cascade {GO:0070885}; negative regulation of skeletal muscle tissue regeneration {GO:0043417}; negative regulation of transcription by RNA polymerase II {GO:0000122}; sarcomere organization {GO:0045214}; skeletal muscle fiber adaptation {GO:0043503}; skeletal muscle tissue development {GO:0007519}</t>
  </si>
  <si>
    <t>actin cytoskeleton {GO:0015629}; nucleus {GO:0005634}; pseudopodium {GO:0031143}; Z disc {GO:0030018}</t>
  </si>
  <si>
    <t>actin binding {GO:0003779}; FATZ binding {GO:0051373}; protein serine/threonine phosphatase inhibitor activity {GO:0004865}; telethonin binding {GO:0031433}</t>
  </si>
  <si>
    <t>Mannosyl-oligosaccharide 1,2-alpha-mannosidase IC</t>
  </si>
  <si>
    <t>HMIC; Mannosidase alpha class 1C member 1; Processing alpha-1,2-mannosidase IC (Alpha-1,2-mannosidase IC)</t>
  </si>
  <si>
    <t>MA1C1_HUMAN</t>
  </si>
  <si>
    <t>Q9NR34</t>
  </si>
  <si>
    <t>A6NNE2; B2RNP2; Q9Y545</t>
  </si>
  <si>
    <t>MAN1A3; MAN1C</t>
  </si>
  <si>
    <t>Calcium; Disulfide bond; Glycoprotein; Glycosidase; Golgi apparatus; Hydrolase; Membrane; Metal-binding; Phosphoprotein; Signal-anchor; Transmembrane; Transmembrane helix</t>
  </si>
  <si>
    <t>Golgi apparatus mannose trimming {GO:1904381}; N-glycan processing {GO:0006491}; protein N-linked glycosylation {GO:0006487}</t>
  </si>
  <si>
    <t>endoplasmic reticulum {GO:0005783}; extracellular exosome {GO:0070062}; Golgi membrane {GO:0000139}; integral component of Golgi membrane {GO:0030173}</t>
  </si>
  <si>
    <t>calcium ion binding {GO:0005509}; mannosyl-oligosaccharide 1,2-alpha-mannosidase activity {GO:0004571}</t>
  </si>
  <si>
    <t>Intra-Golgi traffic {R-HSA-6811438}; Progressive trimming of alpha-1,2-linked mannose residues from Man9/8/7GlcNAc2 to produce Man5GlcNAc2 {R-HSA-964827}</t>
  </si>
  <si>
    <t>Inactive carboxypeptidase-like protein X2</t>
  </si>
  <si>
    <t>CPXM2_HUMAN</t>
  </si>
  <si>
    <t>Q8N436</t>
  </si>
  <si>
    <t>B4E3Q2</t>
  </si>
  <si>
    <t>CPX2</t>
  </si>
  <si>
    <t>peptide metabolic process {GO:0006518}; protein processing {GO:0016485}</t>
  </si>
  <si>
    <t>Testican-2</t>
  </si>
  <si>
    <t>SPARC/osteonectin, CWCV, and Kazal-like domains proteoglycan 2</t>
  </si>
  <si>
    <t>TICN2_HUMAN</t>
  </si>
  <si>
    <t>Q92563</t>
  </si>
  <si>
    <t>C9J767; Q6UW87</t>
  </si>
  <si>
    <t>KIAA0275; TICN2</t>
  </si>
  <si>
    <t>Alternative splicing; Calcium; Disulfide bond; Extracellular matrix; Glycoprotein; Heparan sulfate; Phosphoprotein; Polymorphism; Proteoglycan; Secreted; Signal</t>
  </si>
  <si>
    <t>Disulfide bond; Glycoprotein; Heparan sulfate; Phosphoprotein; Proteoglycan</t>
  </si>
  <si>
    <t>cellular response to leukemia inhibitory factor {GO:1990830}; extracellular matrix organization {GO:0030198}; negative regulation of endopeptidase activity {GO:0010951}; peptide cross-linking via chondroitin 4-sulfate glycosaminoglycan {GO:0019800}; positive regulation of cell motility {GO:2000147}; positive regulation of cell-substrate adhesion {GO:0010811}; regulation of cell differentiation {GO:0045595}; synapse assembly {GO:0007416}</t>
  </si>
  <si>
    <t>calcium ion binding {GO:0005509}; collagen binding {GO:0005518}; extracellular matrix binding {GO:0050840}; glycosaminoglycan binding {GO:0005539}; metalloendopeptidase inhibitor activity {GO:0008191}</t>
  </si>
  <si>
    <t>Pterin-4-alpha-carbinolamine dehydratase (PHS)</t>
  </si>
  <si>
    <t>4-alpha-hydroxy-tetrahydropterin dehydratase; Dimerization cofactor of hepatocyte nuclear factor 1-alpha (DCoH; Dimerization cofactor of HNF1); Phenylalanine hydroxylase-stimulating protein; Pterin carbinolamine dehydratase (PCD)</t>
  </si>
  <si>
    <t>PHS_HUMAN</t>
  </si>
  <si>
    <t>P61457</t>
  </si>
  <si>
    <t>P70519; P80095; Q9D930</t>
  </si>
  <si>
    <t>DCOH; PCBD</t>
  </si>
  <si>
    <t>Acetylation; Activator; Cytoplasm; Disease mutation; Lyase; Nucleus; Tetrahydrobiopterin biosynthesis; Transcription; Transcription regulation</t>
  </si>
  <si>
    <t>Tetrahydrobiopterin biosynthesis; Transcription; Transcription regulation</t>
  </si>
  <si>
    <t>Activator; Lyase</t>
  </si>
  <si>
    <t>L-phenylalanine catabolic process {GO:0006559}; positive regulation of transcription, DNA-templated {GO:0045893}; protein heterooligomerization {GO:0051291}; protein homotetramerization {GO:0051289}; regulation of protein homodimerization activity {GO:0043496}; tetrahydrobiopterin biosynthetic process {GO:0006729}</t>
  </si>
  <si>
    <t>4-alpha-hydroxytetrahydrobiopterin dehydratase activity {GO:0008124}; identical protein binding {GO:0042802}; phenylalanine 4-monooxygenase activity {GO:0004505}; transcription coactivator activity {GO:0003713}</t>
  </si>
  <si>
    <t>Hexokinase-1</t>
  </si>
  <si>
    <t>Brain form hexokinase; Hexokinase type I (HK I)</t>
  </si>
  <si>
    <t>HXK1_HUMAN</t>
  </si>
  <si>
    <t>P19367</t>
  </si>
  <si>
    <t>E9PCK0; O43443; O43444; O75574; Q5VTC3; Q96HC8; Q9NNZ4; Q9NNZ5</t>
  </si>
  <si>
    <t>3D-structure; Acetylation; Allosteric enzyme; Alternative splicing; ATP-binding; Charcot-Marie-Tooth disease; Disease mutation; Glycolysis; Kinase; Membrane; Mitochondrion; Mitochondrion outer membrane; Neurodegeneration; Neuropathy; Nucleotide-binding; Phosphoprotein; Polymorphism; Repeat; Retinitis pigmentosa; Transferase</t>
  </si>
  <si>
    <t>Charcot-Marie-Tooth disease; Disease mutation; Neurodegeneration; Neuropathy; Retinitis pigmentosa</t>
  </si>
  <si>
    <t>canonical glycolysis {GO:0061621}; carbohydrate phosphorylation {GO:0046835}; cellular glucose homeostasis {GO:0001678}; establishment of protein localization to mitochondrion {GO:0072655}; glycolytic process {GO:0006096}; maintenance of protein location in mitochondrion {GO:0072656}; positive regulation of cytokine secretion involved in immune response {GO:0002741}; positive regulation of interleukin-1 beta secretion {GO:0050718}</t>
  </si>
  <si>
    <t>cytosol {GO:0005829}; membrane raft {GO:0045121}; mitochondrial outer membrane {GO:0005741}; mitochondrion {GO:0005739}</t>
  </si>
  <si>
    <t>ATP binding {GO:0005524}; fructokinase activity {GO:0008865}; glucokinase activity {GO:0004340}; glucose binding {GO:0005536}; hexokinase activity {GO:0004396}; identical protein binding {GO:0042802}; mannokinase activity {GO:0019158}; peptidoglycan binding {GO:0042834}</t>
  </si>
  <si>
    <t>Carbohydrate metabolism; hexose metabolism.</t>
  </si>
  <si>
    <t>Defective HK1 causes hexokinase deficiency (HK deficiency) {R-HSA-5619056}; Glycolysis {R-HSA-70171}</t>
  </si>
  <si>
    <t>Protein FAM49B</t>
  </si>
  <si>
    <t>L1</t>
  </si>
  <si>
    <t>FA49B_HUMAN</t>
  </si>
  <si>
    <t>Q9NUQ9</t>
  </si>
  <si>
    <t>Q96AZ5; Q9NW21; Q9NZE7</t>
  </si>
  <si>
    <t>Alternative splicing; Lipoprotein; Membrane; Myristate; Polymorphism</t>
  </si>
  <si>
    <t>platelet degranulation {GO:0002576}; positive regulation of interferon-gamma production {GO:0032729}; positive regulation of memory T cell activation {GO:2000568}; positive regulation of T cell activation {GO:0050870}; positive regulation of T cell mediated cytotoxicity {GO:0001916}</t>
  </si>
  <si>
    <t>cilium {GO:0005929}; extracellular exosome {GO:0070062}; extracellular region {GO:0005576}; membrane {GO:0016020}; platelet alpha granule lumen {GO:0031093}</t>
  </si>
  <si>
    <t>MHC class Ib protein binding, via antigen binding groove {GO:0023030}</t>
  </si>
  <si>
    <t>Phenazine biosynthesis-like domain-containing protein</t>
  </si>
  <si>
    <t>MAWD-binding protein (MAWDBP); Unknown protein 32 from 2D-page of liver tissue</t>
  </si>
  <si>
    <t>PBLD_HUMAN</t>
  </si>
  <si>
    <t>P30039</t>
  </si>
  <si>
    <t>A8MZJ3; C9JIM0; Q9HCC2</t>
  </si>
  <si>
    <t>MAWBP</t>
  </si>
  <si>
    <t>Alternative splicing; Isomerase; Polymorphism</t>
  </si>
  <si>
    <t>biosynthetic process {GO:0009058}; maintenance of gastrointestinal epithelium {GO:0030277}; negative regulation of epithelial cell migration {GO:0010633}; negative regulation of epithelial cell proliferation {GO:0050680}; negative regulation of epithelial to mesenchymal transition {GO:0010719}; negative regulation of pathway-restricted SMAD protein phosphorylation {GO:0060394}; negative regulation of SMAD protein signal transduction {GO:0060392}; negative regulation of transforming growth factor beta receptor signaling pathway {GO:0030512}</t>
  </si>
  <si>
    <t>cytoplasm {GO:0005737}; extracellular exosome {GO:0070062}</t>
  </si>
  <si>
    <t>identical protein binding {GO:0042802}; isomerase activity {GO:0016853}</t>
  </si>
  <si>
    <t>Inorganic pyrophosphatase</t>
  </si>
  <si>
    <t>Pyrophosphate phospho-hydrolase (PPase)</t>
  </si>
  <si>
    <t>IPYR_HUMAN</t>
  </si>
  <si>
    <t>Q15181</t>
  </si>
  <si>
    <t>Q2M348; Q5SQT7; Q6P7P4; Q9UQJ5; Q9Y5B1</t>
  </si>
  <si>
    <t>IOPPP; PP</t>
  </si>
  <si>
    <t>3D-structure; Acetylation; Cytoplasm; Hydrolase; Magnesium; Metal-binding; Phosphoprotein; Polymorphism</t>
  </si>
  <si>
    <t>diphosphate metabolic process {GO:0071344}; phosphate-containing compound metabolic process {GO:0006796}; tRNA aminoacylation for protein translation {GO:0006418}</t>
  </si>
  <si>
    <t>inorganic diphosphatase activity {GO:0004427}; magnesium ion binding {GO:0000287}</t>
  </si>
  <si>
    <t>Cytosolic tRNA aminoacylation {R-HSA-379716}; Pyrophosphate hydrolysis {R-HSA-71737}</t>
  </si>
  <si>
    <t>Glutaredoxin-3</t>
  </si>
  <si>
    <t>PKC-interacting cousin of thioredoxin (PICOT); PKC-theta-interacting protein (PKCq-interacting protein); Thioredoxin-like protein 2</t>
  </si>
  <si>
    <t>GLRX3_HUMAN</t>
  </si>
  <si>
    <t>O76003</t>
  </si>
  <si>
    <t>B3KMP7; B3KMQ5; D3DRG2; Q5JV01; Q96CE0; Q9P1B0; Q9P1B1</t>
  </si>
  <si>
    <t>PICOT TXNL2</t>
  </si>
  <si>
    <t>3D-structure; Acetylation; Cytoplasm; Iron; Iron-sulfur; Metal-binding; Phosphoprotein; Polymorphism; Repeat</t>
  </si>
  <si>
    <t>Iron; Iron-sulfur; Metal-binding</t>
  </si>
  <si>
    <t>[2Fe-2S] cluster assembly {GO:0044571}; cell redox homeostasis {GO:0045454}; cellular iron ion homeostasis {GO:0006879}; negative regulation of cardiac muscle hypertrophy {GO:0010614}; protein maturation by iron-sulfur cluster transfer {GO:0097428}; regulation of the force of heart contraction {GO:0002026}</t>
  </si>
  <si>
    <t>cell cortex {GO:0005938}; cytosol {GO:0005829}; dendrite {GO:0030425}; nucleus {GO:0005634}; Z disc {GO:0030018}</t>
  </si>
  <si>
    <t>electron transfer activity {GO:0009055}; glutathione disulfide oxidoreductase activity {GO:0015038}; identical protein binding {GO:0042802}; iron-sulfur cluster binding {GO:0051536}; metal ion binding {GO:0046872}; protein disulfide oxidoreductase activity {GO:0015035}; protein kinase C binding {GO:0005080}; RNA binding {GO:0003723}</t>
  </si>
  <si>
    <t>Iron uptake and transport {R-HSA-917937}</t>
  </si>
  <si>
    <t>Disintegrin and metalloproteinase domain-containing protein 12 (ADAM 12)</t>
  </si>
  <si>
    <t>Meltrin-alpha</t>
  </si>
  <si>
    <t>ADA12_HUMAN</t>
  </si>
  <si>
    <t>O43184</t>
  </si>
  <si>
    <t>O60470; Q5JRP0; Q5JRP1; Q6P9E3; Q6UWB0</t>
  </si>
  <si>
    <t>MLTN</t>
  </si>
  <si>
    <t>Alternative splicing; Cell adhesion; Cell membrane; Cleavage on pair of basic residues; Disulfide bond; EGF-like domain; Glycoprotein; Hydrolase; Membrane; Metal-binding; Metalloprotease; Phosphoprotein; Polymorphism; Protease; Secreted; SH3-binding; Signal; Transmembrane; Transmembrane helix; Zinc; Zymogen</t>
  </si>
  <si>
    <t>EGF-like domain; SH3-binding; Signal; Transmembrane; Transmembrane helix</t>
  </si>
  <si>
    <t>cell adhesion {GO:0007155}; extracellular matrix organization {GO:0030198}; myoblast fusion {GO:0007520}; positive regulation of angiogenesis {GO:0045766}</t>
  </si>
  <si>
    <t>extracellular region {GO:0005576}; integral component of membrane {GO:0016021}; nucleoplasm {GO:0005654}; plasma membrane {GO:0005886}</t>
  </si>
  <si>
    <t>metal ion binding {GO:0046872}; metalloendopeptidase activity {GO:0004222}; metallopeptidase activity {GO:0008237}; SH3 domain binding {GO:0017124}</t>
  </si>
  <si>
    <t>Signaling by EGFR {R-HSA-177929}; Invadopodia formation {R-HSA-8941237}</t>
  </si>
  <si>
    <t>NHL repeat-containing protein 2</t>
  </si>
  <si>
    <t>NHLC2_HUMAN</t>
  </si>
  <si>
    <t>Q8NBF2</t>
  </si>
  <si>
    <t>Q8N1H1; Q8N5A6</t>
  </si>
  <si>
    <t>3D-structure; Alternative splicing; Cytoplasm; Polymorphism; Repeat</t>
  </si>
  <si>
    <t>cell redox homeostasis {GO:0045454}; platelet degranulation {GO:0002576}</t>
  </si>
  <si>
    <t>cytosol {GO:0005829}; extracellular region {GO:0005576}; platelet alpha granule lumen {GO:0031093}</t>
  </si>
  <si>
    <t>BAG family molecular chaperone regulator 3 (BAG-3)</t>
  </si>
  <si>
    <t>Bcl-2-associated athanogene 3; Bcl-2-binding protein Bis; Docking protein CAIR-1</t>
  </si>
  <si>
    <t>BAG3_HUMAN</t>
  </si>
  <si>
    <t>O95817</t>
  </si>
  <si>
    <t>A8K5L8; Q3B763; Q9NT20; Q9P120</t>
  </si>
  <si>
    <t>BIS</t>
  </si>
  <si>
    <t>Acetylation; Apoptosis; Cardiomyopathy; Chaperone; Cytoplasm; Disease mutation; Isopeptide bond; Methylation; Myofibrillar myopathy; Nucleus; Phosphoprotein; Polymorphism; Repeat; Ubl conjugation</t>
  </si>
  <si>
    <t>aggresome assembly {GO:0070842}; autophagosome assembly {GO:0000045}; brain development {GO:0007420}; cellular response to heat {GO:0034605}; cellular response to mechanical stimulus {GO:0071260}; cellular response to unfolded protein {GO:0034620}; chaperone-mediated autophagy {GO:0061684}; chaperone-mediated protein transport {GO:0072321}; extrinsic apoptotic signaling pathway in absence of ligand {GO:0097192}; extrinsic apoptotic signaling pathway via death domain receptors {GO:0008625}; muscle cell cellular homeostasis {GO:0046716}; negative regulation of apoptotic process {GO:0043066}; negative regulation of protein targeting to mitochondrion {GO:1903215}; negative regulation of striated muscle cell apoptotic process {GO:0010664}; negative regulation of transcription from RNA polymerase II promoter in response to stress {GO:0097201}; positive regulation of aggrephagy {GO:1905337}; positive regulation of protein export from nucleus {GO:0046827}; positive regulation of protein import into nucleus {GO:0042307}; protein folding {GO:0006457}; protein stabilization {GO:0050821}; protein transport along microtubule {GO:0098840}; regulation of cellular response to heat {GO:1900034}; spinal cord development {GO:0021510}</t>
  </si>
  <si>
    <t>aggresome {GO:0016235}; chaperone complex {GO:0101031}; cytoplasm {GO:0005737}; cytosol {GO:0005829}; neuron projection {GO:0043005}; nucleus {GO:0005634}; plasma membrane {GO:0005886}; stress fiber {GO:0001725}; Z disc {GO:0030018}</t>
  </si>
  <si>
    <t>adenyl-nucleotide exchange factor activity {GO:0000774}; cadherin binding {GO:0045296}; chaperone binding {GO:0051087}; dynein intermediate chain binding {GO:0045505}; protein transporter activity {GO:0008565}; protein-containing complex binding {GO:0044877}</t>
  </si>
  <si>
    <t>6-phosphogluconate dehydrogenase, decarboxylating</t>
  </si>
  <si>
    <t>6PGD_HUMAN</t>
  </si>
  <si>
    <t>P52209</t>
  </si>
  <si>
    <t>A8K2Y9; B4DQJ8; Q9BWD8</t>
  </si>
  <si>
    <t>PGDH</t>
  </si>
  <si>
    <t>3D-structure; Acetylation; Alternative splicing; Cytoplasm; Gluconate utilization; NADP; Oxidoreductase; Pentose shunt; Phosphoprotein; Polymorphism</t>
  </si>
  <si>
    <t>Gluconate utilization; Pentose shunt</t>
  </si>
  <si>
    <t>D-gluconate catabolic process {GO:0046177}; oxidation-reduction process {GO:0055114}; pentose biosynthetic process {GO:0019322}; pentose-phosphate shunt {GO:0006098}; pentose-phosphate shunt, oxidative branch {GO:0009051}</t>
  </si>
  <si>
    <t>NADP binding {GO:0050661}; phosphogluconate dehydrogenase (decarboxylating) activity {GO:0004616}</t>
  </si>
  <si>
    <t>Carbohydrate degradation; pentose phosphate pathway; D- ribulose 5-phosphate from D-glucose 6-phosphate (oxidative stage): step 3/3.</t>
  </si>
  <si>
    <t>Serine protease HTRA1</t>
  </si>
  <si>
    <t>High-temperature requirement A serine peptidase 1; L56; Serine protease 11</t>
  </si>
  <si>
    <t>HTRA1_HUMAN</t>
  </si>
  <si>
    <t>Q92743</t>
  </si>
  <si>
    <t>D3DRE4; Q9UNS5</t>
  </si>
  <si>
    <t>HTRA; PRSS11</t>
  </si>
  <si>
    <t>3D-structure; Age-related macular degeneration; Cell membrane; Cytoplasm; Disease mutation; Disulfide bond; Growth factor binding; Hydrolase; Membrane; Polymorphism; Protease; Secreted; Serine protease; Signal</t>
  </si>
  <si>
    <t>Cell membrane; Cytoplasm; Membrane; Secreted</t>
  </si>
  <si>
    <t>Age-related macular degeneration; Disease mutation</t>
  </si>
  <si>
    <t>Growth factor binding; Hydrolase; Protease; Serine protease</t>
  </si>
  <si>
    <t>chorionic trophoblast cell differentiation {GO:0060718}; dentinogenesis {GO:0097187}; extracellular matrix disassembly {GO:0022617}; negative regulation of BMP signaling pathway {GO:0030514}; negative regulation of defense response to virus {GO:0050687}; negative regulation of transforming growth factor beta receptor signaling pathway {GO:0030512}; placenta development {GO:0001890}; positive regulation of epithelial cell proliferation {GO:0050679}; proteolysis {GO:0006508}</t>
  </si>
  <si>
    <t>collagen-containing extracellular matrix {GO:0062023}; cytosol {GO:0005829}; extracellular exosome {GO:0070062}; extracellular region {GO:0005576}; extracellular space {GO:0005615}; plasma membrane {GO:0005886}</t>
  </si>
  <si>
    <t>identical protein binding {GO:0042802}; insulin-like growth factor binding {GO:0005520}; serine-type endopeptidase activity {GO:0004252}; serine-type peptidase activity {GO:0008236}</t>
  </si>
  <si>
    <t>Annexin A11</t>
  </si>
  <si>
    <t>56 kDa autoantigen; Annexin XI; Annexin-11; Calcyclin-associated annexin 50 (CAP-50)</t>
  </si>
  <si>
    <t>ANX11_HUMAN</t>
  </si>
  <si>
    <t>P50995</t>
  </si>
  <si>
    <t>B4DVE7</t>
  </si>
  <si>
    <t>ANX11</t>
  </si>
  <si>
    <t>Acetylation; Alternative splicing; Amyotrophic lateral sclerosis; Annexin; Calcium; Calcium/phospholipid-binding; Cell cycle; Cell division; Cytoplasm; Cytoskeleton; Disease mutation; Neurodegeneration; Nucleus; Polymorphism; Repeat</t>
  </si>
  <si>
    <t>cytokinetic process {GO:0032506}; phagocytosis {GO:0006909}; response to calcium ion {GO:0051592}</t>
  </si>
  <si>
    <t>azurophil granule {GO:0042582}; collagen-containing extracellular matrix {GO:0062023}; cytoplasm {GO:0005737}; cytosol {GO:0005829}; extracellular exosome {GO:0070062}; melanosome {GO:0042470}; membrane {GO:0016020}; midbody {GO:0030496}; nuclear envelope {GO:0005635}; nucleoplasm {GO:0005654}; phagocytic vesicle {GO:0045335}; specific granule {GO:0042581}; spindle {GO:0005819}</t>
  </si>
  <si>
    <t>calcium ion binding {GO:0005509}; calcium-dependent phospholipid binding {GO:0005544}; calcium-dependent protein binding {GO:0048306}; MHC class II protein complex binding {GO:0023026}; phosphatidylethanolamine binding {GO:0008429}; RNA binding {GO:0003723}; S100 protein binding {GO:0044548}</t>
  </si>
  <si>
    <t>Glutathione S-transferase omega-1 (GSTO-1)</t>
  </si>
  <si>
    <t>Glutathione S-transferase omega 1-1 (GSTO 1-1); Glutathione-dependent dehydroascorbate reductase; Monomethylarsonic acid reductase (MMA(V) reductase); S-(Phenacyl)glutathione reductase (SPG-R)</t>
  </si>
  <si>
    <t>GSTO1_HUMAN</t>
  </si>
  <si>
    <t>P78417</t>
  </si>
  <si>
    <t>D3DRA3; F5H7H0; Q5TA03; Q7Z3T2</t>
  </si>
  <si>
    <t>GSTTLP28</t>
  </si>
  <si>
    <t>3D-structure; Acetylation; Alternative splicing; Cytoplasm; Oxidoreductase; Phosphoprotein; Polymorphism; Transferase</t>
  </si>
  <si>
    <t>cellular response to arsenic-containing substance {GO:0071243}; glutathione derivative biosynthetic process {GO:1901687}; interleukin-12-mediated signaling pathway {GO:0035722}; L-ascorbic acid metabolic process {GO:0019852}; methylation {GO:0032259}; negative regulation of ryanodine-sensitive calcium-release channel activity {GO:0060315}; oxidation-reduction process {GO:0055114}; positive regulation of ryanodine-sensitive calcium-release channel activity {GO:0060316}; positive regulation of skeletal muscle contraction by regulation of release of sequestered calcium ion {GO:0014810}; regulation of cardiac muscle contraction by regulation of the release of sequestered calcium ion {GO:0010881}; regulation of release of sequestered calcium ion into cytosol by sarcoplasmic reticulum {GO:0010880}; xenobiotic catabolic process {GO:0042178}</t>
  </si>
  <si>
    <t>glutathione dehydrogenase (ascorbate) activity {GO:0045174}; glutathione transferase activity {GO:0004364}; methylarsonate reductase activity {GO:0050610}; oxidoreductase activity {GO:0016491}</t>
  </si>
  <si>
    <t>Methylation {R-HSA-156581}; Glutathione conjugation {R-HSA-156590}; Vitamin C (ascorbate) metabolism {R-HSA-196836}; Gene and protein expression by JAK-STAT signaling after Interleukin-12 stimulation {R-HSA-8950505}</t>
  </si>
  <si>
    <t>Plasma retinol-binding protein(1-176)</t>
  </si>
  <si>
    <t>Plasma retinol-binding protein (PRBP; RBP)</t>
  </si>
  <si>
    <t>RET4_HUMAN</t>
  </si>
  <si>
    <t>P02753</t>
  </si>
  <si>
    <t>D3DR38; O43478; O43479; Q5VY24; Q8WWA3; Q9P178</t>
  </si>
  <si>
    <t>3D-structure; Disease mutation; Disulfide bond; Methylation; Microphthalmia; Retinol-binding; Secreted; Sensory transduction; Signal; Transport; Vision; Vitamin A</t>
  </si>
  <si>
    <t>Sensory transduction; Transport; Vision</t>
  </si>
  <si>
    <t>Disulfide bond; Methylation</t>
  </si>
  <si>
    <t>cardiac muscle tissue development {GO:0048738}; embryonic organ morphogenesis {GO:0048562}; embryonic retina morphogenesis in camera-type eye {GO:0060059}; embryonic skeletal system development {GO:0048706}; eye development {GO:0001654}; female genitalia morphogenesis {GO:0048807}; gluconeogenesis {GO:0006094}; glucose homeostasis {GO:0042593}; heart development {GO:0007507}; heart trabecula formation {GO:0060347}; lung development {GO:0030324}; maintenance of gastrointestinal epithelium {GO:0030277}; negative regulation of cardiac muscle cell proliferation {GO:0060044}; positive regulation of immunoglobulin secretion {GO:0051024}; positive regulation of insulin secretion {GO:0032024}; response to ethanol {GO:0045471}; response to retinoic acid {GO:0032526}; retinoid metabolic process {GO:0001523}; retinol metabolic process {GO:0042572}; retinol transport {GO:0034633}; urinary bladder development {GO:0060157}; uterus development {GO:0060065}; vagina development {GO:0060068}; visual perception {GO:0007601}</t>
  </si>
  <si>
    <t>cytosol {GO:0005829}; extracellular exosome {GO:0070062}; extracellular region {GO:0005576}; extracellular space {GO:0005615}; protein-containing complex {GO:0032991}</t>
  </si>
  <si>
    <t>protein heterodimerization activity {GO:0046982}; retinal binding {GO:0016918}; retinol binding {GO:0019841}; retinol transmembrane transporter activity {GO:0034632}</t>
  </si>
  <si>
    <t>Retinoid cycle disease events {R-HSA-2453864}; The canonical retinoid cycle in rods (twilight vision) {R-HSA-2453902}; Retinoid metabolism disease events {R-HSA-6809583}; Retinoid metabolism and transport {R-HSA-975634}</t>
  </si>
  <si>
    <t>Xaa-Pro aminopeptidase 1</t>
  </si>
  <si>
    <t>Aminoacylproline aminopeptidase; Cytosolic aminopeptidase P; Soluble aminopeptidase P (sAmp); X-Pro aminopeptidase 1; X-prolyl aminopeptidase 1, soluble</t>
  </si>
  <si>
    <t>XPP1_HUMAN</t>
  </si>
  <si>
    <t>Q9NQW7</t>
  </si>
  <si>
    <t>A8K071; G5E9Y2; G8JLB2; O15250; Q53EX6; Q8N3Q0; Q96D23</t>
  </si>
  <si>
    <t>3D-structure; Acetylation; Alternative splicing; Aminopeptidase; Cytoplasm; Hydrolase; Manganese; Metal-binding; Metalloprotease; Protease</t>
  </si>
  <si>
    <t>bradykinin catabolic process {GO:0010815}; proteolysis {GO:0006508}</t>
  </si>
  <si>
    <t>aminopeptidase activity {GO:0004177}; manganese ion binding {GO:0030145}; metalloaminopeptidase activity {GO:0070006}; protein homodimerization activity {GO:0042803}</t>
  </si>
  <si>
    <t>Vacuolar protein sorting-associated protein 26A</t>
  </si>
  <si>
    <t>Vesicle protein sorting 26A (hVPS26)</t>
  </si>
  <si>
    <t>VP26A_HUMAN</t>
  </si>
  <si>
    <t>O75436</t>
  </si>
  <si>
    <t>A8MZ56; B2RDD3; Q8TBH4; Q9H982</t>
  </si>
  <si>
    <t>VPS26</t>
  </si>
  <si>
    <t>3D-structure; Alternative splicing; Cytoplasm; Endosome; Membrane; Phosphoprotein; Protein transport; Transport</t>
  </si>
  <si>
    <t>intracellular protein transport {GO:0006886}; regulation of macroautophagy {GO:0016241}; retrograde transport, endosome to Golgi {GO:0042147}; retrograde transport, endosome to plasma membrane {GO:1990126}; Wnt signaling pathway {GO:0016055}</t>
  </si>
  <si>
    <t>cytosol {GO:0005829}; early endosome {GO:0005769}; endosome {GO:0005768}; endosome membrane {GO:0010008}; lysosome {GO:0005764}; retromer complex {GO:0030904}; retromer, cargo-selective complex {GO:0030906}; tubular endosome {GO:0097422}; vesicle {GO:0031982}</t>
  </si>
  <si>
    <t>Aspartate aminotransferase, cytoplasmic (cAspAT)</t>
  </si>
  <si>
    <t>Cysteine aminotransferase, cytoplasmic; Cysteine transaminase, cytoplasmic (cCAT); Glutamate oxaloacetate transaminase 1; Transaminase A</t>
  </si>
  <si>
    <t>AATC_HUMAN</t>
  </si>
  <si>
    <t>P17174</t>
  </si>
  <si>
    <t>B2R6R7; B7Z7E9; Q5VW80</t>
  </si>
  <si>
    <t>3D-structure; Alternative splicing; Amino-acid biosynthesis; Aminotransferase; Cytoplasm; Phosphoprotein; Polymorphism; Pyridoxal phosphate; Transferase</t>
  </si>
  <si>
    <t>Amino-acid biosynthesis</t>
  </si>
  <si>
    <t>Aminotransferase; Transferase</t>
  </si>
  <si>
    <t>2-oxoglutarate metabolic process {GO:0006103}; aspartate biosynthetic process {GO:0006532}; aspartate catabolic process {GO:0006533}; aspartate metabolic process {GO:0006531}; cellular amino acid biosynthetic process {GO:0008652}; cellular response to insulin stimulus {GO:0032869}; cellular response to mechanical stimulus {GO:0071260}; fatty acid homeostasis {GO:0055089}; gluconeogenesis {GO:0006094}; glutamate catabolic process to 2-oxoglutarate {GO:0019551}; glutamate catabolic process to aspartate {GO:0019550}; glutamate metabolic process {GO:0006536}; glycerol biosynthetic process {GO:0006114}; negative regulation of collagen biosynthetic process {GO:0032966}; negative regulation of cytosolic calcium ion concentration {GO:0051481}; negative regulation of mitochondrial depolarization {GO:0051902}; Notch signaling pathway {GO:0007219}; oxaloacetate metabolic process {GO:0006107}; positive regulation of transforming growth factor beta receptor signaling pathway {GO:0030511}; response to cadmium ion {GO:0046686}; response to carbohydrate {GO:0009743}; response to glucocorticoid {GO:0051384}; response to immobilization stress {GO:0035902}; response to transition metal nanoparticle {GO:1990267}; transdifferentiation {GO:0060290}</t>
  </si>
  <si>
    <t>axon terminus {GO:0043679}; cytoplasm {GO:0005737}; cytosol {GO:0005829}; extracellular exosome {GO:0070062}; lysosome {GO:0005764}; nucleoplasm {GO:0005654}; nucleus {GO:0005634}</t>
  </si>
  <si>
    <t>carboxylic acid binding {GO:0031406}; L-aspartate:2-oxoglutarate aminotransferase activity {GO:0004069}; L-cysteine:2-oxoglutarate aminotransferase activity {GO:0047801}; phosphatidylserine decarboxylase activity {GO:0004609}; pyridoxal phosphate binding {GO:0030170}</t>
  </si>
  <si>
    <t>Methionine salvage pathway {R-HSA-1237112}; Gluconeogenesis {R-HSA-70263}; Amino acid synthesis and interconversion (transamination) {R-HSA-70614}</t>
  </si>
  <si>
    <t>Ras-related protein Rab-4A</t>
  </si>
  <si>
    <t>RAB4A_HUMAN</t>
  </si>
  <si>
    <t>P20338</t>
  </si>
  <si>
    <t>Q5T7P7; Q9BQ44</t>
  </si>
  <si>
    <t>RAB4</t>
  </si>
  <si>
    <t>3D-structure; Cytoplasm; Endosome; GTP-binding; Lipoprotein; Membrane; Methylation; Nucleotide-binding; Phosphoprotein; Prenylation; Protein transport; Transport</t>
  </si>
  <si>
    <t>antigen processing and presentation {GO:0019882}; intracellular protein transport {GO:0006886}; phosphatidylinositol biosynthetic process {GO:0006661}; Rab protein signal transduction {GO:0032482}; regulation of endocytosis {GO:0030100}</t>
  </si>
  <si>
    <t>anchored component of synaptic vesicle membrane {GO:0098993}; cytoplasmic vesicle membrane {GO:0030659}; cytosol {GO:0005829}; early endosome membrane {GO:0031901}; endosome {GO:0005768}; extracellular exosome {GO:0070062}; insulin-responsive compartment {GO:0032593}; intracellular membrane-bounded organelle {GO:0043231}; perinuclear region of cytoplasm {GO:0048471}; plasma membrane {GO:0005886}; postsynaptic recycling endosome {GO:0098837}; recycling endosome membrane {GO:0055038}; vesicle {GO:0031982}</t>
  </si>
  <si>
    <t>ATPase activator activity {GO:0001671}; ATPase binding {GO:0051117}; GDP binding {GO:0019003}; GTP binding {GO:0005525}; GTPase activity {GO:0003924}; ionotropic glutamate receptor binding {GO:0035255}; syntaxin binding {GO:0019905}</t>
  </si>
  <si>
    <t>Translocation of SLC2A4 (GLUT4) to the plasma membrane {R-HSA-1445148}; Synthesis of PIPs at the plasma membrane {R-HSA-1660499}; TBC/RABGAPs {R-HSA-8854214}; RAB geranylgeranylation {R-HSA-8873719}; MET receptor recycling {R-HSA-8875656}</t>
  </si>
  <si>
    <t>Coatomer subunit delta</t>
  </si>
  <si>
    <t>Archain; Delta-coat protein (Delta-COP)</t>
  </si>
  <si>
    <t>COPD_HUMAN</t>
  </si>
  <si>
    <t>P48444</t>
  </si>
  <si>
    <t>B4E1X2; E9PEU4; Q52M80</t>
  </si>
  <si>
    <t>COPD</t>
  </si>
  <si>
    <t>Acetylation; Alternative splicing; Cytoplasm; Cytoplasmic vesicle; Dwarfism; ER-Golgi transport; Golgi apparatus; Membrane; Phosphoprotein; Polymorphism; Protein transport; Transport</t>
  </si>
  <si>
    <t>adult locomotory behavior {GO:0008344}; cerebellar Purkinje cell layer maturation {GO:0021691}; endoplasmic reticulum to Golgi vesicle-mediated transport {GO:0006888}; Golgi localization {GO:0051645}; intracellular protein transport {GO:0006886}; pigmentation {GO:0043473}; retrograde vesicle-mediated transport, Golgi to endoplasmic reticulum {GO:0006890}</t>
  </si>
  <si>
    <t>COPI vesicle coat {GO:0030126}; COPI-coated vesicle {GO:0030137}; cytosol {GO:0005829}; endoplasmic reticulum membrane {GO:0005789}; Golgi membrane {GO:0000139}; membrane {GO:0016020}; transport vesicle {GO:0030133}</t>
  </si>
  <si>
    <t>Lysosomal acid lipase/cholesteryl ester hydrolase (Acid cholesteryl ester hydrolase; LAL)</t>
  </si>
  <si>
    <t>Cholesteryl esterase; Lipase A; Sterol esterase</t>
  </si>
  <si>
    <t>LICH_HUMAN</t>
  </si>
  <si>
    <t>P38571</t>
  </si>
  <si>
    <t>B2RBH5; D3DR29; Q16529; Q53H21; Q5T074; Q5T771; Q96EJ0</t>
  </si>
  <si>
    <t>Alternative splicing; Disease mutation; Glycoprotein; Hydrolase; Lipid degradation; Lipid metabolism; Lysosome; Polymorphism; Signal</t>
  </si>
  <si>
    <t>cell morphogenesis {GO:0000902}; cell population proliferation {GO:0008283}; cellular lipid metabolic process {GO:0044255}; cytokine production {GO:0001816}; homeostasis of number of cells within a tissue {GO:0048873}; inflammatory response {GO:0006954}; lipid catabolic process {GO:0016042}; low-density lipoprotein particle clearance {GO:0034383}; lung development {GO:0030324}; sterol metabolic process {GO:0016125}; tissue remodeling {GO:0048771}</t>
  </si>
  <si>
    <t>fibrillar center {GO:0001650}; intracellular membrane-bounded organelle {GO:0043231}; lysosomal lumen {GO:0043202}; lysosome {GO:0005764}</t>
  </si>
  <si>
    <t>lipase activity {GO:0016298}; sterol esterase activity {GO:0004771}</t>
  </si>
  <si>
    <t>LDL clearance {R-HSA-8964038}</t>
  </si>
  <si>
    <t>2-aminoethanethiol dioxygenase</t>
  </si>
  <si>
    <t>Cysteamine dioxygenase</t>
  </si>
  <si>
    <t>AEDO_HUMAN</t>
  </si>
  <si>
    <t>Q96SZ5</t>
  </si>
  <si>
    <t>B1AL29</t>
  </si>
  <si>
    <t>C10orf22</t>
  </si>
  <si>
    <t>Dioxygenase; Iron; Metal-binding; Oxidoreductase; Polymorphism</t>
  </si>
  <si>
    <t>sulfur amino acid catabolic process {GO:0000098}</t>
  </si>
  <si>
    <t>cysteamine dioxygenase activity {GO:0047800}; metal ion binding {GO:0046872}</t>
  </si>
  <si>
    <t>Deleted in malignant brain tumors 1 protein</t>
  </si>
  <si>
    <t>Glycoprotein 340 (Gp-340); Hensin; Salivary agglutinin (SAG); Surfactant pulmonary-associated D-binding protein</t>
  </si>
  <si>
    <t>DMBT1_HUMAN</t>
  </si>
  <si>
    <t>Q9UGM3</t>
  </si>
  <si>
    <t>A6NDG4; A6NDJ5; A8E4R5; B1ARE7; B1ARE8; B1ARE9; B1ARF0; B7Z8Y2; F8WEF7; Q59EX0; Q5JR26; Q6MZN4; Q96DU4; Q9UGM2; Q9UJ57; Q9UKJ4; Q9Y211; Q9Y4V9</t>
  </si>
  <si>
    <t>Alternative splicing; Antiviral defense; Developmental protein; Differentiation; Disulfide bond; Glycoprotein; Host-virus interaction; Polymorphism; Protein transport; Repeat; Secreted; Signal; Transport; Tumor suppressor</t>
  </si>
  <si>
    <t>Antiviral defense; Differentiation; Host-virus interaction; Protein transport; Transport</t>
  </si>
  <si>
    <t>antimicrobial humoral immune response mediated by antimicrobial peptide {GO:0061844}; cellular protein metabolic process {GO:0044267}; defense response to Gram-negative bacterium {GO:0050829}; defense response to Gram-positive bacterium {GO:0050830}; defense response to virus {GO:0051607}; epithelial cell differentiation {GO:0030855}; induction of bacterial agglutination {GO:0043152}; innate immune response {GO:0045087}; multicellular organism development {GO:0007275}; protein transport {GO:0015031}; receptor-mediated endocytosis {GO:0006898}; viral process {GO:0016032}</t>
  </si>
  <si>
    <t>cytoplasm {GO:0005737}; external side of plasma membrane {GO:0009897}; extracellular exosome {GO:0070062}; extracellular matrix {GO:0031012}; extracellular region {GO:0005576}; extracellular space {GO:0005615}; extrinsic component of membrane {GO:0019898}; phagocytic vesicle membrane {GO:0030670}; zymogen granule membrane {GO:0042589}</t>
  </si>
  <si>
    <t>calcium-dependent protein binding {GO:0048306}; DNA binding {GO:0003677}; heparan sulfate binding {GO:1904399}; lipopolysaccharide binding {GO:0001530}; lipoteichoic acid binding {GO:0070891}; pattern recognition receptor activity {GO:0038187}; scavenger receptor activity {GO:0005044}; signaling pattern recognition receptor activity {GO:0008329}; zymogen binding {GO:0035375}</t>
  </si>
  <si>
    <t>Proline-rich acidic protein 1</t>
  </si>
  <si>
    <t>Epididymis tissue protein Li 178; Uterine-specific proline-rich acidic protein</t>
  </si>
  <si>
    <t>PRAP1_HUMAN</t>
  </si>
  <si>
    <t>Q96NZ9</t>
  </si>
  <si>
    <t>B7ZL57; B7ZL58; E9KL31; Q5VWY4; Q7Z4X5; Q8IWR3; Q8NCS2</t>
  </si>
  <si>
    <t>UPA</t>
  </si>
  <si>
    <t>Alternative splicing; Polymorphism; Secreted; Signal</t>
  </si>
  <si>
    <t>Heterogeneous nuclear ribonucleoprotein H3 (hnRNP H3)</t>
  </si>
  <si>
    <t>Heterogeneous nuclear ribonucleoprotein 2H9 (hnRNP 2H9)</t>
  </si>
  <si>
    <t>HNRH3_HUMAN</t>
  </si>
  <si>
    <t>P31942</t>
  </si>
  <si>
    <t>A8K682; B3KRE1; Q9BSX1; Q9NP53; Q9NP96; Q9NPA7; Q9NPI4; Q9UFU4; Q9Y4J5</t>
  </si>
  <si>
    <t>HNRPH3</t>
  </si>
  <si>
    <t>Acetylation; Alternative splicing; Isopeptide bond; Methylation; mRNA processing; Nucleus; Phosphoprotein; Polymorphism; Repeat; Ribonucleoprotein; RNA-binding; Ubl conjugation</t>
  </si>
  <si>
    <t>mRNA processing</t>
  </si>
  <si>
    <t>epithelial cell differentiation {GO:0030855}; mRNA splicing, via spliceosome {GO:0000398}; RNA processing {GO:0006396}; RNA splicing {GO:0008380}</t>
  </si>
  <si>
    <t>nucleoplasm {GO:0005654}; nucleus {GO:0005634}; spliceosomal complex {GO:0005681}</t>
  </si>
  <si>
    <t>Aflatoxin B1 aldehyde reductase member 4</t>
  </si>
  <si>
    <t>AFB1 aldehyde reductase 3 (AFB1-AR 3); Aldoketoreductase 7-like</t>
  </si>
  <si>
    <t>ARK74_HUMAN</t>
  </si>
  <si>
    <t>Q8NHP1</t>
  </si>
  <si>
    <t>Q5U614</t>
  </si>
  <si>
    <t>AFAR3; AKR7A4</t>
  </si>
  <si>
    <t>Alternative splicing; NADP; Oxidoreductase; Phosphoprotein; Polymorphism</t>
  </si>
  <si>
    <t>xenobiotic metabolic process {GO:0006805}</t>
  </si>
  <si>
    <t>Aflatoxin activation and detoxification {R-HSA-5423646}</t>
  </si>
  <si>
    <t>Actin-binding LIM protein 1 (abLIM-1)</t>
  </si>
  <si>
    <t>Actin-binding LIM protein family member 1; Actin-binding double zinc finger protein; LIMAB1; Limatin</t>
  </si>
  <si>
    <t>ABLM1_HUMAN</t>
  </si>
  <si>
    <t>O14639</t>
  </si>
  <si>
    <t>A6NI16; A6NJ06; A8MXA9; B3KVH2; Q15039; Q5JVV1; Q5JVV2; Q5T6N2; Q5T6N3; Q5T6N5; Q68CQ9; Q9BUP1</t>
  </si>
  <si>
    <t>ABLIM; KIAA0059; LIMAB1</t>
  </si>
  <si>
    <t>Actin-binding; Alternative splicing; Coiled coil; Cytoplasm; Cytoskeleton; Isopeptide bond; LIM domain; Metal-binding; Phosphoprotein; Polymorphism; Repeat; Ubl conjugation; Zinc</t>
  </si>
  <si>
    <t>Coiled coil; LIM domain; Repeat</t>
  </si>
  <si>
    <t>animal organ morphogenesis {GO:0009887}; cilium assembly {GO:0060271}; cytoskeleton organization {GO:0007010}; lamellipodium assembly {GO:0030032}; visual perception {GO:0007601}</t>
  </si>
  <si>
    <t>actin cytoskeleton {GO:0015629}; cytoplasm {GO:0005737}; lamellipodium {GO:0030027}; stress fiber {GO:0001725}</t>
  </si>
  <si>
    <t>actin binding {GO:0003779}; actin filament binding {GO:0051015}; metal ion binding {GO:0046872}</t>
  </si>
  <si>
    <t>DCC mediated attractive signaling {R-HSA-418885}</t>
  </si>
  <si>
    <t>Disintegrin and metalloproteinase domain-containing protein 8 (ADAM 8)</t>
  </si>
  <si>
    <t>Cell surface antigen MS2; CD_antigen=CD156a</t>
  </si>
  <si>
    <t>ADAM8_HUMAN</t>
  </si>
  <si>
    <t>P78325</t>
  </si>
  <si>
    <t>B4DVM6; H0YL36; H0YLR0; H0YN39</t>
  </si>
  <si>
    <t>MS2</t>
  </si>
  <si>
    <t>3D-structure; Alternative splicing; Disulfide bond; EGF-like domain; Glycoprotein; Hydrolase; Membrane; Metal-binding; Metalloprotease; Polymorphism; Protease; Signal; Transmembrane; Transmembrane helix; Zinc</t>
  </si>
  <si>
    <t>angiogenesis {GO:0001525}; cell morphogenesis {GO:0000902}; cell-cell adhesion {GO:0098609}; cellular response to hypoxia {GO:0071456}; extracellular matrix disassembly {GO:0022617}; inflammatory response {GO:0006954}; leukocyte migration involved in inflammatory response {GO:0002523}; lymphocyte chemotaxis {GO:0048247}; negative regulation of neuron apoptotic process {GO:0043524}; neutrophil degranulation {GO:0043312}; positive regulation of acute inflammatory response {GO:0002675}; positive regulation of bone resorption {GO:0045780}; positive regulation of cell adhesion {GO:0045785}; positive regulation of eosinophil migration {GO:2000418}; positive regulation of fibronectin-dependent thymocyte migration {GO:2000415}; positive regulation of innate immune response {GO:0045089}; positive regulation of MAP kinase activity {GO:0043406}; positive regulation of membrane protein ectodomain proteolysis {GO:0051044}; positive regulation of neutrophil extravasation {GO:2000391}; positive regulation of NF-kappaB transcription factor activity {GO:0051092}; positive regulation of protein kinase B signaling {GO:0051897}; positive regulation of protein processing {GO:0010954}; positive regulation of protein secretion {GO:0050714}; positive regulation of T cell differentiation in thymus {GO:0033089}; positive regulation of thymocyte apoptotic process {GO:0070245}; positive regulation of tumor necrosis factor (ligand) superfamily member 11 production {GO:2000309}; regulation of cell-cell adhesion {GO:0022407}</t>
  </si>
  <si>
    <t>alpha9-beta1 integrin-ADAM8 complex {GO:0071133}; cell surface {GO:0009986}; cytoplasm {GO:0005737}; dense core granule membrane {GO:0032127}; ficolin-1-rich granule membrane {GO:0101003}; integral component of plasma membrane {GO:0005887}; phagolysosome {GO:0032010}; plasma membrane {GO:0005886}; podosome {GO:0002102}; specific granule {GO:0042581}; specific granule membrane {GO:0035579}; tertiary granule {GO:0070820}; tertiary granule membrane {GO:0070821}</t>
  </si>
  <si>
    <t>calcium ion binding {GO:0005509}; cell adhesion molecule binding {GO:0050839}; metalloendopeptidase activity {GO:0004222}; metallopeptidase activity {GO:0008237}; protein self-association {GO:0043621}; serine-type endopeptidase activity {GO:0004252}; zinc ion binding {GO:0008270}</t>
  </si>
  <si>
    <t>Degradation of the extracellular matrix {R-HSA-1474228}; Neutrophil degranulation {R-HSA-6798695}</t>
  </si>
  <si>
    <t>Enoyl-CoA hydratase, mitochondrial</t>
  </si>
  <si>
    <t>Enoyl-CoA hydratase 1; Short-chain enoyl-CoA hydratase (SCEH)</t>
  </si>
  <si>
    <t>ECHM_HUMAN</t>
  </si>
  <si>
    <t>P30084</t>
  </si>
  <si>
    <t>O00739; Q5VWY1; Q96H54</t>
  </si>
  <si>
    <t>3D-structure; Acetylation; Disease mutation; Fatty acid metabolism; Lipid metabolism; Lyase; Mitochondrion; Neurodegeneration; Phosphoprotein; Polymorphism; Transit peptide</t>
  </si>
  <si>
    <t>fatty acid beta-oxidation {GO:0006635}</t>
  </si>
  <si>
    <t>enoyl-CoA hydratase activity {GO:0004300}</t>
  </si>
  <si>
    <t>Beta oxidation of lauroyl-CoA to decanoyl-CoA-CoA {R-HSA-77310}; Beta oxidation of decanoyl-CoA to octanoyl-CoA-CoA {R-HSA-77346}; Beta oxidation of octanoyl-CoA to hexanoyl-CoA {R-HSA-77348}; Beta oxidation of hexanoyl-CoA to butanoyl-CoA {R-HSA-77350}; Beta oxidation of butanoyl-CoA to acetyl-CoA {R-HSA-77352}</t>
  </si>
  <si>
    <t>Gamma-synuclein</t>
  </si>
  <si>
    <t>Breast cancer-specific gene 1 protein; Persyn; Synoretin (SR)</t>
  </si>
  <si>
    <t>SYUG_HUMAN</t>
  </si>
  <si>
    <t>O76070</t>
  </si>
  <si>
    <t>O15104; Q96P61</t>
  </si>
  <si>
    <t>BCSG1; PERSYN; PRSN</t>
  </si>
  <si>
    <t>Cytoplasm; Cytoskeleton; Phosphoprotein; Polymorphism; Repeat</t>
  </si>
  <si>
    <t>adult locomotory behavior {GO:0008344}; chemical synaptic transmission {GO:0007268}; protein secretion {GO:0009306}; regulation of dopamine secretion {GO:0014059}; regulation of neurotransmitter secretion {GO:0046928}; synapse organization {GO:0050808}</t>
  </si>
  <si>
    <t>axon {GO:0030424}; cytoplasm {GO:0005737}; extracellular exosome {GO:0070062}; microtubule organizing center {GO:0005815}; neuronal cell body {GO:0043025}; perinuclear region of cytoplasm {GO:0048471}; spindle {GO:0005819}</t>
  </si>
  <si>
    <t>Adipogenesis regulatory factor</t>
  </si>
  <si>
    <t>Adipogenesis factor rich in obesity; Adipose most abundant gene transcript 2 protein; Adipose-specific protein 2 (apM-2)</t>
  </si>
  <si>
    <t>ADIRF_HUMAN</t>
  </si>
  <si>
    <t>Q15847</t>
  </si>
  <si>
    <t>AFRO; APM2; C10orf116</t>
  </si>
  <si>
    <t>Differentiation; Nucleus; Transcription; Transcription regulation</t>
  </si>
  <si>
    <t>Differentiation; Transcription; Transcription regulation</t>
  </si>
  <si>
    <t>cell differentiation {GO:0030154}; cellular response to cisplatin {GO:0072719}; cellular response to radiation {GO:0071478}; positive regulation of fat cell differentiation {GO:0045600}; positive regulation of transcription by RNA polymerase II {GO:0045944}; regulation of response to drug {GO:2001023}</t>
  </si>
  <si>
    <t>Transcriptional regulation of white adipocyte differentiation {R-HSA-381340}</t>
  </si>
  <si>
    <t>Pulmonary surfactant-associated protein D (PSP-D; SP-D)</t>
  </si>
  <si>
    <t>Collectin-7; Lung surfactant protein D</t>
  </si>
  <si>
    <t>SFTPD_HUMAN</t>
  </si>
  <si>
    <t>P35247</t>
  </si>
  <si>
    <t>Q5T0M3; Q6FH08; Q86YK9; Q8TCD8; Q9UCJ2; Q9UCJ3</t>
  </si>
  <si>
    <t>COLEC7; PSPD; SFTP4</t>
  </si>
  <si>
    <t>3D-structure; Calcium; Coiled coil; Collagen; Disulfide bond; Extracellular matrix; Gaseous exchange; Glycoprotein; Hydroxylation; Immunity; Innate immunity; Lectin; Polymorphism; Repeat; S-nitrosylation; Secreted; Signal; Surface film</t>
  </si>
  <si>
    <t>Gaseous exchange; Immunity; Innate immunity</t>
  </si>
  <si>
    <t>Extracellular matrix; Secreted; Surface film</t>
  </si>
  <si>
    <t>Coiled coil; Collagen; Repeat; Signal</t>
  </si>
  <si>
    <t>Disulfide bond; Glycoprotein; Hydroxylation; S-nitrosylation</t>
  </si>
  <si>
    <t>cellular protein metabolic process {GO:0044267}; defense response to bacterium {GO:0042742}; developmental process {GO:0032502}; induction of bacterial agglutination {GO:0043152}; innate immune response {GO:0045087}; lung alveolus development {GO:0048286}; macrophage chemotaxis {GO:0048246}; negative regulation by host of symbiont molecular function {GO:0052405}; negative regulation of interleukin-2 biosynthetic process {GO:0045085}; negative regulation of T cell proliferation {GO:0042130}; positive regulation of phagocytosis {GO:0050766}; reactive oxygen species metabolic process {GO:0072593}; receptor-mediated endocytosis {GO:0006898}; regulation of adhesion of symbiont to host epithelial cell {GO:1905226}; regulation of cytokine production {GO:0001817}; regulation of immune response {GO:0050776}; respiratory gaseous exchange {GO:0007585}; surfactant homeostasis {GO:0043129}; toll-like receptor signaling pathway {GO:0002224}</t>
  </si>
  <si>
    <t>clathrin-coated endocytic vesicle {GO:0045334}; collagen trimer {GO:0005581}; endocytic vesicle {GO:0030139}; endoplasmic reticulum membrane {GO:0005789}; extracellular region {GO:0005576}; extracellular space {GO:0005615}; lysosome {GO:0005764}; multivesicular body {GO:0005771}; rough endoplasmic reticulum {GO:0005791}</t>
  </si>
  <si>
    <t>carbohydrate binding {GO:0030246}; identical protein binding {GO:0042802}; lipopolysaccharide binding {GO:0001530}; monosaccharide binding {GO:0048029}</t>
  </si>
  <si>
    <t>Toll Like Receptor 4 (TLR4) Cascade {R-HSA-166016}; Toll Like Receptor TLR1:TLR2 Cascade {R-HSA-168179}; Immunoregulatory interactions between a Lymphoid and a non-Lymphoid cell {R-HSA-198933}; Signal regulatory protein family interactions {R-HSA-391160}; Surfactant metabolism {R-HSA-5683826}; Regulation of TLR by endogenous ligand {R-HSA-5686938}; Defective CSF2RB causes pulmonary surfactant metabolism dysfunction 5 (SMDP5) {R-HSA-5688849}; Defective CSF2RA causes pulmonary surfactant metabolism dysfunction 4 (SMDP4) {R-HSA-5688890}</t>
  </si>
  <si>
    <t>Actin, alpha skeletal muscle, intermediate form</t>
  </si>
  <si>
    <t>Alpha-actin-1</t>
  </si>
  <si>
    <t>ACTS_HUMAN</t>
  </si>
  <si>
    <t>P68133</t>
  </si>
  <si>
    <t>P02568; P99020; Q5T8M9</t>
  </si>
  <si>
    <t>ACTA</t>
  </si>
  <si>
    <t>Acetylation; ATP-binding; Cytoplasm; Cytoskeleton; Disease mutation; Isopeptide bond; Methylation; Muscle protein; Nemaline myopathy; Nucleotide-binding; Oxidation</t>
  </si>
  <si>
    <t>Acetylation; Isopeptide bond; Methylation; Oxidation</t>
  </si>
  <si>
    <t>cellular response to organonitrogen compound {GO:0071417}; mesenchyme migration {GO:0090131}; muscle contraction {GO:0006936}; muscle filament sliding {GO:0030049}; positive regulation of gene expression {GO:0010628}; response to extracellular stimulus {GO:0009991}; response to lithium ion {GO:0010226}; response to mechanical stimulus {GO:0009612}; response to steroid hormone {GO:0048545}; skeletal muscle fiber adaptation {GO:0043503}; skeletal muscle fiber development {GO:0048741}; skeletal muscle thin filament assembly {GO:0030240}</t>
  </si>
  <si>
    <t>actin cytoskeleton {GO:0015629}; actin filament {GO:0005884}; blood microparticle {GO:0072562}; cell body {GO:0044297}; cytosol {GO:0005829}; extracellular exosome {GO:0070062}; extracellular space {GO:0005615}; filopodium {GO:0030175}; lamellipodium {GO:0030027}; sarcomere {GO:0030017}; stress fiber {GO:0001725}; striated muscle thin filament {GO:0005865}</t>
  </si>
  <si>
    <t>ADP binding {GO:0043531}; ATP binding {GO:0005524}; myosin binding {GO:0017022}; structural constituent of cytoskeleton {GO:0005200}</t>
  </si>
  <si>
    <t>Thioredoxin-dependent peroxide reductase, mitochondrial</t>
  </si>
  <si>
    <t>Antioxidant protein 1 (AOP-1); HBC189; Peroxiredoxin III (Prx-III); Peroxiredoxin-3; Protein MER5 homolog</t>
  </si>
  <si>
    <t>PRDX3_HUMAN</t>
  </si>
  <si>
    <t>P30048</t>
  </si>
  <si>
    <t>B2R7Z0; D3DRC9; E9PH29; P35690; Q0D2H1; Q13776; Q5T5V2; Q96HK4</t>
  </si>
  <si>
    <t>AOP1</t>
  </si>
  <si>
    <t>3D-structure; Acetylation; Alternative splicing; Antioxidant; Cytoplasm; Disulfide bond; Endosome; Mitochondrion; Oxidoreductase; Peroxidase; Phosphoprotein; Polymorphism; Redox-active center; Transit peptide</t>
  </si>
  <si>
    <t>Cytoplasm; Endosome; Mitochondrion</t>
  </si>
  <si>
    <t>cell redox homeostasis {GO:0045454}; cellular response to oxidative stress {GO:0034599}; cellular response to reactive oxygen species {GO:0034614}; hydrogen peroxide catabolic process {GO:0042744}; maternal placenta development {GO:0001893}; mitochondrion organization {GO:0007005}; myeloid cell differentiation {GO:0030099}; negative regulation of apoptotic process {GO:0043066}; negative regulation of kinase activity {GO:0033673}; peptidyl-cysteine oxidation {GO:0018171}; positive regulation of cell population proliferation {GO:0008284}; positive regulation of NF-kappaB transcription factor activity {GO:0051092}; regulation of mitochondrial membrane potential {GO:0051881}; response to hydrogen peroxide {GO:0042542}; response to lipopolysaccharide {GO:0032496}; response to oxidative stress {GO:0006979}</t>
  </si>
  <si>
    <t>cytoplasm {GO:0005737}; cytosol {GO:0005829}; early endosome {GO:0005769}; mitochondrial matrix {GO:0005759}; mitochondrion {GO:0005739}; protein-containing complex {GO:0032991}</t>
  </si>
  <si>
    <t>alkyl hydroperoxide reductase activity {GO:0008785}; cysteine-type endopeptidase inhibitor activity involved in apoptotic process {GO:0043027}; identical protein binding {GO:0042802}; kinase binding {GO:0019900}; protein C-terminus binding {GO:0008022}; protein kinase binding {GO:0019901}; thioredoxin peroxidase activity {GO:0008379}</t>
  </si>
  <si>
    <t>Phospholysine phosphohistidine inorganic pyrophosphate phosphatase (hLHPP)</t>
  </si>
  <si>
    <t>LHPP_HUMAN</t>
  </si>
  <si>
    <t>Q9H008</t>
  </si>
  <si>
    <t>B3KP20; Q2TBE9; Q5VUV9; Q5VUW0</t>
  </si>
  <si>
    <t>3D-structure; Alternative splicing; Cytoplasm; Hydrolase; Magnesium; Metal-binding; Nucleus; Polymorphism</t>
  </si>
  <si>
    <t>dephosphorylation {GO:0016311}; phosphate-containing compound metabolic process {GO:0006796}; protein dephosphorylation {GO:0006470}; purine ribonucleoside monophosphate biosynthetic process {GO:0009168}</t>
  </si>
  <si>
    <t>cytosol {GO:0005829}; nuclear speck {GO:0016607}; nucleus {GO:0005634}</t>
  </si>
  <si>
    <t>inorganic diphosphatase activity {GO:0004427}; magnesium ion binding {GO:0000287}; phosphatase activity {GO:0016791}; protein histidine phosphatase activity {GO:0101006}; protein homodimerization activity {GO:0042803}</t>
  </si>
  <si>
    <t>Angiotensin 1-4</t>
  </si>
  <si>
    <t>Serpin A8; Angiotensin 1-10; Angiotensin I (Ang I); Angiotensin 1-8; Angiotensin II (Ang II); Angiotensin 2-8; Angiotensin III (Ang III); Des-Asp[1]-angiotensin II; Angiotensin 3-8; Angiotensin IV (Ang IV)</t>
  </si>
  <si>
    <t>ANGT_HUMAN</t>
  </si>
  <si>
    <t>P01019</t>
  </si>
  <si>
    <t>Q16358; Q16359; Q96F91</t>
  </si>
  <si>
    <t>SERPINA8</t>
  </si>
  <si>
    <t>3D-structure; Disease mutation; Disulfide bond; Glycoprotein; Polymorphism; Secreted; Signal; Vasoactive; Vasoconstrictor</t>
  </si>
  <si>
    <t>Vasoactive; Vasoconstrictor</t>
  </si>
  <si>
    <t>activation of phospholipase C activity {GO:0007202}; aging {GO:0007568}; angiotensin-activated signaling pathway {GO:0038166}; angiotensin-mediated drinking behavior {GO:0003051}; artery smooth muscle contraction {GO:0014824}; associative learning {GO:0008306}; blood vessel remodeling {GO:0001974}; cell growth involved in cardiac muscle cell development {GO:0061049}; cell surface receptor signaling pathway {GO:0007166}; cell-cell signaling {GO:0007267}; cellular response to angiotensin {GO:1904385}; cellular response to mechanical stimulus {GO:0071260}; cellular sodium ion homeostasis {GO:0006883}; cytokine secretion {GO:0050663}; ERK1 and ERK2 cascade {GO:0070371}; female pregnancy {GO:0007565}; fibroblast proliferation {GO:0048144}; G protein-coupled receptor signaling pathway {GO:0007186}; G protein-coupled receptor signaling pathway coupled to cGMP nucleotide second messenger {GO:0007199}; kidney development {GO:0001822}; low-density lipoprotein particle remodeling {GO:0034374}; negative regulation of angiogenesis {GO:0016525}; negative regulation of cell growth {GO:0030308}; negative regulation of endopeptidase activity {GO:0010951}; negative regulation of gene expression {GO:0010629}; negative regulation of neurotrophin TRK receptor signaling pathway {GO:0051387}; negative regulation of sodium ion transmembrane transporter activity {GO:2000650}; negative regulation of tissue remodeling {GO:0034104}; nitric oxide mediated signal transduction {GO:0007263}; operant conditioning {GO:0035106}; phospholipase C-activating G protein-coupled receptor signaling pathway {GO:0007200}; positive regulation of activation of Janus kinase activity {GO:0010536}; positive regulation of blood pressure {GO:0045777}; positive regulation of branching involved in ureteric bud morphogenesis {GO:0090190}; positive regulation of cardiac muscle cell apoptotic process {GO:0010666}; positive regulation of cardiac muscle hypertrophy {GO:0010613}; positive regulation of cellular protein metabolic process {GO:0032270}; positive regulation of cholesterol esterification {GO:0010873}; positive regulation of cytokine production {GO:0001819}; positive regulation of cytosolic calcium ion concentration {GO:0007204}; positive regulation of endothelial cell migration {GO:0010595}; positive regulation of epidermal growth factor receptor signaling pathway {GO:0045742}; positive regulation of extracellular matrix constituent secretion {GO:0003331}; positive regulation of extrinsic apoptotic signaling pathway {GO:2001238}; positive regulation of fibroblast proliferation {GO:0048146}; positive regulation of gap junction assembly {GO:1903598}; positive regulation of inflammatory response {GO:0050729}; positive regulation of insulin receptor signaling pathway {GO:0046628}; positive regulation of L-arginine import across plasma membrane {GO:1905589}; positive regulation of L-lysine import across plasma membrane {GO:1905010}; positive regulation of macrophage derived foam cell differentiation {GO:0010744}; positive regulation of membrane hyperpolarization {GO:1902632}; positive regulation of NAD(P)H oxidase activity {GO:0033864}; positive regulation of neuron projection development {GO:0010976}; positive regulation of NF-kappaB transcription factor activity {GO:0051092}; positive regulation of nitric oxide biosynthetic process {GO:0045429}; positive regulation of peptidyl-tyrosine phosphorylation {GO:0050731}; positive regulation of phosphatidylinositol 3-kinase signaling {GO:0014068}; positive regulation of protein tyrosine kinase activity {GO:0061098}; positive regulation of reactive oxygen species metabolic process {GO:2000379}; positive regulation of renal sodium excretion {GO:0035815}; positive regulation of superoxide anion generation {GO:0032930}; positive regulation of transcription, DNA-templated {GO:0045893}; positive regulation of vascular associated smooth muscle cell migration {GO:1904754}; positive regulation of vascular smooth muscle cell proliferation {GO:1904707}; protein import into nucleus {GO:0006606}; regulation of blood pressure {GO:0008217}; regulation of blood vessel diameter by renin-angiotensin {GO:0002034}; regulation of blood volume by renin-angiotensin {GO:0002016}; regulation of calcium ion transport {GO:0051924}; regulation of cardiac conduction {GO:1903779}; regulation of cell growth {GO:0001558}; regulation of cell population proliferation {GO:0042127}; regulation of extracellular matrix assembly {GO:1901201}; regulation of heart rate {GO:0002027}; regulation of lipid metabolic process {GO:0019216}; regulation of long-term neuronal synaptic plasticity {GO:0048169}; regulation of norepinephrine secretion {GO:0014061}; regulation of renal output by angiotensin {GO:0002019}; regulation of renal sodium excretion {GO:0035813}; regulation of transmission of nerve impulse {GO:0051969}; regulation of vasoconstriction {GO:0019229}; renal system process {GO:0003014}; renin-angiotensin regulation of aldosterone production {GO:0002018}; response to estradiol {GO:0032355}; response to muscle activity involved in regulation of muscle adaptation {GO:0014873}; smooth muscle cell proliferation {GO:0048659}; stress-activated MAPK cascade {GO:0051403}; uterine smooth muscle contraction {GO:0070471}; vasodilation {GO:0042311}</t>
  </si>
  <si>
    <t>blood microparticle {GO:0072562}; collagen-containing extracellular matrix {GO:0062023}; cytosol {GO:0005829}; extracellular exosome {GO:0070062}; extracellular region {GO:0005576}; extracellular space {GO:0005615}</t>
  </si>
  <si>
    <t>growth factor activity {GO:0008083}; hormone activity {GO:0005179}; receptor ligand activity {GO:0048018}; serine-type endopeptidase inhibitor activity {GO:0004867}; sodium channel regulator activity {GO:0017080}; superoxide-generating NADPH oxidase activator activity {GO:0016176}; type 1 angiotensin receptor binding {GO:0031702}; type 2 angiotensin receptor binding {GO:0031703}</t>
  </si>
  <si>
    <t>PPARA activates gene expression {R-HSA-1989781}; Metabolism of Angiotensinogen to Angiotensins {R-HSA-2022377}; Peptide ligand-binding receptors {R-HSA-375276}; G alpha (q) signalling events {R-HSA-416476}; G alpha (i) signalling events {R-HSA-418594}</t>
  </si>
  <si>
    <t>Urokinase-type plasminogen activator chain B (U-plasminogen activator; uPA)</t>
  </si>
  <si>
    <t>UROK_HUMAN</t>
  </si>
  <si>
    <t>P00749</t>
  </si>
  <si>
    <t>B4DPZ2; Q15844; Q16618; Q53XS3; Q5SWW9; Q969W6</t>
  </si>
  <si>
    <t>3D-structure; Alternative splicing; Blood coagulation; Disulfide bond; EGF-like domain; Fibrinolysis; Glycoprotein; Hemostasis; Hydrolase; Kringle; Pharmaceutical; Phosphoprotein; Plasminogen activation; Polymorphism; Protease; Secreted; Serine protease; Signal; Zymogen</t>
  </si>
  <si>
    <t>Blood coagulation; Fibrinolysis; Hemostasis; Plasminogen activation</t>
  </si>
  <si>
    <t>EGF-like domain; Kringle; Signal</t>
  </si>
  <si>
    <t>Disulfide bond; Glycoprotein; Phosphoprotein; Zymogen</t>
  </si>
  <si>
    <t>blood coagulation {GO:0007596}; chemotaxis {GO:0006935}; fibrinolysis {GO:0042730}; neutrophil degranulation {GO:0043312}; plasminogen activation {GO:0031639}; positive regulation of cell migration {GO:0030335}; proteolysis {GO:0006508}; regulation of cell adhesion mediated by integrin {GO:0033628}; regulation of cell population proliferation {GO:0042127}; regulation of signaling receptor activity {GO:0010469}; regulation of smooth muscle cell migration {GO:0014910}; regulation of smooth muscle cell-matrix adhesion {GO:2000097}; regulation of wound healing {GO:0061041}; response to hypoxia {GO:0001666}; signal transduction {GO:0007165}; smooth muscle cell migration {GO:0014909}</t>
  </si>
  <si>
    <t>cell surface {GO:0009986}; extracellular exosome {GO:0070062}; extracellular region {GO:0005576}; extracellular space {GO:0005615}; focal adhesion {GO:0005925}; plasma membrane {GO:0005886}; specific granule membrane {GO:0035579}; tertiary granule membrane {GO:0070821}</t>
  </si>
  <si>
    <t>Neutrophil degranulation {R-HSA-6798695}; Dissolution of Fibrin Clot {R-HSA-75205}</t>
  </si>
  <si>
    <t>Alpha-centractin (Centractin)</t>
  </si>
  <si>
    <t>ARP1; Actin-RPV; Centrosome-associated actin homolog</t>
  </si>
  <si>
    <t>ACTZ_HUMAN</t>
  </si>
  <si>
    <t>P61163</t>
  </si>
  <si>
    <t>B2R6B0; P42024</t>
  </si>
  <si>
    <t>CTRN1</t>
  </si>
  <si>
    <t>Acetylation; ATP-binding; Cytoplasm; Cytoskeleton; Nucleotide-binding</t>
  </si>
  <si>
    <t>antigen processing and presentation of exogenous peptide antigen via MHC class II {GO:0019886}; ciliary basal body-plasma membrane docking {GO:0097711}; endoplasmic reticulum to Golgi vesicle-mediated transport {GO:0006888}; establishment of mitotic spindle orientation {GO:0000132}; G2/M transition of mitotic cell cycle {GO:0000086}; nuclear migration along microtubule {GO:0030473}; regulation of G2/M transition of mitotic cell cycle {GO:0010389}; spermatogenesis {GO:0007283}; vesicle-mediated transport {GO:0016192}</t>
  </si>
  <si>
    <t>cell cortex region {GO:0099738}; centriole {GO:0005814}; centrosome {GO:0005813}; COPI-coated vesicle {GO:0030137}; cytoplasm {GO:0005737}; cytosol {GO:0005829}; dynactin complex {GO:0005869}; extracellular exosome {GO:0070062}; manchette {GO:0002177}; microtubule associated complex {GO:0005875}; microtubule cytoskeleton {GO:0015630}</t>
  </si>
  <si>
    <t>ATP binding {GO:0005524}</t>
  </si>
  <si>
    <t>Annexin A7</t>
  </si>
  <si>
    <t>Annexin VII; Annexin-7; Synexin</t>
  </si>
  <si>
    <t>ANXA7_HUMAN</t>
  </si>
  <si>
    <t>P20073</t>
  </si>
  <si>
    <t>Q5F2H3; Q5T0M6; Q5T0M7</t>
  </si>
  <si>
    <t>ANX7; SNX</t>
  </si>
  <si>
    <t>Acetylation; Alternative splicing; Annexin; Calcium; Calcium/phospholipid-binding; Polymorphism; Repeat</t>
  </si>
  <si>
    <t>autophagy {GO:0006914}; cell population proliferation {GO:0008283}; cellular calcium ion homeostasis {GO:0006874}; cellular water homeostasis {GO:0009992}; epithelial cell differentiation {GO:0030855}; hemostasis {GO:0007599}; membrane fusion {GO:0061025}; negative regulation of gene expression {GO:0010629}; regulation of cell shape {GO:0008360}; response to calcium ion {GO:0051592}; response to organic cyclic compound {GO:0014070}; response to salt stress {GO:0009651}</t>
  </si>
  <si>
    <t>collagen-containing extracellular matrix {GO:0062023}; cytosol {GO:0005829}; endoplasmic reticulum membrane {GO:0005789}; extracellular exosome {GO:0070062}; membrane {GO:0016020}; nuclear envelope {GO:0005635}; nucleus {GO:0005634}; plasma membrane {GO:0005886}</t>
  </si>
  <si>
    <t>calcium ion binding {GO:0005509}; calcium-dependent phospholipid binding {GO:0005544}; calcium-dependent protein binding {GO:0048306}; identical protein binding {GO:0042802}; integrin binding {GO:0005178}; RNA binding {GO:0003723}</t>
  </si>
  <si>
    <t>Carboxypeptidase N catalytic chain (CPN)</t>
  </si>
  <si>
    <t>Anaphylatoxin inactivator; Arginine carboxypeptidase; Carboxypeptidase N polypeptide 1; Carboxypeptidase N small subunit; Kininase-1; Lysine carboxypeptidase; Plasma carboxypeptidase B; Serum carboxypeptidase N (SCPN)</t>
  </si>
  <si>
    <t>CBPN_HUMAN</t>
  </si>
  <si>
    <t>P15169</t>
  </si>
  <si>
    <t>B1AP59</t>
  </si>
  <si>
    <t>3D-structure; Carboxypeptidase; Disease mutation; Disulfide bond; Glycoprotein; Hydrolase; Metal-binding; Metalloprotease; Protease; Secreted; Signal; Zinc</t>
  </si>
  <si>
    <t>bradykinin catabolic process {GO:0010815}; peptide metabolic process {GO:0006518}; protein processing {GO:0016485}; regulation of complement activation {GO:0030449}; response to glucocorticoid {GO:0051384}</t>
  </si>
  <si>
    <t>F-actin-capping protein subunit alpha-1</t>
  </si>
  <si>
    <t>CapZ alpha-1</t>
  </si>
  <si>
    <t>CAZA1_HUMAN</t>
  </si>
  <si>
    <t>P52907</t>
  </si>
  <si>
    <t>Q53FQ6; Q6FHD5</t>
  </si>
  <si>
    <t>3D-structure; Acetylation; Actin capping; Actin-binding; Cytoplasm; Cytoskeleton; Phosphoprotein; Polymorphism</t>
  </si>
  <si>
    <t>actin cytoskeleton organization {GO:0030036}; antigen processing and presentation of exogenous peptide antigen via MHC class II {GO:0019886}; barbed-end actin filament capping {GO:0051016}; blood coagulation {GO:0007596}; cell junction assembly {GO:0034329}; endoplasmic reticulum to Golgi vesicle-mediated transport {GO:0006888}; innate immune response {GO:0045087}; interleukin-12-mediated signaling pathway {GO:0035722}; protein-containing complex assembly {GO:0065003}</t>
  </si>
  <si>
    <t>actin cortical patch {GO:0030479}; actin cytoskeleton {GO:0015629}; cytoskeleton {GO:0005856}; cytosol {GO:0005829}; extracellular exosome {GO:0070062}; extracellular region {GO:0005576}; F-actin capping protein complex {GO:0008290}; WASH complex {GO:0071203}</t>
  </si>
  <si>
    <t>actin binding {GO:0003779}; actin filament binding {GO:0051015}; cadherin binding {GO:0045296}</t>
  </si>
  <si>
    <t>MHC class II antigen presentation {R-HSA-2132295}; HSP90 chaperone cycle for steroid hormone receptors (SHR) {R-HSA-3371497}; COPI-mediated anterograde transport {R-HSA-6807878}; COPI-independent Golgi-to-ER retrograde traffic {R-HSA-6811436}; Advanced glycosylation endproduct receptor signaling {R-HSA-879415}; Gene and protein expression by JAK-STAT signaling after Interleukin-12 stimulation {R-HSA-8950505}; Factors involved in megakaryocyte development and platelet production {R-HSA-983231}</t>
  </si>
  <si>
    <t>Rho-related GTP-binding protein RhoC</t>
  </si>
  <si>
    <t>Rho cDNA clone 9 (h9)</t>
  </si>
  <si>
    <t>RHOC_HUMAN</t>
  </si>
  <si>
    <t>P08134</t>
  </si>
  <si>
    <t>B3KSW1; Q6ICN3</t>
  </si>
  <si>
    <t>ARH9; ARHC</t>
  </si>
  <si>
    <t>3D-structure; ADP-ribosylation; Cell membrane; Glycoprotein; GTP-binding; Lipoprotein; Membrane; Methylation; Nucleotide-binding; Polymorphism; Prenylation</t>
  </si>
  <si>
    <t>ADP-ribosylation; Glycoprotein; Lipoprotein; Methylation; Prenylation</t>
  </si>
  <si>
    <t>actin filament bundle assembly {GO:0051017}; actin filament organization {GO:0007015}; apical junction assembly {GO:0043297}; cell migration {GO:0016477}; establishment or maintenance of actin cytoskeleton polarity {GO:0030950}; G protein-coupled receptor signaling pathway {GO:0007186}; mitotic cytokinesis {GO:0000281}; positive regulation of cell migration {GO:0030335}; positive regulation of I-kappaB kinase/NF-kappaB signaling {GO:0043123}; positive regulation of lipase activity {GO:0060193}; positive regulation of protein homooligomerization {GO:0032464}; positive regulation of stress fiber assembly {GO:0051496}; regulation of actin cytoskeleton organization {GO:0032956}; regulation of cell migration {GO:0030334}; regulation of cell shape {GO:0008360}; regulation of small GTPase mediated signal transduction {GO:0051056}; Rho protein signal transduction {GO:0007266}; skeletal muscle satellite cell migration {GO:1902766}; wound healing, spreading of cells {GO:0044319}</t>
  </si>
  <si>
    <t>cell cortex {GO:0005938}; cell division site {GO:0032153}; cleavage furrow {GO:0032154}; cytoplasm {GO:0005737}; cytosol {GO:0005829}; extracellular exosome {GO:0070062}; intracellular membrane-bounded organelle {GO:0043231}; nucleus {GO:0005634}; plasma membrane {GO:0005886}; stereocilium {GO:0032420}</t>
  </si>
  <si>
    <t>Rho GTPase cycle {R-HSA-194840}; G alpha (12/13) signalling events {R-HSA-416482}; Sema4D induced cell migration and growth-cone collapse {R-HSA-416572}; RHO GTPases activate PKNs {R-HSA-5625740}; RHO GTPases activate CIT {R-HSA-5625900}; RHO GTPases Activate ROCKs {R-HSA-5627117}; RHO GTPases Activate Formins {R-HSA-5663220}; RHO GTPases Activate Rhotekin and Rhophilins {R-HSA-5666185}</t>
  </si>
  <si>
    <t>Dentin matrix acidic phosphoprotein 1 (DMP-1; Dentin matrix protein 1)</t>
  </si>
  <si>
    <t>DMP1_HUMAN</t>
  </si>
  <si>
    <t>Q13316</t>
  </si>
  <si>
    <t>A1L4L3; O43265</t>
  </si>
  <si>
    <t>Alternative splicing; Biomineralization; Cytoplasm; Extracellular matrix; Glycoprotein; Nucleus; Phosphoprotein; Polymorphism; Secreted; Signal</t>
  </si>
  <si>
    <t>Cytoplasm; Extracellular matrix; Nucleus; Secreted</t>
  </si>
  <si>
    <t>biomineral tissue development {GO:0031214}; cellular protein metabolic process {GO:0044267}; extracellular matrix organization {GO:0030198}; ossification {GO:0001503}; positive regulation of cell-substrate adhesion {GO:0010811}; post-translational protein modification {GO:0043687}; regulation of enamel mineralization {GO:0070173}</t>
  </si>
  <si>
    <t>endoplasmic reticulum lumen {GO:0005788}; extracellular matrix {GO:0031012}; extracellular region {GO:0005576}; nucleus {GO:0005634}</t>
  </si>
  <si>
    <t>calcium ion binding {GO:0005509}; extracellular matrix binding {GO:0050840}; integrin binding {GO:0005178}</t>
  </si>
  <si>
    <t>ECM proteoglycans {R-HSA-3000178}; Regulation of Insulin-like Growth Factor (IGF) transport and uptake by Insulin-like Growth Factor Binding Proteins (IGFBPs) {R-HSA-381426}; Post-translational protein phosphorylation {R-HSA-8957275}</t>
  </si>
  <si>
    <t>Beta-defensin 1 (BD-1; hBD-1)</t>
  </si>
  <si>
    <t>Defensin, beta 1</t>
  </si>
  <si>
    <t>DEFB1_HUMAN</t>
  </si>
  <si>
    <t>P60022</t>
  </si>
  <si>
    <t>Q09753</t>
  </si>
  <si>
    <t>BD1; HBD1</t>
  </si>
  <si>
    <t>3D-structure; Antibiotic; Antimicrobial; Defensin; Disulfide bond; Membrane; Polymorphism; Secreted; Signal</t>
  </si>
  <si>
    <t>Antibiotic; Antimicrobial; Defensin</t>
  </si>
  <si>
    <t>antibacterial humoral response {GO:0019731}; antimicrobial humoral immune response mediated by antimicrobial peptide {GO:0061844}; antimicrobial humoral response {GO:0019730}; calcium-mediated signaling using intracellular calcium source {GO:0035584}; cAMP-mediated signaling {GO:0019933}; chemotaxis {GO:0006935}; defense response to bacterium {GO:0042742}; defense response to Gram-negative bacterium {GO:0050829}; defense response to Gram-positive bacterium {GO:0050830}; G protein-coupled receptor signaling pathway {GO:0007186}; immune response {GO:0006955}; innate immune response {GO:0045087}; innate immune response in mucosa {GO:0002227}; positive regulation of flagellated sperm motility involved in capacitation {GO:0060474}; response to bacterium {GO:0009617}</t>
  </si>
  <si>
    <t>extracellular exosome {GO:0070062}; extracellular region {GO:0005576}; extracellular space {GO:0005615}; extrinsic component of membrane {GO:0019898}; Golgi lumen {GO:0005796}; microvesicle {GO:1990742}; sperm midpiece {GO:0097225}</t>
  </si>
  <si>
    <t>CCR6 chemokine receptor binding {GO:0031731}; identical protein binding {GO:0042802}</t>
  </si>
  <si>
    <t>Beta defensins {R-HSA-1461957}; Defensins {R-HSA-1461973}</t>
  </si>
  <si>
    <t>Fatty acid-binding protein, intestinal</t>
  </si>
  <si>
    <t>Fatty acid-binding protein 2; Intestinal-type fatty acid-binding protein (I-FABP)</t>
  </si>
  <si>
    <t>FABPI_HUMAN</t>
  </si>
  <si>
    <t>P12104</t>
  </si>
  <si>
    <t>Q2NKJ1</t>
  </si>
  <si>
    <t>FABPI</t>
  </si>
  <si>
    <t>3D-structure; Acetylation; Cytoplasm; Lipid-binding; Polymorphism; Transport</t>
  </si>
  <si>
    <t>intestinal lipid absorption {GO:0098856}; triglyceride catabolic process {GO:0019433}</t>
  </si>
  <si>
    <t>fatty acid binding {GO:0005504}; long-chain fatty acid binding {GO:0036041}</t>
  </si>
  <si>
    <t>PDZ and LIM domain protein 5</t>
  </si>
  <si>
    <t>Enigma homolog; Enigma-like PDZ and LIM domains protein</t>
  </si>
  <si>
    <t>PDLI5_HUMAN</t>
  </si>
  <si>
    <t>Q96HC4</t>
  </si>
  <si>
    <t>A8K6F9; D6RB78; E9PBF5; O60705; Q56VN4; Q5UW38; Q8WVK0</t>
  </si>
  <si>
    <t>ENH</t>
  </si>
  <si>
    <t>3D-structure; Acetylation; Alternative splicing; Cell junction; Cell membrane; Cytoplasm; Isopeptide bond; LIM domain; Membrane; Metal-binding; Phosphoprotein; Polymorphism; Postsynaptic cell membrane; Repeat; Synapse; Synaptosome; Ubl conjugation; Zinc</t>
  </si>
  <si>
    <t>Cell junction; Cell membrane; Cytoplasm; Membrane; Postsynaptic cell membrane; Synapse; Synaptosome</t>
  </si>
  <si>
    <t>actin cytoskeleton organization {GO:0030036}; cell growth involved in cardiac muscle cell development {GO:0061049}; heart development {GO:0007507}; muscle structure development {GO:0061061}; regulation of dendritic spine morphogenesis {GO:0061001}; regulation of synapse assembly {GO:0051963}</t>
  </si>
  <si>
    <t>actin cytoskeleton {GO:0015629}; cell-cell adherens junction {GO:0005913}; cytosol {GO:0005829}; filamentous actin {GO:0031941}; membrane {GO:0016020}; neuron projection {GO:0043005}; postsynaptic density {GO:0014069}; postsynaptic membrane {GO:0045211}; stress fiber {GO:0001725}; Z disc {GO:0030018}</t>
  </si>
  <si>
    <t>actin binding {GO:0003779}; actinin binding {GO:0042805}; cadherin binding involved in cell-cell adhesion {GO:0098641}; metal ion binding {GO:0046872}; muscle alpha-actinin binding {GO:0051371}; protein kinase C binding {GO:0005080}; protein N-terminus binding {GO:0047485}</t>
  </si>
  <si>
    <t>Heterogeneous nuclear ribonucleoprotein D0 (hnRNP D0)</t>
  </si>
  <si>
    <t>AU-rich element RNA-binding protein 1</t>
  </si>
  <si>
    <t>HNRPD_HUMAN</t>
  </si>
  <si>
    <t>Q14103</t>
  </si>
  <si>
    <t>A8K9J2; P07029; Q01858; Q14100; Q14101; Q14102; Q4W5A1; Q9UCE8; Q9UCE9</t>
  </si>
  <si>
    <t>AUF1; HNRPD</t>
  </si>
  <si>
    <t>3D-structure; Acetylation; Alternative splicing; Biological rhythms; Cytoplasm; DNA-binding; Isopeptide bond; Methylation; Nucleus; Phosphoprotein; Repeat; Ribonucleoprotein; RNA-binding; Transcription; Transcription regulation; Ubl conjugation</t>
  </si>
  <si>
    <t>3'-UTR-mediated mRNA destabilization {GO:0061158}; cellular response to amino acid stimulus {GO:0071230}; cellular response to estradiol stimulus {GO:0071392}; cellular response to nitric oxide {GO:0071732}; cellular response to putrescine {GO:1904586}; cerebellum development {GO:0021549}; circadian regulation of translation {GO:0097167}; hepatocyte dedifferentiation {GO:1990828}; liver development {GO:0001889}; mRNA splicing, via spliceosome {GO:0000398}; mRNA stabilization {GO:0048255}; mRNA transcription by RNA polymerase II {GO:0042789}; positive regulation of gene expression {GO:0010628}; positive regulation of telomerase RNA reverse transcriptase activity {GO:1905663}; positive regulation of telomere capping {GO:1904355}; positive regulation of transcription, DNA-templated {GO:0045893}; positive regulation of translation {GO:0045727}; regulation of circadian rhythm {GO:0042752}; regulation of mRNA stability {GO:0043488}; regulation of telomere maintenance {GO:0032204}; regulation of transcription, DNA-templated {GO:0006355}; response to calcium ion {GO:0051592}; response to electrical stimulus {GO:0051602}; response to rapamycin {GO:1901355}; response to sodium phosphate {GO:1904383}; RNA catabolic process {GO:0006401}; RNA metabolic process {GO:0016070}; RNA processing {GO:0006396}</t>
  </si>
  <si>
    <t>cytosol {GO:0005829}; nucleoplasm {GO:0005654}; nucleus {GO:0005634}; ribonucleoprotein complex {GO:1990904}; synapse {GO:0045202}</t>
  </si>
  <si>
    <t>AT DNA binding {GO:0003680}; chromatin binding {GO:0003682}; histone deacetylase binding {GO:0042826}; mRNA 3'-UTR AU-rich region binding {GO:0035925}; mRNA binding {GO:0003729}; RNA binding {GO:0003723}; sequence-specific DNA binding {GO:0043565}; sequence-specific double-stranded DNA binding {GO:1990837}; telomeric DNA binding {GO:0042162}; transcription factor binding {GO:0008134}</t>
  </si>
  <si>
    <t>AUF1 (hnRNP D0) binds and destabilizes mRNA {R-HSA-450408}; mRNA Splicing - Major Pathway {R-HSA-72163}; Processing of Capped Intron-Containing Pre-mRNA {R-HSA-72203}</t>
  </si>
  <si>
    <t>Clusterin alpha chain</t>
  </si>
  <si>
    <t>Aging-associated gene 4 protein; Apolipoprotein J (Apo-J); Complement cytolysis inhibitor (CLI); Complement-associated protein SP-40,40; Ku70-binding protein 1; NA1/NA2; Sulfated glycoprotein 2 (SGP-2); Testosterone-repressed prostate message 2 (TRPM-2); ApoJalpha; Complement cytolysis inhibitor a chain; ApoJbeta; Complement cytolysis inhibitor b chain</t>
  </si>
  <si>
    <t>CLUS_HUMAN</t>
  </si>
  <si>
    <t>P10909</t>
  </si>
  <si>
    <t>B2R9Q1; B3KSE6; P11380; P11381; Q2TU75; Q5HYC1; Q7Z5B9</t>
  </si>
  <si>
    <t>Alternative splicing; Apoptosis; Chaperone; Complement pathway; Cytoplasm; Cytoplasmic vesicle; Disulfide bond; Endoplasmic reticulum; Glycoprotein; Immunity; Innate immunity; Membrane; Microsome; Mitochondrion; Nucleus; Phosphoprotein; Polymorphism; Secreted; Signal; Ubl conjugation</t>
  </si>
  <si>
    <t>Apoptosis; Complement pathway; Immunity; Innate immunity</t>
  </si>
  <si>
    <t>Cytoplasm; Cytoplasmic vesicle; Endoplasmic reticulum; Membrane; Microsome; Mitochondrion; Nucleus; Secreted</t>
  </si>
  <si>
    <t>antimicrobial humoral response {GO:0019730}; cell morphogenesis {GO:0000902}; central nervous system myelin maintenance {GO:0032286}; chaperone-mediated protein complex assembly {GO:0051131}; chaperone-mediated protein folding {GO:0061077}; chaperone-mediated protein transport involved in chaperone-mediated autophagy {GO:0061741}; complement activation {GO:0006956}; complement activation, classical pathway {GO:0006958}; immune complex clearance {GO:0002434}; innate immune response {GO:0045087}; intrinsic apoptotic signaling pathway {GO:0097193}; lipid metabolic process {GO:0006629}; microglial cell activation {GO:0001774}; microglial cell proliferation {GO:0061518}; negative regulation of amyloid fibril formation {GO:1905907}; negative regulation of amyloid-beta formation {GO:1902430}; negative regulation of cell death {GO:0060548}; negative regulation of cellular response to thapsigargin {GO:1905892}; negative regulation of cellular response to tunicamycin {GO:1905895}; negative regulation of intrinsic apoptotic signaling pathway in response to DNA damage {GO:1902230}; negative regulation of protein homooligomerization {GO:0032463}; negative regulation of release of cytochrome c from mitochondria {GO:0090201}; negative regulation of response to endoplasmic reticulum stress {GO:1903573}; platelet degranulation {GO:0002576}; positive regulation of amyloid fibril formation {GO:1905908}; positive regulation of amyloid-beta formation {GO:1902004}; positive regulation of apoptotic process {GO:0043065}; positive regulation of gene expression {GO:0010628}; positive regulation of intrinsic apoptotic signaling pathway {GO:2001244}; positive regulation of neurofibrillary tangle assembly {GO:1902998}; positive regulation of neuron death {GO:1901216}; positive regulation of NF-kappaB transcription factor activity {GO:0051092}; positive regulation of nitric oxide biosynthetic process {GO:0045429}; positive regulation of proteasomal ubiquitin-dependent protein catabolic process {GO:0032436}; positive regulation of protein homooligomerization {GO:0032464}; positive regulation of receptor-mediated endocytosis {GO:0048260}; positive regulation of tau-protein kinase activity {GO:1902949}; positive regulation of tumor necrosis factor production {GO:0032760}; positive regulation of ubiquitin-dependent protein catabolic process {GO:2000060}; protein import {GO:0017038}; protein stabilization {GO:0050821}; protein targeting to lysosome involved in chaperone-mediated autophagy {GO:0061740}; regulation of amyloid-beta clearance {GO:1900221}; regulation of cell population proliferation {GO:0042127}; regulation of complement activation {GO:0030449}; regulation of neuron death {GO:1901214}; regulation of neuronal signal transduction {GO:1902847}; release of cytochrome c from mitochondria {GO:0001836}; response to misfolded protein {GO:0051788}; response to virus {GO:0009615}; reverse cholesterol transport {GO:0043691}</t>
  </si>
  <si>
    <t>apical dendrite {GO:0097440}; blood microparticle {GO:0072562}; cell surface {GO:0009986}; chromaffin granule {GO:0042583}; collagen-containing extracellular matrix {GO:0062023}; cytoplasm {GO:0005737}; cytosol {GO:0005829}; extracellular exosome {GO:0070062}; extracellular region {GO:0005576}; extracellular space {GO:0005615}; Golgi apparatus {GO:0005794}; intracellular membrane-bounded organelle {GO:0043231}; mitochondrial inner membrane {GO:0005743}; mitochondrion {GO:0005739}; neurofibrillary tangle {GO:0097418}; nucleus {GO:0005634}; perinuclear endoplasmic reticulum lumen {GO:0099020}; perinuclear region of cytoplasm {GO:0048471}; platelet alpha granule lumen {GO:0031093}; protein-containing complex {GO:0032991}; spherical high-density lipoprotein particle {GO:0034366}; synapse {GO:0045202}</t>
  </si>
  <si>
    <t>amyloid-beta binding {GO:0001540}; chaperone binding {GO:0051087}; low-density lipoprotein particle receptor binding {GO:0050750}; misfolded protein binding {GO:0051787}; protein heterodimerization activity {GO:0046982}; protein-containing complex binding {GO:0044877}; signaling receptor binding {GO:0005102}; tau protein binding {GO:0048156}; ubiquitin protein ligase binding {GO:0031625}; unfolded protein binding {GO:0051082}</t>
  </si>
  <si>
    <t>Platelet degranulation {R-HSA-114608}; Terminal pathway of complement {R-HSA-166665}; Antimicrobial peptides {R-HSA-6803157}; Regulation of Complement cascade {R-HSA-977606}</t>
  </si>
  <si>
    <t>Extracellular superoxide dismutase [Cu-Zn] (EC-SOD)</t>
  </si>
  <si>
    <t>SODE_HUMAN</t>
  </si>
  <si>
    <t>P08294</t>
  </si>
  <si>
    <t>Q5U781; Q6FHA2</t>
  </si>
  <si>
    <t>3D-structure; Antioxidant; Copper; Disulfide bond; Glycation; Glycoprotein; Heparin-binding; Metal-binding; Oxidoreductase; Polymorphism; Secreted; Signal; Zinc</t>
  </si>
  <si>
    <t>Antioxidant; Heparin-binding; Oxidoreductase</t>
  </si>
  <si>
    <t>Disulfide bond; Glycation; Glycoprotein</t>
  </si>
  <si>
    <t>cellular response to oxidative stress {GO:0034599}; removal of superoxide radicals {GO:0019430}; response to copper ion {GO:0046688}; response to hypoxia {GO:0001666}</t>
  </si>
  <si>
    <t>collagen-containing extracellular matrix {GO:0062023}; extracellular exosome {GO:0070062}; extracellular region {GO:0005576}; extracellular space {GO:0005615}; Golgi lumen {GO:0005796}; nucleus {GO:0005634}</t>
  </si>
  <si>
    <t>copper ion binding {GO:0005507}; heparin binding {GO:0008201}; superoxide dismutase activity {GO:0004784}</t>
  </si>
  <si>
    <t>Ankyrin-1 (ANK-1)</t>
  </si>
  <si>
    <t>Ankyrin-R; Erythrocyte ankyrin</t>
  </si>
  <si>
    <t>ANK1_HUMAN</t>
  </si>
  <si>
    <t>P16157</t>
  </si>
  <si>
    <t>A0PJN8; A6NJ23; E5RFL7; O43400; Q13768; Q53ER1; Q59FP2; Q8N604; Q99407</t>
  </si>
  <si>
    <t>ANK</t>
  </si>
  <si>
    <t>3D-structure; Alternative promoter usage; Alternative splicing; ANK repeat; Cytoplasm; Cytoskeleton; Disease mutation; Elliptocytosis; Hereditary hemolytic anemia; Hydroxylation; Lipoprotein; Membrane; Phosphoprotein; Polymorphism; Repeat; Sarcoplasmic reticulum</t>
  </si>
  <si>
    <t>Cytoplasm; Cytoskeleton; Membrane; Sarcoplasmic reticulum</t>
  </si>
  <si>
    <t>Hydroxylation; Lipoprotein; Phosphoprotein</t>
  </si>
  <si>
    <t>cytoskeleton organization {GO:0007010}; endoplasmic reticulum to Golgi vesicle-mediated transport {GO:0006888}; exocytosis {GO:0006887}; maintenance of epithelial cell apical/basal polarity {GO:0045199}; positive regulation of organelle organization {GO:0010638}; protein localization to plasma membrane {GO:0072659}; signal transduction {GO:0007165}</t>
  </si>
  <si>
    <t>axolemma {GO:0030673}; axon initial segment {GO:0043194}; basolateral plasma membrane {GO:0016323}; cytoplasmic side of plasma membrane {GO:0009898}; cytoskeleton {GO:0005856}; cytosol {GO:0005829}; M band {GO:0031430}; membrane {GO:0016020}; nucleus {GO:0005634}; plasma membrane {GO:0005886}; postsynaptic membrane {GO:0045211}; sarcolemma {GO:0042383}; sarcoplasmic reticulum {GO:0016529}; spectrin-associated cytoskeleton {GO:0014731}; Z disc {GO:0030018}</t>
  </si>
  <si>
    <t>ATPase binding {GO:0051117}; cytoskeletal adaptor activity {GO:0008093}; enzyme binding {GO:0019899}; ion channel binding {GO:0044325}; protein phosphatase binding {GO:0019903}; spectrin binding {GO:0030507}; structural constituent of cytoskeleton {GO:0005200}; structural molecule activity {GO:0005198}</t>
  </si>
  <si>
    <t>Interaction between L1 and Ankyrins {R-HSA-445095}; NrCAM interactions {R-HSA-447038}; CHL1 interactions {R-HSA-447041}; Neurofascin interactions {R-HSA-447043}; COPI-mediated anterograde transport {R-HSA-6807878}</t>
  </si>
  <si>
    <t>Synaptopodin-2</t>
  </si>
  <si>
    <t>Genethonin-2; Myopodin</t>
  </si>
  <si>
    <t>SYNP2_HUMAN</t>
  </si>
  <si>
    <t>Q9UMS6</t>
  </si>
  <si>
    <t>B2RWP6; B2Y8J9; C6H0M7; Q9UK89; S5XAM4</t>
  </si>
  <si>
    <t>Actin-binding; Alternative promoter usage; Alternative splicing; Cell junction; Cytoplasm; Cytoskeleton; Muscle protein; Nucleus; Phosphoprotein; Polymorphism; Tumor suppressor</t>
  </si>
  <si>
    <t>autophagosome assembly {GO:0000045}; chaperone-mediated autophagy {GO:0061684}; positive regulation of actin filament bundle assembly {GO:0032233}; positive regulation of cell migration {GO:0030335}; regulation of Rho-dependent protein serine/threonine kinase activity {GO:2000298}</t>
  </si>
  <si>
    <t>actin cytoskeleton {GO:0015629}; cytosol {GO:0005829}; focal adhesion {GO:0005925}; intracellular membrane-bounded organelle {GO:0043231}; nucleus {GO:0005634}; stress fiber {GO:0001725}; tethering complex {GO:0099023}; Z disc {GO:0030018}</t>
  </si>
  <si>
    <t>14-3-3 protein binding {GO:0071889}; actin binding {GO:0003779}; alpha-actinin binding {GO:0051393}; filamin binding {GO:0031005}; muscle alpha-actinin binding {GO:0051371}; protein binding, bridging {GO:0030674}</t>
  </si>
  <si>
    <t>Myozenin-2</t>
  </si>
  <si>
    <t>Calsarcin-1; FATZ-related protein 2</t>
  </si>
  <si>
    <t>MYOZ2_HUMAN</t>
  </si>
  <si>
    <t>Q9NPC6</t>
  </si>
  <si>
    <t>O43415; Q9HB92</t>
  </si>
  <si>
    <t>Cardiomyopathy; Cytoplasm; Disease mutation; Methylation; Phosphoprotein</t>
  </si>
  <si>
    <t>negative regulation of calcineurin-NFAT signaling cascade {GO:0070885}; negative regulation of transcription by RNA polymerase II {GO:0000122}; sarcomere organization {GO:0045214}; skeletal muscle fiber adaptation {GO:0043503}; skeletal muscle tissue development {GO:0007519}</t>
  </si>
  <si>
    <t>actin cytoskeleton {GO:0015629}; sarcomere {GO:0030017}; Z disc {GO:0030018}</t>
  </si>
  <si>
    <t>actin binding {GO:0003779}; FATZ binding {GO:0051373}; protein phosphatase 2B binding {GO:0030346}; telethonin binding {GO:0031433}</t>
  </si>
  <si>
    <t>Protein NDRG1</t>
  </si>
  <si>
    <t>Differentiation-related gene 1 protein (DRG-1); N-myc downstream-regulated gene 1 protein; Nickel-specific induction protein Cap43; Reducing agents and tunicamycin-responsive protein (RTP); Rit42</t>
  </si>
  <si>
    <t>NDRG1_HUMAN</t>
  </si>
  <si>
    <t>Q92597</t>
  </si>
  <si>
    <t>B3KR80; B7Z446; O15207; Q6IBG2; Q9NYR6; Q9UK29</t>
  </si>
  <si>
    <t>CAP43; DRG1; RTP</t>
  </si>
  <si>
    <t>Acetylation; Alternative splicing; Cell membrane; Charcot-Marie-Tooth disease; Cytoplasm; Cytoskeleton; Membrane; Microtubule; Neurodegeneration; Neuropathy; Nucleus; Phosphoprotein; Polymorphism; Repeat</t>
  </si>
  <si>
    <t>Cell membrane; Cytoplasm; Cytoskeleton; Membrane; Microtubule; Nucleus</t>
  </si>
  <si>
    <t>Charcot-Marie-Tooth disease; Neurodegeneration; Neuropathy</t>
  </si>
  <si>
    <t>cellular response to hypoxia {GO:0071456}; DNA damage response, signal transduction by p53 class mediator {GO:0030330}; mast cell activation {GO:0045576}; negative regulation of cell population proliferation {GO:0008285}; peripheral nervous system myelin maintenance {GO:0032287}; postsynapse organization {GO:0099173}; regulation of apoptotic process {GO:0042981}; response to metal ion {GO:0010038}; signal transduction {GO:0007165}</t>
  </si>
  <si>
    <t>cell-cell adherens junction {GO:0005913}; centrosome {GO:0005813}; cytoplasm {GO:0005737}; cytosol {GO:0005829}; extracellular exosome {GO:0070062}; glutamatergic synapse {GO:0098978}; microtubule {GO:0005874}; microtubule cytoskeleton {GO:0015630}; nucleus {GO:0005634}; perinuclear region of cytoplasm {GO:0048471}; plasma membrane {GO:0005886}; recycling endosome membrane {GO:0055038}</t>
  </si>
  <si>
    <t>cadherin binding {GO:0045296}; gamma-tubulin binding {GO:0043015}; microtubule binding {GO:0008017}; Rab GTPase binding {GO:0017137}</t>
  </si>
  <si>
    <t>TP53 regulates transcription of several additional cell death genes whose specific roles in p53-dependent apoptosis remain uncertain {R-HSA-6803205}</t>
  </si>
  <si>
    <t>OCIA domain-containing protein 1</t>
  </si>
  <si>
    <t>Ovarian cancer immunoreactive antigen domain containing 1; Ovarian carcinoma immunoreactive antigen</t>
  </si>
  <si>
    <t>OCAD1_HUMAN</t>
  </si>
  <si>
    <t>Q9NX40</t>
  </si>
  <si>
    <t>C9K030; G8JLN7; Q9BZE8</t>
  </si>
  <si>
    <t>Alternative splicing; Endosome; Phosphoprotein</t>
  </si>
  <si>
    <t>regulation of stem cell differentiation {GO:2000736}</t>
  </si>
  <si>
    <t>Alpha-L-iduronidase</t>
  </si>
  <si>
    <t>IDUA_HUMAN</t>
  </si>
  <si>
    <t>P35475</t>
  </si>
  <si>
    <t>B3KWK6</t>
  </si>
  <si>
    <t>3D-structure; Alternative splicing; Disease mutation; Disulfide bond; Glycoprotein; Glycosidase; Hydrolase; Lysosome; Mucopolysaccharidosis; Polymorphism; Signal</t>
  </si>
  <si>
    <t>chondroitin sulfate catabolic process {GO:0030207}; dermatan sulfate catabolic process {GO:0030209}; disaccharide metabolic process {GO:0005984}; glycosaminoglycan catabolic process {GO:0006027}; heparin catabolic process {GO:0030211}</t>
  </si>
  <si>
    <t>coated vesicle {GO:0030135}; extracellular exosome {GO:0070062}; lysosomal lumen {GO:0043202}</t>
  </si>
  <si>
    <t>L-iduronidase activity {GO:0003940}; signaling receptor binding {GO:0005102}</t>
  </si>
  <si>
    <t>HS-GAG degradation {R-HSA-2024096}; CS/DS degradation {R-HSA-2024101}; MPS I - Hurler syndrome {R-HSA-2206302}</t>
  </si>
  <si>
    <t>Angiopoietin-2 (ANG-2)</t>
  </si>
  <si>
    <t>ANGP2_HUMAN</t>
  </si>
  <si>
    <t>O15123</t>
  </si>
  <si>
    <t>A0AV38; A8K205; B7ZLM7; Q9NRR7; Q9P2Y7</t>
  </si>
  <si>
    <t>3D-structure; Alternative splicing; Angiogenesis; Calcium; Coiled coil; Developmental protein; Differentiation; Disulfide bond; Glycoprotein; Metal-binding; Polymorphism; Secreted; Signal</t>
  </si>
  <si>
    <t>angiogenesis {GO:0001525}; animal organ regeneration {GO:0031100}; cellular response to growth factor stimulus {GO:0071363}; germ cell development {GO:0007281}; glomerulus vasculature development {GO:0072012}; leukocyte migration {GO:0050900}; maternal process involved in female pregnancy {GO:0060135}; negative regulation of angiogenesis {GO:0016525}; negative regulation of blood vessel endothelial cell migration {GO:0043537}; negative regulation of cell-substrate adhesion {GO:0010812}; negative regulation of positive chemotaxis {GO:0050928}; positive regulation of angiogenesis {GO:0045766}; response to activity {GO:0014823}; response to glucose {GO:0009749}; response to hypoxia {GO:0001666}; response to mechanical stimulus {GO:0009612}; response to organic cyclic compound {GO:0014070}; response to radiation {GO:0009314}; signal transduction {GO:0007165}; Tie signaling pathway {GO:0048014}</t>
  </si>
  <si>
    <t>cell projection {GO:0042995}; extracellular region {GO:0005576}; extracellular space {GO:0005615}; nucleus {GO:0005634}; plasma membrane {GO:0005886}</t>
  </si>
  <si>
    <t>metal ion binding {GO:0046872}; receptor tyrosine kinase binding {GO:0030971}; signaling receptor binding {GO:0005102}</t>
  </si>
  <si>
    <t>Tie2 Signaling {R-HSA-210993}</t>
  </si>
  <si>
    <t>Lipopolysaccharide-responsive and beige-like anchor protein</t>
  </si>
  <si>
    <t>Beige-like protein; CDC4-like protein</t>
  </si>
  <si>
    <t>LRBA_HUMAN</t>
  </si>
  <si>
    <t>P50851</t>
  </si>
  <si>
    <t>Q4W5J4; Q4W5L6; Q8NFQ0; Q9H2U3; Q9H2U4</t>
  </si>
  <si>
    <t>BGL; CDC4L; LBA</t>
  </si>
  <si>
    <t>3D-structure; Acetylation; Alternative splicing; Cell membrane; Coiled coil; Disease mutation; Endoplasmic reticulum; Golgi apparatus; Lysosome; Membrane; Phosphoprotein; Polymorphism; Repeat; Transmembrane; Transmembrane helix; WD repeat</t>
  </si>
  <si>
    <t>Cell membrane; Endoplasmic reticulum; Golgi apparatus; Lysosome; Membrane</t>
  </si>
  <si>
    <t>Coiled coil; Repeat; Transmembrane; Transmembrane helix; WD repeat</t>
  </si>
  <si>
    <t>endoplasmic reticulum {GO:0005783}; Golgi apparatus {GO:0005794}; integral component of membrane {GO:0016021}; lysosome {GO:0005764}; membrane {GO:0016020}; plasma membrane {GO:0005886}</t>
  </si>
  <si>
    <t>Complement factor I light chain</t>
  </si>
  <si>
    <t>C3B/C4B inactivator</t>
  </si>
  <si>
    <t>CFAI_HUMAN</t>
  </si>
  <si>
    <t>P05156</t>
  </si>
  <si>
    <t>O60442</t>
  </si>
  <si>
    <t>IF</t>
  </si>
  <si>
    <t>3D-structure; Age-related macular degeneration; Calcium; Cleavage on pair of basic residues; Complement pathway; Disease mutation; Disulfide bond; Glycoprotein; Hemolytic uremic syndrome; Host-virus interaction; Hydrolase; Immunity; Innate immunity; Metal-binding; Polymorphism; Protease; Repeat; Secreted; Serine protease; Signal</t>
  </si>
  <si>
    <t>Complement pathway; Host-virus interaction; Immunity; Innate immunity</t>
  </si>
  <si>
    <t>complement activation, classical pathway {GO:0006958}; innate immune response {GO:0045087}; regulation of complement activation {GO:0030449}; viral process {GO:0016032}</t>
  </si>
  <si>
    <t>metal ion binding {GO:0046872}; scavenger receptor activity {GO:0005044}; serine-type endopeptidase activity {GO:0004252}</t>
  </si>
  <si>
    <t>Insulin-like growth factor-binding protein 7 (IBP-7; IGF-binding protein 7; IGFBP-7)</t>
  </si>
  <si>
    <t>IGFBP-rP1; MAC25 protein; PGI2-stimulating factor; Prostacyclin-stimulating factor; Tumor-derived adhesion factor (TAF)</t>
  </si>
  <si>
    <t>IBP7_HUMAN</t>
  </si>
  <si>
    <t>Q16270</t>
  </si>
  <si>
    <t>B4E1N2; B7Z9W7; Q07822; Q53YE6; Q9UCA8</t>
  </si>
  <si>
    <t>MAC25; PSF</t>
  </si>
  <si>
    <t>Alternative splicing; Cell adhesion; Disulfide bond; Glycoprotein; Growth factor binding; Immunoglobulin domain; Phosphoprotein; Polymorphism; RNA editing; Secreted; Signal</t>
  </si>
  <si>
    <t>Alternative splicing; Polymorphism; RNA editing</t>
  </si>
  <si>
    <t>cell adhesion {GO:0007155}; cellular protein metabolic process {GO:0044267}; cellular response to hormone stimulus {GO:0032870}; embryo implantation {GO:0007566}; negative regulation of cell population proliferation {GO:0008285}; post-translational protein modification {GO:0043687}; regulation of cell growth {GO:0001558}; regulation of steroid biosynthetic process {GO:0050810}; response to cortisol {GO:0051414}; response to heat {GO:0009408}; response to retinoic acid {GO:0032526}</t>
  </si>
  <si>
    <t>collagen-containing extracellular matrix {GO:0062023}; endoplasmic reticulum lumen {GO:0005788}; extracellular exosome {GO:0070062}; extracellular region {GO:0005576}; extracellular space {GO:0005615}</t>
  </si>
  <si>
    <t>insulin-like growth factor binding {GO:0005520}</t>
  </si>
  <si>
    <t>Senescence-Associated Secretory Phenotype (SASP) {R-HSA-2559582}; Regulation of Insulin-like Growth Factor (IGF) transport and uptake by Insulin-like Growth Factor Binding Proteins (IGFBPs) {R-HSA-381426}; Post-translational protein phosphorylation {R-HSA-8957275}</t>
  </si>
  <si>
    <t>SPARC-like protein 1</t>
  </si>
  <si>
    <t>High endothelial venule protein (Hevin); MAST 9</t>
  </si>
  <si>
    <t>SPRL1_HUMAN</t>
  </si>
  <si>
    <t>Q14515</t>
  </si>
  <si>
    <t>B4E2Z0; E7ESU2; Q14800</t>
  </si>
  <si>
    <t>Alternative splicing; Calcium; Disulfide bond; Extracellular matrix; Glycoprotein; Metal-binding; Phosphoprotein; Polymorphism; Secreted; Signal</t>
  </si>
  <si>
    <t>cellular protein metabolic process {GO:0044267}; post-translational protein modification {GO:0043687}; signal transduction {GO:0007165}; synaptic membrane adhesion {GO:0099560}</t>
  </si>
  <si>
    <t>collagen-containing extracellular matrix {GO:0062023}; endoplasmic reticulum lumen {GO:0005788}; extracellular region {GO:0005576}; extracellular space {GO:0005615}; glutamatergic synapse {GO:0098978}</t>
  </si>
  <si>
    <t>calcium ion binding {GO:0005509}; collagen binding {GO:0005518}; extracellular matrix binding {GO:0050840}</t>
  </si>
  <si>
    <t>Mast/stem cell growth factor receptor Kit (SCFR)</t>
  </si>
  <si>
    <t>Piebald trait protein (PBT); Proto-oncogene c-Kit; Tyrosine-protein kinase Kit; p145 c-kit; v-kit Hardy-Zuckerman 4 feline sarcoma viral oncogene homolog; CD_antigen=CD117</t>
  </si>
  <si>
    <t>KIT_HUMAN</t>
  </si>
  <si>
    <t>P10721</t>
  </si>
  <si>
    <t>B5A956; D5LXN2; D5M931; F5H8F8; Q6IQ28; Q99662; Q9UM99</t>
  </si>
  <si>
    <t>SCFR</t>
  </si>
  <si>
    <t>3D-structure; Alternative splicing; ATP-binding; Cell membrane; Cytoplasm; Disease mutation; Disulfide bond; Glycoprotein; Immunoglobulin domain; Kinase; Magnesium; Membrane; Metal-binding; Nucleotide-binding; Phosphoprotein; Polymorphism; Proto-oncogene; Receptor; Repeat; Signal; Transferase; Transmembrane; Transmembrane helix; Tyrosine-protein kinase; Ubl conjugation</t>
  </si>
  <si>
    <t>actin cytoskeleton reorganization {GO:0031532}; activation of MAPK activity {GO:0000187}; B cell differentiation {GO:0030183}; cell chemotaxis {GO:0060326}; cellular response to thyroid hormone stimulus {GO:0097067}; cytokine-mediated signaling pathway {GO:0019221}; dendritic cell cytokine production {GO:0002371}; detection of mechanical stimulus involved in sensory perception of sound {GO:0050910}; digestive tract development {GO:0048565}; ectopic germ cell programmed cell death {GO:0035234}; embryonic hemopoiesis {GO:0035162}; epithelial cell proliferation {GO:0050673}; erythrocyte differentiation {GO:0030218}; erythropoietin-mediated signaling pathway {GO:0038162}; Fc receptor signaling pathway {GO:0038093}; germ cell migration {GO:0008354}; glycosphingolipid metabolic process {GO:0006687}; hematopoietic progenitor cell differentiation {GO:0002244}; hematopoietic stem cell migration {GO:0035701}; hemopoiesis {GO:0030097}; immature B cell differentiation {GO:0002327}; inflammatory response {GO:0006954}; Kit signaling pathway {GO:0038109}; lamellipodium assembly {GO:0030032}; lymphoid progenitor cell differentiation {GO:0002320}; male gonad development {GO:0008584}; MAPK cascade {GO:0000165}; mast cell chemotaxis {GO:0002551}; mast cell cytokine production {GO:0032762}; mast cell degranulation {GO:0043303}; mast cell differentiation {GO:0060374}; mast cell proliferation {GO:0070662}; megakaryocyte development {GO:0035855}; melanocyte adhesion {GO:0097326}; melanocyte differentiation {GO:0030318}; melanocyte migration {GO:0097324}; myeloid progenitor cell differentiation {GO:0002318}; negative regulation of programmed cell death {GO:0043069}; ovarian follicle development {GO:0001541}; peptidyl-tyrosine phosphorylation {GO:0018108}; pigmentation {GO:0043473}; positive regulation of cell migration {GO:0030335}; positive regulation of cell population proliferation {GO:0008284}; positive regulation of colon smooth muscle contraction {GO:1904343}; positive regulation of DNA-binding transcription factor activity {GO:0051091}; positive regulation of ERK1 and ERK2 cascade {GO:0070374}; positive regulation of gene expression {GO:0010628}; positive regulation of long-term neuronal synaptic plasticity {GO:0048170}; positive regulation of MAP kinase activity {GO:0043406}; positive regulation of MAPK cascade {GO:0043410}; positive regulation of Notch signaling pathway {GO:0045747}; positive regulation of phosphatidylinositol 3-kinase activity {GO:0043552}; positive regulation of phosphatidylinositol 3-kinase signaling {GO:0014068}; positive regulation of phospholipase C activity {GO:0010863}; positive regulation of protein kinase B signaling {GO:0051897}; positive regulation of pseudopodium assembly {GO:0031274}; positive regulation of pyloric antrum smooth muscle contraction {GO:0120072}; positive regulation of receptor signaling pathway via JAK-STAT {GO:0046427}; positive regulation of small intestine smooth muscle contraction {GO:1904349}; positive regulation of tyrosine phosphorylation of STAT protein {GO:0042531}; positive regulation of vascular smooth muscle cell differentiation {GO:1905065}; protein autophosphorylation {GO:0046777}; regulation of bile acid metabolic process {GO:1904251}; regulation of cell population proliferation {GO:0042127}; regulation of cell shape {GO:0008360}; regulation of developmental pigmentation {GO:0048070}; regulation of transcription by RNA polymerase II {GO:0006357}; response to cadmium ion {GO:0046686}; signal transduction {GO:0007165}; somatic stem cell division {GO:0048103}; somatic stem cell population maintenance {GO:0035019}; spermatid development {GO:0007286}; spermatogenesis {GO:0007283}; stem cell differentiation {GO:0048863}; stem cell population maintenance {GO:0019827}; T cell differentiation {GO:0030217}; tongue development {GO:0043586}; transmembrane receptor protein tyrosine kinase signaling pathway {GO:0007169}; visual learning {GO:0008542}</t>
  </si>
  <si>
    <t>acrosomal vesicle {GO:0001669}; cell-cell junction {GO:0005911}; cytoplasmic side of plasma membrane {GO:0009898}; external side of plasma membrane {GO:0009897}; extracellular space {GO:0005615}; integral component of plasma membrane {GO:0005887}; mast cell granule {GO:0042629}; plasma membrane {GO:0005886}; receptor complex {GO:0043235}</t>
  </si>
  <si>
    <t>ATP binding {GO:0005524}; cytokine binding {GO:0019955}; metal ion binding {GO:0046872}; protease binding {GO:0002020}; protein homodimerization activity {GO:0042803}; protein tyrosine kinase activity {GO:0004713}; SH2 domain binding {GO:0042169}; stem cell factor receptor activity {GO:0005020}; transmembrane receptor protein tyrosine kinase activity {GO:0004714}</t>
  </si>
  <si>
    <t>PIP3 activates AKT signaling {R-HSA-1257604}; Signaling by SCF-KIT {R-HSA-1433557}; Regulation of KIT signaling {R-HSA-1433559}; Constitutive Signaling by Aberrant PI3K in Cancer {R-HSA-2219530}; RAF/MAP kinase cascade {R-HSA-5673001}; PI5P, PP2A and IER3 Regulate PI3K/AKT Signaling {R-HSA-6811558}; TFAP2 (AP-2) family regulates transcription of growth factors and their receptors {R-HSA-8866910}</t>
  </si>
  <si>
    <t>Fibroblast growth factor receptor 1 (FGFR-1)</t>
  </si>
  <si>
    <t>Basic fibroblast growth factor receptor 1 (BFGFR; bFGF-R-1); Fms-like tyrosine kinase 2 (FLT-2); N-sam; Proto-oncogene c-Fgr; CD_antigen=CD331</t>
  </si>
  <si>
    <t>FGFR1_HUMAN</t>
  </si>
  <si>
    <t>P11362</t>
  </si>
  <si>
    <t>A8K6T9; A8K8V5; C1KBH8; P17049; Q02063; Q02065; Q14306; Q14307; Q53H63; Q59H40; Q5BJG2; Q8N685; Q9UD50; Q9UDF0; Q9UDF1; Q9UDF2</t>
  </si>
  <si>
    <t>BFGFR; CEK; FGFBR; FLG; FLT2; HBGFR</t>
  </si>
  <si>
    <t>3D-structure; Alternative splicing; ATP-binding; Cell membrane; Chromosomal rearrangement; Craniosynostosis; Cytoplasm; Cytoplasmic vesicle; Disease mutation; Disulfide bond; Dwarfism; Glycoprotein; Heparin-binding; Holoprosencephaly; Hypogonadotropic hypogonadism; Immunoglobulin domain; Kallmann syndrome; Kinase; Membrane; Mental retardation; Nucleotide-binding; Nucleus; Phosphoprotein; Polymorphism; Receptor; Repeat; Signal; Transcription; Transcription regulation; Transferase; Transmembrane; Transmembrane helix; Tyrosine-protein kinase; Ubl conjugation</t>
  </si>
  <si>
    <t>Cell membrane; Cytoplasm; Cytoplasmic vesicle; Membrane; Nucleus</t>
  </si>
  <si>
    <t>Craniosynostosis; Disease mutation; Dwarfism; Holoprosencephaly; Hypogonadotropic hypogonadism; Kallmann syndrome; Mental retardation</t>
  </si>
  <si>
    <t>Heparin-binding; Kinase; Receptor; Transferase; Tyrosine-protein kinase</t>
  </si>
  <si>
    <t>angiogenesis {GO:0001525}; auditory receptor cell development {GO:0060117}; branching involved in salivary gland morphogenesis {GO:0060445}; cell maturation {GO:0048469}; cell migration {GO:0016477}; chondrocyte differentiation {GO:0002062}; chordate embryonic development {GO:0043009}; embryonic limb morphogenesis {GO:0030326}; fibroblast growth factor receptor signaling pathway {GO:0008543}; fibroblast growth factor receptor signaling pathway involved in orbitofrontal cortex development {GO:0035607}; in utero embryonic development {GO:0001701}; inner ear morphogenesis {GO:0042472}; lung-associated mesenchyme development {GO:0060484}; MAPK cascade {GO:0000165}; mesenchymal cell differentiation {GO:0048762}; midbrain development {GO:0030901}; middle ear morphogenesis {GO:0042474}; negative regulation of fibroblast growth factor production {GO:0090272}; negative regulation of transcription by RNA polymerase II {GO:0000122}; nervous system development {GO:0007399}; neuron migration {GO:0001764}; organ induction {GO:0001759}; outer ear morphogenesis {GO:0042473}; paraxial mesoderm development {GO:0048339}; peptidyl-tyrosine phosphorylation {GO:0018108}; phosphatidylinositol-mediated signaling {GO:0048015}; positive regulation of blood vessel endothelial cell migration {GO:0043536}; positive regulation of cardiac muscle cell proliferation {GO:0060045}; positive regulation of cell differentiation {GO:0045597}; positive regulation of cell population proliferation {GO:0008284}; positive regulation of endothelial cell chemotaxis to fibroblast growth factor {GO:2000546}; positive regulation of MAP kinase activity {GO:0043406}; positive regulation of MAPK cascade {GO:0043410}; positive regulation of MAPKKK cascade by fibroblast growth factor receptor signaling pathway {GO:0090080}; positive regulation of mesenchymal cell proliferation {GO:0002053}; positive regulation of mitotic cell cycle DNA replication {GO:1903465}; positive regulation of neuron differentiation {GO:0045666}; positive regulation of neuron projection development {GO:0010976}; positive regulation of parathyroid hormone secretion {GO:2000830}; positive regulation of phosphatidylinositol 3-kinase signaling {GO:0014068}; positive regulation of phospholipase activity {GO:0010518}; positive regulation of phospholipase C activity {GO:0010863}; positive regulation of protein kinase B signaling {GO:0051897}; positive regulation of vascular endothelial cell proliferation {GO:1905564}; protein autophosphorylation {GO:0046777}; protein phosphorylation {GO:0006468}; regulation of branching involved in salivary gland morphogenesis by mesenchymal-epithelial signaling {GO:0060665}; regulation of cell differentiation {GO:0045595}; regulation of extrinsic apoptotic signaling pathway in absence of ligand {GO:2001239}; regulation of lateral mesodermal cell fate specification {GO:0048378}; regulation of phosphate transport {GO:0010966}; sensory perception of sound {GO:0007605}; skeletal system development {GO:0001501}; skeletal system morphogenesis {GO:0048705}; transmembrane receptor protein tyrosine kinase signaling pathway {GO:0007169}; ureteric bud development {GO:0001657}; ventricular zone neuroblast division {GO:0021847}; vitamin D3 metabolic process {GO:0070640}</t>
  </si>
  <si>
    <t>cytoplasmic vesicle {GO:0031410}; cytosol {GO:0005829}; extracellular region {GO:0005576}; integral component of membrane {GO:0016021}; integral component of plasma membrane {GO:0005887}; nucleolus {GO:0005730}; plasma membrane {GO:0005886}; receptor complex {GO:0043235}</t>
  </si>
  <si>
    <t>ATP binding {GO:0005524}; fibroblast growth factor binding {GO:0017134}; fibroblast growth factor-activated receptor activity {GO:0005007}; heparin binding {GO:0008201}; identical protein binding {GO:0042802}; protein homodimerization activity {GO:0042803}; protein tyrosine kinase activity {GO:0004713}; receptor-receptor interaction {GO:0090722}; SH2 domain binding {GO:0042169}; transmembrane receptor protein tyrosine kinase activity {GO:0004714}</t>
  </si>
  <si>
    <t>PI3K Cascade {R-HSA-109704}; PIP3 activates AKT signaling {R-HSA-1257604}; Signaling by FGFR1 amplification mutants {R-HSA-1839120}; Signaling by activated point mutants of FGFR1 {R-HSA-1839122}; FGFR1b ligand binding and activation {R-HSA-190370}; FGFR1c ligand binding and activation {R-HSA-190373}; FGFR1c and Klotho ligand binding and activation {R-HSA-190374}; Constitutive Signaling by Aberrant PI3K in Cancer {R-HSA-2219530}; NCAM signaling for neurite out-growth {R-HSA-375165}; Signal transduction by L1 {R-HSA-445144}; Phospholipase C-mediated cascade: FGFR1 {R-HSA-5654219}; Downstream signaling of activated FGFR1 {R-HSA-5654687}; SHC-mediated cascade:FGFR1 {R-HSA-5654688}; PI-3K cascade:FGFR1 {R-HSA-5654689}; FRS-mediated FGFR1 signaling {R-HSA-5654693}; Negative regulation of FGFR1 signaling {R-HSA-5654726}; Signaling by FGFR1 in disease {R-HSA-5655302}; RAF/MAP kinase cascade {R-HSA-5673001}; PI5P, PP2A and IER3 Regulate PI3K/AKT Signaling {R-HSA-6811558}; Signaling by plasma membrane FGFR1 fusions {R-HSA-8853336}</t>
  </si>
  <si>
    <t>Scavenger receptor class A member 3</t>
  </si>
  <si>
    <t>Cellular stress response gene protein</t>
  </si>
  <si>
    <t>SCAR3_HUMAN</t>
  </si>
  <si>
    <t>Q6AZY7</t>
  </si>
  <si>
    <t>Q9UM15; Q9UM16</t>
  </si>
  <si>
    <t>CSR</t>
  </si>
  <si>
    <t>Alternative splicing; Collagen; Endoplasmic reticulum; Glycoprotein; Golgi apparatus; Membrane; Polymorphism; Repeat; Signal-anchor; Transmembrane; Transmembrane helix</t>
  </si>
  <si>
    <t>Collagen; Repeat; Signal-anchor; Transmembrane; Transmembrane helix</t>
  </si>
  <si>
    <t>complement activation, lectin pathway {GO:0001867}; growth plate cartilage chondrocyte morphogenesis {GO:0003429}; response to oxidative stress {GO:0006979}; UV protection {GO:0009650}</t>
  </si>
  <si>
    <t>collagen trimer {GO:0005581}; collagen-containing extracellular matrix {GO:0062023}; endoplasmic reticulum {GO:0005783}; endoplasmic reticulum membrane {GO:0005789}; extracellular matrix {GO:0031012}; extracellular space {GO:0005615}; Golgi membrane {GO:0000139}; integral component of membrane {GO:0016021}</t>
  </si>
  <si>
    <t>calcium ion binding {GO:0005509}; mannose binding {GO:0005537}; scavenger receptor activity {GO:0005044}</t>
  </si>
  <si>
    <t>60S ribosomal protein L5</t>
  </si>
  <si>
    <t>Large ribosomal subunit protein uL18</t>
  </si>
  <si>
    <t>RL5_HUMAN</t>
  </si>
  <si>
    <t>P46777</t>
  </si>
  <si>
    <t>Q32LZ3; Q53HH6; Q9H3F4</t>
  </si>
  <si>
    <t>3D-structure; Acetylation; Cytoplasm; Diamond-Blackfan anemia; Disease mutation; Isopeptide bond; Nucleus; Phosphoprotein; Polymorphism; Ribonucleoprotein; Ribosomal protein; RNA-binding; rRNA-binding; Ubl conjugation</t>
  </si>
  <si>
    <t>RNA-binding; Ribonucleoprotein; Ribosomal protein; rRNA-binding</t>
  </si>
  <si>
    <t>negative regulation of protein neddylation {GO:2000435}; negative regulation of ubiquitin protein ligase activity {GO:1904667}; negative regulation of ubiquitin-dependent protein catabolic process {GO:2000059}; nuclear-transcribed mRNA catabolic process, nonsense-mediated decay {GO:0000184}; positive regulation of gene expression {GO:0010628}; positive regulation of translation {GO:0045727}; protein stabilization {GO:0050821}; regulation of signal transduction by p53 class mediator {GO:1901796}; ribosomal large subunit assembly {GO:0000027};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</si>
  <si>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endoplasmic reticulum {GO:0005783}; extracellular exosome {GO:0070062}; focal adhesion {GO:0005925}; membrane {GO:0016020}; nucleolus {GO:0005730}; nucleoplasm {GO:0005654}; nucleus {GO:0005634}; protein-containing complex {GO:0032991}; ribonucleoprotein complex {GO:1990904}</t>
  </si>
  <si>
    <t>5S rRNA binding {GO:0008097}; mRNA 3'-UTR binding {GO:0003730}; mRNA 5'-UTR binding {GO:0048027}; RNA binding {GO:0003723}; structural constituent of ribosome {GO:0003735}; ubiquitin ligase inhibitor activity {GO:1990948}; ubiquitin protein ligase binding {GO:0031625}</t>
  </si>
  <si>
    <t>Fibrinogen beta chain</t>
  </si>
  <si>
    <t>FIBB_HUMAN</t>
  </si>
  <si>
    <t>P02675</t>
  </si>
  <si>
    <t>A0JLR9; B2R7G3; Q32Q65; Q3KPF2</t>
  </si>
  <si>
    <t>3D-structure; Adaptive immunity; Blood coagulation; Coiled coil; Disease mutation; Disulfide bond; Glycoprotein; Hemostasis; Immunity; Innate immunity; Polymorphism; Pyrrolidone carboxylic acid; Secreted; Signal</t>
  </si>
  <si>
    <t>Adaptive immunity; Blood coagulation; Hemostasis; Immunity; Innate immunity</t>
  </si>
  <si>
    <t>adaptive immune response {GO:0002250}; blood coagulation {GO:0007596}; blood coagulation, fibrin clot formation {GO:0072378}; cell-matrix adhesion {GO:0007160}; cellular protein-containing complex assembly {GO:0034622}; cellular response to interleukin-1 {GO:0071347}; cellular response to leptin stimulus {GO:0044320}; extracellular matrix organization {GO:0030198}; fibrinolysis {GO:0042730}; induction of bacterial agglutination {GO:0043152}; innate immune response {GO:0045087}; negative regulation of endothelial cell apoptotic process {GO:2000352}; negative regulation of extrinsic apoptotic signaling pathway via death domain receptors {GO:1902042}; plasminogen activation {GO:0031639}; platelet aggregation {GO:0070527}; platelet degranulation {GO:0002576};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substrate adhesion-dependent cell spreading {GO:1900026}; positive regulation of vasoconstriction {GO:0045907}; protein polymerization {GO:0051258}; response to calcium ion {GO:0051592}; toll-like receptor signaling pathway {GO:0002224}</t>
  </si>
  <si>
    <t>blood microparticle {GO:0072562}; cell cortex {GO:0005938}; cell surface {GO:0009986}; collagen-containing extracellular matrix {GO:0062023}; endoplasmic reticulum {GO:0005783}; external side of plasma membrane {GO:0009897}; extracellular exosome {GO:0070062}; extracellular region {GO:0005576}; extracellular space {GO:0005615}; extracellular vesicle {GO:1903561}; fibrinogen complex {GO:0005577}; plasma membrane {GO:0005886}; platelet alpha granule {GO:0031091}; platelet alpha granule lumen {GO:0031093}; synapse {GO:0045202}</t>
  </si>
  <si>
    <t>chaperone binding {GO:0051087}; extracellular matrix structural constituent {GO:0005201}; signaling receptor binding {GO:0005102}; structural molecule activity {GO:0005198}</t>
  </si>
  <si>
    <t>Platelet degranulation {R-HSA-114608}; Common Pathway of Fibrin Clot Formation {R-HSA-140875}; Integrin cell surface interactions {R-HSA-216083}; Integrin alphaIIb beta3 signaling {R-HSA-354192}; GRB2:SOS provides linkage to MAPK signaling for Integrins {R-HSA-354194}; p130Cas linkage to MAPK signaling for integrins {R-HSA-372708}; MAP2K and MAPK activation {R-HSA-5674135}; Regulation of TLR by endogenous ligand {R-HSA-5686938};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</si>
  <si>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Anthrax toxin receptor 2</t>
  </si>
  <si>
    <t>Capillary morphogenesis gene 2 protein (CMG-2)</t>
  </si>
  <si>
    <t>ANTR2_HUMAN</t>
  </si>
  <si>
    <t>P58335</t>
  </si>
  <si>
    <t>Q4W5H6; Q59E98; Q5JPE9; Q86UI1; Q8N4J8; Q8NB13; Q96NC7</t>
  </si>
  <si>
    <t>CMG2</t>
  </si>
  <si>
    <t>3D-structure; Alternative splicing; Cell membrane; Disease mutation; Disulfide bond; Endoplasmic reticulum; Glycoprotein; Membrane; Metal-binding; Phosphoprotein; Polymorphism; Receptor; Secreted; Signal; Transmembrane; Transmembrane helix</t>
  </si>
  <si>
    <t>Cell membrane; Endoplasmic reticulum; Membrane; Secreted</t>
  </si>
  <si>
    <t>reproductive process {GO:0022414}; toxin transport {GO:1901998}</t>
  </si>
  <si>
    <t>cell surface {GO:0009986}; endoplasmic reticulum membrane {GO:0005789}; endosome membrane {GO:0010008}; external side of plasma membrane {GO:0009897}; extracellular region {GO:0005576}; integral component of membrane {GO:0016021}; plasma membrane {GO:0005886}</t>
  </si>
  <si>
    <t>metal ion binding {GO:0046872}; transmembrane signaling receptor activity {GO:0004888}</t>
  </si>
  <si>
    <t>Uptake and function of anthrax toxins {R-HSA-5210891}</t>
  </si>
  <si>
    <t>Kinesin-like protein KIF13B</t>
  </si>
  <si>
    <t>Kinesin-like protein GAKIN</t>
  </si>
  <si>
    <t>KI13B_HUMAN</t>
  </si>
  <si>
    <t>Q9NQT8</t>
  </si>
  <si>
    <t>B4DGY5; B5MC45; F8VPJ2; O75134; Q9BYJ6</t>
  </si>
  <si>
    <t>GAKIN; KIAA0639</t>
  </si>
  <si>
    <t>3D-structure; Alternative splicing; ATP-binding; Cell projection; Coiled coil; Cytoplasm; Cytoskeleton; Microtubule; Motor protein; Nucleotide-binding; Phosphoprotein; Polymorphism</t>
  </si>
  <si>
    <t>Cell projection; Cytoplasm; Cytoskeleton; Microtubule</t>
  </si>
  <si>
    <t>microtubule-based movement {GO:0007018}; protein targeting {GO:0006605}; regulation of axonogenesis {GO:0050770}; signal transduction {GO:0007165}; T cell activation {GO:0042110}</t>
  </si>
  <si>
    <t>axon {GO:0030424}; cytoplasm {GO:0005737}; cytosol {GO:0005829}; kinesin complex {GO:0005871}; microtubule {GO:0005874}; microvillus {GO:0005902}; paranode region of axon {GO:0033270}</t>
  </si>
  <si>
    <t>14-3-3 protein binding {GO:0071889}; ATP binding {GO:0005524}; ATPase activity {GO:0016887}; microtubule binding {GO:0008017}; microtubule motor activity {GO:0003777}; protein kinase binding {GO:0019901}</t>
  </si>
  <si>
    <t>COPI-dependent Golgi-to-ER retrograde traffic {R-HSA-6811434}; Kinesins {R-HSA-983189}</t>
  </si>
  <si>
    <t>Electrogenic sodium bicarbonate cotransporter 1 (Sodium bicarbonate cotransporter)</t>
  </si>
  <si>
    <t>Na(+)/HCO3(-) cotransporter; Solute carrier family 4 member 4; kNBC1</t>
  </si>
  <si>
    <t>S4A4_HUMAN</t>
  </si>
  <si>
    <t>Q9Y6R1</t>
  </si>
  <si>
    <t>C4B714; O15153; Q8NEJ2; Q9H262; Q9NRZ1; Q9UIC0; Q9UIC1; Q9UP50</t>
  </si>
  <si>
    <t>NBC; NBC1; NBCE1</t>
  </si>
  <si>
    <t>3D-structure; Alternative splicing; Cell membrane; Disease mutation; Disulfide bond; Glycoprotein; Ion transport; Membrane; Phosphoprotein; Retinitis pigmentosa; Sodium; Sodium transport; Symport; Transmembrane; Transmembrane helix; Transport</t>
  </si>
  <si>
    <t>Disease mutation; Retinitis pigmentosa</t>
  </si>
  <si>
    <t>bicarbonate transport {GO:0015701}; regulation of intracellular pH {GO:0051453}; sodium ion transport {GO:0006814}</t>
  </si>
  <si>
    <t>basolateral plasma membrane {GO:0016323}; extracellular exosome {GO:0070062}; integral component of plasma membrane {GO:0005887}; plasma membrane {GO:0005886}</t>
  </si>
  <si>
    <t>identical protein binding {GO:0042802}; inorganic anion exchanger activity {GO:0005452}; sodium:bicarbonate symporter activity {GO:0008510}</t>
  </si>
  <si>
    <t>Bicarbonate transporters {R-HSA-425381}; Defective SLC4A4 causes renal tubular acidosis, proximal, with ocular abnormalities and mental retardation (pRTA-OA) {R-HSA-5619054}</t>
  </si>
  <si>
    <t>Stathmin</t>
  </si>
  <si>
    <t>Leukemia-associated phosphoprotein p18; Metablastin; Oncoprotein 18 (Op18); Phosphoprotein p19 (pp19); Prosolin; Protein Pr22; pp17</t>
  </si>
  <si>
    <t>STMN1_HUMAN</t>
  </si>
  <si>
    <t>P16949</t>
  </si>
  <si>
    <t>A2A2D1; B2R4E7; B7Z8N4; D3DPJ5</t>
  </si>
  <si>
    <t>C1orf215; LAP18; OP18</t>
  </si>
  <si>
    <t>Acetylation; Alternative splicing; Coiled coil; Cytoplasm; Cytoskeleton; Developmental protein; Differentiation; Methylation; Microtubule; Neurogenesis; Phosphoprotein</t>
  </si>
  <si>
    <t>axonogenesis {GO:0007409}; brain development {GO:0007420}; establishment of skin barrier {GO:0061436}; hepatocyte growth factor receptor signaling pathway {GO:0048012}; intracellular signal transduction {GO:0035556}; microtubule depolymerization {GO:0007019}; mitotic cytokinesis {GO:0000281}; mitotic spindle organization {GO:0007052}; negative regulation of guanyl-nucleotide exchange factor activity {GO:1905098}; negative regulation of microtubule polymerization {GO:0031115}; negative regulation of Rho protein signal transduction {GO:0035024}; negative regulation of stress fiber assembly {GO:0051497}; negative regulation of thrombin-activated receptor signaling pathway {GO:0070495}; neuron projection development {GO:0031175}; positive regulation of cellular component movement {GO:0051272}; regulation of cytoskeleton organization {GO:0051493}; regulation of microtubule polymerization or depolymerization {GO:0031110}; response to virus {GO:0009615}; signal transduction {GO:0007165}</t>
  </si>
  <si>
    <t>cytoplasm {GO:0005737}; cytosol {GO:0005829}; extracellular exosome {GO:0070062}; intracellular {GO:0005622}; membrane {GO:0016020}; microtubule {GO:0005874}; neuron projection {GO:0043005}</t>
  </si>
  <si>
    <t>tubulin binding {GO:0015631}</t>
  </si>
  <si>
    <t>Lipoprotein lipase (LPL)</t>
  </si>
  <si>
    <t>LIPL_HUMAN</t>
  </si>
  <si>
    <t>P06858</t>
  </si>
  <si>
    <t>B2R5T9; Q16282; Q16283; Q96FC4</t>
  </si>
  <si>
    <t>LIPD</t>
  </si>
  <si>
    <t>3D-structure; Calcium; Cell membrane; Chylomicron; Disease mutation; Disulfide bond; Extracellular matrix; Glycoprotein; Heparin-binding; Hydrolase; Hyperlipidemia; Lipid degradation; Lipid metabolism; Membrane; Metal-binding; Nitration; Polymorphism; Secreted; Signal; VLDL</t>
  </si>
  <si>
    <t>Cell membrane; Chylomicron; Extracellular matrix; Membrane; Secreted; VLDL</t>
  </si>
  <si>
    <t>Disease mutation; Hyperlipidemia</t>
  </si>
  <si>
    <t>Disulfide bond; Glycoprotein; Nitration</t>
  </si>
  <si>
    <t>cellular response to fatty acid {GO:0071398}; cellular response to nutrient {GO:0031670}; cholesterol homeostasis {GO:0042632}; chylomicron remodeling {GO:0034371}; fatty acid biosynthetic process {GO:0006633}; fatty acid metabolic process {GO:0006631}; high-density lipoprotein particle remodeling {GO:0034375}; lipid catabolic process {GO:0016042}; low-density lipoprotein particle mediated signaling {GO:0055096}; negative regulation of cellular response to insulin stimulus {GO:1900077}; phospholipid metabolic process {GO:0006644}; positive regulation of chemokine (C-C motif) ligand 2 secretion {GO:1904209}; positive regulation of chemokine secretion {GO:0090197}; positive regulation of cholesterol storage {GO:0010886}; positive regulation of fat cell differentiation {GO:0045600}; positive regulation of inflammatory response {GO:0050729}; positive regulation of interleukin-1 beta secretion {GO:0050718}; positive regulation of interleukin-6 secretion {GO:2000778}; positive regulation of lipid storage {GO:0010884}; positive regulation of macrophage derived foam cell differentiation {GO:0010744}; positive regulation of sequestering of triglyceride {GO:0010890}; positive regulation of tumor necrosis factor secretion {GO:1904469}; regulation of lipoprotein lipase activity {GO:0051004}; response to bacterium {GO:0009617}; response to cold {GO:0009409}; response to drug {GO:0042493}; response to glucose {GO:0009749}; retinoid metabolic process {GO:0001523}; triglyceride biosynthetic process {GO:0019432}; triglyceride catabolic process {GO:0019433}; triglyceride homeostasis {GO:0070328}; triglyceride metabolic process {GO:0006641}; very-low-density lipoprotein particle remodeling {GO:0034372}</t>
  </si>
  <si>
    <t>cell surface {GO:0009986}; chylomicron {GO:0042627}; extracellular region {GO:0005576}; extracellular space {GO:0005615}; plasma membrane {GO:0005886}; very-low-density lipoprotein particle {GO:0034361}</t>
  </si>
  <si>
    <t>apolipoprotein binding {GO:0034185}; calcium ion binding {GO:0005509}; heparan sulfate proteoglycan binding {GO:0043395}; heparin binding {GO:0008201}; lipase activity {GO:0016298}; lipoprotein lipase activity {GO:0004465}; lipoprotein particle binding {GO:0071813}; phospholipase activity {GO:0004620}; protein homodimerization activity {GO:0042803}; protein membrane anchor {GO:0043495}; signaling receptor binding {GO:0005102}; triglyceride binding {GO:0017129}; triglyceride lipase activity {GO:0004806}</t>
  </si>
  <si>
    <t>Transcriptional regulation of white adipocyte differentiation {R-HSA-381340}; Assembly of active LPL and LIPC lipase complexes {R-HSA-8963889}; Chylomicron remodeling {R-HSA-8963901}; Retinoid metabolism and transport {R-HSA-975634}</t>
  </si>
  <si>
    <t>Homeodomain-only protein</t>
  </si>
  <si>
    <t>Lung cancer-associated Y protein; Not expressed in choriocarcinoma protein 1; Odd homeobox protein 1</t>
  </si>
  <si>
    <t>HOP_HUMAN</t>
  </si>
  <si>
    <t>Q9BPY8</t>
  </si>
  <si>
    <t>A8K0Z2; E9PB55; G3V294; Q8N0V6; Q96CI1</t>
  </si>
  <si>
    <t>HOD; HOP; LAGY; NECC1; OB1</t>
  </si>
  <si>
    <t>Alternative splicing; Cytoplasm; Developmental protein; Homeobox; Nucleus; Proto-oncogene; Repressor; Transcription; Transcription regulation</t>
  </si>
  <si>
    <t>Homeobox</t>
  </si>
  <si>
    <t>Developmental protein; Repressor</t>
  </si>
  <si>
    <t>chaperone-mediated protein complex assembly {GO:0051131}; negative regulation of cell differentiation {GO:0045596}; trophectodermal cell differentiation {GO:0001829}</t>
  </si>
  <si>
    <t>DNA binding {GO:0003677}; DNA-binding transcription factor activity, RNA polymerase II-specific {GO:0000981}</t>
  </si>
  <si>
    <t>Serine protease inhibitor Kazal-type 2</t>
  </si>
  <si>
    <t>Acrosin-trypsin inhibitor; Epididymis tissue protein Li 172; HUSI-II</t>
  </si>
  <si>
    <t>ISK2_HUMAN</t>
  </si>
  <si>
    <t>P20155</t>
  </si>
  <si>
    <t>Q6FGH2</t>
  </si>
  <si>
    <t>3D-structure; Cytoplasmic vesicle; Disulfide bond; Protease inhibitor; Pyrrolidone carboxylic acid; Secreted; Serine protease inhibitor; Signal</t>
  </si>
  <si>
    <t>acrosome assembly {GO:0001675}; negative regulation of serine-type endopeptidase activity {GO:1900004}; spermatid development {GO:0007286}</t>
  </si>
  <si>
    <t>acrosomal vesicle {GO:0001669}; extracellular region {GO:0005576}</t>
  </si>
  <si>
    <t>Enolase-phosphatase E1</t>
  </si>
  <si>
    <t>2,3-diketo-5-methylthio-1-phosphopentane phosphatase; MASA homolog</t>
  </si>
  <si>
    <t>ENOPH_HUMAN</t>
  </si>
  <si>
    <t>Q9UHY7</t>
  </si>
  <si>
    <t>Q7Z4C5; Q9BVC2</t>
  </si>
  <si>
    <t>3D-structure; Alternative splicing; Amino-acid biosynthesis; Cytoplasm; Hydrolase; Magnesium; Metal-binding; Methionine biosynthesis; Nucleus</t>
  </si>
  <si>
    <t>cytosol {GO:0005829}; nucleus {GO:0005634}</t>
  </si>
  <si>
    <t>2,3-diketo-5-methylthiopentyl-1-phosphate enolase activity {GO:0043715}; 2-hydroxy-3-keto-5-methylthiopentenyl-1-phosphate phosphatase activity {GO:0043716}; acireductone synthase activity {GO:0043874}; magnesium ion binding {GO:0000287}</t>
  </si>
  <si>
    <t>Amino-acid biosynthesis; L-methionine biosynthesis via salvage pathway; L-methionine from S-methyl-5-thio-alpha-D-ribose 1-phosphate: step 4/6..</t>
  </si>
  <si>
    <t>Glutathione reductase, mitochondrial (GR; GRase)</t>
  </si>
  <si>
    <t>GSHR_HUMAN</t>
  </si>
  <si>
    <t>P00390</t>
  </si>
  <si>
    <t>C8KIL8; C8KIL9; C8KIM0; D3DSV3; Q7Z5C9; Q9NP63</t>
  </si>
  <si>
    <t>GLUR; GRD1</t>
  </si>
  <si>
    <t>3D-structure; Acetylation; Alternative initiation; Alternative splicing; Cytoplasm; Disulfide bond; FAD; Flavoprotein; Mitochondrion; NADP; Oxidoreductase; Polymorphism; Redox-active center; Transit peptide</t>
  </si>
  <si>
    <t>cell redox homeostasis {GO:0045454}; cellular response to oxidative stress {GO:0034599}; glutathione metabolic process {GO:0006749}; nucleobase-containing small molecule interconversion {GO:0015949}</t>
  </si>
  <si>
    <t>cytosol {GO:0005829}; external side of plasma membrane {GO:0009897}; extracellular exosome {GO:0070062}; mitochondrial matrix {GO:0005759}; mitochondrion {GO:0005739}</t>
  </si>
  <si>
    <t>electron transfer activity {GO:0009055}; flavin adenine dinucleotide binding {GO:0050660}; glutathione-disulfide reductase activity {GO:0004362}; NADP binding {GO:0050661}</t>
  </si>
  <si>
    <t>Metabolism of ingested H2SeO4 and H2SeO3 into H2Se {R-HSA-2408550}; Detoxification of Reactive Oxygen Species {R-HSA-3299685}; Interconversion of nucleotide di- and triphosphates {R-HSA-499943}; TP53 Regulates Metabolic Genes {R-HSA-5628897}</t>
  </si>
  <si>
    <t>Lymphocyte function-associated antigen 3 (Ag3)</t>
  </si>
  <si>
    <t>Surface glycoprotein LFA-3; CD_antigen=CD58</t>
  </si>
  <si>
    <t>LFA3_HUMAN</t>
  </si>
  <si>
    <t>P19256</t>
  </si>
  <si>
    <t>A8K7G5; Q5U053; Q6IB65; Q96KI9</t>
  </si>
  <si>
    <t>LFA3</t>
  </si>
  <si>
    <t>3D-structure; Alternative splicing; Cell membrane; Disulfide bond; Glycoprotein; Immunoglobulin domain; Membrane; Polymorphism; Signal; Transmembrane; Transmembrane helix</t>
  </si>
  <si>
    <t>cell-cell adhesion {GO:0098609}; cellular response to interferon-gamma {GO:0071346}; cellular response to tumor necrosis factor {GO:0071356}; heterotypic cell-cell adhesion {GO:0034113}; leukocyte migration {GO:0050900}; neutrophil degranulation {GO:0043312}; positive regulation of interleukin-8 secretion {GO:2000484}</t>
  </si>
  <si>
    <t>cell surface {GO:0009986}; extracellular exosome {GO:0070062}; ficolin-1-rich granule membrane {GO:0101003}; integral component of plasma membrane {GO:0005887}; membrane {GO:0016020}; plasma membrane {GO:0005886}; secretory granule membrane {GO:0030667}</t>
  </si>
  <si>
    <t>Cell surface interactions at the vascular wall {R-HSA-202733}; Neutrophil degranulation {R-HSA-6798695}</t>
  </si>
  <si>
    <t>WD repeat-containing protein 1</t>
  </si>
  <si>
    <t>Actin-interacting protein 1 (AIP1); NORI-1</t>
  </si>
  <si>
    <t>WDR1_HUMAN</t>
  </si>
  <si>
    <t>O75083</t>
  </si>
  <si>
    <t>A8K6E9; A8MPU4; O75313; Q8N6E5; Q9UG05; Q9UG78; Q9UQE0</t>
  </si>
  <si>
    <t>Acetylation; Actin-binding; Alternative splicing; Cell junction; Cell projection; Cytoplasm; Cytoskeleton; Phosphoprotein; Polymorphism; Repeat; WD repeat</t>
  </si>
  <si>
    <t>Cell junction; Cell projection; Cytoplasm; Cytoskeleton</t>
  </si>
  <si>
    <t>actin filament depolymerization {GO:0030042}; actin filament fragmentation {GO:0030043}; apical junction assembly {GO:0043297}; cortical cytoskeleton organization {GO:0030865}; establishment of planar polarity of follicular epithelium {GO:0042247}; locomotion {GO:0040011}; maintenance of epithelial cell apical/basal polarity {GO:0045199}; neutrophil mediated immunity {GO:0002446}; neutrophil migration {GO:1990266}; platelet degranulation {GO:0002576}; platelet formation {GO:0030220}; positive regulation of actin filament depolymerization {GO:0030836}; regulation of actin filament depolymerization {GO:0030834}; regulation of cell shape {GO:0008360}; regulation of oligodendrocyte differentiation {GO:0048713}; regulation of ventricular cardiac muscle cell membrane repolarization {GO:0060307}; sarcomere organization {GO:0045214}; sensory perception of sound {GO:0007605}</t>
  </si>
  <si>
    <t>actomyosin, actin portion {GO:0042643}; cell junction {GO:0030054}; cell projection {GO:0042995}; cell-cell junction {GO:0005911}; cortical actin cytoskeleton {GO:0030864}; cytosol {GO:0005829}; extracellular exosome {GO:0070062}; extracellular region {GO:0005576}; plasma membrane {GO:0005886}; podosome {GO:0002102}</t>
  </si>
  <si>
    <t>Phosphoribosylaminoimidazole carboxylase</t>
  </si>
  <si>
    <t>SAICAR synthetase; AIR carboxylase (AIRC)</t>
  </si>
  <si>
    <t>PUR6_HUMAN</t>
  </si>
  <si>
    <t>P22234</t>
  </si>
  <si>
    <t>E9PDH9; Q68CQ5</t>
  </si>
  <si>
    <t>ADE2; AIRC; PAIS</t>
  </si>
  <si>
    <t>3D-structure; Acetylation; Alternative splicing; ATP-binding; Decarboxylase; Ligase; Lyase; Multifunctional enzyme; Nucleotide-binding; Phosphoprotein; Polymorphism; Purine biosynthesis</t>
  </si>
  <si>
    <t>Decarboxylase; Ligase; Lyase; Multifunctional enzyme</t>
  </si>
  <si>
    <t>'de novo' IMP biosynthetic process {GO:0006189}; purine nucleobase biosynthetic process {GO:0009113}; purine ribonucleoside monophosphate biosynthetic process {GO:0009168}</t>
  </si>
  <si>
    <t>5-amino-4-imidazole carboxylate lyase activity {GO:0043727}; ATP binding {GO:0005524}; cadherin binding {GO:0045296}; identical protein binding {GO:0042802}; phosphoribosylaminoimidazole carboxylase activity {GO:0004638}; phosphoribosylaminoimidazolesuccinocarboxamide synthase activity {GO:0004639}</t>
  </si>
  <si>
    <t>Purine metabolism; IMP biosynthesis via de novo pathway; 5-amino-1-(5-phospho-D-ribosyl)imidazole-4-carboxylate from 5- amino-1-(5-phospho-D-ribosyl)imidazole (carboxylase route): step 1/1.</t>
  </si>
  <si>
    <t>Bone morphogenetic protein 1 (BMP-1)</t>
  </si>
  <si>
    <t>Mammalian tolloid protein (mTld); Procollagen C-proteinase (PCP)</t>
  </si>
  <si>
    <t>BMP1_HUMAN</t>
  </si>
  <si>
    <t>P13497</t>
  </si>
  <si>
    <t>A8K6F5; B2RN46; D3DSR0; Q13292; Q13872; Q14874; Q99421; Q99422; Q99423; Q9UL38</t>
  </si>
  <si>
    <t>PCOLC</t>
  </si>
  <si>
    <t>3D-structure; Alternative splicing; Calcium; Chondrogenesis; Cleavage on pair of basic residues; Cytokine; Developmental protein; Differentiation; Disease mutation; Disulfide bond; EGF-like domain; Extracellular matrix; Glycoprotein; Golgi apparatus; Growth factor; Hydrolase; Metal-binding; Metalloprotease; Methylation; Osteogenesis; Osteogenesis imperfecta; Polymorphism; Protease; Repeat; Secreted; Signal; Zinc; Zymogen</t>
  </si>
  <si>
    <t>Cytokine; Developmental protein; Growth factor; Hydrolase; Metalloprotease; Protease</t>
  </si>
  <si>
    <t>Cleavage on pair of basic residues; Disulfide bond; Glycoprotein; Methylation; Zymogen</t>
  </si>
  <si>
    <t>cartilage condensation {GO:0001502}; cell differentiation {GO:0030154}; extracellular matrix disassembly {GO:0022617}; high-density lipoprotein particle assembly {GO:0034380}; multicellular organism development {GO:0007275}; ossification {GO:0001503}; positive regulation of cartilage development {GO:0061036}; proteolysis {GO:0006508}; skeletal system development {GO:0001501}</t>
  </si>
  <si>
    <t>extracellular region {GO:0005576}; extracellular space {GO:0005615}; Golgi apparatus {GO:0005794}; vesicle {GO:0031982}</t>
  </si>
  <si>
    <t>calcium ion binding {GO:0005509}; cytokine activity {GO:0005125}; growth factor activity {GO:0008083}; identical protein binding {GO:0042802}; metalloendopeptidase activity {GO:0004222}; metallopeptidase activity {GO:0008237}; peptidase activity {GO:0008233}; zinc ion binding {GO:0008270}</t>
  </si>
  <si>
    <t>Degradation of the extracellular matrix {R-HSA-1474228}; Collagen biosynthesis and modifying enzymes {R-HSA-1650814}; Anchoring fibril formation {R-HSA-2214320}; Crosslinking of collagen fibrils {R-HSA-2243919}; HDL assembly {R-HSA-8963896}</t>
  </si>
  <si>
    <t>Indoleamine 2,3-dioxygenase 2 (IDO-2)</t>
  </si>
  <si>
    <t>Indoleamine 2,3-dioxygenase-like protein 1; Indoleamine-pyrrole 2,3-dioxygenase-like protein 1</t>
  </si>
  <si>
    <t>I23O2_HUMAN</t>
  </si>
  <si>
    <t>Q6ZQW0</t>
  </si>
  <si>
    <t>A4UD41; F5H5G0</t>
  </si>
  <si>
    <t>INDOL1</t>
  </si>
  <si>
    <t>Alternative splicing; Dioxygenase; Heme; Immunity; Iron; Metal-binding; Oxidoreductase; Polymorphism; Tryptophan catabolism</t>
  </si>
  <si>
    <t>Immunity; Tryptophan catabolism</t>
  </si>
  <si>
    <t>'de novo' NAD biosynthetic process from tryptophan {GO:0034354}; immune system process {GO:0002376}; tryptophan catabolic process {GO:0006569}; tryptophan catabolic process to kynurenine {GO:0019441}</t>
  </si>
  <si>
    <t>heme binding {GO:0020037}; indoleamine 2,3-dioxygenase activity {GO:0033754}; metal ion binding {GO:0046872}; tryptophan 2,3-dioxygenase activity {GO:0004833}</t>
  </si>
  <si>
    <t>Amino-acid degradation; L-tryptophan degradation via kynurenine pathway; L-kynurenine from L-tryptophan: step 1/2.</t>
  </si>
  <si>
    <t>Rab11 family-interacting protein 1 (Rab11-FIP1)</t>
  </si>
  <si>
    <t>Rab-coupling protein</t>
  </si>
  <si>
    <t>RFIP1_HUMAN</t>
  </si>
  <si>
    <t>Q6WKZ4</t>
  </si>
  <si>
    <t>J3KNP0; Q307T1; Q6AZK4; Q6WKZ2; Q6WKZ6; Q86YV4; Q8TDL1; Q9H642</t>
  </si>
  <si>
    <t>RCP</t>
  </si>
  <si>
    <t>3D-structure; Alternative splicing; Cytoplasmic vesicle; Endosome; Membrane; Phosphoprotein; Polymorphism; Protein transport; Transport</t>
  </si>
  <si>
    <t>Cytoplasmic vesicle; Endosome; Membrane</t>
  </si>
  <si>
    <t>negative regulation of adiponectin secretion {GO:0070164}; protein transport {GO:0015031}; regulated exocytosis {GO:0045055}</t>
  </si>
  <si>
    <t>cytosol {GO:0005829}; intracellular membrane-bounded organelle {GO:0043231}; phagocytic vesicle membrane {GO:0030670}; recycling endosome {GO:0055037}</t>
  </si>
  <si>
    <t>Rab GTPase binding {GO:0017137}</t>
  </si>
  <si>
    <t>Protein S100-P</t>
  </si>
  <si>
    <t>Migration-inducing gene 9 protein (MIG9); Protein S100-E; S100 calcium-binding protein P</t>
  </si>
  <si>
    <t>S100P_HUMAN</t>
  </si>
  <si>
    <t>P25815</t>
  </si>
  <si>
    <t>Q5J7W2</t>
  </si>
  <si>
    <t>S100E</t>
  </si>
  <si>
    <t>3D-structure; Calcium; Cell membrane; Cell projection; Cytoplasm; Membrane; Metal-binding; Nucleus; Repeat</t>
  </si>
  <si>
    <t>Cell membrane; Cell projection; Cytoplasm; Membrane; Nucleus</t>
  </si>
  <si>
    <t>endothelial cell migration {GO:0043542}; neutrophil degranulation {GO:0043312}; response to organic substance {GO:0010033}</t>
  </si>
  <si>
    <t>cytoplasm {GO:0005737}; extracellular exosome {GO:0070062}; extracellular region {GO:0005576}; microvillus membrane {GO:0031528}; nuclear body {GO:0016604}; nucleus {GO:0005634}; secretory granule lumen {GO:0034774}</t>
  </si>
  <si>
    <t>cadherin binding {GO:0045296}; calcium ion binding {GO:0005509}; calcium-dependent protein binding {GO:0048306}; magnesium ion binding {GO:0000287}; protein homodimerization activity {GO:0042803}; RAGE receptor binding {GO:0050786}; transition metal ion binding {GO:0046914}</t>
  </si>
  <si>
    <t>3-hydroxybutyrate dehydrogenase type 2</t>
  </si>
  <si>
    <t>Dehydrogenase/reductase SDR family member 6; Oxidoreductase UCPA; R-beta-hydroxybutyrate dehydrogenase; Short chain dehydrogenase/reductase family 15C member 1</t>
  </si>
  <si>
    <t>BDH2_HUMAN</t>
  </si>
  <si>
    <t>Q9BUT1</t>
  </si>
  <si>
    <t>A8K295; B4DUF6; Q503A0; Q6IA46; Q6UWD3; Q9H8S8; Q9NRX8</t>
  </si>
  <si>
    <t>DHRS6 SDR15C1</t>
  </si>
  <si>
    <t>3D-structure; Alternative splicing; Cytoplasm; NAD; Oxidoreductase; Polymorphism</t>
  </si>
  <si>
    <t>epithelial cell differentiation {GO:0030855}; fatty acid beta-oxidation {GO:0006635}; heme metabolic process {GO:0042168}; iron ion homeostasis {GO:0055072}; ketone body biosynthetic process {GO:0046951}; siderophore biosynthetic process {GO:0019290}</t>
  </si>
  <si>
    <t>3-hydroxybutyrate dehydrogenase activity {GO:0003858}; NAD binding {GO:0051287}; oxidoreductase activity, acting on the CH-CH group of donors, NAD or NADP as acceptor {GO:0016628}</t>
  </si>
  <si>
    <t>Siderophore biosynthesis..</t>
  </si>
  <si>
    <t>Synthesis of Ketone Bodies {R-HSA-77111}</t>
  </si>
  <si>
    <t>Ubiquitin-conjugating enzyme E2 D3</t>
  </si>
  <si>
    <t>(E3-independent) E2 ubiquitin-conjugating enzyme D3; E2 ubiquitin-conjugating enzyme D3; Ubiquitin carrier protein D3; Ubiquitin-conjugating enzyme E2(17)KB 3; Ubiquitin-conjugating enzyme E2-17 kDa 3; Ubiquitin-protein ligase D3</t>
  </si>
  <si>
    <t>UB2D3_HUMAN</t>
  </si>
  <si>
    <t>P61077</t>
  </si>
  <si>
    <t>A6NJ93; A6NJB1; A6NM99; P47986; Q6IB88; Q6NXS4; Q8N924</t>
  </si>
  <si>
    <t>UBC5C; UBCH5C</t>
  </si>
  <si>
    <t>3D-structure; Alternative splicing; Apoptosis; ATP-binding; Cell membrane; Disulfide bond; DNA damage; DNA repair; Endosome; Membrane; Nucleotide-binding; Phosphoprotein; Transferase; Ubl conjugation pathway</t>
  </si>
  <si>
    <t>Apoptosis; DNA damage; DNA repair; Ubl conjugation pathway</t>
  </si>
  <si>
    <t>apoptotic process {GO:0006915}; BMP signaling pathway {GO:0030509}; cellular protein modification process {GO:0006464}; cellular response to cadmium ion {GO:0071276}; cellular response to mercury ion {GO:0071288}; DNA repair {GO:0006281}; MyD88-independent toll-like receptor signaling pathway {GO:0002756}; negative regulation of transcription by RNA polymerase II {GO:0000122}; positive regulation of protein targeting to mitochondrion {GO:1903955}; proteasome-mediated ubiquitin-dependent protein catabolic process {GO:0043161}; protein autoubiquitination {GO:0051865}; protein K11-linked ubiquitination {GO:0070979}; protein K48-linked ubiquitination {GO:0070936}; protein monoubiquitination {GO:0006513}; protein polyubiquitination {GO:0000209}; protein targeting to peroxisome {GO:0006625}; protein ubiquitination {GO:0016567}; TRIF-dependent toll-like receptor signaling pathway {GO:0035666}; ubiquitin-dependent protein catabolic process {GO:0006511}</t>
  </si>
  <si>
    <t>cytosol {GO:0005829}; endosome membrane {GO:0010008}; extracellular exosome {GO:0070062}; nucleoplasm {GO:0005654}; plasma membrane {GO:0005886}; ubiquitin ligase complex {GO:0000151}</t>
  </si>
  <si>
    <t>ATP binding {GO:0005524}; ubiquitin conjugating enzyme activity {GO:0061631}; ubiquitin protein ligase binding {GO:0031625}; ubiquitin-protein transferase activity {GO:0004842}</t>
  </si>
  <si>
    <t>Oxygen-dependent proline hydroxylation of Hypoxia-inducible Factor Alpha {R-HSA-1234176}; TICAM1, RIP1-mediated IKK complex recruitment {R-HSA-168927}; Signaling by BMP {R-HSA-201451}; Downregulation of SMAD2/3:SMAD4 transcriptional activity {R-HSA-2173795}; E3 ubiquitin ligases ubiquitinate target proteins {R-HSA-8866654}; Neddylation {R-HSA-8951664}; Peroxisomal protein import {R-HSA-9033241}; Negative regulators of DDX58/IFIH1 signaling {R-HSA-936440}; IKK complex recruitment mediated by RIP1 {R-HSA-937041}; Antigen processing: Ubiquitination &amp; Proteasome degradation {R-HSA-983168}</t>
  </si>
  <si>
    <t>Transcription factor BTF3 homolog 4</t>
  </si>
  <si>
    <t>Basic transcription factor 3-like 4</t>
  </si>
  <si>
    <t>BT3L4_HUMAN</t>
  </si>
  <si>
    <t>Q96K17</t>
  </si>
  <si>
    <t>B3KNJ1; D3DQ32; G3V1C6</t>
  </si>
  <si>
    <t>Alternative splicing; Methylation; Phosphoprotein</t>
  </si>
  <si>
    <t>Pleckstrin homology domain-containing family A member 2 (PH domain-containing family A member 2)</t>
  </si>
  <si>
    <t>Tandem PH domain-containing protein 2 (TAPP-2)</t>
  </si>
  <si>
    <t>PKHA2_HUMAN</t>
  </si>
  <si>
    <t>Q9HB19</t>
  </si>
  <si>
    <t>TAPP2</t>
  </si>
  <si>
    <t>Cell membrane; Cytoplasm; Isopeptide bond; Lipid-binding; Membrane; Nucleus; Phosphoprotein; Polymorphism; Repeat; Ubl conjugation</t>
  </si>
  <si>
    <t>phosphatidylinositol biosynthetic process {GO:0006661}; positive regulation of cell-matrix adhesion {GO:0001954}</t>
  </si>
  <si>
    <t>cytoplasm {GO:0005737}; membrane {GO:0016020}; nucleus {GO:0005634}; plasma membrane {GO:0005886}; protein-containing complex {GO:0032991}</t>
  </si>
  <si>
    <t>fibronectin binding {GO:0001968}; laminin binding {GO:0043236}; PDZ domain binding {GO:0030165}; phosphatidylinositol-3,4-bisphosphate binding {GO:0043325}</t>
  </si>
  <si>
    <t>Synthesis of PIPs at the plasma membrane {R-HSA-1660499}</t>
  </si>
  <si>
    <t>Microsomal triglyceride transfer protein large subunit</t>
  </si>
  <si>
    <t>MTP_HUMAN</t>
  </si>
  <si>
    <t>P55157</t>
  </si>
  <si>
    <t>A8K428; Q08AM4; Q6P5T3</t>
  </si>
  <si>
    <t>MTP</t>
  </si>
  <si>
    <t>Alternative splicing; Disease mutation; Disulfide bond; Endoplasmic reticulum; Lipid transport; Lipid-binding; Polymorphism; Signal; Transport</t>
  </si>
  <si>
    <t>cholesterol homeostasis {GO:0042632}; chylomicron assembly {GO:0034378}; lipid metabolic process {GO:0006629}; lipoprotein metabolic process {GO:0042157}; phospholipid transport {GO:0015914}; plasma lipoprotein particle assembly {GO:0034377}; protein secretion {GO:0009306}; triglyceride transport {GO:0034197}; very-low-density lipoprotein particle assembly {GO:0034379}</t>
  </si>
  <si>
    <t>basolateral plasma membrane {GO:0016323}; endoplasmic reticulum {GO:0005783}; endoplasmic reticulum lumen {GO:0005788}; Golgi apparatus {GO:0005794}; receptor complex {GO:0043235}</t>
  </si>
  <si>
    <t>lipid binding {GO:0008289}; lipid transporter activity {GO:0005319}; phospholipid transporter activity {GO:0005548}; protein heterodimerization activity {GO:0046982}</t>
  </si>
  <si>
    <t>VLDL assembly {R-HSA-8866423}; Chylomicron assembly {R-HSA-8963888}</t>
  </si>
  <si>
    <t>40S ribosomal protein S3a</t>
  </si>
  <si>
    <t>Small ribosomal subunit protein eS1; v-fos transformation effector protein (Fte-1)</t>
  </si>
  <si>
    <t>RS3A_HUMAN</t>
  </si>
  <si>
    <t>P61247</t>
  </si>
  <si>
    <t>B2R4D4; D3DP05; P33443; P49241</t>
  </si>
  <si>
    <t>3D-structure; Acetylation; Cytoplasm; Differentiation; Isopeptide bond; Nucleus; Phosphoprotein; Ribonucleoprotein; Ribosomal protein; Ubl conjugation</t>
  </si>
  <si>
    <t>cell differentiation {GO:0030154}; negative regulation of apoptotic process {GO:0043066};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</si>
  <si>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endoplasmic reticulum {GO:0005783}; extracellular exosome {GO:0070062}; focal adhesion {GO:0005925}; nucleolus {GO:0005730}; nucleoplasm {GO:0005654}; nucleus {GO:0005634}; ribonucleoprotein complex {GO:1990904}</t>
  </si>
  <si>
    <t>Cytosol aminopeptidase</t>
  </si>
  <si>
    <t>Leucine aminopeptidase 3 (LAP-3); Leucyl aminopeptidase; Peptidase S; Proline aminopeptidase; Prolyl aminopeptidase</t>
  </si>
  <si>
    <t>AMPL_HUMAN</t>
  </si>
  <si>
    <t>P28838</t>
  </si>
  <si>
    <t>B3KMQ3; Q6IAM6; Q6P0L6; Q9UQE3</t>
  </si>
  <si>
    <t>LAPEP; PEPS</t>
  </si>
  <si>
    <t>Acetylation; Alternative initiation; Aminopeptidase; Cytoplasm; Hydrolase; Magnesium; Manganese; Metal-binding; Phosphoprotein; Protease; Zinc</t>
  </si>
  <si>
    <t>Alternative initiation</t>
  </si>
  <si>
    <t>Magnesium; Manganese; Metal-binding; Zinc</t>
  </si>
  <si>
    <t>Aminopeptidase; Hydrolase; Protease</t>
  </si>
  <si>
    <t>cytosol {GO:0005829}; extracellular exosome {GO:0070062}; focal adhesion {GO:0005925}; midbody {GO:0030496}; nucleoplasm {GO:0005654}; nucleus {GO:0005634}; trans-Golgi network {GO:0005802}</t>
  </si>
  <si>
    <t>aminopeptidase activity {GO:0004177}; manganese ion binding {GO:0030145}; metalloexopeptidase activity {GO:0008235}</t>
  </si>
  <si>
    <t>Ubiquitin carboxyl-terminal hydrolase isozyme L1 (UCH-L1)</t>
  </si>
  <si>
    <t>Neuron cytoplasmic protein 9.5; PGP 9.5 (PGP9.5); Ubiquitin thioesterase L1</t>
  </si>
  <si>
    <t>UCHL1_HUMAN</t>
  </si>
  <si>
    <t>P09936</t>
  </si>
  <si>
    <t>Q4W5K6; Q71UM0</t>
  </si>
  <si>
    <t>3D-structure; Cytoplasm; Disease mutation; Endoplasmic reticulum; Glycoprotein; Hereditary spastic paraplegia; Hydrolase; Lipoprotein; Membrane; Neurodegeneration; Oxidation; Parkinson disease; Parkinsonism; Phosphoprotein; Polymorphism; Prenylation; Protease; Thiol protease; Ubl conjugation pathway</t>
  </si>
  <si>
    <t>Disease mutation; Hereditary spastic paraplegia; Neurodegeneration; Parkinson disease; Parkinsonism</t>
  </si>
  <si>
    <t>Glycoprotein; Lipoprotein; Oxidation; Phosphoprotein; Prenylation</t>
  </si>
  <si>
    <t>adult walking behavior {GO:0007628}; axon target recognition {GO:0007412}; axonal transport of mitochondrion {GO:0019896}; cell population proliferation {GO:0008283}; eating behavior {GO:0042755}; muscle fiber development {GO:0048747}; negative regulation of MAP kinase activity {GO:0043407}; neuromuscular process {GO:0050905}; proteasome-mediated ubiquitin-dependent protein catabolic process {GO:0043161}; protein deubiquitination {GO:0016579}; regulation of macroautophagy {GO:0016241}; response to ischemia {GO:0002931}; sensory perception of pain {GO:0019233}</t>
  </si>
  <si>
    <t>axon cytoplasm {GO:1904115}; cytoplasm {GO:0005737}; cytosol {GO:0005829}; endoplasmic reticulum membrane {GO:0005789}; neuron projection terminus {GO:0044306}; neuronal cell body {GO:0043025}; nucleoplasm {GO:0005654}</t>
  </si>
  <si>
    <t>alpha-2A adrenergic receptor binding {GO:0031694}; cysteine-type endopeptidase activity {GO:0004197}; ligase activity {GO:0016874}; omega peptidase activity {GO:0008242}; thiol-dependent ubiquitin-specific protease activity {GO:0004843}; thiol-dependent ubiquitinyl hydrolase activity {GO:0036459}; ubiquitin binding {GO:0043130}; ubiquitin protein ligase binding {GO:0031625}</t>
  </si>
  <si>
    <t>UCH proteinases {R-HSA-5689603}</t>
  </si>
  <si>
    <t>Starch-binding domain-containing protein 1</t>
  </si>
  <si>
    <t>Genethonin-1; Glycophagy cargo receptor STBD1</t>
  </si>
  <si>
    <t>STBD1_HUMAN</t>
  </si>
  <si>
    <t>O95210</t>
  </si>
  <si>
    <t>B3KVZ9</t>
  </si>
  <si>
    <t>Autophagy; Carbohydrate metabolism; Cell membrane; Endoplasmic reticulum; Glycogen metabolism; Membrane; Phosphoprotein; Signal-anchor; Transmembrane; Transmembrane helix; Ubl conjugation</t>
  </si>
  <si>
    <t>Autophagy; Carbohydrate metabolism; Glycogen metabolism</t>
  </si>
  <si>
    <t>glycogen catabolic process {GO:0005980}; glycophagy {GO:0061723}; intracellular transport {GO:0046907}; neutrophil degranulation {GO:0043312}</t>
  </si>
  <si>
    <t>cytosol {GO:0005829}; endoplasmic reticulum {GO:0005783}; endoplasmic reticulum membrane {GO:0005789}; ficolin-1-rich granule membrane {GO:0101003}; integral component of plasma membrane {GO:0005887}; membrane {GO:0016020}; perinuclear region of cytoplasm {GO:0048471}; phagophore assembly site membrane {GO:0034045}; plasma membrane {GO:0005886}; T-tubule {GO:0030315}; tertiary granule membrane {GO:0070821}</t>
  </si>
  <si>
    <t>enzyme binding {GO:0019899}; glycogen binding {GO:2001069}; polysaccharide binding {GO:0030247}; starch binding {GO:2001070}</t>
  </si>
  <si>
    <t>PDZ and LIM domain protein 3</t>
  </si>
  <si>
    <t>Actinin-associated LIM protein; Alpha-actinin-2-associated LIM protein</t>
  </si>
  <si>
    <t>PDLI3_HUMAN</t>
  </si>
  <si>
    <t>Q53GG5</t>
  </si>
  <si>
    <t>B2R866; O43590; O60439; O60440; Q8N6Y6; Q9BVP4</t>
  </si>
  <si>
    <t>ALP</t>
  </si>
  <si>
    <t>Alternative splicing; Cytoplasm; LIM domain; Metal-binding; Phosphoprotein; Polymorphism; Zinc</t>
  </si>
  <si>
    <t>actin cytoskeleton organization {GO:0030036}; actin filament organization {GO:0007015}; heart development {GO:0007507}; muscle structure development {GO:0061061}</t>
  </si>
  <si>
    <t>cell-cell adherens junction {GO:0005913}; filamentous actin {GO:0031941}; stress fiber {GO:0001725}; Z disc {GO:0030018}</t>
  </si>
  <si>
    <t>actin binding {GO:0003779}; metal ion binding {GO:0046872}; muscle alpha-actinin binding {GO:0051371}; structural constituent of muscle {GO:0008307}</t>
  </si>
  <si>
    <t>Membrane-associated progesterone receptor component 2</t>
  </si>
  <si>
    <t>Progesterone membrane-binding protein; Steroid receptor protein DG6</t>
  </si>
  <si>
    <t>PGRC2_HUMAN</t>
  </si>
  <si>
    <t>O15173</t>
  </si>
  <si>
    <t>Q569H1</t>
  </si>
  <si>
    <t>DG6; PMBP</t>
  </si>
  <si>
    <t>Alternative splicing; Lipid-binding; Membrane; Phosphoprotein; Receptor; Steroid-binding; Transmembrane; Transmembrane helix</t>
  </si>
  <si>
    <t>integral component of membrane {GO:0016021}; membrane {GO:0016020}; nuclear envelope {GO:0005635}</t>
  </si>
  <si>
    <t>steroid binding {GO:0005496}; steroid hormone receptor activity {GO:0003707}</t>
  </si>
  <si>
    <t>Alpha-adducin</t>
  </si>
  <si>
    <t>Erythrocyte adducin subunit alpha</t>
  </si>
  <si>
    <t>ADDA_HUMAN</t>
  </si>
  <si>
    <t>P35611</t>
  </si>
  <si>
    <t>A2A3N8; A2A3P0; B4DI79; D3DVR3; D3DVR4; D3DVR5; Q13734; Q14729; Q16156; Q86XM2; Q9UJB6</t>
  </si>
  <si>
    <t>ADDA</t>
  </si>
  <si>
    <t>Acetylation; Actin-binding; Alternative splicing; Calmodulin-binding; Cell membrane; Cytoplasm; Cytoskeleton; Membrane; Phosphoprotein; Polymorphism</t>
  </si>
  <si>
    <t>actin cytoskeleton organization {GO:0030036}; actin filament bundle assembly {GO:0051017}; barbed-end actin filament capping {GO:0051016}; cell morphogenesis {GO:0000902}; cell volume homeostasis {GO:0006884}; cellular response to calcium ion {GO:0071277}; erythrocyte differentiation {GO:0030218}; hemoglobin metabolic process {GO:0020027}; homeostasis of number of cells within a tissue {GO:0048873}; in utero embryonic development {GO:0001701}; IRE1-mediated unfolded protein response {GO:0036498}; multicellular organism growth {GO:0035264}; positive regulation of adherens junction organization {GO:1903393}; positive regulation of establishment of endothelial barrier {GO:1903142}; positive regulation of protein binding {GO:0032092}; transmembrane transport {GO:0055085}</t>
  </si>
  <si>
    <t>cell-cell adherens junction {GO:0005913}; cytoplasm {GO:0005737}; cytoskeleton {GO:0005856}; cytosol {GO:0005829}; F-actin capping protein complex {GO:0008290}; focal adhesion {GO:0005925}; nuclear body {GO:0016604}; nucleoplasm {GO:0005654}; nucleus {GO:0005634}; plasma membrane {GO:0005886}; plasma membrane raft {GO:0044853}; postsynaptic density {GO:0014069}</t>
  </si>
  <si>
    <t>actin binding {GO:0003779}; actin filament binding {GO:0051015}; cadherin binding {GO:0045296}; calmodulin binding {GO:0005516}; protein heterodimerization activity {GO:0046982}; protein homodimerization activity {GO:0042803}; RNA binding {GO:0003723}; spectrin binding {GO:0030507}; structural molecule activity {GO:0005198}; transcription factor binding {GO:0008134}</t>
  </si>
  <si>
    <t>Caspase-mediated cleavage of cytoskeletal proteins {R-HSA-264870}; XBP1(S) activates chaperone genes {R-HSA-381038}; Miscellaneous transport and binding events {R-HSA-5223345}</t>
  </si>
  <si>
    <t>Erlin-2</t>
  </si>
  <si>
    <t>Endoplasmic reticulum lipid raft-associated protein 2; Stomatin-prohibitin-flotillin-HflC/K domain-containing protein 2 (SPFH domain-containing protein 2)</t>
  </si>
  <si>
    <t>ERLN2_HUMAN</t>
  </si>
  <si>
    <t>O94905</t>
  </si>
  <si>
    <t>A0JLQ1; A8K5S9; B4DM38; D3DSW0; Q6NW21; Q86VS6; Q86W49</t>
  </si>
  <si>
    <t>C8orf2; SPFH2</t>
  </si>
  <si>
    <t>Acetylation; Alternative splicing; Cholesterol metabolism; Endoplasmic reticulum; Glycoprotein; Hereditary spastic paraplegia; Lipid metabolism; Membrane; Neurodegeneration; Polymorphism; Signal-anchor; Steroid metabolism; Sterol metabolism; Transmembrane; Transmembrane helix</t>
  </si>
  <si>
    <t>Hereditary spastic paraplegia; Neurodegeneration</t>
  </si>
  <si>
    <t>Acetylation; Glycoprotein</t>
  </si>
  <si>
    <t>cholesterol metabolic process {GO:0008203}; negative regulation of cholesterol biosynthetic process {GO:0045541}; negative regulation of fatty acid biosynthetic process {GO:0045717}; SREBP signaling pathway {GO:0032933}; transmembrane transport {GO:0055085}; ubiquitin-dependent ERAD pathway {GO:0030433}</t>
  </si>
  <si>
    <t>cytosol {GO:0005829}; endoplasmic reticulum {GO:0005783}; endoplasmic reticulum membrane {GO:0005789}; integral component of membrane {GO:0016021}; membrane raft {GO:0045121}; plasma membrane {GO:0005886}; protein-containing complex {GO:0032991}</t>
  </si>
  <si>
    <t>cholesterol binding {GO:0015485}; ubiquitin protein ligase binding {GO:0031625}</t>
  </si>
  <si>
    <t>ABC-family proteins mediated transport {R-HSA-382556}; Signaling by FGFR1 in disease {R-HSA-5655302}; Defective CFTR causes cystic fibrosis {R-HSA-5678895}; Signaling by plasma membrane FGFR1 fusions {R-HSA-8853336}</t>
  </si>
  <si>
    <t>Cathepsin B heavy chain</t>
  </si>
  <si>
    <t>APP secretase (APPS); Cathepsin B1</t>
  </si>
  <si>
    <t>CATB_HUMAN</t>
  </si>
  <si>
    <t>P07858</t>
  </si>
  <si>
    <t>B3KQR5; B3KRR5; Q503A6; Q96D87</t>
  </si>
  <si>
    <t>3D-structure; Acetylation; Disulfide bond; Glycoprotein; Hydrolase; Lysosome; Polymorphism; Protease; Secreted; Signal; Thiol protease; Zymogen</t>
  </si>
  <si>
    <t>Acetylation; Disulfide bond; Glycoprotein; Zymogen</t>
  </si>
  <si>
    <t>cellular response to thyroid hormone stimulus {GO:0097067}; collagen catabolic process {GO:0030574}; decidualization {GO:0046697}; epithelial cell differentiation {GO:0030855}; neutrophil degranulation {GO:0043312}; proteolysis {GO:0006508}; proteolysis involved in cellular protein catabolic process {GO:0051603}; regulation of apoptotic process {GO:0042981}; regulation of catalytic activity {GO:0050790}; toll-like receptor signaling pathway {GO:0002224}; viral entry into host cell {GO:0046718}</t>
  </si>
  <si>
    <t>collagen-containing extracellular matrix {GO:0062023}; endolysosome lumen {GO:0036021}; extracellular exosome {GO:0070062}; extracellular region {GO:0005576}; extracellular space {GO:0005615}; ficolin-1-rich granule lumen {GO:1904813}; intracellular {GO:0005622}; intracellular membrane-bounded organelle {GO:0043231}; lysosome {GO:0005764}; melanosome {GO:0042470}; nucleolus {GO:0005730}; perinuclear region of cytoplasm {GO:0048471}</t>
  </si>
  <si>
    <t>collagen binding {GO:0005518}; cysteine-type endopeptidase activity {GO:0004197}; cysteine-type peptidase activity {GO:0008234}; peptidase activity {GO:0008233}; proteoglycan binding {GO:0043394}</t>
  </si>
  <si>
    <t>Collagen degradation {R-HSA-1442490}; Trafficking and processing of endosomal TLR {R-HSA-1679131}; Assembly of collagen fibrils and other multimeric structures {R-HSA-2022090}; MHC class II antigen presentation {R-HSA-2132295}; Neutrophil degranulation {R-HSA-6798695}</t>
  </si>
  <si>
    <t>CTF1-alpha</t>
  </si>
  <si>
    <t>Alcadein-alpha (Alc-alpha); Alzheimer-related cadherin-like protein; Non-classical cadherin XB31alpha (SAlc-alpha); C-terminal fragment 1-alpha</t>
  </si>
  <si>
    <t>CSTN1_HUMAN</t>
  </si>
  <si>
    <t>O94985</t>
  </si>
  <si>
    <t>A8K183; Q5SR52; Q5UE58; Q71MN0; Q8N4K9</t>
  </si>
  <si>
    <t>CS1; KIAA0911</t>
  </si>
  <si>
    <t>Alternative splicing; Calcium; Cell adhesion; Cell junction; Cell membrane; Cell projection; Endoplasmic reticulum; Glycoprotein; Golgi apparatus; Membrane; Nucleus; Polymorphism; Postsynaptic cell membrane; Repeat; Signal; Synapse; Transmembrane; Transmembrane helix</t>
  </si>
  <si>
    <t>Cell junction; Cell membrane; Cell projection; Endoplasmic reticulum; Golgi apparatus; Membrane; Nucleus; Postsynaptic cell membrane; Synapse</t>
  </si>
  <si>
    <t>cell adhesion {GO:0007155}; homophilic cell adhesion via plasma membrane adhesion molecules {GO:0007156}; neurotransmitter receptor transport to postsynaptic membrane {GO:0098969}; positive regulation of synapse assembly {GO:0051965}; positive regulation of synaptic transmission {GO:0050806}; regulation of cell growth {GO:0001558}; regulation of synapse maturation {GO:0090128}; vesicle-mediated transport in synapse {GO:0099003}</t>
  </si>
  <si>
    <t>cell junction {GO:0030054}; cell surface {GO:0009986}; endoplasmic reticulum membrane {GO:0005789}; extracellular region {GO:0005576}; GABA-ergic synapse {GO:0098982}; glutamatergic synapse {GO:0098978}; Golgi membrane {GO:0000139}; integral component of postsynaptic density membrane {GO:0099061}; integral component of spine apparatus membrane {GO:0099065}; nucleus {GO:0005634}; postsynaptic endosome {GO:0098845}; postsynaptic membrane {GO:0045211}</t>
  </si>
  <si>
    <t>amyloid-beta binding {GO:0001540}; calcium ion binding {GO:0005509}; kinesin binding {GO:0019894}; X11-like protein binding {GO:0042988}</t>
  </si>
  <si>
    <t>ADAM DEC1</t>
  </si>
  <si>
    <t>A disintegrin and metalloproteinase domain-like protein decysin-1 (ADAM-like protein decysin-1)</t>
  </si>
  <si>
    <t>ADEC1_HUMAN</t>
  </si>
  <si>
    <t>O15204</t>
  </si>
  <si>
    <t>B7ZAK5</t>
  </si>
  <si>
    <t>Alternative splicing; Disulfide bond; Glycoprotein; Hydrolase; Metal-binding; Metalloprotease; Polymorphism; Protease; Secreted; Signal; Zinc; Zymogen</t>
  </si>
  <si>
    <t>immune response {GO:0006955}; negative regulation of cell adhesion {GO:0007162}</t>
  </si>
  <si>
    <t>metalloendopeptidase activity {GO:0004222}; zinc ion binding {GO:0008270}</t>
  </si>
  <si>
    <t>ATP synthase F(0) complex subunit B1, mitochondrial</t>
  </si>
  <si>
    <t>ATP synthase peripheral stalk-membrane subunit b; ATP synthase proton-transporting mitochondrial F(0) complex subunit B1; ATP synthase subunit b (ATPase subunit b)</t>
  </si>
  <si>
    <t>AT5F1_HUMAN</t>
  </si>
  <si>
    <t>P24539</t>
  </si>
  <si>
    <t>Q9BQ68; Q9BRU8</t>
  </si>
  <si>
    <t>ATP5F1</t>
  </si>
  <si>
    <t>Acetylation; CF(0); Hydrogen ion transport; Ion transport; Membrane; Mitochondrion; Mitochondrion inner membrane; Polymorphism; Transit peptide; Transport</t>
  </si>
  <si>
    <t>ATP biosynthetic process {GO:0006754}; ATP hydrolysis coupled cation transmembrane transport {GO:0099132}; ATP synthesis coupled proton transport {GO:0015986}; cristae formation {GO:0042407}; mitochondrial ATP synthesis coupled proton transport {GO:0042776}; substantia nigra development {GO:0021762}</t>
  </si>
  <si>
    <t>membrane {GO:0016020}; mitochondrial inner membrane {GO:0005743}; mitochondrial matrix {GO:0005759}; mitochondrial proton-transporting ATP synthase complex {GO:0005753}; mitochondrial proton-transporting ATP synthase complex, coupling factor F(o) {GO:0000276}; mitochondrion {GO:0005739}; nucleoplasm {GO:0005654}; nucleus {GO:0005634}</t>
  </si>
  <si>
    <t>Hydroxyacyl-coenzyme A dehydrogenase, mitochondrial (HCDH)</t>
  </si>
  <si>
    <t>Medium and short-chain L-3-hydroxyacyl-coenzyme A dehydrogenase; Short-chain 3-hydroxyacyl-CoA dehydrogenase</t>
  </si>
  <si>
    <t>HCDH_HUMAN</t>
  </si>
  <si>
    <t>Q16836</t>
  </si>
  <si>
    <t>J3KQ17; O00324; O00397; O00753; Q4W5B4</t>
  </si>
  <si>
    <t>HAD; HADHSC; SCHAD</t>
  </si>
  <si>
    <t>3D-structure; Acetylation; Alternative splicing; Disease mutation; Fatty acid metabolism; Lipid metabolism; Mitochondrion; NAD; Oxidoreductase; Polymorphism; Transit peptide</t>
  </si>
  <si>
    <t>fatty acid beta-oxidation {GO:0006635}; negative regulation of insulin secretion {GO:0046676}; positive regulation of cold-induced thermogenesis {GO:0120162}; response to activity {GO:0014823}; response to drug {GO:0042493}; response to insulin {GO:0032868}</t>
  </si>
  <si>
    <t>cytoplasm {GO:0005737}; mitochondrial matrix {GO:0005759}; mitochondrion {GO:0005739}; nucleoplasm {GO:0005654}</t>
  </si>
  <si>
    <t>3-hydroxyacyl-CoA dehydrogenase activity {GO:0003857}; NAD+ binding {GO:0070403}</t>
  </si>
  <si>
    <t>Hepatocyte growth factor activator long chain (HGF activator; HGFA)</t>
  </si>
  <si>
    <t>HGFA_HUMAN</t>
  </si>
  <si>
    <t>Q04756</t>
  </si>
  <si>
    <t>Q14726; Q2M1W7; Q53X47</t>
  </si>
  <si>
    <t>3D-structure; Disulfide bond; EGF-like domain; Glycoprotein; Hydrolase; Kringle; Polymorphism; Protease; Repeat; Secreted; Serine protease; Signal; Zymogen</t>
  </si>
  <si>
    <t>cytosol {GO:0005829}; extracellular region {GO:0005576}; extracellular space {GO:0005615}; rough endoplasmic reticulum {GO:0005791}</t>
  </si>
  <si>
    <t>MET Receptor Activation {R-HSA-6806942}</t>
  </si>
  <si>
    <t>ADP/ATP translocase 1</t>
  </si>
  <si>
    <t>ADP,ATP carrier protein 1; ADP,ATP carrier protein, heart/skeletal muscle isoform T1; Adenine nucleotide translocator 1 (ANT 1); Solute carrier family 25 member 4</t>
  </si>
  <si>
    <t>ADT1_HUMAN</t>
  </si>
  <si>
    <t>P12235</t>
  </si>
  <si>
    <t>D3DP59</t>
  </si>
  <si>
    <t>ANT1</t>
  </si>
  <si>
    <t>Acetylation; Cardiomyopathy; Disease mutation; Host-virus interaction; Membrane; Mitochondrion; Mitochondrion inner membrane; Phosphoprotein; Primary mitochondrial disease; Progressive external ophthalmoplegia; Repeat; S-nitrosylation; Transmembrane; Transmembrane helix; Transport</t>
  </si>
  <si>
    <t>Cardiomyopathy; Disease mutation; Primary mitochondrial disease; Progressive external ophthalmoplegia</t>
  </si>
  <si>
    <t>Acetylation; Phosphoprotein; S-nitrosylation</t>
  </si>
  <si>
    <t>ADP transport {GO:0015866}; apoptotic mitochondrial changes {GO:0008637}; generation of precursor metabolites and energy {GO:0006091}; mitochondrial genome maintenance {GO:0000002}; negative regulation of necroptotic process {GO:0060546}; regulation of insulin secretion {GO:0050796}; viral process {GO:0016032}</t>
  </si>
  <si>
    <t>integral component of mitochondrial membrane {GO:0032592}; integral component of plasma membrane {GO:0005887}; mitochondrial inner membrane {GO:0005743}; mitochondrion {GO:0005739}</t>
  </si>
  <si>
    <t>adenine transmembrane transporter activity {GO:0015207}; ATP:ADP antiporter activity {GO:0005471}</t>
  </si>
  <si>
    <t>Mitochondrial protein import {R-HSA-1268020}; Vpr-mediated induction of apoptosis by mitochondrial outer membrane permeabilization {R-HSA-180897}; Transport of nucleosides and free purine and pyrimidine bases across the plasma membrane {R-HSA-83936}</t>
  </si>
  <si>
    <t>V-type proton ATPase subunit B, brain isoform (V-ATPase subunit B 2)</t>
  </si>
  <si>
    <t>Endomembrane proton pump 58 kDa subunit; HO57; Vacuolar proton pump subunit B 2</t>
  </si>
  <si>
    <t>VATB2_HUMAN</t>
  </si>
  <si>
    <t>P21281</t>
  </si>
  <si>
    <t>B2R5Z3; D3DSQ5; Q14544; Q15859; Q96IR0</t>
  </si>
  <si>
    <t>ATP6B2; VPP3</t>
  </si>
  <si>
    <t>Deafness; Disease mutation; Hydrogen ion transport; Hydrolase; Ion transport; Membrane; Transport</t>
  </si>
  <si>
    <t>Deafness; Disease mutation</t>
  </si>
  <si>
    <t>ATP hydrolysis coupled proton transport {GO:0015991}; ATP metabolic process {GO:0046034}; insulin receptor signaling pathway {GO:0008286}; ion transmembrane transport {GO:0034220}; phagosome acidification {GO:0090383}; proton transmembrane transport {GO:1902600}; regulation of macroautophagy {GO:0016241}; transferrin transport {GO:0033572}</t>
  </si>
  <si>
    <t>apical plasma membrane {GO:0016324}; cytosol {GO:0005829}; endomembrane system {GO:0012505}; extracellular exosome {GO:0070062}; integral component of membrane {GO:0016021}; intracellular membrane-bounded organelle {GO:0043231}; lysosomal membrane {GO:0005765}; melanosome {GO:0042470}; microvillus {GO:0005902}; plasma membrane {GO:0005886}; proton-transporting V-type ATPase, V1 domain {GO:0033180}; ruffle {GO:0001726}</t>
  </si>
  <si>
    <t>ATP binding {GO:0005524}; proton transmembrane transporter activity {GO:0015078}; proton-transporting ATPase activity, rotational mechanism {GO:0046961}</t>
  </si>
  <si>
    <t>Scrapie-responsive protein 1</t>
  </si>
  <si>
    <t>Scrapie-responsive gene 1 protein (ScRG-1)</t>
  </si>
  <si>
    <t>SCRG1_HUMAN</t>
  </si>
  <si>
    <t>O75711</t>
  </si>
  <si>
    <t>Glycoprotein; Polymorphism; Secreted; Signal</t>
  </si>
  <si>
    <t>nervous system development {GO:0007399}</t>
  </si>
  <si>
    <t>extracellular space {GO:0005615}; Golgi apparatus {GO:0005794}; neuron projection terminus {GO:0044306}</t>
  </si>
  <si>
    <t>GRO-beta(5-73)</t>
  </si>
  <si>
    <t>Growth-regulated protein beta (Gro-beta); Macrophage inflammatory protein 2-alpha (MIP2-alpha); GRO-beta-T; Hematopoietic synergistic factor (HSF); SB-251353</t>
  </si>
  <si>
    <t>CXCL2_HUMAN</t>
  </si>
  <si>
    <t>P19875</t>
  </si>
  <si>
    <t>Q6FGD6; Q9UPB8</t>
  </si>
  <si>
    <t>GRO2; GROB; MIP2A; SCYB2</t>
  </si>
  <si>
    <t>3D-structure; Chemotaxis; Cytokine; Disulfide bond; Inflammatory response; Pharmaceutical; Secreted; Signal</t>
  </si>
  <si>
    <t>Chemotaxis; Inflammatory response</t>
  </si>
  <si>
    <t>antimicrobial humoral immune response mediated by antimicrobial peptide {GO:0061844}; cellular response to lipopolysaccharide {GO:0071222}; chemokine-mediated signaling pathway {GO:0070098}; chemotaxis {GO:0006935}; cytokine-mediated signaling pathway {GO:0019221}; G protein-coupled receptor signaling pathway {GO:0007186}; immune response {GO:0006955}; inflammatory response {GO:0006954}; killing of cells of other organism {GO:0031640}; leukocyte chemotaxis {GO:0030595}; neutrophil chemotaxis {GO:0030593}; response to molecule of bacterial origin {GO:0002237}</t>
  </si>
  <si>
    <t>chemokine activity {GO:0008009}</t>
  </si>
  <si>
    <t>Chemokine receptors bind chemokines {R-HSA-380108}; G alpha (i) signalling events {R-HSA-418594}; Interleukin-10 signaling {R-HSA-6783783}</t>
  </si>
  <si>
    <t>Eukaryotic translation initiation factor 4E (eIF-4E; eIF4E)</t>
  </si>
  <si>
    <t>eIF-4F 25 kDa subunit; mRNA cap-binding protein</t>
  </si>
  <si>
    <t>IF4E_HUMAN</t>
  </si>
  <si>
    <t>P06730</t>
  </si>
  <si>
    <t>B7Z6V1; D6RCQ6; Q96E95</t>
  </si>
  <si>
    <t>EIF4EL1; EIF4F</t>
  </si>
  <si>
    <t>3D-structure; Acetylation; Alternative splicing; Autism; Autism spectrum disorder; Chromosomal rearrangement; Cytoplasm; Host-virus interaction; Initiation factor; Phosphoprotein; Protein biosynthesis; RNA-binding; Translation regulation</t>
  </si>
  <si>
    <t>Autism; Autism spectrum disorder</t>
  </si>
  <si>
    <t>behavioral fear response {GO:0001662}; cellular response to dexamethasone stimulus {GO:0071549}; G1/S transition of mitotic cell cycle {GO:0000082}; lung development {GO:0030324}; mRNA export from nucleus {GO:0006406}; negative regulation of neuron differentiation {GO:0045665}; negative regulation of translation {GO:0017148}; positive regulation of mitotic cell cycle {GO:0045931}; regulation of translation {GO:0006417}; regulation of translation at postsynapse, modulating synaptic transmission {GO:0099578}; RNA export from nucleus {GO:0006405}; stem cell population maintenance {GO:0019827}; translational initiation {GO:0006413}; viral process {GO:0016032}</t>
  </si>
  <si>
    <t>chromatoid body {GO:0033391}; cytoplasm {GO:0005737}; cytoplasmic ribonucleoprotein granule {GO:0036464}; cytoplasmic stress granule {GO:0010494}; cytosol {GO:0005829}; eukaryotic translation initiation factor 4F complex {GO:0016281}; extracellular exosome {GO:0070062}; glutamatergic synapse {GO:0098978}; mRNA cap binding complex {GO:0005845}; P-body {GO:0000932}; perinuclear region of cytoplasm {GO:0048471}; postsynaptic cytosol {GO:0099524}; RISC complex {GO:0016442}</t>
  </si>
  <si>
    <t>enzyme binding {GO:0019899}; eukaryotic initiation factor 4G binding {GO:0031370}; repressing transcription factor binding {GO:0070491}; RNA 7-methylguanosine cap binding {GO:0000340}; RNA binding {GO:0003723}; RNA cap binding {GO:0000339}; translation initiation factor activity {GO:0003743}</t>
  </si>
  <si>
    <t>ISG15 antiviral mechanism {R-HSA-1169408}; L13a-mediated translational silencing of Ceruloplasmin expression {R-HSA-156827}; Transport of the SLBP independent Mature mRNA {R-HSA-159227}; Transport of the SLBP Dependant Mature mRNA {R-HSA-159230}; Transport of Mature mRNA Derived from an Intronless Transcript {R-HSA-159231}; mTORC1-mediated signalling {R-HSA-166208}; Deadenylation of mRNA {R-HSA-429947};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</si>
  <si>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Serum albumin</t>
  </si>
  <si>
    <t>ALBU_HUMAN</t>
  </si>
  <si>
    <t>P02768</t>
  </si>
  <si>
    <t>E7ESS9; O95574; P04277; Q13140; Q645G4; Q68DN5; Q6UXK4; Q86YG0; Q8IUK7; Q9P157; Q9P1I7; Q9UHS3; Q9UJZ0</t>
  </si>
  <si>
    <t>3D-structure; Alternative splicing; Cleavage on pair of basic residues; Copper; Disease mutation; Disulfide bond; Glycation; Glycoprotein; Lipid-binding; Metal-binding; Methylation; Phosphoprotein; Polymorphism; Repeat; Secreted; Signal; Zinc</t>
  </si>
  <si>
    <t>Copper; Lipid-binding; Metal-binding; Zinc</t>
  </si>
  <si>
    <t>Cleavage on pair of basic residues; Disulfide bond; Glycation; Glycoprotein; Methylation; Phosphoprotein</t>
  </si>
  <si>
    <t>cellular protein metabolic process {GO:0044267}; cellular response to starvation {GO:0009267}; high-density lipoprotein particle remodeling {GO:0034375}; maintenance of mitochondrion location {GO:0051659}; negative regulation of apoptotic process {GO:0043066}; negative regulation of programmed cell death {GO:0043069}; negative regulation of protein oligomerization {GO:0032460}; platelet degranulation {GO:0002576}; post-translational protein modification {GO:0043687}; receptor-mediated endocytosis {GO:0006898}; retina homeostasis {GO:0001895}</t>
  </si>
  <si>
    <t>blood microparticle {GO:0072562}; endoplasmic reticulum {GO:0005783}; endoplasmic reticulum lumen {GO:0005788}; extracellular exosome {GO:0070062}; extracellular region {GO:0005576}; extracellular space {GO:0005615}; Golgi apparatus {GO:0005794}; nucleus {GO:0005634}; platelet alpha granule lumen {GO:0031093}; protein-containing complex {GO:0032991}</t>
  </si>
  <si>
    <t>antioxidant activity {GO:0016209}; chaperone binding {GO:0051087}; copper ion binding {GO:0005507}; DNA binding {GO:0003677}; drug binding {GO:0008144}; enterobactin binding {GO:1903981}; exogenous protein binding {GO:0140272}; fatty acid binding {GO:0005504}; identical protein binding {GO:0042802}; pyridoxal phosphate binding {GO:0030170}; toxic substance binding {GO:0015643}</t>
  </si>
  <si>
    <t>Platelet degranulation {R-HSA-114608}; Recycling of bile acids and salts {R-HSA-159418}; Scavenging of heme from plasma {R-HSA-2168880}; Regulation of Insulin-like Growth Factor (IGF) transport and uptake by Insulin-like Growth Factor Binding Proteins (IGFBPs) {R-HSA-381426}; Defective SLCO1B3 causes hyperbilirubinemia, Rotor type (HBLRR) {R-HSA-5619058}; Defective SLCO1B1 causes hyperbilirubinemia, Rotor type (HBLRR) {R-HSA-5619110}; Transport of organic anions {R-HSA-879518}; Post-translational protein phosphorylation {R-HSA-8957275}; HDL remodeling {R-HSA-8964058}</t>
  </si>
  <si>
    <t>Coagulation factor XIa light chain</t>
  </si>
  <si>
    <t>Plasma thromboplastin antecedent (PTA)</t>
  </si>
  <si>
    <t>FA11_HUMAN</t>
  </si>
  <si>
    <t>P03951</t>
  </si>
  <si>
    <t>D3DP64; Q4W5C2; Q9Y495</t>
  </si>
  <si>
    <t>3D-structure; Alternative splicing; Blood coagulation; Disease mutation; Disulfide bond; Glycoprotein; Hemostasis; Heparin-binding; Hydrolase; Polymorphism; Protease; Repeat; Secreted; Serine protease; Signal</t>
  </si>
  <si>
    <t>Heparin-binding; Hydrolase; Protease; Serine protease</t>
  </si>
  <si>
    <t>blood coagulation {GO:0007596}; blood coagulation, intrinsic pathway {GO:0007597}; plasminogen activation {GO:0031639}; positive regulation of fibrinolysis {GO:0051919}</t>
  </si>
  <si>
    <t>heparin binding {GO:0008201}; identical protein binding {GO:0042802}; serine-type aminopeptidase activity {GO:0070009}; serine-type endopeptidase activity {GO:0004252}</t>
  </si>
  <si>
    <t>Ecto-ADP-ribosyltransferase 3</t>
  </si>
  <si>
    <t>ADP-ribosyltransferase C2 and C3 toxin-like 3 (ARTC3); Mono(ADP-ribosyl)transferase 3; NAD(P)(+)--arginine ADP-ribosyltransferase 3</t>
  </si>
  <si>
    <t>NAR3_HUMAN</t>
  </si>
  <si>
    <t>Q13508</t>
  </si>
  <si>
    <t>Q53XW3; Q6FHT7; Q8WVJ7; Q93069; Q96HL1</t>
  </si>
  <si>
    <t>TMART</t>
  </si>
  <si>
    <t>Alternative splicing; Cell membrane; Disulfide bond; Glycoprotein; Glycosyltransferase; GPI-anchor; Lipoprotein; Membrane; NAD; NADP; Polymorphism; Repeat; Signal; Transferase</t>
  </si>
  <si>
    <t>NAD; NADP</t>
  </si>
  <si>
    <t>peptidyl-arginine ADP-ribosylation {GO:0018120}; protein ADP-ribosylation {GO:0006471}</t>
  </si>
  <si>
    <t>anchored component of membrane {GO:0031225}; extracellular exosome {GO:0070062}; extracellular region {GO:0005576}; intrinsic component of plasma membrane {GO:0031226}; plasma membrane {GO:0005886}</t>
  </si>
  <si>
    <t>NAD(P)+-protein-arginine ADP-ribosyltransferase activity {GO:0003956}; NAD+ ADP-ribosyltransferase activity {GO:0003950}</t>
  </si>
  <si>
    <t>Eukaryotic translation initiation factor 4E-binding protein 1 (4E-BP1; eIF4E-binding protein 1)</t>
  </si>
  <si>
    <t>Phosphorylated heat- and acid-stable protein regulated by insulin 1 (PHAS-I)</t>
  </si>
  <si>
    <t>4EBP1_HUMAN</t>
  </si>
  <si>
    <t>Q13541</t>
  </si>
  <si>
    <t>B2R502; D3DSW8; Q6IBN3</t>
  </si>
  <si>
    <t>3D-structure; Acetylation; Isopeptide bond; Phosphoprotein; Protein synthesis inhibitor; Translation regulation; Ubl conjugation</t>
  </si>
  <si>
    <t>Protein synthesis inhibitor</t>
  </si>
  <si>
    <t>cellular response to dexamethasone stimulus {GO:0071549}; cellular response to hypoxia {GO:0071456}; G1/S transition of mitotic cell cycle {GO:0000082}; insulin receptor signaling pathway {GO:0008286}; IRES-dependent translational initiation of linear mRNA {GO:0002192}; lung development {GO:0030324}; negative regulation of protein complex assembly {GO:0031333}; negative regulation of translational initiation {GO:0045947}; positive regulation of mitotic cell cycle {GO:0045931}; response to amino acid starvation {GO:1990928}; response to ethanol {GO:0045471}; response to ischemia {GO:0002931}; TOR signaling {GO:0031929}</t>
  </si>
  <si>
    <t>cytoplasm {GO:0005737}; cytosol {GO:0005829}; glutamatergic synapse {GO:0098978}; nucleus {GO:0005634}; postsynaptic cytosol {GO:0099524}; protein-containing complex {GO:0032991}</t>
  </si>
  <si>
    <t>eukaryotic initiation factor 4E binding {GO:0008190}; protein phosphatase 2A binding {GO:0051721}; translation repressor activity {GO:0030371}</t>
  </si>
  <si>
    <t>mTORC1-mediated signalling {R-HSA-166208}; Activation of the mRNA upon binding of the cap-binding complex and eIFs, and subsequent binding to 43S {R-HSA-72662}</t>
  </si>
  <si>
    <t>Carboxypeptidase Z (CPZ)</t>
  </si>
  <si>
    <t>CBPZ_HUMAN</t>
  </si>
  <si>
    <t>Q66K79</t>
  </si>
  <si>
    <t>O00520; Q96MX2</t>
  </si>
  <si>
    <t>Alternative splicing; Carboxypeptidase; Disulfide bond; Extracellular matrix; Glycoprotein; Hydrolase; Metal-binding; Metalloprotease; Polymorphism; Protease; Secreted; Signal; Wnt signaling pathway; Zinc</t>
  </si>
  <si>
    <t>peptide metabolic process {GO:0006518}; protein processing {GO:0016485}; proteolysis {GO:0006508}; Wnt signaling pathway {GO:0016055}</t>
  </si>
  <si>
    <t>Fibrinogen gamma chain</t>
  </si>
  <si>
    <t>FIBG_HUMAN</t>
  </si>
  <si>
    <t>P02679</t>
  </si>
  <si>
    <t>A8K057; P04469; P04470; Q53Y18; Q96A14; Q96KJ3; Q9UC62; Q9UC63; Q9UCF3</t>
  </si>
  <si>
    <t>3D-structure; Alternative splicing; Blood coagulation; Calcium; Coiled coil; Disease mutation; Disulfide bond; Glycoprotein; Hemostasis; Isopeptide bond; Metal-binding; Phosphoprotein; Polymorphism; Secreted; Signal; Sulfation</t>
  </si>
  <si>
    <t>Disulfide bond; Glycoprotein; Isopeptide bond; Phosphoprotein; Sulfation</t>
  </si>
  <si>
    <t>blood coagulation {GO:0007596}; blood coagulation, fibrin clot formation {GO:0072378}; cell-matrix adhesion {GO:0007160}; cellular protein metabolic process {GO:0044267}; cellular protein-containing complex assembly {GO:0034622}; cellular response to interleukin-1 {GO:0071347}; cellular response to interleukin-6 {GO:0071354}; extracellular matrix organization {GO:0030198}; fibrinolysis {GO:0042730}; negative regulation of endothelial cell apoptotic process {GO:2000352}; negative regulation of extrinsic apoptotic signaling pathway via death domain receptors {GO:1902042}; negative regulation of platelet aggregation {GO:0090331}; plasminogen activation {GO:0031639}; platelet aggregation {GO:0070527}; platelet degranulation {GO:0002576}; platelet maturation {GO:0036345};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substrate adhesion-dependent cell spreading {GO:1900026}; positive regulation of vasoconstriction {GO:0045907}; post-translational protein modification {GO:0043687}; protein polymerization {GO:0051258}; protein secretion {GO:0009306}; response to calcium ion {GO:0051592}; toll-like receptor signaling pathway {GO:0002224}</t>
  </si>
  <si>
    <t>blood microparticle {GO:0072562}; cell surface {GO:0009986}; collagen-containing extracellular matrix {GO:0062023}; endoplasmic reticulum lumen {GO:0005788}; external side of plasma membrane {GO:0009897}; extracellular exosome {GO:0070062}; extracellular region {GO:0005576}; extracellular space {GO:0005615}; fibrinogen complex {GO:0005577}; plasma membrane {GO:0005886}; platelet alpha granule {GO:0031091}; platelet alpha granule lumen {GO:0031093}</t>
  </si>
  <si>
    <t>cell adhesion molecule binding {GO:0050839}; extracellular matrix structural constituent {GO:0005201}; metal ion binding {GO:0046872}; protein homodimerization activity {GO:0042803}; signaling receptor binding {GO:0005102}; structural molecule activity {GO:0005198}</t>
  </si>
  <si>
    <t>Platelet degranulation {R-HSA-114608}; Common Pathway of Fibrin Clot Formation {R-HSA-140875}; Integrin cell surface interactions {R-HSA-216083}; Integrin alphaIIb beta3 signaling {R-HSA-354192}; GRB2:SOS provides linkage to MAPK signaling for Integrins {R-HSA-354194}; p130Cas linkage to MAPK signaling for integrins {R-HSA-372708}; Regulation of Insulin-like Growth Factor (IGF) transport and uptake by Insulin-like Growth Factor Binding Proteins (IGFBPs) {R-HSA-381426}; MAP2K and MAPK activation {R-HSA-5674135}; Regulation of TLR by endogenous ligand {R-HSA-5686938};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Post-translational protein phosphorylation {R-HSA-8957275}</t>
  </si>
  <si>
    <t>Alpha-endosulfine</t>
  </si>
  <si>
    <t>ARPP-19e</t>
  </si>
  <si>
    <t>ENSA_HUMAN</t>
  </si>
  <si>
    <t>O43768</t>
  </si>
  <si>
    <t>A8K1Z9; E9PB69; Q5T5H2; Q68D48; Q6FHW0; Q6IAM4; Q6NUL2; Q6VUC6; Q6VUC7; Q6VUC8; Q6VUC9; Q6VUD0; Q6VUD1; Q9NRZ0</t>
  </si>
  <si>
    <t>Acetylation; Alternative splicing; Cell cycle; Cell division; Cytoplasm; Mitosis; Phosphoprotein; Protein phosphatase inhibitor</t>
  </si>
  <si>
    <t>cell division {GO:0051301}; G2/M transition of mitotic cell cycle {GO:0000086}; mitotic cell cycle {GO:0000278}; negative regulation of protein dephosphorylation {GO:0035308}; regulation of insulin secretion {GO:0050796}; response to glucose {GO:0009749}; response to nutrient {GO:0007584}</t>
  </si>
  <si>
    <t>cytoplasm {GO:0005737}; nucleoplasm {GO:0005654}</t>
  </si>
  <si>
    <t>ion channel inhibitor activity {GO:0008200}; phosphatase inhibitor activity {GO:0019212}; potassium channel inhibitor activity {GO:0019870}; protein phosphatase 2A binding {GO:0051721}; protein phosphatase inhibitor activity {GO:0004864}; protein phosphatase regulator activity {GO:0019888}; signaling receptor binding {GO:0005102}</t>
  </si>
  <si>
    <t>MASTL Facilitates Mitotic Progression {R-HSA-2465910}</t>
  </si>
  <si>
    <t>Podocan</t>
  </si>
  <si>
    <t>PODN_HUMAN</t>
  </si>
  <si>
    <t>Q7Z5L7</t>
  </si>
  <si>
    <t>B4DKN5; B4E373; Q5VVZ2; Q5VVZ3; Q6PIR3; Q6UXL8; Q8N641</t>
  </si>
  <si>
    <t>SLRR5A</t>
  </si>
  <si>
    <t>Alternative splicing; Cytoplasm; Extracellular matrix; Glycoprotein; Leucine-rich repeat; Polymorphism; Repeat; Secreted; Signal</t>
  </si>
  <si>
    <t>negative regulation of cell migration {GO:0030336}; negative regulation of cell population proliferation {GO:0008285}</t>
  </si>
  <si>
    <t>collagen-containing extracellular matrix {GO:0062023}; cytoplasm {GO:0005737}; extracellular space {GO:0005615}</t>
  </si>
  <si>
    <t>Tissue-type plasminogen activator chain B</t>
  </si>
  <si>
    <t>INN=Alteplase; INN=Reteplase</t>
  </si>
  <si>
    <t>TPA_HUMAN</t>
  </si>
  <si>
    <t>P00750</t>
  </si>
  <si>
    <t>A8K022; B2R8E8; Q15103; Q503B0; Q6PJA5; Q7Z7N2; Q86YK8; Q9BU99; Q9BZW1</t>
  </si>
  <si>
    <t>3D-structure; Alternative splicing; Cleavage on pair of basic residues; Disulfide bond; EGF-like domain; Glycoprotein; Hydrolase; Kringle; Pharmaceutical; Plasminogen activation; Polymorphism; Protease; Repeat; Secreted; Serine protease; Signal; Zymogen</t>
  </si>
  <si>
    <t>Plasminogen activation</t>
  </si>
  <si>
    <t>blood coagulation {GO:0007596}; cellular protein modification process {GO:0006464}; fibrinolysis {GO:0042730}; negative regulation of proteolysis {GO:0045861}; plasminogen activation {GO:0031639}; platelet-derived growth factor receptor signaling pathway {GO:0048008}; proteolysis {GO:0006508}; response to hypoxia {GO:0001666}; smooth muscle cell migration {GO:0014909}; trans-synaptic signaling by BDNF, modulating synaptic transmission {GO:0099183}</t>
  </si>
  <si>
    <t>apical part of cell {GO:0045177}; cell surface {GO:0009986}; cytoplasm {GO:0005737}; extracellular exosome {GO:0070062}; extracellular region {GO:0005576}; extracellular space {GO:0005615}; glutamatergic synapse {GO:0098978}; Schaffer collateral - CA1 synapse {GO:0098685}; secretory granule {GO:0030141}</t>
  </si>
  <si>
    <t>phosphoprotein binding {GO:0051219}; serine-type endopeptidase activity {GO:0004252}; signaling receptor binding {GO:0005102}</t>
  </si>
  <si>
    <t>Signaling by PDGF {R-HSA-186797}; Dissolution of Fibrin Clot {R-HSA-75205}</t>
  </si>
  <si>
    <t>Ubiquitin-conjugating enzyme E2 K</t>
  </si>
  <si>
    <t>E2 ubiquitin-conjugating enzyme K; Huntingtin-interacting protein 2 (HIP-2); Ubiquitin carrier protein; Ubiquitin-conjugating enzyme E2-25 kDa (Ubiquitin-conjugating enzyme E2(25K); Ubiquitin-conjugating enzyme E2-25K); Ubiquitin-protein ligase</t>
  </si>
  <si>
    <t>UBE2K_HUMAN</t>
  </si>
  <si>
    <t>P61086</t>
  </si>
  <si>
    <t>A6NJC1; A8K5Y9; B2RDF8; C9JGP1; O54806; P27924; Q16721; Q9CVV9; Q9Y2D3</t>
  </si>
  <si>
    <t>HIP2; LIG</t>
  </si>
  <si>
    <t>3D-structure; Acetylation; Alternative splicing; ATP-binding; Cytoplasm; Isopeptide bond; Nucleotide-binding; Phosphoprotein; Transferase; Ubl conjugation; Ubl conjugation pathway</t>
  </si>
  <si>
    <t>cellular response to interferon-beta {GO:0035458}; free ubiquitin chain polymerization {GO:0010994}; intrinsic apoptotic signaling pathway in response to endoplasmic reticulum stress {GO:0070059}; positive regulation of peptidyl-threonine phosphorylation {GO:0010800}; positive regulation of type I interferon-mediated signaling pathway {GO:0060340}; protein K48-linked ubiquitination {GO:0070936}; protein ubiquitination {GO:0016567}; regulation of proteasomal ubiquitin-dependent protein catabolic process {GO:0032434}; ubiquitin-dependent protein catabolic process {GO:0006511}</t>
  </si>
  <si>
    <t>cytosol {GO:0005829}; filopodium tip {GO:0032433}; nucleus {GO:0005634}</t>
  </si>
  <si>
    <t>ATP binding {GO:0005524}; ubiquitin conjugating enzyme activity {GO:0061631}; ubiquitin protein ligase binding {GO:0031625}; ubiquitin-protein transferase activity {GO:0004842}; ubiquitin-ubiquitin ligase activity {GO:0034450}</t>
  </si>
  <si>
    <t>Synthesis of active ubiquitin: roles of E1 and E2 enzymes {R-HSA-8866652}; Negative regulators of DDX58/IFIH1 signaling {R-HSA-936440}; Antigen processing: Ubiquitination &amp; Proteasome degradation {R-HSA-983168}</t>
  </si>
  <si>
    <t>Acid ceramidase subunit beta</t>
  </si>
  <si>
    <t>Acylsphingosine deacylase; N-acylethanolamine hydrolase ASAH1; N-acylsphingosine amidohydrolase; Putative 32 kDa heart protein (PHP32)</t>
  </si>
  <si>
    <t>ASAH1_HUMAN</t>
  </si>
  <si>
    <t>Q13510</t>
  </si>
  <si>
    <t>E9PDS0; Q6W898; Q96AS2</t>
  </si>
  <si>
    <t>ASAH</t>
  </si>
  <si>
    <t>3D-structure; Alternative splicing; Cytoplasm; Disease mutation; Disulfide bond; Epilepsy; Glycoprotein; Hydrolase; Lipid metabolism; Lysosome; Neurodegeneration; Nucleus; Polymorphism; Secreted; Signal; Sphingolipid metabolism</t>
  </si>
  <si>
    <t>Cytoplasm; Lysosome; Nucleus; Secreted</t>
  </si>
  <si>
    <t>Disease mutation; Epilepsy; Neurodegeneration</t>
  </si>
  <si>
    <t>cellular response to tumor necrosis factor {GO:0071356}; ceramide biosynthetic process {GO:0046513}; ceramide catabolic process {GO:0046514}; glycosphingolipid metabolic process {GO:0006687}; keratinocyte differentiation {GO:0030216}; negative regulation of nucleic acid-templated transcription {GO:1903507}; neutrophil degranulation {GO:0043312}; regulation of programmed necrotic cell death {GO:0062098}; regulation of steroid biosynthetic process {GO:0050810}; sphingosine biosynthetic process {GO:0046512}</t>
  </si>
  <si>
    <t>extracellular exosome {GO:0070062}; extracellular region {GO:0005576}; extracellular space {GO:0005615}; ficolin-1-rich granule lumen {GO:1904813}; lysosomal lumen {GO:0043202}; lysosome {GO:0005764}; nucleus {GO:0005634}; tertiary granule lumen {GO:1904724}</t>
  </si>
  <si>
    <t>ceramidase activity {GO:0102121}; hydrolase activity, acting on carbon-nitrogen (but not peptide) bonds {GO:0016810}; hydrolase activity, acting on carbon-nitrogen (but not peptide) bonds, in linear amides {GO:0016811}; N-acylsphingosine amidohydrolase activity {GO:0017040}; nuclear receptor binding {GO:0016922}; transcription corepressor activity {GO:0003714}</t>
  </si>
  <si>
    <t>Glycosphingolipid metabolism {R-HSA-1660662}; Neutrophil degranulation {R-HSA-6798695}</t>
  </si>
  <si>
    <t>N-acylethanolamine-hydrolyzing acid amidase subunit beta</t>
  </si>
  <si>
    <t>Acid ceramidase-like protein; N-acylsphingosine amidohydrolase-like (ASAH-like protein)</t>
  </si>
  <si>
    <t>NAAA_HUMAN</t>
  </si>
  <si>
    <t>Q02083</t>
  </si>
  <si>
    <t>Q5KTF2; Q96EY2; Q9BRA8</t>
  </si>
  <si>
    <t>3D-structure; Alternative splicing; Autocatalytic cleavage; Disulfide bond; Fatty acid metabolism; Glycoprotein; Hydrolase; Lipid degradation; Lipid metabolism; Lysosome; Membrane; Polymorphism; Signal; Zymogen</t>
  </si>
  <si>
    <t>Fatty acid metabolism; Lipid degradation; Lipid metabolism</t>
  </si>
  <si>
    <t>fatty acid metabolic process {GO:0006631}; lipid catabolic process {GO:0016042}; N-acylethanolamine metabolic process {GO:0070291}; neurotransmitter secretion {GO:0007269}</t>
  </si>
  <si>
    <t>cytoplasm {GO:0005737}; extracellular exosome {GO:0070062}; extrinsic component of membrane {GO:0019898}; lysosomal lumen {GO:0043202}; lysosome {GO:0005764}; presynapse {GO:0098793}</t>
  </si>
  <si>
    <t>fatty acid amide hydrolase activity {GO:0017064}; hydrolase activity, acting on carbon-nitrogen (but not peptide) bonds {GO:0016810}; transcription factor binding {GO:0008134}</t>
  </si>
  <si>
    <t xml:space="preserve">Lipid metabolism; fatty acid metabolism.  </t>
  </si>
  <si>
    <t>Neurotransmitter release cycle {R-HSA-112310}</t>
  </si>
  <si>
    <t>Far upstream element-binding protein 1 (FBP; FUSE-binding protein 1)</t>
  </si>
  <si>
    <t>DNA helicase V (hDH V)</t>
  </si>
  <si>
    <t>FUBP1_HUMAN</t>
  </si>
  <si>
    <t>Q96AE4</t>
  </si>
  <si>
    <t>Q12828</t>
  </si>
  <si>
    <t>3D-structure; Acetylation; Alternative splicing; DNA-binding; Methylation; Nucleus; Phosphoprotein; Polymorphism; Repeat; Transcription; Transcription regulation; Ubl conjugation</t>
  </si>
  <si>
    <t>positive regulation of gene expression {GO:0010628}; transcription by RNA polymerase II {GO:0006366}</t>
  </si>
  <si>
    <t>nucleoplasm {GO:0005654}; nucleus {GO:0005634}</t>
  </si>
  <si>
    <t>DNA-binding transcription factor activity {GO:0003700}; RNA binding {GO:0003723}; single-stranded DNA binding {GO:0003697}</t>
  </si>
  <si>
    <t>Glutamyl aminopeptidase (EAP)</t>
  </si>
  <si>
    <t>Aminopeptidase A (AP-A); Differentiation antigen gp160; CD_antigen=CD249</t>
  </si>
  <si>
    <t>AMPE_HUMAN</t>
  </si>
  <si>
    <t>Q07075</t>
  </si>
  <si>
    <t>Q504U2</t>
  </si>
  <si>
    <t>3D-structure; Aminopeptidase; Calcium; Cell membrane; Disulfide bond; Glycoprotein; Hydrolase; Membrane; Metal-binding; Metalloprotease; Polymorphism; Protease; Signal-anchor; Transmembrane; Transmembrane helix; Zinc</t>
  </si>
  <si>
    <t>angiogenesis {GO:0001525}; angiotensin maturation {GO:0002003}; cell migration {GO:0016477}; cell population proliferation {GO:0008283}; cell-cell signaling {GO:0007267}; glomerulus development {GO:0032835}; peptide catabolic process {GO:0043171}; proteolysis {GO:0006508}; regulation of systemic arterial blood pressure by renin-angiotensin {GO:0003081}</t>
  </si>
  <si>
    <t>apical part of cell {GO:0045177}; apical plasma membrane {GO:0016324}; brush border {GO:0005903}; cytoplasm {GO:0005737}; cytoplasmic vesicle {GO:0031410}; external side of plasma membrane {GO:0009897}; extracellular exosome {GO:0070062}; integral component of plasma membrane {GO:0005887}; lysosomal membrane {GO:0005765}; plasma membrane {GO:0005886}</t>
  </si>
  <si>
    <t>aminopeptidase activity {GO:0004177}; metalloaminopeptidase activity {GO:0070006}; peptide binding {GO:0042277}; zinc ion binding {GO:0008270}</t>
  </si>
  <si>
    <t>Phosphoglucomutase-2 (PGM 2)</t>
  </si>
  <si>
    <t>Glucose phosphomutase 2; Phosphodeoxyribomutase; Phosphopentomutase</t>
  </si>
  <si>
    <t>PGM2_HUMAN</t>
  </si>
  <si>
    <t>Q96G03</t>
  </si>
  <si>
    <t>B4E0G8; Q53FP5; Q5QTR0; Q9H0P9; Q9NV22</t>
  </si>
  <si>
    <t>Acetylation; Alternative splicing; Carbohydrate metabolism; Cytoplasm; Glucose metabolism; Isomerase; Magnesium; Metal-binding; Phosphoprotein; Polymorphism</t>
  </si>
  <si>
    <t>Carbohydrate metabolism; Glucose metabolism</t>
  </si>
  <si>
    <t>deoxyribose phosphate catabolic process {GO:0046386}; galactose catabolic process {GO:0019388}; glucose metabolic process {GO:0006006}; glycogen biosynthetic process {GO:0005978}; glycogen catabolic process {GO:0005980}; neutrophil degranulation {GO:0043312}; pentose-phosphate shunt {GO:0006098}</t>
  </si>
  <si>
    <t>cytosol {GO:0005829}; extracellular exosome {GO:0070062}; extracellular region {GO:0005576}; ficolin-1-rich granule lumen {GO:1904813}; secretory granule lumen {GO:0034774}</t>
  </si>
  <si>
    <t>magnesium ion binding {GO:0000287}; phosphoglucomutase activity {GO:0004614}; phosphopentomutase activity {GO:0008973}</t>
  </si>
  <si>
    <t>Carbohydrate degradation; 2-deoxy-D-ribose 1-phosphate degradation; D-glyceraldehyde 3-phosphate and acetaldehyde from 2- deoxy-alpha-D-ribose 1-phosphate: step 1/2.</t>
  </si>
  <si>
    <t>Glycogen synthesis {R-HSA-3322077}; Neutrophil degranulation {R-HSA-6798695}; Glycogen breakdown (glycogenolysis) {R-HSA-70221}; Galactose catabolism {R-HSA-70370}; Pentose phosphate pathway {R-HSA-71336}</t>
  </si>
  <si>
    <t>Cytokine-like protein 1</t>
  </si>
  <si>
    <t>Protein C17</t>
  </si>
  <si>
    <t>CYTL1_HUMAN</t>
  </si>
  <si>
    <t>Q9NRR1</t>
  </si>
  <si>
    <t>C4orf4</t>
  </si>
  <si>
    <t>cartilage homeostasis {GO:1990079}; chondrocyte differentiation {GO:0002062}; chondroitin sulfate proteoglycan biosynthetic process {GO:0050650}; inner ear development {GO:0048839}; positive regulation of DNA-binding transcription factor activity {GO:0051091}; positive regulation of transcription by RNA polymerase II {GO:0045944}; signal transduction {GO:0007165}</t>
  </si>
  <si>
    <t>Stanniocalcin-1 (STC-1)</t>
  </si>
  <si>
    <t>STC1_HUMAN</t>
  </si>
  <si>
    <t>P52823</t>
  </si>
  <si>
    <t>B4DN22; Q71UE5</t>
  </si>
  <si>
    <t>STC</t>
  </si>
  <si>
    <t>Alternative splicing; Disulfide bond; Glycoprotein; Hormone; Secreted; Signal</t>
  </si>
  <si>
    <t>bone development {GO:0060348}; cellular calcium ion homeostasis {GO:0006874}; cellular response to cAMP {GO:0071320}; cellular response to glucocorticoid stimulus {GO:0071385}; cellular response to hypoxia {GO:0071456}; chondrocyte proliferation {GO:0035988}; decidualization {GO:0046697}; embryo implantation {GO:0007566}; endothelial cell morphogenesis {GO:0001886}; growth plate cartilage axis specification {GO:0003421}; negative regulation of calcium ion transport {GO:0051926}; negative regulation of cell migration {GO:0030336}; negative regulation of endothelial cell migration {GO:0010596}; negative regulation of renal phosphate excretion {GO:1903403}; ossification {GO:0001503}; positive regulation of calcium ion import {GO:0090280}; regulation of anion transport {GO:0044070}; regulation of cardiac muscle cell contraction {GO:0086004}; response to vitamin D {GO:0033280}</t>
  </si>
  <si>
    <t>apical plasma membrane {GO:0016324}; cytoplasm {GO:0005737}; extracellular space {GO:0005615}; nucleus {GO:0005634}</t>
  </si>
  <si>
    <t>Annexin A10</t>
  </si>
  <si>
    <t>Annexin-10; Annexin-14</t>
  </si>
  <si>
    <t>ANX10_HUMAN</t>
  </si>
  <si>
    <t>Q9UJ72</t>
  </si>
  <si>
    <t>Q96IQ5; Q9UJV4</t>
  </si>
  <si>
    <t>ANX14</t>
  </si>
  <si>
    <t>Annexin; Polymorphism; Repeat</t>
  </si>
  <si>
    <t>calcium ion binding {GO:0005509}; calcium-dependent phospholipid binding {GO:0005544}</t>
  </si>
  <si>
    <t>Fibrinogen alpha chain</t>
  </si>
  <si>
    <t>FIBA_HUMAN</t>
  </si>
  <si>
    <t>P02671</t>
  </si>
  <si>
    <t>A8K3E4; D3DP14; D3DP15; Q4QQH7; Q9BX62; Q9UCH2</t>
  </si>
  <si>
    <t>3D-structure; Adaptive immunity; Alternative splicing; Amyloid; Amyloidosis; Blood coagulation; Calcium; Coiled coil; Disease mutation; Disulfide bond; Glycoprotein; Hemostasis; Hydroxylation; Immunity; Innate immunity; Isopeptide bond; Metal-binding; Phosphoprotein; Polymorphism; Secreted; Signal</t>
  </si>
  <si>
    <t>Disulfide bond; Glycoprotein; Hydroxylation; Isopeptide bond; Phosphoprotein</t>
  </si>
  <si>
    <t>adaptive immune response {GO:0002250}; blood coagulation {GO:0007596}; blood coagulation, common pathway {GO:0072377}; blood coagulation, fibrin clot formation {GO:0072378}; cell-matrix adhesion {GO:0007160}; cellular protein metabolic process {GO:0044267}; cellular protein-containing complex assembly {GO:0034622}; extracellular matrix organization {GO:0030198}; fibrinolysis {GO:0042730}; induction of bacterial agglutination {GO:0043152}; innate immune response {GO:0045087}; negative regulation of blood coagulation, common pathway {GO:2000261}; negative regulation of endothelial cell apoptotic process {GO:2000352}; negative regulation of extrinsic apoptotic signaling pathway via death domain receptors {GO:1902042}; plasminogen activation {GO:0031639}; platelet aggregation {GO:0070527}; platelet degranulation {GO:0002576}; positive regulation of ERK1 and ERK2 cascade {GO:0070374}; positive regulation of exocytosis {GO:0045921}; positive regulation of heterotypic cell-cell adhesion {GO:0034116}; positive regulation of peptide hormone secretion {GO:0090277}; positive regulation of protein secretion {GO:0050714}; positive regulation of substrate adhesion-dependent cell spreading {GO:1900026}; positive regulation of vasoconstriction {GO:0045907}; post-translational protein modification {GO:0043687}; protein polymerization {GO:0051258}; protein-containing complex assembly {GO:0065003}; response to calcium ion {GO:0051592}; toll-like receptor signaling pathway {GO:0002224}</t>
  </si>
  <si>
    <t>blood microparticle {GO:0072562}; cell cortex {GO:0005938}; cell surface {GO:0009986}; collagen-containing extracellular matrix {GO:0062023}; endoplasmic reticulum lumen {GO:0005788}; external side of plasma membrane {GO:0009897}; extracellular exosome {GO:0070062}; extracellular region {GO:0005576}; extracellular space {GO:0005615}; extracellular vesicle {GO:1903561}; fibrinogen complex {GO:0005577}; plasma membrane {GO:0005886}; platelet alpha granule {GO:0031091}; platelet alpha granule lumen {GO:0031093}; synapse {GO:0045202}</t>
  </si>
  <si>
    <t>extracellular matrix structural constituent {GO:0005201}; metal ion binding {GO:0046872}; signaling receptor binding {GO:0005102}; structural molecule activity {GO:0005198}</t>
  </si>
  <si>
    <t>Platelet degranulation {R-HSA-114608}; Common Pathway of Fibrin Clot Formation {R-HSA-140875}; Integrin cell surface interactions {R-HSA-216083}; Integrin alphaIIb beta3 signaling {R-HSA-354192}; GRB2:SOS provides linkage to MAPK signaling for Integrins {R-HSA-354194}; p130Cas linkage to MAPK signaling for integrins {R-HSA-372708}; Regulation of Insulin-like Growth Factor (IGF) transport and uptake by Insulin-like Growth Factor Binding Proteins (IGFBPs) {R-HSA-381426}; MAP2K and MAPK activation {R-HSA-5674135}; Regulation of TLR by endogenous ligand {R-HSA-5686938};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Post-translational protein phosphorylation {R-HSA-8957275}; Amyloid fiber formation {R-HSA-977225}</t>
  </si>
  <si>
    <t>Immunoglobulin J chain</t>
  </si>
  <si>
    <t>Joining chain of multimeric IgA and IgM</t>
  </si>
  <si>
    <t>IGJ_HUMAN</t>
  </si>
  <si>
    <t>P01591</t>
  </si>
  <si>
    <t>Disulfide bond; Glycoprotein; Pyrrolidone carboxylic acid; Secreted; Signal</t>
  </si>
  <si>
    <t>adaptive immune response {GO:0002250}; antibacterial humoral response {GO:0019731}; glomerular filtration {GO:0003094}; immune response {GO:0006955}; innate immune response {GO:0045087}; leukocyte migration {GO:0050900}; positive regulation of protein oligomerization {GO:0032461}; positive regulation of respiratory burst {GO:0060267}; receptor-mediated endocytosis {GO:0006898}; retina homeostasis {GO:0001895}</t>
  </si>
  <si>
    <t>blood microparticle {GO:0072562}; dimeric IgA immunoglobulin complex {GO:0071750}; extracellular exosome {GO:0070062}; extracellular region {GO:0005576}; extracellular space {GO:0005615}; monomeric IgA immunoglobulin complex {GO:0071748}; pentameric IgM immunoglobulin complex {GO:0071756}; secretory dimeric IgA immunoglobulin complex {GO:0071752}; secretory IgA immunoglobulin complex {GO:0071751}</t>
  </si>
  <si>
    <t>antigen binding {GO:0003823}; IgA binding {GO:0019862}; immunoglobulin receptor binding {GO:0034987}; protein binding, bridging {GO:0030674}; protein homodimerization activity {GO:0042803}</t>
  </si>
  <si>
    <t>Cell surface interactions at the vascular wall {R-HSA-202733}; Scavenging of heme from plasma {R-HSA-2168880}</t>
  </si>
  <si>
    <t>Alcohol dehydrogenase class-3</t>
  </si>
  <si>
    <t>Alcohol dehydrogenase 5; Alcohol dehydrogenase class chi chain; Alcohol dehydrogenase class-III; Glutathione-dependent formaldehyde dehydrogenase (FALDH; FDH; GSH-FDH); S-(hydroxymethyl)glutathione dehydrogenase</t>
  </si>
  <si>
    <t>ADHX_HUMAN</t>
  </si>
  <si>
    <t>P11766</t>
  </si>
  <si>
    <t>Q6FHR2</t>
  </si>
  <si>
    <t>3D-structure; Acetylation; Cytoplasm; Metal-binding; NAD; Oxidoreductase; Phosphoprotein; Polymorphism; Zinc</t>
  </si>
  <si>
    <t>ethanol oxidation {GO:0006069}; formaldehyde catabolic process {GO:0046294}; peptidyl-cysteine S-nitrosylation {GO:0018119}; positive regulation of blood pressure {GO:0045777}; respiratory system process {GO:0003016}; response to lipopolysaccharide {GO:0032496}; response to nitrosative stress {GO:0051409}; response to redox state {GO:0051775}; retinoid metabolic process {GO:0001523}</t>
  </si>
  <si>
    <t>cytosol {GO:0005829}; extracellular exosome {GO:0070062}; mitochondrion {GO:0005739}</t>
  </si>
  <si>
    <t>alcohol dehydrogenase activity, zinc-dependent {GO:0004024}; electron transfer activity {GO:0009055}; fatty acid binding {GO:0005504}; formaldehyde dehydrogenase activity {GO:0018467}; protein homodimerization activity {GO:0042803}; S-(hydroxymethyl)glutathione dehydrogenase activity {GO:0051903}; zinc ion binding {GO:0008270}</t>
  </si>
  <si>
    <t>Ethanol oxidation {R-HSA-71384}</t>
  </si>
  <si>
    <t>Fibrinogen-like protein 1</t>
  </si>
  <si>
    <t>HP-041; Hepassocin (HPS); Hepatocyte-derived fibrinogen-related protein 1 (HFREP-1); Liver fibrinogen-related protein 1 (LFIRE-1)</t>
  </si>
  <si>
    <t>FGL1_HUMAN</t>
  </si>
  <si>
    <t>Q08830</t>
  </si>
  <si>
    <t>A6NKU4; Q4PJH9; Q53YF1; Q8NG32; Q96KW6; Q96QM6</t>
  </si>
  <si>
    <t>Adaptive immunity; Coiled coil; Disulfide bond; Immunity; Polymorphism; Secreted; Signal</t>
  </si>
  <si>
    <t>adaptive immune response {GO:0002250}; hepatocyte proliferation {GO:0072574}; negative regulation of T cell activation {GO:0050868}; regulation of immune response {GO:0050776}</t>
  </si>
  <si>
    <t>extracellular region {GO:0005576}; fibrinogen complex {GO:0005577}</t>
  </si>
  <si>
    <t>Alpha-synuclein</t>
  </si>
  <si>
    <t>Non-A beta component of AD amyloid; Non-A4 component of amyloid precursor (NACP)</t>
  </si>
  <si>
    <t>SYUA_HUMAN</t>
  </si>
  <si>
    <t>P37840</t>
  </si>
  <si>
    <t>A8K2A4; Q13701; Q4JHI3; Q6IAU6</t>
  </si>
  <si>
    <t>NACP; PARK1</t>
  </si>
  <si>
    <t>3D-structure; Acetylation; Alternative splicing; Alzheimer disease; Amyloid; Cell junction; Copper; Cytoplasm; Disease mutation; Membrane; Metal-binding; Neurodegeneration; Nucleus; Parkinson disease; Parkinsonism; Phosphoprotein; Repeat; Secreted; Synapse; Ubl conjugation</t>
  </si>
  <si>
    <t>Amyloid; Cell junction; Cytoplasm; Membrane; Nucleus; Secreted; Synapse</t>
  </si>
  <si>
    <t>Alzheimer disease; Disease mutation; Neurodegeneration; Parkinson disease; Parkinsonism</t>
  </si>
  <si>
    <t>activation of cysteine-type endopeptidase activity involved in apoptotic process {GO:0006919}; adult locomotory behavior {GO:0008344}; aging {GO:0007568}; behavioral response to cocaine {GO:0048148}; cellular protein metabolic process {GO:0044267}; cellular response to copper ion {GO:0071280}; cellular response to epinephrine stimulus {GO:0071872}; cellular response to fibroblast growth factor stimulus {GO:0044344}; cellular response to oxidative stress {GO:0034599}; dopamine biosynthetic process {GO:0042416}; dopamine uptake involved in synaptic transmission {GO:0051583}; excitatory postsynaptic potential {GO:0060079}; fatty acid metabolic process {GO:0006631}; long-term synaptic potentiation {GO:0060291}; microglial cell activation {GO:0001774}; mitochondrial ATP synthesis coupled electron transport {GO:0042775}; mitochondrial membrane organization {GO:0007006}; negative regulation of apoptotic process {GO:0043066}; negative regulation of chaperone-mediated autophagy {GO:1904715}; negative regulation of cysteine-type endopeptidase activity involved in apoptotic process {GO:0043154}; negative regulation of dopamine metabolic process {GO:0045963}; negative regulation of dopamine uptake involved in synaptic transmission {GO:0051585}; negative regulation of exocytosis {GO:0045920}; negative regulation of histone acetylation {GO:0035067}; negative regulation of microtubule polymerization {GO:0031115}; negative regulation of mitochondrial electron transport, NADH to ubiquinone {GO:1902957}; negative regulation of monooxygenase activity {GO:0032769}; negative regulation of neuron apoptotic process {GO:0043524}; negative regulation of neuron death {GO:1901215}; negative regulation of norepinephrine uptake {GO:0051622}; negative regulation of platelet-derived growth factor receptor signaling pathway {GO:0010642}; negative regulation of protein phosphorylation {GO:0001933}; negative regulation of serotonin uptake {GO:0051612}; negative regulation of thrombin-activated receptor signaling pathway {GO:0070495}; negative regulation of transcription by RNA polymerase II {GO:0000122}; negative regulation of transporter activity {GO:0032410}; neutral lipid metabolic process {GO:0006638}; oxidation-reduction process {GO:0055114}; phospholipid metabolic process {GO:0006644}; positive regulation of apoptotic process {GO:0043065}; positive regulation of endocytosis {GO:0045807}; positive regulation of exocytosis {GO:0045921}; positive regulation of glutathione peroxidase activity {GO:1903284}; positive regulation of hydrogen peroxide catabolic process {GO:1903285}; positive regulation of inflammatory response {GO:0050729}; positive regulation of inositol phosphate biosynthetic process {GO:0060732}; positive regulation of neuron death {GO:1901216}; positive regulation of neurotransmitter secretion {GO:0001956}; positive regulation of peptidyl-serine phosphorylation {GO:0033138}; positive regulation of protein serine/threonine kinase activity {GO:0071902}; positive regulation of receptor recycling {GO:0001921}; positive regulation of release of sequestered calcium ion into cytosol {GO:0051281}; protein destabilization {GO:0031648}; protein tetramerization {GO:0051262}; receptor internalization {GO:0031623}; regulation of acyl-CoA biosynthetic process {GO:0050812}; regulation of dopamine secretion {GO:0014059}; regulation of glutamate secretion {GO:0014048}; regulation of locomotion {GO:0040012}; regulation of long-term neuronal synaptic plasticity {GO:0048169}; regulation of macrophage activation {GO:0043030}; regulation of norepinephrine uptake {GO:0051621}; regulation of phospholipase activity {GO:0010517}; regulation of presynapse assembly {GO:1905606}; regulation of reactive oxygen species biosynthetic process {GO:1903426}; regulation of synaptic vesicle recycling {GO:1903421}; regulation of transmembrane transporter activity {GO:0022898}; response to desipramine {GO:1904307}; response to interferon-gamma {GO:0034341}; response to interleukin-1 {GO:0070555}; response to iron(II) ion {GO:0010040}; response to lipopolysaccharide {GO:0032496}; response to magnesium ion {GO:0032026}; SNARE complex assembly {GO:0035493}; supramolecular fiber organization {GO:0097435}; synapse organization {GO:0050808}; synaptic vesicle endocytosis {GO:0048488}; synaptic vesicle exocytosis {GO:0016079}; synaptic vesicle priming {GO:0016082}</t>
  </si>
  <si>
    <t>actin cytoskeleton {GO:0015629}; axon {GO:0030424}; cell cortex {GO:0005938}; cell junction {GO:0030054}; cytoplasm {GO:0005737}; cytosol {GO:0005829}; extracellular region {GO:0005576}; extracellular space {GO:0005615}; Golgi apparatus {GO:0005794}; growth cone {GO:0030426}; inclusion body {GO:0016234}; lysosome {GO:0005764}; membrane {GO:0016020}; mitochondrial inner membrane {GO:0005743}; mitochondrial intermembrane space {GO:0005758}; mitochondrial matrix {GO:0005759}; mitochondrial outer membrane {GO:0005741}; mitochondrion {GO:0005739}; neuronal cell body {GO:0043025}; nuclear outer membrane {GO:0005640}; nucleus {GO:0005634}; perinuclear region of cytoplasm {GO:0048471}; plasma membrane {GO:0005886}; postsynapse {GO:0098794}; ribosome {GO:0005840}; rough endoplasmic reticulum {GO:0005791}; supramolecular fiber {GO:0099512}; synaptic vesicle membrane {GO:0030672}; terminal bouton {GO:0043195}</t>
  </si>
  <si>
    <t>actin binding {GO:0003779}; alpha-tubulin binding {GO:0043014}; beta-tubulin binding {GO:0048487}; calcium ion binding {GO:0005509}; copper ion binding {GO:0005507}; cuprous ion binding {GO:1903136}; cysteine-type endopeptidase inhibitor activity involved in apoptotic process {GO:0043027}; dynein complex binding {GO:0070840}; ferrous iron binding {GO:0008198}; histone binding {GO:0042393}; Hsp70 protein binding {GO:0030544}; identical protein binding {GO:0042802}; kinesin binding {GO:0019894}; magnesium ion binding {GO:0000287}; microtubule binding {GO:0008017}; oxidoreductase activity {GO:0016491}; phospholipase binding {GO:0043274}; phospholipid binding {GO:0005543}; phosphoprotein binding {GO:0051219}; protein domain specific binding {GO:0019904}; protein N-terminus binding {GO:0047485}; SNARE binding {GO:0000149}; tau protein binding {GO:0048156}; transcription regulatory region DNA binding {GO:0044212}; zinc ion binding {GO:0008270}</t>
  </si>
  <si>
    <t>Serine protease HTRA3</t>
  </si>
  <si>
    <t>High-temperature requirement factor A3; Pregnancy-related serine protease</t>
  </si>
  <si>
    <t>HTRA3_HUMAN</t>
  </si>
  <si>
    <t>P83110</t>
  </si>
  <si>
    <t>Q7Z7A2</t>
  </si>
  <si>
    <t>PRSP</t>
  </si>
  <si>
    <t>3D-structure; Alternative splicing; Disulfide bond; Hydrolase; Protease; Secreted; Serine protease; Signal</t>
  </si>
  <si>
    <t>negative regulation of BMP signaling pathway {GO:0030514}; negative regulation of transforming growth factor beta receptor signaling pathway {GO:0030512}; proteolysis {GO:0006508}</t>
  </si>
  <si>
    <t>endopeptidase activity {GO:0004175}; insulin-like growth factor binding {GO:0005520}; serine-type endopeptidase activity {GO:0004252}; serine-type peptidase activity {GO:0008236}</t>
  </si>
  <si>
    <t>Glycosylasparaginase beta chain</t>
  </si>
  <si>
    <t>Aspartylglucosaminidase; Glycosylasparaginase; N4-(N-acetyl-beta-glucosaminyl)-L-asparagine amidase</t>
  </si>
  <si>
    <t>ASPG_HUMAN</t>
  </si>
  <si>
    <t>P20933</t>
  </si>
  <si>
    <t>B2R7H2; D3DP47; Q4W5Q2; Q6FHN6; Q9UCK6; Q9UCK7; Q9UCK8</t>
  </si>
  <si>
    <t>3D-structure; Autocatalytic cleavage; Disease mutation; Disulfide bond; Glycoprotein; Hydrolase; Lysosome; Polymorphism; Protease; Signal</t>
  </si>
  <si>
    <t>Hydrolase; Protease</t>
  </si>
  <si>
    <t>Autocatalytic cleavage; Disulfide bond; Glycoprotein</t>
  </si>
  <si>
    <t>neutrophil degranulation {GO:0043312}; protein deglycosylation {GO:0006517}</t>
  </si>
  <si>
    <t>azurophil granule lumen {GO:0035578}; cytoplasm {GO:0005737}; endoplasmic reticulum {GO:0005783}; extracellular region {GO:0005576}; extracellular space {GO:0005615}; lysosome {GO:0005764}</t>
  </si>
  <si>
    <t>N4-(beta-N-acetylglucosaminyl)-L-asparaginase activity {GO:0003948}; peptidase activity {GO:0008233}; protein self-association {GO:0043621}</t>
  </si>
  <si>
    <t>Osteopontin</t>
  </si>
  <si>
    <t>Bone sialoprotein 1; Nephropontin; Secreted phosphoprotein 1 (SPP-1); Urinary stone protein; Uropontin</t>
  </si>
  <si>
    <t>OSTP_HUMAN</t>
  </si>
  <si>
    <t>P10451</t>
  </si>
  <si>
    <t>B2RDA1; Q15681; Q15682; Q15683; Q4W597; Q567T5; Q8NBK2; Q96IZ1</t>
  </si>
  <si>
    <t>BNSP; OPN</t>
  </si>
  <si>
    <t>3D-structure; Alternative splicing; Biomineralization; Cell adhesion; Cytokine; Glycoprotein; Phosphoprotein; Polymorphism; Secreted; Sialic acid; Signal</t>
  </si>
  <si>
    <t>Biomineralization; Cell adhesion</t>
  </si>
  <si>
    <t>androgen catabolic process {GO:0006710}; biomineral tissue development {GO:0031214}; cell adhesion {GO:0007155}; cellular protein metabolic process {GO:0044267}; cellular response to testosterone stimulus {GO:0071394}; decidualization {GO:0046697}; embryo implantation {GO:0007566}; extracellular matrix organization {GO:0030198}; inflammatory response {GO:0006954}; negative regulation of collateral sprouting of intact axon in response to injury {GO:0048685}; osteoblast differentiation {GO:0001649}; positive regulation of bone resorption {GO:0045780}; positive regulation of estradiol secretion {GO:2000866}; positive regulation of transcription, DNA-templated {GO:0045893}; post-translational protein modification {GO:0043687}; response to steroid hormone {GO:0048545}; response to vitamin D {GO:0033280}</t>
  </si>
  <si>
    <t>cell projection {GO:0042995}; endoplasmic reticulum lumen {GO:0005788}; extracellular exosome {GO:0070062}; extracellular region {GO:0005576}; extracellular space {GO:0005615}; Golgi apparatus {GO:0005794}; perinuclear region of cytoplasm {GO:0048471}</t>
  </si>
  <si>
    <t>cytokine activity {GO:0005125}; extracellular matrix binding {GO:0050840}; integrin binding {GO:0005178}</t>
  </si>
  <si>
    <t>Degradation of the extracellular matrix {R-HSA-1474228}; Signaling by PDGF {R-HSA-186797}; Integrin cell surface interactions {R-HSA-216083}; Regulation of Insulin-like Growth Factor (IGF) transport and uptake by Insulin-like Growth Factor Binding Proteins (IGFBPs) {R-HSA-381426}; RUNX3 Regulates Immune Response and Cell Migration {R-HSA-8949275}; Post-translational protein phosphorylation {R-HSA-8957275}</t>
  </si>
  <si>
    <t>Vitamin D-binding protein (DBP; VDB)</t>
  </si>
  <si>
    <t>Gc protein-derived macrophage activating factor (Gc-MAF; GcMAF); Gc-globulin; Group-specific component (Gc); Vitamin D-binding protein-macrophage activating factor (DBP-maf)</t>
  </si>
  <si>
    <t>VTDB_HUMAN</t>
  </si>
  <si>
    <t>P02774</t>
  </si>
  <si>
    <t>B4DPP2; D6RAK8; Q16309; Q16310; Q53F31; Q6GTG1</t>
  </si>
  <si>
    <t>3D-structure; Actin-binding; Alternative splicing; Disulfide bond; Glycoprotein; Polymorphism; Repeat; Secreted; Signal; Transport; Vitamin D</t>
  </si>
  <si>
    <t>Vitamin D</t>
  </si>
  <si>
    <t>vitamin D metabolic process {GO:0042359}; vitamin transport {GO:0051180}</t>
  </si>
  <si>
    <t>blood microparticle {GO:0072562}; cytosol {GO:0005829}; extracellular exosome {GO:0070062}; extracellular region {GO:0005576}; extracellular space {GO:0005615}; lysosomal lumen {GO:0043202}</t>
  </si>
  <si>
    <t>actin binding {GO:0003779}; calcidiol binding {GO:1902118}; vitamin D binding {GO:0005499}; vitamin transmembrane transporter activity {GO:0090482}</t>
  </si>
  <si>
    <t>Vitamin D (calciferol) metabolism {R-HSA-196791}</t>
  </si>
  <si>
    <t>60S ribosomal protein L34</t>
  </si>
  <si>
    <t>Large ribosomal subunit protein eL34</t>
  </si>
  <si>
    <t>RL34_HUMAN</t>
  </si>
  <si>
    <t>P49207</t>
  </si>
  <si>
    <t>Q6FG66; Q9BUZ2</t>
  </si>
  <si>
    <t>3D-structure; Acetylation; Cytoplasm; Endoplasmic reticulum; Isopeptide bond; Phosphoprotein; Ribonucleoprotein; Ribosomal protein; Ubl conjugation</t>
  </si>
  <si>
    <t>cytosol {GO:0005829}; cytosolic large ribosomal subunit {GO:0022625}; endoplasmic reticulum {GO:0005783}; extracellular exosome {GO:0070062}</t>
  </si>
  <si>
    <t>Protein transport protein Sec31A</t>
  </si>
  <si>
    <t>ABP125; ABP130; SEC31-like protein 1; SEC31-related protein A; Web1-like protein</t>
  </si>
  <si>
    <t>SC31A_HUMAN</t>
  </si>
  <si>
    <t>O94979</t>
  </si>
  <si>
    <t>B4DIW6; B7ZKZ7; B7ZL00; H7C2W3; Q17RR5; Q5H9P6; Q5XG74; Q659G7; Q6ZU90; Q7LCX9; Q86TJ0; Q8IZH4; Q9P048; Q9P0A6; Q9UM05; Q9UM06</t>
  </si>
  <si>
    <t>KIAA0905; SEC31L1</t>
  </si>
  <si>
    <t>3D-structure; Alternative splicing; Chromosomal rearrangement; Cytoplasm; Cytoplasmic vesicle; Endoplasmic reticulum; ER-Golgi transport; Isopeptide bond; Membrane; Phosphoprotein; Polymorphism; Protein transport; Proto-oncogene; Repeat; Transport; Ubl conjugation; WD repeat</t>
  </si>
  <si>
    <t>Cytoplasm; Cytoplasmic vesicle; Endoplasmic reticulum; Membrane</t>
  </si>
  <si>
    <t>antigen processing and presentation of exogenous peptide antigen via MHC class II {GO:0019886}; antigen processing and presentation of peptide antigen via MHC class I {GO:0002474}; COPII vesicle coating {GO:0048208}; COPII-coated vesicle budding {GO:0090114}; COPII-coated vesicle cargo loading {GO:0090110}; endoplasmic reticulum organization {GO:0007029}; endoplasmic reticulum to Golgi vesicle-mediated transport {GO:0006888}; intracellular protein transport {GO:0006886}; IRE1-mediated unfolded protein response {GO:0036498}; response to calcium ion {GO:0051592}</t>
  </si>
  <si>
    <t>COPII vesicle coat {GO:0030127}; COPII-coated ER to Golgi transport vesicle {GO:0030134}; cytoplasm {GO:0005737}; cytosol {GO:0005829}; endoplasmic reticulum {GO:0005783}; endoplasmic reticulum exit site {GO:0070971}; endoplasmic reticulum membrane {GO:0005789}; ER to Golgi transport vesicle membrane {GO:0012507}; Golgi membrane {GO:0000139}; intracellular membrane-bounded organelle {GO:0043231}; perinuclear region of cytoplasm {GO:0048471}; vesicle coat {GO:0030120}</t>
  </si>
  <si>
    <t>calcium-dependent protein binding {GO:0048306}; structural molecule activity {GO:0005198}</t>
  </si>
  <si>
    <t>COPII-mediated vesicle transport {R-HSA-204005}; MHC class II antigen presentation {R-HSA-2132295}; XBP1(S) activates chaperone genes {R-HSA-381038}; Antigen Presentation: Folding, assembly and peptide loading of class I MHC {R-HSA-983170}</t>
  </si>
  <si>
    <t>Annexin A5</t>
  </si>
  <si>
    <t>Anchorin CII; Annexin V; Annexin-5; Calphobindin I (CBP-I); Endonexin II; Lipocortin V; Placental anticoagulant protein 4 (PP4); Placental anticoagulant protein I (PAP-I); Thromboplastin inhibitor; Vascular anticoagulant-alpha (VAC-alpha)</t>
  </si>
  <si>
    <t>ANXA5_HUMAN</t>
  </si>
  <si>
    <t>P08758</t>
  </si>
  <si>
    <t>D3DNW7; Q6FHB3; Q6FI16; Q8WV69; Q9UDH9</t>
  </si>
  <si>
    <t>ANX5; ENX2; PP4</t>
  </si>
  <si>
    <t>3D-structure; Acetylation; Annexin; Blood coagulation; Calcium; Calcium/phospholipid-binding; Hemostasis; Isopeptide bond; Phosphoprotein; Repeat; S-nitrosylation; Ubl conjugation</t>
  </si>
  <si>
    <t>Acetylation; Isopeptide bond; Phosphoprotein; S-nitrosylation; Ubl conjugation</t>
  </si>
  <si>
    <t>blood coagulation {GO:0007596}; cellular response to gonadotropin-releasing hormone {GO:0097211}; cellular response to lead ion {GO:0071284}; negative regulation of apoptotic process {GO:0043066}; negative regulation of blood coagulation {GO:0030195}; negative regulation of prolactin secretion {GO:1902721}; negative regulation of sequestering of calcium ion {GO:0051283}; platelet degranulation {GO:0002576}; positive regulation of apoptotic process {GO:0043065}; regulation of flagellated sperm motility {GO:1901317}; response to calcium ion {GO:0051592}; response to organic substance {GO:0010033}; response to thyroid hormone {GO:0097066}; signal transduction {GO:0007165}</t>
  </si>
  <si>
    <t>collagen-containing extracellular matrix {GO:0062023}; cytoplasm {GO:0005737}; cytosol {GO:0005829}; endothelial microparticle {GO:0072563}; external side of plasma membrane {GO:0009897}; extracellular exosome {GO:0070062}; extracellular region {GO:0005576}; focal adhesion {GO:0005925}; intracellular {GO:0005622}; membrane {GO:0016020}</t>
  </si>
  <si>
    <t>calcium ion binding {GO:0005509}; calcium-dependent phospholipid binding {GO:0005544}; calcium-transporting ATPase activity {GO:0005388}; heparin binding {GO:0008201}; peptide hormone binding {GO:0017046}; phospholipase inhibitor activity {GO:0004859}; phospholipid binding {GO:0005543}; receptor tyrosine kinase binding {GO:0030971}</t>
  </si>
  <si>
    <t>Ectonucleotide pyrophosphatase/phosphodiesterase family member 6 (E-NPP 6; NPP-6)</t>
  </si>
  <si>
    <t>Choline-specific glycerophosphodiester phosphodiesterase; Glycerophosphocholine cholinephosphodiesterase (GPC-Cpde)</t>
  </si>
  <si>
    <t>ENPP6_HUMAN</t>
  </si>
  <si>
    <t>Q6UWR7</t>
  </si>
  <si>
    <t>Q4W5Q1; Q96M57</t>
  </si>
  <si>
    <t>Cell membrane; Disulfide bond; Glycoprotein; GPI-anchor; Hydrolase; Lipid degradation; Lipid metabolism; Lipoprotein; Membrane; Phosphoprotein; Polymorphism; Signal</t>
  </si>
  <si>
    <t>choline metabolic process {GO:0019695}; glycerophospholipid catabolic process {GO:0046475}; lipid metabolic process {GO:0006629}</t>
  </si>
  <si>
    <t>anchored component of membrane {GO:0031225}; extracellular exosome {GO:0070062}; extracellular region {GO:0005576}; plasma membrane {GO:0005886}</t>
  </si>
  <si>
    <t>glycerophosphocholine cholinephosphodiesterase activity {GO:0047390}; glycerophosphodiester phosphodiesterase activity {GO:0008889}; phosphoric diester hydrolase activity {GO:0008081}</t>
  </si>
  <si>
    <t>Glycerophospholipid catabolism {R-HSA-6814848}</t>
  </si>
  <si>
    <t>Platelet-derived growth factor receptor alpha (PDGF-R-alpha; PDGFR-alpha)</t>
  </si>
  <si>
    <t>Alpha platelet-derived growth factor receptor; Alpha-type platelet-derived growth factor receptor; CD140 antigen-like family member A; CD140a antigen; Platelet-derived growth factor alpha receptor; Platelet-derived growth factor receptor 2 (PDGFR-2); CD_antigen=CD140a</t>
  </si>
  <si>
    <t>PGFRA_HUMAN</t>
  </si>
  <si>
    <t>P16234</t>
  </si>
  <si>
    <t>B2RE69; E9PBH0; Q6P4H5; Q96KZ7; Q9UD28</t>
  </si>
  <si>
    <t>PDGFR2; RHEPDGFRA</t>
  </si>
  <si>
    <t>3D-structure; Alternative splicing; ATP-binding; Cell membrane; Cell projection; Chemotaxis; Developmental protein; Disulfide bond; Glycoprotein; Golgi apparatus; Host-virus interaction; Immunoglobulin domain; Kinase; Membrane; Nucleotide-binding; Phosphoprotein; Polymorphism; Proto-oncogene; Receptor; Repeat; Signal; Transferase; Transmembrane; Transmembrane helix; Tyrosine-protein kinase; Ubl conjugation</t>
  </si>
  <si>
    <t>Cell membrane; Cell projection; Golgi apparatus; Membrane</t>
  </si>
  <si>
    <t>adrenal gland development {GO:0030325}; cardiac myofibril assembly {GO:0055003}; cell activation {GO:0001775}; cell chemotaxis {GO:0060326}; cellular response to amino acid stimulus {GO:0071230}; cellular response to reactive oxygen species {GO:0034614}; embryonic cranial skeleton morphogenesis {GO:0048701}; embryonic digestive tract morphogenesis {GO:0048557}; embryonic skeletal system morphogenesis {GO:0048704}; estrogen metabolic process {GO:0008210}; extracellular matrix organization {GO:0030198}; face morphogenesis {GO:0060325}; hematopoietic progenitor cell differentiation {GO:0002244}; in utero embryonic development {GO:0001701}; Leydig cell differentiation {GO:0033327}; lung development {GO:0030324}; luteinization {GO:0001553}; male genitalia development {GO:0030539}; MAPK cascade {GO:0000165}; metanephric glomerular capillary formation {GO:0072277}; negative regulation of platelet activation {GO:0010544}; odontogenesis of dentin-containing tooth {GO:0042475}; peptidyl-tyrosine phosphorylation {GO:0018108}; phosphatidylinositol-mediated signaling {GO:0048015}; platelet aggregation {GO:0070527}; platelet-derived growth factor receptor signaling pathway {GO:0048008}; platelet-derived growth factor receptor-alpha signaling pathway {GO:0035790}; positive regulation of cell migration {GO:0030335}; positive regulation of cell population proliferation {GO:0008284}; positive regulation of cell proliferation by VEGF-activated platelet derived growth factor receptor signaling pathway {GO:0038091}; positive regulation of cytosolic calcium ion concentration {GO:0007204}; positive regulation of ERK1 and ERK2 cascade {GO:0070374}; positive regulation of fibroblast proliferation {GO:0048146}; positive regulation of MAPK cascade {GO:0043410}; positive regulation of phosphatidylinositol 3-kinase activity {GO:0043552}; positive regulation of phosphatidylinositol 3-kinase signaling {GO:0014068}; positive regulation of phospholipase C activity {GO:0010863}; positive regulation of protein kinase B signaling {GO:0051897}; protein autophosphorylation {GO:0046777}; regulation of actin cytoskeleton reorganization {GO:2000249}; regulation of chemotaxis {GO:0050920}; regulation of mesenchymal stem cell differentiation {GO:2000739}; retina vasculature development in camera-type eye {GO:0061298}; roof of mouth development {GO:0060021}; signal transduction involved in regulation of gene expression {GO:0023019}; transmembrane receptor protein tyrosine kinase signaling pathway {GO:0007169}; viral process {GO:0016032}; wound healing {GO:0042060}</t>
  </si>
  <si>
    <t>cell junction {GO:0030054}; cilium {GO:0005929}; cytoplasm {GO:0005737}; external side of plasma membrane {GO:0009897}; Golgi apparatus {GO:0005794}; integral component of plasma membrane {GO:0005887}; intrinsic component of plasma membrane {GO:0031226}; membrane {GO:0016020}; microvillus {GO:0005902}; nucleus {GO:0005634}; plasma membrane {GO:0005886}; protein-containing complex {GO:0032991}; receptor complex {GO:0043235}</t>
  </si>
  <si>
    <t>ATP binding {GO:0005524}; platelet-derived growth factor alpha-receptor activity {GO:0005018}; platelet-derived growth factor binding {GO:0048407}; platelet-derived growth factor receptor binding {GO:0005161}; protein homodimerization activity {GO:0042803}; protein kinase activity {GO:0004672}; protein-containing complex binding {GO:0044877}; transmembrane receptor protein tyrosine kinase activity {GO:0004714}; vascular endothelial growth factor binding {GO:0038085}; vascular endothelial growth factor-activated receptor activity {GO:0005021}</t>
  </si>
  <si>
    <t>PIP3 activates AKT signaling {R-HSA-1257604}; Downstream signal transduction {R-HSA-186763}; Signaling by PDGF {R-HSA-186797}; Constitutive Signaling by Aberrant PI3K in Cancer {R-HSA-2219530}; RAF/MAP kinase cascade {R-HSA-5673001}; PI5P, PP2A and IER3 Regulate PI3K/AKT Signaling {R-HSA-6811558}</t>
  </si>
  <si>
    <t>Scavenger receptor class A member 5</t>
  </si>
  <si>
    <t>Scavenger receptor hlg</t>
  </si>
  <si>
    <t>SCAR5_HUMAN</t>
  </si>
  <si>
    <t>Q6ZMJ2</t>
  </si>
  <si>
    <t>Q6UXZ1; Q7Z4A1; Q8N4Z7</t>
  </si>
  <si>
    <t>Alternative splicing; Cell membrane; Coiled coil; Disulfide bond; Glycoprotein; Ion transport; Iron; Iron transport; Membrane; Polymorphism; Receptor; Signal-anchor; Transmembrane; Transmembrane helix; Transport</t>
  </si>
  <si>
    <t>Iron</t>
  </si>
  <si>
    <t>cellular iron ion homeostasis {GO:0006879}; cellular response to heat {GO:0034605}; endocytosis {GO:0006897}; iron ion transmembrane transport {GO:0034755}; protein homotrimerization {GO:0070207}</t>
  </si>
  <si>
    <t>cell surface {GO:0009986}; integral component of plasma membrane {GO:0005887}</t>
  </si>
  <si>
    <t>ferritin receptor activity {GO:0070287}; scavenger receptor activity {GO:0005044}</t>
  </si>
  <si>
    <t>High mobility group protein B2</t>
  </si>
  <si>
    <t>High mobility group protein 2 (HMG-2)</t>
  </si>
  <si>
    <t>HMGB2_HUMAN</t>
  </si>
  <si>
    <t>P26583</t>
  </si>
  <si>
    <t>B2R4K8; D3DP37; Q5U072</t>
  </si>
  <si>
    <t>HMG2</t>
  </si>
  <si>
    <t>Acetylation; Chemotaxis; Chromosome; Cytoplasm; Disulfide bond; DNA recombination; DNA-binding; Immunity; Inflammatory response; Innate immunity; Nucleus; Oxidation; Phosphoprotein; Repeat; Secreted; Transcription; Transcription regulation</t>
  </si>
  <si>
    <t>Chemotaxis; DNA recombination; Immunity; Inflammatory response; Innate immunity; Transcription; Transcription regulation</t>
  </si>
  <si>
    <t>Chromosome; Cytoplasm; Nucleus; Secreted</t>
  </si>
  <si>
    <t>Acetylation; Disulfide bond; Oxidation; Phosphoprotein</t>
  </si>
  <si>
    <t>apoptotic DNA fragmentation {GO:0006309}; cell chemotaxis {GO:0060326}; cellular response to lipopolysaccharide {GO:0071222}; chromatin organization {GO:0006325}; chromatin remodeling {GO:0006338}; defense response to Gram-negative bacterium {GO:0050829}; defense response to Gram-positive bacterium {GO:0050830}; DNA geometric change {GO:0032392}; DNA ligation involved in DNA repair {GO:0051103}; DNA recombination {GO:0006310}; DNA topological change {GO:0006265}; inflammatory response to antigenic stimulus {GO:0002437}; innate immune response {GO:0045087}; male gonad development {GO:0008584}; negative regulation of extrinsic apoptotic signaling pathway via death domain receptors {GO:1902042}; negative regulation of transcription, DNA-templated {GO:0045892}; nucleosome assembly {GO:0006334}; positive regulation of DNA binding {GO:0043388}; positive regulation of endothelial cell proliferation {GO:0001938}; positive regulation of erythrocyte differentiation {GO:0045648}; positive regulation of innate immune response {GO:0045089}; positive regulation of interferon-beta production {GO:0032728}; positive regulation of megakaryocyte differentiation {GO:0045654}; positive regulation of nuclease activity {GO:0032075}; positive regulation of transcription by RNA polymerase II {GO:0045944}; positive regulation of transcription, DNA-templated {GO:0045893}; regulation of neurogenesis {GO:0050767}; regulation of stem cell proliferation {GO:0072091}; regulation of transcription by RNA polymerase II {GO:0006357}; response to drug {GO:0042493}; response to lipopolysaccharide {GO:0032496}; response to steroid hormone {GO:0048545}; spermatid nucleus differentiation {GO:0007289}; V(D)J recombination {GO:0033151}</t>
  </si>
  <si>
    <t>cell {GO:0005623}; condensed chromosome {GO:0000793}; cytoplasm {GO:0005737}; extracellular space {GO:0005615}; nuclear chromatin {GO:0000790}; nucleolus {GO:0005730}; nucleoplasm {GO:0005654}; nucleus {GO:0005634}; perinuclear region of cytoplasm {GO:0048471}; protein-containing complex {GO:0032991}</t>
  </si>
  <si>
    <t>chemoattractant activity {GO:0042056}; damaged DNA binding {GO:0003684}; DNA binding {GO:0003677}; DNA binding, bending {GO:0008301}; double-stranded DNA binding {GO:0003690}; drug binding {GO:0008144}; enhancer sequence-specific DNA binding {GO:0001158}; four-way junction DNA binding {GO:0000400}; non-sequence-specific DNA binding, bending {GO:0044378}; protein domain specific binding {GO:0019904}; RAGE receptor binding {GO:0050786}; RNA binding {GO:0003723}; single-stranded DNA binding {GO:0003697}; supercoiled DNA binding {GO:0097100}; transcription coactivator activity {GO:0003713}; transcription factor binding {GO:0008134}; transcription regulatory region DNA binding {GO:0044212}</t>
  </si>
  <si>
    <t>Apoptosis induced DNA fragmentation {R-HSA-140342}</t>
  </si>
  <si>
    <t>Carbonic anhydrase 1</t>
  </si>
  <si>
    <t>Carbonate dehydratase I; Carbonic anhydrase B (CAB); Carbonic anhydrase I (CA-I)</t>
  </si>
  <si>
    <t>CAH1_HUMAN</t>
  </si>
  <si>
    <t>P00915</t>
  </si>
  <si>
    <t>3D-structure; Acetylation; Cytoplasm; Lyase; Metal-binding; Polymorphism; Zinc</t>
  </si>
  <si>
    <t>bicarbonate transport {GO:0015701}; interleukin-12-mediated signaling pathway {GO:0035722}; one-carbon metabolic process {GO:0006730}</t>
  </si>
  <si>
    <t>arylesterase activity {GO:0004064}; carbonate dehydratase activity {GO:0004089}; hydro-lyase activity {GO:0016836}; zinc ion binding {GO:0008270}</t>
  </si>
  <si>
    <t>Erythrocytes take up carbon dioxide and release oxygen {R-HSA-1237044}; Erythrocytes take up oxygen and release carbon dioxide {R-HSA-1247673}; Reversible hydration of carbon dioxide {R-HSA-1475029}; Gene and protein expression by JAK-STAT signaling after Interleukin-12 stimulation {R-HSA-8950505}</t>
  </si>
  <si>
    <t>Regulator of G-protein signaling 12 (RGS12)</t>
  </si>
  <si>
    <t>RGS12_HUMAN</t>
  </si>
  <si>
    <t>O14924</t>
  </si>
  <si>
    <t>B1AQ30; B1AQ31; B1AQ32; B7Z764; E7EMN9; O14922; O14923; O43510; O75338; Q147X0; Q8WX95</t>
  </si>
  <si>
    <t>3D-structure; Alternative splicing; Cell junction; Cell projection; Cytoplasm; GTPase activation; Isopeptide bond; Methylation; Nucleus; Phosphoprotein; Polymorphism; Repeat; Repressor; Signal transduction inhibitor; Synapse; Transcription; Ubl conjugation</t>
  </si>
  <si>
    <t>Cell junction; Cell projection; Cytoplasm; Nucleus; Synapse</t>
  </si>
  <si>
    <t>GTPase activation; Repressor; Signal transduction inhibitor</t>
  </si>
  <si>
    <t>Isopeptide bond; Methylation; Phosphoprotein; Ubl conjugation</t>
  </si>
  <si>
    <t>G protein-coupled receptor signaling pathway {GO:0007186}; negative regulation of signal transduction {GO:0009968}; regulation of G protein-coupled receptor signaling pathway {GO:0008277}</t>
  </si>
  <si>
    <t>cell junction {GO:0030054}; condensed nuclear chromosome {GO:0000794}; cytoplasm {GO:0005737}; cytosol {GO:0005829}; dendrite {GO:0030425}; nuclear matrix {GO:0016363}; nucleolus {GO:0005730}; nucleus {GO:0005634}; plasma membrane {GO:0005886}; synapse {GO:0045202}</t>
  </si>
  <si>
    <t>GTPase activator activity {GO:0005096}; GTPase activity {GO:0003924}; GTPase regulator activity {GO:0030695}</t>
  </si>
  <si>
    <t>G alpha (i) signalling events {R-HSA-418594}</t>
  </si>
  <si>
    <t>Detyrosinated tubulin alpha-1B chain</t>
  </si>
  <si>
    <t>Alpha-tubulin ubiquitous; Tubulin K-alpha-1; Tubulin alpha-ubiquitous chain</t>
  </si>
  <si>
    <t>TBA1B_HUMAN</t>
  </si>
  <si>
    <t>P68363</t>
  </si>
  <si>
    <t>P04687; P05209; Q27I68; Q8WU19</t>
  </si>
  <si>
    <t>3D-structure; Acetylation; Alternative splicing; Cytoplasm; Cytoskeleton; GTP-binding; Isopeptide bond; Methylation; Microtubule; Nitration; Nucleotide-binding; Phosphoprotein; Ubl conjugation</t>
  </si>
  <si>
    <t>cell division {GO:0051301}; cellular response to interleukin-4 {GO:0071353}; cytoskeleton-dependent intracellular transport {GO:0030705}; microtubule cytoskeleton organization {GO:0000226}; microtubule-based process {GO:0007017}; mitotic cell cycle {GO:0000278}</t>
  </si>
  <si>
    <t>cytoplasm {GO:0005737}; cytoplasmic microtubule {GO:0005881}; membrane raft {GO:0045121}; microtubule {GO:0005874}; microtubule cytoskeleton {GO:0015630}</t>
  </si>
  <si>
    <t>double-stranded RNA binding {GO:0003725}; GTP binding {GO:0005525}; GTPase activity {GO:0003924}; structural constituent of cytoskeleton {GO:0005200}; structural molecule activity {GO:0005198}; ubiquitin protein ligase binding {GO:0031625}</t>
  </si>
  <si>
    <t>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HSP90 chaperone cycle for steroid hormone receptors (SHR) {R-HSA-3371497}; Recruitment of NuMA to mitotic centrosomes {R-HSA-380320}; Formation of tubulin folding intermediates by CCT/TriC {R-HSA-389960}; Post-chaperonin tubulin folding pathway {R-HSA-389977}; Recycling pathway of L1 {R-HSA-437239}; Hedgehog 'off' state {R-HSA-5610787}; Cilium Assembly {R-HSA-5617833}; Intraflagellar transport {R-HSA-5620924}; RHO GTPases activate IQGAPs {R-HSA-5626467}; RHO GTPases Activate Formins {R-HSA-5663220};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Carboxyterminal post-translational modifications of tubulin {R-HSA-8955332}; Assembly and cell surface presentation of NMDA receptors {R-HSA-9609736}; Activation of AMPK downstream of NMDARs {R-HSA-9619483}; Kinesins {R-HSA-983189}</t>
  </si>
  <si>
    <t>Dihydropteridine reductase</t>
  </si>
  <si>
    <t>HDHPR; Quinoid dihydropteridine reductase; Short chain dehydrogenase/reductase family 33C member 1</t>
  </si>
  <si>
    <t>DHPR_HUMAN</t>
  </si>
  <si>
    <t>P09417</t>
  </si>
  <si>
    <t>A8K158; B3KW71; Q53F52; Q9H3M5</t>
  </si>
  <si>
    <t>DHPR; SDR33C1</t>
  </si>
  <si>
    <t>3D-structure; Acetylation; Alternative splicing; Disease mutation; NADP; Oxidoreductase; Phenylketonuria; Polymorphism; Tetrahydrobiopterin biosynthesis</t>
  </si>
  <si>
    <t>Tetrahydrobiopterin biosynthesis</t>
  </si>
  <si>
    <t>Disease mutation; Phenylketonuria</t>
  </si>
  <si>
    <t>cellular amino acid metabolic process {GO:0006520}; cellular response to drug {GO:0035690}; dihydrobiopterin metabolic process {GO:0051066}; L-phenylalanine catabolic process {GO:0006559}; liver development {GO:0001889}; response to aluminum ion {GO:0010044}; response to glucagon {GO:0033762}; response to lead ion {GO:0010288}; tetrahydrobiopterin biosynthetic process {GO:0006729}</t>
  </si>
  <si>
    <t>cytoplasm {GO:0005737}; cytosol {GO:0005829}; extracellular exosome {GO:0070062}; neuron projection {GO:0043005}</t>
  </si>
  <si>
    <t>6,7-dihydropteridine reductase activity {GO:0004155}; electron transfer activity {GO:0009055}; NADH binding {GO:0070404}; NADPH binding {GO:0070402}; protein homodimerization activity {GO:0042803}</t>
  </si>
  <si>
    <t>A disintegrin and metalloproteinase with thrombospondin motifs 3 (ADAM-TS 3; ADAM-TS3; ADAMTS-3)</t>
  </si>
  <si>
    <t>Procollagen II N-proteinase (PC II-NP); Procollagen II amino propeptide-processing enzyme</t>
  </si>
  <si>
    <t>ATS3_HUMAN</t>
  </si>
  <si>
    <t>O15072</t>
  </si>
  <si>
    <t>A1L3U9; Q9BXZ8</t>
  </si>
  <si>
    <t>KIAA0366</t>
  </si>
  <si>
    <t>Cleavage on pair of basic residues; Disease mutation; Disulfide bond; Extracellular matrix; Glycoprotein; Heparin-binding; Hydrolase; Metal-binding; Metalloprotease; Polymorphism; Protease; Repeat; Secreted; Signal; Zinc; Zymogen</t>
  </si>
  <si>
    <t>collagen biosynthetic process {GO:0032964}; collagen catabolic process {GO:0030574}; collagen fibril organization {GO:0030199}; positive regulation of vascular endothelial growth factor signaling pathway {GO:1900748}; protein processing {GO:0016485}; supramolecular fiber organization {GO:0097435}; vascular endothelial growth factor production {GO:0010573}</t>
  </si>
  <si>
    <t>extracellular exosome {GO:0070062}; extracellular matrix {GO:0031012}; extracellular region {GO:0005576}; extracellular space {GO:0005615}</t>
  </si>
  <si>
    <t>endopeptidase activity {GO:0004175}; heparin binding {GO:0008201}; metalloendopeptidase activity {GO:0004222}; zinc ion binding {GO:0008270}</t>
  </si>
  <si>
    <t>Collagen biosynthesis and modifying enzymes {R-HSA-1650814}; Defective B3GALTL causes Peters-plus syndrome (PpS) {R-HSA-5083635}; O-glycosylation of TSR domain-containing proteins {R-HSA-5173214}</t>
  </si>
  <si>
    <t>Afamin</t>
  </si>
  <si>
    <t>Alpha-albumin (Alpha-Alb)</t>
  </si>
  <si>
    <t>AFAM_HUMAN</t>
  </si>
  <si>
    <t>P43652</t>
  </si>
  <si>
    <t>A8K3E1; Q32MR3; Q4W5C5</t>
  </si>
  <si>
    <t>ALB2; ALBA</t>
  </si>
  <si>
    <t>3D-structure; Disulfide bond; Glycoprotein; Polymorphism; Protein transport; Repeat; Secreted; Signal; Transport</t>
  </si>
  <si>
    <t>protein stabilization {GO:0050821}; protein transport within extracellular region {GO:0071693}; vitamin transport {GO:0051180}</t>
  </si>
  <si>
    <t>vitamin E binding {GO:0008431}</t>
  </si>
  <si>
    <t>Elongation factor 1-alpha 1 (EF-1-alpha-1)</t>
  </si>
  <si>
    <t>Elongation factor Tu (EF-Tu); Eukaryotic elongation factor 1 A-1 (eEF1A-1); Leukocyte receptor cluster member 7</t>
  </si>
  <si>
    <t>EF1A1_HUMAN</t>
  </si>
  <si>
    <t>P68104</t>
  </si>
  <si>
    <t>P04719; P04720; Q6IQ15</t>
  </si>
  <si>
    <t>EEF1A; EF1A; LENG7</t>
  </si>
  <si>
    <t>3D-structure; Acetylation; Alternative splicing; Cell membrane; Cytoplasm; Elongation factor; GTP-binding; Membrane; Methylation; Nucleotide-binding; Nucleus; Phosphoprotein; Protein biosynthesis; Transcription; Transcription regulation; Ubl conjugation</t>
  </si>
  <si>
    <t>cellular response to epidermal growth factor stimulus {GO:0071364}; neutrophil degranulation {GO:0043312}; regulation of chaperone-mediated autophagy {GO:1904714}; regulation of D-erythro-sphingosine kinase activity {GO:1900022}; translation {GO:0006412}; translational elongation {GO:0006414}</t>
  </si>
  <si>
    <t>cortical actin cytoskeleton {GO:0030864}; cytoplasm {GO:0005737}; cytoplasmic side of lysosomal membrane {GO:0098574}; cytosol {GO:0005829}; eukaryotic translation elongation factor 1 complex {GO:0005853}; extracellular exosome {GO:0070062}; extracellular region {GO:0005576}; extracellular space {GO:0005615}; ficolin-1-rich granule lumen {GO:1904813}; membrane {GO:0016020}; nucleolus {GO:0005730}; nucleus {GO:0005634}; plasma membrane {GO:0005886}; ruffle membrane {GO:0032587}; secretory granule lumen {GO:0034774}</t>
  </si>
  <si>
    <t>calmodulin binding {GO:0005516}; GTP binding {GO:0005525}; GTPase activity {GO:0003924}; kinase binding {GO:0019900}; protein kinase binding {GO:0019901}; RNA binding {GO:0003723}; translation elongation factor activity {GO:0003746}; tRNA binding {GO:0000049}</t>
  </si>
  <si>
    <t>Eukaryotic Translation Elongation {R-HSA-156842}; Peptide chain elongation {R-HSA-156902}; HSF1 activation {R-HSA-3371511}; Neutrophil degranulation {R-HSA-6798695}; Protein methylation {R-HSA-8876725}</t>
  </si>
  <si>
    <t>Annexin A3</t>
  </si>
  <si>
    <t>35-alpha calcimedin; Annexin III; Annexin-3; Inositol 1,2-cyclic phosphate 2-phosphohydrolase; Lipocortin III; Placental anticoagulant protein III (PAP-III)</t>
  </si>
  <si>
    <t>ANXA3_HUMAN</t>
  </si>
  <si>
    <t>P12429</t>
  </si>
  <si>
    <t>B2R9W6; Q6LET2</t>
  </si>
  <si>
    <t>ANX3</t>
  </si>
  <si>
    <t>3D-structure; Acetylation; Annexin; Calcium; Calcium/phospholipid-binding; Phospholipase A2 inhibitor; Phosphoprotein; Polymorphism; Repeat</t>
  </si>
  <si>
    <t>animal organ regeneration {GO:0031100}; defense response to bacterium {GO:0042742}; hippocampus development {GO:0021766}; homophilic cell adhesion via plasma membrane adhesion molecules {GO:0007156}; neutrophil degranulation {GO:0043312}; phagocytosis {GO:0006909}; positive regulation of angiogenesis {GO:0045766}; positive regulation of DNA metabolic process {GO:0051054}; positive regulation of DNA-binding transcription factor activity {GO:0051091}; positive regulation of endothelial cell migration {GO:0010595}; regulation of NMDA receptor activity {GO:2000310}; response to glucocorticoid {GO:0051384}; response to growth factor {GO:0070848}</t>
  </si>
  <si>
    <t>axon {GO:0030424}; cytoplasm {GO:0005737}; cytosol {GO:0005829}; dendrite {GO:0030425}; extracellular exosome {GO:0070062}; membrane {GO:0016020}; neuronal cell body {GO:0043025}; phagocytic vesicle membrane {GO:0030670}; plasma membrane {GO:0005886}; specific granule {GO:0042581}</t>
  </si>
  <si>
    <t>calcium ion binding {GO:0005509}; calcium-dependent phospholipid binding {GO:0005544}; calcium-dependent protein binding {GO:0048306}; phospholipase A2 inhibitor activity {GO:0019834}</t>
  </si>
  <si>
    <t>Secreted frizzled-related protein 1 (FRP-1; sFRP-1)</t>
  </si>
  <si>
    <t>Secreted apoptosis-related protein 2 (SARP-2)</t>
  </si>
  <si>
    <t>SFRP1_HUMAN</t>
  </si>
  <si>
    <t>Q8N474</t>
  </si>
  <si>
    <t>O00546; O14779</t>
  </si>
  <si>
    <t>FRP; FRP1; SARP2</t>
  </si>
  <si>
    <t>Developmental protein; Differentiation; Disulfide bond; Glycoprotein; Secreted; Signal; Wnt signaling pathway</t>
  </si>
  <si>
    <t>bone trabecula formation {GO:0060346}; canonical Wnt signaling pathway {GO:0060070}; cellular response to BMP stimulus {GO:0071773}; cellular response to estradiol stimulus {GO:0071392}; cellular response to estrogen stimulus {GO:0071391}; cellular response to fibroblast growth factor stimulus {GO:0044344}; cellular response to growth factor stimulus {GO:0071363}; cellular response to heparin {GO:0071504}; cellular response to hypoxia {GO:0071456}; cellular response to interleukin-1 {GO:0071347}; cellular response to prostaglandin E stimulus {GO:0071380}; cellular response to starvation {GO:0009267}; cellular response to transforming growth factor beta stimulus {GO:0071560}; cellular response to tumor necrosis factor {GO:0071356}; cellular response to vitamin D {GO:0071305}; cellular response to X-ray {GO:0071481}; convergent extension involved in somitogenesis {GO:0090246}; digestive tract morphogenesis {GO:0048546}; dopaminergic neuron differentiation {GO:0071542}; dorsal/ventral axis specification {GO:0009950}; female gonad development {GO:0008585}; hematopoietic progenitor cell differentiation {GO:0002244}; hematopoietic stem cell differentiation {GO:0060218}; male gonad development {GO:0008584}; negative regulation of androgen receptor signaling pathway {GO:0060766}; negative regulation of apoptotic process {GO:0043066}; negative regulation of B cell differentiation {GO:0045578}; negative regulation of BMP signaling pathway {GO:0030514}; negative regulation of bone remodeling {GO:0046851}; negative regulation of canonical Wnt signaling pathway {GO:0090090}; negative regulation of canonical Wnt signaling pathway involved in controlling type B pancreatic cell proliferation {GO:2000080}; negative regulation of cell growth {GO:0030308}; negative regulation of cell migration {GO:0030336}; negative regulation of cell population proliferation {GO:0008285}; negative regulation of epithelial cell proliferation {GO:0050680}; negative regulation of epithelial to mesenchymal transition {GO:0010719}; negative regulation of fibroblast apoptotic process {GO:2000270}; negative regulation of fibroblast proliferation {GO:0048147}; negative regulation of gene expression {GO:0010629}; negative regulation of insulin secretion {GO:0046676}; negative regulation of JUN kinase activity {GO:0043508}; negative regulation of ossification {GO:0030279}; negative regulation of osteoblast differentiation {GO:0045668}; negative regulation of osteoblast proliferation {GO:0033689}; negative regulation of osteoclast differentiation {GO:0045671}; negative regulation of peptidyl-tyrosine phosphorylation {GO:0050732}; negative regulation of planar cell polarity pathway involved in axis elongation {GO:2000041}; negative regulation of transcription, DNA-templated {GO:0045892}; negative regulation of Wnt signaling pathway {GO:0030178}; negative regulation of Wnt signaling pathway involved in dorsal/ventral axis specification {GO:2000054}; neural crest cell fate commitment {GO:0014034}; non-canonical Wnt signaling pathway {GO:0035567}; osteoblast differentiation {GO:0001649}; planar cell polarity pathway involved in neural tube closure {GO:0090179}; positive regulation of apoptotic process {GO:0043065}; positive regulation of canonical Wnt signaling pathway {GO:0090263}; positive regulation of cell growth {GO:0030307}; positive regulation of cell population proliferation {GO:0008284}; positive regulation of cell-matrix adhesion {GO:0001954}; positive regulation of epithelial cell proliferation {GO:0050679}; positive regulation of extrinsic apoptotic signaling pathway via death domain receptors {GO:1902043}; positive regulation of fat cell differentiation {GO:0045600}; positive regulation of fibroblast apoptotic process {GO:2000271}; positive regulation of focal adhesion assembly {GO:0051894}; positive regulation of GTPase activity {GO:0043547}; positive regulation of non-canonical Wnt signaling pathway {GO:2000052}; positive regulation of smoothened signaling pathway {GO:0045880}; positive regulation of stress fiber assembly {GO:0051496}; positive regulation of transcription, DNA-templated {GO:0045893}; positive regulation of Wnt signaling pathway {GO:0030177}; prostate epithelial cord arborization involved in prostate glandular acinus morphogenesis {GO:0060527}; regulation of angiogenesis {GO:0045765}; regulation of branching involved in prostate gland morphogenesis {GO:0060687}; regulation of cell cycle process {GO:0010564}; regulation of midbrain dopaminergic neuron differentiation {GO:1904956}; regulation of neuron projection development {GO:0010975}; response to drug {GO:0042493}; response to organic cyclic compound {GO:0014070}; somatic stem cell population maintenance {GO:0035019}; stromal-epithelial cell signaling involved in prostate gland development {GO:0044345}; ureteric bud development {GO:0001657}; Wnt signaling pathway involved in somitogenesis {GO:0090244}</t>
  </si>
  <si>
    <t>cell surface {GO:0009986}; collagen-containing extracellular matrix {GO:0062023}; cytosol {GO:0005829}; extracellular exosome {GO:0070062}; extracellular region {GO:0005576}; extracellular space {GO:0005615}; plasma membrane {GO:0005886}</t>
  </si>
  <si>
    <t>cysteine-type endopeptidase activity {GO:0004197}; drug binding {GO:0008144}; frizzled binding {GO:0005109}; heparin binding {GO:0008201}; identical protein binding {GO:0042802}; Wnt-protein binding {GO:0017147}</t>
  </si>
  <si>
    <t>Myomesin-2</t>
  </si>
  <si>
    <t>165 kDa connectin-associated protein; 165 kDa titin-associated protein; M-protein; Myomesin family member 2</t>
  </si>
  <si>
    <t>MYOM2_HUMAN</t>
  </si>
  <si>
    <t>P54296</t>
  </si>
  <si>
    <t>Q7Z3Y2</t>
  </si>
  <si>
    <t>Cytoplasm; Immunoglobulin domain; Muscle protein; Polymorphism; Repeat; Thick filament</t>
  </si>
  <si>
    <t>cardiac muscle fiber development {GO:0048739}; cardiac muscle tissue morphogenesis {GO:0055008}; cardiac myofibril assembly {GO:0055003}; extraocular skeletal muscle development {GO:0002074}; muscle contraction {GO:0006936}; sarcomere organization {GO:0045214}; skeletal muscle myosin thick filament assembly {GO:0030241}; skeletal muscle thin filament assembly {GO:0030240}; striated muscle myosin thick filament assembly {GO:0071688}</t>
  </si>
  <si>
    <t>M band {GO:0031430}; mitochondrion {GO:0005739}; myosin filament {GO:0032982}; sarcomere {GO:0030017}; striated muscle thin filament {GO:0005865}; Z disc {GO:0030018}</t>
  </si>
  <si>
    <t>actin filament binding {GO:0051015}; kinase binding {GO:0019900}; muscle alpha-actinin binding {GO:0051371}; structural constituent of muscle {GO:0008307}</t>
  </si>
  <si>
    <t>Epidermal growth factor (EGF)</t>
  </si>
  <si>
    <t>Urogastrone</t>
  </si>
  <si>
    <t>EGF_HUMAN</t>
  </si>
  <si>
    <t>P01133</t>
  </si>
  <si>
    <t>B4DRK7; E7EVD2; E9PBF0; Q52LZ6</t>
  </si>
  <si>
    <t>3D-structure; Alternative splicing; Disease mutation; Disulfide bond; EGF-like domain; Glycoprotein; Growth factor; Membrane; Polymorphism; Primary hypomagnesemia; Repeat; Signal; Transmembrane; Transmembrane helix</t>
  </si>
  <si>
    <t>activation of MAPK activity {GO:0000187}; activation of MAPKK activity {GO:0000186}; angiogenesis {GO:0001525}; branching morphogenesis of an epithelial tube {GO:0048754}; canonical Wnt signaling pathway {GO:0060070}; epidermal growth factor receptor signaling pathway {GO:0007173}; ERBB2 signaling pathway {GO:0038128}; ERK1 and ERK2 cascade {GO:0070371}; mammary gland alveolus development {GO:0060749}; MAPK cascade {GO:0000165}; membrane organization {GO:0061024}; negative regulation of cholesterol efflux {GO:0090370}; negative regulation of epidermal growth factor receptor signaling pathway {GO:0042059}; negative regulation of ERBB signaling pathway {GO:1901185}; negative regulation of Notch signaling pathway {GO:0045746}; negative regulation of secretion {GO:0051048}; peptidyl-tyrosine phosphorylation {GO:0018108}; platelet degranulation {GO:0002576}; positive regulation of canonical Wnt signaling pathway {GO:0090263}; positive regulation of cell migration {GO:0030335}; positive regulation of cell population proliferation {GO:0008284}; positive regulation of cerebellar granule cell precursor proliferation {GO:0021940}; positive regulation of DNA binding {GO:0043388}; positive regulation of epidermal growth factor-activated receptor activity {GO:0045741}; positive regulation of gene expression {GO:0010628}; positive regulation of hyaluronan biosynthetic process {GO:1900127}; positive regulation of MAP kinase activity {GO:0043406}; positive regulation of mitotic nuclear division {GO:0045840}; positive regulation of peptidyl-threonine phosphorylation {GO:0010800}; positive regulation of phosphorylation {GO:0042327}; positive regulation of protein kinase B signaling {GO:0051897}; positive regulation of protein localization to early endosome {GO:1902966}; positive regulation of receptor internalization {GO:0002092}; positive regulation of transcription, DNA-templated {GO:0045893}; positive regulation of ubiquitin-dependent protein catabolic process {GO:2000060}; regulation of calcium ion import {GO:0090279}; regulation of cell motility {GO:2000145}; regulation of protein localization to cell surface {GO:2000008}; regulation of receptor signaling pathway via JAK-STAT {GO:0046425}; signal transduction {GO:0007165}</t>
  </si>
  <si>
    <t>clathrin-coated vesicle membrane {GO:0030665}; extracellular exosome {GO:0070062}; extracellular region {GO:0005576}; extracellular space {GO:0005615}; integral component of membrane {GO:0016021}; lysosomal membrane {GO:0005765}; plasma membrane {GO:0005886}; platelet alpha granule lumen {GO:0031093}; receptor complex {GO:0043235}</t>
  </si>
  <si>
    <t>calcium ion binding {GO:0005509}; epidermal growth factor receptor binding {GO:0005154}; growth factor activity {GO:0008083}; Ras guanyl-nucleotide exchange factor activity {GO:0005088}; transmembrane receptor protein tyrosine kinase activator activity {GO:0030297}; Wnt-activated receptor activity {GO:0042813}; Wnt-protein binding {GO:0017147}</t>
  </si>
  <si>
    <t>Platelet degranulation {R-HSA-114608}; Signaling by ERBB2 {R-HSA-1227986}; Constitutive Signaling by Ligand-Responsive EGFR Cancer Variants {R-HSA-1236382}; Signaling by ERBB4 {R-HSA-1236394}; SHC1 events in ERBB2 signaling {R-HSA-1250196}; PLCG1 events in ERBB2 signaling {R-HSA-1251932}; PIP3 activates AKT signaling {R-HSA-1257604}; Signaling by EGFR {R-HSA-177929}; GRB2 events in EGFR signaling {R-HSA-179812}; GAB1 signalosome {R-HSA-180292}; SHC1 events in EGFR signaling {R-HSA-180336}; EGFR downregulation {R-HSA-182971}; GRB2 events in ERBB2 signaling {R-HSA-1963640}; PI3K events in ERBB2 signaling {R-HSA-1963642}; EGFR interacts with phospholipase C-gamma {R-HSA-212718}; Constitutive Signaling by Aberrant PI3K in Cancer {R-HSA-2219530}; Constitutive Signaling by EGFRvIII {R-HSA-5637810}; Inhibition of Signaling by Overexpressed EGFR {R-HSA-5638303}; RAF/MAP kinase cascade {R-HSA-5673001}; ERBB2 Regulates Cell Motility {R-HSA-6785631}; PI5P, PP2A and IER3 Regulate PI3K/AKT Signaling {R-HSA-6811558}; ERBB2 Activates PTK6 Signaling {R-HSA-8847993}; Cargo recognition for clathrin-mediated endocytosis {R-HSA-8856825}; Clathrin-mediated endocytosis {R-HSA-8856828}; Downregulation of ERBB2 signaling {R-HSA-8863795}; Non-genomic estrogen signaling {R-HSA-9009391}; NOTCH3 Activation and Transmission of Signal to the Nucleus {R-HSA-9013507}; Estrogen-dependent nuclear events downstream of ESR-membrane signaling {R-HSA-9634638}</t>
  </si>
  <si>
    <t>General vesicular transport factor p115</t>
  </si>
  <si>
    <t>Protein USO1 homolog; Transcytosis-associated protein (TAP); Vesicle-docking protein</t>
  </si>
  <si>
    <t>USO1_HUMAN</t>
  </si>
  <si>
    <t>O60763</t>
  </si>
  <si>
    <t>B2RAQ0; Q6PK63; Q86TB8; Q8N592</t>
  </si>
  <si>
    <t>VDP</t>
  </si>
  <si>
    <t>3D-structure; Acetylation; Alternative splicing; Coiled coil; Cytoplasm; ER-Golgi transport; Golgi apparatus; Membrane; Phosphoprotein; Protein transport; Repeat; Transport</t>
  </si>
  <si>
    <t>COPII vesicle coating {GO:0048208}; endoplasmic reticulum to Golgi vesicle-mediated transport {GO:0006888}; Golgi organization {GO:0007030}; Golgi vesicle docking {GO:0048211}; intracellular protein transport {GO:0006886}; membrane fusion {GO:0061025}; regulation of cellular response to insulin stimulus {GO:1900076}; secretory granule localization {GO:0032252}; small GTPase mediated signal transduction {GO:0007264}; transcytosis {GO:0045056}; vesicle fusion with Golgi apparatus {GO:0048280}</t>
  </si>
  <si>
    <t>cytosol {GO:0005829}; endoplasmic reticulum {GO:0005783}; ER to Golgi transport vesicle membrane {GO:0012507}; fibrillar center {GO:0001650}; Golgi apparatus {GO:0005794}; Golgi membrane {GO:0000139}; Golgi stack {GO:0005795}; membrane {GO:0016020}; perinuclear region of cytoplasm {GO:0048471}; transport vesicle {GO:0030133}</t>
  </si>
  <si>
    <t>cadherin binding {GO:0045296}; protein transporter activity {GO:0008565}; RNA binding {GO:0003723}</t>
  </si>
  <si>
    <t>Golgi Cisternae Pericentriolar Stack Reorganization {R-HSA-162658}; COPII-mediated vesicle transport {R-HSA-204005}; COPI-mediated anterograde transport {R-HSA-6807878}</t>
  </si>
  <si>
    <t>Mitochondrial peptide methionine sulfoxide reductase</t>
  </si>
  <si>
    <t>Peptide-methionine (S)-S-oxide reductase (Peptide Met(O) reductase); Protein-methionine-S-oxide reductase (PMSR)</t>
  </si>
  <si>
    <t>MSRA_HUMAN</t>
  </si>
  <si>
    <t>Q9UJ68</t>
  </si>
  <si>
    <t>E9PAS8; Q52TC4; Q549N4; Q66MI7</t>
  </si>
  <si>
    <t>Acetylation; Alternative initiation; Alternative promoter usage; Alternative splicing; Cytoplasm; Lipoprotein; Membrane; Mitochondrion; Myristate; Nucleus; Oxidoreductase; Transit peptide</t>
  </si>
  <si>
    <t>Cytoplasm; Membrane; Mitochondrion; Nucleus</t>
  </si>
  <si>
    <t>Alternative initiation; Alternative promoter usage; Alternative splicing</t>
  </si>
  <si>
    <t>Acetylation; Lipoprotein; Myristate</t>
  </si>
  <si>
    <t>cellular protein modification process {GO:0006464}; cellular response to oxidative stress {GO:0034599}; methionine metabolic process {GO:0006555}; protein repair {GO:0030091}; response to oxidative stress {GO:0006979}</t>
  </si>
  <si>
    <t>actin cytoskeleton {GO:0015629}; cytoplasm {GO:0005737}; cytosol {GO:0005829}; extracellular exosome {GO:0070062}; membrane {GO:0016020}; mitochondrion {GO:0005739}; nucleoplasm {GO:0005654}</t>
  </si>
  <si>
    <t>L-methionine-(S)-S-oxide reductase activity {GO:0036456}; peptide-methionine (S)-S-oxide reductase activity {GO:0008113}</t>
  </si>
  <si>
    <t>Protein repair {R-HSA-5676934}</t>
  </si>
  <si>
    <t>155 kDa platelet multimerin</t>
  </si>
  <si>
    <t>EMILIN-4; Elastin microfibril interface located protein 4 (Elastin microfibril interfacer 4); Endothelial cell multimerin (p-155; p155)</t>
  </si>
  <si>
    <t>MMRN1_HUMAN</t>
  </si>
  <si>
    <t>Q13201</t>
  </si>
  <si>
    <t>Q4W5L1; Q6P3T8; Q6ZUL9</t>
  </si>
  <si>
    <t>ECM; EMILIN4; GPIA*; MMRN</t>
  </si>
  <si>
    <t>Alternative splicing; Coiled coil; Disulfide bond; EGF-like domain; Glycoprotein; Polymorphism; Secreted; Signal</t>
  </si>
  <si>
    <t>Coiled coil; EGF-like domain; Signal</t>
  </si>
  <si>
    <t>blood coagulation {GO:0007596}; cell adhesion {GO:0007155}; platelet degranulation {GO:0002576}; positive regulation of cell-substrate adhesion {GO:0010811}</t>
  </si>
  <si>
    <t>collagen-containing extracellular matrix {GO:0062023}; extracellular matrix {GO:0031012}; extracellular region {GO:0005576}; platelet alpha granule lumen {GO:0031093}</t>
  </si>
  <si>
    <t>Alcohol dehydrogenase 1B</t>
  </si>
  <si>
    <t>Alcohol dehydrogenase subunit beta</t>
  </si>
  <si>
    <t>ADH1B_HUMAN</t>
  </si>
  <si>
    <t>P00325</t>
  </si>
  <si>
    <t>A8MYN5; B4DRS9; B4DVC3; Q13711; Q4ZGI9; Q96KI7</t>
  </si>
  <si>
    <t>ADH2</t>
  </si>
  <si>
    <t>3D-structure; Acetylation; Alternative splicing; Cytoplasm; Metal-binding; NAD; Oxidoreductase; Phosphoprotein; Polymorphism; Zinc</t>
  </si>
  <si>
    <t>ethanol oxidation {GO:0006069}; retinoic acid metabolic process {GO:0042573}; retinol metabolic process {GO:0042572}</t>
  </si>
  <si>
    <t>cytosol {GO:0005829}; nucleoplasm {GO:0005654}; plasma membrane {GO:0005886}</t>
  </si>
  <si>
    <t>alcohol dehydrogenase activity, zinc-dependent {GO:0004024}; retinol dehydrogenase activity {GO:0004745}; zinc ion binding {GO:0008270}</t>
  </si>
  <si>
    <t>Phosphoacetylglucosamine mutase (PAGM)</t>
  </si>
  <si>
    <t>Acetylglucosamine phosphomutase; N-acetylglucosamine-phosphate mutase; Phosphoglucomutase-3 (PGM 3)</t>
  </si>
  <si>
    <t>AGM1_HUMAN</t>
  </si>
  <si>
    <t>O95394</t>
  </si>
  <si>
    <t>B2RB65; B4DX94; D6RF12; E1P547; E9PF86; Q5JWR4; Q96J46; Q9H8G5; Q9NS94; Q9NTT6; Q9UFV5; Q9UIY2</t>
  </si>
  <si>
    <t>Acetylation; Alternative splicing; Carbohydrate metabolism; Disease mutation; Isomerase; Magnesium; Metal-binding; Phosphoprotein; Polymorphism</t>
  </si>
  <si>
    <t>carbohydrate metabolic process {GO:0005975}; glucosamine metabolic process {GO:0006041}; glucose 1-phosphate metabolic process {GO:0019255}; hemopoiesis {GO:0030097}; protein N-linked glycosylation {GO:0006487}; protein O-linked glycosylation {GO:0006493}; spermatogenesis {GO:0007283}; UDP-N-acetylglucosamine biosynthetic process {GO:0006048}</t>
  </si>
  <si>
    <t>magnesium ion binding {GO:0000287}; phosphoacetylglucosamine mutase activity {GO:0004610}; phosphoglucomutase activity {GO:0004614}</t>
  </si>
  <si>
    <t xml:space="preserve">Nucleotide-sugar biosynthesis; UDP-N-acetyl-alpha-D- glucosamine biosynthesis; N-acetyl-alpha-D-glucosamine 1-phosphate from alpha-D-glucosamine 6-phosphate (route I): step 2/2. </t>
  </si>
  <si>
    <t>Unconventional myosin-VI</t>
  </si>
  <si>
    <t>Unconventional myosin-6</t>
  </si>
  <si>
    <t>MYO6_HUMAN</t>
  </si>
  <si>
    <t>Q9UM54</t>
  </si>
  <si>
    <t>A6H8V4; E1P540; Q5TEM5; Q5TEM6; Q5TEM7; Q9BZZ7; Q9UEG2</t>
  </si>
  <si>
    <t>KIAA0389</t>
  </si>
  <si>
    <t>3D-structure; Actin-binding; Alternative splicing; ATP-binding; Calmodulin-binding; Cardiomyopathy; Cell membrane; Cell projection; Coated pit; Cytoplasm; Cytoplasmic vesicle; Deafness; Disease mutation; Endocytosis; Golgi apparatus; Hearing; Membrane; Motor protein; Myosin; Non-syndromic deafness; Nucleotide-binding; Nucleus; Phosphoprotein; Protein transport; Transport</t>
  </si>
  <si>
    <t>Endocytosis; Hearing; Protein transport; Transport</t>
  </si>
  <si>
    <t>Cell membrane; Cell projection; Coated pit; Cytoplasm; Cytoplasmic vesicle; Golgi apparatus; Membrane; Nucleus</t>
  </si>
  <si>
    <t>Cardiomyopathy; Deafness; Disease mutation; Non-syndromic deafness</t>
  </si>
  <si>
    <t>actin filament-based movement {GO:0030048}; DNA damage response, signal transduction by p53 class mediator {GO:0030330}; endocytosis {GO:0006897}; intracellular protein transport {GO:0006886}; positive regulation of transcription by RNA polymerase II {GO:0045944}; regulation of secretion {GO:0051046}; response to drug {GO:0042493}; sensory perception of sound {GO:0007605}</t>
  </si>
  <si>
    <t>actin filament {GO:0005884}; apical part of cell {GO:0045177}; cell cortex {GO:0005938}; clathrin-coated pit {GO:0005905}; clathrin-coated vesicle membrane {GO:0030665}; cytoplasm {GO:0005737}; cytoplasmic vesicle {GO:0031410}; cytosol {GO:0005829}; endocytic vesicle {GO:0030139}; extracellular exosome {GO:0070062}; filamentous actin {GO:0031941}; filopodium {GO:0030175}; Golgi apparatus {GO:0005794}; lysosomal membrane {GO:0005765}; membrane {GO:0016020}; microvillus {GO:0005902}; nuclear membrane {GO:0031965}; nucleoplasm {GO:0005654}; nucleus {GO:0005634}; perinuclear region of cytoplasm {GO:0048471}; plasma membrane {GO:0005886}; RNA polymerase II, holoenzyme {GO:0016591}; ruffle {GO:0001726}; ruffle membrane {GO:0032587}; unconventional myosin complex {GO:0016461}</t>
  </si>
  <si>
    <t>actin binding {GO:0003779}; actin filament binding {GO:0051015}; ADP binding {GO:0043531}; ATP binding {GO:0005524}; calmodulin binding {GO:0005516}; identical protein binding {GO:0042802}; minus-end directed microfilament motor activity {GO:0060001}; motor activity {GO:0003774}</t>
  </si>
  <si>
    <t>Gap junction degradation {R-HSA-190873}; Trafficking of AMPA receptors {R-HSA-399719}</t>
  </si>
  <si>
    <t>Tenascin-X (TN-X)</t>
  </si>
  <si>
    <t>Hexabrachion-like protein</t>
  </si>
  <si>
    <t>TENX_HUMAN</t>
  </si>
  <si>
    <t>P22105</t>
  </si>
  <si>
    <t>P78530; P78531; Q08424; Q08AM0; Q08AM1; Q59GU7; Q5SQD3; Q5ST74; Q7L8Q4; Q8N4R1; Q9NPK9; Q9UC10; Q9UC11; Q9UC12; Q9UC13; Q9UMG7</t>
  </si>
  <si>
    <t>3D-structure; Alternative splicing; Cell adhesion; Coiled coil; Disease mutation; Disulfide bond; EGF-like domain; Ehlers-Danlos syndrome; Extracellular matrix; Glycoprotein; Polymorphism; Repeat; Secreted; Signal</t>
  </si>
  <si>
    <t>Coiled coil; EGF-like domain; Repeat; Signal</t>
  </si>
  <si>
    <t>actin cytoskeleton organization {GO:0030036}; cell adhesion {GO:0007155}; collagen fibril organization {GO:0030199}; collagen metabolic process {GO:0032963}; elastic fiber assembly {GO:0048251}</t>
  </si>
  <si>
    <t>collagen-containing extracellular matrix {GO:0062023}; extracellular exosome {GO:0070062}; extracellular matrix {GO:0031012}; extracellular region {GO:0005576}; extracellular space {GO:0005615}</t>
  </si>
  <si>
    <t>collagen fibril binding {GO:0098633}; extracellular matrix structural constituent {GO:0005201}; heparin binding {GO:0008201}; integrin binding {GO:0005178}</t>
  </si>
  <si>
    <t>ECM proteoglycans {R-HSA-3000178}</t>
  </si>
  <si>
    <t>Motilin-associated peptide (MAP)</t>
  </si>
  <si>
    <t>MOTI_HUMAN</t>
  </si>
  <si>
    <t>P12872</t>
  </si>
  <si>
    <t>B7ZLR7; E9PDN2; J3KN51; Q2M1L2; Q5T975; Q6NSY7</t>
  </si>
  <si>
    <t>3D-structure; Alternative splicing; Cleavage on pair of basic residues; Hormone; Polymorphism; Secreted; Signal</t>
  </si>
  <si>
    <t>G protein-coupled receptor signaling pathway {GO:0007186}; smooth muscle contraction {GO:0006939}</t>
  </si>
  <si>
    <t>hormone activity {GO:0005179}; motilin receptor binding {GO:0031788}</t>
  </si>
  <si>
    <t>Peptide ligand-binding receptors {R-HSA-375276}; G alpha (q) signalling events {R-HSA-416476}</t>
  </si>
  <si>
    <t>Cytochrome c1, heme protein, mitochondrial</t>
  </si>
  <si>
    <t>Complex III subunit 4; Complex III subunit IV; Cytochrome b-c1 complex subunit 4; Ubiquinol-cytochrome-c reductase complex cytochrome c1 subunit (Cytochrome c-1)</t>
  </si>
  <si>
    <t>CY1_HUMAN</t>
  </si>
  <si>
    <t>P08574</t>
  </si>
  <si>
    <t>Q5U062; Q6FHS7</t>
  </si>
  <si>
    <t>3D-structure; Disease mutation; Electron transport; Heme; Iron; Membrane; Metal-binding; Mitochondrion; Mitochondrion inner membrane; Phosphoprotein; Polymorphism; Primary mitochondrial disease; Respiratory chain; Transit peptide; Transmembrane; Transmembrane helix; Transport</t>
  </si>
  <si>
    <t>Transit peptide; Transmembrane; Transmembrane helix</t>
  </si>
  <si>
    <t>mitochondrial ATP synthesis coupled proton transport {GO:0042776}; mitochondrial electron transport, ubiquinol to cytochrome c {GO:0006122}; response to glucagon {GO:0033762}</t>
  </si>
  <si>
    <t>integral component of membrane {GO:0016021}; membrane {GO:0016020}; mitochondrial inner membrane {GO:0005743}; mitochondrial respiratory chain complex III {GO:0005750}; mitochondrion {GO:0005739}; nucleus {GO:0005634}</t>
  </si>
  <si>
    <t>electron transporter, transferring electrons from CoQH2-cytochrome c reductase complex and cytochrome c oxidase complex activity {GO:0045155}; electron transporter, transferring electrons within CoQH2-cytochrome c reductase complex activity {GO:0045153}; heme binding {GO:0020037}; metal ion binding {GO:0046872}</t>
  </si>
  <si>
    <t>Mitochondrial protein import {R-HSA-1268020}; Respiratory electron transport {R-HSA-611105}</t>
  </si>
  <si>
    <t>Vacuolar protein sorting-associated protein 28 homolog (H-Vps28)</t>
  </si>
  <si>
    <t>ESCRT-I complex subunit VPS28</t>
  </si>
  <si>
    <t>VPS28_HUMAN</t>
  </si>
  <si>
    <t>Q9UK41</t>
  </si>
  <si>
    <t>Q86VK0</t>
  </si>
  <si>
    <t>Acetylation; Alternative splicing; Cell membrane; Endosome; Membrane; Protein transport; Transport</t>
  </si>
  <si>
    <t>endosomal transport {GO:0016197}; intracellular transport of virus {GO:0075733}; macroautophagy {GO:0016236}; multivesicular body assembly {GO:0036258}; negative regulation of protein ubiquitination {GO:0031397}; positive regulation of protein catabolic process {GO:0045732}; positive regulation of ubiquitin-dependent endocytosis {GO:2000397}; protein transport to vacuole involved in ubiquitin-dependent protein catabolic process via the multivesicular body sorting pathway {GO:0043328}; ubiquitin-dependent protein catabolic process via the multivesicular body sorting pathway {GO:0043162}; viral budding via host ESCRT complex {GO:0039702}; viral life cycle {GO:0019058}</t>
  </si>
  <si>
    <t>cytoplasm {GO:0005737}; cytosol {GO:0005829}; early endosome {GO:0005769}; endosome {GO:0005768}; endosome membrane {GO:0010008}; ESCRT I complex {GO:0000813}; extracellular exosome {GO:0070062}; host cell {GO:0043657}; late endosome membrane {GO:0031902}; plasma membrane {GO:0005886}</t>
  </si>
  <si>
    <t>protein-containing complex binding {GO:0044877}; ubiquitin binding {GO:0043130}</t>
  </si>
  <si>
    <t>Heterogeneous nuclear ribonucleoprotein Q (hnRNP Q)</t>
  </si>
  <si>
    <t>Glycine- and tyrosine-rich RNA-binding protein (GRY-RBP); NS1-associated protein 1; Synaptotagmin-binding, cytoplasmic RNA-interacting protein</t>
  </si>
  <si>
    <t>HNRPQ_HUMAN</t>
  </si>
  <si>
    <t>O60506</t>
  </si>
  <si>
    <t>E1P501; E1P502; Q53H05; Q5TCG2; Q5TCG3; Q8IW78; Q8N599; Q96LC1; Q96LC2; Q9Y583</t>
  </si>
  <si>
    <t>HNRPQ; NSAP1</t>
  </si>
  <si>
    <t>3D-structure; Acetylation; Alternative splicing; Cytoplasm; Endoplasmic reticulum; Host-virus interaction; Isopeptide bond; Methylation; Microsome; mRNA processing; mRNA splicing; Nucleus; Phosphoprotein; Repeat; Ribonucleoprotein; RNA-binding; Spliceosome; Translation regulation; Ubl conjugation</t>
  </si>
  <si>
    <t>Host-virus interaction; Translation regulation; mRNA processing; mRNA splicing</t>
  </si>
  <si>
    <t>Cytoplasm; Endoplasmic reticulum; Microsome; Nucleus; Spliceosome</t>
  </si>
  <si>
    <t>cellular response to interferon-gamma {GO:0071346}; CRD-mediated mRNA stabilization {GO:0070934}; mRNA splicing, via spliceosome {GO:0000398}; negative regulation of translation {GO:0017148}; osteoblast differentiation {GO:0001649}; RNA processing {GO:0006396}; RNA splicing {GO:0008380}; viral process {GO:0016032}</t>
  </si>
  <si>
    <t>catalytic step 2 spliceosome {GO:0071013}; CRD-mediated mRNA stability complex {GO:0070937}; endoplasmic reticulum {GO:0005783}; GAIT complex {GO:0097452}; histone pre-mRNA 3'end processing complex {GO:0071204}; membrane {GO:0016020}; nucleoplasm {GO:0005654}; nucleus {GO:0005634}; ribonucleoprotein complex {GO:1990904}</t>
  </si>
  <si>
    <t>mRNA 5'-UTR binding {GO:0048027}; mRNA binding {GO:0003729}; poly(A) binding {GO:0008143}; RNA binding {GO:0003723}</t>
  </si>
  <si>
    <t>Band 4.1-like protein 2</t>
  </si>
  <si>
    <t>Generally expressed protein 4.1 (4.1G)</t>
  </si>
  <si>
    <t>E41L2_HUMAN</t>
  </si>
  <si>
    <t>O43491</t>
  </si>
  <si>
    <t>B4DHI8; E9PPD9; Q5T4F0; Q68DV2</t>
  </si>
  <si>
    <t>Acetylation; Actin-binding; Alternative splicing; Cell cycle; Cell division; Cell membrane; Cytoplasm; Cytoskeleton; Isopeptide bond; Membrane; Mitosis; Phosphoprotein; Polymorphism; Transport; Ubl conjugation</t>
  </si>
  <si>
    <t>actomyosin structure organization {GO:0031032}; cell cycle {GO:0007049}; cell division {GO:0051301}; cortical actin cytoskeleton organization {GO:0030866}; positive regulation of protein localization to cell cortex {GO:1904778}</t>
  </si>
  <si>
    <t>cell cortex region {GO:0099738}; cell junction {GO:0030054}; cytosol {GO:0005829}; extracellular exosome {GO:0070062}; focal adhesion {GO:0005925}; nucleoplasm {GO:0005654}; nucleus {GO:0005634}; plasma membrane {GO:0005886}; spectrin {GO:0008091}</t>
  </si>
  <si>
    <t>actin binding {GO:0003779}; PH domain binding {GO:0042731}; spectrin binding {GO:0030507}; structural molecule activity {GO:0005198}</t>
  </si>
  <si>
    <t>CD2-associated protein</t>
  </si>
  <si>
    <t>Adapter protein CMS; Cas ligand with multiple SH3 domains</t>
  </si>
  <si>
    <t>CD2AP_HUMAN</t>
  </si>
  <si>
    <t>Q9Y5K6</t>
  </si>
  <si>
    <t>A6NL34; Q5VYA3; Q9UG97</t>
  </si>
  <si>
    <t>3D-structure; Cell cycle; Cell division; Cell junction; Cell projection; Coiled coil; Cytoplasm; Cytoskeleton; Isopeptide bond; Mitosis; Phosphoprotein; Polymorphism; Repeat; SH3 domain; SH3-binding; Ubl conjugation</t>
  </si>
  <si>
    <t>Coiled coil; Repeat; SH3 domain; SH3-binding</t>
  </si>
  <si>
    <t>actin filament organization {GO:0007015}; cell cycle {GO:0007049}; cell division {GO:0051301}; cell-cell adhesion {GO:0098609}; negative regulation of small GTPase mediated signal transduction {GO:0051058}; negative regulation of transforming growth factor beta1 production {GO:0032911}; positive regulation of protein localization to nucleus {GO:1900182}; positive regulation of protein secretion {GO:0050714}; proteasome-mediated ubiquitin-dependent protein catabolic process {GO:0043161}; protein-containing complex assembly {GO:0065003}; regulation of actin cytoskeleton reorganization {GO:2000249}; regulation of receptor-mediated endocytosis {GO:0048259}; signal transduction {GO:0007165}; substrate-dependent cell migration, cell extension {GO:0006930}; vesicle organization {GO:0016050}</t>
  </si>
  <si>
    <t>actin cytoskeleton {GO:0015629}; cell-cell junction {GO:0005911}; cytoplasm {GO:0005737}; endocytic vesicle {GO:0030139}; extracellular exosome {GO:0070062}; filamentous actin {GO:0031941}; perinuclear region of cytoplasm {GO:0048471}; plasma membrane {GO:0005886}; ruffle {GO:0001726}</t>
  </si>
  <si>
    <t>beta-catenin binding {GO:0008013}; cadherin binding {GO:0045296}; protein C-terminus binding {GO:0008022}; protein-containing complex binding {GO:0044877}; SH3 domain binding {GO:0017124}; structural constituent of cytoskeleton {GO:0005200}; vascular endothelial growth factor receptor binding {GO:0005172}</t>
  </si>
  <si>
    <t>Nephrin family interactions {R-HSA-373753}</t>
  </si>
  <si>
    <t>Sodium/potassium-transporting ATPase subunit alpha-1 (Na(+)/K(+) ATPase alpha-1 subunit)</t>
  </si>
  <si>
    <t>Sodium pump subunit alpha-1</t>
  </si>
  <si>
    <t>AT1A1_HUMAN</t>
  </si>
  <si>
    <t>P05023</t>
  </si>
  <si>
    <t>B2RBR6; B7Z2T5; B7Z3U6; F5H3A1; Q16689; Q6LDM4; Q9UCN1; Q9UJ20; Q9UJ21</t>
  </si>
  <si>
    <t>Acetylation; Alternative splicing; ATP-binding; Cell membrane; Charcot-Marie-Tooth disease; Ion transport; Magnesium; Membrane; Metal-binding; Neurodegeneration; Neuropathy; Nucleotide-binding; Phosphoprotein; Polymorphism; Potassium; Potassium transport; Sodium; Sodium transport; Sodium/potassium transport; Translocase; Transmembrane; Transmembrane helix; Transport</t>
  </si>
  <si>
    <t>ATP-binding; Magnesium; Metal-binding; Nucleotide-binding; Potassium; Sodium</t>
  </si>
  <si>
    <t>ATP hydrolysis coupled proton transport {GO:0015991}; cardiac muscle cell action potential involved in contraction {GO:0086002}; cell communication by electrical coupling involved in cardiac conduction {GO:0086064}; cellular potassium ion homeostasis {GO:0030007}; cellular response to mechanical stimulus {GO:0071260}; cellular response to steroid hormone stimulus {GO:0071383}; cellular sodium ion homeostasis {GO:0006883}; ion transmembrane transport {GO:0034220}; membrane hyperpolarization {GO:0060081}; membrane repolarization {GO:0086009}; membrane repolarization during cardiac muscle cell action potential {GO:0086013}; negative regulation of glucocorticoid biosynthetic process {GO:0031947}; negative regulation of heart contraction {GO:0045822}; positive regulation of heart contraction {GO:0045823}; positive regulation of striated muscle contraction {GO:0045989}; potassium ion import across plasma membrane {GO:1990573}; regulation of blood pressure {GO:0008217}; regulation of cardiac conduction {GO:1903779}; regulation of cardiac muscle cell contraction {GO:0086004}; regulation of sodium ion transport {GO:0002028}; regulation of the force of heart contraction {GO:0002026}; relaxation of cardiac muscle {GO:0055119}; response to drug {GO:0042493}; response to glycoside {GO:1903416}; sodium ion export across plasma membrane {GO:0036376}</t>
  </si>
  <si>
    <t>apical plasma membrane {GO:0016324}; basolateral plasma membrane {GO:0016323}; caveola {GO:0005901}; endoplasmic reticulum {GO:0005783}; endosome {GO:0005768}; extracellular exosome {GO:0070062}; extracellular vesicle {GO:1903561}; Golgi apparatus {GO:0005794}; integral component of membrane {GO:0016021}; intercalated disc {GO:0014704}; melanosome {GO:0042470}; membrane {GO:0016020}; plasma membrane {GO:0005886}; postsynaptic density {GO:0014069}; protein-containing complex {GO:0032991}; sarcolemma {GO:0042383}; sodium:potassium-exchanging ATPase complex {GO:0005890}; T-tubule {GO:0030315}</t>
  </si>
  <si>
    <t>ADP binding {GO:0043531}; ankyrin binding {GO:0030506}; ATP binding {GO:0005524}; chaperone binding {GO:0051087}; phosphatase activity {GO:0016791}; phosphatidylinositol 3-kinase binding {GO:0043548}; potassium ion binding {GO:0030955}; protein domain specific binding {GO:0019904}; protein kinase binding {GO:0019901}; sodium ion binding {GO:0031402}; sodium:potassium-exchanging ATPase activity {GO:0005391}; steroid hormone binding {GO:1990239}</t>
  </si>
  <si>
    <t>Superoxide dismutase [Mn], mitochondrial</t>
  </si>
  <si>
    <t>SODM_HUMAN</t>
  </si>
  <si>
    <t>P04179</t>
  </si>
  <si>
    <t>B2R7R1; B3KUK2; B4DL20; B4E3K9; E1P5A9; P78434; Q16792; Q5TCM1; Q96EE6; Q9P2Z3</t>
  </si>
  <si>
    <t>3D-structure; Acetylation; Alternative splicing; Manganese; Metal-binding; Mitochondrion; Nitration; Oxidoreductase; Polymorphism; Transit peptide; Ubl conjugation</t>
  </si>
  <si>
    <t>Acetylation; Nitration; Ubl conjugation</t>
  </si>
  <si>
    <t>acetylcholine-mediated vasodilation involved in regulation of systemic arterial blood pressure {GO:0003069}; age-dependent response to reactive oxygen species {GO:0001315}; cellular response to oxidative stress {GO:0034599}; interleukin-12-mediated signaling pathway {GO:0035722}; negative regulation of cell population proliferation {GO:0008285}; negative regulation of neuron apoptotic process {GO:0043524}; negative regulation of oxidative stress-induced intrinsic apoptotic signaling pathway {GO:1902176}; negative regulation of vascular smooth muscle cell proliferation {GO:1904706}; oxygen homeostasis {GO:0032364}; positive regulation of cell migration {GO:0030335}; positive regulation of vascular associated smooth muscle cell apoptotic process {GO:1905461}; positive regulation of vascular smooth muscle cell differentiation involved in phenotypic switching {GO:1905932}; protein homotetramerization {GO:0051289}; regulation of blood pressure {GO:0008217}; regulation of transcription by RNA polymerase II {GO:0006357}; release of cytochrome c from mitochondria {GO:0001836}; removal of superoxide radicals {GO:0019430}; response to superoxide {GO:0000303}; superoxide metabolic process {GO:0006801}</t>
  </si>
  <si>
    <t>identical protein binding {GO:0042802}; manganese ion binding {GO:0030145}; metal ion binding {GO:0046872}; superoxide dismutase activity {GO:0004784}</t>
  </si>
  <si>
    <t>Transcriptional activation of mitochondrial biogenesis {R-HSA-2151201}; Detoxification of Reactive Oxygen Species {R-HSA-3299685}; Deregulated CDK5 triggers multiple neurodegenerative pathways in Alzheimer's disease models {R-HSA-8862803}; Gene and protein expression by JAK-STAT signaling after Interleukin-12 stimulation {R-HSA-8950505}; FOXO-mediated transcription of oxidative stress, metabolic and neuronal genes {R-HSA-9615017}</t>
  </si>
  <si>
    <t>Glutathione S-transferase A4</t>
  </si>
  <si>
    <t>GST class-alpha member 4; Glutathione S-transferase A4-4</t>
  </si>
  <si>
    <t>GSTA4_HUMAN</t>
  </si>
  <si>
    <t>O15217</t>
  </si>
  <si>
    <t>B2RD15; Q5T7Q8; Q6P4G1; Q9BX18; Q9H414</t>
  </si>
  <si>
    <t>3D-structure; Acetylation; Alternative splicing; Cytoplasm; Polymorphism; Transferase</t>
  </si>
  <si>
    <t>glutathione derivative biosynthetic process {GO:1901687}; glutathione metabolic process {GO:0006749}; xenobiotic metabolic process {GO:0006805}</t>
  </si>
  <si>
    <t>glutathione transferase activity {GO:0004364}; identical protein binding {GO:0042802}; protein homodimerization activity {GO:0042803}</t>
  </si>
  <si>
    <t>Mannosyl-oligosaccharide 1,2-alpha-mannosidase IA</t>
  </si>
  <si>
    <t>Man(9)-alpha-mannosidase (Man9-mannosidase); Mannosidase alpha class 1A member 1; Processing alpha-1,2-mannosidase IA (Alpha-1,2-mannosidase IA)</t>
  </si>
  <si>
    <t>MA1A1_HUMAN</t>
  </si>
  <si>
    <t>P33908</t>
  </si>
  <si>
    <t>E7EU32; Q6P052; Q9NU44; Q9UJI3</t>
  </si>
  <si>
    <t>Alternative splicing; Calcium; Disulfide bond; Glycoprotein; Glycosidase; Golgi apparatus; Hydrolase; Membrane; Polymorphism; Signal-anchor; Transmembrane; Transmembrane helix</t>
  </si>
  <si>
    <t>Golgi apparatus mannose trimming {GO:1904381}; N-glycan processing {GO:0006491}; protein glycosylation {GO:0006486}</t>
  </si>
  <si>
    <t>cytosol {GO:0005829}; endoplasmic reticulum {GO:0005783}; endoplasmic reticulum-Golgi intermediate compartment {GO:0005793}; extracellular exosome {GO:0070062}; Golgi apparatus {GO:0005794}; Golgi membrane {GO:0000139}; integral component of membrane {GO:0016021}; membrane {GO:0016020}</t>
  </si>
  <si>
    <t>calcium ion binding {GO:0005509}; mannosidase activity {GO:0015923}; mannosyl-oligosaccharide 1,2-alpha-mannosidase activity {GO:0004571}</t>
  </si>
  <si>
    <t>Ezrin</t>
  </si>
  <si>
    <t>Cytovillin; Villin-2; p81</t>
  </si>
  <si>
    <t>EZRI_HUMAN</t>
  </si>
  <si>
    <t>P15311</t>
  </si>
  <si>
    <t>E1P5A8; P23714; Q4VX75; Q96CU8; Q9NSJ4</t>
  </si>
  <si>
    <t>VIL2</t>
  </si>
  <si>
    <t>3D-structure; Acetylation; Cell membrane; Cell projection; Cell shape; Cytoplasm; Cytoskeleton; Membrane; Phosphoprotein; Polymorphism; S-nitrosylation</t>
  </si>
  <si>
    <t>Cell shape</t>
  </si>
  <si>
    <t>actin cytoskeleton reorganization {GO:0031532}; actin filament bundle assembly {GO:0051017}; astral microtubule organization {GO:0030953}; axon guidance {GO:0007411}; cellular protein-containing complex localization {GO:0034629}; cellular response to cAMP {GO:0071320}; cortical microtubule organization {GO:0043622}; cytoskeletal anchoring at plasma membrane {GO:0007016}; establishment of centrosome localization {GO:0051660}; establishment of endothelial barrier {GO:0061028}; establishment or maintenance of apical/basal cell polarity {GO:0035088}; filopodium assembly {GO:0046847}; intestinal D-glucose absorption {GO:0001951}; leukocyte cell-cell adhesion {GO:0007159}; membrane to membrane docking {GO:0022614}; microvillus assembly {GO:0030033}; negative regulation of ERK1 and ERK2 cascade {GO:0070373}; negative regulation of interleukin-2 secretion {GO:1900041}; negative regulation of p38MAPK cascade {GO:1903753}; negative regulation of T cell receptor signaling pathway {GO:0050860}; negative regulation of transcription by RNA polymerase II {GO:0000122}; phosphatidylinositol-mediated signaling {GO:0048015}; positive regulation of cellular protein catabolic process {GO:1903364}; positive regulation of early endosome to late endosome transport {GO:2000643}; positive regulation of gene expression {GO:0010628}; positive regulation of multicellular organism growth {GO:0040018}; positive regulation of protein localization to early endosome {GO:1902966}; positive regulation of protein localization to plasma membrane {GO:1903078}; positive regulation of protein secretion {GO:0050714}; protein kinase A signaling {GO:0010737}; protein localization to cell cortex {GO:0072697}; protein localization to plasma membrane {GO:0072659}; receptor internalization {GO:0031623}; regulation of cell shape {GO:0008360}; regulation of microvillus length {GO:0032532}; regulation of organelle assembly {GO:1902115}; sphingosine-1-phosphate receptor signaling pathway {GO:0003376}; terminal web assembly {GO:1902896}</t>
  </si>
  <si>
    <t>actin cytoskeleton {GO:0015629}; actin filament {GO:0005884}; apical part of cell {GO:0045177}; apical plasma membrane {GO:0016324}; astrocyte projection {GO:0097449}; basolateral plasma membrane {GO:0016323}; brush border {GO:0005903}; cell body {GO:0044297}; cell periphery {GO:0071944}; cell projection {GO:0042995}; cell tip {GO:0051286}; ciliary basal body {GO:0036064}; cortical cytoskeleton {GO:0030863}; cytoplasm {GO:0005737}; cytoplasmic side of apical plasma membrane {GO:0098592}; cytosol {GO:0005829}; endosome {GO:0005768}; extracellular exosome {GO:0070062}; extracellular space {GO:0005615}; extrinsic component of membrane {GO:0019898}; fibrillar center {GO:0001650}; filopodium {GO:0030175}; focal adhesion {GO:0005925}; immunological synapse {GO:0001772}; invadopodium {GO:0071437}; membrane {GO:0016020}; microspike {GO:0044393}; microvillus {GO:0005902}; microvillus membrane {GO:0031528}; perinuclear region of cytoplasm {GO:0048471}; plasma membrane {GO:0005886}; plasma membrane raft {GO:0044853}; protein-containing complex {GO:0032991}; ruffle {GO:0001726}; ruffle membrane {GO:0032587}; Schwann cell microvillus {GO:0097454}; T-tubule {GO:0030315}; uropod {GO:0001931}; vesicle {GO:0031982}</t>
  </si>
  <si>
    <t>actin binding {GO:0003779}; actin filament binding {GO:0051015}; ATPase binding {GO:0051117}; cadherin binding {GO:0045296}; cell adhesion molecule binding {GO:0050839}; disordered domain specific binding {GO:0097718}; identical protein binding {GO:0042802}; microtubule binding {GO:0008017}; protein C-terminus binding {GO:0008022}; protein domain specific binding {GO:0019904}; protein kinase A binding {GO:0051018}; protein kinase A catalytic subunit binding {GO:0034236}; protein kinase A regulatory subunit binding {GO:0034237}; RNA binding {GO:0003723}; S100 protein binding {GO:0044548}</t>
  </si>
  <si>
    <t>Netrin-1 signaling {R-HSA-373752}; Recycling pathway of L1 {R-HSA-437239}</t>
  </si>
  <si>
    <t>Bcl-2-associated transcription factor 1 (Btf)</t>
  </si>
  <si>
    <t>BCLAF1 and THRAP3 family member 1</t>
  </si>
  <si>
    <t>BCLF1_HUMAN</t>
  </si>
  <si>
    <t>Q9NYF8</t>
  </si>
  <si>
    <t>A2RU75; B7ZM58; E1P586; Q14673; Q86WU6; Q86WY0</t>
  </si>
  <si>
    <t>BTF; KIAA0164</t>
  </si>
  <si>
    <t>Acetylation; Alternative splicing; Citrullination; Cytoplasm; DNA-binding; Isopeptide bond; Methylation; Nucleus; Phosphoprotein; Polymorphism; Repressor; Transcription; Transcription regulation; Ubl conjugation</t>
  </si>
  <si>
    <t>apoptotic process {GO:0006915}; cellular response to leukemia inhibitory factor {GO:1990830}; negative regulation of transcription, DNA-templated {GO:0045892}; positive regulation of apoptotic process {GO:0043065}; positive regulation of DNA-templated transcription, initiation {GO:2000144}; positive regulation of intrinsic apoptotic signaling pathway {GO:2001244}; positive regulation of response to DNA damage stimulus {GO:2001022}; regulation of DNA-templated transcription in response to stress {GO:0043620}</t>
  </si>
  <si>
    <t>cytoplasm {GO:0005737}; nuclear speck {GO:0016607}; nucleoplasm {GO:0005654}; nucleus {GO:0005634}</t>
  </si>
  <si>
    <t>DNA binding {GO:0003677}; RNA binding {GO:0003723}</t>
  </si>
  <si>
    <t>Cation-independent mannose-6-phosphate receptor (CI Man-6-P receptor; CI-MPR; M6PR)</t>
  </si>
  <si>
    <t>300 kDa mannose 6-phosphate receptor (MPR 300); Insulin-like growth factor 2 receptor; Insulin-like growth factor II receptor (IGF-II receptor); M6P/IGF2 receptor (M6P/IGF2R); CD_antigen=CD222</t>
  </si>
  <si>
    <t>MPRI_HUMAN</t>
  </si>
  <si>
    <t>P11717</t>
  </si>
  <si>
    <t>Q7Z7G9; Q96PT5</t>
  </si>
  <si>
    <t>MPRI</t>
  </si>
  <si>
    <t>3D-structure; Acetylation; Disulfide bond; Glycoprotein; Lysosome; Membrane; Methylation; Phosphoprotein; Polymorphism; Receptor; Repeat; Signal; Transmembrane; Transmembrane helix; Transport</t>
  </si>
  <si>
    <t>Acetylation; Disulfide bond; Glycoprotein; Methylation; Phosphoprotein</t>
  </si>
  <si>
    <t>animal organ regeneration {GO:0031100}; G protein-coupled receptor signaling pathway {GO:0007186}; liver development {GO:0001889}; lysosomal transport {GO:0007041}; membrane organization {GO:0061024}; neutrophil degranulation {GO:0043312}; positive regulation of apoptotic process {GO:0043065}; post-embryonic development {GO:0009791}; receptor-mediated endocytosis {GO:0006898}; response to retinoic acid {GO:0032526}; signal transduction {GO:0007165}; spermatogenesis {GO:0007283}</t>
  </si>
  <si>
    <t>cell surface {GO:0009986}; clathrin coat {GO:0030118}; clathrin-coated vesicle membrane {GO:0030665}; early endosome {GO:0005769}; endocytic vesicle {GO:0030139}; endosome {GO:0005768}; extracellular exosome {GO:0070062}; focal adhesion {GO:0005925}; Golgi apparatus {GO:0005794}; integral component of plasma membrane {GO:0005887}; late endosome {GO:0005770}; lysosomal membrane {GO:0005765}; membrane {GO:0016020}; nuclear envelope lumen {GO:0005641}; perinuclear region of cytoplasm {GO:0048471}; plasma membrane {GO:0005886}; secretory granule membrane {GO:0030667}; trans-Golgi network {GO:0005802}; trans-Golgi network membrane {GO:0032588}; trans-Golgi network transport vesicle {GO:0030140}; transport vesicle {GO:0030133}</t>
  </si>
  <si>
    <t>enzyme binding {GO:0019899}; G-protein alpha-subunit binding {GO:0001965}; identical protein binding {GO:0042802}; insulin-like growth factor binding {GO:0005520}; insulin-like growth factor II binding {GO:0031995}; insulin-like growth factor-activated receptor activity {GO:0005010}; mannose binding {GO:0005537}; phosphoprotein binding {GO:0051219}; retinoic acid binding {GO:0001972}; signaling receptor activity {GO:0038023}</t>
  </si>
  <si>
    <t>Golgi Associated Vesicle Biogenesis {R-HSA-432722}; Neutrophil degranulation {R-HSA-6798695}; Retrograde transport at the Trans-Golgi-Network {R-HSA-6811440}; Cargo recognition for clathrin-mediated endocytosis {R-HSA-8856825}; Clathrin-mediated endocytosis {R-HSA-8856828}</t>
  </si>
  <si>
    <t>Mitogen-activated protein kinase 14 (MAP kinase 14; MAPK 14)</t>
  </si>
  <si>
    <t>Cytokine suppressive anti-inflammatory drug-binding protein (CSAID-binding protein; CSBP); MAP kinase MXI2; MAX-interacting protein 2; Mitogen-activated protein kinase p38 alpha (MAP kinase p38 alpha); Stress-activated protein kinase 2a (SAPK2a)</t>
  </si>
  <si>
    <t>MK14_HUMAN</t>
  </si>
  <si>
    <t>Q16539</t>
  </si>
  <si>
    <t>A6ZJ92; A8K6P4; B0LPH0; B5TY32; O60776; Q13083; Q14084; Q8TDX0</t>
  </si>
  <si>
    <t>CSBP; CSBP1; CSBP2; CSPB1; MXI2; SAPK2A</t>
  </si>
  <si>
    <t>3D-structure; Acetylation; Alternative splicing; Apoptosis; ATP-binding; Cytoplasm; Kinase; Nucleotide-binding; Nucleus; Phosphoprotein; Polymorphism; Serine/threonine-protein kinase; Stress response; Transcription; Transcription regulation; Transferase; Ubl conjugation</t>
  </si>
  <si>
    <t>Apoptosis; Stress response; Transcription; Transcription regulation</t>
  </si>
  <si>
    <t>3'-UTR-mediated mRNA stabilization {GO:0070935}; activation of MAPK activity {GO:0000187}; angiogenesis {GO:0001525}; apoptotic process {GO:0006915}; cartilage condensation {GO:0001502}; cell morphogenesis {GO:0000902}; cell surface receptor signaling pathway {GO:0007166}; cellular response to ionizing radiation {GO:0071479}; cellular response to lipopolysaccharide {GO:0071222}; cellular response to lipoteichoic acid {GO:0071223}; cellular response to organic substance {GO:0071310}; cellular response to tumor necrosis factor {GO:0071356}; cellular response to vascular endothelial growth factor stimulus {GO:0035924}; cellular response to virus {GO:0098586}; chemotaxis {GO:0006935}; chondrocyte differentiation {GO:0002062}; DNA damage checkpoint {GO:0000077}; fatty acid oxidation {GO:0019395}; glucose metabolic process {GO:0006006}; intracellular signal transduction {GO:0035556}; lipopolysaccharide-mediated signaling pathway {GO:0031663}; negative regulation of canonical Wnt signaling pathway {GO:0090090}; neutrophil degranulation {GO:0043312}; osteoclast differentiation {GO:0030316}; p38MAPK cascade {GO:0038066}; peptidyl-serine phosphorylation {GO:0018105}; placenta development {GO:0001890}; positive regulation of brown fat cell differentiation {GO:0090336}; positive regulation of cardiac muscle cell proliferation {GO:0060045}; positive regulation of cyclase activity {GO:0031281}; positive regulation of cytokine secretion involved in immune response {GO:0002741}; positive regulation of erythrocyte differentiation {GO:0045648}; positive regulation of gene expression {GO:0010628}; positive regulation of glucose import {GO:0046326}; positive regulation of interleukin-12 secretion {GO:2001184}; positive regulation of macrophage chemotaxis {GO:0010759}; positive regulation of metallopeptidase activity {GO:1905050}; positive regulation of muscle cell differentiation {GO:0051149}; positive regulation of myoblast differentiation {GO:0045663}; positive regulation of myoblast fusion {GO:1901741}; positive regulation of myotube differentiation {GO:0010831}; positive regulation of protein import into nucleus {GO:0042307}; positive regulation of reactive oxygen species metabolic process {GO:2000379}; positive regulation of transcription by RNA polymerase II {GO:0045944}; Ras protein signal transduction {GO:0007265}; regulation of cytokine production involved in inflammatory response {GO:1900015}; regulation of DNA-binding transcription factor activity {GO:0051090}; regulation of gene expression {GO:0010468}; regulation of ossification {GO:0030278}; regulation of signal transduction by p53 class mediator {GO:1901796}; regulation of synaptic membrane adhesion {GO:0099179}; regulation of transcription by RNA polymerase II {GO:0006357}; response to muramyl dipeptide {GO:0032495}; response to muscle stretch {GO:0035994}; signal transduction {GO:0007165}; signal transduction in response to DNA damage {GO:0042770}; skeletal muscle tissue development {GO:0007519}; stress-induced premature senescence {GO:0090400}; striated muscle cell differentiation {GO:0051146}; transmembrane receptor protein serine/threonine kinase signaling pathway {GO:0007178}; vascular endothelial growth factor receptor signaling pathway {GO:0048010}</t>
  </si>
  <si>
    <t>cytoplasm {GO:0005737}; cytosol {GO:0005829}; extracellular region {GO:0005576}; ficolin-1-rich granule lumen {GO:1904813}; glutamatergic synapse {GO:0098978}; mitochondrion {GO:0005739}; nuclear speck {GO:0016607}; nucleoplasm {GO:0005654}; nucleus {GO:0005634}; secretory granule lumen {GO:0034774}; spindle pole {GO:0000922}</t>
  </si>
  <si>
    <t>ATP binding {GO:0005524}; enzyme binding {GO:0019899}; MAP kinase activity {GO:0004707}; MAP kinase kinase activity {GO:0004708}; mitogen-activated protein kinase p38 binding {GO:0048273}; NFAT protein binding {GO:0051525}; protein phosphatase binding {GO:0019903}; protein serine/threonine kinase activity {GO:0004674}</t>
  </si>
  <si>
    <t>NOD1/2 Signaling Pathway {R-HSA-168638}; p38MAPK events {R-HSA-171007}; ERK/MAPK targets {R-HSA-198753}; Activation of PPARGC1A (PGC-1alpha) by phosphorylation {R-HSA-2151209}; Oxidative Stress Induced Senescence {R-HSA-2559580}; DSCAM interactions {R-HSA-376172}; ADP signalling through P2Y purinoceptor 1 {R-HSA-418592}; Platelet sensitization by LDL {R-HSA-432142}; VEGFA-VEGFR2 Pathway {R-HSA-4420097}; activated TAK1 mediates p38 MAPK activation {R-HSA-450302}; Activation of the AP-1 family of transcription factors {R-HSA-450341}; KSRP (KHSRP) binds and destabilizes mRNA {R-HSA-450604}; Myogenesis {R-HSA-525793}; RHO GTPases Activate NADPH Oxidases {R-HSA-5668599}; Neutrophil degranulation {R-HSA-6798695}; Regulation of TP53 Activity through Phosphorylation {R-HSA-6804756}</t>
  </si>
  <si>
    <t>Phosphatidylinositol-glycan-specific phospholipase D (PI-G PLD)</t>
  </si>
  <si>
    <t>Glycoprotein phospholipase D; Glycosyl-phosphatidylinositol-specific phospholipase D (GPI-PLD; GPI-specific phospholipase D)</t>
  </si>
  <si>
    <t>PHLD_HUMAN</t>
  </si>
  <si>
    <t>P80108</t>
  </si>
  <si>
    <t>Q15127; Q15128; Q2M2F2; Q5T3Y0; Q7Z6T8; Q8TCV0; Q8WW82; Q96ID6; Q9H167; Q9H4M1; Q9UJC9</t>
  </si>
  <si>
    <t>PIGPLD1</t>
  </si>
  <si>
    <t>Alternative splicing; Glycoprotein; Hydrolase; Polymorphism; Repeat; Secreted; Signal</t>
  </si>
  <si>
    <t>C-terminal protein lipidation {GO:0006501}; cell migration involved in sprouting angiogenesis {GO:0002042}; cellular response to calcium ion {GO:0071277}; cellular response to cholesterol {GO:0071397}; cellular response to drug {GO:0035690}; cellular response to insulin stimulus {GO:0032869}; cellular response to pH {GO:0071467}; cellular response to triglyceride {GO:0071401}; chondrocyte differentiation {GO:0002062}; complement receptor mediated signaling pathway {GO:0002430}; GPI anchor release {GO:0006507}; hematopoietic stem cell migration {GO:0035701}; hematopoietic stem cell migration to bone marrow {GO:0097241}; insulin receptor signaling pathway {GO:0008286}; negative regulation of cell population proliferation {GO:0008285}; negative regulation of triglyceride catabolic process {GO:0010897}; ossification {GO:0001503}; phosphatidylcholine metabolic process {GO:0046470}; positive regulation of alkaline phosphatase activity {GO:0010694}; positive regulation of apoptotic process {GO:0043065}; positive regulation of cytolysis {GO:0045919}; positive regulation of endothelial cell migration {GO:0010595}; positive regulation of glucose metabolic process {GO:0010907}; positive regulation of high-density lipoprotein particle clearance {GO:0010983}; positive regulation of insulin secretion involved in cellular response to glucose stimulus {GO:0035774}; positive regulation of membrane protein ectodomain proteolysis {GO:0051044}; positive regulation of secretion {GO:0051047}; positive regulation of triglyceride biosynthetic process {GO:0010867}; regulation of cellular response to insulin stimulus {GO:1900076}; response to glucose {GO:0009749}; transepithelial transport {GO:0070633}</t>
  </si>
  <si>
    <t>cytoplasm {GO:0005737}; extracellular exosome {GO:0070062}; extracellular matrix {GO:0031012}; extracellular region {GO:0005576}; extracellular space {GO:0005615}; intracellular membrane-bounded organelle {GO:0043231}; lysosomal membrane {GO:0005765}</t>
  </si>
  <si>
    <t>glycosylphosphatidylinositol phospholipase D activity {GO:0004621}; phospholipase D activity {GO:0004630}; sodium channel regulator activity {GO:0017080}</t>
  </si>
  <si>
    <t>Thioredoxin domain-containing protein 5</t>
  </si>
  <si>
    <t>Endoplasmic reticulum resident protein 46 (ER protein 46; ERp46); Thioredoxin-like protein p46</t>
  </si>
  <si>
    <t>TXND5_HUMAN</t>
  </si>
  <si>
    <t>Q8NBS9</t>
  </si>
  <si>
    <t>B2RDM2; Q5TCQ0; Q8ND33; Q8TCT2; Q9BVH9</t>
  </si>
  <si>
    <t>TLP46</t>
  </si>
  <si>
    <t>3D-structure; Alternative splicing; Disulfide bond; Endoplasmic reticulum; Redox-active center; Repeat; Signal</t>
  </si>
  <si>
    <t>apoptotic cell clearance {GO:0043277}; cell redox homeostasis {GO:0045454}; negative regulation of apoptotic process {GO:0043066}; neutrophil degranulation {GO:0043312}</t>
  </si>
  <si>
    <t>azurophil granule lumen {GO:0035578}; endoplasmic reticulum {GO:0005783}; endoplasmic reticulum lumen {GO:0005788}; extracellular exosome {GO:0070062}; extracellular region {GO:0005576}; lysosomal lumen {GO:0043202}</t>
  </si>
  <si>
    <t>isomerase activity {GO:0016853}</t>
  </si>
  <si>
    <t>Lysosome Vesicle Biogenesis {R-HSA-432720}; Golgi Associated Vesicle Biogenesis {R-HSA-432722}; Neutrophil degranulation {R-HSA-6798695}</t>
  </si>
  <si>
    <t>E3 UFM1-protein ligase 1</t>
  </si>
  <si>
    <t>E3 UFM1-protein transferase 1; Multiple alpha-helix protein located at ER; Novel LZAP-binding protein; Regulator of C53/LZAP and DDRGK1</t>
  </si>
  <si>
    <t>UFL1_HUMAN</t>
  </si>
  <si>
    <t>O94874</t>
  </si>
  <si>
    <t>A0PJ53; B4DJ57; C0H5X5; Q8N765; Q9NTQ0</t>
  </si>
  <si>
    <t>Acetylation; Alternative splicing; Cytoplasm; Endoplasmic reticulum; Methylation; Phosphoprotein; Polymorphism; Transferase; Ubl conjugation; Ubl conjugation pathway</t>
  </si>
  <si>
    <t>negative regulation of apoptotic process {GO:0043066}; negative regulation of NF-kappaB transcription factor activity {GO:0032088}; negative regulation of protein ubiquitination {GO:0031397}; osteoblast differentiation {GO:0001649}; positive regulation of cell population proliferation {GO:0008284}; positive regulation of glial cell proliferation {GO:0060252}; protein K69-linked ufmylation {GO:1990592}; protein ufmylation {GO:0071569}; regulation of intracellular estrogen receptor signaling pathway {GO:0033146}; regulation of proteasomal ubiquitin-dependent protein catabolic process {GO:0032434}; regulation of protein localization {GO:0032880}; response to endoplasmic reticulum stress {GO:0034976}; response to L-glutamate {GO:1902065}</t>
  </si>
  <si>
    <t>cytoplasm {GO:0005737}; cytosol {GO:0005829}; endoplasmic reticulum {GO:0005783}; endoplasmic reticulum membrane {GO:0005789}; membrane {GO:0016020}; neuron projection {GO:0043005}; protein-containing complex {GO:0032991}</t>
  </si>
  <si>
    <t>UFM1 transferase activity {GO:0071568}</t>
  </si>
  <si>
    <t>Heat shock protein HSP 90-beta (HSP 90)</t>
  </si>
  <si>
    <t>Heat shock 84 kDa (HSP 84; HSP84)</t>
  </si>
  <si>
    <t>HS90B_HUMAN</t>
  </si>
  <si>
    <t>P08238</t>
  </si>
  <si>
    <t>B2R5P0; Q5T9W7; Q9NQW0; Q9NTK6</t>
  </si>
  <si>
    <t>HSP90B; HSPC2; HSPCB</t>
  </si>
  <si>
    <t>3D-structure; Acetylation; ATP-binding; Cell membrane; Chaperone; Cytoplasm; Glycoprotein; Membrane; Methylation; Nucleotide-binding; Nucleus; Phosphoprotein; Polymorphism; S-nitrosylation; Secreted; Stress response; Ubl conjugation</t>
  </si>
  <si>
    <t>Cell membrane; Cytoplasm; Membrane; Nucleus; Secreted</t>
  </si>
  <si>
    <t>Acetylation; Glycoprotein; Methylation; Phosphoprotein; S-nitrosylation; Ubl conjugation</t>
  </si>
  <si>
    <t>axon extension {GO:0048675}; cellular response to drug {GO:0035690}; cellular response to interleukin-4 {GO:0071353}; cellular response to organic cyclic compound {GO:0071407}; central nervous system neuron axonogenesis {GO:0021955}; chaperone-mediated protein complex assembly {GO:0051131}; establishment of cell polarity {GO:0030010}; Fc-gamma receptor signaling pathway involved in phagocytosis {GO:0038096}; negative regulation of cell cycle arrest {GO:0071157}; negative regulation of complement-dependent cytotoxicity {GO:1903660}; negative regulation of neuron apoptotic process {GO:0043524}; negative regulation of proteasomal protein catabolic process {GO:1901799}; negative regulation of proteasomal ubiquitin-dependent protein catabolic process {GO:0032435}; negative regulation of protein metabolic process {GO:0051248}; negative regulation of transforming growth factor beta activation {GO:1901389}; neutrophil degranulation {GO:0043312}; placenta development {GO:0001890}; positive regulation of cell differentiation {GO:0045597}; positive regulation of cell size {GO:0045793}; positive regulation of cyclin-dependent protein kinase activity {GO:1904031}; positive regulation of nitric oxide biosynthetic process {GO:0045429}; positive regulation of peptidyl-serine phosphorylation {GO:0033138}; positive regulation of phosphoprotein phosphatase activity {GO:0032516}; positive regulation of protein binding {GO:0032092}; positive regulation of protein kinase B signaling {GO:0051897}; positive regulation of protein localization to cell surface {GO:2000010}; positive regulation of protein serine/threonine kinase activity {GO:0071902}; positive regulation of tau-protein kinase activity {GO:1902949}; positive regulation of telomerase activity {GO:0051973}; positive regulation of transforming growth factor beta receptor signaling pathway {GO:0030511}; protein folding {GO:0006457}; protein stabilization {GO:0050821}; regulation of cellular protein localization {GO:1903827}; regulation of cellular response to heat {GO:1900034}; regulation of interferon-gamma-mediated signaling pathway {GO:0060334}; regulation of protein ubiquitination {GO:0031396}; regulation of type I interferon-mediated signaling pathway {GO:0060338}; response to cocaine {GO:0042220}; response to salt stress {GO:0009651}; response to unfolded protein {GO:0006986}; supramolecular fiber organization {GO:0097435}; telomerase holoenzyme complex assembly {GO:1905323}; telomere maintenance via telomerase {GO:0007004}; virion attachment to host cell {GO:0019062}; xenobiotic metabolic process {GO:0006805}</t>
  </si>
  <si>
    <t>apical plasma membrane {GO:0016324}; aryl hydrocarbon receptor complex {GO:0034751}; axonal growth cone {GO:0044295}; basolateral plasma membrane {GO:0016323}; brush border membrane {GO:0031526}; cell surface {GO:0009986}; cytoplasm {GO:0005737}; cytosol {GO:0005829}; dendritic growth cone {GO:0044294}; extracellular exosome {GO:0070062}; extracellular region {GO:0005576}; ficolin-1-rich granule lumen {GO:1904813}; HSP90-CDC37 chaperone complex {GO:1990565}; inclusion body {GO:0016234}; lysosomal membrane {GO:0005765}; melanosome {GO:0042470}; membrane {GO:0016020}; mitochondrion {GO:0005739}; neuronal cell body {GO:0043025}; nucleoplasm {GO:0005654}; nucleus {GO:0005634}; ooplasm {GO:1990917}; perinuclear region of cytoplasm {GO:0048471}; protein-containing complex {GO:0032991}; secretory granule lumen {GO:0034774}; sperm head plasma membrane {GO:1990913}</t>
  </si>
  <si>
    <t>ATP binding {GO:0005524}; ATP-dependent protein binding {GO:0043008}; ATPase activity, coupled {GO:0042623}; cadherin binding {GO:0045296}; CTP binding {GO:0002135}; dATP binding {GO:0032564}; disordered domain specific binding {GO:0097718}; DNA polymerase binding {GO:0070182}; double-stranded RNA binding {GO:0003725}; GTP binding {GO:0005525}; heat shock protein binding {GO:0031072}; histone deacetylase binding {GO:0042826}; histone methyltransferase binding {GO:1990226}; identical protein binding {GO:0042802}; ion channel binding {GO:0044325}; kinase binding {GO:0019900}; MHC class II protein complex binding {GO:0023026}; nitric-oxide synthase regulator activity {GO:0030235}; peptide binding {GO:0042277}; protein dimerization activity {GO:0046983}; protein homodimerization activity {GO:0042803}; protein kinase binding {GO:0019901}; protein kinase regulator activity {GO:0019887}; RNA binding {GO:0003723}; sulfonylurea receptor binding {GO:0017098}; tau protein binding {GO:0048156}; TPR domain binding {GO:0030911}; ubiquitin protein ligase binding {GO:0031625}; unfolded protein binding {GO:0051082}; UTP binding {GO:0002134}</t>
  </si>
  <si>
    <t>Regulation of actin dynamics for phagocytic cup formation {R-HSA-2029482}; HSP90 chaperone cycle for steroid hormone receptors (SHR) {R-HSA-3371497}; HSF1 activation {R-HSA-3371511}; Attenuation phase {R-HSA-3371568}; HSF1-dependent transactivation {R-HSA-3371571}; Sema3A PAK dependent Axon repulsion {R-HSA-399954}; Uptake and function of diphtheria toxin {R-HSA-5336415}; Neutrophil degranulation {R-HSA-6798695}; The NLRP3 inflammasome {R-HSA-844456}; The role of GTSE1 in G2/M progression after G2 checkpoint {R-HSA-8852276}; Aryl hydrocarbon receptor signalling {R-HSA-8937144}; ESR-mediated signaling {R-HSA-8939211}; Estrogen-dependent gene expression {R-HSA-9018519}</t>
  </si>
  <si>
    <t>Serpin B9</t>
  </si>
  <si>
    <t>Cytoplasmic antiproteinase 3 (CAP-3; CAP3); Peptidase inhibitor 9 (PI-9)</t>
  </si>
  <si>
    <t>SPB9_HUMAN</t>
  </si>
  <si>
    <t>P50453</t>
  </si>
  <si>
    <t>B2RBW3; Q5TD03</t>
  </si>
  <si>
    <t>PI9</t>
  </si>
  <si>
    <t>Acetylation; Cytoplasm; Protease inhibitor; Serine protease inhibitor</t>
  </si>
  <si>
    <t>cellular response to estrogen stimulus {GO:0071391}; immune response {GO:0006955}; mast cell mediated immunity {GO:0002448}; negative regulation by symbiont of host apoptotic process {GO:0033668}; negative regulation of apoptotic process {GO:0043066}; negative regulation of endopeptidase activity {GO:0010951}; positive regulation of gene expression {GO:0010628}; protection from natural killer cell mediated cytotoxicity {GO:0042270}; response to bacterium {GO:0009617}</t>
  </si>
  <si>
    <t>collagen-containing extracellular matrix {GO:0062023}; cytoplasm {GO:0005737}; cytosol {GO:0005829}; extracellular exosome {GO:0070062}; extracellular space {GO:0005615}; Golgi apparatus {GO:0005794}; membrane {GO:0016020}; nucleoplasm {GO:0005654}; nucleus {GO:0005634}</t>
  </si>
  <si>
    <t>cysteine-type endopeptidase inhibitor activity involved in apoptotic process {GO:0043027}; protease binding {GO:0002020}; serine-type endopeptidase inhibitor activity {GO:0004867}</t>
  </si>
  <si>
    <t>2'-deoxynucleoside 5'-phosphate N-hydrolase 1</t>
  </si>
  <si>
    <t>c-Myc-responsive protein RCL</t>
  </si>
  <si>
    <t>DNPH1_HUMAN</t>
  </si>
  <si>
    <t>O43598</t>
  </si>
  <si>
    <t>B2LUJ9</t>
  </si>
  <si>
    <t>3D-structure; Acetylation; Alternative splicing; Cytoplasm; Glycosidase; Hydrolase; Nucleotide metabolism; Nucleus; Phosphoprotein</t>
  </si>
  <si>
    <t>deoxyribonucleoside monophosphate catabolic process {GO:0009159}; epithelial cell differentiation {GO:0030855}; nucleoside metabolic process {GO:0009116}; positive regulation of cell growth {GO:0030307}; purine nucleotide catabolic process {GO:0006195}</t>
  </si>
  <si>
    <t>deoxyribonucleoside 5'-monophosphate N-glycosidase activity {GO:0070694}; identical protein binding {GO:0042802}; protein homodimerization activity {GO:0042803}</t>
  </si>
  <si>
    <t>Purine catabolism {R-HSA-74259}</t>
  </si>
  <si>
    <t>Glutamate--cysteine ligase catalytic subunit</t>
  </si>
  <si>
    <t>GCS heavy chain; Gamma-ECS; Gamma-glutamylcysteine synthetase</t>
  </si>
  <si>
    <t>GSH1_HUMAN</t>
  </si>
  <si>
    <t>P48506</t>
  </si>
  <si>
    <t>Q14399</t>
  </si>
  <si>
    <t>GLCL; GLCLC</t>
  </si>
  <si>
    <t>Acetylation; ATP-binding; Disease mutation; Glutathione biosynthesis; Hereditary hemolytic anemia; Ligase; Nucleotide-binding; Phosphoprotein; Polymorphism</t>
  </si>
  <si>
    <t>aging {GO:0007568}; apoptotic mitochondrial changes {GO:0008637}; cell redox homeostasis {GO:0045454}; cellular response to fibroblast growth factor stimulus {GO:0044344}; cellular response to follicle-stimulating hormone stimulus {GO:0071372}; cellular response to glucose stimulus {GO:0071333}; cellular response to hepatocyte growth factor stimulus {GO:0035729}; cellular response to insulin stimulus {GO:0032869}; cellular response to mechanical stimulus {GO:0071260}; cellular response to thyroxine stimulus {GO:0097069}; cysteine metabolic process {GO:0006534}; glutamate metabolic process {GO:0006536}; glutathione biosynthetic process {GO:0006750}; L-ascorbic acid metabolic process {GO:0019852}; negative regulation of apoptotic process {GO:0043066}; negative regulation of extrinsic apoptotic signaling pathway {GO:2001237}; negative regulation of hepatic stellate cell activation {GO:2000490}; negative regulation of neuron apoptotic process {GO:0043524}; negative regulation of protein ubiquitination {GO:0031397}; negative regulation of transcription, DNA-templated {GO:0045892}; positive regulation of proteasomal ubiquitin-dependent protein catabolic process {GO:0032436}; regulation of blood vessel size {GO:0050880}; regulation of mitochondrial depolarization {GO:0051900}; response to activity {GO:0014823}; response to arsenic-containing substance {GO:0046685}; response to cadmium ion {GO:0046686}; response to heat {GO:0009408}; response to hormone {GO:0009725}; response to human chorionic gonadotropin {GO:0044752}; response to interleukin-1 {GO:0070555}; response to nitrosative stress {GO:0051409}; response to nutrient {GO:0007584}; response to oxidative stress {GO:0006979}; response to xenobiotic stimulus {GO:0009410}</t>
  </si>
  <si>
    <t>cytosol {GO:0005829}; glutamate-cysteine ligase complex {GO:0017109}</t>
  </si>
  <si>
    <t>ADP binding {GO:0043531}; ATP binding {GO:0005524}; coenzyme binding {GO:0050662}; glutamate binding {GO:0016595}; glutamate-cysteine ligase activity {GO:0004357}; magnesium ion binding {GO:0000287}; protein heterodimerization activity {GO:0046982}</t>
  </si>
  <si>
    <t>Sulfur metabolism; glutathione biosynthesis; glutathione from L-cysteine and L-glutamate: step 1/2.</t>
  </si>
  <si>
    <t>Glutathione synthesis and recycling {R-HSA-174403}; Defective GCLC causes Hemolytic anemia due to gamma-glutamylcysteine synthetase deficiency (HAGGSD) {R-HSA-5578999}</t>
  </si>
  <si>
    <t>High mobility group protein HMG-I/HMG-Y (HMG-I(Y))</t>
  </si>
  <si>
    <t>High mobility group AT-hook protein 1 (High mobility group protein A1); High mobility group protein R</t>
  </si>
  <si>
    <t>HMGA1_HUMAN</t>
  </si>
  <si>
    <t>P17096</t>
  </si>
  <si>
    <t>P10910; Q5T6U9; Q9UKB0</t>
  </si>
  <si>
    <t>HMGIY</t>
  </si>
  <si>
    <t>3D-structure; Acetylation; ADP-ribosylation; Alternative splicing; Chromosomal rearrangement; Chromosome; DNA-binding; Isopeptide bond; Methylation; Nucleus; Phosphoprotein; Repeat; Transcription; Transcription regulation; Ubl conjugation</t>
  </si>
  <si>
    <t>base-excision repair {GO:0006284}; DNA unwinding involved in DNA replication {GO:0006268}; establishment of integrated proviral latency {GO:0075713}; negative regulation of cell population proliferation {GO:0008285}; negative regulation of chromatin silencing {GO:0031936}; negative regulation of transcription, DNA-templated {GO:0045892}; nuclear transport {GO:0051169}; nucleosome disassembly {GO:0006337}; oncogene-induced cell senescence {GO:0090402}; positive regulation of cellular senescence {GO:2000774}; positive regulation of transcription by RNA polymerase II {GO:0045944}; positive regulation of transcription, DNA-templated {GO:0045893}; protein-containing complex assembly {GO:0065003}; regulation of transcription, DNA-templated {GO:0006355}; response to virus {GO:0009615}; senescence-associated heterochromatin focus assembly {GO:0035986}</t>
  </si>
  <si>
    <t>cytosol {GO:0005829}; focal adhesion {GO:0005925}; nucleoplasm {GO:0005654}; nucleus {GO:0005634}; RNA polymerase II transcription factor complex {GO:0090575}; senescence-associated heterochromatin focus {GO:0035985}; transcription factor complex {GO:0005667}</t>
  </si>
  <si>
    <t>5'-deoxyribose-5-phosphate lyase activity {GO:0051575}; AT DNA binding {GO:0003680}; chromatin binding {GO:0003682}; DNA binding {GO:0003677}; DNA-(apurinic or apyrimidinic site) endonuclease activity {GO:0003906}; DNA-binding transcription factor activity, RNA polymerase II-specific {GO:0000981}; enhancer sequence-specific DNA binding {GO:0001158}; enzyme binding {GO:0019899}; nuclear receptor transcription coactivator activity {GO:0030374}; peroxisome proliferator activated receptor binding {GO:0042975}; retinoic acid receptor binding {GO:0042974}; retinoid X receptor binding {GO:0046965}; structural constituent of chromatin {GO:0030527}; transcription coactivator activity {GO:0003713}; transcription factor binding {GO:0008134}</t>
  </si>
  <si>
    <t>Integration of provirus {R-HSA-162592}; 2-LTR circle formation {R-HSA-164843}; Integration of viral DNA into host genomic DNA {R-HSA-175567}; Autointegration results in viral DNA circles {R-HSA-177539}; APOBEC3G mediated resistance to HIV-1 infection {R-HSA-180689}; Vpr-mediated nuclear import of PICs {R-HSA-180910}; Formation of Senescence-Associated Heterochromatin Foci (SAHF) {R-HSA-2559584}</t>
  </si>
  <si>
    <t>C-&gt;U-editing enzyme APOBEC-2</t>
  </si>
  <si>
    <t>mRNA(cytosine(6666)) deaminase 2</t>
  </si>
  <si>
    <t>ABEC2_HUMAN</t>
  </si>
  <si>
    <t>Q9Y235</t>
  </si>
  <si>
    <t>B2R899; Q53F28; Q5TGU5; Q5TGU6</t>
  </si>
  <si>
    <t>3D-structure; Hydrolase; Metal-binding; mRNA processing; Polymorphism; Zinc</t>
  </si>
  <si>
    <t>cytidine to uridine editing {GO:0016554}; DNA demethylation {GO:0080111}; mRNA modification {GO:0016556}; mRNA processing {GO:0006397}</t>
  </si>
  <si>
    <t>cytidine deaminase activity {GO:0004126}; identical protein binding {GO:0042802}; metal ion binding {GO:0046872}; RNA binding {GO:0003723}</t>
  </si>
  <si>
    <t>mRNA Editing: C to U Conversion {R-HSA-72200}; Formation of the Editosome {R-HSA-75094}</t>
  </si>
  <si>
    <t>40S ribosomal protein S18</t>
  </si>
  <si>
    <t>Ke-3 (Ke3); Small ribosomal subunit protein uS13</t>
  </si>
  <si>
    <t>RS18_HUMAN</t>
  </si>
  <si>
    <t>P62269</t>
  </si>
  <si>
    <t>P25232; Q5SUJ3; Q6IPF8</t>
  </si>
  <si>
    <t>D6S218E</t>
  </si>
  <si>
    <t>3D-structure; Acetylation; Cytoplasm; Isopeptide bond; Ribonucleoprotein; Ribosomal protein; RNA-binding; rRNA-binding; Ubl conjugation</t>
  </si>
  <si>
    <t>cytosol {GO:0005829}; cytosolic small ribosomal subunit {GO:0022627}; extracellular exosome {GO:0070062}; focal adhesion {GO:0005925}; membrane {GO:0016020}; nucleoplasm {GO:0005654}; nucleus {GO:0005634}; postsynaptic density {GO:0014069}; ribosome {GO:0005840}; small ribosomal subunit {GO:0015935}</t>
  </si>
  <si>
    <t>protein kinase binding {GO:0019901}; RNA binding {GO:0003723}; rRNA binding {GO:0019843}; structural constituent of ribosome {GO:0003735}</t>
  </si>
  <si>
    <t>T-complex protein 1 subunit alpha (TCP-1-alpha)</t>
  </si>
  <si>
    <t>CCT-alpha</t>
  </si>
  <si>
    <t>TCPA_HUMAN</t>
  </si>
  <si>
    <t>P17987</t>
  </si>
  <si>
    <t>E1P5B2; Q15556; Q5TCM3</t>
  </si>
  <si>
    <t>CCT1; CCTA</t>
  </si>
  <si>
    <t>Acetylation; ATP-binding; Chaperone; Cytoplasm; Cytoskeleton; Nucleotide-binding; Phosphoprotein; Polymorphism</t>
  </si>
  <si>
    <t>binding of sperm to zona pellucida {GO:0007339}; interleukin-12-mediated signaling pathway {GO:0035722}; positive regulation of establishment of protein localization to telomere {GO:1904851}; positive regulation of protein localization to Cajal body {GO:1904871}; positive regulation of telomerase activity {GO:0051973}; positive regulation of telomerase RNA localization to Cajal body {GO:1904874}; positive regulation of telomere maintenance via telomerase {GO:0032212}; protein folding {GO:0006457}; protein stabilization {GO:0050821}; regulation of macrophage apoptotic process {GO:2000109}; scaRNA localization to Cajal body {GO:0090666}; toxin transport {GO:1901998}; translocation of peptides or proteins into host cell cytoplasm {GO:0044053}; tubulin complex assembly {GO:0007021}</t>
  </si>
  <si>
    <t>acrosomal vesicle {GO:0001669}; cell body {GO:0044297}; centrosome {GO:0005813}; chaperonin-containing T-complex {GO:0005832}; cytosol {GO:0005829}; extracellular exosome {GO:0070062}; Golgi apparatus {GO:0005794}; microtubule {GO:0005874}; nuclear heterochromatin {GO:0005720}; pericentriolar material {GO:0000242}; zona pellucida receptor complex {GO:0002199}</t>
  </si>
  <si>
    <t>ATP binding {GO:0005524}; RNA binding {GO:0003723}; ubiquitin protein ligase binding {GO:0031625}; unfolded protein binding {GO:0051082}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</si>
  <si>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BBSome-mediated cargo-targeting to cilium {R-HSA-5620922}; Cooperation of PDCL (PhLP1) and TRiC/CCT in G-protein beta folding {R-HSA-6814122}; Gene and protein expression by JAK-STAT signaling after Interleukin-12 stimulation {R-HSA-8950505}</t>
  </si>
  <si>
    <t>Acetyl-CoA acetyltransferase, cytosolic</t>
  </si>
  <si>
    <t>Acetyl-CoA transferase-like protein; Cytosolic acetoacetyl-CoA thiolase</t>
  </si>
  <si>
    <t>THIC_HUMAN</t>
  </si>
  <si>
    <t>Q9BWD1</t>
  </si>
  <si>
    <t>B7Z233; E1P5B1; Q16146; Q5TCL7; Q8TDM4</t>
  </si>
  <si>
    <t>ACTL</t>
  </si>
  <si>
    <t>3D-structure; Acetylation; Acyltransferase; Alternative splicing; Cytoplasm; Polymorphism; Transferase</t>
  </si>
  <si>
    <t>cholesterol biosynthetic process {GO:0006695}; fatty acid beta-oxidation {GO:0006635}; lipid metabolic process {GO:0006629}</t>
  </si>
  <si>
    <t>cytoplasm {GO:0005737}; cytosol {GO:0005829}; extracellular exosome {GO:0070062}; mitochondrion {GO:0005739}; nucleolus {GO:0005730}; nucleus {GO:0005634}</t>
  </si>
  <si>
    <t>acetyl-CoA C-acetyltransferase activity {GO:0003985}; acetyl-CoA C-acyltransferase activity {GO:0003988}</t>
  </si>
  <si>
    <t>Cholesterol biosynthesis {R-HSA-191273}</t>
  </si>
  <si>
    <t>Desmoplakin (DP)</t>
  </si>
  <si>
    <t>250/210 kDa paraneoplastic pemphigus antigen</t>
  </si>
  <si>
    <t>DESP_HUMAN</t>
  </si>
  <si>
    <t>P15924</t>
  </si>
  <si>
    <t>B2RTT2; D7RX09; O75993; Q14189; Q9UHN4</t>
  </si>
  <si>
    <t>3D-structure; Alternative splicing; Cardiomyopathy; Cell junction; Cell membrane; Coiled coil; Cytoplasm; Cytoskeleton; Disease mutation; Epidermolysis bullosa; Membrane; Methylation; Palmoplantar keratoderma; Phosphoprotein; Polymorphism; Repeat; SH3 domain</t>
  </si>
  <si>
    <t>Cardiomyopathy; Disease mutation; Epidermolysis bullosa; Palmoplantar keratoderma</t>
  </si>
  <si>
    <t>adherens junction organization {GO:0034332}; bundle of His cell-Purkinje myocyte adhesion involved in cell communication {GO:0086073}; cell-cell adhesion {GO:0098609}; cornification {GO:0070268}; desmosome organization {GO:0002934}; epidermis development {GO:0008544}; intermediate filament cytoskeleton organization {GO:0045104}; intermediate filament organization {GO:0045109}; keratinization {GO:0031424}; keratinocyte differentiation {GO:0030216}; neutrophil degranulation {GO:0043312}; peptide cross-linking {GO:0018149}; protein localization to adherens junction {GO:0071896}; regulation of heart rate by cardiac conduction {GO:0086091}; regulation of ventricular cardiac muscle cell action potential {GO:0098911}; skin development {GO:0043588}; ventricular compact myocardium morphogenesis {GO:0003223}; wound healing {GO:0042060}</t>
  </si>
  <si>
    <t>basolateral plasma membrane {GO:0016323}; cornified envelope {GO:0001533}; cytoplasm {GO:0005737}; desmosome {GO:0030057}; extracellular exosome {GO:0070062}; fascia adherens {GO:0005916}; ficolin-1-rich granule membrane {GO:0101003}; intercalated disc {GO:0014704}; intermediate filament {GO:0005882}; membrane {GO:0016020}; nucleus {GO:0005634}; plasma membrane {GO:0005886}</t>
  </si>
  <si>
    <t>cell adhesion molecule binding {GO:0050839}; cell adhesive protein binding involved in bundle of His cell-Purkinje myocyte communication {GO:0086083}; protein kinase C binding {GO:0005080}; RNA binding {GO:0003723}; scaffold protein binding {GO:0097110}; structural constituent of cytoskeleton {GO:0005200}; structural molecule activity {GO:0005198}</t>
  </si>
  <si>
    <t>Platelet-activating factor acetylhydrolase (PAF acetylhydrolase)</t>
  </si>
  <si>
    <t>1-alkyl-2-acetylglycerophosphocholine esterase; 2-acetyl-1-alkylglycerophosphocholine esterase; Group-VIIA phospholipase A2 (gVIIA-PLA2); LDL-associated phospholipase A2 (LDL-PLA(2)); PAF 2-acylhydrolase</t>
  </si>
  <si>
    <t>PAFA_HUMAN</t>
  </si>
  <si>
    <t>Q13093</t>
  </si>
  <si>
    <t>A5HTT5; Q15692; Q5VTT1; Q8IVA2</t>
  </si>
  <si>
    <t>PAFAH</t>
  </si>
  <si>
    <t>3D-structure; Asthma; Disease mutation; Glycoprotein; Hydrolase; Lipid degradation; Lipid metabolism; Polymorphism; Secreted; Signal</t>
  </si>
  <si>
    <t>Asthma; Disease mutation</t>
  </si>
  <si>
    <t>lipid catabolic process {GO:0016042}; lipid oxidation {GO:0034440}; low-density lipoprotein particle remodeling {GO:0034374}; plasma lipoprotein particle oxidation {GO:0034441}; platelet activating factor metabolic process {GO:0046469}; positive regulation of inflammatory response {GO:0050729}; positive regulation of monocyte chemotaxis {GO:0090026}</t>
  </si>
  <si>
    <t>cytoplasm {GO:0005737}; extracellular region {GO:0005576}; low-density lipoprotein particle {GO:0034362}</t>
  </si>
  <si>
    <t>1-alkyl-2-acetylglycerophosphocholine esterase activity {GO:0003847}; calcium-independent phospholipase A2 activity {GO:0047499}; hydrolase activity, acting on ester bonds {GO:0016788}; phospholipid binding {GO:0005543}</t>
  </si>
  <si>
    <t>Synthesis, secretion, and deacylation of Ghrelin {R-HSA-422085}</t>
  </si>
  <si>
    <t>Beta/gamma crystallin domain-containing protein 1</t>
  </si>
  <si>
    <t>Absent in melanoma 1 protein</t>
  </si>
  <si>
    <t>CRBG1_HUMAN</t>
  </si>
  <si>
    <t>Q9Y4K1</t>
  </si>
  <si>
    <t>B4DU04; O00296; Q5VWJ2</t>
  </si>
  <si>
    <t>3D-structure; Alternative splicing; Lectin; Phosphoprotein; Polymorphism; Repeat</t>
  </si>
  <si>
    <t>Collagen alpha-1(XII) chain</t>
  </si>
  <si>
    <t>COCA1_HUMAN</t>
  </si>
  <si>
    <t>Q99715</t>
  </si>
  <si>
    <t>O43853; Q15955; Q5VYK1; Q5VYK2; Q71UR3; Q99716</t>
  </si>
  <si>
    <t>COL12A1L</t>
  </si>
  <si>
    <t>Alternative splicing; Cell adhesion; Collagen; Congenital muscular dystrophy; Disease mutation; Disulfide bond; Extracellular matrix; Glycoprotein; Hydroxylation; Polymorphism; Proteoglycan; Repeat; Secreted; Signal</t>
  </si>
  <si>
    <t>Congenital muscular dystrophy; Disease mutation</t>
  </si>
  <si>
    <t>Disulfide bond; Glycoprotein; Hydroxylation; Proteoglycan</t>
  </si>
  <si>
    <t>cell adhesion {GO:0007155}; collagen fibril organization {GO:0030199}; endodermal cell differentiation {GO:0035987}; growth plate cartilage chondrocyte morphogenesis {GO:0003429}</t>
  </si>
  <si>
    <t>collagen type XII trimer {GO:0005595}; collagen-containing extracellular matrix {GO:0062023}; endoplasmic reticulum lumen {GO:0005788}; extracellular exosome {GO:0070062}; extracellular matrix {GO:0031012}; extracellular region {GO:0005576}; extracellular space {GO:0005615}; extracellular vesicle {GO:1903561}</t>
  </si>
  <si>
    <t>Collagen degradation {R-HSA-1442490}; Collagen biosynthesis and modifying enzymes {R-HSA-1650814}; Assembly of collagen fibrils and other multimeric structures {R-HSA-2022090}; Collagen chain trimerization {R-HSA-8948216}</t>
  </si>
  <si>
    <t>60S ribosomal protein L10a</t>
  </si>
  <si>
    <t>CSA-19; Large ribosomal subunit protein uL1; Neural precursor cell expressed developmentally down-regulated protein 6 (NEDD-6)</t>
  </si>
  <si>
    <t>RL10A_HUMAN</t>
  </si>
  <si>
    <t>P62906</t>
  </si>
  <si>
    <t>B2R801; P52859; P53025; Q5TZT6; Q8J013</t>
  </si>
  <si>
    <t>NEDD6</t>
  </si>
  <si>
    <t>3D-structure; Acetylation; Isopeptide bond; Phosphoprotein; Polymorphism; Ribonucleoprotein; Ribosomal protein; Ubl conjugation</t>
  </si>
  <si>
    <t>cytoplasmic translation {GO:0002181}; maturation of LSU-rRNA {GO:0000470}; nuclear-transcribed mRNA catabolic process, nonsense-mediated decay {GO:0000184}; response to ethanol {GO:0045471}; SRP-dependent cotranslational protein targeting to membrane {GO:0006614}; translation {GO:0006412}; translational initiation {GO:0006413}; viral transcription {GO:0019083}</t>
  </si>
  <si>
    <t>Heterogeneous nuclear ribonucleoprotein K (hnRNP K)</t>
  </si>
  <si>
    <t>Transformation up-regulated nuclear protein (TUNP)</t>
  </si>
  <si>
    <t>HNRPK_HUMAN</t>
  </si>
  <si>
    <t>P61978</t>
  </si>
  <si>
    <t>Q07244; Q15671; Q59F98; Q5T6W4; Q60577; Q6IBN1; Q922Y7; Q96J62</t>
  </si>
  <si>
    <t>HNRPK</t>
  </si>
  <si>
    <t>3D-structure; Acetylation; Activator; Alternative splicing; Cell junction; Cell projection; Cytoplasm; DNA-binding; Glycoprotein; Host-virus interaction; Isopeptide bond; Mental retardation; Methylation; mRNA processing; mRNA splicing; Nucleus; Phosphoprotein; Repeat; Repressor; Ribonucleoprotein; RNA-binding; Spliceosome; Transcription; Transcription regulation; Ubl conjugation</t>
  </si>
  <si>
    <t>Host-virus interaction; Transcription; Transcription regulation; mRNA processing; mRNA splicing</t>
  </si>
  <si>
    <t>Cell junction; Cell projection; Cytoplasm; Nucleus; Spliceosome</t>
  </si>
  <si>
    <t>Activator; DNA-binding; RNA-binding; Repressor; Ribonucleoprotein</t>
  </si>
  <si>
    <t>Acetylation; Glycoprotein; Isopeptide bond; Methylation; Phosphoprotein; Ubl conjugation</t>
  </si>
  <si>
    <t>mRNA splicing, via spliceosome {GO:0000398}; negative regulation of apoptotic process {GO:0043066}; negative regulation of mRNA splicing, via spliceosome {GO:0048025}; positive regulation of low-density lipoprotein particle receptor biosynthetic process {GO:0045716}; positive regulation of receptor-mediated endocytosis {GO:0048260}; positive regulation of transcription by RNA polymerase II {GO:0045944}; regulation of intrinsic apoptotic signaling pathway in response to DNA damage by p53 class mediator {GO:1902165}; regulation of lipid transport by positive regulation of transcription from RNA polymerase II promoter {GO:0072369}; regulation of low-density lipoprotein particle clearance {GO:0010988}; RNA metabolic process {GO:0016070}; RNA processing {GO:0006396}; signal transduction {GO:0007165}; viral process {GO:0016032}</t>
  </si>
  <si>
    <t>catalytic step 2 spliceosome {GO:0071013}; cell projection {GO:0042995}; cytoplasm {GO:0005737}; cytoplasmic stress granule {GO:0010494}; extracellular exosome {GO:0070062}; focal adhesion {GO:0005925}; membrane {GO:0016020}; nuclear chromatin {GO:0000790}; nucleoplasm {GO:0005654}; nucleus {GO:0005634}; podosome {GO:0002102}</t>
  </si>
  <si>
    <t>cadherin binding {GO:0045296}; DNA-binding transcription activator activity, RNA polymerase II-specific {GO:0001228}; identical protein binding {GO:0042802}; protein domain specific binding {GO:0019904}; RNA binding {GO:0003723}; RNA polymerase II proximal promoter sequence-specific DNA binding {GO:0000978}; single-stranded DNA binding {GO:0003697}</t>
  </si>
  <si>
    <t>Serine/arginine-rich splicing factor 3</t>
  </si>
  <si>
    <t>Pre-mRNA-splicing factor SRP20; Splicing factor, arginine/serine-rich 3</t>
  </si>
  <si>
    <t>SRSF3_HUMAN</t>
  </si>
  <si>
    <t>P84103</t>
  </si>
  <si>
    <t>B4E241; O08831; P23152; Q5R3K0</t>
  </si>
  <si>
    <t>SFRS3; SRP20</t>
  </si>
  <si>
    <t>3D-structure; Acetylation; Alternative splicing; Cytoplasm; mRNA processing; mRNA splicing; mRNA transport; Nucleus; Phosphoprotein; Repeat; RNA-binding; Transport</t>
  </si>
  <si>
    <t>mRNA 3'-end processing {GO:0031124}; mRNA cis splicing, via spliceosome {GO:0045292}; mRNA export from nucleus {GO:0006406}; mRNA splicing, via spliceosome {GO:0000398}; regulation of alternative mRNA splicing, via spliceosome {GO:0000381}; regulation of mRNA splicing, via spliceosome {GO:0048024}; RNA export from nucleus {GO:0006405}</t>
  </si>
  <si>
    <t>Myristoylated alanine-rich C-kinase substrate (MARCKS)</t>
  </si>
  <si>
    <t>Protein kinase C substrate, 80 kDa protein, light chain (80K-L protein; PKCSL)</t>
  </si>
  <si>
    <t>MARCS_HUMAN</t>
  </si>
  <si>
    <t>P29966</t>
  </si>
  <si>
    <t>E1P560; Q2LA83; Q5TDB7</t>
  </si>
  <si>
    <t>MACS; PRKCSL</t>
  </si>
  <si>
    <t>Actin-binding; Calmodulin-binding; Cytoplasm; Cytoskeleton; Lipoprotein; Membrane; Myristate; Phosphoprotein; Polymorphism</t>
  </si>
  <si>
    <t>actin crosslink formation {GO:0051764}; actin filament bundle assembly {GO:0051017}; protein homooligomerization {GO:0051260}</t>
  </si>
  <si>
    <t>actin cytoskeleton {GO:0015629}; actin filament bundle {GO:0032432}; cell cortex {GO:0005938}; centrosome {GO:0005813}; extracellular exosome {GO:0070062}; focal adhesion {GO:0005925}; germinal vesicle {GO:0042585}; plasma membrane {GO:0005886}</t>
  </si>
  <si>
    <t>actin filament binding {GO:0051015}; calmodulin binding {GO:0005516}; identical protein binding {GO:0042802}; protein kinase C binding {GO:0005080}</t>
  </si>
  <si>
    <t>Acetylcholine regulates insulin secretion {R-HSA-399997}</t>
  </si>
  <si>
    <t>Sodium-dependent phosphate transport protein 4</t>
  </si>
  <si>
    <t>Na(+)/PI cotransporter 4; Sodium/phosphate cotransporter 4; Solute carrier family 17 member 3</t>
  </si>
  <si>
    <t>NPT4_HUMAN</t>
  </si>
  <si>
    <t>O00476</t>
  </si>
  <si>
    <t>B7WNJ5; B7Z511; Q8WWC7; Q9H533</t>
  </si>
  <si>
    <t>NPT4</t>
  </si>
  <si>
    <t>Alternative splicing; Cell membrane; Endoplasmic reticulum; Glycoprotein; Ion transport; Membrane; Polymorphism; Sodium; Sodium transport; Symport; Transmembrane; Transmembrane helix; Transport</t>
  </si>
  <si>
    <t>drug transport {GO:0015893}; glucose-6-phosphate transport {GO:0015760}; ion transmembrane transport {GO:0034220}; organic anion transport {GO:0015711}; phosphate ion transport {GO:0006817}; sialic acid transport {GO:0015739}; sodium ion transport {GO:0006814}; urate metabolic process {GO:0046415}; urate transport {GO:0015747}</t>
  </si>
  <si>
    <t>apical plasma membrane {GO:0016324}; brush border membrane {GO:0031526}; cytoplasm {GO:0005737}; endoplasmic reticulum membrane {GO:0005789}; integral component of membrane {GO:0016021}; integral component of plasma membrane {GO:0005887}; lysosome {GO:0005764}; perinuclear region of cytoplasm {GO:0048471}; plasma membrane {GO:0005886}</t>
  </si>
  <si>
    <t>efflux transmembrane transporter activity {GO:0015562}; organic anion transmembrane transporter activity {GO:0008514}; sialic acid transmembrane transporter activity {GO:0015136}; sodium:phosphate symporter activity {GO:0005436}; toxin transmembrane transporter activity {GO:0019534}; urate transmembrane transporter activity {GO:0015143}; voltage-gated anion channel activity {GO:0008308}; xenobiotic transmembrane transporter activity {GO:0042910}</t>
  </si>
  <si>
    <t>Endogenous retrovirus group V member 2 Env polyprotein</t>
  </si>
  <si>
    <t>HERV-V_19q13.41 provirus ancestral Env polyprotein 2</t>
  </si>
  <si>
    <t>ERVV2_HUMAN</t>
  </si>
  <si>
    <t>B6SEH9</t>
  </si>
  <si>
    <t>ENVV2</t>
  </si>
  <si>
    <t>ERV; Glycoprotein; Membrane; Signal; Transmembrane; Transmembrane helix; Transposable element</t>
  </si>
  <si>
    <t>ERV; Transposable element</t>
  </si>
  <si>
    <t>Tyrosine-protein kinase receptor Tie-1</t>
  </si>
  <si>
    <t>TIE1_HUMAN</t>
  </si>
  <si>
    <t>P35590</t>
  </si>
  <si>
    <t>B5A949; B5A950</t>
  </si>
  <si>
    <t>TIE</t>
  </si>
  <si>
    <t>3D-structure; Alternative splicing; Angiogenesis; ATP-binding; Cell membrane; Disulfide bond; EGF-like domain; Glycoprotein; Immunoglobulin domain; Kinase; Membrane; Nucleotide-binding; Phosphoprotein; Polymorphism; Receptor; Repeat; Signal; Transferase; Transmembrane; Transmembrane helix; Tyrosine-protein kinase</t>
  </si>
  <si>
    <t>EGF-like domain; Immunoglobulin domain; Repeat; Signal; Transmembrane; Transmembrane helix</t>
  </si>
  <si>
    <t>angiogenesis {GO:0001525}; in utero embryonic development {GO:0001701}; mesoderm development {GO:0007498}; negative regulation of angiogenesis {GO:0016525}; negative regulation of cell migration {GO:0030336}; plasma membrane fusion {GO:0045026}; positive regulation of angiogenesis {GO:0045766}; response to retinoic acid {GO:0032526}; signal transduction {GO:0007165}; transmembrane receptor protein tyrosine kinase signaling pathway {GO:0007169}; vasculogenesis {GO:0001570}</t>
  </si>
  <si>
    <t>integral component of plasma membrane {GO:0005887}; receptor complex {GO:0043235}</t>
  </si>
  <si>
    <t>ATP binding {GO:0005524}; transmembrane receptor protein tyrosine kinase activity {GO:0004714}</t>
  </si>
  <si>
    <t>Epididymal secretory glutathione peroxidase</t>
  </si>
  <si>
    <t>Epididymis-specific glutathione peroxidase-like protein (EGLP); Glutathione peroxidase 5 (GPx-5; GSHPx-5)</t>
  </si>
  <si>
    <t>GPX5_HUMAN</t>
  </si>
  <si>
    <t>O75715</t>
  </si>
  <si>
    <t>A1A4Y0</t>
  </si>
  <si>
    <t>3D-structure; Alternative splicing; Oxidoreductase; Peroxidase; Polymorphism; Secreted; Signal</t>
  </si>
  <si>
    <t>cellular response to oxidative stress {GO:0034599}; lipid metabolic process {GO:0006629}</t>
  </si>
  <si>
    <t>glutathione peroxidase activity {GO:0004602}; peroxidase activity {GO:0004601}</t>
  </si>
  <si>
    <t>Histone H3.1</t>
  </si>
  <si>
    <t>Histone H3/a; Histone H3/b; Histone H3/c; Histone H3/d; Histone H3/f; Histone H3/h; Histone H3/i; Histone H3/j; Histone H3/k; Histone H3/l</t>
  </si>
  <si>
    <t>H31_HUMAN</t>
  </si>
  <si>
    <t>P68431</t>
  </si>
  <si>
    <t>A0PJT7; A5PLR1; P02295; P02296; P16106; Q6ISV8; Q6NWP8; Q6NWP9; Q6NXU4; Q71DJ3; Q93081</t>
  </si>
  <si>
    <t>H3FA</t>
  </si>
  <si>
    <t>blood coagulation {GO:0007596}; cellular protein metabolic process {GO:0044267}; chromatin organization {GO:0006325}; chromatin silencing at rDNA {GO:0000183}; DNA replication-dependent nucleosome assembly {GO:0006335}; interleukin-7-mediated signaling pathway {GO:0038111}; negative regulation of gene expression, epigenetic {GO:0045814}; nucleosome assembly {GO:0006334}; protein heterotetramerization {GO:0051290}; regulation of gene silencing {GO:0060968}; regulation of gene silencing by miRNA {GO:0060964}; regulation of megakaryocyte differentiation {GO:0045652}; telomere organization {GO:0032200}</t>
  </si>
  <si>
    <t>extracellular exosome {GO:0070062}; extracellular region {GO:0005576}; membrane {GO:0016020}; nuclear chromosome {GO:0000228}; nuclear nucleosome {GO:0000788}; nucleoplasm {GO:0005654}; nucleosome {GO:0000786}; nucleus {GO:0005634}; protein-containing complex {GO:0032991}</t>
  </si>
  <si>
    <t>cadherin binding {GO:0045296}; nucleosomal DNA binding {GO:0031492}; protein heterodimerization activity {GO:0046982}</t>
  </si>
  <si>
    <t>Interleukin-7 signaling {R-HSA-1266695};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HDACs deacetylate histones {R-HSA-3214815}; PKMTs methylate histone lysines {R-HSA-3214841}; HDMs demethylate histones {R-HSA-3214842}; HATs acetylate histones {R-HSA-3214847}; RMTs methylate histone arginines {R-HSA-3214858}; Chromatin modifying enzymes {R-HSA-3247509};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RNA Polymerase I Promoter Opening {R-HSA-73728}; RNA Polymerase I Promoter Escape {R-HSA-73772};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{R-HSA-977225}; Factors involved in megakaryocyte development and platelet production {R-HSA-983231}</t>
  </si>
  <si>
    <t>Histone H2A type 1-B/E</t>
  </si>
  <si>
    <t>Histone H2A.2; Histone H2A/a; Histone H2A/m</t>
  </si>
  <si>
    <t>H2A1B_HUMAN</t>
  </si>
  <si>
    <t>P04908</t>
  </si>
  <si>
    <t>P28001; Q76P63</t>
  </si>
  <si>
    <t>H2AFM</t>
  </si>
  <si>
    <t>3D-structure; Acetylation; Chromosome; Citrullination; DNA-binding; Hydroxylation; Isopeptide bond; Methylation; Nucleosome core; Nucleus; Phosphoprotein; Ubl conjugation</t>
  </si>
  <si>
    <t>chromatin organization {GO:0006325}; negative regulation of cell population proliferation {GO:0008285}</t>
  </si>
  <si>
    <t>Histone H2B type 1-D</t>
  </si>
  <si>
    <t>HIRA-interacting protein 2; Histone H2B.1 B; Histone H2B.b (H2B/b)</t>
  </si>
  <si>
    <t>H2B1D_HUMAN</t>
  </si>
  <si>
    <t>P58876</t>
  </si>
  <si>
    <t>H2BFB; HIRIP2</t>
  </si>
  <si>
    <t>Acetylation; ADP-ribosylation; Chromosome; DNA-binding; Glycoprotein; Hydroxylation; Isopeptide bond; Methylation; Nucleosome core; Nucleus; Phosphoprotein; Ubl conjugation</t>
  </si>
  <si>
    <t>ADP-ribosylation; Acetylation; Glycoprotein; Hydroxylation; Isopeptide bond; Methylation; Phosphoprotein; Ubl conjugation</t>
  </si>
  <si>
    <t>nucleosome assembly {GO:0006334}; protein ubiquitination {GO:0016567}</t>
  </si>
  <si>
    <t>cytosol {GO:0005829}; extracellular exosome {GO:0070062}; nucleoplasm {GO:0005654}; nucleosome {GO:0000786}; nucleus {GO:0005634}</t>
  </si>
  <si>
    <t>Recognition and association of DNA glycosylase with site containing an affected pyrimidine {R-HSA-110328}; Cleavage of the damaged pyrimidine {R-HSA-110329}; Recognition and association of DNA glycosylase with site containing an affected purine {R-HSA-110330}; Cleavage of the damaged purine {R-HSA-110331}; Meiotic synapsis {R-HSA-1221632}; Packaging Of Telomere Ends {R-HSA-171306}; Pre-NOTCH Transcription and Translation {R-HSA-1912408}; Formation of the beta-catenin:TCF transactivating complex {R-HSA-201722}; PRC2 methylates histones and DNA {R-HSA-212300}; Condensation of Prophase Chromosomes {R-HSA-2299718}; Oxidative Stress Induced Senescence {R-HSA-2559580}; Senescence-Associated Secretory Phenotype (SASP) {R-HSA-2559582}; DNA Damage/Telomere Stress Induced Senescence {R-HSA-2559586}; HDACs deacetylate histones {R-HSA-3214815}; HATs acetylate histones {R-HSA-3214847}; SIRT1 negatively regulates rRNA expression {R-HSA-427359}; ERCC6 (CSB) and EHMT2 (G9a) positively regulate rRNA expression {R-HSA-427389}; NoRC negatively regulates rRNA expression {R-HSA-427413}; B-WICH complex positively regulates rRNA expression {R-HSA-5250924}; DNA methylation {R-HSA-5334118}; Transcriptional regulation by small RNAs {R-HSA-5578749}; Activation of anterior HOX genes in hindbrain development during early embryogenesis {R-HSA-5617472}; Activated PKN1 stimulates transcription of AR (androgen receptor) regulated genes KLK2 and KLK3 {R-HSA-5625886}; Ub-specific processing proteases {R-HSA-5689880}; Recruitment and ATM-mediated phosphorylation of repair and signaling proteins at DNA double strand breaks {R-HSA-5693565}; Nonhomologous End-Joining (NHEJ) {R-HSA-5693571}; Processing of DNA double-strand break ends {R-HSA-5693607}; Deposition of new CENPA-containing nucleosomes at the centromere {R-HSA-606279}; G2/M DNA damage checkpoint {R-HSA-69473}; RNA Polymerase I Promoter Opening {R-HSA-73728}; RNA Polymerase I Promoter Escape {R-HSA-73772}; E3 ubiquitin ligases ubiquitinate target proteins {R-HSA-8866654}; RUNX1 regulates genes involved in megakaryocyte differentiation and platelet function {R-HSA-8936459}; RUNX1 regulates transcription of genes involved in differentiation of HSCs {R-HSA-8939236}; Estrogen-dependent gene expression {R-HSA-9018519}; Meiotic recombination {R-HSA-912446}; Amyloid fiber formation {R-HSA-977225}</t>
  </si>
  <si>
    <t>High mobility group nucleosome-binding domain-containing protein 4</t>
  </si>
  <si>
    <t>Non-histone chromosomal protein HMG-17-like 3 (Non-histone chromosomal protein)</t>
  </si>
  <si>
    <t>HMGN4_HUMAN</t>
  </si>
  <si>
    <t>O00479</t>
  </si>
  <si>
    <t>B2R4I6; Q53XL9</t>
  </si>
  <si>
    <t>HMG17L3; NHC</t>
  </si>
  <si>
    <t>Acetylation; ADP-ribosylation; DNA-binding; Nucleus; Phosphoprotein</t>
  </si>
  <si>
    <t>chromatin {GO:0000785}; nucleus {GO:0005634}</t>
  </si>
  <si>
    <t>nucleosomal DNA binding {GO:0031492}</t>
  </si>
  <si>
    <t>Epithelial discoidin domain-containing receptor 1 (Epithelial discoidin domain receptor 1)</t>
  </si>
  <si>
    <t>CD167 antigen-like family member A; Cell adhesion kinase; Discoidin receptor tyrosine kinase; HGK2; Mammary carcinoma kinase 10 (MCK-10); Protein-tyrosine kinase 3A; Protein-tyrosine kinase RTK-6; TRK E; Tyrosine kinase DDR; Tyrosine-protein kinase CAK; CD_antigen=CD167a</t>
  </si>
  <si>
    <t>DDR1_HUMAN</t>
  </si>
  <si>
    <t>Q08345</t>
  </si>
  <si>
    <t>B5A975; B5A976; B7Z2K0; Q14196; Q16562; Q2L6H3; Q4LE50; Q5ST11; Q5ST12; Q6NSK4; Q9UD35; Q9UD36; Q9UD37; Q9UD86; Q9UDL2</t>
  </si>
  <si>
    <t>CAK; EDDR1; NEP; NTRK4; PTK3A; RTK6; TRKE</t>
  </si>
  <si>
    <t>3D-structure; Alternative splicing; ATP-binding; Calcium; Cell membrane; Disulfide bond; Glycoprotein; Kinase; Lactation; Membrane; Metal-binding; Nucleotide-binding; Phosphoprotein; Polymorphism; Pregnancy; Receptor; Secreted; Signal; Transferase; Transmembrane; Transmembrane helix; Tyrosine-protein kinase</t>
  </si>
  <si>
    <t>Lactation; Pregnancy</t>
  </si>
  <si>
    <t>axon development {GO:0061564}; branching involved in mammary gland duct morphogenesis {GO:0060444}; cell adhesion {GO:0007155}; cell differentiation {GO:0030154}; cell-matrix adhesion {GO:0007160}; collagen-activated tyrosine kinase receptor signaling pathway {GO:0038063}; ear development {GO:0043583}; embryo implantation {GO:0007566}; extracellular matrix organization {GO:0030198}; lactation {GO:0007595}; mammary gland alveolus development {GO:0060749}; negative regulation of cell population proliferation {GO:0008285}; neuron projection extension {GO:1990138}; peptidyl-tyrosine autophosphorylation {GO:0038083}; positive regulation of cell population proliferation {GO:0008284}; protein autophosphorylation {GO:0046777}; regulation of cell growth {GO:0001558}; regulation of cell-matrix adhesion {GO:0001952}; regulation of extracellular matrix disassembly {GO:0010715}; regulation of extracellular matrix organization {GO:1903053}; smooth muscle cell migration {GO:0014909}; smooth muscle cell-matrix adhesion {GO:0061302}; transmembrane receptor protein tyrosine kinase signaling pathway {GO:0007169}; wound healing, spreading of cells {GO:0044319}</t>
  </si>
  <si>
    <t>extracellular exosome {GO:0070062}; extracellular space {GO:0005615}; integral component of plasma membrane {GO:0005887}; plasma membrane {GO:0005886}; receptor complex {GO:0043235}</t>
  </si>
  <si>
    <t>ATP binding {GO:0005524}; collagen binding {GO:0005518}; metal ion binding {GO:0046872}; protein tyrosine kinase collagen receptor activity {GO:0038062}; transmembrane receptor protein tyrosine kinase activity {GO:0004714}</t>
  </si>
  <si>
    <t>Non-integrin membrane-ECM interactions {R-HSA-3000171}</t>
  </si>
  <si>
    <t>40S ribosomal protein S12</t>
  </si>
  <si>
    <t>Small ribosomal subunit protein eS12</t>
  </si>
  <si>
    <t>RS12_HUMAN</t>
  </si>
  <si>
    <t>P25398</t>
  </si>
  <si>
    <t>Q76M58</t>
  </si>
  <si>
    <t>3D-structure; Acetylation; Cytoplasm; Ribonucleoprotein; Ribosomal protein</t>
  </si>
  <si>
    <t>cytosol {GO:0005829}; cytosolic small ribosomal subunit {GO:0022627}; Golgi apparatus {GO:0005794}; intracellular membrane-bounded organelle {GO:0043231}; membrane {GO:0016020}; nucleoplasm {GO:0005654}</t>
  </si>
  <si>
    <t>Syntaxin-7</t>
  </si>
  <si>
    <t>STX7_HUMAN</t>
  </si>
  <si>
    <t>O15400</t>
  </si>
  <si>
    <t>E1P579; Q5SZW2; Q96ES9</t>
  </si>
  <si>
    <t>Acetylation; Alternative splicing; Coiled coil; Endosome; Membrane; Phosphoprotein; Transmembrane; Transmembrane helix</t>
  </si>
  <si>
    <t>intracellular protein transport {GO:0006886}; organelle assembly {GO:0070925}; organelle localization {GO:0051640}; positive regulation of receptor localization to synapse {GO:1902685}; positive regulation of T cell mediated cytotoxicity {GO:0001916}; regulation of protein localization to plasma membrane {GO:1903076}; vesicle docking {GO:0048278}; vesicle fusion {GO:0006906}</t>
  </si>
  <si>
    <t>azurophil granule {GO:0042582}; early endosome {GO:0005769}; early endosome membrane {GO:0031901}; endocytic vesicle {GO:0030139}; endomembrane system {GO:0012505}; endosome {GO:0005768}; extracellular exosome {GO:0070062}; immunological synapse {GO:0001772}; integral component of membrane {GO:0016021}; late endosome {GO:0005770}; lysosomal membrane {GO:0005765}; lysosome {GO:0005764}; perinuclear region of cytoplasm {GO:0048471}; plasma membrane {GO:0005886}; recycling endosome {GO:0055037}; SNARE complex {GO:0031201}; synaptic vesicle {GO:0008021}; tertiary granule {GO:0070820}; vesicle {GO:0031982}</t>
  </si>
  <si>
    <t>chloride channel inhibitor activity {GO:0019869}; SNAP receptor activity {GO:0005484}; SNARE binding {GO:0000149}; syntaxin binding {GO:0019905}</t>
  </si>
  <si>
    <t>Fatty acid-binding protein, brain</t>
  </si>
  <si>
    <t>Brain lipid-binding protein (BLBP); Brain-type fatty acid-binding protein (B-FABP); Fatty acid-binding protein 7; Mammary-derived growth inhibitor related</t>
  </si>
  <si>
    <t>FABP7_HUMAN</t>
  </si>
  <si>
    <t>O15540</t>
  </si>
  <si>
    <t>B2R4L1; O14951; Q6IAU7; Q9H047</t>
  </si>
  <si>
    <t>BLBP; FABPB; MRG</t>
  </si>
  <si>
    <t>3D-structure; Acetylation; Alternative splicing; Cytoplasm; Lipid-binding; Polymorphism; Transport</t>
  </si>
  <si>
    <t>cell proliferation in forebrain {GO:0021846}; epithelial cell proliferation {GO:0050673}; negative regulation of cell population proliferation {GO:0008285}; nervous system development {GO:0007399}; neurogenesis {GO:0022008}; prepulse inhibition {GO:0060134}; triglyceride catabolic process {GO:0019433}</t>
  </si>
  <si>
    <t>cell periphery {GO:0071944}; cell projection {GO:0042995}; cell-cell junction {GO:0005911}; cytosol {GO:0005829}; neuronal cell body {GO:0043025}; nucleus {GO:0005634}</t>
  </si>
  <si>
    <t>Triglyceride catabolism {R-HSA-163560}; NOTCH3 Intracellular Domain Regulates Transcription {R-HSA-9013508}</t>
  </si>
  <si>
    <t>Coagulation factor XIII A chain (Coagulation factor XIIIa)</t>
  </si>
  <si>
    <t>Protein-glutamine gamma-glutamyltransferase A chain; Transglutaminase A chain</t>
  </si>
  <si>
    <t>F13A_HUMAN</t>
  </si>
  <si>
    <t>P00488</t>
  </si>
  <si>
    <t>Q59HA7; Q8N6X2; Q96P24; Q9BX29</t>
  </si>
  <si>
    <t>F13A</t>
  </si>
  <si>
    <t>3D-structure; Acetylation; Acyltransferase; Blood coagulation; Calcium; Cytoplasm; Disease mutation; Glycoprotein; Hemostasis; Metal-binding; Polymorphism; Secreted; Transferase; Zymogen</t>
  </si>
  <si>
    <t>Acetylation; Glycoprotein; Zymogen</t>
  </si>
  <si>
    <t>blood coagulation {GO:0007596}; blood coagulation, fibrin clot formation {GO:0072378}; cytokine-mediated signaling pathway {GO:0019221}; peptide cross-linking {GO:0018149}; platelet degranulation {GO:0002576}</t>
  </si>
  <si>
    <t>blood microparticle {GO:0072562}; collagen-containing extracellular matrix {GO:0062023}; extracellular region {GO:0005576}; platelet alpha granule lumen {GO:0031093}</t>
  </si>
  <si>
    <t>Platelet degranulation {R-HSA-114608}; Common Pathway of Fibrin Clot Formation {R-HSA-140875}; Interleukin-4 and Interleukin-13 signaling {R-HSA-6785807}</t>
  </si>
  <si>
    <t>Complement C1q subcomponent subunit A</t>
  </si>
  <si>
    <t>C1QA_HUMAN</t>
  </si>
  <si>
    <t>P02745</t>
  </si>
  <si>
    <t>B2R4X2; Q5T963</t>
  </si>
  <si>
    <t>3D-structure; Collagen; Complement pathway; Disulfide bond; Glycoprotein; Host-virus interaction; Hydroxylation; Immunity; Innate immunity; Polymorphism; Repeat; Secreted; Signal</t>
  </si>
  <si>
    <t>aging {GO:0007568}; cell-cell signaling {GO:0007267}; complement activation {GO:0006956}; complement activation, classical pathway {GO:0006958}; complement-mediated synapse pruning {GO:0150062}; innate immune response {GO:0045087}; neuron remodeling {GO:0016322}; positive regulation of astrocyte activation {GO:0061890}; positive regulation of microglial cell activation {GO:1903980}; positive regulation of neuron death {GO:1901216}; regulation of complement activation {GO:0030449}; response to iron ion {GO:0010039}; synapse organization {GO:0050808}; synapse pruning {GO:0098883}; vertebrate eye-specific patterning {GO:0150064}</t>
  </si>
  <si>
    <t>amyloid-beta complex {GO:0106003}; cell {GO:0005623}; collagen trimer {GO:0005581}; collagen-containing extracellular matrix {GO:0062023}; complement component C1 complex {GO:0005602}; extracellular region {GO:0005576}; postsynapse {GO:0098794}; synapse {GO:0045202}</t>
  </si>
  <si>
    <t>Phostensin</t>
  </si>
  <si>
    <t>Protein phosphatase 1 F-actin cytoskeleton-targeting subunit; Protein phosphatase 1 regulatory subunit 18</t>
  </si>
  <si>
    <t>PPR18_HUMAN</t>
  </si>
  <si>
    <t>Q6NYC8</t>
  </si>
  <si>
    <t>A2AB01; A2AIB8; A4UBI6; A6NCB7; A8MSS7; B7ZCV7; Q68CK8; Q6ZTV1; Q6ZUJ6; Q8NDQ4; Q8TF52; Q9BRL9</t>
  </si>
  <si>
    <t>HKMT1098; KIAA1949</t>
  </si>
  <si>
    <t>Acetylation; Actin-binding; Alternative splicing; Cytoplasm; Cytoskeleton; Phosphoprotein; Polymorphism</t>
  </si>
  <si>
    <t>actin binding {GO:0003779}; phosphatase binding {GO:0019902}</t>
  </si>
  <si>
    <t>40S ribosomal protein S2</t>
  </si>
  <si>
    <t>40S ribosomal protein S4; Protein LLRep3; Small ribosomal subunit protein uS5</t>
  </si>
  <si>
    <t>RS2_HUMAN</t>
  </si>
  <si>
    <t>P15880</t>
  </si>
  <si>
    <t>B2R5G0; D3DU82; Q3MIB1</t>
  </si>
  <si>
    <t>RPS4</t>
  </si>
  <si>
    <t>3D-structure; Acetylation; Citrullination; Isopeptide bond; Phosphoprotein; Repeat; Ribonucleoprotein; Ribosomal protein; Ubl conjugation</t>
  </si>
  <si>
    <t>cellular response to interleukin-4 {GO:0071353}; nuclear-transcribed mRNA catabolic process, nonsense-mediated decay {GO:0000184}; positive regulation of ubiquitin-protein transferase activity {GO:0051443};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</si>
  <si>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nucleoplasm {GO:0005654}; nucleus {GO:0005634}; synapse {GO:0045202}</t>
  </si>
  <si>
    <t>cadherin binding {GO:0045296}; enzyme binding {GO:0019899}; fibroblast growth factor binding {GO:0017134}; mRNA binding {GO:0003729}; RNA binding {GO:0003723}; structural constituent of ribosome {GO:0003735}</t>
  </si>
  <si>
    <t>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RMTs methylate histone arginines {R-HSA-3214858}; rRNA modification in the nucleus and cytosol {R-HSA-6790901}; Major pathway of rRNA processing in the nucleolus and cytosol {R-HSA-6791226};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Protein methylation {R-HSA-8876725}; Regulation of expression of SLITs and ROBOs {R-HSA-9010553}; Nonsense Mediated Decay (NMD) independent of the Exon Junction Complex (EJC) {R-HSA-975956}; Nonsense Mediated Decay (NMD) enhanced by the Exon Junction Complex (EJC) {R-HSA-975957}</t>
  </si>
  <si>
    <t>Chymotrypsin-C</t>
  </si>
  <si>
    <t>Caldecrin</t>
  </si>
  <si>
    <t>CTRC_HUMAN</t>
  </si>
  <si>
    <t>Q99895</t>
  </si>
  <si>
    <t>A8K082; O00765; Q9NUH5</t>
  </si>
  <si>
    <t>CLCR</t>
  </si>
  <si>
    <t>3D-structure; Disease mutation; Disulfide bond; Glycoprotein; Hydrolase; Polymorphism; Protease; Serine protease; Signal; Zymogen</t>
  </si>
  <si>
    <t>cobalamin metabolic process {GO:0009235}; proteolysis {GO:0006508}</t>
  </si>
  <si>
    <t>peptidase activity {GO:0008233}; serine-type endopeptidase activity {GO:0004252}</t>
  </si>
  <si>
    <t>Cobalamin (Cbl, vitamin B12) transport and metabolism {R-HSA-196741}</t>
  </si>
  <si>
    <t>40S ribosomal protein S8</t>
  </si>
  <si>
    <t>Small ribosomal subunit protein eS8</t>
  </si>
  <si>
    <t>RS8_HUMAN</t>
  </si>
  <si>
    <t>P62241</t>
  </si>
  <si>
    <t>P09058; Q6IRL7</t>
  </si>
  <si>
    <t>3D-structure; Acetylation; Cytoplasm; Isopeptide bond; Lipoprotein; Membrane; Myristate; Phosphoprotein; Polymorphism; Ribonucleoprotein; Ribosomal protein; Ubl conjugation</t>
  </si>
  <si>
    <t>Acetylation; Isopeptide bond; Lipoprotein; Myristate; Phosphoprotein; Ubl conjugation</t>
  </si>
  <si>
    <t>maturation of SSU-rRNA from tricistronic rRNA transcript (SSU-rRNA, 5.8S rRNA, LSU-rRNA) {GO:0000462};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</si>
  <si>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small ribosomal subunit {GO:0022627}; endoplasmic reticulum {GO:0005783}; extracellular exosome {GO:0070062}; focal adhesion {GO:0005925}; membrane {GO:0016020}; nucleoplasm {GO:0005654}; nucleus {GO:0005634}; ribonucleoprotein complex {GO:1990904}</t>
  </si>
  <si>
    <t>Acid sphingomyelinase-like phosphodiesterase 3a (ASM-like phosphodiesterase 3a)</t>
  </si>
  <si>
    <t>ASM3A_HUMAN</t>
  </si>
  <si>
    <t>Q92484</t>
  </si>
  <si>
    <t>B7Z729; Q8WV13</t>
  </si>
  <si>
    <t>ASML3A</t>
  </si>
  <si>
    <t>3D-structure; Alternative splicing; Disulfide bond; Glycoprotein; Hydrolase; Metal-binding; Polymorphism; Secreted; Signal; Zinc</t>
  </si>
  <si>
    <t>nucleoside triphosphate catabolic process {GO:0009143}</t>
  </si>
  <si>
    <t>phosphoric diester hydrolase activity {GO:0008081}; zinc ion binding {GO:0008270}</t>
  </si>
  <si>
    <t>Peptidase inhibitor 16 (PI-16)</t>
  </si>
  <si>
    <t>Cysteine-rich secretory protein 9 (CRISP-9); PSP94-binding protein; CD_antigen=CD364</t>
  </si>
  <si>
    <t>PI16_HUMAN</t>
  </si>
  <si>
    <t>Q6UXB8</t>
  </si>
  <si>
    <t>Q6ZVG9; Q8IYL8; Q8NBK0; Q8TCB8</t>
  </si>
  <si>
    <t>CRISP9; PSPBP</t>
  </si>
  <si>
    <t>Alternative splicing; Glycoprotein; Polymorphism; Protease inhibitor; Secreted; Signal</t>
  </si>
  <si>
    <t>Protease inhibitor</t>
  </si>
  <si>
    <t>negative regulation of cell growth involved in cardiac muscle cell development {GO:0061052}</t>
  </si>
  <si>
    <t>peptidase inhibitor activity {GO:0030414}</t>
  </si>
  <si>
    <t>Glycoprotein integral membrane protein 1</t>
  </si>
  <si>
    <t>GINM1_HUMAN</t>
  </si>
  <si>
    <t>Q9NU53</t>
  </si>
  <si>
    <t>B2RDY7; E1P5A2</t>
  </si>
  <si>
    <t>C6orf72</t>
  </si>
  <si>
    <t>Meprin A subunit alpha</t>
  </si>
  <si>
    <t>Endopeptidase-2; N-benzoyl-L-tyrosyl-P-amino-benzoic acid hydrolase subunit alpha; PABA peptide hydrolase; PPH alpha</t>
  </si>
  <si>
    <t>MEP1A_HUMAN</t>
  </si>
  <si>
    <t>Q16819</t>
  </si>
  <si>
    <t>A2RRM4; B0AZP9; B2RCS2; Q8TDC9; Q9H1R1</t>
  </si>
  <si>
    <t>Disulfide bond; EGF-like domain; Glycoprotein; Hydrolase; Membrane; Metal-binding; Metalloprotease; Polymorphism; Protease; Signal; Transmembrane; Transmembrane helix; Zinc; Zymogen</t>
  </si>
  <si>
    <t>extracellular exosome {GO:0070062}; extracellular space {GO:0005615}; integral component of plasma membrane {GO:0005887}; meprin A complex {GO:0017090}</t>
  </si>
  <si>
    <t>Selenoprotein F</t>
  </si>
  <si>
    <t>15 kDa selenoprotein</t>
  </si>
  <si>
    <t>SEP15_HUMAN</t>
  </si>
  <si>
    <t>O60613</t>
  </si>
  <si>
    <t>A0A0B4J1S4; Q4GZG7; Q8WU00; Q9BS64; Q9GZW0; Q9NR01</t>
  </si>
  <si>
    <t>Alternative splicing; Endoplasmic reticulum; Selenocysteine; Signal</t>
  </si>
  <si>
    <t>Alternative splicing; Selenocysteine</t>
  </si>
  <si>
    <t>'de novo' posttranslational protein folding {GO:0051084}</t>
  </si>
  <si>
    <t>endoplasmic reticulum lumen {GO:0005788}</t>
  </si>
  <si>
    <t>Serpin B6</t>
  </si>
  <si>
    <t>Cytoplasmic antiproteinase (CAP); Peptidase inhibitor 6 (PI-6); Placental thrombin inhibitor</t>
  </si>
  <si>
    <t>SPB6_HUMAN</t>
  </si>
  <si>
    <t>P35237</t>
  </si>
  <si>
    <t>B2RBA8; Q59F97; Q5TD06; Q7Z2Y7; Q96J44; Q9UDI7</t>
  </si>
  <si>
    <t>PI6; PTI</t>
  </si>
  <si>
    <t>Acetylation; Cytoplasm; Deafness; Non-syndromic deafness; Phosphoprotein; Polymorphism; Protease inhibitor; Serine protease inhibitor</t>
  </si>
  <si>
    <t>cellular response to osmotic stress {GO:0071470}; negative regulation of endopeptidase activity {GO:0010951}; neutrophil degranulation {GO:0043312}; sensory perception of sound {GO:0007605}</t>
  </si>
  <si>
    <t>collagen-containing extracellular matrix {GO:0062023}; cytoplasm {GO:0005737}; cytosol {GO:0005829}; extracellular exosome {GO:0070062}; extracellular region {GO:0005576}; extracellular space {GO:0005615}; ficolin-1-rich granule membrane {GO:0101003}; plasma membrane {GO:0005886}; secretory granule membrane {GO:0030667}; serine protease inhibitor complex {GO:0097180}; tertiary granule membrane {GO:0070821}</t>
  </si>
  <si>
    <t>protease binding {GO:0002020}; serine-type endopeptidase inhibitor activity {GO:0004867}</t>
  </si>
  <si>
    <t>Tubulin beta-2B chain</t>
  </si>
  <si>
    <t>TBB2B_HUMAN</t>
  </si>
  <si>
    <t>Q9BVA1</t>
  </si>
  <si>
    <t>A8K068</t>
  </si>
  <si>
    <t>3D-structure; Acetylation; Cytoplasm; Cytoskeleton; Disease mutation; GTP-binding; Isopeptide bond; Mental retardation; Methylation; Microtubule; Neurogenesis; Nucleotide-binding; Phosphoprotein; Polymorphism; Ubl conjugation</t>
  </si>
  <si>
    <t>microtubule cytoskeleton organization {GO:0000226}; microtubule-based process {GO:0007017}; mitotic cell cycle {GO:0000278}; modulation of chemical synaptic transmission {GO:0050804}; neuron migration {GO:0001764}; positive regulation of axon guidance {GO:1902669}</t>
  </si>
  <si>
    <t>cytoplasm {GO:0005737}; microtubule {GO:0005874}; microtubule cytoskeleton {GO:0015630}; nucleus {GO:0005634}; Schaffer collateral - CA1 synapse {GO:0098685}</t>
  </si>
  <si>
    <t>GTP binding {GO:0005525}; GTPase activity {GO:0003924}; protein heterodimerization activity {GO:0046982}; structural constituent of cytoskeleton {GO:0005200}</t>
  </si>
  <si>
    <t>2-aminomuconic semialdehyde dehydrogenase</t>
  </si>
  <si>
    <t>Aldehyde dehydrogenase 12; Aldehyde dehydrogenase family 8 member A1</t>
  </si>
  <si>
    <t>AL8A1_HUMAN</t>
  </si>
  <si>
    <t>Q9H2A2</t>
  </si>
  <si>
    <t>B7Z521; O60793; Q24JS9; Q53GT3; Q5TI80</t>
  </si>
  <si>
    <t>ALDH12</t>
  </si>
  <si>
    <t>Alternative splicing; Cytoplasm; NAD; Oxidoreductase; Phosphoprotein; Polymorphism</t>
  </si>
  <si>
    <t>9-cis-retinoic acid biosynthetic process {GO:0042904}; L-kynurenine catabolic process {GO:0097053}; retinal metabolic process {GO:0042574}; retinoic acid metabolic process {GO:0042573}</t>
  </si>
  <si>
    <t>aminomuconate-semialdehyde dehydrogenase activity {GO:0047102}; retinal dehydrogenase activity {GO:0001758}</t>
  </si>
  <si>
    <t>Amino-acid degradation; L-kynurenine degradation.</t>
  </si>
  <si>
    <t>Colipase</t>
  </si>
  <si>
    <t>COL_HUMAN</t>
  </si>
  <si>
    <t>P04118</t>
  </si>
  <si>
    <t>Q5T9G7; Q5U809</t>
  </si>
  <si>
    <t>Diabetes mellitus; Digestion; Disulfide bond; Lipid degradation; Lipid metabolism; Polymorphism; Secreted; Signal</t>
  </si>
  <si>
    <t>Digestion; Lipid degradation; Lipid metabolism</t>
  </si>
  <si>
    <t>Diabetes mellitus</t>
  </si>
  <si>
    <t>lipid catabolic process {GO:0016042}; lipid digestion {GO:0044241}; lipid metabolic process {GO:0006629}; response to bacterium {GO:0009617}; response to food {GO:0032094}; retinoid metabolic process {GO:0001523}</t>
  </si>
  <si>
    <t>enzyme activator activity {GO:0008047}</t>
  </si>
  <si>
    <t>Protein-L-isoaspartate(D-aspartate) O-methyltransferase (PIMT)</t>
  </si>
  <si>
    <t>L-isoaspartyl protein carboxyl methyltransferase; Protein L-isoaspartyl/D-aspartyl methyltransferase; Protein-beta-aspartate methyltransferase</t>
  </si>
  <si>
    <t>PIMT_HUMAN</t>
  </si>
  <si>
    <t>P22061</t>
  </si>
  <si>
    <t>A8K109; J3KP72; Q14661; Q16556; Q5VYC1; Q5VYC2; Q93061; Q96II9; Q99625; Q9BQV7; Q9BQV8; Q9NP03</t>
  </si>
  <si>
    <t>3D-structure; Acetylation; Alternative splicing; Cytoplasm; Disulfide bond; Methyltransferase; Polymorphism; S-adenosyl-L-methionine; Transferase</t>
  </si>
  <si>
    <t>protein methylation {GO:0006479}; protein repair {GO:0030091}</t>
  </si>
  <si>
    <t>cytoplasm {GO:0005737}; cytosol {GO:0005829}; extracellular exosome {GO:0070062}; extracellular vesicle {GO:1903561}</t>
  </si>
  <si>
    <t>cadherin binding {GO:0045296}; protein-L-isoaspartate (D-aspartate) O-methyltransferase activity {GO:0004719}</t>
  </si>
  <si>
    <t>Glutathione S-transferase A1, N-terminally processed</t>
  </si>
  <si>
    <t>13-hydroperoxyoctadecadienoate peroxidase; Androst-5-ene-3,17-dione isomerase; GST HA subunit 1; GST class-alpha member 1; GST-epsilon; GSTA1-1; GTH1</t>
  </si>
  <si>
    <t>GSTA1_HUMAN</t>
  </si>
  <si>
    <t>P08263</t>
  </si>
  <si>
    <t>Q14750; Q5GHF8; Q5SZC1</t>
  </si>
  <si>
    <t>3D-structure; Acetylation; Cytoplasm; Isomerase; Oxidoreductase; Peroxidase; Polymorphism; Transferase</t>
  </si>
  <si>
    <t>Isomerase; Oxidoreductase; Peroxidase; Transferase</t>
  </si>
  <si>
    <t>epithelial cell differentiation {GO:0030855}; glutathione derivative biosynthetic process {GO:1901687}; glutathione metabolic process {GO:0006749}; linoleic acid metabolic process {GO:0043651}; prostaglandin metabolic process {GO:0006693}; xenobiotic metabolic process {GO:0006805}</t>
  </si>
  <si>
    <t>glutathione peroxidase activity {GO:0004602}; glutathione transferase activity {GO:0004364}; steroid delta-isomerase activity {GO:0004769}</t>
  </si>
  <si>
    <t>Vascular cell adhesion protein 1 (V-CAM 1; VCAM-1)</t>
  </si>
  <si>
    <t>INCAM-100; CD_antigen=CD106</t>
  </si>
  <si>
    <t>VCAM1_HUMAN</t>
  </si>
  <si>
    <t>P19320</t>
  </si>
  <si>
    <t>A8K6R7; B4DKS4; E9PDD1; Q6NUP8</t>
  </si>
  <si>
    <t>acute inflammatory response {GO:0002526}; aging {GO:0007568}; amine metabolic process {GO:0009308}; B cell differentiation {GO:0030183}; calcium-mediated signaling using intracellular calcium source {GO:0035584}; cardiac neuron differentiation {GO:0060945}; cell adhesion {GO:0007155}; cell chemotaxis {GO:0060326}; cell-cell adhesion in response to extracellular stimulus {GO:0140039}; cell-matrix adhesion {GO:0007160}; cellular response to amyloid-beta {GO:1904646}; cellular response to tumor necrosis factor {GO:0071356}; cellular response to vascular endothelial growth factor stimulus {GO:0035924}; chronic inflammatory response {GO:0002544}; cytokine-mediated signaling pathway {GO:0019221}; extracellular matrix organization {GO:0030198}; heterophilic cell-cell adhesion via plasma membrane cell adhesion molecules {GO:0007157}; heterotypic cell-cell adhesion {GO:0034113}; innervation {GO:0060384}; interferon-gamma-mediated signaling pathway {GO:0060333}; leukocyte cell-cell adhesion {GO:0007159}; leukocyte tethering or rolling {GO:0050901}; membrane to membrane docking {GO:0022614}; positive regulation of T cell proliferation {GO:0042102}; regulation of immune response {GO:0050776}; response to ethanol {GO:0045471}; response to hypoxia {GO:0001666}; response to ionizing radiation {GO:0010212}; response to lipopolysaccharide {GO:0032496}; response to nicotine {GO:0035094}; response to nutrient {GO:0007584}; response to zinc ion {GO:0010043}</t>
  </si>
  <si>
    <t>alpha9-beta1 integrin-vascular cell adhesion molecule-1 complex {GO:0071065}; apical part of cell {GO:0045177}; cell surface {GO:0009986}; early endosome {GO:0005769}; endoplasmic reticulum {GO:0005783}; external side of plasma membrane {GO:0009897}; extracellular exosome {GO:0070062}; extracellular space {GO:0005615}; filopodium {GO:0030175}; Golgi apparatus {GO:0005794}; integral component of plasma membrane {GO:0005887}; microvillus {GO:0005902}; plasma membrane {GO:0005886}; podosome {GO:0002102}; sarcolemma {GO:0042383}</t>
  </si>
  <si>
    <t>cell adhesion molecule binding {GO:0050839}; integrin binding {GO:0005178}; primary amine oxidase activity {GO:0008131}</t>
  </si>
  <si>
    <t>Immunoregulatory interactions between a Lymphoid and a non-Lymphoid cell {R-HSA-198933}; Integrin cell surface interactions {R-HSA-216083}; Interleukin-4 and Interleukin-13 signaling {R-HSA-6785807}; Interferon gamma signaling {R-HSA-877300}</t>
  </si>
  <si>
    <t>Heme-binding protein 2</t>
  </si>
  <si>
    <t>Placental protein 23 (PP23); Protein SOUL</t>
  </si>
  <si>
    <t>HEBP2_HUMAN</t>
  </si>
  <si>
    <t>Q9Y5Z4</t>
  </si>
  <si>
    <t>Q96P57</t>
  </si>
  <si>
    <t>C6orf34; SOUL</t>
  </si>
  <si>
    <t>3D-structure; Acetylation; Alternative splicing; Cytoplasm; Mitochondrion; Phosphoprotein; Polymorphism</t>
  </si>
  <si>
    <t>negative regulation of mitochondrial membrane potential {GO:0010917}; neutrophil degranulation {GO:0043312}; positive regulation of mitochondrial membrane permeability {GO:0035794}; positive regulation of necrotic cell death {GO:0010940}</t>
  </si>
  <si>
    <t>azurophil granule lumen {GO:0035578}; cytoplasm {GO:0005737}; extracellular exosome {GO:0070062}; extracellular region {GO:0005576}; mitochondrion {GO:0005739}</t>
  </si>
  <si>
    <t>Vacuolar protein sorting-associated protein VTA1 homolog</t>
  </si>
  <si>
    <t>Dopamine-responsive gene 1 protein (DRG-1); LYST-interacting protein 5 (LIP5); SKD1-binding protein 1 (SBP1)</t>
  </si>
  <si>
    <t>VTA1_HUMAN</t>
  </si>
  <si>
    <t>Q9NP79</t>
  </si>
  <si>
    <t>B4DW55; E1P594; E7ETQ7; Q5TGM1; Q6IAE8; Q9H0R2; Q9H3K9; Q9P0Q0</t>
  </si>
  <si>
    <t>C6orf55</t>
  </si>
  <si>
    <t>3D-structure; Acetylation; Alternative splicing; Cytoplasm; Endosome; Membrane; Polymorphism; Protein transport; Transport</t>
  </si>
  <si>
    <t>endosomal transport {GO:0016197}; ESCRT III complex disassembly {GO:1904903}; macroautophagy {GO:0016236}; multivesicular body assembly {GO:0036258}; multivesicular body sorting pathway {GO:0071985}; protein transport {GO:0015031}; viral budding {GO:0046755}; viral life cycle {GO:0019058}</t>
  </si>
  <si>
    <t>cytosol {GO:0005829}; endosome membrane {GO:0010008}; extracellular exosome {GO:0070062}; intracellular membrane-bounded organelle {GO:0043231}; nucleoplasm {GO:0005654}</t>
  </si>
  <si>
    <t>Complement C4 gamma chain</t>
  </si>
  <si>
    <t>Basic complement C4; C3 and PZP-like alpha-2-macroglobulin domain-containing protein 3</t>
  </si>
  <si>
    <t>CO4B_HUMAN</t>
  </si>
  <si>
    <t>P0C0L5</t>
  </si>
  <si>
    <t>A2BHY4; P01028; P78445; Q13160; Q13906; Q14033; Q14835; Q6U2E9; Q6U2G1; Q6U2I5; Q6U2L1; Q6U2L7; Q6U2L9; Q6U2M5; Q6VCV8; Q96SA7; Q9NPK5; Q9UIP5</t>
  </si>
  <si>
    <t>CO4; CPAMD3</t>
  </si>
  <si>
    <t>3D-structure; Blood group antigen; Cell junction; Cell projection; Cleavage on pair of basic residues; Complement pathway; Disulfide bond; Glycoprotein; Immunity; Inflammatory response; Innate immunity; Phosphoprotein; Polymorphism; Secreted; Signal; Sulfation; Synapse; Systemic lupus erythematosus; Thioester bond</t>
  </si>
  <si>
    <t>Complement pathway; Immunity; Inflammatory response; Innate immunity</t>
  </si>
  <si>
    <t>Cell junction; Cell projection; Secreted; Synapse</t>
  </si>
  <si>
    <t>Systemic lupus erythematosus</t>
  </si>
  <si>
    <t>Cleavage on pair of basic residues; Disulfide bond; Glycoprotein; Phosphoprotein; Sulfation; Thioester bond</t>
  </si>
  <si>
    <t>complement activation {GO:0006956}; complement activation, classical pathway {GO:0006958}; detection of molecule of bacterial origin {GO:0032490}; inflammatory response {GO:0006954}; innate immune response {GO:0045087}; opsonization {GO:0008228}; positive regulation of apoptotic cell clearance {GO:2000427}; regulation of complement activation {GO:0030449}</t>
  </si>
  <si>
    <t>axon {GO:0030424}; blood microparticle {GO:0072562}; cell junction {GO:0030054}; dendrite {GO:0030425}; extracellular exosome {GO:0070062}; extracellular region {GO:0005576}; extracellular space {GO:0005615}; other organism cell {GO:0044216}; plasma membrane {GO:0005886}; synapse {GO:0045202}</t>
  </si>
  <si>
    <t>carbohydrate binding {GO:0030246}; complement binding {GO:0001848}; endopeptidase inhibitor activity {GO:0004866}</t>
  </si>
  <si>
    <t>Initial triggering of complement {R-HSA-166663}; Activation of C3 and C5 {R-HSA-174577}; Regulation of Complement cascade {R-HSA-977606}</t>
  </si>
  <si>
    <t>Vasoactive intestinal peptide</t>
  </si>
  <si>
    <t>Peptide histidine valine 42; Peptide histidine methioninamide 27 (VIP); Vasoactive intestinal polypeptide</t>
  </si>
  <si>
    <t>VIP_HUMAN</t>
  </si>
  <si>
    <t>P01282</t>
  </si>
  <si>
    <t>Q5TCY8; Q5TCY9; Q96QK3</t>
  </si>
  <si>
    <t>3D-structure; Alternative splicing; Amidation; Cleavage on pair of basic residues; Hormone; Phosphoprotein; Secreted; Signal</t>
  </si>
  <si>
    <t>adenylate cyclase-activating G protein-coupled receptor signaling pathway {GO:0007189}; antibacterial humoral response {GO:0019731}; antifungal humoral response {GO:0019732}; antimicrobial humoral immune response mediated by antimicrobial peptide {GO:0061844}; body fluid secretion {GO:0007589}; defense response to Gram-negative bacterium {GO:0050829}; defense response to Gram-positive bacterium {GO:0050830}; epinephrine secretion {GO:0048242}; G protein-coupled receptor signaling pathway {GO:0007186}; innate immune response {GO:0045087}; learning or memory {GO:0007611}; mRNA stabilization {GO:0048255}; negative regulation of apoptotic process {GO:0043066}; negative regulation of potassium ion transport {GO:0043267}; negative regulation of smooth muscle cell proliferation {GO:0048662}; phospholipase C-activating G protein-coupled receptor signaling pathway {GO:0007200}; positive regulation of blood vessel diameter {GO:0097755}; positive regulation of cell population proliferation {GO:0008284}; positive regulation of endothelial cell proliferation {GO:0001938}; positive regulation of epinephrine secretion {GO:0032812}; positive regulation of penile erection {GO:0060406}; positive regulation of protein catabolic process {GO:0045732}; prolactin secretion {GO:0070459}; regulation of protein localization {GO:0032880}; regulation of sensory perception of pain {GO:0051930}; response to yeast {GO:0001878}</t>
  </si>
  <si>
    <t>extracellular region {GO:0005576}; neuron projection {GO:0043005}; perikaryon {GO:0043204}</t>
  </si>
  <si>
    <t>hormone activity {GO:0005179}; neuropeptide hormone activity {GO:0005184}; peptide hormone receptor binding {GO:0051428}</t>
  </si>
  <si>
    <t>G alpha (s) signalling events {R-HSA-418555}; Glucagon-type ligand receptors {R-HSA-420092}</t>
  </si>
  <si>
    <t>Succinate-semialdehyde dehydrogenase, mitochondrial</t>
  </si>
  <si>
    <t>Aldehyde dehydrogenase family 5 member A1; NAD(+)-dependent succinic semialdehyde dehydrogenase</t>
  </si>
  <si>
    <t>SSDH_HUMAN</t>
  </si>
  <si>
    <t>P51649</t>
  </si>
  <si>
    <t>B2RD26; G5E949; Q546H9; Q8N3W6</t>
  </si>
  <si>
    <t>SSADH</t>
  </si>
  <si>
    <t>3D-structure; Acetylation; Alternative splicing; Disease mutation; Disulfide bond; Mitochondrion; NAD; Oxidoreductase; Phosphoprotein; Polymorphism; Transit peptide</t>
  </si>
  <si>
    <t>acetate metabolic process {GO:0006083}; central nervous system development {GO:0007417}; galactosylceramide metabolic process {GO:0006681}; gamma-aminobutyric acid catabolic process {GO:0009450}; glucose metabolic process {GO:0006006}; glucosylceramide metabolic process {GO:0006678}; glutamate metabolic process {GO:0006536}; glutamine metabolic process {GO:0006541}; glutathione metabolic process {GO:0006749}; glycerophospholipid metabolic process {GO:0006650}; neurotransmitter catabolic process {GO:0042135}; post-embryonic development {GO:0009791}; protein homotetramerization {GO:0051289}; respiratory electron transport chain {GO:0022904}; short-chain fatty acid metabolic process {GO:0046459}; succinate metabolic process {GO:0006105}</t>
  </si>
  <si>
    <t>protein homodimerization activity {GO:0042803}; succinate-semialdehyde dehydrogenase (NAD+) activity {GO:0004777}; succinate-semialdehyde dehydrogenase [NAD(P)+] activity {GO:0009013}</t>
  </si>
  <si>
    <t>Amino-acid degradation; 4-aminobutanoate degradation.</t>
  </si>
  <si>
    <t>Degradation of GABA {R-HSA-916853}</t>
  </si>
  <si>
    <t>Tapasin (TPN; TPSN)</t>
  </si>
  <si>
    <t>NGS-17; TAP-associated protein; TAP-binding protein</t>
  </si>
  <si>
    <t>TPSN_HUMAN</t>
  </si>
  <si>
    <t>O15533</t>
  </si>
  <si>
    <t>A2AB91; A2ABC0; B0V003; B0V0A6; B2ZUA4; E9PGM2; O15210; O15272; Q5STJ8; Q5STK6; Q5STQ5; Q5STQ6; Q66K65; Q96KK7; Q9HAN8; Q9UEE0; Q9UEE4; Q9UIZ6; Q9Y6K2</t>
  </si>
  <si>
    <t>3D-structure; Alternative splicing; Disulfide bond; Endoplasmic reticulum; Glycoprotein; Immunoglobulin domain; Membrane; Polymorphism; Signal; Transmembrane; Transmembrane helix</t>
  </si>
  <si>
    <t>antigen processing and presentation of endogenous peptide antigen via MHC class I {GO:0019885}; antigen processing and presentation of exogenous peptide antigen via MHC class I, TAP-dependent {GO:0002479}; antigen processing and presentation of peptide antigen via MHC class I {GO:0002474}; immune response {GO:0006955}; MHC class Ib protein complex assembly {GO:0002398}; peptide antigen stabilization {GO:0050823}; protein-containing complex assembly {GO:0065003}; regulation of gene expression {GO:0010468}; regulation of protein complex stability {GO:0061635}; retrograde vesicle-mediated transport, Golgi to endoplasmic reticulum {GO:0006890}; vesicle fusion with endoplasmic reticulum-Golgi intermediate compartment (ERGIC) membrane {GO:1990668}</t>
  </si>
  <si>
    <t>endoplasmic reticulum {GO:0005783}; endoplasmic reticulum membrane {GO:0005789}; endoplasmic reticulum-Golgi intermediate compartment membrane {GO:0033116}; Golgi membrane {GO:0000139}; integral component of lumenal side of endoplasmic reticulum membrane {GO:0071556}; integral component of membrane {GO:0016021}; MHC class I peptide loading complex {GO:0042824}; phagocytic vesicle membrane {GO:0030670}</t>
  </si>
  <si>
    <t>MHC class I protein binding {GO:0042288}; peptide antigen binding {GO:0042605}; peptide antigen-transporting ATPase activity {GO:0015433}; TAP complex binding {GO:0062061}; TAP1 binding {GO:0046978}; TAP2 binding {GO:0046979}; unfolded protein binding {GO:0051082}</t>
  </si>
  <si>
    <t>ER-Phagosome pathway {R-HSA-1236974}; Antigen Presentation: Folding, assembly and peptide loading of class I MHC {R-HSA-983170}</t>
  </si>
  <si>
    <t>Ribonuclease T2</t>
  </si>
  <si>
    <t>Ribonuclease 6</t>
  </si>
  <si>
    <t>RNT2_HUMAN</t>
  </si>
  <si>
    <t>O00584</t>
  </si>
  <si>
    <t>B2RDA7; E1P5C3; Q5T8Q0; Q8TCU2; Q9BZ46; Q9BZ47</t>
  </si>
  <si>
    <t>RNASE6PL</t>
  </si>
  <si>
    <t>3D-structure; Alternative splicing; Disease mutation; Disulfide bond; Endonuclease; Endoplasmic reticulum; Glycoprotein; Hydrolase; Lysosome; Nuclease; Polymorphism; Secreted; Signal</t>
  </si>
  <si>
    <t>neutrophil degranulation {GO:0043312}; RNA catabolic process {GO:0006401}</t>
  </si>
  <si>
    <t>azurophil granule lumen {GO:0035578}; endoplasmic reticulum lumen {GO:0005788}; extracellular exosome {GO:0070062}; extracellular region {GO:0005576}; extracellular space {GO:0005615}; lysosomal lumen {GO:0043202}; lysosome {GO:0005764}</t>
  </si>
  <si>
    <t>endoribonuclease activity {GO:0004521}; ribonuclease activity {GO:0004540}; ribonuclease T2 activity {GO:0033897}; RNA binding {GO:0003723}</t>
  </si>
  <si>
    <t>Lymphocyte antigen 86 (Ly-86)</t>
  </si>
  <si>
    <t>Protein MD-1</t>
  </si>
  <si>
    <t>LY86_HUMAN</t>
  </si>
  <si>
    <t>O95711</t>
  </si>
  <si>
    <t>Q9UQC4</t>
  </si>
  <si>
    <t>MD1</t>
  </si>
  <si>
    <t>3D-structure; Disulfide bond; Glycoprotein; Immunity; Inflammatory response; Innate immunity; Polymorphism; Secreted; Signal</t>
  </si>
  <si>
    <t>inflammatory response {GO:0006954}; innate immune response {GO:0045087}; positive regulation of lipopolysaccharide-mediated signaling pathway {GO:0031666}</t>
  </si>
  <si>
    <t>Toll Like Receptor 4 (TLR4) Cascade {R-HSA-166016}</t>
  </si>
  <si>
    <t>Protein delta homolog 2 (DLK-2)</t>
  </si>
  <si>
    <t>Epidermal growth factor-like protein 9 (EGF-like protein 9)</t>
  </si>
  <si>
    <t>DLK2_HUMAN</t>
  </si>
  <si>
    <t>Q6UY11</t>
  </si>
  <si>
    <t>B3KNZ7; Q5T3T8; Q9BQ54</t>
  </si>
  <si>
    <t>EGFL9</t>
  </si>
  <si>
    <t>Alternative splicing; Calcium; Disulfide bond; EGF-like domain; Glycoprotein; Membrane; Polymorphism; Repeat; Signal; Transmembrane; Transmembrane helix</t>
  </si>
  <si>
    <t>negative regulation of Notch signaling pathway {GO:0045746}; regulation of fat cell differentiation {GO:0045598}</t>
  </si>
  <si>
    <t>calcium ion binding {GO:0005509}; Notch binding {GO:0005112}; protein homodimerization activity {GO:0042803}</t>
  </si>
  <si>
    <t>Ephrin type-A receptor 7</t>
  </si>
  <si>
    <t>EPH homology kinase 3 (EHK-3); EPH-like kinase 11 (EK11; hEK11)</t>
  </si>
  <si>
    <t>EPHA7_HUMAN</t>
  </si>
  <si>
    <t>Q15375</t>
  </si>
  <si>
    <t>A0AUX7; B2R8W1; B7ZLJ9; B7ZLK0; Q59G40; Q5VTU0; Q8N368; Q9H124</t>
  </si>
  <si>
    <t>EHK3; HEK11</t>
  </si>
  <si>
    <t>3D-structure; Alternative splicing; Apoptosis; ATP-binding; Cell membrane; Developmental protein; Glycoprotein; Kinase; Membrane; Neurogenesis; Nucleotide-binding; Phosphoprotein; Polymorphism; Receptor; Repeat; Signal; Transferase; Transmembrane; Transmembrane helix; Tyrosine-protein kinase</t>
  </si>
  <si>
    <t>Apoptosis; Neurogenesis</t>
  </si>
  <si>
    <t>apoptotic process {GO:0006915}; axon guidance {GO:0007411}; brain development {GO:0007420}; branching morphogenesis of a nerve {GO:0048755}; ephrin receptor signaling pathway {GO:0048013}; negative chemotaxis {GO:0050919}; negative regulation of collateral sprouting {GO:0048671}; negative regulation of synapse assembly {GO:0051964}; nephric duct morphogenesis {GO:0072178}; phosphorylation {GO:0016310}; positive regulation of neuron apoptotic process {GO:0043525}; positive regulation of protein phosphorylation {GO:0001934}; regulation of cell-cell adhesion {GO:0022407}; regulation of cysteine-type endopeptidase activity involved in apoptotic process {GO:0043281}; regulation of ERK1 and ERK2 cascade {GO:0070372}; regulation of peptidyl-tyrosine phosphorylation {GO:0050730}; regulation of postsynapse organization {GO:0099175}; regulation of protein autophosphorylation {GO:0031952}; retinal ganglion cell axon guidance {GO:0031290}; transmembrane receptor protein tyrosine kinase signaling pathway {GO:0007169}</t>
  </si>
  <si>
    <t>dendrite {GO:0030425}; glutamatergic synapse {GO:0098978}; hippocampal mossy fiber to CA3 synapse {GO:0098686}; integral component of plasma membrane {GO:0005887}; integral component of postsynaptic density membrane {GO:0099061}; neuromuscular junction {GO:0031594}; neuron projection {GO:0043005}; neuronal cell body {GO:0043025}; plasma membrane {GO:0005886}; receptor complex {GO:0043235}; Schaffer collateral - CA1 synapse {GO:0098685}</t>
  </si>
  <si>
    <t>ATP binding {GO:0005524}; axon guidance receptor activity {GO:0008046}; chemorepellent activity {GO:0045499}; ephrin receptor binding {GO:0046875}; GPI-linked ephrin receptor activity {GO:0005004}; protein tyrosine kinase activity {GO:0004713}; transmembrane receptor protein tyrosine kinase activity {GO:0004714}; transmembrane-ephrin receptor activity {GO:0005005}</t>
  </si>
  <si>
    <t>Fibronectin type III domain-containing protein 1</t>
  </si>
  <si>
    <t>Activation-associated cDNA protein; Expressed in synovial lining protein</t>
  </si>
  <si>
    <t>FNDC1_HUMAN</t>
  </si>
  <si>
    <t>Q4ZHG4</t>
  </si>
  <si>
    <t>A6H8X2; B7ZBR4; B7ZBR5; B9EK49; Q5JPI0; Q5VU31; Q5VU32; Q5VXX4; Q70CQ6; Q96JG1</t>
  </si>
  <si>
    <t>FNDC2; KIAA1866; MEL4B3</t>
  </si>
  <si>
    <t>Alternative splicing; Glycoprotein; Phosphoprotein; Polymorphism; Repeat; Secreted; Signal</t>
  </si>
  <si>
    <t>extracellular region {GO:0005576}; nuclear speck {GO:0016607}</t>
  </si>
  <si>
    <t>CCN family member 2</t>
  </si>
  <si>
    <t>Cellular communication network factor 2; Connective tissue growth factor; Hypertrophic chondrocyte-specific protein 24; Insulin-like growth factor-binding protein 8 (IBP-8; IGF-binding protein 8; IGFBP-8)</t>
  </si>
  <si>
    <t>CCN2_HUMAN</t>
  </si>
  <si>
    <t>P29279</t>
  </si>
  <si>
    <t>E1P578; Q6LCY0; Q96A79; Q96QX2; Q9UDL6</t>
  </si>
  <si>
    <t>Alternative splicing; Cell adhesion; Disulfide bond; DNA synthesis; Extracellular matrix; Glycoprotein; Heparin-binding; Polymorphism; Secreted; Signal</t>
  </si>
  <si>
    <t>Cell adhesion; DNA synthesis</t>
  </si>
  <si>
    <t>aging {GO:0007568}; angiogenesis {GO:0001525}; cartilage condensation {GO:0001502}; cell adhesion {GO:0007155}; cell differentiation {GO:0030154}; cell migration {GO:0016477}; cell-matrix adhesion {GO:0007160}; chondrocyte proliferation {GO:0035988}; cytosolic calcium ion transport {GO:0060401}; DNA biosynthetic process {GO:0071897}; epidermis development {GO:0008544}; extracellular matrix constituent secretion {GO:0070278}; fibroblast growth factor receptor signaling pathway {GO:0008543}; integrin-mediated signaling pathway {GO:0007229}; intracellular signal transduction {GO:0035556}; lung development {GO:0030324}; negative regulation of cell death {GO:0060548}; negative regulation of gene expression {GO:0010629}; ossification {GO:0001503}; positive regulation of cardiac muscle contraction {GO:0060452}; positive regulation of cell activation {GO:0050867}; positive regulation of cell differentiation {GO:0045597}; positive regulation of cell population proliferation {GO:0008284}; positive regulation of collagen biosynthetic process {GO:0032967}; positive regulation of cysteine-type endopeptidase activity involved in apoptotic process {GO:0043280}; positive regulation of ERK1 and ERK2 cascade {GO:0070374}; positive regulation of G0 to G1 transition {GO:0070318}; positive regulation of gene expression {GO:0010628}; positive regulation of JNK cascade {GO:0046330}; positive regulation of stress fiber assembly {GO:0051496}; reactive oxygen species metabolic process {GO:0072593}; regulation of chondrocyte differentiation {GO:0032330}; response to amino acid {GO:0043200}; response to anoxia {GO:0034059}; response to estradiol {GO:0032355}; response to fatty acid {GO:0070542}; response to glucose {GO:0009749}; response to mineralocorticoid {GO:0051385}; response to peptide hormone {GO:0043434}; response to wounding {GO:0009611}; tissue homeostasis {GO:0001894}; transcription initiation from RNA polymerase II promoter {GO:0006367}</t>
  </si>
  <si>
    <t>cell cortex {GO:0005938}; cis-Golgi network {GO:0005801}; cytosol {GO:0005829}; extracellular matrix {GO:0031012}; extracellular region {GO:0005576}; extracellular space {GO:0005615}; perinuclear region of cytoplasm {GO:0048471}; plasma membrane {GO:0005886}</t>
  </si>
  <si>
    <t>fibronectin binding {GO:0001968}; growth factor activity {GO:0008083}; heparin binding {GO:0008201}; insulin-like growth factor binding {GO:0005520}; integrin binding {GO:0005178}; protein C-terminus binding {GO:0008022}</t>
  </si>
  <si>
    <t>YAP1- and WWTR1 (TAZ)-stimulated gene expression {R-HSA-2032785}; RUNX3 regulates YAP1-mediated transcription {R-HSA-8951671}</t>
  </si>
  <si>
    <t>CD109 antigen</t>
  </si>
  <si>
    <t>150 kDa TGF-beta-1-binding protein; C3 and PZP-like alpha-2-macroglobulin domain-containing protein 7; Platelet-specific Gov antigen; p180; r150; CD_antigen=CD109</t>
  </si>
  <si>
    <t>CD109_HUMAN</t>
  </si>
  <si>
    <t>Q6YHK3</t>
  </si>
  <si>
    <t>A5YKK4; B2R948; B3KW25; Q0P6K7; Q5SYA8; Q5XUM7; Q5XUM9; Q6MZI7; Q8N3A7; Q8N915; Q8TDJ2; Q8TDJ3</t>
  </si>
  <si>
    <t>CPAMD7</t>
  </si>
  <si>
    <t>Alternative splicing; Bait region; Cell membrane; Disulfide bond; Glycoprotein; GPI-anchor; Lipoprotein; Membrane; Polymorphism; Protease inhibitor; Serine protease inhibitor; Signal; Thioester bond</t>
  </si>
  <si>
    <t>Disulfide bond; GPI-anchor; Glycoprotein; Lipoprotein; Thioester bond</t>
  </si>
  <si>
    <t>hair follicle development {GO:0001942}; negative regulation of keratinocyte proliferation {GO:0010839}; negative regulation of protein phosphorylation {GO:0001933}; negative regulation of transforming growth factor beta receptor signaling pathway {GO:0030512}; negative regulation of wound healing {GO:0061045}; osteoclast fusion {GO:0072675}; platelet degranulation {GO:0002576}; regulation of keratinocyte differentiation {GO:0045616}</t>
  </si>
  <si>
    <t>anchored component of membrane {GO:0031225}; cell surface {GO:0009986}; extracellular region {GO:0005576}; extracellular space {GO:0005615}; plasma membrane {GO:0005886}; platelet alpha granule membrane {GO:0031092}</t>
  </si>
  <si>
    <t>serine-type endopeptidase inhibitor activity {GO:0004867}; transforming growth factor beta binding {GO:0050431}</t>
  </si>
  <si>
    <t>Platelet degranulation {R-HSA-114608}; Post-translational modification: synthesis of GPI-anchored proteins {R-HSA-163125}</t>
  </si>
  <si>
    <t>Leukocyte elastase inhibitor (LEI)</t>
  </si>
  <si>
    <t>Monocyte/neutrophil elastase inhibitor (EI; M/NEI); Peptidase inhibitor 2 (PI-2); Serpin B1</t>
  </si>
  <si>
    <t>ILEU_HUMAN</t>
  </si>
  <si>
    <t>P30740</t>
  </si>
  <si>
    <t>A8K5L2; B4DNT0; Q53FB9; Q5W0E1; Q9UDF8</t>
  </si>
  <si>
    <t>ELANH2; MNEI; PI2</t>
  </si>
  <si>
    <t>3D-structure; Acetylation; Alternative splicing; Cytoplasm; Phosphoprotein; Polymorphism; Protease inhibitor; Secreted; Serine protease inhibitor</t>
  </si>
  <si>
    <t>negative regulation of endopeptidase activity {GO:0010951}; negative regulation of interleukin-1 beta secretion {GO:0050713}; neutrophil degranulation {GO:0043312}; type B pancreatic cell proliferation {GO:0044342}</t>
  </si>
  <si>
    <t>collagen-containing extracellular matrix {GO:0062023}; extracellular exosome {GO:0070062}; extracellular region {GO:0005576}; extracellular space {GO:0005615}; membrane {GO:0016020}; secretory granule lumen {GO:0034774}</t>
  </si>
  <si>
    <t>peptidase inhibitor activity {GO:0030414}; serine-type endopeptidase inhibitor activity {GO:0004867}</t>
  </si>
  <si>
    <t>Peptidyl-prolyl cis-trans isomerase-like 1 (PPIase)</t>
  </si>
  <si>
    <t>Rotamase PPIL1</t>
  </si>
  <si>
    <t>PPIL1_HUMAN</t>
  </si>
  <si>
    <t>Q9Y3C6</t>
  </si>
  <si>
    <t>O15001; Q5TDC9</t>
  </si>
  <si>
    <t>CYPL1</t>
  </si>
  <si>
    <t>3D-structure; Isomerase; mRNA processing; mRNA splicing; Nucleus; Phosphoprotein; Polymorphism; Rotamase; Spliceosome</t>
  </si>
  <si>
    <t>mRNA splicing, via spliceosome {GO:0000398}; protein folding {GO:0006457}; protein peptidyl-prolyl isomerization {GO:0000413}</t>
  </si>
  <si>
    <t>catalytic step 2 spliceosome {GO:0071013}; nucleoplasm {GO:0005654}; nucleus {GO:0005634}; U2-type catalytic step 2 spliceosome {GO:0071007}</t>
  </si>
  <si>
    <t>cyclosporin A binding {GO:0016018}; disordered domain specific binding {GO:0097718}; peptidyl-prolyl cis-trans isomerase activity {GO:0003755}</t>
  </si>
  <si>
    <t>Proteasome subunit beta type-1</t>
  </si>
  <si>
    <t>Macropain subunit C5; Multicatalytic endopeptidase complex subunit C5; Proteasome component C5; Proteasome gamma chain</t>
  </si>
  <si>
    <t>PSB1_HUMAN</t>
  </si>
  <si>
    <t>P20618</t>
  </si>
  <si>
    <t>B5BU76; Q9BWA8</t>
  </si>
  <si>
    <t>PSC5</t>
  </si>
  <si>
    <t>3D-structure; Acetylation; Cytoplasm; Glycoprotein; Host-virus interaction; Hydrolase; Nucleus; Phosphoprotein; Polymorphism; Protease; Proteasome; Threonine protease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</si>
  <si>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viral process {GO:0016032}; Wnt signaling pathway, planar cell polarity pathway {GO:0060071}</t>
  </si>
  <si>
    <t>cytoplasm {GO:0005737}; cytosol {GO:0005829}; extracellular exosome {GO:0070062}; extracellular region {GO:0005576}; ficolin-1-rich granule lumen {GO:1904813}; nucleoplasm {GO:0005654}; nucleus {GO:0005634}; proteasome complex {GO:0000502}; proteasome core complex {GO:0005839}; proteasome core complex, beta-subunit complex {GO:0019774}; secretory granule lumen {GO:0034774}</t>
  </si>
  <si>
    <t>Enoyl-CoA delta isomerase 2, mitochondrial</t>
  </si>
  <si>
    <t>DRS-1; Delta(3),delta(2)-enoyl-CoA isomerase (D3,D2-enoyl-CoA isomerase); Diazepam-binding inhibitor-related protein 1 (DBI-related protein 1); Dodecenoyl-CoA isomerase; Hepatocellular carcinoma-associated antigen 88; Peroxisomal 3,2-trans-enoyl-CoA isomerase (pECI); Renal carcinoma antigen NY-REN-1</t>
  </si>
  <si>
    <t>ECI2_HUMAN</t>
  </si>
  <si>
    <t>O75521</t>
  </si>
  <si>
    <t>Q5JYK5; Q5JYK7; Q7L124; Q8N0X0; Q9BUE9; Q9H0T9; Q9NQH1; Q9NYH7; Q9UN55</t>
  </si>
  <si>
    <t>DRS1; HCA88; PECI</t>
  </si>
  <si>
    <t>3D-structure; Acetylation; Alternative splicing; Isomerase; Mitochondrion; Peroxisome; Phosphoprotein; Polymorphism; Transit peptide</t>
  </si>
  <si>
    <t>Mitochondrion; Peroxisome</t>
  </si>
  <si>
    <t>fatty acid beta-oxidation using acyl-CoA oxidase {GO:0033540}; fatty acid catabolic process {GO:0009062}; protein targeting to peroxisome {GO:0006625}</t>
  </si>
  <si>
    <t>cytosol {GO:0005829}; intracellular membrane-bounded organelle {GO:0043231}; membrane {GO:0016020}; mitochondrion {GO:0005739}; nucleoplasm {GO:0005654}; peroxisomal matrix {GO:0005782}; peroxisome {GO:0005777}</t>
  </si>
  <si>
    <t>dodecenoyl-CoA delta-isomerase activity {GO:0004165}; fatty-acyl-CoA binding {GO:0000062}; signaling receptor binding {GO:0005102}</t>
  </si>
  <si>
    <t>Beta-oxidation of very long chain fatty acids {R-HSA-390247}; Peroxisomal protein import {R-HSA-9033241}</t>
  </si>
  <si>
    <t>Prolyl endopeptidase (PE)</t>
  </si>
  <si>
    <t>Post-proline cleaving enzyme</t>
  </si>
  <si>
    <t>PPCE_HUMAN</t>
  </si>
  <si>
    <t>P48147</t>
  </si>
  <si>
    <t>Q8N6D4</t>
  </si>
  <si>
    <t>PEP</t>
  </si>
  <si>
    <t>3D-structure; Acetylation; Cytoplasm; Hydrolase; Polymorphism; Protease; Serine protease</t>
  </si>
  <si>
    <t>cytoplasm {GO:0005737}; cytosol {GO:0005829}; membrane {GO:0016020}</t>
  </si>
  <si>
    <t>endopeptidase activity {GO:0004175}; oligopeptidase activity {GO:0070012}; serine-type endopeptidase activity {GO:0004252}; serine-type exopeptidase activity {GO:0070008}; serine-type peptidase activity {GO:0008236}</t>
  </si>
  <si>
    <t>Trem-like transcript 1 protein (TLT-1)</t>
  </si>
  <si>
    <t>Triggering receptor expressed on myeloid cells-like protein 1</t>
  </si>
  <si>
    <t>TRML1_HUMAN</t>
  </si>
  <si>
    <t>Q86YW5</t>
  </si>
  <si>
    <t>Q496B3; Q8IWY1; Q8IWY2</t>
  </si>
  <si>
    <t>TLT1</t>
  </si>
  <si>
    <t>3D-structure; Alternative splicing; Cell membrane; Cytoplasm; Disulfide bond; Immunoglobulin domain; Lipoprotein; Membrane; Palmitate; Phosphoprotein; Polymorphism; Receptor; Signal; Transmembrane; Transmembrane helix</t>
  </si>
  <si>
    <t>Disulfide bond; Lipoprotein; Palmitate; Phosphoprotein</t>
  </si>
  <si>
    <t>calcium-mediated signaling {GO:0019722}; innate immune response {GO:0045087}; platelet activation {GO:0030168}; regulation of immune response {GO:0050776}</t>
  </si>
  <si>
    <t>cell surface {GO:0009986}; integral component of membrane {GO:0016021}; plasma membrane {GO:0005886}; platelet alpha granule {GO:0031091}</t>
  </si>
  <si>
    <t>Nucleotide pyrophosphatase</t>
  </si>
  <si>
    <t>Phosphodiesterase I beta (PD-Ibeta); Phosphodiesterase I/nucleotide pyrophosphatase 3; CD_antigen=CD203c (NPPase); Nucleotide diphosphatase</t>
  </si>
  <si>
    <t>ENPP3_HUMAN</t>
  </si>
  <si>
    <t>O14638</t>
  </si>
  <si>
    <t>Q5JTL3</t>
  </si>
  <si>
    <t>PDNP3</t>
  </si>
  <si>
    <t>3D-structure; Calcium; Cell membrane; Disulfide bond; Glycoprotein; Hydrolase; Membrane; Metal-binding; Polymorphism; Repeat; Secreted; Signal-anchor; Transmembrane; Transmembrane helix; Zinc</t>
  </si>
  <si>
    <t>ATP metabolic process {GO:0046034}; basophil activation involved in immune response {GO:0002276}; negative regulation of inflammatory response {GO:0050728}; negative regulation of mast cell activation involved in immune response {GO:0033007}; negative regulation of mast cell proliferation {GO:0070667}; nucleoside triphosphate catabolic process {GO:0009143}; phosphate-containing compound metabolic process {GO:0006796}; pyrimidine nucleotide metabolic process {GO:0006220}</t>
  </si>
  <si>
    <t>apical plasma membrane {GO:0016324}; external side of plasma membrane {GO:0009897}; extracellular exosome {GO:0070062}; integral component of membrane {GO:0016021}; perinuclear region of cytoplasm {GO:0048471}</t>
  </si>
  <si>
    <t>calcium ion binding {GO:0005509}; NADH pyrophosphatase activity {GO:0035529}; nucleic acid binding {GO:0003676}; nucleoside-triphosphate diphosphatase activity {GO:0047429}; phosphodiesterase I activity {GO:0004528}; polysaccharide binding {GO:0030247}; scavenger receptor activity {GO:0005044}; zinc ion binding {GO:0008270}</t>
  </si>
  <si>
    <t>Plasmin light chain B</t>
  </si>
  <si>
    <t>PLMN_HUMAN</t>
  </si>
  <si>
    <t>P00747</t>
  </si>
  <si>
    <t>Q15146; Q5TEH4; Q6PA00</t>
  </si>
  <si>
    <t>3D-structure; Blood coagulation; Cleavage on pair of basic residues; Disease mutation; Disulfide bond; Fibrinolysis; Glycoprotein; Hemostasis; Hydrolase; Kringle; Phosphoprotein; Polymorphism; Protease; Repeat; Secreted; Serine protease; Signal; Thrombophilia; Tissue remodeling; Zymogen</t>
  </si>
  <si>
    <t>Blood coagulation; Fibrinolysis; Hemostasis; Tissue remodeling</t>
  </si>
  <si>
    <t>blood coagulation {GO:0007596}; cellular protein metabolic process {GO:0044267}; extracellular matrix disassembly {GO:0022617}; fibrinolysis {GO:0042730}; interaction with symbiont {GO:0051702}; interaction with symbiont via secreted substance involved in symbiotic interaction {GO:0052213}; modification by host of symbiont morphology or physiology via secreted substance {GO:0052182}; negative regulation of cell population proliferation {GO:0008285}; negative regulation of cell-cell adhesion mediated by cadherin {GO:2000048}; negative regulation of cell-substrate adhesion {GO:0010812}; negative regulation of fibrinolysis {GO:0051918}; platelet degranulation {GO:0002576}; positive regulation of blood vessel endothelial cell migration {GO:0043536}; positive regulation of fibrinolysis {GO:0051919}; proteolysis {GO:0006508}; tissue remodeling {GO:0048771}</t>
  </si>
  <si>
    <t>blood microparticle {GO:0072562}; cell surface {GO:0009986}; collagen-containing extracellular matrix {GO:0062023}; extracellular exosome {GO:0070062}; extracellular region {GO:0005576}; extracellular space {GO:0005615}; extrinsic component of external side of plasma membrane {GO:0031232}; other organism cell membrane {GO:0044218}; plasma membrane {GO:0005886}; platelet alpha granule lumen {GO:0031093}</t>
  </si>
  <si>
    <t>apolipoprotein binding {GO:0034185}; chaperone binding {GO:0051087}; endopeptidase activity {GO:0004175}; enzyme binding {GO:0019899}; kinase binding {GO:0019900}; proteasome core complex binding {GO:1904854}; protein antigen binding {GO:1990405}; protein domain specific binding {GO:0019904}; serine-type endopeptidase activity {GO:0004252}; serine-type peptidase activity {GO:0008236}; signaling receptor binding {GO:0005102}</t>
  </si>
  <si>
    <t>Platelet degranulation {R-HSA-114608}; Degradation of the extracellular matrix {R-HSA-1474228}; Activation of Matrix Metalloproteinases {R-HSA-1592389}; Signaling by PDGF {R-HSA-186797}; Regulation of Insulin-like Growth Factor (IGF) transport and uptake by Insulin-like Growth Factor Binding Proteins (IGFBPs) {R-HSA-381426}; Dissolution of Fibrin Clot {R-HSA-75205}</t>
  </si>
  <si>
    <t>Ectonucleotide pyrophosphatase/phosphodiesterase family member 1, secreted form</t>
  </si>
  <si>
    <t>Membrane component chromosome 6 surface marker 1; Phosphodiesterase I/nucleotide pyrophosphatase 1; Plasma-cell membrane glycoprotein PC-1 (NPPase); Nucleotide diphosphatase</t>
  </si>
  <si>
    <t>ENPP1_HUMAN</t>
  </si>
  <si>
    <t>P22413</t>
  </si>
  <si>
    <t>Q5T9R6; Q9NPZ3; Q9P1P6; Q9UP61; Q9Y6K3</t>
  </si>
  <si>
    <t>3D-structure; Biomineralization; Calcium; Cell membrane; Diabetes mellitus; Disease mutation; Disulfide bond; Glycoprotein; Hydrolase; Membrane; Metal-binding; Obesity; Phosphoprotein; Polymorphism; Repeat; Secreted; Signal-anchor; Transmembrane; Transmembrane helix; Zinc</t>
  </si>
  <si>
    <t>3'-phosphoadenosine 5'-phosphosulfate metabolic process {GO:0050427}; ATP metabolic process {GO:0046034}; biomineral tissue development {GO:0031214}; cellular phosphate ion homeostasis {GO:0030643}; cellular response to insulin stimulus {GO:0032869}; generation of precursor metabolites and energy {GO:0006091}; immune response {GO:0006955}; inorganic diphosphate transport {GO:0030505}; melanocyte differentiation {GO:0030318}; negative regulation of bone mineralization {GO:0030502}; negative regulation of cell growth {GO:0030308}; negative regulation of fat cell differentiation {GO:0045599}; negative regulation of glucose import {GO:0046325}; negative regulation of glycogen biosynthetic process {GO:0045719}; negative regulation of hh target transcription factor activity {GO:1990787}; negative regulation of insulin receptor signaling pathway {GO:0046627}; negative regulation of protein autophosphorylation {GO:0031953}; nucleic acid phosphodiester bond hydrolysis {GO:0090305}; nucleoside triphosphate catabolic process {GO:0009143}; phosphate-containing compound metabolic process {GO:0006796}; regulation of bone mineralization {GO:0030500}; riboflavin metabolic process {GO:0006771}; sequestering of triglyceride {GO:0030730}</t>
  </si>
  <si>
    <t>basolateral plasma membrane {GO:0016323}; cell surface {GO:0009986}; extracellular space {GO:0005615}; integral component of membrane {GO:0016021}; integral component of plasma membrane {GO:0005887}; lysosomal membrane {GO:0005765}; plasma membrane {GO:0005886}</t>
  </si>
  <si>
    <t>3'-phosphoadenosine 5'-phosphosulfate binding {GO:0050656}; ATP binding {GO:0005524}; calcium ion binding {GO:0005509}; cyclic-GMP-AMP hydrolase activity {GO:0106177}; exonuclease activity {GO:0004527}; insulin receptor binding {GO:0005158}; NADH pyrophosphatase activity {GO:0035529}; nucleic acid binding {GO:0003676}; nucleoside-triphosphate diphosphatase activity {GO:0047429}; nucleotide diphosphatase activity {GO:0004551}; phosphodiesterase I activity {GO:0004528}; polysaccharide binding {GO:0030247}; protein homodimerization activity {GO:0042803}; scavenger receptor activity {GO:0005044}; zinc ion binding {GO:0008270}</t>
  </si>
  <si>
    <t>Vitamin B2 (riboflavin) metabolism {R-HSA-196843}; Vitamin B5 (pantothenate) metabolism {R-HSA-199220}</t>
  </si>
  <si>
    <t>Thrombospondin-2</t>
  </si>
  <si>
    <t>TSP2_HUMAN</t>
  </si>
  <si>
    <t>P35442</t>
  </si>
  <si>
    <t>A6H8N1; A7E232; Q5RI52</t>
  </si>
  <si>
    <t>TSP2</t>
  </si>
  <si>
    <t>3D-structure; Calcium; Cell adhesion; Disulfide bond; EGF-like domain; Glycoprotein; Heparin-binding; Polymorphism; Repeat; Signal</t>
  </si>
  <si>
    <t>cell adhesion {GO:0007155}; negative regulation of angiogenesis {GO:0016525}; positive regulation of synapse assembly {GO:0051965}</t>
  </si>
  <si>
    <t>basement membrane {GO:0005604}; collagen-containing extracellular matrix {GO:0062023}; extracellular region {GO:0005576}; platelet alpha granule {GO:0031091}</t>
  </si>
  <si>
    <t>Signaling by PDGF {R-HSA-186797}; Defective B3GALTL causes Peters-plus syndrome (PpS) {R-HSA-5083635}; O-glycosylation of TSR domain-containing proteins {R-HSA-5173214}</t>
  </si>
  <si>
    <t>A-kinase anchor protein 12 (AKAP-12)</t>
  </si>
  <si>
    <t>A-kinase anchor protein 250 kDa (AKAP 250); Gravin; Myasthenia gravis autoantigen</t>
  </si>
  <si>
    <t>AKA12_HUMAN</t>
  </si>
  <si>
    <t>Q02952</t>
  </si>
  <si>
    <t>O00310; O00498; Q4LE68; Q5SZ80; Q5TGN1; Q68D82; Q99970</t>
  </si>
  <si>
    <t>AKAP250</t>
  </si>
  <si>
    <t>Alternative splicing; Cytoplasm; Cytoskeleton; Isopeptide bond; Lipoprotein; Membrane; Myristate; Phosphoprotein; Polymorphism; Repeat; Ubl conjugation</t>
  </si>
  <si>
    <t>adenylate cyclase-inhibiting G protein-coupled receptor signaling pathway {GO:0007193}; cellular response to interleukin-1 {GO:0071347}; cellular response to tumor necrosis factor {GO:0071356}; G protein-coupled receptor signaling pathway {GO:0007186}; hepatic stellate cell activation {GO:0035733}; modulation of chemical synaptic transmission {GO:0050804}; negative regulation of vascular permeability {GO:0043116}; positive regulation of ERK1 and ERK2 cascade {GO:0070374}; positive regulation of hepatic stellate cell migration {GO:0061870}; positive regulation of nitric-oxide synthase biosynthetic process {GO:0051770}; positive regulation of oligodendrocyte apoptotic process {GO:1900143}; positive regulation of protein kinase A signaling {GO:0010739}; positive regulation of tumor necrosis factor biosynthetic process {GO:0042535}; positive regulation of tumor necrosis factor secretion {GO:1904469}; protein targeting {GO:0006605}; regulation of protein kinase A signaling {GO:0010738}; regulation of protein kinase C signaling {GO:0090036}; response to electrical stimulus {GO:0051602}; response to lipopolysaccharide {GO:0032496}</t>
  </si>
  <si>
    <t>cell cortex {GO:0005938}; cytoplasm {GO:0005737}; cytoskeleton {GO:0005856}; cytosol {GO:0005829}; focal adhesion {GO:0005925}; neuronal cell body {GO:0043025}; plasma membrane {GO:0005886}; Schaffer collateral - CA1 synapse {GO:0098685}</t>
  </si>
  <si>
    <t>adenylate cyclase binding {GO:0008179}; protein kinase A binding {GO:0051018}</t>
  </si>
  <si>
    <t>Sorting nexin-3</t>
  </si>
  <si>
    <t>Protein SDP3</t>
  </si>
  <si>
    <t>SNX3_HUMAN</t>
  </si>
  <si>
    <t>O60493</t>
  </si>
  <si>
    <t>A8K0B1; E1P5E4; E1P5E5; O60718; Q4TT29; Q4TT31; Q5JXJ7; Q5JXJ8; Q96AP9; Q9C0J5; Q9NU45</t>
  </si>
  <si>
    <t>3D-structure; Acetylation; Alternative splicing; Chromosomal rearrangement; Cytoplasmic vesicle; Endosome; Isopeptide bond; Lipid-binding; Methylation; Microphthalmia; Phosphoprotein; Protein transport; Transport; Ubl conjugation</t>
  </si>
  <si>
    <t>Cytoplasmic vesicle; Endosome</t>
  </si>
  <si>
    <t>Microphthalmia</t>
  </si>
  <si>
    <t>intralumenal vesicle formation {GO:0070676}; membrane invagination {GO:0010324}; negative regulation of early endosome to late endosome transport {GO:2000642}; negative regulation of phagocytosis {GO:0050765}; negative regulation of protein catabolic process {GO:0042177}; negative regulation of protein transport {GO:0051224}; negative regulation of viral entry into host cell {GO:0046597}; positive regulation of neuron projection development {GO:0010976}; protein deubiquitination {GO:0016579}; protein to membrane docking {GO:0022615}; protein transport {GO:0015031}; regulation of Wnt signaling pathway {GO:0030111}; response to bacterium {GO:0009617}; Wnt signaling pathway {GO:0016055}</t>
  </si>
  <si>
    <t>clathrin-coated vesicle {GO:0030136}; cytoplasm {GO:0005737}; cytosol {GO:0005829}; early endosome {GO:0005769}; early endosome membrane {GO:0031901}; early phagosome {GO:0032009}; endosome membrane {GO:0010008}; extracellular exosome {GO:0070062}</t>
  </si>
  <si>
    <t>phosphatidylinositol-3,5-bisphosphate binding {GO:0080025}; phosphatidylinositol-3-phosphate binding {GO:0032266}; phosphatidylinositol-4-phosphate binding {GO:0070273}; phosphatidylinositol-5-phosphate binding {GO:0010314}; protein phosphatase binding {GO:0019903}</t>
  </si>
  <si>
    <t>WNT ligand biogenesis and trafficking {R-HSA-3238698}; Ub-specific processing proteases {R-HSA-5689880}</t>
  </si>
  <si>
    <t>Pantetheinase</t>
  </si>
  <si>
    <t>Pantetheine hydrolase; Tiff66; Vascular non-inflammatory molecule 1 (Vanin-1)</t>
  </si>
  <si>
    <t>VNN1_HUMAN</t>
  </si>
  <si>
    <t>O95497</t>
  </si>
  <si>
    <t>A8K310; Q4JFW6; Q4VAS7; Q4VAS8; Q4VAS9; Q9UF16; Q9UJF4</t>
  </si>
  <si>
    <t>3D-structure; Cell membrane; Glycoprotein; GPI-anchor; Hydrolase; Lipoprotein; Membrane; Polymorphism; Signal</t>
  </si>
  <si>
    <t>GPI-anchor; Glycoprotein; Lipoprotein</t>
  </si>
  <si>
    <t>acute inflammatory response {GO:0002526}; cell-cell adhesion {GO:0098609}; chronic inflammatory response {GO:0002544}; inflammatory response {GO:0006954}; innate immune response {GO:0045087}; negative regulation of oxidative stress-induced intrinsic apoptotic signaling pathway {GO:1902176}; neutrophil degranulation {GO:0043312}; pantothenate metabolic process {GO:0015939}; positive regulation of T cell differentiation in thymus {GO:0033089}; response to oxidative stress {GO:0006979}</t>
  </si>
  <si>
    <t>anchored component of membrane {GO:0031225}; azurophil granule membrane {GO:0035577}; extracellular region {GO:0005576}; integral component of membrane {GO:0016021}; plasma membrane {GO:0005886}</t>
  </si>
  <si>
    <t>pantetheine hydrolase activity {GO:0017159}</t>
  </si>
  <si>
    <t>Post-translational modification: synthesis of GPI-anchored proteins {R-HSA-163125}; Vitamin B5 (pantothenate) metabolism {R-HSA-199220}; Neutrophil degranulation {R-HSA-6798695}</t>
  </si>
  <si>
    <t>Diphosphoinositol polyphosphate phosphohydrolase 1 (DIPP-1)</t>
  </si>
  <si>
    <t>Diadenosine 5',5'''-P1,P6-hexaphosphate hydrolase 1; Nucleoside diphosphate-linked moiety X motif 3 (Nudix motif 3)</t>
  </si>
  <si>
    <t>NUDT3_HUMAN</t>
  </si>
  <si>
    <t>O95989</t>
  </si>
  <si>
    <t>B2R8N4</t>
  </si>
  <si>
    <t>3D-structure; Acetylation; Cytoplasm; Hydrolase; Magnesium; Metal-binding</t>
  </si>
  <si>
    <t>adenosine 5'-(hexahydrogen pentaphosphate) catabolic process {GO:1901911}; cell-cell signaling {GO:0007267}; diadenosine hexaphosphate catabolic process {GO:1901909}; diadenosine pentaphosphate catabolic process {GO:1901907}; diadenosine polyphosphate catabolic process {GO:0015961}; diphosphoinositol polyphosphate catabolic process {GO:0071544}; diphosphoinositol polyphosphate metabolic process {GO:0071543}; inositol phosphate metabolic process {GO:0043647}</t>
  </si>
  <si>
    <t>bis(5'-adenosyl)-hexaphosphatase activity {GO:0034431}; bis(5'-adenosyl)-pentaphosphatase activity {GO:0034432}; diphosphoinositol-polyphosphate diphosphatase activity {GO:0008486}; endopolyphosphatase activity {GO:0000298}; inositol diphosphate pentakisphosphate diphosphatase activity {GO:0052842}; inositol diphosphate tetrakisphosphate diphosphatase activity {GO:0052840}; m7G(5')pppN diphosphatase activity {GO:0050072}; magnesium ion binding {GO:0000287}</t>
  </si>
  <si>
    <t>Synthesis of pyrophosphates in the cytosol {R-HSA-1855167}</t>
  </si>
  <si>
    <t>Eukaryotic translation elongation factor 1 epsilon-1</t>
  </si>
  <si>
    <t>Aminoacyl tRNA synthetase complex-interacting multifunctional protein 3; Elongation factor p18; Multisynthase complex auxiliary component p18</t>
  </si>
  <si>
    <t>MCA3_HUMAN</t>
  </si>
  <si>
    <t>O43324</t>
  </si>
  <si>
    <t>C9JLK5; Q5THS2</t>
  </si>
  <si>
    <t>AIMP3; P18</t>
  </si>
  <si>
    <t>3D-structure; Acetylation; Alternative splicing; Coiled coil; Cytoplasm; Nucleus; Protein biosynthesis</t>
  </si>
  <si>
    <t>cellular response to leukemia inhibitory factor {GO:1990830}; negative regulation of cell population proliferation {GO:0008285}; positive regulation of apoptotic process {GO:0043065}; positive regulation of apoptotic signaling pathway {GO:2001235}; positive regulation of cellular senescence {GO:2000774}; positive regulation of DNA damage response, signal transduction by p53 class mediator {GO:0043517}; tRNA aminoacylation for protein translation {GO:0006418}</t>
  </si>
  <si>
    <t>aminoacyl-tRNA synthetase multienzyme complex {GO:0017101}; cytoplasm {GO:0005737}; cytosol {GO:0005829}; nucleolus {GO:0005730}; nucleoplasm {GO:0005654}; nucleus {GO:0005634}</t>
  </si>
  <si>
    <t>Selenoamino acid metabolism {R-HSA-2408522}; Cytosolic tRNA aminoacylation {R-HSA-379716}</t>
  </si>
  <si>
    <t>Corneodesmosin</t>
  </si>
  <si>
    <t>S protein</t>
  </si>
  <si>
    <t>CDSN_HUMAN</t>
  </si>
  <si>
    <t>Q15517</t>
  </si>
  <si>
    <t>B0S7V2; B0UYZ7; O43509; Q5SQ85; Q5STD2; Q7LA70; Q7LA71; Q86Z04; Q8IZU4; Q8IZU5; Q8IZU6; Q8N5P3; Q95IF9; Q9NP52; Q9NPE0; Q9NPG5; Q9NRH4; Q9NRH5; Q9NRH6; Q9NRH7; Q9NRH8; Q9UBH8; Q9UIN6; Q9UIN7; Q9UIN8; Q9UIN9; Q9UIP0</t>
  </si>
  <si>
    <t>Glycoprotein; Hypotrichosis; Polymorphism; Secreted; Signal</t>
  </si>
  <si>
    <t>cell adhesion {GO:0007155}; cell-cell adhesion {GO:0098609}; corneocyte desquamation {GO:0003336}; cornification {GO:0070268}; epidermis development {GO:0008544}; keratinocyte differentiation {GO:0030216}; negative regulation of cornification {GO:1905716}; skin morphogenesis {GO:0043589}</t>
  </si>
  <si>
    <t>cell-cell junction {GO:0005911}; cornified envelope {GO:0001533}; desmosome {GO:0030057}; extracellular region {GO:0005576}; plasma membrane {GO:0005886}</t>
  </si>
  <si>
    <t>GDP-mannose 4,6 dehydratase</t>
  </si>
  <si>
    <t>GDP-D-mannose dehydratase (GMD)</t>
  </si>
  <si>
    <t>GMDS_HUMAN</t>
  </si>
  <si>
    <t>O60547</t>
  </si>
  <si>
    <t>E9PI88; O75357; Q5T954; Q6FH09; Q9UGZ3; Q9UJK9</t>
  </si>
  <si>
    <t>3D-structure; Acetylation; Alternative splicing; Lyase; NADP; Phosphoprotein</t>
  </si>
  <si>
    <t>'de novo' GDP-L-fucose biosynthetic process {GO:0042351}; GDP-mannose metabolic process {GO:0019673}; Notch signaling pathway {GO:0007219}</t>
  </si>
  <si>
    <t>GDP-mannose 4,6-dehydratase activity {GO:0008446}; identical protein binding {GO:0042802}; NADP+ binding {GO:0070401}</t>
  </si>
  <si>
    <t>Nucleotide-sugar biosynthesis; GDP-L-fucose biosynthesis via de novo pathway; GDP-L-fucose from GDP-alpha-D-mannose: step 1/2.</t>
  </si>
  <si>
    <t>GDP-fucose biosynthesis {R-HSA-6787639}</t>
  </si>
  <si>
    <t>High mobility group nucleosome-binding domain-containing protein 3</t>
  </si>
  <si>
    <t>Thyroid receptor-interacting protein 7 (TR-interacting protein 7; TRIP-7)</t>
  </si>
  <si>
    <t>HMGN3_HUMAN</t>
  </si>
  <si>
    <t>Q15651</t>
  </si>
  <si>
    <t>B2RD37; Q5HYD3; Q7RTT0; Q969M5; Q9BZT7</t>
  </si>
  <si>
    <t>TRIP7</t>
  </si>
  <si>
    <t>Alternative splicing; Chromatin regulator; DNA-binding; Nucleus; Phosphoprotein</t>
  </si>
  <si>
    <t>Chromatin regulator; DNA-binding</t>
  </si>
  <si>
    <t>chromatin organization {GO:0006325}; positive regulation of transcription by RNA polymerase II {GO:0045944}; regulation of insulin secretion involved in cellular response to glucose stimulus {GO:0061178}</t>
  </si>
  <si>
    <t>chromatin {GO:0000785}; cytosol {GO:0005829}; nucleoplasm {GO:0005654}</t>
  </si>
  <si>
    <t>nucleosomal DNA binding {GO:0031492}; thyroid hormone receptor binding {GO:0046966}</t>
  </si>
  <si>
    <t>Inactive tyrosine-protein kinase 7</t>
  </si>
  <si>
    <t>Colon carcinoma kinase 4 (CCK-4); Protein-tyrosine kinase 7; Pseudo tyrosine kinase receptor 7; Tyrosine-protein kinase-like 7</t>
  </si>
  <si>
    <t>PTK7_HUMAN</t>
  </si>
  <si>
    <t>Q13308</t>
  </si>
  <si>
    <t>A8K974; B7Z477; E9PFZ5; Q13417; Q5T650; Q6IQ54; Q8NFA5; Q8NFA6; Q8NFA7; Q8NFA8</t>
  </si>
  <si>
    <t>CCK4</t>
  </si>
  <si>
    <t>Alternative splicing; Cell adhesion; Cell junction; Disulfide bond; Glycoprotein; Immunoglobulin domain; Membrane; Phosphoprotein; Polymorphism; Receptor; Repeat; Signal; Transmembrane; Transmembrane helix; Wnt signaling pathway</t>
  </si>
  <si>
    <t>Cell junction; Membrane</t>
  </si>
  <si>
    <t>actin cytoskeleton reorganization {GO:0031532}; axis elongation {GO:0003401}; cell adhesion {GO:0007155}; cell migration {GO:0016477}; cellular response to retinoic acid {GO:0071300}; cochlea morphogenesis {GO:0090103}; convergent extension {GO:0060026}; coronary vasculature development {GO:0060976}; establishment of epithelial cell apical/basal polarity {GO:0045198}; establishment of planar polarity {GO:0001736}; lung-associated mesenchyme development {GO:0060484}; planar cell polarity pathway involved in neural tube closure {GO:0090179}; positive regulation of canonical Wnt signaling pathway {GO:0090263}; positive regulation of neuron projection development {GO:0010976}; signal transduction {GO:0007165}; ventricular septum development {GO:0003281}; wound healing {GO:0042060}</t>
  </si>
  <si>
    <t>cell-cell junction {GO:0005911}; focal adhesion {GO:0005925}; integral component of plasma membrane {GO:0005887}</t>
  </si>
  <si>
    <t>ATP binding {GO:0005524}; coreceptor activity involved in Wnt signaling pathway, planar cell polarity pathway {GO:1904929}; protein kinase activity {GO:0004672}</t>
  </si>
  <si>
    <t>Costars family protein ABRACL</t>
  </si>
  <si>
    <t>ABRA C-terminal-like protein</t>
  </si>
  <si>
    <t>ABRAL_HUMAN</t>
  </si>
  <si>
    <t>Q9P1F3</t>
  </si>
  <si>
    <t>Q5SZC8; Q9P0A1</t>
  </si>
  <si>
    <t>C6orf115</t>
  </si>
  <si>
    <t>3D-structure; Acetylation</t>
  </si>
  <si>
    <t>regulation of actin filament-based process {GO:0032970}</t>
  </si>
  <si>
    <t>Heterogeneous nuclear ribonucleoprotein R (hnRNP R)</t>
  </si>
  <si>
    <t>HNRPR_HUMAN</t>
  </si>
  <si>
    <t>O43390</t>
  </si>
  <si>
    <t>Q2L7G6; Q5TEH1; Q9BV64; S4R3J4</t>
  </si>
  <si>
    <t>HNRPR</t>
  </si>
  <si>
    <t>3D-structure; Acetylation; Alternative splicing; Cytoplasm; Endoplasmic reticulum; Isopeptide bond; Microsome; mRNA processing; mRNA splicing; Nucleus; Repeat; Ribonucleoprotein; RNA-binding; Spliceosome; Ubl conjugation</t>
  </si>
  <si>
    <t>circadian rhythm {GO:0007623}; mRNA destabilization {GO:0061157}; mRNA processing {GO:0006397}; mRNA splicing, via spliceosome {GO:0000398}; negative regulation of catalytic activity {GO:0043086}; RNA metabolic process {GO:0016070}</t>
  </si>
  <si>
    <t>axon terminus {GO:0043679}; catalytic step 2 spliceosome {GO:0071013}; dendrite {GO:0030425}; endoplasmic reticulum {GO:0005783}; growth cone {GO:0030426}; nucleoplasm {GO:0005654}; nucleus {GO:0005634}; ribonucleoprotein complex {GO:1990904}; spliceosomal complex {GO:0005681}</t>
  </si>
  <si>
    <t>mRNA 3'-UTR binding {GO:0003730}; mRNA binding {GO:0003729}; RNA binding {GO:0003723}</t>
  </si>
  <si>
    <t>Lactoylglutathione lyase</t>
  </si>
  <si>
    <t>Aldoketomutase; Glyoxalase I (Glx I); Ketone-aldehyde mutase; Methylglyoxalase; S-D-lactoylglutathione methylglyoxal lyase</t>
  </si>
  <si>
    <t>LGUL_HUMAN</t>
  </si>
  <si>
    <t>Q04760</t>
  </si>
  <si>
    <t>B2R6P7; B4DDV0; P78375; Q59EL0; Q5TZW3; Q96FC0; Q96J41</t>
  </si>
  <si>
    <t>3D-structure; Acetylation; Alternative splicing; Disulfide bond; Glutathionylation; Lyase; Metal-binding; Phosphoprotein; Polymorphism; Zinc</t>
  </si>
  <si>
    <t>Acetylation; Disulfide bond; Glutathionylation; Phosphoprotein</t>
  </si>
  <si>
    <t>carbohydrate metabolic process {GO:0005975}; glutathione metabolic process {GO:0006749}; methylglyoxal metabolic process {GO:0009438}; negative regulation of apoptotic process {GO:0043066}; osteoclast differentiation {GO:0030316}; pyruvate metabolic process {GO:0006090}</t>
  </si>
  <si>
    <t>cytoplasm {GO:0005737}; cytosol {GO:0005829}; extracellular exosome {GO:0070062}; nucleus {GO:0005634}; plasma membrane {GO:0005886}</t>
  </si>
  <si>
    <t>lactoylglutathione lyase activity {GO:0004462}; zinc ion binding {GO:0008270}</t>
  </si>
  <si>
    <t>Secondary metabolite metabolism; methylglyoxal degradation; (R)-lactate from methylglyoxal: step 1/2.</t>
  </si>
  <si>
    <t>Valine--tRNA ligase</t>
  </si>
  <si>
    <t>Protein G7a; Valyl-tRNA synthetase (ValRS)</t>
  </si>
  <si>
    <t>SYVC_HUMAN</t>
  </si>
  <si>
    <t>P26640</t>
  </si>
  <si>
    <t>B0V1N1; B4DZ61; Q5JQ90; Q96E77; Q9UQM2</t>
  </si>
  <si>
    <t>G7A; VARS2</t>
  </si>
  <si>
    <t>Acetylation; Alternative splicing; Aminoacyl-tRNA synthetase; ATP-binding; Disease mutation; Epilepsy; Ligase; Mental retardation; Nucleotide-binding; Phosphoprotein; Polymorphism; Protein biosynthesis</t>
  </si>
  <si>
    <t>tRNA aminoacylation for protein translation {GO:0006418}; valyl-tRNA aminoacylation {GO:0006438}</t>
  </si>
  <si>
    <t>aminoacyl-tRNA editing activity {GO:0002161}; ATP binding {GO:0005524}; valine-tRNA ligase activity {GO:0004832}</t>
  </si>
  <si>
    <t>Complement C2a fragment</t>
  </si>
  <si>
    <t>C3/C5 convertase</t>
  </si>
  <si>
    <t>CO2_HUMAN</t>
  </si>
  <si>
    <t>P06681</t>
  </si>
  <si>
    <t>B4DPF3; B4DV20; E9PFN7; O19694; Q13904</t>
  </si>
  <si>
    <t>3D-structure; Alternative splicing; Complement pathway; Disease mutation; Disulfide bond; Glycoprotein; Hydrolase; Immunity; Innate immunity; Metal-binding; Polymorphism; Protease; Repeat; Secreted; Serine protease; Signal; Sushi</t>
  </si>
  <si>
    <t>Repeat; Signal; Sushi</t>
  </si>
  <si>
    <t>complement activation {GO:0006956}; complement activation, classical pathway {GO:0006958}; innate immune response {GO:0045087}; positive regulation of apoptotic cell clearance {GO:2000427}; regulation of complement activation {GO:0030449}; response to nutrient {GO:0007584}</t>
  </si>
  <si>
    <t>Complement factor B Bb fragment</t>
  </si>
  <si>
    <t>C3/C5 convertase; Glycine-rich beta glycoprotein (GBG); PBF2; Properdin factor B</t>
  </si>
  <si>
    <t>CFAB_HUMAN</t>
  </si>
  <si>
    <t>P00751</t>
  </si>
  <si>
    <t>B0QZQ6; O15006; Q29944; Q53F89; Q5JP67; Q5ST50; Q96HX6; Q9BTF5; Q9BX92</t>
  </si>
  <si>
    <t>BF; BFD</t>
  </si>
  <si>
    <t>3D-structure; Alternative splicing; Cleavage on pair of basic residues; Complement alternate pathway; Disease mutation; Disulfide bond; Glycation; Glycoprotein; Hemolytic uremic syndrome; Hydrolase; Immunity; Innate immunity; Polymorphism; Protease; Repeat; Secreted; Serine protease; Signal; Sushi; Zymogen</t>
  </si>
  <si>
    <t>Disease mutation; Hemolytic uremic syndrome</t>
  </si>
  <si>
    <t>Cleavage on pair of basic residues; Disulfide bond; Glycation; Glycoprotein; Zymogen</t>
  </si>
  <si>
    <t>complement activation {GO:0006956}; complement activation, alternative pathway {GO:0006957}; regulation of complement activation {GO:0030449}</t>
  </si>
  <si>
    <t>blood microparticle {GO:0072562}; extracellular exosome {GO:0070062}; extracellular region {GO:0005576}; extracellular space {GO:0005615}; plasma membrane {GO:0005886}</t>
  </si>
  <si>
    <t>complement binding {GO:0001848}; serine-type endopeptidase activity {GO:0004252}</t>
  </si>
  <si>
    <t>Alternative complement activation {R-HSA-173736}; Activation of C3 and C5 {R-HSA-174577}; Regulation of Complement cascade {R-HSA-977606}</t>
  </si>
  <si>
    <t>Choline transporter-like protein 4</t>
  </si>
  <si>
    <t>Solute carrier family 44 member 4; Thiamine pyrophosphate transporter 1 (hTPPT1)</t>
  </si>
  <si>
    <t>CTL4_HUMAN</t>
  </si>
  <si>
    <t>Q53GD3</t>
  </si>
  <si>
    <t>A2BED3; B0UXX8; B0UZY8; B4DU94; B4DWM2; E9PEK7; Q5JP84; Q5JQ93; Q658S8; Q6UX89; Q8TEW4; Q96C58; Q96K59; Q9Y332</t>
  </si>
  <si>
    <t>Alternative splicing; Cell membrane; Deafness; Disease mutation; Glycoprotein; Membrane; Non-syndromic deafness; Polymorphism; Transmembrane; Transmembrane helix</t>
  </si>
  <si>
    <t>acetylcholine biosynthetic process {GO:0008292}; acetylcholine secretion {GO:0061526}; choline transport {GO:0015871}; neuromast hair cell development {GO:0035675}; otolith formation {GO:0032475}; phosphatidylcholine biosynthetic process {GO:0006656}; positive regulation of cell growth {GO:0030307}; thiamine pyrophosphate transmembrane transport {GO:0030974}; transmembrane transport {GO:0055085}</t>
  </si>
  <si>
    <t>choline transmembrane transporter activity {GO:0015220}; thiamine pyrophosphate transmembrane transporter activity {GO:0090422}</t>
  </si>
  <si>
    <t>Synthesis of PC {R-HSA-1483191}; Transport of bile salts and organic acids, metal ions and amine compounds {R-HSA-425366}</t>
  </si>
  <si>
    <t>Heat shock 70 kDa protein 1-like (Heat shock 70 kDa protein 1L)</t>
  </si>
  <si>
    <t>Heat shock 70 kDa protein 1-Hom (HSP70-Hom)</t>
  </si>
  <si>
    <t>HS71L_HUMAN</t>
  </si>
  <si>
    <t>P34931</t>
  </si>
  <si>
    <t>A6NNB0; B0UXW8; O75634; Q2HXR3; Q8NE72; Q96QC9; Q9UQM1</t>
  </si>
  <si>
    <t>3D-structure; ATP-binding; Nucleotide-binding; Polymorphism</t>
  </si>
  <si>
    <t>binding of sperm to zona pellucida {GO:0007339}; cellular response to heat {GO:0034605}; cellular response to unfolded protein {GO:0034620}; chaperone cofactor-dependent protein refolding {GO:0051085}; positive regulation of protein targeting to mitochondrion {GO:1903955}; protein refolding {GO:0042026}; regulation of cellular response to heat {GO:1900034}; response to unfolded protein {GO:0006986}</t>
  </si>
  <si>
    <t>blood microparticle {GO:0072562}; cell body {GO:0044297}; cytoplasm {GO:0005737}; cytosol {GO:0005829}; mitochondrial matrix {GO:0005759}; nucleoplasm {GO:0005654}; zona pellucida receptor complex {GO:0002199}</t>
  </si>
  <si>
    <t>ATP binding {GO:0005524}; ATPase activity {GO:0016887}; ATPase activity, coupled {GO:0042623}; heat shock protein binding {GO:0031072}; misfolded protein binding {GO:0051787}; protein folding chaperone {GO:0044183}; ubiquitin protein ligase binding {GO:0031625}; unfolded protein binding {GO:0051082}</t>
  </si>
  <si>
    <t>Regulation of HSF1-mediated heat shock response {R-HSA-3371453}; HSP90 chaperone cycle for steroid hormone receptors (SHR) {R-HSA-3371497}; Attenuation phase {R-HSA-3371568}; HSF1-dependent transactivation {R-HSA-3371571}</t>
  </si>
  <si>
    <t>Heat shock 70 kDa protein 1B</t>
  </si>
  <si>
    <t>Heat shock 70 kDa protein 2 (HSP70-2; HSP70.2)</t>
  </si>
  <si>
    <t>HS71B_HUMAN</t>
  </si>
  <si>
    <t>P0DMV9</t>
  </si>
  <si>
    <t>B4E3B6; P08107; P19790; Q5JQI4; Q5SP17; Q9UQL9; Q9UQM0</t>
  </si>
  <si>
    <t>3D-structure; Acetylation; ATP-binding; Chaperone; Cytoplasm; Cytoskeleton; Host cell receptor for virus entry; Methylation; Nucleotide-binding; Phosphoprotein; Polymorphism; Receptor; Stress response</t>
  </si>
  <si>
    <t>Chaperone; Host cell receptor for virus entry; Receptor</t>
  </si>
  <si>
    <t>ATP metabolic process {GO:0046034}; cellular heat acclimation {GO:0070370}; cellular response to heat {GO:0034605}; cellular response to oxidative stress {GO:0034599}; cellular response to unfolded protein {GO:0034620}; chaperone cofactor-dependent protein refolding {GO:0051085}; mRNA catabolic process {GO:0006402}; negative regulation of apoptotic process {GO:0043066}; negative regulation of cell death {GO:0060548}; negative regulation of cell growth {GO:0030308}; negative regulation of cell population proliferation {GO:0008285}; negative regulation of extrinsic apoptotic signaling pathway in absence of ligand {GO:2001240}; negative regulation of inclusion body assembly {GO:0090084}; negative regulation of protein ubiquitination {GO:0031397}; neutrophil degranulation {GO:0043312}; positive regulation of erythrocyte differentiation {GO:0045648}; positive regulation of gene expression {GO:0010628}; positive regulation of interleukin-8 production {GO:0032757}; positive regulation of microtubule nucleation {GO:0090063}; positive regulation of NF-kappaB transcription factor activity {GO:0051092}; positive regulation of nucleotide-binding oligomerization domain containing 2 signaling pathway {GO:0070434}; positive regulation of proteasomal ubiquitin-dependent protein catabolic process {GO:0032436}; positive regulation of tumor necrosis factor-mediated signaling pathway {GO:1903265}; protein refolding {GO:0042026}; protein stabilization {GO:0050821}; regulation of cellular response to heat {GO:1900034}; regulation of mitotic spindle assembly {GO:1901673}; regulation of protein ubiquitination {GO:0031396}; response to unfolded protein {GO:0006986}</t>
  </si>
  <si>
    <t>aggresome {GO:0016235}; blood microparticle {GO:0072562}; centriole {GO:0005814}; centrosome {GO:0005813}; cytoplasm {GO:0005737}; cytosol {GO:0005829}; endoplasmic reticulum {GO:0005783}; extracellular exosome {GO:0070062}; extracellular region {GO:0005576}; ficolin-1-rich granule lumen {GO:1904813}; focal adhesion {GO:0005925}; inclusion body {GO:0016234}; mitochondrion {GO:0005739}; nuclear speck {GO:0016607}; nucleoplasm {GO:0005654}; nucleus {GO:0005634}; perinuclear region of cytoplasm {GO:0048471}; protein-containing complex {GO:0032991}; ribonucleoprotein complex {GO:1990904}; vesicle {GO:0031982}</t>
  </si>
  <si>
    <t>ATP binding {GO:0005524}; ATPase activity {GO:0016887}; ATPase activity, coupled {GO:0042623}; C3HC4-type RING finger domain binding {GO:0055131}; enzyme binding {GO:0019899}; G protein-coupled receptor binding {GO:0001664}; heat shock protein binding {GO:0031072}; histone deacetylase binding {GO:0042826}; misfolded protein binding {GO:0051787}; protein folding chaperone {GO:0044183}; protein N-terminus binding {GO:0047485}; RNA binding {GO:0003723}; signaling receptor binding {GO:0005102}; ubiquitin protein ligase binding {GO:0031625}; unfolded protein binding {GO:0051082}; virus receptor activity {GO:0001618}</t>
  </si>
  <si>
    <t>Regulation of HSF1-mediated heat shock response {R-HSA-3371453}; HSP90 chaperone cycle for steroid hormone receptors (SHR) {R-HSA-3371497}; Attenuation phase {R-HSA-3371568}; HSF1-dependent transactivation {R-HSA-3371571}; Neutrophil degranulation {R-HSA-6798695}</t>
  </si>
  <si>
    <t>Spliceosome RNA helicase DDX39B</t>
  </si>
  <si>
    <t>56 kDa U2AF65-associated protein; ATP-dependent RNA helicase p47; DEAD box protein UAP56; HLA-B-associated transcript 1 protein</t>
  </si>
  <si>
    <t>DX39B_HUMAN</t>
  </si>
  <si>
    <t>Q13838</t>
  </si>
  <si>
    <t>B0S8C0; O43496; Q0EFA1; Q2L6F9; Q53GL9; Q5RJ64; Q5RJ66; Q5ST94; Q5STB4; Q5STB5; Q5STB7; Q5STB8; Q5STU4; Q5STU5; Q5STU6; Q5STU8; Q71V76</t>
  </si>
  <si>
    <t>BAT1; UAP56</t>
  </si>
  <si>
    <t>3D-structure; Acetylation; Alternative splicing; ATP-binding; Cytoplasm; Helicase; Hydrolase; Isopeptide bond; mRNA processing; mRNA splicing; mRNA transport; Nucleotide-binding; Nucleus; Phosphoprotein; RNA-binding; Spliceosome; Transport; Ubl conjugation</t>
  </si>
  <si>
    <t>liver development {GO:0001889}; mRNA 3'-end processing {GO:0031124}; mRNA export from nucleus {GO:0006406}; mRNA splicing, via spliceosome {GO:0000398}; negative regulation of DNA damage checkpoint {GO:2000002}; positive regulation of cell growth involved in cardiac muscle cell development {GO:0061051}; positive regulation of DNA biosynthetic process {GO:2000573}; positive regulation of DNA-templated transcription, elongation {GO:0032786}; positive regulation of translation {GO:0045727}; positive regulation of vascular smooth muscle cell proliferation {GO:1904707}; RNA export from nucleus {GO:0006405}; RNA secondary structure unwinding {GO:0010501}; RNA splicing {GO:0008380}; spliceosomal complex assembly {GO:0000245}; viral mRNA export from host cell nucleus {GO:0046784}</t>
  </si>
  <si>
    <t>cytoplasm {GO:0005737}; nuclear matrix {GO:0016363}; nuclear speck {GO:0016607}; nucleoplasm {GO:0005654}; nucleus {GO:0005634}; spliceosomal complex {GO:0005681}; transcription export complex {GO:0000346}</t>
  </si>
  <si>
    <t>ATP binding {GO:0005524}; ATP-dependent protein binding {GO:0043008}; ATP-dependent RNA helicase activity {GO:0004004}; ATPase activity {GO:0016887}; identical protein binding {GO:0042802}; protein-containing complex binding {GO:0044877}; RNA binding {GO:0003723}; RNA-dependent ATPase activity {GO:0008186}; U4 snRNA binding {GO:0030621}; U6 snRNA binding {GO:0017070}</t>
  </si>
  <si>
    <t>N(G),N(G)-dimethylarginine dimethylaminohydrolase 2 (DDAH-2; Dimethylarginine dimethylaminohydrolase 2)</t>
  </si>
  <si>
    <t>DDAHII; Dimethylargininase-2; Protein G6a; S-phase protein</t>
  </si>
  <si>
    <t>DDAH2_HUMAN</t>
  </si>
  <si>
    <t>O95865</t>
  </si>
  <si>
    <t>A2BEZ7</t>
  </si>
  <si>
    <t>DDAH; G6A; NG30</t>
  </si>
  <si>
    <t>Cytoplasm; Hydrolase; Mitochondrion</t>
  </si>
  <si>
    <t>arginine catabolic process {GO:0006527}; arginine metabolic process {GO:0006525}; citrulline metabolic process {GO:0000052}; negative regulation of apoptotic process {GO:0043066}; nitric oxide biosynthetic process {GO:0006809}; nitric oxide mediated signal transduction {GO:0007263}; positive regulation of nitric oxide biosynthetic process {GO:0045429}; regulation of nitric-oxide synthase activity {GO:0050999}</t>
  </si>
  <si>
    <t>cytosol {GO:0005829}; extracellular exosome {GO:0070062}; microtubule organizing center {GO:0005815}; mitochondrion {GO:0005739}</t>
  </si>
  <si>
    <t>amino acid binding {GO:0016597}; catalytic activity {GO:0003824}; dimethylargininase activity {GO:0016403}</t>
  </si>
  <si>
    <t>Chloride intracellular channel protein 1</t>
  </si>
  <si>
    <t>Chloride channel ABP; Nuclear chloride ion channel 27 (NCC27); Regulatory nuclear chloride ion channel protein (hRNCC)</t>
  </si>
  <si>
    <t>CLIC1_HUMAN</t>
  </si>
  <si>
    <t>O00299</t>
  </si>
  <si>
    <t>Q15089; Q502X1</t>
  </si>
  <si>
    <t>G6; NCC27</t>
  </si>
  <si>
    <t>3D-structure; Acetylation; Cell membrane; Chloride; Chloride channel; Cytoplasm; Disulfide bond; Glutathionylation; Ion channel; Ion transport; Membrane; Nucleus; Phosphoprotein; Transmembrane; Transmembrane helix; Transport; Voltage-gated channel</t>
  </si>
  <si>
    <t>chloride transport {GO:0006821}; platelet aggregation {GO:0070527}; positive regulation of osteoblast differentiation {GO:0045669}; regulation of cell cycle {GO:0051726}; regulation of ion transmembrane transport {GO:0034765}; regulation of mitochondrial membrane potential {GO:0051881}; signal transduction {GO:0007165}</t>
  </si>
  <si>
    <t>blood microparticle {GO:0072562}; brush border {GO:0005903}; chloride channel complex {GO:0034707}; cytoplasm {GO:0005737}; extracellular exosome {GO:0070062}; extracellular space {GO:0005615}; membrane {GO:0016020}; mitochondrion {GO:0005739}; nuclear envelope {GO:0005635}; nuclear membrane {GO:0031965}; nucleus {GO:0005634}; perinuclear region of cytoplasm {GO:0048471}; plasma membrane {GO:0005886}; vesicle {GO:0031982}</t>
  </si>
  <si>
    <t>cadherin binding {GO:0045296}; chloride channel activity {GO:0005254}; voltage-gated ion channel activity {GO:0005244}</t>
  </si>
  <si>
    <t>Putative hydroxypyruvate isomerase</t>
  </si>
  <si>
    <t>Endothelial cell apoptosis protein E-CE1</t>
  </si>
  <si>
    <t>HYI_HUMAN</t>
  </si>
  <si>
    <t>Q5T013</t>
  </si>
  <si>
    <t>D3DPX4; D3DPX5; Q5Q9A2; Q7Z778; Q96S83; Q9BZR3; Q9BZR4</t>
  </si>
  <si>
    <t>hydroxypyruvate isomerase activity {GO:0008903}; racemase and epimerase activity, acting on carbohydrates and derivatives {GO:0016857}</t>
  </si>
  <si>
    <t>Apolipoprotein M (Apo-M; ApoM)</t>
  </si>
  <si>
    <t>Protein G3a</t>
  </si>
  <si>
    <t>APOM_HUMAN</t>
  </si>
  <si>
    <t>O95445</t>
  </si>
  <si>
    <t>B0UX98; Q5SRP4; Q9P046; Q9UMP6</t>
  </si>
  <si>
    <t>G3A; NG20</t>
  </si>
  <si>
    <t>3D-structure; Alternative splicing; Disulfide bond; Glycoprotein; HDL; Lipid transport; Secreted; Signal; Transport</t>
  </si>
  <si>
    <t>HDL; Secreted</t>
  </si>
  <si>
    <t>cholesterol efflux {GO:0033344}; cholesterol homeostasis {GO:0042632}; high-density lipoprotein particle assembly {GO:0034380}; high-density lipoprotein particle clearance {GO:0034384}; high-density lipoprotein particle remodeling {GO:0034375}; lipoprotein metabolic process {GO:0042157}; negative regulation of plasma lipoprotein oxidation {GO:0034445}; response to glucose {GO:0009749}; retinoid metabolic process {GO:0001523}; reverse cholesterol transport {GO:0043691}</t>
  </si>
  <si>
    <t>discoidal high-density lipoprotein particle {GO:0034365}; extracellular region {GO:0005576}; high-density lipoprotein particle {GO:0034364}; low-density lipoprotein particle {GO:0034362}; spherical high-density lipoprotein particle {GO:0034366}; very-low-density lipoprotein particle {GO:0034361}</t>
  </si>
  <si>
    <t>antioxidant activity {GO:0016209}; lipid transporter activity {GO:0005319}; phospholipid binding {GO:0005543}</t>
  </si>
  <si>
    <t>Soluble HLA class I histocompatibility antigen, alpha chain G</t>
  </si>
  <si>
    <t>HLA G antigen; MHC class I antigen G (sHLA-G)</t>
  </si>
  <si>
    <t>HLAG_HUMAN</t>
  </si>
  <si>
    <t>P17693</t>
  </si>
  <si>
    <t>3D-structure; Alternative splicing; Cell membrane; Cell projection; Disulfide bond; Endoplasmic reticulum; Endosome; Glycoprotein; Immunity; Membrane; MHC I; Secreted; Signal; Transmembrane; Transmembrane helix</t>
  </si>
  <si>
    <t>Cell membrane; Cell projection; Endoplasmic reticulum; Endosome; MHC I; Membrane; Secreted</t>
  </si>
  <si>
    <t>antigen processing and presentation of endogenous peptide antigen via MHC class I via ER pathway, TAP-independent {GO:0002486}; antigen processing and presentation of endogenous peptide antigen via MHC class Ib {GO:0002476}; antigen processing and presentation of exogenous peptide antigen via MHC class I, TAP-dependent {GO:0002479}; antigen processing and presentation of exogenous peptide antigen via MHC class I, TAP-independent {GO:0002480}; antigen processing and presentation of peptide antigen via MHC class I {GO:0002474}; cellular defense response {GO:0006968}; immune response {GO:0006955}; immune response-inhibiting cell surface receptor signaling pathway {GO:0002767}; interferon-gamma-mediated signaling pathway {GO:0060333}; negative regulation of angiogenesis {GO:0016525}; negative regulation of dendritic cell differentiation {GO:2001199}; negative regulation of G0 to G1 transition {GO:0070317}; negative regulation of immune response {GO:0050777}; negative regulation of natural killer cell mediated cytotoxicity {GO:0045953}; negative regulation of protein kinase B signaling {GO:0051898}; negative regulation of T cell mediated cytotoxicity {GO:0001915}; negative regulation of T cell proliferation {GO:0042130}; peripheral B cell tolerance induction {GO:0002451}; positive regulation of cellular senescence {GO:2000774}; positive regulation of endothelial cell apoptotic process {GO:2000353}; positive regulation of interleukin-12 production {GO:0032735}; positive regulation of macrophage cytokine production {GO:0060907}; positive regulation of natural killer cell cytokine production {GO:0002729}; positive regulation of regulatory T cell differentiation {GO:0045591}; positive regulation of T cell mediated cytotoxicity {GO:0001916}; positive regulation of T cell tolerance induction {GO:0002666}; positive regulation of tolerance induction {GO:0002645}; protection from natural killer cell mediated cytotoxicity {GO:0042270}; protein homotrimerization {GO:0070207}; regulation of immune response {GO:0050776}; type I interferon signaling pathway {GO:0060337}</t>
  </si>
  <si>
    <t>cis-Golgi network membrane {GO:0033106}; early endosome {GO:0005769}; early endosome membrane {GO:0031901}; ER to Golgi transport vesicle membrane {GO:0012507}; external side of plasma membrane {GO:0009897}; extracellular space {GO:0005615}; filopodium membrane {GO:0031527}; Golgi membrane {GO:0000139}; integral component of lumenal side of endoplasmic reticulum membrane {GO:0071556}; membrane {GO:0016020}; MHC class I protein complex {GO:0042612}; phagocytic vesicle membrane {GO:0030670}; plasma membrane {GO:0005886}; recycling endosome membrane {GO:0055038}</t>
  </si>
  <si>
    <t>CD8 receptor binding {GO:0042610}; identical protein binding {GO:0042802}; peptide antigen binding {GO:0042605}; protein homodimerization activity {GO:0042803}; signaling receptor binding {GO:0005102}</t>
  </si>
  <si>
    <t>Proteasome subunit beta type-8</t>
  </si>
  <si>
    <t>Low molecular mass protein 7; Macropain subunit C13; Multicatalytic endopeptidase complex subunit C13; Proteasome component C13; Proteasome subunit beta-5i; Really interesting new gene 10 protein</t>
  </si>
  <si>
    <t>PSB8_HUMAN</t>
  </si>
  <si>
    <t>P28062</t>
  </si>
  <si>
    <t>B0UZC0; Q29824; Q5JNW6; Q5QNR8; Q96J48</t>
  </si>
  <si>
    <t>LMP7; PSMB5i; RING10; Y2</t>
  </si>
  <si>
    <t>3D-structure; Alternative splicing; Cytoplasm; Differentiation; Disease mutation; Host-virus interaction; Hydrolase; Immunity; Nucleus; Phosphoprotein; Polymorphism; Protease; Proteasome; Threonine protease; Zymogen</t>
  </si>
  <si>
    <t>Differentiation; Host-virus interaction; Immunity</t>
  </si>
  <si>
    <t>Phosphoprotein; Zymogen</t>
  </si>
  <si>
    <t>anaphase-promoting complex-dependent catabolic process {GO:0031145}; antigen processing and presentation of exogenous peptide antigen via MHC class I, TAP-dependent {GO:0002479}; fat cell differentiation {GO:0045444};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proteasomal protein catabolic process {GO:0010498}; proteasomal ubiquitin-independent protein catabolic process {GO:0010499}; proteasome-mediated ubiquitin-dependent protein catabolic process {GO:0043161}; protein deubiquitination {GO:0016579}; protein polyubiquitination {GO:0000209}; regulation of cellular amino acid metabolic process {GO:0006521}; regulation of endopeptidase activity {GO:0052548};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type I interferon signaling pathway {GO:0060337}; viral process {GO:0016032}; Wnt signaling pathway, planar cell polarity pathway {GO:0060071}</t>
  </si>
  <si>
    <t>cytoplasm {GO:0005737}; cytosol {GO:0005829}; extracellular exosome {GO:0070062}; nucleoplasm {GO:0005654}; nucleus {GO:0005634}; proteasome complex {GO:0000502}; proteasome core complex {GO:0005839}; proteasome core complex, beta-subunit complex {GO:0019774}; spermatoproteasome complex {GO:1990111}</t>
  </si>
  <si>
    <t>Activation of NF-kappaB in B cells {R-HSA-1169091}; Oxygen-dependent proline hydroxylation of Hypoxia-inducible Factor Alpha {R-HSA-1234176}; ER-Phagosome pathway {R-HSA-1236974}; Cross-presentation of soluble exogenous antigens (endosomes) {R-HSA-1236978}; Autodegradation of Cdh1 by Cdh1:APC/C {R-HSA-174084}; SCF-beta-TrCP mediated degradation of Emi1 {R-HSA-174113}; APC/C:Cdc20 mediated degradation of Securin {R-HSA-174154}; APC/C:Cdh1 mediated degradation of Cdc20 and other APC/C:Cdh1 targeted proteins in late mitosis/early G1 {R-HSA-174178}; Cdc20:Phospho-APC/C mediated degradation of Cyclin A {R-HSA-174184}; Vpu mediated degradation of CD4 {R-HSA-180534}; Vif-mediated degradation of APOBEC3G {R-HSA-180585}; SCF(Skp2)-mediated degradation of p27/p21 {R-HSA-187577}; Degradation of beta-catenin by the destruction complex {R-HSA-195253}; Downstream TCR signaling {R-HSA-202424}; Regulation of activated PAK-2p34 by proteasome mediated degradation {R-HSA-211733}; Separation of Sister Chromatids {R-HSA-2467813}; FCERI mediated NF-kB activation {R-HSA-2871837}; Autodegradation of the E3 ubiquitin ligase COP1 {R-HSA-349425}; Regulation of ornithine decarboxylase (ODC) {R-HSA-350562}; ABC-family proteins mediated transport {R-HSA-382556}; AUF1 (hnRNP D0) binds and destabilizes mRNA {R-HSA-450408}; Asymmetric localization of PCP proteins {R-HSA-4608870}; Degradation of AXIN {R-HSA-4641257}; Degradation of DVL {R-HSA-4641258}; Hedgehog ligand biogenesis {R-HSA-5358346}; Hh mutants that don't undergo autocatalytic processing are degraded by ERAD {R-HSA-5362768}; Dectin-1 mediated noncanonical NF-kB signaling {R-HSA-5607761}; CLEC7A (Dectin-1) signaling {R-HSA-5607764}; Degradation of GLI1 by the proteasome {R-HSA-5610780}; Degradation of GLI2 by the proteasome {R-HSA-5610783}; GLI3 is processed to GLI3R by the proteasome {R-HSA-5610785}; Hedgehog 'on' state {R-HSA-5632684}; Regulation of RAS by GAPs {R-HSA-5658442}; TNFR2 non-canonical NF-kB pathway {R-HSA-5668541}; NIK--&gt;noncanonical NF-kB signaling {R-HSA-5676590}; Defective CFTR causes cystic fibrosis {R-HSA-5678895}; MAPK6/MAPK4 signaling {R-HSA-5687128}; UCH proteinases {R-HSA-5689603}; Ub-specific processing proteases {R-HSA-5689880}; CDT1 association with the CDC6:ORC:origin complex {R-HSA-68827}; Orc1 removal from chromatin {R-HSA-68949}; CDK-mediated phosphorylation and removal of Cdc6 {R-HSA-69017}; G2/M Checkpoints {R-HSA-69481}; Ubiquitin Mediated Degradation of Phosphorylated Cdc25A {R-HSA-69601}; Ubiquitin-dependent degradation of Cyclin D {R-HSA-75815}; The role of GTSE1 in G2/M progression after G2 checkpoint {R-HSA-8852276}; FBXL7 down-regulates AURKA during mitotic entry and in early mitosis {R-HSA-8854050}; RUNX1 regulates transcription of genes involved in differentiation of HSCs {R-HSA-8939236}; Regulation of RUNX2 expression and activity {R-HSA-8939902}; Regulation of RUNX3 expression and activity {R-HSA-8941858}; Regulation of PTEN stability and activity {R-HSA-8948751}; Neddylation {R-HSA-8951664}; Regulation of expression of SLITs and ROBOs {R-HSA-9010553}; Interleukin-1 signaling {R-HSA-9020702}; Interferon alpha/beta signaling {R-HSA-909733}; Negative regulation of NOTCH4 signaling {R-HSA-9604323}; Antigen processing: Ubiquitination &amp; Proteasome degradation {R-HSA-983168}</t>
  </si>
  <si>
    <t>Ubiquitin-conjugating enzyme E2 variant 2</t>
  </si>
  <si>
    <t>DDVit 1; Enterocyte differentiation-associated factor 1 (EDAF-1); Enterocyte differentiation-promoting factor 1 (EDPF-1); MMS2 homolog; Vitamin D3-inducible protein</t>
  </si>
  <si>
    <t>UB2V2_HUMAN</t>
  </si>
  <si>
    <t>Q15819</t>
  </si>
  <si>
    <t>MMS2; UEV2</t>
  </si>
  <si>
    <t>3D-structure; Acetylation; Polymorphism; Ubl conjugation pathway</t>
  </si>
  <si>
    <t>DNA double-strand break processing {GO:0000729}; double-strand break repair via nonhomologous end joining {GO:0006303}; error-free postreplication DNA repair {GO:0042275}; negative regulation of neuron apoptotic process {GO:0043524}; positive regulation of DNA repair {GO:0045739}; positive regulation of neuron projection development {GO:0010976}; positive regulation of proteasomal ubiquitin-dependent protein catabolic process {GO:0032436}; positive regulation of synapse assembly {GO:0051965}; postreplication repair {GO:0006301}; protein K63-linked ubiquitination {GO:0070534}; protein polyubiquitination {GO:0000209}; protein ubiquitination {GO:0016567}; regulation of DNA repair {GO:0006282}</t>
  </si>
  <si>
    <t>cytoplasm {GO:0005737}; extracellular exosome {GO:0070062}; nucleoplasm {GO:0005654}; nucleus {GO:0005634}; UBC13-MMS2 complex {GO:0031372}</t>
  </si>
  <si>
    <t>ubiquitin conjugating enzyme activity {GO:0061631}</t>
  </si>
  <si>
    <t>Recruitment and ATM-mediated phosphorylation of repair and signaling proteins at DNA double strand breaks {R-HSA-5693565}; Nonhomologous End-Joining (NHEJ) {R-HSA-5693571}; Processing of DNA double-strand break ends {R-HSA-5693607}; Formation of Incision Complex in GG-NER {R-HSA-5696395}; G2/M DNA damage checkpoint {R-HSA-69473}; E3 ubiquitin ligases ubiquitinate target proteins {R-HSA-8866654}; Antigen processing: Ubiquitination &amp; Proteasome degradation {R-HSA-983168}</t>
  </si>
  <si>
    <t>Protein SET</t>
  </si>
  <si>
    <t>HLA-DR-associated protein II; Inhibitor of granzyme A-activated DNase (IGAAD); PHAPII; Phosphatase 2A inhibitor I2PP2A (I-2PP2A); Template-activating factor I (TAF-I)</t>
  </si>
  <si>
    <t>SET_HUMAN</t>
  </si>
  <si>
    <t>Q01105</t>
  </si>
  <si>
    <t>A5A5H4; A6NGV1; B4DUE2; Q15541; Q5VXV1; Q5VXV2; Q6FHZ5</t>
  </si>
  <si>
    <t>3D-structure; Acetylation; Alternative splicing; Chaperone; Chromosomal rearrangement; Cytoplasm; Disease mutation; DNA-binding; Endoplasmic reticulum; Host-virus interaction; Isopeptide bond; Mental retardation; Methylation; Nucleus; Phosphoprotein; Polymorphism; Proto-oncogene; Ubl conjugation</t>
  </si>
  <si>
    <t>Disease mutation; Mental retardation; Proto-oncogene</t>
  </si>
  <si>
    <t>Chaperone; DNA-binding</t>
  </si>
  <si>
    <t>DNA replication {GO:0006260}; negative regulation of histone acetylation {GO:0035067}; negative regulation of neuron apoptotic process {GO:0043524}; negative regulation of transcription, DNA-templated {GO:0045892}; nucleosome assembly {GO:0006334}; nucleosome disassembly {GO:0006337}; regulation of mRNA stability {GO:0043488}; viral process {GO:0016032}</t>
  </si>
  <si>
    <t>cytoplasm {GO:0005737}; cytosol {GO:0005829}; endoplasmic reticulum {GO:0005783}; lipid droplet {GO:0005811}; nucleoplasm {GO:0005654}; nucleus {GO:0005634}; perinuclear region of cytoplasm {GO:0048471}; protein-containing complex {GO:0032991}</t>
  </si>
  <si>
    <t>DNA binding {GO:0003677}; histone binding {GO:0042393}; protein phosphatase inhibitor activity {GO:0004864}; protein phosphatase regulator activity {GO:0019888}</t>
  </si>
  <si>
    <t>Condensation of Prophase Chromosomes {R-HSA-2299718}; HuR (ELAVL1) binds and stabilizes mRNA {R-HSA-450520}</t>
  </si>
  <si>
    <t>SH3 domain-binding glutamic acid-rich-like protein 2</t>
  </si>
  <si>
    <t>Fovea-associated SH3 domain-binding protein</t>
  </si>
  <si>
    <t>SH3L2_HUMAN</t>
  </si>
  <si>
    <t>Q9UJC5</t>
  </si>
  <si>
    <t>A8MQU2; Q2VPC2; Q5VV96; Q6NSK8; Q6P9E8; Q7Z734; Q8IWD3; Q9BPY5</t>
  </si>
  <si>
    <t>FASH3</t>
  </si>
  <si>
    <t>3D-structure; Nucleus; SH3-binding</t>
  </si>
  <si>
    <t>nuclear membrane {GO:0031965}; nucleoplasm {GO:0005654}</t>
  </si>
  <si>
    <t>SH3 domain binding {GO:0017124}</t>
  </si>
  <si>
    <t>Cysteine-rich secretory protein 2 (CRISP-2)</t>
  </si>
  <si>
    <t>Cancer/testis antigen 36 (CT36); Testis-specific protein TPX-1</t>
  </si>
  <si>
    <t>CRIS2_HUMAN</t>
  </si>
  <si>
    <t>P16562</t>
  </si>
  <si>
    <t>A8K8M0; Q53FF2; Q5U8Z9; Q7Z7B2</t>
  </si>
  <si>
    <t>GAPDL5; TPX1</t>
  </si>
  <si>
    <t>3D-structure; Alternative splicing; Disulfide bond; Polymorphism; Secreted; Signal</t>
  </si>
  <si>
    <t>Vascular endothelial growth factor A (VEGF-A)</t>
  </si>
  <si>
    <t>Vascular permeability factor (VPF)</t>
  </si>
  <si>
    <t>VEGFA_HUMAN</t>
  </si>
  <si>
    <t>P15692</t>
  </si>
  <si>
    <t>B5BU86; H0Y2S8; H0Y407; H0Y414; H0Y462; H0Y8N2; H3BLW7; O60720; O75875; Q074Z4; Q16889; Q5UB46; Q6P0P5; Q96KJ0; Q96L82; Q96NW5; Q9H1W8; Q9H1W9; Q9UH58; Q9UL23</t>
  </si>
  <si>
    <t>VEGF</t>
  </si>
  <si>
    <t>3D-structure; Alternative initiation; Alternative promoter usage; Alternative splicing; Angiogenesis; Developmental protein; Differentiation; Disulfide bond; Glycoprotein; Growth factor; Heparin-binding; Mitogen; Secreted; Signal</t>
  </si>
  <si>
    <t>Developmental protein; Growth factor; Heparin-binding; Mitogen</t>
  </si>
  <si>
    <t>activation of protein kinase activity {GO:0032147}; angiogenesis {GO:0001525}; artery morphogenesis {GO:0048844}; basophil chemotaxis {GO:0002575}; branching involved in blood vessel morphogenesis {GO:0001569}; branching morphogenesis of an epithelial tube {GO:0048754}; camera-type eye morphogenesis {GO:0048593}; cardiac muscle fiber development {GO:0048739}; cardiac vascular smooth muscle cell development {GO:0060948}; cell maturation {GO:0048469}; cell migration involved in sprouting angiogenesis {GO:0002042}; cellular response to hypoxia {GO:0071456}; cellular response to vascular endothelial growth factor stimulus {GO:0035924}; cellular stress response to acid chemical {GO:0097533}; commissural neuron axon guidance {GO:0071679}; coronary artery morphogenesis {GO:0060982}; coronary vein morphogenesis {GO:0003169}; cytokine-mediated signaling pathway {GO:0019221}; dopaminergic neuron differentiation {GO:0071542}; endothelial cell chemotaxis {GO:0035767}; epithelial cell differentiation {GO:0030855}; eye photoreceptor cell development {GO:0042462}; heart morphogenesis {GO:0003007}; in utero embryonic development {GO:0001701}; induction of positive chemotaxis {GO:0050930}; kidney development {GO:0001822}; lactation {GO:0007595}; lung development {GO:0030324}; lymph vessel morphogenesis {GO:0036303}; macrophage differentiation {GO:0030225}; mammary gland alveolus development {GO:0060749}; mesoderm development {GO:0007498}; monocyte differentiation {GO:0030224}; motor neuron migration {GO:0097475}; negative regulation of apoptotic process {GO:0043066}; negative regulation of cysteine-type endopeptidase activity involved in apoptotic process {GO:0043154}; negative regulation of gene expression {GO:0010629}; negative regulation of transcription by RNA polymerase II {GO:0000122}; nervous system development {GO:0007399}; outflow tract morphogenesis {GO:0003151}; ovarian follicle development {GO:0001541}; platelet degranulation {GO:0002576}; positive chemotaxis {GO:0050918}; positive regulation of angiogenesis {GO:0045766}; positive regulation of axon extension involved in axon guidance {GO:0048842}; positive regulation of blood vessel endothelial cell migration {GO:0043536}; positive regulation of blood vessel endothelial cell proliferation involved in sprouting angiogenesis {GO:1903589}; positive regulation of branching involved in ureteric bud morphogenesis {GO:0090190}; positive regulation of cell adhesion {GO:0045785}; positive regulation of cell division {GO:0051781}; positive regulation of cell migration {GO:0030335}; positive regulation of cell migration involved in sprouting angiogenesis {GO:0090050}; positive regulation of cell population proliferation {GO:0008284}; positive regulation of cell proliferation by VEGF-activated platelet derived growth factor receptor signaling pathway {GO:0038091}; positive regulation of cellular component movement {GO:0051272}; positive regulation of cold-induced thermogenesis {GO:0120162}; positive regulation of CREB transcription factor activity {GO:0032793}; positive regulation of DNA biosynthetic process {GO:2000573}; positive regulation of endothelial cell chemotaxis by VEGF-activated vascular endothelial growth factor receptor signaling pathway {GO:0038033}; positive regulation of endothelial cell migration {GO:0010595}; positive regulation of endothelial cell proliferation {GO:0001938}; positive regulation of epithelial cell proliferation {GO:0050679}; positive regulation of ERK1 and ERK2 cascade {GO:0070374}; positive regulation of focal adhesion assembly {GO:0051894}; positive regulation of gene expression {GO:0010628}; positive regulation of histone deacetylase activity {GO:1901727}; positive regulation of leukocyte migration {GO:0002687}; positive regulation of MAP kinase activity {GO:0043406}; positive regulation of mast cell chemotaxis {GO:0060754}; positive regulation of mesenchymal cell proliferation {GO:0002053}; positive regulation of neuroblast proliferation {GO:0002052}; positive regulation of p38MAPK cascade {GO:1900745}; positive regulation of peptidyl-serine phosphorylation {GO:0033138}; positive regulation of peptidyl-tyrosine autophosphorylation {GO:1900086}; positive regulation of peptidyl-tyrosine phosphorylation {GO:0050731}; positive regulation of phosphorylation {GO:0042327}; positive regulation of positive chemotaxis {GO:0050927}; positive regulation of protein autophosphorylation {GO:0031954}; positive regulation of protein complex assembly {GO:0031334}; positive regulation of protein kinase C signaling {GO:0090037}; positive regulation of protein kinase D signaling {GO:1903572}; positive regulation of protein localization to early endosome {GO:1902966}; positive regulation of protein phosphorylation {GO:0001934}; positive regulation of receptor internalization {GO:0002092}; positive regulation of retinal ganglion cell axon guidance {GO:1902336}; positive regulation of sprouting angiogenesis {GO:1903672}; positive regulation of transcription by RNA polymerase II {GO:0045944}; positive regulation of transcription from RNA polymerase II promoter in response to hypoxia {GO:0061419}; positive regulation of vascular endothelial growth factor receptor signaling pathway {GO:0030949}; positive regulation of vascular permeability {GO:0043117}; post-embryonic camera-type eye development {GO:0031077}; primitive erythrocyte differentiation {GO:0060319}; regulation of cell shape {GO:0008360}; regulation of nitric oxide mediated signal transduction {GO:0010749}; regulation of retinal ganglion cell axon guidance {GO:0090259}; regulation of transcription by RNA polymerase II {GO:0006357}; regulation of transcription from RNA polymerase II promoter in response to hypoxia {GO:0061418}; response to hypoxia {GO:0001666}; sprouting angiogenesis {GO:0002040}; surfactant homeostasis {GO:0043129}; tube formation {GO:0035148}; vascular endothelial growth factor receptor signaling pathway {GO:0048010}; vascular endothelial growth factor signaling pathway {GO:0038084}; vasculogenesis {GO:0001570}; VEGF-activated neuropilin signaling pathway {GO:0038190}</t>
  </si>
  <si>
    <t>cell surface {GO:0009986}; cytoplasm {GO:0005737}; extracellular matrix {GO:0031012}; extracellular region {GO:0005576}; extracellular space {GO:0005615}; membrane {GO:0016020}; platelet alpha granule lumen {GO:0031093}; secretory granule {GO:0030141}</t>
  </si>
  <si>
    <t>chemoattractant activity {GO:0042056}; cytokine activity {GO:0005125}; extracellular matrix binding {GO:0050840}; fibronectin binding {GO:0001968}; growth factor activity {GO:0008083}; heparin binding {GO:0008201}; identical protein binding {GO:0042802}; neuropilin binding {GO:0038191}; platelet-derived growth factor receptor binding {GO:0005161}; protein heterodimerization activity {GO:0046982}; protein homodimerization activity {GO:0042803}; receptor ligand activity {GO:0048018}; vascular endothelial growth factor receptor 1 binding {GO:0043183}; vascular endothelial growth factor receptor 2 binding {GO:0043184}; vascular endothelial growth factor receptor binding {GO:0005172}</t>
  </si>
  <si>
    <t>Platelet degranulation {R-HSA-114608}; Regulation of gene expression by Hypoxia-inducible Factor {R-HSA-1234158}; VEGF ligand-receptor interactions {R-HSA-194313}; VEGF binds to VEGFR leading to receptor dimerization {R-HSA-195399}; VEGFA-VEGFR2 Pathway {R-HSA-4420097}; VEGFR2 mediated cell proliferation {R-HSA-5218921}; Interleukin-4 and Interleukin-13 signaling {R-HSA-6785807}; TFAP2 (AP-2) family regulates transcription of growth factors and their receptors {R-HSA-8866910}</t>
  </si>
  <si>
    <t>EF-hand domain-containing protein D2</t>
  </si>
  <si>
    <t>Swiprosin-1</t>
  </si>
  <si>
    <t>EFHD2_HUMAN</t>
  </si>
  <si>
    <t>Q96C19</t>
  </si>
  <si>
    <t>Q5JYW9</t>
  </si>
  <si>
    <t>SWS1</t>
  </si>
  <si>
    <t>3D-structure; Acetylation; Calcium; Membrane; Metal-binding; Phosphoprotein; Repeat</t>
  </si>
  <si>
    <t>membrane raft {GO:0045121}</t>
  </si>
  <si>
    <t>cadherin binding {GO:0045296}; calcium ion binding {GO:0005509}</t>
  </si>
  <si>
    <t>Plasminogen activator inhibitor 1 RNA-binding protein</t>
  </si>
  <si>
    <t>PAI1 RNA-binding protein 1 (PAI-RBP1); SERPINE1 mRNA-binding protein 1</t>
  </si>
  <si>
    <t>PAIRB_HUMAN</t>
  </si>
  <si>
    <t>Q8NC51</t>
  </si>
  <si>
    <t>Q5VU19; Q5VU20; Q5VU22; Q8WUH0; Q96SE2; Q9BTY3; Q9BUM4; Q9Y367; Q9Y4S3</t>
  </si>
  <si>
    <t>PAIRBP1</t>
  </si>
  <si>
    <t>3D-structure; Acetylation; Alternative splicing; Cytoplasm; Isopeptide bond; Methylation; Nucleus; Phosphoprotein; RNA-binding; Ubl conjugation</t>
  </si>
  <si>
    <t>PML body organization {GO:0030578}; regulation of apoptotic process {GO:0042981}; regulation of mRNA stability {GO:0043488}</t>
  </si>
  <si>
    <t>cytoplasm {GO:0005737}; cytosol {GO:0005829}; extracellular exosome {GO:0070062}; membrane {GO:0016020}; nucleus {GO:0005634}; perinuclear region of cytoplasm {GO:0048471}; plasma membrane {GO:0005886}</t>
  </si>
  <si>
    <t>cadherin binding {GO:0045296}; mRNA 3'-UTR binding {GO:0003730}; RNA binding {GO:0003723}; SUMO binding {GO:0032183}</t>
  </si>
  <si>
    <t>Heterochromatin protein 1-binding protein 3</t>
  </si>
  <si>
    <t>Protein HP1-BP74</t>
  </si>
  <si>
    <t>HP1B3_HUMAN</t>
  </si>
  <si>
    <t>Q5SSJ5</t>
  </si>
  <si>
    <t>A6NI71; A8K5D7; B3KMZ8; B4E210; Q05BI0; Q5SSJ6; Q5SWC6; Q6PIM9; Q8NDF0; Q9UHY0</t>
  </si>
  <si>
    <t>3D-structure; Acetylation; Alternative splicing; Chromosome; DNA-binding; Isopeptide bond; Nucleus; Phosphoprotein; Repeat; Ubl conjugation</t>
  </si>
  <si>
    <t>cellular response to hypoxia {GO:0071456}; heterochromatin organization {GO:0070828}; nucleosome assembly {GO:0006334}; regulation of cell population proliferation {GO:0042127}; regulation of nucleus size {GO:0097298}; regulation of transcription, DNA-templated {GO:0006355}</t>
  </si>
  <si>
    <t>chromosome {GO:0005694}; nuclear speck {GO:0016607}; nucleosome {GO:0000786}; nucleus {GO:0005634}</t>
  </si>
  <si>
    <t>DNA binding {GO:0003677}; nucleosome binding {GO:0031491}</t>
  </si>
  <si>
    <t>Chymotrypsin-like elastase family member 3B</t>
  </si>
  <si>
    <t>Elastase IIIB; Elastase-3B; Protease E</t>
  </si>
  <si>
    <t>CEL3B_HUMAN</t>
  </si>
  <si>
    <t>P08861</t>
  </si>
  <si>
    <t>B2RE44; P11423; Q5VU28; Q5VU29; Q5VU30</t>
  </si>
  <si>
    <t>ELA3B</t>
  </si>
  <si>
    <t>Disulfide bond; Glycoprotein; Hydrolase; Polymorphism; Protease; Serine protease; Signal; Zymogen</t>
  </si>
  <si>
    <t>Succinate dehydrogenase [ubiquinone] flavoprotein subunit, mitochondrial</t>
  </si>
  <si>
    <t>Flavoprotein subunit of complex II (Fp)</t>
  </si>
  <si>
    <t>SDHA_HUMAN</t>
  </si>
  <si>
    <t>P31040</t>
  </si>
  <si>
    <t>A8K5J6; B4DJ60; E9PBJ5; Q16395; Q59GW8; Q8IW48; Q9UMY5</t>
  </si>
  <si>
    <t>SDH2; SDHF</t>
  </si>
  <si>
    <t>Acetylation; Alternative splicing; Cardiomyopathy; Disease mutation; Electron transport; FAD; Flavoprotein; Leigh syndrome; Membrane; Mitochondrion; Mitochondrion inner membrane; Oxidoreductase; Phosphoprotein; Polymorphism; Primary mitochondrial disease; Transit peptide; Transport; Tricarboxylic acid cycle; Tumor suppressor</t>
  </si>
  <si>
    <t>Electron transport; Transport; Tricarboxylic acid cycle</t>
  </si>
  <si>
    <t>Cardiomyopathy; Disease mutation; Leigh syndrome; Primary mitochondrial disease; Tumor suppressor</t>
  </si>
  <si>
    <t>mitochondrial electron transport, succinate to ubiquinone {GO:0006121}; nervous system development {GO:0007399}; oxidation-reduction process {GO:0055114}; respiratory electron transport chain {GO:0022904}; succinate metabolic process {GO:0006105}; tricarboxylic acid cycle {GO:0006099}</t>
  </si>
  <si>
    <t>mitochondrial inner membrane {GO:0005743}; mitochondrial respiratory chain complex II, succinate dehydrogenase complex (ubiquinone) {GO:0005749}; mitochondrion {GO:0005739}; nucleolus {GO:0005730}; plasma membrane succinate dehydrogenase complex {GO:0045282}</t>
  </si>
  <si>
    <t>electron transfer activity {GO:0009055}; flavin adenine dinucleotide binding {GO:0050660}; succinate dehydrogenase (ubiquinone) activity {GO:0008177}; succinate dehydrogenase activity {GO:0000104}</t>
  </si>
  <si>
    <t>Carbohydrate metabolism; tricarboxylic acid cycle; fumarate from succinate (eukaryal route): step 1/1.</t>
  </si>
  <si>
    <t>Respiratory electron transport {R-HSA-611105}; Citric acid cycle (TCA cycle) {R-HSA-71403}</t>
  </si>
  <si>
    <t>6-phosphogluconolactonase</t>
  </si>
  <si>
    <t>Glucose-6-phosphate dehydrogenase (6PGL)</t>
  </si>
  <si>
    <t>G6PE_HUMAN</t>
  </si>
  <si>
    <t>O95479</t>
  </si>
  <si>
    <t>Q4TT33; Q66I35; Q68DT3</t>
  </si>
  <si>
    <t>GDH</t>
  </si>
  <si>
    <t>Carbohydrate metabolism; Disease mutation; Endoplasmic reticulum; Glucose metabolism; Glycoprotein; Hydrolase; Multifunctional enzyme; NAD; NADP; Oxidoreductase; Polymorphism; Pyrrolidone carboxylic acid; Signal</t>
  </si>
  <si>
    <t>Hydrolase; Multifunctional enzyme; Oxidoreductase</t>
  </si>
  <si>
    <t>Glycoprotein; Pyrrolidone carboxylic acid</t>
  </si>
  <si>
    <t>glucose metabolic process {GO:0006006}; pentose-phosphate shunt {GO:0006098}</t>
  </si>
  <si>
    <t>6-phosphogluconolactonase activity {GO:0017057}; glucose 1-dehydrogenase [NAD(P)] activity {GO:0047936}; glucose-6-phosphate dehydrogenase activity {GO:0004345}; NADP binding {GO:0050661}</t>
  </si>
  <si>
    <t>Beta-hexosaminidase subunit beta chain A</t>
  </si>
  <si>
    <t>Beta-N-acetylhexosaminidase subunit beta (Hexosaminidase subunit B); Cervical cancer proto-oncogene 7 protein (HCC-7); N-acetyl-beta-glucosaminidase subunit beta</t>
  </si>
  <si>
    <t>HEXB_HUMAN</t>
  </si>
  <si>
    <t>P07686</t>
  </si>
  <si>
    <t>3D-structure; Disease mutation; Disulfide bond; Gangliosidosis; Glycoprotein; Glycosidase; Hydrolase; Lysosome; Neurodegeneration; Polymorphism; Signal; Zymogen</t>
  </si>
  <si>
    <t>astrocyte cell migration {GO:0043615}; cellular calcium ion homeostasis {GO:0006874}; cellular protein metabolic process {GO:0044267}; chondroitin sulfate catabolic process {GO:0030207}; ganglioside catabolic process {GO:0006689}; glycosphingolipid metabolic process {GO:0006687}; hyaluronan catabolic process {GO:0030214}; keratan sulfate catabolic process {GO:0042340}; lipid storage {GO:0019915}; locomotory behavior {GO:0007626}; lysosome organization {GO:0007040}; male courtship behavior {GO:0008049}; myelination {GO:0042552}; neuromuscular process controlling balance {GO:0050885}; neutrophil degranulation {GO:0043312}; oligosaccharide catabolic process {GO:0009313}; oogenesis {GO:0048477}; penetration of zona pellucida {GO:0007341}; phospholipid biosynthetic process {GO:0008654}; positive regulation of transcription by RNA polymerase II {GO:0045944}; regulation of cell shape {GO:0008360}; sensory perception of sound {GO:0007605}; skeletal system development {GO:0001501}</t>
  </si>
  <si>
    <t>acrosomal vesicle {GO:0001669}; azurophil granule {GO:0042582}; azurophil granule lumen {GO:0035578}; extracellular exosome {GO:0070062}; extracellular region {GO:0005576}; lysosomal lumen {GO:0043202}; membrane {GO:0016020}</t>
  </si>
  <si>
    <t>acetylglucosaminyltransferase activity {GO:0008375}; beta-N-acetylhexosaminidase activity {GO:0004563}; N-acetyl-beta-D-galactosaminidase activity {GO:0102148}; protein heterodimerization activity {GO:0046982}; protein homodimerization activity {GO:0042803}</t>
  </si>
  <si>
    <t>Glycosphingolipid metabolism {R-HSA-1660662}; Keratan sulfate degradation {R-HSA-2022857}; CS/DS degradation {R-HSA-2024101}; Hyaluronan uptake and degradation {R-HSA-2160916}; Defective HEXB causes GM2G2 {R-HSA-3656248}; Neutrophil degranulation {R-HSA-6798695}</t>
  </si>
  <si>
    <t>Hemofiltrate peptide HF7665</t>
  </si>
  <si>
    <t>Lympho-epithelial Kazal-type-related inhibitor (LEKTI)</t>
  </si>
  <si>
    <t>ISK5_HUMAN</t>
  </si>
  <si>
    <t>Q9NQ38</t>
  </si>
  <si>
    <t>A8MYE8; B7WPB7; D6REN5; O75770; Q3LX95; Q3LX96; Q3LX97; Q96PP2; Q96PP3</t>
  </si>
  <si>
    <t>3D-structure; Alternative splicing; Cleavage on pair of basic residues; Disulfide bond; Hypotrichosis; Ichthyosis; Polymorphism; Protease inhibitor; Repeat; Secreted; Serine protease inhibitor; Signal</t>
  </si>
  <si>
    <t>Hypotrichosis; Ichthyosis</t>
  </si>
  <si>
    <t>cornification {GO:0070268}; epidermal cell differentiation {GO:0009913}; epithelial cell differentiation {GO:0030855}; extracellular matrix organization {GO:0030198}; hair cell differentiation {GO:0035315}; negative regulation of angiogenesis {GO:0016525}; negative regulation of antibacterial peptide production {GO:0002787}; negative regulation of immune response {GO:0050777}; negative regulation of serine-type endopeptidase activity {GO:1900004}; regulation of cell adhesion {GO:0030155}; regulation of T cell differentiation {GO:0045580}; regulation of timing of anagen {GO:0051884}</t>
  </si>
  <si>
    <t>cell cortex {GO:0005938}; cytoplasm {GO:0005737}; cytosol {GO:0005829}; endoplasmic reticulum {GO:0005783}; endoplasmic reticulum membrane {GO:0005789}; epidermal lamellar body {GO:0097209}; extracellular region {GO:0005576}; intracellular membrane-bounded organelle {GO:0043231}; perinuclear region of cytoplasm {GO:0048471}</t>
  </si>
  <si>
    <t>Parathymosin</t>
  </si>
  <si>
    <t>PTMS_HUMAN</t>
  </si>
  <si>
    <t>P20962</t>
  </si>
  <si>
    <t>Acetylation; Immunity; Phosphoprotein</t>
  </si>
  <si>
    <t>DNA replication {GO:0006260}; immune system process {GO:0002376}</t>
  </si>
  <si>
    <t>Ly6/PLAUR domain-containing protein 8</t>
  </si>
  <si>
    <t>LYPD8_HUMAN</t>
  </si>
  <si>
    <t>Q6UX82</t>
  </si>
  <si>
    <t>A0A075B722; K7ELG6</t>
  </si>
  <si>
    <t>Cell membrane; Glycoprotein; GPI-anchor; Lipoprotein; Membrane; Secreted; Signal</t>
  </si>
  <si>
    <t>defense response to Gram-negative bacterium {GO:0050829}</t>
  </si>
  <si>
    <t>anchored component of membrane {GO:0031225}; extracellular region {GO:0005576}; extracellular space {GO:0005615}; plasma membrane {GO:0005886}</t>
  </si>
  <si>
    <t>Ras-related protein Rap-1A</t>
  </si>
  <si>
    <t>C21KG; G-22K; GTP-binding protein smg p21A; Ras-related protein Krev-1</t>
  </si>
  <si>
    <t>RAP1A_HUMAN</t>
  </si>
  <si>
    <t>P62834</t>
  </si>
  <si>
    <t>P10113</t>
  </si>
  <si>
    <t>KREV1</t>
  </si>
  <si>
    <t>3D-structure; Cell junction; Cell membrane; Cytoplasm; Endosome; GTP-binding; Lipoprotein; Membrane; Methylation; Neurogenesis; Nucleotide-binding; Prenylation; Tumor suppressor</t>
  </si>
  <si>
    <t>Cell junction; Cell membrane; Cytoplasm; Endosome; Membrane</t>
  </si>
  <si>
    <t>cellular response to cAMP {GO:0071320}; cellular response to drug {GO:0035690}; cellular response to glucose stimulus {GO:0071333}; cellular response to nerve growth factor stimulus {GO:1990090}; establishment of endothelial barrier {GO:0061028}; liver regeneration {GO:0097421}; negative regulation of collagen biosynthetic process {GO:0032966}; negative regulation of synaptic vesicle exocytosis {GO:2000301}; nerve growth factor signaling pathway {GO:0038180}; neutrophil degranulation {GO:0043312}; positive regulation of ERK1 and ERK2 cascade {GO:0070374}; positive regulation of Fc-gamma receptor signaling pathway involved in phagocytosis {GO:1905451}; positive regulation of glucose import {GO:0046326}; positive regulation of GTPase activity {GO:0043547}; positive regulation of neuron projection development {GO:0010976}; positive regulation of protein kinase activity {GO:0045860}; positive regulation of vasculogenesis {GO:2001214}; protein localization to plasma membrane {GO:0072659}; Rap protein signal transduction {GO:0032486}; regulation of cell junction assembly {GO:1901888}; regulation of insulin secretion {GO:0050796}; regulation of neurotransmitter receptor localization to postsynaptic specialization membrane {GO:0098696}; response to antineoplastic agent {GO:0097327}; small GTPase mediated signal transduction {GO:0007264}</t>
  </si>
  <si>
    <t>cell junction {GO:0030054}; cytoplasm {GO:0005737}; cytosol {GO:0005829}; early endosome {GO:0005769}; extracellular exosome {GO:0070062}; glutamatergic synapse {GO:0098978}; guanyl-nucleotide exchange factor complex {GO:0032045}; late endosome {GO:0005770}; neuron projection {GO:0043005}; perinuclear region of cytoplasm {GO:0048471}; phagocytic vesicle {GO:0045335}; plasma membrane {GO:0005886}; specific granule membrane {GO:0035579}</t>
  </si>
  <si>
    <t>GDP binding {GO:0019003}; GTP binding {GO:0005525}; GTPase activity {GO:0003924}; protein-containing complex binding {GO:0044877}; Rap guanyl-nucleotide exchange factor activity {GO:0017034}</t>
  </si>
  <si>
    <t>Frs2-mediated activation {R-HSA-170968}; ARMS-mediated activation {R-HSA-170984}; Integrin alphaIIb beta3 signaling {R-HSA-354192}; GRB2:SOS provides linkage to MAPK signaling for Integrins {R-HSA-354194}; p130Cas linkage to MAPK signaling for integrins {R-HSA-372708}; Glucagon-like Peptide-1 (GLP1) regulates insulin secretion {R-HSA-381676}; Rap1 signalling {R-HSA-392517}; MAP2K and MAPK activation {R-HSA-5674135}; Neutrophil degranulation {R-HSA-6798695};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MET activates RAP1 and RAC1 {R-HSA-8875555}</t>
  </si>
  <si>
    <t>60S ribosomal protein L7</t>
  </si>
  <si>
    <t>Large ribosomal subunit protein uL30</t>
  </si>
  <si>
    <t>RL7_HUMAN</t>
  </si>
  <si>
    <t>P18124</t>
  </si>
  <si>
    <t>A8K504; Q15289; Q3KQU0; Q5I0X1; Q6IBM9</t>
  </si>
  <si>
    <t>3D-structure; Acetylation; Phosphoprotein; Repeat; Ribonucleoprotein; Ribosomal protein; RNA-binding</t>
  </si>
  <si>
    <t>RNA-binding; Ribonucleoprotein; Ribosomal protein</t>
  </si>
  <si>
    <t>maturation of LSU-rRNA from tricistronic rRNA transcript (SSU-rRNA, 5.8S rRNA, LSU-rRNA) {GO:0000463}; nuclear-transcribed mRNA catabolic process, nonsense-mediated decay {GO:0000184}; ribosomal large subunit biogenesis {GO:0042273};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</si>
  <si>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focal adhesion {GO:0005925}; membrane {GO:0016020}; nucleolus {GO:0005730}; nucleus {GO:0005634}; postsynaptic density {GO:0014069}; ribonucleoprotein complex {GO:1990904}</t>
  </si>
  <si>
    <t>DNA binding {GO:0003677}; mRNA binding {GO:0003729}; protein homodimerization activity {GO:0042803}; RNA binding {GO:0003723}; structural constituent of ribosome {GO:0003735}</t>
  </si>
  <si>
    <t>45 kDa calcium-binding protein (Cab45)</t>
  </si>
  <si>
    <t>Stromal cell-derived factor 4 (SDF-4)</t>
  </si>
  <si>
    <t>CAB45_HUMAN</t>
  </si>
  <si>
    <t>Q9BRK5</t>
  </si>
  <si>
    <t>B1AME5; B1AME6; B2RDF1; B4DSM1; Q53G52; Q53HQ9; Q8NBQ3; Q96AA1; Q9NZP7; Q9UN53</t>
  </si>
  <si>
    <t>CAB45</t>
  </si>
  <si>
    <t>Alternative splicing; Calcium; Cell membrane; Cell projection; Cytoplasm; Exocytosis; Glycoprotein; Golgi apparatus; Membrane; Metal-binding; Phosphoprotein; Polymorphism; Repeat; Signal</t>
  </si>
  <si>
    <t>Exocytosis</t>
  </si>
  <si>
    <t>Cell membrane; Cell projection; Cytoplasm; Golgi apparatus; Membrane</t>
  </si>
  <si>
    <t>calcium ion regulated exocytosis {GO:0017156}; cerebellum development {GO:0021549}; fat cell differentiation {GO:0045444}; response to ethanol {GO:0045471}; UV protection {GO:0009650}; zymogen granule exocytosis {GO:0070625}</t>
  </si>
  <si>
    <t>bleb {GO:0032059}; cytoplasm {GO:0005737}; endoplasmic reticulum {GO:0005783}; extracellular exosome {GO:0070062}; Golgi apparatus {GO:0005794}; Golgi lumen {GO:0005796}; late endosome {GO:0005770}; membrane {GO:0016020}; plasma membrane {GO:0005886}</t>
  </si>
  <si>
    <t>calcium ion binding {GO:0005509}; identical protein binding {GO:0042802}</t>
  </si>
  <si>
    <t>Transcriptional activator protein Pur-alpha</t>
  </si>
  <si>
    <t>Purine-rich single-stranded DNA-binding protein alpha</t>
  </si>
  <si>
    <t>PURA_HUMAN</t>
  </si>
  <si>
    <t>Q00577</t>
  </si>
  <si>
    <t>PUR1</t>
  </si>
  <si>
    <t>Acetylation; Activator; Disease mutation; DNA-binding; Mental retardation; Nucleus; Phosphoprotein; Transcription; Transcription regulation</t>
  </si>
  <si>
    <t>cell differentiation {GO:0030154}; dendritic transport of messenger ribonucleoprotein complex {GO:0098963}; DNA replication initiation {GO:0006270}; DNA unwinding involved in DNA replication {GO:0006268}; epithelial cell proliferation {GO:0050673}; lymphocyte proliferation {GO:0046651}; nervous system development {GO:0007399}; positive regulation of cell population proliferation {GO:0008284}</t>
  </si>
  <si>
    <t>dendrite cytoplasm {GO:0032839}; DNA replication factor A complex {GO:0005662}; glutamatergic synapse {GO:0098978}; neuronal cell body {GO:0043025}; nuclear chromosome, telomeric region {GO:0000784}; nucleus {GO:0005634}; postsynapse {GO:0098794}</t>
  </si>
  <si>
    <t>DNA-binding transcription factor activity, RNA polymerase II-specific {GO:0000981}; DNA-binding transcription repressor activity, RNA polymerase II-specific {GO:0001227}; double-stranded DNA binding {GO:0003690}; double-stranded telomeric DNA binding {GO:0003691}; purine-rich negative regulatory element binding {GO:0032422}; RNA binding {GO:0003723}; RNA polymerase II regulatory region sequence-specific DNA binding {GO:0000977}; sequence-specific DNA binding {GO:0043565}; single-stranded DNA binding {GO:0003697}; SMAD binding {GO:0046332}; transcription factor binding {GO:0008134}; translation repressor activity, mRNA regulatory element binding {GO:0000900}</t>
  </si>
  <si>
    <t>Core histone macro-H2A.1 (Histone macroH2A1; mH2A1)</t>
  </si>
  <si>
    <t>Histone H2A.y (H2A/y); Medulloblastoma antigen MU-MB-50.205</t>
  </si>
  <si>
    <t>H2AY_HUMAN</t>
  </si>
  <si>
    <t>O75367</t>
  </si>
  <si>
    <t>O75377; Q503A8; Q7Z5E3; Q96D41; Q9H8P3; Q9UP96</t>
  </si>
  <si>
    <t>MACROH2A1</t>
  </si>
  <si>
    <t>3D-structure; Acetylation; Alternative splicing; Chromatin regulator; Chromosome; DNA-binding; Isopeptide bond; Methylation; Nucleosome core; Nucleus; Phosphoprotein; Ubl conjugation</t>
  </si>
  <si>
    <t>chromatin organization {GO:0006325}; dosage compensation {GO:0007549}; establishment of protein localization to chromatin {GO:0071169}; negative regulation of cell cycle G2/M phase transition {GO:1902750}; negative regulation of gene expression, epigenetic {GO:0045814}; negative regulation of histone H3-K27 methylation {GO:0061086}; negative regulation of histone H3-K4 methylation {GO:0051572}; negative regulation of histone phosphorylation {GO:0033128}; negative regulation of protein localization to chromosome, telomeric region {GO:1904815}; negative regulation of protein serine/threonine kinase activity {GO:0071901}; negative regulation of response to oxidative stress {GO:1902883}; negative regulation of transcription by RNA polymerase II {GO:0000122}; negative regulation of transcription of nucleolar large rRNA by RNA polymerase I {GO:1901837}; nucleosome assembly {GO:0006334}; positive regulation of gene expression, epigenetic {GO:0045815}; positive regulation of keratinocyte differentiation {GO:0045618}; positive regulation of maintenance of mitotic sister chromatid cohesion {GO:0034184}; positive regulation of response to oxidative stress {GO:1902884}; regulation of gene expression, epigenetic {GO:0040029}; regulation of lipid metabolic process {GO:0019216}; regulation of response to oxidative stress {GO:1902882}</t>
  </si>
  <si>
    <t>Barr body {GO:0001740}; condensed chromosome {GO:0000793}; extracellular exosome {GO:0070062}; nuclear chromatin {GO:0000790}; nuclear chromosome {GO:0000228}; nuclear chromosome, telomeric region {GO:0000784}; nucleolus {GO:0005730}; nucleosome {GO:0000786}; nucleus {GO:0005634}; pericentric heterochromatin {GO:0005721}; sex chromatin {GO:0001739}</t>
  </si>
  <si>
    <t>chromatin DNA binding {GO:0031490}; DNA binding {GO:0003677}; double-stranded methylated DNA binding {GO:0010385}; enzyme binding {GO:0019899}; nucleosomal DNA binding {GO:0031492}; promoter-specific chromatin binding {GO:1990841}; protein heterodimerization activity {GO:0046982}; protein kinase binding {GO:0019901}; protein serine/threonine kinase inhibitor activity {GO:0030291}; rDNA binding {GO:0000182}; RNA polymerase II core promoter sequence-specific DNA binding {GO:0000979}; RNA polymerase II regulatory region sequence-specific DNA binding {GO:0000977}; transcription regulatory region DNA binding {GO:0044212}</t>
  </si>
  <si>
    <t>Solute carrier family 12 member 2</t>
  </si>
  <si>
    <t>Basolateral Na-K-Cl symporter; Bumetanide-sensitive sodium-(potassium)-chloride cotransporter 1</t>
  </si>
  <si>
    <t>S12A2_HUMAN</t>
  </si>
  <si>
    <t>P55011</t>
  </si>
  <si>
    <t>Q8N713; Q8WWH7</t>
  </si>
  <si>
    <t>NKCC1</t>
  </si>
  <si>
    <t>Acetylation; Alternative splicing; Chloride; Ion transport; Membrane; Phosphoprotein; Potassium; Potassium transport; Sodium; Sodium transport; Symport; Transmembrane; Transmembrane helix; Transport</t>
  </si>
  <si>
    <t>aging {GO:0007568}; ammonium transport {GO:0015696}; cell volume homeostasis {GO:0006884}; cellular response to chemokine {GO:1990869}; chloride ion homeostasis {GO:0055064}; chloride transmembrane transport {GO:1902476}; gamma-aminobutyric acid signaling pathway {GO:0007214}; hyperosmotic response {GO:0006972}; ion transport {GO:0006811}; positive regulation of cell volume {GO:0045795}; potassium ion homeostasis {GO:0055075}; potassium ion import across plasma membrane {GO:1990573}; sodium ion homeostasis {GO:0055078}; sodium ion transmembrane transport {GO:0035725}; T cell chemotaxis {GO:0010818}; transepithelial ammonium transport {GO:0070634}; transepithelial chloride transport {GO:0030321}</t>
  </si>
  <si>
    <t>apical plasma membrane {GO:0016324}; extracellular exosome {GO:0070062}; extracellular vesicle {GO:1903561}; integral component of plasma membrane {GO:0005887}; membrane {GO:0016020}; plasma membrane {GO:0005886}</t>
  </si>
  <si>
    <t>ammonium transmembrane transporter activity {GO:0008519}; potassium:chloride symporter activity {GO:0015379}; protein kinase binding {GO:0019901}; sodium ion transmembrane transporter activity {GO:0015081}; sodium:chloride symporter activity {GO:0015378}; sodium:potassium:chloride symporter activity {GO:0008511}</t>
  </si>
  <si>
    <t>Cation-coupled Chloride cotransporters {R-HSA-426117}</t>
  </si>
  <si>
    <t>A disintegrin and metalloproteinase with thrombospondin motifs 2 (ADAM-TS 2; ADAM-TS2; ADAMTS-2)</t>
  </si>
  <si>
    <t>Procollagen I N-proteinase (PC I-NP); Procollagen I/II amino propeptide-processing enzyme; Procollagen N-endopeptidase (pNPI)</t>
  </si>
  <si>
    <t>ATS2_HUMAN</t>
  </si>
  <si>
    <t>O95450</t>
  </si>
  <si>
    <t>PCINP; PCPNI</t>
  </si>
  <si>
    <t>Alternative splicing; Collagen degradation; Disulfide bond; Ehlers-Danlos syndrome; Extracellular matrix; Glycoprotein; Hydrolase; Metal-binding; Metalloprotease; Polymorphism; Protease; Repeat; Secreted; Signal; Zinc; Zymogen</t>
  </si>
  <si>
    <t>Ehlers-Danlos syndrome</t>
  </si>
  <si>
    <t>collagen catabolic process {GO:0030574}; collagen fibril organization {GO:0030199}; lung development {GO:0030324}; protein processing {GO:0016485}; skin development {GO:0043588}; spermatogenesis {GO:0007283}</t>
  </si>
  <si>
    <t>collagen-containing extracellular matrix {GO:0062023}; extracellular region {GO:0005576}</t>
  </si>
  <si>
    <t>metalloendopeptidase activity {GO:0004222}; metallopeptidase activity {GO:0008237}; zinc ion binding {GO:0008270}</t>
  </si>
  <si>
    <t>Enoyl-CoA hydratase 2</t>
  </si>
  <si>
    <t>17-beta-hydroxysteroid dehydrogenase 4 (17-beta-HSD 4); D-bifunctional protein (DBP); Multifunctional protein 2 (MPF-2); Short chain dehydrogenase/reductase family 8C member 1; 3-alpha,7-alpha,12-alpha-trihydroxy-5-beta-cholest-24-enoyl-CoA hydratase</t>
  </si>
  <si>
    <t>DHB4_HUMAN</t>
  </si>
  <si>
    <t>P51659</t>
  </si>
  <si>
    <t>B4DNV1; B4DVS5; E9PB82; F5HE57</t>
  </si>
  <si>
    <t>EDH17B4; SDR8C1</t>
  </si>
  <si>
    <t>3D-structure; Acetylation; Alternative splicing; Deafness; Disease mutation; Fatty acid metabolism; Isomerase; Lipid metabolism; Lyase; NAD; Oxidoreductase; Peroxisome; Phosphoprotein; Polymorphism</t>
  </si>
  <si>
    <t>Isomerase; Lyase; Oxidoreductase</t>
  </si>
  <si>
    <t>alpha-linolenic acid metabolic process {GO:0036109}; androgen metabolic process {GO:0008209}; bile acid biosynthetic process {GO:0006699}; estrogen metabolic process {GO:0008210}; fatty acid beta-oxidation {GO:0006635}; fatty acid beta-oxidation using acyl-CoA oxidase {GO:0033540}; medium-chain fatty-acyl-CoA metabolic process {GO:0036112}; osteoblast differentiation {GO:0001649}; protein targeting to peroxisome {GO:0006625}; Sertoli cell development {GO:0060009}; very long-chain fatty acid metabolic process {GO:0000038}; very long-chain fatty-acyl-CoA metabolic process {GO:0036111}</t>
  </si>
  <si>
    <t>cytosol {GO:0005829}; membrane {GO:0016020}; peroxisomal matrix {GO:0005782}; peroxisomal membrane {GO:0005778}; peroxisome {GO:0005777}</t>
  </si>
  <si>
    <t>17-beta-hydroxysteroid dehydrogenase (NAD+) activity {GO:0044594}; 3-hydroxyacyl-CoA dehydrogenase activity {GO:0003857}; 3alpha,7alpha,12alpha-trihydroxy-5beta-cholest-24-enoyl-CoA hydratase activity {GO:0033989}; isomerase activity {GO:0016853}; long-chain-enoyl-CoA hydratase activity {GO:0016508}; protein homodimerization activity {GO:0042803}; signaling receptor binding {GO:0005102}</t>
  </si>
  <si>
    <t>Synthesis of bile acids and bile salts via 7alpha-hydroxycholesterol {R-HSA-193368}; alpha-linolenic acid (ALA) metabolism {R-HSA-2046106}; Beta-oxidation of pristanoyl-CoA {R-HSA-389887}; Beta-oxidation of very long chain fatty acids {R-HSA-390247}; Peroxisomal protein import {R-HSA-9033241}; TYSND1 cleaves peroxisomal proteins {R-HSA-9033500}</t>
  </si>
  <si>
    <t>Creatine kinase S-type, mitochondrial</t>
  </si>
  <si>
    <t>Basic-type mitochondrial creatine kinase (Mib-CK); Sarcomeric mitochondrial creatine kinase (S-MtCK)</t>
  </si>
  <si>
    <t>KCRS_HUMAN</t>
  </si>
  <si>
    <t>P17540</t>
  </si>
  <si>
    <t>Q6ICS8; Q8N1E1</t>
  </si>
  <si>
    <t>3D-structure; ATP-binding; Kinase; Membrane; Mitochondrion; Mitochondrion inner membrane; Nucleotide-binding; Phosphoprotein; Transferase; Transit peptide</t>
  </si>
  <si>
    <t>creatine metabolic process {GO:0006600}; muscle contraction {GO:0006936}; phosphocreatine biosynthetic process {GO:0046314}</t>
  </si>
  <si>
    <t>Complement component C7</t>
  </si>
  <si>
    <t>CO7_HUMAN</t>
  </si>
  <si>
    <t>P10643</t>
  </si>
  <si>
    <t>A8K2T4; Q6P3T5; Q92489</t>
  </si>
  <si>
    <t>3D-structure; Complement alternate pathway; Complement pathway; Cytolysis; Disease mutation; Disulfide bond; EGF-like domain; Glycoprotein; Immunity; Innate immunity; Membrane attack complex; Polymorphism; Repeat; Secreted; Signal; Sushi</t>
  </si>
  <si>
    <t>cellular sodium ion homeostasis {GO:0006883}; complement activation {GO:0006956}; complement activation, alternative pathway {GO:0006957}; complement activation, classical pathway {GO:0006958}; cytolysis {GO:0019835}; regulation of complement activation {GO:0030449}</t>
  </si>
  <si>
    <t>extracellular exosome {GO:0070062}; extracellular region {GO:0005576}; membrane attack complex {GO:0005579}</t>
  </si>
  <si>
    <t>Synaptopodin</t>
  </si>
  <si>
    <t>SYNPO_HUMAN</t>
  </si>
  <si>
    <t>Q8N3V7</t>
  </si>
  <si>
    <t>A5PKZ8; D3DQG8; O15271; Q9UPX1</t>
  </si>
  <si>
    <t>KIAA1029</t>
  </si>
  <si>
    <t>Acetylation; Actin-binding; Alternative splicing; Cell junction; Cell membrane; Cell projection; Cytoplasm; Cytoskeleton; Glycoprotein; Membrane; Phosphoprotein; Postsynaptic cell membrane; Synapse; Tight junction</t>
  </si>
  <si>
    <t>Cell junction; Cell membrane; Cell projection; Cytoplasm; Cytoskeleton; Membrane; Postsynaptic cell membrane; Synapse; Tight junction</t>
  </si>
  <si>
    <t>modification of dendritic spine {GO:0098886}; positive regulation of actin filament bundle assembly {GO:0032233}; positive regulation of postsynaptic cytosolic calcium concentration {GO:0099588}; postsynaptic modulation of chemical synaptic transmission {GO:0099170}; regulation of long-term neuronal synaptic plasticity {GO:0048169}; regulation of stress fiber assembly {GO:0051492}; spine apparatus assembly {GO:1905355}; visual learning {GO:0008542}</t>
  </si>
  <si>
    <t>actin cytoskeleton {GO:0015629}; bicellular tight junction {GO:0005923}; dendritic spine {GO:0043197}; glutamatergic synapse {GO:0098978}; nucleus {GO:0005634}; perikaryon {GO:0043204}; postsynaptic density {GO:0014069}; postsynaptic membrane {GO:0045211}; Schaffer collateral - CA1 synapse {GO:0098685}; spine apparatus {GO:0097444}; stress fiber {GO:0001725}; Z disc {GO:0030018}</t>
  </si>
  <si>
    <t>Transmembrane emp24 domain-containing protein 7</t>
  </si>
  <si>
    <t>p24 family protein gamma-3 (p24gamma3); p27</t>
  </si>
  <si>
    <t>TMED7_HUMAN</t>
  </si>
  <si>
    <t>Q9Y3B3</t>
  </si>
  <si>
    <t>Q8NBU8; Q8WUU6; Q96K51</t>
  </si>
  <si>
    <t>Alternative splicing; Cytoplasmic vesicle; Endoplasmic reticulum; Glycoprotein; Golgi apparatus; Membrane; Protein transport; Signal; Transmembrane; Transmembrane helix; Transport</t>
  </si>
  <si>
    <t>endoplasmic reticulum to Golgi vesicle-mediated transport {GO:0006888}; Golgi organization {GO:0007030}; intracellular protein transport {GO:0006886}; retrograde vesicle-mediated transport, Golgi to endoplasmic reticulum {GO:0006890}</t>
  </si>
  <si>
    <t>COPI vesicle coat {GO:0030126}; COPII vesicle coat {GO:0030127}; COPII-coated ER to Golgi transport vesicle {GO:0030134}; endoplasmic reticulum {GO:0005783}; endoplasmic reticulum membrane {GO:0005789}; endoplasmic reticulum-Golgi intermediate compartment {GO:0005793}; endoplasmic reticulum-Golgi intermediate compartment membrane {GO:0033116}; Golgi apparatus {GO:0005794}; Golgi membrane {GO:0000139}; integral component of membrane {GO:0016021}; transport vesicle {GO:0030133}</t>
  </si>
  <si>
    <t>Sorting nexin-18</t>
  </si>
  <si>
    <t>SH3 and PX domain-containing protein 3B; Sorting nexin-associated Golgi protein 1</t>
  </si>
  <si>
    <t>SNX18_HUMAN</t>
  </si>
  <si>
    <t>Q96RF0</t>
  </si>
  <si>
    <t>B4E2B3; H7BXX3; Q05BB3; Q0VG02</t>
  </si>
  <si>
    <t>SH3PXD3B; SNAG1</t>
  </si>
  <si>
    <t>Alternative splicing; Cell cycle; Cell division; Cell membrane; Cytoplasmic vesicle; Endocytosis; Endosome; Lipid-binding; Membrane; Mitosis; Polymorphism; Protein transport; SH3 domain; Transport</t>
  </si>
  <si>
    <t>Cell cycle; Cell division; Endocytosis; Mitosis; Protein transport; Transport</t>
  </si>
  <si>
    <t>cleavage furrow formation {GO:0036089}; endocytosis {GO:0006897}; endosomal transport {GO:0016197}; mitotic cytokinesis {GO:0000281}; positive regulation of GTPase activity {GO:0043547}; protein transport {GO:0015031}</t>
  </si>
  <si>
    <t>cytoplasmic vesicle {GO:0031410}; cytoplasmic vesicle membrane {GO:0030659}; endosome membrane {GO:0010008}; extracellular exosome {GO:0070062}; extrinsic component of cytoplasmic side of plasma membrane {GO:0031234}</t>
  </si>
  <si>
    <t>phosphatidylinositol-4,5-bisphosphate binding {GO:0005546}</t>
  </si>
  <si>
    <t>Heat shock 70 kDa protein 4</t>
  </si>
  <si>
    <t>HSP70RY; Heat shock 70-related protein APG-2</t>
  </si>
  <si>
    <t>HSP74_HUMAN</t>
  </si>
  <si>
    <t>P34932</t>
  </si>
  <si>
    <t>O95756; Q2TAL4; Q9BUK9</t>
  </si>
  <si>
    <t>APG2</t>
  </si>
  <si>
    <t>Acetylation; Alternative splicing; ATP-binding; Cytoplasm; Methylation; Nucleotide-binding; Phosphoprotein; Stress response</t>
  </si>
  <si>
    <t>chaperone-mediated protein complex assembly {GO:0051131}; protein insertion into mitochondrial outer membrane {GO:0045040}; response to unfolded protein {GO:0006986}</t>
  </si>
  <si>
    <t>Non-histone chromosomal protein HMG-17</t>
  </si>
  <si>
    <t>High mobility group nucleosome-binding domain-containing protein 2</t>
  </si>
  <si>
    <t>HMGN2_HUMAN</t>
  </si>
  <si>
    <t>P05204</t>
  </si>
  <si>
    <t>Q0VGD5; Q6FGI5; Q96C64</t>
  </si>
  <si>
    <t>HMG17</t>
  </si>
  <si>
    <t>Acetylation; ADP-ribosylation; Cytoplasm; DNA-binding; Isopeptide bond; Nucleus; Phosphoprotein; Polymorphism; Ubl conjugation</t>
  </si>
  <si>
    <t>ADP-ribosylation; Acetylation; Isopeptide bond; Phosphoprotein; Ubl conjugation</t>
  </si>
  <si>
    <t>antimicrobial humoral immune response mediated by antimicrobial peptide {GO:0061844}; killing of cells of other organism {GO:0031640}</t>
  </si>
  <si>
    <t>chromatin {GO:0000785}; cytoplasm {GO:0005737}; extracellular space {GO:0005615}; nucleus {GO:0005634}</t>
  </si>
  <si>
    <t>nucleosomal DNA binding {GO:0031492}; RNA binding {GO:0003723}</t>
  </si>
  <si>
    <t>LG3 peptide</t>
  </si>
  <si>
    <t>Perlecan (PLC)</t>
  </si>
  <si>
    <t>PGBM_HUMAN</t>
  </si>
  <si>
    <t>P98160</t>
  </si>
  <si>
    <t>Q16287; Q5SZI3; Q9H3V5</t>
  </si>
  <si>
    <t>3D-structure; Angiogenesis; Basement membrane; Calcium; Disease mutation; Disulfide bond; EGF-like domain; Extracellular matrix; Glycoprotein; Heparan sulfate; Immunoglobulin domain; Laminin EGF-like domain; Metal-binding; Polymorphism; Proteoglycan; Repeat; Secreted; Signal</t>
  </si>
  <si>
    <t>EGF-like domain; Immunoglobulin domain; Laminin EGF-like domain; Repeat; Signal</t>
  </si>
  <si>
    <t>Disulfide bond; Glycoprotein; Heparan sulfate; Proteoglycan</t>
  </si>
  <si>
    <t>angiogenesis {GO:0001525}; animal organ morphogenesis {GO:0009887}; brain development {GO:0007420}; cardiovascular system development {GO:0072358}; cell differentiation {GO:0030154}; cell migration {GO:0016477}; cellular protein metabolic process {GO:0044267}; extracellular matrix organization {GO:0030198}; glycosaminoglycan biosynthetic process {GO:0006024}; glycosaminoglycan catabolic process {GO:0006027}; inflammatory response {GO:0006954}; lipid metabolic process {GO:0006629}; negative regulation of amyloid fibril formation {GO:1905907}; negative regulation of angiogenesis {GO:0016525}; negative regulation of cell death {GO:0060548}; receptor-mediated endocytosis {GO:0006898}; retinoid metabolic process {GO:0001523}; substrate adhesion-dependent cell spreading {GO:0034446}; tissue development {GO:0009888}</t>
  </si>
  <si>
    <t>basement membrane {GO:0005604}; collagen-containing extracellular matrix {GO:0062023}; extracellular exosome {GO:0070062}; extracellular region {GO:0005576}; extracellular space {GO:0005615}; focal adhesion {GO:0005925}; Golgi lumen {GO:0005796}; lysosomal lumen {GO:0043202}; plasma membrane {GO:0005886}; plasma membrane protein complex {GO:0098797}</t>
  </si>
  <si>
    <t>amyloid-beta binding {GO:0001540}; calcium ion binding {GO:0005509}; extracellular matrix structural constituent conferring compression resistance {GO:0030021}; integrin binding {GO:0005178}; low-density lipoprotein particle receptor binding {GO:0050750}; protein C-terminus binding {GO:0008022}</t>
  </si>
  <si>
    <t>Degradation of the extracellular matrix {R-HSA-1474228}; A tetrasaccharide linker sequence is required for GAG synthesis {R-HSA-1971475}; HS-GAG biosynthesis {R-HSA-2022928}; HS-GAG degradation {R-HSA-2024096}; Integrin cell surface interactions {R-HSA-216083}; Laminin interactions {R-HSA-3000157}; Non-integrin membrane-ECM interactions {R-HSA-3000171}; ECM proteoglycans {R-HSA-3000178};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Retinoid metabolism and transport {R-HSA-975634}; Amyloid fiber formation {R-HSA-977225}</t>
  </si>
  <si>
    <t>Sideroflexin-1</t>
  </si>
  <si>
    <t>SFXN1_HUMAN</t>
  </si>
  <si>
    <t>Q9H9B4</t>
  </si>
  <si>
    <t>B3KPW3; D3DQN2; Q9HA53</t>
  </si>
  <si>
    <t>Acetylation; Amino-acid transport; Membrane; Mitochondrion; Mitochondrion inner membrane; One-carbon metabolism; Polymorphism; Transmembrane; Transmembrane helix; Transport</t>
  </si>
  <si>
    <t>Amino-acid transport; One-carbon metabolism; Transport</t>
  </si>
  <si>
    <t>D-serine transport {GO:0042942}; erythrocyte differentiation {GO:0030218}; iron ion transport {GO:0006826}; L-serine transport {GO:0015825}; one-carbon metabolic process {GO:0006730}; serine import into mitochondrion {GO:0140300}</t>
  </si>
  <si>
    <t>integral component of mitochondrial inner membrane {GO:0031305}; mitochondrion {GO:0005739}</t>
  </si>
  <si>
    <t>D-serine transmembrane transporter activity {GO:0042945}; L-serine transmembrane transporter activity {GO:0015194}</t>
  </si>
  <si>
    <t>Disabled homolog 2</t>
  </si>
  <si>
    <t>Adaptor molecule disabled-2; Differentially expressed in ovarian carcinoma 2 (DOC-2); Differentially-expressed protein 2</t>
  </si>
  <si>
    <t>DAB2_HUMAN</t>
  </si>
  <si>
    <t>P98082</t>
  </si>
  <si>
    <t>A6NES5; Q13598; Q9BTY0; Q9UK04</t>
  </si>
  <si>
    <t>DOC2</t>
  </si>
  <si>
    <t>3D-structure; Acetylation; Alternative splicing; Apoptosis; Coated pit; Cytoplasm; Cytoplasmic vesicle; Developmental protein; Differentiation; Endocytosis; Membrane; Phosphoprotein; Polymorphism; Protein transport; Transport; Tumor suppressor; Wnt signaling pathway</t>
  </si>
  <si>
    <t>Apoptosis; Differentiation; Endocytosis; Protein transport; Transport; Wnt signaling pathway</t>
  </si>
  <si>
    <t>Coated pit; Cytoplasm; Cytoplasmic vesicle; Membrane</t>
  </si>
  <si>
    <t>apoptotic process {GO:0006915}; leading edge cell differentiation {GO:0035026}; membrane organization {GO:0061024}; multicellular organism development {GO:0007275}; negative regulation of androgen receptor signaling pathway {GO:0060766}; negative regulation of apoptotic process {GO:0043066}; negative regulation of canonical Wnt signaling pathway {GO:0090090}; negative regulation of protein binding {GO:0032091}; negative regulation of protein localization to plasma membrane {GO:1903077}; negative regulation of transcription, DNA-templated {GO:0045892}; positive regulation of cell migration {GO:0030335}; positive regulation of clathrin-dependent endocytosis {GO:2000370}; positive regulation of early endosome to late endosome transport {GO:2000643}; positive regulation of endocytosis {GO:0045807}; positive regulation of epithelial to mesenchymal transition {GO:0010718}; positive regulation of pathway-restricted SMAD protein phosphorylation {GO:0010862}; positive regulation of proteasomal ubiquitin-dependent protein catabolic process {GO:0032436}; positive regulation of protein phosphorylation {GO:0001934}; positive regulation of SMAD protein signal transduction {GO:0060391}; positive regulation of transcription, DNA-templated {GO:0045893}; positive regulation of transforming growth factor beta receptor signaling pathway {GO:0030511}; positive regulation of Wnt signaling pathway, planar cell polarity pathway {GO:2000096}; protein transport {GO:0015031}; receptor-mediated endocytosis {GO:0006898}; Wnt signaling pathway {GO:0016055}</t>
  </si>
  <si>
    <t>clathrin-coated pit {GO:0005905}; clathrin-coated vesicle {GO:0030136}; clathrin-coated vesicle membrane {GO:0030665}; cytoplasm {GO:0005737}; cytosol {GO:0005829}; fibrillar center {GO:0001650}; focal adhesion {GO:0005925}; intracellular membrane-bounded organelle {GO:0043231}; lysosomal membrane {GO:0005765}; plasma membrane {GO:0005886}</t>
  </si>
  <si>
    <t>cargo receptor activity {GO:0038024}; clathrin adaptor activity {GO:0035615}; protein C-terminus binding {GO:0008022}; SMAD binding {GO:0046332}</t>
  </si>
  <si>
    <t>Gap junction degradation {R-HSA-190873}; Formation of annular gap junctions {R-HSA-196025}; Cargo recognition for clathrin-mediated endocytosis {R-HSA-8856825}; Clathrin-mediated endocytosis {R-HSA-8856828}</t>
  </si>
  <si>
    <t>Semaphorin-5A</t>
  </si>
  <si>
    <t>Semaphorin-F (Sema F)</t>
  </si>
  <si>
    <t>SEM5A_HUMAN</t>
  </si>
  <si>
    <t>Q13591</t>
  </si>
  <si>
    <t>D3DTC6; O60408; Q1RLL9</t>
  </si>
  <si>
    <t>SEMAF</t>
  </si>
  <si>
    <t>Developmental protein; Differentiation; Disulfide bond; Glycoprotein; Membrane; Neurogenesis; Polymorphism; Repeat; Signal; Transmembrane; Transmembrane helix</t>
  </si>
  <si>
    <t>axon extension {GO:0048675}; axonal fasciculation {GO:0007413}; blood vessel endothelial cell proliferation involved in sprouting angiogenesis {GO:0002043}; cell adhesion {GO:0007155}; cell chemotaxis {GO:0060326}; cell-cell signaling {GO:0007267}; diencephalon development {GO:0021536}; negative regulation of axon extension involved in axon guidance {GO:0048843}; negative regulation of cell adhesion {GO:0007162}; negative regulation of endothelial cell apoptotic process {GO:2000352}; nervous system development {GO:0007399}; neural crest cell migration {GO:0001755}; neuron projection guidance {GO:0097485}; positive chemotaxis {GO:0050918}; positive regulation of actin filament depolymerization {GO:0030836}; positive regulation of angiogenesis {GO:0045766}; positive regulation of axon extension involved in axon guidance {GO:0048842}; positive regulation of canonical Wnt signaling pathway {GO:0090263}; positive regulation of cell migration {GO:0030335}; positive regulation of endothelial cell chemotaxis {GO:2001028}; positive regulation of endothelial cell proliferation {GO:0001938}; positive regulation of protein kinase B signaling {GO:0051897}; semaphorin-plexin signaling pathway {GO:0071526}; signal clustering {GO:1990256}</t>
  </si>
  <si>
    <t>extracellular exosome {GO:0070062}; integral component of membrane {GO:0016021}; membrane {GO:0016020}; plasma membrane {GO:0005886}</t>
  </si>
  <si>
    <t>chemorepellent activity {GO:0045499}; chondroitin sulfate proteoglycan binding {GO:0035373}; heparan sulfate proteoglycan binding {GO:0043395}; semaphorin receptor binding {GO:0030215}; syndecan binding {GO:0045545}</t>
  </si>
  <si>
    <t>Other semaphorin interactions {R-HSA-416700}; Defective B3GALTL causes Peters-plus syndrome (PpS) {R-HSA-5083635}; O-glycosylation of TSR domain-containing proteins {R-HSA-5173214}</t>
  </si>
  <si>
    <t>Solute carrier family 23 member 1</t>
  </si>
  <si>
    <t>Na(+)/L-ascorbic acid transporter 1; Sodium-dependent vitamin C transporter 1 (hSVCT1); Yolk sac permease-like molecule 3</t>
  </si>
  <si>
    <t>S23A1_HUMAN</t>
  </si>
  <si>
    <t>Q9UHI7</t>
  </si>
  <si>
    <t>O95191; Q8WWB6; Q9UGH4; Q9UI39</t>
  </si>
  <si>
    <t>SVCT1; YSPL3</t>
  </si>
  <si>
    <t>Alternative splicing; Cell membrane; Glycoprotein; Ion transport; Membrane; Phosphoprotein; Polymorphism; Sodium; Sodium transport; Symport; Transmembrane; Transmembrane helix; Transport</t>
  </si>
  <si>
    <t>brain development {GO:0007420}; dehydroascorbic acid transport {GO:0070837}; L-ascorbic acid metabolic process {GO:0019852}; L-ascorbic acid transmembrane transport {GO:0015882}; lung development {GO:0030324}; nucleobase transport {GO:0015851}; nucleobase-containing compound metabolic process {GO:0006139}; response to toxic substance {GO:0009636}; sodium ion transport {GO:0006814}; transepithelial L-ascorbic acid transport {GO:0070904}</t>
  </si>
  <si>
    <t>apical plasma membrane {GO:0016324}; basal plasma membrane {GO:0009925}; cytoplasm {GO:0005737}; extracellular exosome {GO:0070062}; integral component of plasma membrane {GO:0005887}; intracellular organelle {GO:0043229}; membrane {GO:0016020}; plasma membrane {GO:0005886}</t>
  </si>
  <si>
    <t>dehydroascorbic acid transmembrane transporter activity {GO:0033300}; L-ascorbate:sodium symporter activity {GO:0008520}; L-ascorbic acid transmembrane transporter activity {GO:0015229}; nucleobase transmembrane transporter activity {GO:0015205}; sodium ion transmembrane transporter activity {GO:0015081}; sodium-dependent L-ascorbate transmembrane transporter activity {GO:0070890}</t>
  </si>
  <si>
    <t>Vitamin C (ascorbate) metabolism {R-HSA-196836}</t>
  </si>
  <si>
    <t>Calnexin</t>
  </si>
  <si>
    <t>IP90; Major histocompatibility complex class I antigen-binding protein p88; p90</t>
  </si>
  <si>
    <t>CALX_HUMAN</t>
  </si>
  <si>
    <t>P27824</t>
  </si>
  <si>
    <t>B2R5V8; B4DGP8; B4E2T8; D3DWQ3; D6R9K3</t>
  </si>
  <si>
    <t>Acetylation; Alternative splicing; Calcium; Chaperone; Disulfide bond; Endoplasmic reticulum; Lectin; Lipoprotein; Membrane; Metal-binding; Palmitate; Phosphoprotein; Repeat; Signal; Transmembrane; Transmembrane helix; Ubl conjugation</t>
  </si>
  <si>
    <t>aging {GO:0007568}; antigen processing and presentation of exogenous peptide antigen via MHC class II {GO:0019886}; antigen processing and presentation of peptide antigen via MHC class I {GO:0002474}; clathrin-dependent endocytosis {GO:0072583}; interleukin-27-mediated signaling pathway {GO:0070106}; interleukin-35-mediated signaling pathway {GO:0070757}; protein folding {GO:0006457}; protein folding in endoplasmic reticulum {GO:0034975}; protein secretion {GO:0009306}; synaptic vesicle endocytosis {GO:0048488}</t>
  </si>
  <si>
    <t>axon {GO:0030424}; dendrite cytoplasm {GO:0032839}; dendritic spine {GO:0043197}; endoplasmic reticulum {GO:0005783}; endoplasmic reticulum lumen {GO:0005788}; endoplasmic reticulum membrane {GO:0005789}; endoplasmic reticulum quality control compartment {GO:0044322}; extracellular exosome {GO:0070062}; glutamatergic synapse {GO:0098978}; integral component of lumenal side of endoplasmic reticulum membrane {GO:0071556}; integral component of postsynaptic membrane {GO:0099055}; integral component of presynaptic active zone membrane {GO:0099059}; melanosome {GO:0042470}; membrane {GO:0016020}; mitochondria-associated endoplasmic reticulum membrane {GO:0044233}; neuronal cell body {GO:0043025}; ribosome {GO:0005840}; rough endoplasmic reticulum {GO:0005791}; smooth endoplasmic reticulum {GO:0005790}</t>
  </si>
  <si>
    <t>apolipoprotein binding {GO:0034185}; calcium ion binding {GO:0005509}; carbohydrate binding {GO:0030246}; ionotropic glutamate receptor binding {GO:0035255}; RNA binding {GO:0003723}; unfolded protein binding {GO:0051082}</t>
  </si>
  <si>
    <t>Assembly of Viral Components at the Budding Site {R-HSA-168316}; MHC class II antigen presentation {R-HSA-2132295}; Interleukin-35 Signalling {R-HSA-8984722}; Calnexin/calreticulin cycle {R-HSA-901042}; Interleukin-27 signaling {R-HSA-9020956}; Antigen Presentation: Folding, assembly and peptide loading of class I MHC {R-HSA-983170}</t>
  </si>
  <si>
    <t>Calpastatin</t>
  </si>
  <si>
    <t>Calpain inhibitor; Sperm BS-17 component</t>
  </si>
  <si>
    <t>ICAL_HUMAN</t>
  </si>
  <si>
    <t>P20810</t>
  </si>
  <si>
    <t>B7Z468; G5E946; G5E9D3; O95360; Q05DE8; Q7Z4K0; Q96D08; Q9H1Z5</t>
  </si>
  <si>
    <t>Acetylation; Alternative splicing; Isopeptide bond; Palmoplantar keratoderma; Phosphoprotein; Polymorphism; Protease inhibitor; Repeat; Thiol protease inhibitor; Ubl conjugation</t>
  </si>
  <si>
    <t>Palmoplantar keratoderma</t>
  </si>
  <si>
    <t>inhibition of cysteine-type endopeptidase activity {GO:0097340}; negative regulation of type B pancreatic cell apoptotic process {GO:2000675}; presynaptic active zone organization {GO:1990709}</t>
  </si>
  <si>
    <t>cytosol {GO:0005829}; endoplasmic reticulum {GO:0005783}; membrane {GO:0016020}</t>
  </si>
  <si>
    <t>cadherin binding {GO:0045296}; calcium-dependent cysteine-type endopeptidase inhibitor activity {GO:0010859}; endopeptidase inhibitor activity {GO:0004866}; protease binding {GO:0002020}; RNA binding {GO:0003723}</t>
  </si>
  <si>
    <t>Degradation of the extracellular matrix {R-HSA-1474228}; Deregulated CDK5 triggers multiple neurodegenerative pathways in Alzheimer's disease models {R-HSA-8862803}</t>
  </si>
  <si>
    <t>Transportin-1</t>
  </si>
  <si>
    <t>Importin beta-2; Karyopherin beta-2; M9 region interaction protein (MIP)</t>
  </si>
  <si>
    <t>TNPO1_HUMAN</t>
  </si>
  <si>
    <t>Q92973</t>
  </si>
  <si>
    <t>B4DVC6; Q92957; Q92975</t>
  </si>
  <si>
    <t>KPNB2; MIP1; TRN</t>
  </si>
  <si>
    <t>3D-structure; Acetylation; Alternative splicing; Cytoplasm; Host-virus interaction; Nucleus; Protein transport; Repeat; Transport</t>
  </si>
  <si>
    <t>intraciliary transport involved in cilium assembly {GO:0035735}; NLS-bearing protein import into nucleus {GO:0006607}; protein import into nucleus {GO:0006606}; regulation of mRNA stability {GO:0043488}; ribosomal protein import into nucleus {GO:0006610}; viral process {GO:0016032}</t>
  </si>
  <si>
    <t>cilium {GO:0005929}; cytoplasm {GO:0005737}; cytosol {GO:0005829}; extracellular exosome {GO:0070062}; nuclear membrane {GO:0031965}; nuclear periphery {GO:0034399}; nucleus {GO:0005634}</t>
  </si>
  <si>
    <t>nuclear localization sequence binding {GO:0008139}; Ran GTPase binding {GO:0008536}; RNA binding {GO:0003723}</t>
  </si>
  <si>
    <t>Tristetraprolin (TTP, ZFP36) binds and destabilizes mRNA {R-HSA-450513}; Intraflagellar transport {R-HSA-5620924}</t>
  </si>
  <si>
    <t>Clathrin interactor 1</t>
  </si>
  <si>
    <t>Clathrin-interacting protein localized in the trans-Golgi region (Clint); Enthoprotin; Epsin-4; Epsin-related protein (EpsinR)</t>
  </si>
  <si>
    <t>EPN4_HUMAN</t>
  </si>
  <si>
    <t>Q14677</t>
  </si>
  <si>
    <t>B7Z6F8; D3DQJ6; Q8NAF1; Q96E05</t>
  </si>
  <si>
    <t>ENTH; EPN4; EPNR; KIAA0171</t>
  </si>
  <si>
    <t>3D-structure; Alternative splicing; Cytoplasm; Cytoplasmic vesicle; Endocytosis; Lipid-binding; Membrane; Phosphoprotein</t>
  </si>
  <si>
    <t>Cytoplasm; Cytoplasmic vesicle; Membrane</t>
  </si>
  <si>
    <t>clathrin coat assembly {GO:0048268}; endocytosis {GO:0006897}</t>
  </si>
  <si>
    <t>clathrin-coated vesicle {GO:0030136}; cytosol {GO:0005829}; Golgi apparatus {GO:0005794}; intracellular membrane-bounded organelle {GO:0043231}; membrane {GO:0016020}; nucleoplasm {GO:0005654}; perinuclear region of cytoplasm {GO:0048471}</t>
  </si>
  <si>
    <t>cadherin binding {GO:0045296}; clathrin binding {GO:0030276}; lipid binding {GO:0008289}</t>
  </si>
  <si>
    <t>Alpha-aminoadipic semialdehyde dehydrogenase (Alpha-AASA dehydrogenase)</t>
  </si>
  <si>
    <t>Aldehyde dehydrogenase family 7 member A1; Antiquitin-1; Betaine aldehyde dehydrogenase; Delta1-piperideine-6-carboxylate dehydrogenase (P6c dehydrogenase)</t>
  </si>
  <si>
    <t>AL7A1_HUMAN</t>
  </si>
  <si>
    <t>P49419</t>
  </si>
  <si>
    <t>B2R669; B4DIC7; B4DMA0; E7EPT3; O14619; Q6IPU8; Q9BUL4</t>
  </si>
  <si>
    <t>ATQ1</t>
  </si>
  <si>
    <t>3D-structure; Acetylation; Alternative splicing; Cytoplasm; Disease mutation; Epilepsy; Mitochondrion; NAD; Nucleus; Oxidoreductase; Polymorphism; Transit peptide</t>
  </si>
  <si>
    <t>cellular aldehyde metabolic process {GO:0006081}; choline catabolic process {GO:0042426}; glycine betaine biosynthetic process from choline {GO:0019285}; lysine catabolic process {GO:0006554}; sensory perception of sound {GO:0007605}</t>
  </si>
  <si>
    <t>cytosol {GO:0005829}; extracellular exosome {GO:0070062}; mitochondrial matrix {GO:0005759}; mitochondrion {GO:0005739}; nucleus {GO:0005634}</t>
  </si>
  <si>
    <t>aldehyde dehydrogenase (NAD) activity {GO:0004029}; betaine-aldehyde dehydrogenase activity {GO:0008802}; glyceraldehyde-3-phosphate dehydrogenase (NAD+) (non-phosphorylating) activity {GO:0043878}; L-aminoadipate-semialdehyde dehydrogenase activity {GO:0004043}</t>
  </si>
  <si>
    <t>Amine and polyamine biosynthesis; betaine biosynthesis via choline pathway; betaine from betaine aldehyde: step 1/1.</t>
  </si>
  <si>
    <t>Choline catabolism {R-HSA-6798163}; Lysine catabolism {R-HSA-71064}</t>
  </si>
  <si>
    <t>NAD(P) transhydrogenase, mitochondrial</t>
  </si>
  <si>
    <t>Nicotinamide nucleotide transhydrogenase; Pyridine nucleotide transhydrogenase</t>
  </si>
  <si>
    <t>NNTM_HUMAN</t>
  </si>
  <si>
    <t>Q13423</t>
  </si>
  <si>
    <t>Q16796; Q2TB60; Q8N3V4</t>
  </si>
  <si>
    <t>3D-structure; Acetylation; Disease mutation; Membrane; Mitochondrion; Mitochondrion inner membrane; NAD; NADP; Transit peptide; Translocase; Transmembrane; Transmembrane helix</t>
  </si>
  <si>
    <t>cell redox homeostasis {GO:0045454}; cellular oxidant detoxification {GO:0098869}; NADPH regeneration {GO:0006740}; negative regulation of apoptotic process {GO:0043066}; negative regulation of protein phosphorylation {GO:0001933}; oxidation-reduction process {GO:0055114}; oxygen homeostasis {GO:0032364}; positive regulation of hydrogen peroxide catabolic process {GO:1903285}; positive regulation of mitochondrial membrane potential {GO:0010918}; proton transmembrane transport {GO:1902600}; reactive oxygen species metabolic process {GO:0072593}; response to vitamin {GO:0033273}; tricarboxylic acid cycle {GO:0006099}</t>
  </si>
  <si>
    <t>integral component of membrane {GO:0016021}; membrane {GO:0016020}; mitochondrial inner membrane {GO:0005743}; mitochondrial respirasome {GO:0005746}; mitochondrion {GO:0005739}</t>
  </si>
  <si>
    <t>NAD binding {GO:0051287}; NAD(P)+ transhydrogenase (B-specific) activity {GO:0003957}; NAD(P)+ transhydrogenase activity {GO:0008746}; NADP binding {GO:0050661}</t>
  </si>
  <si>
    <t>Vesicular integral-membrane protein VIP36</t>
  </si>
  <si>
    <t>Glycoprotein GP36b; Lectin mannose-binding 2; Vesicular integral-membrane protein 36 (VIP36)</t>
  </si>
  <si>
    <t>LMAN2_HUMAN</t>
  </si>
  <si>
    <t>Q12907</t>
  </si>
  <si>
    <t>Q53HH1</t>
  </si>
  <si>
    <t>C5orf8</t>
  </si>
  <si>
    <t>Calcium; Disulfide bond; Endoplasmic reticulum; Glycoprotein; Golgi apparatus; Lectin; Membrane; Metal-binding; Protein transport; Signal; Transmembrane; Transmembrane helix; Transport</t>
  </si>
  <si>
    <t>endoplasmic reticulum organization {GO:0007029}; endoplasmic reticulum to Golgi vesicle-mediated transport {GO:0006888}; Golgi organization {GO:0007030}; positive regulation of phagocytosis {GO:0050766}; protein transport {GO:0015031}; retrograde vesicle-mediated transport, Golgi to endoplasmic reticulum {GO:0006890}</t>
  </si>
  <si>
    <t>cell surface {GO:0009986}; COPII-coated ER to Golgi transport vesicle {GO:0030134}; endoplasmic reticulum membrane {GO:0005789}; endoplasmic reticulum-Golgi intermediate compartment {GO:0005793}; endoplasmic reticulum-Golgi intermediate compartment membrane {GO:0033116}; extracellular exosome {GO:0070062}; extracellular space {GO:0005615}; Golgi apparatus {GO:0005794}; Golgi membrane {GO:0000139}; integral component of plasma membrane {GO:0005887}</t>
  </si>
  <si>
    <t>carbohydrate binding {GO:0030246}; heat shock protein binding {GO:0031072}; mannose binding {GO:0005537}; metal ion binding {GO:0046872}</t>
  </si>
  <si>
    <t>COPII-mediated vesicle transport {R-HSA-204005}; Cargo concentration in the ER {R-HSA-5694530}</t>
  </si>
  <si>
    <t>Monocyte differentiation antigen CD14, membrane-bound form</t>
  </si>
  <si>
    <t>Myeloid cell-specific leucine-rich glycoprotein; CD_antigen=CD14</t>
  </si>
  <si>
    <t>CD14_HUMAN</t>
  </si>
  <si>
    <t>P08571</t>
  </si>
  <si>
    <t>Q53XT5; Q96FR6; Q96L99; Q9UNS3</t>
  </si>
  <si>
    <t>3D-structure; Cell membrane; Disulfide bond; Glycoprotein; Golgi apparatus; GPI-anchor; Immunity; Inflammatory response; Innate immunity; Leucine-rich repeat; Lipoprotein; Membrane; Polymorphism; Repeat; Secreted; Signal</t>
  </si>
  <si>
    <t>apoptotic process {GO:0006915}; apoptotic signaling pathway {GO:0097190}; cell surface receptor signaling pathway {GO:0007166}; cellular response to diacyl bacterial lipopeptide {GO:0071726}; cellular response to lipopolysaccharide {GO:0071222}; cellular response to lipoteichoic acid {GO:0071223}; cellular response to molecule of bacterial origin {GO:0071219}; cellular response to triacyl bacterial lipopeptide {GO:0071727}; I-kappaB kinase/NF-kappaB signaling {GO:0007249}; inflammatory response {GO:0006954}; innate immune response {GO:0045087}; lipopolysaccharide-mediated signaling pathway {GO:0031663}; MyD88-dependent toll-like receptor signaling pathway {GO:0002755}; MyD88-independent toll-like receptor signaling pathway {GO:0002756}; necroptotic process {GO:0070266}; negative regulation of MyD88-independent toll-like receptor signaling pathway {GO:0034128}; neutrophil degranulation {GO:0043312}; phagocytosis {GO:0006909}; positive regulation of cytokine secretion {GO:0050715}; positive regulation of endocytosis {GO:0045807}; positive regulation of interferon-gamma production {GO:0032729}; positive regulation of interleukin-8 secretion {GO:2000484}; positive regulation of NIK/NF-kappaB signaling {GO:1901224}; positive regulation of tumor necrosis factor production {GO:0032760}; positive regulation of type I interferon production {GO:0032481}; receptor-mediated endocytosis {GO:0006898}; response to electrical stimulus {GO:0051602}; response to ethanol {GO:0045471}; response to heat {GO:0009408}; response to magnesium ion {GO:0032026}; response to tumor necrosis factor {GO:0034612}; toll-like receptor 4 signaling pathway {GO:0034142}; toll-like receptor signaling pathway {GO:0002224}; toll-like receptor TLR1:TLR2 signaling pathway {GO:0038123}; toll-like receptor TLR6:TLR2 signaling pathway {GO:0038124}; TRIF-dependent toll-like receptor signaling pathway {GO:0035666}</t>
  </si>
  <si>
    <t>anchored component of external side of plasma membrane {GO:0031362}; cell surface {GO:0009986}; endosome membrane {GO:0010008}; external side of plasma membrane {GO:0009897}; extracellular exosome {GO:0070062}; extracellular region {GO:0005576}; extracellular space {GO:0005615}; Golgi apparatus {GO:0005794}; lipopolysaccharide receptor complex {GO:0046696}; membrane raft {GO:0045121}; plasma membrane {GO:0005886}; secretory granule membrane {GO:0030667}</t>
  </si>
  <si>
    <t>lipopeptide binding {GO:0071723}; lipopolysaccharide binding {GO:0001530}; lipoteichoic acid binding {GO:0070891}; opsonin receptor activity {GO:0001847}; peptidoglycan receptor activity {GO:0016019}</t>
  </si>
  <si>
    <t>ER-Phagosome pathway {R-HSA-1236974}; Caspase activation via Death Receptors in the presence of ligand {R-HSA-140534}; Toll Like Receptor 4 (TLR4) Cascade {R-HSA-166016}; Transfer of LPS from LBP carrier to CD14 {R-HSA-166020}; MyD88:MAL(TIRAP) cascade initiated on plasma membrane {R-HSA-166058}; MyD88-independent TLR4 cascade {R-HSA-166166}; Toll Like Receptor TLR1:TLR2 Cascade {R-HSA-168179}; Toll Like Receptor TLR6:TLR2 Cascade {R-HSA-168188}; TRIF-mediated programmed cell death {R-HSA-2562578}; MyD88 deficiency (TLR2/4) {R-HSA-5602498}; IRAK4 deficiency (TLR2/4) {R-HSA-5603041}; Regulation of TLR by endogenous ligand {R-HSA-5686938}; Neutrophil degranulation {R-HSA-6798695}; Activation of IRF3/IRF7 mediated by TBK1/IKK epsilon {R-HSA-936964}; IKK complex recruitment mediated by RIP1 {R-HSA-937041}; TRAF6-mediated induction of TAK1 complex within TLR4 complex {R-HSA-937072}; IRAK2 mediated activation of TAK1 complex upon TLR7/8 or 9 stimulation {R-HSA-975163}</t>
  </si>
  <si>
    <t>Heterogeneous nuclear ribonucleoprotein A/B (hnRNP A/B)</t>
  </si>
  <si>
    <t>APOBEC1-binding protein 1 (ABBP-1)</t>
  </si>
  <si>
    <t>ROAA_HUMAN</t>
  </si>
  <si>
    <t>Q99729</t>
  </si>
  <si>
    <t>B3KNN5; D3DWP7; Q04150; Q8N7U3; Q9BQ99</t>
  </si>
  <si>
    <t>ABBP1; HNRPAB</t>
  </si>
  <si>
    <t>epithelial to mesenchymal transition {GO:0001837}; positive regulation of transcription, DNA-templated {GO:0045893}</t>
  </si>
  <si>
    <t>cytoplasm {GO:0005737}; nucleoplasm {GO:0005654}; nucleus {GO:0005634}; ribonucleoprotein complex {GO:1990904}; RNA polymerase II transcription factor complex {GO:0090575}</t>
  </si>
  <si>
    <t>mRNA binding {GO:0003729}; RNA binding {GO:0003723}; sequence-specific DNA binding {GO:0043565}; sequence-specific double-stranded DNA binding {GO:1990837}</t>
  </si>
  <si>
    <t>Annexin A6</t>
  </si>
  <si>
    <t>67 kDa calelectrin; Annexin VI; Annexin-6; Calphobindin-II (CPB-II); Chromobindin-20; Lipocortin VI; Protein III; p68; p70</t>
  </si>
  <si>
    <t>ANXA6_HUMAN</t>
  </si>
  <si>
    <t>P08133</t>
  </si>
  <si>
    <t>B7Z8A7; D3DQH4; E9PGK1; Q6ZT79</t>
  </si>
  <si>
    <t>ANX6</t>
  </si>
  <si>
    <t>3D-structure; Acetylation; Alternative splicing; Annexin; Calcium; Calcium/phospholipid-binding; Cytoplasm; Phosphoprotein; Repeat</t>
  </si>
  <si>
    <t>apoptotic signaling pathway {GO:0097190}; growth plate cartilage chondrocyte differentiation {GO:0003418}; ion transmembrane transport {GO:0034220}; mitochondrial calcium ion homeostasis {GO:0051560}; negative regulation of sequestering of calcium ion {GO:0051283}; neural crest cell migration {GO:0001755}; plasma membrane repair {GO:0001778}; protein homooligomerization {GO:0051260}; regulation of muscle contraction {GO:0006937}</t>
  </si>
  <si>
    <t>collagen-containing extracellular matrix {GO:0062023}; extracellular exosome {GO:0070062}; focal adhesion {GO:0005925}; late endosome membrane {GO:0031902}; lysosomal membrane {GO:0005765}; melanosome {GO:0042470}; membrane {GO:0016020}; mitochondrion {GO:0005739}; perinuclear region of cytoplasm {GO:0048471}</t>
  </si>
  <si>
    <t>actin filament binding {GO:0051015}; calcium channel activity {GO:0005262}; calcium ion binding {GO:0005509}; calcium-dependent phospholipid binding {GO:0005544}; calcium-dependent protein binding {GO:0048306}; cholesterol binding {GO:0015485}; chondroitin sulfate binding {GO:0035374}; GTP binding {GO:0005525}; ligand-gated ion channel activity {GO:0015276}; lipid binding {GO:0008289}; phosphatidylserine binding {GO:0001786}; protein homodimerization activity {GO:0042803}</t>
  </si>
  <si>
    <t>Complement component C6</t>
  </si>
  <si>
    <t>CO6_HUMAN</t>
  </si>
  <si>
    <t>P13671</t>
  </si>
  <si>
    <t>3D-structure; Complement pathway; Cytolysis; Disulfide bond; EGF-like domain; Glycoprotein; Immunity; Innate immunity; Membrane attack complex; Polymorphism; Repeat; Secreted; Signal; Sushi</t>
  </si>
  <si>
    <t>Complement pathway; Cytolysis; Immunity; Innate immunity</t>
  </si>
  <si>
    <t>complement activation {GO:0006956}; complement activation, classical pathway {GO:0006958}; cytolysis {GO:0019835}; in utero embryonic development {GO:0001701}; innate immune response {GO:0045087}; positive regulation of activation of membrane attack complex {GO:0001970}; positive regulation of angiogenesis {GO:0045766}; regulation of complement activation {GO:0030449}</t>
  </si>
  <si>
    <t>SPARC</t>
  </si>
  <si>
    <t>Basement-membrane protein 40 (BM-40); Osteonectin (ON); Secreted protein acidic and rich in cysteine</t>
  </si>
  <si>
    <t>SPRC_HUMAN</t>
  </si>
  <si>
    <t>P09486</t>
  </si>
  <si>
    <t>D3DQH9; Q6IBK4</t>
  </si>
  <si>
    <t>ON</t>
  </si>
  <si>
    <t>3D-structure; Basement membrane; Calcium; Copper; Disease mutation; Disulfide bond; Extracellular matrix; Glycoprotein; Metal-binding; Osteogenesis imperfecta; Polymorphism; Secreted; Signal</t>
  </si>
  <si>
    <t>bone development {GO:0060348}; cellular response to growth factor stimulus {GO:0071363}; extracellular matrix organization {GO:0030198}; heart development {GO:0007507}; inner ear development {GO:0048839}; lung development {GO:0030324}; negative regulation of angiogenesis {GO:0016525}; negative regulation of endothelial cell proliferation {GO:0001937}; ossification {GO:0001503}; pigmentation {GO:0043473}; platelet degranulation {GO:0002576}; positive regulation of endothelial cell migration {GO:0010595}; receptor-mediated endocytosis {GO:0006898}; regulation of cell morphogenesis {GO:0022604}; regulation of synapse organization {GO:0050807}; response to cadmium ion {GO:0046686}; response to calcium ion {GO:0051592}; response to cAMP {GO:0051591}; response to cytokine {GO:0034097}; response to ethanol {GO:0045471}; response to glucocorticoid {GO:0051384}; response to gravity {GO:0009629}; response to L-ascorbic acid {GO:0033591}; response to lead ion {GO:0010288}; response to lipopolysaccharide {GO:0032496}; response to peptide hormone {GO:0043434}; wound healing {GO:0042060}</t>
  </si>
  <si>
    <t>basement membrane {GO:0005604}; cell surface {GO:0009986}; collagen-containing extracellular matrix {GO:0062023}; cytoplasm {GO:0005737}; endocytic vesicle lumen {GO:0071682}; extracellular region {GO:0005576}; extracellular space {GO:0005615}; glutamatergic synapse {GO:0098978}; nuclear matrix {GO:0016363}; platelet alpha granule {GO:0031091}; platelet alpha granule lumen {GO:0031093}; platelet alpha granule membrane {GO:0031092}</t>
  </si>
  <si>
    <t>Platelet degranulation {R-HSA-114608}; ECM proteoglycans {R-HSA-3000178}; Scavenging by Class H Receptors {R-HSA-3000497}</t>
  </si>
  <si>
    <t>Copper transport protein ATOX1</t>
  </si>
  <si>
    <t>Metal transport protein ATX1</t>
  </si>
  <si>
    <t>ATOX1_HUMAN</t>
  </si>
  <si>
    <t>O00244</t>
  </si>
  <si>
    <t>A8KAJ8; D3DQI2; Q2M1R6; Q56AP3</t>
  </si>
  <si>
    <t>HAH1</t>
  </si>
  <si>
    <t>3D-structure; Acetylation; Chaperone; Copper; Copper transport; Ion transport; Metal-binding; Phosphoprotein; Transport</t>
  </si>
  <si>
    <t>cellular copper ion homeostasis {GO:0006878}; copper ion export {GO:0060003}; copper ion transport {GO:0006825}; negative regulation of apoptotic process {GO:0043066}; response to oxidative stress {GO:0006979}</t>
  </si>
  <si>
    <t>ATPase binding {GO:0051117}; copper chaperone activity {GO:0016531}; copper ion binding {GO:0005507}; copper-dependent protein binding {GO:0032767}; metallochaperone activity {GO:0016530}</t>
  </si>
  <si>
    <t>Detoxification of Reactive Oxygen Species {R-HSA-3299685}; Ion influx/efflux at host-pathogen interface {R-HSA-6803544}</t>
  </si>
  <si>
    <t>PDZ and LIM domain protein 4</t>
  </si>
  <si>
    <t>LIM protein RIL; Reversion-induced LIM protein</t>
  </si>
  <si>
    <t>PDLI4_HUMAN</t>
  </si>
  <si>
    <t>P50479</t>
  </si>
  <si>
    <t>B2R8U1; Q53Y39; Q96AT8; Q9BTW8; Q9Y292</t>
  </si>
  <si>
    <t>RIL</t>
  </si>
  <si>
    <t>3D-structure; Alternative splicing; Cell junction; Cell projection; Cytoplasm; Cytoskeleton; Endosome; LIM domain; Membrane; Metal-binding; Nucleus; Phosphoprotein; Polymorphism; Synapse; Synaptosome; Zinc</t>
  </si>
  <si>
    <t>Cell junction; Cell projection; Cytoplasm; Cytoskeleton; Endosome; Membrane; Nucleus; Synapse; Synaptosome</t>
  </si>
  <si>
    <t>actin cytoskeleton organization {GO:0030036}; actin cytoskeleton reorganization {GO:0031532}; excitatory chemical synaptic transmission {GO:0098976}; heart development {GO:0007507}; muscle structure development {GO:0061061}</t>
  </si>
  <si>
    <t>cell-cell adherens junction {GO:0005913}; cytoplasm {GO:0005737}; cytoskeleton {GO:0005856}; dendritic spine {GO:0043197}; early endosome lumen {GO:0031905}; early endosome membrane {GO:0031901}; filamentous actin {GO:0031941}; lamellipodium {GO:0030027}; nucleus {GO:0005634}; perinuclear region of cytoplasm {GO:0048471}; postsynaptic membrane {GO:0045211}; recycling endosome lumen {GO:0034777}; recycling endosome membrane {GO:0055038}; stress fiber {GO:0001725}; Z disc {GO:0030018}</t>
  </si>
  <si>
    <t>actin binding {GO:0003779}; alpha-actinin binding {GO:0051393}; metal ion binding {GO:0046872}; muscle alpha-actinin binding {GO:0051371}; protein homodimerization activity {GO:0042803}; protein phosphatase binding {GO:0019903}</t>
  </si>
  <si>
    <t>Cardiomyopathy-associated protein 5</t>
  </si>
  <si>
    <t>Dystrobrevin-binding protein 2; Genethonin-3; Myospryn; SPRY domain-containing protein 2; Tripartite motif-containing protein 76</t>
  </si>
  <si>
    <t>CMYA5_HUMAN</t>
  </si>
  <si>
    <t>Q8N3K9</t>
  </si>
  <si>
    <t>A0PJB7; Q05CT4; Q2NKX1; Q2T9G9; Q69YQ8; Q69YQ9; Q6P517; Q6P5U3; Q7Z4I1; Q86T34; Q86T49; Q8N3S4; Q8N3S7; Q8NAG8; Q9UK88</t>
  </si>
  <si>
    <t>C5orf10; DTNBP2; SPRYD2; TRIM76</t>
  </si>
  <si>
    <t>Coiled coil; Cytoplasm; Nucleus; Phosphoprotein; Polymorphism; Repeat; Sarcoplasmic reticulum</t>
  </si>
  <si>
    <t>Cytoplasm; Nucleus; Sarcoplasmic reticulum</t>
  </si>
  <si>
    <t>M band {GO:0031430}; nucleus {GO:0005634}; perinuclear region of cytoplasm {GO:0048471}; sarcoplasmic reticulum {GO:0016529}</t>
  </si>
  <si>
    <t>Peptidyl-alpha-hydroxyglycine alpha-amidating lyase (PAM; PHM)</t>
  </si>
  <si>
    <t>Peptidylamidoglycolate lyase (PAL)</t>
  </si>
  <si>
    <t>AMD_HUMAN</t>
  </si>
  <si>
    <t>P19021</t>
  </si>
  <si>
    <t>A6NMR0; A8K293; O43211; O95080; Q16252; Q16253; Q54A45; Q86U53; Q8WVC7; Q9UCG0</t>
  </si>
  <si>
    <t>Alternative splicing; Calcium; Cleavage on pair of basic residues; Copper; Cytoplasmic vesicle; Disulfide bond; Glycoprotein; Lyase; Membrane; Metal-binding; Monooxygenase; Multifunctional enzyme; Oxidoreductase; Phosphoprotein; Polymorphism; Repeat; Secreted; Signal; Sulfation; Transmembrane; Transmembrane helix; Vitamin C; Zinc</t>
  </si>
  <si>
    <t>Calcium; Copper; Metal-binding; Vitamin C; Zinc</t>
  </si>
  <si>
    <t>Lyase; Monooxygenase; Multifunctional enzyme; Oxidoreductase</t>
  </si>
  <si>
    <t>Cleavage on pair of basic residues; Disulfide bond; Glycoprotein; Phosphoprotein; Sulfation</t>
  </si>
  <si>
    <t>central nervous system development {GO:0007417}; fatty acid primary amide biosynthetic process {GO:0062112}; heart development {GO:0007507}; lactation {GO:0007595}; limb development {GO:0060173}; long-chain fatty acid metabolic process {GO:0001676}; maternal process involved in female pregnancy {GO:0060135}; odontogenesis {GO:0042476}; ovulation cycle process {GO:0022602}; peptide amidation {GO:0001519}; protein amidation {GO:0018032}; protein homooligomerization {GO:0051260}; regulation of actin cytoskeleton organization {GO:0032956}; regulation of protein secretion {GO:0050708}; regulation of transcription by RNA polymerase II {GO:0006357}; response to copper ion {GO:0046688}; response to drug {GO:0042493}; response to estradiol {GO:0032355}; response to glucocorticoid {GO:0051384}; response to hypoxia {GO:0001666}; response to pH {GO:0009268}; toxin metabolic process {GO:0009404}</t>
  </si>
  <si>
    <t>cell surface {GO:0009986}; extracellular exosome {GO:0070062}; extracellular region {GO:0005576}; integral component of membrane {GO:0016021}; membrane {GO:0016020}; neuron projection {GO:0043005}; perikaryon {GO:0043204}; perinuclear region of cytoplasm {GO:0048471}; plasma membrane {GO:0005886}; secretory granule membrane {GO:0030667}; trans-Golgi network {GO:0005802}; transport vesicle membrane {GO:0030658}</t>
  </si>
  <si>
    <t>calcium ion binding {GO:0005509}; copper ion binding {GO:0005507}; L-ascorbic acid binding {GO:0031418}; peptidylamidoglycolate lyase activity {GO:0004598}; peptidylglycine monooxygenase activity {GO:0004504}; protein kinase binding {GO:0019901}; zinc ion binding {GO:0008270}</t>
  </si>
  <si>
    <t>Nucleophosmin (NPM)</t>
  </si>
  <si>
    <t>Nucleolar phosphoprotein B23; Nucleolar protein NO38; Numatrin</t>
  </si>
  <si>
    <t>NPM_HUMAN</t>
  </si>
  <si>
    <t>P06748</t>
  </si>
  <si>
    <t>A8K3N7; B5BU00; D3DQL6; P08693; Q12826; Q13440; Q13441; Q14115; Q5EU94; Q5EU95; Q5EU96; Q5EU97; Q5EU98; Q5EU99; Q6V962; Q8WTW5; Q96AT6; Q96DC4; Q96EA5; Q9BYG9; Q9UDJ7</t>
  </si>
  <si>
    <t>NPM</t>
  </si>
  <si>
    <t>3D-structure; Acetylation; ADP-ribosylation; Alternative splicing; Chaperone; Chromosomal rearrangement; Cytoplasm; Cytoskeleton; Disulfide bond; Host-virus interaction; Isopeptide bond; Nucleus; Phosphoprotein; Proto-oncogene; RNA-binding; Ubl conjugation</t>
  </si>
  <si>
    <t>ADP-ribosylation; Acetylation; Disulfide bond; Isopeptide bond; Phosphoprotein; Ubl conjugation</t>
  </si>
  <si>
    <t>cell aging {GO:0007569}; cellular response to UV {GO:0034644}; CENP-A containing nucleosome assembly {GO:0034080}; centrosome cycle {GO:0007098}; chromatin remodeling {GO:0006338}; DNA repair {GO:0006281}; intracellular protein transport {GO:0006886}; negative regulation of apoptotic process {GO:0043066}; negative regulation of cell population proliferation {GO:0008285}; negative regulation of centrosome duplication {GO:0010826}; negative regulation of protein kinase activity by regulation of protein phosphorylation {GO:0044387}; nucleocytoplasmic transport {GO:0006913}; nucleosome assembly {GO:0006334}; positive regulation of cell cycle G2/M phase transition {GO:1902751}; positive regulation of cell population proliferation {GO:0008284}; positive regulation of NF-kappaB transcription factor activity {GO:0051092}; positive regulation of transcription by RNA polymerase II {GO:0045944}; positive regulation of transcription, DNA-templated {GO:0045893}; positive regulation of translation {GO:0045727}; protein complex oligomerization {GO:0051259}; protein localization {GO:0008104}; regulation of centriole replication {GO:0046599}; regulation of centrosome duplication {GO:0010824}; regulation of eIF2 alpha phosphorylation by dsRNA {GO:0060735}; regulation of endodeoxyribonuclease activity {GO:0032071}; regulation of endoribonuclease activity {GO:0060699}; regulation of mRNA stability involved in cellular response to UV {GO:1902629}; regulation of transcription by RNA polymerase II {GO:0006357}; ribosomal large subunit biogenesis {GO:0042273}; ribosomal large subunit export from nucleus {GO:0000055}; ribosomal small subunit biogenesis {GO:0042274}; ribosomal small subunit export from nucleus {GO:0000056}; ribosome assembly {GO:0042255}; rRNA export from nucleus {GO:0006407}; signal transduction {GO:0007165}; viral process {GO:0016032}</t>
  </si>
  <si>
    <t>centrosome {GO:0005813}; cytoplasm {GO:0005737}; cytosol {GO:0005829}; focal adhesion {GO:0005925}; membrane {GO:0016020}; nucleolus {GO:0005730}; nucleoplasm {GO:0005654}; nucleus {GO:0005634}; protein-containing complex {GO:0032991}; protein-DNA complex {GO:0032993}; ribonucleoprotein complex {GO:1990904}; spindle pole centrosome {GO:0031616}</t>
  </si>
  <si>
    <t>activating transcription factor binding {GO:0033613}; chromatin binding {GO:0003682}; core promoter binding {GO:0001047}; histone binding {GO:0042393}; NF-kappaB binding {GO:0051059}; protein heterodimerization activity {GO:0046982}; protein homodimerization activity {GO:0042803}; protein kinase binding {GO:0019901}; protein kinase inhibitor activity {GO:0004860}; ribosomal large subunit binding {GO:0043023}; ribosomal small subunit binding {GO:0043024}; RNA binding {GO:0003723}; Tat protein binding {GO:0030957}; transcription coactivator activity {GO:0003713}; transcription factor binding {GO:0008134}; unfolded protein binding {GO:0051082}</t>
  </si>
  <si>
    <t>Nuclear import of Rev protein {R-HSA-180746}; SUMOylation of transcription cofactors {R-HSA-3899300}; Deposition of new CENPA-containing nucleosomes at the centromere {R-HSA-606279}; TP53 regulates transcription of additional cell cycle genes whose exact role in the p53 pathway remain uncertain {R-HSA-6804115}; TFAP2A acts as a transcriptional repressor during retinoic acid induced cell differentiation {R-HSA-8869496}</t>
  </si>
  <si>
    <t>Glutathione peroxidase 3 (GPx-3; GSHPx-3)</t>
  </si>
  <si>
    <t>Extracellular glutathione peroxidase; Plasma glutathione peroxidase (GPx-P; GSHPx-P)</t>
  </si>
  <si>
    <t>GPX3_HUMAN</t>
  </si>
  <si>
    <t>P22352</t>
  </si>
  <si>
    <t>O43787; Q86W78; Q9NZ74; Q9UEL1</t>
  </si>
  <si>
    <t>GPXP</t>
  </si>
  <si>
    <t>3D-structure; Oxidoreductase; Peroxidase; Polymorphism; Secreted; Selenocysteine; Signal</t>
  </si>
  <si>
    <t>cellular response to oxidative stress {GO:0034599}; hydrogen peroxide catabolic process {GO:0042744}; protein homotetramerization {GO:0051289}; response to lipid hydroperoxide {GO:0006982}</t>
  </si>
  <si>
    <t>glutathione peroxidase activity {GO:0004602}; peroxidase activity {GO:0004601}; selenium binding {GO:0008430}; transcription factor binding {GO:0008134}</t>
  </si>
  <si>
    <t>Alanine--glyoxylate aminotransferase 2, mitochondrial (AGT 2)</t>
  </si>
  <si>
    <t>(R)-3-amino-2-methylpropionate--pyruvate transaminase; Beta-ALAAT II; Beta-alanine-pyruvate aminotransferase; D-AIBAT</t>
  </si>
  <si>
    <t>AGT2_HUMAN</t>
  </si>
  <si>
    <t>Q9BYV1</t>
  </si>
  <si>
    <t>B7ZM47; E9PDL7; Q53FB4; Q53FY7; Q53G03; Q5W7Q1</t>
  </si>
  <si>
    <t>AGT2</t>
  </si>
  <si>
    <t>Acetylation; Alternative splicing; Aminotransferase; Mitochondrion; Polymorphism; Pyridoxal phosphate; Transferase; Transit peptide</t>
  </si>
  <si>
    <t>glycine biosynthetic process, by transamination of glyoxylate {GO:0019265}; glyoxylate catabolic process {GO:0009436}; glyoxylate metabolic process {GO:0046487}; L-alanine catabolic process, by transamination {GO:0019481}; positive regulation of nitric oxide biosynthetic process {GO:0045429}</t>
  </si>
  <si>
    <t>(R)-3-amino-2-methylpropionate-pyruvate transaminase activity {GO:0047305}; alanine-glyoxylate transaminase activity {GO:0008453}; pyridoxal phosphate binding {GO:0030170}</t>
  </si>
  <si>
    <t>Glyoxylate metabolism and glycine degradation {R-HSA-389661}; Pyrimidine catabolism {R-HSA-73621}</t>
  </si>
  <si>
    <t>Coagulation factor XIIa light chain</t>
  </si>
  <si>
    <t>Hageman factor (HAF); Beta-factor XIIa part 2</t>
  </si>
  <si>
    <t>FA12_HUMAN</t>
  </si>
  <si>
    <t>P00748</t>
  </si>
  <si>
    <t>P78339</t>
  </si>
  <si>
    <t>3D-structure; Blood coagulation; Disease mutation; Disulfide bond; EGF-like domain; Fibrinolysis; Glycoprotein; Hemostasis; Hydrolase; Kringle; Polymorphism; Protease; Repeat; Secreted; Serine protease; Signal; Zymogen</t>
  </si>
  <si>
    <t>blood coagulation, intrinsic pathway {GO:0007597}; Factor XII activation {GO:0002542}; fibrinolysis {GO:0042730}; innate immune response {GO:0045087}; plasma kallikrein-kinin cascade {GO:0002353}; positive regulation of blood coagulation {GO:0030194}; positive regulation of fibrinolysis {GO:0051919}; positive regulation of plasminogen activation {GO:0010756}; protein autoprocessing {GO:0016540}; protein processing {GO:0016485}; proteolysis {GO:0006508}; response to misfolded protein {GO:0051788}; zymogen activation {GO:0031638}</t>
  </si>
  <si>
    <t>collagen-containing extracellular matrix {GO:0062023}; extracellular exosome {GO:0070062}; extracellular region {GO:0005576}; extracellular space {GO:0005615}; plasma membrane {GO:0005886}; rough endoplasmic reticulum {GO:0005791}</t>
  </si>
  <si>
    <t>calcium ion binding {GO:0005509}; misfolded protein binding {GO:0051787}; serine-type endopeptidase activity {GO:0004252}</t>
  </si>
  <si>
    <t>Sodium-dependent phosphate transport protein 2A (Sodium-phosphate transport protein 2A)</t>
  </si>
  <si>
    <t>Na(+)-dependent phosphate cotransporter 2A; NaPi-3; Sodium/phosphate cotransporter 2A (Na(+)/Pi cotransporter 2A; NaPi-2a); Solute carrier family 34 member 1</t>
  </si>
  <si>
    <t>NPT2A_HUMAN</t>
  </si>
  <si>
    <t>Q06495</t>
  </si>
  <si>
    <t>B4DPE3</t>
  </si>
  <si>
    <t>Alternative splicing; Cell membrane; Disease mutation; Disulfide bond; Glycoprotein; Ion transport; Membrane; Phosphoprotein; Sodium; Sodium transport; Symport; Transmembrane; Transmembrane helix; Transport</t>
  </si>
  <si>
    <t>arsenate ion transmembrane transport {GO:1901684}; cellular phosphate ion homeostasis {GO:0030643}; cellular protein metabolic process {GO:0044267}; cellular response to metal ion {GO:0071248}; cellular response to parathyroid hormone stimulus {GO:0071374}; cellular response to staurosporine {GO:0072734}; dentinogenesis {GO:0097187}; gentamycin metabolic process {GO:1901128}; glycoprotein metabolic process {GO:0009100}; indole metabolic process {GO:0042431}; kidney development {GO:0001822}; ossification {GO:0001503}; phosphate ion homeostasis {GO:0055062}; phosphate ion transport {GO:0006817}; positive regulation of membrane potential {GO:0045838}; positive regulation of phosphate transmembrane transport {GO:2000187}; positive regulation of sodium-dependent phosphate transport {GO:2000120}; protein homooligomerization {GO:0051260}; response to cadmium ion {GO:0046686}; response to drug {GO:0042493}; response to estradiol {GO:0032355}; response to growth hormone {GO:0060416}; response to lead ion {GO:0010288}; response to magnesium ion {GO:0032026}; response to mercury ion {GO:0046689}; response to potassium ion {GO:0035864}; response to thyroid hormone {GO:0097066}; response to vitamin A {GO:0033189}; sodium ion import across plasma membrane {GO:0098719}; sodium-dependent phosphate transport {GO:0044341}; tricarboxylic acid metabolic process {GO:0072350}</t>
  </si>
  <si>
    <t>apical plasma membrane {GO:0016324}; brush border {GO:0005903}; brush border membrane {GO:0031526}; cell surface {GO:0009986}; endosome {GO:0005768}; integral component of plasma membrane {GO:0005887}; membrane raft {GO:0045121}; mitotic spindle {GO:0072686}; nuclear speck {GO:0016607}; perinuclear region of cytoplasm {GO:0048471}; plasma membrane {GO:0005886}; vesicle {GO:0031982}</t>
  </si>
  <si>
    <t>PDZ domain binding {GO:0030165}; protein homodimerization activity {GO:0042803}; protein-containing complex binding {GO:0044877}; sodium-dependent phosphate transmembrane transporter activity {GO:0015321}; sodium:phosphate symporter activity {GO:0005436}</t>
  </si>
  <si>
    <t>Type II Na+/Pi cotransporters {R-HSA-427589}; Defective SLC34A1 causes hypophosphatemic nephrolithiasis/osteoporosis 1 (NPHLOP1) {R-HSA-5619040}; Surfactant metabolism {R-HSA-5683826}</t>
  </si>
  <si>
    <t>Threonine--tRNA ligase, cytoplasmic</t>
  </si>
  <si>
    <t>Threonyl-tRNA synthetase (ThrRS)</t>
  </si>
  <si>
    <t>SYTC_HUMAN</t>
  </si>
  <si>
    <t>P26639</t>
  </si>
  <si>
    <t>A8K8I1; B4DEG8; Q96FP5; Q9BWA6</t>
  </si>
  <si>
    <t>3D-structure; Acetylation; Alternative splicing; Aminoacyl-tRNA synthetase; ATP-binding; Cytoplasm; Ligase; Nucleotide-binding; Phosphoprotein; Polymorphism; Protein biosynthesis; RNA-binding; tRNA-binding; Ubl conjugation</t>
  </si>
  <si>
    <t>Aminoacyl-tRNA synthetase; Ligase; RNA-binding; tRNA-binding</t>
  </si>
  <si>
    <t>threonyl-tRNA aminoacylation {GO:0006435}; translation {GO:0006412}; tRNA aminoacylation for protein translation {GO:0006418}</t>
  </si>
  <si>
    <t>actin cytoskeleton {GO:0015629}; cytoplasm {GO:0005737}; cytosol {GO:0005829}; extracellular exosome {GO:0070062}</t>
  </si>
  <si>
    <t>ATP binding {GO:0005524}; protein homodimerization activity {GO:0042803}; threonine-tRNA ligase activity {GO:0004829}; tRNA binding {GO:0000049}</t>
  </si>
  <si>
    <t>Versican core protein</t>
  </si>
  <si>
    <t>Chondroitin sulfate proteoglycan core protein 2 (Chondroitin sulfate proteoglycan 2); Glial hyaluronate-binding protein (GHAP); Large fibroblast proteoglycan; PG-M</t>
  </si>
  <si>
    <t>CSPG2_HUMAN</t>
  </si>
  <si>
    <t>P13611</t>
  </si>
  <si>
    <t>P20754; Q13010; Q13189; Q15123; Q9UCL9; Q9UNW5</t>
  </si>
  <si>
    <t>CSPG2</t>
  </si>
  <si>
    <t>Alternative splicing; Calcium; Cataract; Disulfide bond; EGF-like domain; Extracellular matrix; Glycoprotein; Hyaluronic acid; Immunoglobulin domain; Lectin; Phosphoprotein; Polymorphism; Proteoglycan; Repeat; Secreted; Signal; Sushi</t>
  </si>
  <si>
    <t>Cataract</t>
  </si>
  <si>
    <t>Calcium; Hyaluronic acid; Lectin</t>
  </si>
  <si>
    <t>cell adhesion {GO:0007155}; cell recognition {GO:0008037}; cellular protein metabolic process {GO:0044267}; central nervous system development {GO:0007417}; chondroitin sulfate biosynthetic process {GO:0030206}; chondroitin sulfate catabolic process {GO:0030207}; dermatan sulfate biosynthetic process {GO:0030208}; extracellular matrix organization {GO:0030198}; glial cell migration {GO:0008347}; multicellular organism development {GO:0007275}; osteoblast differentiation {GO:0001649}; post-translational protein modification {GO:0043687}; skeletal system development {GO:0001501}</t>
  </si>
  <si>
    <t>collagen-containing extracellular matrix {GO:0062023}; endoplasmic reticulum lumen {GO:0005788}; extracellular matrix {GO:0031012}; extracellular region {GO:0005576}; extracellular space {GO:0005615}; Golgi lumen {GO:0005796}; lysosomal lumen {GO:0043202}; membrane {GO:0016020}</t>
  </si>
  <si>
    <t>calcium ion binding {GO:0005509}; carbohydrate binding {GO:0030246}; extracellular matrix structural constituent conferring compression resistance {GO:0030021}; glycosaminoglycan binding {GO:0005539}; hyaluronic acid binding {GO:0005540}</t>
  </si>
  <si>
    <t>A tetrasaccharide linker sequence is required for GAG synthesis {R-HSA-1971475}; Chondroitin sulfate biosynthesis {R-HSA-2022870}; Dermatan sulfate biosynthesis {R-HSA-2022923}; CS/DS degradation {R-HSA-2024101}; ECM proteoglycans {R-HSA-3000178}; Defective B4GALT7 causes EDS, progeroid type {R-HSA-3560783}; Defective B3GAT3 causes JDSSDHD {R-HSA-3560801}; Defective CHST3 causes SEDCJD {R-HSA-3595172}; Defective CHST14 causes EDS, musculocontractural type {R-HSA-3595174}; Defective CHSY1 causes TPBS {R-HSA-3595177}; Regulation of Insulin-like Growth Factor (IGF) transport and uptake by Insulin-like Growth Factor Binding Proteins (IGFBPs) {R-HSA-381426}; Defective B3GALT6 causes EDSP2 and SEMDJL1 {R-HSA-4420332}; Post-translational protein phosphorylation {R-HSA-8957275}</t>
  </si>
  <si>
    <t>Polyadenylate-binding protein 1 (PABP-1; Poly(A)-binding protein 1)</t>
  </si>
  <si>
    <t>PABP1_HUMAN</t>
  </si>
  <si>
    <t>P11940</t>
  </si>
  <si>
    <t>Q15097; Q93004</t>
  </si>
  <si>
    <t>PAB1; PABP1; PABPC2</t>
  </si>
  <si>
    <t>3D-structure; Acetylation; Alternative splicing; Cytoplasm; Methylation; mRNA processing; mRNA splicing; Nonsense-mediated mRNA decay; Nucleus; Phosphoprotein; Repeat; RNA-binding; Spliceosome</t>
  </si>
  <si>
    <t>Nonsense-mediated mRNA decay; mRNA processing; mRNA splicing</t>
  </si>
  <si>
    <t>gene silencing by RNA {GO:0031047}; mRNA polyadenylation {GO:0006378}; mRNA splicing, via spliceosome {GO:0000398}; mRNA stabilization {GO:0048255}; negative regulation of nuclear-transcribed mRNA catabolic process, nonsense-mediated decay {GO:2000623}; nuclear-transcribed mRNA catabolic process, nonsense-mediated decay {GO:0000184}; positive regulation of nuclear-transcribed mRNA catabolic process, deadenylation-dependent decay {GO:1900153}; positive regulation of nuclear-transcribed mRNA poly(A) tail shortening {GO:0060213}; positive regulation of viral genome replication {GO:0045070}; regulation of mRNA stability {GO:0043488}; translational initiation {GO:0006413}</t>
  </si>
  <si>
    <t>catalytic step 2 spliceosome {GO:0071013}; cytoplasm {GO:0005737}; cytoplasmic ribonucleoprotein granule {GO:0036464}; cytoplasmic stress granule {GO:0010494}; cytosol {GO:0005829}; extracellular exosome {GO:0070062}; focal adhesion {GO:0005925}; membrane {GO:0016020}; nucleus {GO:0005634}; ribonucleoprotein complex {GO:1990904}</t>
  </si>
  <si>
    <t>mRNA 3'-UTR binding {GO:0003730}; poly(A) binding {GO:0008143}; poly(U) RNA binding {GO:0008266}; protein C-terminus binding {GO:0008022}; RNA binding {GO:0003723}; translation activator activity {GO:0008494}</t>
  </si>
  <si>
    <t>L13a-mediated translational silencing of Ceruloplasmin expression {R-HSA-156827}; Deadenylation of mRNA {R-HSA-429947}; AUF1 (hnRNP D0) binds and destabilizes mRNA {R-HSA-450408}; Translation initiation complex formation {R-HSA-72649}; Regulation of expression of SLITs and ROBOs {R-HSA-9010553}; Nonsense Mediated Decay (NMD) independent of the Exon Junction Complex (EJC) {R-HSA-975956}; Nonsense Mediated Decay (NMD) enhanced by the Exon Junction Complex (EJC) {R-HSA-975957}</t>
  </si>
  <si>
    <t>Proteinase-activated receptor 1 (PAR-1)</t>
  </si>
  <si>
    <t>Coagulation factor II receptor; Thrombin receptor</t>
  </si>
  <si>
    <t>PAR1_HUMAN</t>
  </si>
  <si>
    <t>P25116</t>
  </si>
  <si>
    <t>Q53XV0; Q96RF7; Q9BUN4</t>
  </si>
  <si>
    <t>CF2R; PAR1; TR</t>
  </si>
  <si>
    <t>3D-structure; Blood coagulation; Cell membrane; Disulfide bond; G-protein coupled receptor; Glycoprotein; Hemostasis; Membrane; Phosphoprotein; Polymorphism; Receptor; Signal; Transducer; Transmembrane; Transmembrane helix</t>
  </si>
  <si>
    <t>activation of cysteine-type endopeptidase activity involved in apoptotic process {GO:0006919}; activation of MAPKK activity {GO:0000186}; anatomical structure morphogenesis {GO:0009653}; blood coagulation {GO:0007596}; cell-cell junction maintenance {GO:0045217}; connective tissue replacement involved in inflammatory response wound healing {GO:0002248}; establishment of synaptic specificity at neuromuscular junction {GO:0007529}; G protein-coupled receptor signaling pathway {GO:0007186}; homeostasis of number of cells within a tissue {GO:0048873}; inflammatory response {GO:0006954}; negative regulation of cell population proliferation {GO:0008285}; negative regulation of glomerular filtration {GO:0003105}; negative regulation of neuron apoptotic process {GO:0043524}; negative regulation of renin secretion into blood stream {GO:1900134}; phospholipase C-activating G protein-coupled receptor signaling pathway {GO:0007200}; platelet activation {GO:0030168}; platelet dense granule organization {GO:0060155}; positive regulation of blood coagulation {GO:0030194}; positive regulation of calcium ion transport {GO:0051928}; positive regulation of cell migration {GO:0030335}; positive regulation of cell population proliferation {GO:0008284}; positive regulation of collagen biosynthetic process {GO:0032967}; positive regulation of cysteine-type endopeptidase activity involved in apoptotic process {GO:0043280}; positive regulation of cytosolic calcium ion concentration {GO:0007204}; positive regulation of cytosolic calcium ion concentration involved in phospholipase C-activating G protein-coupled signaling pathway {GO:0051482}; positive regulation of ERK1 and ERK2 cascade {GO:0070374}; positive regulation of GTPase activity {GO:0043547}; positive regulation of I-kappaB kinase/NF-kappaB signaling {GO:0043123}; positive regulation of interleukin-6 secretion {GO:2000778}; positive regulation of interleukin-8 secretion {GO:2000484}; positive regulation of MAPK cascade {GO:0043410}; positive regulation of phosphatidylinositol 3-kinase signaling {GO:0014068}; positive regulation of receptor signaling pathway via JAK-STAT {GO:0046427}; positive regulation of release of sequestered calcium ion into cytosol {GO:0051281}; positive regulation of Rho protein signal transduction {GO:0035025}; positive regulation of smooth muscle contraction {GO:0045987}; positive regulation of transcription, DNA-templated {GO:0045893}; positive regulation of vasoconstriction {GO:0045907}; protein kinase C-activating G protein-coupled receptor signaling pathway {GO:0007205}; regulation of blood coagulation {GO:0030193}; regulation of interleukin-1 beta production {GO:0032651}; regulation of sensory perception of pain {GO:0051930}; release of sequestered calcium ion into cytosol {GO:0051209}; response to lipopolysaccharide {GO:0032496}; response to wounding {GO:0009611}; trans-synaptic signaling by endocannabinoid, modulating synaptic transmission {GO:0099553}</t>
  </si>
  <si>
    <t>caveola {GO:0005901}; cell surface {GO:0009986}; early endosome {GO:0005769}; extracellular region {GO:0005576}; Golgi apparatus {GO:0005794}; integral component of plasma membrane {GO:0005887}; late endosome {GO:0005770}; neuromuscular junction {GO:0031594}; plasma membrane {GO:0005886}; platelet dense tubular network {GO:0031094}; postsynaptic membrane {GO:0045211}</t>
  </si>
  <si>
    <t>G protein-coupled receptor activity {GO:0004930}; G-protein alpha-subunit binding {GO:0001965}; G-protein beta-subunit binding {GO:0031681}; signaling receptor binding {GO:0005102}; thrombin-activated receptor activity {GO:0015057}</t>
  </si>
  <si>
    <t>Common Pathway of Fibrin Clot Formation {R-HSA-140875}; Peptide ligand-binding receptors {R-HSA-375276}; G alpha (q) signalling events {R-HSA-416476}; Thrombin signalling through proteinase activated receptors (PARs) {R-HSA-456926}</t>
  </si>
  <si>
    <t>Succinyl-CoA:3-ketoacid coenzyme A transferase 1, mitochondrial</t>
  </si>
  <si>
    <t>3-oxoacid CoA-transferase 1; Somatic-type succinyl-CoA:3-oxoacid CoA-transferase (SCOT-s)</t>
  </si>
  <si>
    <t>SCOT1_HUMAN</t>
  </si>
  <si>
    <t>P55809</t>
  </si>
  <si>
    <t>B2R5V2; B7Z528</t>
  </si>
  <si>
    <t>OXCT; SCOT</t>
  </si>
  <si>
    <t>3D-structure; Alternative splicing; Disease mutation; Mitochondrion; Phosphoprotein; Polymorphism; Transferase; Transit peptide</t>
  </si>
  <si>
    <t>adipose tissue development {GO:0060612}; brain development {GO:0007420}; cellular ketone body metabolic process {GO:0046950}; heart development {GO:0007507}; ketone body catabolic process {GO:0046952}; ketone catabolic process {GO:0042182}; positive regulation of insulin secretion involved in cellular response to glucose stimulus {GO:0035774}; response to activity {GO:0014823}; response to ethanol {GO:0045471}; response to hormone {GO:0009725}; response to nutrient {GO:0007584}; response to starvation {GO:0042594}</t>
  </si>
  <si>
    <t>3-oxoacid CoA-transferase activity {GO:0008260}; protein homodimerization activity {GO:0042803}</t>
  </si>
  <si>
    <t>Ketone metabolism; succinyl-CoA degradation; acetoacetyl- CoA from succinyl-CoA: step 1/1.</t>
  </si>
  <si>
    <t>Utilization of Ketone Bodies {R-HSA-77108}</t>
  </si>
  <si>
    <t>Programmed cell death protein 6</t>
  </si>
  <si>
    <t>Apoptosis-linked gene 2 protein homolog (ALG-2)</t>
  </si>
  <si>
    <t>PDCD6_HUMAN</t>
  </si>
  <si>
    <t>O75340</t>
  </si>
  <si>
    <t>B2RD16; E7ESR3; Q2YDC2; Q5TZS0</t>
  </si>
  <si>
    <t>ALG2</t>
  </si>
  <si>
    <t>3D-structure; Acetylation; Alternative splicing; Angiogenesis; Apoptosis; Calcium; Cytoplasm; Cytoplasmic vesicle; Endoplasmic reticulum; Endosome; Magnesium; Membrane; Metal-binding; Nucleus; Polymorphism; Repeat</t>
  </si>
  <si>
    <t>Cytoplasm; Cytoplasmic vesicle; Endoplasmic reticulum; Endosome; Membrane; Nucleus</t>
  </si>
  <si>
    <t>activation of cysteine-type endopeptidase activity involved in apoptotic process {GO:0006919}; angiogenesis {GO:0001525}; apoptotic signaling pathway {GO:0097190}; cellular response to heat {GO:0034605}; COPII vesicle coating {GO:0048208}; endoplasmic reticulum to Golgi vesicle-mediated transport {GO:0006888}; intracellular protein transport {GO:0006886}; negative regulation of protein kinase B signaling {GO:0051898}; negative regulation of TOR signaling {GO:0032007}; negative regulation of vascular endothelial growth factor receptor signaling pathway {GO:0030948}; neural crest cell development {GO:0014032}; neural crest formation {GO:0014029}; positive regulation of angiogenesis {GO:0045766}; positive regulation of cysteine-type endopeptidase activity involved in apoptotic process {GO:0043280}; positive regulation of endothelial cell migration {GO:0010595}; positive regulation of endothelial cell proliferation {GO:0001938}; positive regulation of protein monoubiquitination {GO:1902527}; response to calcium ion {GO:0051592}; vascular endothelial growth factor receptor-2 signaling pathway {GO:0036324}</t>
  </si>
  <si>
    <t>COPII vesicle coat {GO:0030127}; cytoplasm {GO:0005737}; cytoplasmic vesicle {GO:0031410}; endoplasmic reticulum {GO:0005783}; endoplasmic reticulum exit site {GO:0070971}; endoplasmic reticulum membrane {GO:0005789}; endosome {GO:0005768}; extracellular exosome {GO:0070062}; Golgi membrane {GO:0000139}; nucleus {GO:0005634}</t>
  </si>
  <si>
    <t>calcium ion binding {GO:0005509}; calcium-dependent protein binding {GO:0048306}; identical protein binding {GO:0042802}; magnesium ion binding {GO:0000287}; molecular adaptor activity {GO:0060090}; protein dimerization activity {GO:0046983}; protein homodimerization activity {GO:0042803}; protein membrane anchor {GO:0043495}</t>
  </si>
  <si>
    <t>Ephrin-A5</t>
  </si>
  <si>
    <t>AL-1; EPH-related receptor tyrosine kinase ligand 7 (LERK-7)</t>
  </si>
  <si>
    <t>EFNA5_HUMAN</t>
  </si>
  <si>
    <t>P52803</t>
  </si>
  <si>
    <t>EPLG7; LERK7</t>
  </si>
  <si>
    <t>3D-structure; Cell membrane; Developmental protein; Differentiation; Disulfide bond; Glycoprotein; GPI-anchor; Lipoprotein; Membrane; Neurogenesis; Polymorphism; Signal</t>
  </si>
  <si>
    <t>axon guidance {GO:0007411}; cellular response to follicle-stimulating hormone stimulus {GO:0071372}; cellular response to forskolin {GO:1904322}; collateral sprouting {GO:0048668}; ephrin receptor signaling pathway {GO:0048013}; negative regulation of substrate adhesion-dependent cell spreading {GO:1900025}; nervous system development {GO:0007399}; positive regulation of collateral sprouting {GO:0048672}; positive regulation of peptidyl-tyrosine phosphorylation {GO:0050731}; positive regulation of protein phosphorylation {GO:0001934}; positive regulation of synapse assembly {GO:0051965}; regulation of actin cytoskeleton organization {GO:0032956}; regulation of cell morphogenesis {GO:0022604}; regulation of cell-cell adhesion {GO:0022407}; regulation of focal adhesion assembly {GO:0051893}; regulation of GTPase activity {GO:0043087}; regulation of insulin secretion involved in cellular response to glucose stimulus {GO:0061178}; regulation of microtubule cytoskeleton organization {GO:0070507}; retinal ganglion cell axon guidance {GO:0031290}; synaptic membrane adhesion {GO:0099560}</t>
  </si>
  <si>
    <t>adherens junction {GO:0005912}; anchored component of external side of plasma membrane {GO:0031362}; basement membrane {GO:0005604}; caveola {GO:0005901}; GABA-ergic synapse {GO:0098982}; plasma membrane {GO:0005886}</t>
  </si>
  <si>
    <t>chemorepellent activity {GO:0045499}; ephrin receptor binding {GO:0046875}; neurotrophin TRKA receptor binding {GO:0005168}; neurotrophin TRKB receptor binding {GO:0005169}; neurotrophin TRKC receptor binding {GO:0005170}; transmembrane receptor protein tyrosine kinase activator activity {GO:0030297}</t>
  </si>
  <si>
    <t>Dihydropyrimidinase-related protein 3 (DRP-3)</t>
  </si>
  <si>
    <t>Collapsin response mediator protein 4 (CRMP-4); Unc-33-like phosphoprotein 1 (ULIP-1)</t>
  </si>
  <si>
    <t>DPYL3_HUMAN</t>
  </si>
  <si>
    <t>Q14195</t>
  </si>
  <si>
    <t>B3SXQ8; Q93012</t>
  </si>
  <si>
    <t>CRMP4; DRP3; ULIP; ULIP1</t>
  </si>
  <si>
    <t>3D-structure; Alternative splicing; Cell projection; Cytoplasm; Phosphoprotein; Polymorphism</t>
  </si>
  <si>
    <t>actin crosslink formation {GO:0051764}; actin filament bundle assembly {GO:0051017}; cellular response to cytokine stimulus {GO:0071345}; negative regulation of cell migration {GO:0030336}; negative regulation of neuron projection development {GO:0010977}; neuron development {GO:0048666}; positive regulation of filopodium assembly {GO:0051491}; positive regulation of neuron projection development {GO:0010976}; protein homooligomerization {GO:0051260}; response to axon injury {GO:0048678}</t>
  </si>
  <si>
    <t>cell body {GO:0044297}; cytosol {GO:0005829}; exocytic vesicle {GO:0070382}; extracellular space {GO:0005615}; filamentous actin {GO:0031941}; growth cone {GO:0030426}; lamellipodium {GO:0030027}; synapse {GO:0045202}</t>
  </si>
  <si>
    <t>chondroitin sulfate binding {GO:0035374}; filamin binding {GO:0031005}; hydrolase activity, acting on carbon-nitrogen (but not peptide) bonds {GO:0016810}; SH3 domain binding {GO:0017124}</t>
  </si>
  <si>
    <t>CRMPs in Sema3A signaling {R-HSA-399956}</t>
  </si>
  <si>
    <t>Serine protease inhibitor Kazal-type 7</t>
  </si>
  <si>
    <t>Esophagus cancer-related gene 2 protein (ECRG-2)</t>
  </si>
  <si>
    <t>ISK7_HUMAN</t>
  </si>
  <si>
    <t>P58062</t>
  </si>
  <si>
    <t>Q32LY0</t>
  </si>
  <si>
    <t>ECG2</t>
  </si>
  <si>
    <t>3D-structure; Disulfide bond; Protease inhibitor; Secreted; Serine protease inhibitor; Signal</t>
  </si>
  <si>
    <t>Receptor of activated protein C kinase 1, N-terminally processed</t>
  </si>
  <si>
    <t>Cell proliferation-inducing gene 21 protein; Guanine nucleotide-binding protein subunit beta-2-like 1; Guanine nucleotide-binding protein subunit beta-like protein 12.3; Human lung cancer oncogene 7 protein (HLC-7); Receptor for activated C kinase; Small ribosomal subunit protein RACK1; Guanine nucleotide-binding protein subunit beta-2-like 1, N-terminally processed</t>
  </si>
  <si>
    <t>RACK1_HUMAN</t>
  </si>
  <si>
    <t>P63244</t>
  </si>
  <si>
    <t>B3KTJ0; D3DWS0; P25388; P99049; Q53HU2; Q5J8M6; Q5VLR4; Q6FH47</t>
  </si>
  <si>
    <t>GNB2L1</t>
  </si>
  <si>
    <t>3D-structure; Acetylation; Apoptosis; Biological rhythms; Cell cycle; Cell membrane; Cell projection; Cytoplasm; Developmental protein; Gastrulation; Growth regulation; Host-virus interaction; Membrane; Nucleus; Phosphoprotein; Repeat; Ribonucleoprotein; Ribosomal protein; Translation regulation; WD repeat</t>
  </si>
  <si>
    <t>Apoptosis; Biological rhythms; Cell cycle; Gastrulation; Growth regulation; Host-virus interaction; Translation regulation</t>
  </si>
  <si>
    <t>activation of cysteine-type endopeptidase activity involved in apoptotic process {GO:0006919}; cell cycle {GO:0007049}; cellular response to glucose stimulus {GO:0071333}; cellular response to growth factor stimulus {GO:0071363}; gastrulation {GO:0007369}; negative regulation of cell growth {GO:0030308}; negative regulation of endoplasmic reticulum unfolded protein response {GO:1900102}; negative regulation of gene expression {GO:0010629}; negative regulation of hydrogen peroxide-induced neuron death {GO:1903208}; negative regulation of peptidyl-serine phosphorylation {GO:0033137}; negative regulation of phagocytosis {GO:0050765}; negative regulation of protein kinase B signaling {GO:0051898}; negative regulation of translation {GO:0017148}; negative regulation of Wnt signaling pathway {GO:0030178}; pigmentation {GO:0043473}; positive regulation of apoptotic process {GO:0043065}; positive regulation of cell migration {GO:0030335}; positive regulation of ceramide biosynthetic process {GO:2000304}; positive regulation of cyclic-nucleotide phosphodiesterase activity {GO:0051343}; positive regulation of gastrulation {GO:2000543}; positive regulation of Golgi to plasma membrane protein transport {GO:0042998}; positive regulation of GTPase activity {GO:0043547}; positive regulation of intrinsic apoptotic signaling pathway {GO:2001244}; positive regulation of mitochondrial depolarization {GO:0051901}; positive regulation of proteasomal ubiquitin-dependent protein catabolic process {GO:0032436}; positive regulation of protein homooligomerization {GO:0032464}; positive regulation of protein phosphorylation {GO:0001934}; protein ubiquitination {GO:0016567}; regulation of cell cycle {GO:0051726}; regulation of cell division {GO:0051302}; regulation of establishment of cell polarity {GO:2000114}; regulation of protein localization {GO:0032880}; regulation of tumor necrosis factor-mediated signaling pathway {GO:0010803}; rescue of stalled ribosome {GO:0072344}; rhythmic process {GO:0048511}; viral process {GO:0016032}</t>
  </si>
  <si>
    <t>cytoplasm {GO:0005737}; cytosol {GO:0005829}; cytosolic small ribosomal subunit {GO:0022627}; dendrite {GO:0030425}; extracellular exosome {GO:0070062}; IRE1-RACK1-PP2A complex {GO:1990630}; midbody {GO:0030496}; mitochondrion {GO:0005739}; neuronal cell body {GO:0043025}; nucleoplasm {GO:0005654}; nucleus {GO:0005634}; perikaryon {GO:0043204}; perinuclear region of cytoplasm {GO:0048471}; phagocytic cup {GO:0001891}; small ribosomal subunit {GO:0015935}</t>
  </si>
  <si>
    <t>cadherin binding {GO:0045296}; cyclin binding {GO:0030332}; cysteine-type endopeptidase activator activity involved in apoptotic process {GO:0008656}; enzyme binding {GO:0019899}; ion channel inhibitor activity {GO:0008200}; molecular adaptor activity {GO:0060090}; protein homodimerization activity {GO:0042803}; protein kinase C binding {GO:0005080}; protein phosphatase binding {GO:0019903}; protein tyrosine kinase inhibitor activity {GO:0030292}; receptor tyrosine kinase binding {GO:0030971}; ribosome binding {GO:0043022}; RNA binding {GO:0003723}; SH2 domain binding {GO:0042169}; signaling adaptor activity {GO:0035591}; signaling receptor binding {GO:0005102}</t>
  </si>
  <si>
    <t>Regulation of TNFR1 signaling {R-HSA-5357905}; TNFR1-induced NFkappaB signaling pathway {R-HSA-5357956}; TNFR1-mediated ceramide production {R-HSA-5626978}</t>
  </si>
  <si>
    <t>Serine/threonine-protein phosphatase 2A catalytic subunit alpha isoform (PP2A-alpha)</t>
  </si>
  <si>
    <t>Replication protein C (RP-C)</t>
  </si>
  <si>
    <t>PP2AA_HUMAN</t>
  </si>
  <si>
    <t>P67775</t>
  </si>
  <si>
    <t>P05323; P13197</t>
  </si>
  <si>
    <t>3D-structure; Alternative splicing; Centromere; Chromosome; Cytoplasm; Cytoskeleton; Hydrolase; Manganese; Meiosis; Metal-binding; Methylation; Nucleus; Phosphoprotein; Polymorphism; Protein phosphatase; Ubl conjugation</t>
  </si>
  <si>
    <t>Meiosis</t>
  </si>
  <si>
    <t>Centromere; Chromosome; Cytoplasm; Cytoskeleton; Nucleus</t>
  </si>
  <si>
    <t>apoptotic process {GO:0006915}; ceramide metabolic process {GO:0006672}; inactivation of MAPK activity {GO:0000188}; meiotic cell cycle {GO:0051321}; mesoderm development {GO:0007498}; mitotic nuclear envelope reassembly {GO:0007084}; negative regulation of cell growth {GO:0030308}; negative regulation of epithelial to mesenchymal transition {GO:0010719}; negative regulation of tyrosine phosphorylation of STAT protein {GO:0042532}; nuclear-transcribed mRNA catabolic process, nonsense-mediated decay {GO:0000184}; peptidyl-serine dephosphorylation {GO:0070262}; peptidyl-threonine dephosphorylation {GO:0035970}; positive regulation of microtubule binding {GO:1904528}; positive regulation of protein serine/threonine kinase activity {GO:0071902}; protein dephosphorylation {GO:0006470}; regulation of cell adhesion {GO:0030155}; regulation of cell differentiation {GO:0045595}; regulation of DNA replication {GO:0006275}; regulation of growth {GO:0040008}; regulation of microtubule binding {GO:1904526}; regulation of protein phosphorylation {GO:0001932}; regulation of transcription, DNA-templated {GO:0006355}; regulation of Wnt signaling pathway {GO:0030111}; response to lead ion {GO:0010288}; response to organic substance {GO:0010033}; RNA splicing {GO:0008380}; second-messenger-mediated signaling {GO:0019932}</t>
  </si>
  <si>
    <t>chromosome, centromeric region {GO:0000775}; cytosol {GO:0005829}; extracellular exosome {GO:0070062}; membrane {GO:0016020}; membrane raft {GO:0045121}; microtubule cytoskeleton {GO:0015630}; mitochondrion {GO:0005739}; nucleus {GO:0005634}; plasma membrane {GO:0005886}; protein phosphatase type 2A complex {GO:0000159}; spindle pole {GO:0000922}; synapse {GO:0045202}</t>
  </si>
  <si>
    <t>GABA receptor binding {GO:0050811}; metal ion binding {GO:0046872}; phosphoprotein phosphatase activity {GO:0004721}; protein C-terminus binding {GO:0008022}; protein heterodimerization activity {GO:0046982}; protein serine/threonine phosphatase activity {GO:0004722}; tau protein binding {GO:0048156}</t>
  </si>
  <si>
    <t>Inhibition of replication initiation of damaged DNA by RB1/E2F1 {R-HSA-113501}; Spry regulation of FGF signaling {R-HSA-1295596}; Amplification of signal from unattached kinetochores via a MAD2 inhibitory signal {R-HSA-141444}; Integration of energy metabolism {R-HSA-163685}; PP2A-mediated dephosphorylation of key metabolic factors {R-HSA-163767}; DARPP-32 events {R-HSA-180024}; Degradation of beta-catenin by the destruction complex {R-HSA-195253}; Beta-catenin phosphorylation cascade {R-HSA-196299}; ERK/MAPK targets {R-HSA-198753}; ERKs are inactivated {R-HSA-202670}; MASTL Facilitates Mitotic Progression {R-HSA-2465910}; Separation of Sister Chromatids {R-HSA-2467813}; Resolution of Sister Chromatid Cohesion {R-HSA-2500257}; Initiation of Nuclear Envelope Reformation {R-HSA-2995383}; CTLA4 inhibitory signaling {R-HSA-389513}; Platelet sensitization by LDL {R-HSA-432142}; Disassembly of the destruction complex and recruitment of AXIN to the membrane {R-HSA-4641262}; Misspliced GSK3beta mutants stabilize beta-catenin {R-HSA-5339716}; S33 mutants of beta-catenin aren't phosphorylated {R-HSA-5358747}; S37 mutants of beta-catenin aren't phosphorylated {R-HSA-5358749}; S45 mutants of beta-catenin aren't phosphorylated {R-HSA-5358751}; T41 mutants of beta-catenin aren't phosphorylated {R-HSA-5358752}; APC truncation mutants have impaired AXIN binding {R-HSA-5467337}; AXIN missense mutants destabilize the destruction complex {R-HSA-5467340}; Truncations of AMER1 destabilize the destruction complex {R-HSA-5467348}; RHO GTPases Activate Formins {R-HSA-5663220}; RAF activation {R-HSA-5673000}; Negative regulation of MAPK pathway {R-HSA-5675221}; Regulation of TP53 Degradation {R-HSA-6804757}; PI5P, PP2A and IER3 Regulate PI3K/AKT Signaling {R-HSA-6811558}; Mitotic Prometaphase {R-HSA-68877}; Cyclin D associated events in G1 {R-HSA-69231}; Cyclin A/B1/B2 associated events during G2/M transition {R-HSA-69273}; Regulation of glycolysis by fructose 2,6-bisphosphate metabolism {R-HSA-9634600}; Nonsense Mediated Decay (NMD) enhanced by the Exon Junction Complex (EJC) {R-HSA-975957}</t>
  </si>
  <si>
    <t>Sodium-dependent neutral amino acid transporter B(0)AT1</t>
  </si>
  <si>
    <t>Solute carrier family 6 member 19; System B(0) neutral amino acid transporter AT1</t>
  </si>
  <si>
    <t>S6A19_HUMAN</t>
  </si>
  <si>
    <t>Q695T7</t>
  </si>
  <si>
    <t>A8K446</t>
  </si>
  <si>
    <t>B0AT1</t>
  </si>
  <si>
    <t>Amino-acid transport; Cell membrane; Disease mutation; Glycoprotein; Membrane; Phosphoprotein; Polymorphism; Symport; Transmembrane; Transmembrane helix; Transport</t>
  </si>
  <si>
    <t>amino acid transport {GO:0006865}; response to nutrient {GO:0007584}</t>
  </si>
  <si>
    <t>apical plasma membrane {GO:0016324}; brush border membrane {GO:0031526}; extracellular exosome {GO:0070062}; integral component of plasma membrane {GO:0005887}; plasma membrane {GO:0005886}</t>
  </si>
  <si>
    <t>amino acid transmembrane transporter activity {GO:0015171}; neurotransmitter:sodium symporter activity {GO:0005328}; neutral amino acid transmembrane transporter activity {GO:0015175}</t>
  </si>
  <si>
    <t>Amino acid transport across the plasma membrane {R-HSA-352230}; Na+/Cl- dependent neurotransmitter transporters {R-HSA-442660}; Defective SLC6A19 causes Hartnup disorder (HND) {R-HSA-5619044}; Defective SLC6A19 causes Hartnup disorder (HND) {R-HSA-5659735}</t>
  </si>
  <si>
    <t>Sequestosome-1</t>
  </si>
  <si>
    <t>EBI3-associated protein of 60 kDa (EBIAP; p60); Phosphotyrosine-independent ligand for the Lck SH2 domain of 62 kDa; Ubiquitin-binding protein p62</t>
  </si>
  <si>
    <t>SQSTM_HUMAN</t>
  </si>
  <si>
    <t>Q13501</t>
  </si>
  <si>
    <t>A6NFN7; B2R661; B3KUW5; Q13446; Q9BUV7; Q9BVS6; Q9UEU1</t>
  </si>
  <si>
    <t>ORCA; OSIL</t>
  </si>
  <si>
    <t>3D-structure; Acetylation; Alternative splicing; Amyotrophic lateral sclerosis; Apoptosis; Autophagy; Cytoplasm; Cytoplasmic vesicle; Differentiation; Disease mutation; Endoplasmic reticulum; Endosome; Immunity; Isopeptide bond; Lysosome; Metal-binding; Neurodegeneration; Nucleus; Phosphoprotein; Polymorphism; Ubl conjugation; Zinc; Zinc-finger</t>
  </si>
  <si>
    <t>Apoptosis; Autophagy; Differentiation; Immunity</t>
  </si>
  <si>
    <t>Cytoplasm; Cytoplasmic vesicle; Endoplasmic reticulum; Endosome; Lysosome; Nucleus</t>
  </si>
  <si>
    <t>Zinc-finger</t>
  </si>
  <si>
    <t>aggrephagy {GO:0035973}; apoptotic process {GO:0006915}; autophagy {GO:0006914}; autophagy of mitochondrion {GO:0000422}; cell differentiation {GO:0030154}; endosomal transport {GO:0016197}; endosome organization {GO:0007032}; immune system process {GO:0002376}; interleukin-1-mediated signaling pathway {GO:0070498}; intracellular signal transduction {GO:0035556}; macroautophagy {GO:0016236}; mitochondrion organization {GO:0007005}; mitophagy {GO:0000423}; negative regulation of apoptotic process {GO:0043066}; negative regulation of growth of symbiont in host {GO:0044130}; negative regulation of transcription by RNA polymerase II {GO:0000122}; positive regulation of apoptotic process {GO:0043065}; positive regulation of long-term synaptic potentiation {GO:1900273}; positive regulation of protein localization to plasma membrane {GO:1903078}; positive regulation of protein phosphorylation {GO:0001934}; positive regulation of transcription by RNA polymerase II {GO:0045944}; protein heterooligomerization {GO:0051291}; protein localization {GO:0008104}; protein localization to perinuclear region of cytoplasm {GO:1905719}; regulation of I-kappaB kinase/NF-kappaB signaling {GO:0043122}; regulation of mitochondrion organization {GO:0010821}; regulation of protein complex stability {GO:0061635}; regulation of Ras protein signal transduction {GO:0046578}; response to ischemia {GO:0002931}; response to mitochondrial depolarisation {GO:0098780}; selective autophagy {GO:0061912}; ubiquitin-dependent protein catabolic process {GO:0006511}</t>
  </si>
  <si>
    <t>aggresome {GO:0016235}; amphisome {GO:0044753}; autolysosome {GO:0044754}; autophagosome {GO:0005776}; cytoplasm {GO:0005737}; cytosol {GO:0005829}; endoplasmic reticulum {GO:0005783}; extracellular exosome {GO:0070062}; inclusion body {GO:0016234}; intracellular membrane-bounded organelle {GO:0043231}; late endosome {GO:0005770}; Lewy body {GO:0097413}; mitochondrion {GO:0005739}; nucleoplasm {GO:0005654}; P-body {GO:0000932}; phagophore assembly site {GO:0000407}; PML body {GO:0016605}; sarcomere {GO:0030017}; sperm midpiece {GO:0097225}</t>
  </si>
  <si>
    <t>enzyme binding {GO:0019899}; identical protein binding {GO:0042802}; ionotropic glutamate receptor binding {GO:0035255}; K63-linked polyubiquitin modification-dependent protein binding {GO:0070530}; protein homodimerization activity {GO:0042803}; protein kinase binding {GO:0019901}; protein kinase C binding {GO:0005080}; protein serine/threonine kinase activity {GO:0004674}; receptor tyrosine kinase binding {GO:0030971}; SH2 domain binding {GO:0042169}; ubiquitin binding {GO:0043130}; ubiquitin protein ligase binding {GO:0031625}; zinc ion binding {GO:0008270}</t>
  </si>
  <si>
    <t>NRIF signals cell death from the nucleus {R-HSA-205043}; p75NTR recruits signalling complexes {R-HSA-209543}; NF-kB is activated and signals survival {R-HSA-209560}; Pink/Parkin Mediated Mitophagy {R-HSA-5205685}; Interleukin-1 signaling {R-HSA-9020702}</t>
  </si>
  <si>
    <t>AP-4 complex subunit beta-1</t>
  </si>
  <si>
    <t>AP-4 adaptor complex subunit beta; Adaptor-related protein complex 4 subunit beta-1; Beta subunit of AP-4; Beta4-adaptin</t>
  </si>
  <si>
    <t>AP4B1_HUMAN</t>
  </si>
  <si>
    <t>Q9Y6B7</t>
  </si>
  <si>
    <t>B7Z4X3; Q59EJ4; Q96CL6</t>
  </si>
  <si>
    <t>3D-structure; Alternative splicing; Golgi apparatus; Hereditary spastic paraplegia; Membrane; Neurodegeneration; Polymorphism; Protein transport; Transport</t>
  </si>
  <si>
    <t>protein localization {GO:0008104}; protein targeting {GO:0006605}; vesicle-mediated transport {GO:0016192}</t>
  </si>
  <si>
    <t>AP-4 adaptor complex {GO:0030124}; clathrin adaptor complex {GO:0030131}; cytosol {GO:0005829}; endosome lumen {GO:0031904}; extrinsic component of membrane {GO:0019898}; trans-Golgi network {GO:0005802}; trans-Golgi network membrane {GO:0032588}</t>
  </si>
  <si>
    <t>Lysosome Vesicle Biogenesis {R-HSA-432720}; Golgi Associated Vesicle Biogenesis {R-HSA-432722}</t>
  </si>
  <si>
    <t>Protocadherin-1</t>
  </si>
  <si>
    <t>Cadherin-like protein 1; Protocadherin-42 (PC42)</t>
  </si>
  <si>
    <t>PCDH1_HUMAN</t>
  </si>
  <si>
    <t>Q08174</t>
  </si>
  <si>
    <t>Q8IUP2</t>
  </si>
  <si>
    <t>3D-structure; Alternative splicing; Calcium; Cell adhesion; Cell junction; Cell membrane; Glycoprotein; Membrane; Phosphoprotein; Polymorphism; Repeat; Signal; Transmembrane; Transmembrane helix</t>
  </si>
  <si>
    <t>cell adhesion {GO:0007155}; cell-cell signaling {GO:0007267}; homophilic cell adhesion via plasma membrane adhesion molecules {GO:0007156}; nervous system development {GO:0007399}</t>
  </si>
  <si>
    <t>cell junction {GO:0030054}; cell-cell junction {GO:0005911}; integral component of plasma membrane {GO:0005887}; intracellular membrane-bounded organelle {GO:0043231}; nucleolus {GO:0005730}; nucleus {GO:0005634}; plasma membrane {GO:0005886}</t>
  </si>
  <si>
    <t>Protocadherin alpha-C2 (PCDH-alpha-C2)</t>
  </si>
  <si>
    <t>PCDC2_HUMAN</t>
  </si>
  <si>
    <t>Q9Y5I4</t>
  </si>
  <si>
    <t>Q2M3V1; Q9Y5F4</t>
  </si>
  <si>
    <t>Alternative splicing; Calcium; Cell adhesion; Cell membrane; Glycoprotein; Membrane; Repeat; Signal; Transmembrane; Transmembrane helix</t>
  </si>
  <si>
    <t>cell adhesion {GO:0007155}; homophilic cell adhesion via plasma membrane adhesion molecules {GO:0007156}; nervous system development {GO:0007399}</t>
  </si>
  <si>
    <t>integral component of plasma membrane {GO:0005887}</t>
  </si>
  <si>
    <t>Protocadherin gamma-C3 (PCDH-gamma-C3)</t>
  </si>
  <si>
    <t>Protocadherin-2; Protocadherin-43 (PC-43)</t>
  </si>
  <si>
    <t>PCDGK_HUMAN</t>
  </si>
  <si>
    <t>Q9UN70</t>
  </si>
  <si>
    <t>O60622; Q08192; Q9Y5C4</t>
  </si>
  <si>
    <t>PCDH2</t>
  </si>
  <si>
    <t>calcium-dependent cell-cell adhesion via plasma membrane cell adhesion molecules {GO:0016339}; cell adhesion {GO:0007155}; homophilic cell adhesion via plasma membrane adhesion molecules {GO:0007156}; synapse organization {GO:0050808}</t>
  </si>
  <si>
    <t>Protocadherin gamma-B1 (PCDH-gamma-B1)</t>
  </si>
  <si>
    <t>PCDGD_HUMAN</t>
  </si>
  <si>
    <t>Q9Y5G3</t>
  </si>
  <si>
    <t>Q3SY75; Q9Y5C8</t>
  </si>
  <si>
    <t>cell adhesion {GO:0007155}; homophilic cell adhesion via plasma membrane adhesion molecules {GO:0007156}</t>
  </si>
  <si>
    <t>growth cone {GO:0030426}; integral component of plasma membrane {GO:0005887}</t>
  </si>
  <si>
    <t>Cadherin-17</t>
  </si>
  <si>
    <t>Intestinal peptide-associated transporter HPT-1; Liver-intestine cadherin (LI-cadherin)</t>
  </si>
  <si>
    <t>CAD17_HUMAN</t>
  </si>
  <si>
    <t>Q12864</t>
  </si>
  <si>
    <t>Q15336; Q2M2E0</t>
  </si>
  <si>
    <t>Calcium; Cell adhesion; Cell membrane; Glycoprotein; Membrane; Metal-binding; Polymorphism; Repeat; Signal; Transmembrane; Transmembrane helix; Transport</t>
  </si>
  <si>
    <t>Cell adhesion; Transport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</si>
  <si>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germinal center B cell differentiation {GO:0002314}; homophilic cell adhesion via plasma membrane adhesion molecules {GO:0007156}; integrin-mediated signaling pathway {GO:0007229}; marginal zone B cell differentiation {GO:0002315}; oligopeptide transmembrane transport {GO:0035672}; oligopeptide transport {GO:0006857}; positive regulation of integrin activation by cell surface receptor linked signal transduction {GO:0033626}; spleen development {GO:0048536}</t>
  </si>
  <si>
    <t>basolateral plasma membrane {GO:0016323}; catenin complex {GO:0016342}; cell junction {GO:0030054}; cell surface {GO:0009986}; cell-cell adherens junction {GO:0005913}; integral component of membrane {GO:0016021}; nucleus {GO:0005634}; plasma membrane {GO:0005886}</t>
  </si>
  <si>
    <t>cadherin binding {GO:0045296}; calcium ion binding {GO:0005509}; cytoskeletal protein binding {GO:0008092}; integrin binding {GO:0005178}; protein homodimerization activity {GO:0042803}; proton-dependent oligopeptide secondary active transmembrane transporter activity {GO:0005427}; transporter activity {GO:0005215}</t>
  </si>
  <si>
    <t>Receptor expression-enhancing protein 5</t>
  </si>
  <si>
    <t>Polyposis locus protein 1; Protein TB2</t>
  </si>
  <si>
    <t>REEP5_HUMAN</t>
  </si>
  <si>
    <t>Q00765</t>
  </si>
  <si>
    <t>B7Z681; D3DT04; Q04198; Q5QGT0; Q9BWH9</t>
  </si>
  <si>
    <t>C5orf18; DP1; TB2</t>
  </si>
  <si>
    <t>Alternative splicing; Endoplasmic reticulum; Membrane; Transmembrane; Transmembrane helix</t>
  </si>
  <si>
    <t>endoplasmic reticulum tubular network {GO:0071782}; integral component of membrane {GO:0016021}</t>
  </si>
  <si>
    <t>Olfactory Signaling Pathway {R-HSA-381753}</t>
  </si>
  <si>
    <t>Inactive sodium-dependent neutral amino acid transporter B(0)AT3</t>
  </si>
  <si>
    <t>Sodium- and chloride-dependent transporter XTRP2; Solute carrier family 6 member 18; System B(0) neutral amino acid transporter AT3</t>
  </si>
  <si>
    <t>S6A18_HUMAN</t>
  </si>
  <si>
    <t>Q96N87</t>
  </si>
  <si>
    <t>XTRP2</t>
  </si>
  <si>
    <t>Amino-acid transport; Glycoprotein; Membrane; Neurotransmitter transport; Polymorphism; Symport; Transmembrane; Transmembrane helix; Transport</t>
  </si>
  <si>
    <t>Amino-acid transport; Neurotransmitter transport; Symport; Transport</t>
  </si>
  <si>
    <t>amino acid transport {GO:0006865}</t>
  </si>
  <si>
    <t>apical plasma membrane {GO:0016324}; brush border membrane {GO:0031526}; integral component of plasma membrane {GO:0005887}; plasma membrane {GO:0005886}</t>
  </si>
  <si>
    <t>Amino acid transport across the plasma membrane {R-HSA-352230}; Na+/Cl- dependent neurotransmitter transporters {R-HSA-442660}; Defective SLC6A18 may confer susceptibility to iminoglycinuria and/or hyperglycinuria {R-HSA-5619079}; Defective SLC6A18 may confer susceptibility to iminoglycinuria and/or hyperglycinuria {R-HSA-5659729}</t>
  </si>
  <si>
    <t>Serine protease inhibitor Kazal-type 1</t>
  </si>
  <si>
    <t>Pancreatic secretory trypsin inhibitor; Tumor-associated trypsin inhibitor (TATI)</t>
  </si>
  <si>
    <t>ISK1_HUMAN</t>
  </si>
  <si>
    <t>P00995</t>
  </si>
  <si>
    <t>PSTI</t>
  </si>
  <si>
    <t>3D-structure; Disease mutation; Disulfide bond; Polymorphism; Protease inhibitor; Secreted; Serine protease inhibitor; Signal</t>
  </si>
  <si>
    <t>negative regulation of calcium ion import {GO:0090281}; negative regulation of nitric oxide mediated signal transduction {GO:0010751}; negative regulation of peptidyl-tyrosine phosphorylation {GO:0050732}; negative regulation of serine-type endopeptidase activity {GO:1900004}; regulation of acrosome reaction {GO:0060046}; regulation of store-operated calcium entry {GO:2001256}; sperm capacitation {GO:0048240}</t>
  </si>
  <si>
    <t>Marginal zone B- and B1-cell-specific protein</t>
  </si>
  <si>
    <t>Mesenteric estrogen-dependent adipose 7 (MEDA-7); Plasma cell-induced resident endoplasmic reticulum protein (Plasma cell-induced resident ER protein; pERp1); Proapoptotic caspase adapter protein</t>
  </si>
  <si>
    <t>MZB1_HUMAN</t>
  </si>
  <si>
    <t>Q8WU39</t>
  </si>
  <si>
    <t>D2IYS0; Q7Z6N2; Q96RL5; Q9P0T3</t>
  </si>
  <si>
    <t>MEDA7; PACAP</t>
  </si>
  <si>
    <t>Alternative splicing; Apoptosis; Cytoplasm; Disulfide bond; Endoplasmic reticulum; Secreted; Signal</t>
  </si>
  <si>
    <t>Cytoplasm; Endoplasmic reticulum; Secreted</t>
  </si>
  <si>
    <t>apoptotic process {GO:0006915}; integrin activation {GO:0033622}; positive regulation of cell population proliferation {GO:0008284}; positive regulation of immunoglobulin biosynthetic process {GO:0002642}; regulation of B cell proliferation {GO:0030888}; regulation of cell population proliferation {GO:0042127}; regulation of insulin receptor signaling pathway {GO:0046626}</t>
  </si>
  <si>
    <t>cytoplasm {GO:0005737}; endoplasmic reticulum chaperone complex {GO:0034663}; endoplasmic reticulum lumen {GO:0005788}; extracellular region {GO:0005576}</t>
  </si>
  <si>
    <t>Complement component C9b</t>
  </si>
  <si>
    <t>CO9_HUMAN</t>
  </si>
  <si>
    <t>P02748</t>
  </si>
  <si>
    <t>3D-structure; Age-related macular degeneration; Complement alternate pathway; Complement pathway; Cytolysis; Disease mutation; Disulfide bond; EGF-like domain; Glycoprotein; Immunity; Innate immunity; Membrane; Membrane attack complex; Phosphoprotein; Polymorphism; Secreted; Signal; Target cell membrane; Target membrane; Transmembrane; Transmembrane beta strand</t>
  </si>
  <si>
    <t>Membrane; Membrane attack complex; Secreted; Target cell membrane; Target membrane</t>
  </si>
  <si>
    <t>EGF-like domain; Signal; Transmembrane; Transmembrane beta strand</t>
  </si>
  <si>
    <t>cell killing {GO:0001906}; complement activation, alternative pathway {GO:0006957}; complement activation, classical pathway {GO:0006958}; cytolysis {GO:0019835}; protein homooligomerization {GO:0051260}; regulation of complement activation {GO:0030449}</t>
  </si>
  <si>
    <t>blood microparticle {GO:0072562}; cytosol {GO:0005829}; extracellular exosome {GO:0070062}; extracellular region {GO:0005576}; extracellular space {GO:0005615}; membrane attack complex {GO:0005579}; other organism cell membrane {GO:0044218}; plasma membrane {GO:0005886}</t>
  </si>
  <si>
    <t>Betaine--homocysteine S-methyltransferase 1</t>
  </si>
  <si>
    <t>BHMT1_HUMAN</t>
  </si>
  <si>
    <t>Q93088</t>
  </si>
  <si>
    <t>Q9UNI9</t>
  </si>
  <si>
    <t>3D-structure; Cytoplasm; Metal-binding; Methyltransferase; Phosphoprotein; Polymorphism; Transferase; Zinc</t>
  </si>
  <si>
    <t>amino-acid betaine catabolic process {GO:0006579}; amino-acid betaine metabolic process {GO:0006577}; choline catabolic process {GO:0042426}; L-methionine salvage {GO:0071267}; protein methylation {GO:0006479}; regulation of homocysteine metabolic process {GO:0050666}; sulfur amino acid metabolic process {GO:0000096}</t>
  </si>
  <si>
    <t>betaine-homocysteine S-methyltransferase activity {GO:0047150}; zinc ion binding {GO:0008270}</t>
  </si>
  <si>
    <t>Amino-acid biosynthesis; L-methionine biosynthesis via de novo pathway; L-methionine from L-homocysteine (BhmT route): step 1/1.</t>
  </si>
  <si>
    <t>Sulfur amino acid metabolism {R-HSA-1614635}; Choline catabolism {R-HSA-6798163}</t>
  </si>
  <si>
    <t>Beta-actin-like protein 2</t>
  </si>
  <si>
    <t>Kappa-actin</t>
  </si>
  <si>
    <t>ACTBL_HUMAN</t>
  </si>
  <si>
    <t>Q562R1</t>
  </si>
  <si>
    <t>B2RPJ1; Q562R2; Q562S9; Q562X8</t>
  </si>
  <si>
    <t>ATP-binding; Cytoplasm; Cytoskeleton; Nucleotide-binding; Oxidation</t>
  </si>
  <si>
    <t>Oxidation</t>
  </si>
  <si>
    <t>actin cytoskeleton {GO:0015629}; cytoplasm {GO:0005737}; extracellular exosome {GO:0070062}; extracellular space {GO:0005615}; glutamatergic synapse {GO:0098978}</t>
  </si>
  <si>
    <t>Matrin-3</t>
  </si>
  <si>
    <t>MATR3_HUMAN</t>
  </si>
  <si>
    <t>P43243</t>
  </si>
  <si>
    <t>B7ZAV5; D3DQC3; Q9UHW0; Q9UQ27</t>
  </si>
  <si>
    <t>KIAA0723</t>
  </si>
  <si>
    <t>Acetylation; Alternative splicing; Amyotrophic lateral sclerosis; Disease mutation; Immunity; Innate immunity; Isopeptide bond; Metal-binding; Neurodegeneration; Nucleus; Phosphoprotein; Polymorphism; Repeat; RNA-binding; Ubl conjugation; Zinc; Zinc-finger</t>
  </si>
  <si>
    <t>activation of innate immune response {GO:0002218}; heart valve development {GO:0003170}; innate immune response {GO:0045087}; posttranscriptional regulation of gene expression {GO:0010608}; ventricular septum development {GO:0003281}</t>
  </si>
  <si>
    <t>membrane {GO:0016020}; nuclear inner membrane {GO:0005637}; nuclear matrix {GO:0016363}</t>
  </si>
  <si>
    <t>identical protein binding {GO:0042802}; miRNA binding {GO:0035198}; RNA binding {GO:0003723}; structural molecule activity {GO:0005198}; zinc ion binding {GO:0008270}</t>
  </si>
  <si>
    <t>Protein-lysine 6-oxidase</t>
  </si>
  <si>
    <t>Lysyl oxidase</t>
  </si>
  <si>
    <t>LYOX_HUMAN</t>
  </si>
  <si>
    <t>P28300</t>
  </si>
  <si>
    <t>B2R5Q3; Q5FWF0</t>
  </si>
  <si>
    <t>Aortic aneurysm; Copper; Disease mutation; Disulfide bond; Glycoprotein; LTQ; Metal-binding; Oxidoreductase; Polymorphism; Secreted; Signal; TPQ</t>
  </si>
  <si>
    <t>Disulfide bond; Glycoprotein; LTQ; TPQ</t>
  </si>
  <si>
    <t>ascending aorta development {GO:0035905}; blood vessel morphogenesis {GO:0048514}; bone mineralization {GO:0030282}; cell chemotaxis {GO:0060326}; cellular protein modification process {GO:0006464}; cellular response to chemokine {GO:1990869}; collagen fibril organization {GO:0030199}; connective tissue development {GO:0061448}; descending aorta development {GO:0035906}; DNA biosynthetic process {GO:0071897}; elastic fiber assembly {GO:0048251}; extracellular matrix organization {GO:0030198}; heart development {GO:0007507}; lung development {GO:0030324}; muscle cell cellular homeostasis {GO:0046716}; muscle fiber development {GO:0048747}; osteoblast differentiation {GO:0001649}; peptidyl-lysine oxidation {GO:0018057}; platelet-derived growth factor receptor-beta signaling pathway {GO:0035791}; protein kinase B signaling {GO:0043491}; regulation of apoptotic process {GO:0042981}; regulation of bone development {GO:1903010}; regulation of gene expression {GO:0010468}; regulation of megakaryocyte differentiation {GO:0045652}; regulation of platelet-derived growth factor receptor-beta signaling pathway {GO:2000586}; regulation of protein phosphorylation {GO:0001932}; regulation of receptor binding {GO:1900120}; regulation of striated muscle tissue development {GO:0016202}; regulation of transforming growth factor beta receptor signaling pathway {GO:0017015}; response to drug {GO:0042493}; response to steroid hormone {GO:0048545}; wound healing {GO:0042060}</t>
  </si>
  <si>
    <t>collagen trimer {GO:0005581}; extracellular matrix {GO:0031012}; extracellular region {GO:0005576}; extracellular space {GO:0005615}; nucleus {GO:0005634}</t>
  </si>
  <si>
    <t>Hexokinase-3</t>
  </si>
  <si>
    <t>Hexokinase type III (HK III)</t>
  </si>
  <si>
    <t>HXK3_HUMAN</t>
  </si>
  <si>
    <t>P52790</t>
  </si>
  <si>
    <t>Q8N1E7</t>
  </si>
  <si>
    <t>3D-structure; Allosteric enzyme; ATP-binding; Glycolysis; Kinase; Nucleotide-binding; Polymorphism; Repeat; Transferase</t>
  </si>
  <si>
    <t>canonical glycolysis {GO:0061621}; cellular glucose homeostasis {GO:0001678}; glycolytic process {GO:0006096}; neutrophil degranulation {GO:0043312}</t>
  </si>
  <si>
    <t>cytosol {GO:0005829}; extracellular region {GO:0005576}; ficolin-1-rich granule lumen {GO:1904813}; secretory granule lumen {GO:0034774}</t>
  </si>
  <si>
    <t>ATP binding {GO:0005524}; fructokinase activity {GO:0008865}; glucokinase activity {GO:0004340}; glucose binding {GO:0005536}; hexokinase activity {GO:0004396}; mannokinase activity {GO:0019158}</t>
  </si>
  <si>
    <t>T-complex protein 1 subunit epsilon (TCP-1-epsilon)</t>
  </si>
  <si>
    <t>CCT-epsilon</t>
  </si>
  <si>
    <t>TCPE_HUMAN</t>
  </si>
  <si>
    <t>P48643</t>
  </si>
  <si>
    <t>A8JZY8; A8K2X8; B4DYD8</t>
  </si>
  <si>
    <t>CCTE; KIAA0098</t>
  </si>
  <si>
    <t>3D-structure; Acetylation; Alternative splicing; ATP-binding; Chaperone; Cytoplasm; Cytoskeleton; Disease mutation; Isopeptide bond; Neuropathy; Nucleotide-binding; Phosphoprotein; Polymorphism; Ubl conjugation</t>
  </si>
  <si>
    <t>Disease mutation; Neuropathy</t>
  </si>
  <si>
    <t>binding of sperm to zona pellucida {GO:0007339};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response to virus {GO:0009615}; toxin transport {GO:1901998}</t>
  </si>
  <si>
    <t>cell body {GO:0044297}; centrosome {GO:0005813}; chaperonin-containing T-complex {GO:0005832}; cytosol {GO:0005829}; extracellular exosome {GO:0070062}; microtubule {GO:0005874}; nucleolus {GO:0005730}</t>
  </si>
  <si>
    <t>ATP binding {GO:0005524}; beta-tubulin binding {GO:0048487}; G-protein beta-subunit binding {GO:0031681}; mRNA 3'-UTR binding {GO:0003730}; mRNA 5'-UTR binding {GO:0048027}; unfolded protein binding {GO:0051082}</t>
  </si>
  <si>
    <t>Prefoldin mediated transfer of substrate to CCT/TriC {R-HSA-389957}; Formation of tubulin folding intermediates by CCT/TriC {R-HSA-389960}; Folding of actin by CCT/TriC {R-HSA-390450}; Association of TriC/CCT with target proteins during biosynthesis {R-HSA-390471}; BBSome-mediated cargo-targeting to cilium {R-HSA-5620922}; Cooperation of PDCL (PhLP1) and TRiC/CCT in G-protein beta folding {R-HSA-6814122}</t>
  </si>
  <si>
    <t>Lamin-B1</t>
  </si>
  <si>
    <t>LMNB1_HUMAN</t>
  </si>
  <si>
    <t>P20700</t>
  </si>
  <si>
    <t>B2R6J6; Q3SYN7; Q96EI6</t>
  </si>
  <si>
    <t>LMN2; LMNB</t>
  </si>
  <si>
    <t>3D-structure; Acetylation; Chromosomal rearrangement; Coiled coil; Disulfide bond; Intermediate filament; Isopeptide bond; Leukodystrophy; Lipoprotein; Membrane; Methylation; Nucleus; Phosphoprotein; Polymorphism; Prenylation; Ubl conjugation</t>
  </si>
  <si>
    <t>Leukodystrophy</t>
  </si>
  <si>
    <t>Acetylation; Disulfide bond; Isopeptide bond; Lipoprotein; Methylation; Phosphoprotein; Prenylation; Ubl conjugation</t>
  </si>
  <si>
    <t>interleukin-12-mediated signaling pathway {GO:0035722}</t>
  </si>
  <si>
    <t>lamin filament {GO:0005638}; membrane {GO:0016020}; nuclear envelope {GO:0005635}; nuclear inner membrane {GO:0005637}; nuclear matrix {GO:0016363}; nuclear membrane {GO:0031965}; nucleoplasm {GO:0005654}; nucleus {GO:0005634}</t>
  </si>
  <si>
    <t>phospholipase binding {GO:0043274}; sequence-specific double-stranded DNA binding {GO:1990837}; structural molecule activity {GO:0005198}</t>
  </si>
  <si>
    <t>Meiotic synapsis {R-HSA-1221632}; Formation of Senescence-Associated Heterochromatin Foci (SAHF) {R-HSA-2559584}; Nuclear Envelope Breakdown {R-HSA-2980766}; Initiation of Nuclear Envelope Reformation {R-HSA-2995383}; Breakdown of the nuclear lamina {R-HSA-352238}; Depolymerisation of the Nuclear Lamina {R-HSA-4419969}; Deregulated CDK5 triggers multiple neurodegenerative pathways in Alzheimer's disease models {R-HSA-8862803}; Gene and protein expression by JAK-STAT signaling after Interleukin-12 stimulation {R-HSA-8950505}</t>
  </si>
  <si>
    <t>Cadherin-related family member 2</t>
  </si>
  <si>
    <t>Protocadherin LKC (PC-LKC); Protocadherin-24</t>
  </si>
  <si>
    <t>CDHR2_HUMAN</t>
  </si>
  <si>
    <t>Q9BYE9</t>
  </si>
  <si>
    <t>A1L3U4; A6NC80; Q9NXP8</t>
  </si>
  <si>
    <t>3D-structure; Calcium; Cell adhesion; Cell junction; Cell membrane; Cell projection; Differentiation; Glycoprotein; Membrane; Phosphoprotein; Polymorphism; Repeat; Signal; Transmembrane; Transmembrane helix</t>
  </si>
  <si>
    <t>Cell adhesion; Differentiation</t>
  </si>
  <si>
    <t>cell-cell adhesion {GO:0098609}; cell-cell adhesion mediated by cadherin {GO:0044331}; epithelial cell differentiation {GO:0030855}; homophilic cell adhesion via plasma membrane adhesion molecules {GO:0007156}; intermicrovillar adhesion {GO:0090675}; negative regulation of cell growth involved in contact inhibition {GO:0060243}; regulation of microvillus length {GO:0032532}</t>
  </si>
  <si>
    <t>apical plasma membrane {GO:0016324}; brush border {GO:0005903}; brush border membrane {GO:0031526}; cell junction {GO:0030054}; extracellular exosome {GO:0070062}; microvillus membrane {GO:0031528}; spanning component of plasma membrane {GO:0044214}</t>
  </si>
  <si>
    <t>calcium ion binding {GO:0005509}; cell adhesion molecule binding {GO:0050839}</t>
  </si>
  <si>
    <t>Heparin-binding EGF-like growth factor (HB-EGF; HBEGF)</t>
  </si>
  <si>
    <t>Diphtheria toxin receptor (DT-R)</t>
  </si>
  <si>
    <t>HBEGF_HUMAN</t>
  </si>
  <si>
    <t>Q99075</t>
  </si>
  <si>
    <t>B2R821</t>
  </si>
  <si>
    <t>DTR; DTS; HEGFL</t>
  </si>
  <si>
    <t>3D-structure; Cell membrane; Disulfide bond; EGF-like domain; Glycoprotein; Growth factor; Heparin-binding; Membrane; Receptor; Secreted; Signal; Transmembrane; Transmembrane helix</t>
  </si>
  <si>
    <t>Growth factor; Heparin-binding; Receptor</t>
  </si>
  <si>
    <t>cell chemotaxis {GO:0060326}; epidermal growth factor receptor signaling pathway {GO:0007173}; ERBB2 signaling pathway {GO:0038128}; MAPK cascade {GO:0000165}; membrane organization {GO:0061024}; muscle organ development {GO:0007517}; negative regulation of elastin biosynthetic process {GO:0051545}; negative regulation of epidermal growth factor receptor signaling pathway {GO:0042059}; positive regulation of cell growth {GO:0030307}; positive regulation of cell migration {GO:0030335}; positive regulation of cell population proliferation {GO:0008284}; positive regulation of keratinocyte migration {GO:0051549}; positive regulation of peptidyl-tyrosine phosphorylation {GO:0050731}; positive regulation of protein kinase B signaling {GO:0051897}; positive regulation of smooth muscle cell proliferation {GO:0048661}; positive regulation of wound healing {GO:0090303}; regulation of cell motility {GO:2000145}; regulation of heart contraction {GO:0008016}; signal transduction {GO:0007165}; wound healing, spreading of epidermal cells {GO:0035313}</t>
  </si>
  <si>
    <t>cell surface {GO:0009986}; clathrin-coated endocytic vesicle membrane {GO:0030669}; clathrin-coated vesicle membrane {GO:0030665}; endocytic vesicle membrane {GO:0030666}; extracellular region {GO:0005576}; extracellular space {GO:0005615}; integral component of plasma membrane {GO:0005887}; plasma membrane {GO:0005886}</t>
  </si>
  <si>
    <t>epidermal growth factor receptor binding {GO:0005154}; growth factor activity {GO:0008083}; heparin binding {GO:0008201}</t>
  </si>
  <si>
    <t>Signaling by ERBB2 {R-HSA-1227986}; Signaling by ERBB4 {R-HSA-1236394}; SHC1 events in ERBB2 signaling {R-HSA-1250196}; PI3K events in ERBB4 signaling {R-HSA-1250342}; SHC1 events in ERBB4 signaling {R-HSA-1250347}; Nuclear signaling by ERBB4 {R-HSA-1251985}; PIP3 activates AKT signaling {R-HSA-1257604}; Signaling by EGFR {R-HSA-177929}; GRB2 events in EGFR signaling {R-HSA-179812}; GAB1 signalosome {R-HSA-180292}; SHC1 events in EGFR signaling {R-HSA-180336}; EGFR downregulation {R-HSA-182971}; GRB2 events in ERBB2 signaling {R-HSA-1963640}; PI3K events in ERBB2 signaling {R-HSA-1963642}; EGFR interacts with phospholipase C-gamma {R-HSA-212718}; EGFR Transactivation by Gastrin {R-HSA-2179392}; Constitutive Signaling by Aberrant PI3K in Cancer {R-HSA-2219530}; Uptake and function of diphtheria toxin {R-HSA-5336415}; Inhibition of Signaling by Overexpressed EGFR {R-HSA-5638303}; RAF/MAP kinase cascade {R-HSA-5673001}; ERBB2 Regulates Cell Motility {R-HSA-6785631}; PI5P, PP2A and IER3 Regulate PI3K/AKT Signaling {R-HSA-6811558}; ERBB2 Activates PTK6 Signaling {R-HSA-8847993}; Cargo recognition for clathrin-mediated endocytosis {R-HSA-8856825}; Clathrin-mediated endocytosis {R-HSA-8856828}; PTK6 promotes HIF1A stabilization {R-HSA-8857538}; Downregulation of ERBB2 signaling {R-HSA-8863795}; Non-genomic estrogen signaling {R-HSA-9009391}; Estrogen-dependent nuclear events downstream of ESR-membrane signaling {R-HSA-9634638}</t>
  </si>
  <si>
    <t>Cadherin-6</t>
  </si>
  <si>
    <t>Kidney cadherin (K-cadherin)</t>
  </si>
  <si>
    <t>CADH6_HUMAN</t>
  </si>
  <si>
    <t>P55285</t>
  </si>
  <si>
    <t>A8K5H5; Q9BWS0</t>
  </si>
  <si>
    <t>3D-structure; Alternative splicing; Calcium; Cell adhesion; Cell membrane; Cleavage on pair of basic residues; Glycoprotein; Membrane; Metal-binding; Phosphoprotein; Repeat; Signal; Transmembrane; Transmembrane helix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</si>
  <si>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homophilic cell adhesion via plasma membrane adhesion molecules {GO:0007156}; Notch signaling pathway {GO:0007219}</t>
  </si>
  <si>
    <t>Tubulin-specific chaperone A</t>
  </si>
  <si>
    <t>TCP1-chaperonin cofactor A; Tubulin-folding cofactor A (CFA)</t>
  </si>
  <si>
    <t>TBCA_HUMAN</t>
  </si>
  <si>
    <t>O75347</t>
  </si>
  <si>
    <t>B4DT30</t>
  </si>
  <si>
    <t>3D-structure; Acetylation; Alternative splicing; Chaperone; Cytoplasm; Cytoskeleton; Microtubule</t>
  </si>
  <si>
    <t>post-chaperonin tubulin folding pathway {GO:0007023}; protein folding {GO:0006457}; tubulin complex assembly {GO:0007021}</t>
  </si>
  <si>
    <t>cytoplasm {GO:0005737}; microtubule {GO:0005874}; microtubule cytoskeleton {GO:0015630}; nucleolus {GO:0005730}</t>
  </si>
  <si>
    <t>beta-tubulin binding {GO:0048487}; chaperone binding {GO:0051087}; RNA binding {GO:0003723}</t>
  </si>
  <si>
    <t>Catenin alpha-1</t>
  </si>
  <si>
    <t>Alpha E-catenin; Cadherin-associated protein; Renal carcinoma antigen NY-REN-13</t>
  </si>
  <si>
    <t>CTNA1_HUMAN</t>
  </si>
  <si>
    <t>P35221</t>
  </si>
  <si>
    <t>Q12795; Q8N1C0</t>
  </si>
  <si>
    <t>3D-structure; Acetylation; Alternative splicing; Cell adhesion; Cell junction; Cell membrane; Cytoplasm; Cytoskeleton; Isopeptide bond; Membrane; Phosphoprotein; Polymorphism; Ubl conjugation</t>
  </si>
  <si>
    <t>actin filament organization {GO:0007015}; adherens junction organization {GO:0034332}; aging {GO:0007568}; apical junction assembly {GO:0043297}; axon regeneration {GO:0031103}; cell adhesion {GO:0007155}; cellular protein localization {GO:0034613}; cellular response to indole-3-methanol {GO:0071681}; epithelial cell-cell adhesion {GO:0090136}; establishment or maintenance of cell polarity {GO:0007163}; gap junction assembly {GO:0016264}; male gonad development {GO:0008584}; negative regulation of cell motility {GO:2000146}; negative regulation of extrinsic apoptotic signaling pathway in absence of ligand {GO:2001240}; negative regulation of integrin-mediated signaling pathway {GO:2001045}; negative regulation of neuroblast proliferation {GO:0007406}; odontogenesis of dentin-containing tooth {GO:0042475}; ovarian follicle development {GO:0001541}; positive regulation of extrinsic apoptotic signaling pathway in absence of ligand {GO:2001241}; positive regulation of muscle cell differentiation {GO:0051149}; positive regulation of smoothened signaling pathway {GO:0045880}; protein heterooligomerization {GO:0051291}; response to estrogen {GO:0043627}</t>
  </si>
  <si>
    <t>acrosomal vesicle {GO:0001669}; actin cytoskeleton {GO:0015629}; catenin complex {GO:0016342}; cell junction {GO:0030054}; cell-cell junction {GO:0005911}; cytosol {GO:0005829}; flotillin complex {GO:0016600}; focal adhesion {GO:0005925}; Golgi apparatus {GO:0005794}; intercalated disc {GO:0014704}; intracellular membrane-bounded organelle {GO:0043231}; lamellipodium {GO:0030027}; plasma membrane {GO:0005886}; zonula adherens {GO:0005915}</t>
  </si>
  <si>
    <t>actin filament binding {GO:0051015}; beta-catenin binding {GO:0008013}; cadherin binding {GO:0045296}; gamma-catenin binding {GO:0045295}; identical protein binding {GO:0042802}; protein heterodimerization activity {GO:0046982}; RNA binding {GO:0003723}; structural molecule activity {GO:0005198}; vinculin binding {GO:0017166}</t>
  </si>
  <si>
    <t>Adherens junctions interactions {R-HSA-418990}; VEGFR2 mediated vascular permeability {R-HSA-5218920}; Myogenesis {R-HSA-525793}; RHO GTPases activate IQGAPs {R-HSA-5626467}</t>
  </si>
  <si>
    <t>Stress-70 protein, mitochondrial</t>
  </si>
  <si>
    <t>75 kDa glucose-regulated protein (GRP-75); Heat shock 70 kDa protein 9; Mortalin (MOT); Peptide-binding protein 74 (PBP74)</t>
  </si>
  <si>
    <t>GRP75_HUMAN</t>
  </si>
  <si>
    <t>P38646</t>
  </si>
  <si>
    <t>B2RCM1; P30036; P31932; Q1HB43; Q53H23; Q6GU03; Q9BWB7; Q9UC56</t>
  </si>
  <si>
    <t>GRP75; HSPA9B; mt-HSP70</t>
  </si>
  <si>
    <t>3D-structure; Acetylation; ATP-binding; Chaperone; Disease mutation; Dwarfism; Methylation; Mitochondrion; Nucleotide-binding; Nucleus; Phosphoprotein; Polymorphism; Transit peptide</t>
  </si>
  <si>
    <t>cellular response to heat {GO:0034605}; cellular response to unfolded protein {GO:0034620}; chaperone cofactor-dependent protein refolding {GO:0051085}; erythrocyte differentiation {GO:0030218}; interleukin-12-mediated signaling pathway {GO:0035722}; iron-sulfur cluster assembly {GO:0016226}; negative regulation of apoptotic process {GO:0043066}; negative regulation of erythrocyte differentiation {GO:0045647}; negative regulation of hematopoietic stem cell differentiation {GO:1902037}; protein export from nucleus {GO:0006611}; protein refolding {GO:0042026}; regulation of erythrocyte differentiation {GO:0045646}; response to unfolded protein {GO:0006986}</t>
  </si>
  <si>
    <t>cytoplasm {GO:0005737}; extracellular exosome {GO:0070062}; focal adhesion {GO:0005925}; mitochondrial matrix {GO:0005759}; mitochondrial nucleoid {GO:0042645}; mitochondrion {GO:0005739}; nucleolus {GO:0005730}</t>
  </si>
  <si>
    <t>ATP binding {GO:0005524}; ATPase activity {GO:0016887}; ATPase activity, coupled {GO:0042623}; heat shock protein binding {GO:0031072}; misfolded protein binding {GO:0051787}; protein folding chaperone {GO:0044183}; RNA binding {GO:0003723}; ubiquitin protein ligase binding {GO:0031625}; unfolded protein binding {GO:0051082}</t>
  </si>
  <si>
    <t>Mitochondrial protein import {R-HSA-1268020}; Regulation of HSF1-mediated heat shock response {R-HSA-3371453}; Cristae formation {R-HSA-8949613}; Gene and protein expression by JAK-STAT signaling after Interleukin-12 stimulation {R-HSA-8950505}</t>
  </si>
  <si>
    <t>Mannan-binding lectin serine protease 2 B chain</t>
  </si>
  <si>
    <t>MBL-associated serine protease 2; Mannose-binding protein-associated serine protease 2 (MASP-2)</t>
  </si>
  <si>
    <t>MASP2_HUMAN</t>
  </si>
  <si>
    <t>O00187</t>
  </si>
  <si>
    <t>A8K458; A8MWJ2; O75754; Q5TEQ5; Q5TER0; Q96QG4; Q9BZH0; Q9H498; Q9H499; Q9UBP3; Q9UC48; Q9ULC7; Q9UMV3; Q9Y270</t>
  </si>
  <si>
    <t>3D-structure; Alternative splicing; Autocatalytic cleavage; Calcium; Complement pathway; Disease mutation; Disulfide bond; EGF-like domain; Hydrolase; Hydroxylation; Immunity; Innate immunity; Metal-binding; Polymorphism; Protease; Repeat; Secreted; Serine protease; Signal; Sushi</t>
  </si>
  <si>
    <t>Autocatalytic cleavage; Disulfide bond; Hydroxylation</t>
  </si>
  <si>
    <t>complement activation {GO:0006956}; complement activation, classical pathway {GO:0006958}; complement activation, lectin pathway {GO:0001867}</t>
  </si>
  <si>
    <t>calcium ion binding {GO:0005509}; calcium-dependent protein binding {GO:0048306}; complement component C4b binding {GO:0001855}; peptidase activity {GO:0008233}; serine-type endopeptidase activity {GO:0004252}</t>
  </si>
  <si>
    <t>Lectin pathway of complement activation {R-HSA-166662}; Initial triggering of complement {R-HSA-166663}; Ficolins bind to repetitive carbohydrate structures on the target cell surface {R-HSA-2855086}</t>
  </si>
  <si>
    <t>PDZ and LIM domain protein 7</t>
  </si>
  <si>
    <t>LIM mineralization protein (LMP); Protein enigma</t>
  </si>
  <si>
    <t>PDLI7_HUMAN</t>
  </si>
  <si>
    <t>Q9NR12</t>
  </si>
  <si>
    <t>Q14250; Q5XG82; Q6NVZ5; Q96C91; Q9BXB8; Q9BXB9</t>
  </si>
  <si>
    <t>ENIGMA</t>
  </si>
  <si>
    <t>3D-structure; Alternative splicing; Cytoplasm; Cytoskeleton; Developmental protein; Differentiation; LIM domain; Metal-binding; Methylation; Osteogenesis; Phosphoprotein; Polymorphism; Repeat; Zinc</t>
  </si>
  <si>
    <t>Differentiation; Osteogenesis</t>
  </si>
  <si>
    <t>actin cytoskeleton organization {GO:0030036}; axon guidance {GO:0007411}; heart development {GO:0007507}; muscle structure development {GO:0061061}; ossification {GO:0001503}; positive regulation of osteoblast differentiation {GO:0045669}; receptor-mediated endocytosis {GO:0006898}</t>
  </si>
  <si>
    <t>actin cytoskeleton {GO:0015629}; cell-cell adherens junction {GO:0005913}; cytosol {GO:0005829}; filamentous actin {GO:0031941}; focal adhesion {GO:0005925}; nucleus {GO:0005634}; ruffle {GO:0001726}; stress fiber {GO:0001725}; Z disc {GO:0030018}</t>
  </si>
  <si>
    <t>actin binding {GO:0003779}; metal ion binding {GO:0046872}; muscle alpha-actinin binding {GO:0051371}</t>
  </si>
  <si>
    <t>RET signaling {R-HSA-8853659}</t>
  </si>
  <si>
    <t>Cell division control protein 42 homolog</t>
  </si>
  <si>
    <t>G25K GTP-binding protein</t>
  </si>
  <si>
    <t>CDC42_HUMAN</t>
  </si>
  <si>
    <t>P60953</t>
  </si>
  <si>
    <t>P21181; P25763; Q7L8R5; Q9UDI2</t>
  </si>
  <si>
    <t>3D-structure; Alternative splicing; Cell membrane; Cytoplasm; Cytoskeleton; Differentiation; Disease mutation; Glycoprotein; GTP-binding; Lipoprotein; Membrane; Mental retardation; Methylation; Neurogenesis; Nucleotide-binding; Phosphoprotein; Prenylation</t>
  </si>
  <si>
    <t>Glycoprotein; Lipoprotein; Methylation; Phosphoprotein; Prenylation</t>
  </si>
  <si>
    <t>actin cytoskeleton organization {GO:0030036}; actin filament organization {GO:0007015}; blood coagulation {GO:0007596}; Cdc42 protein signal transduction {GO:0032488}; cell junction assembly {GO:0034329}; cell projection assembly {GO:0030031}; dendritic spine morphogenesis {GO:0060997}; endocytosis {GO:0006897}; ephrin receptor signaling pathway {GO:0048013}; establishment of epithelial cell apical/basal polarity {GO:0045198}; establishment of Golgi localization {GO:0051683}; establishment or maintenance of cell polarity {GO:0007163}; Fc-gamma receptor signaling pathway involved in phagocytosis {GO:0038096}; Golgi organization {GO:0007030}; integrin-mediated signaling pathway {GO:0007229}; interleukin-12-mediated signaling pathway {GO:0035722}; macrophage differentiation {GO:0030225}; modification of synaptic structure {GO:0099563}; negative regulation of epidermal growth factor receptor signaling pathway {GO:0042059}; negative regulation of protein complex assembly {GO:0031333}; neuropilin signaling pathway {GO:0038189}; organelle transport along microtubule {GO:0072384}; phagocytosis, engulfment {GO:0006911}; positive regulation of actin cytoskeleton reorganization {GO:2000251}; positive regulation of cell growth {GO:0030307}; positive regulation of cytokinesis {GO:0032467}; positive regulation of filopodium assembly {GO:0051491}; positive regulation of lamellipodium assembly {GO:0010592}; positive regulation of muscle cell differentiation {GO:0051149}; positive regulation of pseudopodium assembly {GO:0031274}; positive regulation of stress fiber assembly {GO:0051496}; positive regulation of substrate adhesion-dependent cell spreading {GO:1900026}; regulation of actin cytoskeleton organization {GO:0032956}; regulation of attachment of spindle microtubules to kinetochore {GO:0051988}; regulation of cell shape {GO:0008360}; regulation of filopodium assembly {GO:0051489}; regulation of lamellipodium assembly {GO:0010591}; regulation of small GTPase mediated signal transduction {GO:0051056}; regulation of stress fiber assembly {GO:0051492}; Rho protein signal transduction {GO:0007266}; substantia nigra development {GO:0021762}; T cell costimulation {GO:0031295}; vascular endothelial growth factor receptor signaling pathway {GO:0048010}; viral RNA genome replication {GO:0039694}; Wnt signaling pathway, planar cell polarity pathway {GO:0060071}</t>
  </si>
  <si>
    <t>cell cortex {GO:0005938}; cell projection {GO:0042995}; cytoplasm {GO:0005737}; cytoplasmic ribonucleoprotein granule {GO:0036464}; cytosol {GO:0005829}; dendritic spine {GO:0043197}; endoplasmic reticulum membrane {GO:0005789}; extracellular exosome {GO:0070062}; filopodium {GO:0030175}; focal adhesion {GO:0005925}; Golgi membrane {GO:0000139}; Golgi transport complex {GO:0017119}; membrane {GO:0016020}; microtubule organizing center {GO:0005815}; midbody {GO:0030496}; mitotic spindle {GO:0072686}; neuron projection {GO:0043005}; neuronal cell body {GO:0043025}; plasma membrane {GO:0005886}; protein-containing complex {GO:0032991}; spindle midzone {GO:0051233}</t>
  </si>
  <si>
    <t>apolipoprotein A-I receptor binding {GO:0034191}; GBD domain binding {GO:0032427}; GTP binding {GO:0005525}; GTPase activity {GO:0003924}; identical protein binding {GO:0042802}; protein kinase binding {GO:0019901}; thioesterase binding {GO:0031996}; ubiquitin protein ligase activity {GO:0061630}</t>
  </si>
  <si>
    <t>GPVI-mediated activation cascade {R-HSA-114604}; EGFR downregulation {R-HSA-182971}; Rho GTPase cycle {R-HSA-194840}; Regulation of actin dynamics for phagocytic cup formation {R-HSA-2029482}; CD28 dependent Vav1 pathway {R-HSA-389359}; EPHB-mediated forward signaling {R-HSA-3928662}; DCC mediated attractive signaling {R-HSA-418885}; Inactivation of CDC42 and RAC1 {R-HSA-428543}; VEGFA-VEGFR2 Pathway {R-HSA-4420097}; Myogenesis {R-HSA-525793}; RHO GTPases activate KTN1 {R-HSA-5625970}; RHO GTPases activate IQGAPs {R-HSA-5626467}; RHO GTPases activate PAKs {R-HSA-5627123}; RHO GTPases Activate WASPs and WAVEs {R-HSA-5663213}; RHO GTPases Activate Formins {R-HSA-5663220}; MAPK6/MAPK4 signaling {R-HSA-5687128}; Gene and protein expression by JAK-STAT signaling after Interleukin-12 stimulation {R-HSA-8950505}; G beta:gamma signalling through CDC42 {R-HSA-8964616}; Factors involved in megakaryocyte development and platelet production {R-HSA-983231}</t>
  </si>
  <si>
    <t>Glutaredoxin-1</t>
  </si>
  <si>
    <t>Thioltransferase-1 (TTase-1)</t>
  </si>
  <si>
    <t>GLRX1_HUMAN</t>
  </si>
  <si>
    <t>P35754</t>
  </si>
  <si>
    <t>B2R4L2; Q3KQS1; Q6ICT1</t>
  </si>
  <si>
    <t>GRX</t>
  </si>
  <si>
    <t>3D-structure; Acetylation; Cytoplasm; Disulfide bond; Electron transport; Polymorphism; Redox-active center; Transport</t>
  </si>
  <si>
    <t>cell redox homeostasis {GO:0045454}; nucleobase-containing small molecule interconversion {GO:0015949}; positive regulation of membrane potential {GO:0045838}; positive regulation of sodium ion transmembrane transporter activity {GO:2000651}; protein deglutathionylation {GO:0080058}</t>
  </si>
  <si>
    <t>electron transfer activity {GO:0009055}; glutathione disulfide oxidoreductase activity {GO:0015038}; glutathione oxidoreductase activity {GO:0097573}; protein N-terminus binding {GO:0047485}</t>
  </si>
  <si>
    <t>Myotilin</t>
  </si>
  <si>
    <t>57 kDa cytoskeletal protein; Myofibrillar titin-like Ig domains protein; Titin immunoglobulin domain protein</t>
  </si>
  <si>
    <t>MYOTI_HUMAN</t>
  </si>
  <si>
    <t>Q9UBF9</t>
  </si>
  <si>
    <t>A0A4R6; B4DT79</t>
  </si>
  <si>
    <t>TTID</t>
  </si>
  <si>
    <t>3D-structure; Actin-binding; Alternative splicing; Cell membrane; Cytoplasm; Cytoskeleton; Disease mutation; Immunoglobulin domain; Limb-girdle muscular dystrophy; Membrane; Methylation; Muscle protein; Myofibrillar myopathy; Polymorphism; Repeat</t>
  </si>
  <si>
    <t>Disease mutation; Limb-girdle muscular dystrophy; Myofibrillar myopathy</t>
  </si>
  <si>
    <t>homophilic cell adhesion via plasma membrane adhesion molecules {GO:0007156}; muscle contraction {GO:0006936}; synapse organization {GO:0050808}</t>
  </si>
  <si>
    <t>actin cytoskeleton {GO:0015629}; axon {GO:0030424}; neuronal cell body {GO:0043025}; plasma membrane {GO:0005886}; sarcolemma {GO:0042383}; Z disc {GO:0030018}</t>
  </si>
  <si>
    <t>actin binding {GO:0003779}; alpha-actinin binding {GO:0051393}; axon guidance receptor activity {GO:0008046}; structural constituent of muscle {GO:0008307}</t>
  </si>
  <si>
    <t>Ganglioside GM2 activator isoform short</t>
  </si>
  <si>
    <t>Cerebroside sulfate activator protein; GM2-AP; Sphingolipid activator protein 3 (SAP-3)</t>
  </si>
  <si>
    <t>SAP3_HUMAN</t>
  </si>
  <si>
    <t>P17900</t>
  </si>
  <si>
    <t>B2R699; D3DQH6; Q14426; Q14428; Q6LBL5</t>
  </si>
  <si>
    <t>3D-structure; Disease mutation; Disulfide bond; Gangliosidosis; Glycoprotein; Hydrolase; Lipid metabolism; Lysosome; Polymorphism; Signal; Sphingolipid metabolism</t>
  </si>
  <si>
    <t>Disease mutation; Gangliosidosis</t>
  </si>
  <si>
    <t>ganglioside catabolic process {GO:0006689}; glycosphingolipid metabolic process {GO:0006687}; learning or memory {GO:0007611}; lipid storage {GO:0019915}; neuromuscular process controlling balance {GO:0050885}; neutrophil degranulation {GO:0043312}; oligosaccharide catabolic process {GO:0009313}; positive regulation of hydrolase activity {GO:0051345}</t>
  </si>
  <si>
    <t>apical plasma membrane {GO:0016324}; azurophil granule lumen {GO:0035578}; basolateral plasma membrane {GO:0016323}; cytoplasmic side of plasma membrane {GO:0009898}; extracellular exosome {GO:0070062}; extracellular region {GO:0005576}; lysosomal lumen {GO:0043202}</t>
  </si>
  <si>
    <t>beta-N-acetylgalactosaminidase activity {GO:0032428}; lipid transporter activity {GO:0005319}; phospholipase activator activity {GO:0016004}; sphingolipid activator protein activity {GO:0030290}</t>
  </si>
  <si>
    <t>Membrane protein FAM174A</t>
  </si>
  <si>
    <t>Hepatitis C virus NS5A-transactivated protein 6 (HCV NS5A-transactivated protein 6); Transmembrane protein 157</t>
  </si>
  <si>
    <t>F174A_HUMAN</t>
  </si>
  <si>
    <t>Q8TBP5</t>
  </si>
  <si>
    <t>A8K0H4</t>
  </si>
  <si>
    <t>NS5ATP6; TMEM157</t>
  </si>
  <si>
    <t>Isochorismatase domain-containing protein 1</t>
  </si>
  <si>
    <t>ISOC1_HUMAN</t>
  </si>
  <si>
    <t>Q96CN7</t>
  </si>
  <si>
    <t>Q7Z770</t>
  </si>
  <si>
    <t>cytoplasm {GO:0005737}; peroxisome {GO:0005777}</t>
  </si>
  <si>
    <t>catalytic activity {GO:0003824}</t>
  </si>
  <si>
    <t>Brain acid soluble protein 1</t>
  </si>
  <si>
    <t>22 kDa neuronal tissue-enriched acidic protein; Neuronal axonal membrane protein NAP-22</t>
  </si>
  <si>
    <t>BASP1_HUMAN</t>
  </si>
  <si>
    <t>P80723</t>
  </si>
  <si>
    <t>B4DJA8; D3DTD5; O43596; Q5U0S0; Q9BWA5</t>
  </si>
  <si>
    <t>NAP22</t>
  </si>
  <si>
    <t>Alternative splicing; Cell membrane; Cell projection; Isopeptide bond; Lipoprotein; Membrane; Myristate; Phosphoprotein; Polymorphism; Ubl conjugation</t>
  </si>
  <si>
    <t>diaphragm development {GO:0060539}; glomerular visceral epithelial cell differentiation {GO:0072112}; gonad development {GO:0008406}; mesenchymal to epithelial transition {GO:0060231}; metanephric mesenchyme development {GO:0072075}; negative regulation of transcription, DNA-templated {GO:0045892}; positive regulation of heart growth {GO:0060421}; positive regulation of metanephric ureteric bud development {GO:2001076}; substantia nigra development {GO:0021762}; thorax and anterior abdomen determination {GO:0007356}</t>
  </si>
  <si>
    <t>cell junction {GO:0030054}; cytoplasm {GO:0005737}; cytoskeleton {GO:0005856}; extracellular exosome {GO:0070062}; growth cone {GO:0030426}; nuclear speck {GO:0016607}; nucleus {GO:0005634}; plasma membrane {GO:0005886}; vesicle {GO:0031982}</t>
  </si>
  <si>
    <t>protein domain specific binding {GO:0019904}; transcription corepressor activity {GO:0003714}; transcription regulatory region DNA binding {GO:0044212}</t>
  </si>
  <si>
    <t>Hemojuvelin</t>
  </si>
  <si>
    <t>Hemochromatosis type 2 protein; Hemojuvelin BMP coreceptor; RGM domain family member C</t>
  </si>
  <si>
    <t>RGMC_HUMAN</t>
  </si>
  <si>
    <t>Q6ZVN8</t>
  </si>
  <si>
    <t>B1ALI7; Q2PQ63; Q6IMF6; Q8NAH2; Q8WVJ5</t>
  </si>
  <si>
    <t>3D-structure; Alternative splicing; Autocatalytic cleavage; Cell membrane; Disease mutation; Disulfide bond; Glycoprotein; GPI-anchor; Lipoprotein; Membrane; Phosphoprotein; Polymorphism; Signal</t>
  </si>
  <si>
    <t>Autocatalytic cleavage; Disulfide bond; GPI-anchor; Glycoprotein; Lipoprotein; Phosphoprotein</t>
  </si>
  <si>
    <t>activin receptor signaling pathway {GO:0032924}; BMP signaling pathway {GO:0030509}; cellular iron ion homeostasis {GO:0006879}; cellular response to BMP stimulus {GO:0071773}; iron ion homeostasis {GO:0055072}; negative regulation of BMP signaling pathway {GO:0030514}; negative regulation of transcription by RNA polymerase II {GO:0000122}; positive regulation of transcription by RNA polymerase II {GO:0045944}; protein autoprocessing {GO:0016540}</t>
  </si>
  <si>
    <t>anchored component of membrane {GO:0031225}; BMP receptor complex {GO:0070724}; cell surface {GO:0009986}; extracellular space {GO:0005615}; HFE-transferrin receptor complex {GO:1990712}; plasma membrane {GO:0005886}; plasma membrane protein complex {GO:0098797}</t>
  </si>
  <si>
    <t>BMP binding {GO:0036122}; coreceptor activity {GO:0015026}; signaling receptor binding {GO:0005102}; transferrin receptor binding {GO:1990459}</t>
  </si>
  <si>
    <t>Netrin-1 signaling {R-HSA-373752}</t>
  </si>
  <si>
    <t>Peptidyl-prolyl cis-trans isomerase C (PPIase C)</t>
  </si>
  <si>
    <t>Cyclophilin C; Rotamase C</t>
  </si>
  <si>
    <t>PPIC_HUMAN</t>
  </si>
  <si>
    <t>P45877</t>
  </si>
  <si>
    <t>A4LBB5</t>
  </si>
  <si>
    <t>CYPC</t>
  </si>
  <si>
    <t>3D-structure; Cytoplasm; Isomerase; Polymorphism; Rotamase</t>
  </si>
  <si>
    <t>protein peptidyl-prolyl isomerization {GO:0000413}; protein refolding {GO:0042026}</t>
  </si>
  <si>
    <t>cyclosporin A binding {GO:0016018}; peptidyl-prolyl cis-trans isomerase activity {GO:0003755}; unfolded protein binding {GO:0051082}</t>
  </si>
  <si>
    <t>Transforming growth factor-beta-induced protein ig-h3 (Beta ig-h3)</t>
  </si>
  <si>
    <t>Kerato-epithelin; RGD-containing collagen-associated protein (RGD-CAP)</t>
  </si>
  <si>
    <t>BGH3_HUMAN</t>
  </si>
  <si>
    <t>Q15582</t>
  </si>
  <si>
    <t>D3DQB1; O14471; O14472; O14476; O43216; O43217; O43218; O43219; Q53XM1</t>
  </si>
  <si>
    <t>BIGH3</t>
  </si>
  <si>
    <t>3D-structure; Amyloid; Amyloidosis; Cell adhesion; Corneal dystrophy; Disease mutation; Disulfide bond; Extracellular matrix; Gamma-carboxyglutamic acid; Phosphoprotein; Polymorphism; Repeat; Secreted; Sensory transduction; Signal; Vision</t>
  </si>
  <si>
    <t>Cell adhesion; Sensory transduction; Vision</t>
  </si>
  <si>
    <t>Amyloid; Extracellular matrix; Secreted</t>
  </si>
  <si>
    <t>Amyloidosis; Corneal dystrophy; Disease mutation</t>
  </si>
  <si>
    <t>angiogenesis {GO:0001525}; cell adhesion {GO:0007155}; cell population proliferation {GO:0008283}; cellular protein metabolic process {GO:0044267}; chondrocyte differentiation {GO:0002062}; extracellular matrix organization {GO:0030198}; negative regulation of cell adhesion {GO:0007162}; response to stimulus {GO:0050896}; visual perception {GO:0007601}</t>
  </si>
  <si>
    <t>basement membrane {GO:0005604}; collagen-containing extracellular matrix {GO:0062023}; extracellular exosome {GO:0070062}; extracellular matrix {GO:0031012}; extracellular region {GO:0005576}; extracellular space {GO:0005615}; plasma membrane {GO:0005886}; trans-Golgi network {GO:0005802}</t>
  </si>
  <si>
    <t>cell adhesion molecule binding {GO:0050839}; collagen binding {GO:0005518}; extracellular matrix binding {GO:0050840}; extracellular matrix structural constituent {GO:0005201}; integrin binding {GO:0005178}</t>
  </si>
  <si>
    <t>Drebrin</t>
  </si>
  <si>
    <t>Developmentally-regulated brain protein</t>
  </si>
  <si>
    <t>DREB_HUMAN</t>
  </si>
  <si>
    <t>Q16643</t>
  </si>
  <si>
    <t>A8MV58; B2RBG0; Q9UFZ5</t>
  </si>
  <si>
    <t>D0S117E</t>
  </si>
  <si>
    <t>3D-structure; Acetylation; Actin-binding; Alternative splicing; Alzheimer disease; Amyloidosis; Cell junction; Cell projection; Cytoplasm; Developmental protein; Differentiation; Neurodegeneration; Neurogenesis; Phosphoprotein; Polymorphism</t>
  </si>
  <si>
    <t>Cell junction; Cell projection; Cytoplasm</t>
  </si>
  <si>
    <t>Alzheimer disease; Amyloidosis; Neurodegeneration</t>
  </si>
  <si>
    <t>actin filament organization {GO:0007015}; cell communication by chemical coupling {GO:0010643}; cell communication by electrical coupling {GO:0010644}; cytoplasmic sequestering of protein {GO:0051220}; maintenance of protein location in cell {GO:0032507}; neural precursor cell proliferation {GO:0061351}; positive regulation of dendritic spine morphogenesis {GO:0061003}; positive regulation of receptor localization to synapse {GO:1902685}; positive regulation of synaptic plasticity {GO:0031915}; regulation of dendrite development {GO:0050773}; regulation of neuronal synaptic plasticity {GO:0048168}</t>
  </si>
  <si>
    <t>actin cytoskeleton {GO:0015629}; actomyosin {GO:0042641}; cortical cytoskeleton {GO:0030863}; cytoplasm {GO:0005737}; cytoskeleton {GO:0005856}; dendrite {GO:0030425}; gap junction {GO:0005921}; glutamatergic synapse {GO:0098978}; growth cone {GO:0030426}; postsynaptic cytosol {GO:0099524}; postsynaptic density {GO:0014069}; postsynaptic membrane {GO:0045211}</t>
  </si>
  <si>
    <t>actin binding {GO:0003779}; cadherin binding {GO:0045296}; profilin binding {GO:0005522}</t>
  </si>
  <si>
    <t>T-cell immunoglobulin and mucin domain-containing protein 4 (TIMD-4)</t>
  </si>
  <si>
    <t>T-cell immunoglobulin mucin receptor 4 (TIM-4); T-cell membrane protein 4</t>
  </si>
  <si>
    <t>TIMD4_HUMAN</t>
  </si>
  <si>
    <t>Q96H15</t>
  </si>
  <si>
    <t>B5MCL9</t>
  </si>
  <si>
    <t>TIM4</t>
  </si>
  <si>
    <t>3D-structure; Alternative splicing; Disulfide bond; Glycoprotein; Immunoglobulin domain; Membrane; Phosphoprotein; Polymorphism; Signal; Transmembrane; Transmembrane helix</t>
  </si>
  <si>
    <t>Heterogeneous nuclear ribonucleoprotein H, N-terminally processed (hnRNP H)</t>
  </si>
  <si>
    <t>HNRH1_HUMAN</t>
  </si>
  <si>
    <t>P31943</t>
  </si>
  <si>
    <t>B3KW86; D3DWQ2; Q6IBM4</t>
  </si>
  <si>
    <t>HNRPH; HNRPH1</t>
  </si>
  <si>
    <t>3D-structure; Acetylation; Isopeptide bond; Methylation; mRNA processing; mRNA splicing; Nucleus; Phosphoprotein; Repeat; Ribonucleoprotein; RNA-binding; Spliceosome; Ubl conjugation</t>
  </si>
  <si>
    <t>fibroblast growth factor receptor signaling pathway {GO:0008543}; mRNA splicing, via spliceosome {GO:0000398}; regulation of RNA splicing {GO:0043484}; RNA metabolic process {GO:0016070}; RNA processing {GO:0006396}</t>
  </si>
  <si>
    <t>catalytic step 2 spliceosome {GO:0071013}; cytosol {GO:0005829}; membrane {GO:0016020}; nucleoplasm {GO:0005654}; nucleus {GO:0005634}</t>
  </si>
  <si>
    <t>poly(U) RNA binding {GO:0008266}; RNA binding {GO:0003723}</t>
  </si>
  <si>
    <t>Endothelial cell-specific molecule 1 (ESM-1)</t>
  </si>
  <si>
    <t>ESM1_HUMAN</t>
  </si>
  <si>
    <t>Q9NQ30</t>
  </si>
  <si>
    <t>B2R4G3; Q15330; Q3V4E3; Q96ES3</t>
  </si>
  <si>
    <t>Alternative splicing; Angiogenesis; Disulfide bond; Glycoprotein; Proteoglycan; Secreted; Signal</t>
  </si>
  <si>
    <t>angiogenesis {GO:0001525}; positive regulation of cell population proliferation {GO:0008284}; positive regulation of hepatocyte growth factor receptor signaling pathway {GO:1902204}; sprouting angiogenesis {GO:0002040}</t>
  </si>
  <si>
    <t>hepatocyte growth factor receptor binding {GO:0005171}; insulin-like growth factor binding {GO:0005520}; integrin binding {GO:0005178}</t>
  </si>
  <si>
    <t>Hepatitis A virus cellular receptor 1 (HAVcr-1)</t>
  </si>
  <si>
    <t>Kidney injury molecule 1 (KIM-1); T-cell immunoglobulin and mucin domain-containing protein 1 (TIMD-1); T-cell immunoglobulin mucin receptor 1 (TIM; TIM-1); T-cell membrane protein 1; CD_antigen=CD365</t>
  </si>
  <si>
    <t>HAVR1_HUMAN</t>
  </si>
  <si>
    <t>Q96D42</t>
  </si>
  <si>
    <t>O43656</t>
  </si>
  <si>
    <t>KIM1; TIM1; TIMD1</t>
  </si>
  <si>
    <t>3D-structure; Disulfide bond; Glycoprotein; Host cell receptor for virus entry; Host-virus interaction; Immunoglobulin domain; Membrane; Polymorphism; Receptor; Repeat; Signal; Transmembrane; Transmembrane helix</t>
  </si>
  <si>
    <t>integral component of membrane {GO:0016021}; motile cilium {GO:0031514}</t>
  </si>
  <si>
    <t>virus receptor activity {GO:0001618}</t>
  </si>
  <si>
    <t>Follistatin-related protein 4</t>
  </si>
  <si>
    <t>Follistatin-like protein 4</t>
  </si>
  <si>
    <t>FSTL4_HUMAN</t>
  </si>
  <si>
    <t>Q6MZW2</t>
  </si>
  <si>
    <t>Q8TBU0; Q9UPU1</t>
  </si>
  <si>
    <t>KIAA1061</t>
  </si>
  <si>
    <t>Alternative splicing; Calcium; Disulfide bond; Glycoprotein; Immunoglobulin domain; Metal-binding; Polymorphism; Repeat; Secreted; Signal</t>
  </si>
  <si>
    <t>negative regulation of brain-derived neurotrophic factor receptor signaling pathway {GO:0031549}; negative regulation of collateral sprouting {GO:0048671}; negative regulation of dendritic spine development {GO:0061000}</t>
  </si>
  <si>
    <t>brain-derived neurotrophic factor binding {GO:0048403}; calcium ion binding {GO:0005509}</t>
  </si>
  <si>
    <t>Thrombospondin-4</t>
  </si>
  <si>
    <t>TSP4_HUMAN</t>
  </si>
  <si>
    <t>P35443</t>
  </si>
  <si>
    <t>B2R909; Q86TG2</t>
  </si>
  <si>
    <t>TSP4</t>
  </si>
  <si>
    <t>Calcium; Cell adhesion; Disulfide bond; EGF-like domain; Endoplasmic reticulum; Extracellular matrix; Glycoprotein; Growth factor; Mitogen; Polymorphism; Repeat; Sarcoplasmic reticulum; Secreted; Signal; Tissue remodeling; Unfolded protein response</t>
  </si>
  <si>
    <t>Cell adhesion; Tissue remodeling; Unfolded protein response</t>
  </si>
  <si>
    <t>Growth factor; Mitogen</t>
  </si>
  <si>
    <t>behavioral response to pain {GO:0048266}; endothelial cell-cell adhesion {GO:0071603}; myoblast migration {GO:0051451}; negative regulation of angiogenesis {GO:0016525}; positive regulation of cell division {GO:0051781}; positive regulation of endothelial cell proliferation {GO:0001938}; positive regulation of neutrophil chemotaxis {GO:0090023}; positive regulation of peptidyl-tyrosine phosphorylation {GO:0050731}; regulation of tissue remodeling {GO:0034103}; response to endoplasmic reticulum stress {GO:0034976}; response to unfolded protein {GO:0006986}; tissue remodeling {GO:0048771}</t>
  </si>
  <si>
    <t>basement membrane {GO:0005604}; collagen-containing extracellular matrix {GO:0062023}; endoplasmic reticulum {GO:0005783}; extracellular exosome {GO:0070062}; extracellular region {GO:0005576}; extracellular space {GO:0005615}; sarcoplasmic reticulum {GO:0016529}</t>
  </si>
  <si>
    <t>calcium ion binding {GO:0005509}; growth factor activity {GO:0008083}; heparin binding {GO:0008201}; integrin binding {GO:0005178}</t>
  </si>
  <si>
    <t>Signaling by PDGF {R-HSA-186797}</t>
  </si>
  <si>
    <t>Stimulator of interferon genes protein (hSTING)</t>
  </si>
  <si>
    <t>Endoplasmic reticulum interferon stimulator (ERIS); Mediator of IRF3 activation (hMITA); Transmembrane protein 173</t>
  </si>
  <si>
    <t>STING_HUMAN</t>
  </si>
  <si>
    <t>Q86WV6</t>
  </si>
  <si>
    <t>A8K3P6; B6EB35; D6RBX0; D6RE01; D6RID9</t>
  </si>
  <si>
    <t>3D-structure; Autophagy; Cell membrane; Cytoplasm; Cytoplasmic vesicle; Disease mutation; Endoplasmic reticulum; Host-virus interaction; Immunity; Innate immunity; Isopeptide bond; Membrane; Mitochondrion; Mitochondrion outer membrane; Nucleotide-binding; Phosphoprotein; Polymorphism; Transmembrane; Transmembrane helix; Ubl conjugation</t>
  </si>
  <si>
    <t>Autophagy; Host-virus interaction; Immunity; Innate immunity</t>
  </si>
  <si>
    <t>Cell membrane; Cytoplasm; Cytoplasmic vesicle; Endoplasmic reticulum; Membrane; Mitochondrion; Mitochondrion outer membrane</t>
  </si>
  <si>
    <t>Nucleotide-binding</t>
  </si>
  <si>
    <t>activation of innate immune response {GO:0002218}; autophagosome assembly {GO:0000045}; cellular response to exogenous dsRNA {GO:0071360}; cellular response to organic cyclic compound {GO:0071407}; cytoplasmic pattern recognition receptor signaling pathway in response to virus {GO:0039528}; defense response to virus {GO:0051607}; innate immune response {GO:0045087}; interferon-beta production {GO:0032608}; neutrophil degranulation {GO:0043312}; positive regulation of defense response to virus by host {GO:0002230}; positive regulation of DNA-binding transcription factor activity {GO:0051091}; positive regulation of macroautophagy {GO:0016239}; positive regulation of protein binding {GO:0032092}; positive regulation of transcription by RNA polymerase II {GO:0045944}; positive regulation of type I interferon production {GO:0032481}; protein complex oligomerization {GO:0051259}; regulation of type I interferon production {GO:0032479}; reticulophagy {GO:0061709}; viral process {GO:0016032}</t>
  </si>
  <si>
    <t>autophagosome {GO:0005776}; autophagosome membrane {GO:0000421}; cytoplasmic vesicle membrane {GO:0030659}; endoplasmic reticulum membrane {GO:0005789}; endosome {GO:0005768}; integral component of endoplasmic reticulum-Golgi intermediate compartment (ERGIC) membrane {GO:1990701}; mitochondrial outer membrane {GO:0005741}; perinuclear region of cytoplasm {GO:0048471}; plasma membrane {GO:0005886}; secretory granule membrane {GO:0030667}</t>
  </si>
  <si>
    <t>cyclic-di-GMP binding {GO:0035438}; cyclic-GMP-AMP binding {GO:0061507}; identical protein binding {GO:0042802}; protein homodimerization activity {GO:0042803}; protein kinase binding {GO:0019901}; transcription factor binding {GO:0008134}</t>
  </si>
  <si>
    <t>STING mediated induction of host immune responses {R-HSA-1834941}; Regulation of innate immune responses to cytosolic DNA {R-HSA-3134975}; STAT6-mediated induction of chemokines {R-HSA-3249367}; IRF3-mediated induction of type I IFN {R-HSA-3270619}; Neutrophil degranulation {R-HSA-6798695}</t>
  </si>
  <si>
    <t>Carboxymethylenebutenolidase homolog</t>
  </si>
  <si>
    <t>CMBL_HUMAN</t>
  </si>
  <si>
    <t>Q96DG6</t>
  </si>
  <si>
    <t>D3DTC7; Q8TED6</t>
  </si>
  <si>
    <t>Liver-expressed antimicrobial peptide 2 (LEAP-2)</t>
  </si>
  <si>
    <t>LEAP2_HUMAN</t>
  </si>
  <si>
    <t>Q969E1</t>
  </si>
  <si>
    <t>D3DQ91</t>
  </si>
  <si>
    <t>antimicrobial humoral immune response mediated by antimicrobial peptide {GO:0061844}; antimicrobial humoral response {GO:0019730}; defense response to bacterium {GO:0042742}; defense response to fungus {GO:0050832}</t>
  </si>
  <si>
    <t>Interleukin-6 receptor subunit beta (IL-6 receptor subunit beta; IL-6R subunit beta; IL-6R-beta; IL-6RB)</t>
  </si>
  <si>
    <t>CDw130; Interleukin-6 signal transducer; Membrane glycoprotein 130 (gp130); Oncostatin-M receptor subunit alpha; CD_antigen=CD130</t>
  </si>
  <si>
    <t>IL6RB_HUMAN</t>
  </si>
  <si>
    <t>P40189</t>
  </si>
  <si>
    <t>A0N0L4; Q5FC04; Q9UQ41</t>
  </si>
  <si>
    <t>3D-structure; Alternative splicing; Cell membrane; Disulfide bond; Glycoprotein; Host-virus interaction; Immunoglobulin domain; Membrane; Phosphoprotein; Polymorphism; Receptor; Repeat; Secreted; Signal; Transmembrane; Transmembrane helix</t>
  </si>
  <si>
    <t>ciliary neurotrophic factor-mediated signaling pathway {GO:0070120}; cytokine-mediated signaling pathway {GO:0019221}; glycogen metabolic process {GO:0005977}; interleukin-27-mediated signaling pathway {GO:0070106}; interleukin-35-mediated signaling pathway {GO:0070757}; interleukin-6-mediated signaling pathway {GO:0070102}; leukemia inhibitory factor signaling pathway {GO:0048861}; negative regulation of apoptotic process {GO:0043066}; negative regulation of interleukin-6-mediated signaling pathway {GO:0070104}; oncostatin-M-mediated signaling pathway {GO:0038165}; positive regulation of acute inflammatory response {GO:0002675}; positive regulation of adaptive immune response {GO:0002821}; positive regulation of astrocyte differentiation {GO:0048711}; positive regulation of cardiac muscle hypertrophy {GO:0010613}; positive regulation of cell population proliferation {GO:0008284}; positive regulation of osteoblast differentiation {GO:0045669}; positive regulation of T cell proliferation {GO:0042102}; positive regulation of tyrosine phosphorylation of STAT protein {GO:0042531}; positive regulation of vascular endothelial growth factor production {GO:0010575}; regulation of Notch signaling pathway {GO:0008593}; response to cytokine {GO:0034097}; viral process {GO:0016032}</t>
  </si>
  <si>
    <t>ciliary neurotrophic factor receptor complex {GO:0070110}; dendrite {GO:0030425}; external side of plasma membrane {GO:0009897}; extracellular exosome {GO:0070062}; extracellular region {GO:0005576}; extracellular space {GO:0005615}; interleukin-6 receptor complex {GO:0005896}; membrane {GO:0016020}; neuronal cell body {GO:0043025}; oncostatin-M receptor complex {GO:0005900}; plasma membrane {GO:0005886}; receptor complex {GO:0043235}</t>
  </si>
  <si>
    <t>ciliary neurotrophic factor receptor activity {GO:0004897}; ciliary neurotrophic factor receptor binding {GO:0005127}; cytokine binding {GO:0019955}; cytokine receptor activity {GO:0004896}; growth factor binding {GO:0019838}; identical protein binding {GO:0042802}; interleukin-11 binding {GO:0019970}; interleukin-11 receptor activity {GO:0004921}; interleukin-27 receptor activity {GO:0045509}; protein homodimerization activity {GO:0042803}</t>
  </si>
  <si>
    <t>Interleukin-6 signaling {R-HSA-1059683}; MAPK3 (ERK1) activation {R-HSA-110056}; MAPK1 (ERK2) activation {R-HSA-112411}; IL-6-type cytokine receptor ligand interactions {R-HSA-6788467}; Interleukin-35 Signalling {R-HSA-8984722}; Interleukin-27 signaling {R-HSA-9020956}</t>
  </si>
  <si>
    <t>Chloride channel CLIC-like protein 1</t>
  </si>
  <si>
    <t>Mid-1-related chloride channel protein 1</t>
  </si>
  <si>
    <t>CLCC1_HUMAN</t>
  </si>
  <si>
    <t>Q96S66</t>
  </si>
  <si>
    <t>O94861; Q8WYP8; Q8WYP9; Q9BU25</t>
  </si>
  <si>
    <t>KIAA0761; MCLC</t>
  </si>
  <si>
    <t>Alternative splicing; Chloride; Chloride channel; Endoplasmic reticulum; Golgi apparatus; Ion channel; Ion transport; Membrane; Nucleus; Phosphoprotein; Polymorphism; Signal; Transmembrane; Transmembrane helix; Transport</t>
  </si>
  <si>
    <t>Endoplasmic reticulum; Golgi apparatus; Membrane; Nucleus</t>
  </si>
  <si>
    <t>chloride channel complex {GO:0034707}; endoplasmic reticulum {GO:0005783}; Golgi apparatus {GO:0005794}; intracellular membrane-bounded organelle {GO:0043231}; membrane {GO:0016020}; nucleus {GO:0005634}</t>
  </si>
  <si>
    <t>chloride channel activity {GO:0005254}</t>
  </si>
  <si>
    <t>Zinc finger protein 185</t>
  </si>
  <si>
    <t>LIM domain protein ZNF185; P1-A</t>
  </si>
  <si>
    <t>ZN185_HUMAN</t>
  </si>
  <si>
    <t>O15231</t>
  </si>
  <si>
    <t>A4FTV3; A6NME5; B4DLE9; B7Z771; B8K2L9; B8K2M0; B8K2M1; B8K2M2; E9PFR6; F5GXF7; F5GZL4; F8W8V7; H0Y4M8; O00345; Q8N1R8; Q9NSD2</t>
  </si>
  <si>
    <t>Alternative splicing; Cell junction; Cytoplasm; Cytoskeleton; LIM domain; Metal-binding; Phosphoprotein; Zinc</t>
  </si>
  <si>
    <t>Cell junction; Cytoplasm; Cytoskeleton</t>
  </si>
  <si>
    <t>actin cytoskeleton {GO:0015629}; cytoplasm {GO:0005737}; focal adhesion {GO:0005925}</t>
  </si>
  <si>
    <t>actin filament binding {GO:0051015}; zinc ion binding {GO:0008270}</t>
  </si>
  <si>
    <t>Xaa-Pro aminopeptidase 2</t>
  </si>
  <si>
    <t>Aminoacylproline aminopeptidase; Membrane-bound aminopeptidase P (Membrane-bound APP; Membrane-bound AmP; mAmP); X-Pro aminopeptidase 2</t>
  </si>
  <si>
    <t>XPP2_HUMAN</t>
  </si>
  <si>
    <t>O43895</t>
  </si>
  <si>
    <t>A0AV16; O75994</t>
  </si>
  <si>
    <t>Aminopeptidase; Cell membrane; Glycoprotein; GPI-anchor; Hydrolase; Lipoprotein; Membrane; Metal-binding; Metalloprotease; Polymorphism; Protease; Signal; Zinc</t>
  </si>
  <si>
    <t>anchored component of membrane {GO:0031225}; cytoplasm {GO:0005737}; extracellular exosome {GO:0070062}; extracellular region {GO:0005576}; membrane {GO:0016020}; plasma membrane {GO:0005886}</t>
  </si>
  <si>
    <t>aminopeptidase activity {GO:0004177}; metal ion binding {GO:0046872}; metalloaminopeptidase activity {GO:0070006}</t>
  </si>
  <si>
    <t>Ubiquitin-like modifier-activating enzyme 1</t>
  </si>
  <si>
    <t>Protein A1S9; Ubiquitin-activating enzyme E1</t>
  </si>
  <si>
    <t>UBA1_HUMAN</t>
  </si>
  <si>
    <t>P22314</t>
  </si>
  <si>
    <t>Q5JRR8; Q96E13</t>
  </si>
  <si>
    <t>A1S9T; UBE1</t>
  </si>
  <si>
    <t>3D-structure; Acetylation; Alternative initiation; ATP-binding; Cytoplasm; Disease mutation; Ligase; Mitochondrion; Neurodegeneration; Nucleotide-binding; Nucleus; Phosphoprotein; Polymorphism; Repeat; Ubl conjugation; Ubl conjugation pathway</t>
  </si>
  <si>
    <t>Alternative initiation; Polymorphism</t>
  </si>
  <si>
    <t>cellular response to DNA damage stimulus {GO:0006974}; protein modification by small protein conjugation {GO:0032446}; protein ubiquitination {GO:0016567}</t>
  </si>
  <si>
    <t>cytoplasm {GO:0005737}; cytosol {GO:0005829}; extracellular exosome {GO:0070062}; mitochondrion {GO:0005739}; nucleoplasm {GO:0005654}; nucleus {GO:0005634}</t>
  </si>
  <si>
    <t>ATP binding {GO:0005524}; RNA binding {GO:0003723}; ubiquitin activating enzyme activity {GO:0004839}</t>
  </si>
  <si>
    <t>Synthesis of active ubiquitin: roles of E1 and E2 enzymes {R-HSA-8866652}; Antigen processing: Ubiquitination &amp; Proteasome degradation {R-HSA-983168}</t>
  </si>
  <si>
    <t>Properdin</t>
  </si>
  <si>
    <t>Complement factor P</t>
  </si>
  <si>
    <t>PROP_HUMAN</t>
  </si>
  <si>
    <t>P27918</t>
  </si>
  <si>
    <t>O15134; O15135; O15136; O75826</t>
  </si>
  <si>
    <t>PFC</t>
  </si>
  <si>
    <t>3D-structure; Complement alternate pathway; Disease mutation; Disulfide bond; Glycoprotein; Immunity; Innate immunity; Polymorphism; Repeat; Secreted; Signal</t>
  </si>
  <si>
    <t>complement activation {GO:0006956}; complement activation, alternative pathway {GO:0006957}; defense response to bacterium {GO:0042742}; immune response {GO:0006955}; neutrophil degranulation {GO:0043312}; regulation of complement activation {GO:0030449}</t>
  </si>
  <si>
    <t>endoplasmic reticulum lumen {GO:0005788}; extracellular region {GO:0005576}; extracellular space {GO:0005615}; specific granule lumen {GO:0035580}; tertiary granule lumen {GO:1904724}</t>
  </si>
  <si>
    <t>Alternative complement activation {R-HSA-173736}; Activation of C3 and C5 {R-HSA-174577}; Defective B3GALTL causes Peters-plus syndrome (PpS) {R-HSA-5083635}; O-glycosylation of TSR domain-containing proteins {R-HSA-5173214}; Neutrophil degranulation {R-HSA-6798695}; Regulation of Complement cascade {R-HSA-977606}</t>
  </si>
  <si>
    <t>Regucalcin (RC)</t>
  </si>
  <si>
    <t>Gluconolactonase (GNL); Senescence marker protein 30 (SMP-30)</t>
  </si>
  <si>
    <t>RGN_HUMAN</t>
  </si>
  <si>
    <t>Q15493</t>
  </si>
  <si>
    <t>A4FTW1; A8K271; Q53FC9; Q5JRR5</t>
  </si>
  <si>
    <t>SMP30</t>
  </si>
  <si>
    <t>3D-structure; Alternative splicing; Calcium; Cytoplasm; Hydrolase; Metal-binding; Zinc</t>
  </si>
  <si>
    <t>aging {GO:0007568}; cellular calcium ion homeostasis {GO:0006874}; kidney development {GO:0001822}; L-ascorbic acid biosynthetic process {GO:0019853}; liver regeneration {GO:0097421}; negative regulation of apoptotic process {GO:0043066}; negative regulation of bone development {GO:1903011}; negative regulation of calcium-dependent ATPase activity {GO:1903611}; negative regulation of cyclic-nucleotide phosphodiesterase activity {GO:0051344}; negative regulation of DNA biosynthetic process {GO:2000279}; negative regulation of DNA catabolic process {GO:1903625}; negative regulation of epithelial cell proliferation {GO:0050680}; negative regulation of flagellated sperm motility {GO:1901318}; negative regulation of GTPase activity {GO:0034260}; negative regulation of leucine-tRNA ligase activity {GO:1903634}; negative regulation of nitric oxide biosynthetic process {GO:0045019}; negative regulation of phosphoprotein phosphatase activity {GO:0032515}; negative regulation of protein kinase activity {GO:0006469}; negative regulation of RNA biosynthetic process {GO:1902679}; positive regulation of ATPase activity {GO:0032781}; positive regulation of calcium-transporting ATPase activity {GO:1901896}; positive regulation of dUTP diphosphatase activity {GO:1903629}; positive regulation of fatty acid biosynthetic process {GO:0045723}; positive regulation of glucose metabolic process {GO:0010907}; positive regulation of GTPase activity {GO:0043547}; positive regulation of phosphatase activity {GO:0010922}; positive regulation of proteolysis involved in cellular protein catabolic process {GO:1903052}; positive regulation of superoxide dismutase activity {GO:1901671}; positive regulation of triglyceride biosynthetic process {GO:0010867}; regulation of calcium-mediated signaling {GO:0050848}; spermatogenesis {GO:0007283}</t>
  </si>
  <si>
    <t>calcium ion binding {GO:0005509}; enzyme regulator activity {GO:0030234}; gluconolactonase activity {GO:0004341}; zinc ion binding {GO:0008270}</t>
  </si>
  <si>
    <t>Metalloproteinase inhibitor 1</t>
  </si>
  <si>
    <t>Erythroid-potentiating activity (EPA); Fibroblast collagenase inhibitor (Collagenase inhibitor); Tissue inhibitor of metalloproteinases 1 (TIMP-1)</t>
  </si>
  <si>
    <t>TIMP1_HUMAN</t>
  </si>
  <si>
    <t>P01033</t>
  </si>
  <si>
    <t>Q14252; Q9UCU1</t>
  </si>
  <si>
    <t>CLGI; TIMP</t>
  </si>
  <si>
    <t>3D-structure; Disulfide bond; Glycoprotein; Growth factor; Metal-binding; Metalloenzyme inhibitor; Metalloprotease inhibitor; Phosphoprotein; Protease inhibitor; Secreted; Signal; Zinc</t>
  </si>
  <si>
    <t>Growth factor; Metalloenzyme inhibitor; Metalloprotease inhibitor; Protease inhibitor</t>
  </si>
  <si>
    <t>aging {GO:0007568}; cartilage development {GO:0051216}; cell activation {GO:0001775}; cellular protein metabolic process {GO:0044267}; connective tissue replacement involved in inflammatory response wound healing {GO:0002248}; cytokine-mediated signaling pathway {GO:0019221}; extracellular matrix disassembly {GO:0022617}; negative regulation of apoptotic process {GO:0043066}; negative regulation of catalytic activity {GO:0043086}; negative regulation of endopeptidase activity {GO:0010951}; negative regulation of membrane protein ectodomain proteolysis {GO:0051045}; negative regulation of metallopeptidase activity {GO:1905049}; negative regulation of trophoblast cell migration {GO:1901164}; platelet degranulation {GO:0002576}; positive regulation of cell population proliferation {GO:0008284}; post-translational protein modification {GO:0043687}; regulation of integrin-mediated signaling pathway {GO:2001044}; response to cytokine {GO:0034097}; response to hormone {GO:0009725}; response to organic substance {GO:0010033}; response to peptide hormone {GO:0043434}</t>
  </si>
  <si>
    <t>basement membrane {GO:0005604}; endoplasmic reticulum lumen {GO:0005788}; extracellular exosome {GO:0070062}; extracellular matrix {GO:0031012}; extracellular region {GO:0005576}; extracellular space {GO:0005615}; platelet alpha granule lumen {GO:0031093}</t>
  </si>
  <si>
    <t>cytokine activity {GO:0005125}; growth factor activity {GO:0008083}; metalloendopeptidase inhibitor activity {GO:0008191}; peptidase inhibitor activity {GO:0030414}; protease binding {GO:0002020}; zinc ion binding {GO:0008270}</t>
  </si>
  <si>
    <t>Platelet degranulation {R-HSA-114608}; Activation of Matrix Metalloproteinases {R-HSA-1592389}; Regulation of Insulin-like Growth Factor (IGF) transport and uptake by Insulin-like Growth Factor Binding Proteins (IGFBPs) {R-HSA-381426}; Interleukin-10 signaling {R-HSA-6783783}; Interleukin-4 and Interleukin-13 signaling {R-HSA-6785807}; Post-translational protein phosphorylation {R-HSA-8957275}</t>
  </si>
  <si>
    <t>26S proteasome non-ATPase regulatory subunit 10</t>
  </si>
  <si>
    <t>26S proteasome regulatory subunit p28; Gankyrin; p28(GANK)</t>
  </si>
  <si>
    <t>PSD10_HUMAN</t>
  </si>
  <si>
    <t>O75832</t>
  </si>
  <si>
    <t>Q5U0B2; Q8IZK9</t>
  </si>
  <si>
    <t>3D-structure; Alternative splicing; ANK repeat; Apoptosis; Chaperone; Cytoplasm; Nucleus; Repeat</t>
  </si>
  <si>
    <t>anaphase-promoting complex-dependent catabolic process {GO:0031145}; antigen processing and presentation of exogenous peptide antigen via MHC class I, TAP-dependent {GO:0002479}; apoptotic process {GO:0006915}; cytoplasmic sequestering of NF-kappaB {GO:0007253}; Fc-epsilon receptor signaling pathway {GO:0038095}; interleukin-1-mediated signaling pathway {GO:0070498}; MAPK cascade {GO:0000165}; negative regulation of apoptotic process {GO:0043066}; negative regulation of canonical Wnt signaling pathway {GO:0090090}; negative regulation of DNA damage response, signal transduction by p53 class mediator {GO:0043518}; negative regulation of G2/M transition of mitotic cell cycle {GO:0010972}; negative regulation of MAPK cascade {GO:0043409}; negative regulation of NF-kappaB transcription factor activity {GO:0032088}; negative regulation of release of cytochrome c from mitochondria {GO:0090201}; negative regulation of transcription by RNA polymerase II {GO:0000122}; NIK/NF-kappaB signaling {GO:0038061}; positive regulation of canonical Wnt signaling pathway {GO:0090263}; positive regulation of cell growth {GO:0030307}; positive regulation of cyclin-dependent protein serine/threonine kinase activity {GO:0045737}; positive regulation of proteasomal ubiquitin-dependent protein catabolic process {GO:0032436}; positive regulation of protein ubiquitination {GO:0031398}; post-translational protein modification {GO:0043687}; proteasome regulatory particle assembly {GO:0070682};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</si>
  <si>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cytoplasm {GO:0005737}; cytosol {GO:0005829}; intermediate filament cytoskeleton {GO:0045111}; nucleoplasm {GO:0005654}; nucleus {GO:0005634}; proteasome complex {GO:0000502}</t>
  </si>
  <si>
    <t>transcription factor binding {GO:0008134}</t>
  </si>
  <si>
    <t>Cytochrome b-245 heavy chain</t>
  </si>
  <si>
    <t>CGD91-phox; Cytochrome b(558) subunit beta (Cytochrome b558 subunit beta); Heme-binding membrane glycoprotein gp91phox; NADPH oxidase 2; Neutrophil cytochrome b 91 kDa polypeptide; Superoxide-generating NADPH oxidase heavy chain subunit; gp91-1; gp91-phox; p22 phagocyte B-cytochrome</t>
  </si>
  <si>
    <t>CY24B_HUMAN</t>
  </si>
  <si>
    <t>P04839</t>
  </si>
  <si>
    <t>A8K138; Q2PP16</t>
  </si>
  <si>
    <t>NOX2</t>
  </si>
  <si>
    <t>3D-structure; Cell membrane; Chronic granulomatous disease; Disease mutation; Electron transport; FAD; Flavoprotein; Glycoprotein; Heme; Ion channel; Ion transport; Iron; Isopeptide bond; Membrane; Metal-binding; NADP; Oxidoreductase; Phosphoprotein; Polymorphism; Transmembrane; Transmembrane helix; Transport; Ubl conjugation; Voltage-gated channel</t>
  </si>
  <si>
    <t>Electron transport; Ion transport; Transport</t>
  </si>
  <si>
    <t>Chronic granulomatous disease; Disease mutation</t>
  </si>
  <si>
    <t>FAD; Flavoprotein; Heme; Iron; Metal-binding; NADP</t>
  </si>
  <si>
    <t>Ion channel; Oxidoreductase; Voltage-gated channel</t>
  </si>
  <si>
    <t>Glycoprotein; Isopeptide bond; Phosphoprotein; Ubl conjugation</t>
  </si>
  <si>
    <t>antigen processing and presentation of exogenous peptide antigen via MHC class I, TAP-dependent {GO:0002479}; cell redox homeostasis {GO:0045454}; cellular response to cadmium ion {GO:0071276}; cellular response to ethanol {GO:0071361}; cellular response to L-glutamine {GO:1904845}; cellular response to oxidative stress {GO:0034599}; defense response {GO:0006952}; electron transport chain {GO:0022900}; hydrogen peroxide biosynthetic process {GO:0050665}; hypoxia-inducible factor-1alpha signaling pathway {GO:0097411}; inflammatory response {GO:0006954}; innate immune response {GO:0045087}; neutrophil degranulation {GO:0043312}; oxidation-reduction process {GO:0055114}; positive regulation of angiogenesis {GO:0045766}; positive regulation of tumor necrosis factor biosynthetic process {GO:0042535}; regulation of ion transmembrane transport {GO:0034765}; respiratory burst {GO:0045730}; response to aldosterone {GO:1904044}; response to angiotensin {GO:1990776}; superoxide anion generation {GO:0042554}; superoxide metabolic process {GO:0006801}; vascular endothelial growth factor receptor signaling pathway {GO:0048010}</t>
  </si>
  <si>
    <t>dendrite {GO:0030425}; endoplasmic reticulum membrane {GO:0005789}; Golgi apparatus {GO:0005794}; integral component of plasma membrane {GO:0005887}; NADPH oxidase complex {GO:0043020}; neuronal cell body {GO:0043025}; nuclear envelope {GO:0005635}; perinuclear endoplasmic reticulum {GO:0097038}; phagocytic vesicle membrane {GO:0030670}; plasma membrane {GO:0005886}; rough endoplasmic reticulum {GO:0005791}; specific granule membrane {GO:0035579}; tertiary granule membrane {GO:0070821}</t>
  </si>
  <si>
    <t>flavin adenine dinucleotide binding {GO:0050660}; heme binding {GO:0020037}; metal ion binding {GO:0046872}; protein heterodimerization activity {GO:0046982}; superoxide-generating NADPH oxidase activity {GO:0016175}; voltage-gated ion channel activity {GO:0005244}</t>
  </si>
  <si>
    <t>ROS and RNS production in phagocytes {R-HSA-1222556}; Cross-presentation of particulate exogenous antigens (phagosomes) {R-HSA-1236973}; Detoxification of Reactive Oxygen Species {R-HSA-3299685}; VEGFA-VEGFR2 Pathway {R-HSA-4420097}; RHO GTPases Activate NADPH Oxidases {R-HSA-5668599}; Neutrophil degranulation {R-HSA-6798695}</t>
  </si>
  <si>
    <t>ATP-dependent RNA helicase DDX3X</t>
  </si>
  <si>
    <t>DEAD box protein 3, X-chromosomal; DEAD box, X isoform; Helicase-like protein 2 (HLP2)</t>
  </si>
  <si>
    <t>DDX3X_HUMAN</t>
  </si>
  <si>
    <t>O00571</t>
  </si>
  <si>
    <t>A8K538; B4E3E8; O15536</t>
  </si>
  <si>
    <t>DBX; DDX3</t>
  </si>
  <si>
    <t>3D-structure; Acetylation; Alternative splicing; Apoptosis; ATP-binding; Chromosome partition; Cytoplasm; Disease mutation; DNA-binding; Helicase; Host-virus interaction; Hydrolase; Immunity; Innate immunity; Isopeptide bond; Membrane; Mental retardation; Methylation; Mitochondrion; Mitochondrion outer membrane; Nucleotide-binding; Nucleus; Phosphoprotein; Polymorphism; Ribosome biogenesis; RNA-binding; Transcription; Transcription regulation; Translation regulation; Ubl conjugation</t>
  </si>
  <si>
    <t>Apoptosis; Chromosome partition; Host-virus interaction; Immunity; Innate immunity; Ribosome biogenesis; Transcription; Transcription regulation; Translation regulation</t>
  </si>
  <si>
    <t>Cytoplasm; Membrane; Mitochondrion; Mitochondrion outer membrane; Nucleus</t>
  </si>
  <si>
    <t>DNA-binding; Helicase; Hydrolase; RNA-binding</t>
  </si>
  <si>
    <t>cellular response to arsenic-containing substance {GO:0071243}; cellular response to osmotic stress {GO:0071470}; chromosome segregation {GO:0007059}; extrinsic apoptotic signaling pathway via death domain receptors {GO:0008625}; innate immune response {GO:0045087}; intracellular signal transduction {GO:0035556}; intrinsic apoptotic signaling pathway {GO:0097193}; mature ribosome assembly {GO:0042256}; negative regulation of apoptotic process {GO:0043066}; negative regulation of cell growth {GO:0030308}; negative regulation of cysteine-type endopeptidase activity involved in apoptotic process {GO:0043154}; negative regulation of intrinsic apoptotic signaling pathway {GO:2001243}; negative regulation of protein complex assembly {GO:0031333}; negative regulation of translation {GO:0017148}; neutrophil degranulation {GO:0043312}; positive regulation of apoptotic process {GO:0043065}; positive regulation of canonical Wnt signaling pathway {GO:0090263}; positive regulation of cell growth {GO:0030307}; positive regulation of chemokine (C-C motif) ligand 5 production {GO:0071651}; positive regulation of cysteine-type endopeptidase activity involved in apoptotic process {GO:0043280}; positive regulation of G1/S transition of mitotic cell cycle {GO:1900087}; positive regulation of gene expression {GO:0010628}; positive regulation of interferon-beta production {GO:0032728}; positive regulation of protein serine/threonine kinase activity {GO:0071902}; positive regulation of transcription by RNA polymerase II {GO:0045944}; positive regulation of translation {GO:0045727}; positive regulation of translational initiation {GO:0045948}; positive regulation of viral genome replication {GO:0045070}; protein localization to cytoplasmic stress granule {GO:1903608}; response to virus {GO:0009615}; RNA secondary structure unwinding {GO:0010501}; stress granule assembly {GO:0034063}; translational initiation {GO:0006413}; viral process {GO:0016032}; Wnt signaling pathway {GO:0016055}</t>
  </si>
  <si>
    <t>cytoplasm {GO:0005737}; cytoplasmic stress granule {GO:0010494}; cytosol {GO:0005829}; extracellular exosome {GO:0070062}; extracellular region {GO:0005576}; ficolin-1-rich granule lumen {GO:1904813}; mitochondrial outer membrane {GO:0005741}; nuclear speck {GO:0016607}; nucleus {GO:0005634}; secretory granule lumen {GO:0034774}</t>
  </si>
  <si>
    <t>ATP binding {GO:0005524}; ATP-dependent DNA helicase activity {GO:0004003}; ATP-dependent RNA helicase activity {GO:0004004}; ATPase activity {GO:0016887}; cadherin binding {GO:0045296}; CTPase activity {GO:0043273}; DNA binding {GO:0003677}; eukaryotic initiation factor 4E binding {GO:0008190}; GTPase activity {GO:0003924}; mRNA 5'-UTR binding {GO:0048027}; nucleoside-triphosphatase activity {GO:0017111}; poly(A) binding {GO:0008143}; protein serine/threonine kinase activator activity {GO:0043539}; ribosomal small subunit binding {GO:0043024}; RNA binding {GO:0003723}; RNA stem-loop binding {GO:0035613}; RNA strand annealing activity {GO:0033592}; transcription factor binding {GO:0008134}; translation initiation factor binding {GO:0031369}</t>
  </si>
  <si>
    <t>Histidine triad nucleotide-binding protein 1</t>
  </si>
  <si>
    <t>Adenosine 5'-monophosphoramidase; Protein kinase C inhibitor 1; Protein kinase C-interacting protein 1 (PKCI-1)</t>
  </si>
  <si>
    <t>HINT1_HUMAN</t>
  </si>
  <si>
    <t>P49773</t>
  </si>
  <si>
    <t>Q9H5W8</t>
  </si>
  <si>
    <t>HINT; PKCI1; PRKCNH1</t>
  </si>
  <si>
    <t>3D-structure; Acetylation; Apoptosis; Cytoplasm; Disease mutation; Hydrolase; Neuropathy; Nucleotide-binding; Nucleus; Phosphoprotein; Transcription; Transcription regulation</t>
  </si>
  <si>
    <t>intrinsic apoptotic signaling pathway by p53 class mediator {GO:0072332}; positive regulation of calcium-mediated signaling {GO:0050850}; purine ribonucleotide catabolic process {GO:0009154}; regulation of transcription, DNA-templated {GO:0006355}; signal transduction {GO:0007165}</t>
  </si>
  <si>
    <t>cytoskeleton {GO:0005856}; cytosol {GO:0005829}; extracellular exosome {GO:0070062}; histone deacetylase complex {GO:0000118}; nucleus {GO:0005634}; plasma membrane {GO:0005886}</t>
  </si>
  <si>
    <t>hydrolase activity {GO:0016787}; nucleotide binding {GO:0000166}; protein kinase C binding {GO:0005080}</t>
  </si>
  <si>
    <t>Ras-related protein Rab-2A</t>
  </si>
  <si>
    <t>RAB2A_HUMAN</t>
  </si>
  <si>
    <t>P61019</t>
  </si>
  <si>
    <t>B2R5W8; B4DMQ5; P08886</t>
  </si>
  <si>
    <t>RAB2</t>
  </si>
  <si>
    <t>3D-structure; Acetylation; Alternative splicing; Endoplasmic reticulum; ER-Golgi transport; Golgi apparatus; GTP-binding; Lipoprotein; Membrane; Nucleotide-binding; Prenylation; Protein transport; Transport</t>
  </si>
  <si>
    <t>endoplasmic reticulum to Golgi vesicle-mediated transport {GO:0006888}; Golgi organization {GO:0007030}; intracellular protein transport {GO:0006886}; post-translational protein modification {GO:0043687}; Rab protein signal transduction {GO:0032482}</t>
  </si>
  <si>
    <t>cytosol {GO:0005829}; endoplasmic reticulum membrane {GO:0005789}; endoplasmic reticulum-Golgi intermediate compartment membrane {GO:0033116}; extracellular exosome {GO:0070062}; Golgi apparatus {GO:0005794}; Golgi membrane {GO:0000139}; lysosomal membrane {GO:0005765}; melanosome {GO:0042470}; nucleus {GO:0005634}</t>
  </si>
  <si>
    <t>Golgi Cisternae Pericentriolar Stack Reorganization {R-HSA-162658}; RAB geranylgeranylation {R-HSA-8873719}</t>
  </si>
  <si>
    <t>N-acylglucosamine 2-epimerase (AGE)</t>
  </si>
  <si>
    <t>GlcNAc 2-epimerase; N-acetyl-D-glucosamine 2-epimerase; Renin-binding protein (RnBP)</t>
  </si>
  <si>
    <t>RENBP_HUMAN</t>
  </si>
  <si>
    <t>P51606</t>
  </si>
  <si>
    <t>B4DNZ3; Q96BI6</t>
  </si>
  <si>
    <t>N-acetylglucosamine metabolic process {GO:0006044}; N-acetylmannosamine metabolic process {GO:0006051}; N-acetylneuraminate catabolic process {GO:0019262}; regulation of blood pressure {GO:0008217}; UDP-N-acetylglucosamine biosynthetic process {GO:0006048}</t>
  </si>
  <si>
    <t>ATP binding {GO:0005524}; endopeptidase inhibitor activity {GO:0004866}; N-acylglucosamine 2-epimerase activity {GO:0050121}; peptidase inhibitor activity {GO:0030414}; protein homodimerization activity {GO:0042803}</t>
  </si>
  <si>
    <t>Amino-sugar metabolism; N-acetylneuraminate degradation.</t>
  </si>
  <si>
    <t>Lysosome-associated membrane glycoprotein 2 (LAMP-2; Lysosome-associated membrane protein 2)</t>
  </si>
  <si>
    <t>CD107 antigen-like family member B; LGP-96; CD_antigen=CD107b</t>
  </si>
  <si>
    <t>LAMP2_HUMAN</t>
  </si>
  <si>
    <t>P13473</t>
  </si>
  <si>
    <t>A8K4X5; D3DTF0; Q16641; Q6Q3G8; Q96J30; Q99534; Q9UD93</t>
  </si>
  <si>
    <t>3D-structure; Alternative splicing; Autophagy; Cell membrane; Cytoplasmic vesicle; Disease mutation; Disulfide bond; Endosome; Glycogen storage disease; Glycoprotein; Lysosome; Membrane; Polymorphism; Signal; Transmembrane; Transmembrane helix</t>
  </si>
  <si>
    <t>Autophagy</t>
  </si>
  <si>
    <t>Cell membrane; Cytoplasmic vesicle; Endosome; Lysosome; Membrane</t>
  </si>
  <si>
    <t>autophagosome maturation {GO:0097352}; cellular response to starvation {GO:0009267}; chaperone-mediated autophagy {GO:0061684}; establishment of protein localization to organelle {GO:0072594}; lysosomal protein catabolic process {GO:1905146}; muscle cell cellular homeostasis {GO:0046716}; negative regulation of protein homooligomerization {GO:0032463}; neutrophil degranulation {GO:0043312}; platelet degranulation {GO:0002576}; protein import {GO:0017038}; protein stabilization {GO:0050821}; protein targeting {GO:0006605}; protein targeting to lysosome involved in chaperone-mediated autophagy {GO:0061740}; regulation of protein stability {GO:0031647}</t>
  </si>
  <si>
    <t>autolysosome {GO:0044754}; azurophil granule membrane {GO:0035577}; chaperone-mediated autophagy translocation complex {GO:0061742}; extracellular exosome {GO:0070062}; extracellular space {GO:0005615}; ficolin-1-rich granule membrane {GO:0101003}; integral component of autophagosome membrane {GO:0097637}; late endosome {GO:0005770}; late endosome membrane {GO:0031902}; lysosomal lumen {GO:0043202}; lysosomal matrix {GO:1990836}; lysosomal membrane {GO:0005765}; lysosome {GO:0005764}; membrane {GO:0016020}; membrane raft {GO:0045121}; perinuclear region of cytoplasm {GO:0048471}; phagocytic vesicle membrane {GO:0030670}; plasma membrane {GO:0005886}; platelet dense granule membrane {GO:0031088}; trans-Golgi network {GO:0005802}</t>
  </si>
  <si>
    <t>enzyme binding {GO:0019899}; protein domain specific binding {GO:0019904}</t>
  </si>
  <si>
    <t>DnaJ homolog subfamily C member 11</t>
  </si>
  <si>
    <t>DJC11_HUMAN</t>
  </si>
  <si>
    <t>Q9NVH1</t>
  </si>
  <si>
    <t>Q4VWF5; Q5VZN0; Q6PK20; Q6PK70; Q8NDM2; Q96CL7</t>
  </si>
  <si>
    <t>Acetylation; Alternative splicing; Chaperone; Coiled coil; Membrane; Mitochondrion; Mitochondrion outer membrane; Phosphoprotein; Polymorphism</t>
  </si>
  <si>
    <t>cristae formation {GO:0042407}</t>
  </si>
  <si>
    <t>mitochondrial outer membrane {GO:0005741}; mitochondrion {GO:0005739}</t>
  </si>
  <si>
    <t>Cristae formation {R-HSA-8949613}</t>
  </si>
  <si>
    <t>Glycerol kinase (GK; Glycerokinase)</t>
  </si>
  <si>
    <t>ATP:glycerol 3-phosphotransferase</t>
  </si>
  <si>
    <t>GLPK_HUMAN</t>
  </si>
  <si>
    <t>P32189</t>
  </si>
  <si>
    <t>A6NJP5; B2R833; Q6IQ27; Q8IVR5; Q9UMP0; Q9UMP1</t>
  </si>
  <si>
    <t>Alternative splicing; ATP-binding; Cytoplasm; Disease mutation; Glycerol metabolism; Kinase; Membrane; Mitochondrion; Mitochondrion outer membrane; Nucleotide-binding; Polymorphism; Transferase</t>
  </si>
  <si>
    <t>Glycerol metabolism</t>
  </si>
  <si>
    <t>glycerol catabolic process {GO:0019563}; glycerol metabolic process {GO:0006071}; glycerol-3-phosphate biosynthetic process {GO:0046167}; phosphorylation {GO:0016310}; triglyceride biosynthetic process {GO:0019432}; triglyceride metabolic process {GO:0006641}</t>
  </si>
  <si>
    <t>cytoplasm {GO:0005737}; cytosol {GO:0005829}; extracellular exosome {GO:0070062}; mitochondrial outer membrane {GO:0005741}; mitochondrion {GO:0005739}</t>
  </si>
  <si>
    <t>ATP binding {GO:0005524}; glycerol kinase activity {GO:0004370}</t>
  </si>
  <si>
    <t>Polyol metabolism; glycerol degradation via glycerol kinase pathway; sn-glycerol 3-phosphate from glycerol: step 1/1.</t>
  </si>
  <si>
    <t>Triglyceride biosynthesis {R-HSA-75109}</t>
  </si>
  <si>
    <t>Methyl-CpG-binding protein 2 (MeCp-2 protein; MeCp2)</t>
  </si>
  <si>
    <t>MECP2_HUMAN</t>
  </si>
  <si>
    <t>P51608</t>
  </si>
  <si>
    <t>O15233; Q6QHH9; Q7Z384</t>
  </si>
  <si>
    <t>3D-structure; Acetylation; Alternative splicing; Autism; Autism spectrum disorder; Chromosomal rearrangement; Disease mutation; DNA-binding; Mental retardation; Methylation; Nucleus; Phosphoprotein; Polymorphism; Repeat; Repressor; Transcription; Transcription regulation</t>
  </si>
  <si>
    <t>adult locomotory behavior {GO:0008344}; behavioral fear response {GO:0001662}; cardiolipin metabolic process {GO:0032048}; catecholamine secretion {GO:0050432}; cellular biogenic amine metabolic process {GO:0006576}; cerebellum development {GO:0021549}; chromatin silencing {GO:0006342}; dendrite development {GO:0016358}; excitatory postsynaptic potential {GO:0060079}; glucocorticoid metabolic process {GO:0008211}; glutamine metabolic process {GO:0006541}; histone acetylation {GO:0016573}; histone methylation {GO:0016571}; inositol metabolic process {GO:0006020}; long-term memory {GO:0007616}; long-term synaptic potentiation {GO:0060291}; mitochondrial electron transport, ubiquinol to cytochrome c {GO:0006122}; mitotic spindle organization {GO:0007052}; negative regulation of angiogenesis {GO:0016525}; negative regulation of blood vessel endothelial cell migration {GO:0043537}; negative regulation of gene expression {GO:0010629}; negative regulation of neuron apoptotic process {GO:0043524}; negative regulation of smooth muscle cell differentiation {GO:0051151}; negative regulation of transcription by RNA polymerase II {GO:0000122}; negative regulation of transcription from RNA polymerase II promoter involved in smooth muscle cell differentiation {GO:2000820}; negative regulation of transcription, DNA-templated {GO:0045892}; neurological system process involved in regulation of systemic arterial blood pressure {GO:0001976}; neuron maturation {GO:0042551}; pathogenesis {GO:0009405}; phosphatidylcholine metabolic process {GO:0046470}; positive regulation of cell population proliferation {GO:0008284}; positive regulation of DNA methylation {GO:1905643}; positive regulation of G2/M transition of mitotic cell cycle {GO:0010971}; positive regulation of histone H3-K9 trimethylation {GO:1900114}; positive regulation of microtubule nucleation {GO:0090063}; positive regulation of transcription, DNA-templated {GO:0045893}; post-embryonic development {GO:0009791}; proprioception {GO:0019230}; protein localization {GO:0008104}; regulation of gene expression by genetic imprinting {GO:0006349}; regulation of respiratory gaseous exchange by neurological system process {GO:0002087}; respiratory gaseous exchange {GO:0007585}; response to hypoxia {GO:0001666}; response to radiation {GO:0009314}; sensory perception of pain {GO:0019233}; social behavior {GO:0035176}; startle response {GO:0001964}; synapse assembly {GO:0007416}; transcription initiation from RNA polymerase II promoter {GO:0006367}; ventricular system development {GO:0021591}; visual learning {GO:0008542}</t>
  </si>
  <si>
    <t>centrosome {GO:0005813}; chromatin {GO:0000785}; cytosol {GO:0005829}; extracellular space {GO:0005615}; heterochromatin {GO:0000792}; mitochondrion {GO:0005739}; nucleoplasm {GO:0005654}; nucleus {GO:0005634}; postsynapse {GO:0098794}</t>
  </si>
  <si>
    <t>DNA binding {GO:0003677}; DNA-binding transcription repressor activity, RNA polymerase II-specific {GO:0001227}; double-stranded methylated DNA binding {GO:0010385}; methyl-CpG binding {GO:0008327}; mRNA binding {GO:0003729}; protein domain specific binding {GO:0019904}; protein N-terminus binding {GO:0047485}; RNA binding {GO:0003723}; siRNA binding {GO:0035197}; transcription corepressor activity {GO:0003714}; transcription factor binding {GO:0008134}</t>
  </si>
  <si>
    <t>Transcriptional Regulation by MECP2 {R-HSA-8986944}; Loss of MECP2 binding ability to 5hmC-DNA {R-HSA-9022534}; Loss of phosphorylation of MECP2 at T308 {R-HSA-9022535}; Loss of MECP2 binding ability to the NCoR/SMRT complex {R-HSA-9022537}; Loss of MECP2 binding ability to 5mC-DNA {R-HSA-9022538}; Regulation of MECP2 expression and activity {R-HSA-9022692}; MECP2 regulates neuronal receptors and channels {R-HSA-9022699}; MECP2 regulates transcription of neuronal ligands {R-HSA-9022702}; MECP2 regulates transcription factors {R-HSA-9022707}; MECP2 regulates transcription of genes involved in GABA signaling {R-HSA-9022927}</t>
  </si>
  <si>
    <t>Glucose-6-phosphate 1-dehydrogenase (G6PD)</t>
  </si>
  <si>
    <t>G6PD_HUMAN</t>
  </si>
  <si>
    <t>P11413</t>
  </si>
  <si>
    <t>D3DWX9; Q16000; Q16765; Q8IU70; Q8IU88; Q8IUA6; Q96PQ2</t>
  </si>
  <si>
    <t>3D-structure; Acetylation; Alternative splicing; Carbohydrate metabolism; Disease mutation; Glucose metabolism; Hereditary hemolytic anemia; NADP; Oxidoreductase; Phosphoprotein; Polymorphism</t>
  </si>
  <si>
    <t>cellular response to oxidative stress {GO:0034599}; cholesterol biosynthetic process {GO:0006695}; erythrocyte maturation {GO:0043249}; glucose 6-phosphate metabolic process {GO:0051156}; glucose metabolic process {GO:0006006}; glutathione metabolic process {GO:0006749}; lipid metabolic process {GO:0006629}; NADP metabolic process {GO:0006739}; NADPH regeneration {GO:0006740}; negative regulation of cell growth involved in cardiac muscle cell development {GO:0061052}; negative regulation of protein glutathionylation {GO:0010734}; negative regulation of reactive oxygen species metabolic process {GO:2000378}; oxidation-reduction process {GO:0055114}; pentose biosynthetic process {GO:0019322}; pentose-phosphate shunt {GO:0006098}; pentose-phosphate shunt, oxidative branch {GO:0009051}; positive regulation of calcium ion transmembrane transport via high voltage-gated calcium channel {GO:1904879}; regulation of neuron apoptotic process {GO:0043523}; response to ethanol {GO:0045471}; response to food {GO:0032094}; response to iron(III) ion {GO:0010041}; response to organic cyclic compound {GO:0014070}; ribose phosphate biosynthetic process {GO:0046390}; substantia nigra development {GO:0021762}</t>
  </si>
  <si>
    <t>cytoplasm {GO:0005737}; cytoplasmic side of plasma membrane {GO:0009898}; cytosol {GO:0005829}; extracellular exosome {GO:0070062}; membrane {GO:0016020}; nucleus {GO:0005634}</t>
  </si>
  <si>
    <t>glucose binding {GO:0005536}; glucose-6-phosphate dehydrogenase activity {GO:0004345}; identical protein binding {GO:0042802}; NADP binding {GO:0050661}; protein homodimerization activity {GO:0042803}</t>
  </si>
  <si>
    <t>Carbohydrate degradation; pentose phosphate pathway; D- ribulose 5-phosphate from D-glucose 6-phosphate (oxidative stage): step 1/3.</t>
  </si>
  <si>
    <t>TP53 Regulates Metabolic Genes {R-HSA-5628897}; Pentose phosphate pathway {R-HSA-71336}</t>
  </si>
  <si>
    <t>Pseudouridine-5'-phosphatase</t>
  </si>
  <si>
    <t>Haloacid dehalogenase-like hydrolase domain-containing protein 1; Haloacid dehalogenase-like hydrolase domain-containing protein 1A; Protein GS1; Pseudouridine-5'-monophosphatase (5'-PsiMPase)</t>
  </si>
  <si>
    <t>HDHD1_HUMAN</t>
  </si>
  <si>
    <t>Q08623</t>
  </si>
  <si>
    <t>B2R7X6; B4DV93; B7Z6Q3; E9PAV8; F5GWZ2; Q53F84; Q96EB8</t>
  </si>
  <si>
    <t>3D-structure; Alternative splicing; Hydrolase; Magnesium; Metal-binding; Nucleotide metabolism; Polymorphism</t>
  </si>
  <si>
    <t>nucleotide metabolic process {GO:0009117}; pyrimidine nucleoside salvage {GO:0043097}</t>
  </si>
  <si>
    <t>magnesium ion binding {GO:0000287}; pseudouridine 5'-phosphatase activity {GO:1990738}</t>
  </si>
  <si>
    <t>Pyrimidine salvage {R-HSA-73614}</t>
  </si>
  <si>
    <t>Apoptosis-inducing factor 1, mitochondrial</t>
  </si>
  <si>
    <t>Programmed cell death protein 8</t>
  </si>
  <si>
    <t>AIFM1_HUMAN</t>
  </si>
  <si>
    <t>O95831</t>
  </si>
  <si>
    <t>A4QPB4; B1ALN1; B2RB08; D3DTE9; Q1L6K4; Q1L6K6; Q2QKE4; Q5JUZ7; Q6I9X6; Q9Y3I3; Q9Y3I4</t>
  </si>
  <si>
    <t>AIF; PDCD8</t>
  </si>
  <si>
    <t>3D-structure; Acetylation; Alternative splicing; Apoptosis; Charcot-Marie-Tooth disease; Cytoplasm; Deafness; Disease mutation; DNA-binding; FAD; Flavoprotein; Isopeptide bond; Membrane; Mental retardation; Mitochondrion; Mitochondrion inner membrane; NAD; Neurodegeneration; Neuropathy; Nucleus; Oxidoreductase; Phosphoprotein; Primary mitochondrial disease; Transit peptide; Ubl conjugation</t>
  </si>
  <si>
    <t>Charcot-Marie-Tooth disease; Deafness; Disease mutation; Mental retardation; Neurodegeneration; Neuropathy; Primary mitochondrial disease</t>
  </si>
  <si>
    <t>DNA-binding; Oxidoreductase</t>
  </si>
  <si>
    <t>activation of cysteine-type endopeptidase activity involved in apoptotic process {GO:0006919}; apoptotic process {GO:0006915}; cellular response to aldosterone {GO:1904045}; cellular response to estradiol stimulus {GO:0071392}; cellular response to hydrogen peroxide {GO:0070301}; cellular response to nitric oxide {GO:0071732}; cellular response to oxygen-glucose deprivation {GO:0090650}; chromosome condensation {GO:0030261}; intrinsic apoptotic signaling pathway in response to endoplasmic reticulum stress {GO:0070059}; mitochondrial respiratory chain complex I assembly {GO:0032981}; neuron apoptotic process {GO:0051402}; neuron differentiation {GO:0030182}; positive regulation of apoptotic process {GO:0043065}; positive regulation of neuron apoptotic process {GO:0043525}; regulation of apoptotic DNA fragmentation {GO:1902510}; response to ischemia {GO:0002931}; response to L-glutamate {GO:1902065}</t>
  </si>
  <si>
    <t>cytosol {GO:0005829}; mitochondrial inner membrane {GO:0005743}; mitochondrial intermembrane space {GO:0005758}; mitochondrion {GO:0005739}; nucleus {GO:0005634}; perinuclear region of cytoplasm {GO:0048471}</t>
  </si>
  <si>
    <t>DNA binding {GO:0003677}; FAD binding {GO:0071949}; NAD(P)H oxidase activity {GO:0016174}; oxidoreductase activity, acting on NAD(P)H {GO:0016651}; protein dimerization activity {GO:0046983}</t>
  </si>
  <si>
    <t>Pyruvate dehydrogenase E1 component subunit alpha, somatic form, mitochondrial</t>
  </si>
  <si>
    <t>PDHE1-A type I</t>
  </si>
  <si>
    <t>ODPA_HUMAN</t>
  </si>
  <si>
    <t>P08559</t>
  </si>
  <si>
    <t>A5YVE9; B2R5P7; B7Z3T7; B7Z3X5; Q53H41; Q5JPT8; Q9NP12; Q9UBJ8; Q9UBU0; Q9UNG4; Q9UNG5</t>
  </si>
  <si>
    <t>PHE1A</t>
  </si>
  <si>
    <t>3D-structure; Acetylation; Alternative splicing; Carbohydrate metabolism; Disease mutation; Glucose metabolism; Leigh syndrome; Mitochondrion; Oxidoreductase; Phosphoprotein; Polymorphism; Primary mitochondrial disease; Pyruvate; Thiamine pyrophosphate; Transit peptide; Tricarboxylic acid cycle</t>
  </si>
  <si>
    <t>Disease mutation; Leigh syndrome; Primary mitochondrial disease</t>
  </si>
  <si>
    <t>mitochondrial matrix {GO:0005759}; mitochondrion {GO:0005739}; nucleolus {GO:0005730}; nucleus {GO:0005634}; pyruvate dehydrogenase complex {GO:0045254}</t>
  </si>
  <si>
    <t>pyruvate dehydrogenase (acetyl-transferring) activity {GO:0004739}; pyruvate dehydrogenase (NAD+) activity {GO:0034604}; pyruvate dehydrogenase activity {GO:0004738}</t>
  </si>
  <si>
    <t>Membrane-associated progesterone receptor component 1 (mPR)</t>
  </si>
  <si>
    <t>Dap1; IZA</t>
  </si>
  <si>
    <t>PGRC1_HUMAN</t>
  </si>
  <si>
    <t>O00264</t>
  </si>
  <si>
    <t>B7Z1L3; Q9UGJ9</t>
  </si>
  <si>
    <t>3D-structure; Alternative splicing; Endoplasmic reticulum; Lipid-binding; Membrane; Microsome; Phosphoprotein; Receptor; Steroid-binding; Transmembrane; Transmembrane helix</t>
  </si>
  <si>
    <t>cell body {GO:0044297}; endoplasmic reticulum {GO:0005783}; integral component of plasma membrane {GO:0005887}; membrane {GO:0016020}; neuron projection {GO:0043005}; neuronal cell body {GO:0043025}; plasma membrane {GO:0005886}; smooth endoplasmic reticulum membrane {GO:0030868}; specific granule membrane {GO:0035579}; synapse {GO:0045202}</t>
  </si>
  <si>
    <t>amyloid-beta binding {GO:0001540}; steroid binding {GO:0005496}</t>
  </si>
  <si>
    <t>Guanine nucleotide-binding protein G(k) subunit alpha</t>
  </si>
  <si>
    <t>G(i) alpha-3</t>
  </si>
  <si>
    <t>GNAI3_HUMAN</t>
  </si>
  <si>
    <t>P08754</t>
  </si>
  <si>
    <t>P17539; Q5TZX1</t>
  </si>
  <si>
    <t>3D-structure; ADP-ribosylation; Cell cycle; Cell division; Cell membrane; Cytoplasm; Cytoskeleton; Disease mutation; GTP-binding; Lipoprotein; Magnesium; Membrane; Metal-binding; Myristate; Nucleotide-binding; Palmitate; Transducer</t>
  </si>
  <si>
    <t>adenylate cyclase-inhibiting G protein-coupled receptor signaling pathway {GO:0007193}; adenylate cyclase-modulating G protein-coupled receptor signaling pathway {GO:0007188}; brain development {GO:0007420}; cell cycle {GO:0007049}; cell division {GO:0051301}; dopamine receptor signaling pathway {GO:0007212}; G protein-coupled receptor signaling pathway {GO:0007186}; GTP metabolic process {GO:0046039}; negative regulation of adenylate cyclase activity {GO:0007194}; negative regulation of apoptotic signaling pathway {GO:2001234}; positive regulation of macroautophagy {GO:0016239}; positive regulation of NAD(P)H oxidase activity {GO:0033864}; positive regulation of superoxide anion generation {GO:0032930}; positive regulation of vascular smooth muscle cell proliferation {GO:1904707}; protein folding {GO:0006457}; vesicle fusion {GO:0006906}</t>
  </si>
  <si>
    <t>centrosome {GO:0005813}; cytoplasm {GO:0005737}; extracellular exosome {GO:0070062}; Golgi apparatus {GO:0005794}; heterotrimeric G-protein complex {GO:0005834}; lysosomal membrane {GO:0005765}; membrane {GO:0016020}; membrane raft {GO:0045121}; midbody {GO:0030496}; nucleolus {GO:0005730}; nucleus {GO:0005634}; plasma membrane {GO:0005886}; zymogen granule {GO:0042588}</t>
  </si>
  <si>
    <t>G protein-coupled receptor binding {GO:0001664}; G protein-coupled serotonin receptor binding {GO:0031821}; G-protein beta/gamma-subunit complex binding {GO:0031683}; GDP binding {GO:0019003}; GTP binding {GO:0005525}; GTPase activating protein binding {GO:0032794}; GTPase activity {GO:0003924}; metal ion binding {GO:0046872}; protein domain specific binding {GO:0019904}</t>
  </si>
  <si>
    <t>PLC beta mediated events {R-HSA-112043}; Adenylate cyclase inhibitory pathway {R-HSA-170670}; G-protein activation {R-HSA-202040}; ADP signalling through P2Y purinoceptor 12 {R-HSA-392170}; G alpha (s) signalling events {R-HSA-418555}; G alpha (i) signalling events {R-HSA-418594}; G alpha (z) signalling events {R-HSA-418597}; Cooperation of PDCL (PhLP1) and TRiC/CCT in G-protein beta folding {R-HSA-6814122}; Non-genomic estrogen signaling {R-HSA-9009391}</t>
  </si>
  <si>
    <t>Small muscular protein</t>
  </si>
  <si>
    <t>Stretch-responsive skeletal muscle protein</t>
  </si>
  <si>
    <t>SMPX_HUMAN</t>
  </si>
  <si>
    <t>Q9UHP9</t>
  </si>
  <si>
    <t>B1AWX2</t>
  </si>
  <si>
    <t>SRMX</t>
  </si>
  <si>
    <t>striated muscle contraction {GO:0006941}</t>
  </si>
  <si>
    <t>costamere {GO:0043034}; M band {GO:0031430}; muscle tendon junction {GO:0005927}; nucleus {GO:0005634}</t>
  </si>
  <si>
    <t>CD99 antigen</t>
  </si>
  <si>
    <t>12E7; E2 antigen; Protein MIC2; T-cell surface glycoprotein E2; CD_antigen=CD99</t>
  </si>
  <si>
    <t>CD99_HUMAN</t>
  </si>
  <si>
    <t>P14209</t>
  </si>
  <si>
    <t>A6NIW1; O00518; Q6ICV7</t>
  </si>
  <si>
    <t>MIC2; MIC2X; MIC2Y</t>
  </si>
  <si>
    <t>Alternative splicing; Cell adhesion; Glycoprotein; Membrane; Phosphoprotein; Polymorphism; Signal; Transmembrane; Transmembrane helix</t>
  </si>
  <si>
    <t>homotypic cell-cell adhesion {GO:0034109}; positive regulation of neutrophil extravasation {GO:2000391}; regulation of immune response {GO:0050776}; T cell extravasation {GO:0072683}</t>
  </si>
  <si>
    <t>cytoplasm {GO:0005737}; focal adhesion {GO:0005925}; integral component of plasma membrane {GO:0005887}; plasma membrane {GO:0005886}</t>
  </si>
  <si>
    <t>Elongation factor 1-delta (EF-1-delta)</t>
  </si>
  <si>
    <t>Antigen NY-CO-4</t>
  </si>
  <si>
    <t>EF1D_HUMAN</t>
  </si>
  <si>
    <t>P29692</t>
  </si>
  <si>
    <t>B4DDU4; D3DWK3; E9PBQ9; Q4VBZ6; Q969J1; Q96I38</t>
  </si>
  <si>
    <t>EF1D</t>
  </si>
  <si>
    <t>3D-structure; Acetylation; Alternative splicing; DNA-binding; Elongation factor; Nucleus; Phosphoprotein; Protein biosynthesis; Transcription; Transcription regulation</t>
  </si>
  <si>
    <t>DNA-binding; Elongation factor</t>
  </si>
  <si>
    <t>cellular response to ionizing radiation {GO:0071479}; mRNA transcription {GO:0009299}; positive regulation of I-kappaB kinase/NF-kappaB signaling {GO:0043123}; regulation of cell death {GO:0010941}; translational elongation {GO:0006414}</t>
  </si>
  <si>
    <t>cytoplasm {GO:0005737}; cytosol {GO:0005829}; eukaryotic translation elongation factor 1 complex {GO:0005853}; fibrillar center {GO:0001650}; nucleus {GO:0005634}</t>
  </si>
  <si>
    <t>activating transcription factor binding {GO:0033613}; cadherin binding {GO:0045296}; DNA binding {GO:0003677}; guanyl-nucleotide exchange factor activity {GO:0005085}; heat shock protein binding {GO:0031072}; translation elongation factor activity {GO:0003746}; translation factor activity, RNA binding {GO:0008135}</t>
  </si>
  <si>
    <t>Heterogeneous nuclear ribonucleoprotein H2, N-terminally processed</t>
  </si>
  <si>
    <t>FTP-3; Heterogeneous nuclear ribonucleoprotein H' (hnRNP H')</t>
  </si>
  <si>
    <t>HNRH2_HUMAN</t>
  </si>
  <si>
    <t>P55795</t>
  </si>
  <si>
    <t>A1L400; Q9HHA7</t>
  </si>
  <si>
    <t>FTP3; HNRPH2</t>
  </si>
  <si>
    <t>3D-structure; Acetylation; Disease mutation; Isopeptide bond; Mental retardation; Methylation; Nucleus; Phosphoprotein; Repeat; Ribonucleoprotein; RNA-binding; Ubl conjugation</t>
  </si>
  <si>
    <t>mRNA splicing, via spliceosome {GO:0000398}; RNA metabolic process {GO:0016070}</t>
  </si>
  <si>
    <t>cytosol {GO:0005829}; membrane {GO:0016020}; nucleoplasm {GO:0005654}; nucleus {GO:0005634}; postsynaptic density {GO:0014069}; ribonucleoprotein complex {GO:1990904}</t>
  </si>
  <si>
    <t>Alpha-galactosidase A</t>
  </si>
  <si>
    <t>Alpha-D-galactosidase A; Alpha-D-galactoside galactohydrolase; Melibiase; INN=Agalsidase</t>
  </si>
  <si>
    <t>AGAL_HUMAN</t>
  </si>
  <si>
    <t>P06280</t>
  </si>
  <si>
    <t>Q6LER7</t>
  </si>
  <si>
    <t>3D-structure; Disease mutation; Disulfide bond; Glycoprotein; Glycosidase; Hydrolase; Lysosome; Pharmaceutical; RNA editing; Signal</t>
  </si>
  <si>
    <t>RNA editing</t>
  </si>
  <si>
    <t>glycoside catabolic process {GO:0016139}; glycosphingolipid catabolic process {GO:0046479}; glycosphingolipid metabolic process {GO:0006687}; glycosylceramide catabolic process {GO:0046477}; negative regulation of nitric oxide biosynthetic process {GO:0045019}; negative regulation of nitric-oxide synthase activity {GO:0051001}; neutrophil degranulation {GO:0043312}; oligosaccharide metabolic process {GO:0009311}</t>
  </si>
  <si>
    <t>azurophil granule lumen {GO:0035578}; cytoplasm {GO:0005737}; extracellular exosome {GO:0070062}; extracellular region {GO:0005576}; Golgi apparatus {GO:0005794}; lysosomal lumen {GO:0043202}; lysosome {GO:0005764}</t>
  </si>
  <si>
    <t>alpha-galactosidase activity {GO:0004557}; catalytic activity {GO:0003824}; galactoside binding {GO:0016936}; hydrolase activity {GO:0016787}; protein homodimerization activity {GO:0042803}; raffinose alpha-galactosidase activity {GO:0052692}; signaling receptor binding {GO:0005102}</t>
  </si>
  <si>
    <t>Filamin-A (FLN-A)</t>
  </si>
  <si>
    <t>Actin-binding protein 280 (ABP-280); Alpha-filamin; Endothelial actin-binding protein; Filamin-1; Non-muscle filamin</t>
  </si>
  <si>
    <t>FLNA_HUMAN</t>
  </si>
  <si>
    <t>P21333</t>
  </si>
  <si>
    <t>E9KL45; Q5HY53; Q5HY55; Q8NF52</t>
  </si>
  <si>
    <t>FLN; FLN1</t>
  </si>
  <si>
    <t>3D-structure; Acetylation; Actin-binding; Alternative splicing; Cilium biogenesis/degradation; Cytoplasm; Cytoskeleton; Deafness; Disease mutation; Isopeptide bond; Phosphoprotein; Polymorphism; Repeat; Ubl conjugation</t>
  </si>
  <si>
    <t>actin crosslink formation {GO:0051764}; actin cytoskeleton reorganization {GO:0031532}; adenylate cyclase-inhibiting dopamine receptor signaling pathway {GO:0007195}; cell junction assembly {GO:0034329}; cerebral cortex development {GO:0021987}; cilium assembly {GO:0060271}; cytoplasmic sequestering of protein {GO:0051220}; defense response to virus {GO:0051607}; establishment of protein localization {GO:0045184}; establishment of Sertoli cell barrier {GO:0097368}; formation of radial glial scaffolds {GO:0021943}; mitotic spindle assembly {GO:0090307}; mRNA transcription by RNA polymerase II {GO:0042789}; negative regulation of apoptotic process {GO:0043066}; negative regulation of DNA-binding transcription factor activity {GO:0043433}; negative regulation of protein catabolic process {GO:0042177}; negative regulation of transcription by RNA polymerase I {GO:0016479}; platelet activation {GO:0030168}; platelet aggregation {GO:0070527}; platelet degranulation {GO:0002576}; positive regulation of actin filament bundle assembly {GO:0032233}; positive regulation of I-kappaB kinase/NF-kappaB signaling {GO:0043123}; positive regulation of integrin-mediated signaling pathway {GO:2001046}; positive regulation of neural precursor cell proliferation {GO:2000179}; positive regulation of neuron migration {GO:2001224}; positive regulation of potassium ion transmembrane transport {GO:1901381}; positive regulation of protein import into nucleus {GO:0042307}; positive regulation of substrate adhesion-dependent cell spreading {GO:1900026}; protein localization to bicellular tight junction {GO:1902396}; protein localization to cell surface {GO:0034394}; protein localization to plasma membrane {GO:0072659}; protein stabilization {GO:0050821}; receptor clustering {GO:0043113}; regulation of cell migration {GO:0030334}; regulation of membrane repolarization during atrial cardiac muscle cell action potential {GO:1905000}; regulation of membrane repolarization during cardiac muscle cell action potential {GO:1905031}; semaphorin-plexin signaling pathway {GO:0071526}; wound healing, spreading of cells {GO:0044319}</t>
  </si>
  <si>
    <t>actin cytoskeleton {GO:0015629}; actin filament {GO:0005884}; apical dendrite {GO:0097440}; cell-cell junction {GO:0005911}; cortical cytoskeleton {GO:0030863}; cytoplasm {GO:0005737}; cytosol {GO:0005829}; dendritic shaft {GO:0043198}; extracellular exosome {GO:0070062}; extracellular region {GO:0005576}; focal adhesion {GO:0005925}; glutamatergic synapse {GO:0098978}; membrane {GO:0016020}; Myb complex {GO:0031523}; neuronal cell body {GO:0043025}; nucleolus {GO:0005730}; nucleus {GO:0005634}; perinuclear region of cytoplasm {GO:0048471}; plasma membrane {GO:0005886}; postsynapse {GO:0098794}; Z disc {GO:0030018}</t>
  </si>
  <si>
    <t>actin filament binding {GO:0051015}; cadherin binding {GO:0045296}; Fc-gamma receptor I complex binding {GO:0034988}; G protein-coupled receptor binding {GO:0001664}; GTPase binding {GO:0051020}; ion channel binding {GO:0044325}; kinase binding {GO:0019900}; mu-type opioid receptor binding {GO:0031852}; potassium channel regulator activity {GO:0015459}; protein homodimerization activity {GO:0042803}; Rac GTPase binding {GO:0048365}; Ral GTPase binding {GO:0017160}; Rho GTPase binding {GO:0017048}; RNA binding {GO:0003723}; SMAD binding {GO:0046332}; small GTPase binding {GO:0031267}; transcription factor binding {GO:0008134}</t>
  </si>
  <si>
    <t>Platelet degranulation {R-HSA-114608}; GP1b-IX-V activation signalling {R-HSA-430116}; Cell-extracellular matrix interactions {R-HSA-446353}; RHO GTPases activate PAKs {R-HSA-5627123}; OAS antiviral response {R-HSA-8983711}</t>
  </si>
  <si>
    <t>Nicotinate phosphoribosyltransferase (NAPRTase)</t>
  </si>
  <si>
    <t>FHA-HIT-interacting protein; Nicotinate phosphoribosyltransferase domain-containing protein 1</t>
  </si>
  <si>
    <t>PNCB_HUMAN</t>
  </si>
  <si>
    <t>Q6XQN6</t>
  </si>
  <si>
    <t>A7BFI3; Q6PJL1; Q6XQN4; Q6XQN5; Q8N5E8; Q9BRG0</t>
  </si>
  <si>
    <t>FHIP; NAPRT1</t>
  </si>
  <si>
    <t>3D-structure; Alternative splicing; Cytoplasm; Ligase; Magnesium; Manganese; Metal-binding; Phosphoprotein; Polymorphism; Pyridine nucleotide biosynthesis; Transferase</t>
  </si>
  <si>
    <t>Pyridine nucleotide biosynthesis</t>
  </si>
  <si>
    <t>Magnesium; Manganese; Metal-binding</t>
  </si>
  <si>
    <t>Ligase; Transferase</t>
  </si>
  <si>
    <t>NAD biosynthesis via nicotinamide riboside salvage pathway {GO:0034356}; NAD biosynthetic process {GO:0009435}; NAD salvage {GO:0034355}; neutrophil degranulation {GO:0043312}; nicotinate nucleotide salvage {GO:0019358}; response to oxidative stress {GO:0006979}</t>
  </si>
  <si>
    <t>azurophil granule lumen {GO:0035578}; cytosol {GO:0005829}; extracellular exosome {GO:0070062}; extracellular region {GO:0005576}</t>
  </si>
  <si>
    <t>metal ion binding {GO:0046872}; nicotinate phosphoribosyltransferase activity {GO:0004516}; nicotinate-nucleotide diphosphorylase (carboxylating) activity {GO:0004514}</t>
  </si>
  <si>
    <t xml:space="preserve">Cofactor biosynthesis; NAD(+) biosynthesis; nicotinate D- ribonucleotide from nicotinate: step 1/1. </t>
  </si>
  <si>
    <t>Nicotinamide salvaging {R-HSA-197264}; Neutrophil degranulation {R-HSA-6798695}</t>
  </si>
  <si>
    <t>Moesin</t>
  </si>
  <si>
    <t>Membrane-organizing extension spike protein</t>
  </si>
  <si>
    <t>MOES_HUMAN</t>
  </si>
  <si>
    <t>P26038</t>
  </si>
  <si>
    <t>3D-structure; Acetylation; Cell membrane; Cell projection; Cytoplasm; Cytoskeleton; Disease mutation; Host-virus interaction; Membrane; Phosphoprotein; S-nitrosylation</t>
  </si>
  <si>
    <t>cellular response to testosterone stimulus {GO:0071394}; establishment of endothelial barrier {GO:0061028}; establishment of epithelial cell apical/basal polarity {GO:0045198}; gland morphogenesis {GO:0022612}; immunological synapse formation {GO:0001771}; interleukin-12-mediated signaling pathway {GO:0035722}; leukocyte cell-cell adhesion {GO:0007159}; leukocyte migration {GO:0050900}; membrane to membrane docking {GO:0022614}; positive regulation of cellular protein catabolic process {GO:1903364}; positive regulation of early endosome to late endosome transport {GO:2000643}; positive regulation of gene expression {GO:0010628}; positive regulation of podosome assembly {GO:0071803}; positive regulation of protein localization to early endosome {GO:1902966}; regulation of cell shape {GO:0008360}; regulation of cell size {GO:0008361}; regulation of lymphocyte migration {GO:2000401}; regulation of organelle assembly {GO:1902115}; T cell aggregation {GO:0070489}; T cell migration {GO:0072678}; T cell proliferation {GO:0042098}; viral process {GO:0016032}</t>
  </si>
  <si>
    <t>apical part of cell {GO:0045177}; apical plasma membrane {GO:0016324}; basolateral plasma membrane {GO:0016323}; blood microparticle {GO:0072562}; cell periphery {GO:0071944}; cell surface {GO:0009986}; cytoplasm {GO:0005737}; cytoskeleton {GO:0005856}; cytosol {GO:0005829}; extracellular exosome {GO:0070062}; extracellular space {GO:0005615}; filopodium {GO:0030175}; focal adhesion {GO:0005925}; invadopodium {GO:0071437}; microvillus {GO:0005902}; microvillus membrane {GO:0031528}; nucleus {GO:0005634}; perinuclear region of cytoplasm {GO:0048471}; plasma membrane {GO:0005886}; pseudopodium {GO:0031143}; uropod {GO:0001931}; vesicle {GO:0031982}</t>
  </si>
  <si>
    <t>actin binding {GO:0003779}; cell adhesion molecule binding {GO:0050839}; double-stranded RNA binding {GO:0003725}; enzyme binding {GO:0019899}; protein kinase binding {GO:0019901}; signaling receptor binding {GO:0005102}; structural constituent of cytoskeleton {GO:0005200}</t>
  </si>
  <si>
    <t>Recycling pathway of L1 {R-HSA-437239}; Gene and protein expression by JAK-STAT signaling after Interleukin-12 stimulation {R-HSA-8950505}</t>
  </si>
  <si>
    <t>Four and a half LIM domains protein 1 (FHL-1)</t>
  </si>
  <si>
    <t>Skeletal muscle LIM-protein 1 (SLIM; SLIM-1)</t>
  </si>
  <si>
    <t>FHL1_HUMAN</t>
  </si>
  <si>
    <t>Q13642</t>
  </si>
  <si>
    <t>B7Z5T4; B7Z793; O95212; Q13230; Q13645; Q5JXI7; Q5M7Y6; Q6IB30; Q9NZ40; Q9UKZ8; Q9Y630</t>
  </si>
  <si>
    <t>SLIM1</t>
  </si>
  <si>
    <t>3D-structure; Acetylation; Alternative splicing; Cytoplasm; Developmental protein; Differentiation; Disease mutation; Emery-Dreifuss muscular dystrophy; Isopeptide bond; LIM domain; Metal-binding; Nucleus; Polymorphism; Repeat; Ubl conjugation; Zinc; Zinc-finger</t>
  </si>
  <si>
    <t>Disease mutation; Emery-Dreifuss muscular dystrophy</t>
  </si>
  <si>
    <t>LIM domain; Repeat; Zinc-finger</t>
  </si>
  <si>
    <t>animal organ morphogenesis {GO:0009887}; cell differentiation {GO:0030154}; muscle organ development {GO:0007517}; negative regulation of cell growth {GO:0030308}; negative regulation of G1/S transition of mitotic cell cycle {GO:2000134}; negative regulation of G2/M transition of mitotic cell cycle {GO:0010972}; positive regulation of potassium ion transport {GO:0043268}; regulation of membrane depolarization {GO:0003254}; regulation of potassium ion transmembrane transporter activity {GO:1901016}</t>
  </si>
  <si>
    <t>cytoplasm {GO:0005737}; cytosol {GO:0005829}; focal adhesion {GO:0005925}; nucleus {GO:0005634}; plasma membrane {GO:0005886}</t>
  </si>
  <si>
    <t>ion channel binding {GO:0044325}; metal ion binding {GO:0046872}</t>
  </si>
  <si>
    <t>Ribose-phosphate pyrophosphokinase 2</t>
  </si>
  <si>
    <t>PPRibP; Phosphoribosyl pyrophosphate synthase II (PRS-II)</t>
  </si>
  <si>
    <t>PRPS2_HUMAN</t>
  </si>
  <si>
    <t>P11908</t>
  </si>
  <si>
    <t>Q0VDH9; Q0VDI0; Q15245; Q2TAK7</t>
  </si>
  <si>
    <t>Alternative splicing; ATP-binding; Kinase; Magnesium; Metal-binding; Nucleotide biosynthesis; Nucleotide-binding; Transferase</t>
  </si>
  <si>
    <t>Nucleotide biosynthesis</t>
  </si>
  <si>
    <t>5-phosphoribose 1-diphosphate biosynthetic process {GO:0006015}; nucleobase-containing compound metabolic process {GO:0006139}; nucleoside metabolic process {GO:0009116}; nucleotide biosynthetic process {GO:0009165}; purine nucleotide biosynthetic process {GO:0006164}; ribonucleoside monophosphate biosynthetic process {GO:0009156}</t>
  </si>
  <si>
    <t>cytoplasm {GO:0005737}; ribose phosphate diphosphokinase complex {GO:0002189}</t>
  </si>
  <si>
    <t>ATP binding {GO:0005524}; identical protein binding {GO:0042802}; kinase activity {GO:0016301}; magnesium ion binding {GO:0000287}; protein homodimerization activity {GO:0042803}; ribose phosphate diphosphokinase activity {GO:0004749}</t>
  </si>
  <si>
    <t>Metabolic intermediate biosynthesis; 5-phospho-alpha-D- ribose 1-diphosphate biosynthesis; 5-phospho-alpha-D-ribose 1- diphosphate from D-ribose 5-phosphate (route I): step 1/1.</t>
  </si>
  <si>
    <t>5-Phosphoribose 1-diphosphate biosynthesis {R-HSA-73843}</t>
  </si>
  <si>
    <t>Glypican-3 beta subunit</t>
  </si>
  <si>
    <t>GTR2-2; Intestinal protein OCI-5; MXR7</t>
  </si>
  <si>
    <t>GPC3_HUMAN</t>
  </si>
  <si>
    <t>P51654</t>
  </si>
  <si>
    <t>C9JLE3; G3V1R0; Q2L880; Q2L882</t>
  </si>
  <si>
    <t>OCI5</t>
  </si>
  <si>
    <t>Alternative splicing; Cell membrane; Disease mutation; Disulfide bond; Glycoprotein; GPI-anchor; Heparan sulfate; Lipoprotein; Membrane; Phosphoprotein; Protease inhibitor; Proteoglycan; Pyrrolidone carboxylic acid; Signal</t>
  </si>
  <si>
    <t>Disulfide bond; GPI-anchor; Glycoprotein; Heparan sulfate; Lipoprotein; Phosphoprotein; Proteoglycan; Pyrrolidone carboxylic acid</t>
  </si>
  <si>
    <t>anatomical structure morphogenesis {GO:0009653}; anterior/posterior axis specification {GO:0009948}; body morphogenesis {GO:0010171}; bone mineralization {GO:0030282}; branching involved in ureteric bud morphogenesis {GO:0001658}; cell migration {GO:0016477}; cell migration involved in gastrulation {GO:0042074}; cell proliferation involved in kidney development {GO:0072111}; cell proliferation involved in metanephros development {GO:0072203}; cellular protein metabolic process {GO:0044267}; coronary vasculature development {GO:0060976}; embryonic hindlimb morphogenesis {GO:0035116}; glycosaminoglycan biosynthetic process {GO:0006024}; glycosaminoglycan catabolic process {GO:0006027}; lung development {GO:0030324}; mesenchymal cell proliferation involved in ureteric bud development {GO:0072138}; mesonephric duct morphogenesis {GO:0072180}; negative regulation of canonical Wnt signaling pathway {GO:0090090}; negative regulation of epithelial cell proliferation {GO:0050680}; negative regulation of growth {GO:0045926}; negative regulation of smoothened signaling pathway {GO:0045879}; osteoclast differentiation {GO:0030316}; positive regulation of BMP signaling pathway {GO:0030513}; positive regulation of canonical Wnt signaling pathway {GO:0090263}; positive regulation of endocytosis {GO:0045807}; positive regulation of glucose import {GO:0046326}; positive regulation of protein catabolic process {GO:0045732}; positive regulation of smoothened signaling pathway {GO:0045880}; positive regulation of Wnt signaling pathway, planar cell polarity pathway {GO:2000096}; post-translational protein modification {GO:0043687}; regulation of canonical Wnt signaling pathway {GO:0060828}; regulation of non-canonical Wnt signaling pathway {GO:2000050}; regulation of protein localization to membrane {GO:1905475}; response to bacterium {GO:0009617}; retinoid metabolic process {GO:0001523}</t>
  </si>
  <si>
    <t>anchored component of plasma membrane {GO:0046658}; cell surface {GO:0009986}; collagen-containing extracellular matrix {GO:0062023}; endoplasmic reticulum lumen {GO:0005788}; extracellular region {GO:0005576}; Golgi lumen {GO:0005796}; intrinsic component of plasma membrane {GO:0031226}; lysosomal lumen {GO:0043202}; plasma membrane {GO:0005886}</t>
  </si>
  <si>
    <t>peptidyl-dipeptidase inhibitor activity {GO:0060422}</t>
  </si>
  <si>
    <t>A tetrasaccharide linker sequence is required for GAG synthesis {R-HSA-1971475}; HS-GAG biosynthesis {R-HSA-2022928}; HS-GAG degradation {R-HSA-2024096}; Defective B4GALT7 causes EDS, progeroid type {R-HSA-3560783}; Defective B3GAT3 causes JDSSDHD {R-HSA-3560801}; Defective EXT2 causes exostoses 2 {R-HSA-3656237}; Defective EXT1 causes exostoses 1, TRPS2 and CHDS {R-HSA-3656253}; Regulation of Insulin-like Growth Factor (IGF) transport and uptake by Insulin-like Growth Factor Binding Proteins (IGFBPs) {R-HSA-381426}; Defective B3GALT6 causes EDSP2 and SEMDJL1 {R-HSA-4420332}; Post-translational protein phosphorylation {R-HSA-8957275}; Retinoid metabolism and transport {R-HSA-975634}</t>
  </si>
  <si>
    <t>V-type proton ATPase subunit S1 (V-ATPase subunit S1)</t>
  </si>
  <si>
    <t>Protein XAP-3; V-ATPase Ac45 subunit; V-ATPase S1 accessory protein; Vacuolar proton pump subunit S1</t>
  </si>
  <si>
    <t>VAS1_HUMAN</t>
  </si>
  <si>
    <t>Q15904</t>
  </si>
  <si>
    <t>A6ZKI4; Q8NBT4; Q9H0C7</t>
  </si>
  <si>
    <t>ATP6IP1; ATP6S1; VATPS1; XAP3</t>
  </si>
  <si>
    <t>ATP-binding; Disease mutation; Endoplasmic reticulum; Glycoprotein; Hydrogen ion transport; Ion transport; Membrane; Nucleotide-binding; Phosphoprotein; Signal; Transmembrane; Transmembrane helix; Transport</t>
  </si>
  <si>
    <t>ATP hydrolysis coupled proton transport {GO:0015991}; cellular iron ion homeostasis {GO:0006879}; cellular response to increased oxygen levels {GO:0036295}; establishment of organelle localization {GO:0051656}; insulin receptor signaling pathway {GO:0008286}; ion transmembrane transport {GO:0034220}; pH reduction {GO:0045851}; positive regulation of bone resorption {GO:0045780}; positive regulation of ERK1 and ERK2 cascade {GO:0070374}; positive regulation of exocytosis {GO:0045921}; positive regulation of osteoblast differentiation {GO:0045669}; positive regulation of osteoclast development {GO:2001206}; proton transmembrane transport {GO:1902600}; regulation of cellular pH {GO:0030641}; transferrin transport {GO:0033572}</t>
  </si>
  <si>
    <t>endoplasmic reticulum membrane {GO:0005789}; endoplasmic reticulum-Golgi intermediate compartment membrane {GO:0033116}; endosome membrane {GO:0010008}; extracellular exosome {GO:0070062}; integral component of membrane {GO:0016021}; plasma membrane proton-transporting V-type ATPase complex {GO:0033181}; proton-transporting two-sector ATPase complex {GO:0016469}; proton-transporting V-type ATPase, V1 domain {GO:0033180}</t>
  </si>
  <si>
    <t>ATP binding {GO:0005524}; proton-transporting ATP synthase activity, rotational mechanism {GO:0046933}; proton-transporting ATPase activity, rotational mechanism {GO:0046961}; Rab GTPase binding {GO:0017137}; transporter activity {GO:0005215}</t>
  </si>
  <si>
    <t>Insulin receptor recycling {R-HSA-77387}; Transferrin endocytosis and recycling {R-HSA-917977}; Ion channel transport {R-HSA-983712}</t>
  </si>
  <si>
    <t>Coagulation factor IXa heavy chain</t>
  </si>
  <si>
    <t>Christmas factor; Plasma thromboplastin component (PTC)</t>
  </si>
  <si>
    <t>FA9_HUMAN</t>
  </si>
  <si>
    <t>P00740</t>
  </si>
  <si>
    <t>A8K9N4; F2RM36; Q5FBE1; Q5JYJ8</t>
  </si>
  <si>
    <t>3D-structure; Alternative splicing; Blood coagulation; Calcium; Cleavage on pair of basic residues; Disease mutation; Disulfide bond; EGF-like domain; Gamma-carboxyglutamic acid; Glycoprotein; Hemophilia; Hemostasis; Hydrolase; Hydroxylation; Magnesium; Metal-binding; Pharmaceutical; Phosphoprotein; Polymorphism; Protease; Repeat; Secreted; Serine protease; Signal; Sulfation; Thrombophilia; Zymogen</t>
  </si>
  <si>
    <t>Disease mutation; Hemophilia; Thrombophilia</t>
  </si>
  <si>
    <t>Cleavage on pair of basic residues; Disulfide bond; Gamma-carboxyglutamic acid; Glycoprotein; Hydroxylation; Phosphoprotein; Sulfation; Zymogen</t>
  </si>
  <si>
    <t>blood coagulation {GO:0007596}; blood coagulation, intrinsic pathway {GO:0007597}; endoplasmic reticulum to Golgi vesicle-mediated transport {GO:0006888}; proteolysis {GO:0006508}; zymogen activation {GO:0031638}</t>
  </si>
  <si>
    <t>collagen-containing extracellular matrix {GO:0062023}; endoplasmic reticulum lumen {GO:0005788}; extracellular exosome {GO:0070062}; extracellular region {GO:0005576}; extracellular space {GO:0005615}; Golgi lumen {GO:0005796}; plasma membrane {GO:0005886}</t>
  </si>
  <si>
    <t>calcium ion binding {GO:0005509}; endopeptidase activity {GO:0004175}; serine-type endopeptidase activity {GO:0004252}</t>
  </si>
  <si>
    <t>Extrinsic Pathway of Fibrin Clot Formation {R-HSA-140834}; Intrinsic Pathway of Fibrin Clot Formation {R-HSA-140837}; Gamma-carboxylation of protein precursors {R-HSA-159740}; Transport of gamma-carboxylated protein precursors from the endoplasmic reticulum to the Golgi apparatus {R-HSA-159763}; Removal of aminoterminal propeptides from gamma-carboxylated proteins {R-HSA-159782}</t>
  </si>
  <si>
    <t>Gap junction beta-1 protein</t>
  </si>
  <si>
    <t>Connexin-32 (Cx32); GAP junction 28 kDa liver protein</t>
  </si>
  <si>
    <t>CXB1_HUMAN</t>
  </si>
  <si>
    <t>P08034</t>
  </si>
  <si>
    <t>B2R8R2; D3DVV2; Q5U0S4</t>
  </si>
  <si>
    <t>CX32</t>
  </si>
  <si>
    <t>3D-structure; Cell junction; Cell membrane; Charcot-Marie-Tooth disease; Dejerine-Sottas syndrome; Disease mutation; Gap junction; Membrane; Neurodegeneration; Neuropathy; Phosphoprotein; Transmembrane; Transmembrane helix</t>
  </si>
  <si>
    <t>Cell junction; Cell membrane; Gap junction; Membrane</t>
  </si>
  <si>
    <t>Charcot-Marie-Tooth disease; Dejerine-Sottas syndrome; Disease mutation; Neurodegeneration; Neuropathy</t>
  </si>
  <si>
    <t>cell-cell signaling {GO:0007267}; epididymis development {GO:1905867}; gap junction assembly {GO:0016264}; nervous system development {GO:0007399}; protein complex oligomerization {GO:0051259}; purine ribonucleotide transport {GO:0015868}</t>
  </si>
  <si>
    <t>connexin complex {GO:0005922}; endoplasmic reticulum membrane {GO:0005789}; integral component of membrane {GO:0016021}; lateral plasma membrane {GO:0016328}</t>
  </si>
  <si>
    <t>gap junction channel activity {GO:0005243}; protein homodimerization activity {GO:0042803}</t>
  </si>
  <si>
    <t>Oligomerization of connexins into connexons {R-HSA-190704}; Transport of connexins along the secretory pathway {R-HSA-190827}; Gap junction assembly {R-HSA-190861}</t>
  </si>
  <si>
    <t>Calcium-activated chloride channel regulator 1</t>
  </si>
  <si>
    <t>Calcium-activated chloride channel family member 1 (hCLCA1); Calcium-activated chloride channel protein 1 (CaCC-1; hCaCC-1)</t>
  </si>
  <si>
    <t>CLCA1_HUMAN</t>
  </si>
  <si>
    <t>A8K7I4</t>
  </si>
  <si>
    <t>B2RAV5; O95151; Q5TDF4; Q9UNF6; Q9UPC6</t>
  </si>
  <si>
    <t>CACC1</t>
  </si>
  <si>
    <t>Autocatalytic cleavage; Calcium; Calcium transport; Cell membrane; Chloride; Glycoprotein; Hydrolase; Ion transport; Membrane; Metal-binding; Metalloprotease; Polymorphism; Protease; Secreted; Signal; Transport; Zinc</t>
  </si>
  <si>
    <t>Calcium; Chloride; Metal-binding; Zinc</t>
  </si>
  <si>
    <t>Autocatalytic cleavage; Glycoprotein</t>
  </si>
  <si>
    <t>calcium ion transport {GO:0006816}; cellular response to hypoxia {GO:0071456}; ion transmembrane transport {GO:0034220}</t>
  </si>
  <si>
    <t>extracellular space {GO:0005615}; integral component of plasma membrane {GO:0005887}; microvillus {GO:0005902}; plasma membrane {GO:0005886}; zymogen granule membrane {GO:0042589}</t>
  </si>
  <si>
    <t>chloride channel activity {GO:0005254}; intracellular calcium activated chloride channel activity {GO:0005229}; metal ion binding {GO:0046872}; metallopeptidase activity {GO:0008237}</t>
  </si>
  <si>
    <t>Renin receptor</t>
  </si>
  <si>
    <t>ATPase H(+)-transporting lysosomal accessory protein 2; ATPase H(+)-transporting lysosomal-interacting protein 2; ER-localized type I transmembrane adaptor; Embryonic liver differentiation factor 10; N14F; Renin/prorenin receptor; Vacuolar ATP synthase membrane sector-associated protein M8-9 (ATP6M8-9; V-ATPase M8.9 subunit)</t>
  </si>
  <si>
    <t>RENR_HUMAN</t>
  </si>
  <si>
    <t>O75787</t>
  </si>
  <si>
    <t>B7Z9I3; Q5QTQ7; Q6T7F5; Q8NBP3; Q8NG15; Q96FV6; Q96LB5; Q9H2P8; Q9UG89</t>
  </si>
  <si>
    <t>ATP6IP2; CAPER; ELDF10</t>
  </si>
  <si>
    <t>3D-structure; Alternative splicing; Epilepsy; Membrane; Mental retardation; Neurodegeneration; Parkinsonism; Phosphoprotein; Polymorphism; Receptor; Signal; Transmembrane; Transmembrane helix</t>
  </si>
  <si>
    <t>Epilepsy; Mental retardation; Neurodegeneration; Parkinsonism</t>
  </si>
  <si>
    <t>angiotensin maturation {GO:0002003}; eye pigmentation {GO:0048069}; head morphogenesis {GO:0060323}; neutrophil degranulation {GO:0043312}; positive regulation of transforming growth factor beta1 production {GO:0032914}; positive regulation of Wnt signaling pathway {GO:0030177}; regulation of MAPK cascade {GO:0043408}; rostrocaudal neural tube patterning {GO:0021903}</t>
  </si>
  <si>
    <t>apical plasma membrane {GO:0016324}; cell body {GO:0044297}; external side of plasma membrane {GO:0009897}; extracellular exosome {GO:0070062}; ficolin-1-rich granule membrane {GO:0101003}; integral component of membrane {GO:0016021}; neuron projection {GO:0043005}; plasma membrane {GO:0005886}; tertiary granule membrane {GO:0070821}</t>
  </si>
  <si>
    <t>Factor VIIIa light chain</t>
  </si>
  <si>
    <t>Antihemophilic factor (AHF); Procoagulant component</t>
  </si>
  <si>
    <t>FA8_HUMAN</t>
  </si>
  <si>
    <t>P00451</t>
  </si>
  <si>
    <t>Q14286; Q5HY69</t>
  </si>
  <si>
    <t>F8C</t>
  </si>
  <si>
    <t>3D-structure; Acute phase; Alternative splicing; Blood coagulation; Calcium; Disease mutation; Disulfide bond; Glycoprotein; Hemophilia; Hemostasis; Metal-binding; Pharmaceutical; Polymorphism; Repeat; Secreted; Signal; Sulfation</t>
  </si>
  <si>
    <t>Disease mutation; Hemophilia</t>
  </si>
  <si>
    <t>acute-phase response {GO:0006953}; blood coagulation {GO:0007596}; blood coagulation, intrinsic pathway {GO:0007597}; COPII vesicle coating {GO:0048208}; endoplasmic reticulum to Golgi vesicle-mediated transport {GO:0006888}; platelet activation {GO:0030168}; platelet degranulation {GO:0002576}</t>
  </si>
  <si>
    <t>COPII-coated ER to Golgi transport vesicle {GO:0030134}; endoplasmic reticulum lumen {GO:0005788}; endoplasmic reticulum-Golgi intermediate compartment membrane {GO:0033116}; extracellular region {GO:0005576}; extracellular space {GO:0005615}; Golgi membrane {GO:0000139}; plasma membrane {GO:0005886}; platelet alpha granule lumen {GO:0031093}</t>
  </si>
  <si>
    <t>copper ion binding {GO:0005507}; oxidoreductase activity {GO:0016491}</t>
  </si>
  <si>
    <t>Platelet degranulation {R-HSA-114608}; Intrinsic Pathway of Fibrin Clot Formation {R-HSA-140837}; Common Pathway of Fibrin Clot Formation {R-HSA-140875}; COPII-mediated vesicle transport {R-HSA-204005}; Cargo concentration in the ER {R-HSA-5694530}</t>
  </si>
  <si>
    <t>Protein LZIC</t>
  </si>
  <si>
    <t>Leucine zipper and CTNNBIP1 domain-containing protein; Leucine zipper and ICAT homologous domain-containing protein</t>
  </si>
  <si>
    <t>LZIC_HUMAN</t>
  </si>
  <si>
    <t>Q8WZA0</t>
  </si>
  <si>
    <t>B2R6F0; B4E2N0; Q96IU1</t>
  </si>
  <si>
    <t>Alternative splicing; Coiled coil; Polymorphism</t>
  </si>
  <si>
    <t>response to ionizing radiation {GO:0010212}</t>
  </si>
  <si>
    <t>beta-catenin binding {GO:0008013}</t>
  </si>
  <si>
    <t>Hypoxanthine-guanine phosphoribosyltransferase (HGPRT; HGPRTase)</t>
  </si>
  <si>
    <t>HPRT_HUMAN</t>
  </si>
  <si>
    <t>P00492</t>
  </si>
  <si>
    <t>A6NHF0; B2R8M9</t>
  </si>
  <si>
    <t>HPRT</t>
  </si>
  <si>
    <t>3D-structure; Acetylation; Cytoplasm; Disease mutation; Glycosyltransferase; Gout; Isopeptide bond; Magnesium; Metal-binding; Nucleotide-binding; Phosphoprotein; Purine salvage; Transferase; Ubl conjugation</t>
  </si>
  <si>
    <t>Disease mutation; Gout</t>
  </si>
  <si>
    <t>adenine salvage {GO:0006168}; central nervous system neuron development {GO:0021954}; cerebral cortex neuron differentiation {GO:0021895}; dendrite morphogenesis {GO:0048813}; dopamine metabolic process {GO:0042417}; GMP catabolic process {GO:0046038}; GMP salvage {GO:0032263}; grooming behavior {GO:0007625}; guanine salvage {GO:0006178}; hypoxanthine metabolic process {GO:0046100}; hypoxanthine salvage {GO:0043103}; IMP metabolic process {GO:0046040}; IMP salvage {GO:0032264}; locomotory behavior {GO:0007626}; lymphocyte proliferation {GO:0046651}; positive regulation of dopamine metabolic process {GO:0045964}; protein homotetramerization {GO:0051289}; purine nucleotide biosynthetic process {GO:0006164}; purine ribonucleoside salvage {GO:0006166}; purine-containing compound salvage {GO:0043101}; response to amphetamine {GO:0001975}; striatum development {GO:0021756}; T cell mediated cytotoxicity {GO:0001913}</t>
  </si>
  <si>
    <t>guanine phosphoribosyltransferase activity {GO:0052657}; hypoxanthine phosphoribosyltransferase activity {GO:0004422}; identical protein binding {GO:0042802}; magnesium ion binding {GO:0000287}; nucleotide binding {GO:0000166}; protein homodimerization activity {GO:0042803}</t>
  </si>
  <si>
    <t>Purine metabolism; IMP biosynthesis via salvage pathway; IMP from hypoxanthine: step 1/1.</t>
  </si>
  <si>
    <t>RNA-binding motif protein, X chromosome, N-terminally processed</t>
  </si>
  <si>
    <t>Glycoprotein p43; Heterogeneous nuclear ribonucleoprotein G (hnRNP G)</t>
  </si>
  <si>
    <t>RBMX_HUMAN</t>
  </si>
  <si>
    <t>P38159</t>
  </si>
  <si>
    <t>B4E3U4; D3DWH0; E9PG86; Q5JQ67; Q8N8Y7; Q969R3</t>
  </si>
  <si>
    <t>HNRPG; RBMXP1</t>
  </si>
  <si>
    <t>3D-structure; Acetylation; Activator; Alternative splicing; Glycoprotein; Isopeptide bond; Mental retardation; Methylation; mRNA processing; mRNA splicing; Nucleus; Phosphoprotein; Repressor; Ribonucleoprotein; RNA-binding; Spliceosome; Transcription; Tumor suppressor; Ubl conjugation</t>
  </si>
  <si>
    <t>Transcription; mRNA processing; mRNA splicing</t>
  </si>
  <si>
    <t>Mental retardation; Tumor suppressor</t>
  </si>
  <si>
    <t>Activator; RNA-binding; Repressor; Ribonucleoprotein</t>
  </si>
  <si>
    <t>cellular response to interleukin-1 {GO:0071347}; membrane protein ectodomain proteolysis {GO:0006509}; mRNA splicing, via spliceosome {GO:0000398}; negative regulation of mRNA splicing, via spliceosome {GO:0048025}; osteoblast differentiation {GO:0001649}; positive regulation of mRNA splicing, via spliceosome {GO:0048026}; positive regulation of transcription by RNA polymerase II {GO:0045944}; protein complex oligomerization {GO:0051259}; protein homooligomerization {GO:0051260}; regulation of alternative mRNA splicing, via spliceosome {GO:0000381}; RNA metabolic process {GO:0016070}; transcription by RNA polymerase II {GO:0006366}</t>
  </si>
  <si>
    <t>catalytic step 2 spliceosome {GO:0071013}; extracellular exosome {GO:0070062}; extracellular space {GO:0005615}; membrane {GO:0016020}; nuclear euchromatin {GO:0005719}; nucleoplasm {GO:0005654}; nucleus {GO:0005634}; ribonucleoprotein complex {GO:1990904}; spliceosomal complex {GO:0005681}; supraspliceosomal complex {GO:0044530}</t>
  </si>
  <si>
    <t>chromatin binding {GO:0003682}; identical protein binding {GO:0042802}; mRNA binding {GO:0003729}; protein domain specific binding {GO:0019904}; RNA binding {GO:0003723}; RNA polymerase II proximal promoter sequence-specific DNA binding {GO:0000978}</t>
  </si>
  <si>
    <t>Adenylate kinase 2, mitochondrial, N-terminally processed</t>
  </si>
  <si>
    <t>ATP-AMP transphosphorylase 2; ATP:AMP phosphotransferase; Adenylate monophosphate kinase</t>
  </si>
  <si>
    <t>KAD2_HUMAN</t>
  </si>
  <si>
    <t>P54819</t>
  </si>
  <si>
    <t>A8K6L1; B4DHH7; B4DL64; Q16856; Q5EB54; Q5TIF7; Q8TCY2; Q8TCY3</t>
  </si>
  <si>
    <t>ADK2</t>
  </si>
  <si>
    <t>3D-structure; Acetylation; Alternative splicing; ATP-binding; Disease mutation; Disulfide bond; Kinase; Mitochondrion; Nucleotide-binding; Phosphoprotein; Polymorphism; SCID; Transferase</t>
  </si>
  <si>
    <t>Disease mutation; SCID</t>
  </si>
  <si>
    <t>ADP biosynthetic process {GO:0006172}; AMP metabolic process {GO:0046033}; ATP metabolic process {GO:0046034}; nucleobase-containing small molecule interconversion {GO:0015949}</t>
  </si>
  <si>
    <t>extracellular exosome {GO:0070062}; mitochondrial intermembrane space {GO:0005758}; sperm mitochondrial sheath {GO:0097226}</t>
  </si>
  <si>
    <t>adenylate kinase activity {GO:0004017}; ATP binding {GO:0005524}</t>
  </si>
  <si>
    <t>Collectrin</t>
  </si>
  <si>
    <t>Transmembrane protein 27</t>
  </si>
  <si>
    <t>CLTRN_HUMAN</t>
  </si>
  <si>
    <t>Q9HBJ8</t>
  </si>
  <si>
    <t>B2R9M1; Q6UW07</t>
  </si>
  <si>
    <t>Cell membrane; Glycoprotein; Membrane; Phosphoprotein; Signal; Transmembrane; Transmembrane helix</t>
  </si>
  <si>
    <t>positive regulation of calcium ion-dependent exocytosis {GO:0045956}; positive regulation of insulin secretion involved in cellular response to glucose stimulus {GO:0035774}; positive regulation of SNARE complex assembly {GO:0035543}</t>
  </si>
  <si>
    <t>cytoplasm {GO:0005737}; extracellular exosome {GO:0070062}; integral component of membrane {GO:0016021}; plasma membrane {GO:0005886}</t>
  </si>
  <si>
    <t>metallopeptidase activity {GO:0008237}; peptidyl-dipeptidase activity {GO:0008241}; protein homodimerization activity {GO:0042803}</t>
  </si>
  <si>
    <t>Insulin processing {R-HSA-264876}</t>
  </si>
  <si>
    <t>40S ribosomal protein S4, X isoform</t>
  </si>
  <si>
    <t>SCR10; Single copy abundant mRNA protein; Small ribosomal subunit protein eS4</t>
  </si>
  <si>
    <t>RS4X_HUMAN</t>
  </si>
  <si>
    <t>P62701</t>
  </si>
  <si>
    <t>P12631; P12750; P27576; P55831; Q14727; Q6IPY4</t>
  </si>
  <si>
    <t>CCG2; RPS4; SCAR</t>
  </si>
  <si>
    <t>multicellular organism development {GO:0007275}; nuclear-transcribed mRNA catabolic process, nonsense-mediated decay {GO:0000184}; positive regulation of cell population proliferation {GO:0008284}; positive regulation of translation {GO:0045727}; SRP-dependent cotranslational protein targeting to membrane {GO:0006614}; translation {GO:0006412}; translational initiation {GO:0006413}; viral transcription {GO:0019083}</t>
  </si>
  <si>
    <t>cytoplasmic ribonucleoprotein granule {GO:0036464}; cytosol {GO:0005829}; cytosolic small ribosomal subunit {GO:0022627}; extracellular exosome {GO:0070062}; focal adhesion {GO:0005925}; membrane {GO:0016020}; nucleoplasm {GO:0005654}; polysome {GO:0005844}; ribonucleoprotein complex {GO:1990904}; ribosome {GO:0005840}; small ribosomal subunit {GO:0015935}; synapse {GO:0045202}</t>
  </si>
  <si>
    <t>RNA binding {GO:0003723}; rRNA binding {GO:0019843}; structural constituent of ribosome {GO:0003735}</t>
  </si>
  <si>
    <t>Adenylyl cyclase-associated protein 1 (CAP 1)</t>
  </si>
  <si>
    <t>CAP1_HUMAN</t>
  </si>
  <si>
    <t>Q01518</t>
  </si>
  <si>
    <t>Q53HR7; Q5T0S1; Q5T0S2; Q6I9U6</t>
  </si>
  <si>
    <t>CAP</t>
  </si>
  <si>
    <t>3D-structure; Acetylation; Actin-binding; Alternative splicing; Cell membrane; Isopeptide bond; Membrane; Methylation; Phosphoprotein; Polymorphism; Ubl conjugation</t>
  </si>
  <si>
    <t>actin polymerization or depolymerization {GO:0008154}; activation of adenylate cyclase activity {GO:0007190}; ameboidal-type cell migration {GO:0001667}; cell morphogenesis {GO:0000902}; establishment or maintenance of cell polarity {GO:0007163}; neutrophil degranulation {GO:0043312}; receptor-mediated endocytosis {GO:0006898}; signal transduction {GO:0007165}</t>
  </si>
  <si>
    <t>azurophil granule lumen {GO:0035578}; cortical actin cytoskeleton {GO:0030864}; extracellular exosome {GO:0070062}; extracellular region {GO:0005576}; focal adhesion {GO:0005925}; plasma membrane {GO:0005886}</t>
  </si>
  <si>
    <t>actin binding {GO:0003779}; adenylate cyclase binding {GO:0008179}</t>
  </si>
  <si>
    <t>Platelet degranulation {R-HSA-114608}; Role of ABL in ROBO-SLIT signaling {R-HSA-428890}; Neutrophil degranulation {R-HSA-6798695}</t>
  </si>
  <si>
    <t>Non-POU domain-containing octamer-binding protein (NonO protein)</t>
  </si>
  <si>
    <t>54 kDa nuclear RNA- and DNA-binding protein; 55 kDa nuclear protein; DNA-binding p52/p100 complex, 52 kDa subunit; NMT55; p54(nrb) (p54nrb)</t>
  </si>
  <si>
    <t>NONO_HUMAN</t>
  </si>
  <si>
    <t>Q15233</t>
  </si>
  <si>
    <t>B7Z4C2; D3DVV4; F5GYZ3; O00201; P30807; Q12786; Q9BQC5</t>
  </si>
  <si>
    <t>NRB54</t>
  </si>
  <si>
    <t>3D-structure; Acetylation; Activator; Alternative splicing; Biological rhythms; Chromosomal rearrangement; Coiled coil; DNA damage; DNA recombination; DNA repair; DNA-binding; Immunity; Innate immunity; Isopeptide bond; Mental retardation; Methylation; mRNA processing; mRNA splicing; Nucleus; Phosphoprotein; Repeat; Repressor; RNA-binding; Transcription; Transcription regulation; Ubl conjugation</t>
  </si>
  <si>
    <t>activation of innate immune response {GO:0002218}; circadian rhythm {GO:0007623}; DNA recombination {GO:0006310}; DNA repair {GO:0006281}; innate immune response {GO:0045087}; mRNA processing {GO:0006397}; negative regulation of oxidative stress-induced neuron intrinsic apoptotic signaling pathway {GO:1903377}; negative regulation of transcription, DNA-templated {GO:0045892}; regulation of circadian rhythm {GO:0042752}; RNA splicing {GO:0008380}</t>
  </si>
  <si>
    <t>membrane {GO:0016020}; nuclear matrix {GO:0016363}; nuclear speck {GO:0016607}; nucleolus {GO:0005730}; nucleoplasm {GO:0005654}; nucleus {GO:0005634}; paraspeckles {GO:0042382}; RNA polymerase II transcription factor complex {GO:0090575}</t>
  </si>
  <si>
    <t>chromatin binding {GO:0003682}; DNA-binding transcription factor activity, RNA polymerase II-specific {GO:0000981}; E-box binding {GO:0070888}; identical protein binding {GO:0042802}; RNA binding {GO:0003723}; RNA polymerase II distal enhancer sequence-specific DNA binding {GO:0000980}; transcription regulatory region sequence-specific DNA binding {GO:0000976}</t>
  </si>
  <si>
    <t>KH domain-containing, RNA-binding, signal transduction-associated protein 1</t>
  </si>
  <si>
    <t>GAP-associated tyrosine phosphoprotein p62; Src-associated in mitosis 68 kDa protein (Sam68); p21 Ras GTPase-activating protein-associated p62; p68</t>
  </si>
  <si>
    <t>KHDR1_HUMAN</t>
  </si>
  <si>
    <t>Q07666</t>
  </si>
  <si>
    <t>D3DPP3; Q6PJX7; Q8NB97; Q99760</t>
  </si>
  <si>
    <t>3D-structure; Acetylation; Alternative splicing; Cell cycle; Cytoplasm; Isopeptide bond; Membrane; Methylation; mRNA processing; Nucleus; Phosphoprotein; RNA-binding; SH3-binding; Transcription; Transcription regulation; Ubl conjugation</t>
  </si>
  <si>
    <t>Cell cycle; Transcription; Transcription regulation; mRNA processing</t>
  </si>
  <si>
    <t>cell surface receptor signaling pathway {GO:0007166}; G1/S transition of mitotic cell cycle {GO:0000082}; G2/M transition of mitotic cell cycle {GO:0000086}; mRNA processing {GO:0006397}; negative regulation of transcription, DNA-templated {GO:0045892}; positive regulation of RNA export from nucleus {GO:0046833}; positive regulation of translational initiation {GO:0045948}; protein complex oligomerization {GO:0051259}; regulation of alternative mRNA splicing, via spliceosome {GO:0000381}; regulation of mRNA splicing, via spliceosome {GO:0048024}; regulation of RNA export from nucleus {GO:0046831}; spermatogenesis {GO:0007283}</t>
  </si>
  <si>
    <t>cytoplasm {GO:0005737}; cytosol {GO:0005829}; Grb2-Sos complex {GO:0070618}; membrane {GO:0016020}; nucleoplasm {GO:0005654}; nucleus {GO:0005634}</t>
  </si>
  <si>
    <t>DNA binding {GO:0003677}; identical protein binding {GO:0042802}; poly(A) binding {GO:0008143}; poly(U) RNA binding {GO:0008266}; protein domain specific binding {GO:0019904}; protein-containing complex binding {GO:0044877}; RNA binding {GO:0003723}; SH3 domain binding {GO:0017124}; SH3/SH2 adaptor activity {GO:0005070}</t>
  </si>
  <si>
    <t>Rab GDP dissociation inhibitor alpha (Rab GDI alpha)</t>
  </si>
  <si>
    <t>Guanosine diphosphate dissociation inhibitor 1 (GDI-1); Oligophrenin-2; Protein XAP-4</t>
  </si>
  <si>
    <t>GDIA_HUMAN</t>
  </si>
  <si>
    <t>P31150</t>
  </si>
  <si>
    <t>P50394; Q6FG50; Q7Z2G6; Q7Z2G9; Q7Z2H5; Q7Z2I6</t>
  </si>
  <si>
    <t>GDIL; OPHN2; RABGDIA; XAP4</t>
  </si>
  <si>
    <t>Cytoplasm; Disease mutation; Golgi apparatus; GTPase activation; Mental retardation</t>
  </si>
  <si>
    <t>negative regulation of axonogenesis {GO:0050771}; negative regulation of protein targeting to membrane {GO:0090315}; positive regulation of axon extension {GO:0045773}; protein transport {GO:0015031}; Rab protein signal transduction {GO:0032482}; regulation of small GTPase mediated signal transduction {GO:0051056}; response to calcium ion {GO:0051592}; signal transduction {GO:0007165}; vesicle-mediated transport {GO:0016192}</t>
  </si>
  <si>
    <t>axon {GO:0030424}; cytoplasm {GO:0005737}; cytosol {GO:0005829}; Golgi apparatus {GO:0005794}; midbody {GO:0030496}; myelin sheath {GO:0043209}; neuronal cell body {GO:0043025}; protein-containing complex {GO:0032991}</t>
  </si>
  <si>
    <t>GDP-dissociation inhibitor activity {GO:0005092}; GTPase activator activity {GO:0005096}; Rab GDP-dissociation inhibitor activity {GO:0005093}; Rab GTPase binding {GO:0017137}</t>
  </si>
  <si>
    <t>Rho GTPase cycle {R-HSA-194840}; RAB GEFs exchange GTP for GDP on RABs {R-HSA-8876198}</t>
  </si>
  <si>
    <t>Tumor necrosis factor receptor superfamily member 27</t>
  </si>
  <si>
    <t>X-linked ectodysplasin-A2 receptor (EDA-A2 receptor)</t>
  </si>
  <si>
    <t>TNR27_HUMAN</t>
  </si>
  <si>
    <t>Q9HAV5</t>
  </si>
  <si>
    <t>Q5VYX9; Q5VYY0; Q6UWM2; Q8IZA6</t>
  </si>
  <si>
    <t>TNFRSF27; XEDAR</t>
  </si>
  <si>
    <t>Alternative splicing; Developmental protein; Differentiation; Disulfide bond; Glycoprotein; Membrane; Polymorphism; Receptor; Repeat; Transmembrane; Transmembrane helix</t>
  </si>
  <si>
    <t>ectodermal cell differentiation {GO:0010668}; epidermis development {GO:0008544}; intrinsic apoptotic signaling pathway by p53 class mediator {GO:0072332}; multicellular organism development {GO:0007275}; positive regulation of I-kappaB kinase/NF-kappaB signaling {GO:0043123}; positive regulation of JNK cascade {GO:0046330}; positive regulation of NF-kappaB transcription factor activity {GO:0051092}; tumor necrosis factor-mediated signaling pathway {GO:0033209}</t>
  </si>
  <si>
    <t>integral component of membrane {GO:0016021}; integral component of plasma membrane {GO:0005887}; plasma membrane {GO:0005886}</t>
  </si>
  <si>
    <t>signaling receptor activity {GO:0038023}; tumor necrosis factor-activated receptor activity {GO:0005031}</t>
  </si>
  <si>
    <t>Arylsulfatase F (ASF)</t>
  </si>
  <si>
    <t>ARSF_HUMAN</t>
  </si>
  <si>
    <t>P54793</t>
  </si>
  <si>
    <t>Q8TCC5</t>
  </si>
  <si>
    <t>Calcium; Glycoprotein; Hydrolase; Metal-binding; Polymorphism; Secreted; Signal</t>
  </si>
  <si>
    <t>endoplasmic reticulum lumen {GO:0005788}; extracellular exosome {GO:0070062}</t>
  </si>
  <si>
    <t>arylsulfatase activity {GO:0004065}; metal ion binding {GO:0046872}</t>
  </si>
  <si>
    <t>Pirin</t>
  </si>
  <si>
    <t>Probable quercetin 2,3-dioxygenase PIR (Probable quercetinase)</t>
  </si>
  <si>
    <t>PIR_HUMAN</t>
  </si>
  <si>
    <t>O00625</t>
  </si>
  <si>
    <t>Q5U0G0; Q6FHD2</t>
  </si>
  <si>
    <t>3D-structure; Cytoplasm; Dioxygenase; Iron; Metal-binding; Nucleus; Oxidoreductase; Polymorphism; Transcription; Transcription regulation</t>
  </si>
  <si>
    <t>digestion {GO:0007586}; monocyte differentiation {GO:0030224}; transcription by RNA polymerase II {GO:0006366}</t>
  </si>
  <si>
    <t>cytoplasm {GO:0005737}; cytosol {GO:0005829}; nucleoplasm {GO:0005654}; nucleus {GO:0005634}</t>
  </si>
  <si>
    <t>metal ion binding {GO:0046872}; quercetin 2,3-dioxygenase activity {GO:0008127}; transcription coregulator activity {GO:0003712}</t>
  </si>
  <si>
    <t>Flavonoid metabolism; quercetin degradation.</t>
  </si>
  <si>
    <t>3-hydroxyacyl-CoA dehydrogenase type-2</t>
  </si>
  <si>
    <t>17-beta-hydroxysteroid dehydrogenase 10 (17-beta-HSD 10); 2-methyl-3-hydroxybutyryl-CoA dehydrogenase (MHBD); 3-hydroxy-2-methylbutyryl-CoA dehydrogenase; 3-hydroxyacyl-CoA dehydrogenase type II; Endoplasmic reticulum-associated amyloid beta-peptide-binding protein; Mitochondrial ribonuclease P protein 2 (Mitochondrial RNase P protein 2); Short chain dehydrogenase/reductase family 5C member 1; Short-chain type dehydrogenase/reductase XH98G2; Type II HADH</t>
  </si>
  <si>
    <t>HCD2_HUMAN</t>
  </si>
  <si>
    <t>Q99714</t>
  </si>
  <si>
    <t>Q5H927; Q6IBS9; Q8TCV9; Q96HD5</t>
  </si>
  <si>
    <t>ERAB; HADH2; MRPP2; SCHAD; SDR5C1; XH98G2</t>
  </si>
  <si>
    <t>3D-structure; Acetylation; Alternative splicing; Chromosomal rearrangement; Disease mutation; Mental retardation; Mitochondrion; NAD; Neurodegeneration; Oxidoreductase; tRNA processing</t>
  </si>
  <si>
    <t>Disease mutation; Mental retardation; Neurodegeneration</t>
  </si>
  <si>
    <t>branched-chain amino acid catabolic process {GO:0009083}; lipid metabolic process {GO:0006629}; mitochondrial tRNA 3'-end processing {GO:1990180}; mitochondrial tRNA 5'-end processing {GO:0097745}; mitochondrial tRNA methylation {GO:0070901}; mitochondrial tRNA processing {GO:0090646}; mitochondrion organization {GO:0007005}; protein homotetramerization {GO:0051289}</t>
  </si>
  <si>
    <t>cytoplasm {GO:0005737}; mitochondrial matrix {GO:0005759}; mitochondrial ribonuclease P complex {GO:0030678}; mitochondrion {GO:0005739}; plasma membrane {GO:0005886}</t>
  </si>
  <si>
    <t>3-hydroxy-2-methylbutyryl-CoA dehydrogenase activity {GO:0047015}; 3-hydroxyacyl-CoA dehydrogenase activity {GO:0003857}; cholate 7-alpha-dehydrogenase activity {GO:0008709}; dihydrotestosterone 17-beta-dehydrogenase activity {GO:0035410}; RNA binding {GO:0003723}; testosterone dehydrogenase [NAD(P)] activity {GO:0030283}; tRNA binding {GO:0000049}</t>
  </si>
  <si>
    <t>tRNA processing in the mitochondrion {R-HSA-6785470}; tRNA modification in the mitochondrion {R-HSA-6787450}; Branched-chain amino acid catabolism {R-HSA-70895}; rRNA processing in the mitochondrion {R-HSA-8868766}</t>
  </si>
  <si>
    <t>ADP/ATP translocase 3, N-terminally processed</t>
  </si>
  <si>
    <t>ADP,ATP carrier protein 3; ADP,ATP carrier protein, isoform T2 (ANT 2); Adenine nucleotide translocator 3 (ANT 3); Solute carrier family 25 member 6</t>
  </si>
  <si>
    <t>ADT3_HUMAN</t>
  </si>
  <si>
    <t>P12236</t>
  </si>
  <si>
    <t>Q96C49</t>
  </si>
  <si>
    <t>ANT3</t>
  </si>
  <si>
    <t>Acetylation; Apoptosis; Host-virus interaction; Membrane; Methylation; Mitochondrion; Mitochondrion inner membrane; Polymorphism; Repeat; Transmembrane; Transmembrane helix; Transport</t>
  </si>
  <si>
    <t>Apoptosis; Host-virus interaction; Transport</t>
  </si>
  <si>
    <t>active induction of host immune response by virus {GO:0046732}; apoptotic process {GO:0006915}; protein targeting to mitochondrion {GO:0006626}; regulation of insulin secretion {GO:0050796}</t>
  </si>
  <si>
    <t>integral component of membrane {GO:0016021}; mitochondrial inner membrane {GO:0005743}; mitochondrion {GO:0005739}; nucleus {GO:0005634}; TIM23 mitochondrial import inner membrane translocase complex {GO:0005744}</t>
  </si>
  <si>
    <t>ATP:ADP antiporter activity {GO:0005471}</t>
  </si>
  <si>
    <t>Mitochondrial protein import {R-HSA-1268020}; Influenza Virus Induced Apoptosis {R-HSA-168277}; Vpr-mediated induction of apoptosis by mitochondrial outer membrane permeabilization {R-HSA-180897}; Transport of nucleosides and free purine and pyrimidine bases across the plasma membrane {R-HSA-83936}</t>
  </si>
  <si>
    <t>Plastin-3</t>
  </si>
  <si>
    <t>T-plastin</t>
  </si>
  <si>
    <t>PLST_HUMAN</t>
  </si>
  <si>
    <t>P13797</t>
  </si>
  <si>
    <t>A8K579; B1AQ09; B4DGB4; B7Z6M1; Q86YI6</t>
  </si>
  <si>
    <t>3D-structure; Actin-binding; Alternative splicing; Calcium; Cytoplasm; Disease mutation; Metal-binding; Phosphoprotein; Polymorphism; Repeat</t>
  </si>
  <si>
    <t>actin filament bundle assembly {GO:0051017}; actin filament network formation {GO:0051639}; bone development {GO:0060348}</t>
  </si>
  <si>
    <t>actin filament {GO:0005884}; actin filament bundle {GO:0032432}; cytoplasm {GO:0005737}; cytosol {GO:0005829}; plasma membrane {GO:0005886}</t>
  </si>
  <si>
    <t>actin filament binding {GO:0051015}; calcium ion binding {GO:0005509}</t>
  </si>
  <si>
    <t>SLIT and NTRK-like protein 4</t>
  </si>
  <si>
    <t>SLIK4_HUMAN</t>
  </si>
  <si>
    <t>Q8IW52</t>
  </si>
  <si>
    <t>Q5JXG3; Q8TCM8; Q96DL3</t>
  </si>
  <si>
    <t>Cell membrane; Glycoprotein; Leucine-rich repeat; Membrane; Polymorphism; Repeat; Signal; Transmembrane; Transmembrane helix</t>
  </si>
  <si>
    <t>axonogenesis {GO:0007409}; positive regulation of synapse assembly {GO:0051965}; regulation of synapse organization {GO:0050807}</t>
  </si>
  <si>
    <t>glutamatergic synapse {GO:0098978}; integral component of membrane {GO:0016021}; plasma membrane {GO:0005886}</t>
  </si>
  <si>
    <t>Receptor-type tyrosine-protein phosphatases {R-HSA-388844}</t>
  </si>
  <si>
    <t>Sorting nexin-12</t>
  </si>
  <si>
    <t>SNX12_HUMAN</t>
  </si>
  <si>
    <t>Q9UMY4</t>
  </si>
  <si>
    <t>F8W8K5; Q8WUG9</t>
  </si>
  <si>
    <t>3D-structure; Acetylation; Alternative splicing; Lipid-binding; Membrane; Phosphoprotein; Protein transport; Transport</t>
  </si>
  <si>
    <t>negative regulation of early endosome to late endosome transport {GO:2000642}; negative regulation of gene expression {GO:0010629}; negative regulation of protein catabolic process {GO:0042177}; negative regulation of protein processing {GO:0010955}; negative regulation of protein transport {GO:0051224}; protein transport {GO:0015031}; regulation of endocytosis {GO:0030100}</t>
  </si>
  <si>
    <t>early endosome {GO:0005769}; membrane {GO:0016020}</t>
  </si>
  <si>
    <t>enzyme binding {GO:0019899}; phosphatidylinositol binding {GO:0035091}</t>
  </si>
  <si>
    <t>CTP synthase 2</t>
  </si>
  <si>
    <t>CTP synthetase 2; UTP--ammonia ligase 2</t>
  </si>
  <si>
    <t>PYRG2_HUMAN</t>
  </si>
  <si>
    <t>Q9NRF8</t>
  </si>
  <si>
    <t>B3KWM2; Q9BRI0; Q9H809; Q9H8K9</t>
  </si>
  <si>
    <t>3D-structure; ATP-binding; Glutamine amidotransferase; Ligase; Nucleotide-binding; Phosphoprotein; Pyrimidine biosynthesis</t>
  </si>
  <si>
    <t>Glutamine amidotransferase</t>
  </si>
  <si>
    <t>'de novo' CTP biosynthetic process {GO:0044210}; CTP biosynthetic process {GO:0006241}; glutamine metabolic process {GO:0006541}; nucleobase-containing small molecule interconversion {GO:0015949}; pyrimidine nucleobase biosynthetic process {GO:0019856}; pyrimidine nucleotide metabolic process {GO:0006220}</t>
  </si>
  <si>
    <t>cytoophidium {GO:0097268}; cytoplasm {GO:0005737}; cytosol {GO:0005829}</t>
  </si>
  <si>
    <t>ATP binding {GO:0005524}; CTP synthase activity {GO:0003883}; identical protein binding {GO:0042802}</t>
  </si>
  <si>
    <t>Pyrimidine metabolism; CTP biosynthesis via de novo pathway; CTP from UDP: step 2/2.</t>
  </si>
  <si>
    <t>Proteolipid protein 2</t>
  </si>
  <si>
    <t>Differentiation-dependent protein A4; Intestinal membrane A4 protein</t>
  </si>
  <si>
    <t>PLP2_HUMAN</t>
  </si>
  <si>
    <t>Q04941</t>
  </si>
  <si>
    <t>A6NDT7; Q32MM8</t>
  </si>
  <si>
    <t>A4</t>
  </si>
  <si>
    <t>chemotaxis {GO:0006935}; cytokine-mediated signaling pathway {GO:0019221}; ion transport {GO:0006811}</t>
  </si>
  <si>
    <t>endoplasmic reticulum {GO:0005783}; endoplasmic reticulum membrane {GO:0005789}; integral component of membrane {GO:0016021}; membrane {GO:0016020}; plasma membrane {GO:0005886}</t>
  </si>
  <si>
    <t>chemokine binding {GO:0019956}; ion transmembrane transporter activity {GO:0015075}</t>
  </si>
  <si>
    <t>N-alpha-acetyltransferase 10</t>
  </si>
  <si>
    <t>N-terminal acetyltransferase complex ARD1 subunit homolog A (hARD1); NatA catalytic subunit Naa10</t>
  </si>
  <si>
    <t>NAA10_HUMAN</t>
  </si>
  <si>
    <t>P41227</t>
  </si>
  <si>
    <t>A6NM98</t>
  </si>
  <si>
    <t>ARD1; ARD1A; TE2</t>
  </si>
  <si>
    <t>3D-structure; Acetylation; Acyltransferase; Alternative splicing; Cytoplasm; Disease mutation; Microphthalmia; Nucleus; Phosphoprotein; Transferase</t>
  </si>
  <si>
    <t>DNA packaging {GO:0006323}; internal protein amino acid acetylation {GO:0006475}; N-terminal peptidyl-glutamic acid acetylation {GO:0018002}; N-terminal peptidyl-serine acetylation {GO:0017198}; N-terminal protein amino acid acetylation {GO:0006474}; negative regulation of maintenance of mitotic sister chromatid cohesion, centromeric {GO:2000719}; protein acetylation {GO:0006473}</t>
  </si>
  <si>
    <t>cytoplasm {GO:0005737}; cytosol {GO:0005829}; intracellular {GO:0005622}; membrane {GO:0016020}; NatA complex {GO:0031415}; nucleolus {GO:0005730}; nucleus {GO:0005634}</t>
  </si>
  <si>
    <t>N-acetyltransferase activity {GO:0008080}; peptide alpha-N-acetyltransferase activity {GO:0004596}; peptide-glutamate-N-acetyltransferase activity {GO:1990190}; peptide-serine-N-acetyltransferase activity {GO:1990189}</t>
  </si>
  <si>
    <t>Ephrin-B1 intracellular domain</t>
  </si>
  <si>
    <t>EFL-3; ELK ligand (ELK-L); EPH-related receptor tyrosine kinase ligand 2 (LERK-2; Ephrin-B1 CTF; Ephrin-B1 ICD)</t>
  </si>
  <si>
    <t>EFNB1_HUMAN</t>
  </si>
  <si>
    <t>P98172</t>
  </si>
  <si>
    <t>D3DVU0</t>
  </si>
  <si>
    <t>EFL3; EPLG2; LERK2</t>
  </si>
  <si>
    <t>Cell membrane; Craniosynostosis; Developmental protein; Differentiation; Disease mutation; Disulfide bond; Glycoprotein; Membrane; Neurogenesis; Nucleus; Phosphoprotein; Polymorphism; Signal; Transmembrane; Transmembrane helix</t>
  </si>
  <si>
    <t>Craniosynostosis; Disease mutation</t>
  </si>
  <si>
    <t>axon guidance {GO:0007411}; cell adhesion {GO:0007155}; cell-cell signaling {GO:0007267}; embryonic pattern specification {GO:0009880}; ephrin receptor signaling pathway {GO:0048013}; neural crest cell migration {GO:0001755}; positive regulation of T cell proliferation {GO:0042102}; T cell costimulation {GO:0031295}</t>
  </si>
  <si>
    <t>cytoplasm {GO:0005737}; extracellular exosome {GO:0070062}; integral component of plasma membrane {GO:0005887}; membrane raft {GO:0045121}; nucleus {GO:0005634}; plasma membrane {GO:0005886}; synapse {GO:0045202}</t>
  </si>
  <si>
    <t>Secreted glypican-4</t>
  </si>
  <si>
    <t>K-glypican</t>
  </si>
  <si>
    <t>GPC4_HUMAN</t>
  </si>
  <si>
    <t>O75487</t>
  </si>
  <si>
    <t>B2R6J7; B4E2C0; Q6ZMA6; Q96L43; Q9NU08; Q9UJN1; Q9UPD9</t>
  </si>
  <si>
    <t>Alternative splicing; Cell membrane; Glycoprotein; GPI-anchor; Heparan sulfate; Lipoprotein; Membrane; Phosphoprotein; Polymorphism; Proteoglycan; Secreted; Signal</t>
  </si>
  <si>
    <t>GPI-anchor; Glycoprotein; Heparan sulfate; Lipoprotein; Phosphoprotein; Proteoglycan</t>
  </si>
  <si>
    <t>cell migration {GO:0016477}; glycosaminoglycan biosynthetic process {GO:0006024}; glycosaminoglycan catabolic process {GO:0006027}; regulation of neurotransmitter receptor localization to postsynaptic specialization membrane {GO:0098696}; regulation of presynapse assembly {GO:1905606}; regulation of protein localization to membrane {GO:1905475}; regulation of signal transduction {GO:0009966}; retinoid metabolic process {GO:0001523}; synaptic membrane adhesion {GO:0099560}</t>
  </si>
  <si>
    <t>anchored component of presynaptic membrane {GO:0099026}; cell surface {GO:0009986}; collagen-containing extracellular matrix {GO:0062023}; external side of plasma membrane {GO:0009897}; extracellular exosome {GO:0070062}; extracellular region {GO:0005576}; glutamatergic synapse {GO:0098978}; Golgi lumen {GO:0005796}; lysosomal lumen {GO:0043202}; nucleus {GO:0005634}; plasma membrane {GO:0005886}; synapse {GO:0045202}</t>
  </si>
  <si>
    <t>coreceptor activity involved in Wnt signaling pathway, planar cell polarity pathway {GO:1904929}</t>
  </si>
  <si>
    <t>A tetrasaccharide linker sequence is required for GAG synthesis {R-HSA-1971475}; HS-GAG biosynthesis {R-HSA-2022928}; HS-GAG degradation {R-HSA-2024096};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Retinoid metabolism and transport {R-HSA-975634}</t>
  </si>
  <si>
    <t>Deoxyribonuclease-1-like 1</t>
  </si>
  <si>
    <t>DNase X; Deoxyribonuclease I-like 1 (DNase I-like 1); Muscle-specific DNase I-like; XIB</t>
  </si>
  <si>
    <t>DNSL1_HUMAN</t>
  </si>
  <si>
    <t>P49184</t>
  </si>
  <si>
    <t>D3DWW7; Q5HY41</t>
  </si>
  <si>
    <t>DNAS1L1; DNL1L</t>
  </si>
  <si>
    <t>Disulfide bond; Endonuclease; Endoplasmic reticulum; Glycoprotein; Hydrolase; Nuclease; Polymorphism; Signal</t>
  </si>
  <si>
    <t>DNA catabolic process {GO:0006308}; DNA catabolic process, endonucleolytic {GO:0000737}; DNA metabolic process {GO:0006259}; neutrophil degranulation {GO:0043312}</t>
  </si>
  <si>
    <t>endoplasmic reticulum {GO:0005783}; extracellular region {GO:0005576}; nucleus {GO:0005634}; specific granule lumen {GO:0035580}</t>
  </si>
  <si>
    <t>deoxyribonuclease activity {GO:0004536}; deoxyribonuclease I activity {GO:0004530}; DNA binding {GO:0003677}</t>
  </si>
  <si>
    <t>Chordin-like protein 1</t>
  </si>
  <si>
    <t>Neuralin-1; Neurogenesin-1; Ventroptin</t>
  </si>
  <si>
    <t>CRDL1_HUMAN</t>
  </si>
  <si>
    <t>Q9BU40</t>
  </si>
  <si>
    <t>B1AKD0; B4DMP3; D3DUY6; E9PGS5; Q539E4; Q9Y3H7</t>
  </si>
  <si>
    <t>NRLN1</t>
  </si>
  <si>
    <t>Alternative splicing; Developmental protein; Differentiation; Disease mutation; Glycoprotein; Neurogenesis; Osteogenesis; Repeat; Secreted; Signal</t>
  </si>
  <si>
    <t>Differentiation; Neurogenesis; Osteogenesis</t>
  </si>
  <si>
    <t>BMP signaling pathway {GO:0030509}; cell differentiation {GO:0030154}; cellular protein metabolic process {GO:0044267}; compound eye development {GO:0048749}; eye development {GO:0001654}; negative regulation of BMP signaling pathway {GO:0030514}; nervous system development {GO:0007399}; ossification {GO:0001503}; post-translational protein modification {GO:0043687}</t>
  </si>
  <si>
    <t>endoplasmic reticulum lumen {GO:0005788}; extracellular region {GO:0005576}</t>
  </si>
  <si>
    <t>Arresten</t>
  </si>
  <si>
    <t>CO4A1_HUMAN</t>
  </si>
  <si>
    <t>P02462</t>
  </si>
  <si>
    <t>A7E2W4; B1AM70; F5H5K0; Q1P9S9; Q5VWF6; Q86X41; Q8NF88; Q9NYC5</t>
  </si>
  <si>
    <t>3D-structure; Alternative splicing; Angiogenesis; Basement membrane; Collagen; Disease mutation; Disulfide bond; Extracellular matrix; Glycoprotein; Hydroxylation; Polymorphism; Repeat; Secreted; Signal</t>
  </si>
  <si>
    <t>basement membrane organization {GO:0071711}; blood vessel morphogenesis {GO:0048514}; brain development {GO:0007420}; branching involved in blood vessel morphogenesis {GO:0001569}; cellular response to amino acid stimulus {GO:0071230}; collagen-activated tyrosine kinase receptor signaling pathway {GO:0038063}; epithelial cell differentiation {GO:0030855}; extracellular matrix organization {GO:0030198}; neuromuscular junction development {GO:0007528}; renal tubule morphogenesis {GO:0061333}; retinal blood vessel morphogenesis {GO:0061304}</t>
  </si>
  <si>
    <t>basement membrane {GO:0005604}; collagen type IV trimer {GO:0005587}; collagen-containing extracellular matrix {GO:0062023}; endoplasmic reticulum lumen {GO:0005788}; extracellular matrix {GO:0031012}; extracellular region {GO:0005576}; extracellular space {GO:0005615}</t>
  </si>
  <si>
    <t>extracellular matrix structural constituent {GO:0005201}; extracellular matrix structural constituent conferring tensile strength {GO:0030020}; platelet-derived growth factor binding {GO:0048407}</t>
  </si>
  <si>
    <t>ADP/ATP translocase 2, N-terminally processed</t>
  </si>
  <si>
    <t>ADP,ATP carrier protein 2; ADP,ATP carrier protein, fibroblast isoform; Adenine nucleotide translocator 2 (ANT 2); Solute carrier family 25 member 5</t>
  </si>
  <si>
    <t>ADT2_HUMAN</t>
  </si>
  <si>
    <t>P05141</t>
  </si>
  <si>
    <t>B2RCV1; O43350</t>
  </si>
  <si>
    <t>ANT2</t>
  </si>
  <si>
    <t>Acetylation; Chromosome partition; Host-virus interaction; Membrane; Methylation; Mitochondrion; Mitochondrion inner membrane; Phosphoprotein; Polymorphism; Repeat; Transmembrane; Transmembrane helix; Transport</t>
  </si>
  <si>
    <t>Chromosome partition; Host-virus interaction; Transport</t>
  </si>
  <si>
    <t>cellular response to leukemia inhibitory factor {GO:1990830}; chromosome segregation {GO:0007059}; negative regulation of mitochondrial outer membrane permeabilization involved in apoptotic signaling pathway {GO:1901029}; positive regulation of cell population proliferation {GO:0008284}; regulation of insulin secretion {GO:0050796}; viral process {GO:0016032}</t>
  </si>
  <si>
    <t>integral component of plasma membrane {GO:0005887}; membrane {GO:0016020}; membrane raft {GO:0045121}; mitochondrial inner membrane {GO:0005743}; mitochondrial nucleoid {GO:0042645}; mitochondrion {GO:0005739}; MMXD complex {GO:0071817}; nucleus {GO:0005634}</t>
  </si>
  <si>
    <t>adenine transmembrane transporter activity {GO:0015207}; ATP:ADP antiporter activity {GO:0005471}; RNA binding {GO:0003723}; ubiquitin protein ligase binding {GO:0031625}</t>
  </si>
  <si>
    <t>Vpr-mediated induction of apoptosis by mitochondrial outer membrane permeabilization {R-HSA-180897}; Transport of nucleosides and free purine and pyrimidine bases across the plasma membrane {R-HSA-83936}</t>
  </si>
  <si>
    <t>Neural cell adhesion molecule L1 (N-CAM-L1; NCAM-L1)</t>
  </si>
  <si>
    <t>CD_antigen=CD171</t>
  </si>
  <si>
    <t>L1CAM_HUMAN</t>
  </si>
  <si>
    <t>P32004</t>
  </si>
  <si>
    <t>A0AV65; A4ZYW4; B2RMU7; G3XAF4; Q8TA87</t>
  </si>
  <si>
    <t>CAML1; MIC5</t>
  </si>
  <si>
    <t>Alternative splicing; Cell adhesion; Cell membrane; Cell projection; Developmental protein; Differentiation; Disease mutation; Disulfide bond; Glycoprotein; Hereditary spastic paraplegia; Hirschsprung disease; Immunoglobulin domain; Membrane; Mental retardation; Neurodegeneration; Neurogenesis; Phosphoprotein; Polymorphism; Repeat; Signal; Transmembrane; Transmembrane helix</t>
  </si>
  <si>
    <t>Disease mutation; Hereditary spastic paraplegia; Hirschsprung disease; Mental retardation; Neurodegeneration</t>
  </si>
  <si>
    <t>axon development {GO:0061564}; axon guidance {GO:0007411}; cell adhesion {GO:0007155}; cell migration {GO:0016477}; cell-matrix adhesion {GO:0007160}; chemotaxis {GO:0006935}; homophilic cell adhesion via plasma membrane adhesion molecules {GO:0007156}; leukocyte migration {GO:0050900}; nervous system development {GO:0007399}; neuron projection development {GO:0031175}; positive regulation of axon extension {GO:0045773}; synapse organization {GO:0050808}</t>
  </si>
  <si>
    <t>axon {GO:0030424}; axonal growth cone {GO:0044295}; cell surface {GO:0009986}; collagen-containing extracellular matrix {GO:0062023}; dendrite {GO:0030425}; focal adhesion {GO:0005925}; integral component of membrane {GO:0016021}; neuronal cell body {GO:0043025}; plasma membrane {GO:0005886}</t>
  </si>
  <si>
    <t>axon guidance receptor activity {GO:0008046}; protein domain specific binding {GO:0019904}</t>
  </si>
  <si>
    <t>Basigin interactions {R-HSA-210991}; L1CAM interactions {R-HSA-373760}; Recycling pathway of L1 {R-HSA-437239}; Interaction between L1 and Ankyrins {R-HSA-445095}; Signal transduction by L1 {R-HSA-445144}</t>
  </si>
  <si>
    <t>Plectin (PCN; PLTN)</t>
  </si>
  <si>
    <t>Hemidesmosomal protein 1 (HD1); Plectin-1</t>
  </si>
  <si>
    <t>PLEC_HUMAN</t>
  </si>
  <si>
    <t>Q15149</t>
  </si>
  <si>
    <t>Q15148; Q16640; Q6S376; Q6S377; Q6S378; Q6S379; Q6S380; Q6S381; Q6S382; Q6S383</t>
  </si>
  <si>
    <t>PLEC1</t>
  </si>
  <si>
    <t>3D-structure; Acetylation; Actin-binding; Alternative splicing; Cell junction; Coiled coil; Cytoplasm; Cytoskeleton; Disease mutation; Epidermolysis bullosa; Limb-girdle muscular dystrophy; Methylation; Phosphoprotein; Polymorphism; Repeat; SH3 domain</t>
  </si>
  <si>
    <t>Disease mutation; Epidermolysis bullosa; Limb-girdle muscular dystrophy</t>
  </si>
  <si>
    <t>hemidesmosome assembly {GO:0031581}; intermediate filament cytoskeleton organization {GO:0045104}; wound healing {GO:0042060}</t>
  </si>
  <si>
    <t>brush border {GO:0005903}; costamere {GO:0043034}; cytoplasm {GO:0005737}; cytosol {GO:0005829}; extracellular exosome {GO:0070062}; focal adhesion {GO:0005925}; hemidesmosome {GO:0030056}; intermediate filament cytoskeleton {GO:0045111}; membrane {GO:0016020}; perinuclear region of cytoplasm {GO:0048471}; plasma membrane {GO:0005886}; sarcolemma {GO:0042383}; sarcoplasm {GO:0016528}</t>
  </si>
  <si>
    <t>actin binding {GO:0003779}; ankyrin binding {GO:0030506}; cadherin binding {GO:0045296}; RNA binding {GO:0003723}; structural constituent of cytoskeleton {GO:0005200}; structural constituent of muscle {GO:0008307}; structural molecule activity {GO:0005198}</t>
  </si>
  <si>
    <t>Assembly of collagen fibrils and other multimeric structures {R-HSA-2022090}; Caspase-mediated cleavage of cytoskeletal proteins {R-HSA-264870}; Type I hemidesmosome assembly {R-HSA-446107}</t>
  </si>
  <si>
    <t>SH3 domain-binding glutamic acid-rich-like protein</t>
  </si>
  <si>
    <t>SH3L1_HUMAN</t>
  </si>
  <si>
    <t>O75368</t>
  </si>
  <si>
    <t>Q3SYL1; Q5JT50; Q6FIE8; Q9H0N8</t>
  </si>
  <si>
    <t>3D-structure; SH3-binding</t>
  </si>
  <si>
    <t>cytoplasm {GO:0005737}; extracellular exosome {GO:0070062}; extracellular space {GO:0005615}; nucleus {GO:0005634}</t>
  </si>
  <si>
    <t>B-cell receptor-associated protein 31 (BCR-associated protein 31; Bap31)</t>
  </si>
  <si>
    <t>6C6-AG tumor-associated antigen; Protein CDM; p28</t>
  </si>
  <si>
    <t>BAP31_HUMAN</t>
  </si>
  <si>
    <t>P51572</t>
  </si>
  <si>
    <t>B3KQ79; D3DWV5; Q13836; Q96CF0</t>
  </si>
  <si>
    <t>BAP31 DXS1357E</t>
  </si>
  <si>
    <t>3D-structure; Alternative splicing; Apoptosis; Coiled coil; Deafness; Dystonia; Endoplasmic reticulum; ER-Golgi transport; Host-virus interaction; Membrane; Mental retardation; Protein transport; Transmembrane; Transmembrane helix; Transport</t>
  </si>
  <si>
    <t>Apoptosis; ER-Golgi transport; Host-virus interaction; Protein transport; Transport</t>
  </si>
  <si>
    <t>Deafness; Dystonia; Mental retardation</t>
  </si>
  <si>
    <t>antigen processing and presentation of peptide antigen via MHC class I {GO:0002474}; apoptotic process {GO:0006915}; calcium-mediated signaling using intracellular calcium source {GO:0035584}; endoplasmic reticulum to Golgi vesicle-mediated transport {GO:0006888}; intracellular protein transport {GO:0006886}; negative regulation of endoplasmic reticulum calcium ion concentration {GO:0032471}; positive regulation of cysteine-type endopeptidase activity involved in apoptotic process {GO:0043280}; positive regulation of cytosolic calcium ion concentration {GO:0007204}; positive regulation of ER-associated ubiquitin-dependent protein catabolic process {GO:1903071}; positive regulation of intrinsic apoptotic signaling pathway {GO:2001244}; positive regulation of mitochondrial calcium ion concentration {GO:0051561}; positive regulation of retrograde protein transport, ER to cytosol {GO:1904154}; protein localization to endoplasmic reticulum exit site {GO:0070973}; spermatogenesis {GO:0007283}; viral process {GO:0016032}</t>
  </si>
  <si>
    <t>clathrin-coated vesicle {GO:0030136}; cytosol {GO:0005829}; endoplasmic reticulum {GO:0005783}; endoplasmic reticulum membrane {GO:0005789}; endoplasmic reticulum-Golgi intermediate compartment membrane {GO:0033116}; Golgi cisterna membrane {GO:0032580}; integral component of lumenal side of endoplasmic reticulum membrane {GO:0071556}; integral component of plasma membrane {GO:0005887}; lipid droplet {GO:0005811}; membrane {GO:0016020}; mitochondrion {GO:0005739}; perinuclear endoplasmic reticulum {GO:0097038}</t>
  </si>
  <si>
    <t>MHC class I protein binding {GO:0042288}; protein-containing complex binding {GO:0044877}</t>
  </si>
  <si>
    <t>Apoptotic cleavage of cellular proteins {R-HSA-111465}; Apoptotic execution phase {R-HSA-75153}; Antigen Presentation: Folding, assembly and peptide loading of class I MHC {R-HSA-983170}</t>
  </si>
  <si>
    <t>Peroxiredoxin-4</t>
  </si>
  <si>
    <t>Antioxidant enzyme AOE372 (AOE37-2); Peroxiredoxin IV (Prx-IV); Thioredoxin peroxidase AO372; Thioredoxin-dependent peroxide reductase A0372</t>
  </si>
  <si>
    <t>PRDX4_HUMAN</t>
  </si>
  <si>
    <t>Q13162</t>
  </si>
  <si>
    <t>Q6FHT3</t>
  </si>
  <si>
    <t>3D-structure; Antioxidant; Cytoplasm; Disulfide bond; Endoplasmic reticulum; Oxidoreductase; Peroxidase; Redox-active center; Signal</t>
  </si>
  <si>
    <t>4-hydroxyproline metabolic process {GO:0019471}; cell redox homeostasis {GO:0045454}; extracellular matrix organization {GO:0030198}; hydrogen peroxide catabolic process {GO:0042744}; I-kappaB phosphorylation {GO:0007252}; male gonad development {GO:0008584}; negative regulation of male germ cell proliferation {GO:2000255}; neutrophil degranulation {GO:0043312}; protein maturation by protein folding {GO:0022417}; response to oxidative stress {GO:0006979}; spermatogenesis {GO:0007283}</t>
  </si>
  <si>
    <t>cytosol {GO:0005829}; endoplasmic reticulum {GO:0005783}; extracellular exosome {GO:0070062}; extracellular region {GO:0005576}; ficolin-1-rich granule lumen {GO:1904813}; nucleus {GO:0005634}; secretory granule lumen {GO:0034774}; smooth endoplasmic reticulum {GO:0005790}</t>
  </si>
  <si>
    <t>protein homodimerization activity {GO:0042803}; thioredoxin peroxidase activity {GO:0008379}</t>
  </si>
  <si>
    <t>Phosphoglycerate kinase 1</t>
  </si>
  <si>
    <t>Cell migration-inducing gene 10 protein; Primer recognition protein 2 (PRP 2)</t>
  </si>
  <si>
    <t>PGK1_HUMAN</t>
  </si>
  <si>
    <t>P00558</t>
  </si>
  <si>
    <t>A8K4W6; B7Z7A9; Q5J7W1; Q6IBT6; Q8NI87</t>
  </si>
  <si>
    <t>PGKA</t>
  </si>
  <si>
    <t>3D-structure; Acetylation; Alternative splicing; ATP-binding; Cytoplasm; Disease mutation; Glycolysis; Hereditary hemolytic anemia; Kinase; Nucleotide-binding; Phosphoprotein; Polymorphism; Transferase</t>
  </si>
  <si>
    <t>canonical glycolysis {GO:0061621}; cellular response to hypoxia {GO:0071456}; epithelial cell differentiation {GO:0030855}; gluconeogenesis {GO:0006094}; glycolytic process {GO:0006096}; negative regulation of angiogenesis {GO:0016525}; phosphorylation {GO:0016310}; plasminogen activation {GO:0031639}; positive regulation of oxidative phosphorylation {GO:1903862}</t>
  </si>
  <si>
    <t>cytosol {GO:0005829}; extracellular exosome {GO:0070062}; extracellular space {GO:0005615}; membrane {GO:0016020}; membrane raft {GO:0045121}</t>
  </si>
  <si>
    <t>ADP binding {GO:0043531}; ATP binding {GO:0005524}; phosphoglycerate kinase activity {GO:0004618}; protein-disulfide reductase activity {GO:0047134}</t>
  </si>
  <si>
    <t>Carbohydrate degradation; glycolysis; pyruvate from D- glyceraldehyde 3-phosphate: step 2/5.</t>
  </si>
  <si>
    <t>Processed angiotensin-converting enzyme 2</t>
  </si>
  <si>
    <t>ACE-related carboxypeptidase; Angiotensin-converting enzyme homolog (ACEH); Metalloprotease MPROT15</t>
  </si>
  <si>
    <t>ACE2_HUMAN</t>
  </si>
  <si>
    <t>Q9BYF1</t>
  </si>
  <si>
    <t>C7ECU1; Q6UWP0; Q86WT0; Q9NRA7; Q9UFZ6</t>
  </si>
  <si>
    <t>3D-structure; Alternative splicing; Carboxypeptidase; Cell membrane; Chloride; Cytoplasm; Disulfide bond; Glycoprotein; Host cell receptor for virus entry; Host-virus interaction; Hydrolase; Membrane; Metal-binding; Metalloprotease; Polymorphism; Protease; Receptor; Secreted; Signal; Transmembrane; Transmembrane helix; Zinc</t>
  </si>
  <si>
    <t>Chloride; Metal-binding; Zinc</t>
  </si>
  <si>
    <t>Carboxypeptidase; Host cell receptor for virus entry; Hydrolase; Metalloprotease; Protease; Receptor</t>
  </si>
  <si>
    <t>angiotensin maturation {GO:0002003}; angiotensin-mediated drinking behavior {GO:0003051}; positive regulation of amino acid transport {GO:0051957}; positive regulation of cardiac muscle contraction {GO:0060452}; positive regulation of gap junction assembly {GO:1903598}; positive regulation of reactive oxygen species metabolic process {GO:2000379}; receptor biosynthetic process {GO:0032800}; receptor-mediated virion attachment to host cell {GO:0046813}; regulation of blood vessel diameter {GO:0097746}; regulation of cardiac conduction {GO:1903779}; regulation of cell population proliferation {GO:0042127}; regulation of cytokine production {GO:0001817}; regulation of inflammatory response {GO:0050727}; regulation of systemic arterial blood pressure by renin-angiotensin {GO:0003081}; regulation of vasoconstriction {GO:0019229}; tryptophan transport {GO:0015827}; viral entry into host cell {GO:0046718}</t>
  </si>
  <si>
    <t>brush border membrane {GO:0031526}; cell surface {GO:0009986}; cytoplasm {GO:0005737}; extracellular exosome {GO:0070062}; extracellular region {GO:0005576}; extracellular space {GO:0005615}; integral component of membrane {GO:0016021}; membrane raft {GO:0045121}; plasma membrane {GO:0005886}</t>
  </si>
  <si>
    <t>carboxypeptidase activity {GO:0004180}; endopeptidase activity {GO:0004175}; exopeptidase activity {GO:0008238}; metallocarboxypeptidase activity {GO:0004181}; virus receptor activity {GO:0001618}; zinc ion binding {GO:0008270}</t>
  </si>
  <si>
    <t>V-set and immunoglobulin domain-containing protein 4</t>
  </si>
  <si>
    <t>Protein Z39Ig</t>
  </si>
  <si>
    <t>VSIG4_HUMAN</t>
  </si>
  <si>
    <t>Q9Y279</t>
  </si>
  <si>
    <t>Q6UXI4</t>
  </si>
  <si>
    <t>CRIg; Z39IG</t>
  </si>
  <si>
    <t>3D-structure; Alternative splicing; Complement alternate pathway; Disulfide bond; Immunity; Immunoglobulin domain; Innate immunity; Membrane; Polymorphism; Repeat; Signal; Transmembrane; Transmembrane helix</t>
  </si>
  <si>
    <t>complement activation, alternative pathway {GO:0006957}; negative regulation of complement activation, alternative pathway {GO:0045957}; negative regulation of interleukin-2 production {GO:0032703}; negative regulation of macrophage activation {GO:0043031}; negative regulation of T cell proliferation {GO:0042130}</t>
  </si>
  <si>
    <t>integral component of membrane {GO:0016021}; protein-containing complex {GO:0032991}</t>
  </si>
  <si>
    <t>complement component C3b binding {GO:0001851}</t>
  </si>
  <si>
    <t>Neutrophil cytosol factor 1 (NCF-1)</t>
  </si>
  <si>
    <t>47 kDa autosomal chronic granulomatous disease protein; 47 kDa neutrophil oxidase factor; NCF-47K; Neutrophil NADPH oxidase factor 1; Nox organizer 2; Nox-organizing protein 2; SH3 and PX domain-containing protein 1A; p47-phox</t>
  </si>
  <si>
    <t>NCF1_HUMAN</t>
  </si>
  <si>
    <t>P14598</t>
  </si>
  <si>
    <t>A6NEH2; A8K7S9; O43842; Q2PP07; Q53FR5; Q9BU90; Q9BXI7; Q9BXI8; Q9UDV9; Q9UMU2</t>
  </si>
  <si>
    <t>NOXO2; SH3PXD1A</t>
  </si>
  <si>
    <t>3D-structure; Alternative splicing; Chronic granulomatous disease; Cytoplasm; Disease mutation; Lipid-binding; Membrane; Phosphoprotein; Polymorphism; Repeat; SH3 domain</t>
  </si>
  <si>
    <t>antigen processing and presentation of exogenous peptide antigen via MHC class I, TAP-dependent {GO:0002479}; apoptotic process {GO:0006915}; cell redox homeostasis {GO:0045454}; cellular defense response {GO:0006968}; cellular response to cadmium ion {GO:0071276}; cellular response to oxidative stress {GO:0034599}; cellular response to reactive oxygen species {GO:0034614}; innate immune response {GO:0045087}; positive regulation of epidermal growth factor-activated receptor activity {GO:0045741}; positive regulation of JNK cascade {GO:0046330}; positive regulation of p38MAPK cascade {GO:1900745}; positive regulation of phosphatidylinositol 3-kinase signaling {GO:0014068}; positive regulation of transcription, DNA-templated {GO:0045893}; protein targeting to membrane {GO:0006612}; respiratory burst {GO:0045730}; superoxide anion generation {GO:0042554}; superoxide metabolic process {GO:0006801}; vascular endothelial growth factor receptor signaling pathway {GO:0048010}</t>
  </si>
  <si>
    <t>cytosol {GO:0005829}; dendrite {GO:0030425}; extrinsic component of membrane {GO:0019898}; Golgi apparatus {GO:0005794}; NADPH oxidase complex {GO:0043020}; neuronal cell body {GO:0043025}; phagolysosome {GO:0032010}; plasma membrane {GO:0005886}; rough endoplasmic reticulum {GO:0005791}</t>
  </si>
  <si>
    <t>electron transfer activity {GO:0009055}; phosphatidylinositol binding {GO:0035091}; phosphatidylinositol-3,4-bisphosphate binding {GO:0043325}; SH3 domain binding {GO:0017124}; superoxide-generating NADPH oxidase activator activity {GO:0016176}; superoxide-generating NADPH oxidase activity {GO:0016175}</t>
  </si>
  <si>
    <t>ROS and RNS production in phagocytes {R-HSA-1222556}; Cross-presentation of particulate exogenous antigens (phagosomes) {R-HSA-1236973}; Detoxification of Reactive Oxygen Species {R-HSA-3299685}; VEGFA-VEGFR2 Pathway {R-HSA-4420097}; RHO GTPases Activate NADPH Oxidases {R-HSA-5668599}</t>
  </si>
  <si>
    <t>Dermatopontin</t>
  </si>
  <si>
    <t>Tyrosine-rich acidic matrix protein (TRAMP)</t>
  </si>
  <si>
    <t>DERM_HUMAN</t>
  </si>
  <si>
    <t>Q07507</t>
  </si>
  <si>
    <t>A8K981; Q8N4R2; Q9UIX8</t>
  </si>
  <si>
    <t>Cell adhesion; Disulfide bond; Extracellular matrix; Polymorphism; Pyrrolidone carboxylic acid; Repeat; Secreted; Signal; Sulfation</t>
  </si>
  <si>
    <t>Disulfide bond; Pyrrolidone carboxylic acid; Sulfation</t>
  </si>
  <si>
    <t>cell adhesion {GO:0007155}; collagen fibril organization {GO:0030199}; negative regulation of cell population proliferation {GO:0008285}</t>
  </si>
  <si>
    <t>Coiled-coil-helix-coiled-coil-helix domain-containing protein 2</t>
  </si>
  <si>
    <t>Aging-associated gene 10 protein; HCV NS2 trans-regulated protein (NS2TP)</t>
  </si>
  <si>
    <t>CHCH2_HUMAN</t>
  </si>
  <si>
    <t>Q9Y6H1</t>
  </si>
  <si>
    <t>Q498C3; Q6NZ50</t>
  </si>
  <si>
    <t>C7orf17</t>
  </si>
  <si>
    <t>Activator; Disulfide bond; Mitochondrion; Neurodegeneration; Nucleus; Parkinson disease; Parkinsonism; Polymorphism; Transcription</t>
  </si>
  <si>
    <t>Neurodegeneration; Parkinson disease; Parkinsonism</t>
  </si>
  <si>
    <t>mitochondrion organization {GO:0007005}; positive regulation of transcription by RNA polymerase II {GO:0045944}; regulation of cellular response to hypoxia {GO:1900037}</t>
  </si>
  <si>
    <t>mitochondrial intermembrane space {GO:0005758}; mitochondrion {GO:0005739}; nucleus {GO:0005634}</t>
  </si>
  <si>
    <t>sequence-specific DNA binding {GO:0043565}; transcription factor binding {GO:0008134}</t>
  </si>
  <si>
    <t>Complement factor H-related protein 5 (FHR-5)</t>
  </si>
  <si>
    <t>FHR5_HUMAN</t>
  </si>
  <si>
    <t>Q9BXR6</t>
  </si>
  <si>
    <t>Q2NKK2</t>
  </si>
  <si>
    <t>CFHL5; FHR5</t>
  </si>
  <si>
    <t>Disease mutation; Disulfide bond; Glycoprotein; Hemolytic uremic syndrome; Polymorphism; Repeat; Secreted; Signal; Sushi</t>
  </si>
  <si>
    <t>complement activation, alternative pathway {GO:0006957}; negative regulation of protein binding {GO:0032091}; positive regulation of cytolysis {GO:0045919}; regulation of complement activation {GO:0030449}</t>
  </si>
  <si>
    <t>extracellular region {GO:0005576}; protein-containing complex {GO:0032991}</t>
  </si>
  <si>
    <t>protein heterodimerization activity {GO:0046982}; protein homodimerization activity {GO:0042803}</t>
  </si>
  <si>
    <t>T-lymphocyte surface antigen Ly-9</t>
  </si>
  <si>
    <t>Cell surface molecule Ly-9; Lymphocyte antigen 9; SLAM family member 3 (SLAMF3); Signaling lymphocytic activation molecule 3; CD_antigen=CD229</t>
  </si>
  <si>
    <t>LY9_HUMAN</t>
  </si>
  <si>
    <t>Q9HBG7</t>
  </si>
  <si>
    <t>A8K7N3; Q14775; Q5VYI3; Q6P2J4; Q9H4N5; Q9NQ24</t>
  </si>
  <si>
    <t>Adaptive immunity; Alternative splicing; Cell adhesion; Cell membrane; Disulfide bond; Glycoprotein; Immunity; Immunoglobulin domain; Innate immunity; Membrane; Phosphoprotein; Polymorphism; Repeat; Signal; Transmembrane; Transmembrane helix</t>
  </si>
  <si>
    <t>Adaptive immunity; Cell adhesion; Immunity; Innate immunity</t>
  </si>
  <si>
    <t>cell adhesion {GO:0007155}; innate immune response {GO:0045087}; positive regulation of interleukin-17 production {GO:0032740}; T-helper 17 cell lineage commitment {GO:0072540}</t>
  </si>
  <si>
    <t>cell surface {GO:0009986}; integral component of membrane {GO:0016021}; plasma membrane {GO:0005886}</t>
  </si>
  <si>
    <t>Elongin-B (EloB)</t>
  </si>
  <si>
    <t>Elongin 18 kDa subunit; RNA polymerase II transcription factor SIII subunit B; SIII p18; Transcription elongation factor B polypeptide 2</t>
  </si>
  <si>
    <t>ELOB_HUMAN</t>
  </si>
  <si>
    <t>Q15370</t>
  </si>
  <si>
    <t>B7WPD3</t>
  </si>
  <si>
    <t>TCEB2</t>
  </si>
  <si>
    <t>3D-structure; Acetylation; Alternative splicing; Nucleus; Phosphoprotein; Transcription; Transcription regulation; Ubl conjugation pathway</t>
  </si>
  <si>
    <t>post-translational protein modification {GO:0043687}; protein ubiquitination {GO:0016567}; protein-containing complex assembly {GO:0065003}; regulation of transcription from RNA polymerase II promoter in response to hypoxia {GO:0061418}; transcription by RNA polymerase II {GO:0006366}; transcription elongation from RNA polymerase II promoter {GO:0006368}</t>
  </si>
  <si>
    <t>Cul2-RING ubiquitin ligase complex {GO:0031462}; Cul5-RING ubiquitin ligase complex {GO:0031466}; cytosol {GO:0005829}; elongin complex {GO:0070449}; nucleoplasm {GO:0005654}; VCB complex {GO:0030891}</t>
  </si>
  <si>
    <t>ubiquitin protein ligase binding {GO:0031625}</t>
  </si>
  <si>
    <t>Formation of RNA Pol II elongation complex {R-HSA-112382}; Oxygen-dependent proline hydroxylation of Hypoxia-inducible Factor Alpha {R-HSA-1234176}; Formation of HIV elongation complex in the absence of HIV Tat {R-HSA-167152}; Formation of HIV-1 elongation complex containing HIV-1 Tat {R-HSA-167200}; Pausing and recovery of Tat-mediated HIV elongation {R-HSA-167238}; Tat-mediated HIV elongation arrest and recovery {R-HSA-167243}; Tat-mediated elongation of the HIV-1 transcript {R-HSA-167246}; HIV elongation arrest and recovery {R-HSA-167287}; Pausing and recovery of HIV elongation {R-HSA-167290}; Vif-mediated degradation of APOBEC3G {R-HSA-180585}; RNA Polymerase II Pre-transcription Events {R-HSA-674695}; TP53 Regulates Transcription of DNA Repair Genes {R-HSA-6796648}; RNA Polymerase II Transcription Elongation {R-HSA-75955}; Neddylation {R-HSA-8951664}; Regulation of expression of SLITs and ROBOs {R-HSA-9010553}; Antigen processing: Ubiquitination &amp; Proteasome degradation {R-HSA-983168}</t>
  </si>
  <si>
    <t>Protein S100-A2</t>
  </si>
  <si>
    <t>CAN19; Protein S-100L; S100 calcium-binding protein A2</t>
  </si>
  <si>
    <t>S10A2_HUMAN</t>
  </si>
  <si>
    <t>P29034</t>
  </si>
  <si>
    <t>O00266; Q3KRB9; Q5RHS8; Q9BU83</t>
  </si>
  <si>
    <t>S100L</t>
  </si>
  <si>
    <t>3D-structure; Calcium; Metal-binding; Repeat</t>
  </si>
  <si>
    <t>endothelial cell migration {GO:0043542}</t>
  </si>
  <si>
    <t>calcium ion binding {GO:0005509}; identical protein binding {GO:0042802}; transition metal ion binding {GO:0046914}</t>
  </si>
  <si>
    <t>Major vault protein (MVP)</t>
  </si>
  <si>
    <t>Lung resistance-related protein</t>
  </si>
  <si>
    <t>MVP_HUMAN</t>
  </si>
  <si>
    <t>Q14764</t>
  </si>
  <si>
    <t>Q96BG4; Q9BPW6; Q9BQT1; Q9UBD1</t>
  </si>
  <si>
    <t>LRP</t>
  </si>
  <si>
    <t>3D-structure; Acetylation; Cytoplasm; Isopeptide bond; mRNA transport; Nuclear pore complex; Nucleus; Phosphoprotein; Polymorphism; Protein transport; Repeat; Ribonucleoprotein; Translocation; Transport; Ubl conjugation</t>
  </si>
  <si>
    <t>Cytoplasm; Nuclear pore complex; Nucleus</t>
  </si>
  <si>
    <t>Ribonucleoprotein</t>
  </si>
  <si>
    <t>ERBB signaling pathway {GO:0038127}; mRNA transport {GO:0051028}; negative regulation of protein autophosphorylation {GO:0031953}; negative regulation of protein tyrosine kinase activity {GO:0061099}; negative regulation of signaling {GO:0023057}; neutrophil degranulation {GO:0043312}; protein transport {GO:0015031}</t>
  </si>
  <si>
    <t>cytoplasm {GO:0005737}; cytoskeleton {GO:0005856}; cytosol {GO:0005829}; extracellular exosome {GO:0070062}; extracellular region {GO:0005576}; ficolin-1-rich granule lumen {GO:1904813}; membrane {GO:0016020}; nuclear pore {GO:0005643}; nucleus {GO:0005634}; perinuclear region of cytoplasm {GO:0048471}; secretory granule lumen {GO:0034774}</t>
  </si>
  <si>
    <t>identical protein binding {GO:0042802}; protein kinase binding {GO:0019901}; protein phosphatase binding {GO:0019903}</t>
  </si>
  <si>
    <t>Troponin I, slow skeletal muscle</t>
  </si>
  <si>
    <t>Troponin I, slow-twitch isoform</t>
  </si>
  <si>
    <t>TNNI1_HUMAN</t>
  </si>
  <si>
    <t>P19237</t>
  </si>
  <si>
    <t>A6NEH3; A8MSJ0; Q659A5; Q6FGS7; Q6FGW1; Q6ICU2; Q86T57; Q96DT9</t>
  </si>
  <si>
    <t>Acetylation; Actin-binding; Calcium; Metal-binding; Muscle protein; Phosphoprotein; Polymorphism</t>
  </si>
  <si>
    <t>muscle contraction {GO:0006936}; muscle filament sliding {GO:0030049}; regulation of striated muscle contraction {GO:0006942}; transition between fast and slow fiber {GO:0014883}; ventricular cardiac muscle tissue morphogenesis {GO:0055010}</t>
  </si>
  <si>
    <t>actin binding {GO:0003779}; metal ion binding {GO:0046872}</t>
  </si>
  <si>
    <t>cAMP-dependent protein kinase catalytic subunit beta (PKA C-beta)</t>
  </si>
  <si>
    <t>KAPCB_HUMAN</t>
  </si>
  <si>
    <t>P22694</t>
  </si>
  <si>
    <t>B1APG4; B4DKB0; B4E2Q1; Q14VH1; Q59GC0; Q5BNE9; Q5BNF0; Q5BNF1; Q5BNF2; Q5BNF3; Q5CZ92; Q5T1K3; Q7Z3M1; Q8IYR5; Q8IZQ0; Q96B09</t>
  </si>
  <si>
    <t>Alternative splicing; ATP-binding; cAMP; Cell membrane; Cytoplasm; Kinase; Lipoprotein; Membrane; Myristate; Nucleotide-binding; Nucleus; Phosphoprotein; Polymorphism; Serine/threonine-protein kinase; Transferase</t>
  </si>
  <si>
    <t>activation of protein kinase A activity {GO:0034199}; adenylate cyclase-modulating G protein-coupled receptor signaling pathway {GO:0007188}; blood coagulation {GO:0007596}; cellular response to glucagon stimulus {GO:0071377}; high-density lipoprotein particle assembly {GO:0034380}; negative regulation of meiotic cell cycle {GO:0051447}; negative regulation of smoothened signaling pathway involved in dorsal/ventral neural tube patterning {GO:1901621}; neural tube closure {GO:0001843}; protein phosphorylation {GO:0006468}; regulation of protein processing {GO:0070613}; renal water homeostasis {GO:0003091}; response to clozapine {GO:0097338}; signal transduction {GO:0007165}; stimulatory C-type lectin receptor signaling pathway {GO:0002223}</t>
  </si>
  <si>
    <t>cAMP-dependent protein kinase complex {GO:0005952}; centrosome {GO:0005813}; ciliary base {GO:0097546}; cytosol {GO:0005829}; extracellular exosome {GO:0070062}; intercellular bridge {GO:0045171}; nucleoplasm {GO:0005654}; perinuclear region of cytoplasm {GO:0048471}; plasma membrane {GO:0005886}</t>
  </si>
  <si>
    <t>ATP binding {GO:0005524}; cAMP-dependent protein kinase activity {GO:0004691}; magnesium ion binding {GO:0000287}; protein kinase A regulatory subunit binding {GO:0034237}; ubiquitin protein ligase binding {GO:0031625}</t>
  </si>
  <si>
    <t>PKA-mediated phosphorylation of CREB {R-HSA-111931}; PKA-mediated phosphorylation of key metabolic factors {R-HSA-163358}; Triglyceride catabolism {R-HSA-163560}; PKA activation {R-HSA-163615}; PKA activation in glucagon signalling {R-HSA-164378}; DARPP-32 events {R-HSA-180024}; Glucagon-like Peptide-1 (GLP1) regulates insulin secretion {R-HSA-381676}; Rap1 signalling {R-HSA-392517}; Regulation of insulin secretion {R-HSA-422356}; Vasopressin regulates renal water homeostasis via Aquaporins {R-HSA-432040}; VEGFA-VEGFR2 Pathway {R-HSA-4420097}; CREB1 phosphorylation through the activation of Adenylate Cyclase {R-HSA-442720}; Degradation of GLI1 by the proteasome {R-HSA-5610780}; Degradation of GLI2 by the proteasome {R-HSA-5610783}; GLI3 is processed to GLI3R by the proteasome {R-HSA-5610785}; Hedgehog 'off' state {R-HSA-5610787}; CD209 (DC-SIGN) signaling {R-HSA-5621575}; MAPK6/MAPK4 signaling {R-HSA-5687128}; RET signaling {R-HSA-8853659}; HDL assembly {R-HSA-8963896}; ROBO receptors bind AKAP5 {R-HSA-9010642}; Regulation of glycolysis by fructose 2,6-bisphosphate metabolism {R-HSA-9634600}; Factors involved in megakaryocyte development and platelet production {R-HSA-983231}</t>
  </si>
  <si>
    <t>Aminopeptidase B (AP-B)</t>
  </si>
  <si>
    <t>Arginine aminopeptidase; Arginyl aminopeptidase</t>
  </si>
  <si>
    <t>AMPB_HUMAN</t>
  </si>
  <si>
    <t>Q9H4A4</t>
  </si>
  <si>
    <t>Q9BVM9; Q9H1D4; Q9NPT7</t>
  </si>
  <si>
    <t>APB</t>
  </si>
  <si>
    <t>Acetylation; Aminopeptidase; Hydrolase; Metal-binding; Metalloprotease; Phosphoprotein; Polymorphism; Protease; Secreted; Zinc</t>
  </si>
  <si>
    <t>negative regulation of blood pressure {GO:0045776}; proteolysis {GO:0006508}</t>
  </si>
  <si>
    <t>extracellular exosome {GO:0070062}; extracellular region {GO:0005576}; plasma membrane {GO:0005886}; secretory granule {GO:0030141}</t>
  </si>
  <si>
    <t>aminopeptidase activity {GO:0004177}; epoxide hydrolase activity {GO:0004301}; metalloexopeptidase activity {GO:0008235}; zinc ion binding {GO:0008270}</t>
  </si>
  <si>
    <t>Serine/arginine repetitive matrix protein 2</t>
  </si>
  <si>
    <t>300 kDa nuclear matrix antigen; Serine/arginine-rich splicing factor-related nuclear matrix protein of 300 kDa (SR-related nuclear matrix protein of 300 kDa; Ser/Arg-related nuclear matrix protein of 300 kDa); Splicing coactivator subunit SRm300; Tax-responsive enhancer element-binding protein 803 (TaxREB803)</t>
  </si>
  <si>
    <t>SRRM2_HUMAN</t>
  </si>
  <si>
    <t>Q9UQ35</t>
  </si>
  <si>
    <t>A6NKB9; D3DU97; O15038; O94803; Q6NSL3; Q6PIM3; Q6PK40; Q8IW17; Q96GY7; Q9P0G1; Q9UHA8; Q9UQ36; Q9UQ37; Q9UQ38; Q9UQ40</t>
  </si>
  <si>
    <t>KIAA0324; SRL300; SRM300</t>
  </si>
  <si>
    <t>3D-structure; Acetylation; Alternative splicing; Coiled coil; Isopeptide bond; Methylation; mRNA processing; mRNA splicing; Nucleus; Phosphoprotein; Polymorphism; RNA-binding; Spliceosome; Ubl conjugation</t>
  </si>
  <si>
    <t>mRNA splicing, via spliceosome {GO:0000398}</t>
  </si>
  <si>
    <t>Cajal body {GO:0015030}; catalytic step 2 spliceosome {GO:0071013}; nuclear speck {GO:0016607}; nucleoplasm {GO:0005654}; nucleus {GO:0005634}; U2-type catalytic step 2 spliceosome {GO:0071007}; U2-type precatalytic spliceosome {GO:0071005}</t>
  </si>
  <si>
    <t>C2H2 zinc finger domain binding {GO:0070742}; protein N-terminus binding {GO:0047485}; RNA binding {GO:0003723}</t>
  </si>
  <si>
    <t>Proxenin</t>
  </si>
  <si>
    <t>Alpha-coat protein (Alpha-COP); HEP-COP (HEPCOP); Xenopsin-related peptide</t>
  </si>
  <si>
    <t>COPA_HUMAN</t>
  </si>
  <si>
    <t>P53621</t>
  </si>
  <si>
    <t>Q5T201; Q8IXZ9</t>
  </si>
  <si>
    <t>Alternative splicing; Cytoplasm; Cytoplasmic vesicle; Disease mutation; ER-Golgi transport; Golgi apparatus; Hormone; Membrane; Methylation; Phosphoprotein; Polymorphism; Protein transport; Repeat; RNA editing; Secreted; Transport; WD repeat</t>
  </si>
  <si>
    <t>Cytoplasm; Cytoplasmic vesicle; Golgi apparatus; Membrane; Secreted</t>
  </si>
  <si>
    <t>endoplasmic reticulum to Golgi vesicle-mediated transport {GO:0006888}; intra-Golgi vesicle-mediated transport {GO:0006891}; intracellular protein transport {GO:0006886}; pancreatic juice secretion {GO:0030157}; retrograde vesicle-mediated transport, Golgi to endoplasmic reticulum {GO:0006890}</t>
  </si>
  <si>
    <t>COPI vesicle coat {GO:0030126}; cytoplasm {GO:0005737}; cytosol {GO:0005829}; endoplasmic reticulum membrane {GO:0005789}; extracellular exosome {GO:0070062}; extracellular space {GO:0005615}; Golgi membrane {GO:0000139}; membrane {GO:0016020}; transport vesicle {GO:0030133}</t>
  </si>
  <si>
    <t>hormone activity {GO:0005179}; structural molecule activity {GO:0005198}</t>
  </si>
  <si>
    <t>Nicastrin</t>
  </si>
  <si>
    <t>NICA_HUMAN</t>
  </si>
  <si>
    <t>Q92542</t>
  </si>
  <si>
    <t>Q5T207; Q5T208; Q86VV5</t>
  </si>
  <si>
    <t>KIAA0253</t>
  </si>
  <si>
    <t>3D-structure; Alternative splicing; Cytoplasmic vesicle; Disease mutation; Disulfide bond; Glycoprotein; Membrane; Notch signaling pathway; Polymorphism; Signal; Transmembrane; Transmembrane helix</t>
  </si>
  <si>
    <t>adult behavior {GO:0030534}; amyloid precursor protein biosynthetic process {GO:0042983}; amyloid precursor protein catabolic process {GO:0042987}; amyloid precursor protein metabolic process {GO:0042982}; amyloid-beta formation {GO:0034205}; cellular protein metabolic process {GO:0044267}; cellular response to calcium ion {GO:0071277}; central nervous system myelination {GO:0022010}; cerebellum development {GO:0021549}; dopamine receptor signaling pathway {GO:0007212}; ephrin receptor signaling pathway {GO:0048013}; epithelial cell proliferation {GO:0050673}; glutamate receptor signaling pathway {GO:0007215}; learning or memory {GO:0007611}; membrane protein ectodomain proteolysis {GO:0006509}; membrane protein intracellular domain proteolysis {GO:0031293}; myeloid cell homeostasis {GO:0002262}; neuron apoptotic process {GO:0051402}; neutrophil degranulation {GO:0043312}; Notch receptor processing {GO:0007220}; Notch receptor processing, ligand-dependent {GO:0035333}; positive regulation of amyloid precursor protein biosynthetic process {GO:0042986}; positive regulation of apoptotic process {GO:0043065}; positive regulation of catalytic activity {GO:0043085}; protein processing {GO:0016485}; proteolysis {GO:0006508}; regulation of long-term synaptic potentiation {GO:1900271}; short-term synaptic potentiation {GO:1990926}; T cell proliferation {GO:0042098}</t>
  </si>
  <si>
    <t>azurophil granule membrane {GO:0035577}; early endosome {GO:0005769}; endoplasmic reticulum {GO:0005783}; endosome membrane {GO:0010008}; extracellular exosome {GO:0070062}; focal adhesion {GO:0005925}; gamma-secretase complex {GO:0070765}; Golgi apparatus {GO:0005794}; integral component of membrane {GO:0016021}; integral component of plasma membrane {GO:0005887}; integral component of presynaptic membrane {GO:0099056}; lysosomal membrane {GO:0005765}; melanosome {GO:0042470}; membrane {GO:0016020}; mitochondrion {GO:0005739}; plasma membrane {GO:0005886}; sarcolemma {GO:0042383}; synaptic vesicle {GO:0008021}</t>
  </si>
  <si>
    <t>endopeptidase activity {GO:0004175}</t>
  </si>
  <si>
    <t>Nuclear signaling by ERBB4 {R-HSA-1251985}; Degradation of the extracellular matrix {R-HSA-1474228}; Regulated proteolysis of p75NTR {R-HSA-193692}; NRIF signals cell death from the nucleus {R-HSA-205043}; Activated NOTCH1 Transmits Signal to the Nucleus {R-HSA-2122948}; Constitutive Signaling by NOTCH1 PEST Domain Mutants {R-HSA-2644606}; Constitutive Signaling by NOTCH1 HD+PEST Domain Mutants {R-HSA-2894862}; NOTCH2 Activation and Transmission of Signal to the Nucleus {R-HSA-2979096}; EPH-ephrin mediated repulsion of cells {R-HSA-3928665}; Neutrophil degranulation {R-HSA-6798695}; NOTCH3 Activation and Transmission of Signal to the Nucleus {R-HSA-9013507}; NOTCH4 Activation and Transmission of Signal to the Nucleus {R-HSA-9013700}; Noncanonical activation of NOTCH3 {R-HSA-9017802}; Amyloid fiber formation {R-HSA-977225}</t>
  </si>
  <si>
    <t>GTPase NRas</t>
  </si>
  <si>
    <t>Transforming protein N-Ras</t>
  </si>
  <si>
    <t>RASN_HUMAN</t>
  </si>
  <si>
    <t>P01111</t>
  </si>
  <si>
    <t>Q14971; Q15104; Q15282</t>
  </si>
  <si>
    <t>3D-structure; Acetylation; Cell membrane; Disease mutation; Golgi apparatus; GTP-binding; Isopeptide bond; Lipoprotein; Membrane; Methylation; Nucleotide-binding; Palmitate; Phosphoprotein; Prenylation; Proto-oncogene; Ubl conjugation</t>
  </si>
  <si>
    <t>Acetylation; Isopeptide bond; Lipoprotein; Methylation; Palmitate; Phosphoprotein; Prenylation; Ubl conjugation</t>
  </si>
  <si>
    <t>MAPK cascade {GO:0000165}; neutrophil degranulation {GO:0043312}; positive regulation of endothelial cell proliferation {GO:0001938}; Ras protein signal transduction {GO:0007265}; stimulatory C-type lectin receptor signaling pathway {GO:0002223}</t>
  </si>
  <si>
    <t>extracellular exosome {GO:0070062}; Golgi apparatus {GO:0005794}; Golgi membrane {GO:0000139}; membrane {GO:0016020}; plasma membrane {GO:0005886}; tertiary granule membrane {GO:0070821}</t>
  </si>
  <si>
    <t>SOS-mediated signalling {R-HSA-112412}; Activation of RAS in B cells {R-HSA-1169092}; Constitutive Signaling by Ligand-Responsive EGFR Cancer Variants {R-HSA-1236382}; SHC1 events in ERBB2 signaling {R-HSA-1250196}; SHC1 events in ERBB4 signaling {R-HSA-1250347}; Signaling by SCF-KIT {R-HSA-1433557}; Signalling to RAS {R-HSA-167044}; p38MAPK events {R-HSA-171007}; GRB2 events in EGFR signaling {R-HSA-179812}; SHC1 events in EGFR signaling {R-HSA-180336}; Downstream signal transduction {R-HSA-186763}; GRB2 events in ERBB2 signaling {R-HSA-1963640}; Tie2 Signaling {R-HSA-210993}; EGFR Transactivation by Gastrin {R-HSA-2179392}; DAP12 signaling {R-HSA-2424491}; SHC-related events triggered by IGF1R {R-HSA-2428933}; FCERI mediated MAPK activation {R-HSA-2871796}; NCAM signaling for neurite out-growth {R-HSA-375165}; Ras activation upon Ca2+ influx through NMDA receptor {R-HSA-442982}; VEGFR2 mediated cell proliferation {R-HSA-5218921}; CD209 (DC-SIGN) signaling {R-HSA-5621575}; Constitutive Signaling by EGFRvIII {R-HSA-5637810}; SHC-mediated cascade:FGFR1 {R-HSA-5654688}; FRS-mediated FGFR1 signaling {R-HSA-5654693}; SHC-mediated cascade:FGFR2 {R-HSA-5654699}; FRS-mediated FGFR2 signaling {R-HSA-5654700}; SHC-mediated cascade:FGFR3 {R-HSA-5654704}; FRS-mediated FGFR3 signaling {R-HSA-5654706}; FRS-mediated FGFR4 signaling {R-HSA-5654712}; SHC-mediated cascade:FGFR4 {R-HSA-5654719}; Signaling by FGFR2 in disease {R-HSA-5655253}; Signaling by FGFR4 in disease {R-HSA-5655291}; Signaling by FGFR1 in disease {R-HSA-5655302}; Regulation of RAS by GAPs {R-HSA-5658442}; RAF activation {R-HSA-5673000}; RAF/MAP kinase cascade {R-HSA-5673001}; MAP2K and MAPK activation {R-HSA-5674135}; Negative regulation of MAPK pathway {R-HSA-5675221}; Neutrophil degranulation {R-HSA-6798695}; Signaling by moderate kinase activity BRAF mutants {R-HSA-6802946}; Signaling by high-kinase activity BRAF mutants {R-HSA-6802948}; Signaling by RAS mutants {R-HSA-6802949}; Signaling by BRAF and RAF fusions {R-HSA-6802952}; RAS signaling downstream of NF1 loss-of-function variants {R-HSA-6802953}; Paradoxical activation of RAF signaling by kinase inactive BRAF {R-HSA-6802955}; Insulin receptor signalling cascade {R-HSA-74751}; PTK6 Regulates RHO GTPases, RAS GTPase and MAP kinases {R-HSA-8849471}; MET activates RAS signaling {R-HSA-8851805}; Signaling by FGFR3 fusions in cancer {R-HSA-8853334}; Signaling by FGFR3 point mutants in cancer {R-HSA-8853338}; Activated NTRK2 signals through RAS {R-HSA-9026519}; Erythropoietin activates RAS {R-HSA-9027284}; Activated NTRK2 signals through FRS2 and FRS3 {R-HSA-9028731}; Activated NTRK3 signals through RAS {R-HSA-9034864}; Estrogen-stimulated signaling through PRKCZ {R-HSA-9634635}</t>
  </si>
  <si>
    <t>Myelin protein zero-like protein 1</t>
  </si>
  <si>
    <t>Protein zero-related</t>
  </si>
  <si>
    <t>MPZL1_HUMAN</t>
  </si>
  <si>
    <t>O95297</t>
  </si>
  <si>
    <t>B2REB9; B2REC0; Q5R332; Q8IX11; Q9BWZ3; Q9NYK4; Q9UL20</t>
  </si>
  <si>
    <t>PZR</t>
  </si>
  <si>
    <t>3D-structure; Alternative splicing; Disulfide bond; Glycoprotein; Immunoglobulin domain; Membrane; Phosphoprotein; Signal; Transmembrane; Transmembrane helix</t>
  </si>
  <si>
    <t>cell-cell signaling {GO:0007267}; transmembrane receptor protein tyrosine kinase signaling pathway {GO:0007169}</t>
  </si>
  <si>
    <t>cell surface {GO:0009986}; focal adhesion {GO:0005925}; integral component of plasma membrane {GO:0005887}</t>
  </si>
  <si>
    <t>Vasorin</t>
  </si>
  <si>
    <t>Protein slit-like 2</t>
  </si>
  <si>
    <t>VASN_HUMAN</t>
  </si>
  <si>
    <t>Q6EMK4</t>
  </si>
  <si>
    <t>Q6UXL4; Q6UXL5; Q96CX1</t>
  </si>
  <si>
    <t>SLITL2</t>
  </si>
  <si>
    <t>Disulfide bond; EGF-like domain; Glycoprotein; Leucine-rich repeat; Membrane; Polymorphism; Repeat; Secreted; Signal; Transmembrane; Transmembrane helix</t>
  </si>
  <si>
    <t>EGF-like domain; Leucine-rich repeat; Repeat; Signal; Transmembrane; Transmembrane helix</t>
  </si>
  <si>
    <t>cellular response to hypoxia {GO:0071456}; cellular response to redox state {GO:0071461}; negative regulation of epithelial to mesenchymal transition {GO:0010719}; negative regulation of transforming growth factor beta receptor signaling pathway {GO:0030512}</t>
  </si>
  <si>
    <t>cell surface {GO:0009986}; extracellular exosome {GO:0070062}; extracellular matrix {GO:0031012}; extracellular space {GO:0005615}; integral component of membrane {GO:0016021}; lysosomal membrane {GO:0005765}; mitochondrion {GO:0005739}; plasma membrane {GO:0005886}</t>
  </si>
  <si>
    <t>cadherin binding {GO:0045296}; transforming growth factor beta binding {GO:0050431}</t>
  </si>
  <si>
    <t>D-3-phosphoglycerate dehydrogenase (3-PGDH)</t>
  </si>
  <si>
    <t>2-oxoglutarate reductase; Malate dehydrogenase</t>
  </si>
  <si>
    <t>SERA_HUMAN</t>
  </si>
  <si>
    <t>O43175</t>
  </si>
  <si>
    <t>B2RD08; Q5SZU3; Q9BQ01</t>
  </si>
  <si>
    <t>PGDH3</t>
  </si>
  <si>
    <t>3D-structure; Acetylation; Amino-acid biosynthesis; Disease mutation; Isopeptide bond; NAD; Oxidoreductase; Phosphoprotein; Serine biosynthesis; Ubl conjugation</t>
  </si>
  <si>
    <t>Amino-acid biosynthesis; Serine biosynthesis</t>
  </si>
  <si>
    <t>brain development {GO:0007420}; cellular amino acid metabolic process {GO:0006520}; G1 to G0 transition {GO:0070314}; gamma-aminobutyric acid metabolic process {GO:0009448}; glial cell development {GO:0021782}; glutamine metabolic process {GO:0006541}; glycine metabolic process {GO:0006544}; L-serine biosynthetic process {GO:0006564}; neural tube development {GO:0021915}; neuron projection development {GO:0031175}; regulation of gene expression {GO:0010468}; spinal cord development {GO:0021510}; taurine metabolic process {GO:0019530}; threonine metabolic process {GO:0006566}</t>
  </si>
  <si>
    <t>electron transfer activity {GO:0009055}; L-malate dehydrogenase activity {GO:0030060}; NAD binding {GO:0051287}; phosphoglycerate dehydrogenase activity {GO:0004617}</t>
  </si>
  <si>
    <t>Amino-acid biosynthesis; L-serine biosynthesis; L-serine from 3-phospho-D-glycerate: step 1/3.</t>
  </si>
  <si>
    <t>Serine biosynthesis {R-HSA-977347}</t>
  </si>
  <si>
    <t>Metallo-beta-lactamase domain-containing protein 1</t>
  </si>
  <si>
    <t>MBLC1_HUMAN</t>
  </si>
  <si>
    <t>A4D2B0</t>
  </si>
  <si>
    <t>Q8N5X8</t>
  </si>
  <si>
    <t>3D-structure; Hydrolase; Metal-binding; Polymorphism; Zinc</t>
  </si>
  <si>
    <t>hydrolase activity {GO:0016787}; metal ion binding {GO:0046872}</t>
  </si>
  <si>
    <t>Sodium/potassium-transporting ATPase subunit beta-1</t>
  </si>
  <si>
    <t>Sodium/potassium-dependent ATPase subunit beta-1</t>
  </si>
  <si>
    <t>AT1B1_HUMAN</t>
  </si>
  <si>
    <t>P05026</t>
  </si>
  <si>
    <t>Q5TGZ3</t>
  </si>
  <si>
    <t>ATP1B</t>
  </si>
  <si>
    <t>Alternative splicing; Cell adhesion; Cell membrane; Disulfide bond; Glutathionylation; Glycoprotein; Ion transport; Membrane; Phosphoprotein; Potassium; Potassium transport; Signal-anchor; Sodium; Sodium transport; Sodium/potassium transport; Transmembrane; Transmembrane helix; Transport</t>
  </si>
  <si>
    <t>Cell adhesion; Ion transport; Potassium transport; Sodium transport; Sodium/potassium transport; Transport</t>
  </si>
  <si>
    <t>Disulfide bond; Glutathionylation; Glycoprotein; Phosphoprotein</t>
  </si>
  <si>
    <t>ATP metabolic process {GO:0046034}; cardiac muscle contraction {GO:0060048}; cell adhesion {GO:0007155}; cell communication by electrical coupling involved in cardiac conduction {GO:0086064}; cellular calcium ion homeostasis {GO:0006874}; cellular potassium ion homeostasis {GO:0030007}; cellular sodium ion homeostasis {GO:0006883}; ion transmembrane transport {GO:0034220}; leukocyte migration {GO:0050900}; membrane repolarization {GO:0086009}; membrane repolarization during cardiac muscle cell action potential {GO:0086013}; positive regulation of ATPase activity {GO:0032781}; positive regulation of calcium:sodium antiporter activity {GO:1903281}; positive regulation of potassium ion import across plasma membrane {GO:1903288}; positive regulation of potassium ion transmembrane transporter activity {GO:1901018}; positive regulation of sodium ion export across plasma membrane {GO:1903278}; potassium ion import across plasma membrane {GO:1990573}; protein localization to plasma membrane {GO:0072659}; protein stabilization {GO:0050821}; protein transport into plasma membrane raft {GO:0044861}; regulation of cardiac conduction {GO:1903779}; regulation of cardiac muscle contraction by calcium ion signaling {GO:0010882}; regulation of gene expression {GO:0010468}; relaxation of cardiac muscle {GO:0055119}; response to hypoxia {GO:0001666}; sodium ion export across plasma membrane {GO:0036376}</t>
  </si>
  <si>
    <t>apical plasma membrane {GO:0016324}; basolateral plasma membrane {GO:0016323}; caveola {GO:0005901}; extracellular exosome {GO:0070062}; extracellular vesicle {GO:1903561}; intercalated disc {GO:0014704}; membrane {GO:0016020}; plasma membrane {GO:0005886}; sarcolemma {GO:0042383}; sodium:potassium-exchanging ATPase complex {GO:0005890}</t>
  </si>
  <si>
    <t>ATPase activator activity {GO:0001671}; ATPase binding {GO:0051117}; MHC class II protein complex binding {GO:0023026}; protein C-terminus binding {GO:0008022}; protein kinase binding {GO:0019901}; sodium:potassium-exchanging ATPase activity {GO:0005391}</t>
  </si>
  <si>
    <t>Basigin interactions {R-HSA-210991}; Ion homeostasis {R-HSA-5578775}; Ion transport by P-type ATPases {R-HSA-936837}</t>
  </si>
  <si>
    <t>Tropomyosin alpha-3 chain</t>
  </si>
  <si>
    <t>Gamma-tropomyosin; Tropomyosin-3; Tropomyosin-5 (hTM5)</t>
  </si>
  <si>
    <t>TPM3_HUMAN</t>
  </si>
  <si>
    <t>P06753</t>
  </si>
  <si>
    <t>D3DV71; P12324; Q2QD06; Q5VU58; Q5VU63; Q5VU66; Q5VU71; Q5VU72; Q8TCG3; Q969Q2; Q9NQH8</t>
  </si>
  <si>
    <t>Acetylation; Actin-binding; Alternative splicing; Chromosomal rearrangement; Coiled coil; Cytoplasm; Cytoskeleton; Disease mutation; Muscle protein; Nemaline myopathy; Phosphoprotein; Proto-oncogene</t>
  </si>
  <si>
    <t>Disease mutation; Nemaline myopathy; Proto-oncogene</t>
  </si>
  <si>
    <t>actin filament organization {GO:0007015}; muscle contraction {GO:0006936}; muscle filament sliding {GO:0030049}</t>
  </si>
  <si>
    <t>actin cytoskeleton {GO:0015629}; actin filament {GO:0005884}; cytoskeleton {GO:0005856}; cytosol {GO:0005829}; extracellular exosome {GO:0070062}; muscle thin filament tropomyosin {GO:0005862}; stress fiber {GO:0001725}</t>
  </si>
  <si>
    <t>Medium-chain specific acyl-CoA dehydrogenase, mitochondrial (MCAD)</t>
  </si>
  <si>
    <t>ACADM_HUMAN</t>
  </si>
  <si>
    <t>P11310</t>
  </si>
  <si>
    <t>Q5T4U4; Q9NYF1</t>
  </si>
  <si>
    <t>3D-structure; Acetylation; Alternative splicing; Disease mutation; FAD; Fatty acid metabolism; Flavoprotein; Lipid metabolism; Mitochondrion; Oxidoreductase; Phosphoprotein; Polymorphism; Transit peptide</t>
  </si>
  <si>
    <t>carnitine biosynthetic process {GO:0045329}; carnitine metabolic process, CoA-linked {GO:0019254}; fatty acid beta-oxidation {GO:0006635}; fatty acid beta-oxidation using acyl-CoA dehydrogenase {GO:0033539}; medium-chain fatty acid catabolic process {GO:0051793}; medium-chain fatty acid metabolic process {GO:0051791}; oxidation-reduction process {GO:0055114}; regulation of lipid metabolic process {GO:0019216}</t>
  </si>
  <si>
    <t>axon {GO:0030424}; mitochondrial matrix {GO:0005759}; mitochondrial membrane {GO:0031966}; mitochondrion {GO:0005739}; nuclear speck {GO:0016607}; nucleus {GO:0005634}</t>
  </si>
  <si>
    <t>acyl-CoA dehydrogenase activity {GO:0003995}; flavin adenine dinucleotide binding {GO:0050660}; identical protein binding {GO:0042802}; medium-chain-acyl-CoA dehydrogenase activity {GO:0070991}</t>
  </si>
  <si>
    <t>Lipid metabolism; mitochondrial fatty acid beta- oxidation.</t>
  </si>
  <si>
    <t>PPARA activates gene expression {R-HSA-1989781}; mitochondrial fatty acid beta-oxidation of unsaturated fatty acids {R-HSA-77288}; Beta oxidation of decanoyl-CoA to octanoyl-CoA-CoA {R-HSA-77346}; Beta oxidation of octanoyl-CoA to hexanoyl-CoA {R-HSA-77348}</t>
  </si>
  <si>
    <t>G-protein coupled receptor family C group 5 member B</t>
  </si>
  <si>
    <t>A-69G12.1; Retinoic acid-induced gene 2 protein (RAIG-2)</t>
  </si>
  <si>
    <t>GPC5B_HUMAN</t>
  </si>
  <si>
    <t>Q9NZH0</t>
  </si>
  <si>
    <t>D2DFB0; O75205; Q8NBZ8</t>
  </si>
  <si>
    <t>RAIG2</t>
  </si>
  <si>
    <t>positive regulation of canonical Wnt signaling pathway {GO:0090263}; positive regulation of I-kappaB kinase/NF-kappaB signaling {GO:0043123}; positive regulation of inflammatory response {GO:0050729}; positive regulation of macrophage cytokine production {GO:0060907}; positive regulation of neuron differentiation {GO:0045666}; positive regulation of protein tyrosine kinase activity {GO:0061098}</t>
  </si>
  <si>
    <t>cell surface {GO:0009986}; cytoplasmic vesicle membrane {GO:0030659}; cytosol {GO:0005829}; extracellular exosome {GO:0070062}; extracellular space {GO:0005615}; integral component of membrane {GO:0016021}; intracellular membrane-bounded organelle {GO:0043231}; nucleolus {GO:0005730}; nucleus {GO:0005634}; plasma membrane {GO:0005886}; receptor complex {GO:0043235}</t>
  </si>
  <si>
    <t>G protein-coupled receptor activity {GO:0004930}; G protein-coupled receptor binding {GO:0001664}; protein kinase activator activity {GO:0030295}; protein kinase binding {GO:0019901}</t>
  </si>
  <si>
    <t>Laminin subunit gamma-2</t>
  </si>
  <si>
    <t>Cell-scattering factor 140 kDa subunit (CSF 140 kDa subunit); Epiligrin subunit gamma; Kalinin subunit gamma; Kalinin/nicein/epiligrin 100 kDa subunit; Ladsin 140 kDa subunit; Laminin B2t chain; Laminin-5 subunit gamma; Large adhesive scatter factor 140 kDa subunit; Nicein subunit gamma</t>
  </si>
  <si>
    <t>LAMC2_HUMAN</t>
  </si>
  <si>
    <t>Q13753</t>
  </si>
  <si>
    <t>Q02536; Q02537; Q13752; Q14941; Q14DF7; Q2M1N2; Q5VYE8</t>
  </si>
  <si>
    <t>LAMB2T; LAMNB2</t>
  </si>
  <si>
    <t>Alternative splicing; Basement membrane; Cell adhesion; Coiled coil; Disulfide bond; Epidermolysis bullosa; Extracellular matrix; Glycoprotein; Heparin-binding; Laminin EGF-like domain; Polymorphism; Repeat; Secreted; Signal</t>
  </si>
  <si>
    <t>animal organ morphogenesis {GO:0009887}; basement membrane assembly {GO:0070831}; cell migration {GO:0016477}; epidermis development {GO:0008544}; extracellular matrix organization {GO:0030198}; hemidesmosome assembly {GO:0031581}; positive regulation of cell migration {GO:0030335}; positive regulation of cell population proliferation {GO:0008284}; substrate adhesion-dependent cell spreading {GO:0034446}; tissue development {GO:0009888}</t>
  </si>
  <si>
    <t>basement membrane {GO:0005604}; cell cortex {GO:0005938}; collagen-containing extracellular matrix {GO:0062023}; extracellular region {GO:0005576}; extracellular space {GO:0005615}; laminin-2 complex {GO:0005607}; membrane {GO:0016020}; perinuclear region of cytoplasm {GO:0048471}</t>
  </si>
  <si>
    <t>heparin binding {GO:0008201}</t>
  </si>
  <si>
    <t>Degradation of the extracellular matrix {R-HSA-1474228}; Assembly of collagen fibrils and other multimeric structures {R-HSA-2022090}; Anchoring fibril formation {R-HSA-2214320}; Laminin interactions {R-HSA-3000157}; Non-integrin membrane-ECM interactions {R-HSA-3000171}; Type I hemidesmosome assembly {R-HSA-446107}; MET activates PTK2 signaling {R-HSA-8874081}</t>
  </si>
  <si>
    <t>Neutrophil cytosol factor 2 (NCF-2)</t>
  </si>
  <si>
    <t>67 kDa neutrophil oxidase factor; NADPH oxidase activator 2; Neutrophil NADPH oxidase factor 2; p67-phox</t>
  </si>
  <si>
    <t>NCF2_HUMAN</t>
  </si>
  <si>
    <t>P19878</t>
  </si>
  <si>
    <t>B2R6Q1; B4DKQ7; B4DQA7; E9PHJ2; E9PHX3; Q2PP06; Q8NFC7; Q9BV51</t>
  </si>
  <si>
    <t>NOXA2; P67PHOX</t>
  </si>
  <si>
    <t>3D-structure; Alternative splicing; Chronic granulomatous disease; Cytoplasm; Disease mutation; Phosphoprotein; Polymorphism; Repeat; SH3 domain; TPR repeat</t>
  </si>
  <si>
    <t>Repeat; SH3 domain; TPR repeat</t>
  </si>
  <si>
    <t>antigen processing and presentation of exogenous peptide antigen via MHC class I, TAP-dependent {GO:0002479}; cell redox homeostasis {GO:0045454}; cellular defense response {GO:0006968}; cellular response to oxidative stress {GO:0034599}; innate immune response {GO:0045087}; phagocytosis {GO:0006909}; respiratory burst {GO:0045730}; superoxide anion generation {GO:0042554}; superoxide metabolic process {GO:0006801}; vascular endothelial growth factor receptor signaling pathway {GO:0048010}</t>
  </si>
  <si>
    <t>acrosomal vesicle {GO:0001669}; cytosol {GO:0005829}; NADPH oxidase complex {GO:0043020}; nucleolus {GO:0005730}; phagolysosome {GO:0032010}</t>
  </si>
  <si>
    <t>electron transfer activity {GO:0009055}; protein C-terminus binding {GO:0008022}; Rac GTPase binding {GO:0048365}; superoxide-generating NADPH oxidase activator activity {GO:0016176}; superoxide-generating NADPH oxidase activity {GO:0016175}</t>
  </si>
  <si>
    <t>Zinc-alpha-2-glycoprotein (Zn-alpha-2-GP; Zn-alpha-2-glycoprotein)</t>
  </si>
  <si>
    <t>ZA2G_HUMAN</t>
  </si>
  <si>
    <t>P25311</t>
  </si>
  <si>
    <t>D6W5T8; O60386; Q5XKQ4; Q8N4N0</t>
  </si>
  <si>
    <t>ZAG; ZNGP1</t>
  </si>
  <si>
    <t>3D-structure; Disulfide bond; Glycoprotein; Pyrrolidone carboxylic acid; Secreted; Signal</t>
  </si>
  <si>
    <t>cell adhesion {GO:0007155}; detection of chemical stimulus involved in sensory perception of bitter taste {GO:0001580}; immune response {GO:0006955}; negative regulation of cell population proliferation {GO:0008285}; retina homeostasis {GO:0001895}; transmembrane transport {GO:0055085}</t>
  </si>
  <si>
    <t>collagen-containing extracellular matrix {GO:0062023}; external side of plasma membrane {GO:0009897}; extracellular exosome {GO:0070062}; extracellular region {GO:0005576}; extracellular space {GO:0005615}; nucleus {GO:0005634}; plasma membrane {GO:0005886}</t>
  </si>
  <si>
    <t>protein transmembrane transporter activity {GO:0008320}; ribonuclease activity {GO:0004540}</t>
  </si>
  <si>
    <t>Glutamine synthetase (GS)</t>
  </si>
  <si>
    <t>Glutamate--ammonia ligase; Palmitoyltransferase GLUL</t>
  </si>
  <si>
    <t>GLNA_HUMAN</t>
  </si>
  <si>
    <t>P15104</t>
  </si>
  <si>
    <t>Q499Y9; Q5T9Z1; Q7Z3W4; Q8IZ17</t>
  </si>
  <si>
    <t>3D-structure; Acetylation; Angiogenesis; ATP-binding; Cell membrane; Cytoplasm; Disease mutation; Endoplasmic reticulum; Ligase; Lipoprotein; Magnesium; Manganese; Membrane; Metal-binding; Microsome; Mitochondrion; Nucleotide-binding; Palmitate; Phosphoprotein; Transferase; Ubl conjugation</t>
  </si>
  <si>
    <t>Cell membrane; Cytoplasm; Endoplasmic reticulum; Membrane; Microsome; Mitochondrion</t>
  </si>
  <si>
    <t>Acetylation; Lipoprotein; Palmitate; Phosphoprotein; Ubl conjugation</t>
  </si>
  <si>
    <t>ammonia assimilation cycle {GO:0019676}; angiogenesis {GO:0001525}; cell population proliferation {GO:0008283}; cellular amino acid biosynthetic process {GO:0008652}; cellular response to starvation {GO:0009267}; glutamate catabolic process {GO:0006538}; glutamine biosynthetic process {GO:0006542}; neurotransmitter uptake {GO:0001504}; positive regulation of epithelial cell proliferation {GO:0050679}; positive regulation of insulin secretion {GO:0032024}; positive regulation of synaptic transmission, glutamatergic {GO:0051968}; protein homooligomerization {GO:0051260}; protein palmitoylation {GO:0018345}; regulation of endothelial cell migration {GO:0010594}; regulation of protein localization to nucleolus {GO:1904749}; regulation of sprouting angiogenesis {GO:1903670}; response to glucose {GO:0009749}; ribosome biogenesis {GO:0042254}</t>
  </si>
  <si>
    <t>axon terminus {GO:0043679}; cytosol {GO:0005829}; extracellular exosome {GO:0070062}; glial cell projection {GO:0097386}; mitochondrion {GO:0005739}; myelin sheath {GO:0043209}; nucleus {GO:0005634}; perikaryon {GO:0043204}; plasma membrane {GO:0005886}; protein-containing complex {GO:0032991}; rough endoplasmic reticulum {GO:0005791}</t>
  </si>
  <si>
    <t>ATP binding {GO:0005524}; dynein light chain binding {GO:0045503}; glutamate binding {GO:0016595}; glutamate-ammonia ligase activity {GO:0004356}; identical protein binding {GO:0042802}; magnesium ion binding {GO:0000287}; manganese ion binding {GO:0030145}; protein-cysteine S-palmitoyltransferase activity {GO:0019706}</t>
  </si>
  <si>
    <t>Astrocytic Glutamate-Glutamine Uptake And Metabolism {R-HSA-210455}; Amino acid synthesis and interconversion (transamination) {R-HSA-70614}</t>
  </si>
  <si>
    <t>Pyruvate kinase PKLR</t>
  </si>
  <si>
    <t>Pyruvate kinase 1; Pyruvate kinase isozymes L/R; R-type/L-type pyruvate kinase; Red cell/liver pyruvate kinase</t>
  </si>
  <si>
    <t>KPYR_HUMAN</t>
  </si>
  <si>
    <t>P30613</t>
  </si>
  <si>
    <t>O75758; P11973</t>
  </si>
  <si>
    <t>PK1; PKL</t>
  </si>
  <si>
    <t>3D-structure; Allosteric enzyme; Alternative splicing; ATP-binding; Disease mutation; Glycolysis; Hereditary hemolytic anemia; Kinase; Magnesium; Metal-binding; Nucleotide-binding; Phosphoprotein; Polymorphism; Potassium; Pyruvate; Transferase</t>
  </si>
  <si>
    <t>ATP biosynthetic process {GO:0006754}; canonical glycolysis {GO:0061621}; cellular response to epinephrine stimulus {GO:0071872}; cellular response to insulin stimulus {GO:0032869}; glycolytic process {GO:0006096}; pyruvate biosynthetic process {GO:0042866}; response to ATP {GO:0033198}; response to cAMP {GO:0051591}; response to glucose {GO:0009749}; response to heat {GO:0009408}; response to hypoxia {GO:0001666}; response to lithium ion {GO:0010226}</t>
  </si>
  <si>
    <t>ATP binding {GO:0005524}; kinase activity {GO:0016301}; magnesium ion binding {GO:0000287}; potassium ion binding {GO:0030955}; pyruvate kinase activity {GO:0004743}</t>
  </si>
  <si>
    <t>ChREBP activates metabolic gene expression {R-HSA-163765}; Regulation of gene expression in beta cells {R-HSA-210745}; Glycolysis {R-HSA-70171}</t>
  </si>
  <si>
    <t>V-type proton ATPase subunit H (V-ATPase subunit H)</t>
  </si>
  <si>
    <t>Nef-binding protein 1 (NBP1); Protein VMA13 homolog; V-ATPase 50/57 kDa subunits; Vacuolar proton pump subunit H; Vacuolar proton pump subunit SFD</t>
  </si>
  <si>
    <t>VATH_HUMAN</t>
  </si>
  <si>
    <t>Q9UI12</t>
  </si>
  <si>
    <t>B3KMR0; Q6PK44; Q9H3E3; Q9Y300</t>
  </si>
  <si>
    <t>Alternative splicing; Host-virus interaction; Hydrogen ion transport; Ion transport; Phosphoprotein; Transport</t>
  </si>
  <si>
    <t>Host-virus interaction; Hydrogen ion transport; Ion transport; Transport</t>
  </si>
  <si>
    <t>ATP hydrolysis coupled proton transport {GO:0015991}; endocytosis {GO:0006897}; insulin receptor signaling pathway {GO:0008286}; ion transmembrane transport {GO:0034220}; phagosome acidification {GO:0090383}; regulation of defense response to virus by virus {GO:0050690}; regulation of macroautophagy {GO:0016241}; transferrin transport {GO:0033572}; vacuolar acidification {GO:0007035}</t>
  </si>
  <si>
    <t>cytosol {GO:0005829}; extracellular exosome {GO:0070062}; lysosomal membrane {GO:0005765}; plasma membrane {GO:0005886}; vacuolar proton-transporting V-type ATPase, V1 domain {GO:0000221}</t>
  </si>
  <si>
    <t>enzyme regulator activity {GO:0030234}; proton-transporting ATPase activity, rotational mechanism {GO:0046961}</t>
  </si>
  <si>
    <t>ROS and RNS production in phagocytes {R-HSA-1222556}; Nef Mediated CD4 Down-regulation {R-HSA-167590}; Nef Mediated CD8 Down-regulation {R-HSA-182218}; Insulin receptor recycling {R-HSA-77387}; Transferrin endocytosis and recycling {R-HSA-917977}; Ion channel transport {R-HSA-983712}</t>
  </si>
  <si>
    <t>BRO1 domain-containing protein BROX</t>
  </si>
  <si>
    <t>BRO1 domain- and CAAX motif-containing protein</t>
  </si>
  <si>
    <t>BROX_HUMAN</t>
  </si>
  <si>
    <t>Q5VW32</t>
  </si>
  <si>
    <t>B7Z9G5; Q96MG1</t>
  </si>
  <si>
    <t>BROFTI; C1orf58</t>
  </si>
  <si>
    <t>3D-structure; Acetylation; Alternative splicing; Lipoprotein; Membrane; Methylation; Prenylation</t>
  </si>
  <si>
    <t>extracellular exosome {GO:0070062}; membrane {GO:0016020}</t>
  </si>
  <si>
    <t>Laminin subunit gamma-1</t>
  </si>
  <si>
    <t>Laminin B2 chain; Laminin-1 subunit gamma; Laminin-10 subunit gamma; Laminin-11 subunit gamma; Laminin-2 subunit gamma; Laminin-3 subunit gamma; Laminin-4 subunit gamma; Laminin-6 subunit gamma; Laminin-7 subunit gamma; Laminin-8 subunit gamma; Laminin-9 subunit gamma; S-laminin subunit gamma (S-LAM gamma)</t>
  </si>
  <si>
    <t>LAMC1_HUMAN</t>
  </si>
  <si>
    <t>P11047</t>
  </si>
  <si>
    <t>Q5VYE7</t>
  </si>
  <si>
    <t>3D-structure; Basement membrane; Cell adhesion; Coiled coil; Disulfide bond; Extracellular matrix; Glycoprotein; Laminin EGF-like domain; Phosphoprotein; Polymorphism; Repeat; Secreted; Signal</t>
  </si>
  <si>
    <t>animal organ morphogenesis {GO:0009887}; cell adhesion {GO:0007155}; cell migration {GO:0016477}; cellular protein metabolic process {GO:0044267}; endoderm development {GO:0007492}; extracellular matrix disassembly {GO:0022617}; extracellular matrix organization {GO:0030198}; hemidesmosome assembly {GO:0031581}; positive regulation of epithelial cell proliferation {GO:0050679}; post-translational protein modification {GO:0043687}; protein-containing complex assembly {GO:0065003}; substrate adhesion-dependent cell spreading {GO:0034446}; tissue development {GO:0009888}</t>
  </si>
  <si>
    <t>basement membrane {GO:0005604}; collagen-containing extracellular matrix {GO:0062023}; endoplasmic reticulum lumen {GO:0005788}; extracellular exosome {GO:0070062}; extracellular region {GO:0005576}; extracellular space {GO:0005615}; laminin-1 complex {GO:0005606}; laminin-10 complex {GO:0043259}; laminin-11 complex {GO:0043260}</t>
  </si>
  <si>
    <t>Argininosuccinate lyase (ASAL)</t>
  </si>
  <si>
    <t>Arginosuccinase</t>
  </si>
  <si>
    <t>ARLY_HUMAN</t>
  </si>
  <si>
    <t>P04424</t>
  </si>
  <si>
    <t>E7EMI0; E9PE48; Q6LDS5; Q96HS2</t>
  </si>
  <si>
    <t>3D-structure; Acetylation; Alternative splicing; Amino-acid biosynthesis; Arginine biosynthesis; Disease mutation; Lyase; Polymorphism; Urea cycle</t>
  </si>
  <si>
    <t>Amino-acid biosynthesis; Arginine biosynthesis; Urea cycle</t>
  </si>
  <si>
    <t>arginine biosynthetic process via ornithine {GO:0042450}; urea cycle {GO:0000050}</t>
  </si>
  <si>
    <t>argininosuccinate lyase activity {GO:0004056}; identical protein binding {GO:0042802}</t>
  </si>
  <si>
    <t>Nitrogen metabolism; urea cycle; L-arginine and fumarate from (N(omega)-L-arginino)succinate: step 1/1.</t>
  </si>
  <si>
    <t>Urea cycle {R-HSA-70635}</t>
  </si>
  <si>
    <t>Polyserase-2</t>
  </si>
  <si>
    <t>Polyserine protease 2; Serine protease 36</t>
  </si>
  <si>
    <t>POLS2_HUMAN</t>
  </si>
  <si>
    <t>Q5K4E3</t>
  </si>
  <si>
    <t>A8K2P5; B4DW80; B7ZMK8; E7EX56; Q8NBY4</t>
  </si>
  <si>
    <t>Alternative splicing; Disulfide bond; Extracellular matrix; Glycoprotein; Hydrolase; Protease; Repeat; Secreted; Serine protease; Signal; Zymogen</t>
  </si>
  <si>
    <t>cytoplasm {GO:0005737}; extracellular region {GO:0005576}</t>
  </si>
  <si>
    <t>Disintegrin and metalloproteinase domain-containing protein 15 (ADAM 15)</t>
  </si>
  <si>
    <t>Metalloprotease RGD disintegrin protein; Metalloproteinase-like, disintegrin-like, and cysteine-rich protein 15 (MDC-15); Metargidin</t>
  </si>
  <si>
    <t>ADA15_HUMAN</t>
  </si>
  <si>
    <t>Q13444</t>
  </si>
  <si>
    <t>B3KQU5; B4DLB5; B4DMH8; E9PN65; Q13493; Q53XQ0; Q5SR68; Q5SR69; Q6R267; Q71S61; Q71S62; Q71S63; Q71S64; Q71S65; Q71S66; Q71S67; Q71S68; Q71S69; Q96C78; U3KQL5</t>
  </si>
  <si>
    <t>MDC15</t>
  </si>
  <si>
    <t>Alternative splicing; Angiogenesis; Cell adhesion; Cell junction; Cell projection; Cilium; Cleavage on pair of basic residues; Collagen degradation; Cytoplasmic vesicle; Disulfide bond; EGF-like domain; Flagellum; Glycoprotein; Hydrolase; Membrane; Metal-binding; Metalloprotease; Phosphoprotein; Polymorphism; Protease; SH3-binding; Signal; Transmembrane; Transmembrane helix; Zinc; Zymogen</t>
  </si>
  <si>
    <t>Angiogenesis; Cell adhesion; Collagen degradation</t>
  </si>
  <si>
    <t>Cell junction; Cell projection; Cilium; Cytoplasmic vesicle; Flagellum; Membrane</t>
  </si>
  <si>
    <t>angiogenesis {GO:0001525}; cardiac epithelial to mesenchymal transition {GO:0060317}; cell-matrix adhesion {GO:0007160}; cellular response to phorbol 13-acetate 12-myristate {GO:1904628}; collagen catabolic process {GO:0030574}; extracellular matrix disassembly {GO:0022617}; extracellular matrix organization {GO:0030198}; immune response to tumor cell {GO:0002418}; innate immune response {GO:0045087}; integrin-mediated signaling pathway {GO:0007229}; male gonad development {GO:0008584}; negative regulation of cell growth {GO:0030308}; negative regulation of cell migration {GO:0030336}; negative regulation of cell-matrix adhesion {GO:0001953}; negative regulation of receptor binding {GO:1900121}; response to hypobaric hypoxia {GO:1990910}; tissue regeneration {GO:0042246}</t>
  </si>
  <si>
    <t>acrosomal vesicle {GO:0001669}; adherens junction {GO:0005912}; cell surface {GO:0009986}; extracellular exosome {GO:0070062}; integral component of membrane {GO:0016021}; motile cilium {GO:0031514}; plasma membrane {GO:0005886}</t>
  </si>
  <si>
    <t>integrin binding {GO:0005178}; metal ion binding {GO:0046872}; metalloendopeptidase activity {GO:0004222}; metallopeptidase activity {GO:0008237}; SH3 domain binding {GO:0017124}</t>
  </si>
  <si>
    <t>Degradation of the extracellular matrix {R-HSA-1474228}; Invadopodia formation {R-HSA-8941237}</t>
  </si>
  <si>
    <t>Carbonic anhydrase 3</t>
  </si>
  <si>
    <t>Carbonate dehydratase III; Carbonic anhydrase III (CA-III)</t>
  </si>
  <si>
    <t>CAH3_HUMAN</t>
  </si>
  <si>
    <t>P07451</t>
  </si>
  <si>
    <t>B2R867; B3KUC8; O60842</t>
  </si>
  <si>
    <t>3D-structure; Acetylation; Cytoplasm; Glutathionylation; Lyase; Metal-binding; Phosphoprotein; Polymorphism; Zinc</t>
  </si>
  <si>
    <t>Acetylation; Glutathionylation; Phosphoprotein</t>
  </si>
  <si>
    <t>bicarbonate transport {GO:0015701}; response to bacterium {GO:0009617}; response to ethanol {GO:0045471}; response to oxidative stress {GO:0006979}</t>
  </si>
  <si>
    <t>carbonate dehydratase activity {GO:0004089}; nickel cation binding {GO:0016151}; phosphatase activity {GO:0016791}; zinc ion binding {GO:0008270}</t>
  </si>
  <si>
    <t>Reversible hydration of carbon dioxide {R-HSA-1475029}</t>
  </si>
  <si>
    <t>Eukaryotic peptide chain release factor GTP-binding subunit ERF3B (Eukaryotic peptide chain release factor subunit 3b; eRF3b)</t>
  </si>
  <si>
    <t>G1 to S phase transition protein 2 homolog</t>
  </si>
  <si>
    <t>ERF3B_HUMAN</t>
  </si>
  <si>
    <t>Q8IYD1</t>
  </si>
  <si>
    <t>Q9H909; Q9NVY0; Q9NY44</t>
  </si>
  <si>
    <t>ERF3B</t>
  </si>
  <si>
    <t>3D-structure; Cell cycle; Cytoplasm; GTP-binding; Nonsense-mediated mRNA decay; Nucleotide-binding; Polymorphism; Protein biosynthesis</t>
  </si>
  <si>
    <t>Cell cycle; Nonsense-mediated mRNA decay; Protein biosynthesis</t>
  </si>
  <si>
    <t>cell cycle {GO:0007049}; cytoplasmic translational termination {GO:0002184}; nuclear-transcribed mRNA catabolic process, nonsense-mediated decay {GO:0000184}; translation {GO:0006412}</t>
  </si>
  <si>
    <t>cytosol {GO:0005829}; translation release factor complex {GO:0018444}</t>
  </si>
  <si>
    <t>GTP binding {GO:0005525}; GTPase activity {GO:0003924}; RNA binding {GO:0003723}; translation release factor activity {GO:0003747}</t>
  </si>
  <si>
    <t>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</si>
  <si>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Carbonic anhydrase 2</t>
  </si>
  <si>
    <t>Carbonate dehydratase II; Carbonic anhydrase C (CAC); Carbonic anhydrase II (CA-II)</t>
  </si>
  <si>
    <t>CAH2_HUMAN</t>
  </si>
  <si>
    <t>P00918</t>
  </si>
  <si>
    <t>B2R7G8; Q6FI12; Q96ET9</t>
  </si>
  <si>
    <t>3D-structure; Acetylation; Cell membrane; Cytoplasm; Disease mutation; Lyase; Membrane; Metal-binding; Osteopetrosis; Phosphoprotein; Polymorphism; Zinc</t>
  </si>
  <si>
    <t>Disease mutation; Osteopetrosis</t>
  </si>
  <si>
    <t>angiotensin-activated signaling pathway {GO:0038166}; bicarbonate transport {GO:0015701}; carbon dioxide transport {GO:0015670}; cellular response to fluid shear stress {GO:0071498}; kidney development {GO:0001822}; morphogenesis of an epithelium {GO:0002009}; odontogenesis of dentin-containing tooth {GO:0042475}; positive regulation of bone resorption {GO:0045780}; positive regulation of cellular pH reduction {GO:0032849}; positive regulation of dipeptide transmembrane transport {GO:2001150}; positive regulation of osteoclast differentiation {GO:0045672}; positive regulation of synaptic transmission, GABAergic {GO:0032230}; regulation of anion transport {GO:0044070}; regulation of chloride transport {GO:2001225}; regulation of intracellular pH {GO:0051453}; response to estrogen {GO:0043627}; response to pH {GO:0009268}; response to steroid hormone {GO:0048545}; response to zinc ion {GO:0010043}; secretion {GO:0046903}</t>
  </si>
  <si>
    <t>apical part of cell {GO:0045177}; axon {GO:0030424}; basolateral plasma membrane {GO:0016323}; cytoplasm {GO:0005737}; cytosol {GO:0005829}; extracellular exosome {GO:0070062}; microvillus {GO:0005902}; myelin sheath {GO:0043209}; plasma membrane {GO:0005886}</t>
  </si>
  <si>
    <t>arylesterase activity {GO:0004064}; carbonate dehydratase activity {GO:0004089}; zinc ion binding {GO:0008270}</t>
  </si>
  <si>
    <t>Erythrocytes take up carbon dioxide and release oxygen {R-HSA-1237044}; Erythrocytes take up oxygen and release carbon dioxide {R-HSA-1247673}; Reversible hydration of carbon dioxide {R-HSA-1475029}</t>
  </si>
  <si>
    <t>Elongation factor Tu, mitochondrial (EF-Tu)</t>
  </si>
  <si>
    <t>P43</t>
  </si>
  <si>
    <t>EFTU_HUMAN</t>
  </si>
  <si>
    <t>P49411</t>
  </si>
  <si>
    <t>O15276</t>
  </si>
  <si>
    <t>Acetylation; Disease mutation; Elongation factor; GTP-binding; Mitochondrion; Nucleotide-binding; Phosphoprotein; Primary mitochondrial disease; Protein biosynthesis; Transit peptide</t>
  </si>
  <si>
    <t>mitochondrial translational elongation {GO:0070125}; response to ethanol {GO:0045471}; translational elongation {GO:0006414}</t>
  </si>
  <si>
    <t>extracellular exosome {GO:0070062}; membrane {GO:0016020}; mitochondrial nucleoid {GO:0042645}; mitochondrion {GO:0005739}; synapse {GO:0045202}</t>
  </si>
  <si>
    <t>GTP binding {GO:0005525}; GTPase activity {GO:0003924}; RNA binding {GO:0003723}; translation elongation factor activity {GO:0003746}</t>
  </si>
  <si>
    <t>Mitochondrial translation elongation {R-HSA-5389840}</t>
  </si>
  <si>
    <t>Lamin-A/C</t>
  </si>
  <si>
    <t>70 kDa lamin; Renal carcinoma antigen NY-REN-32</t>
  </si>
  <si>
    <t>LMNA_HUMAN</t>
  </si>
  <si>
    <t>P02545</t>
  </si>
  <si>
    <t>B4DI32; D3DVB0; D6RAQ3; E7EUI9; P02546; Q5I6Y4; Q5I6Y6; Q5TCJ2; Q5TCJ3; Q6UYC3; Q969I8; Q96JA2</t>
  </si>
  <si>
    <t>LMN1</t>
  </si>
  <si>
    <t>3D-structure; Acetylation; Alternative splicing; Cardiomyopathy; Charcot-Marie-Tooth disease; Coiled coil; Congenital muscular dystrophy; Disease mutation; Emery-Dreifuss muscular dystrophy; Intermediate filament; Isopeptide bond; Limb-girdle muscular dystrophy; Lipoprotein; Methylation; Neurodegeneration; Neuropathy; Nucleus; Phosphoprotein; Polymorphism; Prenylation; Ubl conjugation</t>
  </si>
  <si>
    <t>Intermediate filament; Nucleus</t>
  </si>
  <si>
    <t>Cardiomyopathy; Charcot-Marie-Tooth disease; Congenital muscular dystrophy; Disease mutation; Emery-Dreifuss muscular dystrophy; Limb-girdle muscular dystrophy; Neurodegeneration; Neuropathy</t>
  </si>
  <si>
    <t>cellular protein localization {GO:0034613}; cellular response to hypoxia {GO:0071456}; establishment or maintenance of microtubule cytoskeleton polarity {GO:0030951}; IRE1-mediated unfolded protein response {GO:0036498}; mitotic nuclear envelope reassembly {GO:0007084}; muscle organ development {GO:0007517}; negative regulation of cardiac muscle hypertrophy in response to stress {GO:1903243}; negative regulation of cell population proliferation {GO:0008285}; negative regulation of extrinsic apoptotic signaling pathway {GO:2001237}; negative regulation of mesenchymal cell proliferation {GO:0072201}; negative regulation of release of cytochrome c from mitochondria {GO:0090201}; nuclear envelope organization {GO:0006998}; positive regulation of cell aging {GO:0090343}; positive regulation of gene expression {GO:0010628}; positive regulation of histone H3-K9 trimethylation {GO:1900114}; protein import into nucleus {GO:0006606}; protein localization to nucleus {GO:0034504}; regulation of cell migration {GO:0030334}; regulation of protein localization to nucleus {GO:1900180}; regulation of protein stability {GO:0031647}; regulation of telomere maintenance {GO:0032204}; ventricular cardiac muscle cell development {GO:0055015}</t>
  </si>
  <si>
    <t>cytosol {GO:0005829}; intermediate filament {GO:0005882}; lamin filament {GO:0005638}; nuclear envelope {GO:0005635}; nuclear lamina {GO:0005652}; nuclear membrane {GO:0031965}; nuclear speck {GO:0016607}; nucleoplasm {GO:0005654}; nucleus {GO:0005634}; perinuclear region of cytoplasm {GO:0048471}</t>
  </si>
  <si>
    <t>identical protein binding {GO:0042802}; structural molecule activity {GO:0005198}</t>
  </si>
  <si>
    <t>Meiotic synapsis {R-HSA-1221632}; Nuclear Envelope Breakdown {R-HSA-2980766}; Initiation of Nuclear Envelope Reformation {R-HSA-2995383}; Breakdown of the nuclear lamina {R-HSA-352238}; XBP1(S) activates chaperone genes {R-HSA-381038}; Depolymerisation of the Nuclear Lamina {R-HSA-4419969}; Signaling by BRAF and RAF fusions {R-HSA-6802952}; Deregulated CDK5 triggers multiple neurodegenerative pathways in Alzheimer's disease models {R-HSA-8862803}</t>
  </si>
  <si>
    <t>T-complex protein 1 subunit gamma (TCP-1-gamma)</t>
  </si>
  <si>
    <t>CCT-gamma; hTRiC5</t>
  </si>
  <si>
    <t>TCPG_HUMAN</t>
  </si>
  <si>
    <t>P49368</t>
  </si>
  <si>
    <t>A6NE14; Q5SZY1; Q9BR64</t>
  </si>
  <si>
    <t>CCTG; TRIC5</t>
  </si>
  <si>
    <t>Acetylation; Alternative splicing; ATP-binding; Chaperone; Cytoplasm; Disulfide bond; Isopeptide bond; Nucleotide-binding; Phosphoprotein; Polymorphism; Ubl conjugation</t>
  </si>
  <si>
    <t>binding of sperm to zona pellucida {GO:0007339}; pore complex assembly {GO:0046931};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toxin transport {GO:1901998}</t>
  </si>
  <si>
    <t>cell body {GO:0044297}; chaperonin-containing T-complex {GO:0005832}; cytoskeleton {GO:0005856}; cytosol {GO:0005829}; extracellular exosome {GO:0070062}; microtubule {GO:0005874}; plasma membrane {GO:0005886}; zona pellucida receptor complex {GO:0002199}</t>
  </si>
  <si>
    <t>ATP binding {GO:0005524}; RNA binding {GO:0003723}; unfolded protein binding {GO:0051082}</t>
  </si>
  <si>
    <t>Fc receptor-like protein 1 (FcR-like protein 1; FcRL1)</t>
  </si>
  <si>
    <t>Fc receptor homolog 1 (FcRH1); IFGP family protein 1 (hIFGP1); Immune receptor translocation-associated protein 5; CD_antigen=CD307a</t>
  </si>
  <si>
    <t>FCRL1_HUMAN</t>
  </si>
  <si>
    <t>Q96LA6</t>
  </si>
  <si>
    <t>B2RE05; Q8N759; Q8NDI0; Q96PJ6</t>
  </si>
  <si>
    <t>FCRH1; IFGP1; IRTA5</t>
  </si>
  <si>
    <t>Alternative splicing; Cell membrane; Disulfide bond; Glycoprotein; Immunoglobulin domain; Membrane; Phosphoprotein; Polymorphism; Receptor; Repeat; Signal; Transmembrane; Transmembrane helix</t>
  </si>
  <si>
    <t>B cell activation {GO:0042113}</t>
  </si>
  <si>
    <t>coreceptor activity {GO:0015026}</t>
  </si>
  <si>
    <t>A disintegrin and metalloproteinase with thrombospondin motifs 4 (ADAM-TS 4; ADAM-TS4; ADAMTS-4)</t>
  </si>
  <si>
    <t>ADMP-1; Aggrecanase-1</t>
  </si>
  <si>
    <t>ATS4_HUMAN</t>
  </si>
  <si>
    <t>O75173</t>
  </si>
  <si>
    <t>Q2HYD0; Q5VTW2; Q6P4Q8; Q6UWA8; Q9UN83</t>
  </si>
  <si>
    <t>KIAA0688</t>
  </si>
  <si>
    <t>3D-structure; Alternative splicing; Cleavage on pair of basic residues; Disulfide bond; Extracellular matrix; Glycoprotein; Hydrolase; Metal-binding; Metalloprotease; Polymorphism; Protease; Secreted; Signal; Zinc; Zymogen</t>
  </si>
  <si>
    <t>extracellular matrix disassembly {GO:0022617}; proteolysis {GO:0006508}; skeletal system development {GO:0001501}</t>
  </si>
  <si>
    <t>collagen-containing extracellular matrix {GO:0062023}; extracellular region {GO:0005576}; extracellular space {GO:0005615}; nuclear speck {GO:0016607}</t>
  </si>
  <si>
    <t>metal ion binding {GO:0046872}; metalloendopeptidase activity {GO:0004222}; metallopeptidase activity {GO:0008237}; peptidase activity {GO:0008233}; protease binding {GO:0002020}</t>
  </si>
  <si>
    <t>Ubiquitin-fold modifier-conjugating enzyme 1 (Ufm1-conjugating enzyme 1)</t>
  </si>
  <si>
    <t>UFC1_HUMAN</t>
  </si>
  <si>
    <t>Q9Y3C8</t>
  </si>
  <si>
    <t>A8K9R1; D3DVF9; Q549X0; Q5VTX1; Q9BS96; Q9P009</t>
  </si>
  <si>
    <t>3D-structure; Disease mutation; Polymorphism; Ubl conjugation pathway</t>
  </si>
  <si>
    <t>brain development {GO:0007420}; protein K69-linked ufmylation {GO:1990592}; protein ufmylation {GO:0071569}; response to endoplasmic reticulum stress {GO:0034976}</t>
  </si>
  <si>
    <t>Cysteine and glycine-rich protein 1</t>
  </si>
  <si>
    <t>Cysteine-rich protein 1 (CRP; CRP1); Epididymis luminal protein 141 (HEL-141)</t>
  </si>
  <si>
    <t>CSRP1_HUMAN</t>
  </si>
  <si>
    <t>P21291</t>
  </si>
  <si>
    <t>A8K268; Q5U0J2</t>
  </si>
  <si>
    <t>CSRP; CYRP</t>
  </si>
  <si>
    <t>Acetylation; Isopeptide bond; LIM domain; Metal-binding; Nucleus; Phosphoprotein; Polymorphism; Repeat; Ubl conjugation; Zinc</t>
  </si>
  <si>
    <t>actin cytoskeleton organization {GO:0030036}; muscle tissue development {GO:0060537}; platelet aggregation {GO:0070527}; sarcomere organization {GO:0045214}</t>
  </si>
  <si>
    <t>cytoplasm {GO:0005737}; extracellular exosome {GO:0070062}; focal adhesion {GO:0005925}; nucleus {GO:0005634}; Z disc {GO:0030018}</t>
  </si>
  <si>
    <t>actinin binding {GO:0042805}; RNA binding {GO:0003723}; structural constituent of muscle {GO:0008307}; zinc ion binding {GO:0008270}</t>
  </si>
  <si>
    <t>MTF1 activates gene expression {R-HSA-5660489}</t>
  </si>
  <si>
    <t>Thiosulfate:glutathione sulfurtransferase (TST)</t>
  </si>
  <si>
    <t>TSTD1_HUMAN</t>
  </si>
  <si>
    <t>Q8NFU3</t>
  </si>
  <si>
    <t>Q5SY48; Q5SY49; Q5SY50; Q5SY51; Q8NFU2; Q9BV22</t>
  </si>
  <si>
    <t>KAT</t>
  </si>
  <si>
    <t>3D-structure; Alternative splicing; Cytoplasm; Transferase</t>
  </si>
  <si>
    <t>sulfide oxidation, using sulfide:quinone oxidoreductase {GO:0070221}</t>
  </si>
  <si>
    <t>cytoplasm {GO:0005737}; cytoplasmic ribonucleoprotein granule {GO:0036464}; cytosol {GO:0005829}; perinuclear region of cytoplasm {GO:0048471}</t>
  </si>
  <si>
    <t>thiosulfate-thiol sulfurtransferase activity {GO:0050337}</t>
  </si>
  <si>
    <t>Actin-related protein 2/3 complex subunit 1B</t>
  </si>
  <si>
    <t>Arp2/3 complex 41 kDa subunit; p41-ARC</t>
  </si>
  <si>
    <t>ARC1B_HUMAN</t>
  </si>
  <si>
    <t>O15143</t>
  </si>
  <si>
    <t>Q9BU00</t>
  </si>
  <si>
    <t>ARC41</t>
  </si>
  <si>
    <t>Actin-binding; Cytoplasm; Cytoskeleton; Disease mutation; Nucleus; Polymorphism; Repeat; WD repeat</t>
  </si>
  <si>
    <t>Arp2/3 complex-mediated actin nucleation {GO:0034314}; ephrin receptor signaling pathway {GO:0048013}; Fc-gamma receptor signaling pathway involved in phagocytosis {GO:0038096}; response to estradiol {GO:0032355}; response to estrogen {GO:0043627}</t>
  </si>
  <si>
    <t>actin cytoskeleton {GO:0015629}; Arp2/3 protein complex {GO:0005885}; cytosol {GO:0005829}; extracellular exosome {GO:0070062}; focal adhesion {GO:0005925}; nucleus {GO:0005634}; tubulobulbar complex {GO:0036284}</t>
  </si>
  <si>
    <t>Regulation of actin dynamics for phagocytic cup formation {R-HSA-2029482}; EPHB-mediated forward signaling {R-HSA-3928662}; RHO GTPases Activate WASPs and WAVEs {R-HSA-5663213}</t>
  </si>
  <si>
    <t>28 kDa heat- and acid-stable phosphoprotein</t>
  </si>
  <si>
    <t>PDGF-associated protein (PAP); PDGFA-associated protein 1 (PAP1)</t>
  </si>
  <si>
    <t>HAP28_HUMAN</t>
  </si>
  <si>
    <t>Q13442</t>
  </si>
  <si>
    <t>D6W5S5; Q92906</t>
  </si>
  <si>
    <t>HASPP28</t>
  </si>
  <si>
    <t>neutrophil degranulation {GO:0043312}; signal transduction {GO:0007165}</t>
  </si>
  <si>
    <t>cytosol {GO:0005829}; extracellular region {GO:0005576}; ficolin-1-rich granule lumen {GO:1904813}; plasma membrane {GO:0005886}</t>
  </si>
  <si>
    <t>Nuclear ubiquitous casein and cyclin-dependent kinase substrate 1</t>
  </si>
  <si>
    <t>P1</t>
  </si>
  <si>
    <t>NUCKS_HUMAN</t>
  </si>
  <si>
    <t>Q9H1E3</t>
  </si>
  <si>
    <t>Q54AC0; Q5PXE7; Q9H1D6; Q9H723</t>
  </si>
  <si>
    <t>NUCKS</t>
  </si>
  <si>
    <t>Alternative splicing; Nucleus; Phosphoprotein; Polymorphism</t>
  </si>
  <si>
    <t>cellular glucose homeostasis {GO:0001678}; cellular response to X-ray {GO:0071481}; chromatin organization {GO:0006325}; double-strand break repair via homologous recombination {GO:0000724}; gene conversion {GO:0035822}; interstrand cross-link repair {GO:0036297}; modulation by host of RNA binding by virus {GO:1990968}; modulation by host of viral RNA-binding transcription factor activity {GO:1990969}; positive regulation by host of viral genome replication {GO:0044829}; positive regulation by host of viral transcription {GO:0043923}; positive regulation of insulin receptor signaling pathway {GO:0046628}; regulation of DNA replication {GO:0006275}; regulation of DNA strand elongation {GO:0060382}; regulation of insulin receptor signaling pathway {GO:0046626}; regulation of transcription by RNA polymerase II {GO:0006357}; release from viral latency {GO:0019046}; replication fork processing {GO:0031297}</t>
  </si>
  <si>
    <t>chromatin {GO:0000785}; cytoplasm {GO:0005737}; nuclear chromatin {GO:0000790}; nucleolus {GO:0005730}; nucleus {GO:0005634}</t>
  </si>
  <si>
    <t>chromatin binding {GO:0003682}; DNA-binding transcription activator activity, RNA polymerase II-specific {GO:0001228}; double-stranded DNA binding {GO:0003690}; RNA binding {GO:0003723}; single-stranded DNA binding {GO:0003697}; transcription factor binding {GO:0008134}</t>
  </si>
  <si>
    <t>Transmembrane protein PVRIG</t>
  </si>
  <si>
    <t>CD112 receptor (CD112R); Poliovirus receptor-related immunoglobulin domain-containing protein</t>
  </si>
  <si>
    <t>PVRIG_HUMAN</t>
  </si>
  <si>
    <t>Q6DKI7</t>
  </si>
  <si>
    <t>D6W5U9; Q9BVK3</t>
  </si>
  <si>
    <t>C7orf15</t>
  </si>
  <si>
    <t>Cell membrane; Membrane; Phosphoprotein; Polymorphism; Transmembrane; Transmembrane helix</t>
  </si>
  <si>
    <t>negative regulation of T cell receptor signaling pathway {GO:0050860}</t>
  </si>
  <si>
    <t>phosphatase binding {GO:0019902}; signaling receptor activity {GO:0038023}</t>
  </si>
  <si>
    <t>Paired immunoglobulin-like type 2 receptor beta</t>
  </si>
  <si>
    <t>Activating receptor PILR-beta; Cell surface receptor FDFACT</t>
  </si>
  <si>
    <t>PILRB_HUMAN</t>
  </si>
  <si>
    <t>Q9UKJ0</t>
  </si>
  <si>
    <t>Q69YF9; Q9HBS0</t>
  </si>
  <si>
    <t>FDFACT</t>
  </si>
  <si>
    <t>3D-structure; Alternative splicing; Glycoprotein; Immunoglobulin domain; Membrane; Polymorphism; Receptor; Signal; Transmembrane; Transmembrane helix</t>
  </si>
  <si>
    <t>activation of transmembrane receptor protein tyrosine kinase activity {GO:0007171}; regulation of immune response {GO:0050776}; transmembrane receptor protein tyrosine kinase signaling pathway {GO:0007169}</t>
  </si>
  <si>
    <t>integral component of plasma membrane {GO:0005887}; plasma membrane {GO:0005886}</t>
  </si>
  <si>
    <t>MHC class I protein binding {GO:0042288}</t>
  </si>
  <si>
    <t>N-acetylglucosamine-1-phosphotransferase subunit gamma</t>
  </si>
  <si>
    <t>GlcNAc-1-phosphotransferase subunit gamma; UDP-N-acetylglucosamine-1-phosphotransferase subunit gamma</t>
  </si>
  <si>
    <t>GNPTG_HUMAN</t>
  </si>
  <si>
    <t>Q9UJJ9</t>
  </si>
  <si>
    <t>B2R556; Q6XYD7; Q96L13</t>
  </si>
  <si>
    <t>C16orf27; GNPTAG</t>
  </si>
  <si>
    <t>Disease mutation; Disulfide bond; Glycoprotein; Golgi apparatus; Mucolipidosis; Polymorphism; Secreted; Signal</t>
  </si>
  <si>
    <t>Golgi apparatus; Secreted</t>
  </si>
  <si>
    <t>Disease mutation; Mucolipidosis</t>
  </si>
  <si>
    <t>carbohydrate phosphorylation {GO:0046835}</t>
  </si>
  <si>
    <t>extracellular exosome {GO:0070062}; Golgi apparatus {GO:0005794}; Golgi membrane {GO:0000139}</t>
  </si>
  <si>
    <t>protein homodimerization activity {GO:0042803}; UDP-N-acetylglucosamine-lysosomal-enzyme N-acetylglucosaminephosphotransferase activity {GO:0003976}</t>
  </si>
  <si>
    <t>Calponin-3</t>
  </si>
  <si>
    <t>Calponin, acidic isoform</t>
  </si>
  <si>
    <t>CNN3_HUMAN</t>
  </si>
  <si>
    <t>Q15417</t>
  </si>
  <si>
    <t>B4DFK6; B4DP09; F8WA86; Q6FHA7</t>
  </si>
  <si>
    <t>Acetylation; Actin-binding; Alternative splicing; Calmodulin-binding; Methylation; Phosphoprotein; Repeat</t>
  </si>
  <si>
    <t>actomyosin structure organization {GO:0031032}; epithelial cell differentiation {GO:0030855}; negative regulation of ATPase activity {GO:0032780}</t>
  </si>
  <si>
    <t>actin cytoskeleton {GO:0015629}; cell-cell adherens junction {GO:0005913}; cytosol {GO:0005829}; dendritic spine {GO:0043197}; focal adhesion {GO:0005925}; neuronal cell body {GO:0043025}; postsynaptic density {GO:0014069}</t>
  </si>
  <si>
    <t>actin binding {GO:0003779}; cadherin binding involved in cell-cell adhesion {GO:0098641}; calmodulin binding {GO:0005516}; microtubule binding {GO:0008017}</t>
  </si>
  <si>
    <t>Complement decay-accelerating factor</t>
  </si>
  <si>
    <t>CD_antigen=CD55</t>
  </si>
  <si>
    <t>DAF_HUMAN</t>
  </si>
  <si>
    <t>P08174</t>
  </si>
  <si>
    <t>B1AP14; D3DT83; D3DT84; E7ER69; P09679; P78361; Q14UF2; Q14UF3; Q14UF4; Q14UF5; Q14UF6</t>
  </si>
  <si>
    <t>CR; DAF</t>
  </si>
  <si>
    <t>3D-structure; Alternative splicing; Blood group antigen; Cell membrane; Complement pathway; Disease mutation; Disulfide bond; Glycoprotein; GPI-anchor; Host cell receptor for virus entry; Host-virus interaction; Immunity; Innate immunity; Lipoprotein; Membrane; Polymorphism; Receptor; Repeat; Secreted; Signal; Sushi</t>
  </si>
  <si>
    <t>Blood group antigen; Host cell receptor for virus entry; Receptor</t>
  </si>
  <si>
    <t>CD4-positive, alpha-beta T cell cytokine production {GO:0035743}; complement activation, classical pathway {GO:0006958}; endoplasmic reticulum to Golgi vesicle-mediated transport {GO:0006888}; innate immune response {GO:0045087}; negative regulation of complement activation {GO:0045916}; neutrophil degranulation {GO:0043312}; positive regulation of CD4-positive, alpha-beta T cell activation {GO:2000516}; positive regulation of CD4-positive, alpha-beta T cell proliferation {GO:2000563}; positive regulation of cytosolic calcium ion concentration {GO:0007204}; regulation of complement activation {GO:0030449}; regulation of complement-dependent cytotoxicity {GO:1903659}; regulation of lipopolysaccharide-mediated signaling pathway {GO:0031664}; respiratory burst {GO:0045730}</t>
  </si>
  <si>
    <t>anchored component of membrane {GO:0031225}; cell surface {GO:0009986}; endoplasmic reticulum-Golgi intermediate compartment membrane {GO:0033116}; extracellular exosome {GO:0070062}; extracellular region {GO:0005576}; ficolin-1-rich granule membrane {GO:0101003}; Golgi membrane {GO:0000139}; membrane raft {GO:0045121}; plasma membrane {GO:0005886}; secretory granule membrane {GO:0030667}; transport vesicle {GO:0030133}</t>
  </si>
  <si>
    <t>lipid binding {GO:0008289}; virus receptor activity {GO:0001618}</t>
  </si>
  <si>
    <t>Class B/2 (Secretin family receptors) {R-HSA-373080}; Neutrophil degranulation {R-HSA-6798695}; COPI-mediated anterograde transport {R-HSA-6807878}; Regulation of Complement cascade {R-HSA-977606}</t>
  </si>
  <si>
    <t>Xylosyltransferase 1</t>
  </si>
  <si>
    <t>Peptide O-xylosyltransferase 1; Xylosyltransferase I (XT-I; XylT-I)</t>
  </si>
  <si>
    <t>XYLT1_HUMAN</t>
  </si>
  <si>
    <t>Q86Y38</t>
  </si>
  <si>
    <t>Q9H1B6</t>
  </si>
  <si>
    <t>XT1</t>
  </si>
  <si>
    <t>3D-structure; Disease mutation; Disulfide bond; Dwarfism; Glycoprotein; Glycosyltransferase; Golgi apparatus; Membrane; Metal-binding; Polymorphism; Secreted; Signal-anchor; Transferase; Transmembrane; Transmembrane helix</t>
  </si>
  <si>
    <t>chondroitin sulfate biosynthetic process {GO:0030206}; chondroitin sulfate proteoglycan biosynthetic process {GO:0050650}; embryonic skeletal system development {GO:0048706}; glycosaminoglycan biosynthetic process {GO:0006024}; glycosaminoglycan metabolic process {GO:0030203}; heparan sulfate proteoglycan biosynthetic process {GO:0015012}; ossification involved in bone maturation {GO:0043931}; proteoglycan biosynthetic process {GO:0030166}</t>
  </si>
  <si>
    <t>extracellular space {GO:0005615}; Golgi cis cisterna {GO:0000137}; Golgi membrane {GO:0000139}; integral component of membrane {GO:0016021}</t>
  </si>
  <si>
    <t>acetylglucosaminyltransferase activity {GO:0008375}; metal ion binding {GO:0046872}; protein xylosyltransferase activity {GO:0030158}</t>
  </si>
  <si>
    <t>Glycan metabolism; heparan sulfate biosynthesis.</t>
  </si>
  <si>
    <t>A tetrasaccharide linker sequence is required for GAG synthesis {R-HSA-1971475}</t>
  </si>
  <si>
    <t>WD repeat domain phosphoinositide-interacting protein 2 (WIPI-2)</t>
  </si>
  <si>
    <t>WIPI49-like protein 2</t>
  </si>
  <si>
    <t>WIPI2_HUMAN</t>
  </si>
  <si>
    <t>Q9Y4P8</t>
  </si>
  <si>
    <t>B3KNC2; Q5MNZ8; Q6FI96; Q75L50; Q96IE4; Q9Y364</t>
  </si>
  <si>
    <t>Alternative splicing; Autophagy; Lipid-binding; Membrane; Phosphoprotein; Repeat; WD repeat</t>
  </si>
  <si>
    <t>autophagosome assembly {GO:0000045}; autophagy of mitochondrion {GO:0000422}; cellular response to starvation {GO:0009267}; macroautophagy {GO:0016236}; protein lipidation {GO:0006497}; protein lipidation involved in autophagosome assembly {GO:0061739}; protein localization to phagophore assembly site {GO:0034497}; xenophagy {GO:0098792}</t>
  </si>
  <si>
    <t>cytosol {GO:0005829}; extrinsic component of membrane {GO:0019898}; nucleoplasm {GO:0005654}; phagophore assembly site {GO:0000407}; phagophore assembly site membrane {GO:0034045}; protein-containing complex {GO:0032991}</t>
  </si>
  <si>
    <t>phosphatidylinositol-3,5-bisphosphate binding {GO:0080025}; phosphatidylinositol-3-phosphate binding {GO:0032266}; phosphatidylinositol-5-phosphate binding {GO:0010314}</t>
  </si>
  <si>
    <t>Macroautophagy {R-HSA-1632852}</t>
  </si>
  <si>
    <t>Phosphomannomutase 2 (PMM 2)</t>
  </si>
  <si>
    <t>PMM2_HUMAN</t>
  </si>
  <si>
    <t>O15305</t>
  </si>
  <si>
    <t>A8K672; B7Z6R0; D3DUF3</t>
  </si>
  <si>
    <t>3D-structure; Acetylation; Alternative splicing; Congenital disorder of glycosylation; Cytoplasm; Disease mutation; Isomerase; Polymorphism</t>
  </si>
  <si>
    <t>GDP-mannose biosynthetic process {GO:0009298}; mannose metabolic process {GO:0006013}; protein glycosylation {GO:0006486}; protein N-linked glycosylation {GO:0006487}; protein targeting to ER {GO:0045047}</t>
  </si>
  <si>
    <t>cytosol {GO:0005829}; neuronal cell body {GO:0043025}; nucleus {GO:0005634}</t>
  </si>
  <si>
    <t>phosphomannomutase activity {GO:0004615}</t>
  </si>
  <si>
    <t>Nucleotide-sugar biosynthesis; GDP-alpha-D-mannose biosynthesis; alpha-D-mannose 1-phosphate from D-fructose 6- phosphate: step 2/2.</t>
  </si>
  <si>
    <t>Defective PMM2 causes PMM2-CDG (CDG-1a) {R-HSA-4043911}; Synthesis of GDP-mannose {R-HSA-446205}</t>
  </si>
  <si>
    <t>Polyadenylate-binding protein 4 (PABP-4; Poly(A)-binding protein 4)</t>
  </si>
  <si>
    <t>Activated-platelet protein 1 (APP-1); Inducible poly(A)-binding protein (iPABP)</t>
  </si>
  <si>
    <t>PABP4_HUMAN</t>
  </si>
  <si>
    <t>Q13310</t>
  </si>
  <si>
    <t>B1ANQ8; Q4VC03; Q6P0N3</t>
  </si>
  <si>
    <t>APP1; PABP4</t>
  </si>
  <si>
    <t>Alternative splicing; Cytoplasm; Isopeptide bond; Methylation; Phosphoprotein; Polymorphism; Repeat; RNA-binding; Ubl conjugation</t>
  </si>
  <si>
    <t>blood coagulation {GO:0007596}; myeloid cell development {GO:0061515}; regulation of mRNA stability {GO:0043488}; RNA catabolic process {GO:0006401}; RNA processing {GO:0006396}; translation {GO:0006412}</t>
  </si>
  <si>
    <t>cytoplasm {GO:0005737}; cytoplasmic stress granule {GO:0010494}; cytosol {GO:0005829}; nucleus {GO:0005634}; ribonucleoprotein complex {GO:1990904}</t>
  </si>
  <si>
    <t>mRNA 3'-UTR binding {GO:0003730}; poly(A) binding {GO:0008143}; poly(U) RNA binding {GO:0008266}; RNA binding {GO:0003723}</t>
  </si>
  <si>
    <t>Calcium-regulated heat-stable protein 1</t>
  </si>
  <si>
    <t>Calcium-regulated heat-stable protein of 24 kDa (CRHSP-24)</t>
  </si>
  <si>
    <t>CHSP1_HUMAN</t>
  </si>
  <si>
    <t>Q9Y2V2</t>
  </si>
  <si>
    <t>B2R4C3; D3DUF5; Q2YDX5; Q9BQ53</t>
  </si>
  <si>
    <t>3D-structure; Acetylation; Cytoplasm; Phosphoprotein; RNA-binding</t>
  </si>
  <si>
    <t>intracellular signal transduction {GO:0035556}; regulation of mRNA stability {GO:0043488}</t>
  </si>
  <si>
    <t>cytoplasm {GO:0005737}; cytoplasmic exosome (RNase complex) {GO:0000177}; cytosol {GO:0005829}; P granule {GO:0043186}; P-body {GO:0000932}</t>
  </si>
  <si>
    <t>DNA-binding transcription factor activity, RNA polymerase II-specific {GO:0000981}; mRNA 3'-UTR binding {GO:0003730}; phosphatase binding {GO:0019902}</t>
  </si>
  <si>
    <t>Soluble interleukin-4 receptor subunit alpha</t>
  </si>
  <si>
    <t>CD_antigen=CD124 (Soluble IL-4 receptor subunit alpha; Soluble IL-4R-alpha; sIL4Ralpha/prot); IL-4-binding protein (IL4-BP)</t>
  </si>
  <si>
    <t>IL4RA_HUMAN</t>
  </si>
  <si>
    <t>P24394</t>
  </si>
  <si>
    <t>B4E076; B9EKU8; H3BSY5; Q96P01; Q9H181; Q9H182; Q9H183; Q9H184; Q9H185; Q9H186; Q9H187; Q9H188</t>
  </si>
  <si>
    <t>IL4RA</t>
  </si>
  <si>
    <t>3D-structure; Alternative splicing; Cell membrane; Disulfide bond; Glycoprotein; Immunity; Membrane; Phosphoprotein; Polymorphism; Receptor; Secreted; Signal; Transmembrane; Transmembrane helix</t>
  </si>
  <si>
    <t>cytokine-mediated signaling pathway {GO:0019221}; defense response to protozoan {GO:0042832}; immune response {GO:0006955}; immunoglobulin mediated immune response {GO:0016064}; negative regulation of T-helper 1 cell differentiation {GO:0045626}; ovulation {GO:0030728}; positive regulation of chemokine secretion {GO:0090197}; positive regulation of cold-induced thermogenesis {GO:0120162}; positive regulation of immunoglobulin production {GO:0002639}; positive regulation of macrophage activation {GO:0043032}; positive regulation of mast cell degranulation {GO:0043306}; positive regulation of myoblast fusion {GO:1901741}; positive regulation of T-helper 2 cell differentiation {GO:0045630}; production of molecular mediator involved in inflammatory response {GO:0002532}; regulation of cell population proliferation {GO:0042127}; response to estrogen {GO:0043627}; response to odorant {GO:1990834}; signal transduction {GO:0007165}</t>
  </si>
  <si>
    <t>extracellular space {GO:0005615}; integral component of plasma membrane {GO:0005887}; plasma membrane {GO:0005886}; receptor complex {GO:0043235}</t>
  </si>
  <si>
    <t>interleukin-4 receptor activity {GO:0004913}</t>
  </si>
  <si>
    <t>Interleukin-4 and Interleukin-13 signaling {R-HSA-6785807}</t>
  </si>
  <si>
    <t>Calcyclin-binding protein (CacyBP; hCacyBP)</t>
  </si>
  <si>
    <t>S100A6-binding protein; Siah-interacting protein</t>
  </si>
  <si>
    <t>CYBP_HUMAN</t>
  </si>
  <si>
    <t>Q9HB71</t>
  </si>
  <si>
    <t>B2ZWH2; B3KSF1; O60666; Q5R370; Q5R371</t>
  </si>
  <si>
    <t>S100A6BP; SIP</t>
  </si>
  <si>
    <t>3D-structure; Acetylation; Alternative splicing; Cytoplasm; Nucleus; Phosphoprotein; Ubl conjugation pathway</t>
  </si>
  <si>
    <t>aging {GO:0007568}; cardiac muscle cell differentiation {GO:0055007}; cellular response to calcium ion {GO:0071277}; cellular response to leukemia inhibitory factor {GO:1990830}; heart development {GO:0007507}; negative regulation of cell death {GO:0060548}; positive regulation of DNA replication {GO:0045740}; response to growth hormone {GO:0060416}</t>
  </si>
  <si>
    <t>beta-catenin destruction complex {GO:0030877}; cell body {GO:0044297}; cytosol {GO:0005829}; extracellular exosome {GO:0070062}; neuron projection {GO:0043005}; nuclear envelope lumen {GO:0005641}; nucleoplasm {GO:0005654}; nucleus {GO:0005634}; SCF ubiquitin ligase complex {GO:0019005}</t>
  </si>
  <si>
    <t>protein domain specific binding {GO:0019904}; protein homodimerization activity {GO:0042803}; S100 protein binding {GO:0044548}; tubulin binding {GO:0015631}; ubiquitin protein ligase binding {GO:0031625}</t>
  </si>
  <si>
    <t>Myosin-binding protein H (MyBP-H)</t>
  </si>
  <si>
    <t>H-protein</t>
  </si>
  <si>
    <t>MYBPH_HUMAN</t>
  </si>
  <si>
    <t>Q13203</t>
  </si>
  <si>
    <t>Q16886; Q86YC5</t>
  </si>
  <si>
    <t>Cell adhesion; Immunoglobulin domain; Muscle protein; Phosphoprotein; Polymorphism; Repeat; Thick filament</t>
  </si>
  <si>
    <t>cell adhesion {GO:0007155}; regulation of striated muscle contraction {GO:0006942}</t>
  </si>
  <si>
    <t>myosin filament {GO:0032982}</t>
  </si>
  <si>
    <t>structural constituent of muscle {GO:0008307}</t>
  </si>
  <si>
    <t>Fumarate hydratase, mitochondrial (Fumarase; HsFH)</t>
  </si>
  <si>
    <t>FUMH_HUMAN</t>
  </si>
  <si>
    <t>P07954</t>
  </si>
  <si>
    <t>B1ANK7</t>
  </si>
  <si>
    <t>3D-structure; Acetylation; Alternative initiation; Chromosome; Cytoplasm; Disease mutation; DNA damage; DNA repair; Lyase; Mitochondrion; Nucleus; Phosphoprotein; Transit peptide; Tricarboxylic acid cycle; Tumor suppressor</t>
  </si>
  <si>
    <t>DNA damage; DNA repair; Tricarboxylic acid cycle</t>
  </si>
  <si>
    <t>Chromosome; Cytoplasm; Mitochondrion; Nucleus</t>
  </si>
  <si>
    <t>cellular response to DNA damage stimulus {GO:0006974}; DNA repair {GO:0006281}; fumarate metabolic process {GO:0006106}; homeostasis of number of cells within a tissue {GO:0048873}; malate metabolic process {GO:0006108}; negative regulation of histone H3-K36 methylation {GO:0000415}; positive regulation of cold-induced thermogenesis {GO:0120162}; positive regulation of double-strand break repair via nonhomologous end joining {GO:2001034}; regulation of arginine metabolic process {GO:0000821}; tricarboxylic acid cycle {GO:0006099}; urea cycle {GO:0000050}</t>
  </si>
  <si>
    <t>chromosome {GO:0005694}; cytoplasm {GO:0005737}; cytosol {GO:0005829}; extracellular exosome {GO:0070062}; mitochondrial matrix {GO:0005759}; mitochondrion {GO:0005739}; nucleus {GO:0005634}; site of double-strand break {GO:0035861}; tricarboxylic acid cycle enzyme complex {GO:0045239}</t>
  </si>
  <si>
    <t>fumarate hydratase activity {GO:0004333}; histone binding {GO:0042393}</t>
  </si>
  <si>
    <t>Carbohydrate metabolism; tricarboxylic acid cycle; (S)- malate from fumarate: step 1/1..</t>
  </si>
  <si>
    <t>Hemicentin-1</t>
  </si>
  <si>
    <t>Fibulin-6 (FIBL-6)</t>
  </si>
  <si>
    <t>HMCN1_HUMAN</t>
  </si>
  <si>
    <t>Q96RW7</t>
  </si>
  <si>
    <t>A6NGE3; Q5TYR7; Q96DN3; Q96DN8; Q96SC3</t>
  </si>
  <si>
    <t>FIBL6</t>
  </si>
  <si>
    <t>Age-related macular degeneration; Alternative splicing; Basement membrane; Calcium; Cell cycle; Cell division; Cell junction; Cytoplasm; Disease mutation; Disulfide bond; EGF-like domain; Extracellular matrix; Glycoprotein; Immunoglobulin domain; Polymorphism; Repeat; Secreted; Sensory transduction; Signal; Vision</t>
  </si>
  <si>
    <t>Cell cycle; Cell division; Sensory transduction; Vision</t>
  </si>
  <si>
    <t>Basement membrane; Cell junction; Cytoplasm; Extracellular matrix; Secreted</t>
  </si>
  <si>
    <t>EGF-like domain; Immunoglobulin domain; Repeat; Signal</t>
  </si>
  <si>
    <t>cell cycle {GO:0007049}; cell division {GO:0051301}; heterophilic cell-cell adhesion via plasma membrane cell adhesion molecules {GO:0007157}; homophilic cell adhesion via plasma membrane adhesion molecules {GO:0007156}; response to bacterium {GO:0009617}; visual perception {GO:0007601}</t>
  </si>
  <si>
    <t>basement membrane {GO:0005604}; cell cortex {GO:0005938}; cell-cell adherens junction {GO:0005913}; cleavage furrow {GO:0032154}; collagen-containing extracellular matrix {GO:0062023}; extracellular exosome {GO:0070062}</t>
  </si>
  <si>
    <t>calcium ion binding {GO:0005509}; cell adhesion molecule binding {GO:0050839}; extracellular matrix structural constituent {GO:0005201}; protein homodimerization activity {GO:0042803}; signaling receptor activity {GO:0038023}</t>
  </si>
  <si>
    <t>Sodium/glucose cotransporter 2 (Na(+)/glucose cotransporter 2)</t>
  </si>
  <si>
    <t>Low affinity sodium-glucose cotransporter; Solute carrier family 5 member 2</t>
  </si>
  <si>
    <t>SC5A2_HUMAN</t>
  </si>
  <si>
    <t>P31639</t>
  </si>
  <si>
    <t>A2RRD2</t>
  </si>
  <si>
    <t>SGLT2</t>
  </si>
  <si>
    <t>Alternative splicing; Disease mutation; Glycoprotein; Ion transport; Membrane; Sodium; Sodium transport; Sugar transport; Symport; Transmembrane; Transmembrane helix; Transport</t>
  </si>
  <si>
    <t>carbohydrate metabolic process {GO:0005975}; hexose transmembrane transport {GO:0008645}; sodium ion transport {GO:0006814}</t>
  </si>
  <si>
    <t>glucose:sodium symporter activity {GO:0005412}; low-affinity glucose:sodium symporter activity {GO:0005362}</t>
  </si>
  <si>
    <t>Cellular hexose transport {R-HSA-189200}; Defective SLC5A2 causes renal glucosuria (GLYS1) {R-HSA-5658208}</t>
  </si>
  <si>
    <t>Myosin regulatory light chain 2, skeletal muscle isoform</t>
  </si>
  <si>
    <t>Fast skeletal myosin light chain 2; MLC2B</t>
  </si>
  <si>
    <t>MLRS_HUMAN</t>
  </si>
  <si>
    <t>Q96A32</t>
  </si>
  <si>
    <t>B2RA83; Q14843; Q6IB41</t>
  </si>
  <si>
    <t>Calcium; Metal-binding; Methylation; Motor protein; Muscle protein; Myosin; Phosphoprotein; Repeat</t>
  </si>
  <si>
    <t>immune response {GO:0006955}; muscle contraction {GO:0006936}; skeletal muscle tissue development {GO:0007519}</t>
  </si>
  <si>
    <t>cytosol {GO:0005829}; lysosomal membrane {GO:0005765}; muscle myosin complex {GO:0005859}</t>
  </si>
  <si>
    <t>Cell adhesion molecule 3</t>
  </si>
  <si>
    <t>Brain immunoglobulin receptor; Immunoglobulin superfamily member 4B (IgSF4B); Nectin-like protein 1 (NECL-1); Synaptic cell adhesion molecule 3 (SynCAM3); TSLC1-like protein 1 (TSLL1)</t>
  </si>
  <si>
    <t>CADM3_HUMAN</t>
  </si>
  <si>
    <t>Q8N126</t>
  </si>
  <si>
    <t>Q8IZQ9; Q9NVJ5; Q9UJP1</t>
  </si>
  <si>
    <t>IGSF4B; NECL1; SYNCAM3; TSLL1</t>
  </si>
  <si>
    <t>3D-structure; Alternative splicing; Calcium; Cell adhesion; Cell junction; Cell membrane; Disulfide bond; Glycoprotein; Immunoglobulin domain; Membrane; Phosphoprotein; Polymorphism; Repeat; Signal; Transmembrane; Transmembrane helix</t>
  </si>
  <si>
    <t>adherens junction organization {GO:0034332}; heterophilic cell-cell adhesion via plasma membrane cell adhesion molecules {GO:0007157}; homophilic cell adhesion via plasma membrane adhesion molecules {GO:0007156}; protein localization {GO:0008104}</t>
  </si>
  <si>
    <t>cell-cell junction {GO:0005911}; integral component of presynaptic membrane {GO:0099056}; parallel fiber to Purkinje cell synapse {GO:0098688}; plasma membrane {GO:0005886}</t>
  </si>
  <si>
    <t>Brain-specific angiogenesis inhibitor 1-associated protein 2-like protein 1 (BAI1-associated protein 2-like protein 1)</t>
  </si>
  <si>
    <t>Insulin receptor tyrosine kinase substrate</t>
  </si>
  <si>
    <t>BI2L1_HUMAN</t>
  </si>
  <si>
    <t>Q9UHR4</t>
  </si>
  <si>
    <t>A4D268; Q75L21; Q75L22; Q96CV4; Q9H5F5; Q9Y2M8</t>
  </si>
  <si>
    <t>IRTKS</t>
  </si>
  <si>
    <t>3D-structure; Actin-binding; Coiled coil; Cytoplasm; Cytoskeleton; Phosphoprotein; Polymorphism; SH3 domain</t>
  </si>
  <si>
    <t>actin crosslink formation {GO:0051764}; actin filament bundle assembly {GO:0051017}; plasma membrane organization {GO:0007009}; positive regulation of actin cytoskeleton reorganization {GO:2000251}; positive regulation of actin filament polymerization {GO:0030838}; regulation of insulin receptor signaling pathway {GO:0046626}; response to bacterium {GO:0009617}</t>
  </si>
  <si>
    <t>actin cytoskeleton {GO:0015629}; cell-cell adherens junction {GO:0005913}; cytosol {GO:0005829}; extracellular exosome {GO:0070062}; nucleoplasm {GO:0005654}; plasma membrane {GO:0005886}</t>
  </si>
  <si>
    <t>actin binding {GO:0003779}; cadherin binding involved in cell-cell adhesion {GO:0098641}; proline-rich region binding {GO:0070064}</t>
  </si>
  <si>
    <t>Ras-related C3 botulinum toxin substrate 1</t>
  </si>
  <si>
    <t>Cell migration-inducing gene 5 protein; Ras-like protein TC25; p21-Rac1</t>
  </si>
  <si>
    <t>RAC1_HUMAN</t>
  </si>
  <si>
    <t>P63000</t>
  </si>
  <si>
    <t>O95501; P15154; Q3Y4D3; Q5JAA8; Q9BTB4</t>
  </si>
  <si>
    <t>TC25</t>
  </si>
  <si>
    <t>3D-structure; ADP-ribosylation; Alternative splicing; Cell membrane; Cell projection; Cytoplasm; Disease mutation; Glycoprotein; GTP-binding; Isopeptide bond; Lipoprotein; Membrane; Mental retardation; Methylation; Nucleotide-binding; Phosphoprotein; Polymorphism; Prenylation; Ubl conjugation</t>
  </si>
  <si>
    <t>Cell membrane; Cell projection; Cytoplasm; Membrane</t>
  </si>
  <si>
    <t>ADP-ribosylation; Glycoprotein; Isopeptide bond; Lipoprotein; Methylation; Phosphoprotein; Prenylation; Ubl conjugation</t>
  </si>
  <si>
    <t>actin cytoskeleton organization {GO:0030036}; actin filament polymerization {GO:0030041}; anatomical structure morphogenesis {GO:0009653}; blood coagulation {GO:0007596}; bone resorption {GO:0045453}; cell adhesion {GO:0007155}; cell migration {GO:0016477}; cell motility {GO:0048870}; cell population proliferation {GO:0008283}; cell projection assembly {GO:0030031}; cell-matrix adhesion {GO:0007160}; cellular response to mechanical stimulus {GO:0071260}; ephrin receptor signaling pathway {GO:0048013}; Fc-epsilon receptor signaling pathway {GO:0038095}; Fc-gamma receptor signaling pathway involved in phagocytosis {GO:0038096}; hepatocyte growth factor receptor signaling pathway {GO:0048012}; inflammatory response {GO:0006954}; intracellular signal transduction {GO:0035556}; lamellipodium assembly {GO:0030032}; localization within membrane {GO:0051668}; mast cell chemotaxis {GO:0002551}; motor neuron axon guidance {GO:0008045}; negative regulation of interleukin-23 production {GO:0032707}; negative regulation of receptor-mediated endocytosis {GO:0048261}; neuron migration {GO:0001764}; neutrophil degranulation {GO:0043312}; positive regulation of cell-substrate adhesion {GO:0010811}; positive regulation of DNA replication {GO:0045740}; positive regulation of focal adhesion assembly {GO:0051894}; positive regulation of insulin secretion involved in cellular response to glucose stimulus {GO:0035774}; positive regulation of lamellipodium assembly {GO:0010592}; positive regulation of microtubule polymerization {GO:0031116}; positive regulation of neutrophil chemotaxis {GO:0090023}; positive regulation of protein kinase B signaling {GO:0051897}; positive regulation of protein phosphorylation {GO:0001934}; positive regulation of Rho protein signal transduction {GO:0035025}; positive regulation of stress fiber assembly {GO:0051496}; positive regulation of substrate adhesion-dependent cell spreading {GO:1900026}; Rac protein signal transduction {GO:0016601}; regulation of cell migration {GO:0030334}; regulation of cell size {GO:0008361}; regulation of defense response to virus by virus {GO:0050690}; regulation of hydrogen peroxide metabolic process {GO:0010310}; regulation of lamellipodium assembly {GO:0010591}; regulation of neutrophil migration {GO:1902622}; regulation of nitric oxide biosynthetic process {GO:0045428}; regulation of respiratory burst {GO:0060263}; regulation of small GTPase mediated signal transduction {GO:0051056}; regulation of stress fiber assembly {GO:0051492}; response to wounding {GO:0009611}; Rho protein signal transduction {GO:0007266}; ruffle assembly {GO:0097178}; ruffle organization {GO:0031529}; semaphorin-plexin signaling pathway {GO:0071526}; substrate adhesion-dependent cell spreading {GO:0034446}; T cell costimulation {GO:0031295}; vascular endothelial growth factor receptor signaling pathway {GO:0048010}; Wnt signaling pathway, planar cell polarity pathway {GO:0060071}</t>
  </si>
  <si>
    <t>cell projection {GO:0042995}; cytoplasm {GO:0005737}; cytoplasmic ribonucleoprotein granule {GO:0036464}; cytoplasmic vesicle {GO:0031410}; cytosol {GO:0005829}; dendritic spine {GO:0043197}; endoplasmic reticulum membrane {GO:0005789}; extracellular exosome {GO:0070062}; ficolin-1-rich granule membrane {GO:0101003}; focal adhesion {GO:0005925}; glutamatergic synapse {GO:0098978}; Golgi membrane {GO:0000139}; lamellipodium {GO:0030027}; melanosome {GO:0042470}; membrane {GO:0016020}; plasma membrane {GO:0005886}; postsynapse {GO:0098794}; recycling endosome membrane {GO:0055038}; ruffle membrane {GO:0032587}; secretory granule membrane {GO:0030667}; trans-Golgi network {GO:0005802}</t>
  </si>
  <si>
    <t>ATPase binding {GO:0051117}; enzyme binding {GO:0019899}; GTP binding {GO:0005525}; GTPase activity {GO:0003924}; histone deacetylase binding {GO:0042826}; protein kinase binding {GO:0019901}; protein-containing complex binding {GO:0044877}; Rab GTPase binding {GO:0017137}; Rho GDP-dissociation inhibitor binding {GO:0051022}; thioesterase binding {GO:0031996}</t>
  </si>
  <si>
    <t>GPVI-mediated activation cascade {R-HSA-114604}; PIP3 activates AKT signaling {R-HSA-1257604}; Signaling by SCF-KIT {R-HSA-1433557}; Translocation of SLC2A4 (GLUT4) to the plasma membrane {R-HSA-1445148}; Nef and signal transduction {R-HSA-164944}; NRAGE signals death through JNK {R-HSA-193648}; Rho GTPase cycle {R-HSA-194840}; Regulation of actin dynamics for phagocytic cup formation {R-HSA-2029482}; Constitutive Signaling by Aberrant PI3K in Cancer {R-HSA-2219530}; DAP12 signaling {R-HSA-2424491}; FCERI mediated MAPK activation {R-HSA-2871796}; DSCAM interactions {R-HSA-376172}; CD28 dependent Vav1 pathway {R-HSA-389359}; EPHB-mediated forward signaling {R-HSA-3928662}; Ephrin signaling {R-HSA-3928664}; EPH-ephrin mediated repulsion of cells {R-HSA-3928665}; Sema3A PAK dependent Axon repulsion {R-HSA-399954}; SEMA3A-Plexin repulsion signaling by inhibiting Integrin adhesion {R-HSA-399955}; PCP/CE pathway {R-HSA-4086400}; Sema4D mediated inhibition of cell attachment and migration {R-HSA-416550}; DCC mediated attractive signaling {R-HSA-418885}; Activation of RAC1 {R-HSA-428540}; Inactivation of CDC42 and RAC1 {R-HSA-428543}; VEGFA-VEGFR2 Pathway {R-HSA-4420097}; Signal transduction by L1 {R-HSA-445144}; VEGFR2 mediated vascular permeability {R-HSA-5218920}; RHO GTPases activate PKNs {R-HSA-5625740}; RHO GTPases activate CIT {R-HSA-5625900}; RHO GTPases activate KTN1 {R-HSA-5625970}; RHO GTPases activate IQGAPs {R-HSA-5626467}; RHO GTPases activate PAKs {R-HSA-5627123}; RHO GTPases Activate WASPs and WAVEs {R-HSA-5663213}; RHO GTPases Activate Formins {R-HSA-5663220}; RHO GTPases Activate NADPH Oxidases {R-HSA-5668599}; MAPK6/MAPK4 signaling {R-HSA-5687128}; Neutrophil degranulation {R-HSA-6798695}; PI5P, PP2A and IER3 Regulate PI3K/AKT Signaling {R-HSA-6811558}; PTK6 Regulates RHO GTPases, RAS GTPase and MAP kinases {R-HSA-8849471}; MET activates RAP1 and RAC1 {R-HSA-8875555}; NTRK2 activates RAC1 {R-HSA-9032759}; Activated NTRK2 signals through CDK5 {R-HSA-9032845}; Activation of RAC1 downstream of NMDARs {R-HSA-9619229}; Factors involved in megakaryocyte development and platelet production {R-HSA-983231}</t>
  </si>
  <si>
    <t>Protein enabled homolog</t>
  </si>
  <si>
    <t>ENAH_HUMAN</t>
  </si>
  <si>
    <t>Q8N8S7</t>
  </si>
  <si>
    <t>D0PQI2; Q502W5; Q5T5M7; Q5VTQ9; Q5VTR0; Q9NVF3; Q9UFB8</t>
  </si>
  <si>
    <t>MENA</t>
  </si>
  <si>
    <t>3D-structure; Actin-binding; Alternative splicing; Cell junction; Cell projection; Coiled coil; Cytoplasm; Cytoskeleton; Phosphoprotein; Repeat; SH3-binding; Synapse</t>
  </si>
  <si>
    <t>Cell junction; Cell projection; Cytoplasm; Cytoskeleton; Synapse</t>
  </si>
  <si>
    <t>Coiled coil; Repeat; SH3-binding</t>
  </si>
  <si>
    <t>actin polymerization or depolymerization {GO:0008154}; actin polymerization-dependent cell motility {GO:0070358}; axon guidance {GO:0007411}</t>
  </si>
  <si>
    <t>cell junction {GO:0030054}; cytoskeleton {GO:0005856}; cytosol {GO:0005829}; filopodium {GO:0030175}; focal adhesion {GO:0005925}; lamellipodium {GO:0030027}; plasma membrane {GO:0005886}; synapse {GO:0045202}</t>
  </si>
  <si>
    <t>actin binding {GO:0003779}; profilin binding {GO:0005522}; SH3 domain binding {GO:0017124}; WW domain binding {GO:0050699}</t>
  </si>
  <si>
    <t>Generation of second messenger molecules {R-HSA-202433}; Signaling by ROBO receptors {R-HSA-376176}</t>
  </si>
  <si>
    <t>Junctional adhesion molecule A (JAM-A)</t>
  </si>
  <si>
    <t>Junctional adhesion molecule 1 (JAM-1); Platelet F11 receptor; Platelet adhesion molecule 1 (PAM-1); CD_antigen=CD321</t>
  </si>
  <si>
    <t>JAM1_HUMAN</t>
  </si>
  <si>
    <t>Q9Y624</t>
  </si>
  <si>
    <t>B7Z941</t>
  </si>
  <si>
    <t>JAM1; JCAM</t>
  </si>
  <si>
    <t>3D-structure; Alternative splicing; Cell junction; Cell membrane; Disulfide bond; Glycoprotein; Host cell receptor for virus entry; Host-virus interaction; Immunoglobulin domain; Membrane; Phosphoprotein; Receptor; Repeat; Signal; Tight junction; Transmembrane; Transmembrane helix</t>
  </si>
  <si>
    <t>actomyosin structure organization {GO:0031032}; bicellular tight junction assembly {GO:0070830}; cell adhesion {GO:0007155}; establishment of endothelial intestinal barrier {GO:0090557}; extracellular matrix organization {GO:0030198}; inflammatory response {GO:0006954}; intestinal absorption {GO:0050892}; leukocyte migration {GO:0050900}; negative regulation of GTPase activity {GO:0034260}; positive regulation of blood pressure {GO:0045777}; positive regulation of GTPase activity {GO:0043547}; protein localization to plasma membrane {GO:0072659}; regulation of actin cytoskeleton reorganization {GO:2000249}; regulation of cytokine production {GO:0001817}; regulation of membrane permeability {GO:0090559}; response to radiation {GO:0009314}; transforming growth factor beta receptor signaling pathway {GO:0007179}</t>
  </si>
  <si>
    <t>bicellular tight junction {GO:0005923}; cell junction {GO:0030054}; cell-cell junction {GO:0005911}; cytoplasmic vesicle {GO:0031410}; extracellular exosome {GO:0070062}; integral component of membrane {GO:0016021}; plasma membrane {GO:0005886}; slit diaphragm {GO:0036057}</t>
  </si>
  <si>
    <t>cadherin binding {GO:0045296}; PDZ domain binding {GO:0030165}; virus receptor activity {GO:0001618}</t>
  </si>
  <si>
    <t>Cell surface interactions at the vascular wall {R-HSA-202733}; Integrin cell surface interactions {R-HSA-216083}; TGF-beta receptor signaling in EMT (epithelial to mesenchymal transition) {R-HSA-2173791}; Tight junction interactions {R-HSA-420029}</t>
  </si>
  <si>
    <t>Proline--tRNA ligase</t>
  </si>
  <si>
    <t>Bifunctional aminoacyl-tRNA synthetase; Cell proliferation-inducing gene 32 protein; Glutamatyl-prolyl-tRNA synthetase; Glutamyl-tRNA synthetase (GluRS); Prolyl-tRNA synthetase</t>
  </si>
  <si>
    <t>SYEP_HUMAN</t>
  </si>
  <si>
    <t>P07814</t>
  </si>
  <si>
    <t>A0AVA9; B9EGH3; Q05BP6; Q05DF8; Q5DSM1; Q5H9S5; Q6PD57; Q86X73</t>
  </si>
  <si>
    <t>GLNS; PARS; QARS; QPRS</t>
  </si>
  <si>
    <t>3D-structure; Acetylation; Aminoacyl-tRNA synthetase; ATP-binding; Cytoplasm; Disease mutation; Leukodystrophy; Ligase; Membrane; Metal-binding; Methylation; Multifunctional enzyme; Neurodegeneration; Nucleotide-binding; Phosphoprotein; Polymorphism; Protein biosynthesis; Repeat; RNA-binding; Translation regulation; Zinc</t>
  </si>
  <si>
    <t>Disease mutation; Leukodystrophy; Neurodegeneration</t>
  </si>
  <si>
    <t>Aminoacyl-tRNA synthetase; Ligase; Multifunctional enzyme; RNA-binding</t>
  </si>
  <si>
    <t>cellular response to insulin stimulus {GO:0032869}; cellular response to interferon-gamma {GO:0071346}; glutamyl-tRNA aminoacylation {GO:0006424}; long-chain fatty acid import into cell {GO:0044539}; negative regulation of translation {GO:0017148}; prolyl-tRNA aminoacylation {GO:0006433}; protein-containing complex assembly {GO:0065003}; regulation of long-chain fatty acid import into cell {GO:0140212}; tRNA aminoacylation for protein translation {GO:0006418}</t>
  </si>
  <si>
    <t>aminoacyl-tRNA synthetase multienzyme complex {GO:0017101}; cytoplasm {GO:0005737}; cytosol {GO:0005829}; GAIT complex {GO:0097452}; membrane {GO:0016020}; plasma membrane {GO:0005886}; ribonucleoprotein complex {GO:1990904}</t>
  </si>
  <si>
    <t>ATP binding {GO:0005524}; glutamate-tRNA ligase activity {GO:0004818}; GTPase binding {GO:0051020}; identical protein binding {GO:0042802}; proline-tRNA ligase activity {GO:0004827}; protein homodimerization activity {GO:0042803}; RNA stem-loop binding {GO:0035613}; zinc ion binding {GO:0008270}</t>
  </si>
  <si>
    <t>Selenoamino acid metabolism {R-HSA-2408522}; Cytosolic tRNA aminoacylation {R-HSA-379716}; tRNA modification in the nucleus and cytosol {R-HSA-6782315}</t>
  </si>
  <si>
    <t>Fructose-bisphosphate aldolase A</t>
  </si>
  <si>
    <t>Lung cancer antigen NY-LU-1; Muscle-type aldolase</t>
  </si>
  <si>
    <t>ALDOA_HUMAN</t>
  </si>
  <si>
    <t>P04075</t>
  </si>
  <si>
    <t>B4DXI7; Q6FH76; Q6FI10; Q96B15; Q9BWD9; Q9UCN2</t>
  </si>
  <si>
    <t>ALDA</t>
  </si>
  <si>
    <t>3D-structure; Acetylation; Alternative splicing; Cytoplasm; Disease mutation; Glycogen storage disease; Glycolysis; Hereditary hemolytic anemia; Isopeptide bond; Lyase; Phosphoprotein; Polymorphism; Schiff base; Ubl conjugation</t>
  </si>
  <si>
    <t>Disease mutation; Glycogen storage disease; Hereditary hemolytic anemia</t>
  </si>
  <si>
    <t>actin filament organization {GO:0007015}; ATP biosynthetic process {GO:0006754}; binding of sperm to zona pellucida {GO:0007339}; canonical glycolysis {GO:0061621}; fructose 1,6-bisphosphate metabolic process {GO:0030388}; fructose metabolic process {GO:0006000}; gluconeogenesis {GO:0006094}; glycolytic process {GO:0006096}; muscle cell cellular homeostasis {GO:0046716}; neutrophil degranulation {GO:0043312}; platelet degranulation {GO:0002576}; protein homotetramerization {GO:0051289}; regulation of cell shape {GO:0008360}; striated muscle contraction {GO:0006941}</t>
  </si>
  <si>
    <t>actin cytoskeleton {GO:0015629}; cytosol {GO:0005829}; extracellular exosome {GO:0070062}; extracellular region {GO:0005576}; extracellular space {GO:0005615}; ficolin-1-rich granule lumen {GO:1904813}; I band {GO:0031674}; M band {GO:0031430}; membrane {GO:0016020}; nucleus {GO:0005634}; platelet alpha granule lumen {GO:0031093}; secretory granule lumen {GO:0034774}; sperm head {GO:0061827}; tertiary granule lumen {GO:1904724}</t>
  </si>
  <si>
    <t>actin binding {GO:0003779}; cadherin binding {GO:0045296}; cytoskeletal protein binding {GO:0008092}; fructose binding {GO:0070061}; fructose-bisphosphate aldolase activity {GO:0004332}; identical protein binding {GO:0042802}; RNA binding {GO:0003723}; tubulin binding {GO:0015631}</t>
  </si>
  <si>
    <t>Carbohydrate degradation; glycolysis; D-glyceraldehyde 3- phosphate and glycerone phosphate from D-glucose: step 4/4.</t>
  </si>
  <si>
    <t>Platelet degranulation {R-HSA-114608}; Neutrophil degranulation {R-HSA-6798695}; Glycolysis {R-HSA-70171}; Gluconeogenesis {R-HSA-70263}</t>
  </si>
  <si>
    <t>Transgelin-2</t>
  </si>
  <si>
    <t>Epididymis tissue protein Li 7e; SM22-alpha homolog</t>
  </si>
  <si>
    <t>TAGL2_HUMAN</t>
  </si>
  <si>
    <t>P37802</t>
  </si>
  <si>
    <t>E9KL39; Q5JRQ6; Q5JRQ7; Q6FGI1; Q9BUH5; Q9H4P0</t>
  </si>
  <si>
    <t>KIAA0120</t>
  </si>
  <si>
    <t>3D-structure; Acetylation; Alternative splicing; Isopeptide bond; Methylation; Phosphoprotein; Polymorphism; Ubl conjugation</t>
  </si>
  <si>
    <t>epithelial cell differentiation {GO:0030855}; platelet degranulation {GO:0002576}</t>
  </si>
  <si>
    <t>cytosol {GO:0005829}; extracellular exosome {GO:0070062}; extracellular region {GO:0005576}; vesicle {GO:0031982}</t>
  </si>
  <si>
    <t>Eukaryotic translation initiation factor 4H (eIF-4H)</t>
  </si>
  <si>
    <t>Williams-Beuren syndrome chromosomal region 1 protein</t>
  </si>
  <si>
    <t>IF4H_HUMAN</t>
  </si>
  <si>
    <t>Q15056</t>
  </si>
  <si>
    <t>A8K3R1; D3DXF6; D3DXF8</t>
  </si>
  <si>
    <t>KIAA0038; WBSCR1; WSCR1</t>
  </si>
  <si>
    <t>Acetylation; Alternative splicing; Cytoplasm; Host-virus interaction; Initiation factor; Methylation; Phosphoprotein; Protein biosynthesis; RNA-binding; Williams-Beuren syndrome</t>
  </si>
  <si>
    <t>Williams-Beuren syndrome</t>
  </si>
  <si>
    <t>cytoplasmic translation {GO:0002181}; developmental growth {GO:0048589}; eukaryotic translation initiation factor 4F complex assembly {GO:0097010}; formation of translation preinitiation complex {GO:0001731}; regulation of translational initiation {GO:0006446}; sexual reproduction {GO:0019953}; translational initiation {GO:0006413}; viral process {GO:0016032}</t>
  </si>
  <si>
    <t>cytosol {GO:0005829}; eukaryotic translation initiation factor 4F complex {GO:0016281}; membrane {GO:0016020}; perinuclear region of cytoplasm {GO:0048471}; polysome {GO:0005844}</t>
  </si>
  <si>
    <t>cadherin binding {GO:0045296}; ribosomal small subunit binding {GO:0043024}; RNA binding {GO:0003723}; RNA strand annealing activity {GO:0033592}; RNA strand-exchange activity {GO:0034057}; translation factor activity, RNA binding {GO:0008135}; translation initiation factor activity {GO:0003743}</t>
  </si>
  <si>
    <t>L13a-mediated translational silencing of Ceruloplasmin expression {R-HSA-156827}; Translation initiation complex formation {R-HSA-72649}; Activation of the mRNA upon binding of the cap-binding complex and eIFs, and subsequent binding to 43S {R-HSA-72662}; Ribosomal scanning and start codon recognition {R-HSA-72702}; GTP hydrolysis and joining of the 60S ribosomal subunit {R-HSA-72706}</t>
  </si>
  <si>
    <t>Involucrin</t>
  </si>
  <si>
    <t>INVO_HUMAN</t>
  </si>
  <si>
    <t>P07476</t>
  </si>
  <si>
    <t>Q5T7P4</t>
  </si>
  <si>
    <t>3D-structure; Cytoplasm; Isopeptide bond; Keratinization; Lipoprotein; Polymorphism; Repeat</t>
  </si>
  <si>
    <t>Isopeptide bond; Lipoprotein</t>
  </si>
  <si>
    <t>cornification {GO:0070268}; isopeptide cross-linking via N6-(L-isoglutamyl)-L-lysine {GO:0018153}; keratinocyte differentiation {GO:0030216}; peptide cross-linking {GO:0018149}; response to UV-B {GO:0010224}</t>
  </si>
  <si>
    <t>centrosome {GO:0005813}; cornified envelope {GO:0001533}; cytoplasm {GO:0005737}; cytosol {GO:0005829}; extracellular exosome {GO:0070062}; nuclear body {GO:0016604}</t>
  </si>
  <si>
    <t>Astrocytic phosphoprotein PEA-15</t>
  </si>
  <si>
    <t>15 kDa phosphoprotein enriched in astrocytes; Phosphoprotein enriched in diabetes (PED)</t>
  </si>
  <si>
    <t>PEA15_HUMAN</t>
  </si>
  <si>
    <t>Q15121</t>
  </si>
  <si>
    <t>B1AKZ3; O00511</t>
  </si>
  <si>
    <t>3D-structure; Alternative splicing; Apoptosis; Cytoplasm; Phosphoprotein; Sugar transport; Transport</t>
  </si>
  <si>
    <t>Apoptosis; Sugar transport; Transport</t>
  </si>
  <si>
    <t>activation of MAPK activity {GO:0000187}; apoptotic process {GO:0006915}; carbohydrate transport {GO:0008643}; DNA damage checkpoint {GO:0000077}; MAPK cascade {GO:0000165}; negative regulation of extrinsic apoptotic signaling pathway via death domain receptors {GO:1902042}; negative regulation of glucose import {GO:0046325}; positive regulation of extrinsic apoptotic signaling pathway via death domain receptors {GO:1902043}; response to morphine {GO:0043278}</t>
  </si>
  <si>
    <t>cytosol {GO:0005829}; microtubule associated complex {GO:0005875}; nucleus {GO:0005634}</t>
  </si>
  <si>
    <t>RAF-independent MAPK1/3 activation {R-HSA-112409}; RAF/MAP kinase cascade {R-HSA-5673001}</t>
  </si>
  <si>
    <t>Heat shock protein beta-1 (HspB1)</t>
  </si>
  <si>
    <t>28 kDa heat shock protein; Estrogen-regulated 24 kDa protein; Heat shock 27 kDa protein (HSP 27); Stress-responsive protein 27 (SRP27)</t>
  </si>
  <si>
    <t>HSPB1_HUMAN</t>
  </si>
  <si>
    <t>P04792</t>
  </si>
  <si>
    <t>B2R4N8; Q6FI47; Q96C20; Q96EI7; Q9UC31; Q9UC34; Q9UC35; Q9UC36</t>
  </si>
  <si>
    <t>HSP27; HSP28</t>
  </si>
  <si>
    <t>3D-structure; Acetylation; Chaperone; Charcot-Marie-Tooth disease; Cytoplasm; Cytoskeleton; Disease mutation; Methylation; Neurodegeneration; Neuropathy; Nucleus; Phosphoprotein; Stress response</t>
  </si>
  <si>
    <t>anterograde axonal protein transport {GO:0099641}; cellular response to vascular endothelial growth factor stimulus {GO:0035924}; chaperone-mediated protein folding {GO:0061077}; intracellular signal transduction {GO:0035556}; negative regulation of apoptotic process {GO:0043066}; negative regulation of oxidative stress-induced intrinsic apoptotic signaling pathway {GO:1902176}; negative regulation of protein kinase activity {GO:0006469}; platelet aggregation {GO:0070527}; positive regulation of angiogenesis {GO:0045766}; positive regulation of blood vessel endothelial cell migration {GO:0043536}; positive regulation of endothelial cell chemotaxis {GO:2001028}; positive regulation of endothelial cell chemotaxis by VEGF-activated vascular endothelial growth factor receptor signaling pathway {GO:0038033}; positive regulation of interleukin-1 beta production {GO:0032731}; positive regulation of tumor necrosis factor biosynthetic process {GO:0042535}; regulation of autophagy {GO:0010506}; regulation of I-kappaB kinase/NF-kappaB signaling {GO:0043122}; regulation of mRNA stability {GO:0043488}; regulation of protein phosphorylation {GO:0001932}; regulation of translational initiation {GO:0006446}; response to unfolded protein {GO:0006986}; response to virus {GO:0009615}; retina homeostasis {GO:0001895}</t>
  </si>
  <si>
    <t>axon cytoplasm {GO:1904115}; cytoplasm {GO:0005737}; cytoskeleton {GO:0005856}; cytosol {GO:0005829}; extracellular exosome {GO:0070062}; extracellular space {GO:0005615}; focal adhesion {GO:0005925}; nucleus {GO:0005634}; plasma membrane {GO:0005886}; proteasome complex {GO:0000502}; spindle {GO:0005819}; Z disc {GO:0030018}</t>
  </si>
  <si>
    <t>identical protein binding {GO:0042802}; protein folding chaperone {GO:0044183}; protein homodimerization activity {GO:0042803}; protein kinase binding {GO:0019901}; protein kinase C binding {GO:0005080}; protein kinase C inhibitor activity {GO:0008426}; RNA binding {GO:0003723}; ubiquitin binding {GO:0043130}</t>
  </si>
  <si>
    <t>VEGFA-VEGFR2 Pathway {R-HSA-4420097}; AUF1 (hnRNP D0) binds and destabilizes mRNA {R-HSA-450408}; MAPK6/MAPK4 signaling {R-HSA-5687128}; Non-genomic estrogen signaling {R-HSA-9009391}</t>
  </si>
  <si>
    <t>Protein Niban</t>
  </si>
  <si>
    <t>Cell growth-inhibiting gene 39 protein; Protein FAM129A</t>
  </si>
  <si>
    <t>NIBAN_HUMAN</t>
  </si>
  <si>
    <t>Q9BZQ8</t>
  </si>
  <si>
    <t>Q2TTR2; Q5TEM8; Q8TEI5; Q9H593; Q9H9Y8; Q9HCB9</t>
  </si>
  <si>
    <t>C1orf24; NIBAN</t>
  </si>
  <si>
    <t>Cytoplasm; Lipoprotein; Membrane; Myristate; Phosphoprotein; Polymorphism; Stress response; Translation regulation</t>
  </si>
  <si>
    <t>Stress response; Translation regulation</t>
  </si>
  <si>
    <t>negative regulation of protein phosphorylation {GO:0001933}; positive regulation of protein phosphorylation {GO:0001934}; positive regulation of translation {GO:0045727}; response to endoplasmic reticulum stress {GO:0034976}</t>
  </si>
  <si>
    <t>cytoplasm {GO:0005737}; cytosol {GO:0005829}; extracellular exosome {GO:0070062}; membrane {GO:0016020}; plasma membrane {GO:0005886}</t>
  </si>
  <si>
    <t>14-3-3 protein gamma, N-terminally processed</t>
  </si>
  <si>
    <t>1433G_HUMAN</t>
  </si>
  <si>
    <t>P61981</t>
  </si>
  <si>
    <t>O70457; P35214; Q6FH52; Q9UDP2; Q9UN99</t>
  </si>
  <si>
    <t>3D-structure; Acetylation; Cytoplasm; Disease mutation; Epilepsy; Phosphoprotein</t>
  </si>
  <si>
    <t>cellular response to insulin stimulus {GO:0032869}; ciliary basal body-plasma membrane docking {GO:0097711}; G2/M transition of mitotic cell cycle {GO:0000086}; membrane organization {GO:0061024}; negative regulation of protein kinase activity {GO:0006469}; positive regulation of protein insertion into mitochondrial membrane involved in apoptotic signaling pathway {GO:1900740}; protein targeting {GO:0006605}; regulation of G2/M transition of mitotic cell cycle {GO:0010389}; regulation of neuron differentiation {GO:0045664}; regulation of signal transduction {GO:0009966}; regulation of synaptic plasticity {GO:0048167}</t>
  </si>
  <si>
    <t>cytosol {GO:0005829}; extracellular exosome {GO:0070062}; focal adhesion {GO:0005925}; membrane {GO:0016020}; mitochondrion {GO:0005739}; presynapse {GO:0098793}</t>
  </si>
  <si>
    <t>identical protein binding {GO:0042802}; insulin-like growth factor receptor binding {GO:0005159}; protein domain specific binding {GO:0019904}; protein kinase C binding {GO:0005080}; protein kinase C inhibitor activity {GO:0008426}; receptor tyrosine kinase binding {GO:0030971}; RNA binding {GO:0003723}</t>
  </si>
  <si>
    <t>Activation of BAD and translocation to mitochondria {R-HSA-111447}; Translocation of SLC2A4 (GLUT4) to the plasma membrane {R-HSA-1445148}; 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PKNs {R-HSA-5625740}; TP53 Regulates Metabolic Genes {R-HSA-5628897}; Chk1/Chk2(Cds1) mediated inactivation of Cyclin B:Cdk1 complex {R-HSA-75035}; AURKA Activation by TPX2 {R-HSA-8854518}; Regulation of localization of FOXO transcription factors {R-HSA-9614399}</t>
  </si>
  <si>
    <t>Procollagen C-endopeptidase enhancer 1</t>
  </si>
  <si>
    <t>Procollagen COOH-terminal proteinase enhancer 1 (PCPE-1; Procollagen C-proteinase enhancer 1); Type 1 procollagen C-proteinase enhancer protein; Type I procollagen COOH-terminal proteinase enhancer</t>
  </si>
  <si>
    <t>PCOC1_HUMAN</t>
  </si>
  <si>
    <t>Q15113</t>
  </si>
  <si>
    <t>B2R9E1; O14550</t>
  </si>
  <si>
    <t>PCPE1</t>
  </si>
  <si>
    <t>3D-structure; Disulfide bond; Glycoprotein; Phosphoprotein; Repeat; Secreted; Signal</t>
  </si>
  <si>
    <t>cellular response to leukemia inhibitory factor {GO:1990830}; multicellular organism development {GO:0007275}; proteolysis {GO:0006508}</t>
  </si>
  <si>
    <t>Collagen biosynthesis and modifying enzymes {R-HSA-1650814}; Crosslinking of collagen fibrils {R-HSA-2243919}</t>
  </si>
  <si>
    <t>Cytochrome b-c1 complex subunit 2, mitochondrial</t>
  </si>
  <si>
    <t>Complex III subunit 2; Core protein II; Ubiquinol-cytochrome-c reductase complex core protein 2</t>
  </si>
  <si>
    <t>QCR2_HUMAN</t>
  </si>
  <si>
    <t>P22695</t>
  </si>
  <si>
    <t>B3KSN4; Q9BQ05</t>
  </si>
  <si>
    <t>3D-structure; Acetylation; Disease mutation; Electron transport; Membrane; Mitochondrion; Mitochondrion inner membrane; Polymorphism; Primary mitochondrial disease; Respiratory chain; Transit peptide; Transport</t>
  </si>
  <si>
    <t>aerobic respiration {GO:0009060}; mitochondrial electron transport, ubiquinol to cytochrome c {GO:0006122}; oxidative phosphorylation {GO:0006119}; protein processing involved in protein targeting to mitochondrion {GO:0006627}; response to drug {GO:0042493}</t>
  </si>
  <si>
    <t>mitochondrial inner membrane {GO:0005743}; mitochondrial processing peptidase complex {GO:0017087}; mitochondrial respiratory chain complex III {GO:0005750}; mitochondrial respiratory chain complex IV {GO:0005751}; mitochondrion {GO:0005739}; nucleoplasm {GO:0005654}</t>
  </si>
  <si>
    <t>metal ion binding {GO:0046872}; metalloendopeptidase activity {GO:0004222}; protein-containing complex binding {GO:0044877}</t>
  </si>
  <si>
    <t>Protein S100-A13</t>
  </si>
  <si>
    <t>S100 calcium-binding protein A13</t>
  </si>
  <si>
    <t>S10AD_HUMAN</t>
  </si>
  <si>
    <t>Q99584</t>
  </si>
  <si>
    <t>Q52PI9; Q6FGF8</t>
  </si>
  <si>
    <t>3D-structure; Calcium; Copper; Cytoplasm; Lipid-binding; Metal-binding; Phosphoprotein; Protein transport; Repeat; Secreted; Transport</t>
  </si>
  <si>
    <t>Calcium; Copper; Lipid-binding; Metal-binding</t>
  </si>
  <si>
    <t>cytokine secretion {GO:0050663}; interleukin-1 alpha secretion {GO:0050703}; mast cell degranulation {GO:0043303}; positive regulation of cell population proliferation {GO:0008284}; positive regulation of I-kappaB kinase/NF-kappaB signaling {GO:0043123}; regulation of cell shape {GO:0008360}; response to copper ion {GO:0046688}; response to electrical stimulus {GO:0051602}</t>
  </si>
  <si>
    <t>cytoplasm {GO:0005737}; cytosol {GO:0005829}; extracellular region {GO:0005576}; extracellular space {GO:0005615}; mast cell granule {GO:0042629}; nucleolus {GO:0005730}; nucleus {GO:0005634}; perinuclear region of cytoplasm {GO:0048471}; plasma membrane {GO:0005886}</t>
  </si>
  <si>
    <t>calcium ion binding {GO:0005509}; copper ion binding {GO:0005507}; fibroblast growth factor binding {GO:0017134}; lipid binding {GO:0008289}; protein homodimerization activity {GO:0042803}; RAGE receptor binding {GO:0050786}; zinc ion binding {GO:0008270}</t>
  </si>
  <si>
    <t>Protein S100-A1</t>
  </si>
  <si>
    <t>S-100 protein alpha chain; S-100 protein subunit alpha; S100 calcium-binding protein A1</t>
  </si>
  <si>
    <t>S10A1_HUMAN</t>
  </si>
  <si>
    <t>P23297</t>
  </si>
  <si>
    <t>B2R5D9; Q5T7Y3</t>
  </si>
  <si>
    <t>S100A</t>
  </si>
  <si>
    <t>3D-structure; Calcium; Cytoplasm; Metal-binding; Repeat; S-nitrosylation</t>
  </si>
  <si>
    <t>S-nitrosylation</t>
  </si>
  <si>
    <t>intracellular signal transduction {GO:0035556}; negative regulation of transcription by RNA polymerase II {GO:0000122}; positive regulation of nitric-oxide synthase activity {GO:0051000}; positive regulation of sprouting angiogenesis {GO:1903672}; positive regulation of voltage-gated calcium channel activity {GO:1901387}; regulation of heart contraction {GO:0008016}; substantia nigra development {GO:0021762}; toll-like receptor signaling pathway {GO:0002224}</t>
  </si>
  <si>
    <t>extracellular region {GO:0005576}; M band {GO:0031430}; neuron projection {GO:0043005}; nucleus {GO:0005634}; protein-containing complex {GO:0032991}; sarcoplasmic reticulum {GO:0016529}; Z disc {GO:0030018}</t>
  </si>
  <si>
    <t>ATPase binding {GO:0051117}; calcium ion binding {GO:0005509}; calcium-dependent protein binding {GO:0048306}; identical protein binding {GO:0042802}; protein homodimerization activity {GO:0042803}; S100 protein binding {GO:0044548}</t>
  </si>
  <si>
    <t>Regulation of TLR by endogenous ligand {R-HSA-5686938}</t>
  </si>
  <si>
    <t>Guanine nucleotide-binding protein G(I)/G(S)/G(O) subunit gamma-12</t>
  </si>
  <si>
    <t>GBG12_HUMAN</t>
  </si>
  <si>
    <t>Q9UBI6</t>
  </si>
  <si>
    <t>Q69YP5; Q9BRV5</t>
  </si>
  <si>
    <t>Acetylation; Cell membrane; Lipoprotein; Membrane; Methylation; Phosphoprotein; Prenylation; Transducer</t>
  </si>
  <si>
    <t>cerebral cortex development {GO:0021987}; G protein-coupled receptor signaling pathway {GO:0007186}; response to lipopolysaccharide {GO:0032496}; signal transduction {GO:0007165}</t>
  </si>
  <si>
    <t>actin filament {GO:0005884}; extracellular exosome {GO:0070062}; G-protein beta/gamma-subunit complex {GO:0031680}; heterotrimeric G-protein complex {GO:0005834}; plasma membrane {GO:0005886}</t>
  </si>
  <si>
    <t>G-protein beta-subunit binding {GO:0031681}; GTPase activity {GO:0003924}; PDZ domain binding {GO:0030165}; phosphate ion binding {GO:0042301}</t>
  </si>
  <si>
    <t>Activation of G protein gated Potassium channels {R-HSA-1296041}; Glucagon signaling in metabolic regulation {R-HSA-163359}; G-protein activation {R-HSA-202040}; Glucagon-like Peptide-1 (GLP1) regulates insulin secretion {R-HSA-381676}; ADP signalling through P2Y purinoceptor 12 {R-HSA-392170}; G beta:gamma signalling through PI3Kgamma {R-HSA-392451}; Prostacyclin signalling through prostacyclin receptor {R-HSA-392851}; Adrenaline,noradrenaline inhibits insulin secretion {R-HSA-400042}; Ca2+ pathway {R-HSA-4086398}; G alpha (q) signalling events {R-HSA-416476}; G alpha (12/13) signalling events {R-HSA-416482}; G beta:gamma signalling through PLC beta {R-HSA-418217}; G alpha (s) signalling events {R-HSA-418555}; ADP signalling through P2Y purinoceptor 1 {R-HSA-418592}; G alpha (i) signalling events {R-HSA-418594}; G alpha (z) signalling events {R-HSA-418597}; Glucagon-type ligand receptors {R-HSA-420092}; Thromboxane signalling through TP receptor {R-HSA-428930}; Vasopressin regulates renal water homeostasis via Aquaporins {R-HSA-432040}; Thrombin signalling through proteinase activated receptors (PARs) {R-HSA-456926}; Presynaptic function of Kainate receptors {R-HSA-500657}; Cooperation of PDCL (PhLP1) and TRiC/CCT in G-protein beta folding {R-HSA-6814122}; G beta:gamma signalling through BTK {R-HSA-8964315}; G beta:gamma signalling through CDC42 {R-HSA-8964616}; Non-genomic estrogen signaling {R-HSA-9009391}; Inhibition of voltage gated Ca2+ channels via Gbeta/gamma subunits {R-HSA-997272}</t>
  </si>
  <si>
    <t>Zymogen granule protein 16 homolog B</t>
  </si>
  <si>
    <t>ZG16B_HUMAN</t>
  </si>
  <si>
    <t>Q96DA0</t>
  </si>
  <si>
    <t>A6NIY1; B2R4F6; Q6UW28</t>
  </si>
  <si>
    <t>3D-structure; Glycoprotein; Lectin; Polymorphism; Secreted; Signal</t>
  </si>
  <si>
    <t>retina homeostasis {GO:0001895}</t>
  </si>
  <si>
    <t>Peroxiredoxin-6</t>
  </si>
  <si>
    <t>1-Cys peroxiredoxin (1-Cys PRX); 24 kDa protein; Acidic calcium-independent phospholipase A2 (aiPLA2); Antioxidant protein 2; Liver 2D page spot 40; Non-selenium glutathione peroxidase (NSGPx); Red blood cells page spot 12</t>
  </si>
  <si>
    <t>PRDX6_HUMAN</t>
  </si>
  <si>
    <t>P30041</t>
  </si>
  <si>
    <t>A8JZY7; P32077; Q5TAH4; Q5ZEZ8</t>
  </si>
  <si>
    <t>AOP2; KIAA0106</t>
  </si>
  <si>
    <t>3D-structure; Acetylation; Antioxidant; Cytoplasm; Hydrolase; Lipid degradation; Lipid metabolism; Lysosome; Multifunctional enzyme; Oxidoreductase; Peroxidase; Phosphoprotein; Redox-active center</t>
  </si>
  <si>
    <t>Antioxidant; Hydrolase; Multifunctional enzyme; Oxidoreductase; Peroxidase</t>
  </si>
  <si>
    <t>cell redox homeostasis {GO:0045454}; cellular oxidant detoxification {GO:0098869}; cellular response to oxidative stress {GO:0034599}; glycerophospholipid catabolic process {GO:0046475}; hydrogen peroxide catabolic process {GO:0042744}; neutrophil degranulation {GO:0043312}; positive regulation of mRNA splicing, via spliceosome {GO:0048026}; response to oxidative stress {GO:0006979}</t>
  </si>
  <si>
    <t>azurophil granule lumen {GO:0035578}; cytoplasm {GO:0005737}; cytosol {GO:0005829}; extracellular exosome {GO:0070062}; extracellular region {GO:0005576}; extracellular space {GO:0005615}; membrane {GO:0016020}; nucleus {GO:0005634}; perinuclear region of cytoplasm {GO:0048471}</t>
  </si>
  <si>
    <t>cadherin binding {GO:0045296}; calcium-independent phospholipase A2 activity {GO:0047499}; glutathione peroxidase activity {GO:0004602}; peroxidase activity {GO:0004601}; peroxiredoxin activity {GO:0051920}; phospholipase A2 activity (consuming 1,2-dipalmitoylphosphatidylcholine) {GO:0102567}; phospholipase A2 activity consuming 1,2-dioleoylphosphatidylethanolamine) {GO:0102568}; protein homodimerization activity {GO:0042803}; ubiquitin protein ligase binding {GO:0031625}</t>
  </si>
  <si>
    <t>Detoxification of Reactive Oxygen Species {R-HSA-3299685}; Neutrophil degranulation {R-HSA-6798695}</t>
  </si>
  <si>
    <t>Ladinin-1 (Lad-1)</t>
  </si>
  <si>
    <t>Linear IgA disease antigen (LADA)</t>
  </si>
  <si>
    <t>LAD1_HUMAN</t>
  </si>
  <si>
    <t>O00515</t>
  </si>
  <si>
    <t>O95614; Q96GD8</t>
  </si>
  <si>
    <t>LAD</t>
  </si>
  <si>
    <t>Basement membrane; Extracellular matrix; Methylation; Phosphoprotein; Polymorphism; Repeat; Secreted</t>
  </si>
  <si>
    <t>actin cytoskeleton {GO:0015629}; basement membrane {GO:0005604}; extracellular exosome {GO:0070062}</t>
  </si>
  <si>
    <t>cadherin binding {GO:0045296}; structural molecule activity {GO:0005198}</t>
  </si>
  <si>
    <t>Complement factor H</t>
  </si>
  <si>
    <t>H factor 1</t>
  </si>
  <si>
    <t>CFAH_HUMAN</t>
  </si>
  <si>
    <t>P08603</t>
  </si>
  <si>
    <t>A5PL14; P78435; Q14570; Q2TAZ5; Q38G77; Q5TFM3; Q8N708; Q9NU86</t>
  </si>
  <si>
    <t>HF; HF1; HF2</t>
  </si>
  <si>
    <t>3D-structure; Age-related macular degeneration; Alternative splicing; Complement alternate pathway; Disease mutation; Disulfide bond; Glycoprotein; Hemolytic uremic syndrome; Host-virus interaction; Immunity; Innate immunity; Polymorphism; Repeat; Secreted; Signal; Sushi</t>
  </si>
  <si>
    <t>Complement alternate pathway; Host-virus interaction; Immunity; Innate immunity</t>
  </si>
  <si>
    <t>complement activation {GO:0006956}; complement activation, alternative pathway {GO:0006957}; regulation of complement activation {GO:0030449}; regulation of complement-dependent cytotoxicity {GO:1903659}; viral process {GO:0016032}</t>
  </si>
  <si>
    <t>heparan sulfate proteoglycan binding {GO:0043395}; heparin binding {GO:0008201}</t>
  </si>
  <si>
    <t>Ephrin-A1, secreted form</t>
  </si>
  <si>
    <t>EPH-related receptor tyrosine kinase ligand 1 (LERK-1); Immediate early response protein B61; Tumor necrosis factor alpha-induced protein 4 (TNF alpha-induced protein 4)</t>
  </si>
  <si>
    <t>EFNA1_HUMAN</t>
  </si>
  <si>
    <t>P20827</t>
  </si>
  <si>
    <t>D3DV86; Q5SR60; Q5SR61; Q6I9T9; Q8N578</t>
  </si>
  <si>
    <t>EPLG1; LERK1; TNFAIP4</t>
  </si>
  <si>
    <t>3D-structure; Alternative splicing; Angiogenesis; Cell membrane; Disulfide bond; Glycoprotein; GPI-anchor; Lipoprotein; Membrane; Polymorphism; Secreted; Signal; Tumor suppressor</t>
  </si>
  <si>
    <t>angiogenesis {GO:0001525}; aortic valve morphogenesis {GO:0003180}; axon guidance {GO:0007411}; cell migration {GO:0016477}; cell-cell signaling {GO:0007267}; endocardial cushion to mesenchymal transition involved in heart valve formation {GO:0003199}; ephrin receptor signaling pathway {GO:0048013}; mitral valve morphogenesis {GO:0003183}; negative regulation of dendritic spine morphogenesis {GO:0061002}; negative regulation of epithelial to mesenchymal transition {GO:0010719}; negative regulation of MAPK cascade {GO:0043409}; negative regulation of proteolysis involved in cellular protein catabolic process {GO:1903051}; negative regulation of thymocyte apoptotic process {GO:0070244}; negative regulation of transcription by RNA polymerase II {GO:0000122}; notochord formation {GO:0014028}; positive regulation of amyloid-beta formation {GO:1902004}; positive regulation of aspartic-type endopeptidase activity involved in amyloid precursor protein catabolic process {GO:1902961}; positive regulation of MAPK cascade {GO:0043410}; positive regulation of peptidyl-tyrosine phosphorylation {GO:0050731}; positive regulation of protein phosphorylation {GO:0001934}; positive regulation of protein tyrosine kinase activity {GO:0061098}; protein stabilization {GO:0050821}; regulation of angiogenesis {GO:0045765}; regulation of axonogenesis {GO:0050770}; regulation of blood vessel endothelial cell migration {GO:0043535}; regulation of cell adhesion mediated by integrin {GO:0033628}; regulation of peptidyl-tyrosine phosphorylation {GO:0050730}; substrate adhesion-dependent cell spreading {GO:0034446}</t>
  </si>
  <si>
    <t>ephrin receptor binding {GO:0046875}; signaling receptor binding {GO:0005102}</t>
  </si>
  <si>
    <t>Ras-related protein Rab-13</t>
  </si>
  <si>
    <t>Cell growth-inhibiting gene 4 protein</t>
  </si>
  <si>
    <t>RAB13_HUMAN</t>
  </si>
  <si>
    <t>P51153</t>
  </si>
  <si>
    <t>A8K6B5; D3DV67; Q5U0A6; Q6GPG6; Q96GU4</t>
  </si>
  <si>
    <t>Cell junction; Cell membrane; Cell projection; Cytoplasmic vesicle; Endosome; Golgi apparatus; GTP-binding; Lipoprotein; Membrane; Methylation; Nucleotide-binding; Phosphoprotein; Prenylation; Protein transport; Tight junction; Transport</t>
  </si>
  <si>
    <t>Cell junction; Cell membrane; Cell projection; Cytoplasmic vesicle; Endosome; Golgi apparatus; Membrane; Tight junction</t>
  </si>
  <si>
    <t>bicellular tight junction assembly {GO:0070830}; cellular response to insulin stimulus {GO:0032869}; cortical actin cytoskeleton organization {GO:0030866}; endocytic recycling {GO:0032456}; endosomal transport {GO:0016197}; endothelial cell chemotaxis {GO:0035767}; establishment of Sertoli cell barrier {GO:0097368}; intracellular protein transport {GO:0006886}; neuron projection development {GO:0031175}; post-translational protein modification {GO:0043687}; protein kinase A signaling {GO:0010737}; protein localization to plasma membrane {GO:0072659}; Rab protein signal transduction {GO:0032482}; trans-Golgi network to recycling endosome transport {GO:0044795}</t>
  </si>
  <si>
    <t>bicellular tight junction {GO:0005923}; cell junction {GO:0030054}; cytoplasmic vesicle {GO:0031410}; cytoplasmic vesicle membrane {GO:0030659}; cytosol {GO:0005829}; endocytic vesicle {GO:0030139}; extracellular exosome {GO:0070062}; insulin-responsive compartment {GO:0032593}; lamellipodium {GO:0030027}; lateral plasma membrane {GO:0016328}; neuron projection {GO:0043005}; plasma membrane {GO:0005886}; recycling endosome {GO:0055037}; recycling endosome membrane {GO:0055038}; trans-Golgi network {GO:0005802}</t>
  </si>
  <si>
    <t>Translocation of SLC2A4 (GLUT4) to the plasma membrane {R-HSA-1445148}; RAB geranylgeranylation {R-HSA-8873719}; RAB GEFs exchange GTP for GDP on RABs {R-HSA-8876198}</t>
  </si>
  <si>
    <t>CCN family member 1</t>
  </si>
  <si>
    <t>Cellular communication network factor 1; Cysteine-rich angiogenic inducer 61; Insulin-like growth factor-binding protein 10 (IBP-10; IGF-binding protein 10; IGFBP-10); Protein CYR61; Protein GIG1</t>
  </si>
  <si>
    <t>CCN1_HUMAN</t>
  </si>
  <si>
    <t>O00622</t>
  </si>
  <si>
    <t>O14934; O43775; Q9BZL7</t>
  </si>
  <si>
    <t>3D-structure; Cell adhesion; Chemotaxis; Disulfide bond; Growth factor binding; Heparin-binding; Phosphoprotein; Polymorphism; Secreted; Signal</t>
  </si>
  <si>
    <t>Cell adhesion; Chemotaxis</t>
  </si>
  <si>
    <t>apoptotic process involved in heart morphogenesis {GO:0003278}; atrial septum morphogenesis {GO:0060413}; atrioventricular valve morphogenesis {GO:0003181}; cell adhesion {GO:0007155}; cellular protein metabolic process {GO:0044267}; chemotaxis {GO:0006935}; chondroblast differentiation {GO:0060591}; chorio-allantoic fusion {GO:0060710}; extracellular matrix organization {GO:0030198}; intussusceptive angiogenesis {GO:0002041}; labyrinthine layer blood vessel development {GO:0060716}; negative regulation of apoptotic process {GO:0043066}; negative regulation of cell death {GO:0060548}; osteoblast differentiation {GO:0001649}; positive regulation of BMP signaling pathway {GO:0030513}; positive regulation of bone mineralization {GO:0030501}; positive regulation of cartilage development {GO:0061036}; positive regulation of cell migration {GO:0030335}; positive regulation of cell-substrate adhesion {GO:0010811}; positive regulation of ceramide biosynthetic process {GO:2000304}; positive regulation of cysteine-type endopeptidase activity involved in apoptotic process {GO:0043280}; positive regulation of osteoblast differentiation {GO:0045669}; positive regulation of osteoblast proliferation {GO:0033690}; positive regulation of phospholipase activity {GO:0010518}; positive regulation of protein kinase activity {GO:0045860}; positive regulation of protein phosphorylation {GO:0001934}; positive regulation of transcription by RNA polymerase II {GO:0045944}; post-translational protein modification {GO:0043687}; reactive oxygen species metabolic process {GO:0072593}; regulation of ERK1 and ERK2 cascade {GO:0070372}; ventricular septum development {GO:0003281}; wound healing, spreading of cells {GO:0044319}</t>
  </si>
  <si>
    <t>collagen-containing extracellular matrix {GO:0062023}; endoplasmic reticulum lumen {GO:0005788}; extracellular matrix {GO:0031012}</t>
  </si>
  <si>
    <t>extracellular matrix binding {GO:0050840}; heparin binding {GO:0008201}; insulin-like growth factor binding {GO:0005520}; integrin binding {GO:0005178}</t>
  </si>
  <si>
    <t>4-aminobutyrate aminotransferase, mitochondrial</t>
  </si>
  <si>
    <t>(S)-3-amino-2-methylpropionate transaminase; GABA aminotransferase (GABA-AT); Gamma-amino-N-butyrate transaminase (GABA transaminase; GABA-T); L-AIBAT</t>
  </si>
  <si>
    <t>GABT_HUMAN</t>
  </si>
  <si>
    <t>P80404</t>
  </si>
  <si>
    <t>A8K386; Q16260; Q8N5W2; Q96BG2; Q99800</t>
  </si>
  <si>
    <t>GABAT</t>
  </si>
  <si>
    <t>Acetylation; Aminotransferase; Disease mutation; Disulfide bond; Iron; Iron-sulfur; Metal-binding; Mitochondrion; Neurotransmitter degradation; Polymorphism; Pyridoxal phosphate; Transferase; Transit peptide</t>
  </si>
  <si>
    <t>Neurotransmitter degradation</t>
  </si>
  <si>
    <t>Iron; Iron-sulfur; Metal-binding; Pyridoxal phosphate</t>
  </si>
  <si>
    <t>aging {GO:0007568}; behavioral response to cocaine {GO:0048148}; cerebellum development {GO:0021549}; copulation {GO:0007620}; exploration behavior {GO:0035640}; gamma-aminobutyric acid biosynthetic process {GO:0009449}; gamma-aminobutyric acid catabolic process {GO:0009450}; locomotory behavior {GO:0007626}; negative regulation of blood pressure {GO:0045776}; negative regulation of dopamine secretion {GO:0033602}; negative regulation of gamma-aminobutyric acid secretion {GO:0014053}; negative regulation of platelet aggregation {GO:0090331}; neurotransmitter catabolic process {GO:0042135}; positive regulation of aspartate secretion {GO:1904450}; positive regulation of dopamine metabolic process {GO:0045964}; positive regulation of heat generation {GO:0031652}; positive regulation of inhibitory postsynaptic potential {GO:0097151}; positive regulation of insulin secretion {GO:0032024}; positive regulation of prolactin secretion {GO:1902722}; positive regulation of uterine smooth muscle contraction {GO:0070474}; response to ethanol {GO:0045471}; response to hypoxia {GO:0001666}; response to iron ion {GO:0010039}; response to nicotine {GO:0035094}</t>
  </si>
  <si>
    <t>4-aminobutyrate transaminase complex {GO:0032144}; mitochondrial matrix {GO:0005759}; mitochondrion {GO:0005739}; neuron projection {GO:0043005}</t>
  </si>
  <si>
    <t>(S)-3-amino-2-methylpropionate transaminase activity {GO:0047298}; 4-aminobutyrate transaminase activity {GO:0003867}; 4-aminobutyrate:2-oxoglutarate transaminase activity {GO:0034386}; iron-sulfur cluster binding {GO:0051536}; metal ion binding {GO:0046872}; protein homodimerization activity {GO:0042803}; pyridoxal phosphate binding {GO:0030170}; succinate-semialdehyde dehydrogenase binding {GO:0032145}</t>
  </si>
  <si>
    <t>MARCKS-related protein</t>
  </si>
  <si>
    <t>MARCKS-like protein 1; Macrophage myristoylated alanine-rich C kinase substrate (Mac-MARCKS; MacMARCKS)</t>
  </si>
  <si>
    <t>MRP_HUMAN</t>
  </si>
  <si>
    <t>P49006</t>
  </si>
  <si>
    <t>D3DPQ0; Q5TEE6; Q6NXS5</t>
  </si>
  <si>
    <t>MLP; MRP</t>
  </si>
  <si>
    <t>Actin-binding; Calmodulin-binding; Cell membrane; Cytoplasm; Cytoskeleton; Lipoprotein; Membrane; Myristate; Phosphoprotein</t>
  </si>
  <si>
    <t>positive regulation of cell population proliferation {GO:0008284}</t>
  </si>
  <si>
    <t>cytoplasm {GO:0005737}; cytoskeleton {GO:0005856}; extracellular exosome {GO:0070062}; plasma membrane {GO:0005886}</t>
  </si>
  <si>
    <t>actin binding {GO:0003779}; calmodulin binding {GO:0005516}</t>
  </si>
  <si>
    <t>Actin-related protein 2/3 complex subunit 5</t>
  </si>
  <si>
    <t>Arp2/3 complex 16 kDa subunit (p16-ARC)</t>
  </si>
  <si>
    <t>ARPC5_HUMAN</t>
  </si>
  <si>
    <t>O15511</t>
  </si>
  <si>
    <t>A6NEC4; Q6PG42</t>
  </si>
  <si>
    <t>ARC16</t>
  </si>
  <si>
    <t>Acetylation; Actin-binding; Alternative splicing; Cell projection; Cytoplasm; Cytoskeleton; Nucleus; Ubl conjugation</t>
  </si>
  <si>
    <t>actin cytoskeleton organization {GO:0030036}; actin filament network formation {GO:0051639}; Arp2/3 complex-mediated actin nucleation {GO:0034314}; cell migration {GO:0016477}; ephrin receptor signaling pathway {GO:0048013}; Fc-gamma receptor signaling pathway involved in phagocytosis {GO:0038096}; lamellipodium organization {GO:0097581}; maintenance of cell polarity {GO:0030011}; membrane organization {GO:0061024}; microtubule organizing center localization {GO:0061842}; neutrophil degranulation {GO:0043312}; orbitofrontal cortex development {GO:0021769}; smooth muscle cell migration {GO:0014909}</t>
  </si>
  <si>
    <t>actin cytoskeleton {GO:0015629}; Arp2/3 protein complex {GO:0005885}; cytoplasm {GO:0005737}; cytosol {GO:0005829}; endosome {GO:0005768}; extracellular exosome {GO:0070062}; extracellular region {GO:0005576}; ficolin-1-rich granule lumen {GO:1904813}; focal adhesion {GO:0005925}; growth cone {GO:0030426}; lamellipodium {GO:0030027}; nucleus {GO:0005634}; secretory granule lumen {GO:0034774}; site of double-strand break {GO:0035861}</t>
  </si>
  <si>
    <t>Regulation of actin dynamics for phagocytic cup formation {R-HSA-2029482}; EPHB-mediated forward signaling {R-HSA-3928662}; RHO GTPases Activate WASPs and WAVEs {R-HSA-5663213}; Neutrophil degranulation {R-HSA-6798695}; Clathrin-mediated endocytosis {R-HSA-8856828}</t>
  </si>
  <si>
    <t>Brain-specific serine protease 4 (BSSP-4)</t>
  </si>
  <si>
    <t>Serine protease 22; Serine protease 26; Tryptase epsilon</t>
  </si>
  <si>
    <t>BSSP4_HUMAN</t>
  </si>
  <si>
    <t>Q9GZN4</t>
  </si>
  <si>
    <t>O43342; Q6UXE0</t>
  </si>
  <si>
    <t>BSSP4; PRSS26</t>
  </si>
  <si>
    <t>Disulfide bond; Glycoprotein; Hydrolase; Protease; Secreted; Serine protease; Signal</t>
  </si>
  <si>
    <t>anchored component of plasma membrane {GO:0046658}; extracellular region {GO:0005576}; extrinsic component of plasma membrane {GO:0019897}</t>
  </si>
  <si>
    <t>Myosin-7</t>
  </si>
  <si>
    <t>Myosin heavy chain 7; Myosin heavy chain slow isoform (MyHC-slow); Myosin heavy chain, cardiac muscle beta isoform (MyHC-beta)</t>
  </si>
  <si>
    <t>MYH7_HUMAN</t>
  </si>
  <si>
    <t>P12883</t>
  </si>
  <si>
    <t>A2TDB6; B6D424; Q14836; Q14837; Q14904; Q16579; Q2M1Y6; Q92679; Q9H1D5; Q9UDA2; Q9UMM8</t>
  </si>
  <si>
    <t>MYHCB</t>
  </si>
  <si>
    <t>3D-structure; Actin-binding; ATP-binding; Calmodulin-binding; Cardiomyopathy; Coiled coil; Cytoplasm; Disease mutation; Methylation; Motor protein; Muscle protein; Myosin; Nucleotide-binding; Phosphoprotein; Polymorphism; Thick filament</t>
  </si>
  <si>
    <t>adult heart development {GO:0007512}; ATP metabolic process {GO:0046034}; cardiac muscle contraction {GO:0060048}; cardiac muscle hypertrophy in response to stress {GO:0014898}; muscle contraction {GO:0006936}; muscle filament sliding {GO:0030049}; regulation of heart rate {GO:0002027}; regulation of slow-twitch skeletal muscle fiber contraction {GO:0031449}; regulation of the force of heart contraction {GO:0002026}; regulation of the force of skeletal muscle contraction {GO:0014728}; skeletal muscle contraction {GO:0003009}; striated muscle contraction {GO:0006941}; transition between fast and slow fiber {GO:0014883}; ventricular cardiac muscle tissue morphogenesis {GO:0055010}</t>
  </si>
  <si>
    <t>muscle myosin complex {GO:0005859}; myofibril {GO:0030016}; myosin complex {GO:0016459}; myosin filament {GO:0032982}; sarcomere {GO:0030017}; stress fiber {GO:0001725}; Z disc {GO:0030018}</t>
  </si>
  <si>
    <t>actin filament binding {GO:0051015}; actin-dependent ATPase activity {GO:0030898}; ATP binding {GO:0005524}; ATPase activity {GO:0016887}; calmodulin binding {GO:0005516}; microfilament motor activity {GO:0000146}</t>
  </si>
  <si>
    <t>RNA-binding protein FUS</t>
  </si>
  <si>
    <t>75 kDa DNA-pairing protein; Oncogene FUS; Oncogene TLS; POMp75; Translocated in liposarcoma protein</t>
  </si>
  <si>
    <t>FUS_HUMAN</t>
  </si>
  <si>
    <t>P35637</t>
  </si>
  <si>
    <t>Q9H4A8</t>
  </si>
  <si>
    <t>TLS</t>
  </si>
  <si>
    <t>3D-structure; Alternative splicing; Amyotrophic lateral sclerosis; Chromosomal rearrangement; Disease mutation; DNA-binding; Isopeptide bond; Metal-binding; Methylation; Neurodegeneration; Nucleus; Phosphoprotein; Polymorphism; Proto-oncogene; Repeat; RNA-binding; Ubl conjugation; Zinc; Zinc-finger</t>
  </si>
  <si>
    <t>Amyotrophic lateral sclerosis; Disease mutation; Neurodegeneration; Proto-oncogene</t>
  </si>
  <si>
    <t>cellular response to calcium ion {GO:0071277}; mRNA splicing, via spliceosome {GO:0000398}; positive regulation of double-strand break repair via homologous recombination {GO:1905168}; protein homooligomerization {GO:0051260}; regulation of RNA splicing {GO:0043484}; regulation of transcription by RNA polymerase II {GO:0006357}; regulation of transcription, DNA-templated {GO:0006355}; RNA splicing {GO:0008380}</t>
  </si>
  <si>
    <t>dendritic spine head {GO:0044327}; nucleoplasm {GO:0005654}; nucleus {GO:0005634}; perikaryon {GO:0043204}; perinuclear region of cytoplasm {GO:0048471}; polysome {GO:0005844}</t>
  </si>
  <si>
    <t>chromatin binding {GO:0003682}; DNA binding {GO:0003677}; estrogen receptor binding {GO:0030331}; identical protein binding {GO:0042802}; ionotropic glutamate receptor binding {GO:0035255}; metal ion binding {GO:0046872}; myosin V binding {GO:0031489}; retinoid X receptor binding {GO:0046965}; RNA binding {GO:0003723}; thyroid hormone receptor binding {GO:0046966}; transcription coactivator activity {GO:0003713}</t>
  </si>
  <si>
    <t>Podocin</t>
  </si>
  <si>
    <t>PODO_HUMAN</t>
  </si>
  <si>
    <t>Q9NP85</t>
  </si>
  <si>
    <t>B1AM32; B1AM33; Q8N6Q5</t>
  </si>
  <si>
    <t>Alternative splicing; Cell membrane; Disease mutation; Endoplasmic reticulum; Glycoprotein; Lipoprotein; Membrane; Palmitate</t>
  </si>
  <si>
    <t>actin cytoskeleton reorganization {GO:0031532}; excretion {GO:0007588}; metanephric glomerular visceral epithelial cell development {GO:0072249}</t>
  </si>
  <si>
    <t>cell-cell junction {GO:0005911}; endoplasmic reticulum {GO:0005783}; extracellular exosome {GO:0070062}; integral component of plasma membrane {GO:0005887}; intrinsic component of the cytoplasmic side of the plasma membrane {GO:0031235}; membrane raft {GO:0045121}; plasma membrane {GO:0005886}; protein-containing complex {GO:0032991}; slit diaphragm {GO:0036057}</t>
  </si>
  <si>
    <t>Protein S100-A9</t>
  </si>
  <si>
    <t>Calgranulin-B; Calprotectin L1H subunit; Leukocyte L1 complex heavy chain; Migration inhibitory factor-related protein 14 (MRP-14; p14); S100 calcium-binding protein A9</t>
  </si>
  <si>
    <t>S10A9_HUMAN</t>
  </si>
  <si>
    <t>P06702</t>
  </si>
  <si>
    <t>D3DV36; Q6FGA1; Q9NYM0; Q9UCJ1</t>
  </si>
  <si>
    <t>CAGB; CFAG; MRP14</t>
  </si>
  <si>
    <t>3D-structure; Antimicrobial; Antioxidant; Apoptosis; Autophagy; Calcium; Cell membrane; Chemotaxis; Cytoplasm; Cytoskeleton; Immunity; Inflammatory response; Innate immunity; Membrane; Metal-binding; Methylation; Phosphoprotein; Polymorphism; Repeat; S-nitrosylation; Secreted; Zinc</t>
  </si>
  <si>
    <t>Apoptosis; Autophagy; Chemotaxis; Immunity; Inflammatory response; Innate immunity</t>
  </si>
  <si>
    <t>Cell membrane; Cytoplasm; Cytoskeleton; Membrane; Secreted</t>
  </si>
  <si>
    <t>Antimicrobial; Antioxidant</t>
  </si>
  <si>
    <t>Methylation; Phosphoprotein; S-nitrosylation</t>
  </si>
  <si>
    <t>activation of cysteine-type endopeptidase activity involved in apoptotic process {GO:0006919}; antimicrobial humoral immune response mediated by antimicrobial peptide {GO:0061844}; antimicrobial humoral response {GO:0019730}; apoptotic process {GO:0006915}; autophagy {GO:0006914}; cell-cell signaling {GO:0007267}; chemokine production {GO:0032602}; cytokine production {GO:0001816}; defense response to bacterium {GO:0042742}; defense response to fungus {GO:0050832}; inflammatory response {GO:0006954}; innate immune response {GO:0045087}; leukocyte migration involved in inflammatory response {GO:0002523}; modification of morphology or physiology of other organism {GO:0035821}; neutrophil aggregation {GO:0070488}; neutrophil chemotaxis {GO:0030593}; neutrophil degranulation {GO:0043312}; peptidyl-cysteine S-trans-nitrosylation {GO:0035606}; positive regulation of cell growth {GO:0030307}; positive regulation of inflammatory response {GO:0050729}; positive regulation of intrinsic apoptotic signaling pathway {GO:2001244}; positive regulation of neuron projection development {GO:0010976}; positive regulation of NF-kappaB transcription factor activity {GO:0051092}; regulation of cytoskeleton organization {GO:0051493}; sequestering of zinc ion {GO:0032119}; toll-like receptor signaling pathway {GO:0002224}</t>
  </si>
  <si>
    <t>cell junction {GO:0030054}; collagen-containing extracellular matrix {GO:0062023}; cytoplasm {GO:0005737}; cytoskeleton {GO:0005856}; cytosol {GO:0005829}; extracellular exosome {GO:0070062}; extracellular region {GO:0005576}; extracellular space {GO:0005615}; nucleoplasm {GO:0005654}; nucleus {GO:0005634}; plasma membrane {GO:0005886}; secretory granule lumen {GO:0034774}</t>
  </si>
  <si>
    <t>antioxidant activity {GO:0016209}; arachidonic acid binding {GO:0050544}; calcium ion binding {GO:0005509}; microtubule binding {GO:0008017}; RAGE receptor binding {GO:0050786}; Toll-like receptor 4 binding {GO:0035662}; zinc ion binding {GO:0008270}</t>
  </si>
  <si>
    <t>RHO GTPases Activate NADPH Oxidases {R-HSA-5668599}; Regulation of TLR by endogenous ligand {R-HSA-5686938}; Neutrophil degranulation {R-HSA-6798695}; Metal sequestration by antimicrobial proteins {R-HSA-6799990}</t>
  </si>
  <si>
    <t>Enoyl-CoA delta isomerase 1, mitochondrial</t>
  </si>
  <si>
    <t>3,2-trans-enoyl-CoA isomerase; Delta(3),Delta(2)-enoyl-CoA isomerase (D3,D2-enoyl-CoA isomerase); Dodecenoyl-CoA isomerase</t>
  </si>
  <si>
    <t>ECI1_HUMAN</t>
  </si>
  <si>
    <t>P42126</t>
  </si>
  <si>
    <t>A8K512; Q13290; Q7Z2L6; Q7Z2L7; Q9BUB8; Q9BW05; Q9UDG6</t>
  </si>
  <si>
    <t>DCI</t>
  </si>
  <si>
    <t>3D-structure; Acetylation; Alternative splicing; Fatty acid metabolism; Isomerase; Lipid metabolism; Mitochondrion; Transit peptide</t>
  </si>
  <si>
    <t>dodecenoyl-CoA delta-isomerase activity {GO:0004165}; enoyl-CoA hydratase activity {GO:0004300}</t>
  </si>
  <si>
    <t>mitochondrial fatty acid beta-oxidation of unsaturated fatty acids {R-HSA-77288}</t>
  </si>
  <si>
    <t>Amiloride-sensitive sodium channel subunit gamma</t>
  </si>
  <si>
    <t>Epithelial Na(+) channel subunit gamma (ENaCG; Gamma-ENaC); Gamma-NaCH; Nonvoltage-gated sodium channel 1 subunit gamma; SCNEG</t>
  </si>
  <si>
    <t>SCNNG_HUMAN</t>
  </si>
  <si>
    <t>P51170</t>
  </si>
  <si>
    <t>P78437; Q6PCC2; Q93023; Q93024; Q93025; Q93026; Q93027; Q96TD2</t>
  </si>
  <si>
    <t>3D-structure; Cell membrane; Disease mutation; Glycoprotein; Ion channel; Ion transport; Membrane; Phosphoprotein; Polymorphism; Sensory transduction; Sodium; Sodium channel; Sodium transport; Taste; Transmembrane; Transmembrane helix; Transport; Ubl conjugation</t>
  </si>
  <si>
    <t>excretion {GO:0007588}; ion transmembrane transport {GO:0034220}; multicellular organismal water homeostasis {GO:0050891}; response to stimulus {GO:0050896}; sensory perception of taste {GO:0050909}; sodium ion homeostasis {GO:0055078}; sodium ion transmembrane transport {GO:0035725}; sodium ion transport {GO:0006814}</t>
  </si>
  <si>
    <t>apical plasma membrane {GO:0016324}; external side of plasma membrane {GO:0009897}; extracellular exosome {GO:0070062}; integral component of plasma membrane {GO:0005887}; nucleoplasm {GO:0005654}; plasma membrane {GO:0005886}; sodium channel complex {GO:0034706}</t>
  </si>
  <si>
    <t>ion channel activity {GO:0005216}; ligand-gated sodium channel activity {GO:0015280}; sodium channel activity {GO:0005272}; WW domain binding {GO:0050699}</t>
  </si>
  <si>
    <t>Heterogeneous nuclear ribonucleoprotein U (hnRNP U)</t>
  </si>
  <si>
    <t>GRIP120; Nuclear p120 ribonucleoprotein; Scaffold-attachment factor A (SAF-A); p120; pp120</t>
  </si>
  <si>
    <t>HNRPU_HUMAN</t>
  </si>
  <si>
    <t>Q00839</t>
  </si>
  <si>
    <t>O75507; Q8N174; Q96HY9; Q9BQ09</t>
  </si>
  <si>
    <t>3D-structure; Acetylation; Activator; ADP-ribosylation; Alternative splicing; ATP-binding; Biological rhythms; Cell cycle; Cell division; Centromere; Chromatin regulator; Chromosome; Citrullination; Cytoplasm; Cytoskeleton; Developmental protein; Differentiation; Disease mutation; DNA-binding; Epilepsy; Isopeptide bond; Kinetochore; Methylation; Mitosis; mRNA processing; mRNA splicing; Nucleotide-binding; Nucleus; Phosphoprotein; Polymorphism; Repressor; Ribonucleoprotein; RNA-binding; Spliceosome; Transcription; Transcription regulation; Ubl conjugation</t>
  </si>
  <si>
    <t>Biological rhythms; Cell cycle; Cell division; Differentiation; Mitosis; Transcription; Transcription regulation; mRNA processing; mRNA splicing</t>
  </si>
  <si>
    <t>Centromere; Chromosome; Cytoplasm; Cytoskeleton; Kinetochore; Nucleus; Spliceosome</t>
  </si>
  <si>
    <t>Activator; Chromatin regulator; DNA-binding; Developmental protein; RNA-binding; Repressor; Ribonucleoprotein</t>
  </si>
  <si>
    <t>ADP-ribosylation; Acetylation; Citrullination; Isopeptide bond; Methylation; Phosphoprotein; Ubl conjugation</t>
  </si>
  <si>
    <t>adaptive thermogenesis {GO:1990845}; cardiac muscle cell development {GO:0055013}; cell cycle {GO:0007049}; cell division {GO:0051301}; cellular response to glucocorticoid stimulus {GO:0071385}; cellular response to leukemia inhibitory factor {GO:1990830}; chromatin organization {GO:0006325}; circadian regulation of gene expression {GO:0032922}; CRD-mediated mRNA stabilization {GO:0070934}; dendritic transport of messenger ribonucleoprotein complex {GO:0098963}; dosage compensation by inactivation of X chromosome {GO:0009048}; maintenance of protein location in nucleus {GO:0051457}; mRNA splicing, via spliceosome {GO:0000398}; mRNA stabilization {GO:0048255}; negative regulation of kinase activity {GO:0033673}; negative regulation of stem cell differentiation {GO:2000737}; negative regulation of telomere maintenance via telomerase {GO:0032211}; negative regulation of transcription by RNA polymerase II {GO:0000122}; negative regulation of transcription elongation from RNA polymerase II promoter {GO:0034244}; osteoblast differentiation {GO:0001649}; positive regulation of attachment of mitotic spindle microtubules to kinetochore {GO:1902425}; positive regulation of brown fat cell differentiation {GO:0090336}; positive regulation of DNA topoisomerase (ATP-hydrolyzing) activity {GO:2000373}; positive regulation of stem cell proliferation {GO:2000648}; positive regulation of transcription by RNA polymerase II {GO:0045944}; protein localization to spindle microtubule {GO:1902889}; regulation of alternative mRNA splicing, via spliceosome {GO:0000381}; regulation of chromatin organization {GO:1902275}; regulation of mitotic cell cycle {GO:0007346}; regulation of mitotic spindle assembly {GO:1901673}; RNA localization to chromatin {GO:1990280}; RNA metabolic process {GO:0016070}; RNA processing {GO:0006396}</t>
  </si>
  <si>
    <t>catalytic step 2 spliceosome {GO:0071013}; cell surface {GO:0009986}; centrosome {GO:0005813}; condensed chromosome kinetochore {GO:0000777}; CRD-mediated mRNA stability complex {GO:0070937}; cytoplasmic ribonucleoprotein granule {GO:0036464}; dendrite cytoplasm {GO:0032839}; inactive sex chromosome {GO:0098577}; kinetochore {GO:0000776}; membrane {GO:0016020}; midbody {GO:0030496}; mitotic spindle {GO:0072686}; mitotic spindle microtubule {GO:1990498}; mitotic spindle midzone {GO:1990023}; nuclear chromosome {GO:0000228}; nuclear matrix {GO:0016363}; nuclear speck {GO:0016607}; nucleoplasm {GO:0005654}; nucleus {GO:0005634}; protein-containing complex {GO:0032991}; ribonucleoprotein complex {GO:1990904}; spindle pole {GO:0000922}; telomerase holoenzyme complex {GO:0005697}</t>
  </si>
  <si>
    <t>actin binding {GO:0003779}; ATP binding {GO:0005524}; chromatin binding {GO:0003682}; chromatin DNA binding {GO:0031490}; DNA binding {GO:0003677}; double-stranded DNA binding {GO:0003690}; double-stranded RNA binding {GO:0003725}; identical protein binding {GO:0042802}; mRNA 3'-UTR binding {GO:0003730}; poly(A) binding {GO:0008143}; poly(C) RNA binding {GO:0017130}; poly(G) binding {GO:0034046}; pre-mRNA binding {GO:0036002}; promoter-specific chromatin binding {GO:1990841}; protein-containing complex binding {GO:0044877}; ribonucleoprotein complex binding {GO:0043021}; RNA binding {GO:0003723}; RNA polymerase II C-terminal domain binding {GO:0099122}; RNA polymerase II complex binding {GO:0000993}; RNA polymerase II proximal promoter sequence-specific DNA binding {GO:0000978}; sequence-specific double-stranded DNA binding {GO:1990837}; single-stranded DNA binding {GO:0003697}; single-stranded RNA binding {GO:0003727}; snRNA binding {GO:0017069}; telomerase RNA binding {GO:0070034}; TFIIH-class transcription factor complex binding {GO:0001097}; transcription corepressor activity {GO:0003714}</t>
  </si>
  <si>
    <t>THUMP domain-containing protein 1</t>
  </si>
  <si>
    <t>THUM1_HUMAN</t>
  </si>
  <si>
    <t>Q9NXG2</t>
  </si>
  <si>
    <t>Q9BWC3</t>
  </si>
  <si>
    <t>3D-structure; Acetylation; Phosphoprotein; Polymorphism</t>
  </si>
  <si>
    <t>rRNA modification {GO:0000154}; tRNA modification {GO:0006400}</t>
  </si>
  <si>
    <t>nucleoplasm {GO:0005654}</t>
  </si>
  <si>
    <t>rRNA modification in the nucleus and cytosol {R-HSA-6790901}</t>
  </si>
  <si>
    <t>Ketimine reductase mu-crystallin</t>
  </si>
  <si>
    <t>NADP-regulated thyroid-hormone-binding protein</t>
  </si>
  <si>
    <t>CRYM_HUMAN</t>
  </si>
  <si>
    <t>Q14894</t>
  </si>
  <si>
    <t>D5MNX0; Q5HYB7</t>
  </si>
  <si>
    <t>THBP</t>
  </si>
  <si>
    <t>3D-structure; Cytoplasm; Deafness; Disease mutation; NAD; NADP; Non-syndromic deafness; Oxidoreductase</t>
  </si>
  <si>
    <t>lysine catabolic process {GO:0006554}; negative regulation of transcription by RNA polymerase II {GO:0000122}; sensory perception of sound {GO:0007605}; thyroid hormone metabolic process {GO:0042403}; thyroid hormone transport {GO:0070327}</t>
  </si>
  <si>
    <t>cytoplasm {GO:0005737}; cytosol {GO:0005829}; extracellular exosome {GO:0070062}; mitochondrion {GO:0005739}; nucleus {GO:0005634}; peroxisomal matrix {GO:0005782}</t>
  </si>
  <si>
    <t>hormone binding {GO:0042562}; NADP binding {GO:0050661}; protein homodimerization activity {GO:0042803}; thiomorpholine-carboxylate dehydrogenase activity {GO:0047127}; thyroid hormone binding {GO:0070324}; transcription corepressor activity {GO:0003714}</t>
  </si>
  <si>
    <t>Plakophilin-1</t>
  </si>
  <si>
    <t>Band 6 protein (B6P)</t>
  </si>
  <si>
    <t>PKP1_HUMAN</t>
  </si>
  <si>
    <t>Q13835</t>
  </si>
  <si>
    <t>O00645; Q14CA0; Q15152</t>
  </si>
  <si>
    <t>3D-structure; Alternative splicing; Cell adhesion; Cell junction; Developmental protein; Ectodermal dysplasia; Nucleus; Phosphoprotein; Polymorphism; Repeat</t>
  </si>
  <si>
    <t>Cell junction; Nucleus</t>
  </si>
  <si>
    <t>cell adhesion {GO:0007155}; cell-cell adhesion {GO:0098609}; cell-cell junction assembly {GO:0007043}; cornification {GO:0070268}; intermediate filament bundle assembly {GO:0045110}; keratinization {GO:0031424}; negative regulation of mRNA catabolic process {GO:1902373}; neutrophil degranulation {GO:0043312}; positive regulation of gene expression {GO:0010628}; signal transduction {GO:0007165}</t>
  </si>
  <si>
    <t>cell-cell adherens junction {GO:0005913}; cell-cell junction {GO:0005911}; cornified envelope {GO:0001533}; cytoplasm {GO:0005737}; desmosome {GO:0030057}; ficolin-1-rich granule membrane {GO:0101003}; intermediate filament {GO:0005882}; intracellular membrane-bounded organelle {GO:0043231}; messenger ribonucleoprotein complex {GO:1990124}; nucleoplasm {GO:0005654}; nucleus {GO:0005634}; plasma membrane {GO:0005886}</t>
  </si>
  <si>
    <t>cadherin binding {GO:0045296}; intermediate filament binding {GO:0019215}; lamin binding {GO:0005521}; structural constituent of epidermis {GO:0030280}</t>
  </si>
  <si>
    <t>Na(+)/H(+) exchange regulatory cofactor NHE-RF2 (NHERF-2)</t>
  </si>
  <si>
    <t>NHE3 kinase A regulatory protein E3KARP; SRY-interacting protein 1 (SIP-1); Sodium-hydrogen exchanger regulatory factor 2; Solute carrier family 9 isoform A3 regulatory factor 2; Tyrosine kinase activator protein 1 (TKA-1)</t>
  </si>
  <si>
    <t>NHRF2_HUMAN</t>
  </si>
  <si>
    <t>Q15599</t>
  </si>
  <si>
    <t>D3DU84; D3DU85; H3BSV6; O00272; O00556; Q3KQY7</t>
  </si>
  <si>
    <t>NHERF2</t>
  </si>
  <si>
    <t>3D-structure; Alternative splicing; Cell membrane; Membrane; Nucleus; Phosphoprotein; Repeat</t>
  </si>
  <si>
    <t>apical plasma membrane {GO:0016324}; endomembrane system {GO:0012505}; extracellular exosome {GO:0070062}; focal adhesion {GO:0005925}; nucleus {GO:0005634}; plasma membrane {GO:0005886}</t>
  </si>
  <si>
    <t>beta-catenin binding {GO:0008013}; cadherin binding {GO:0045296}; phosphatase binding {GO:0019902}; protein C-terminus binding {GO:0008022}; signaling receptor binding {GO:0005102}</t>
  </si>
  <si>
    <t>Serum amyloid P-component(1-203)</t>
  </si>
  <si>
    <t>9.5S alpha-1-glycoprotein</t>
  </si>
  <si>
    <t>SAMP_HUMAN</t>
  </si>
  <si>
    <t>P02743</t>
  </si>
  <si>
    <t>PTX2</t>
  </si>
  <si>
    <t>3D-structure; Amyloid; Calcium; Disulfide bond; Glycoprotein; Lectin; Metal-binding; Polymorphism; Secreted; Signal</t>
  </si>
  <si>
    <t>acute-phase response {GO:0006953}; cellular protein metabolic process {GO:0044267}; chaperone-mediated protein complex assembly {GO:0051131}; complement activation, classical pathway {GO:0006958}; innate immune response {GO:0045087}; negative regulation by host of viral exo-alpha-sialidase activity {GO:0044869}; negative regulation by host of viral glycoprotein metabolic process {GO:0044871}; negative regulation of acute inflammatory response {GO:0002674}; negative regulation of exo-alpha-sialidase activity {GO:1903016}; negative regulation of glycoprotein metabolic process {GO:1903019}; negative regulation of monocyte differentiation {GO:0045656}; negative regulation of viral entry into host cell {GO:0046597}; negative regulation of viral process {GO:0048525}; negative regulation of wound healing {GO:0061045}; protein folding {GO:0006457}</t>
  </si>
  <si>
    <t>blood microparticle {GO:0072562}; collagen-containing extracellular matrix {GO:0062023}; extracellular exosome {GO:0070062}; extracellular region {GO:0005576}; extracellular space {GO:0005615}; nucleus {GO:0005634}</t>
  </si>
  <si>
    <t>calcium ion binding {GO:0005509}; carbohydrate binding {GO:0030246}; complement component C1q binding {GO:0001849}; identical protein binding {GO:0042802}; low-density lipoprotein particle binding {GO:0030169}; unfolded protein binding {GO:0051082}; virion binding {GO:0046790}</t>
  </si>
  <si>
    <t>Apoptosis-associated speck-like protein containing a CARD (hASC)</t>
  </si>
  <si>
    <t>Caspase recruitment domain-containing protein 5; PYD and CARD domain-containing protein; Target of methylation-induced silencing 1</t>
  </si>
  <si>
    <t>ASC_HUMAN</t>
  </si>
  <si>
    <t>Q9ULZ3</t>
  </si>
  <si>
    <t>Q96D12; Q9BSZ5; Q9HBD0; Q9NXJ8</t>
  </si>
  <si>
    <t>ASC; CARD5; TMS1</t>
  </si>
  <si>
    <t>3D-structure; Alternative splicing; Apoptosis; Cytoplasm; Endoplasmic reticulum; Golgi apparatus; Immunity; Inflammatory response; Innate immunity; Membrane; Mitochondrion; Nucleus; Phosphoprotein; Tumor suppressor</t>
  </si>
  <si>
    <t>Apoptosis; Immunity; Inflammatory response; Innate immunity</t>
  </si>
  <si>
    <t>Cytoplasm; Endoplasmic reticulum; Golgi apparatus; Membrane; Mitochondrion; Nucleus</t>
  </si>
  <si>
    <t>activation of cysteine-type endopeptidase activity {GO:0097202}; activation of cysteine-type endopeptidase activity involved in apoptotic process {GO:0006919}; activation of innate immune response {GO:0002218}; apoptotic process {GO:0006915}; cellular response to interleukin-1 {GO:0071347}; cellular response to lipopolysaccharide {GO:0071222}; cellular response to tumor necrosis factor {GO:0071356}; defense response to Gram-negative bacterium {GO:0050829}; defense response to virus {GO:0051607}; inflammatory response {GO:0006954}; innate immune response {GO:0045087}; interleukin-1 beta production {GO:0032611}; intrinsic apoptotic signaling pathway by p53 class mediator {GO:0072332}; intrinsic apoptotic signaling pathway in response to DNA damage {GO:0008630}; intrinsic apoptotic signaling pathway in response to DNA damage by p53 class mediator {GO:0042771}; macropinocytosis {GO:0044351}; myeloid dendritic cell activation {GO:0001773}; myeloid dendritic cell activation involved in immune response {GO:0002277}; negative regulation of cytokine production involved in inflammatory response {GO:1900016}; negative regulation of I-kappaB kinase/NF-kappaB signaling {GO:0043124}; negative regulation of interferon-beta production {GO:0032688}; negative regulation of NF-kappaB transcription factor activity {GO:0032088}; negative regulation of protein serine/threonine kinase activity {GO:0071901}; neutrophil degranulation {GO:0043312}; positive regulation of actin filament polymerization {GO:0030838}; positive regulation of activated T cell proliferation {GO:0042104}; positive regulation of adaptive immune response {GO:0002821}; positive regulation of antigen processing and presentation of peptide antigen via MHC class II {GO:0002588}; positive regulation of apoptotic process {GO:0043065}; positive regulation of chemokine secretion {GO:0090197}; positive regulation of cysteine-type endopeptidase activity {GO:2001056}; positive regulation of cysteine-type endopeptidase activity involved in apoptotic process {GO:0043280}; positive regulation of defense response to virus by host {GO:0002230}; positive regulation of DNA-binding transcription factor activity {GO:0051091}; positive regulation of ERK1 and ERK2 cascade {GO:0070374}; positive regulation of extrinsic apoptotic signaling pathway {GO:2001238}; positive regulation of interferon-gamma production {GO:0032729}; positive regulation of interleukin-1 beta secretion {GO:0050718}; positive regulation of interleukin-10 secretion {GO:2001181}; positive regulation of interleukin-6 production {GO:0032755}; positive regulation of interleukin-6 secretion {GO:2000778}; positive regulation of interleukin-8 secretion {GO:2000484}; positive regulation of JNK cascade {GO:0046330}; positive regulation of NF-kappaB transcription factor activity {GO:0051092}; positive regulation of phagocytosis {GO:0050766}; positive regulation of release of cytochrome c from mitochondria {GO:0090200}; positive regulation of T cell activation {GO:0050870}; positive regulation of T cell migration {GO:2000406}; positive regulation of tumor necrosis factor production {GO:0032760}; protein homooligomerization {GO:0051260}; regulation of autophagy {GO:0010506}; regulation of GTPase activity {GO:0043087}; regulation of intrinsic apoptotic signaling pathway {GO:2001242}; regulation of protein stability {GO:0031647}; regulation of tumor necrosis factor-mediated signaling pathway {GO:0010803}; signal transduction {GO:0007165}; tumor necrosis factor-mediated signaling pathway {GO:0033209}</t>
  </si>
  <si>
    <t>AIM2 inflammasome complex {GO:0097169}; azurophil granule lumen {GO:0035578}; cytoplasm {GO:0005737}; cytosol {GO:0005829}; endoplasmic reticulum {GO:0005783}; extracellular region {GO:0005576}; Golgi membrane {GO:0000139}; IkappaB kinase complex {GO:0008385}; mitochondrion {GO:0005739}; neuronal cell body {GO:0043025}; NLRP1 inflammasome complex {GO:0072558}; NLRP3 inflammasome complex {GO:0072559}; nucleolus {GO:0005730}; nucleus {GO:0005634}; secretory granule lumen {GO:0034774}</t>
  </si>
  <si>
    <t>BMP receptor binding {GO:0070700}; cysteine-type endopeptidase activator activity involved in apoptotic process {GO:0008656}; cysteine-type endopeptidase activity involved in apoptotic process {GO:0097153}; enzyme binding {GO:0019899}; identical protein binding {GO:0042802}; interleukin-6 receptor binding {GO:0005138}; ion channel binding {GO:0044325}; myosin I binding {GO:0017024}; protease binding {GO:0002020}; protein dimerization activity {GO:0046983}; protein homodimerization activity {GO:0042803}; Pyrin domain binding {GO:0032090}; tropomyosin binding {GO:0005523}</t>
  </si>
  <si>
    <t>CLEC7A/inflammasome pathway {R-HSA-5660668}; Neutrophil degranulation {R-HSA-6798695}; The NLRP3 inflammasome {R-HSA-844456}; The AIM2 inflammasome {R-HSA-844615}</t>
  </si>
  <si>
    <t>Myocilin, C-terminal fragment</t>
  </si>
  <si>
    <t>Myocilin 55 kDa subunit; Trabecular meshwork-induced glucocorticoid response protein; Myocilin 20 kDa N-terminal fragment; Myocilin 35 kDa N-terminal fragment</t>
  </si>
  <si>
    <t>MYOC_HUMAN</t>
  </si>
  <si>
    <t>Q99972</t>
  </si>
  <si>
    <t>B2RD84; O00620; Q7Z6Q9</t>
  </si>
  <si>
    <t>GLC1A; TIGR</t>
  </si>
  <si>
    <t>3D-structure; Calcium; Cell projection; Cilium; Coiled coil; Cytoplasmic vesicle; Disease mutation; Disulfide bond; Endoplasmic reticulum; Extracellular matrix; Glaucoma; Glycoprotein; Golgi apparatus; Lipoprotein; Membrane; Metal-binding; Mitochondrion; Mitochondrion inner membrane; Mitochondrion outer membrane; Palmitate; Polymorphism; Secreted; Signal</t>
  </si>
  <si>
    <t>Cell projection; Cilium; Cytoplasmic vesicle; Endoplasmic reticulum; Extracellular matrix; Golgi apparatus; Membrane; Mitochondrion; Mitochondrion inner membrane; Mitochondrion outer membrane; Secreted</t>
  </si>
  <si>
    <t>Disease mutation; Glaucoma</t>
  </si>
  <si>
    <t>bone development {GO:0060348}; clustering of voltage-gated sodium channels {GO:0045162}; ERBB2-ERBB3 signaling pathway {GO:0038133}; myelination in peripheral nervous system {GO:0022011}; negative regulation of cell-matrix adhesion {GO:0001953}; negative regulation of Rho protein signal transduction {GO:0035024}; negative regulation of stress fiber assembly {GO:0051497}; neuron projection development {GO:0031175}; non-canonical Wnt signaling pathway via JNK cascade {GO:0038031}; osteoblast differentiation {GO:0001649}; positive regulation of cell migration {GO:0030335}; positive regulation of focal adhesion assembly {GO:0051894}; positive regulation of mitochondrial depolarization {GO:0051901}; positive regulation of phosphatidylinositol 3-kinase signaling {GO:0014068}; positive regulation of protein kinase B signaling {GO:0051897}; positive regulation of stress fiber assembly {GO:0051496}; positive regulation of substrate adhesion-dependent cell spreading {GO:1900026}; regulation of MAPK cascade {GO:0043408}; skeletal muscle hypertrophy {GO:0014734}</t>
  </si>
  <si>
    <t>cilium {GO:0005929}; collagen-containing extracellular matrix {GO:0062023}; cytoplasmic vesicle {GO:0031410}; endoplasmic reticulum {GO:0005783}; extracellular exosome {GO:0070062}; extracellular space {GO:0005615}; Golgi apparatus {GO:0005794}; mitochondrial inner membrane {GO:0005743}; mitochondrial intermembrane space {GO:0005758}; mitochondrial outer membrane {GO:0005741}; node of Ranvier {GO:0033268}; rough endoplasmic reticulum {GO:0005791}</t>
  </si>
  <si>
    <t>fibronectin binding {GO:0001968}; frizzled binding {GO:0005109}; metal ion binding {GO:0046872}; myosin light chain binding {GO:0032027}; receptor tyrosine kinase binding {GO:0030971}</t>
  </si>
  <si>
    <t>SH3 domain-binding glutamic acid-rich-like protein 3</t>
  </si>
  <si>
    <t>SH3 domain-binding protein 1 (SH3BP-1)</t>
  </si>
  <si>
    <t>SH3L3_HUMAN</t>
  </si>
  <si>
    <t>Q9H299</t>
  </si>
  <si>
    <t>Q5T122</t>
  </si>
  <si>
    <t>3D-structure; Acetylation; Cytoplasm; Nucleus</t>
  </si>
  <si>
    <t>cytoplasm {GO:0005737}; extracellular exosome {GO:0070062}; nuclear body {GO:0016604}</t>
  </si>
  <si>
    <t>electron transfer activity {GO:0009055}; protein disulfide oxidoreductase activity {GO:0015035}</t>
  </si>
  <si>
    <t>Actin, cytoplasmic 1, N-terminally processed</t>
  </si>
  <si>
    <t>Beta-actin</t>
  </si>
  <si>
    <t>ACTB_HUMAN</t>
  </si>
  <si>
    <t>P60709</t>
  </si>
  <si>
    <t>P02570; P70514; P99021; Q11211; Q64316; Q75MN2; Q96B34; Q96HG5</t>
  </si>
  <si>
    <t>3D-structure; Acetylation; ATP-binding; Cytoplasm; Cytoskeleton; Deafness; Disease mutation; Dystonia; Isopeptide bond; Mental retardation; Methylation; Nucleotide-binding; Nucleus; Oxidation; Polymorphism; Ubl conjugation</t>
  </si>
  <si>
    <t>Deafness; Disease mutation; Dystonia; Mental retardation</t>
  </si>
  <si>
    <t>Acetylation; Isopeptide bond; Methylation; Oxidation; Ubl conjugation</t>
  </si>
  <si>
    <t>ATP-dependent chromatin remodeling {GO:0043044}; axonogenesis {GO:0007409}; cell junction assembly {GO:0034329}; cell motility {GO:0048870}; cellular response to cytochalasin B {GO:0072749}; ephrin receptor signaling pathway {GO:0048013}; Fc-gamma receptor signaling pathway involved in phagocytosis {GO:0038096}; membrane organization {GO:0061024}; negative regulation of protein binding {GO:0032091}; platelet aggregation {GO:0070527}; positive regulation of gene expression, epigenetic {GO:0045815}; positive regulation of norepinephrine uptake {GO:0051623}; postsynaptic actin cytoskeleton organization {GO:0098974}; protein deubiquitination {GO:0016579}; regulation of cyclin-dependent protein serine/threonine kinase activity {GO:0000079}; regulation of norepinephrine uptake {GO:0051621}; regulation of protein localization to plasma membrane {GO:1903076}; regulation of transmembrane transporter activity {GO:0022898}; retina homeostasis {GO:0001895}; substantia nigra development {GO:0021762}; synaptic vesicle endocytosis {GO:0048488}</t>
  </si>
  <si>
    <t>actin cytoskeleton {GO:0015629}; axon {GO:0030424}; blood microparticle {GO:0072562}; calyx of Held {GO:0044305}; cortical cytoskeleton {GO:0030863}; cytoplasm {GO:0005737}; cytoplasmic ribonucleoprotein granule {GO:0036464}; cytoskeleton {GO:0005856}; cytosol {GO:0005829}; dense body {GO:0097433}; extracellular exosome {GO:0070062}; extracellular space {GO:0005615}; focal adhesion {GO:0005925}; glutamatergic synapse {GO:0098978}; membrane {GO:0016020}; NuA4 histone acetyltransferase complex {GO:0035267}; nuclear chromatin {GO:0000790}; nucleoplasm {GO:0005654}; nucleus {GO:0005634}; plasma membrane {GO:0005886}; postsynaptic actin cytoskeleton {GO:0098871}; presynapse {GO:0098793}; protein-containing complex {GO:0032991}; ribonucleoprotein complex {GO:1990904}; Schaffer collateral - CA1 synapse {GO:0098685}; synapse {GO:0045202}; vesicle {GO:0031982}</t>
  </si>
  <si>
    <t>ATP binding {GO:0005524}; identical protein binding {GO:0042802}; kinesin binding {GO:0019894}; nitric-oxide synthase binding {GO:0050998}; protein kinase binding {GO:0019901}; structural constituent of cytoskeleton {GO:0005200}; structural constituent of postsynaptic actin cytoskeleton {GO:0098973}; Tat protein binding {GO:0030957}; tau protein binding {GO:0048156}</t>
  </si>
  <si>
    <t>Translocation of SLC2A4 (GLUT4) to the plasma membrane {R-HSA-1445148}; Gap junction degradation {R-HSA-190873}; Formation of annular gap junctions {R-HSA-196025}; Regulation of actin dynamics for phagocytic cup formation {R-HSA-2029482}; HATs acetylate histones {R-HSA-3214847}; Prefoldin mediated transfer of substrate to CCT/TriC {R-HSA-389957}; Folding of actin by CCT/TriC {R-HSA-390450}; EPHB-mediated forward signaling {R-HSA-3928662}; EPH-ephrin mediated repulsion of cells {R-HSA-3928665}; Adherens junctions interactions {R-HSA-418990}; Recycling pathway of L1 {R-HSA-437239}; VEGFA-VEGFR2 Pathway {R-HSA-4420097}; Interaction between L1 and Ankyrins {R-HSA-445095}; Cell-extracellular matrix interactions {R-HSA-446353}; B-WICH complex positively regulates rRNA expression {R-HSA-5250924}; RHO GTPases activate IQGAPs {R-HSA-5626467}; RHO GTPases Activate WASPs and WAVEs {R-HSA-5663213}; RHO GTPases Activate Formins {R-HSA-5663220}; MAP2K and MAPK activation {R-HSA-5674135}; UCH proteinases {R-HSA-5689603}; DNA Damage Recognition in GG-NER {R-HSA-5696394};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Clathrin-mediated endocytosis {R-HSA-8856828}; Factors involved in megakaryocyte development and platelet production {R-HSA-983231}</t>
  </si>
  <si>
    <t>Processed poliovirus receptor-related protein 4</t>
  </si>
  <si>
    <t>Ig superfamily receptor LNIR; Nectin cell adhesion molecule 4; Poliovirus receptor-related protein 4</t>
  </si>
  <si>
    <t>NECT4_HUMAN</t>
  </si>
  <si>
    <t>Q96NY8</t>
  </si>
  <si>
    <t>B4DQW3; Q96K15</t>
  </si>
  <si>
    <t>3D-structure; Alternative splicing; Cell adhesion; Cell junction; Cell membrane; Disease mutation; Disulfide bond; Ectodermal dysplasia; Glycoprotein; Host cell receptor for virus entry; Host-virus interaction; Immunoglobulin domain; Membrane; Polymorphism; Receptor; Repeat; Secreted; Signal; Transmembrane; Transmembrane helix</t>
  </si>
  <si>
    <t>adherens junction organization {GO:0034332}; heterophilic cell-cell adhesion via plasma membrane cell adhesion molecules {GO:0007157}; homophilic cell adhesion via plasma membrane adhesion molecules {GO:0007156}</t>
  </si>
  <si>
    <t>apical junction complex {GO:0043296}; cell-cell adherens junction {GO:0005913}; extracellular exosome {GO:0070062}; integral component of membrane {GO:0016021}; plasma membrane {GO:0005886}</t>
  </si>
  <si>
    <t>cell adhesion molecule binding {GO:0050839}; identical protein binding {GO:0042802}; protein homodimerization activity {GO:0042803}; signaling receptor activity {GO:0038023}; virus receptor activity {GO:0001618}</t>
  </si>
  <si>
    <t>Mucin-1 subunit beta</t>
  </si>
  <si>
    <t>Breast carcinoma-associated antigen DF3; Cancer antigen 15-3 (CA 15-3); Carcinoma-associated mucin; Episialin; H23AG; Krebs von den Lungen-6 (KL-6); PEMT; Peanut-reactive urinary mucin (PUM); Polymorphic epithelial mucin (PEM); Tumor-associated epithelial membrane antigen (EMA); Tumor-associated mucin; CD_antigen=CD227 (MUC1-NT; MUC1-alpha; MUC1-beta); MUC1-CT</t>
  </si>
  <si>
    <t>MUC1_HUMAN</t>
  </si>
  <si>
    <t>P15941</t>
  </si>
  <si>
    <t>A5YRV1; A6ZID9; A6ZIE0; B1AVQ8; B1AVR0; B6ECA1; E7ESE5; E7EUG9; P13931; P15942; P17626; Q0VAP5; Q0VAP6; Q14128; Q14876; Q16437; Q16442; Q16615; Q6S4Y3; Q7Z547; Q7Z548; Q7Z550; Q7Z552; Q9BXA4; Q9UE75; Q9UE76; Q9UQL1; Q9Y4J2</t>
  </si>
  <si>
    <t>PUM</t>
  </si>
  <si>
    <t>3D-structure; Alternative splicing; Autocatalytic cleavage; Cell membrane; Cytoplasm; Disulfide bond; Glycoprotein; Lipoprotein; Membrane; Nucleus; Palmitate; Phosphoprotein; Polymorphism; Repeat; Secreted; Signal; Transmembrane; Transmembrane helix; Tumor suppressor</t>
  </si>
  <si>
    <t>Autocatalytic cleavage; Disulfide bond; Glycoprotein; Lipoprotein; Palmitate; Phosphoprotein</t>
  </si>
  <si>
    <t>cytokine-mediated signaling pathway {GO:0019221}; DNA damage response, signal transduction by p53 class mediator resulting in cell cycle arrest {GO:0006977}; DNA damage response, signal transduction by p53 class mediator resulting in transcription of p21 class mediator {GO:0006978}; negative regulation of cell adhesion mediated by integrin {GO:0033629}; negative regulation of intrinsic apoptotic signaling pathway in response to DNA damage by p53 class mediator {GO:1902166}; negative regulation of transcription by competitive promoter binding {GO:0010944}; O-glycan processing {GO:0016266}; positive regulation of histone H4 acetylation {GO:0090240}; positive regulation of transcription from RNA polymerase II promoter in response to stress {GO:0036003}; regulation of transcription from RNA polymerase II promoter in response to stress {GO:0043618}; stimulatory C-type lectin receptor signaling pathway {GO:0002223}</t>
  </si>
  <si>
    <t>apical plasma membrane {GO:0016324}; extracellular exosome {GO:0070062}; extracellular space {GO:0005615}; Golgi lumen {GO:0005796}; integral component of plasma membrane {GO:0005887}; nuclear chromatin {GO:0000790}; plasma membrane {GO:0005886}; vesicle {GO:0031982}</t>
  </si>
  <si>
    <t>p53 binding {GO:0002039}; RNA polymerase II proximal promoter sequence-specific DNA binding {GO:0000978}; transcription coregulator activity {GO:0003712}</t>
  </si>
  <si>
    <t>Defective GALNT3 causes familial hyperphosphatemic tumoral calcinosis (HFTC) {R-HSA-5083625}; Defective C1GALT1C1 causes Tn polyagglutination syndrome (TNPS) {R-HSA-5083632}; Defective GALNT12 causes colorectal cancer 1 (CRCS1) {R-HSA-5083636}; Dectin-2 family {R-HSA-5621480}; Interleukin-4 and Interleukin-13 signaling {R-HSA-6785807}; O-linked glycosylation of mucins {R-HSA-913709}; Termination of O-glycan biosynthesis {R-HSA-977068}</t>
  </si>
  <si>
    <t>Complement factor H-related protein 2 (FHR-2)</t>
  </si>
  <si>
    <t>DDESK59; H factor-like 3; H factor-like protein 2</t>
  </si>
  <si>
    <t>FHR2_HUMAN</t>
  </si>
  <si>
    <t>P36980</t>
  </si>
  <si>
    <t>Q14310; Q5T9T1</t>
  </si>
  <si>
    <t>CFHL2; FHR2; HFL3</t>
  </si>
  <si>
    <t>3D-structure; Alternative splicing; Disulfide bond; Glycoprotein; Repeat; Secreted; Signal; Sushi</t>
  </si>
  <si>
    <t>negative regulation of protein binding {GO:0032091}; positive regulation of cytolysis {GO:0045919}; regulation of complement activation {GO:0030449}</t>
  </si>
  <si>
    <t>Coagulation factor XIII B chain</t>
  </si>
  <si>
    <t>Fibrin-stabilizing factor B subunit; Protein-glutamine gamma-glutamyltransferase B chain; Transglutaminase B chain</t>
  </si>
  <si>
    <t>F13B_HUMAN</t>
  </si>
  <si>
    <t>P05160</t>
  </si>
  <si>
    <t>A8K3E5; Q5VYL5</t>
  </si>
  <si>
    <t>Blood coagulation; Disease mutation; Disulfide bond; Glycoprotein; Hemostasis; Polymorphism; Repeat; Secreted; Signal; Sushi</t>
  </si>
  <si>
    <t>blood coagulation {GO:0007596}; negative regulation of cellular protein catabolic process {GO:1903363}</t>
  </si>
  <si>
    <t>Common Pathway of Fibrin Clot Formation {R-HSA-140875}</t>
  </si>
  <si>
    <t>Antimicrobial peptide VGF[554-577] (NERP-1; NERP-2)</t>
  </si>
  <si>
    <t>VGF_HUMAN</t>
  </si>
  <si>
    <t>O15240</t>
  </si>
  <si>
    <t>Q9UDW8</t>
  </si>
  <si>
    <t>Amidation; Antibiotic; Antimicrobial; Cleavage on pair of basic residues; Cytoplasmic vesicle; Growth factor; Phosphoprotein; Pyrrolidone carboxylic acid; Secreted; Signal</t>
  </si>
  <si>
    <t>Antibiotic; Antimicrobial; Growth factor</t>
  </si>
  <si>
    <t>Amidation; Cleavage on pair of basic residues; Phosphoprotein; Pyrrolidone carboxylic acid</t>
  </si>
  <si>
    <t>cellular protein metabolic process {GO:0044267}; defense response to bacterium {GO:0042742}; generation of precursor metabolites and energy {GO:0006091}; glucose homeostasis {GO:0042593}; insulin secretion {GO:0030073}; ovarian follicle development {GO:0001541}; post-translational protein modification {GO:0043687}; response to cAMP {GO:0051591}; response to cold {GO:0009409}; response to dietary excess {GO:0002021}; response to insulin {GO:0032868}; sexual reproduction {GO:0019953}</t>
  </si>
  <si>
    <t>cytoplasmic vesicle {GO:0031410}; endoplasmic reticulum lumen {GO:0005788}; extracellular space {GO:0005615}; Golgi apparatus {GO:0005794}; intracellular membrane-bounded organelle {GO:0043231}; transport vesicle {GO:0030133}</t>
  </si>
  <si>
    <t>growth factor activity {GO:0008083}; neuropeptide hormone activity {GO:0005184}</t>
  </si>
  <si>
    <t>Immunoglobulin superfamily member 8 (IgSF8)</t>
  </si>
  <si>
    <t>CD81 partner 3; Glu-Trp-Ile EWI motif-containing protein 2 (EWI-2); Keratinocytes-associated transmembrane protein 4 (KCT-4); LIR-D1; Prostaglandin regulatory-like protein (PGRL); CD_antigen=CD316</t>
  </si>
  <si>
    <t>IGSF8_HUMAN</t>
  </si>
  <si>
    <t>Q969P0</t>
  </si>
  <si>
    <t>Q8NG09; Q96DP4; Q9BTG9</t>
  </si>
  <si>
    <t>CD81P3; EWI2; KCT4</t>
  </si>
  <si>
    <t>Alternative splicing; Cell membrane; Disulfide bond; Glycoprotein; Immunoglobulin domain; Lipoprotein; Membrane; Palmitate; Phosphoprotein; Repeat; Signal; Transmembrane; Transmembrane helix</t>
  </si>
  <si>
    <t>cell motility {GO:0048870}; cell population proliferation {GO:0008283}; nervous system development {GO:0007399}; single fertilization {GO:0007338}; skeletal muscle tissue development {GO:0007519}</t>
  </si>
  <si>
    <t>Nucleoprotein TPR</t>
  </si>
  <si>
    <t>Megator; NPC-associated intranuclear protein; Translocated promoter region protein</t>
  </si>
  <si>
    <t>TPR_HUMAN</t>
  </si>
  <si>
    <t>P12270</t>
  </si>
  <si>
    <t>Q15624; Q15655; Q5SWY0; Q99968</t>
  </si>
  <si>
    <t>3D-structure; Acetylation; Alternative splicing; Cell cycle; Cell division; Centromere; Chromosomal rearrangement; Chromosome; Coiled coil; Cytoplasm; Cytoskeleton; Kinetochore; Membrane; Methylation; Mitosis; mRNA transport; Nuclear pore complex; Nucleus; Phosphoprotein; Polymorphism; Protein transport; Proto-oncogene; Translocation; Transport</t>
  </si>
  <si>
    <t>Cell cycle; Cell division; Mitosis; Protein transport; Translocation; Transport; mRNA transport</t>
  </si>
  <si>
    <t>Centromere; Chromosome; Cytoplasm; Cytoskeleton; Kinetochore; Membrane; Nuclear pore complex; Nucleus</t>
  </si>
  <si>
    <t>cell division {GO:0051301}; cellular response to heat {GO:0034605}; cellular response to interferon-alpha {GO:0035457}; intracellular transport of virus {GO:0075733}; mitotic spindle assembly checkpoint {GO:0007094}; mRNA export from nucleus {GO:0006406}; mRNA export from nucleus in response to heat stress {GO:0031990}; negative regulation of RNA export from nucleus {GO:0046832}; negative regulation of transcription by RNA polymerase II {GO:0000122}; negative regulation of translational initiation {GO:0045947}; nuclear pore organization {GO:0006999}; positive regulation of heterochromatin assembly {GO:0031453}; positive regulation of intracellular protein transport {GO:0090316}; positive regulation of mitotic cell cycle spindle assembly checkpoint {GO:0090267}; positive regulation of protein export from nucleus {GO:0046827}; positive regulation of protein import into nucleus {GO:0042307}; protein import into nucleus {GO:0006606}; protein sumoylation {GO:0016925}; regulation of cellular response to heat {GO:1900034}; regulation of gene silencing by miRNA {GO:0060964}; regulation of glycolytic process {GO:0006110}; regulation of mitotic sister chromatid separation {GO:0010965}; regulation of mitotic spindle assembly {GO:1901673}; regulation of protein localization {GO:0032880}; response to epidermal growth factor {GO:0070849}; RNA export from nucleus {GO:0006405}; RNA import into nucleus {GO:0006404}; tRNA export from nucleus {GO:0006409}; viral process {GO:0016032}; viral transcription {GO:0019083}</t>
  </si>
  <si>
    <t>cytoplasm {GO:0005737}; cytoplasmic dynein complex {GO:0005868}; extrinsic component of membrane {GO:0019898}; host cell {GO:0043657}; kinetochore {GO:0000776}; mitotic spindle {GO:0072686}; nuclear envelope {GO:0005635}; nuclear inclusion body {GO:0042405}; nuclear membrane {GO:0031965}; nuclear periphery {GO:0034399}; nuclear pore {GO:0005643}; nuclear pore nuclear basket {GO:0044615}; nucleoplasm {GO:0005654}; nucleus {GO:0005634}</t>
  </si>
  <si>
    <t>chromatin binding {GO:0003682}; dynein complex binding {GO:0070840}; heat shock protein binding {GO:0031072}; mitogen-activated protein kinase binding {GO:0051019}; mRNA binding {GO:0003729}; protein homodimerization activity {GO:0042803}; RNA binding {GO:0003723}; structural constituent of nuclear pore {GO:0017056}; tubulin binding {GO:0015631}</t>
  </si>
  <si>
    <t>Proteoglycan 4 C-terminal part</t>
  </si>
  <si>
    <t>Lubricin; Megakaryocyte-stimulating factor; Superficial zone proteoglycan</t>
  </si>
  <si>
    <t>PRG4_HUMAN</t>
  </si>
  <si>
    <t>Q92954</t>
  </si>
  <si>
    <t>Q6DNC4; Q6DNC5; Q6ZMZ5; Q9BX49</t>
  </si>
  <si>
    <t>MSF; SZP</t>
  </si>
  <si>
    <t>Alternative splicing; Disulfide bond; Glycoprotein; Polymorphism; Proteoglycan; Repeat; Secreted; Signal</t>
  </si>
  <si>
    <t>immune response {GO:0006955}</t>
  </si>
  <si>
    <t>Dual specificity protein phosphatase 23</t>
  </si>
  <si>
    <t>Low molecular mass dual specificity phosphatase 3 (LDP-3); VH1-like phosphatase Z</t>
  </si>
  <si>
    <t>DUS23_HUMAN</t>
  </si>
  <si>
    <t>Q9BVJ7</t>
  </si>
  <si>
    <t>Q9NX48</t>
  </si>
  <si>
    <t>LDP3; VHZ</t>
  </si>
  <si>
    <t>3D-structure; Cytoplasm; Hydrolase; Nucleus; Polymorphism; Protein phosphatase</t>
  </si>
  <si>
    <t>cytoplasm {GO:0005737}; cytosol {GO:0005829}; nucleoplasm {GO:0005654}</t>
  </si>
  <si>
    <t>phosphatase activity {GO:0016791}; protein serine/threonine phosphatase activity {GO:0004722}; protein tyrosine phosphatase activity {GO:0004725}; protein tyrosine/serine/threonine phosphatase activity {GO:0008138}</t>
  </si>
  <si>
    <t>Nicotinate-nucleotide pyrophosphorylase [carboxylating]</t>
  </si>
  <si>
    <t>Quinolinate phosphoribosyltransferase [decarboxylating] (QAPRTase; QPRTase)</t>
  </si>
  <si>
    <t>NADC_HUMAN</t>
  </si>
  <si>
    <t>Q15274</t>
  </si>
  <si>
    <t>Q53XW7; Q96G22; Q9BSG6</t>
  </si>
  <si>
    <t>3D-structure; Glycosyltransferase; Polymorphism; Pyridine nucleotide biosynthesis; Transferase</t>
  </si>
  <si>
    <t>NAD biosynthetic process {GO:0009435}; NAD metabolic process {GO:0019674}; protein complex oligomerization {GO:0051259}; quinolinate catabolic process {GO:0034213}</t>
  </si>
  <si>
    <t>nicotinate-nucleotide diphosphorylase (carboxylating) activity {GO:0004514}; protein homodimerization activity {GO:0042803}</t>
  </si>
  <si>
    <t>Cofactor biosynthesis; NAD(+) biosynthesis; nicotinate D- ribonucleotide from quinolinate: step 1/1.</t>
  </si>
  <si>
    <t>Nicotinate metabolism {R-HSA-196807}</t>
  </si>
  <si>
    <t>40S ribosomal protein S27</t>
  </si>
  <si>
    <t>Metallopan-stimulin 1 (MPS-1); Small ribosomal subunit protein eS27</t>
  </si>
  <si>
    <t>RS27_HUMAN</t>
  </si>
  <si>
    <t>P42677</t>
  </si>
  <si>
    <t>Q5T4L6</t>
  </si>
  <si>
    <t>MPS1</t>
  </si>
  <si>
    <t>3D-structure; Diamond-Blackfan anemia; Metal-binding; Phosphoprotein; Ribonucleoprotein; Ribosomal protein; Zinc; Zinc-finger</t>
  </si>
  <si>
    <t>cell population proliferation {GO:0008283}; nuclear-transcribed mRNA catabolic process, nonsense-mediated decay {GO:0000184}; ribosomal small subunit assembly {GO:0000028};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</si>
  <si>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GABA-ergic synapse {GO:0098982}; glutamatergic synapse {GO:0098978}; nucleoplasm {GO:0005654}; nucleus {GO:0005634}; postsynaptic density {GO:0014069}; presynapse {GO:0098793}; ribosome {GO:0005840}</t>
  </si>
  <si>
    <t>DNA binding {GO:0003677}; RNA binding {GO:0003723}; structural constituent of ribosome {GO:0003735}; zinc ion binding {GO:0008270}</t>
  </si>
  <si>
    <t>Amplification of signal from unattached kinetochores via a MAD2 inhibitory signal {R-HSA-141444}; L13a-mediated translational silencing of Ceruloplasmin expression {R-HSA-156827}; Peptide chain elongation {R-HSA-156902}; SRP-dependent cotranslational protein targeting to membrane {R-HSA-1799339}; Viral mRNA Translation {R-HSA-192823}; Selenocysteine synthesis {R-HSA-2408557}; Separation of Sister Chromatids {R-HSA-2467813}; Resolution of Sister Chromatid Cohesion {R-HSA-2500257}; RHO GTPases Activate Formins {R-HSA-5663220}; Major pathway of rRNA processing in the nucleolus and cytosol {R-HSA-6791226}; Mitotic Prometaphase {R-HSA-68877}; Translation initiation complex formation {R-HSA-72649}; Formation of a pool of free 40S subunits {R-HSA-72689}; Formation of the ternary complex, and subsequently, the 43S complex {R-HSA-72695}; Ribosomal scanning and start codon recognition {R-HSA-72702}; GTP hydrolysis and joining of the 60S ribosomal subunit {R-HSA-72706}; Eukaryotic Translation Termination {R-HSA-72764}; Regulation of expression of SLITs and ROBOs {R-HSA-9010553}; Nonsense Mediated Decay (NMD) independent of the Exon Junction Complex (EJC) {R-HSA-975956}; Nonsense Mediated Decay (NMD) enhanced by the Exon Junction Complex (EJC) {R-HSA-975957}</t>
  </si>
  <si>
    <t>Troponin T, cardiac muscle (TnTc)</t>
  </si>
  <si>
    <t>Cardiac muscle troponin T (cTnT)</t>
  </si>
  <si>
    <t>TNNT2_HUMAN</t>
  </si>
  <si>
    <t>P45379</t>
  </si>
  <si>
    <t>A2TDB9; A8K3K6; O60214; Q99596; Q99597; Q9BUF6; Q9UM96</t>
  </si>
  <si>
    <t>3D-structure; Acetylation; Alternative splicing; Cardiomyopathy; Disease mutation; Muscle protein; Phosphoprotein; Polymorphism</t>
  </si>
  <si>
    <t>actin crosslink formation {GO:0051764}; cardiac muscle contraction {GO:0060048}; muscle contraction {GO:0006936}; muscle filament sliding {GO:0030049}; negative regulation of ATPase activity {GO:0032780}; positive regulation of ATPase activity {GO:0032781}; protein heterooligomerization {GO:0051291}; regulation of heart contraction {GO:0008016}; regulation of muscle filament sliding speed {GO:0032972}; response to calcium ion {GO:0051592}; sarcomere organization {GO:0045214}; skeletal muscle contraction {GO:0003009}; ventricular cardiac muscle tissue morphogenesis {GO:0055010}</t>
  </si>
  <si>
    <t>cardiac myofibril {GO:0097512}; cardiac Troponin complex {GO:1990584}; cytosol {GO:0005829}; sarcomere {GO:0030017}; striated muscle thin filament {GO:0005865}; troponin complex {GO:0005861}</t>
  </si>
  <si>
    <t>actin binding {GO:0003779}; calcium ion binding {GO:0005509}; protein binding, bridging {GO:0030674}; tropomyosin binding {GO:0005523}; troponin C binding {GO:0030172}; troponin I binding {GO:0031013}</t>
  </si>
  <si>
    <t>Frizzled-9 (Fz-9; hFz9)</t>
  </si>
  <si>
    <t>FzE6; CD_antigen=CD349</t>
  </si>
  <si>
    <t>FZD9_HUMAN</t>
  </si>
  <si>
    <t>O00144</t>
  </si>
  <si>
    <t>FZD3</t>
  </si>
  <si>
    <t>Cell membrane; Developmental protein; Disulfide bond; G-protein coupled receptor; Glycoprotein; Membrane; Receptor; Signal; Transducer; Transmembrane; Transmembrane helix; Ubl conjugation; Wnt signaling pathway</t>
  </si>
  <si>
    <t>B cell differentiation {GO:0030183}; bone regeneration {GO:1990523}; canonical Wnt signaling pathway {GO:0060070}; learning or memory {GO:0007611}; negative regulation of cell cycle arrest {GO:0071157}; negative regulation of mitochondrial depolarization {GO:0051902}; negative regulation of mitochondrial outer membrane permeabilization involved in apoptotic signaling pathway {GO:1901029}; negative regulation of necroptotic process {GO:0060546}; negative regulation of neuron apoptotic process {GO:0043524}; negative regulation of skeletal muscle acetylcholine-gated channel clustering {GO:1904394}; nervous system development {GO:0007399}; neuroblast proliferation {GO:0007405}; non-canonical Wnt signaling pathway {GO:0035567}; ossification {GO:0001503}; positive regulation of apoptotic process {GO:0043065}; positive regulation of bone mineralization {GO:0030501}; positive regulation of canonical Wnt signaling pathway {GO:0090263}; positive regulation of neural precursor cell proliferation {GO:2000179}; postsynapse organization {GO:0099173}; regulation of cytosolic calcium ion concentration {GO:0051480}; regulation of postsynaptic cytosolic calcium ion concentration {GO:0099566}; regulation of skeletal muscle acetylcholine-gated channel clustering {GO:1904393}; release of cytochrome c from mitochondria {GO:0001836}</t>
  </si>
  <si>
    <t>cell surface {GO:0009986}; cytoplasm {GO:0005737}; endoplasmic reticulum membrane {GO:0005789}; filopodium membrane {GO:0031527}; glutamatergic synapse {GO:0098978}; Golgi apparatus {GO:0005794}; integral component of membrane {GO:0016021}; mitochondrial membrane {GO:0031966}; perinuclear region of cytoplasm {GO:0048471}; plasma membrane {GO:0005886}; postsynapse {GO:0098794}</t>
  </si>
  <si>
    <t>G protein-coupled receptor activity {GO:0004930}; protein heterodimerization activity {GO:0046982}; protein homodimerization activity {GO:0042803}; Wnt-activated receptor activity {GO:0042813}; Wnt-protein binding {GO:0017147}</t>
  </si>
  <si>
    <t>Class B/2 (Secretin family receptors) {R-HSA-373080}</t>
  </si>
  <si>
    <t>Kin of IRRE-like protein 1</t>
  </si>
  <si>
    <t>Kin of irregular chiasm-like protein 1; Nephrin-like protein 1</t>
  </si>
  <si>
    <t>KIRR1_HUMAN</t>
  </si>
  <si>
    <t>Q96J84</t>
  </si>
  <si>
    <t>Q5W0F8; Q5XKC6; Q7Z696; Q7Z7N8; Q8TB15; Q9H9N1; Q9NVA5</t>
  </si>
  <si>
    <t>cell-cell adhesion {GO:0098609}; excretion {GO:0007588}; negative regulation of protein phosphorylation {GO:0001933}; positive regulation of actin filament polymerization {GO:0030838}</t>
  </si>
  <si>
    <t>cell projection membrane {GO:0031253}; cell-cell junction {GO:0005911}; dendritic shaft {GO:0043198}; integral component of membrane {GO:0016021}; membrane raft {GO:0045121}; perinuclear region of cytoplasm {GO:0048471}; plasma membrane {GO:0005886}</t>
  </si>
  <si>
    <t>myosin binding {GO:0017022}</t>
  </si>
  <si>
    <t>Sodium/glucose cotransporter 4 (Na(+)/glucose cotransporter 4; hSGLT4)</t>
  </si>
  <si>
    <t>Solute carrier family 5 member 9</t>
  </si>
  <si>
    <t>SC5A9_HUMAN</t>
  </si>
  <si>
    <t>Q2M3M2</t>
  </si>
  <si>
    <t>B3KY87; B7ZL45; B7ZL47; E9PAK4; E9PJ08; Q5TET3</t>
  </si>
  <si>
    <t>SGLT4</t>
  </si>
  <si>
    <t>Alternative splicing; Glycoprotein; Ion transport; Membrane; Phosphoprotein; Polymorphism; Sodium; Sodium transport; Transmembrane; Transmembrane helix; Transport</t>
  </si>
  <si>
    <t>Ion transport; Sodium transport; Transport</t>
  </si>
  <si>
    <t>hexose transmembrane transport {GO:0008645}</t>
  </si>
  <si>
    <t>Cellular hexose transport {R-HSA-189200}</t>
  </si>
  <si>
    <t>Delta(14)-sterol reductase (Delta-14-SR)</t>
  </si>
  <si>
    <t>3-beta-hydroxysterol Delta (14)-reductase; C-14 sterol reductase (C14SR); Integral nuclear envelope inner membrane protein; LMN2R; Lamin-B receptor; Sterol C14-reductase</t>
  </si>
  <si>
    <t>LBR_HUMAN</t>
  </si>
  <si>
    <t>Q14739</t>
  </si>
  <si>
    <t>B2R5P3; Q14740; Q53GU7; Q59FE6</t>
  </si>
  <si>
    <t>3D-structure; Acetylation; Cholesterol biosynthesis; Cholesterol metabolism; Cytoplasm; Disease mutation; DNA-binding; Dwarfism; Endoplasmic reticulum; Lipid biosynthesis; Lipid metabolism; Membrane; Nucleus; Oxidoreductase; Phosphoprotein; Polymorphism; Receptor; Steroid biosynthesis; Steroid metabolism; Sterol biosynthesis; Sterol metabolism; Transmembrane; Transmembrane helix</t>
  </si>
  <si>
    <t>Cytoplasm; Endoplasmic reticulum; Membrane; Nucleus</t>
  </si>
  <si>
    <t>DNA-binding; Oxidoreductase; Receptor</t>
  </si>
  <si>
    <t>cholesterol biosynthetic process {GO:0006695}; neutrophil differentiation {GO:0030223}; sterol biosynthetic process {GO:0016126}</t>
  </si>
  <si>
    <t>cytoplasm {GO:0005737}; endoplasmic reticulum membrane {GO:0005789}; integral component of membrane {GO:0016021}; integral component of nuclear inner membrane {GO:0005639}; membrane {GO:0016020}; nuclear envelope {GO:0005635}; nuclear inner membrane {GO:0005637}; nuclear membrane {GO:0031965}; nucleus {GO:0005634}</t>
  </si>
  <si>
    <t>chromo shadow domain binding {GO:0070087}; delta14-sterol reductase activity {GO:0050613}; DNA binding {GO:0003677}; lamin binding {GO:0005521}; NADPH binding {GO:0070402}; RNA binding {GO:0003723}</t>
  </si>
  <si>
    <t>Steroid biosynthesis; cholesterol biosynthesis.</t>
  </si>
  <si>
    <t>Cholesterol biosynthesis {R-HSA-191273}; Regulation of MECP2 expression and activity {R-HSA-9022692}</t>
  </si>
  <si>
    <t>Malate dehydrogenase, mitochondrial</t>
  </si>
  <si>
    <t>MDHM_HUMAN</t>
  </si>
  <si>
    <t>P40926</t>
  </si>
  <si>
    <t>A8K414; B2RE78; B4DE44; E9PDB2; O43682</t>
  </si>
  <si>
    <t>3D-structure; Acetylation; Alternative splicing; Disease mutation; Epilepsy; Glycoprotein; Mitochondrion; NAD; Oxidoreductase; Phosphoprotein; Polymorphism; Transit peptide; Tricarboxylic acid cycle</t>
  </si>
  <si>
    <t>aerobic respiration {GO:0009060}; gluconeogenesis {GO:0006094}; internal protein amino acid acetylation {GO:0006475}; malate metabolic process {GO:0006108}; NADH metabolic process {GO:0006734}; oxaloacetate metabolic process {GO:0006107}; tricarboxylic acid cycle {GO:0006099}</t>
  </si>
  <si>
    <t>cytoplasm {GO:0005737}; extracellular exosome {GO:0070062}; membrane {GO:0016020}; mitochondrial matrix {GO:0005759}; mitochondrion {GO:0005739}; nucleus {GO:0005634}</t>
  </si>
  <si>
    <t>L-malate dehydrogenase activity {GO:0030060}; malate dehydrogenase (NADP+) activity {GO:0046554}; protein self-association {GO:0043621}; RNA binding {GO:0003723}</t>
  </si>
  <si>
    <t>Gluconeogenesis {R-HSA-70263}; Citric acid cycle (TCA cycle) {R-HSA-71403}</t>
  </si>
  <si>
    <t>NADH dehydrogenase [ubiquinone] 1 beta subcomplex subunit 10</t>
  </si>
  <si>
    <t>Complex I-PDSW (CI-PDSW); NADH-ubiquinone oxidoreductase PDSW subunit</t>
  </si>
  <si>
    <t>NDUBA_HUMAN</t>
  </si>
  <si>
    <t>O96000</t>
  </si>
  <si>
    <t>Q96II6</t>
  </si>
  <si>
    <t>3D-structure; Alternative splicing; Electron transport; Membrane; Mitochondrion; Mitochondrion inner membrane; Phosphoprotein; Respiratory chain; Transport</t>
  </si>
  <si>
    <t>mitochondrial electron transport, NADH to ubiquinone {GO:0006120}; mitochondrial respiratory chain complex I assembly {GO:0032981}</t>
  </si>
  <si>
    <t>mitochondrial inner membrane {GO:0005743}; mitochondrial respiratory chain complex I {GO:0005747}</t>
  </si>
  <si>
    <t>NADH dehydrogenase (ubiquinone) activity {GO:0008137}</t>
  </si>
  <si>
    <t>Espin</t>
  </si>
  <si>
    <t>Autosomal recessive deafness type 36 protein; Ectoplasmic specialization protein</t>
  </si>
  <si>
    <t>ESPN_HUMAN</t>
  </si>
  <si>
    <t>B1AK53</t>
  </si>
  <si>
    <t>Q6XYB2; Q9H0A2; Q9Y329</t>
  </si>
  <si>
    <t>DFNB36</t>
  </si>
  <si>
    <t>Actin-binding; Alternative splicing; ANK repeat; Cell projection; Coiled coil; Cytoplasm; Cytoskeleton; Deafness; Disease mutation; Hearing; Non-syndromic deafness; Phosphoprotein; Polymorphism; Repeat</t>
  </si>
  <si>
    <t>ANK repeat; Coiled coil; Repeat</t>
  </si>
  <si>
    <t>actin filament bundle assembly {GO:0051017}; locomotory behavior {GO:0007626}; negative regulation of cytoskeleton organization {GO:0051494}; parallel actin filament bundle assembly {GO:0030046}; positive regulation of filopodium assembly {GO:0051491}; sensory perception of sound {GO:0007605}</t>
  </si>
  <si>
    <t>brush border {GO:0005903}; cytoplasm {GO:0005737}; filamentous actin {GO:0031941}; microvillus {GO:0005902}; stereocilium tip {GO:0032426}</t>
  </si>
  <si>
    <t>actin filament binding {GO:0051015}; SH3 domain binding {GO:0017124}</t>
  </si>
  <si>
    <t>Acyl-coenzyme A synthetase ACSM1, mitochondrial</t>
  </si>
  <si>
    <t>Acyl-CoA synthetase medium-chain family member 1; Butyrate--CoA ligase 1; Butyryl-coenzyme A synthetase 1; Lipoate-activating enzyme; Middle-chain acyl-CoA synthetase 1</t>
  </si>
  <si>
    <t>ACSM1_HUMAN</t>
  </si>
  <si>
    <t>Q08AH1</t>
  </si>
  <si>
    <t>Q08AH2; Q96A20</t>
  </si>
  <si>
    <t>BUCS1; LAE; MACS1</t>
  </si>
  <si>
    <t>Acetylation; Alternative splicing; ATP-binding; Fatty acid metabolism; GTP-binding; Ligase; Lipid metabolism; Magnesium; Metal-binding; Mitochondrion; Nucleotide-binding; Polymorphism; Transit peptide</t>
  </si>
  <si>
    <t>ATP-binding; GTP-binding; Magnesium; Metal-binding; Nucleotide-binding</t>
  </si>
  <si>
    <t>acyl-CoA metabolic process {GO:0006637}; benzoate metabolic process {GO:0018874}; butyrate metabolic process {GO:0019605}; cholesterol homeostasis {GO:0042632}; energy derivation by oxidation of organic compounds {GO:0015980}; fatty acid biosynthetic process {GO:0006633}; fatty acid oxidation {GO:0019395}; xenobiotic metabolic process {GO:0006805}</t>
  </si>
  <si>
    <t>blood microparticle {GO:0072562}; extracellular exosome {GO:0070062}; mitochondrial matrix {GO:0005759}</t>
  </si>
  <si>
    <t>acyl-CoA ligase activity {GO:0003996}; ATP binding {GO:0005524}; butyrate-CoA ligase activity {GO:0047760}; fatty acid ligase activity {GO:0015645}; fatty-acyl-CoA synthase activity {GO:0004321}; GTP binding {GO:0005525}; metal ion binding {GO:0046872}</t>
  </si>
  <si>
    <t>Conjugation of benzoate with glycine {R-HSA-177135}; Conjugation of phenylacetate with glutamine {R-HSA-177162}</t>
  </si>
  <si>
    <t>Sulfhydryl oxidase 1 (hQSOX)</t>
  </si>
  <si>
    <t>Quiescin Q6</t>
  </si>
  <si>
    <t>QSOX1_HUMAN</t>
  </si>
  <si>
    <t>O00391</t>
  </si>
  <si>
    <t>Q59G29; Q5T2X0; Q8TDL6; Q8WVP4</t>
  </si>
  <si>
    <t>QSCN6</t>
  </si>
  <si>
    <t>3D-structure; Alternative splicing; Disulfide bond; FAD; Flavoprotein; Glycoprotein; Golgi apparatus; Membrane; Oxidoreductase; Phosphoprotein; Polymorphism; Secreted; Signal; Transmembrane; Transmembrane helix</t>
  </si>
  <si>
    <t>cell redox homeostasis {GO:0045454}; cellular protein metabolic process {GO:0044267}; extracellular matrix assembly {GO:0085029}; negative regulation of macroautophagy {GO:0016242}; neutrophil degranulation {GO:0043312}; platelet degranulation {GO:0002576}; post-translational protein modification {GO:0043687}</t>
  </si>
  <si>
    <t>endoplasmic reticulum lumen {GO:0005788}; extracellular exosome {GO:0070062}; extracellular region {GO:0005576}; extracellular space {GO:0005615}; Golgi apparatus {GO:0005794}; Golgi membrane {GO:0000139}; integral component of Golgi membrane {GO:0030173}; intercellular bridge {GO:0045171}; intracellular membrane-bounded organelle {GO:0043231}; platelet alpha granule lumen {GO:0031093}; specific granule lumen {GO:0035580}; tertiary granule lumen {GO:1904724}</t>
  </si>
  <si>
    <t>FAD binding {GO:0071949}; flavin-linked sulfhydryl oxidase activity {GO:0016971}; protein disulfide isomerase activity {GO:0003756}</t>
  </si>
  <si>
    <t>Torsin-1A-interacting protein 1</t>
  </si>
  <si>
    <t>Lamin-associated protein 1B (LAP1B)</t>
  </si>
  <si>
    <t>TOIP1_HUMAN</t>
  </si>
  <si>
    <t>Q5JTV8</t>
  </si>
  <si>
    <t>A8K630; B0QZ57; Q5JTV6; Q8IZ65; Q9H8Y6; Q9HAJ1; Q9NV52; Q9Y3X5</t>
  </si>
  <si>
    <t>LAP1</t>
  </si>
  <si>
    <t>3D-structure; Alternative splicing; Coiled coil; Glycoprotein; Isopeptide bond; Limb-girdle muscular dystrophy; Membrane; Nucleus; Phosphoprotein; Polymorphism; Transmembrane; Transmembrane helix; Ubl conjugation</t>
  </si>
  <si>
    <t>Membrane; Nucleus</t>
  </si>
  <si>
    <t>Limb-girdle muscular dystrophy</t>
  </si>
  <si>
    <t>nuclear membrane organization {GO:0071763}; positive regulation of ATPase activity {GO:0032781}; protein localization to nuclear envelope {GO:0090435}; protein localization to nucleus {GO:0034504}</t>
  </si>
  <si>
    <t>integral component of membrane {GO:0016021}; nuclear inner membrane {GO:0005637}; nuclear membrane {GO:0031965}; nucleus {GO:0005634}</t>
  </si>
  <si>
    <t>ATPase activator activity {GO:0001671}; ATPase binding {GO:0051117}; cytoskeletal protein binding {GO:0008092}; lamin binding {GO:0005521}</t>
  </si>
  <si>
    <t>Torsin-1A-interacting protein 2</t>
  </si>
  <si>
    <t>Lumenal domain-like LAP1</t>
  </si>
  <si>
    <t>TOIP2_HUMAN</t>
  </si>
  <si>
    <t>Q8NFQ8</t>
  </si>
  <si>
    <t>IFRG15; LULL1</t>
  </si>
  <si>
    <t>3D-structure; Acetylation; Alternative splicing; Endoplasmic reticulum; Glycoprotein; Membrane; Nucleus; Phosphoprotein; Transmembrane; Transmembrane helix</t>
  </si>
  <si>
    <t>endoplasmic reticulum organization {GO:0007029}; positive regulation of ATPase activity {GO:0032781}; protein localization to nuclear envelope {GO:0090435}</t>
  </si>
  <si>
    <t>endoplasmic reticulum {GO:0005783}; endoplasmic reticulum membrane {GO:0005789}; integral component of membrane {GO:0016021}; nuclear membrane {GO:0031965}</t>
  </si>
  <si>
    <t>ATPase activator activity {GO:0001671}; ATPase binding {GO:0051117}</t>
  </si>
  <si>
    <t>Sulfotransferase 1A1 (ST1A1)</t>
  </si>
  <si>
    <t>Aryl sulfotransferase 1; HAST1/HAST2; Phenol sulfotransferase 1; Phenol-sulfating phenol sulfotransferase 1 (P-PST 1); ST1A3; Thermostable phenol sulfotransferase (Ts-PST)</t>
  </si>
  <si>
    <t>ST1A1_HUMAN</t>
  </si>
  <si>
    <t>P50225</t>
  </si>
  <si>
    <t>Q2NL71; Q86U58; Q92818; Q9BVU6; Q9UGG7</t>
  </si>
  <si>
    <t>STP; STP1</t>
  </si>
  <si>
    <t>3D-structure; Alternative splicing; Catecholamine metabolism; Cytoplasm; Lipid metabolism; Phosphoprotein; Polymorphism; Steroid metabolism; Transferase</t>
  </si>
  <si>
    <t>Catecholamine metabolism; Lipid metabolism; Steroid metabolism</t>
  </si>
  <si>
    <t>3'-phosphoadenosine 5'-phosphosulfate metabolic process {GO:0050427}; amine metabolic process {GO:0009308}; catecholamine metabolic process {GO:0006584}; estrogen metabolic process {GO:0008210}; ethanol catabolic process {GO:0006068}; flavonoid metabolic process {GO:0009812}; sulfation {GO:0051923}; xenobiotic metabolic process {GO:0006805}</t>
  </si>
  <si>
    <t>aryl sulfotransferase activity {GO:0004062}; flavonol 3-sulfotransferase activity {GO:0047894}; steroid sulfotransferase activity {GO:0050294}; sulfotransferase activity {GO:0008146}</t>
  </si>
  <si>
    <t>Coagulation factor V light chain</t>
  </si>
  <si>
    <t>Activated protein C cofactor; Proaccelerin, labile factor</t>
  </si>
  <si>
    <t>FA5_HUMAN</t>
  </si>
  <si>
    <t>P12259</t>
  </si>
  <si>
    <t>A8K6E8; Q14285; Q2EHR5; Q5R346; Q5R347; Q6UPU6; Q8WWQ6</t>
  </si>
  <si>
    <t>3D-structure; Blood coagulation; Calcium; Copper; Disease mutation; Disulfide bond; Glycoprotein; Hemostasis; Metal-binding; Phosphoprotein; Polymorphism; Repeat; Secreted; Signal; Sulfation; Thrombophilia; Zymogen</t>
  </si>
  <si>
    <t>Disulfide bond; Glycoprotein; Phosphoprotein; Sulfation; Zymogen</t>
  </si>
  <si>
    <t>blood circulation {GO:0008015}; blood coagulation {GO:0007596}; cellular protein metabolic process {GO:0044267}; COPII vesicle coating {GO:0048208}; endoplasmic reticulum to Golgi vesicle-mediated transport {GO:0006888}; platelet degranulation {GO:0002576}; post-translational protein modification {GO:0043687}</t>
  </si>
  <si>
    <t>COPII-coated ER to Golgi transport vesicle {GO:0030134}; endoplasmic reticulum lumen {GO:0005788}; endoplasmic reticulum-Golgi intermediate compartment membrane {GO:0033116}; extracellular region {GO:0005576}; extracellular space {GO:0005615}; extracellular vesicle {GO:1903561}; Golgi membrane {GO:0000139}; membrane {GO:0016020}; plasma membrane {GO:0005886}; platelet alpha granule lumen {GO:0031093}</t>
  </si>
  <si>
    <t>copper ion binding {GO:0005507}</t>
  </si>
  <si>
    <t>Platelet degranulation {R-HSA-114608}; Common Pathway of Fibrin Clot Formation {R-HSA-140875}; COPII-mediated vesicle transport {R-HSA-204005}; Regulation of Insulin-like Growth Factor (IGF) transport and uptake by Insulin-like Growth Factor Binding Proteins (IGFBPs) {R-HSA-381426}; Cargo concentration in the ER {R-HSA-5694530}; Post-translational protein phosphorylation {R-HSA-8957275}</t>
  </si>
  <si>
    <t>Protein S100-A8</t>
  </si>
  <si>
    <t>Calgranulin-A; Calprotectin L1L subunit; Cystic fibrosis antigen (CFAG); Leukocyte L1 complex light chain; Migration inhibitory factor-related protein 8 (MRP-8; p8); S100 calcium-binding protein A8; Urinary stone protein band A</t>
  </si>
  <si>
    <t>S10A8_HUMAN</t>
  </si>
  <si>
    <t>P05109</t>
  </si>
  <si>
    <t>A8K5L3; D3DV37; Q5SY70; Q9UC84; Q9UC92; Q9UCJ0; Q9UCM6</t>
  </si>
  <si>
    <t>CAGA; CFAG; MRP8</t>
  </si>
  <si>
    <t>3D-structure; Antimicrobial; Apoptosis; Autophagy; Calcium; Cell membrane; Chemotaxis; Cytoplasm; Cytoskeleton; Immunity; Inflammatory response; Innate immunity; Membrane; Metal-binding; Repeat; S-nitrosylation; Secreted; Zinc</t>
  </si>
  <si>
    <t>Antimicrobial</t>
  </si>
  <si>
    <t>activation of cysteine-type endopeptidase activity involved in apoptotic process {GO:0006919}; acute inflammatory response {GO:0002526}; antimicrobial humoral response {GO:0019730}; apoptotic process {GO:0006915}; astrocyte development {GO:0014002}; autocrine signaling {GO:0035425}; autophagy {GO:0006914}; chemokine production {GO:0032602}; chronic inflammatory response {GO:0002544}; cytokine production {GO:0001816}; defense response to bacterium {GO:0042742}; defense response to fungus {GO:0050832}; inflammatory response {GO:0006954}; innate immune response {GO:0045087}; leukocyte migration involved in inflammatory response {GO:0002523}; neutrophil aggregation {GO:0070488}; neutrophil chemotaxis {GO:0030593}; neutrophil degranulation {GO:0043312}; peptidyl-cysteine S-nitrosylation {GO:0018119}; positive regulation of cell growth {GO:0030307}; positive regulation of inflammatory response {GO:0050729}; positive regulation of intrinsic apoptotic signaling pathway {GO:2001244}; positive regulation of NF-kappaB transcription factor activity {GO:0051092}; positive regulation of peptide secretion {GO:0002793}; regulation of cytoskeleton organization {GO:0051493}; response to ethanol {GO:0045471}; response to lipopolysaccharide {GO:0032496}; response to zinc ion {GO:0010043}; sequestering of zinc ion {GO:0032119}; toll-like receptor signaling pathway {GO:0002224}; wound healing {GO:0042060}</t>
  </si>
  <si>
    <t>collagen-containing extracellular matrix {GO:0062023}; cytoskeleton {GO:0005856}; cytosol {GO:0005829}; extracellular exosome {GO:0070062}; extracellular region {GO:0005576}; extracellular space {GO:0005615}; intermediate filament cytoskeleton {GO:0045111}; nucleus {GO:0005634}; plasma membrane {GO:0005886}; secretory granule lumen {GO:0034774}</t>
  </si>
  <si>
    <t>arachidonic acid binding {GO:0050544}; calcium ion binding {GO:0005509}; microtubule binding {GO:0008017}; RAGE receptor binding {GO:0050786}; Toll-like receptor 4 binding {GO:0035662}; zinc ion binding {GO:0008270}</t>
  </si>
  <si>
    <t>Elastin</t>
  </si>
  <si>
    <t>Tropoelastin</t>
  </si>
  <si>
    <t>ELN_HUMAN</t>
  </si>
  <si>
    <t>P15502</t>
  </si>
  <si>
    <t>B3KTS6; O15336; O15337; Q14233; Q14234; Q14235; Q14238; Q6P0L4; Q6ZWJ6; Q75MU5; Q7Z316; Q7Z3F5; Q9UMF5</t>
  </si>
  <si>
    <t>Alternative splicing; Disulfide bond; Extracellular matrix; Hydroxylation; Polymorphism; Repeat; Secreted; Signal; Williams-Beuren syndrome</t>
  </si>
  <si>
    <t>Disulfide bond; Hydroxylation</t>
  </si>
  <si>
    <t>animal organ morphogenesis {GO:0009887}; aortic valve morphogenesis {GO:0003180}; blood circulation {GO:0008015}; extracellular matrix organization {GO:0030198}; outflow tract morphogenesis {GO:0003151}; regulation of actin filament polymerization {GO:0030833}; regulation of smooth muscle cell proliferation {GO:0048660}; respiratory gaseous exchange {GO:0007585}; skeletal muscle tissue development {GO:0007519}; stress fiber assembly {GO:0043149}</t>
  </si>
  <si>
    <t>collagen-containing extracellular matrix {GO:0062023}; elastic fiber {GO:0071953}; extracellular matrix {GO:0031012}; extracellular region {GO:0005576}</t>
  </si>
  <si>
    <t>extracellular matrix binding {GO:0050840}; extracellular matrix structural constituent {GO:0005201}</t>
  </si>
  <si>
    <t>Degradation of the extracellular matrix {R-HSA-1474228}; Elastic fibre formation {R-HSA-1566948}; Molecules associated with elastic fibres {R-HSA-2129379}</t>
  </si>
  <si>
    <t>Ferritin heavy chain, N-terminally processed</t>
  </si>
  <si>
    <t>Cell proliferation-inducing gene 15 protein</t>
  </si>
  <si>
    <t>FRIH_HUMAN</t>
  </si>
  <si>
    <t>P02794</t>
  </si>
  <si>
    <t>B3KNR5; Q3KRA8; Q3SWW1</t>
  </si>
  <si>
    <t>FTH; FTHL6</t>
  </si>
  <si>
    <t>3D-structure; Acetylation; Iron; Iron storage; Metal-binding; Oxidoreductase; Phosphoprotein</t>
  </si>
  <si>
    <t>Iron storage</t>
  </si>
  <si>
    <t>cellular iron ion homeostasis {GO:0006879}; immune response {GO:0006955}; intracellular sequestering of iron ion {GO:0006880}; iron ion transport {GO:0006826}; negative regulation of cell population proliferation {GO:0008285}; negative regulation of fibroblast proliferation {GO:0048147}; neutrophil degranulation {GO:0043312}</t>
  </si>
  <si>
    <t>autolysosome {GO:0044754}; cytoplasm {GO:0005737}; cytosol {GO:0005829}; extracellular exosome {GO:0070062}; extracellular region {GO:0005576}; ficolin-1-rich granule lumen {GO:1904813}; intracellular ferritin complex {GO:0008043}; nucleus {GO:0005634}; tertiary granule lumen {GO:1904724}</t>
  </si>
  <si>
    <t>ferric iron binding {GO:0008199}; ferrous iron binding {GO:0008198}; ferroxidase activity {GO:0004322}; identical protein binding {GO:0042802}; iron ion binding {GO:0005506}</t>
  </si>
  <si>
    <t>Scavenging by Class A Receptors {R-HSA-3000480}; Golgi Associated Vesicle Biogenesis {R-HSA-432722}; Neutrophil degranulation {R-HSA-6798695}; Iron uptake and transport {R-HSA-917937}</t>
  </si>
  <si>
    <t>Platelet-derived growth factor subunit A (PDGF subunit A)</t>
  </si>
  <si>
    <t>PDGF-1; Platelet-derived growth factor A chain; Platelet-derived growth factor alpha polypeptide</t>
  </si>
  <si>
    <t>PDGFA_HUMAN</t>
  </si>
  <si>
    <t>P04085</t>
  </si>
  <si>
    <t>B5BU73</t>
  </si>
  <si>
    <t>PDGF1</t>
  </si>
  <si>
    <t>3D-structure; Alternative splicing; Cleavage on pair of basic residues; Developmental protein; Disulfide bond; Glycoprotein; Growth factor; Mitogen; Secreted; Signal</t>
  </si>
  <si>
    <t>actin cytoskeleton organization {GO:0030036}; angiogenesis {GO:0001525}; animal organ morphogenesis {GO:0009887}; cell activation {GO:0001775}; cell projection assembly {GO:0030031}; cell-cell signaling {GO:0007267}; embryonic lung development {GO:1990401}; extracellular matrix organization {GO:0030198}; hair follicle development {GO:0001942}; lung alveolus development {GO:0048286}; MAPK cascade {GO:0000165}; negative chemotaxis {GO:0050919}; negative regulation of phosphatidylinositol biosynthetic process {GO:0010512}; negative regulation of platelet activation {GO:0010544}; platelet degranulation {GO:0002576}; platelet-derived growth factor receptor signaling pathway {GO:0048008}; positive regulation of cell division {GO:0051781}; positive regulation of cell migration {GO:0030335}; positive regulation of cell population proliferation {GO:0008284}; positive regulation of ERK1 and ERK2 cascade {GO:0070374}; positive regulation of fibroblast proliferation {GO:0048146}; positive regulation of MAP kinase activity {GO:0043406}; positive regulation of MAPK cascade {GO:0043410}; positive regulation of mesenchymal cell proliferation {GO:0002053}; positive regulation of metanephric mesenchymal cell migration by platelet-derived growth factor receptor-beta signaling pathway {GO:0035793}; positive regulation of phosphatidylinositol 3-kinase signaling {GO:0014068}; positive regulation of protein autophosphorylation {GO:0031954}; positive regulation of protein kinase B signaling {GO:0051897}; regulation of actin cytoskeleton organization {GO:0032956}; regulation of branching involved in salivary gland morphogenesis by epithelial-mesenchymal signaling {GO:0060683}; regulation of peptidyl-tyrosine phosphorylation {GO:0050730}; regulation of smooth muscle cell migration {GO:0014910}; response to wounding {GO:0009611}; skin development {GO:0043588}; wound healing {GO:0042060}</t>
  </si>
  <si>
    <t>cell surface {GO:0009986}; endoplasmic reticulum lumen {GO:0005788}; extracellular region {GO:0005576}; extracellular space {GO:0005615}; Golgi lumen {GO:0005796}; Golgi membrane {GO:0000139}; microvillus {GO:0005902}; platelet alpha granule lumen {GO:0031093}</t>
  </si>
  <si>
    <t>collagen binding {GO:0005518}; growth factor activity {GO:0008083}; identical protein binding {GO:0042802}; platelet-derived growth factor binding {GO:0048407}; platelet-derived growth factor receptor binding {GO:0005161}; protein heterodimerization activity {GO:0046982}; protein homodimerization activity {GO:0042803}</t>
  </si>
  <si>
    <t>Sarcoplasmic/endoplasmic reticulum calcium ATPase 1 (SERCA1; SR Ca(2+)-ATPase 1)</t>
  </si>
  <si>
    <t>Calcium pump 1; Calcium-transporting ATPase sarcoplasmic reticulum type, fast twitch skeletal muscle isoform; Endoplasmic reticulum class 1/2 Ca(2+) ATPase</t>
  </si>
  <si>
    <t>AT2A1_HUMAN</t>
  </si>
  <si>
    <t>O14983</t>
  </si>
  <si>
    <t>A8K5J9; B3KY17; O14984</t>
  </si>
  <si>
    <t>Alternative splicing; ATP-binding; Calcium; Calcium transport; Disease mutation; Disulfide bond; Endoplasmic reticulum; Ion transport; Magnesium; Membrane; Metal-binding; Nucleotide-binding; Phosphoprotein; Sarcoplasmic reticulum; Translocase; Transmembrane; Transmembrane helix; Transport</t>
  </si>
  <si>
    <t>apoptotic mitochondrial changes {GO:0008637}; calcium ion import {GO:0070509}; calcium ion import into sarcoplasmic reticulum {GO:1990036}; calcium ion transmembrane transport {GO:0070588}; calcium ion transport {GO:0006816}; cellular calcium ion homeostasis {GO:0006874}; intrinsic apoptotic signaling pathway in response to endoplasmic reticulum stress {GO:0070059}; ion transmembrane transport {GO:0034220}; maintenance of mitochondrion location {GO:0051659}; negative regulation of endoplasmic reticulum calcium ion concentration {GO:0032471}; negative regulation of striated muscle contraction {GO:0045988}; positive regulation of endoplasmic reticulum calcium ion concentration {GO:0032470}; positive regulation of fast-twitch skeletal muscle fiber contraction {GO:0031448}; positive regulation of mitochondrial calcium ion concentration {GO:0051561}; regulation of cardiac conduction {GO:1903779}; regulation of striated muscle contraction {GO:0006942}; relaxation of skeletal muscle {GO:0090076}; response to endoplasmic reticulum stress {GO:0034976}</t>
  </si>
  <si>
    <t>calcium channel complex {GO:0034704}; endoplasmic reticulum membrane {GO:0005789}; endoplasmic reticulum-Golgi intermediate compartment {GO:0005793}; H zone {GO:0031673}; I band {GO:0031674}; integral component of membrane {GO:0016021}; membrane {GO:0016020}; mitochondrion {GO:0005739}; perinuclear region of cytoplasm {GO:0048471}; platelet dense tubular network membrane {GO:0031095}; sarcoplasmic reticulum {GO:0016529}; sarcoplasmic reticulum membrane {GO:0033017}</t>
  </si>
  <si>
    <t>ATP binding {GO:0005524}; ATPase activity {GO:0016887}; calcium ion binding {GO:0005509}; calcium-transporting ATPase activity {GO:0005388}; protein homodimerization activity {GO:0042803}; proton-exporting ATPase activity, phosphorylative mechanism {GO:0008553}</t>
  </si>
  <si>
    <t>Calcitermin</t>
  </si>
  <si>
    <t>CGRP; Calcium-binding protein in amniotic fluid 1 (CAAF1); Calgranulin-C (CAGC); Extracellular newly identified RAGE-binding protein (EN-RAGE); Migration inhibitory factor-related protein 6 (MRP-6; p6); Neutrophil S100 protein; S100 calcium-binding protein A12</t>
  </si>
  <si>
    <t>S10AC_HUMAN</t>
  </si>
  <si>
    <t>P80511</t>
  </si>
  <si>
    <t>P83219; Q5SY66; Q7M4R1</t>
  </si>
  <si>
    <t>3D-structure; Antibiotic; Antimicrobial; Calcium; Cell membrane; Copper; Cytoplasm; Cytoskeleton; Fungicide; Immunity; Inflammatory response; Innate immunity; Membrane; Metal-binding; Repeat; Secreted; Zinc</t>
  </si>
  <si>
    <t>Calcium; Copper; Metal-binding; Zinc</t>
  </si>
  <si>
    <t>antimicrobial humoral immune response mediated by antimicrobial peptide {GO:0061844}; cytokine secretion {GO:0050663}; defense response to bacterium {GO:0042742}; defense response to fungus {GO:0050832}; inflammatory response {GO:0006954}; innate immune response {GO:0045087}; killing of cells of other organism {GO:0031640}; mast cell activation {GO:0045576}; monocyte chemotaxis {GO:0002548}; neutrophil chemotaxis {GO:0030593}; neutrophil degranulation {GO:0043312}; positive regulation of I-kappaB kinase/NF-kappaB signaling {GO:0043123}; positive regulation of inflammatory response {GO:0050729}; positive regulation of MAP kinase activity {GO:0043406}; positive regulation of NF-kappaB transcription factor activity {GO:0051092}; xenobiotic metabolic process {GO:0006805}</t>
  </si>
  <si>
    <t>cytoplasm {GO:0005737}; cytoskeleton {GO:0005856}; cytosol {GO:0005829}; extracellular region {GO:0005576}; nucleus {GO:0005634}; plasma membrane {GO:0005886}; secretory granule lumen {GO:0034774}</t>
  </si>
  <si>
    <t>calcium ion binding {GO:0005509}; copper ion binding {GO:0005507}; RAGE receptor binding {GO:0050786}; zinc ion binding {GO:0008270}</t>
  </si>
  <si>
    <t>TAK1 activates NFkB by phosphorylation and activation of IKKs complex {R-HSA-445989}; Neutrophil degranulation {R-HSA-6798695}; Advanced glycosylation endproduct receptor signaling {R-HSA-879415}; TRAF6 mediated NF-kB activation {R-HSA-933542}</t>
  </si>
  <si>
    <t>Jupiter microtubule associated homolog 2</t>
  </si>
  <si>
    <t>Hematological and neurological expressed 1-like protein (HN1-like protein)</t>
  </si>
  <si>
    <t>JUPI2_HUMAN</t>
  </si>
  <si>
    <t>Q9H910</t>
  </si>
  <si>
    <t>B1AJY2; B4DLH4; Q6EIC7</t>
  </si>
  <si>
    <t>Acetylation; Alternative splicing; Cytoplasm; Nucleus; Phosphoprotein</t>
  </si>
  <si>
    <t>cytosol {GO:0005829}; nucleus {GO:0005634}; plasma membrane {GO:0005886}</t>
  </si>
  <si>
    <t>Pancreatic secretory granule membrane major glycoprotein GP2</t>
  </si>
  <si>
    <t>Pancreatic zymogen granule membrane protein GP-2; ZAP75</t>
  </si>
  <si>
    <t>GP2_HUMAN</t>
  </si>
  <si>
    <t>P55259</t>
  </si>
  <si>
    <t>A6NFM9; A6NJA8; Q13338; Q9UIF1</t>
  </si>
  <si>
    <t>Alternative splicing; Cell membrane; Disulfide bond; EGF-like domain; Glycoprotein; GPI-anchor; Lipoprotein; Membrane; Secreted; Signal</t>
  </si>
  <si>
    <t>Membrane cofactor protein</t>
  </si>
  <si>
    <t>TLX; Trophoblast leukocyte common antigen; CD_antigen=CD46</t>
  </si>
  <si>
    <t>MCP_HUMAN</t>
  </si>
  <si>
    <t>P15529</t>
  </si>
  <si>
    <t>A0T1T0; A0T1T1; A0T1T2; Q15429; Q53GV9; Q5HY94; Q5VWS6; Q5VWS7; Q5VWS8; Q5VWS9; Q5VWT0; Q5VWT1; Q5VWT2; Q6N0A1; Q7Z3R5; Q9NNW2; Q9NNW3; Q9NNW4; Q9UCJ4</t>
  </si>
  <si>
    <t>MCP; MIC10</t>
  </si>
  <si>
    <t>3D-structure; Alternative splicing; Complement pathway; Cytoplasmic vesicle; Disease mutation; Disulfide bond; Fertilization; Glycoprotein; Hemolytic uremic syndrome; Host cell receptor for virus entry; Host-virus interaction; Immunity; Innate immunity; Membrane; Phosphoprotein; Polymorphism; Receptor; Repeat; Signal; Sushi; Transmembrane; Transmembrane helix</t>
  </si>
  <si>
    <t>Complement pathway; Fertilization; Host-virus interaction; Immunity; Innate immunity</t>
  </si>
  <si>
    <t>Repeat; Signal; Sushi; Transmembrane; Transmembrane helix</t>
  </si>
  <si>
    <t>adaptive immune response {GO:0002250}; complement activation, classical pathway {GO:0006958}; innate immune response {GO:0045087}; interleukin-10 production {GO:0032613}; negative regulation of gene expression {GO:0010629}; positive regulation of gene expression {GO:0010628}; positive regulation of interleukin-10 production {GO:0032733}; positive regulation of memory T cell differentiation {GO:0043382}; positive regulation of regulatory T cell differentiation {GO:0045591}; positive regulation of T cell proliferation {GO:0042102}; positive regulation of transforming growth factor beta production {GO:0071636}; regulation of complement activation {GO:0030449}; regulation of Notch signaling pathway {GO:0008593}; sequestering of extracellular ligand from receptor {GO:0035581}; single fertilization {GO:0007338}; T cell mediated immunity {GO:0002456}</t>
  </si>
  <si>
    <t>cell surface {GO:0009986}; extracellular exosome {GO:0070062}; focal adhesion {GO:0005925}; inner acrosomal membrane {GO:0002079}; integral component of plasma membrane {GO:0005887}; plasma membrane {GO:0005886}</t>
  </si>
  <si>
    <t>cadherin binding {GO:0045296}; signaling receptor activity {GO:0038023}; virus receptor activity {GO:0001618}</t>
  </si>
  <si>
    <t>Interleukin enhancer-binding factor 2</t>
  </si>
  <si>
    <t>Nuclear factor of activated T-cells 45 kDa</t>
  </si>
  <si>
    <t>ILF2_HUMAN</t>
  </si>
  <si>
    <t>Q12905</t>
  </si>
  <si>
    <t>A6NDB0; B2R8G7; Q5SR10; Q5SR11; Q7L7R3; Q9BWD4; Q9P1N0</t>
  </si>
  <si>
    <t>NF45</t>
  </si>
  <si>
    <t>Activator; Cytoplasm; DNA-binding; Isopeptide bond; Methylation; Nucleus; Phosphoprotein; Transcription; Transcription regulation; Ubl conjugation</t>
  </si>
  <si>
    <t>neutrophil degranulation {GO:0043312}; positive regulation of transcription, DNA-templated {GO:0045893}; transcription, DNA-templated {GO:0006351}</t>
  </si>
  <si>
    <t>extracellular region {GO:0005576}; ficolin-1-rich granule lumen {GO:1904813}; membrane {GO:0016020}; nucleolus {GO:0005730}; nucleus {GO:0005634}; ribonucleoprotein complex {GO:1990904}; specific granule lumen {GO:0035580}; tertiary granule lumen {GO:1904724}</t>
  </si>
  <si>
    <t>ATP binding {GO:0005524}; DNA binding {GO:0003677}; double-stranded RNA binding {GO:0003725}; RNA binding {GO:0003723}; transferase activity {GO:0016740}</t>
  </si>
  <si>
    <t>CapZ-interacting protein</t>
  </si>
  <si>
    <t>Protein kinase substrate CapZIP; RCSD domain-containing protein 1</t>
  </si>
  <si>
    <t>CPZIP_HUMAN</t>
  </si>
  <si>
    <t>Q6JBY9</t>
  </si>
  <si>
    <t>B1AK48; Q4G0E7; Q6IN93; Q8IZM2; Q96DX0; Q9NST4</t>
  </si>
  <si>
    <t>CAPZIP</t>
  </si>
  <si>
    <t>Alternative splicing; Phosphoprotein; Polymorphism</t>
  </si>
  <si>
    <t>cellular hyperosmotic response {GO:0071474}; skeletal muscle contraction {GO:0003009}</t>
  </si>
  <si>
    <t>actin filament {GO:0005884}</t>
  </si>
  <si>
    <t>Extracellular serine/threonine protein kinase FAM20C</t>
  </si>
  <si>
    <t>Dentin matrix protein 4 (DMP-4); Golgi casein kinase; Golgi-enriched fraction casein kinase (GEF-CK)</t>
  </si>
  <si>
    <t>FA20C_HUMAN</t>
  </si>
  <si>
    <t>Q8IXL6</t>
  </si>
  <si>
    <t>A4D2Q5; L8B5W8; Q5I0W9; Q7Z4I0; Q9NPT2</t>
  </si>
  <si>
    <t>3D-structure; Alternative splicing; ATP-binding; Biomineralization; Calcium; Disease mutation; Disulfide bond; Glycoprotein; Golgi apparatus; Kinase; Manganese; Metal-binding; Nucleotide-binding; Phosphoprotein; Secreted; Serine/threonine-protein kinase; Signal; Transferase</t>
  </si>
  <si>
    <t>ATP-binding; Calcium; Manganese; Metal-binding; Nucleotide-binding</t>
  </si>
  <si>
    <t>ATP metabolic process {GO:0046034}; biomineral tissue development {GO:0031214}; cellular protein metabolic process {GO:0044267}; dentinogenesis {GO:0097187}; enamel mineralization {GO:0070166}; odontoblast differentiation {GO:0071895}; osteoclast maturation {GO:0036179}; positive regulation of bone mineralization {GO:0030501}; positive regulation of osteoblast differentiation {GO:0045669}; post-translational protein modification {GO:0043687}; protein phosphorylation {GO:0006468}; regulation of fibroblast growth factor receptor signaling pathway {GO:0040036}; regulation of phosphorus metabolic process {GO:0051174}</t>
  </si>
  <si>
    <t>endoplasmic reticulum lumen {GO:0005788}; extracellular exosome {GO:0070062}; extracellular space {GO:0005615}; Golgi apparatus {GO:0005794}</t>
  </si>
  <si>
    <t>ATP binding {GO:0005524}; calcium ion binding {GO:0005509}; manganese ion binding {GO:0030145}; phosphotransferase activity, alcohol group as acceptor {GO:0016773}; protein serine/threonine kinase activity {GO:0004674}</t>
  </si>
  <si>
    <t>Tumor necrosis factor receptor superfamily member 12A</t>
  </si>
  <si>
    <t>Fibroblast growth factor-inducible immediate-early response protein 14 (FGF-inducible 14); Tweak-receptor (TweakR); CD_antigen=CD266</t>
  </si>
  <si>
    <t>TNR12_HUMAN</t>
  </si>
  <si>
    <t>Q9NP84</t>
  </si>
  <si>
    <t>D3DUA6; Q9HCS0</t>
  </si>
  <si>
    <t>FN14</t>
  </si>
  <si>
    <t>3D-structure; Alternative splicing; Angiogenesis; Apoptosis; Cell adhesion; Developmental protein; Differentiation; Disulfide bond; Membrane; Receptor; Signal; Transmembrane; Transmembrane helix</t>
  </si>
  <si>
    <t>Angiogenesis; Apoptosis; Cell adhesion; Differentiation</t>
  </si>
  <si>
    <t>angiogenesis {GO:0001525}; extrinsic apoptotic signaling pathway {GO:0097191}; positive regulation of apoptotic process {GO:0043065}; positive regulation of axon extension {GO:0045773}; positive regulation of extrinsic apoptotic signaling pathway {GO:2001238}; regulation of angiogenesis {GO:0045765}; regulation of wound healing {GO:0061041}; substrate-dependent cell migration, cell attachment to substrate {GO:0006931}; tumor necrosis factor-mediated signaling pathway {GO:0033209}</t>
  </si>
  <si>
    <t>cell surface {GO:0009986}; integral component of membrane {GO:0016021}; plasma membrane {GO:0005886}; ruffle {GO:0001726}</t>
  </si>
  <si>
    <t>Integrin alpha-M</t>
  </si>
  <si>
    <t>CD11 antigen-like family member B; CR-3 alpha chain; Cell surface glycoprotein MAC-1 subunit alpha; Leukocyte adhesion receptor MO1; Neutrophil adherence receptor; CD_antigen=CD11b</t>
  </si>
  <si>
    <t>ITAM_HUMAN</t>
  </si>
  <si>
    <t>P11215</t>
  </si>
  <si>
    <t>Q4VAK0; Q4VAK1; Q4VAK2</t>
  </si>
  <si>
    <t>CD11B; CR3A</t>
  </si>
  <si>
    <t>3D-structure; Alternative splicing; Calcium; Cell adhesion; Cell membrane; Disulfide bond; Glycoprotein; Immunity; Innate immunity; Integrin; Magnesium; Membrane; Metal-binding; Polymorphism; Receptor; Repeat; Signal; Systemic lupus erythematosus; Transmembrane; Transmembrane helix</t>
  </si>
  <si>
    <t>Cell adhesion; Immunity; Innate immunity</t>
  </si>
  <si>
    <t>amyloid-beta clearance {GO:0097242}; apoptotic signaling pathway {GO:0097190}; cell adhesion {GO:0007155}; cell surface receptor signaling pathway involved in cell-cell signaling {GO:1905114}; cell-cell adhesion via plasma-membrane adhesion molecules {GO:0098742}; complement-mediated synapse pruning {GO:0150062}; cytokine-mediated signaling pathway {GO:0019221}; ectodermal cell differentiation {GO:0010668}; extracellular matrix organization {GO:0030198}; forebrain development {GO:0030900}; innate immune response {GO:0045087}; integrin-mediated signaling pathway {GO:0007229}; leukocyte migration {GO:0050900}; microglial cell activation {GO:0001774}; negative regulation of dopamine metabolic process {GO:0045963}; neutrophil degranulation {GO:0043312}; phagocytosis, engulfment {GO:0006911}; positive regulation of hippocampal neuron apoptotic process {GO:0110090}; positive regulation of microglial cell activation {GO:1903980}; positive regulation of microglial cell mediated cytotoxicity {GO:1904151}; positive regulation of neuron death {GO:1901216}; positive regulation of neutrophil degranulation {GO:0043315}; positive regulation of prostaglandin-E synthase activity {GO:2000363}; positive regulation of protein targeting to membrane {GO:0090314}; positive regulation of superoxide anion generation {GO:0032930}; receptor-mediated endocytosis {GO:0006898}; toll-like receptor 4 signaling pathway {GO:0034142}; vertebrate eye-specific patterning {GO:0150064}</t>
  </si>
  <si>
    <t>cell surface {GO:0009986}; external side of plasma membrane {GO:0009897}; extracellular exosome {GO:0070062}; extracellular space {GO:0005615}; integrin alphaM-beta2 complex {GO:0034688}; integrin complex {GO:0008305}; plasma membrane {GO:0005886}; plasma membrane raft {GO:0044853}; specific granule membrane {GO:0035579}; tertiary granule membrane {GO:0070821}</t>
  </si>
  <si>
    <t>amyloid-beta binding {GO:0001540}; cargo receptor activity {GO:0038024}; complement component C3b binding {GO:0001851}; heat shock protein binding {GO:0031072}; metal ion binding {GO:0046872}; protein heterodimerization activity {GO:0046982}</t>
  </si>
  <si>
    <t>Toll Like Receptor 4 (TLR4) Cascade {R-HSA-166016}; Cell surface interactions at the vascular wall {R-HSA-202733}; Integrin cell surface interactions {R-HSA-216083}; Interleukin-4 and Interleukin-13 signaling {R-HSA-6785807}; Neutrophil degranulation {R-HSA-6798695}</t>
  </si>
  <si>
    <t>Ubiquitin-associated protein 2-like</t>
  </si>
  <si>
    <t>Protein NICE-4</t>
  </si>
  <si>
    <t>UBP2L_HUMAN</t>
  </si>
  <si>
    <t>Q14157</t>
  </si>
  <si>
    <t>B4E0U8; Q5VU75; Q5VU76; Q9BTU3; Q9UGL2; Q9UGL3; Q9UGL4; Q9UGL5</t>
  </si>
  <si>
    <t>KIAA0144; NICE4</t>
  </si>
  <si>
    <t>Acetylation; Alternative splicing; Methylation; Phosphoprotein; Polymorphism</t>
  </si>
  <si>
    <t>binding of sperm to zona pellucida {GO:0007339}; hematopoietic stem cell homeostasis {GO:0061484}</t>
  </si>
  <si>
    <t>cytoplasm {GO:0005737}; nucleus {GO:0005634}; PcG protein complex {GO:0031519}</t>
  </si>
  <si>
    <t>Lysophospholipase D GDPD3</t>
  </si>
  <si>
    <t>Glycerophosphodiester phosphodiesterase 7; Glycerophosphodiester phosphodiesterase domain-containing protein 3</t>
  </si>
  <si>
    <t>GDPD3_HUMAN</t>
  </si>
  <si>
    <t>Q7L5L3</t>
  </si>
  <si>
    <t>Q9H652</t>
  </si>
  <si>
    <t>GDE7</t>
  </si>
  <si>
    <t>Alternative splicing; Cytoplasm; Endoplasmic reticulum; Hydrolase; Membrane; Metal-binding; Transmembrane; Transmembrane helix</t>
  </si>
  <si>
    <t>glycerophospholipid catabolic process {GO:0046475}; phosphatidylcholine catabolic process {GO:0034638}; phospholipid metabolic process {GO:0006644}</t>
  </si>
  <si>
    <t>endoplasmic reticulum membrane {GO:0005789}; extracellular exosome {GO:0070062}; integral component of membrane {GO:0016021}; perinuclear region of cytoplasm {GO:0048471}</t>
  </si>
  <si>
    <t>lysophospholipase activity {GO:0004622}; metal ion binding {GO:0046872}; phosphoric diester hydrolase activity {GO:0008081}</t>
  </si>
  <si>
    <t>Mitogen-activated protein kinase 3 (MAP kinase 3; MAPK 3)</t>
  </si>
  <si>
    <t>ERT2; Extracellular signal-regulated kinase 1 (ERK-1); Insulin-stimulated MAP2 kinase; MAP kinase isoform p44 (p44-MAPK); Microtubule-associated protein 2 kinase; p44-ERK1</t>
  </si>
  <si>
    <t>MK03_HUMAN</t>
  </si>
  <si>
    <t>P27361</t>
  </si>
  <si>
    <t>A8CZ58; B0LPG3; Q8NHX1</t>
  </si>
  <si>
    <t>ERK1; PRKM3</t>
  </si>
  <si>
    <t>3D-structure; Acetylation; Alternative splicing; Apoptosis; ATP-binding; Cell cycle; Cytoplasm; Host-virus interaction; Kinase; Membrane; Nucleotide-binding; Nucleus; Phosphoprotein; Polymorphism; Serine/threonine-protein kinase; Transferase</t>
  </si>
  <si>
    <t>Apoptosis; Cell cycle; Host-virus interaction</t>
  </si>
  <si>
    <t>activation of MAPK activity {GO:0000187}; activation of MAPKK activity {GO:0000186}; aging {GO:0007568}; apoptotic process {GO:0006915}; arachidonic acid metabolic process {GO:0019369}; axon guidance {GO:0007411}; Bergmann glial cell differentiation {GO:0060020}; BMP signaling pathway {GO:0030509}; cardiac neural crest cell development involved in heart development {GO:0061308}; cartilage development {GO:0051216}; caveolin-mediated endocytosis {GO:0072584}; cell cycle {GO:0007049}; cellular response to amino acid starvation {GO:0034198}; cellular response to cadmium ion {GO:0071276}; cellular response to dopamine {GO:1903351}; cellular response to mechanical stimulus {GO:0071260}; cellular response to organic substance {GO:0071310}; cellular response to reactive oxygen species {GO:0034614}; cellular response to tumor necrosis factor {GO:0071356}; decidualization {GO:0046697}; DNA damage induced protein phosphorylation {GO:0006975}; ERK1 and ERK2 cascade {GO:0070371}; face development {GO:0060324}; Fc-epsilon receptor signaling pathway {GO:0038095}; Fc-gamma receptor signaling pathway involved in phagocytosis {GO:0038096}; fibroblast growth factor receptor signaling pathway {GO:0008543}; interleukin-1-mediated signaling pathway {GO:0070498}; intracellular signal transduction {GO:0035556}; lipopolysaccharide-mediated signaling pathway {GO:0031663}; lung morphogenesis {GO:0060425}; MAPK cascade {GO:0000165}; negative regulation of apolipoprotein binding {GO:2000657}; outer ear morphogenesis {GO:0042473}; peptidyl-serine phosphorylation {GO:0018105}; peptidyl-tyrosine autophosphorylation {GO:0038083}; phosphorylation {GO:0016310}; platelet activation {GO:0030168}; positive regulation of cyclase activity {GO:0031281}; positive regulation of cytokine secretion involved in immune response {GO:0002741}; positive regulation of ERK1 and ERK2 cascade {GO:0070374}; positive regulation of gene expression {GO:0010628}; positive regulation of histone acetylation {GO:0035066}; positive regulation of histone phosphorylation {GO:0033129}; positive regulation of macrophage chemotaxis {GO:0010759}; positive regulation of metallopeptidase activity {GO:1905050}; positive regulation of protein phosphorylation {GO:0001934}; positive regulation of telomerase activity {GO:0051973}; positive regulation of telomere capping {GO:1904355}; positive regulation of telomere maintenance via telomerase {GO:0032212}; positive regulation of transcription by RNA polymerase II {GO:0045944}; positive regulation of translation {GO:0045727}; positive regulation of xenophagy {GO:1904417}; protein phosphorylation {GO:0006468}; protein-containing complex assembly {GO:0065003}; regulation of cellular pH {GO:0030641}; regulation of cellular response to heat {GO:1900034}; regulation of cytoskeleton organization {GO:0051493}; regulation of DNA-binding transcription factor activity {GO:0051090}; regulation of early endosome to late endosome transport {GO:2000641}; regulation of gene expression {GO:0010468}; regulation of Golgi inheritance {GO:0090170}; regulation of ossification {GO:0030278}; regulation of phosphatidylinositol 3-kinase signaling {GO:0014066}; regulation of stress-activated MAPK cascade {GO:0032872}; response to epidermal growth factor {GO:0070849}; response to exogenous dsRNA {GO:0043330}; response to toxic substance {GO:0009636}; sensory perception of pain {GO:0019233}; stress-activated MAPK cascade {GO:0051403}; thymus development {GO:0048538}; thyroid gland development {GO:0030878}; trachea formation {GO:0060440}; transcription initiation from RNA polymerase I promoter {GO:0006361}; viral process {GO:0016032}</t>
  </si>
  <si>
    <t>caveola {GO:0005901}; cytoplasm {GO:0005737}; cytoskeleton {GO:0005856}; cytosol {GO:0005829}; early endosome {GO:0005769}; focal adhesion {GO:0005925}; Golgi apparatus {GO:0005794}; late endosome {GO:0005770}; mitochondrion {GO:0005739}; nuclear envelope {GO:0005635}; nucleoplasm {GO:0005654}; nucleus {GO:0005634}; plasma membrane {GO:0005886}; protein-containing complex {GO:0032991}; pseudopodium {GO:0031143}</t>
  </si>
  <si>
    <t>ATP binding {GO:0005524}; identical protein binding {GO:0042802}; MAP kinase activity {GO:0004707}; MAP kinase kinase activity {GO:0004708}; phosphatase binding {GO:0019902}; phosphotyrosine residue binding {GO:0001784}; scaffold protein binding {GO:0097110}</t>
  </si>
  <si>
    <t>MAPK3 (ERK1) activation {R-HSA-110056}; RAF-independent MAPK1/3 activation {R-HSA-112409}; ISG15 antiviral mechanism {R-HSA-1169408}; Spry regulation of FGF signaling {R-HSA-1295596}; Golgi Cisternae Pericentriolar Stack Reorganization {R-HSA-162658}; Frs2-mediated activation {R-HSA-170968}; ERK/MAPK targets {R-HSA-198753}; ERKs are inactivated {R-HSA-202670}; Regulation of actin dynamics for phagocytic cup formation {R-HSA-2029482}; Oxidative Stress Induced Senescence {R-HSA-2559580}; Senescence-Associated Secretory Phenotype (SASP) {R-HSA-2559582}; Oncogene Induced Senescence {R-HSA-2559585}; FCERI mediated MAPK activation {R-HSA-2871796}; Regulation of HSF1-mediated heat shock response {R-HSA-3371453}; NCAM signaling for neurite out-growth {R-HSA-375165}; RSK activation {R-HSA-444257}; Signal transduction by L1 {R-HSA-445144}; Activation of the AP-1 family of transcription factors {R-HSA-450341}; Thrombin signalling through proteinase activated receptors (PARs) {R-HSA-456926}; Negative regulation of FGFR1 signaling {R-HSA-5654726}; Negative regulation of FGFR2 signaling {R-HSA-5654727}; Negative regulation of FGFR3 signaling {R-HSA-5654732}; Negative regulation of FGFR4 signaling {R-HSA-5654733}; RHO GTPases Activate WASPs and WAVEs {R-HSA-5663213}; RHO GTPases Activate NADPH Oxidases {R-HSA-5668599}; RAF/MAP kinase cascade {R-HSA-5673001}; MAP2K and MAPK activation {R-HSA-5674135}; Negative feedback regulation of MAPK pathway {R-HSA-5674499};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PI5P, PP2A and IER3 Regulate PI3K/AKT Signaling {R-HSA-6811558}; RNA Polymerase I Promoter Opening {R-HSA-73728}; Signal attenuation {R-HSA-74749}; Advanced glycosylation endproduct receptor signaling {R-HSA-879415}; Gastrin-CREB signalling pathway via PKC and MAPK {R-HSA-881907}; ESR-mediated signaling {R-HSA-8939211}; RUNX2 regulates osteoblast differentiation {R-HSA-8940973}; Regulation of PTEN gene transcription {R-HSA-8943724}; Regulation of the apoptosome activity {R-HSA-9627069}; Estrogen-dependent nuclear events downstream of ESR-membrane signaling {R-HSA-9634638}; Growth hormone receptor signaling {R-HSA-982772}</t>
  </si>
  <si>
    <t>Voltage-dependent anion-selective channel protein 1 (VDAC-1; hVDAC1)</t>
  </si>
  <si>
    <t>Outer mitochondrial membrane protein porin 1; Plasmalemmal porin; Porin 31HL; Porin 31HM</t>
  </si>
  <si>
    <t>VDAC1_HUMAN</t>
  </si>
  <si>
    <t>P21796</t>
  </si>
  <si>
    <t>B3KVK4; D3DQ93; Q5FVE7; Q9UIQ5; Q9UPL0</t>
  </si>
  <si>
    <t>VDAC</t>
  </si>
  <si>
    <t>3D-structure; Acetylation; Apoptosis; Cell membrane; Host-virus interaction; Ion transport; Isopeptide bond; Membrane; Mitochondrion; Mitochondrion outer membrane; Phosphoprotein; Porin; Transmembrane; Transmembrane beta strand; Transport; Ubl conjugation</t>
  </si>
  <si>
    <t>Apoptosis; Host-virus interaction; Ion transport; Transport</t>
  </si>
  <si>
    <t>Cell membrane; Membrane; Mitochondrion; Mitochondrion outer membrane</t>
  </si>
  <si>
    <t>anion transport {GO:0006820}; apoptotic process {GO:0006915}; behavioral fear response {GO:0001662}; epithelial cell differentiation {GO:0030855}; learning {GO:0007612}; macroautophagy {GO:0016236}; mitochondrial calcium ion transmembrane transport {GO:0006851}; negative regulation of reactive oxygen species metabolic process {GO:2000378}; neuron-neuron synaptic transmission {GO:0007270}; pyruvate metabolic process {GO:0006090}; regulation of autophagy of mitochondrion {GO:1903146}; viral process {GO:0016032}</t>
  </si>
  <si>
    <t>extracellular exosome {GO:0070062}; membrane {GO:0016020}; membrane raft {GO:0045121}; mitochondrial nucleoid {GO:0042645}; mitochondrial outer membrane {GO:0005741}; mitochondrial permeability transition pore complex {GO:0005757}; mitochondrion {GO:0005739}; nucleus {GO:0005634}; plasma membrane {GO:0005886}; pore complex {GO:0046930}; synaptic vesicle {GO:0008021}</t>
  </si>
  <si>
    <t>identical protein binding {GO:0042802}; ion channel binding {GO:0044325}; porin activity {GO:0015288}; protein kinase binding {GO:0019901}; protein-containing complex binding {GO:0044877}; voltage-gated anion channel activity {GO:0008308}</t>
  </si>
  <si>
    <t>Mitochondrial protein import {R-HSA-1268020}; Pink/Parkin Mediated Mitophagy {R-HSA-5205685}; Ub-specific processing proteases {R-HSA-5689880}; Pyruvate metabolism {R-HSA-70268}; Mitochondrial calcium ion transport {R-HSA-8949215}</t>
  </si>
  <si>
    <t>Apolipoprotein B receptor</t>
  </si>
  <si>
    <t>Apolipoprotein B-100 receptor; Apolipoprotein B-48 receptor (Apolipoprotein B48 receptor; apoB-48R)</t>
  </si>
  <si>
    <t>APOBR_HUMAN</t>
  </si>
  <si>
    <t>Q0VD83</t>
  </si>
  <si>
    <t>H3BU97; Q0VD81; Q8NC15; Q9NPJ9</t>
  </si>
  <si>
    <t>APOB48R</t>
  </si>
  <si>
    <t>Alternative splicing; Atherosclerosis; Cell membrane; Cholesterol metabolism; Chylomicron; LDL; Lipid metabolism; Lipid transport; Membrane; Phosphoprotein; Polymorphism; Receptor; Steroid metabolism; Sterol metabolism; Transport; VLDL</t>
  </si>
  <si>
    <t>Cell membrane; Chylomicron; LDL; Membrane; VLDL</t>
  </si>
  <si>
    <t>Atherosclerosis</t>
  </si>
  <si>
    <t>cholesterol metabolic process {GO:0008203}; lipid transport {GO:0006869}; triglyceride metabolic process {GO:0006641}; very-low-density lipoprotein particle clearance {GO:0034447}</t>
  </si>
  <si>
    <t>chylomicron {GO:0042627}; low-density lipoprotein particle {GO:0034362}; membrane {GO:0016020}; plasma membrane {GO:0005886}; very-low-density lipoprotein particle {GO:0034361}</t>
  </si>
  <si>
    <t>very-low-density lipoprotein particle receptor activity {GO:0030229}</t>
  </si>
  <si>
    <t>VLDL clearance {R-HSA-8964046}</t>
  </si>
  <si>
    <t>Prolargin</t>
  </si>
  <si>
    <t>Proline-arginine-rich end leucine-rich repeat protein</t>
  </si>
  <si>
    <t>PRELP_HUMAN</t>
  </si>
  <si>
    <t>P51888</t>
  </si>
  <si>
    <t>Q6FG38</t>
  </si>
  <si>
    <t>SLRR2A</t>
  </si>
  <si>
    <t>Disulfide bond; Extracellular matrix; Glycoprotein; Leucine-rich repeat; Polymorphism; Repeat; Secreted; Signal</t>
  </si>
  <si>
    <t>cell aging {GO:0007569}; keratan sulfate biosynthetic process {GO:0018146}; keratan sulfate catabolic process {GO:0042340}; skeletal system development {GO:0001501}</t>
  </si>
  <si>
    <t>collagen-containing extracellular matrix {GO:0062023}; extracellular exosome {GO:0070062}; extracellular matrix {GO:0031012}; extracellular region {GO:0005576}; extracellular vesicle {GO:1903561}; Golgi lumen {GO:0005796}; lysosomal lumen {GO:0043202}</t>
  </si>
  <si>
    <t>extracellular matrix structural constituent {GO:0005201}; extracellular matrix structural constituent conferring compression resistance {GO:0030021}; heparin binding {GO:0008201}</t>
  </si>
  <si>
    <t>Keratan sulfate biosynthesis {R-HSA-2022854}; Keratan sulfate degradation {R-HSA-2022857}; Defective CHST6 causes MCDC1 {R-HSA-3656225}; Defective ST3GAL3 causes MCT12 and EIEE15 {R-HSA-3656243}; Defective B4GALT1 causes B4GALT1-CDG (CDG-2d) {R-HSA-3656244}</t>
  </si>
  <si>
    <t>NAD(P)H-hydrate epimerase</t>
  </si>
  <si>
    <t>Apolipoprotein A-I-binding protein (AI-BP); NAD(P)HX epimerase; YjeF N-terminal domain-containing protein 1 (YjeF_N1)</t>
  </si>
  <si>
    <t>NNRE_HUMAN</t>
  </si>
  <si>
    <t>Q8NCW5</t>
  </si>
  <si>
    <t>B4DGY3; Q496C6; Q5T3I2</t>
  </si>
  <si>
    <t>Alternative splicing; Disease mutation; Isomerase; Metal-binding; Mitochondrion; NAD; NADP; Neurodegeneration; Nucleotide-binding; Phosphoprotein; Polymorphism; Potassium; Secreted; Transit peptide</t>
  </si>
  <si>
    <t>Metal-binding; NAD; NADP; Nucleotide-binding; Potassium</t>
  </si>
  <si>
    <t>NAD biosynthesis via nicotinamide riboside salvage pathway {GO:0034356}; nicotinamide nucleotide metabolic process {GO:0046496}; protein homotetramerization {GO:0051289}</t>
  </si>
  <si>
    <t>cell body {GO:0044297}; cilium {GO:0005929}; cytosol {GO:0005829}; extracellular exosome {GO:0070062}; extracellular region {GO:0005576}; extracellular space {GO:0005615}; intracellular membrane-bounded organelle {GO:0043231}; mitochondrial matrix {GO:0005759}; mitochondrion {GO:0005739}; nucleoplasm {GO:0005654}</t>
  </si>
  <si>
    <t>metal ion binding {GO:0046872}; NADHX epimerase activity {GO:0052856}; NADPHX epimerase activity {GO:0052857}; nucleotide binding {GO:0000166}; protein homodimerization activity {GO:0042803}</t>
  </si>
  <si>
    <t>Sodium/myo-inositol cotransporter 2 (Na(+)/myo-inositol cotransporter 2)</t>
  </si>
  <si>
    <t>Sodium-dependent glucose cotransporter; Sodium/glucose cotransporter KST1; Sodium/myo-inositol transporter 2 (SMIT2); Solute carrier family 5 member 11</t>
  </si>
  <si>
    <t>SC5AB_HUMAN</t>
  </si>
  <si>
    <t>Q8WWX8</t>
  </si>
  <si>
    <t>B7Z329; Q05BF1; Q6PF02; Q6ZUW3; Q86Y55; Q96PP5</t>
  </si>
  <si>
    <t>Alternative splicing; Apoptosis; Ion transport; Membrane; Polymorphism; Sodium; Sodium transport; Sugar transport; Symport; Transmembrane; Transmembrane helix; Transport</t>
  </si>
  <si>
    <t>Apoptosis; Ion transport; Sodium transport; Sugar transport; Symport; Transport</t>
  </si>
  <si>
    <t>apoptotic process {GO:0006915}; myo-inositol transport {GO:0015798}</t>
  </si>
  <si>
    <t>glucose:sodium symporter activity {GO:0005412}; polyol transmembrane transporter activity {GO:0015166}</t>
  </si>
  <si>
    <t>Inositol transporters {R-HSA-429593}</t>
  </si>
  <si>
    <t>Secretory component</t>
  </si>
  <si>
    <t>Hepatocellular carcinoma-associated protein TB6</t>
  </si>
  <si>
    <t>PIGR_HUMAN</t>
  </si>
  <si>
    <t>P01833</t>
  </si>
  <si>
    <t>Q68D81; Q8IZY7</t>
  </si>
  <si>
    <t>3D-structure; Cell membrane; Disulfide bond; Glycoprotein; Immunoglobulin domain; Membrane; Phosphoprotein; Polymorphism; Repeat; Secreted; Signal; Transmembrane; Transmembrane helix</t>
  </si>
  <si>
    <t>detection of chemical stimulus involved in sensory perception of bitter taste {GO:0001580}; epidermal growth factor receptor signaling pathway {GO:0007173}; Fc receptor signaling pathway {GO:0038093}; immunoglobulin transcytosis in epithelial cells mediated by polymeric immunoglobulin receptor {GO:0002415}; neutrophil degranulation {GO:0043312}; receptor clustering {GO:0043113}; retina homeostasis {GO:0001895}</t>
  </si>
  <si>
    <t>azurophil granule membrane {GO:0035577}; extracellular exosome {GO:0070062}; extracellular space {GO:0005615}; integral component of plasma membrane {GO:0005887}; plasma membrane {GO:0005886}; receptor complex {GO:0043235}</t>
  </si>
  <si>
    <t>polymeric immunoglobulin receptor activity {GO:0001792}</t>
  </si>
  <si>
    <t>Fascin</t>
  </si>
  <si>
    <t>55 kDa actin-bundling protein; Singed-like protein; p55</t>
  </si>
  <si>
    <t>FSCN1_HUMAN</t>
  </si>
  <si>
    <t>Q16658</t>
  </si>
  <si>
    <t>A6NI89; B2RE97; Q96IC5; Q96IH1; Q9BRF1</t>
  </si>
  <si>
    <t>FAN1; HSN; SNL</t>
  </si>
  <si>
    <t>3D-structure; Acetylation; Actin-binding; Cell junction; Cell projection; Cytoplasm; Cytoskeleton; Isopeptide bond; Phosphoprotein; Ubl conjugation</t>
  </si>
  <si>
    <t>actin cytoskeleton organization {GO:0030036}; actin filament bundle assembly {GO:0051017}; cell migration {GO:0016477}; cell motility {GO:0048870}; cell-cell junction assembly {GO:0007043}; cytokine-mediated signaling pathway {GO:0019221}; establishment of apical/basal cell polarity {GO:0035089}; establishment or maintenance of cell polarity {GO:0007163}; microspike assembly {GO:0030035}; positive regulation of extracellular matrix disassembly {GO:0090091}; positive regulation of filopodium assembly {GO:0051491}; positive regulation of lamellipodium assembly {GO:0010592}; positive regulation of podosome assembly {GO:0071803}; regulation of actin cytoskeleton organization {GO:0032956}; regulation of microvillus assembly {GO:0032534}</t>
  </si>
  <si>
    <t>actin cytoskeleton {GO:0015629}; cell projection membrane {GO:0031253}; cell-cell junction {GO:0005911}; cytoplasm {GO:0005737}; cytoskeleton {GO:0005856}; cytosol {GO:0005829}; extracellular exosome {GO:0070062}; filopodium {GO:0030175}; growth cone {GO:0030426}; invadopodium {GO:0071437}; lamellipodium {GO:0030027}; microspike {GO:0044393}; microvillus {GO:0005902}; podosome {GO:0002102}; ruffle {GO:0001726}; stress fiber {GO:0001725}</t>
  </si>
  <si>
    <t>actin binding {GO:0003779}; actin filament binding {GO:0051015}; cadherin binding {GO:0045296}; drug binding {GO:0008144}; protein binding, bridging {GO:0030674}; RNA binding {GO:0003723}</t>
  </si>
  <si>
    <t>Proteasome assembly chaperone 3 (PAC-3; hPAC3)</t>
  </si>
  <si>
    <t>PSMG3_HUMAN</t>
  </si>
  <si>
    <t>Q9BT73</t>
  </si>
  <si>
    <t>A4D216; A8MPW2</t>
  </si>
  <si>
    <t>C7orf48; PAC3</t>
  </si>
  <si>
    <t>3D-structure; Acetylation; Chaperone</t>
  </si>
  <si>
    <t>Ephrin type-B receptor 4</t>
  </si>
  <si>
    <t>Hepatoma transmembrane kinase; Tyrosine-protein kinase TYRO11</t>
  </si>
  <si>
    <t>EPHB4_HUMAN</t>
  </si>
  <si>
    <t>P54760</t>
  </si>
  <si>
    <t>B5A970; B5A971; B5A972; Q7Z635; Q9BTA5; Q9BXP0</t>
  </si>
  <si>
    <t>HTK; MYK1; TYRO11</t>
  </si>
  <si>
    <t>3D-structure; Alternative splicing; Angiogenesis; ATP-binding; Cell membrane; Developmental protein; Disease mutation; Disulfide bond; Glycoprotein; Kinase; Membrane; Nucleotide-binding; Phosphoprotein; Polymorphism; Receptor; Repeat; Signal; Transferase; Transmembrane; Transmembrane helix; Tyrosine-protein kinase</t>
  </si>
  <si>
    <t>angiogenesis {GO:0001525}; axon guidance {GO:0007411}; cell adhesion {GO:0007155}; cell migration involved in sprouting angiogenesis {GO:0002042}; ephrin receptor signaling pathway {GO:0048013}; heart morphogenesis {GO:0003007}; protein autophosphorylation {GO:0046777}; transmembrane receptor protein tyrosine kinase signaling pathway {GO:0007169}</t>
  </si>
  <si>
    <t>cytosol {GO:0005829}; extracellular exosome {GO:0070062}; extracellular region {GO:0005576}; integral component of plasma membrane {GO:0005887}; neuron projection {GO:0043005}; plasma membrane {GO:0005886}; receptor complex {GO:0043235}</t>
  </si>
  <si>
    <t>ATP binding {GO:0005524}; ephrin receptor activity {GO:0005003}; transmembrane receptor protein tyrosine kinase activity {GO:0004714}; transmembrane-ephrin receptor activity {GO:0005005}</t>
  </si>
  <si>
    <t>Procollagen glycosyltransferase</t>
  </si>
  <si>
    <t>Lysyl hydroxylase 3 (LH3); Galactosylhydroxylysine-glucosyltransferase; Procollagen galactosyltransferase; Procollagen glucosyltransferase</t>
  </si>
  <si>
    <t>PLOD3_HUMAN</t>
  </si>
  <si>
    <t>O60568</t>
  </si>
  <si>
    <t>B2R6W6; Q540C3</t>
  </si>
  <si>
    <t>3D-structure; Dioxygenase; Disease mutation; Disulfide bond; Endoplasmic reticulum; Glycoprotein; Glycosyltransferase; Iron; Manganese; Membrane; Metal-binding; Multifunctional enzyme; Oxidoreductase; Polymorphism; Secreted; Signal; Transferase; Vitamin C</t>
  </si>
  <si>
    <t>Iron; Manganese; Metal-binding; Vitamin C</t>
  </si>
  <si>
    <t>Dioxygenase; Glycosyltransferase; Multifunctional enzyme; Oxidoreductase; Transferase</t>
  </si>
  <si>
    <t>basement membrane assembly {GO:0070831}; cellular response to hormone stimulus {GO:0032870}; collagen fibril organization {GO:0030199}; collagen metabolic process {GO:0032963}; endothelial cell morphogenesis {GO:0001886}; epidermis morphogenesis {GO:0048730}; hydroxylysine biosynthetic process {GO:0046947}; in utero embryonic development {GO:0001701}; lung morphogenesis {GO:0060425}; neural tube development {GO:0021915}; peptidyl-lysine hydroxylation {GO:0017185}; protein localization {GO:0008104}; protein O-linked glycosylation {GO:0006493}; vasodilation {GO:0042311}</t>
  </si>
  <si>
    <t>collagen-containing extracellular matrix {GO:0062023}; endoplasmic reticulum {GO:0005783}; endoplasmic reticulum lumen {GO:0005788}; endoplasmic reticulum membrane {GO:0005789}; extracellular exosome {GO:0070062}; extracellular space {GO:0005615}; Golgi apparatus {GO:0005794}; rough endoplasmic reticulum {GO:0005791}; trans-Golgi network {GO:0005802}</t>
  </si>
  <si>
    <t>iron ion binding {GO:0005506}; L-ascorbic acid binding {GO:0031418}; procollagen galactosyltransferase activity {GO:0050211}; procollagen glucosyltransferase activity {GO:0033823}; procollagen-lysine 5-dioxygenase activity {GO:0008475}</t>
  </si>
  <si>
    <t>40S ribosomal protein S15a</t>
  </si>
  <si>
    <t>Small ribosomal subunit protein uS8</t>
  </si>
  <si>
    <t>RS15A_HUMAN</t>
  </si>
  <si>
    <t>P62244</t>
  </si>
  <si>
    <t>P39027; P39031; Q3MHD9; Q8C023; Q9BV24</t>
  </si>
  <si>
    <t>3D-structure; Ribonucleoprotein; Ribosomal protein</t>
  </si>
  <si>
    <t>nuclear-transcribed mRNA catabolic process, nonsense-mediated decay {GO:0000184}; positive regulation of cell cycle {GO:0045787}; positive regulation of cell population proliferation {GO:0008284}; response to virus {GO:0009615};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</si>
  <si>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extracellular exosome {GO:0070062}; membrane {GO:0016020}; nucleoplasm {GO:0005654}</t>
  </si>
  <si>
    <t>C4b-binding protein alpha chain (C4bp)</t>
  </si>
  <si>
    <t>Proline-rich protein (PRP)</t>
  </si>
  <si>
    <t>C4BPA_HUMAN</t>
  </si>
  <si>
    <t>P04003</t>
  </si>
  <si>
    <t>Q5VVQ8</t>
  </si>
  <si>
    <t>C4BP</t>
  </si>
  <si>
    <t>3D-structure; Complement pathway; Disulfide bond; Glycoprotein; Immunity; Innate immunity; Polymorphism; Repeat; Secreted; Signal; Sushi</t>
  </si>
  <si>
    <t>complement activation, classical pathway {GO:0006958}; innate immune response {GO:0045087}; negative regulation of complement activation, classical pathway {GO:0045959}; positive regulation of protein catabolic process {GO:0045732}; regulation of complement activation {GO:0030449}; regulation of opsonization {GO:1903027}</t>
  </si>
  <si>
    <t>blood microparticle {GO:0072562}; extracellular region {GO:0005576}; extracellular space {GO:0005615}; other organism cell {GO:0044216}; plasma membrane {GO:0005886}</t>
  </si>
  <si>
    <t>Antithrombin-III (ATIII)</t>
  </si>
  <si>
    <t>Serpin C1</t>
  </si>
  <si>
    <t>ANT3_HUMAN</t>
  </si>
  <si>
    <t>P01008</t>
  </si>
  <si>
    <t>B2R6P0; P78439; P78447; Q13815; Q5TC78; Q7KZ43; Q7KZ97; Q9UC78</t>
  </si>
  <si>
    <t>AT3</t>
  </si>
  <si>
    <t>3D-structure; Blood coagulation; Disease mutation; Disulfide bond; Glycoprotein; Hemostasis; Heparin-binding; Phosphoprotein; Polymorphism; Protease inhibitor; Secreted; Serine protease inhibitor; Signal; Thrombophilia</t>
  </si>
  <si>
    <t>acute inflammatory response to antigenic stimulus {GO:0002438}; blood coagulation {GO:0007596}; cellular protein metabolic process {GO:0044267}; lactation {GO:0007595}; negative regulation of endopeptidase activity {GO:0010951}; post-translational protein modification {GO:0043687}; regulation of blood coagulation, intrinsic pathway {GO:2000266}; response to nutrient {GO:0007584}</t>
  </si>
  <si>
    <t>blood microparticle {GO:0072562}; collagen-containing extracellular matrix {GO:0062023}; endoplasmic reticulum lumen {GO:0005788}; extracellular exosome {GO:0070062}; extracellular region {GO:0005576}; extracellular space {GO:0005615}; plasma membrane {GO:0005886}</t>
  </si>
  <si>
    <t>heparin binding {GO:0008201}; identical protein binding {GO:0042802}; protease binding {GO:0002020}; serine-type endopeptidase inhibitor activity {GO:0004867}</t>
  </si>
  <si>
    <t>3'(2'),5'-bisphosphate nucleotidase 1</t>
  </si>
  <si>
    <t>Bisphosphate 3'-nucleotidase 1; PAP-inositol 1,4-phosphatase (PIP)</t>
  </si>
  <si>
    <t>BPNT1_HUMAN</t>
  </si>
  <si>
    <t>O95861</t>
  </si>
  <si>
    <t>A8K7C8; B4DPS5; B4DUS9; D3DTA9; Q8WVL5; Q9UGJ3</t>
  </si>
  <si>
    <t>3D-structure; Acetylation; Alternative splicing; Hydrolase; Lithium; Magnesium; Metal-binding; Phosphoprotein</t>
  </si>
  <si>
    <t>3'-phosphoadenosine 5'-phosphosulfate metabolic process {GO:0050427}; nervous system development {GO:0007399}; nucleobase-containing compound metabolic process {GO:0006139}; phosphatidylinositol phosphorylation {GO:0046854}</t>
  </si>
  <si>
    <t>3'(2'),5'-bisphosphate nucleotidase activity {GO:0008441}; metal ion binding {GO:0046872}</t>
  </si>
  <si>
    <t>Insulin-like growth factor-binding protein complex acid labile subunit (ALS)</t>
  </si>
  <si>
    <t>ALS_HUMAN</t>
  </si>
  <si>
    <t>P35858</t>
  </si>
  <si>
    <t>B4DZY8; E9PGU3</t>
  </si>
  <si>
    <t>ALS</t>
  </si>
  <si>
    <t>Alternative splicing; Cell adhesion; Disease mutation; Glycoprotein; Leucine-rich repeat; Polymorphism; Repeat; Secreted; Signal</t>
  </si>
  <si>
    <t>cell adhesion {GO:0007155}; cellular protein metabolic process {GO:0044267}; signal transduction {GO:0007165}</t>
  </si>
  <si>
    <t>extracellular exosome {GO:0070062}; extracellular matrix {GO:0031012}; extracellular region {GO:0005576}; extracellular space {GO:0005615}; insulin-like growth factor ternary complex {GO:0042567}; nucleoplasm {GO:0005654}</t>
  </si>
  <si>
    <t>Hydroxyacylglutathione hydrolase, mitochondrial</t>
  </si>
  <si>
    <t>Glyoxalase II (Glx II)</t>
  </si>
  <si>
    <t>GLO2_HUMAN</t>
  </si>
  <si>
    <t>Q16775</t>
  </si>
  <si>
    <t>A8K290; B4DP33; B4DRA7; E7EN93</t>
  </si>
  <si>
    <t>GLO2; HAGH1</t>
  </si>
  <si>
    <t>3D-structure; Acetylation; Alternative initiation; Alternative splicing; Cytoplasm; Hydrolase; Metal-binding; Mitochondrion; Transit peptide; Zinc</t>
  </si>
  <si>
    <t>glutathione biosynthetic process {GO:0006750}; methylglyoxal catabolic process to D-lactate via S-lactoyl-glutathione {GO:0019243}; pyruvate metabolic process {GO:0006090}</t>
  </si>
  <si>
    <t>cytoplasm {GO:0005737}; cytosol {GO:0005829}; mitochondrial matrix {GO:0005759}</t>
  </si>
  <si>
    <t>hydroxyacylglutathione hydrolase activity {GO:0004416}; metal ion binding {GO:0046872}</t>
  </si>
  <si>
    <t>Secondary metabolite metabolism; methylglyoxal degradation; (R)-lactate from methylglyoxal: step 2/2.</t>
  </si>
  <si>
    <t>Periplakin</t>
  </si>
  <si>
    <t>190 kDa paraneoplastic pemphigus antigen; 195 kDa cornified envelope precursor protein</t>
  </si>
  <si>
    <t>PEPL_HUMAN</t>
  </si>
  <si>
    <t>O60437</t>
  </si>
  <si>
    <t>O60314; O60454; Q14C98</t>
  </si>
  <si>
    <t>KIAA0568</t>
  </si>
  <si>
    <t>3D-structure; Cell junction; Cell membrane; Coiled coil; Cytoplasm; Cytoskeleton; Keratinization; Membrane; Mitochondrion; Nucleus; Phosphoprotein; Polymorphism; Repeat; SH3 domain</t>
  </si>
  <si>
    <t>Cell junction; Cell membrane; Cytoplasm; Cytoskeleton; Membrane; Mitochondrion; Nucleus</t>
  </si>
  <si>
    <t>cornification {GO:0070268}; intermediate filament cytoskeleton organization {GO:0045104}; response to mechanical stimulus {GO:0009612}; wound healing {GO:0042060}</t>
  </si>
  <si>
    <t>cornified envelope {GO:0001533}; cytoplasm {GO:0005737}; cytoskeleton {GO:0005856}; cytosol {GO:0005829}; desmosome {GO:0030057}; extracellular exosome {GO:0070062}; membrane {GO:0016020}; mitochondrion {GO:0005739}; nucleus {GO:0005634}</t>
  </si>
  <si>
    <t>cadherin binding {GO:0045296}; structural constituent of cytoskeleton {GO:0005200}; structural molecule activity {GO:0005198}</t>
  </si>
  <si>
    <t>Formation of the cornified envelope {R-HSA-6809371}; Butyrophilin (BTN) family interactions {R-HSA-8851680}</t>
  </si>
  <si>
    <t>Vacuolar protein sorting-associated protein 37D</t>
  </si>
  <si>
    <t>ESCRT-I complex subunit VPS37D; Williams-Beuren syndrome chromosomal region 24 protein</t>
  </si>
  <si>
    <t>VP37D_HUMAN</t>
  </si>
  <si>
    <t>Q86XT2</t>
  </si>
  <si>
    <t>Q6P2C3</t>
  </si>
  <si>
    <t>Endosome; Membrane; Protein transport; Transport; Williams-Beuren syndrome</t>
  </si>
  <si>
    <t>endosomal transport {GO:0016197}; endosome transport via multivesicular body sorting pathway {GO:0032509}; intracellular transport of virus {GO:0075733}; macroautophagy {GO:0016236}; multivesicular body assembly {GO:0036258}; protein targeting to membrane {GO:0006612}; protein targeting to vacuole {GO:0006623}; ubiquitin-dependent protein catabolic process via the multivesicular body sorting pathway {GO:0043162}; viral budding via host ESCRT complex {GO:0039702}; viral life cycle {GO:0019058}</t>
  </si>
  <si>
    <t>endosome membrane {GO:0010008}; ESCRT I complex {GO:0000813}; extracellular exosome {GO:0070062}; host cell {GO:0043657}; intracellular membrane-bounded organelle {GO:0043231}; late endosome membrane {GO:0031902}</t>
  </si>
  <si>
    <t>Protein CREG1</t>
  </si>
  <si>
    <t>Cellular repressor of E1A-stimulated genes 1</t>
  </si>
  <si>
    <t>CREG1_HUMAN</t>
  </si>
  <si>
    <t>O75629</t>
  </si>
  <si>
    <t>B2RDD4; Q8N9A3</t>
  </si>
  <si>
    <t>CREG</t>
  </si>
  <si>
    <t>3D-structure; Glycoprotein; Growth regulation; Secreted; Signal</t>
  </si>
  <si>
    <t>multicellular organism development {GO:0007275}; neutrophil degranulation {GO:0043312}; regulation of growth {GO:0040008}; regulation of transcription by RNA polymerase II {GO:0006357}</t>
  </si>
  <si>
    <t>azurophil granule lumen {GO:0035578}; extracellular exosome {GO:0070062}; extracellular region {GO:0005576}; extracellular space {GO:0005615}; transcription factor complex {GO:0005667}</t>
  </si>
  <si>
    <t>cofactor binding {GO:0048037}; transcription corepressor activity {GO:0003714}; transcription factor binding {GO:0008134}</t>
  </si>
  <si>
    <t>CD5 antigen-like</t>
  </si>
  <si>
    <t>Apoptosis inhibitor expressed by macrophages (hAIM); CT-2; IgM-associated peptide; SP-alpha</t>
  </si>
  <si>
    <t>CD5L_HUMAN</t>
  </si>
  <si>
    <t>O43866</t>
  </si>
  <si>
    <t>A8K7M5; Q6UX63</t>
  </si>
  <si>
    <t>API6</t>
  </si>
  <si>
    <t>Apoptosis; Cytoplasm; Disulfide bond; Glycoprotein; Immunity; Inflammatory response; Polymorphism; Repeat; Secreted; Signal</t>
  </si>
  <si>
    <t>Apoptosis; Immunity; Inflammatory response</t>
  </si>
  <si>
    <t>apoptotic process {GO:0006915}; cellular defense response {GO:0006968}; immune system process {GO:0002376}; inflammatory response {GO:0006954}; positive regulation of complement-dependent cytotoxicity {GO:1903661}; regulation of complement activation {GO:0030449}</t>
  </si>
  <si>
    <t>blood microparticle {GO:0072562}; cell surface {GO:0009986}; cytoplasm {GO:0005737}; extracellular region {GO:0005576}; extracellular space {GO:0005615}; plasma membrane {GO:0005886}</t>
  </si>
  <si>
    <t>Olfactomedin-like protein 3</t>
  </si>
  <si>
    <t>HNOEL-iso; hOLF44</t>
  </si>
  <si>
    <t>OLFL3_HUMAN</t>
  </si>
  <si>
    <t>Q9NRN5</t>
  </si>
  <si>
    <t>Q53FR1; Q53HV9; Q5SQL6; Q69AX9; Q8NBJ2</t>
  </si>
  <si>
    <t>Alternative splicing; Coiled coil; Developmental protein; Disulfide bond; Glycoprotein; Secreted; Signal</t>
  </si>
  <si>
    <t>extracellular vesicle {GO:1903561}</t>
  </si>
  <si>
    <t>4-trimethylaminobutyraldehyde dehydrogenase, N-terminally processed</t>
  </si>
  <si>
    <t>Aldehyde dehydrogenase E3 isozyme; Aldehyde dehydrogenase family 9 member A1; Gamma-aminobutyraldehyde dehydrogenase; R-aminobutyraldehyde dehydrogenase</t>
  </si>
  <si>
    <t>AL9A1_HUMAN</t>
  </si>
  <si>
    <t>P49189</t>
  </si>
  <si>
    <t>B2R6X1; B4DXY7; B9EKV4; Q5VV90; Q6LCL1; Q9NZT7</t>
  </si>
  <si>
    <t>ALDH4; ALDH7; ALDH9</t>
  </si>
  <si>
    <t>3D-structure; Acetylation; Alternative initiation; Alternative splicing; Cytoplasm; NAD; Oxidoreductase; Polymorphism</t>
  </si>
  <si>
    <t>carnitine biosynthetic process {GO:0045329}; cellular aldehyde metabolic process {GO:0006081}; hormone metabolic process {GO:0042445}; neurotransmitter biosynthetic process {GO:0042136}; oxidation-reduction process {GO:0055114}</t>
  </si>
  <si>
    <t>1-pyrroline dehydrogenase activity {GO:0033737}; 4-trimethylammoniobutyraldehyde dehydrogenase activity {GO:0047105}; aldehyde dehydrogenase (NAD) activity {GO:0004029}; aminobutyraldehyde dehydrogenase activity {GO:0019145}; glyceraldehyde-3-phosphate dehydrogenase (NAD+) (non-phosphorylating) activity {GO:0043878}</t>
  </si>
  <si>
    <t>Amine and polyamine biosynthesis; carnitine biosynthesis.</t>
  </si>
  <si>
    <t>Carnitine synthesis {R-HSA-71262}</t>
  </si>
  <si>
    <t>Tumor necrosis factor receptor superfamily member 17</t>
  </si>
  <si>
    <t>B-cell maturation protein; CD_antigen=CD269</t>
  </si>
  <si>
    <t>TNR17_HUMAN</t>
  </si>
  <si>
    <t>Q02223</t>
  </si>
  <si>
    <t>Q2TQ40</t>
  </si>
  <si>
    <t>BCM; BCMA</t>
  </si>
  <si>
    <t>3D-structure; Adaptive immunity; Alternative splicing; Cell membrane; Chromosomal rearrangement; Disulfide bond; Immunity; Membrane; Polymorphism; Proto-oncogene; Receptor; Signal-anchor; Transmembrane; Transmembrane helix</t>
  </si>
  <si>
    <t>adaptive immune response {GO:0002250}; lymphocyte homeostasis {GO:0002260}; multicellular organism development {GO:0007275}; signal transduction {GO:0007165}; tumor necrosis factor-mediated signaling pathway {GO:0033209}</t>
  </si>
  <si>
    <t>endomembrane system {GO:0012505}; integral component of membrane {GO:0016021}; plasma membrane {GO:0005886}</t>
  </si>
  <si>
    <t>SLAM family member 5</t>
  </si>
  <si>
    <t>Cell surface antigen MAX.3; Hly9-beta; Leukocyte differentiation antigen CD84; Signaling lymphocytic activation molecule 5; CD_antigen=CD84</t>
  </si>
  <si>
    <t>SLAF5_HUMAN</t>
  </si>
  <si>
    <t>Q9UIB8</t>
  </si>
  <si>
    <t>B2R8T1; B7Z3R8; O15430; O95266; O95660; Q5H9R1; Q6FHA8; Q8WLP1; Q8WWI8; Q9UF04; Q9UIB6; Q9UIB7; Q9UIT7</t>
  </si>
  <si>
    <t>SLAMF5</t>
  </si>
  <si>
    <t>3D-structure; Adaptive immunity; Alternative splicing; Autophagy; Cell adhesion; Cell membrane; Disulfide bond; Glycoprotein; Immunity; Immunoglobulin domain; Innate immunity; Membrane; Phosphoprotein; Receptor; Repeat; Signal; Transmembrane; Transmembrane helix</t>
  </si>
  <si>
    <t>Adaptive immunity; Autophagy; Cell adhesion; Immunity; Innate immunity</t>
  </si>
  <si>
    <t>adaptive immune response {GO:0002250}; autophagy {GO:0006914}; defense response {GO:0006952}; homophilic cell adhesion via plasma membrane adhesion molecules {GO:0007156}; innate immune response {GO:0045087}; leukocyte migration {GO:0050900}; negative regulation of granulocyte macrophage colony-stimulating factor production {GO:0032685}; negative regulation of interleukin-18 production {GO:0032701}; negative regulation of mast cell activation {GO:0033004}; negative regulation of mast cell degranulation {GO:0043305}; regulation of store-operated calcium entry {GO:2001256}</t>
  </si>
  <si>
    <t>Beta-glucuronidase</t>
  </si>
  <si>
    <t>Beta-G1</t>
  </si>
  <si>
    <t>BGLR_HUMAN</t>
  </si>
  <si>
    <t>P08236</t>
  </si>
  <si>
    <t>B4E1F6; E9PCV0; Q549U0; Q96CL9</t>
  </si>
  <si>
    <t>3D-structure; Alternative splicing; Disease mutation; Glycoprotein; Glycosidase; Hydrolase; Lysosome; Mucopolysaccharidosis; Polymorphism; Signal</t>
  </si>
  <si>
    <t>carbohydrate metabolic process {GO:0005975}; glucuronoside catabolic process {GO:0019391}; glycosaminoglycan catabolic process {GO:0006027}; hyaluronan catabolic process {GO:0030214}; neutrophil degranulation {GO:0043312}</t>
  </si>
  <si>
    <t>azurophil granule lumen {GO:0035578}; extracellular exosome {GO:0070062}; extracellular region {GO:0005576}; extracellular space {GO:0005615}; ficolin-1-rich granule lumen {GO:1904813}; intracellular membrane-bounded organelle {GO:0043231}; lysosomal lumen {GO:0043202}; membrane {GO:0016020}</t>
  </si>
  <si>
    <t>beta-glucuronidase activity {GO:0004566}; carbohydrate binding {GO:0030246}; protein domain specific binding {GO:0019904}; signaling receptor binding {GO:0005102}</t>
  </si>
  <si>
    <t>HS-GAG degradation {R-HSA-2024096}; Hyaluronan uptake and degradation {R-HSA-2160916}; MPS VII - Sly syndrome {R-HSA-2206292}; Neutrophil degranulation {R-HSA-6798695}</t>
  </si>
  <si>
    <t>Neudesin</t>
  </si>
  <si>
    <t>Cell immortalization-related protein 2; Neuron-derived neurotrophic factor; Protein GIG47; Secreted protein of unknown function (SPUF protein)</t>
  </si>
  <si>
    <t>NENF_HUMAN</t>
  </si>
  <si>
    <t>Q9UMX5</t>
  </si>
  <si>
    <t>A1KYQ8; Q53FZ6; Q5TM90</t>
  </si>
  <si>
    <t>Acetylation; Heme; Iron; Metal-binding; Secreted; Signal</t>
  </si>
  <si>
    <t>negative regulation of appetite {GO:0032099}; positive regulation of MAPK cascade {GO:0043410}</t>
  </si>
  <si>
    <t>extracellular space {GO:0005615}; nucleoplasm {GO:0005654}; nucleus {GO:0005634}</t>
  </si>
  <si>
    <t>growth factor activity {GO:0008083}; metal ion binding {GO:0046872}</t>
  </si>
  <si>
    <t>40S ribosomal protein S20</t>
  </si>
  <si>
    <t>Small ribosomal subunit protein uS10</t>
  </si>
  <si>
    <t>RS20_HUMAN</t>
  </si>
  <si>
    <t>P60866</t>
  </si>
  <si>
    <t>B2R4F4; B4DW28; P17075; Q5M8S9</t>
  </si>
  <si>
    <t>3D-structure; Acetylation; Alternative splicing; Cytoplasm; Isopeptide bond; Phosphoprotein; Ribonucleoprotein; Ribosomal protein; Ubl conjugation</t>
  </si>
  <si>
    <t>cytosol {GO:0005829}; cytosolic small ribosomal subunit {GO:0022627}; extracellular exosome {GO:0070062}; membrane {GO:0016020}; nucleoplasm {GO:0005654}</t>
  </si>
  <si>
    <t>Hepatoma-derived growth factor (HDGF)</t>
  </si>
  <si>
    <t>High mobility group protein 1-like 2 (HMG-1L2)</t>
  </si>
  <si>
    <t>HDGF_HUMAN</t>
  </si>
  <si>
    <t>P51858</t>
  </si>
  <si>
    <t>B3KU21; D3DVC9; Q5SZ07; Q5SZ08; Q5SZ09</t>
  </si>
  <si>
    <t>HMG1L2</t>
  </si>
  <si>
    <t>3D-structure; Acetylation; Alternative splicing; Cytoplasm; DNA-binding; Growth factor; Heparin-binding; Isopeptide bond; Nucleotide-binding; Nucleus; Phosphoprotein; Polymorphism; Repressor; Transcription; Transcription regulation; Ubl conjugation</t>
  </si>
  <si>
    <t>DNA-binding; Growth factor; Heparin-binding; Repressor</t>
  </si>
  <si>
    <t>cellular response to interleukin-7 {GO:0098761}; IRE1-mediated unfolded protein response {GO:0036498}; negative regulation of transcription by RNA polymerase II {GO:0000122}; signal transduction {GO:0007165}</t>
  </si>
  <si>
    <t>collagen-containing extracellular matrix {GO:0062023}; cytoplasm {GO:0005737}; extracellular region {GO:0005576}; extracellular space {GO:0005615}; nucleoplasm {GO:0005654}; transcriptional repressor complex {GO:0017053}</t>
  </si>
  <si>
    <t>DNA binding {GO:0003677}; growth factor activity {GO:0008083}; heparin binding {GO:0008201}; nucleotide binding {GO:0000166}; RNA binding {GO:0003723}; transcription corepressor activity {GO:0003714}; transcription corepressor binding {GO:0001222}</t>
  </si>
  <si>
    <t>BolA-like protein 2</t>
  </si>
  <si>
    <t>BOLA2_HUMAN</t>
  </si>
  <si>
    <t>Q9H3K6</t>
  </si>
  <si>
    <t>A1L454; A7YDY3</t>
  </si>
  <si>
    <t>BOLA2A</t>
  </si>
  <si>
    <t>Acetylation; Alternative splicing; Cytoplasm; Nucleus</t>
  </si>
  <si>
    <t>[2Fe-2S] cluster assembly {GO:0044571}; interleukin-12-mediated signaling pathway {GO:0035722}; protein maturation by iron-sulfur cluster transfer {GO:0097428}</t>
  </si>
  <si>
    <t>Coronin-1A</t>
  </si>
  <si>
    <t>Coronin-like protein A (Clipin-A); Coronin-like protein p57; Tryptophan aspartate-containing coat protein (TACO)</t>
  </si>
  <si>
    <t>COR1A_HUMAN</t>
  </si>
  <si>
    <t>P31146</t>
  </si>
  <si>
    <t>B2RBL1; Q2YD73</t>
  </si>
  <si>
    <t>CORO1</t>
  </si>
  <si>
    <t>Acetylation; Actin-binding; Coiled coil; Cytoplasm; Cytoplasmic vesicle; Cytoskeleton; Disease mutation; Membrane; Phosphoprotein; Polymorphism; Repeat; Ubl conjugation; WD repeat</t>
  </si>
  <si>
    <t>Cytoplasm; Cytoplasmic vesicle; Cytoskeleton; Membrane</t>
  </si>
  <si>
    <t>actin cytoskeleton organization {GO:0030036}; actin filament organization {GO:0007015}; calcium ion transport {GO:0006816}; cell migration {GO:0016477}; cell-substrate adhesion {GO:0031589}; cellular response to interleukin-4 {GO:0071353}; early endosome to recycling endosome transport {GO:0061502}; homeostasis of number of cells within a tissue {GO:0048873}; innate immune response {GO:0045087}; leukocyte chemotaxis {GO:0030595}; natural killer cell degranulation {GO:0043320}; negative regulation of actin nucleation {GO:0051126}; negative regulation of neuron apoptotic process {GO:0043524}; negative regulation of vesicle fusion {GO:0031339}; nerve growth factor signaling pathway {GO:0038180}; phagocytosis {GO:0006909}; phagolysosome assembly {GO:0001845}; positive chemotaxis {GO:0050918}; positive regulation of cell migration {GO:0030335}; positive regulation of T cell proliferation {GO:0042102}; regulation of actin cytoskeleton organization {GO:0032956}; regulation of cell shape {GO:0008360}; regulation of release of sequestered calcium ion into cytosol {GO:0051279}; T cell homeostasis {GO:0043029}; uropod organization {GO:0032796}</t>
  </si>
  <si>
    <t>actin filament {GO:0005884}; axon {GO:0030424}; cell-cell junction {GO:0005911}; cortical actin cytoskeleton {GO:0030864}; cytoplasm {GO:0005737}; cytosol {GO:0005829}; early endosome {GO:0005769}; extracellular exosome {GO:0070062}; glutamatergic synapse {GO:0098978}; immunological synapse {GO:0001772}; lamellipodium {GO:0030027}; membrane {GO:0016020}; phagocytic cup {GO:0001891}; phagocytic vesicle {GO:0045335}; phagocytic vesicle membrane {GO:0030670}; plasma membrane {GO:0005886}; protein-containing complex {GO:0032991}</t>
  </si>
  <si>
    <t>actin binding {GO:0003779}; actin filament binding {GO:0051015}; actin monomer binding {GO:0003785}; cytoskeletal protein binding {GO:0008092}; myosin heavy chain binding {GO:0032036}; phosphatidylinositol 3-kinase binding {GO:0043548}; protein C-terminus binding {GO:0008022}; protein homodimerization activity {GO:0042803}; RNA binding {GO:0003723}</t>
  </si>
  <si>
    <t>Phosphoserine phosphatase (PSP; PSPase)</t>
  </si>
  <si>
    <t>L-3-phosphoserine phosphatase; O-phosphoserine phosphohydrolase</t>
  </si>
  <si>
    <t>SERB_HUMAN</t>
  </si>
  <si>
    <t>P78330</t>
  </si>
  <si>
    <t>B2RCR5; Q7Z3S5</t>
  </si>
  <si>
    <t>3D-structure; Acetylation; Amino-acid biosynthesis; Disease mutation; Hydrolase; Magnesium; Metal-binding; Serine biosynthesis</t>
  </si>
  <si>
    <t>dephosphorylation {GO:0016311}; L-serine biosynthetic process {GO:0006564}; L-serine metabolic process {GO:0006563}; response to mechanical stimulus {GO:0009612}; response to nutrient levels {GO:0031667}; response to testosterone {GO:0033574}</t>
  </si>
  <si>
    <t>cytoplasm {GO:0005737}; cytosol {GO:0005829}; neuron projection {GO:0043005}</t>
  </si>
  <si>
    <t>calcium ion binding {GO:0005509}; magnesium ion binding {GO:0000287}; phosphatase activity {GO:0016791}; phosphoserine phosphatase activity {GO:0004647}; protein homodimerization activity {GO:0042803}</t>
  </si>
  <si>
    <t>Amino-acid biosynthesis; L-serine biosynthesis; L-serine from 3-phospho-D-glycerate: step 3/3.</t>
  </si>
  <si>
    <t>Alpha-enolase</t>
  </si>
  <si>
    <t>2-phospho-D-glycerate hydro-lyase; C-myc promoter-binding protein; Enolase 1; MBP-1; MPB-1; Non-neural enolase (NNE); Phosphopyruvate hydratase; Plasminogen-binding protein</t>
  </si>
  <si>
    <t>ENOA_HUMAN</t>
  </si>
  <si>
    <t>P06733</t>
  </si>
  <si>
    <t>B2RD59; P22712; Q16704; Q4TUS4; Q53FT9; Q53HR3; Q658M5; Q6GMP2; Q71V37; Q7Z3V6; Q8WU71; Q96GV1; Q9BT62; Q9UCH6; Q9UM55</t>
  </si>
  <si>
    <t>ENO1L1; MBPB1; MPB1</t>
  </si>
  <si>
    <t>3D-structure; Acetylation; Alternative initiation; Cell membrane; Cytoplasm; DNA-binding; Glycolysis; Isopeptide bond; Lyase; Magnesium; Membrane; Metal-binding; Nucleus; Phosphoprotein; Plasminogen activation; Polymorphism; Repressor; Transcription; Transcription regulation; Ubl conjugation</t>
  </si>
  <si>
    <t>Glycolysis; Plasminogen activation; Transcription; Transcription regulation</t>
  </si>
  <si>
    <t>DNA-binding; Lyase; Repressor</t>
  </si>
  <si>
    <t>canonical glycolysis {GO:0061621}; gluconeogenesis {GO:0006094}; negative regulation of cell growth {GO:0030308}; negative regulation of hypoxia-induced intrinsic apoptotic signaling pathway {GO:1903298}; negative regulation of transcription by RNA polymerase II {GO:0000122}; negative regulation of transcription, DNA-templated {GO:0045892}; positive regulation of ATP biosynthetic process {GO:2001171}; positive regulation of muscle contraction {GO:0045933}; positive regulation of plasminogen activation {GO:0010756}; response to virus {GO:0009615}</t>
  </si>
  <si>
    <t>cell cortex region {GO:0099738}; cell surface {GO:0009986}; cytoplasm {GO:0005737}; cytosol {GO:0005829}; extracellular exosome {GO:0070062}; extracellular space {GO:0005615}; M band {GO:0031430}; membrane {GO:0016020}; nucleus {GO:0005634}; phosphopyruvate hydratase complex {GO:0000015}; plasma membrane {GO:0005886}</t>
  </si>
  <si>
    <t>cadherin binding {GO:0045296}; DNA-binding transcription repressor activity, RNA polymerase II-specific {GO:0001227}; GTPase binding {GO:0051020}; magnesium ion binding {GO:0000287}; phosphopyruvate hydratase activity {GO:0004634}; protein homodimerization activity {GO:0042803}; RNA binding {GO:0003723}; RNA polymerase II regulatory region sequence-specific DNA binding {GO:0000977}</t>
  </si>
  <si>
    <t>Carbohydrate degradation; glycolysis; pyruvate from D- glyceraldehyde 3-phosphate: step 4/5.</t>
  </si>
  <si>
    <t>Inactive C-alpha-formylglycine-generating enzyme 2</t>
  </si>
  <si>
    <t>Paralog of formylglycine-generating enzyme (pFGE); Sulfatase-modifying factor 2</t>
  </si>
  <si>
    <t>SUMF2_HUMAN</t>
  </si>
  <si>
    <t>Q8NBJ7</t>
  </si>
  <si>
    <t>B4DU41; B4DWQ0; Q14DW5; Q53ZE3; Q96BH2; Q9BRN3; Q9BWI1; Q9Y405</t>
  </si>
  <si>
    <t>3D-structure; Alternative splicing; Calcium; Disulfide bond; Endoplasmic reticulum; Glycoprotein; Metal-binding; Polymorphism; Signal</t>
  </si>
  <si>
    <t>glycosphingolipid metabolic process {GO:0006687}; post-translational protein modification {GO:0043687}</t>
  </si>
  <si>
    <t>Myosin-11</t>
  </si>
  <si>
    <t>Myosin heavy chain 11; Myosin heavy chain, smooth muscle isoform; SMMHC</t>
  </si>
  <si>
    <t>MYH11_HUMAN</t>
  </si>
  <si>
    <t>P35749</t>
  </si>
  <si>
    <t>D2JYH7; O00396; O94944; P78422; Q3MIV8; Q3MNF0; Q3MNF1</t>
  </si>
  <si>
    <t>KIAA0866</t>
  </si>
  <si>
    <t>Actin-binding; Alternative splicing; Aortic aneurysm; ATP-binding; Calmodulin-binding; Chromosomal rearrangement; Coiled coil; Disease mutation; Methylation; Motor protein; Muscle protein; Myosin; Nucleotide-binding; Phosphoprotein; Polymorphism; Proto-oncogene; Thick filament</t>
  </si>
  <si>
    <t>Aortic aneurysm; Disease mutation; Proto-oncogene</t>
  </si>
  <si>
    <t>cardiac muscle fiber development {GO:0048739}; elastic fiber assembly {GO:0048251}; muscle contraction {GO:0006936}; skeletal muscle myosin thick filament assembly {GO:0030241}; smooth muscle contraction {GO:0006939}</t>
  </si>
  <si>
    <t>cytosol {GO:0005829}; extracellular exosome {GO:0070062}; melanosome {GO:0042470}; muscle myosin complex {GO:0005859}; myosin filament {GO:0032982}</t>
  </si>
  <si>
    <t>actin filament binding {GO:0051015}; ATP binding {GO:0005524}; calmodulin binding {GO:0005516}; motor activity {GO:0003774}; structural constituent of muscle {GO:0008307}</t>
  </si>
  <si>
    <t>Specifically androgen-regulated gene protein</t>
  </si>
  <si>
    <t>SARG_HUMAN</t>
  </si>
  <si>
    <t>Q9BW04</t>
  </si>
  <si>
    <t>C9JV41; Q658X3</t>
  </si>
  <si>
    <t>C1orf116</t>
  </si>
  <si>
    <t>Alternative splicing; Cytoplasm; Phosphoprotein; Polymorphism; Receptor</t>
  </si>
  <si>
    <t>cytoplasm {GO:0005737}; cytosol {GO:0005829}; extracellular exosome {GO:0070062}; plasma membrane {GO:0005886}</t>
  </si>
  <si>
    <t>Uromodulin, secreted form</t>
  </si>
  <si>
    <t>Tamm-Horsfall urinary glycoprotein (THP)</t>
  </si>
  <si>
    <t>UROM_HUMAN</t>
  </si>
  <si>
    <t>P07911</t>
  </si>
  <si>
    <t>B3KP48; B3KRN9; E9PEA4; Q540J6; Q6ZS84; Q8IYG0</t>
  </si>
  <si>
    <t>3D-structure; Alternative splicing; Cell membrane; Cell projection; Ciliopathy; Cilium; Disease mutation; Disulfide bond; EGF-like domain; Glycoprotein; GPI-anchor; Lipoprotein; Membrane; Nephronophthisis; Polymorphism; Repeat; Secreted; Signal</t>
  </si>
  <si>
    <t>Cell membrane; Cell projection; Cilium; Membrane; Secreted</t>
  </si>
  <si>
    <t>Ciliopathy; Disease mutation; Nephronophthisis</t>
  </si>
  <si>
    <t>cellular defense response {GO:0006968}; excretion {GO:0007588}; heterophilic cell-cell adhesion via plasma membrane cell adhesion molecules {GO:0007157}; ion homeostasis {GO:0050801}; leukocyte cell-cell adhesion {GO:0007159}; metanephric ascending thin limb development {GO:0072218}; metanephric distal convoluted tubule development {GO:0072221}; metanephric thick ascending limb development {GO:0072233}; negative regulation of cell population proliferation {GO:0008285}; neutrophil migration {GO:1990266}</t>
  </si>
  <si>
    <t>anchored component of membrane {GO:0031225}; apical plasma membrane {GO:0016324}; basolateral plasma membrane {GO:0016323}; ciliary membrane {GO:0060170}; cilium {GO:0005929}; extracellular exosome {GO:0070062}; extrinsic component of membrane {GO:0019898}; Golgi lumen {GO:0005796}; spindle pole {GO:0000922}</t>
  </si>
  <si>
    <t>calcium ion binding {GO:0005509}; IgG binding {GO:0019864}</t>
  </si>
  <si>
    <t>Guanine nucleotide-binding protein G(I)/G(S)/G(T) subunit beta-2</t>
  </si>
  <si>
    <t>G protein subunit beta-2; Transducin beta chain 2</t>
  </si>
  <si>
    <t>GBB2_HUMAN</t>
  </si>
  <si>
    <t>P62879</t>
  </si>
  <si>
    <t>B3KPU1; P11016; P54312</t>
  </si>
  <si>
    <t>Acetylation; Alternative splicing; Cytoplasm; Phosphoprotein; Repeat; Transducer; WD repeat</t>
  </si>
  <si>
    <t>G protein-coupled receptor signaling pathway {GO:0007186}; protein folding {GO:0006457}</t>
  </si>
  <si>
    <t>cell body {GO:0044297}; cytosol {GO:0005829}; extracellular exosome {GO:0070062}; extracellular space {GO:0005615}; focal adhesion {GO:0005925}; lysosomal membrane {GO:0005765}; membrane {GO:0016020}; perinuclear region of cytoplasm {GO:0048471}; plasma membrane {GO:0005886}; protein-containing complex {GO:0032991}; vesicle {GO:0031982}</t>
  </si>
  <si>
    <t>calcium channel regulator activity {GO:0005246}; GTPase activity {GO:0003924}; GTPase binding {GO:0051020}; protein-containing complex binding {GO:0044877}</t>
  </si>
  <si>
    <t>Deoxyribonuclease-1</t>
  </si>
  <si>
    <t>Deoxyribonuclease I (DNase I); INN=Dornase alfa</t>
  </si>
  <si>
    <t>DNAS1_HUMAN</t>
  </si>
  <si>
    <t>P24855</t>
  </si>
  <si>
    <t>B4DV35; Q14UU9; Q14UV0</t>
  </si>
  <si>
    <t>3D-structure; Actin-binding; Alternative splicing; Apoptosis; Calcium; Disulfide bond; Endonuclease; Glycoprotein; Hydrolase; Nuclease; Nucleus; Pharmaceutical; Polymorphism; Secreted; Signal; Systemic lupus erythematosus</t>
  </si>
  <si>
    <t>Actin-binding; Endonuclease; Hydrolase; Nuclease</t>
  </si>
  <si>
    <t>apoptotic process {GO:0006915}; DNA catabolic process {GO:0006308}; DNA catabolic process, endonucleolytic {GO:0000737}; neutrophil activation involved in immune response {GO:0002283}; regulation of acute inflammatory response {GO:0002673}; regulation of neutrophil mediated cytotoxicity {GO:0070948}</t>
  </si>
  <si>
    <t>extracellular exosome {GO:0070062}; extracellular region {GO:0005576}; nuclear envelope {GO:0005635}; nucleus {GO:0005634}</t>
  </si>
  <si>
    <t>actin binding {GO:0003779}; deoxyribonuclease activity {GO:0004536}; deoxyribonuclease I activity {GO:0004530}; DNA binding {GO:0003677}</t>
  </si>
  <si>
    <t>Protein S100-A4</t>
  </si>
  <si>
    <t>Calvasculin; Metastasin; Placental calcium-binding protein; Protein Mts1; S100 calcium-binding protein A4</t>
  </si>
  <si>
    <t>S10A4_HUMAN</t>
  </si>
  <si>
    <t>P26447</t>
  </si>
  <si>
    <t>A8K7R8; D3DV46; Q6ICP8</t>
  </si>
  <si>
    <t>CAPL; MTS1</t>
  </si>
  <si>
    <t>3D-structure; Acetylation; Calcium; Metal-binding; Repeat</t>
  </si>
  <si>
    <t>epithelial to mesenchymal transition {GO:0001837}; positive regulation of I-kappaB kinase/NF-kappaB signaling {GO:0043123}</t>
  </si>
  <si>
    <t>collagen-containing extracellular matrix {GO:0062023}; extracellular exosome {GO:0070062}; extracellular region {GO:0005576}; extracellular space {GO:0005615}; neuron projection {GO:0043005}; nucleus {GO:0005634}; perinuclear region of cytoplasm {GO:0048471}</t>
  </si>
  <si>
    <t>actin binding {GO:0003779}; calcium ion binding {GO:0005509}; calcium-dependent protein binding {GO:0048306}; identical protein binding {GO:0042802}; RAGE receptor binding {GO:0050786}; RNA binding {GO:0003723}; transition metal ion binding {GO:0046914}</t>
  </si>
  <si>
    <t>Serine/threonine-protein phosphatase CPPED1</t>
  </si>
  <si>
    <t>Calcineurin-like phosphoesterase domain-containing protein 1; Complete S-transactivated protein 1</t>
  </si>
  <si>
    <t>CPPED_HUMAN</t>
  </si>
  <si>
    <t>Q9BRF8</t>
  </si>
  <si>
    <t>B4DQ68; Q6MZY9; Q9H9M9; Q9NUT6</t>
  </si>
  <si>
    <t>CSTP1</t>
  </si>
  <si>
    <t>Alternative splicing; Cytoplasm; Hydrolase; Metal-binding; Phosphoprotein; Polymorphism</t>
  </si>
  <si>
    <t>azurophil granule lumen {GO:0035578}; cytosol {GO:0005829}; extracellular region {GO:0005576}; plasma membrane {GO:0005886}</t>
  </si>
  <si>
    <t>metal ion binding {GO:0046872}; phosphoprotein phosphatase activity {GO:0004721}</t>
  </si>
  <si>
    <t>CD43 cytoplasmic tail</t>
  </si>
  <si>
    <t>GPL115; Galactoglycoprotein (GALGP); Leukocyte sialoglycoprotein; Sialophorin; CD_antigen=CD43 (CD43-ct; CD43ct)</t>
  </si>
  <si>
    <t>LEUK_HUMAN</t>
  </si>
  <si>
    <t>P16150</t>
  </si>
  <si>
    <t>A8K9B1</t>
  </si>
  <si>
    <t>CD43</t>
  </si>
  <si>
    <t>Cell projection; Glycoprotein; Membrane; Nucleus; Phosphoprotein; Polymorphism; Signal; Transmembrane; Transmembrane helix; Ubl conjugation</t>
  </si>
  <si>
    <t>Cell projection; Membrane; Nucleus</t>
  </si>
  <si>
    <t>cellular defense response {GO:0006968}; chemotaxis {GO:0006935}; defense response to bacterium {GO:0042742}; establishment or maintenance of cell polarity {GO:0007163}; immune response {GO:0006955}; interferon-gamma production {GO:0032609}; leukocyte migration {GO:0050900}; leukocyte tethering or rolling {GO:0050901}; negative regulation of cell adhesion {GO:0007162}; negative regulation of T cell proliferation {GO:0042130}; positive regulation of T cell migration {GO:2000406}; positive regulation of tumor necrosis factor biosynthetic process {GO:0042535}; regulation of T cell migration {GO:2000404}; signal transduction {GO:0007165}; T-helper 1 cell lineage commitment {GO:0002296}</t>
  </si>
  <si>
    <t>cell surface {GO:0009986}; extracellular exosome {GO:0070062}; extracellular space {GO:0005615}; integral component of plasma membrane {GO:0005887}; membrane {GO:0016020}; microvillus {GO:0005902}; plasma membrane {GO:0005886}; PML body {GO:0016605}; uropod {GO:0001931}</t>
  </si>
  <si>
    <t>heat shock protein binding {GO:0031072}; Hsp70 protein binding {GO:0030544}; transmembrane signaling receptor activity {GO:0004888}</t>
  </si>
  <si>
    <t>Cell surface interactions at the vascular wall {R-HSA-202733}; Basigin interactions {R-HSA-210991}</t>
  </si>
  <si>
    <t>Epiplakin</t>
  </si>
  <si>
    <t>450 kDa epidermal antigen</t>
  </si>
  <si>
    <t>EPIPL_HUMAN</t>
  </si>
  <si>
    <t>P58107</t>
  </si>
  <si>
    <t>A0A087X1U6; Q76E58; Q9NSU9</t>
  </si>
  <si>
    <t>Cell junction; Cell membrane; Cell projection; Coiled coil; Cytoplasm; Cytoskeleton; Disease mutation; Membrane; Phosphoprotein; Repeat; Tight junction</t>
  </si>
  <si>
    <t>Cell junction; Cell membrane; Cell projection; Cytoplasm; Cytoskeleton; Membrane; Tight junction</t>
  </si>
  <si>
    <t>intermediate filament bundle assembly {GO:0045110}; intermediate filament cytoskeleton organization {GO:0045104}; intermediate filament organization {GO:0045109}; negative regulation of cell migration {GO:0030336}; negative regulation of epithelial cell proliferation {GO:0050680}; negative regulation of keratinocyte migration {GO:0051548}; negative regulation of keratinocyte proliferation {GO:0010839}; negative regulation of wound healing {GO:0061045}; regulation of epithelium regeneration {GO:1905041}; wound healing {GO:0042060}</t>
  </si>
  <si>
    <t>apicolateral plasma membrane {GO:0016327}; basolateral plasma membrane {GO:0016323}; bicellular tight junction {GO:0005923}; cell periphery {GO:0071944}; cell projection {GO:0042995}; cytoplasm {GO:0005737}; cytoskeleton {GO:0005856}; hemidesmosome {GO:0030056}; keratin filament {GO:0045095}; membrane {GO:0016020}; perinucleolar compartment {GO:0097356}</t>
  </si>
  <si>
    <t>cytoskeletal protein binding {GO:0008092}; intermediate filament binding {GO:0019215}; keratin filament binding {GO:1990254}; RNA binding {GO:0003723}; structural molecule activity {GO:0005198}</t>
  </si>
  <si>
    <t>Bis(5'-nucleosyl)-tetraphosphatase [asymmetrical]</t>
  </si>
  <si>
    <t>Diadenosine 5',5'''-P1,P4-tetraphosphate asymmetrical hydrolase (Ap4A hydrolase; Ap4Aase; Diadenosine tetraphosphatase); Nucleoside diphosphate-linked moiety X motif 2 (Nudix motif 2)</t>
  </si>
  <si>
    <t>AP4A_HUMAN</t>
  </si>
  <si>
    <t>P50583</t>
  </si>
  <si>
    <t>D3DRM0; Q5T589</t>
  </si>
  <si>
    <t>APAH1</t>
  </si>
  <si>
    <t>3D-structure; Acetylation; GTP-binding; Hydrolase; Nucleotide-binding</t>
  </si>
  <si>
    <t>apoptotic process {GO:0006915}; cellular response to oxidative stress {GO:0034599}; nucleobase-containing compound metabolic process {GO:0006139}</t>
  </si>
  <si>
    <t>bis(5'-nucleosyl)-tetraphosphatase (asymmetrical) activity {GO:0004081}; bis(5'-nucleosyl)-tetraphosphatase (symmetrical) activity {GO:0008803}; GTP binding {GO:0005525}</t>
  </si>
  <si>
    <t>Angiopoietin-related protein 2</t>
  </si>
  <si>
    <t>Angiopoietin-like protein 2</t>
  </si>
  <si>
    <t>ANGL2_HUMAN</t>
  </si>
  <si>
    <t>Q9UKU9</t>
  </si>
  <si>
    <t>Q5JT58; Q8NCH7</t>
  </si>
  <si>
    <t>ARP2</t>
  </si>
  <si>
    <t>Alternative splicing; Coiled coil; Disulfide bond; Glycoprotein; Secreted; Signal</t>
  </si>
  <si>
    <t>60S ribosomal protein L12</t>
  </si>
  <si>
    <t>Large ribosomal subunit protein uL11</t>
  </si>
  <si>
    <t>RL12_HUMAN</t>
  </si>
  <si>
    <t>P30050</t>
  </si>
  <si>
    <t>Q5VVV2; Q6PB27</t>
  </si>
  <si>
    <t>3D-structure; Acetylation; Alternative splicing; Isopeptide bond; Phosphoprotein; Ribonucleoprotein; Ribosomal protein; RNA-binding; Ubl conjugation</t>
  </si>
  <si>
    <t>nuclear-transcribed mRNA catabolic process, nonsense-mediated decay {GO:0000184}; ribosomal large subunit assembly {GO:0000027}; SRP-dependent cotranslational protein targeting to membrane {GO:0006614}; translation {GO:0006412}; translational initiation {GO:0006413}; viral transcription {GO:0019083}</t>
  </si>
  <si>
    <t>cytosol {GO:0005829}; cytosolic large ribosomal subunit {GO:0022625}; extracellular exosome {GO:0070062}; focal adhesion {GO:0005925}; large ribosomal subunit {GO:0015934}; membrane {GO:0016020}; nucleolus {GO:0005730}; postsynaptic density {GO:0014069}</t>
  </si>
  <si>
    <t>large ribosomal subunit rRNA binding {GO:0070180}; RNA binding {GO:0003723}; rRNA binding {GO:0019843}; structural constituent of ribosome {GO:0003735}</t>
  </si>
  <si>
    <t>Carbonic anhydrase 4</t>
  </si>
  <si>
    <t>Carbonate dehydratase IV; Carbonic anhydrase IV (CA-IV)</t>
  </si>
  <si>
    <t>CAH4_HUMAN</t>
  </si>
  <si>
    <t>P22748</t>
  </si>
  <si>
    <t>B4DQA4; Q6FHI7</t>
  </si>
  <si>
    <t>3D-structure; Alternative splicing; Cell membrane; Disease mutation; Disulfide bond; Glycoprotein; GPI-anchor; Lipoprotein; Lyase; Membrane; Metal-binding; Polymorphism; Retinitis pigmentosa; Signal; Zinc</t>
  </si>
  <si>
    <t>bicarbonate transport {GO:0015701}</t>
  </si>
  <si>
    <t>anchored component of external side of plasma membrane {GO:0031362}; apical plasma membrane {GO:0016324}; brush border membrane {GO:0031526}; cell surface {GO:0009986}; endoplasmic reticulum-Golgi intermediate compartment {GO:0005793}; extracellular exosome {GO:0070062}; Golgi apparatus {GO:0005794}; membrane {GO:0016020}; perinuclear region of cytoplasm {GO:0048471}; plasma membrane {GO:0005886}; rough endoplasmic reticulum {GO:0005791}; secretory granule membrane {GO:0030667}; trans-Golgi network {GO:0005802}; transport vesicle membrane {GO:0030658}</t>
  </si>
  <si>
    <t>carbonate dehydratase activity {GO:0004089}; zinc ion binding {GO:0008270}</t>
  </si>
  <si>
    <t>Mimecan</t>
  </si>
  <si>
    <t>Osteoglycin; Osteoinductive factor (OIF)</t>
  </si>
  <si>
    <t>MIME_HUMAN</t>
  </si>
  <si>
    <t>P20774</t>
  </si>
  <si>
    <t>Q6FIB0; Q9UF90; Q9UNK5</t>
  </si>
  <si>
    <t>OIF; SLRR3A</t>
  </si>
  <si>
    <t>Disulfide bond; Extracellular matrix; Glycoprotein; Growth factor; Leucine-rich repeat; Repeat; Secreted; Signal</t>
  </si>
  <si>
    <t>keratan sulfate biosynthetic process {GO:0018146}; keratan sulfate catabolic process {GO:0042340}; negative regulation of smooth muscle cell proliferation {GO:0048662}</t>
  </si>
  <si>
    <t>collagen-containing extracellular matrix {GO:0062023}; extracellular exosome {GO:0070062}; extracellular region {GO:0005576}; extracellular space {GO:0005615}; extracellular vesicle {GO:1903561}; Golgi lumen {GO:0005796}; lysosomal lumen {GO:0043202}</t>
  </si>
  <si>
    <t>Probable ATP-dependent RNA helicase DDX58</t>
  </si>
  <si>
    <t>DEAD box protein 58; RIG-I-like receptor 1 (RLR-1); Retinoic acid-inducible gene 1 protein (RIG-1); Retinoic acid-inducible gene I protein (RIG-I)</t>
  </si>
  <si>
    <t>DDX58_HUMAN</t>
  </si>
  <si>
    <t>O95786</t>
  </si>
  <si>
    <t>A2RU81; Q5HYE1; Q5VYT1; Q9NT04</t>
  </si>
  <si>
    <t>3D-structure; Acetylation; Alternative splicing; Antiviral defense; ATP-binding; Cell junction; Cell membrane; Cell projection; Cytoplasm; Cytoskeleton; Disease mutation; Helicase; Host-virus interaction; Hydrolase; Immunity; Innate immunity; Isopeptide bond; Membrane; Metal-binding; Nucleotide-binding; Phosphoprotein; Polymorphism; Repeat; RNA-binding; Tight junction; Ubl conjugation; Zinc</t>
  </si>
  <si>
    <t>Antiviral defense; Host-virus interaction; Immunity; Innate immunity</t>
  </si>
  <si>
    <t>cellular response to exogenous dsRNA {GO:0071360}; cytoplasmic pattern recognition receptor signaling pathway in response to virus {GO:0039528}; defense response to virus {GO:0051607}; detection of virus {GO:0009597}; innate immune response {GO:0045087}; negative regulation of type I interferon production {GO:0032480}; positive regulation of defense response to virus by host {GO:0002230}; positive regulation of DNA-binding transcription factor activity {GO:0051091}; positive regulation of gene expression {GO:0010628}; positive regulation of granulocyte macrophage colony-stimulating factor production {GO:0032725}; positive regulation of interferon-alpha production {GO:0032727}; positive regulation of interferon-alpha secretion {GO:1902741}; positive regulation of interferon-beta production {GO:0032728}; positive regulation of interferon-beta secretion {GO:0035549}; positive regulation of interleukin-6 production {GO:0032755}; positive regulation of interleukin-6 secretion {GO:2000778}; positive regulation of interleukin-8 production {GO:0032757}; positive regulation of myeloid dendritic cell cytokine production {GO:0002735}; positive regulation of response to cytokine stimulus {GO:0060760}; positive regulation of transcription by RNA polymerase II {GO:0045944}; positive regulation of tumor necrosis factor secretion {GO:1904469}; protein deubiquitination {GO:0016579}; regulation of cell migration {GO:0030334}; regulation of type III interferon production {GO:0034344}; response to exogenous dsRNA {GO:0043330}; response to virus {GO:0009615}; RIG-I signaling pathway {GO:0039529}; viral process {GO:0016032}</t>
  </si>
  <si>
    <t>actin cytoskeleton {GO:0015629}; bicellular tight junction {GO:0005923}; cytoplasm {GO:0005737}; cytosol {GO:0005829}; ruffle membrane {GO:0032587}</t>
  </si>
  <si>
    <t>ATP binding {GO:0005524}; double-stranded DNA binding {GO:0003690}; double-stranded RNA binding {GO:0003725}; helicase activity {GO:0004386}; identical protein binding {GO:0042802}; single-stranded RNA binding {GO:0003727}; ubiquitin protein ligase binding {GO:0031625}; zinc ion binding {GO:0008270}</t>
  </si>
  <si>
    <t>ISG15 antiviral mechanism {R-HSA-1169408}; DDX58/IFIH1-mediated induction of interferon-alpha/beta {R-HSA-168928}; Ub-specific processing proteases {R-HSA-5689880}; Ovarian tumor domain proteases {R-HSA-5689896}; OAS antiviral response {R-HSA-8983711}; TRAF3-dependent IRF activation pathway {R-HSA-918233}; TRAF6 mediated IRF7 activation {R-HSA-933541}; TRAF6 mediated NF-kB activation {R-HSA-933542}; NF-kB activation through FADD/RIP-1 pathway mediated by caspase-8 and -10 {R-HSA-933543}; Negative regulators of DDX58/IFIH1 signaling {R-HSA-936440}</t>
  </si>
  <si>
    <t>Cytoplasmic aconitate hydratase (Aconitase)</t>
  </si>
  <si>
    <t>Citrate hydro-lyase; Ferritin repressor protein; Iron regulatory protein 1 (IRP1); Iron-responsive element-binding protein 1 (IRE-BP 1)</t>
  </si>
  <si>
    <t>ACOC_HUMAN</t>
  </si>
  <si>
    <t>P21399</t>
  </si>
  <si>
    <t>D3DRK7; Q14652; Q5VZA7</t>
  </si>
  <si>
    <t>IREB1</t>
  </si>
  <si>
    <t>3D-structure; 4Fe-4S; Cytoplasm; Iron; Iron-sulfur; Lyase; Metal-binding; Phosphoprotein; Polymorphism; RNA-binding; Tricarboxylic acid cycle</t>
  </si>
  <si>
    <t>Lyase; RNA-binding</t>
  </si>
  <si>
    <t>cellular iron ion homeostasis {GO:0006879}; citrate metabolic process {GO:0006101}; intestinal absorption {GO:0050892}; post-embryonic development {GO:0009791}; regulation of translation {GO:0006417}; response to iron(II) ion {GO:0010040}; tricarboxylic acid cycle {GO:0006099}</t>
  </si>
  <si>
    <t>cytoplasm {GO:0005737}; cytosol {GO:0005829}; endoplasmic reticulum {GO:0005783}; extracellular exosome {GO:0070062}; Golgi apparatus {GO:0005794}; mitochondrion {GO:0005739}</t>
  </si>
  <si>
    <t>3 iron, 4 sulfur cluster binding {GO:0051538}; 4 iron, 4 sulfur cluster binding {GO:0051539}; aconitate hydratase activity {GO:0003994}; iron-responsive element binding {GO:0030350}; metal ion binding {GO:0046872}; RNA binding {GO:0003723}</t>
  </si>
  <si>
    <t>A disintegrin and metalloproteinase with thrombospondin motifs 13 (ADAM-TS 13; ADAM-TS13; ADAMTS-13)</t>
  </si>
  <si>
    <t>von Willebrand factor-cleaving protease (vWF-CP; vWF-cleaving protease)</t>
  </si>
  <si>
    <t>ATS13_HUMAN</t>
  </si>
  <si>
    <t>Q76LX8</t>
  </si>
  <si>
    <t>Q6UY16; Q710F6; Q711T8; Q96L37; Q9H0G3; Q9UGQ1</t>
  </si>
  <si>
    <t>C9orf8</t>
  </si>
  <si>
    <t>3D-structure; Alternative splicing; Blood coagulation; Calcium; Cleavage on pair of basic residues; Disease mutation; Disulfide bond; Glycoprotein; Hemostasis; Hydrolase; Metal-binding; Metalloprotease; Polymorphism; Protease; Repeat; Secreted; Signal; Zinc; Zymogen</t>
  </si>
  <si>
    <t>cell-matrix adhesion {GO:0007160}; cellular response to interferon-gamma {GO:0071346}; cellular response to interleukin-4 {GO:0071353}; cellular response to lipopolysaccharide {GO:0071222}; cellular response to tumor necrosis factor {GO:0071356}; glycoprotein metabolic process {GO:0009100}; integrin-mediated signaling pathway {GO:0007229}; peptide catabolic process {GO:0043171}; platelet activation {GO:0030168}; protein processing {GO:0016485}; proteolysis {GO:0006508}; response to amine {GO:0014075}; response to potassium ion {GO:0035864}; response to toxic substance {GO:0009636}</t>
  </si>
  <si>
    <t>cell surface {GO:0009986}; endoplasmic reticulum lumen {GO:0005788}; extracellular matrix {GO:0031012}; extracellular space {GO:0005615}</t>
  </si>
  <si>
    <t>calcium ion binding {GO:0005509}; integrin binding {GO:0005178}; metalloendopeptidase activity {GO:0004222}; metallopeptidase activity {GO:0008237}; zinc ion binding {GO:0008270}</t>
  </si>
  <si>
    <t>Talin-1</t>
  </si>
  <si>
    <t>TLN1_HUMAN</t>
  </si>
  <si>
    <t>Q9Y490</t>
  </si>
  <si>
    <t>A6NMY0; Q86YD0; Q9NZQ2; Q9UHH8; Q9UPX3</t>
  </si>
  <si>
    <t>KIAA1027; TLN</t>
  </si>
  <si>
    <t>3D-structure; Acetylation; Cell junction; Cell membrane; Cell projection; Cytoplasm; Cytoskeleton; Host-virus interaction; Membrane; Phosphoprotein; Polymorphism</t>
  </si>
  <si>
    <t>cell-cell junction assembly {GO:0007043}; cell-substrate junction assembly {GO:0007044}; cortical actin cytoskeleton organization {GO:0030866}; cytoskeletal anchoring at plasma membrane {GO:0007016}; integrin activation {GO:0033622}; integrin-mediated signaling pathway {GO:0007229}; IRE1-mediated unfolded protein response {GO:0036498}; muscle contraction {GO:0006936}; platelet aggregation {GO:0070527}; platelet degranulation {GO:0002576}; viral process {GO:0016032}</t>
  </si>
  <si>
    <t>cell surface {GO:0009986}; cytoskeleton {GO:0005856}; cytosol {GO:0005829}; extracellular exosome {GO:0070062}; extracellular region {GO:0005576}; focal adhesion {GO:0005925}; ruffle {GO:0001726}; ruffle membrane {GO:0032587}</t>
  </si>
  <si>
    <t>actin filament binding {GO:0051015}; cadherin binding {GO:0045296}; integrin binding {GO:0005178}; LIM domain binding {GO:0030274}; phosphatidylinositol binding {GO:0035091}; phosphatidylserine binding {GO:0001786}; structural constituent of cytoskeleton {GO:0005200}; vinculin binding {GO:0017166}</t>
  </si>
  <si>
    <t>Platelet degranulation {R-HSA-114608}; Integrin alphaIIb beta3 signaling {R-HSA-354192}; GRB2:SOS provides linkage to MAPK signaling for Integrins {R-HSA-354194}; p130Cas linkage to MAPK signaling for integrins {R-HSA-372708}; XBP1(S) activates chaperone genes {R-HSA-381038}; SEMA3A-Plexin repulsion signaling by inhibiting Integrin adhesion {R-HSA-399955}; Smooth Muscle Contraction {R-HSA-445355}; MAP2K and MAPK activation {R-HSA-5674135};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</t>
  </si>
  <si>
    <t>Calbindin</t>
  </si>
  <si>
    <t>Calbindin D28; D-28K; Vitamin D-dependent calcium-binding protein, avian-type</t>
  </si>
  <si>
    <t>CALB1_HUMAN</t>
  </si>
  <si>
    <t>P05937</t>
  </si>
  <si>
    <t>B2R696; B7Z9J4</t>
  </si>
  <si>
    <t>CAB27</t>
  </si>
  <si>
    <t>3D-structure; Acetylation; Alternative splicing; Calcium; Metal-binding; Repeat; Vitamin D</t>
  </si>
  <si>
    <t>Calcium; Metal-binding; Vitamin D</t>
  </si>
  <si>
    <t>cellular protein metabolic process {GO:0044267}; cellular response to organic substance {GO:0071310}; cochlea development {GO:0090102}; locomotory behavior {GO:0007626}; long-term memory {GO:0007616}; metanephric collecting duct development {GO:0072205}; metanephric connecting tubule development {GO:0072286}; metanephric distal convoluted tubule development {GO:0072221}; metanephric part of ureteric bud development {GO:0035502}; regulation of long-term synaptic potentiation {GO:1900271}; regulation of presynaptic cytosolic calcium ion concentration {GO:0099509}; retina layer formation {GO:0010842}; short-term memory {GO:0007614}</t>
  </si>
  <si>
    <t>axon {GO:0030424}; calyx of Held {GO:0044305}; cuticular plate {GO:0032437}; cytosol {GO:0005829}; dendrite {GO:0030425}; dendritic spine {GO:0043197}; extracellular exosome {GO:0070062}; GABA-ergic synapse {GO:0098982}; glutamatergic synapse {GO:0098978}; hippocampal mossy fiber to CA3 synapse {GO:0098686}; neuron projection {GO:0043005}; neuronal cell body {GO:0043025}; nucleus {GO:0005634}; postsynaptic cytosol {GO:0099524}; presynaptic cytosol {GO:0099523}; stereocilium {GO:0032420}; synapse {GO:0045202}</t>
  </si>
  <si>
    <t>calcium ion binding {GO:0005509}; calcium ion binding involved in regulation of postsynaptic cytosolic calcium ion concentration {GO:0099567}; calcium ion binding involved in regulation of presynaptic cytosolic calcium ion concentration {GO:0099534}; vitamin D binding {GO:0005499}; zinc ion binding {GO:0008270}</t>
  </si>
  <si>
    <t>Tropomyosin beta chain</t>
  </si>
  <si>
    <t>Beta-tropomyosin; Tropomyosin-2</t>
  </si>
  <si>
    <t>TPM2_HUMAN</t>
  </si>
  <si>
    <t>P07951</t>
  </si>
  <si>
    <t>A6NM85; P06468; Q13894; Q53FM4; Q5TCU4; Q5TCU7; Q9UH67</t>
  </si>
  <si>
    <t>TMSB</t>
  </si>
  <si>
    <t>Acetylation; Actin-binding; Alternative splicing; Coiled coil; Cytoplasm; Cytoskeleton; Disease mutation; Muscle protein; Nemaline myopathy; Phosphoprotein; Polymorphism</t>
  </si>
  <si>
    <t>actin filament organization {GO:0007015}; muscle contraction {GO:0006936}; muscle filament sliding {GO:0030049}; regulation of ATPase activity {GO:0043462}</t>
  </si>
  <si>
    <t>actin cytoskeleton {GO:0015629}; actin filament {GO:0005884}; cytosol {GO:0005829}; muscle thin filament tropomyosin {GO:0005862}</t>
  </si>
  <si>
    <t>actin binding {GO:0003779}; actin filament binding {GO:0051015}; identical protein binding {GO:0042802}; protein heterodimerization activity {GO:0046982}; protein homodimerization activity {GO:0042803}; structural constituent of muscle {GO:0008307}</t>
  </si>
  <si>
    <t>Serine/threonine-protein phosphatase 2A activator</t>
  </si>
  <si>
    <t>PP2A, subunit B', PR53 isoform; Phosphotyrosyl phosphatase activator (PTPA); Serine/threonine-protein phosphatase 2A regulatory subunit 4; Serine/threonine-protein phosphatase 2A regulatory subunit B'</t>
  </si>
  <si>
    <t>PTPA_HUMAN</t>
  </si>
  <si>
    <t>Q15257</t>
  </si>
  <si>
    <t>A2A347; A9IZU4; B4DXM4; Q15258; Q53GZ3; Q5TZQ2; Q9BUK1; Q9NNZ7; Q9NNZ8; Q9NNZ9</t>
  </si>
  <si>
    <t>PPP2R4</t>
  </si>
  <si>
    <t>3D-structure; Acetylation; Alternative splicing; ATP-binding; Cytoplasm; Isomerase; Nucleotide-binding; Nucleus; Polymorphism; Rotamase</t>
  </si>
  <si>
    <t>mitotic spindle organization {GO:0007052}; negative regulation of phosphoprotein phosphatase activity {GO:0032515}; negative regulation of protein dephosphorylation {GO:0035308}; positive regulation of apoptotic process {GO:0043065}; positive regulation of phosphoprotein phosphatase activity {GO:0032516}; positive regulation of protein dephosphorylation {GO:0035307}; regulation of phosphoprotein phosphatase activity {GO:0043666}</t>
  </si>
  <si>
    <t>calcium channel complex {GO:0034704}; cytoplasm {GO:0005737}; extracellular exosome {GO:0070062}; nucleoplasm {GO:0005654}; nucleus {GO:0005634}; protein phosphatase type 2A complex {GO:0000159}</t>
  </si>
  <si>
    <t>ATP binding {GO:0005524}; peptidyl-prolyl cis-trans isomerase activity {GO:0003755}; protein heterodimerization activity {GO:0046982}; protein homodimerization activity {GO:0042803}; protein phosphatase 2A binding {GO:0051721}; protein phosphatase regulator activity {GO:0019888}; protein tyrosine phosphatase activator activity {GO:0008160}; signaling receptor binding {GO:0005102}</t>
  </si>
  <si>
    <t>Met-enkephalin-Arg-Phe</t>
  </si>
  <si>
    <t>Opioid growth factor (OGF)</t>
  </si>
  <si>
    <t>PENK_HUMAN</t>
  </si>
  <si>
    <t>P01210</t>
  </si>
  <si>
    <t>B2RC23; Q6FHC6; Q6FHE6</t>
  </si>
  <si>
    <t>3D-structure; Cleavage on pair of basic residues; Disulfide bond; Endorphin; Neuropeptide; Opioid peptide; Phosphoprotein; Polymorphism; Secreted; Signal</t>
  </si>
  <si>
    <t>Endorphin; Neuropeptide; Opioid peptide</t>
  </si>
  <si>
    <t>Cleavage on pair of basic residues; Disulfide bond; Phosphoprotein</t>
  </si>
  <si>
    <t>aggressive behavior {GO:0002118}; aging {GO:0007568}; behavioral fear response {GO:0001662}; cellular protein metabolic process {GO:0044267}; cellular response to cAMP {GO:0071320}; cellular response to oxidative stress {GO:0034599}; cellular response to transforming growth factor beta stimulus {GO:0071560}; cellular response to virus {GO:0098586}; cellular response to vitamin D {GO:0071305}; chemical synaptic transmission {GO:0007268}; G protein-coupled receptor signaling pathway {GO:0007186}; general adaptation syndrome, behavioral process {GO:0051867}; glial cell proliferation {GO:0014009}; locomotory exploration behavior {GO:0035641}; neuropeptide signaling pathway {GO:0007218}; osteoblast differentiation {GO:0001649}; positive regulation of behavioral fear response {GO:2000987}; post-translational protein modification {GO:0043687}; response to calcium ion {GO:0051592}; response to epinephrine {GO:0071871}; response to estradiol {GO:0032355}; response to ethanol {GO:0045471}; response to hypoxia {GO:0001666}; response to lipopolysaccharide {GO:0032496}; response to morphine {GO:0043278}; response to nicotine {GO:0035094}; response to radiation {GO:0009314}; sensory perception of pain {GO:0019233}; signal transduction {GO:0007165}; startle response {GO:0001964}</t>
  </si>
  <si>
    <t>axon terminus {GO:0043679}; cell body fiber {GO:0070852}; dendrite {GO:0030425}; endoplasmic reticulum lumen {GO:0005788}; extracellular region {GO:0005576}; neuronal cell body {GO:0043025}; neuronal dense core vesicle lumen {GO:0099013}; perikaryon {GO:0043204}; plasma membrane {GO:0005886}; symmetric synapse {GO:0032280}; synaptic vesicle lumen {GO:0034592}</t>
  </si>
  <si>
    <t>neuropeptide hormone activity {GO:0005184}; opioid peptide activity {GO:0001515}; opioid receptor binding {GO:0031628}</t>
  </si>
  <si>
    <t>Peptide ligand-binding receptors {R-HSA-375276}; Regulation of Insulin-like Growth Factor (IGF) transport and uptake by Insulin-like Growth Factor Binding Proteins (IGFBPs) {R-HSA-381426}; G alpha (i) signalling events {R-HSA-418594}; Post-translational protein phosphorylation {R-HSA-8957275}</t>
  </si>
  <si>
    <t>DnaJ homolog subfamily A member 1</t>
  </si>
  <si>
    <t>DnaJ protein homolog 2; HSDJ; Heat shock 40 kDa protein 4; Heat shock protein J2 (HSJ-2); Human DnaJ protein 2 (hDj-2)</t>
  </si>
  <si>
    <t>DNJA1_HUMAN</t>
  </si>
  <si>
    <t>P31689</t>
  </si>
  <si>
    <t>Q5T7Q0; Q86TL9</t>
  </si>
  <si>
    <t>DNAJ2; HDJ2; HSJ2; HSPF4</t>
  </si>
  <si>
    <t>3D-structure; Acetylation; Alternative splicing; Chaperone; Cytoplasm; Endoplasmic reticulum; Lipoprotein; Membrane; Metal-binding; Methylation; Microsome; Mitochondrion; Nucleus; Phosphoprotein; Prenylation; Repeat; Zinc; Zinc-finger</t>
  </si>
  <si>
    <t>Cytoplasm; Endoplasmic reticulum; Membrane; Microsome; Mitochondrion; Nucleus</t>
  </si>
  <si>
    <t>negative regulation of apoptotic process {GO:0043066}; negative regulation of establishment of protein localization to mitochondrion {GO:1903748}; negative regulation of JUN kinase activity {GO:0043508}; negative regulation of nitrosative stress-induced intrinsic apoptotic signaling pathway {GO:1905259}; negative regulation of protein ubiquitination {GO:0031397}; positive regulation of apoptotic process {GO:0043065}; protein folding {GO:0006457}; protein localization to mitochondrion {GO:0070585}; regulation of protein transport {GO:0051223}; response to heat {GO:0009408}; response to unfolded protein {GO:0006986}</t>
  </si>
  <si>
    <t>cytoplasmic side of endoplasmic reticulum membrane {GO:0098554}; cytosol {GO:0005829}; extracellular exosome {GO:0070062}; membrane {GO:0016020}; microtubule cytoskeleton {GO:0015630}; mitochondrion {GO:0005739}; nucleus {GO:0005634}; perinuclear region of cytoplasm {GO:0048471}</t>
  </si>
  <si>
    <t>ATP binding {GO:0005524}; ATPase activator activity {GO:0001671}; C3HC4-type RING finger domain binding {GO:0055131}; chaperone binding {GO:0051087}; G protein-coupled receptor binding {GO:0001664}; Hsp70 protein binding {GO:0030544}; low-density lipoprotein particle receptor binding {GO:0050750}; metal ion binding {GO:0046872}; Tat protein binding {GO:0030957}; ubiquitin protein ligase binding {GO:0031625}; unfolded protein binding {GO:0051082}</t>
  </si>
  <si>
    <t>Tenascin (TN)</t>
  </si>
  <si>
    <t>Cytotactin; GMEM; GP 150-225; Glioma-associated-extracellular matrix antigen; Hexabrachion; JI; Myotendinous antigen; Neuronectin; Tenascin-C (TN-C)</t>
  </si>
  <si>
    <t>TENA_HUMAN</t>
  </si>
  <si>
    <t>P24821</t>
  </si>
  <si>
    <t>C9IYT7; C9J575; C9J6D9; C9J848; Q14583; Q15567; Q5T7S3</t>
  </si>
  <si>
    <t>HXB</t>
  </si>
  <si>
    <t>3D-structure; Alternative splicing; Cell adhesion; Coiled coil; Deafness; Disease mutation; Disulfide bond; EGF-like domain; Extracellular matrix; Glycoprotein; Non-syndromic deafness; Phosphoprotein; Polymorphism; Repeat; Secreted; Signal</t>
  </si>
  <si>
    <t>bud outgrowth involved in lung branching {GO:0060447}; cell adhesion {GO:0007155}; cellular protein metabolic process {GO:0044267}; cellular response to prostaglandin D stimulus {GO:0071799}; cellular response to retinoic acid {GO:0071300}; cellular response to vitamin D {GO:0071305}; extracellular matrix organization {GO:0030198}; mesenchymal-epithelial cell signaling involved in prostate gland development {GO:0060739}; negative regulation of cell adhesion {GO:0007162}; neuromuscular junction development {GO:0007528}; odontogenesis of dentin-containing tooth {GO:0042475}; osteoblast differentiation {GO:0001649}; peripheral nervous system axon regeneration {GO:0014012}; positive regulation of cell population proliferation {GO:0008284}; positive regulation of gene expression {GO:0010628}; post-translational protein modification {GO:0043687}; prostate gland epithelium morphogenesis {GO:0060740}; response to ethanol {GO:0045471}; response to fibroblast growth factor {GO:0071774}; response to mechanical stimulus {GO:0009612}; response to wounding {GO:0009611}; wound healing {GO:0042060}</t>
  </si>
  <si>
    <t>basement membrane {GO:0005604}; collagen-containing extracellular matrix {GO:0062023}; endoplasmic reticulum lumen {GO:0005788}; extracellular region {GO:0005576}; extracellular space {GO:0005615}; focal adhesion {GO:0005925}; interstitial matrix {GO:0005614}; membrane {GO:0016020}; perisynaptic extracellular matrix {GO:0098966}</t>
  </si>
  <si>
    <t>extracellular matrix structural constituent {GO:0005201}; syndecan binding {GO:0045545}</t>
  </si>
  <si>
    <t>Integrin cell surface interactions {R-HSA-216083}; Syndecan interactions {R-HSA-3000170}; ECM proteoglycans {R-HSA-3000178}; Regulation of Insulin-like Growth Factor (IGF) transport and uptake by Insulin-like Growth Factor Binding Proteins (IGFBPs) {R-HSA-381426}; Post-translational protein phosphorylation {R-HSA-8957275}</t>
  </si>
  <si>
    <t>Niban-like protein 1</t>
  </si>
  <si>
    <t>Meg-3; Melanoma invasion by ERK (MINERVA); Protein FAM129B</t>
  </si>
  <si>
    <t>NIBL1_HUMAN</t>
  </si>
  <si>
    <t>Q96TA1</t>
  </si>
  <si>
    <t>Q4LE55; Q5VVW6; Q5VVW7; Q9BUS2; Q9NT35</t>
  </si>
  <si>
    <t>C9orf88</t>
  </si>
  <si>
    <t>Alternative splicing; Cell junction; Cytoplasm; Lipoprotein; Membrane; Myristate; Phosphoprotein</t>
  </si>
  <si>
    <t>Cell junction; Cytoplasm; Membrane</t>
  </si>
  <si>
    <t>axon guidance {GO:0007411}; cell differentiation {GO:0030154}; gonadotropin secretion {GO:0032274}; hypomethylation of CpG island {GO:0044029}; negative regulation of angiogenesis {GO:0016525}; negative regulation of apoptotic process {GO:0043066}; negative regulation of cell population proliferation {GO:0008285}; negative regulation of DNA biosynthetic process {GO:2000279}; negative regulation of Notch signaling pathway {GO:0045746}; negative regulation of transcription, DNA-templated {GO:0045892}; negative regulation of vascular endothelial growth factor receptor signaling pathway {GO:0030948}; positive regulation of embryonic development {GO:0040019}; positive regulation of skeletal muscle fiber development {GO:0048743}; positive regulation of transcription regulatory region DNA binding {GO:2000679}; positive regulation of transcription, DNA-templated {GO:0045893}</t>
  </si>
  <si>
    <t>adherens junction {GO:0005912}; cytoplasm {GO:0005737}; cytosol {GO:0005829}; extracellular exosome {GO:0070062}; nucleoplasm {GO:0005654}; nucleus {GO:0005634}; plasma membrane {GO:0005886}</t>
  </si>
  <si>
    <t>cadherin binding {GO:0045296}; transcription coactivator activity {GO:0003713}</t>
  </si>
  <si>
    <t>Protein crumbs homolog 2</t>
  </si>
  <si>
    <t>Crumbs-like protein 2</t>
  </si>
  <si>
    <t>CRUM2_HUMAN</t>
  </si>
  <si>
    <t>Q5IJ48</t>
  </si>
  <si>
    <t>A2A3N4; Q0QD46; Q5JS41; Q5JS43; Q6ZTA9; Q6ZWI6</t>
  </si>
  <si>
    <t>3D-structure; Alternative splicing; Calcium; Cell membrane; Developmental protein; Disease mutation; Disulfide bond; EGF-like domain; Gastrulation; Glycoprotein; Membrane; Polymorphism; Repeat; Secreted; Signal; Transmembrane; Transmembrane helix</t>
  </si>
  <si>
    <t>Gastrulation</t>
  </si>
  <si>
    <t>cardiovascular system development {GO:0072358}; establishment or maintenance of epithelial cell apical/basal polarity {GO:0045197}; heterophilic cell-cell adhesion via plasma membrane cell adhesion molecules {GO:0007157}; ingression involved in gastrulation with mouth forming second {GO:0055111}; maintenance of epithelial cell apical/basal polarity {GO:0045199}; mesoderm formation {GO:0001707}; negative regulation of endopeptidase activity {GO:0010951}; notochord formation {GO:0014028}; positive regulation of BMP signaling pathway {GO:0030513}; positive regulation of epithelial to mesenchymal transition {GO:0010718}; regulation of gastrulation {GO:0010470}; somitogenesis {GO:0001756}</t>
  </si>
  <si>
    <t>apical plasma membrane {GO:0016324}; extracellular exosome {GO:0070062}; integral component of membrane {GO:0016021}; plasma membrane {GO:0005886}; protein-containing complex {GO:0032991}</t>
  </si>
  <si>
    <t>aspartic-type endopeptidase inhibitor activity {GO:0019828}; calcium ion binding {GO:0005509}; protein-containing complex binding {GO:0044877}</t>
  </si>
  <si>
    <t>Endoglin</t>
  </si>
  <si>
    <t>CD_antigen=CD105</t>
  </si>
  <si>
    <t>EGLN_HUMAN</t>
  </si>
  <si>
    <t>P17813</t>
  </si>
  <si>
    <t>Q14248; Q14926; Q5T9C0</t>
  </si>
  <si>
    <t>END</t>
  </si>
  <si>
    <t>3D-structure; Alternative splicing; Angiogenesis; Cell adhesion; Cell membrane; Disease mutation; Disulfide bond; Glycoprotein; Membrane; Phosphoprotein; Polymorphism; Signal; Transmembrane; Transmembrane helix</t>
  </si>
  <si>
    <t>artery morphogenesis {GO:0048844}; atrial cardiac muscle tissue morphogenesis {GO:0055009}; atrioventricular canal morphogenesis {GO:1905222}; BMP signaling pathway {GO:0030509}; bone development {GO:0060348}; branching involved in blood vessel morphogenesis {GO:0001569}; cardiac atrium morphogenesis {GO:0003209}; cardiac ventricle morphogenesis {GO:0003208}; cell adhesion {GO:0007155}; cell chemotaxis {GO:0060326}; cell migration {GO:0016477}; cell migration involved in endocardial cushion formation {GO:0003273}; cell motility {GO:0048870}; cellular response to mechanical stimulus {GO:0071260}; central nervous system vasculogenesis {GO:0022009}; chronological cell aging {GO:0001300}; detection of hypoxia {GO:0070483}; dorsal aorta morphogenesis {GO:0035912}; endocardial cushion morphogenesis {GO:0003203}; epithelial to mesenchymal transition involved in endocardial cushion formation {GO:0003198}; extracellular matrix constituent secretion {GO:0070278}; extracellular matrix disassembly {GO:0022617}; heart looping {GO:0001947}; negative regulation of cell migration {GO:0030336}; negative regulation of endothelial cell proliferation {GO:0001937}; negative regulation of gene expression {GO:0010629}; negative regulation of nitric-oxide synthase activity {GO:0051001}; negative regulation of pathway-restricted SMAD protein phosphorylation {GO:0060394}; negative regulation of protein autophosphorylation {GO:0031953}; negative regulation of transcription by RNA polymerase II {GO:0000122}; negative regulation of transforming growth factor beta receptor signaling pathway {GO:0030512}; outflow tract septum morphogenesis {GO:0003148}; positive regulation of angiogenesis {GO:0045766}; positive regulation of BMP signaling pathway {GO:0030513}; positive regulation of collagen biosynthetic process {GO:0032967}; positive regulation of epithelial to mesenchymal transition involved in endocardial cushion formation {GO:1905007}; positive regulation of pathway-restricted SMAD protein phosphorylation {GO:0010862}; positive regulation of protein kinase B signaling {GO:0051897}; positive regulation of protein phosphorylation {GO:0001934}; positive regulation of systemic arterial blood pressure {GO:0003084}; positive regulation of transcription by RNA polymerase II {GO:0045944}; positive regulation of vascular smooth muscle cell differentiation {GO:1905065}; regulation of cell adhesion {GO:0030155}; regulation of cell population proliferation {GO:0042127}; regulation of phosphorylation {GO:0042325}; regulation of transcription, DNA-templated {GO:0006355}; regulation of transforming growth factor beta receptor signaling pathway {GO:0017015}; response to corticosteroid {GO:0031960}; response to drug {GO:0042493}; response to hypoxia {GO:0001666}; response to transforming growth factor beta {GO:0071559}; smooth muscle tissue development {GO:0048745}; transforming growth factor beta receptor signaling pathway {GO:0007179}; vascular smooth muscle cell development {GO:0097084}; vasculogenesis {GO:0001570}; venous blood vessel morphogenesis {GO:0048845}; ventricular trabecula myocardium morphogenesis {GO:0003222}; wound healing {GO:0042060}</t>
  </si>
  <si>
    <t>cell surface {GO:0009986}; endothelial microparticle {GO:0072563}; external side of plasma membrane {GO:0009897}; extracellular space {GO:0005615}; focal adhesion {GO:0005925}; integral component of membrane {GO:0016021}; receptor complex {GO:0043235}</t>
  </si>
  <si>
    <t>activin binding {GO:0048185}; galactose binding {GO:0005534}; glycosaminoglycan binding {GO:0005539}; identical protein binding {GO:0042802}; protein homodimerization activity {GO:0042803}; transforming growth factor beta binding {GO:0050431}; transforming growth factor beta receptor, cytoplasmic mediator activity {GO:0005072}; transforming growth factor beta-activated receptor activity {GO:0005024}; transmembrane signaling receptor activity {GO:0004888}; type I transforming growth factor beta receptor binding {GO:0034713}; type II transforming growth factor beta receptor binding {GO:0005114}</t>
  </si>
  <si>
    <t>GTP:AMP phosphotransferase AK3, mitochondrial</t>
  </si>
  <si>
    <t>Adenylate kinase 3 (AK 3); Adenylate kinase 3 alpha-like 1</t>
  </si>
  <si>
    <t>KAD3_HUMAN</t>
  </si>
  <si>
    <t>Q9UIJ7</t>
  </si>
  <si>
    <t>B4DP58; D3DRI1; E7ET30; Q5VYW6; Q9H576; Q9HC01; Q9NPB4</t>
  </si>
  <si>
    <t>3D-structure; Acetylation; Alternative splicing; GTP-binding; Kinase; Mitochondrion; Nucleotide-binding; Phosphoprotein; Transferase</t>
  </si>
  <si>
    <t>ADP biosynthetic process {GO:0006172}; AMP metabolic process {GO:0046033}; blood coagulation {GO:0007596}; GTP metabolic process {GO:0046039}; ITP metabolic process {GO:0046041}; nucleoside monophosphate phosphorylation {GO:0046940}; UTP metabolic process {GO:0046051}</t>
  </si>
  <si>
    <t>ATP binding {GO:0005524}; GTP binding {GO:0005525}; nucleoside triphosphate adenylate kinase activity {GO:0046899}</t>
  </si>
  <si>
    <t>Erythrocyte band 7 integral membrane protein</t>
  </si>
  <si>
    <t>Protein 7.2b; Stomatin</t>
  </si>
  <si>
    <t>STOM_HUMAN</t>
  </si>
  <si>
    <t>P27105</t>
  </si>
  <si>
    <t>B1AM77; Q14087; Q15609; Q5VX96; Q96FK4</t>
  </si>
  <si>
    <t>BND7; EPB72</t>
  </si>
  <si>
    <t>Alternative splicing; Cell membrane; Cytoplasm; Cytoplasmic vesicle; Cytoskeleton; Lipoprotein; Membrane; Palmitate; Phosphoprotein</t>
  </si>
  <si>
    <t>Cell membrane; Cytoplasm; Cytoplasmic vesicle; Cytoskeleton; Membrane</t>
  </si>
  <si>
    <t>neutrophil degranulation {GO:0043312}; positive regulation by host of viral genome replication {GO:0044829}; positive regulation of protein targeting to membrane {GO:0090314}; protein homooligomerization {GO:0051260}; regulation of acid-sensing ion channel activity {GO:1901585}</t>
  </si>
  <si>
    <t>azurophil granule membrane {GO:0035577}; blood microparticle {GO:0072562}; cytoskeleton {GO:0005856}; endoplasmic reticulum {GO:0005783}; extracellular exosome {GO:0070062}; extracellular space {GO:0005615}; integral component of plasma membrane {GO:0005887}; melanosome {GO:0042470}; membrane {GO:0016020}; membrane raft {GO:0045121}; mitochondrion {GO:0005739}; perinuclear region of cytoplasm {GO:0048471}; plasma membrane {GO:0005886}; specific granule membrane {GO:0035579}; tertiary granule membrane {GO:0070821}; vesicle {GO:0031982}</t>
  </si>
  <si>
    <t>protein homodimerization activity {GO:0042803}; RNA polymerase binding {GO:0070063}</t>
  </si>
  <si>
    <t>Stimuli-sensing channels {R-HSA-2672351}; Neutrophil degranulation {R-HSA-6798695}</t>
  </si>
  <si>
    <t>Processed beta-1,4-galactosyltransferase 1</t>
  </si>
  <si>
    <t>Beta-N-acetylglucosaminyl-glycolipid beta-1,4-galactosyltransferase; Beta-N-acetylglucosaminylglycopeptide beta-1,4-galactosyltransferase; Lactose synthase A protein; N-acetyllactosamine synthase; Nal synthase; UDP-Gal:beta-GlcNAc beta-1,4-galactosyltransferase 1; UDP-galactose:beta-N-acetylglucosamine beta-1,4-galactosyltransferase 1</t>
  </si>
  <si>
    <t>B4GT1_HUMAN</t>
  </si>
  <si>
    <t>P15291</t>
  </si>
  <si>
    <t>B2R710; D3DRL2; Q12909; Q12910; Q12911; Q14456; Q14509; Q14523</t>
  </si>
  <si>
    <t>GGTB2</t>
  </si>
  <si>
    <t>3D-structure; Alternative initiation; Cell membrane; Cell projection; Congenital disorder of glycosylation; Disulfide bond; Glycoprotein; Glycosyltransferase; Golgi apparatus; Manganese; Membrane; Metal-binding; Polymorphism; Secreted; Signal-anchor; Transferase; Transmembrane; Transmembrane helix</t>
  </si>
  <si>
    <t>Cell membrane; Cell projection; Golgi apparatus; Membrane; Secreted</t>
  </si>
  <si>
    <t>Congenital disorder of glycosylation</t>
  </si>
  <si>
    <t>acute inflammatory response {GO:0002526}; angiogenesis involved in wound healing {GO:0060055}; binding of sperm to zona pellucida {GO:0007339}; cell adhesion {GO:0007155}; development of secondary sexual characteristics {GO:0045136}; epithelial cell development {GO:0002064}; extracellular matrix organization {GO:0030198}; galactose metabolic process {GO:0006012}; keratan sulfate biosynthetic process {GO:0018146}; lactose biosynthetic process {GO:0005989}; leukocyte migration {GO:0050900}; negative regulation of cell population proliferation {GO:0008285}; neutrophil degranulation {GO:0043312}; oligosaccharide biosynthetic process {GO:0009312}; penetration of zona pellucida {GO:0007341}; positive regulation of apoptotic process {GO:0043065}; positive regulation of epithelial cell proliferation involved in wound healing {GO:0060054}; protein homooligomerization {GO:0051260}; protein N-linked glycosylation {GO:0006487}; regulation of acrosome reaction {GO:0060046}</t>
  </si>
  <si>
    <t>azurophil granule membrane {GO:0035577}; basolateral plasma membrane {GO:0016323}; brush border membrane {GO:0031526}; desmosome {GO:0030057}; external side of plasma membrane {GO:0009897}; extracellular exosome {GO:0070062}; extracellular space {GO:0005615}; filopodium {GO:0030175}; Golgi apparatus {GO:0005794}; Golgi cisterna membrane {GO:0032580}; Golgi membrane {GO:0000139}; Golgi trans cisterna {GO:0000138}; integral component of membrane {GO:0016021}; membrane {GO:0016020}; plasma membrane {GO:0005886}; secretory granule membrane {GO:0030667}</t>
  </si>
  <si>
    <t>alpha-tubulin binding {GO:0043014}; beta-N-acetylglucosaminylglycopeptide beta-1,4-galactosyltransferase activity {GO:0003831}; beta-tubulin binding {GO:0048487}; galactosyltransferase activity {GO:0008378}; lactose synthase activity {GO:0004461}; manganese ion binding {GO:0030145}; N-acetyllactosamine synthase activity {GO:0003945}; protein homodimerization activity {GO:0042803}; UDP-galactosyltransferase activity {GO:0035250}</t>
  </si>
  <si>
    <t>Pre-NOTCH Processing in Golgi {R-HSA-1912420}; Keratan sulfate biosynthesis {R-HSA-2022854}; Interaction With Cumulus Cells And The Zona Pellucida {R-HSA-2534343}; Defective B4GALT1 causes B4GALT1-CDG (CDG-2d) {R-HSA-3656244}; Defective B4GALT1 causes B4GALT1-CDG (CDG-2d) {R-HSA-4793953}; Lactose synthesis {R-HSA-5653890}; Neutrophil degranulation {R-HSA-6798695}; N-Glycan antennae elongation {R-HSA-975577}</t>
  </si>
  <si>
    <t>Charged multivesicular body protein 5</t>
  </si>
  <si>
    <t>Chromatin-modifying protein 5; SNF7 domain-containing protein 2; Vacuolar protein sorting-associated protein 60 (Vps60; hVps60)</t>
  </si>
  <si>
    <t>CHMP5_HUMAN</t>
  </si>
  <si>
    <t>Q9NZZ3</t>
  </si>
  <si>
    <t>B2RD95; B4DIR6; Q5VXW2; Q96AV2; Q9HB68; Q9NYS4; Q9Y323</t>
  </si>
  <si>
    <t>C9orf83; SNF7DC2</t>
  </si>
  <si>
    <t>3D-structure; Alternative splicing; Coiled coil; Cytoplasm; Endosome; Membrane; Phosphoprotein; Protein transport; Transport; Ubl conjugation</t>
  </si>
  <si>
    <t>cellular response to lipopolysaccharide {GO:0071222}; cellular response to muramyl dipeptide {GO:0071225}; endosomal transport {GO:0016197}; endosome to lysosome transport {GO:0008333}; ESCRT III complex disassembly {GO:1904903}; lysosome organization {GO:0007040}; midbody abscission {GO:0061952}; mitotic metaphase plate congression {GO:0007080}; multivesicular body assembly {GO:0036258}; multivesicular body sorting pathway {GO:0071985}; nucleus organization {GO:0006997}; protein transport {GO:0015031}; regulation of centrosome duplication {GO:0010824}; regulation of mitotic spindle assembly {GO:1901673}; regulation of receptor recycling {GO:0001919}; viral budding {GO:0046755}; viral life cycle {GO:0019058}</t>
  </si>
  <si>
    <t>cytosol {GO:0005829}; endosome membrane {GO:0010008}; extracellular exosome {GO:0070062}; nucleus {GO:0005634}</t>
  </si>
  <si>
    <t>Transitional endoplasmic reticulum ATPase (TER ATPase)</t>
  </si>
  <si>
    <t>15S Mg(2+)-ATPase p97 subunit; Valosin-containing protein (VCP)</t>
  </si>
  <si>
    <t>TERA_HUMAN</t>
  </si>
  <si>
    <t>P55072</t>
  </si>
  <si>
    <t>B2R5T8; Q0V924; Q2TAI5; Q969G7; Q9UCD5</t>
  </si>
  <si>
    <t>3D-structure; Acetylation; Amyotrophic lateral sclerosis; ATP-binding; Autophagy; Charcot-Marie-Tooth disease; Cytoplasm; Disease mutation; DNA damage; DNA repair; Endoplasmic reticulum; Hydrolase; Isopeptide bond; Lipid-binding; Methylation; Neurodegeneration; Neuropathy; Nucleotide-binding; Nucleus; Phosphoprotein; Transport; Ubl conjugation; Ubl conjugation pathway</t>
  </si>
  <si>
    <t>Autophagy; DNA damage; DNA repair; Transport; Ubl conjugation pathway</t>
  </si>
  <si>
    <t>Amyotrophic lateral sclerosis; Charcot-Marie-Tooth disease; Disease mutation; Neurodegeneration; Neuropathy</t>
  </si>
  <si>
    <t>activation of cysteine-type endopeptidase activity involved in apoptotic process {GO:0006919}; aggresome assembly {GO:0070842}; ATP metabolic process {GO:0046034}; autophagosome maturation {GO:0097352}; autophagy {GO:0006914}; cellular response to arsenite ion {GO:1903843}; cellular response to DNA damage stimulus {GO:0006974}; cellular response to heat {GO:0034605}; DNA repair {GO:0006281}; double-strand break repair {GO:0006302}; endoplasmic reticulum stress-induced pre-emptive quality control {GO:0061857}; endoplasmic reticulum to Golgi vesicle-mediated transport {GO:0006888}; endoplasmic reticulum unfolded protein response {GO:0030968}; endosome to lysosome transport via multivesicular body sorting pathway {GO:0032510}; ER-associated misfolded protein catabolic process {GO:0071712}; ERAD pathway {GO:0036503}; error-free translesion synthesis {GO:0070987}; establishment of protein localization {GO:0045184}; flavin adenine dinucleotide catabolic process {GO:0072389}; macroautophagy {GO:0016236}; mitotic spindle disassembly {GO:0051228}; NADH metabolic process {GO:0006734}; neutrophil degranulation {GO:0043312}; positive regulation of ATP biosynthetic process {GO:2001171}; positive regulation of canonical Wnt signaling pathway {GO:0090263}; positive regulation of Lys63-specific deubiquitinase activity {GO:1903007}; positive regulation of mitochondrial membrane potential {GO:0010918}; positive regulation of oxidative phosphorylation {GO:1903862}; positive regulation of proteasomal ubiquitin-dependent protein catabolic process {GO:0032436}; positive regulation of protein catabolic process {GO:0045732}; positive regulation of protein complex assembly {GO:0031334}; positive regulation of protein K63-linked deubiquitination {GO:1903006}; proteasomal protein catabolic process {GO:0010498}; proteasome-mediated ubiquitin-dependent protein catabolic process {GO:0043161}; protein deubiquitination {GO:0016579}; protein folding {GO:0006457}; protein hexamerization {GO:0034214}; protein homooligomerization {GO:0051260}; protein N-linked glycosylation via asparagine {GO:0018279}; protein ubiquitination {GO:0016567}; regulation of aerobic respiration {GO:1903715}; regulation of apoptotic process {GO:0042981}; regulation of synapse organization {GO:0050807}; retrograde protein transport, ER to cytosol {GO:0030970}; stress granule disassembly {GO:0035617}; translesion synthesis {GO:0019985}; transmembrane transport {GO:0055085}; ubiquitin-dependent ERAD pathway {GO:0030433}; viral genome replication {GO:0019079}</t>
  </si>
  <si>
    <t>ATPase complex {GO:1904949}; azurophil granule lumen {GO:0035578}; cytoplasm {GO:0005737}; cytoplasmic stress granule {GO:0010494}; cytosol {GO:0005829}; Derlin-1 retrotranslocation complex {GO:0036513}; endoplasmic reticulum {GO:0005783}; endoplasmic reticulum membrane {GO:0005789}; extracellular exosome {GO:0070062}; extracellular region {GO:0005576}; ficolin-1-rich granule lumen {GO:1904813}; glutamatergic synapse {GO:0098978}; intracellular membrane-bounded organelle {GO:0043231}; lipid droplet {GO:0005811}; nucleoplasm {GO:0005654}; nucleus {GO:0005634}; perinuclear region of cytoplasm {GO:0048471}; proteasome complex {GO:0000502}; protein-containing complex {GO:0032991}; secretory granule lumen {GO:0034774}; site of double-strand break {GO:0035861}; VCP-NPL4-UFD1 AAA ATPase complex {GO:0034098}; VCP-NSFL1C complex {GO:1990730}</t>
  </si>
  <si>
    <t>ADP binding {GO:0043531}; ATP binding {GO:0005524}; ATPase activity {GO:0016887}; BAT3 complex binding {GO:1904288}; deubiquitinase activator activity {GO:0035800}; identical protein binding {GO:0042802}; K48-linked polyubiquitin modification-dependent protein binding {GO:0036435}; lipid binding {GO:0008289}; MHC class I protein binding {GO:0042288}; polyubiquitin modification-dependent protein binding {GO:0031593}; protein domain specific binding {GO:0019904}; protein phosphatase binding {GO:0019903}; RNA binding {GO:0003723}; ubiquitin protein ligase binding {GO:0031625}; ubiquitin-like protein ligase binding {GO:0044389}; ubiquitin-specific protease binding {GO:1990381}</t>
  </si>
  <si>
    <t>Translesion Synthesis by POLH {R-HSA-110320}; HSF1 activation {R-HSA-3371511}; ABC-family proteins mediated transport {R-HSA-382556}; N-glycan trimming in the ER and Calnexin/Calreticulin cycle {R-HSA-532668}; Hedgehog ligand biogenesis {R-HSA-5358346}; Hh mutants that don't undergo autocatalytic processing are degraded by ERAD {R-HSA-5362768}; Defective CFTR causes cystic fibrosis {R-HSA-5678895}; Josephin domain DUBs {R-HSA-5689877}; Ovarian tumor domain proteases {R-HSA-5689896}; Neutrophil degranulation {R-HSA-6798695}; E3 ubiquitin ligases ubiquitinate target proteins {R-HSA-8866654}; Protein methylation {R-HSA-8876725}</t>
  </si>
  <si>
    <t>Perilipin-2</t>
  </si>
  <si>
    <t>Adipophilin; Adipose differentiation-related protein (ADRP)</t>
  </si>
  <si>
    <t>PLIN2_HUMAN</t>
  </si>
  <si>
    <t>Q99541</t>
  </si>
  <si>
    <t>Q9BSC3</t>
  </si>
  <si>
    <t>ADFP</t>
  </si>
  <si>
    <t>Acetylation; Lipid droplet; Lipoprotein; Membrane; Phosphoprotein; Polymorphism</t>
  </si>
  <si>
    <t>Lipid droplet; Membrane</t>
  </si>
  <si>
    <t>Acetylation; Lipoprotein; Phosphoprotein</t>
  </si>
  <si>
    <t>lipid storage {GO:0019915}; long-chain fatty acid transport {GO:0015909}; regulation of lipid metabolic process {GO:0019216}; response to drug {GO:0042493}; response to organic cyclic compound {GO:0014070}</t>
  </si>
  <si>
    <t>cytosol {GO:0005829}; endoplasmic reticulum {GO:0005783}; extracellular region {GO:0005576}; lipid droplet {GO:0005811}; nucleus {GO:0005634}; plasma membrane {GO:0005886}</t>
  </si>
  <si>
    <t>PPARA activates gene expression {R-HSA-1989781}</t>
  </si>
  <si>
    <t>Sialic acid synthase</t>
  </si>
  <si>
    <t>N-acetylneuraminate synthase; N-acetylneuraminate-9-phosphate synthase; N-acetylneuraminic acid phosphate synthase; N-acetylneuraminic acid synthase</t>
  </si>
  <si>
    <t>SIAS_HUMAN</t>
  </si>
  <si>
    <t>Q9NR45</t>
  </si>
  <si>
    <t>B2RE98; Q8WUV9; Q9BWS6; Q9NVD4</t>
  </si>
  <si>
    <t>SAS</t>
  </si>
  <si>
    <t>3D-structure; Acetylation; Disease mutation; Dwarfism; Mental retardation; Phosphoprotein; Polymorphism; Transferase</t>
  </si>
  <si>
    <t>Disease mutation; Dwarfism; Mental retardation</t>
  </si>
  <si>
    <t>carbohydrate biosynthetic process {GO:0016051}; CMP-N-acetylneuraminate biosynthetic process {GO:0006055}</t>
  </si>
  <si>
    <t>N-acetylneuraminate synthase activity {GO:0050462}; N-acylneuraminate cytidylyltransferase activity {GO:0008781}; N-acylneuraminate-9-phosphate synthase activity {GO:0047444}</t>
  </si>
  <si>
    <t>Sialic acid metabolism {R-HSA-4085001}</t>
  </si>
  <si>
    <t>Golgi membrane protein 1</t>
  </si>
  <si>
    <t>Golgi membrane protein GP73; Golgi phosphoprotein 2</t>
  </si>
  <si>
    <t>GOLM1_HUMAN</t>
  </si>
  <si>
    <t>Q8NBJ4</t>
  </si>
  <si>
    <t>Q6IAF4; Q9NRB9</t>
  </si>
  <si>
    <t>C9orf155; GOLPH2</t>
  </si>
  <si>
    <t>Acetylation; Alternative initiation; Coiled coil; Glycoprotein; Golgi apparatus; Membrane; Phosphoprotein; Polymorphism; Signal-anchor; Transmembrane; Transmembrane helix</t>
  </si>
  <si>
    <t>cellular protein metabolic process {GO:0044267}; nucleus organization {GO:0006997}; post-translational protein modification {GO:0043687}; regulation of lipid metabolic process {GO:0019216}</t>
  </si>
  <si>
    <t>endoplasmic reticulum lumen {GO:0005788}; extracellular space {GO:0005615}; Golgi apparatus {GO:0005794}; integral component of plasma membrane {GO:0005887}</t>
  </si>
  <si>
    <t>Guanine deaminase (Guanase; Guanine aminase)</t>
  </si>
  <si>
    <t>Guanine aminohydrolase (GAH); p51-nedasin</t>
  </si>
  <si>
    <t>GUAD_HUMAN</t>
  </si>
  <si>
    <t>Q9Y2T3</t>
  </si>
  <si>
    <t>B4DTY5; Q5SZC7; Q9H335; Q9ULG2</t>
  </si>
  <si>
    <t>KIAA1258</t>
  </si>
  <si>
    <t>3D-structure; Alternative splicing; Hydrolase; Metal-binding; Phosphoprotein; Zinc</t>
  </si>
  <si>
    <t>guanine catabolic process {GO:0006147}; guanine metabolic process {GO:0046098}; nervous system development {GO:0007399}; nucleobase-containing compound metabolic process {GO:0006139}; purine nucleotide catabolic process {GO:0006195}</t>
  </si>
  <si>
    <t>cytosol {GO:0005829}; intracellular {GO:0005622}</t>
  </si>
  <si>
    <t>guanine deaminase activity {GO:0008892}; zinc ion binding {GO:0008270}</t>
  </si>
  <si>
    <t>Purine metabolism; guanine degradation; xanthine from guanine: step 1/1.</t>
  </si>
  <si>
    <t>26S proteasome non-ATPase regulatory subunit 5</t>
  </si>
  <si>
    <t>26S protease subunit S5 basic; 26S proteasome subunit S5B</t>
  </si>
  <si>
    <t>PSMD5_HUMAN</t>
  </si>
  <si>
    <t>Q16401</t>
  </si>
  <si>
    <t>B4DZM8; Q15045; Q4VXG8</t>
  </si>
  <si>
    <t>KIAA0072</t>
  </si>
  <si>
    <t>Acetylation; Alternative splicing; Chaperone; Polymorphism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</si>
  <si>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post-translational protein modification {GO:0043687}; proteasome regulatory particle assembly {GO:0070682};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</si>
  <si>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nucleoplasm {GO:0005654}; proteasome accessory complex {GO:0022624}; proteasome complex {GO:0000502}; proteasome regulatory particle, base subcomplex {GO:0008540}</t>
  </si>
  <si>
    <t>Kynurenine--oxoglutarate transaminase 1</t>
  </si>
  <si>
    <t>Cysteine-S-conjugate beta-lyase; Glutamine transaminase K (GTK); Glutamine--phenylpyruvate transaminase; Kynurenine aminotransferase 1; Kynurenine aminotransferase I (KATI); Kynurenine--oxoglutarate transaminase I</t>
  </si>
  <si>
    <t>KAT1_HUMAN</t>
  </si>
  <si>
    <t>Q16773</t>
  </si>
  <si>
    <t>Q5T275; Q8N191</t>
  </si>
  <si>
    <t>CCBL1</t>
  </si>
  <si>
    <t>3D-structure; Alternative splicing; Aminotransferase; Cytoplasm; Lyase; Pyridoxal phosphate; Transferase</t>
  </si>
  <si>
    <t>Aminotransferase; Lyase; Transferase</t>
  </si>
  <si>
    <t>cellular amino acid biosynthetic process {GO:0008652}; cellular modified amino acid metabolic process {GO:0006575}; kynurenine metabolic process {GO:0070189}; L-kynurenine catabolic process {GO:0097053}; L-phenylalanine catabolic process {GO:0006559}; tryptophan catabolic process {GO:0006569}</t>
  </si>
  <si>
    <t>cytoplasm {GO:0005737}; cytosol {GO:0005829}; mitochondrion {GO:0005739}; nucleoplasm {GO:0005654}</t>
  </si>
  <si>
    <t>cysteine-S-conjugate beta-lyase activity {GO:0047804}; glutamine-phenylpyruvate transaminase activity {GO:0047316}; kynurenine-oxoglutarate transaminase activity {GO:0016212}; protein homodimerization activity {GO:0042803}; pyridoxal phosphate binding {GO:0030170}; transaminase activity {GO:0008483}</t>
  </si>
  <si>
    <t>Amino-acid degradation; L-kynurenine degradation; kynurenate from L-kynurenine: step 1/2.</t>
  </si>
  <si>
    <t>Amino acid synthesis and interconversion (transamination) {R-HSA-70614}; Phenylalanine and tyrosine catabolism {R-HSA-71182}; Tryptophan catabolism {R-HSA-71240}</t>
  </si>
  <si>
    <t>Endoplasmic reticulum chaperone BiP</t>
  </si>
  <si>
    <t>78 kDa glucose-regulated protein (GRP-78); Binding-immunoglobulin protein (BiP); Heat shock protein 70 family protein 5 (HSP70 family protein 5); Heat shock protein family A member 5; Immunoglobulin heavy chain-binding protein</t>
  </si>
  <si>
    <t>BIP_HUMAN</t>
  </si>
  <si>
    <t>P11021</t>
  </si>
  <si>
    <t>B0QZ61; Q2EF78; Q9NPF1; Q9UK02</t>
  </si>
  <si>
    <t>3D-structure; Acetylation; ATP-binding; Chaperone; Cytoplasm; Endoplasmic reticulum; Hydrolase; Isopeptide bond; Methylation; Nitration; Nucleotide-binding; Phosphoprotein; Polymorphism; Signal; Ubl conjugation</t>
  </si>
  <si>
    <t>Chaperone; Hydrolase</t>
  </si>
  <si>
    <t>ATF6-mediated unfolded protein response {GO:0036500}; cellular response to antibiotic {GO:0071236}; cellular response to calcium ion {GO:0071277}; cellular response to cAMP {GO:0071320}; cellular response to drug {GO:0035690}; cellular response to gamma radiation {GO:0071480}; cellular response to glucose starvation {GO:0042149}; cellular response to heat {GO:0034605}; cellular response to interleukin-4 {GO:0071353}; cellular response to manganese ion {GO:0071287}; cellular response to nerve growth factor stimulus {GO:1990090}; cellular response to unfolded protein {GO:0034620}; cerebellar Purkinje cell layer development {GO:0021680}; cerebellum structural organization {GO:0021589}; chaperone cofactor-dependent protein refolding {GO:0051085}; endoplasmic reticulum unfolded protein response {GO:0030968}; ER overload response {GO:0006983}; IRE1-mediated unfolded protein response {GO:0036498}; luteolysis {GO:0001554}; maintenance of protein localization in endoplasmic reticulum {GO:0035437}; negative regulation of apoptotic process {GO:0043066}; negative regulation of IRE1-mediated unfolded protein response {GO:1903895}; negative regulation of protein homodimerization activity {GO:0090074}; negative regulation of transforming growth factor beta receptor signaling pathway {GO:0030512}; neuron apoptotic process {GO:0051402}; neuron differentiation {GO:0030182}; PERK-mediated unfolded protein response {GO:0036499}; positive regulation of cell migration {GO:0030335}; positive regulation of neuron projection development {GO:0010976}; positive regulation of protein ubiquitination {GO:0031398}; positive regulation of transcription from RNA polymerase II promoter in response to endoplasmic reticulum stress {GO:1990440}; posttranslational protein targeting to membrane, translocation {GO:0031204}; protein folding in endoplasmic reticulum {GO:0034975}; protein refolding {GO:0042026}; regulation of ATF6-mediated unfolded protein response {GO:1903891}; regulation of IRE1-mediated unfolded protein response {GO:1903894}; regulation of PERK-mediated unfolded protein response {GO:1903897}; regulation of protein folding in endoplasmic reticulum {GO:0060904}; response to cocaine {GO:0042220}; response to methamphetamine hydrochloride {GO:1904313}; response to unfolded protein {GO:0006986}; stress response to metal ion {GO:0097501}; substantia nigra development {GO:0021762}; toxin transport {GO:1901998}; ubiquitin-dependent ERAD pathway {GO:0030433}</t>
  </si>
  <si>
    <t>cell surface {GO:0009986}; cytoplasm {GO:0005737}; cytosol {GO:0005829}; endoplasmic reticulum {GO:0005783}; endoplasmic reticulum chaperone complex {GO:0034663}; endoplasmic reticulum lumen {GO:0005788}; endoplasmic reticulum membrane {GO:0005789}; endoplasmic reticulum-Golgi intermediate compartment {GO:0005793}; extracellular exosome {GO:0070062}; focal adhesion {GO:0005925}; integral component of endoplasmic reticulum membrane {GO:0030176}; intracellular membrane-bounded organelle {GO:0043231}; melanosome {GO:0042470}; membrane {GO:0016020}; midbody {GO:0030496}; mitochondrion {GO:0005739}; nucleus {GO:0005634}; plasma membrane {GO:0005886}; protein-containing complex {GO:0032991}; smooth endoplasmic reticulum {GO:0005790}</t>
  </si>
  <si>
    <t>ATP binding {GO:0005524}; ATPase activity {GO:0016887}; ATPase activity, coupled {GO:0042623}; cadherin binding {GO:0045296}; calcium ion binding {GO:0005509}; chaperone binding {GO:0051087}; enzyme binding {GO:0019899}; heat shock protein binding {GO:0031072}; misfolded protein binding {GO:0051787}; protein domain specific binding {GO:0019904}; protein folding chaperone {GO:0044183}; ribosome binding {GO:0043022}; ubiquitin protein ligase binding {GO:0031625}; unfolded protein binding {GO:0051082}</t>
  </si>
  <si>
    <t>Platelet degranulation {R-HSA-114608}; Regulation of HSF1-mediated heat shock response {R-HSA-3371453}; ATF6 (ATF6-alpha) activates chaperones {R-HSA-381033}; PERK regulates gene expression {R-HSA-381042}; IRE1alpha activates chaperones {R-HSA-381070}; ATF6 (ATF6-alpha) activates chaperone genes {R-HSA-381183}; Antigen Presentation: Folding, assembly and peptide loading of class I MHC {R-HSA-983170}</t>
  </si>
  <si>
    <t>Alpha-1-acid glycoprotein 1 (AGP 1)</t>
  </si>
  <si>
    <t>Orosomucoid-1 (OMD 1)</t>
  </si>
  <si>
    <t>A1AG1_HUMAN</t>
  </si>
  <si>
    <t>P02763</t>
  </si>
  <si>
    <t>B7ZKQ5; Q5T539; Q5U067; Q8TC16</t>
  </si>
  <si>
    <t>AGP1</t>
  </si>
  <si>
    <t>3D-structure; Acute phase; Disulfide bond; Glycoprotein; Polymorphism; Pyrrolidone carboxylic acid; Secreted; Signal; Transport</t>
  </si>
  <si>
    <t>Acute phase; Transport</t>
  </si>
  <si>
    <t>acute-phase response {GO:0006953}; inflammatory response {GO:0006954}; negative regulation of interleukin-6 production {GO:0032715}; negative regulation of tumor necrosis factor production {GO:0032720}; neutrophil degranulation {GO:0043312}; platelet degranulation {GO:0002576}; positive regulation of interleukin-1 beta secretion {GO:0050718}; positive regulation of interleukin-1 secretion {GO:0050716}; positive regulation of tumor necrosis factor secretion {GO:1904469}; regulation of immune system process {GO:0002682}</t>
  </si>
  <si>
    <t>blood microparticle {GO:0072562}; collagen-containing extracellular matrix {GO:0062023}; extracellular exosome {GO:0070062}; extracellular region {GO:0005576}; extracellular space {GO:0005615}; platelet alpha granule lumen {GO:0031093}; specific granule lumen {GO:0035580}; tertiary granule lumen {GO:1904724}</t>
  </si>
  <si>
    <t>Kinesin-like protein KIF12</t>
  </si>
  <si>
    <t>KIF12_HUMAN</t>
  </si>
  <si>
    <t>Q96FN5</t>
  </si>
  <si>
    <t>Q5TBE0</t>
  </si>
  <si>
    <t>ATP-binding; Coiled coil; Cytoplasm; Cytoskeleton; Microtubule; Motor protein; Nucleotide-binding; Phosphoprotein</t>
  </si>
  <si>
    <t>microtubule-based movement {GO:0007018}</t>
  </si>
  <si>
    <t>cytoplasm {GO:0005737}; extracellular exosome {GO:0070062}; kinesin complex {GO:0005871}; microtubule {GO:0005874}</t>
  </si>
  <si>
    <t>ATP binding {GO:0005524}; ATPase activity {GO:0016887}; microtubule binding {GO:0008017}; microtubule motor activity {GO:0003777}</t>
  </si>
  <si>
    <t>Trypstatin</t>
  </si>
  <si>
    <t>Alpha-1 microglycoprotein; Complex-forming glycoprotein heterogeneous in charge (ITI-LC); Bikunin; EDC1; HI-30; Uronic-acid-rich protein</t>
  </si>
  <si>
    <t>AMBP_HUMAN</t>
  </si>
  <si>
    <t>P02760</t>
  </si>
  <si>
    <t>P00977; P02759; P78491; Q2TU33; Q5TBD7; Q9UC58; Q9UDI8</t>
  </si>
  <si>
    <t>HCP; ITIL</t>
  </si>
  <si>
    <t>3D-structure; Chromophore; Cleavage on pair of basic residues; Disulfide bond; Glycoprotein; Host-virus interaction; Protease inhibitor; Proteoglycan; Repeat; Secreted; Serine protease inhibitor; Signal</t>
  </si>
  <si>
    <t>Chromophore</t>
  </si>
  <si>
    <t>Cleavage on pair of basic residues; Disulfide bond; Glycoprotein; Proteoglycan</t>
  </si>
  <si>
    <t>cell adhesion {GO:0007155}; female pregnancy {GO:0007565}; heme catabolic process {GO:0042167}; negative regulation of immune response {GO:0050777}; negative regulation of JNK cascade {GO:0046329}; protein catabolic process {GO:0030163}; protein-chromophore linkage {GO:0018298}; receptor-mediated endocytosis {GO:0006898}; viral process {GO:0016032}</t>
  </si>
  <si>
    <t>blood microparticle {GO:0072562}; cell surface {GO:0009986}; collagen-containing extracellular matrix {GO:0062023}; extracellular exosome {GO:0070062}; extracellular region {GO:0005576}; extracellular space {GO:0005615}; intracellular membrane-bounded organelle {GO:0043231}; plasma membrane {GO:0005886}</t>
  </si>
  <si>
    <t>calcium channel inhibitor activity {GO:0019855}; calcium oxalate binding {GO:0046904}; heme binding {GO:0020037}; IgA binding {GO:0019862}; protein homodimerization activity {GO:0042803}; serine-type endopeptidase inhibitor activity {GO:0004867}</t>
  </si>
  <si>
    <t>60S ribosomal protein L35</t>
  </si>
  <si>
    <t>Large ribosomal subunit protein uL29</t>
  </si>
  <si>
    <t>RL35_HUMAN</t>
  </si>
  <si>
    <t>P42766</t>
  </si>
  <si>
    <t>A8K4V7; Q4VBY5; Q5JTN5; Q6IBC7; Q96QJ7; Q9BYF4</t>
  </si>
  <si>
    <t>maturation of LSU-rRNA from tricistronic rRNA transcript (SSU-rRNA, 5.8S rRNA, LSU-rRNA) {GO:0000463};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</si>
  <si>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membrane {GO:0016020}; nucleolus {GO:0005730}</t>
  </si>
  <si>
    <t>mRNA binding {GO:0003729}; RNA binding {GO:0003723}; structural constituent of ribosome {GO:0003735}</t>
  </si>
  <si>
    <t>Argininosuccinate synthase</t>
  </si>
  <si>
    <t>Citrulline--aspartate ligase</t>
  </si>
  <si>
    <t>ASSY_HUMAN</t>
  </si>
  <si>
    <t>P00966</t>
  </si>
  <si>
    <t>Q6LDL2; Q86UZ0; Q96GT4</t>
  </si>
  <si>
    <t>3D-structure; Acetylation; Amino-acid biosynthesis; Arginine biosynthesis; ATP-binding; Cytoplasm; Disease mutation; Ligase; Nucleotide-binding; Phosphoprotein; Polymorphism; Urea cycle</t>
  </si>
  <si>
    <t>acute-phase response {GO:0006953}; aging {GO:0007568}; arginine biosynthetic process {GO:0006526}; argininosuccinate metabolic process {GO:0000053}; aspartate metabolic process {GO:0006531}; cellular response to amine stimulus {GO:0071418}; cellular response to amino acid stimulus {GO:0071230}; cellular response to ammonium ion {GO:0071242}; cellular response to cAMP {GO:0071320}; cellular response to dexamethasone stimulus {GO:0071549}; cellular response to glucagon stimulus {GO:0071377}; cellular response to interferon-gamma {GO:0071346}; cellular response to laminar fluid shear stress {GO:0071499}; cellular response to lipopolysaccharide {GO:0071222}; cellular response to oleic acid {GO:0071400}; cellular response to tumor necrosis factor {GO:0071356}; circadian rhythm {GO:0007623}; citrulline metabolic process {GO:0000052}; diaphragm development {GO:0060539}; kidney development {GO:0001822}; liver development {GO:0001889}; midgut development {GO:0007494}; negative regulation of leukocyte cell-cell adhesion {GO:1903038}; positive regulation of nitric oxide biosynthetic process {GO:0045429}; response to estradiol {GO:0032355}; response to growth hormone {GO:0060416}; response to mycotoxin {GO:0010046}; response to nutrient {GO:0007584}; response to zinc ion {GO:0010043}; urea cycle {GO:0000050}</t>
  </si>
  <si>
    <t>cell body fiber {GO:0070852}; cytoplasm {GO:0005737}; cytosol {GO:0005829}; endoplasmic reticulum {GO:0005783}; extracellular exosome {GO:0070062}; lysosome {GO:0005764}; mitochondrial outer membrane {GO:0005741}; nucleus {GO:0005634}; perikaryon {GO:0043204}</t>
  </si>
  <si>
    <t>amino acid binding {GO:0016597}; argininosuccinate synthase activity {GO:0004055}; ATP binding {GO:0005524}; identical protein binding {GO:0042802}; RNA binding {GO:0003723}; toxic substance binding {GO:0015643}</t>
  </si>
  <si>
    <t xml:space="preserve">Nitrogen metabolism; urea cycle; (N(omega)-L- arginino)succinate from L-aspartate and L-citrulline: step 1/1. </t>
  </si>
  <si>
    <t>Ubiquitin-related modifier 1</t>
  </si>
  <si>
    <t>URM1_HUMAN</t>
  </si>
  <si>
    <t>Q9BTM9</t>
  </si>
  <si>
    <t>B3KMH3; B4DV08; Q5T4B4</t>
  </si>
  <si>
    <t>C9orf74</t>
  </si>
  <si>
    <t>Alternative splicing; Cytoplasm; Isopeptide bond; tRNA processing; Ubl conjugation pathway</t>
  </si>
  <si>
    <t>Ubl conjugation pathway; tRNA processing</t>
  </si>
  <si>
    <t>Isopeptide bond</t>
  </si>
  <si>
    <t>protein urmylation {GO:0032447}; tRNA modification {GO:0006400}; tRNA thio-modification {GO:0034227}; tRNA wobble uridine modification {GO:0002098}</t>
  </si>
  <si>
    <t>sulfur carrier activity {GO:0097163}</t>
  </si>
  <si>
    <t>tRNA modification; 5-methoxycarbonylmethyl-2-thiouridine- tRNA biosynthesis..</t>
  </si>
  <si>
    <t>tRNA modification in the nucleus and cytosol {R-HSA-6782315}</t>
  </si>
  <si>
    <t>F-actin-capping protein subunit beta</t>
  </si>
  <si>
    <t>CapZ beta</t>
  </si>
  <si>
    <t>CAPZB_HUMAN</t>
  </si>
  <si>
    <t>P47756</t>
  </si>
  <si>
    <t>Q32Q68; Q5U0L4; Q8TB49; Q9NUC4</t>
  </si>
  <si>
    <t>Acetylation; Actin capping; Actin-binding; Alternative splicing; Cytoplasm; Cytoskeleton; Phosphoprotein</t>
  </si>
  <si>
    <t>actin cytoskeleton organization {GO:0030036}; antigen processing and presentation of exogenous peptide antigen via MHC class II {GO:0019886}; barbed-end actin filament capping {GO:0051016}; blood coagulation {GO:0007596}; cell morphogenesis {GO:0000902}; cytoskeleton organization {GO:0007010}; endoplasmic reticulum to Golgi vesicle-mediated transport {GO:0006888}; negative regulation of filopodium assembly {GO:0051490}; regulation of cell morphogenesis {GO:0022604}; regulation of lamellipodium assembly {GO:0010591}</t>
  </si>
  <si>
    <t>actin cytoskeleton {GO:0015629}; cytoskeleton {GO:0005856}; cytosol {GO:0005829}; extracellular exosome {GO:0070062}; F-actin capping protein complex {GO:0008290}; sarcomere {GO:0030017}; WASH complex {GO:0071203}</t>
  </si>
  <si>
    <t>MHC class II antigen presentation {R-HSA-2132295}; HSP90 chaperone cycle for steroid hormone receptors (SHR) {R-HSA-3371497}; COPI-mediated anterograde transport {R-HSA-6807878}; COPI-independent Golgi-to-ER retrograde traffic {R-HSA-6811436}; Factors involved in megakaryocyte development and platelet production {R-HSA-983231}</t>
  </si>
  <si>
    <t>Clathrin light chain A (Lca)</t>
  </si>
  <si>
    <t>CLCA_HUMAN</t>
  </si>
  <si>
    <t>P09496</t>
  </si>
  <si>
    <t>A8K4W3; B4DIN1; F5H6N3; Q2XPN5; Q53XZ1</t>
  </si>
  <si>
    <t>Acetylation; Alternative splicing; Calcium; Cell cycle; Cell division; Coated pit; Cytoplasm; Cytoplasmic vesicle; Cytoskeleton; Membrane; Mitosis; Phosphoprotein</t>
  </si>
  <si>
    <t>Coated pit; Cytoplasm; Cytoplasmic vesicle; Cytoskeleton; Membrane</t>
  </si>
  <si>
    <t>antigen processing and presentation of exogenous peptide antigen via MHC class II {GO:0019886}; cell cycle {GO:0007049}; cell division {GO:0051301}; clathrin coat assembly {GO:0048268}; clathrin-dependent endocytosis {GO:0072583}; intracellular protein transport {GO:0006886}; low-density lipoprotein particle clearance {GO:0034383}; low-density lipoprotein particle receptor catabolic process {GO:0032802}; membrane organization {GO:0061024}</t>
  </si>
  <si>
    <t>clathrin coat {GO:0030118}; clathrin coat of coated pit {GO:0030132}; clathrin coat of trans-Golgi network vesicle {GO:0030130}; clathrin complex {GO:0071439}; clathrin vesicle coat {GO:0030125}; clathrin-coated endocytic vesicle {GO:0045334}; cytoplasmic vesicle {GO:0031410}; cytosol {GO:0005829}; endolysosome membrane {GO:0036020}; membrane {GO:0016020}; plasma membrane {GO:0005886}; postsynaptic endocytic zone cytoplasmic component {GO:0099631}; presynaptic endocytic zone membrane {GO:0098835}; spindle {GO:0005819}; synaptic vesicle membrane {GO:0030672}; trans-Golgi network membrane {GO:0032588}</t>
  </si>
  <si>
    <t>clathrin heavy chain binding {GO:0032050}; GTPase binding {GO:0051020}; peptide binding {GO:0042277}; protein-containing complex binding {GO:0044877}; structural molecule activity {GO:0005198}</t>
  </si>
  <si>
    <t>Entry of Influenza Virion into Host Cell via Endocytosis {R-HSA-168275}; Retrograde neurotrophin signalling {R-HSA-177504}; Gap junction degradation {R-HSA-190873}; Formation of annular gap junctions {R-HSA-196025}; MHC class II antigen presentation {R-HSA-2132295}; EPH-ephrin mediated repulsion of cells {R-HSA-3928665}; Lysosome Vesicle Biogenesis {R-HSA-432720}; Golgi Associated Vesicle Biogenesis {R-HSA-432722}; Recycling pathway of L1 {R-HSA-437239}; WNT5A-dependent internalization of FZD4 {R-HSA-5099900}; WNT5A-dependent internalization of FZD2, FZD5 and ROR2 {R-HSA-5140745}; Cargo recognition for clathrin-mediated endocytosis {R-HSA-8856825}; Clathrin-mediated endocytosis {R-HSA-8856828}; VLDLR internalisation and degradation {R-HSA-8866427}; LDL clearance {R-HSA-8964038}</t>
  </si>
  <si>
    <t>Endoplasmic reticulum resident protein 44 (ER protein 44; ERp44)</t>
  </si>
  <si>
    <t>Thioredoxin domain-containing protein 4</t>
  </si>
  <si>
    <t>ERP44_HUMAN</t>
  </si>
  <si>
    <t>Q9BS26</t>
  </si>
  <si>
    <t>O60319; Q4VXC1; Q5VWZ7; Q6UW14; Q8WX67</t>
  </si>
  <si>
    <t>KIAA0573; TXNDC4</t>
  </si>
  <si>
    <t>3D-structure; Chaperone; Disulfide bond; Endoplasmic reticulum; Signal; Stress response</t>
  </si>
  <si>
    <t>cell redox homeostasis {GO:0045454}; glycoprotein metabolic process {GO:0009100}; neutrophil degranulation {GO:0043312}; protein folding {GO:0006457}; response to endoplasmic reticulum stress {GO:0034976}; response to unfolded protein {GO:0006986}</t>
  </si>
  <si>
    <t>cell surface {GO:0009986}; endoplasmic reticulum lumen {GO:0005788}; endoplasmic reticulum membrane {GO:0005789}; endoplasmic reticulum-Golgi intermediate compartment {GO:0005793}; extracellular exosome {GO:0070062}; extracellular region {GO:0005576}; specific granule lumen {GO:0035580}</t>
  </si>
  <si>
    <t>protein disulfide isomerase activity {GO:0003756}</t>
  </si>
  <si>
    <t>Tumor necrosis factor-binding protein 2</t>
  </si>
  <si>
    <t>Tumor necrosis factor receptor 2 (TNF-R2); Tumor necrosis factor receptor type II (TNF-RII; TNFR-II); p75; p80 TNF-alpha receptor; CD_antigen=CD120b; INN=Etanercept; TBP-2; TBPII</t>
  </si>
  <si>
    <t>TNR1B_HUMAN</t>
  </si>
  <si>
    <t>P20333</t>
  </si>
  <si>
    <t>B1AJZ3; Q16042; Q6YI29; Q9UIH1</t>
  </si>
  <si>
    <t>TNFBR; TNFR2</t>
  </si>
  <si>
    <t>3D-structure; Alternative splicing; Apoptosis; Cell membrane; Disulfide bond; Glycoprotein; Membrane; Pharmaceutical; Phosphoprotein; Polymorphism; Receptor; Repeat; Secreted; Signal; Transmembrane; Transmembrane helix</t>
  </si>
  <si>
    <t>aging {GO:0007568}; aortic valve development {GO:0003176}; cellular response to growth factor stimulus {GO:0071363}; cellular response to lipopolysaccharide {GO:0071222}; cytokine-mediated signaling pathway {GO:0019221}; extrinsic apoptotic signaling pathway {GO:0097191}; glial cell-neuron signaling {GO:0150098}; inflammatory response {GO:0006954}; intrinsic apoptotic signaling pathway in response to DNA damage {GO:0008630}; negative regulation of cardiac muscle hypertrophy {GO:0010614}; negative regulation of cell death {GO:0060548}; negative regulation of extracellular matrix constituent secretion {GO:0003332}; negative regulation of neuroinflammatory response {GO:0150079}; negative regulation of neuron death {GO:1901215}; neutrophil degranulation {GO:0043312}; positive regulation of apoptotic process involved in morphogenesis {GO:1902339}; positive regulation of membrane protein ectodomain proteolysis {GO:0051044}; positive regulation of myelination {GO:0031643}; positive regulation of oligodendrocyte differentiation {GO:0048714}; pulmonary valve development {GO:0003177}; regulation of cytokine secretion involved in immune response {GO:0002739}; regulation of myelination {GO:0031641}; regulation of neuroinflammatory response {GO:0150077}; regulation of RNA biosynthetic process {GO:2001141}; regulation of T cell cytokine production {GO:0002724}; regulation of T cell proliferation {GO:0042129}; RNA destabilization {GO:0050779}; tumor necrosis factor-mediated signaling pathway {GO:0033209}</t>
  </si>
  <si>
    <t>extracellular region {GO:0005576}; integral component of membrane {GO:0016021}; membrane {GO:0016020}; membrane raft {GO:0045121}; neuronal cell body {GO:0043025}; nucleus {GO:0005634}; perinuclear region of cytoplasm {GO:0048471}; plasma membrane {GO:0005886}; specific granule membrane {GO:0035579}; tumor necrosis factor receptor superfamily complex {GO:0002947}; varicosity {GO:0043196}</t>
  </si>
  <si>
    <t>tumor necrosis factor binding {GO:0043120}; tumor necrosis factor-activated receptor activity {GO:0005031}; ubiquitin protein ligase binding {GO:0031625}</t>
  </si>
  <si>
    <t>TNFR2 non-canonical NF-kB pathway {R-HSA-5668541}; TNFs bind their physiological receptors {R-HSA-5669034}; Interleukin-10 signaling {R-HSA-6783783}; Interleukin-4 and Interleukin-13 signaling {R-HSA-6785807}; Neutrophil degranulation {R-HSA-6798695}</t>
  </si>
  <si>
    <t>Calcium-binding mitochondrial carrier protein SCaMC-1</t>
  </si>
  <si>
    <t>Mitochondrial ATP-Mg/Pi carrier protein 1; Mitochondrial Ca(2+)-dependent solute carrier protein 1; Small calcium-binding mitochondrial carrier protein 1; Solute carrier family 25 member 24</t>
  </si>
  <si>
    <t>SCMC1_HUMAN</t>
  </si>
  <si>
    <t>Q6NUK1</t>
  </si>
  <si>
    <t>B7ZAI9; Q5T331; Q5T485; Q6PJJ9; Q705K4; Q9P129</t>
  </si>
  <si>
    <t>APC1; MCSC1; SCAMC1</t>
  </si>
  <si>
    <t>3D-structure; Acetylation; Alternative splicing; Calcium; Disease mutation; Membrane; Metal-binding; Mitochondrion; Mitochondrion inner membrane; Repeat; Transmembrane; Transmembrane helix; Transport</t>
  </si>
  <si>
    <t>ATP transport {GO:0015867}; cellular response to calcium ion {GO:0071277}; cellular response to oxidative stress {GO:0034599}; mitochondrial transport {GO:0006839}; regulation of cell death {GO:0010941}</t>
  </si>
  <si>
    <t>integral component of membrane {GO:0016021}; mitochondrial inner membrane {GO:0005743}; mitochondrion {GO:0005739}</t>
  </si>
  <si>
    <t>ATP transmembrane transporter activity {GO:0005347}; calcium ion binding {GO:0005509}</t>
  </si>
  <si>
    <t>Tyrosine-protein kinase transmembrane receptor ROR2</t>
  </si>
  <si>
    <t>Neurotrophic tyrosine kinase, receptor-related 2</t>
  </si>
  <si>
    <t>ROR2_HUMAN</t>
  </si>
  <si>
    <t>Q01974</t>
  </si>
  <si>
    <t>Q59GF5; Q5SPI5; Q9HAY7; Q9HB61</t>
  </si>
  <si>
    <t>NTRKR2</t>
  </si>
  <si>
    <t>3D-structure; ATP-binding; Cell membrane; Developmental protein; Disease mutation; Disulfide bond; Dwarfism; Glycoprotein; Immunoglobulin domain; Kinase; Kringle; Magnesium; Membrane; Metal-binding; Methylation; Nucleotide-binding; Phosphoprotein; Polymorphism; Receptor; Signal; Sulfation; Transferase; Transmembrane; Transmembrane helix; Tyrosine-protein kinase; Wnt signaling pathway</t>
  </si>
  <si>
    <t>Immunoglobulin domain; Kringle; Signal; Transmembrane; Transmembrane helix</t>
  </si>
  <si>
    <t>Disulfide bond; Glycoprotein; Methylation; Phosphoprotein; Sulfation</t>
  </si>
  <si>
    <t>anatomical structure development {GO:0048856}; astrocyte development {GO:0014002}; BMP signaling pathway {GO:0030509}; bone mineralization {GO:0030282}; cartilage condensation {GO:0001502}; cell fate commitment {GO:0045165}; embryonic digit morphogenesis {GO:0042733}; embryonic genitalia morphogenesis {GO:0030538}; inner ear morphogenesis {GO:0042472}; JNK cascade {GO:0007254}; macrophage migration {GO:1905517}; male genitalia development {GO:0030539}; multicellular organism development {GO:0007275}; negative regulation of canonical Wnt signaling pathway {GO:0090090}; negative regulation of cell population proliferation {GO:0008285}; positive regulation of canonical Wnt signaling pathway {GO:0090263}; positive regulation of cell migration {GO:0030335}; positive regulation of JUN kinase activity {GO:0043507}; positive regulation of macrophage differentiation {GO:0045651}; positive regulation of protein kinase C activity {GO:1900020}; positive regulation of synaptic transmission, glutamatergic {GO:0051968}; positive regulation of transcription, DNA-templated {GO:0045893}; signal transduction {GO:0007165}; SMAD protein signal transduction {GO:0060395}; smoothened signaling pathway {GO:0007224}; somitogenesis {GO:0001756}; transmembrane receptor protein tyrosine kinase signaling pathway {GO:0007169}; Wnt signaling pathway, calcium modulating pathway {GO:0007223}; Wnt signaling pathway, planar cell polarity pathway {GO:0060071}</t>
  </si>
  <si>
    <t>axon {GO:0030424}; cell surface {GO:0009986}; clathrin-coated endocytic vesicle membrane {GO:0030669}; dendrite {GO:0030425}; integral component of plasma membrane {GO:0005887}; microtubule {GO:0005874}; neuronal cell body {GO:0043025}; plasma membrane {GO:0005886}; receptor complex {GO:0043235}</t>
  </si>
  <si>
    <t>ATP binding {GO:0005524}; coreceptor activity involved in Wnt signaling pathway, planar cell polarity pathway {GO:1904929}; frizzled binding {GO:0005109}; metal ion binding {GO:0046872}; mitogen-activated protein kinase kinase kinase binding {GO:0031435}; transmembrane receptor protein tyrosine kinase activity {GO:0004714}; Wnt-protein binding {GO:0017147}</t>
  </si>
  <si>
    <t>PCP/CE pathway {R-HSA-4086400}; WNT5A-dependent internalization of FZD2, FZD5 and ROR2 {R-HSA-5140745}</t>
  </si>
  <si>
    <t>Tight junction protein ZO-2</t>
  </si>
  <si>
    <t>Tight junction protein 2; Zona occludens protein 2; Zonula occludens protein 2</t>
  </si>
  <si>
    <t>ZO2_HUMAN</t>
  </si>
  <si>
    <t>Q9UDY2</t>
  </si>
  <si>
    <t>A2A3H9; B7Z2R8; B7Z7T6; F5H301; F5H886; Q15883; Q5VXL0; Q5VXL1; Q8N756; Q8NI14; Q99839; Q9UDY0; Q9UDY1</t>
  </si>
  <si>
    <t>X104; ZO2</t>
  </si>
  <si>
    <t>3D-structure; Alternative promoter usage; Alternative splicing; Cell junction; Cell membrane; Disease mutation; Intrahepatic cholestasis; Membrane; Nucleus; Phosphoprotein; Polymorphism; Repeat; SH3 domain; Tight junction</t>
  </si>
  <si>
    <t>Cell junction; Cell membrane; Membrane; Nucleus; Tight junction</t>
  </si>
  <si>
    <t>establishment of endothelial intestinal barrier {GO:0090557}; hippo signaling {GO:0035329}; intestinal absorption {GO:0050892}; regulation of membrane permeability {GO:0090559}</t>
  </si>
  <si>
    <t>adherens junction {GO:0005912}; bicellular tight junction {GO:0005923}; cell junction {GO:0030054}; cytosol {GO:0005829}; nucleoplasm {GO:0005654}; plasma membrane {GO:0005886}</t>
  </si>
  <si>
    <t>cadherin binding {GO:0045296}; guanylate kinase activity {GO:0004385}; protein binding, bridging {GO:0030674}; protein domain specific binding {GO:0019904}</t>
  </si>
  <si>
    <t>Signaling by Hippo {R-HSA-2028269}; Apoptotic cleavage of cell adhesion proteins {R-HSA-351906}</t>
  </si>
  <si>
    <t>Receptor-type tyrosine-protein phosphatase delta (Protein-tyrosine phosphatase delta; R-PTP-delta)</t>
  </si>
  <si>
    <t>PTPRD_HUMAN</t>
  </si>
  <si>
    <t>P23468</t>
  </si>
  <si>
    <t>B1ALA0; F5GWT7; Q3KPJ0; Q3KPJ1; Q3KPJ2</t>
  </si>
  <si>
    <t>3D-structure; Alternative splicing; Disulfide bond; Glycoprotein; Hydrolase; Immunoglobulin domain; Membrane; Polymorphism; Protein phosphatase; Receptor; Repeat; Signal; Transmembrane; Transmembrane helix</t>
  </si>
  <si>
    <t>heterophilic cell-cell adhesion via plasma membrane cell adhesion molecules {GO:0007157}; neuron differentiation {GO:0030182}; phosphate-containing compound metabolic process {GO:0006796}; positive regulation of dendrite morphogenesis {GO:0050775}; positive regulation of synapse assembly {GO:0051965}; presynaptic membrane assembly {GO:0097105}; protein dephosphorylation {GO:0006470}; regulation of postsynaptic density assembly {GO:0099151}; regulation of presynapse assembly {GO:1905606}; synaptic membrane adhesion {GO:0099560}; trans-synaptic signaling by trans-synaptic complex {GO:0099545}; transmembrane receptor protein tyrosine phosphatase signaling pathway {GO:0007185}</t>
  </si>
  <si>
    <t>extracellular exosome {GO:0070062}; glutamatergic synapse {GO:0098978}; integral component of plasma membrane {GO:0005887}; plasma membrane {GO:0005886}</t>
  </si>
  <si>
    <t>cell adhesion molecule binding {GO:0050839}; protein tyrosine phosphatase activity {GO:0004725}; signaling receptor binding {GO:0005102}; transmembrane receptor protein tyrosine phosphatase activity {GO:0005001}</t>
  </si>
  <si>
    <t>Receptor-type tyrosine-protein phosphatases {R-HSA-388844}; Synaptic adhesion-like molecules {R-HSA-8849932}</t>
  </si>
  <si>
    <t>UV excision repair protein RAD23 homolog B (HR23B; hHR23B)</t>
  </si>
  <si>
    <t>XP-C repair-complementing complex 58 kDa protein (p58)</t>
  </si>
  <si>
    <t>RD23B_HUMAN</t>
  </si>
  <si>
    <t>P54727</t>
  </si>
  <si>
    <t>B3KWK8; G5E9P0; Q7Z5K8; Q8WUB0</t>
  </si>
  <si>
    <t>3D-structure; Alternative splicing; Cytoplasm; DNA damage; DNA repair; Nucleus; Phosphoprotein; Polymorphism; Proteasome; Repeat; Ubl conjugation pathway</t>
  </si>
  <si>
    <t>cellular response to interleukin-7 {GO:0098761}; embryonic organ development {GO:0048568}; global genome nucleotide-excision repair {GO:0070911}; nucleotide-excision repair {GO:0006289}; nucleotide-excision repair, DNA damage recognition {GO:0000715}; nucleotide-excision repair, DNA duplex unwinding {GO:0000717}; nucleotide-excision repair, preincision complex assembly {GO:0006294}; proteasome-mediated ubiquitin-dependent protein catabolic process {GO:0043161}; protein deubiquitination {GO:0016579}; protein folding {GO:0006457}; regulation of proteasomal ubiquitin-dependent protein catabolic process {GO:0032434}; spermatogenesis {GO:0007283}</t>
  </si>
  <si>
    <t>cytosol {GO:0005829}; nucleoplasm {GO:0005654}; nucleus {GO:0005634}; proteasome complex {GO:0000502}; XPC complex {GO:0071942}</t>
  </si>
  <si>
    <t>damaged DNA binding {GO:0003684}; polyubiquitin modification-dependent protein binding {GO:0031593}; proteasome binding {GO:0070628}; single-stranded DNA binding {GO:0003697}; ubiquitin binding {GO:0043130}</t>
  </si>
  <si>
    <t>N-glycan trimming in the ER and Calnexin/Calreticulin cycle {R-HSA-532668}; Josephin domain DUBs {R-HSA-5689877}; DNA Damage Recognition in GG-NER {R-HSA-5696394}; Formation of Incision Complex in GG-NER {R-HSA-5696395}</t>
  </si>
  <si>
    <t>Restin-4</t>
  </si>
  <si>
    <t>Endostatin-XV; Related to endostatin; Restin-I; Restin-II; Restin-III; Restin-IV</t>
  </si>
  <si>
    <t>COFA1_HUMAN</t>
  </si>
  <si>
    <t>P39059</t>
  </si>
  <si>
    <t>Q5T6J4; Q9UDC5; Q9Y4W4</t>
  </si>
  <si>
    <t>3D-structure; Angiogenesis; Cell adhesion; Collagen; Developmental protein; Differentiation; Disulfide bond; Extracellular matrix; Glycoprotein; Hydroxylation; Polymorphism; Repeat; Secreted; Signal</t>
  </si>
  <si>
    <t>Angiogenesis; Cell adhesion; Differentiation</t>
  </si>
  <si>
    <t>angiogenesis {GO:0001525}; cell adhesion {GO:0007155}; cell differentiation {GO:0030154}; collagen catabolic process {GO:0030574}; extracellular matrix organization {GO:0030198}; signal transduction {GO:0007165}</t>
  </si>
  <si>
    <t>collagen type XV trimer {GO:0005582}; collagen-containing extracellular matrix {GO:0062023}; endoplasmic reticulum lumen {GO:0005788}; extracellular exosome {GO:0070062}; extracellular matrix {GO:0031012}; extracellular region {GO:0005576}; extracellular space {GO:0005615}; integral component of membrane {GO:0016021}</t>
  </si>
  <si>
    <t>Stomatin-like protein 2, mitochondrial (SLP-2)</t>
  </si>
  <si>
    <t>EPB72-like protein 2; Paraprotein target 7 (Paratarg-7)</t>
  </si>
  <si>
    <t>STML2_HUMAN</t>
  </si>
  <si>
    <t>Q9UJZ1</t>
  </si>
  <si>
    <t>B4E1K7; D3DRN3; O60376; Q53G29; Q96FY2; Q9P042</t>
  </si>
  <si>
    <t>SLP2</t>
  </si>
  <si>
    <t>Acetylation; Alternative splicing; Cell membrane; Coiled coil; Cytoplasm; Cytoskeleton; Lipid-binding; Lipoprotein; Membrane; Mitochondrion; Mitochondrion inner membrane; Phosphoprotein; Polymorphism; Transit peptide</t>
  </si>
  <si>
    <t>Cell membrane; Cytoplasm; Cytoskeleton; Membrane; Mitochondrion; Mitochondrion inner membrane</t>
  </si>
  <si>
    <t>CD4-positive, alpha-beta T cell activation {GO:0035710}; cellular calcium ion homeostasis {GO:0006874}; interleukin-2 production {GO:0032623}; lipid localization {GO:0010876}; mitochondrial ATP synthesis coupled proton transport {GO:0042776}; mitochondrial calcium ion transmembrane transport {GO:0006851}; mitochondrial protein processing {GO:0034982}; mitochondrion organization {GO:0007005}; positive regulation of cardiolipin metabolic process {GO:1900210}; positive regulation of mitochondrial DNA replication {GO:0090297}; positive regulation of mitochondrial membrane potential {GO:0010918}; protein complex oligomerization {GO:0051259}; stress-induced mitochondrial fusion {GO:1990046}; T cell receptor signaling pathway {GO:0050852}</t>
  </si>
  <si>
    <t>cytoskeleton {GO:0005856}; extrinsic component of plasma membrane {GO:0019897}; membrane raft {GO:0045121}; mitochondrial inner membrane {GO:0005743}; mitochondrial intermembrane space {GO:0005758}</t>
  </si>
  <si>
    <t>cardiolipin binding {GO:1901612}; GTPase binding {GO:0051020}; signaling receptor binding {GO:0005102}</t>
  </si>
  <si>
    <t>Caveolae-associated protein 4</t>
  </si>
  <si>
    <t>Muscle-related coiled-coil protein; Muscle-restricted coiled-coil protein</t>
  </si>
  <si>
    <t>CAVN4_HUMAN</t>
  </si>
  <si>
    <t>Q5BKX8</t>
  </si>
  <si>
    <t>B1PRL3; B4DT88</t>
  </si>
  <si>
    <t>MURC</t>
  </si>
  <si>
    <t>Activator; Cell membrane; Coiled coil; Cytoplasm; Developmental protein; Differentiation; Membrane; Myogenesis; Phosphoprotein; Transcription; Transcription regulation</t>
  </si>
  <si>
    <t>Activator; Developmental protein</t>
  </si>
  <si>
    <t>cell differentiation {GO:0030154}; muscle organ development {GO:0007517}; positive regulation of transcription by RNA polymerase II {GO:0045944}; regulation of gene expression {GO:0010468}; regulation of Rho protein signal transduction {GO:0035023}</t>
  </si>
  <si>
    <t>caveola {GO:0005901}; cytoplasm {GO:0005737}; cytosol {GO:0005829}; plasma membrane {GO:0005886}; sarcolemma {GO:0042383}; Z disc {GO:0030018}</t>
  </si>
  <si>
    <t>Ubiquilin-1</t>
  </si>
  <si>
    <t>Protein linking IAP with cytoskeleton 1 (PLIC-1; hPLIC-1)</t>
  </si>
  <si>
    <t>UBQL1_HUMAN</t>
  </si>
  <si>
    <t>Q9UMX0</t>
  </si>
  <si>
    <t>A0A024R284; Q5T6J5; Q5T6J9; Q8IXS9; Q8N2Q3; Q9H0T8; Q9H3R4; Q9HAZ5</t>
  </si>
  <si>
    <t>DA41; PLIC1</t>
  </si>
  <si>
    <t>3D-structure; Acetylation; Alternative splicing; Autophagy; Cell membrane; Cytoplasm; Cytoplasmic vesicle; Endoplasmic reticulum; Membrane; Nucleus; Phosphoprotein; Proteasome; Ubl conjugation</t>
  </si>
  <si>
    <t>Cell membrane; Cytoplasm; Cytoplasmic vesicle; Endoplasmic reticulum; Membrane; Nucleus; Proteasome</t>
  </si>
  <si>
    <t>aggrephagy {GO:0035973}; autophagosome assembly {GO:0000045}; autophagosome maturation {GO:0097352}; cellular response to hypoxia {GO:0071456}; macroautophagy {GO:0016236}; negative regulation of store-operated calcium channel activity {GO:1901340}; negative regulation of toll-like receptor 3 signaling pathway {GO:0034140}; positive regulation of ER-associated ubiquitin-dependent protein catabolic process {GO:1903071}; positive regulation of protein ubiquitination {GO:0031398}; regulation of macroautophagy {GO:0016241}; regulation of oxidative stress-induced intrinsic apoptotic signaling pathway {GO:1902175}; regulation of protein ubiquitination {GO:0031396}; response to endoplasmic reticulum stress {GO:0034976}; ubiquitin-dependent ERAD pathway {GO:0030433}; ubiquitin-dependent protein catabolic process {GO:0006511}</t>
  </si>
  <si>
    <t>aggresome {GO:0016235}; autophagosome {GO:0005776}; cytoplasm {GO:0005737}; cytoplasmic vesicle {GO:0031410}; cytosol {GO:0005829}; endoplasmic reticulum {GO:0005783}; nucleoplasm {GO:0005654}; perinuclear region of cytoplasm {GO:0048471}; plasma membrane {GO:0005886}; proteasome complex {GO:0000502}; protein-containing complex {GO:0032991}</t>
  </si>
  <si>
    <t>identical protein binding {GO:0042802}; kinase binding {GO:0019900}; polyubiquitin modification-dependent protein binding {GO:0031593}</t>
  </si>
  <si>
    <t>Cargo recognition for clathrin-mediated endocytosis {R-HSA-8856825}</t>
  </si>
  <si>
    <t>A-kinase anchor protein 2 (AKAP-2)</t>
  </si>
  <si>
    <t>AKAP-KL; Protein kinase A-anchoring protein 2 (PRKA2)</t>
  </si>
  <si>
    <t>AKAP2_HUMAN</t>
  </si>
  <si>
    <t>Q9Y2D5</t>
  </si>
  <si>
    <t>B1ALX9; B2RTU4; B3KQ00; B4DTZ2; B7ZW07; B9EJB5; Q9UG26</t>
  </si>
  <si>
    <t>KIAA0920; PRKA2</t>
  </si>
  <si>
    <t>Alternative splicing; Coiled coil; Isopeptide bond; Phosphoprotein; Polymorphism; Ubl conjugation</t>
  </si>
  <si>
    <t>Hydroxysteroid dehydrogenase-like protein 2</t>
  </si>
  <si>
    <t>Short chain dehydrogenase/reductase family 13C member 1</t>
  </si>
  <si>
    <t>HSDL2_HUMAN</t>
  </si>
  <si>
    <t>Q6YN16</t>
  </si>
  <si>
    <t>A8K1L4; A8K8X1; A8MSV3; Q658M8; Q9BT58</t>
  </si>
  <si>
    <t>C9orf99; SDR13C1</t>
  </si>
  <si>
    <t>3D-structure; Acetylation; Alternative splicing; NADP; Oxidoreductase; Peroxisome</t>
  </si>
  <si>
    <t>membrane {GO:0016020}; mitochondrion {GO:0005739}; peroxisome {GO:0005777}</t>
  </si>
  <si>
    <t>60S ribosomal protein L7a</t>
  </si>
  <si>
    <t>Large ribosomal subunit protein eL8; PLA-X polypeptide; Surfeit locus protein 3</t>
  </si>
  <si>
    <t>RL7A_HUMAN</t>
  </si>
  <si>
    <t>P62424</t>
  </si>
  <si>
    <t>P11518; Q5T8U4</t>
  </si>
  <si>
    <t>SURF-3; SURF3</t>
  </si>
  <si>
    <t>3D-structure; Acetylation; Chromosomal rearrangement; Isopeptide bond; Ribonucleoprotein; Ribosomal protein; Ubl conjugation</t>
  </si>
  <si>
    <t>Chromosomal rearrangement</t>
  </si>
  <si>
    <t>maturation of LSU-rRNA {GO:0000470};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</si>
  <si>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focal adhesion {GO:0005925}; membrane {GO:0016020}; nucleolus {GO:0005730}; nucleus {GO:0005634}; polysomal ribosome {GO:0042788}</t>
  </si>
  <si>
    <t>Cornifin-B</t>
  </si>
  <si>
    <t>14.9 kDa pancornulin; Small proline-rich protein IB (SPR-IB)</t>
  </si>
  <si>
    <t>SPR1B_HUMAN</t>
  </si>
  <si>
    <t>P22528</t>
  </si>
  <si>
    <t>B2R5H7; P22529; P22530; Q5T524</t>
  </si>
  <si>
    <t>Cytoplasm; Keratinization; Polymorphism; Repeat</t>
  </si>
  <si>
    <t>cornification {GO:0070268}; epidermis development {GO:0008544}; keratinocyte differentiation {GO:0030216}; peptide cross-linking {GO:0018149}</t>
  </si>
  <si>
    <t>cornified envelope {GO:0001533}; cytoplasm {GO:0005737}; cytosol {GO:0005829}</t>
  </si>
  <si>
    <t>Notch 1 intracellular domain</t>
  </si>
  <si>
    <t>Translocation-associated notch protein TAN-1 (NEXT; NICD)</t>
  </si>
  <si>
    <t>NOTC1_HUMAN</t>
  </si>
  <si>
    <t>P46531</t>
  </si>
  <si>
    <t>Q59ED8; Q5SXM3</t>
  </si>
  <si>
    <t>TAN1</t>
  </si>
  <si>
    <t>3D-structure; Activator; Angiogenesis; ANK repeat; Calcium; Cell membrane; Developmental protein; Differentiation; Disease mutation; Disulfide bond; EGF-like domain; Glycoprotein; Hydroxylation; Isopeptide bond; Membrane; Metal-binding; Notch signaling pathway; Nucleus; Phosphoprotein; Polymorphism; Receptor; Repeat; Signal; Transcription; Transcription regulation; Transmembrane; Transmembrane helix; Ubl conjugation</t>
  </si>
  <si>
    <t>Angiogenesis; Differentiation; Notch signaling pathway; Transcription; Transcription regulation</t>
  </si>
  <si>
    <t>Disulfide bond; Glycoprotein; Hydroxylation; Isopeptide bond; Phosphoprotein; Ubl conjugation</t>
  </si>
  <si>
    <t>angiogenesis {GO:0001525}; aortic valve morphogenesis {GO:0003180}; arterial endothelial cell differentiation {GO:0060842}; atrioventricular valve morphogenesis {GO:0003181}; cardiac atrium morphogenesis {GO:0003209}; cardiac chamber formation {GO:0003207}; cardiac epithelial to mesenchymal transition {GO:0060317}; cardiac left ventricle morphogenesis {GO:0003214}; cardiac muscle tissue morphogenesis {GO:0055008}; cardiac right atrium morphogenesis {GO:0003213}; cardiac septum morphogenesis {GO:0060411}; cardiac vascular smooth muscle cell development {GO:0060948}; cardiac ventricle morphogenesis {GO:0003208}; cell cycle arrest {GO:0007050}; cell migration involved in endocardial cushion formation {GO:0003273}; cellular response to follicle-stimulating hormone stimulus {GO:0071372}; cellular response to vascular endothelial growth factor stimulus {GO:0035924}; cilium assembly {GO:0060271}; coronary artery morphogenesis {GO:0060982}; coronary vein morphogenesis {GO:0003169}; determination of left/right symmetry {GO:0007368}; endocardial cell differentiation {GO:0060956}; endocardial cushion morphogenesis {GO:0003203}; endocardium development {GO:0003157}; endocardium morphogenesis {GO:0003160}; epithelial to mesenchymal transition {GO:0001837}; epithelial to mesenchymal transition involved in endocardial cushion formation {GO:0003198}; growth involved in heart morphogenesis {GO:0003241}; heart development {GO:0007507}; heart looping {GO:0001947}; heart trabecula morphogenesis {GO:0061384}; immune response {GO:0006955}; mesenchymal cell development {GO:0014031}; mitral valve formation {GO:0003192}; negative regulation of anoikis {GO:2000811}; negative regulation of biomineral tissue development {GO:0070168}; negative regulation of BMP signaling pathway {GO:0030514}; negative regulation of cardiac muscle hypertrophy {GO:0010614}; negative regulation of catalytic activity {GO:0043086}; negative regulation of cell migration involved in sprouting angiogenesis {GO:0090051}; negative regulation of cell population proliferation {GO:0008285}; negative regulation of cell proliferation involved in heart valve morphogenesis {GO:0003252}; negative regulation of cell-substrate adhesion {GO:0010812}; negative regulation of cold-induced thermogenesis {GO:0120163}; negative regulation of endothelial cell chemotaxis {GO:2001027}; negative regulation of extracellular matrix constituent secretion {GO:0003332}; negative regulation of gene expression {GO:0010629}; negative regulation of glial cell proliferation {GO:0060253}; negative regulation of growth rate {GO:0045967}; negative regulation of myoblast differentiation {GO:0045662}; negative regulation of myotube differentiation {GO:0010832}; negative regulation of neurogenesis {GO:0050768}; negative regulation of oligodendrocyte differentiation {GO:0048715}; negative regulation of ossification {GO:0030279}; negative regulation of osteoblast differentiation {GO:0045668}; negative regulation of pro-B cell differentiation {GO:2000974}; negative regulation of stem cell differentiation {GO:2000737}; negative regulation of transcription by RNA polymerase II {GO:0000122}; negative regulation of transcription, DNA-templated {GO:0045892}; neuronal stem cell population maintenance {GO:0097150}; Notch signaling involved in heart development {GO:0061314}; Notch signaling pathway {GO:0007219}; outflow tract morphogenesis {GO:0003151}; pericardium morphogenesis {GO:0003344}; positive regulation of apoptotic process involved in morphogenesis {GO:1902339}; positive regulation of astrocyte differentiation {GO:0048711}; positive regulation of BMP signaling pathway {GO:0030513}; positive regulation of cardiac epithelial to mesenchymal transition {GO:0062043}; positive regulation of cardiac muscle cell proliferation {GO:0060045}; positive regulation of cell migration {GO:0030335}; positive regulation of cell population proliferation {GO:0008284}; positive regulation of epithelial to mesenchymal transition {GO:0010718}; positive regulation of ERK1 and ERK2 cascade {GO:0070374}; positive regulation of gene expression {GO:0010628}; positive regulation of Notch signaling pathway {GO:0045747}; positive regulation of Ras protein signal transduction {GO:0046579}; positive regulation of receptor signaling pathway via JAK-STAT {GO:0046427}; positive regulation of transcription by RNA polymerase II {GO:0045944}; positive regulation of transcription from RNA polymerase II promoter in response to hypoxia {GO:0061419}; positive regulation of transcription of Notch receptor target {GO:0007221}; positive regulation of transcription, DNA-templated {GO:0045893}; pulmonary valve morphogenesis {GO:0003184}; regulation of extracellular matrix assembly {GO:1901201}; regulation of transcription from RNA polymerase II promoter involved in myocardial precursor cell differentiation {GO:0003256}; regulation of transcription, DNA-templated {GO:0006355}; transcription initiation from RNA polymerase II promoter {GO:0006367}; tube formation {GO:0035148}; vasculogenesis involved in coronary vascular morphogenesis {GO:0060979}; venous endothelial cell differentiation {GO:0060843}; ventricular septum morphogenesis {GO:0060412}; ventricular trabecula myocardium morphogenesis {GO:0003222}</t>
  </si>
  <si>
    <t>adherens junction {GO:0005912}; apical plasma membrane {GO:0016324}; cell surface {GO:0009986}; cytosol {GO:0005829}; endoplasmic reticulum membrane {GO:0005789}; extracellular region {GO:0005576}; Golgi membrane {GO:0000139}; integral component of membrane {GO:0016021}; MAML1-RBP-Jkappa- ICN1 complex {GO:0002193}; nucleoplasm {GO:0005654}; nucleus {GO:0005634}; plasma membrane {GO:0005886}; receptor complex {GO:0043235}</t>
  </si>
  <si>
    <t>calcium ion binding {GO:0005509}; DNA-binding transcription activator activity, RNA polymerase II-specific {GO:0001228}; enzyme binding {GO:0019899}; enzyme inhibitor activity {GO:0004857}; RNA polymerase II proximal promoter sequence-specific DNA binding {GO:0000978}; signaling receptor activity {GO:0038023}</t>
  </si>
  <si>
    <t>Pre-NOTCH Processing in the Endoplasmic Reticulum {R-HSA-1912399}; Pre-NOTCH Transcription and Translation {R-HSA-1912408}; Pre-NOTCH Processing in Golgi {R-HSA-1912420}; Regulation of gene expression in late stage (branching morphogenesis) pancreatic bud precursor cells {R-HSA-210744}; NOTCH1 Intracellular Domain Regulates Transcription {R-HSA-2122947}; Activated NOTCH1 Transmits Signal to the Nucleus {R-HSA-2122948}; Constitutive Signaling by NOTCH1 PEST Domain Mutants {R-HSA-2644606}; Loss of Function of FBXW7 in Cancer and NOTCH1 Signaling {R-HSA-2644607}; Constitutive Signaling by NOTCH1 t(7 {R-HSA-2660826}; Constitutive Signaling by NOTCH1 HD Domain Mutants {R-HSA-2691232}; Constitutive Signaling by NOTCH1 HD+PEST Domain Mutants {R-HSA-2894862}; Notch-HLH transcription pathway {R-HSA-350054}; Defective LFNG causes SCDO3 {R-HSA-5083630}; RUNX3 regulates NOTCH signaling {R-HSA-8941856}; NOTCH3 Intracellular Domain Regulates Transcription {R-HSA-9013508}; NOTCH4 Intracellular Domain Regulates Transcription {R-HSA-9013695}</t>
  </si>
  <si>
    <t>Sodium-dependent phosphate transport protein 2C (Sodium-phosphate transport protein 2C)</t>
  </si>
  <si>
    <t>Na(+)-dependent phosphate cotransporter 2C; Sodium/inorganic phosphate cotransporter IIC; Sodium/phosphate cotransporter 2C (Na(+)/Pi cotransporter 2C; NaPi-2c); Solute carrier family 34 member 3</t>
  </si>
  <si>
    <t>NPT2C_HUMAN</t>
  </si>
  <si>
    <t>Q8N130</t>
  </si>
  <si>
    <t>A2BFA1</t>
  </si>
  <si>
    <t>NPT2C; NPTIIC</t>
  </si>
  <si>
    <t>Disease mutation; Disulfide bond; Glycoprotein; Ion transport; Membrane; Phosphoprotein; Polymorphism; Sodium; Sodium transport; Symport; Transmembrane; Transmembrane helix; Transport</t>
  </si>
  <si>
    <t>cellular phosphate ion homeostasis {GO:0030643}; phosphate ion transport {GO:0006817}; sodium ion transport {GO:0006814}; sodium-dependent phosphate transport {GO:0044341}</t>
  </si>
  <si>
    <t>apical plasma membrane {GO:0016324}; brush border {GO:0005903}; brush border membrane {GO:0031526}; integral component of membrane {GO:0016021}; plasma membrane {GO:0005886}; vesicle {GO:0031982}</t>
  </si>
  <si>
    <t>sodium-dependent phosphate transmembrane transporter activity {GO:0015321}; sodium:phosphate symporter activity {GO:0005436}</t>
  </si>
  <si>
    <t>Type II Na+/Pi cotransporters {R-HSA-427589}; Defective SLC34A3 causes Hereditary hypophosphatemic rickets with hypercalciuria (HHRH) {R-HSA-5619097}</t>
  </si>
  <si>
    <t>Dipeptidyl peptidase 2</t>
  </si>
  <si>
    <t>Dipeptidyl aminopeptidase II; Dipeptidyl peptidase 7; Dipeptidyl peptidase II (DPP II); Quiescent cell proline dipeptidase</t>
  </si>
  <si>
    <t>DPP2_HUMAN</t>
  </si>
  <si>
    <t>Q9UHL4</t>
  </si>
  <si>
    <t>A8K7U7; Q5VSF1; Q969X4</t>
  </si>
  <si>
    <t>DPP2; QPP</t>
  </si>
  <si>
    <t>3D-structure; Aminopeptidase; Cleavage on pair of basic residues; Cytoplasmic vesicle; Glycoprotein; Hydrolase; Lysosome; Polymorphism; Protease; Secreted; Serine protease; Signal; Zymogen</t>
  </si>
  <si>
    <t>Cytoplasmic vesicle; Lysosome; Secreted</t>
  </si>
  <si>
    <t>Aminopeptidase; Hydrolase; Protease; Serine protease</t>
  </si>
  <si>
    <t>neutrophil degranulation {GO:0043312}; proteolysis {GO:0006508}</t>
  </si>
  <si>
    <t>azurophil granule lumen {GO:0035578}; cytosol {GO:0005829}; extracellular exosome {GO:0070062}; extracellular region {GO:0005576}; Golgi apparatus {GO:0005794}; intracellular membrane-bounded organelle {GO:0043231}; vesicle {GO:0031982}</t>
  </si>
  <si>
    <t>dipeptidyl-peptidase activity {GO:0008239}; serine-type peptidase activity {GO:0008236}</t>
  </si>
  <si>
    <t>2-iminobutanoate/2-iminopropanoate deaminase</t>
  </si>
  <si>
    <t>14.5 kDa translational inhibitor protein (hp14.5; p14.5); Heat-responsive protein 12; Reactive intermediate imine deaminase A homolog; Translation inhibitor L-PSP ribonuclease; UK114 antigen homolog</t>
  </si>
  <si>
    <t>RIDA_HUMAN</t>
  </si>
  <si>
    <t>P52758</t>
  </si>
  <si>
    <t>Q6FHU9; Q6IBG0</t>
  </si>
  <si>
    <t>3D-structure; Acetylation; Cytoplasm; Hydrolase; Mitochondrion; Nucleus; Peroxisome; Phosphoprotein</t>
  </si>
  <si>
    <t>Cytoplasm; Mitochondrion; Nucleus; Peroxisome</t>
  </si>
  <si>
    <t>brain development {GO:0007420}; G1 to G0 transition {GO:0070314}; kidney development {GO:0001822}; L-threonine catabolic process to glycine {GO:0019518}; lung development {GO:0030324}; negative regulation of epithelial cell proliferation {GO:0050680}; negative regulation of translation {GO:0017148}; organonitrogen compound catabolic process {GO:1901565}; response to lipid {GO:0033993}; response to salt {GO:1902074}</t>
  </si>
  <si>
    <t>cytoplasm {GO:0005737}; cytosol {GO:0005829}; extracellular exosome {GO:0070062}; mitochondrial matrix {GO:0005759}; mitochondrion {GO:0005739}; nucleus {GO:0005634}; peroxisome {GO:0005777}</t>
  </si>
  <si>
    <t>deaminase activity {GO:0019239}; endoribonuclease activity, producing 3'-phosphomonoesters {GO:0016892}; long-chain fatty acid binding {GO:0036041}; protein homodimerization activity {GO:0042803}; RNA binding {GO:0003723}; transition metal ion binding {GO:0046914}</t>
  </si>
  <si>
    <t>Tubulin beta-4B chain</t>
  </si>
  <si>
    <t>Tubulin beta-2 chain; Tubulin beta-2C chain</t>
  </si>
  <si>
    <t>TBB4B_HUMAN</t>
  </si>
  <si>
    <t>P68371</t>
  </si>
  <si>
    <t>A2BFA2; P05217</t>
  </si>
  <si>
    <t>TUBB2C</t>
  </si>
  <si>
    <t>Acetylation; Cytoplasm; Cytoskeleton; Deafness; Disease mutation; GTP-binding; Isopeptide bond; Leber congenital amaurosis; Microtubule; Nucleotide-binding; Phosphoprotein</t>
  </si>
  <si>
    <t>Deafness; Disease mutation; Leber congenital amaurosis</t>
  </si>
  <si>
    <t>Acetylation; Isopeptide bond; Phosphoprotein</t>
  </si>
  <si>
    <t>ciliary basal body-plasma membrane docking {GO:0097711}; G2/M transition of mitotic cell cycle {GO:0000086}; microtubule cytoskeleton organization {GO:0000226}; microtubule-based process {GO:0007017}; mitotic cell cycle {GO:0000278}; natural killer cell mediated cytotoxicity {GO:0042267}; neutrophil degranulation {GO:0043312}; regulation of G2/M transition of mitotic cell cycle {GO:0010389}</t>
  </si>
  <si>
    <t>azurophil granule lumen {GO:0035578}; cytoplasm {GO:0005737}; cytoskeleton {GO:0005856}; cytosol {GO:0005829}; extracellular exosome {GO:0070062}; extracellular region {GO:0005576}; extracellular vesicle {GO:1903561}; microtubule {GO:0005874}; nucleus {GO:0005634}</t>
  </si>
  <si>
    <t>double-stranded RNA binding {GO:0003725}; GTP binding {GO:0005525}; GTPase activity {GO:0003924}; MHC class I protein binding {GO:0042288}; structural constituent of cytoskeleton {GO:0005200}; unfolded protein binding {GO:0051082}</t>
  </si>
  <si>
    <t>Translocation of SLC2A4 (GLUT4) to the plasma membrane {R-HSA-1445148}; Microtubule-dependent trafficking of connexons from Golgi to the plasma membrane {R-HSA-190840}; Gap junction assembly {R-HSA-190861}; MHC class II antigen presentation {R-HSA-2132295}; Separation of Sister Chromatids {R-HSA-2467813}; Resolution of Sister Chromatid Cohesion {R-HSA-2500257}; Regulation of PLK1 Activity at G2/M Transition {R-HSA-2565942}; HSP90 chaperone cycle for steroid hormone receptors (SHR) {R-HSA-3371497};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Prefoldin mediated transfer of substrate to CCT/TriC {R-HSA-389957}; Formation of tubulin folding intermediates by CCT/TriC {R-HSA-389960}; Post-chaperonin tubulin folding pathway {R-HSA-389977}; Recycling pathway of L1 {R-HSA-437239}; Hedgehog 'off' state {R-HSA-5610787}; Cilium Assembly {R-HSA-5617833}; Anchoring of the basal body to the plasma membrane {R-HSA-5620912}; Intraflagellar transport {R-HSA-5620924}; RHO GTPases activate IQGAPs {R-HSA-5626467}; RHO GTPases Activate Formins {R-HSA-5663220}; Neutrophil degranulation {R-HSA-6798695}; COPI-mediated anterograde transport {R-HSA-6807878}; COPI-dependent Golgi-to-ER retrograde traffic {R-HSA-6811434}; COPI-independent Golgi-to-ER retrograde traffic {R-HSA-6811436}; Mitotic Prometaphase {R-HSA-68877}; The role of GTSE1 in G2/M progression after G2 checkpoint {R-HSA-8852276}; AURKA Activation by TPX2 {R-HSA-8854518}; Carboxyterminal post-translational modifications of tubulin {R-HSA-8955332}; Assembly and cell surface presentation of NMDA receptors {R-HSA-9609736}; Activation of AMPK downstream of NMDARs {R-HSA-9619483}; Kinesins {R-HSA-983189}</t>
  </si>
  <si>
    <t>Neural proliferation differentiation and control protein 1 (NPDC-1)</t>
  </si>
  <si>
    <t>NPDC1_HUMAN</t>
  </si>
  <si>
    <t>Q9NQX5</t>
  </si>
  <si>
    <t>Q5SPY8; Q9BTD6; Q9BXT3; Q9NQS2; Q9Y434</t>
  </si>
  <si>
    <t>Membrane; Phosphoprotein; Signal; Transmembrane; Transmembrane helix</t>
  </si>
  <si>
    <t>regulation of immune response {GO:0050776}</t>
  </si>
  <si>
    <t>Lipocalin-like 1 protein</t>
  </si>
  <si>
    <t>LCNL1_HUMAN</t>
  </si>
  <si>
    <t>Q6ZST4</t>
  </si>
  <si>
    <t>small molecule binding {GO:0036094}</t>
  </si>
  <si>
    <t>Complement component C8 gamma chain</t>
  </si>
  <si>
    <t>CO8G_HUMAN</t>
  </si>
  <si>
    <t>P07360</t>
  </si>
  <si>
    <t>Q14CT8; Q14CU0; Q5SQ07</t>
  </si>
  <si>
    <t>3D-structure; Complement alternate pathway; Complement pathway; Cytolysis; Disulfide bond; Immunity; Innate immunity; Membrane attack complex; Polymorphism; Pyrrolidone carboxylic acid; Retinol-binding; Secreted; Signal</t>
  </si>
  <si>
    <t>Retinol-binding</t>
  </si>
  <si>
    <t>complement activation, alternative pathway {GO:0006957}; complement activation, classical pathway {GO:0006958}; cytolysis {GO:0019835}; regulation of complement activation {GO:0030449}</t>
  </si>
  <si>
    <t>blood microparticle {GO:0072562}; extracellular exosome {GO:0070062}; extracellular region {GO:0005576}; membrane attack complex {GO:0005579}</t>
  </si>
  <si>
    <t>complement binding {GO:0001848}; protein-containing complex binding {GO:0044877}; retinol binding {GO:0019841}</t>
  </si>
  <si>
    <t>Prostaglandin-H2 D-isomerase</t>
  </si>
  <si>
    <t>Beta-trace protein; Cerebrin-28; Glutathione-independent PGD synthase; Lipocalin-type prostaglandin-D synthase; Prostaglandin-D2 synthase (PGD2 synthase; PGDS; PGDS2)</t>
  </si>
  <si>
    <t>PTGDS_HUMAN</t>
  </si>
  <si>
    <t>P41222</t>
  </si>
  <si>
    <t>B2R727; Q5SQ10; Q7M4P3; Q9UC22; Q9UCC9; Q9UCD9</t>
  </si>
  <si>
    <t>PDS</t>
  </si>
  <si>
    <t>3D-structure; Cytoplasm; Disulfide bond; Endoplasmic reticulum; Fatty acid biosynthesis; Fatty acid metabolism; Glycoprotein; Golgi apparatus; Isomerase; Lipid biosynthesis; Lipid metabolism; Membrane; Nucleus; Polymorphism; Prostaglandin biosynthesis; Prostaglandin metabolism; Secreted; Signal; Transport</t>
  </si>
  <si>
    <t>Fatty acid biosynthesis; Fatty acid metabolism; Lipid biosynthesis; Lipid metabolism; Prostaglandin biosynthesis; Prostaglandin metabolism; Transport</t>
  </si>
  <si>
    <t>cyclooxygenase pathway {GO:0019371}; prostaglandin biosynthetic process {GO:0001516}; regulation of circadian sleep/wake cycle, sleep {GO:0045187}</t>
  </si>
  <si>
    <t>endoplasmic reticulum membrane {GO:0005789}; extracellular exosome {GO:0070062}; extracellular region {GO:0005576}; extracellular space {GO:0005615}; Golgi apparatus {GO:0005794}; nuclear membrane {GO:0031965}; perinuclear region of cytoplasm {GO:0048471}; rough endoplasmic reticulum {GO:0005791}</t>
  </si>
  <si>
    <t>fatty acid binding {GO:0005504}; prostaglandin-D synthase activity {GO:0004667}; retinoid binding {GO:0005501}</t>
  </si>
  <si>
    <t>14 kDa phosphohistidine phosphatase</t>
  </si>
  <si>
    <t>Phosphohistidine phosphatase 1 (PHPT1); Protein histidine phosphatase (PHP); Protein janus-A homolog</t>
  </si>
  <si>
    <t>PHP14_HUMAN</t>
  </si>
  <si>
    <t>Q9NRX4</t>
  </si>
  <si>
    <t>B1AMX0; B1AMX1; Q9H0Y3</t>
  </si>
  <si>
    <t>PHP14</t>
  </si>
  <si>
    <t>3D-structure; Acetylation; Alternative splicing; Cytoplasm; Hydrolase; Protein phosphatase</t>
  </si>
  <si>
    <t>negative regulation of ATP citrate synthase activity {GO:2000984}; negative regulation of lyase activity {GO:0051350}; negative regulation of T cell receptor signaling pathway {GO:0050860}; peptidyl-histidine dephosphorylation {GO:0035971}; positive regulation of cell motility {GO:2000147}; positive regulation of insulin secretion involved in cellular response to glucose stimulus {GO:0035774}; protein dephosphorylation {GO:0006470}; regulation of actin cytoskeleton reorganization {GO:2000249}</t>
  </si>
  <si>
    <t>calcium channel inhibitor activity {GO:0019855}; ion channel binding {GO:0044325}; protein histidine phosphatase activity {GO:0101006}</t>
  </si>
  <si>
    <t>Phosphoserine aminotransferase</t>
  </si>
  <si>
    <t>Phosphohydroxythreonine aminotransferase (PSAT)</t>
  </si>
  <si>
    <t>SERC_HUMAN</t>
  </si>
  <si>
    <t>Q9Y617</t>
  </si>
  <si>
    <t>Q5T7G5; Q5T7G6; Q96AW2; Q9BQ12</t>
  </si>
  <si>
    <t>PSA</t>
  </si>
  <si>
    <t>3D-structure; Acetylation; Alternative splicing; Amino-acid biosynthesis; Aminotransferase; Disease mutation; Phosphoprotein; Polymorphism; Pyridoxal phosphate; Serine biosynthesis; Transferase</t>
  </si>
  <si>
    <t>L-serine biosynthetic process {GO:0006564}; pyridoxine biosynthetic process {GO:0008615}</t>
  </si>
  <si>
    <t>O-phospho-L-serine:2-oxoglutarate aminotransferase activity {GO:0004648}</t>
  </si>
  <si>
    <t>Cofactor biosynthesis; pyridoxine 5'-phosphate biosynthesis; pyridoxine 5'-phosphate from D-erythrose 4- phosphate: step 3/5.</t>
  </si>
  <si>
    <t>Guanine nucleotide-binding protein G(q) subunit alpha</t>
  </si>
  <si>
    <t>Guanine nucleotide-binding protein alpha-q</t>
  </si>
  <si>
    <t>GNAQ_HUMAN</t>
  </si>
  <si>
    <t>P50148</t>
  </si>
  <si>
    <t>O15108; Q13462; Q6NT27; Q92471; Q9BZB9</t>
  </si>
  <si>
    <t>GAQ</t>
  </si>
  <si>
    <t>ADP-ribosylation; Disease mutation; GTP-binding; Lipoprotein; Magnesium; Membrane; Metal-binding; Nucleotide-binding; Nucleus; Palmitate; Polymorphism; Transducer</t>
  </si>
  <si>
    <t>action potential {GO:0001508}; activation of phospholipase C activity {GO:0007202}; adenylate cyclase-activating G protein-coupled receptor signaling pathway {GO:0007189}; adenylate cyclase-modulating G protein-coupled receptor signaling pathway {GO:0007188}; blood coagulation {GO:0007596}; entrainment of circadian clock {GO:0009649}; G protein-coupled acetylcholine receptor signaling pathway {GO:0007213}; G protein-coupled receptor signaling pathway {GO:0007186}; glutamate receptor signaling pathway {GO:0007215}; negative regulation of protein kinase activity {GO:0006469}; phototransduction, visible light {GO:0007603}; platelet activation {GO:0030168}; protein stabilization {GO:0050821}; regulation of canonical Wnt signaling pathway {GO:0060828}</t>
  </si>
  <si>
    <t>cytoplasm {GO:0005737}; extracellular exosome {GO:0070062}; heterotrimeric G-protein complex {GO:0005834}; lysosomal membrane {GO:0005765}; nuclear membrane {GO:0031965}; photoreceptor outer segment {GO:0001750}; plasma membrane {GO:0005886}</t>
  </si>
  <si>
    <t>G protein-coupled receptor binding {GO:0001664}; G-protein beta/gamma-subunit complex binding {GO:0031683}; GTP binding {GO:0005525}; GTPase activator activity {GO:0005096}; GTPase activity {GO:0003924}; metal ion binding {GO:0046872}; type 2A serotonin receptor binding {GO:0031826}</t>
  </si>
  <si>
    <t>Gelsolin</t>
  </si>
  <si>
    <t>AGEL; Actin-depolymerizing factor (ADF); Brevin</t>
  </si>
  <si>
    <t>GELS_HUMAN</t>
  </si>
  <si>
    <t>P06396</t>
  </si>
  <si>
    <t>A2A418; A8MUD1; A8MYN7; B7Z373; B7Z5V1; F5H1A8; Q5T0I2; Q8WVV7</t>
  </si>
  <si>
    <t>3D-structure; Acetylation; Actin capping; Actin-binding; Alternative initiation; Alternative splicing; Amyloid; Amyloidosis; Calcium; Cilium biogenesis/degradation; Corneal dystrophy; Cytoplasm; Cytoskeleton; Disease mutation; Disulfide bond; Metal-binding; Phosphoprotein; Polymorphism; Repeat; Secreted; Signal</t>
  </si>
  <si>
    <t>Amyloid; Cytoplasm; Cytoskeleton; Secreted</t>
  </si>
  <si>
    <t>actin filament capping {GO:0051693}; actin filament polymerization {GO:0030041}; actin filament reorganization {GO:0090527}; actin filament severing {GO:0051014}; actin nucleation {GO:0045010}; aging {GO:0007568}; amyloid fibril formation {GO:1990000}; barbed-end actin filament capping {GO:0051016}; cellular protein metabolic process {GO:0044267}; cellular response to cadmium ion {GO:0071276}; cellular response to interferon-gamma {GO:0071346}; cilium assembly {GO:0060271}; hepatocyte apoptotic process {GO:0097284}; negative regulation of viral entry into host cell {GO:0046597}; neutrophil degranulation {GO:0043312}; oligodendrocyte development {GO:0014003}; phagocytosis, engulfment {GO:0006911}; phosphatidylinositol-mediated signaling {GO:0048015}; positive regulation of actin nucleation {GO:0051127}; positive regulation of cysteine-type endopeptidase activity involved in apoptotic signaling pathway {GO:2001269}; positive regulation of gene expression {GO:0010628}; positive regulation of keratinocyte apoptotic process {GO:1902174}; positive regulation of protein processing in phagocytic vesicle {GO:1903923}; protein destabilization {GO:0031648}; regulation of cell adhesion {GO:0030155}; regulation of establishment of T cell polarity {GO:1903903}; regulation of plasma membrane raft polarization {GO:1903906}; regulation of podosome assembly {GO:0071801}; regulation of receptor clustering {GO:1903909}; renal protein absorption {GO:0097017}; response to ethanol {GO:0045471}; response to folic acid {GO:0051593}; sequestering of actin monomers {GO:0042989}; striated muscle atrophy {GO:0014891}; tissue regeneration {GO:0042246}</t>
  </si>
  <si>
    <t>actin cap {GO:0030478}; actin cytoskeleton {GO:0015629}; blood microparticle {GO:0072562}; cortical actin cytoskeleton {GO:0030864}; cytoplasm {GO:0005737}; cytosol {GO:0005829}; extracellular exosome {GO:0070062}; extracellular region {GO:0005576}; extracellular space {GO:0005615}; ficolin-1-rich granule lumen {GO:1904813}; focal adhesion {GO:0005925}; lamellipodium {GO:0030027}; myelin sheath {GO:0043209}; perinuclear region of cytoplasm {GO:0048471}; phagocytic vesicle {GO:0045335}; plasma membrane {GO:0005886}; podosome {GO:0002102}; ruffle {GO:0001726}; sarcoplasm {GO:0016528}; secretory granule lumen {GO:0034774}</t>
  </si>
  <si>
    <t>actin binding {GO:0003779}; actin filament binding {GO:0051015}; calcium ion binding {GO:0005509}; myosin II binding {GO:0045159}</t>
  </si>
  <si>
    <t>Caspase-mediated cleavage of cytoskeletal proteins {R-HSA-264870}; Neutrophil degranulation {R-HSA-6798695}; Amyloid fiber formation {R-HSA-977225}</t>
  </si>
  <si>
    <t>Keratinocyte proline-rich protein (hKPRP)</t>
  </si>
  <si>
    <t>KPRP_HUMAN</t>
  </si>
  <si>
    <t>Q5T749</t>
  </si>
  <si>
    <t>C1orf45</t>
  </si>
  <si>
    <t>Cytoplasm; Phosphoprotein; Polymorphism</t>
  </si>
  <si>
    <t>V-type proton ATPase subunit G 1 (V-ATPase subunit G 1)</t>
  </si>
  <si>
    <t>V-ATPase 13 kDa subunit 1; Vacuolar proton pump subunit G 1; Vacuolar proton pump subunit M16</t>
  </si>
  <si>
    <t>VATG1_HUMAN</t>
  </si>
  <si>
    <t>O75348</t>
  </si>
  <si>
    <t>Q6IB33</t>
  </si>
  <si>
    <t>ATP6G; ATP6G1; ATP6J</t>
  </si>
  <si>
    <t>Acetylation; Hydrogen ion transport; Ion transport; Transport</t>
  </si>
  <si>
    <t>cellular iron ion homeostasis {GO:0006879}; cellular response to increased oxygen levels {GO:0036295}; insulin receptor signaling pathway {GO:0008286}; ion transmembrane transport {GO:0034220}; phagosome acidification {GO:0090383}; regulation of macroautophagy {GO:0016241}; transferrin transport {GO:0033572}</t>
  </si>
  <si>
    <t>cytosol {GO:0005829}; extracellular exosome {GO:0070062}; lysosomal membrane {GO:0005765}; plasma membrane {GO:0005886}; vacuolar proton-transporting V-type ATPase complex {GO:0016471}</t>
  </si>
  <si>
    <t>ATPase binding {GO:0051117}; proton-exporting ATPase activity, phosphorylative mechanism {GO:0008553}</t>
  </si>
  <si>
    <t>Multiple epidermal growth factor-like domains protein 9 (Multiple EGF-like domains protein 9)</t>
  </si>
  <si>
    <t>Epidermal growth factor-like protein 5 (EGF-like protein 5)</t>
  </si>
  <si>
    <t>MEGF9_HUMAN</t>
  </si>
  <si>
    <t>Q9H1U4</t>
  </si>
  <si>
    <t>B7Z315; O75098</t>
  </si>
  <si>
    <t>EGFL5; KIAA0818</t>
  </si>
  <si>
    <t>Disulfide bond; Glycoprotein; Laminin EGF-like domain; Membrane; Polymorphism; Repeat; Signal; Transmembrane; Transmembrane helix</t>
  </si>
  <si>
    <t>Laminin EGF-like domain; Repeat; Signal; Transmembrane; Transmembrane helix</t>
  </si>
  <si>
    <t>animal organ morphogenesis {GO:0009887}; cell migration {GO:0016477}; substrate adhesion-dependent cell spreading {GO:0034446}; tissue development {GO:0009888}</t>
  </si>
  <si>
    <t>basement membrane {GO:0005604}; integral component of membrane {GO:0016021}</t>
  </si>
  <si>
    <t>Ciliary neurotrophic factor receptor subunit alpha (CNTF receptor subunit alpha; CNTFR-alpha)</t>
  </si>
  <si>
    <t>CNTFR_HUMAN</t>
  </si>
  <si>
    <t>P26992</t>
  </si>
  <si>
    <t>Q5U050</t>
  </si>
  <si>
    <t>3D-structure; Cell membrane; Disulfide bond; Glycoprotein; GPI-anchor; Immunoglobulin domain; Lipoprotein; Membrane; Receptor; Repeat; Signal</t>
  </si>
  <si>
    <t>brainstem development {GO:0003360}; ciliary neurotrophic factor-mediated signaling pathway {GO:0070120}; cytokine-mediated signaling pathway {GO:0019221}; negative regulation of neuron apoptotic process {GO:0043524}; nervous system development {GO:0007399}; positive regulation of cell population proliferation {GO:0008284}; sex differentiation {GO:0007548}; signal transduction {GO:0007165}; skeletal muscle organ development {GO:0060538}; suckling behavior {GO:0001967}</t>
  </si>
  <si>
    <t>anchored component of membrane {GO:0031225}; apical plasma membrane {GO:0016324}; ciliary neurotrophic factor receptor complex {GO:0070110}; CNTFR-CLCF1 complex {GO:0097059}; external side of plasma membrane {GO:0009897}; extrinsic component of membrane {GO:0019898}; plasma membrane {GO:0005886}; receptor complex {GO:0043235}</t>
  </si>
  <si>
    <t>ciliary neurotrophic factor receptor activity {GO:0004897}; cytokine binding {GO:0019955}; cytokine receptor activity {GO:0004896}; interleukin-27 receptor binding {GO:0045523}; signaling receptor binding {GO:0005102}</t>
  </si>
  <si>
    <t>IL-6-type cytokine receptor ligand interactions {R-HSA-6788467}</t>
  </si>
  <si>
    <t>Glyoxylate reductase/hydroxypyruvate reductase</t>
  </si>
  <si>
    <t>GRHPR_HUMAN</t>
  </si>
  <si>
    <t>Q9UBQ7</t>
  </si>
  <si>
    <t>Q5T945; Q9H3E9; Q9H636; Q9UKX1</t>
  </si>
  <si>
    <t>GLXR</t>
  </si>
  <si>
    <t>3D-structure; Alternative splicing; NADP; Oxidoreductase; Phosphoprotein; Polymorphism</t>
  </si>
  <si>
    <t>cellular nitrogen compound metabolic process {GO:0034641}; dicarboxylic acid metabolic process {GO:0043648}; excretion {GO:0007588}; glyoxylate metabolic process {GO:0046487}; oxidation-reduction process {GO:0055114}; protein complex oligomerization {GO:0051259}</t>
  </si>
  <si>
    <t>cytoplasm {GO:0005737}; cytosol {GO:0005829}; extracellular exosome {GO:0070062}; peroxisomal matrix {GO:0005782}</t>
  </si>
  <si>
    <t>carboxylic acid binding {GO:0031406}; glycerate dehydrogenase activity {GO:0008465}; glyoxylate reductase (NADP) activity {GO:0030267}; hydroxypyruvate reductase activity {GO:0016618}; NAD binding {GO:0051287}; NADPH binding {GO:0070402}; oxidoreductase activity, acting on the CH-OH group of donors, NAD or NADP as acceptor {GO:0016616}; protein homodimerization activity {GO:0042803}</t>
  </si>
  <si>
    <t>Neutrophil gelatinase-associated lipocalin (NGAL)</t>
  </si>
  <si>
    <t>25 kDa alpha-2-microglobulin-related subunit of MMP-9; Lipocalin-2; Oncogene 24p3; Siderocalin; p25</t>
  </si>
  <si>
    <t>NGAL_HUMAN</t>
  </si>
  <si>
    <t>P80188</t>
  </si>
  <si>
    <t>A6NII8; B4DWV4; B7ZAA2; P30150; Q5SYV9; Q5SYW0; Q6FGL5; Q92683</t>
  </si>
  <si>
    <t>HNL; NGAL</t>
  </si>
  <si>
    <t>3D-structure; Alternative splicing; Apoptosis; Cytoplasmic vesicle; Disulfide bond; Glycoprotein; Immunity; Innate immunity; Ion transport; Iron; Iron transport; Pyrrolidone carboxylic acid; Secreted; Signal; Transport</t>
  </si>
  <si>
    <t>Apoptosis; Immunity; Innate immunity; Ion transport; Iron transport; Transport</t>
  </si>
  <si>
    <t>antimicrobial humoral response {GO:0019730}; cellular iron ion homeostasis {GO:0006879}; cellular response to hydrogen peroxide {GO:0070301}; cellular response to interleukin-1 {GO:0071347}; cellular response to lipopolysaccharide {GO:0071222}; cellular response to nutrient levels {GO:0031669}; cellular response to tumor necrosis factor {GO:0071356}; cytokine-mediated signaling pathway {GO:0019221}; defense response to bacterium {GO:0042742}; extrinsic apoptotic signaling pathway in absence of ligand {GO:0097192}; innate immune response {GO:0045087}; neutrophil degranulation {GO:0043312}; positive regulation of cell projection organization {GO:0031346}; positive regulation of cold-induced thermogenesis {GO:0120162}; positive regulation of gene expression {GO:0010628}; protein homotrimerization {GO:0070207}; response to herbicide {GO:0009635}; response to mycotoxin {GO:0010046}; response to virus {GO:0009615}; sequestering of iron ion {GO:0097577}; siderophore transport {GO:0015891}</t>
  </si>
  <si>
    <t>cytosol {GO:0005829}; extracellular exosome {GO:0070062}; extracellular region {GO:0005576}; extracellular space {GO:0005615}; specific granule lumen {GO:0035580}</t>
  </si>
  <si>
    <t>enterobactin binding {GO:1903981}; iron ion binding {GO:0005506}; protease binding {GO:0002020}; protein homodimerization activity {GO:0042803}; small molecule binding {GO:0036094}</t>
  </si>
  <si>
    <t>Interleukin-4 and Interleukin-13 signaling {R-HSA-6785807}; Neutrophil degranulation {R-HSA-6798695}; Metal sequestration by antimicrobial proteins {R-HSA-6799990}; Iron uptake and transport {R-HSA-917937}</t>
  </si>
  <si>
    <t>Retinal dehydrogenase 1 (RALDH 1; RalDH1)</t>
  </si>
  <si>
    <t>ALDH-E1; ALHDII; Aldehyde dehydrogenase family 1 member A1; Aldehyde dehydrogenase, cytosolic</t>
  </si>
  <si>
    <t>AL1A1_HUMAN</t>
  </si>
  <si>
    <t>P00352</t>
  </si>
  <si>
    <t>O00768; Q5SYR1</t>
  </si>
  <si>
    <t>3D-structure; Acetylation; Cytoplasm; NAD; Nucleotide-binding; Oxidoreductase; Phosphoprotein; Polymorphism</t>
  </si>
  <si>
    <t>cellular aldehyde metabolic process {GO:0006081}; ethanol oxidation {GO:0006069}; fructose catabolic process to hydroxyacetone phosphate and glyceraldehyde-3-phosphate {GO:0061624}; negative regulation of cold-induced thermogenesis {GO:0120163}; oxidation-reduction process {GO:0055114}; retinoid metabolic process {GO:0001523}; retinol metabolic process {GO:0042572}</t>
  </si>
  <si>
    <t>aldehyde dehydrogenase (NAD) activity {GO:0004029}; androgen binding {GO:0005497}; benzaldehyde dehydrogenase (NAD+) activity {GO:0018479}; GTPase activator activity {GO:0005096}; NAD binding {GO:0051287}; retinal dehydrogenase activity {GO:0001758}</t>
  </si>
  <si>
    <t>RA biosynthesis pathway {R-HSA-5365859}; Fructose catabolism {R-HSA-70350}; Ethanol oxidation {R-HSA-71384}</t>
  </si>
  <si>
    <t>Complement C5 alpha' chain</t>
  </si>
  <si>
    <t>C3 and PZP-like alpha-2-macroglobulin domain-containing protein 4</t>
  </si>
  <si>
    <t>CO5_HUMAN</t>
  </si>
  <si>
    <t>P01031</t>
  </si>
  <si>
    <t>Q14CJ0; Q27I61</t>
  </si>
  <si>
    <t>CPAMD4</t>
  </si>
  <si>
    <t>3D-structure; Cleavage on pair of basic residues; Complement alternate pathway; Complement pathway; Cytolysis; Disulfide bond; Glycoprotein; Immunity; Inflammatory response; Innate immunity; Membrane attack complex; Polymorphism; Secreted; Signal</t>
  </si>
  <si>
    <t>Complement alternate pathway; Complement pathway; Cytolysis; Immunity; Inflammatory response; Innate immunity</t>
  </si>
  <si>
    <t>activation of MAPK activity {GO:0000187}; cell surface receptor signaling pathway {GO:0007166}; chemotaxis {GO:0006935}; complement activation, alternative pathway {GO:0006957}; complement activation, classical pathway {GO:0006958}; cytolysis {GO:0019835}; G protein-coupled receptor signaling pathway {GO:0007186}; in utero embryonic development {GO:0001701}; inflammatory response {GO:0006954}; negative regulation of macrophage chemotaxis {GO:0010760}; positive regulation of angiogenesis {GO:0045766}; positive regulation of chemokine secretion {GO:0090197}; positive regulation of vascular endothelial growth factor production {GO:0010575}; regulation of complement activation {GO:0030449}</t>
  </si>
  <si>
    <t>extracellular exosome {GO:0070062}; extracellular region {GO:0005576}; extracellular space {GO:0005615}; membrane attack complex {GO:0005579}</t>
  </si>
  <si>
    <t>chemokine activity {GO:0008009}; endopeptidase inhibitor activity {GO:0004866}; signaling receptor binding {GO:0005102}</t>
  </si>
  <si>
    <t>Terminal pathway of complement {R-HSA-166665}; Activation of C3 and C5 {R-HSA-174577}; Peptide ligand-binding receptors {R-HSA-375276}; G alpha (i) signalling events {R-HSA-418594}; Regulation of Complement cascade {R-HSA-977606}</t>
  </si>
  <si>
    <t>Fructose-bisphosphate aldolase B</t>
  </si>
  <si>
    <t>Liver-type aldolase</t>
  </si>
  <si>
    <t>ALDOB_HUMAN</t>
  </si>
  <si>
    <t>P05062</t>
  </si>
  <si>
    <t>Q13741; Q13742; Q5T7D6</t>
  </si>
  <si>
    <t>ALDB</t>
  </si>
  <si>
    <t>3D-structure; Acetylation; Cytoplasm; Cytoskeleton; Disease mutation; Glycolysis; Lyase; Phosphoprotein; Polymorphism; Schiff base</t>
  </si>
  <si>
    <t>canonical glycolysis {GO:0061621}; fructose 1,6-bisphosphate metabolic process {GO:0030388}; fructose catabolic process to hydroxyacetone phosphate and glyceraldehyde-3-phosphate {GO:0061624}; fructose metabolic process {GO:0006000}; gluconeogenesis {GO:0006094}; glycolytic process {GO:0006096}; NADH oxidation {GO:0006116}; positive regulation of ATPase activity {GO:0032781}; vacuolar proton-transporting V-type ATPase complex assembly {GO:0070072}</t>
  </si>
  <si>
    <t>centriolar satellite {GO:0034451}; cytosol {GO:0005829}; extracellular exosome {GO:0070062}; microtubule organizing center {GO:0005815}</t>
  </si>
  <si>
    <t>ATPase binding {GO:0051117}; cytoskeletal protein binding {GO:0008092}; fructose binding {GO:0070061}; fructose-1-phosphate aldolase activity {GO:0061609}; fructose-bisphosphate aldolase activity {GO:0004332}; identical protein binding {GO:0042802}</t>
  </si>
  <si>
    <t>Hereditary fructose intolerance {R-HSA-5657560}; Glycolysis {R-HSA-70171}; Gluconeogenesis {R-HSA-70263}; Fructose catabolism {R-HSA-70350}</t>
  </si>
  <si>
    <t>Annexin A1</t>
  </si>
  <si>
    <t>Annexin I; Annexin-1; Calpactin II; Calpactin-2; Chromobindin-9; Lipocortin I; Phospholipase A2 inhibitory protein; p35</t>
  </si>
  <si>
    <t>ANXA1_HUMAN</t>
  </si>
  <si>
    <t>P04083</t>
  </si>
  <si>
    <t>B5BU38</t>
  </si>
  <si>
    <t>ANX1; LPC1</t>
  </si>
  <si>
    <t>3D-structure; Acetylation; Adaptive immunity; Annexin; Calcium; Calcium/phospholipid-binding; Cell membrane; Cell projection; Cilium; Cytoplasm; Cytoplasmic vesicle; Disulfide bond; Endosome; Immunity; Inflammatory response; Innate immunity; Isopeptide bond; Membrane; Metal-binding; Nucleus; Pharmaceutical; Phospholipase A2 inhibitor; Phosphoprotein; Repeat; Secreted; Ubl conjugation</t>
  </si>
  <si>
    <t>Adaptive immunity; Immunity; Inflammatory response; Innate immunity</t>
  </si>
  <si>
    <t>Cell membrane; Cell projection; Cilium; Cytoplasm; Cytoplasmic vesicle; Endosome; Membrane; Nucleus; Secreted</t>
  </si>
  <si>
    <t>actin cytoskeleton reorganization {GO:0031532}; adaptive immune response {GO:0002250}; alpha-beta T cell differentiation {GO:0046632}; arachidonic acid secretion {GO:0050482}; cell surface receptor signaling pathway {GO:0007166}; cellular response to glucocorticoid stimulus {GO:0071385}; cellular response to hydrogen peroxide {GO:0070301}; cellular response to vascular endothelial growth factor stimulus {GO:0035924}; cytokine-mediated signaling pathway {GO:0019221}; DNA duplex unwinding {GO:0032508}; endocrine pancreas development {GO:0031018}; G protein-coupled receptor signaling pathway {GO:0007186}; G protein-coupled receptor signaling pathway, coupled to cyclic nucleotide second messenger {GO:0007187}; gliogenesis {GO:0042063}; granulocyte chemotaxis {GO:0071621}; hepatocyte differentiation {GO:0070365}; inflammatory response {GO:0006954}; innate immune response {GO:0045087}; insulin secretion {GO:0030073}; keratinocyte differentiation {GO:0030216}; monocyte chemotaxis {GO:0002548}; myoblast migration involved in skeletal muscle regeneration {GO:0014839}; negative regulation of apoptotic process {GO:0043066}; negative regulation of exocytosis {GO:0045920}; negative regulation of interleukin-8 secretion {GO:2000483}; negative regulation of phospholipase A2 activity {GO:1900138}; negative regulation of T-helper 2 cell differentiation {GO:0045629}; neutrophil clearance {GO:0097350}; neutrophil homeostasis {GO:0001780}; peptide cross-linking {GO:0018149}; phagocytosis {GO:0006909}; positive regulation of cell migration involved in sprouting angiogenesis {GO:0090050}; positive regulation of G1/S transition of mitotic cell cycle {GO:1900087}; positive regulation of interleukin-2 production {GO:0032743}; positive regulation of neutrophil apoptotic process {GO:0033031}; positive regulation of prostaglandin biosynthetic process {GO:0031394}; positive regulation of T cell proliferation {GO:0042102}; positive regulation of T-helper 1 cell differentiation {GO:0045627}; positive regulation of vesicle fusion {GO:0031340}; positive regulation of wound healing {GO:0090303}; prolactin secretion {GO:0070459}; prostate gland development {GO:0030850}; regulation of cell population proliferation {GO:0042127}; regulation of cell shape {GO:0008360}; regulation of hormone secretion {GO:0046883}; regulation of inflammatory response {GO:0050727}; regulation of interleukin-1 production {GO:0032652}; regulation of leukocyte migration {GO:0002685}; response to drug {GO:0042493}; response to estradiol {GO:0032355}; response to interleukin-1 {GO:0070555}; response to peptide hormone {GO:0043434}; response to X-ray {GO:0010165}; signal transduction {GO:0007165}</t>
  </si>
  <si>
    <t>apical plasma membrane {GO:0016324}; basolateral plasma membrane {GO:0016323}; cell surface {GO:0009986}; cell-cell adherens junction {GO:0005913}; collagen-containing extracellular matrix {GO:0062023}; cornified envelope {GO:0001533}; cytoplasm {GO:0005737}; cytoplasmic vesicle membrane {GO:0030659}; cytosol {GO:0005829}; early endosome membrane {GO:0031901}; endosome {GO:0005768}; extracellular exosome {GO:0070062}; extracellular region {GO:0005576}; extracellular space {GO:0005615}; extrinsic component of endosome membrane {GO:0031313}; extrinsic component of external side of plasma membrane {GO:0031232}; extrinsic component of membrane {GO:0019898}; focal adhesion {GO:0005925}; lateral plasma membrane {GO:0016328}; mast cell granule {GO:0042629}; mitochondrial membrane {GO:0031966}; motile cilium {GO:0031514}; nucleoplasm {GO:0005654}; nucleus {GO:0005634}; phagocytic cup {GO:0001891}; plasma membrane {GO:0005886}; protein-containing complex {GO:0032991}; sarcolemma {GO:0042383}; synaptic membrane {GO:0097060}; vesicle {GO:0031982}</t>
  </si>
  <si>
    <t>cadherin binding involved in cell-cell adhesion {GO:0098641}; calcium ion binding {GO:0005509}; calcium-dependent phospholipid binding {GO:0005544}; calcium-dependent protein binding {GO:0048306}; DNA/DNA annealing activity {GO:1990814}; double-stranded DNA-dependent ATPase activity {GO:0033676}; phospholipase A2 inhibitor activity {GO:0019834}; phospholipid binding {GO:0005543}; protein binding, bridging {GO:0030674}; protein homodimerization activity {GO:0042803}; signaling receptor binding {GO:0005102}; single-stranded DNA binding {GO:0003697}; single-stranded RNA binding {GO:0003727}; structural molecule activity {GO:0005198}</t>
  </si>
  <si>
    <t>G alpha (q) signalling events {R-HSA-416476}; G alpha (i) signalling events {R-HSA-418594}; Formyl peptide receptors bind formyl peptides and many other ligands {R-HSA-444473}; Smooth Muscle Contraction {R-HSA-445355}; Interleukin-4 and Interleukin-13 signaling {R-HSA-6785807}</t>
  </si>
  <si>
    <t>Thioredoxin (Trx)</t>
  </si>
  <si>
    <t>ATL-derived factor (ADF); Surface-associated sulphydryl protein (SASP)</t>
  </si>
  <si>
    <t>THIO_HUMAN</t>
  </si>
  <si>
    <t>P10599</t>
  </si>
  <si>
    <t>B1ALW1; O60744; Q53X69; Q96KI3; Q9UDG5</t>
  </si>
  <si>
    <t>TRDX; TRX; TRX1</t>
  </si>
  <si>
    <t>3D-structure; Acetylation; Activator; Alternative splicing; Cytoplasm; Disulfide bond; Electron transport; Nucleus; Redox-active center; S-nitrosylation; Secreted; Transcription; Transcription regulation; Transport; Ubl conjugation</t>
  </si>
  <si>
    <t>Electron transport; Transcription; Transcription regulation; Transport</t>
  </si>
  <si>
    <t>Acetylation; Disulfide bond; S-nitrosylation; Ubl conjugation</t>
  </si>
  <si>
    <t>activation of protein kinase B activity {GO:0032148}; cell redox homeostasis {GO:0045454}; glycerol ether metabolic process {GO:0006662}; negative regulation of hydrogen peroxide-induced cell death {GO:1903206}; negative regulation of protein export from nucleus {GO:0046826}; negative regulation of transcription by RNA polymerase II {GO:0000122}; oxidation-reduction process {GO:0055114}; positive regulation of DNA binding {GO:0043388}; positive regulation of peptidyl-serine phosphorylation {GO:0033138}; positive regulation of protein kinase B signaling {GO:0051897}; response to radiation {GO:0009314}</t>
  </si>
  <si>
    <t>peptide disulfide oxidoreductase activity {GO:0015037}; protein disulfide oxidoreductase activity {GO:0015035}; RNA binding {GO:0003723}; thioredoxin-disulfide reductase activity {GO:0004791}</t>
  </si>
  <si>
    <t>Oxidative Stress Induced Senescence {R-HSA-2559580}; Detoxification of Reactive Oxygen Species {R-HSA-3299685}; Interconversion of nucleotide di- and triphosphates {R-HSA-499943}; TP53 Regulates Metabolic Genes {R-HSA-5628897}; Protein repair {R-HSA-5676934}; The NLRP3 inflammasome {R-HSA-844456}; Regulation of FOXO transcriptional activity by acetylation {R-HSA-9617629}</t>
  </si>
  <si>
    <t>Tumor-associated calcium signal transducer 2</t>
  </si>
  <si>
    <t>Cell surface glycoprotein Trop-2; Membrane component chromosome 1 surface marker 1; Pancreatic carcinoma marker protein GA733-1</t>
  </si>
  <si>
    <t>TACD2_HUMAN</t>
  </si>
  <si>
    <t>P09758</t>
  </si>
  <si>
    <t>Q15658; Q6FG48; Q7Z7Q4; Q96QD2</t>
  </si>
  <si>
    <t>GA733-1; M1S1; TROP2</t>
  </si>
  <si>
    <t>3D-structure; Amyloid; Amyloidosis; Corneal dystrophy; Disulfide bond; Glycoprotein; Membrane; Polymorphism; Sensory transduction; Signal; Transmembrane; Transmembrane helix; Tumor antigen; Vision</t>
  </si>
  <si>
    <t>Amyloid; Membrane</t>
  </si>
  <si>
    <t>Amyloidosis; Corneal dystrophy</t>
  </si>
  <si>
    <t>Tumor antigen</t>
  </si>
  <si>
    <t>negative regulation of branching involved in ureteric bud morphogenesis {GO:0090191}; negative regulation of cell motility {GO:2000146}; negative regulation of epithelial cell migration {GO:0010633}; negative regulation of ruffle assembly {GO:1900028}; negative regulation of stress fiber assembly {GO:0051497}; negative regulation of substrate adhesion-dependent cell spreading {GO:1900025}; positive regulation of stem cell differentiation {GO:2000738}; regulation of epithelial cell proliferation {GO:0050678}; response to stimulus {GO:0050896}; ureteric bud morphogenesis {GO:0060675}; visual perception {GO:0007601}</t>
  </si>
  <si>
    <t>basal plasma membrane {GO:0009925}; bicellular tight junction {GO:0005923}; cytosol {GO:0005829}; extracellular exosome {GO:0070062}; extracellular space {GO:0005615}; integral component of membrane {GO:0016021}; lateral plasma membrane {GO:0016328}; membrane {GO:0016020}; nucleus {GO:0005634}</t>
  </si>
  <si>
    <t>cadherin binding involved in cell-cell adhesion {GO:0098641}</t>
  </si>
  <si>
    <t>Inactive tyrosine-protein kinase transmembrane receptor ROR1</t>
  </si>
  <si>
    <t>Neurotrophic tyrosine kinase, receptor-related 1</t>
  </si>
  <si>
    <t>ROR1_HUMAN</t>
  </si>
  <si>
    <t>Q01973</t>
  </si>
  <si>
    <t>Q5VVX6; Q66K77; Q92776</t>
  </si>
  <si>
    <t>NTRKR1</t>
  </si>
  <si>
    <t>3D-structure; Alternative splicing; ATP-binding; Cell projection; Deafness; Disease mutation; Disulfide bond; Glycoprotein; Immunoglobulin domain; Kinase; Kringle; Membrane; Non-syndromic deafness; Nucleotide-binding; Phosphoprotein; Polymorphism; Receptor; Signal; Transferase; Transmembrane; Transmembrane helix; Wnt signaling pathway</t>
  </si>
  <si>
    <t>Kinase; Receptor; Transferase</t>
  </si>
  <si>
    <t>anatomical structure development {GO:0048856}; astrocyte development {GO:0014002}; inner ear development {GO:0048839}; positive regulation of I-kappaB kinase/NF-kappaB signaling {GO:0043123}; positive regulation of NF-kappaB transcription factor activity {GO:0051092}; sensory perception of sound {GO:0007605}; transmembrane receptor protein tyrosine kinase signaling pathway {GO:0007169}</t>
  </si>
  <si>
    <t>axon {GO:0030424}; axon terminus {GO:0043679}; cell surface {GO:0009986}; cytoplasm {GO:0005737}; integral component of plasma membrane {GO:0005887}; plasma membrane {GO:0005886}; receptor complex {GO:0043235}; stress fiber {GO:0001725}</t>
  </si>
  <si>
    <t>ATP binding {GO:0005524}; coreceptor activity involved in Wnt signaling pathway, planar cell polarity pathway {GO:1904929}; transmembrane receptor protein tyrosine kinase activity {GO:0004714}; Wnt-activated receptor activity {GO:0042813}; Wnt-protein binding {GO:0017147}</t>
  </si>
  <si>
    <t>WNT5A-dependent internalization of FZD2, FZD5 and ROR2 {R-HSA-5140745}</t>
  </si>
  <si>
    <t>Fructose-1,6-bisphosphatase 1 (FBPase 1)</t>
  </si>
  <si>
    <t>D-fructose-1,6-bisphosphate 1-phosphohydrolase 1; Liver FBPase</t>
  </si>
  <si>
    <t>F16P1_HUMAN</t>
  </si>
  <si>
    <t>P09467</t>
  </si>
  <si>
    <t>O75571; Q53F94; Q96E46</t>
  </si>
  <si>
    <t>FBP</t>
  </si>
  <si>
    <t>3D-structure; Acetylation; Allosteric enzyme; Carbohydrate metabolism; Disease mutation; Gluconeogenesis; Hydrolase; Magnesium; Metal-binding; Phosphoprotein; Polymorphism</t>
  </si>
  <si>
    <t>Carbohydrate metabolism; Gluconeogenesis</t>
  </si>
  <si>
    <t>Allosteric enzyme; Hydrolase</t>
  </si>
  <si>
    <t>cellular response to drug {GO:0035690}; cellular response to magnesium ion {GO:0071286}; dephosphorylation {GO:0016311}; fructose 1,6-bisphosphate metabolic process {GO:0030388}; fructose 6-phosphate metabolic process {GO:0006002}; fructose metabolic process {GO:0006000}; gluconeogenesis {GO:0006094}; negative regulation of cell growth {GO:0030308}; negative regulation of glycolytic process {GO:0045820}; negative regulation of Ras protein signal transduction {GO:0046580}; negative regulation of transcription by RNA polymerase II {GO:0000122}; protein homotetramerization {GO:0051289}; regulation of gluconeogenesis {GO:0006111}; sucrose biosynthetic process {GO:0005986}</t>
  </si>
  <si>
    <t>AMP binding {GO:0016208}; fructose 1,6-bisphosphate 1-phosphatase activity {GO:0042132}; identical protein binding {GO:0042802}; metal ion binding {GO:0046872}; monosaccharide binding {GO:0048029}; RNA polymerase II transcription factor binding {GO:0001085}</t>
  </si>
  <si>
    <t>Osteoclast-stimulating factor 1</t>
  </si>
  <si>
    <t>OSTF1_HUMAN</t>
  </si>
  <si>
    <t>Q92882</t>
  </si>
  <si>
    <t>Q5W126; Q96IJ4</t>
  </si>
  <si>
    <t>3D-structure; Acetylation; ANK repeat; Cytoplasm; Phosphoprotein; Polymorphism; Repeat; SH3 domain</t>
  </si>
  <si>
    <t>ANK repeat; Repeat; SH3 domain</t>
  </si>
  <si>
    <t>neutrophil degranulation {GO:0043312}; ossification {GO:0001503}; signal transduction {GO:0007165}</t>
  </si>
  <si>
    <t>extracellular region {GO:0005576}; ficolin-1-rich granule lumen {GO:1904813}; intracellular {GO:0005622}; secretory granule lumen {GO:0034774}</t>
  </si>
  <si>
    <t>Leucine-rich repeat-containing protein 19</t>
  </si>
  <si>
    <t>LRC19_HUMAN</t>
  </si>
  <si>
    <t>Q9H756</t>
  </si>
  <si>
    <t>A0AV00; B9EG91</t>
  </si>
  <si>
    <t>Glycoprotein; Leucine-rich repeat; Membrane; Repeat; Signal; Transmembrane; Transmembrane helix</t>
  </si>
  <si>
    <t>interleukin-8 production {GO:0032637}; positive regulation of NIK/NF-kappaB signaling {GO:1901224}; toll-like receptor signaling pathway {GO:0002224}</t>
  </si>
  <si>
    <t>S-methyl-5'-thioadenosine phosphorylase</t>
  </si>
  <si>
    <t>5'-methylthioadenosine phosphorylase (MTA phosphorylase; MTAP; MTAPase)</t>
  </si>
  <si>
    <t>MTAP_HUMAN</t>
  </si>
  <si>
    <t>Q13126</t>
  </si>
  <si>
    <t>I2G7M5; I2G7M6; I2G7M7; I2G7M8; I2G7M9; I2G7N0; Q5T3P3; Q9H010</t>
  </si>
  <si>
    <t>MSAP</t>
  </si>
  <si>
    <t>3D-structure; Acetylation; Alternative splicing; Cytoplasm; Glycosyltransferase; Nucleus; Polymorphism; Purine salvage; Transferase</t>
  </si>
  <si>
    <t>interleukin-12-mediated signaling pathway {GO:0035722}; L-methionine salvage from methylthioadenosine {GO:0019509}; methylation {GO:0032259}; nucleobase-containing compound metabolic process {GO:0006139}; purine ribonucleoside salvage {GO:0006166}; response to testosterone {GO:0033574}</t>
  </si>
  <si>
    <t>phosphorylase activity {GO:0004645}; S-methyl-5-thioadenosine phosphorylase activity {GO:0017061}</t>
  </si>
  <si>
    <t>Amino-acid biosynthesis; L-methionine biosynthesis via salvage pathway; S-methyl-5-thio-alpha-D-ribose 1-phosphate from S-methyl-5'-thioadenosine (phosphorylase route): step 1/1.</t>
  </si>
  <si>
    <t>Methionine salvage pathway {R-HSA-1237112}; Gene and protein expression by JAK-STAT signaling after Interleukin-12 stimulation {R-HSA-8950505}</t>
  </si>
  <si>
    <t>Cathepsin L2</t>
  </si>
  <si>
    <t>Cathepsin U; Cathepsin V</t>
  </si>
  <si>
    <t>CATL2_HUMAN</t>
  </si>
  <si>
    <t>O60911</t>
  </si>
  <si>
    <t>O60233; Q2TB86; Q5T1U0</t>
  </si>
  <si>
    <t>CATL2; CTSL2; CTSU</t>
  </si>
  <si>
    <t>3D-structure; Disulfide bond; Glycoprotein; Hydrolase; Lysosome; Protease; Signal; Thiol protease; Zymogen</t>
  </si>
  <si>
    <t>antigen processing and presentation of exogenous peptide antigen via MHC class II {GO:0019886}; autophagic cell death {GO:0048102}; cellular response to starvation {GO:0009267}; decidualization {GO:0046697}; extracellular matrix disassembly {GO:0022617}; multicellular organism aging {GO:0010259}; nerve development {GO:0021675}; proteolysis involved in cellular protein catabolic process {GO:0051603}; regulation of keratinocyte differentiation {GO:0045616}; response to glucocorticoid {GO:0051384}; response to glucose {GO:0009749}; response to gonadotropin {GO:0034698}; response to odorant {GO:1990834}; Sertoli cell differentiation {GO:0060008}; spermatogenesis {GO:0007283}</t>
  </si>
  <si>
    <t>apical part of cell {GO:0045177}; external side of plasma membrane {GO:0009897}; extracellular region {GO:0005576}; extracellular space {GO:0005615}; lysosomal lumen {GO:0043202}; lysosome {GO:0005764}; microvillus {GO:0005902}; neuron projection {GO:0043005}; perikaryon {GO:0043204}; secretory granule {GO:0030141}</t>
  </si>
  <si>
    <t>aminopeptidase activity {GO:0004177}; cysteine-type endopeptidase activity {GO:0004197}; cysteine-type peptidase activity {GO:0008234}; kininogen binding {GO:0030984}; peptide binding {GO:0042277}; protein-containing complex binding {GO:0044877}</t>
  </si>
  <si>
    <t>Endosomal/Vacuolar pathway {R-HSA-1236977}; Degradation of the extracellular matrix {R-HSA-1474228}; Activation of Matrix Metalloproteinases {R-HSA-1592389}; Trafficking and processing of endosomal TLR {R-HSA-1679131}; Assembly of collagen fibrils and other multimeric structures {R-HSA-2022090}; MHC class II antigen presentation {R-HSA-2132295}; RUNX1 regulates transcription of genes involved in differentiation of keratinocytes {R-HSA-8939242}</t>
  </si>
  <si>
    <t>Ras-related protein Rab-14</t>
  </si>
  <si>
    <t>RAB14_HUMAN</t>
  </si>
  <si>
    <t>P61106</t>
  </si>
  <si>
    <t>B3KR31; P35287; Q5JVD4; Q6Q7K5; Q969L0; Q9UI11</t>
  </si>
  <si>
    <t>3D-structure; Acetylation; Cytoplasmic vesicle; Endosome; Golgi apparatus; GTP-binding; Lipoprotein; Membrane; Methylation; Nucleotide-binding; Polymorphism; Prenylation; Protein transport; Transport</t>
  </si>
  <si>
    <t>Cytoplasmic vesicle; Endosome; Golgi apparatus; Membrane</t>
  </si>
  <si>
    <t>defense response to bacterium {GO:0042742}; endocytic recycling {GO:0032456}; fibroblast growth factor receptor signaling pathway {GO:0008543}; Golgi to endosome transport {GO:0006895}; intracellular protein transport {GO:0006886}; intracellular transport {GO:0046907}; neutrophil degranulation {GO:0043312}; phagolysosome assembly involved in apoptotic cell clearance {GO:0090387}; phosphatidylinositol biosynthetic process {GO:0006661}; Rab protein signal transduction {GO:0032482}; regulation of embryonic development {GO:0045995}; regulation of protein localization {GO:0032880}; vesicle-mediated transport {GO:0016192}</t>
  </si>
  <si>
    <t>cytosol {GO:0005829}; early endosome {GO:0005769}; early endosome membrane {GO:0031901}; extracellular exosome {GO:0070062}; Golgi membrane {GO:0000139}; Golgi stack {GO:0005795}; intracellular {GO:0005622}; intracellular membrane-bounded organelle {GO:0043231}; late endosome {GO:0005770}; lysosomal membrane {GO:0005765}; lysosome {GO:0005764}; nuclear outer membrane-endoplasmic reticulum membrane network {GO:0042175}; perinuclear region of cytoplasm {GO:0048471}; phagocytic vesicle {GO:0045335}; plasma membrane {GO:0005886}; recycling endosome {GO:0055037}; recycling endosome membrane {GO:0055038}; rough endoplasmic reticulum {GO:0005791}; tertiary granule membrane {GO:0070821}; trans-Golgi network {GO:0005802}; trans-Golgi network transport vesicle {GO:0030140}</t>
  </si>
  <si>
    <t>GDP binding {GO:0019003}; GTP binding {GO:0005525}; GTPase activity {GO:0003924}; myosin V binding {GO:0031489}</t>
  </si>
  <si>
    <t>Translocation of SLC2A4 (GLUT4) to the plasma membrane {R-HSA-1445148}; Synthesis of PIPs at the plasma membrane {R-HSA-1660499}; Neutrophil degranulation {R-HSA-6798695}; RAB geranylgeranylation {R-HSA-8873719}; RAB GEFs exchange GTP for GDP on RABs {R-HSA-8876198}</t>
  </si>
  <si>
    <t>Adenylate kinase isoenzyme 1 (AK 1)</t>
  </si>
  <si>
    <t>ATP-AMP transphosphorylase 1; ATP:AMP phosphotransferase; Adenylate monophosphate kinase; Myokinase</t>
  </si>
  <si>
    <t>KAD1_HUMAN</t>
  </si>
  <si>
    <t>P00568</t>
  </si>
  <si>
    <t>Q9BVK9; Q9UQC7</t>
  </si>
  <si>
    <t>3D-structure; Acetylation; ATP-binding; Cytoplasm; Disease mutation; Hereditary hemolytic anemia; Kinase; Nucleotide-binding; Phosphoprotein; Polymorphism; Transferase</t>
  </si>
  <si>
    <t>ADP biosynthetic process {GO:0006172}; AMP metabolic process {GO:0046033}; ATP metabolic process {GO:0046034}; nucleobase-containing small molecule interconversion {GO:0015949}; nucleoside diphosphate phosphorylation {GO:0006165}; nucleoside triphosphate biosynthetic process {GO:0009142}</t>
  </si>
  <si>
    <t>adenylate kinase activity {GO:0004017}; ATP binding {GO:0005524}; nucleoside diphosphate kinase activity {GO:0004550}</t>
  </si>
  <si>
    <t>Growth arrest-specific protein 1 (GAS-1)</t>
  </si>
  <si>
    <t>GAS1_HUMAN</t>
  </si>
  <si>
    <t>P54826</t>
  </si>
  <si>
    <t>B9EGM4; Q6B086</t>
  </si>
  <si>
    <t>Cell cycle; Cell membrane; Glycoprotein; GPI-anchor; Growth arrest; Lipoprotein; Membrane; Signal</t>
  </si>
  <si>
    <t>Cell cycle; Growth arrest</t>
  </si>
  <si>
    <t>cell cycle arrest {GO:0007050}; cell fate commitment {GO:0045165}; cellular response to vascular endothelial growth factor stimulus {GO:0035924}; developmental growth {GO:0048589}; negative regulation of mitotic cell cycle {GO:0045930}; negative regulation of protein processing {GO:0010955}; regulation of apoptotic process {GO:0042981}; regulation of ER to Golgi vesicle-mediated transport {GO:0060628}; regulation of smoothened signaling pathway {GO:0008589}</t>
  </si>
  <si>
    <t>anchored component of plasma membrane {GO:0046658}; integral component of membrane {GO:0016021}; plasma membrane {GO:0005886}</t>
  </si>
  <si>
    <t>Ligand-receptor interactions {R-HSA-5632681}; Activation of SMO {R-HSA-5635838}</t>
  </si>
  <si>
    <t>Hemicentin-2</t>
  </si>
  <si>
    <t>HMCN2_HUMAN</t>
  </si>
  <si>
    <t>Q8NDA2</t>
  </si>
  <si>
    <t>A0A096LP30; Q8N225; Q8TCI8</t>
  </si>
  <si>
    <t>Alternative splicing; Calcium; Disulfide bond; EGF-like domain; Extracellular matrix; Glycoprotein; Immunoglobulin domain; Methylation; Repeat; Secreted; Sensory transduction; Signal</t>
  </si>
  <si>
    <t>Sensory transduction</t>
  </si>
  <si>
    <t>response to stimulus {GO:0050896}</t>
  </si>
  <si>
    <t>basement membrane {GO:0005604}; cell cortex {GO:0005938}; cell junction {GO:0030054}; cleavage furrow {GO:0032154}; collagen-containing extracellular matrix {GO:0062023}; extracellular matrix {GO:0031012}; extracellular space {GO:0005615}</t>
  </si>
  <si>
    <t>Spectrin alpha chain, non-erythrocytic 1</t>
  </si>
  <si>
    <t>Alpha-II spectrin; Fodrin alpha chain; Spectrin, non-erythroid alpha subunit</t>
  </si>
  <si>
    <t>SPTN1_HUMAN</t>
  </si>
  <si>
    <t>Q13813</t>
  </si>
  <si>
    <t>Q13186; Q15324; Q16606; Q59EF1; Q5VXV5; Q5VXV6; Q7Z6M5; Q9P0V0</t>
  </si>
  <si>
    <t>NEAS; SPTA2</t>
  </si>
  <si>
    <t>3D-structure; Acetylation; Actin capping; Actin-binding; Alternative splicing; Calcium; Calmodulin-binding; Cytoplasm; Cytoskeleton; Disease mutation; Epilepsy; Mental retardation; Metal-binding; Phosphoprotein; Polymorphism; Repeat; SH3 domain</t>
  </si>
  <si>
    <t>Actin capping; Actin-binding; Calmodulin-binding</t>
  </si>
  <si>
    <t>actin filament capping {GO:0051693}; axon guidance {GO:0007411}; endoplasmic reticulum to Golgi vesicle-mediated transport {GO:0006888}; MAPK cascade {GO:0000165}; neutrophil degranulation {GO:0043312}</t>
  </si>
  <si>
    <t>cytosol {GO:0005829}; extracellular exosome {GO:0070062}; extracellular region {GO:0005576}; extracellular vesicle {GO:1903561}; intracellular membrane-bounded organelle {GO:0043231}; membrane {GO:0016020}; microtubule cytoskeleton {GO:0015630}; specific granule lumen {GO:0035580}; spectrin {GO:0008091}; tertiary granule lumen {GO:1904724}</t>
  </si>
  <si>
    <t>actin binding {GO:0003779}; cadherin binding {GO:0045296}; calcium ion binding {GO:0005509}; calmodulin binding {GO:0005516}; structural constituent of cytoskeleton {GO:0005200}</t>
  </si>
  <si>
    <t>Caspase-mediated cleavage of cytoskeletal proteins {R-HSA-264870}; Nephrin family interactions {R-HSA-373753}; NCAM signaling for neurite out-growth {R-HSA-375165}; Interaction between L1 and Ankyrins {R-HSA-445095}; RAF/MAP kinase cascade {R-HSA-5673001}; Neutrophil degranulation {R-HSA-6798695}; COPI-mediated anterograde transport {R-HSA-6807878}</t>
  </si>
  <si>
    <t>Sushi domain-containing protein 3</t>
  </si>
  <si>
    <t>SUSD3_HUMAN</t>
  </si>
  <si>
    <t>Q96L08</t>
  </si>
  <si>
    <t>Q49AA6; Q6UXV7</t>
  </si>
  <si>
    <t>Alternative splicing; Cell membrane; Disulfide bond; Glycoprotein; Membrane; Polymorphism; Sushi; Transmembrane; Transmembrane helix</t>
  </si>
  <si>
    <t>Sushi; Transmembrane; Transmembrane helix</t>
  </si>
  <si>
    <t>Fructose-1,6-bisphosphatase isozyme 2 (FBPase 2)</t>
  </si>
  <si>
    <t>D-fructose-1,6-bisphosphate 1-phosphohydrolase 2; Muscle FBPase</t>
  </si>
  <si>
    <t>F16P2_HUMAN</t>
  </si>
  <si>
    <t>O00757</t>
  </si>
  <si>
    <t>Q17R39; Q6FI53</t>
  </si>
  <si>
    <t>3D-structure; Allosteric enzyme; Calcium; Carbohydrate metabolism; Cell junction; Cytoplasm; Gluconeogenesis; Hydrolase; Magnesium; Metal-binding; Nucleus; Phosphoprotein; Polymorphism</t>
  </si>
  <si>
    <t>Cell junction; Cytoplasm; Nucleus</t>
  </si>
  <si>
    <t>fructose 1,6-bisphosphate metabolic process {GO:0030388}; fructose 6-phosphate metabolic process {GO:0006002}; fructose metabolic process {GO:0006000}; gluconeogenesis {GO:0006094}; sucrose biosynthetic process {GO:0005986}</t>
  </si>
  <si>
    <t>cell junction {GO:0030054}; cytoplasm {GO:0005737}; cytosol {GO:0005829}; extracellular exosome {GO:0070062}; nucleoplasm {GO:0005654}; plasma membrane {GO:0005886}; Z disc {GO:0030018}</t>
  </si>
  <si>
    <t>fructose 1,6-bisphosphate 1-phosphatase activity {GO:0042132}; identical protein binding {GO:0042802}; metal ion binding {GO:0046872}</t>
  </si>
  <si>
    <t>Cadherin-16</t>
  </si>
  <si>
    <t>Kidney-specific cadherin (Ksp-cadherin)</t>
  </si>
  <si>
    <t>CAD16_HUMAN</t>
  </si>
  <si>
    <t>O75309</t>
  </si>
  <si>
    <t>B4DPA8; H3BPD3; Q6UW93</t>
  </si>
  <si>
    <t>Alternative splicing; Calcium; Cell adhesion; Cell membrane; Glycoprotein; Membrane; Metal-binding; Phosphoprotein; Polymorphism; Repeat; Signal; Transmembrane; Transmembrane helix</t>
  </si>
  <si>
    <t>calcium-dependent cell-cell adhesion via plasma membrane cell adhesion molecules {GO:0016339}; cell adhesion {GO:0007155}; homophilic cell adhesion via plasma membrane adhesion molecules {GO:0007156}</t>
  </si>
  <si>
    <t>basolateral plasma membrane {GO:0016323}; extracellular exosome {GO:0070062}; integral component of plasma membrane {GO:0005887}</t>
  </si>
  <si>
    <t>Cadherin-15</t>
  </si>
  <si>
    <t>Cadherin-14; Muscle cadherin (M-cadherin)</t>
  </si>
  <si>
    <t>CAD15_HUMAN</t>
  </si>
  <si>
    <t>P55291</t>
  </si>
  <si>
    <t>CDH14; CDH3</t>
  </si>
  <si>
    <t>Calcium; Cell adhesion; Cell membrane; Chromosomal rearrangement; Cleavage on pair of basic residues; Disease mutation; Glycoprotein; Membrane; Mental retardation; Metal-binding; Repeat; Signal; Transmembrane; Transmembrane helix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</si>
  <si>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homophilic cell adhesion via plasma membrane adhesion molecules {GO:0007156}; positive regulation of muscle cell differentiation {GO:0051149}</t>
  </si>
  <si>
    <t>catenin complex {GO:0016342}; caveola {GO:0005901}; cell surface {GO:0009986}; cell-cell adherens junction {GO:0005913}; cytosol {GO:0005829}; extracellular exosome {GO:0070062}; Golgi apparatus {GO:0005794}; integral component of membrane {GO:0016021}; neuromuscular junction {GO:0031594}; plasma membrane {GO:0005886}</t>
  </si>
  <si>
    <t>Adherens junctions interactions {R-HSA-418990}; Myogenesis {R-HSA-525793}</t>
  </si>
  <si>
    <t>Copine-3</t>
  </si>
  <si>
    <t>Copine III</t>
  </si>
  <si>
    <t>CPNE3_HUMAN</t>
  </si>
  <si>
    <t>O75131</t>
  </si>
  <si>
    <t>A8KA47; Q8IYA1</t>
  </si>
  <si>
    <t>Cell junction; Cell membrane; Cytoplasm; Membrane; Nucleus; Phosphoprotein; Polymorphism; Repeat</t>
  </si>
  <si>
    <t>cellular response to calcium ion {GO:0071277}; cellular response to growth factor stimulus {GO:0071363}; ERBB2 signaling pathway {GO:0038128}; glycerophospholipid biosynthetic process {GO:0046474}; lipid metabolic process {GO:0006629}; neutrophil degranulation {GO:0043312}; positive regulation of cell migration {GO:0030335}; vesicle-mediated transport {GO:0016192}</t>
  </si>
  <si>
    <t>azurophil granule membrane {GO:0035577}; cell junction {GO:0030054}; cytoplasm {GO:0005737}; cytosol {GO:0005829}; extracellular exosome {GO:0070062}; focal adhesion {GO:0005925}; mitochondrion {GO:0005739}; nucleolus {GO:0005730}; nucleus {GO:0005634}; plasma membrane {GO:0005886}</t>
  </si>
  <si>
    <t>calcium-dependent phospholipid binding {GO:0005544}; calcium-dependent protein binding {GO:0048306}; protein serine/threonine kinase activity {GO:0004674}; receptor tyrosine kinase binding {GO:0030971}; RNA binding {GO:0003723}; transporter activity {GO:0005215}</t>
  </si>
  <si>
    <t>Glycerophospholipid biosynthesis {R-HSA-1483206}; Neutrophil degranulation {R-HSA-6798695}</t>
  </si>
  <si>
    <t>60S ribosomal protein L13</t>
  </si>
  <si>
    <t>Breast basic conserved protein 1; Large ribosomal subunit protein eL13</t>
  </si>
  <si>
    <t>RL13_HUMAN</t>
  </si>
  <si>
    <t>P26373</t>
  </si>
  <si>
    <t>B4DLX3; F5H1S2; Q3KQT8; Q567Q8; Q9BPX0</t>
  </si>
  <si>
    <t>BBC1</t>
  </si>
  <si>
    <t>3D-structure; Acetylation; Alternative splicing; Isopeptide bond; Phosphoprotein; Polymorphism; Ribonucleoprotein; Ribosomal protein; Ubl conjugation</t>
  </si>
  <si>
    <t>cytosol {GO:0005829}; cytosolic large ribosomal subunit {GO:0022625}; cytosolic ribosome {GO:0022626}; endoplasmic reticulum {GO:0005783}; membrane {GO:0016020}; nucleolus {GO:0005730}; nucleus {GO:0005634}</t>
  </si>
  <si>
    <t>Myosin-14</t>
  </si>
  <si>
    <t>Myosin heavy chain 14; Myosin heavy chain, non-muscle IIc; Non-muscle myosin heavy chain IIc (NMHC II-C)</t>
  </si>
  <si>
    <t>MYH14_HUMAN</t>
  </si>
  <si>
    <t>Q7Z406</t>
  </si>
  <si>
    <t>B0I1S2; C3TTN4; Q5CZ75; Q6XYE4; Q76B62; Q8WV23; Q96I22; Q9BT27; Q9BW35; Q9H882</t>
  </si>
  <si>
    <t>KIAA2034</t>
  </si>
  <si>
    <t>3D-structure; Acetylation; Actin-binding; Alternative splicing; ATP-binding; Calmodulin-binding; Cell shape; Coiled coil; Deafness; Disease mutation; Motor protein; Myosin; Neuropathy; Non-syndromic deafness; Nucleotide-binding; Phosphoprotein; Polymorphism</t>
  </si>
  <si>
    <t>Deafness; Disease mutation; Neuropathy; Non-syndromic deafness</t>
  </si>
  <si>
    <t>actin filament-based movement {GO:0030048}; actomyosin structure organization {GO:0031032}; mitochondrion morphogenesis {GO:0070584}; neuronal action potential {GO:0019228}; regulation of cell shape {GO:0008360}; sensory perception of sound {GO:0007605}; skeletal muscle contraction {GO:0003009}; skeletal muscle tissue development {GO:0007519}; vocalization behavior {GO:0071625}</t>
  </si>
  <si>
    <t>actomyosin {GO:0042641}; brush border {GO:0005903}; cytosol {GO:0005829}; extracellular exosome {GO:0070062}; growth cone {GO:0030426}; membrane {GO:0016020}; myosin II complex {GO:0016460}; myosin II filament {GO:0097513}; stress fiber {GO:0001725}</t>
  </si>
  <si>
    <t>EPHA-mediated growth cone collapse {R-HSA-3928663}; Sema4D induced cell migration and growth-cone collapse {R-HSA-416572}; RHO GTPases activate PKNs {R-HSA-5625740}; RHO GTPases activate CIT {R-HSA-5625900}; RHO GTPases Activate ROCKs {R-HSA-5627117}; RHO GTPases activate PAKs {R-HSA-5627123}</t>
  </si>
  <si>
    <t>Myosin-binding protein C, fast-type (Fast MyBP-C)</t>
  </si>
  <si>
    <t>C-protein, skeletal muscle fast isoform</t>
  </si>
  <si>
    <t>MYPC2_HUMAN</t>
  </si>
  <si>
    <t>Q14324</t>
  </si>
  <si>
    <t>A1L4G9</t>
  </si>
  <si>
    <t>MYBPCF</t>
  </si>
  <si>
    <t>3D-structure; Actin-binding; Cell adhesion; Immunoglobulin domain; Muscle protein; Polymorphism; Repeat; Thick filament</t>
  </si>
  <si>
    <t>cytosol {GO:0005829}; M band {GO:0031430}; myosin filament {GO:0032982}; sarcomere {GO:0030017}; striated muscle thin filament {GO:0005865}; Z disc {GO:0030018}</t>
  </si>
  <si>
    <t>actin filament binding {GO:0051015}; muscle alpha-actinin binding {GO:0051371}; structural constituent of muscle {GO:0008307}</t>
  </si>
  <si>
    <t>Putative L-aspartate dehydrogenase</t>
  </si>
  <si>
    <t>Aspartate dehydrogenase domain-containing protein</t>
  </si>
  <si>
    <t>ASPD_HUMAN</t>
  </si>
  <si>
    <t>A6ND91</t>
  </si>
  <si>
    <t>Q6NZ37</t>
  </si>
  <si>
    <t>Alternative splicing; NAD; NADP; Oxidoreductase; Phosphoprotein; Polymorphism; Pyridine nucleotide biosynthesis</t>
  </si>
  <si>
    <t>NAD biosynthetic process {GO:0009435}; NADP catabolic process {GO:0006742}</t>
  </si>
  <si>
    <t>aspartate dehydrogenase activity {GO:0033735}; NADP binding {GO:0050661}</t>
  </si>
  <si>
    <t>Cofactor biosynthesis; NAD(+) biosynthesis; iminoaspartate from L-aspartate (dehydrogenase route): step 1/1.</t>
  </si>
  <si>
    <t>Kallikrein-1</t>
  </si>
  <si>
    <t>Kidney/pancreas/salivary gland kallikrein; Tissue kallikrein</t>
  </si>
  <si>
    <t>KLK1_HUMAN</t>
  </si>
  <si>
    <t>P06870</t>
  </si>
  <si>
    <t>Q66US9; Q86U61; Q8TCV8; Q9BS53; Q9NQU4; Q9UD19; Q9UMJ1</t>
  </si>
  <si>
    <t>3D-structure; Alternative splicing; Disulfide bond; Glycoprotein; Hydrolase; Polymorphism; Protease; Serine protease; Signal; Zymogen</t>
  </si>
  <si>
    <t>regulation of systemic arterial blood pressure {GO:0003073}; zymogen activation {GO:0031638}</t>
  </si>
  <si>
    <t>extracellular exosome {GO:0070062}; nucleus {GO:0005634}; secretory granule {GO:0030141}</t>
  </si>
  <si>
    <t>Phosphoglucomutase-1 (PGM 1)</t>
  </si>
  <si>
    <t>Glucose phosphomutase 1</t>
  </si>
  <si>
    <t>PGM1_HUMAN</t>
  </si>
  <si>
    <t>P36871</t>
  </si>
  <si>
    <t>B2R5N9; B4DPV0; Q16105; Q16106; Q5BKZ9; Q6NW22; Q86U74; Q96J40; Q9NTY4</t>
  </si>
  <si>
    <t>3D-structure; Acetylation; Alternative splicing; Carbohydrate metabolism; Congenital disorder of glycosylation; Cytoplasm; Disease mutation; Glucose metabolism; Glycogen storage disease; Isomerase; Magnesium; Metal-binding; Phosphoprotein; Polymorphism</t>
  </si>
  <si>
    <t>Congenital disorder of glycosylation; Disease mutation; Glycogen storage disease</t>
  </si>
  <si>
    <t>galactose catabolic process {GO:0019388}; gluconeogenesis {GO:0006094}; glucose metabolic process {GO:0006006}; glycogen biosynthetic process {GO:0005978}; glycogen catabolic process {GO:0005980}; glycolytic process {GO:0006096}; neutrophil degranulation {GO:0043312}</t>
  </si>
  <si>
    <t>actin cytoskeleton {GO:0015629}; cytoplasm {GO:0005737}; cytosol {GO:0005829}; extracellular exosome {GO:0070062}; extracellular region {GO:0005576}; ficolin-1-rich granule lumen {GO:1904813}; tertiary granule lumen {GO:1904724}</t>
  </si>
  <si>
    <t>magnesium ion binding {GO:0000287}; phosphoglucomutase activity {GO:0004614}</t>
  </si>
  <si>
    <t>Glycogen synthesis {R-HSA-3322077}; Defective PGM1 causes PGM1-CDG (CDG1t) {R-HSA-5609974}; Neutrophil degranulation {R-HSA-6798695}</t>
  </si>
  <si>
    <t>Kallikrein-6</t>
  </si>
  <si>
    <t>Neurosin; Protease M; SP59; Serine protease 18; Serine protease 9; Zyme</t>
  </si>
  <si>
    <t>KLK6_HUMAN</t>
  </si>
  <si>
    <t>Q92876</t>
  </si>
  <si>
    <t>A6NJA1; A8MW09; Q6H301</t>
  </si>
  <si>
    <t>PRSS18; PRSS9</t>
  </si>
  <si>
    <t>3D-structure; Alternative splicing; Autocatalytic cleavage; Cleavage on pair of basic residues; Cytoplasm; Disulfide bond; Endoplasmic reticulum; Glycoprotein; Hydrolase; Microsome; Mitochondrion; Nucleus; Polymorphism; Protease; Secreted; Serine protease; Signal; Zymogen</t>
  </si>
  <si>
    <t>Cytoplasm; Endoplasmic reticulum; Microsome; Mitochondrion; Nucleus; Secreted</t>
  </si>
  <si>
    <t>Autocatalytic cleavage; Cleavage on pair of basic residues; Disulfide bond; Glycoprotein; Zymogen</t>
  </si>
  <si>
    <t>amyloid precursor protein metabolic process {GO:0042982}; central nervous system development {GO:0007417}; collagen catabolic process {GO:0030574}; hormone metabolic process {GO:0042445}; myelination {GO:0042552}; positive regulation of G protein-coupled receptor signaling pathway {GO:0045745}; protein autoprocessing {GO:0016540}; regulation of cell differentiation {GO:0045595}; regulation of neuron projection development {GO:0010975}; response to wounding {GO:0009611}; tissue regeneration {GO:0042246}</t>
  </si>
  <si>
    <t>cytoplasm {GO:0005737}; endoplasmic reticulum {GO:0005783}; extracellular region {GO:0005576}; extracellular space {GO:0005615}; mitochondrion {GO:0005739}; nucleolus {GO:0005730}; secretory granule {GO:0030141}</t>
  </si>
  <si>
    <t>Creatine kinase M-type</t>
  </si>
  <si>
    <t>Creatine kinase M chain; Creatine phosphokinase M-type (CPK-M); M-CK</t>
  </si>
  <si>
    <t>KCRM_HUMAN</t>
  </si>
  <si>
    <t>P06732</t>
  </si>
  <si>
    <t>Q96QL9</t>
  </si>
  <si>
    <t>CKMM</t>
  </si>
  <si>
    <t>3D-structure; ATP-binding; Cytoplasm; Kinase; Nucleotide-binding; Phosphoprotein; Polymorphism; Transferase</t>
  </si>
  <si>
    <t>cytosol {GO:0005829}; extracellular space {GO:0005615}</t>
  </si>
  <si>
    <t>Solute carrier family 12 member 3</t>
  </si>
  <si>
    <t>Na-Cl cotransporter (NCC); Na-Cl symporter; Thiazide-sensitive sodium-chloride cotransporter</t>
  </si>
  <si>
    <t>S12A3_HUMAN</t>
  </si>
  <si>
    <t>P55017</t>
  </si>
  <si>
    <t>A8MSJ2; C9JNN9</t>
  </si>
  <si>
    <t>NCC; TSC</t>
  </si>
  <si>
    <t>Alternative splicing; Cell membrane; Chloride; Disease mutation; Glycoprotein; Ion transport; Membrane; Phosphoprotein; Polymorphism; Sodium; Sodium transport; Symport; Transmembrane; Transmembrane helix; Transport; Ubl conjugation</t>
  </si>
  <si>
    <t>Chloride; Sodium</t>
  </si>
  <si>
    <t>cell volume homeostasis {GO:0006884}; chloride ion homeostasis {GO:0055064}; chloride transmembrane transport {GO:1902476}; ion transport {GO:0006811}; potassium ion homeostasis {GO:0055075}; potassium ion import across plasma membrane {GO:1990573}; sodium ion homeostasis {GO:0055078}; sodium ion transmembrane transport {GO:0035725}; sodium ion transport {GO:0006814}</t>
  </si>
  <si>
    <t>apical plasma membrane {GO:0016324}; cytosol {GO:0005829}; extracellular exosome {GO:0070062}; integral component of plasma membrane {GO:0005887}; membrane {GO:0016020}; plasma membrane {GO:0005886}</t>
  </si>
  <si>
    <t>Cation-coupled Chloride cotransporters {R-HSA-426117}; Defective SLC12A3 causes Gitelman syndrome (GS) {R-HSA-5619087}</t>
  </si>
  <si>
    <t>IST1 homolog (hIST1)</t>
  </si>
  <si>
    <t>Putative MAPK-activating protein PM28</t>
  </si>
  <si>
    <t>IST1_HUMAN</t>
  </si>
  <si>
    <t>P53990</t>
  </si>
  <si>
    <t>A8KAH5; J3QLU7; Q3SYM4; Q9BQ81; Q9BWN2</t>
  </si>
  <si>
    <t>KIAA0174</t>
  </si>
  <si>
    <t>3D-structure; Alternative splicing; Cell cycle; Cell division; Cytoplasm; Cytoplasmic vesicle; Cytoskeleton; Nucleus; Phosphoprotein</t>
  </si>
  <si>
    <t>Cytoplasm; Cytoplasmic vesicle; Cytoskeleton; Nucleus</t>
  </si>
  <si>
    <t>abscission {GO:0009838}; cell division {GO:0051301}; cytoskeleton-dependent cytokinesis {GO:0061640}; ESCRT III complex disassembly {GO:1904903}; establishment of protein localization {GO:0045184}; multivesicular body assembly {GO:0036258}; neutrophil degranulation {GO:0043312}; positive regulation of collateral sprouting {GO:0048672}; positive regulation of proteolysis {GO:0045862}; protein localization {GO:0008104}; protein transport {GO:0015031}; viral capsid secondary envelopment {GO:0046745}; viral release from host cell {GO:0019076}</t>
  </si>
  <si>
    <t>azurophil granule lumen {GO:0035578}; centrosome {GO:0005813}; cytosol {GO:0005829}; endoplasmic reticulum-Golgi intermediate compartment {GO:0005793}; extracellular exosome {GO:0070062}; extracellular region {GO:0005576}; Flemming body {GO:0090543}; intracellular membrane-bounded organelle {GO:0043231}; midbody {GO:0030496}; nuclear envelope {GO:0005635}</t>
  </si>
  <si>
    <t>cadherin binding {GO:0045296}; identical protein binding {GO:0042802}; MIT domain binding {GO:0090541}; protein domain specific binding {GO:0019904}; protein-containing complex binding {GO:0044877}</t>
  </si>
  <si>
    <t>Tubulin beta-3 chain</t>
  </si>
  <si>
    <t>Tubulin beta-4 chain; Tubulin beta-III</t>
  </si>
  <si>
    <t>TBB3_HUMAN</t>
  </si>
  <si>
    <t>Q13509</t>
  </si>
  <si>
    <t>A8K854; Q9BTZ0; Q9BW10</t>
  </si>
  <si>
    <t>TUBB4</t>
  </si>
  <si>
    <t>3D-structure; Alternative splicing; Cell projection; Cytoplasm; Cytoskeleton; Disease mutation; GTP-binding; Isopeptide bond; Microtubule; Nucleotide-binding; Phosphoprotein</t>
  </si>
  <si>
    <t>Isopeptide bond; Phosphoprotein</t>
  </si>
  <si>
    <t>axon guidance {GO:0007411}; dorsal root ganglion development {GO:1990791}; microtubule cytoskeleton organization {GO:0000226}; microtubule-based process {GO:0007017}; mitotic cell cycle {GO:0000278}; neuron differentiation {GO:0030182}</t>
  </si>
  <si>
    <t>axon {GO:0030424}; cytoplasm {GO:0005737}; dendrite {GO:0030425}; extracellular exosome {GO:0070062}; filopodium {GO:0030175}; growth cone {GO:0030426}; lamellipodium {GO:0030027}; microtubule {GO:0005874}; nucleus {GO:0005634}</t>
  </si>
  <si>
    <t>GTP binding {GO:0005525}; GTPase activity {GO:0003924}; netrin receptor binding {GO:1990890}; structural constituent of cytoskeleton {GO:0005200}</t>
  </si>
  <si>
    <t>Carcinoembryonic antigen-related cell adhesion molecule 1</t>
  </si>
  <si>
    <t>Biliary glycoprotein 1 (BGP-1); CD_antigen=CD66a</t>
  </si>
  <si>
    <t>CEAM1_HUMAN</t>
  </si>
  <si>
    <t>P13688</t>
  </si>
  <si>
    <t>A6NE38; A8MY49; O60430; Q069I7; Q13854; Q13857; Q13858; Q13859; Q13860; Q15600; Q15601; Q16170; Q5UB49; Q7KYP5; Q96CA7; Q9UQV9</t>
  </si>
  <si>
    <t>3D-structure; Alternative splicing; Cell junction; Cell membrane; Cell projection; Cytoplasmic vesicle; Disulfide bond; Glycoprotein; Immunoglobulin domain; Membrane; Phosphoprotein; Polymorphism; Pyrrolidone carboxylic acid; Repeat; Secreted; Signal; Transmembrane; Transmembrane helix</t>
  </si>
  <si>
    <t>Cell junction; Cell membrane; Cell projection; Cytoplasmic vesicle; Membrane; Secreted</t>
  </si>
  <si>
    <t>angiogenesis {GO:0001525}; bile acid and bile salt transport {GO:0015721}; blood vessel development {GO:0001568}; cell adhesion {GO:0007155}; cell migration {GO:0016477}; cell-cell adhesion via plasma-membrane adhesion molecules {GO:0098742}; cellular response to insulin stimulus {GO:0032869}; common myeloid progenitor cell proliferation {GO:0035726}; granulocyte colony-stimulating factor signaling pathway {GO:0038158}; homophilic cell adhesion via plasma membrane adhesion molecules {GO:0007156}; insulin catabolic process {GO:1901143}; insulin receptor internalization {GO:0038016}; integrin-mediated signaling pathway {GO:0007229}; leukocyte migration {GO:0050900}; negative regulation of cytotoxic T cell degranulation {GO:0043318}; negative regulation of fatty acid biosynthetic process {GO:0045717}; negative regulation of granulocyte differentiation {GO:0030853}; negative regulation of hepatocyte proliferation {GO:2000346}; negative regulation of interleukin-1 production {GO:0032692}; negative regulation of lipid biosynthetic process {GO:0051055}; negative regulation of natural killer cell mediated cytotoxicity directed against tumor cell target {GO:0002859}; negative regulation of platelet aggregation {GO:0090331}; negative regulation of protein kinase activity {GO:0006469}; negative regulation of T cell mediated cytotoxicity {GO:0001915}; negative regulation of T cell receptor signaling pathway {GO:0050860}; negative regulation of vascular permeability {GO:0043116}; neutrophil degranulation {GO:0043312}; positive regulation of vasculogenesis {GO:2001214}; regulation of blood vessel remodeling {GO:0060312}; regulation of cell growth {GO:0001558}; regulation of cell migration {GO:0030334}; regulation of endothelial cell differentiation {GO:0045601}; regulation of endothelial cell migration {GO:0010594}; regulation of epidermal growth factor receptor signaling pathway {GO:0042058}; regulation of ERK1 and ERK2 cascade {GO:0070372}; regulation of homophilic cell adhesion {GO:1903385}; regulation of phosphatidylinositol 3-kinase signaling {GO:0014066}; regulation of sprouting angiogenesis {GO:1903670}; wound healing, spreading of cells {GO:0044319}</t>
  </si>
  <si>
    <t>adherens junction {GO:0005912}; apical plasma membrane {GO:0016324}; basal plasma membrane {GO:0009925}; cell junction {GO:0030054}; cell surface {GO:0009986}; cell-cell junction {GO:0005911}; extracellular exosome {GO:0070062}; integral component of membrane {GO:0016021}; integral component of plasma membrane {GO:0005887}; lateral plasma membrane {GO:0016328}; membrane {GO:0016020}; microvillus membrane {GO:0031528}; plasma membrane {GO:0005886}; specific granule membrane {GO:0035579}; tertiary granule membrane {GO:0070821}; transport vesicle membrane {GO:0030658}</t>
  </si>
  <si>
    <t>actin binding {GO:0003779}; bile acid transmembrane transporter activity {GO:0015125}; calmodulin binding {GO:0005516}; filamin binding {GO:0031005}; identical protein binding {GO:0042802}; kinase binding {GO:0019900}; protein dimerization activity {GO:0046983}; protein homodimerization activity {GO:0042803}; protein phosphatase binding {GO:0019903}; protein tyrosine kinase binding {GO:1990782}</t>
  </si>
  <si>
    <t>Fibronectin matrix formation {R-HSA-1566977}; Cell surface interactions at the vascular wall {R-HSA-202733}; Neutrophil degranulation {R-HSA-6798695}</t>
  </si>
  <si>
    <t>Alpha-actinin-4</t>
  </si>
  <si>
    <t>Non-muscle alpha-actinin 4</t>
  </si>
  <si>
    <t>ACTN4_HUMAN</t>
  </si>
  <si>
    <t>O43707</t>
  </si>
  <si>
    <t>A4K467; D6PXK4; O76048</t>
  </si>
  <si>
    <t>3D-structure; Acetylation; Actin-binding; Alternative splicing; Calcium; Cell junction; Cytoplasm; Cytoskeleton; Disease mutation; Metal-binding; Nucleus; Phosphoprotein; Protein transport; Repeat; Transport</t>
  </si>
  <si>
    <t>actin filament bundle assembly {GO:0051017}; bicellular tight junction assembly {GO:0070830}; negative regulation of cellular component movement {GO:0051271}; negative regulation of substrate adhesion-dependent cell spreading {GO:1900025}; peroxisome proliferator activated receptor signaling pathway {GO:0035357}; platelet degranulation {GO:0002576}; positive regulation of cell migration {GO:0030335}; positive regulation of cellular component movement {GO:0051272}; positive regulation of NIK/NF-kappaB signaling {GO:1901224}; positive regulation of pinocytosis {GO:0048549}; positive regulation of sodium:proton antiporter activity {GO:0032417}; protein localization to bicellular tight junction {GO:1902396}; protein transport {GO:0015031}; regulation of apoptotic process {GO:0042981}; regulation of nucleic acid-templated transcription {GO:1903506}; response to hypoxia {GO:0001666}; retinoic acid receptor signaling pathway {GO:0048384}; tumor necrosis factor-mediated signaling pathway {GO:0033209}; vesicle transport along actin filament {GO:0030050}</t>
  </si>
  <si>
    <t>brush border {GO:0005903}; cell-cell junction {GO:0005911}; cortical cytoskeleton {GO:0030863}; cytoplasm {GO:0005737}; cytosol {GO:0005829}; extracellular exosome {GO:0070062}; extracellular region {GO:0005576}; extracellular space {GO:0005615}; focal adhesion {GO:0005925}; neuron projection {GO:0043005}; nuclear body {GO:0016604}; nucleus {GO:0005634}; perinuclear region of cytoplasm {GO:0048471}; platelet alpha granule lumen {GO:0031093}; protein-containing complex {GO:0032991}; pseudopodium {GO:0031143}; ribonucleoprotein complex {GO:1990904}; stress fiber {GO:0001725}; Z disc {GO:0030018}</t>
  </si>
  <si>
    <t>actin binding {GO:0003779}; actin filament binding {GO:0051015}; calcium ion binding {GO:0005509}; chromatin DNA binding {GO:0031490}; integrin binding {GO:0005178}; ion channel binding {GO:0044325}; nuclear hormone receptor binding {GO:0035257}; nuclear receptor transcription coactivator activity {GO:0030374}; nucleoside binding {GO:0001882}; protein homodimerization activity {GO:0042803}; protein N-terminus binding {GO:0047485}; retinoic acid receptor binding {GO:0042974}; RNA binding {GO:0003723}; RNA polymerase II regulatory region sequence-specific DNA binding {GO:0000977}; transcription coactivator activity {GO:0003713}</t>
  </si>
  <si>
    <t>Platelet degranulation {R-HSA-114608}; Nephrin family interactions {R-HSA-373753}</t>
  </si>
  <si>
    <t>ADGRG1 C-terminal fragment</t>
  </si>
  <si>
    <t>G-protein coupled receptor 56; Protein TM7XN1 (ADGRG1 NT); GPR56 N-terminal fragment (GPR56 NT; GPR56(N)); GPR56 extracellular subunit; GPR56 subunit alpha (ADGRG1 CT); GPR56 C-terminal fragment (GPR56 CT; GPR56(C)); GPR56 seven-transmembrane subunit (GPR56 7TM); GPR56 subunit beta</t>
  </si>
  <si>
    <t>AGRG1_HUMAN</t>
  </si>
  <si>
    <t>Q9Y653</t>
  </si>
  <si>
    <t>A6NIT7; A6NJV9; B0M0K4; B4DR54; O95966; Q6ZMP1; Q8NGB3; Q96HB4</t>
  </si>
  <si>
    <t>Alternative splicing; Cell adhesion; Cell membrane; Developmental protein; Differentiation; Disease mutation; G-protein coupled receptor; Glycoprotein; Heparin-binding; Membrane; Neurogenesis; Polymorphism; Receptor; Secreted; Signal; Transducer; Transmembrane; Transmembrane helix; Ubl conjugation</t>
  </si>
  <si>
    <t>Developmental protein; G-protein coupled receptor; Heparin-binding; Receptor; Transducer</t>
  </si>
  <si>
    <t>adenylate cyclase-activating G protein-coupled receptor signaling pathway {GO:0007189}; angiogenesis {GO:0001525}; brain development {GO:0007420}; cell adhesion {GO:0007155}; cell migration {GO:0016477}; cell surface receptor signaling pathway {GO:0007166}; cell-cell signaling {GO:0007267}; cerebral cortex radial glia guided migration {GO:0021801}; cerebral cortex regionalization {GO:0021796}; G protein-coupled receptor signaling pathway {GO:0007186}; layer formation in cerebral cortex {GO:0021819}; negative regulation of cell population proliferation {GO:0008285}; negative regulation of neuron migration {GO:2001223}; positive regulation of cell adhesion {GO:0045785}; positive regulation of neural precursor cell proliferation {GO:2000179}; positive regulation of Rho protein signal transduction {GO:0035025}; protein kinase C signaling {GO:0070528}; Rho protein signal transduction {GO:0007266}; seminiferous tubule development {GO:0072520}; vascular endothelial growth factor production {GO:0010573}</t>
  </si>
  <si>
    <t>extracellular exosome {GO:0070062}; glial limiting end-foot {GO:0097451}; integral component of membrane {GO:0016021}; integral component of plasma membrane {GO:0005887}; membrane raft {GO:0045121}</t>
  </si>
  <si>
    <t>collagen binding {GO:0005518}; extracellular matrix binding {GO:0050840}; G protein-coupled receptor activity {GO:0004930}; heparin binding {GO:0008201}</t>
  </si>
  <si>
    <t>Glia maturation factor gamma (GMF-gamma)</t>
  </si>
  <si>
    <t>GMFG_HUMAN</t>
  </si>
  <si>
    <t>O60234</t>
  </si>
  <si>
    <t>Q6IB37</t>
  </si>
  <si>
    <t>3D-structure; Acetylation; Growth factor; Polymorphism</t>
  </si>
  <si>
    <t>actin filament debranching {GO:0071846}; negative regulation of Arp2/3 complex-mediated actin nucleation {GO:0034316}; neutrophil degranulation {GO:0043312}; protein phosphorylation {GO:0006468}; regulation of actin cytoskeleton reorganization {GO:2000249}</t>
  </si>
  <si>
    <t>actin cortical patch {GO:0030479}; extracellular region {GO:0005576}; ficolin-1-rich granule lumen {GO:1904813}; secretory granule lumen {GO:0034774}</t>
  </si>
  <si>
    <t>Ryanodine receptor 1 (RYR-1; RyR1)</t>
  </si>
  <si>
    <t>Skeletal muscle calcium release channel; Skeletal muscle ryanodine receptor; Skeletal muscle-type ryanodine receptor; Type 1 ryanodine receptor</t>
  </si>
  <si>
    <t>RYR1_HUMAN</t>
  </si>
  <si>
    <t>P21817</t>
  </si>
  <si>
    <t>Q16314; Q16368; Q9NPK1; Q9P1U4</t>
  </si>
  <si>
    <t>RYDR</t>
  </si>
  <si>
    <t>Alternative splicing; ATP-binding; Calcium; Calcium channel; Calcium transport; Calmodulin-binding; Developmental protein; Disease mutation; Ion channel; Ion transport; Ligand-gated ion channel; Membrane; Metal-binding; Nucleotide-binding; Phosphoprotein; Polymorphism; Receptor; Repeat; S-nitrosylation; Sarcoplasmic reticulum; Transmembrane; Transmembrane helix; Transport</t>
  </si>
  <si>
    <t>Membrane; Sarcoplasmic reticulum</t>
  </si>
  <si>
    <t>Calcium channel; Calmodulin-binding; Developmental protein; Ion channel; Ligand-gated ion channel; Receptor</t>
  </si>
  <si>
    <t>Phosphoprotein; S-nitrosylation</t>
  </si>
  <si>
    <t>calcium ion transport {GO:0006816}; cellular response to caffeine {GO:0071313}; cellular response to calcium ion {GO:0071277}; ion transmembrane transport {GO:0034220}; muscle contraction {GO:0006936}; ossification involved in bone maturation {GO:0043931}; outflow tract morphogenesis {GO:0003151}; protein homotetramerization {GO:0051289}; regulation of cardiac conduction {GO:1903779}; regulation of cytosolic calcium ion concentration {GO:0051480}; release of sequestered calcium ion into cytosol {GO:0051209}; release of sequestered calcium ion into cytosol by sarcoplasmic reticulum {GO:0014808}; response to caffeine {GO:0031000}; response to hypoxia {GO:0001666}; skeletal muscle fiber development {GO:0048741}; skin development {GO:0043588}</t>
  </si>
  <si>
    <t>calcium channel complex {GO:0034704}; cell cortex {GO:0005938}; cytoplasm {GO:0005737}; cytoplasmic vesicle membrane {GO:0030659}; extracellular exosome {GO:0070062}; I band {GO:0031674}; integral component of organelle membrane {GO:0031301}; integral component of plasma membrane {GO:0005887}; junctional membrane complex {GO:0030314}; junctional sarcoplasmic reticulum membrane {GO:0014701}; plasma membrane {GO:0005886}; ryanodine receptor complex {GO:1990425}; sarcolemma {GO:0042383}; sarcoplasmic reticulum {GO:0016529}; sarcoplasmic reticulum membrane {GO:0033017}; smooth endoplasmic reticulum {GO:0005790}; T-tubule {GO:0030315}; terminal cisterna {GO:0014802}; Z disc {GO:0030018}</t>
  </si>
  <si>
    <t>ATP binding {GO:0005524}; calcium channel activity {GO:0005262}; calcium ion binding {GO:0005509}; calcium-induced calcium release activity {GO:0048763}; calcium-release channel activity {GO:0015278}; calmodulin binding {GO:0005516}; protease binding {GO:0002020}; ryanodine-sensitive calcium-release channel activity {GO:0005219}; voltage-gated calcium channel activity {GO:0005245}</t>
  </si>
  <si>
    <t>Stimuli-sensing channels {R-HSA-2672351}; Ion homeostasis {R-HSA-5578775}</t>
  </si>
  <si>
    <t>Phospholipase D3 (PLD 3)</t>
  </si>
  <si>
    <t>Choline phosphatase 3; HindIII K4L homolog; Hu-K4; Phosphatidylcholine-hydrolyzing phospholipase D3</t>
  </si>
  <si>
    <t>PLD3_HUMAN</t>
  </si>
  <si>
    <t>Q8IV08</t>
  </si>
  <si>
    <t>Q92853; Q9BW87</t>
  </si>
  <si>
    <t>Disease mutation; Endoplasmic reticulum; Glycoprotein; Hydrolase; Lipid degradation; Lipid metabolism; Membrane; Neurodegeneration; Polymorphism; Repeat; Signal-anchor; Spinocerebellar ataxia; Transmembrane; Transmembrane helix</t>
  </si>
  <si>
    <t>endoplasmic reticulum membrane {GO:0005789}; extracellular exosome {GO:0070062}; integral component of membrane {GO:0016021}</t>
  </si>
  <si>
    <t>N-acylphosphatidylethanolamine-specific phospholipase D activity {GO:0070290}; phospholipase D activity {GO:0004630}</t>
  </si>
  <si>
    <t>Synthesis of PG {R-HSA-1483148}; Role of phospholipids in phagocytosis {R-HSA-2029485}</t>
  </si>
  <si>
    <t>Golgi apparatus protein 1</t>
  </si>
  <si>
    <t>CFR-1; Cysteine-rich fibroblast growth factor receptor; E-selectin ligand 1 (ESL-1); Golgi sialoglycoprotein MG-160</t>
  </si>
  <si>
    <t>GSLG1_HUMAN</t>
  </si>
  <si>
    <t>Q92896</t>
  </si>
  <si>
    <t>B7Z8Y4; D3DUJ7; Q13221; Q6P9D1</t>
  </si>
  <si>
    <t>CFR1; ESL1; MG160</t>
  </si>
  <si>
    <t>Alternative splicing; Glycoprotein; Golgi apparatus; Membrane; Phosphoprotein; Repeat; Sialic acid; Signal; Transmembrane; Transmembrane helix</t>
  </si>
  <si>
    <t>bone morphogenesis {GO:0060349}; leukocyte migration {GO:0050900}; negative regulation of protein processing {GO:0010955}; negative regulation of transforming growth factor beta receptor signaling pathway {GO:0030512}; regulation of chondrocyte differentiation {GO:0032330}</t>
  </si>
  <si>
    <t>extracellular exosome {GO:0070062}; extracellular matrix {GO:0031012}; Golgi apparatus {GO:0005794}; Golgi membrane {GO:0000139}; integral component of membrane {GO:0016021}; membrane {GO:0016020}; plasma membrane {GO:0005886}</t>
  </si>
  <si>
    <t>fibroblast growth factor binding {GO:0017134}; signaling receptor binding {GO:0005102}</t>
  </si>
  <si>
    <t>Nephrin</t>
  </si>
  <si>
    <t>Renal glomerulus-specific cell adhesion receptor</t>
  </si>
  <si>
    <t>NPHN_HUMAN</t>
  </si>
  <si>
    <t>O60500</t>
  </si>
  <si>
    <t>A6NDH2; C3RX61</t>
  </si>
  <si>
    <t>NPHN</t>
  </si>
  <si>
    <t>3D-structure; Alternative splicing; Cell adhesion; Cell membrane; Developmental protein; Disease mutation; Disulfide bond; Glycoprotein; Immunoglobulin domain; Membrane; Myogenesis; Phosphoprotein; Polymorphism; Repeat; Signal; Transmembrane; Transmembrane helix</t>
  </si>
  <si>
    <t>Cell adhesion; Myogenesis</t>
  </si>
  <si>
    <t>cell adhesion {GO:0007155}; excretion {GO:0007588}; glomerular basement membrane development {GO:0032836}; glomerular visceral epithelial cell development {GO:0072015}; JNK cascade {GO:0007254}; myoblast fusion {GO:0007520}; positive regulation of actin filament polymerization {GO:0030838}; protein localization to synapse {GO:0035418}; regulation of excretion {GO:0044062}; skeletal muscle tissue development {GO:0007519}</t>
  </si>
  <si>
    <t>cell projection {GO:0042995}; extracellular exosome {GO:0070062}; focal adhesion {GO:0005925}; integral component of plasma membrane {GO:0005887}; plasma membrane {GO:0005886}; slit diaphragm {GO:0036057}</t>
  </si>
  <si>
    <t>Suprabasin</t>
  </si>
  <si>
    <t>SBSN_HUMAN</t>
  </si>
  <si>
    <t>Q6UWP8</t>
  </si>
  <si>
    <t>A8K5J0; E9PBV3</t>
  </si>
  <si>
    <t>Processed macrophage colony-stimulating factor 1</t>
  </si>
  <si>
    <t>Lanimostim</t>
  </si>
  <si>
    <t>CSF1_HUMAN</t>
  </si>
  <si>
    <t>P09603</t>
  </si>
  <si>
    <t>A8K6J5; Q13130; Q14086; Q14806; Q5VVF3; Q5VVF4; Q9UQR8</t>
  </si>
  <si>
    <t>3D-structure; Alternative splicing; Cell membrane; Cytokine; Disulfide bond; Glycoprotein; Growth factor; Immunity; Inflammatory response; Innate immunity; Membrane; Phosphoprotein; Polymorphism; Proteoglycan; Secreted; Signal; Transmembrane; Transmembrane helix</t>
  </si>
  <si>
    <t>branching involved in mammary gland duct morphogenesis {GO:0060444}; cell differentiation {GO:0030154}; cell population proliferation {GO:0008283}; cellular protein metabolic process {GO:0044267}; cytokine-mediated signaling pathway {GO:0019221}; developmental process involved in reproduction {GO:0003006}; hemopoiesis {GO:0030097}; homeostasis of number of cells within a tissue {GO:0048873}; inflammatory response {GO:0006954}; innate immune response {GO:0045087}; macrophage colony-stimulating factor signaling pathway {GO:0038145}; macrophage differentiation {GO:0030225}; mammary duct terminal end bud growth {GO:0060763}; mammary gland fat development {GO:0060611}; microglial cell proliferation {GO:0061518}; monocyte activation {GO:0042117}; negative regulation of neuron death {GO:1901215}; osteoclast differentiation {GO:0030316}; osteoclast proliferation {GO:0002158}; positive regulation of cell migration {GO:0030335}; positive regulation of cell population proliferation {GO:0008284}; positive regulation of cell-matrix adhesion {GO:0001954}; positive regulation of cellular protein metabolic process {GO:0032270}; positive regulation of gene expression {GO:0010628}; positive regulation of macrophage chemotaxis {GO:0010759}; positive regulation of macrophage colony-stimulating factor signaling pathway {GO:1902228}; positive regulation of macrophage derived foam cell differentiation {GO:0010744}; positive regulation of macrophage differentiation {GO:0045651}; positive regulation of microglial cell migration {GO:1904141}; positive regulation of monocyte differentiation {GO:0045657}; positive regulation of mononuclear cell proliferation {GO:0032946}; positive regulation of multicellular organism growth {GO:0040018}; positive regulation of odontogenesis of dentin-containing tooth {GO:0042488}; positive regulation of osteoclast differentiation {GO:0045672}; positive regulation of protein kinase activity {GO:0045860}; positive regulation of Ras protein signal transduction {GO:0046579}; post-translational protein modification {GO:0043687}; regulation of macrophage derived foam cell differentiation {GO:0010743}; regulation of ossification {GO:0030278}; response to ischemia {GO:0002931}; transmembrane receptor protein tyrosine kinase signaling pathway {GO:0007169}</t>
  </si>
  <si>
    <t>CSF1-CSF1R complex {GO:1990682}; endoplasmic reticulum lumen {GO:0005788}; extracellular region {GO:0005576}; extracellular space {GO:0005615}; integral component of membrane {GO:0016021}; membrane {GO:0016020}; perinuclear region of cytoplasm {GO:0048471}; plasma membrane {GO:0005886}</t>
  </si>
  <si>
    <t>cytokine activity {GO:0005125}; growth factor activity {GO:0008083}; identical protein binding {GO:0042802}; macrophage colony-stimulating factor receptor binding {GO:0005157}; protein homodimerization activity {GO:0042803}</t>
  </si>
  <si>
    <t>Regulation of Insulin-like Growth Factor (IGF) transport and uptake by Insulin-like Growth Factor Binding Proteins (IGFBPs) {R-HSA-381426}; Other interleukin signaling {R-HSA-449836}; Interleukin-10 signaling {R-HSA-6783783}; Post-translational protein phosphorylation {R-HSA-8957275}</t>
  </si>
  <si>
    <t>Dermokine</t>
  </si>
  <si>
    <t>Epidermis-specific secreted protein SK30/SK89</t>
  </si>
  <si>
    <t>DMKN_HUMAN</t>
  </si>
  <si>
    <t>Q6E0U4</t>
  </si>
  <si>
    <t>A3EZ79; A3EZ80; A3EZ81; A3EZ82; A3EZ83; C9J4P6; C9J5N8; C9JAL3; Q32W58; Q32W62; Q32W63; Q32W64; Q32W65; Q32W66; Q32W67; Q6E0U5; Q6UXC7; Q96EW8; Q9BSY6</t>
  </si>
  <si>
    <t>3D-structure; Alternative splicing; Glycoprotein; Polymorphism; Secreted; Signal</t>
  </si>
  <si>
    <t>cornified envelope assembly {GO:1903575}</t>
  </si>
  <si>
    <t>Serine protease hepsin catalytic chain</t>
  </si>
  <si>
    <t>Transmembrane protease serine 1</t>
  </si>
  <si>
    <t>HEPS_HUMAN</t>
  </si>
  <si>
    <t>P05981</t>
  </si>
  <si>
    <t>B2RDS4</t>
  </si>
  <si>
    <t>TMPRSS1</t>
  </si>
  <si>
    <t>3D-structure; Cell membrane; Disulfide bond; Glycoprotein; Hydrolase; Membrane; Protease; Serine protease; Signal-anchor; Transmembrane; Transmembrane helix</t>
  </si>
  <si>
    <t>basement membrane disassembly {GO:0034769}; cochlea morphogenesis {GO:0090103}; detection of mechanical stimulus involved in sensory perception of sound {GO:0050910}; hepatocyte growth factor receptor signaling pathway {GO:0048012}; negative regulation of apoptotic process {GO:0043066}; negative regulation of epithelial cell proliferation {GO:0050680}; negative regulation of epithelial to mesenchymal transition {GO:0010719}; pilomotor reflex {GO:0097195}; positive regulation by host of viral transcription {GO:0043923}; positive regulation of cell growth {GO:0030307}; positive regulation of gene expression {GO:0010628}; positive regulation of hepatocyte proliferation {GO:2000347}; positive regulation of plasminogen activation {GO:0010756}; positive regulation of thyroid hormone generation {GO:2000611}; potassium ion transmembrane transport {GO:0071805}; proteolysis {GO:0006508}; regulation of cell shape {GO:0008360}; response to thyroid hormone {GO:0097066}</t>
  </si>
  <si>
    <t>apical plasma membrane {GO:0016324}; cell surface {GO:0009986}; cell-cell junction {GO:0005911}; endoplasmic reticulum membrane {GO:0005789}; extracellular exosome {GO:0070062}; integral component of membrane {GO:0016021}; integral component of plasma membrane {GO:0005887}; neuronal cell body {GO:0043025}; plasma membrane {GO:0005886}</t>
  </si>
  <si>
    <t>calcium-activated potassium channel activity {GO:0015269}; peptidase activity {GO:0008233}; serine-type endopeptidase activity {GO:0004252}; serine-type exopeptidase activity {GO:0070008}; serine-type peptidase activity {GO:0008236}</t>
  </si>
  <si>
    <t>Uroplakin-1a (UP1a)</t>
  </si>
  <si>
    <t>Tetraspanin-21 (Tspan-21); Uroplakin Ia (UPIa; UPKa)</t>
  </si>
  <si>
    <t>UPK1A_HUMAN</t>
  </si>
  <si>
    <t>O00322</t>
  </si>
  <si>
    <t>Q3KNU5; Q3KNU6</t>
  </si>
  <si>
    <t>TSPAN21</t>
  </si>
  <si>
    <t>Alternative splicing; Disulfide bond; Glycoprotein; Membrane; Polymorphism; Transmembrane; Transmembrane helix</t>
  </si>
  <si>
    <t>epithelial cell differentiation {GO:0030855}; protein complex oligomerization {GO:0051259}</t>
  </si>
  <si>
    <t>apical plasma membrane urothelial plaque {GO:0120001}; cell surface {GO:0009986}; endoplasmic reticulum {GO:0005783}; extracellular exosome {GO:0070062}; integral component of membrane {GO:0016021}; integral component of plasma membrane {GO:0005887}; plasma membrane {GO:0005886}</t>
  </si>
  <si>
    <t>Calpain small subunit 1 (CSS1)</t>
  </si>
  <si>
    <t>Calcium-activated neutral proteinase small subunit (CANP small subunit); Calcium-dependent protease small subunit (CDPS); Calcium-dependent protease small subunit 1; Calpain regulatory subunit</t>
  </si>
  <si>
    <t>CPNS1_HUMAN</t>
  </si>
  <si>
    <t>P04632</t>
  </si>
  <si>
    <t>A8K0P1; Q8WTX3; Q96EW0</t>
  </si>
  <si>
    <t>CAPN4; CAPNS</t>
  </si>
  <si>
    <t>3D-structure; Acetylation; Calcium; Cell membrane; Cytoplasm; Membrane; Metal-binding; Phosphoprotein; Polymorphism; Repeat</t>
  </si>
  <si>
    <t>cornification {GO:0070268}; extracellular matrix disassembly {GO:0022617}; positive regulation of cell population proliferation {GO:0008284}; regulation of macroautophagy {GO:0016241}</t>
  </si>
  <si>
    <t>Degradation of the extracellular matrix {R-HSA-1474228}; Formation of the cornified envelope {R-HSA-6809371}; Deregulated CDK5 triggers multiple neurodegenerative pathways in Alzheimer's disease models {R-HSA-8862803}</t>
  </si>
  <si>
    <t>Tubulin-folding cofactor B</t>
  </si>
  <si>
    <t>Cytoskeleton-associated protein 1; Cytoskeleton-associated protein CKAPI; Tubulin-specific chaperone B</t>
  </si>
  <si>
    <t>TBCB_HUMAN</t>
  </si>
  <si>
    <t>Q99426</t>
  </si>
  <si>
    <t>O00111; O00674; O14728; Q6FGY5</t>
  </si>
  <si>
    <t>CG22; CKAP1</t>
  </si>
  <si>
    <t>Acetylation; Alternative splicing; Chaperone; Cytoplasm; Cytoskeleton; Developmental protein; Differentiation; Microtubule; Neurogenesis; Phosphoprotein; Ubl conjugation</t>
  </si>
  <si>
    <t>Chaperone; Developmental protein</t>
  </si>
  <si>
    <t>cell differentiation {GO:0030154}; nervous system development {GO:0007399}</t>
  </si>
  <si>
    <t>cytoplasm {GO:0005737}; cytosol {GO:0005829}; microtubule {GO:0005874}; microtubule cytoskeleton {GO:0015630}</t>
  </si>
  <si>
    <t>Heat shock protein beta-6 (HspB6)</t>
  </si>
  <si>
    <t>Heat shock 20 kDa-like protein p20</t>
  </si>
  <si>
    <t>HSPB6_HUMAN</t>
  </si>
  <si>
    <t>O14558</t>
  </si>
  <si>
    <t>O14551; Q6NVI3; Q96MG9</t>
  </si>
  <si>
    <t>3D-structure; Chaperone; Cytoplasm; Nucleus; Phosphoprotein; Polymorphism; Secreted; Stress response</t>
  </si>
  <si>
    <t>chaperone-mediated protein folding {GO:0061077}; negative regulation of cardiac muscle cell apoptotic process {GO:0010667}; positive regulation of angiogenesis {GO:0045766}; regulation of muscle contraction {GO:0006937}</t>
  </si>
  <si>
    <t>cytoplasm {GO:0005737}; extracellular region {GO:0005576}; nucleus {GO:0005634}</t>
  </si>
  <si>
    <t>chaperone binding {GO:0051087}; protein homodimerization activity {GO:0042803}; structural constituent of eye lens {GO:0005212}; unfolded protein binding {GO:0051082}</t>
  </si>
  <si>
    <t>Cytochrome c oxidase subunit 6B1</t>
  </si>
  <si>
    <t>Cytochrome c oxidase subunit VIb isoform 1 (COX VIb-1)</t>
  </si>
  <si>
    <t>CX6B1_HUMAN</t>
  </si>
  <si>
    <t>P14854</t>
  </si>
  <si>
    <t>B2R5C9; Q6IBL4</t>
  </si>
  <si>
    <t>COX6B</t>
  </si>
  <si>
    <t>3D-structure; Acetylation; Disease mutation; Disulfide bond; Mitochondrion; Primary mitochondrial disease</t>
  </si>
  <si>
    <t>mitochondrial electron transport, cytochrome c to oxygen {GO:0006123}; substantia nigra development {GO:0021762}</t>
  </si>
  <si>
    <t>mitochondrial inner membrane {GO:0005743}; mitochondrial intermembrane space {GO:0005758}; mitochondrion {GO:0005739}; respiratory chain complex IV {GO:0045277}</t>
  </si>
  <si>
    <t>cytochrome-c oxidase activity {GO:0004129}</t>
  </si>
  <si>
    <t>Hepcidin-20</t>
  </si>
  <si>
    <t>Liver-expressed antimicrobial peptide 1 (LEAP-1); Putative liver tumor regressor (PLTR; Hepc25; Hepc20)</t>
  </si>
  <si>
    <t>HEPC_HUMAN</t>
  </si>
  <si>
    <t>P81172</t>
  </si>
  <si>
    <t>Q1HE14; Q9BY68</t>
  </si>
  <si>
    <t>HEPC; LEAP1</t>
  </si>
  <si>
    <t>3D-structure; Antibiotic; Antimicrobial; Cleavage on pair of basic residues; Disease mutation; Disulfide bond; Fungicide; Hormone; Secreted; Signal</t>
  </si>
  <si>
    <t>Antibiotic; Antimicrobial; Fungicide; Hormone</t>
  </si>
  <si>
    <t>acute-phase response {GO:0006953}; aging {GO:0007568}; antimicrobial humoral immune response mediated by antimicrobial peptide {GO:0061844}; cellular iron ion homeostasis {GO:0006879}; cellular response to bile acid {GO:1903413}; cellular response to interleukin-6 {GO:0071354}; cellular response to lipopolysaccharide {GO:0071222}; cellular response to tumor necrosis factor {GO:0071356}; cellular response to X-ray {GO:0071481}; defense response to bacterium {GO:0042742}; defense response to fungus {GO:0050832}; defense response to Gram-negative bacterium {GO:0050829}; defense response to Gram-positive bacterium {GO:0050830}; immune response {GO:0006955}; killing of cells of other organism {GO:0031640}; liver regeneration {GO:0097421}; multicellular organismal iron ion homeostasis {GO:0060586}; negative regulation of intestinal absorption {GO:1904479}; negative regulation of ion transmembrane transporter activity {GO:0032413}; negative regulation of iron channel activity {GO:1904255}; negative regulation of iron export across plasma membrane {GO:1904039}; negative regulation of iron ion transmembrane transport {GO:0034760}; negative regulation of transcription by RNA polymerase II {GO:0000122}; positive regulation of cell growth involved in cardiac muscle cell development {GO:0061051}; positive regulation of protein polyubiquitination {GO:1902916}; positive regulation of receptor catabolic process {GO:2000646}; positive regulation of receptor internalization {GO:0002092}; response to erythropoietin {GO:0036017}; response to ethanol {GO:0045471}; response to iron ion {GO:0010039}; response to iron ion starvation {GO:1990641}; response to vitamin A {GO:0033189}; response to zinc ion {GO:0010043}</t>
  </si>
  <si>
    <t>apical cortex {GO:0045179}; cell {GO:0005623}; extracellular region {GO:0005576}; extracellular space {GO:0005615}; intercalated disc {GO:0014704}</t>
  </si>
  <si>
    <t>hormone activity {GO:0005179}; iron channel inhibitor activity {GO:0097690}; signaling receptor binding {GO:0005102}</t>
  </si>
  <si>
    <t>Trans-1,2-dihydrobenzene-1,2-diol dehydrogenase</t>
  </si>
  <si>
    <t>D-xylose 1-dehydrogenase; D-xylose-NADP dehydrogenase; Dimeric dihydrodiol dehydrogenase; Hum2DD</t>
  </si>
  <si>
    <t>DHDH_HUMAN</t>
  </si>
  <si>
    <t>Q9UQ10</t>
  </si>
  <si>
    <t>2DD</t>
  </si>
  <si>
    <t>NADP; Oxidoreductase; Polymorphism</t>
  </si>
  <si>
    <t>carbohydrate metabolic process {GO:0005975}; D-xylose catabolic process {GO:0042843}</t>
  </si>
  <si>
    <t>D-xylose 1-dehydrogenase (NADP+) activity {GO:0047837}; electron transfer activity {GO:0009055}; NAD(P)+ transhydrogenase activity {GO:0008746}; trans-1,2-dihydrobenzene-1,2-diol dehydrogenase activity {GO:0047115}</t>
  </si>
  <si>
    <t>Apoptosis regulator BAX</t>
  </si>
  <si>
    <t>Bcl-2-like protein 4 (Bcl2-L-4)</t>
  </si>
  <si>
    <t>BAX_HUMAN</t>
  </si>
  <si>
    <t>Q07812</t>
  </si>
  <si>
    <t>A8K4W1; P55269; Q07814; Q07815; Q8WZ49; Q9NR76; Q9NYG7; Q9UCZ6; Q9UCZ7; Q9UQD6</t>
  </si>
  <si>
    <t>BCL2L4</t>
  </si>
  <si>
    <t>3D-structure; Acetylation; Alternative splicing; Apoptosis; Cytoplasm; Host-virus interaction; Membrane; Mitochondrion; Mitochondrion outer membrane; Polymorphism; Transmembrane; Transmembrane helix; Tumor suppressor</t>
  </si>
  <si>
    <t>activation of cysteine-type endopeptidase activity involved in apoptotic process {GO:0006919}; activation of cysteine-type endopeptidase activity involved in apoptotic process by cytochrome c {GO:0008635}; activation of cysteine-type endopeptidase activity involved in apoptotic signaling pathway {GO:0097296}; apoptotic mitochondrial changes {GO:0008637}; apoptotic process {GO:0006915}; apoptotic process involved in blood vessel morphogenesis {GO:1902262}; apoptotic process involved in embryonic digit morphogenesis {GO:1902263}; apoptotic signaling pathway {GO:0097190}; B cell apoptotic process {GO:0001783}; B cell homeostasis {GO:0001782}; B cell homeostatic proliferation {GO:0002358}; B cell negative selection {GO:0002352}; B cell receptor apoptotic signaling pathway {GO:1990117}; blood vessel remodeling {GO:0001974}; cellular response to unfolded protein {GO:0034620}; cellular response to UV {GO:0034644}; cerebral cortex development {GO:0021987}; development of secondary sexual characteristics {GO:0045136}; DNA damage response, signal transduction by p53 class mediator resulting in cell cycle arrest {GO:0006977}; ectopic germ cell programmed cell death {GO:0035234}; endoplasmic reticulum calcium ion homeostasis {GO:0032469}; establishment or maintenance of transmembrane electrochemical gradient {GO:0010248}; extrinsic apoptotic signaling pathway {GO:0097191}; extrinsic apoptotic signaling pathway in absence of ligand {GO:0097192}; extrinsic apoptotic signaling pathway via death domain receptors {GO:0008625}; fertilization {GO:0009566}; germ cell development {GO:0007281}; glycosphingolipid metabolic process {GO:0006687}; homeostasis of number of cells within a tissue {GO:0048873}; hypothalamus development {GO:0021854}; intrinsic apoptotic signaling pathway {GO:0097193}; intrinsic apoptotic signaling pathway by p53 class mediator {GO:0072332}; intrinsic apoptotic signaling pathway in response to DNA damage {GO:0008630}; intrinsic apoptotic signaling pathway in response to endoplasmic reticulum stress {GO:0070059}; kidney development {GO:0001822}; mitochondrial fragmentation involved in apoptotic process {GO:0043653}; mitochondrial fusion {GO:0008053}; mitochondrion morphogenesis {GO:0070584}; myeloid cell homeostasis {GO:0002262}; negative regulation of apoptotic signaling pathway {GO:2001234}; negative regulation of endoplasmic reticulum calcium ion concentration {GO:0032471}; negative regulation of fibroblast proliferation {GO:0048147}; negative regulation of mitochondrial membrane potential {GO:0010917}; negative regulation of neuron apoptotic process {GO:0043524}; negative regulation of peptidyl-serine phosphorylation {GO:0033137}; negative regulation of protein binding {GO:0032091}; neuron apoptotic process {GO:0051402}; neuron migration {GO:0001764}; odontogenesis of dentin-containing tooth {GO:0042475}; ovarian follicle development {GO:0001541}; positive regulation of apoptotic DNA fragmentation {GO:1902512}; positive regulation of apoptotic process {GO:0043065}; positive regulation of apoptotic process involved in mammary gland involution {GO:0060058}; positive regulation of B cell apoptotic process {GO:0002904}; positive regulation of developmental pigmentation {GO:0048087}; positive regulation of endoplasmic reticulum unfolded protein response {GO:1900103}; positive regulation of intrinsic apoptotic signaling pathway {GO:2001244}; positive regulation of IRE1-mediated unfolded protein response {GO:1903896}; positive regulation of mitochondrial outer membrane permeabilization involved in apoptotic signaling pathway {GO:1901030}; positive regulation of neuron apoptotic process {GO:0043525}; positive regulation of protein oligomerization {GO:0032461}; positive regulation of release of cytochrome c from mitochondria {GO:0090200}; positive regulation of release of sequestered calcium ion into cytosol {GO:0051281}; post-embryonic camera-type eye morphogenesis {GO:0048597}; protein complex oligomerization {GO:0051259}; protein homooligomerization {GO:0051260}; protein insertion into mitochondrial membrane involved in apoptotic signaling pathway {GO:0001844}; regulation of apoptotic process {GO:0042981}; regulation of mammary gland epithelial cell proliferation {GO:0033599}; regulation of mitochondrial membrane permeability involved in programmed necrotic cell death {GO:1902445}; regulation of mitochondrial membrane potential {GO:0051881}; regulation of nitrogen utilization {GO:0006808}; regulation of protein heterodimerization activity {GO:0043497}; regulation of protein homodimerization activity {GO:0043496}; release of cytochrome c from mitochondria {GO:0001836}; release of matrix enzymes from mitochondria {GO:0032976}; response to axon injury {GO:0048678}; response to gamma radiation {GO:0010332}; response to salt stress {GO:0009651}; response to toxic substance {GO:0009636}; retina development in camera-type eye {GO:0060041}; retinal cell programmed cell death {GO:0046666}; Sertoli cell proliferation {GO:0060011}; spermatid differentiation {GO:0048515}; T cell homeostatic proliferation {GO:0001777}; thymocyte apoptotic process {GO:0070242}; transcription initiation from RNA polymerase II promoter {GO:0006367}; vagina development {GO:0060068}; viral process {GO:0016032}</t>
  </si>
  <si>
    <t>BAX complex {GO:0097144}; Bcl-2 family protein complex {GO:0097136}; cytoplasm {GO:0005737}; cytosol {GO:0005829}; endoplasmic reticulum {GO:0005783}; endoplasmic reticulum membrane {GO:0005789}; extracellular exosome {GO:0070062}; membrane {GO:0016020}; mitochondrial outer membrane {GO:0005741}; mitochondrial permeability transition pore complex {GO:0005757}; mitochondrion {GO:0005739}; nuclear envelope {GO:0005635}; nucleus {GO:0005634}; pore complex {GO:0046930}</t>
  </si>
  <si>
    <t>BH3 domain binding {GO:0051434}; channel activity {GO:0015267}; chaperone binding {GO:0051087}; Hsp70 protein binding {GO:0030544}; identical protein binding {GO:0042802}; lipid binding {GO:0008289}; protein heterodimerization activity {GO:0046982}; protein homodimerization activity {GO:0042803}</t>
  </si>
  <si>
    <t>Release of apoptotic factors from the mitochondria {R-HSA-111457}; Activation, translocation and oligomerization of BAX {R-HSA-114294}; TP53 Regulates Transcription of Genes Involved in Cytochrome C Release {R-HSA-6803204}; TP53 Regulates Transcription of Genes Involved in G2 Cell Cycle Arrest {R-HSA-6804114}; Transcriptional regulation by RUNX2 {R-HSA-8878166}; NTRK3 as a dependence receptor {R-HSA-9603505}</t>
  </si>
  <si>
    <t>Ferritin light chain (Ferritin L subunit)</t>
  </si>
  <si>
    <t>FRIL_HUMAN</t>
  </si>
  <si>
    <t>P02792</t>
  </si>
  <si>
    <t>B2R4B9; Q6IBT7; Q7Z2W1; Q86WI9; Q8WU07; Q96AU9; Q96CU0; Q9BTZ8</t>
  </si>
  <si>
    <t>3D-structure; Acetylation; Cataract; Disease mutation; Iron; Iron storage; Metal-binding; Neurodegeneration</t>
  </si>
  <si>
    <t>Cataract; Disease mutation; Neurodegeneration</t>
  </si>
  <si>
    <t>cellular iron ion homeostasis {GO:0006879}; intracellular sequestering of iron ion {GO:0006880}; iron ion homeostasis {GO:0055072}; iron ion transport {GO:0006826}; neutrophil degranulation {GO:0043312}</t>
  </si>
  <si>
    <t>autolysosome {GO:0044754}; azurophil granule lumen {GO:0035578}; cytoplasm {GO:0005737}; cytosol {GO:0005829}; extracellular exosome {GO:0070062}; extracellular region {GO:0005576}; intracellular ferritin complex {GO:0008043}; membrane {GO:0016020}</t>
  </si>
  <si>
    <t>Elongin-C (EloC)</t>
  </si>
  <si>
    <t>Elongin 15 kDa subunit; RNA polymerase II transcription factor SIII subunit C; SIII p15; Transcription elongation factor B polypeptide 1</t>
  </si>
  <si>
    <t>ELOC_HUMAN</t>
  </si>
  <si>
    <t>Q15369</t>
  </si>
  <si>
    <t>E5RGD9; Q567Q6</t>
  </si>
  <si>
    <t>3D-structure; Alternative splicing; Host-virus interaction; Nucleus; Transcription; Transcription regulation; Ubl conjugation pathway</t>
  </si>
  <si>
    <t>Host-virus interaction; Transcription; Transcription regulation; Ubl conjugation pathway</t>
  </si>
  <si>
    <t>positive regulation of transcription elongation from RNA polymerase II promoter {GO:0032968}; post-translational protein modification {GO:0043687}; protein ubiquitination {GO:0016567}; regulation of transcription by RNA polymerase II {GO:0006357}; regulation of transcription from RNA polymerase II promoter in response to hypoxia {GO:0061418}; transcription by RNA polymerase II {GO:0006366}; transcription elongation from RNA polymerase II promoter {GO:0006368}; ubiquitin-dependent protein catabolic process {GO:0006511}; viral process {GO:0016032}</t>
  </si>
  <si>
    <t>cytosol {GO:0005829}; elongin complex {GO:0070449}; nucleoplasm {GO:0005654}</t>
  </si>
  <si>
    <t>Adenine phosphoribosyltransferase (APRT)</t>
  </si>
  <si>
    <t>APT_HUMAN</t>
  </si>
  <si>
    <t>P07741</t>
  </si>
  <si>
    <t>G5E9J2; Q3KP55; Q68DF9</t>
  </si>
  <si>
    <t>3D-structure; Acetylation; Alternative splicing; Cytoplasm; Disease mutation; Glycosyltransferase; Phosphoprotein; Polymorphism; Purine salvage; Transferase</t>
  </si>
  <si>
    <t>adenine salvage {GO:0006168}; AMP salvage {GO:0044209}; cellular response to insulin stimulus {GO:0032869}; grooming behavior {GO:0007625}; lactation {GO:0007595}; neutrophil degranulation {GO:0043312}; purine ribonucleoside salvage {GO:0006166}; purine-containing compound salvage {GO:0043101}</t>
  </si>
  <si>
    <t>cytoplasm {GO:0005737}; cytosol {GO:0005829}; extracellular exosome {GO:0070062}; extracellular region {GO:0005576}; nucleoplasm {GO:0005654}; secretory granule lumen {GO:0034774}</t>
  </si>
  <si>
    <t>adenine binding {GO:0002055}; adenine phosphoribosyltransferase activity {GO:0003999}; AMP binding {GO:0016208}</t>
  </si>
  <si>
    <t>Purine metabolism; AMP biosynthesis via salvage pathway; AMP from adenine: step 1/1.</t>
  </si>
  <si>
    <t>Neutrophil degranulation {R-HSA-6798695}; Purine salvage {R-HSA-74217}</t>
  </si>
  <si>
    <t>2-oxoisovalerate dehydrogenase subunit alpha, mitochondrial</t>
  </si>
  <si>
    <t>Branched-chain alpha-keto acid dehydrogenase E1 component alpha chain (BCKDE1A; BCKDH E1-alpha)</t>
  </si>
  <si>
    <t>ODBA_HUMAN</t>
  </si>
  <si>
    <t>P12694</t>
  </si>
  <si>
    <t>B4DP47; E7EW46; Q16034; Q16472</t>
  </si>
  <si>
    <t>3D-structure; Acetylation; Alternative splicing; Disease mutation; Maple syrup urine disease; Metal-binding; Mitochondrion; Oxidoreductase; Phosphoprotein; Polymorphism; Potassium; Thiamine pyrophosphate; Transit peptide</t>
  </si>
  <si>
    <t>Disease mutation; Maple syrup urine disease</t>
  </si>
  <si>
    <t>Metal-binding; Potassium; Thiamine pyrophosphate</t>
  </si>
  <si>
    <t>branched-chain amino acid catabolic process {GO:0009083}</t>
  </si>
  <si>
    <t>mitochondrial alpha-ketoglutarate dehydrogenase complex {GO:0005947}; mitochondrial matrix {GO:0005759}; mitochondrion {GO:0005739}</t>
  </si>
  <si>
    <t>3-methyl-2-oxobutanoate dehydrogenase (2-methylpropanoyl-transferring) activity {GO:0003863}; alpha-ketoacid dehydrogenase activity {GO:0003826}; carboxy-lyase activity {GO:0016831}; metal ion binding {GO:0046872}</t>
  </si>
  <si>
    <t>Glyoxylate metabolism and glycine degradation {R-HSA-389661}; Branched-chain amino acid catabolism {R-HSA-70895}</t>
  </si>
  <si>
    <t>EH domain-containing protein 2</t>
  </si>
  <si>
    <t>PAST homolog 2</t>
  </si>
  <si>
    <t>EHD2_HUMAN</t>
  </si>
  <si>
    <t>Q9NZN4</t>
  </si>
  <si>
    <t>B2RDH9; B4DNU6; Q96CB6</t>
  </si>
  <si>
    <t>Alternative splicing; ATP-binding; Calcium; Cell membrane; Cytoplasm; Endosome; Hydrolase; Membrane; Metal-binding; Nucleotide-binding; Phosphoprotein; Polymorphism</t>
  </si>
  <si>
    <t>Cell membrane; Cytoplasm; Endosome; Membrane</t>
  </si>
  <si>
    <t>blood coagulation {GO:0007596}; cortical actin cytoskeleton organization {GO:0030866}; endocytic recycling {GO:0032456}; endocytosis {GO:0006897}; plasma membrane tubulation {GO:0097320}; positive regulation of endocytic recycling {GO:2001137}; positive regulation of myoblast fusion {GO:1901741}; protein localization to plasma membrane {GO:0072659}</t>
  </si>
  <si>
    <t>caveola {GO:0005901}; cytosol {GO:0005829}; endosome membrane {GO:0010008}; extracellular exosome {GO:0070062}; extrinsic component of membrane {GO:0019898}; intercellular bridge {GO:0045171}; microtubule cytoskeleton {GO:0015630}; nucleus {GO:0005634}; perinuclear region of cytoplasm {GO:0048471}; plasma membrane {GO:0005886}; recycling endosome membrane {GO:0055038}</t>
  </si>
  <si>
    <t>ATP binding {GO:0005524}; calcium ion binding {GO:0005509}; GTP binding {GO:0005525}; hydrolase activity {GO:0016787}; identical protein binding {GO:0042802}; nucleic acid binding {GO:0003676}; protein domain specific binding {GO:0019904}</t>
  </si>
  <si>
    <t>Glucose-6-phosphate isomerase (GPI)</t>
  </si>
  <si>
    <t>Autocrine motility factor (AMF); Neuroleukin (NLK); Phosphoglucose isomerase (PGI); Phosphohexose isomerase (PHI); Sperm antigen 36 (SA-36)</t>
  </si>
  <si>
    <t>G6PI_HUMAN</t>
  </si>
  <si>
    <t>P06744</t>
  </si>
  <si>
    <t>B4DG39; Q9BRD3; Q9BSK5; Q9UHE6</t>
  </si>
  <si>
    <t>3D-structure; Acetylation; Alternative splicing; Cytokine; Cytoplasm; Disease mutation; Gluconeogenesis; Glycolysis; Growth factor; Hereditary hemolytic anemia; Isomerase; Phosphoprotein; Polymorphism; Secreted; Ubl conjugation</t>
  </si>
  <si>
    <t>Cytokine; Growth factor; Isomerase</t>
  </si>
  <si>
    <t>canonical glycolysis {GO:0061621}; carbohydrate metabolic process {GO:0005975}; gluconeogenesis {GO:0006094}; glucose 6-phosphate metabolic process {GO:0051156}; glycolytic process {GO:0006096}; hemostasis {GO:0007599}; humoral immune response {GO:0006959}; neutrophil degranulation {GO:0043312}; positive regulation of endothelial cell migration {GO:0010595}; positive regulation of immunoglobulin secretion {GO:0051024}</t>
  </si>
  <si>
    <t>cytosol {GO:0005829}; extracellular exosome {GO:0070062}; extracellular region {GO:0005576}; ficolin-1-rich granule lumen {GO:1904813}; membrane {GO:0016020}; nucleoplasm {GO:0005654}; plasma membrane {GO:0005886}; secretory granule lumen {GO:0034774}</t>
  </si>
  <si>
    <t>cytokine activity {GO:0005125}; glucose-6-phosphate isomerase activity {GO:0004347}; growth factor activity {GO:0008083}; intramolecular transferase activity {GO:0016866}; monosaccharide binding {GO:0048029}; ubiquitin protein ligase binding {GO:0031625}</t>
  </si>
  <si>
    <t>Carbohydrate degradation; glycolysis; D-glyceraldehyde 3- phosphate and glycerone phosphate from D-glucose: step 2/4.</t>
  </si>
  <si>
    <t>TP53 Regulates Metabolic Genes {R-HSA-5628897}; Neutrophil degranulation {R-HSA-6798695}; Glycolysis {R-HSA-70171}; Gluconeogenesis {R-HSA-70263}</t>
  </si>
  <si>
    <t>Nuclear transport factor 2 (NTF-2)</t>
  </si>
  <si>
    <t>Placental protein 15 (PP15)</t>
  </si>
  <si>
    <t>NTF2_HUMAN</t>
  </si>
  <si>
    <t>P61970</t>
  </si>
  <si>
    <t>B2R4G7; P13662; Q6IB67</t>
  </si>
  <si>
    <t>3D-structure; Acetylation; Cytoplasm; Membrane; mRNA transport; Nuclear pore complex; Nucleus; Protein transport; Translocation; Transport</t>
  </si>
  <si>
    <t>Cytoplasm; Membrane; Nuclear pore complex; Nucleus</t>
  </si>
  <si>
    <t>mRNA transport {GO:0051028}; negative regulation of vascular endothelial growth factor production {GO:1904046}; nucleocytoplasmic transport {GO:0006913}; positive regulation of protein import into nucleus {GO:0042307}; protein export from nucleus {GO:0006611}; protein import into nucleus {GO:0006606}; protein localization to nuclear pore {GO:0090204}</t>
  </si>
  <si>
    <t>cytosol {GO:0005829}; extracellular exosome {GO:0070062}; nuclear inner membrane {GO:0005637}; nuclear membrane {GO:0031965}; nuclear outer membrane {GO:0005640}; nuclear pore central transport channel {GO:0044613}; nucleoplasm {GO:0005654}</t>
  </si>
  <si>
    <t>identical protein binding {GO:0042802}; nuclear import signal receptor activity {GO:0061608}; Ran GTPase binding {GO:0008536}; structural constituent of nuclear pore {GO:0017056}</t>
  </si>
  <si>
    <t>phospholipase A2 inhibitor and Ly6/PLAUR domain-containing protein</t>
  </si>
  <si>
    <t>PINLY_HUMAN</t>
  </si>
  <si>
    <t>A6NC86</t>
  </si>
  <si>
    <t>B7Z457; O95053</t>
  </si>
  <si>
    <t>Alternative splicing; Disulfide bond; Secreted; Signal</t>
  </si>
  <si>
    <t>phospholipase inhibitor activity {GO:0004859}</t>
  </si>
  <si>
    <t>Cadherin-5</t>
  </si>
  <si>
    <t>7B4 antigen; Vascular endothelial cadherin (VE-cadherin); CD_antigen=CD144</t>
  </si>
  <si>
    <t>CADH5_HUMAN</t>
  </si>
  <si>
    <t>P33151</t>
  </si>
  <si>
    <t>Q4VAI5; Q4VAI6</t>
  </si>
  <si>
    <t>adherens junction organization {GO:0034332}; blood vessel maturation {GO:0001955}; calcium-dependent cell-cell adhesion via plasma membrane cell adhesion molecules {GO:0016339}; cell morphogenesis {GO:0000902}; cell-cell adhesion {GO:0098609}; cell-cell adhesion mediated by cadherin {GO:0044331}; cell-cell junction assembly {GO:0007043}; homophilic cell adhesion via plasma membrane adhesion molecules {GO:0007156}; negative regulation of cell population proliferation {GO:0008285}; negative regulation of inflammatory response {GO:0050728}; positive regulation of angiogenesis {GO:0045766}; positive regulation of establishment of endothelial barrier {GO:1903142}; regulation of establishment of cell polarity {GO:2000114}; transforming growth factor beta receptor signaling pathway {GO:0007179}</t>
  </si>
  <si>
    <t>bicellular tight junction {GO:0005923}; catenin complex {GO:0016342}; cell junction {GO:0030054}; cell surface {GO:0009986}; cell-cell adherens junction {GO:0005913}; cell-cell junction {GO:0005911}; external side of plasma membrane {GO:0009897}; integral component of membrane {GO:0016021}; membrane {GO:0016020}; plasma membrane {GO:0005886}</t>
  </si>
  <si>
    <t>beta-catenin binding {GO:0008013}; cadherin binding {GO:0045296}; calcium ion binding {GO:0005509}; cytoskeletal protein binding {GO:0008092}; ion channel binding {GO:0044325}; protein homodimerization activity {GO:0042803}; protein phosphatase binding {GO:0019903}; signaling receptor binding {GO:0005102}; vascular endothelial growth factor receptor 2 binding {GO:0043184}</t>
  </si>
  <si>
    <t>Adherens junctions interactions {R-HSA-418990}; VEGFR2 mediated vascular permeability {R-HSA-5218920}</t>
  </si>
  <si>
    <t>Soluble scavenger receptor cysteine-rich domain-containing protein SSC5D</t>
  </si>
  <si>
    <t>Soluble scavenger protein with 5 SRCR domains (SSc5D)</t>
  </si>
  <si>
    <t>SRCRL_HUMAN</t>
  </si>
  <si>
    <t>A1L4H1</t>
  </si>
  <si>
    <t>B5MDQ5; C7S7T9; C7S7U0; K7EP70</t>
  </si>
  <si>
    <t>Alternative splicing; Cytoplasm; Developmental protein; Disulfide bond; Glycoprotein; Immunity; Innate immunity; Receptor; Repeat; Secreted; Signal</t>
  </si>
  <si>
    <t>defense response to Gram-negative bacterium {GO:0050829}; defense response to Gram-positive bacterium {GO:0050830}; detection of bacterial lipoprotein {GO:0042494}; innate immune response {GO:0045087}; multicellular organism development {GO:0007275}; negative regulation of interleukin-8 secretion {GO:2000483}</t>
  </si>
  <si>
    <t>collagen-containing extracellular matrix {GO:0062023}; cytoplasm {GO:0005737}; external side of plasma membrane {GO:0009897}; extracellular space {GO:0005615}</t>
  </si>
  <si>
    <t>extracellular matrix binding {GO:0050840}; fibronectin binding {GO:0001968}; laminin binding {GO:0043236}; scavenger receptor activity {GO:0005044}</t>
  </si>
  <si>
    <t>Scavenging by Class B Receptors {R-HSA-3000471}</t>
  </si>
  <si>
    <t>Serine/threonine-protein phosphatase 2A 65 kDa regulatory subunit A alpha isoform</t>
  </si>
  <si>
    <t>Medium tumor antigen-associated 61 kDa protein; PP2A subunit A isoform PR65-alpha; PP2A subunit A isoform R1-alpha</t>
  </si>
  <si>
    <t>2AAA_HUMAN</t>
  </si>
  <si>
    <t>P30153</t>
  </si>
  <si>
    <t>Q13773; Q6ICQ3; Q96DH3</t>
  </si>
  <si>
    <t>3D-structure; Acetylation; Cell membrane; Cell projection; Centromere; Chromosome; Chromosome partition; Cytoplasm; Disease mutation; Membrane; Mental retardation; Nucleus; Repeat</t>
  </si>
  <si>
    <t>Chromosome partition</t>
  </si>
  <si>
    <t>Cell membrane; Cell projection; Centromere; Chromosome; Cytoplasm; Membrane; Nucleus</t>
  </si>
  <si>
    <t>apoptotic process {GO:0006915}; ceramide metabolic process {GO:0006672}; chromosome segregation {GO:0007059}; ciliary basal body-plasma membrane docking {GO:0097711}; female meiotic nuclear division {GO:0007143}; G2/M transition of mitotic cell cycle {GO:0000086}; inactivation of MAPK activity {GO:0000188}; meiotic sister chromatid cohesion, centromeric {GO:0051754}; meiotic spindle elongation {GO:0051232}; mitotic nuclear envelope reassembly {GO:0007084}; mitotic sister chromatid separation {GO:0051306}; negative regulation of cell growth {GO:0030308}; negative regulation of tyrosine phosphorylation of STAT protein {GO:0042532}; nuclear-transcribed mRNA catabolic process, nonsense-mediated decay {GO:0000184}; peptidyl-serine dephosphorylation {GO:0070262}; positive regulation of extrinsic apoptotic signaling pathway in absence of ligand {GO:2001241}; protein dephosphorylation {GO:0006470}; protein-containing complex assembly {GO:0065003}; regulation of cell adhesion {GO:0030155}; regulation of cell differentiation {GO:0045595}; regulation of DNA replication {GO:0006275}; regulation of G2/M transition of mitotic cell cycle {GO:0010389}; regulation of growth {GO:0040008}; regulation of meiotic cell cycle process involved in oocyte maturation {GO:1903538}; regulation of transcription, DNA-templated {GO:0006355}; regulation of Wnt signaling pathway {GO:0030111}; response to organic substance {GO:0010033}; RNA splicing {GO:0008380}; second-messenger-mediated signaling {GO:0019932}</t>
  </si>
  <si>
    <t>chromosome, centromeric region {GO:0000775}; cytoplasm {GO:0005737}; cytosol {GO:0005829}; dendrite {GO:0030425}; extracellular exosome {GO:0070062}; glutamatergic synapse {GO:0098978}; lateral plasma membrane {GO:0016328}; membrane {GO:0016020}; microtubule cytoskeleton {GO:0015630}; mitochondrion {GO:0005739}; nucleus {GO:0005634}; protein phosphatase type 2A complex {GO:0000159}</t>
  </si>
  <si>
    <t>protein antigen binding {GO:1990405}; protein heterodimerization activity {GO:0046982}; protein phosphatase regulator activity {GO:0019888}; protein serine/threonine phosphatase activity {GO:0004722}</t>
  </si>
  <si>
    <t>Inhibition of replication initiation of damaged DNA by RB1/E2F1 {R-HSA-113501}; Spry regulation of FGF signaling {R-HSA-1295596}; Amplification of signal from unattached kinetochores via a MAD2 inhibitory signal {R-HSA-141444}; Integration of energy metabolism {R-HSA-163685}; PP2A-mediated dephosphorylation of key metabolic factors {R-HSA-163767}; DARPP-32 events {R-HSA-180024}; Degradation of beta-catenin by the destruction complex {R-HSA-195253}; Beta-catenin phosphorylation cascade {R-HSA-196299}; ERK/MAPK targets {R-HSA-198753}; ERKs are inactivated {R-HSA-202670}; MASTL Facilitates Mitotic Progression {R-HSA-2465910}; Separation of Sister Chromatids {R-HSA-2467813}; Resolution of Sister Chromatid Cohesion {R-HSA-2500257}; Regulation of PLK1 Activity at G2/M Transition {R-HSA-2565942}; Initiation of Nuclear Envelope Reformation {R-HSA-2995383};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CTLA4 inhibitory signaling {R-HSA-389513}; Platelet sensitization by LDL {R-HSA-432142}; Disassembly of the destruction complex and recruitment of AXIN to the membrane {R-HSA-4641262}; Misspliced GSK3beta mutants stabilize beta-catenin {R-HSA-5339716}; S33 mutants of beta-catenin aren't phosphorylated {R-HSA-5358747}; S37 mutants of beta-catenin aren't phosphorylated {R-HSA-5358749}; S45 mutants of beta-catenin aren't phosphorylated {R-HSA-5358751}; T41 mutants of beta-catenin aren't phosphorylated {R-HSA-5358752}; APC truncation mutants have impaired AXIN binding {R-HSA-5467337}; AXIN missense mutants destabilize the destruction complex {R-HSA-5467340}; Truncations of AMER1 destabilize the destruction complex {R-HSA-5467348}; Anchoring of the basal body to the plasma membrane {R-HSA-5620912}; RHO GTPases Activate Formins {R-HSA-5663220}; RAF activation {R-HSA-5673000}; Negative regulation of MAPK pathway {R-HSA-5675221}; Regulation of TP53 Degradation {R-HSA-6804757}; PI5P, PP2A and IER3 Regulate PI3K/AKT Signaling {R-HSA-6811558}; Mitotic Prometaphase {R-HSA-68877}; Cyclin D associated events in G1 {R-HSA-69231}; Cyclin A/B1/B2 associated events during G2/M transition {R-HSA-69273}; AURKA Activation by TPX2 {R-HSA-8854518}; Regulation of glycolysis by fructose 2,6-bisphosphate metabolism {R-HSA-9634600}; Nonsense Mediated Decay (NMD) enhanced by the Exon Junction Complex (EJC) {R-HSA-975957}</t>
  </si>
  <si>
    <t>Dihydropyrimidine dehydrogenase [NADP(+)] (DHPDHase; DPD)</t>
  </si>
  <si>
    <t>Dihydrothymine dehydrogenase; Dihydrouracil dehydrogenase</t>
  </si>
  <si>
    <t>DPYD_HUMAN</t>
  </si>
  <si>
    <t>Q12882</t>
  </si>
  <si>
    <t>A2RRQ2; A2RRQ3; A8K5A2; A8MWG9; B1AN21; E9PFN1; Q16694; Q16761; Q32NB0; Q96HL6; Q96TH1</t>
  </si>
  <si>
    <t>4Fe-4S; Acetylation; Alternative splicing; Cytoplasm; Disease mutation; FAD; Flavoprotein; FMN; Iron; Iron-sulfur; Metal-binding; NADP; Nucleotide-binding; Oxidoreductase; Phosphoprotein; Polymorphism; Repeat</t>
  </si>
  <si>
    <t>4Fe-4S; FAD; FMN; Flavoprotein; Iron; Iron-sulfur; Metal-binding; NADP; Nucleotide-binding</t>
  </si>
  <si>
    <t>beta-alanine biosynthetic process {GO:0019483}; purine nucleobase catabolic process {GO:0006145}; pyrimidine nucleobase catabolic process {GO:0006208}; pyrimidine nucleoside catabolic process {GO:0046135}; thymidine catabolic process {GO:0006214}; thymine catabolic process {GO:0006210}; uracil catabolic process {GO:0006212}</t>
  </si>
  <si>
    <t>4 iron, 4 sulfur cluster binding {GO:0051539}; dihydropyrimidine dehydrogenase (NADP+) activity {GO:0017113}; flavin adenine dinucleotide binding {GO:0050660}; iron-sulfur cluster binding {GO:0051536}; metal ion binding {GO:0046872}; NADP binding {GO:0050661}; protein homodimerization activity {GO:0042803}; uracil binding {GO:0002058}</t>
  </si>
  <si>
    <t>Amino-acid biosynthesis; beta-alanine biosynthesis.</t>
  </si>
  <si>
    <t>Splicing factor U2AF 65 kDa subunit</t>
  </si>
  <si>
    <t>U2 auxiliary factor 65 kDa subunit (hU2AF(65); hU2AF65); U2 snRNP auxiliary factor large subunit</t>
  </si>
  <si>
    <t>U2AF2_HUMAN</t>
  </si>
  <si>
    <t>P26368</t>
  </si>
  <si>
    <t>Q96HC5</t>
  </si>
  <si>
    <t>U2AF65</t>
  </si>
  <si>
    <t>3D-structure; Acetylation; Alternative splicing; Hydroxylation; Isopeptide bond; mRNA processing; mRNA splicing; Nucleus; Phosphoprotein; Repeat; Repressor; RNA-binding; Spliceosome; Ubl conjugation</t>
  </si>
  <si>
    <t>Acetylation; Hydroxylation; Isopeptide bond; Phosphoprotein; Ubl conjugation</t>
  </si>
  <si>
    <t>mRNA 3'-end processing {GO:0031124}; mRNA export from nucleus {GO:0006406}; mRNA processing {GO:0006397}; mRNA splicing, via spliceosome {GO:0000398}; negative regulation of mRNA splicing, via spliceosome {GO:0048025}; negative regulation of protein ubiquitination {GO:0031397}; positive regulation of RNA splicing {GO:0033120}; RNA export from nucleus {GO:0006405}</t>
  </si>
  <si>
    <t>commitment complex {GO:0000243}; nuclear speck {GO:0016607}; nucleoplasm {GO:0005654}; nucleus {GO:0005634}; spliceosomal complex {GO:0005681}; U2-type prespliceosome {GO:0071004}; U2AF {GO:0089701}</t>
  </si>
  <si>
    <t>C2H2 zinc finger domain binding {GO:0070742}; enzyme binding {GO:0019899}; poly-pyrimidine tract binding {GO:0008187}; pre-mRNA 3'-splice site binding {GO:0030628}; RNA binding {GO:0003723}</t>
  </si>
  <si>
    <t>Osteoclast-associated immunoglobulin-like receptor (Osteoclast-associated receptor; hOSCAR)</t>
  </si>
  <si>
    <t>Polymeric immunoglobulin receptor 3 (PIgR-3; PIgR3; Poly-Ig receptor 3)</t>
  </si>
  <si>
    <t>OSCAR_HUMAN</t>
  </si>
  <si>
    <t>Q8IYS5</t>
  </si>
  <si>
    <t>B7WNS2; Q5GRG5; Q8N763; Q8NHL4; Q8WXQ0; Q8WXQ1; Q8WXQ2</t>
  </si>
  <si>
    <t>3D-structure; Alternative splicing; Cell membrane; Disulfide bond; Glycoprotein; Immunoglobulin domain; Membrane; Polymorphism; Receptor; Repeat; Secreted; Signal; Transmembrane; Transmembrane helix</t>
  </si>
  <si>
    <t>neutrophil degranulation {GO:0043312}; osteoclast differentiation {GO:0030316}; regulation of immune response {GO:0050776}</t>
  </si>
  <si>
    <t>extracellular exosome {GO:0070062}; extracellular region {GO:0005576}; integral component of membrane {GO:0016021}; plasma membrane {GO:0005886}; specific granule lumen {GO:0035580}; tertiary granule lumen {GO:1904724}</t>
  </si>
  <si>
    <t>collagen receptor activity {GO:0038064}</t>
  </si>
  <si>
    <t>Immunoregulatory interactions between a Lymphoid and a non-Lymphoid cell {R-HSA-198933}; Neutrophil degranulation {R-HSA-6798695}</t>
  </si>
  <si>
    <t>Troponin T, slow skeletal muscle (TnTs)</t>
  </si>
  <si>
    <t>Slow skeletal muscle troponin T (sTnT)</t>
  </si>
  <si>
    <t>TNNT1_HUMAN</t>
  </si>
  <si>
    <t>P13805</t>
  </si>
  <si>
    <t>O95472; Q16061; Q5U0E1</t>
  </si>
  <si>
    <t>TNT</t>
  </si>
  <si>
    <t>Alternative splicing; Muscle protein; Nemaline myopathy; Phosphoprotein</t>
  </si>
  <si>
    <t>cardiac muscle contraction {GO:0060048}; muscle contraction {GO:0006936}; muscle filament sliding {GO:0030049}; negative regulation of muscle contraction {GO:0045932}; sarcomere organization {GO:0045214}; skeletal muscle contraction {GO:0003009}; slow-twitch skeletal muscle fiber contraction {GO:0031444}; transition between fast and slow fiber {GO:0014883}</t>
  </si>
  <si>
    <t>calcium ion binding {GO:0005509}; tropomyosin binding {GO:0005523}; troponin T binding {GO:0031014}</t>
  </si>
  <si>
    <t>Ribosome maturation protein SBDS</t>
  </si>
  <si>
    <t>Shwachman-Bodian-Diamond syndrome protein</t>
  </si>
  <si>
    <t>SBDS_HUMAN</t>
  </si>
  <si>
    <t>Q9Y3A5</t>
  </si>
  <si>
    <t>A8K0P4; Q96FX0; Q9NV53</t>
  </si>
  <si>
    <t>3D-structure; Acetylation; Cytoplasm; Cytoskeleton; Disease mutation; Nucleus; Polymorphism; Ribosome biogenesis</t>
  </si>
  <si>
    <t>Ribosome biogenesis</t>
  </si>
  <si>
    <t>bone marrow development {GO:0048539}; bone mineralization {GO:0030282}; cell population proliferation {GO:0008283}; inner cell mass cell proliferation {GO:0001833}; leukocyte chemotaxis {GO:0030595}; mature ribosome assembly {GO:0042256}; mitotic spindle organization {GO:0007052}; rRNA processing {GO:0006364}</t>
  </si>
  <si>
    <t>cytoplasm {GO:0005737}; cytosol {GO:0005829}; nucleolus {GO:0005730}; nucleoplasm {GO:0005654}; nucleus {GO:0005634}; spindle pole {GO:0000922}</t>
  </si>
  <si>
    <t>microtubule binding {GO:0008017}; ribosome binding {GO:0043022}; RNA binding {GO:0003723}; rRNA binding {GO:0019843}</t>
  </si>
  <si>
    <t>40S ribosomal protein S9</t>
  </si>
  <si>
    <t>Small ribosomal subunit protein uS4</t>
  </si>
  <si>
    <t>RS9_HUMAN</t>
  </si>
  <si>
    <t>P46781</t>
  </si>
  <si>
    <t>A9C4C1; Q4QRK7; Q9BVZ0</t>
  </si>
  <si>
    <t>3D-structure; Acetylation; Cytoplasm; Isopeptide bond; Phosphoprotein; Polymorphism; Ribonucleoprotein; Ribosomal protein; RNA-binding; rRNA-binding; Ubl conjugation</t>
  </si>
  <si>
    <t>nuclear-transcribed mRNA catabolic process, nonsense-mediated decay {GO:0000184}; positive regulation of cell population proliferation {GO:0008284}; positive regulation of translational fidelity {GO:0045903}; rRNA processing {GO:0006364}; SRP-dependent cotranslational protein targeting to membrane {GO:0006614}; translation {GO:0006412}; translational initiation {GO:0006413}; viral transcription {GO:0019083}</t>
  </si>
  <si>
    <t>cytoplasm {GO:0005737}; cytosol {GO:0005829}; cytosolic small ribosomal subunit {GO:0022627}; extracellular exosome {GO:0070062}; focal adhesion {GO:0005925}; membrane {GO:0016020}; nucleolus {GO:0005730}; nucleoplasm {GO:0005654}; nucleus {GO:0005634}; ribonucleoprotein complex {GO:1990904}; ribosome {GO:0005840}; synapse {GO:0045202}</t>
  </si>
  <si>
    <t>RNA binding {GO:0003723}; rRNA binding {GO:0019843}; structural constituent of ribosome {GO:0003735}; translation regulator activity {GO:0045182}</t>
  </si>
  <si>
    <t>60S ribosomal protein L28</t>
  </si>
  <si>
    <t>Large ribosomal subunit protein eL28</t>
  </si>
  <si>
    <t>RL28_HUMAN</t>
  </si>
  <si>
    <t>P46779</t>
  </si>
  <si>
    <t>B2R4A6; B4DEP9; C9JB50; E9PB24; G5E9L2; Q6IAY0; Q96FX1; Q9BWQ0</t>
  </si>
  <si>
    <t>cell body {GO:0044297}; cytoplasmic ribonucleoprotein granule {GO:0036464}; cytosol {GO:0005829}; cytosolic large ribosomal subunit {GO:0022625}; dendrite {GO:0030425}; extracellular exosome {GO:0070062}; membrane {GO:0016020}</t>
  </si>
  <si>
    <t>Na(+)/H(+) exchange regulatory cofactor NHE-RF3 (NHERF-3)</t>
  </si>
  <si>
    <t>CFTR-associated protein of 70 kDa; Na(+)/H(+) exchanger regulatory factor 3; Na/Pi cotransporter C-terminal-associated protein 1 (NaPi-Cap1); PDZ domain-containing protein 1; Sodium-hydrogen exchanger regulatory factor 3</t>
  </si>
  <si>
    <t>NHRF3_HUMAN</t>
  </si>
  <si>
    <t>Q5T2W1</t>
  </si>
  <si>
    <t>B4DPB9; E7EU02; O60450; Q5T5P6; Q9BQ41</t>
  </si>
  <si>
    <t>CAP70; NHERF3; PDZD1</t>
  </si>
  <si>
    <t>3D-structure; Alternative splicing; Cell membrane; Membrane; Phosphoprotein; Repeat</t>
  </si>
  <si>
    <t>carnitine transport {GO:0015879}; cell population proliferation {GO:0008283}; drug transport {GO:0015893}; positive regulation of cation transmembrane transport {GO:1904064}; positive regulation of ion transmembrane transporter activity {GO:0032414}; positive regulation of protein targeting to membrane {GO:0090314}; regulation of anion transport {GO:0044070}</t>
  </si>
  <si>
    <t>apical plasma membrane {GO:0016324}; brush border membrane {GO:0031526}; extracellular exosome {GO:0070062}; membrane raft {GO:0045121}; microvillus membrane {GO:0031528}; plasma membrane {GO:0005886}</t>
  </si>
  <si>
    <t>PDZ domain binding {GO:0030165}; protein-containing complex binding {GO:0044877}; scavenger receptor binding {GO:0005124}</t>
  </si>
  <si>
    <t>T-cell-interacting, activating receptor on myeloid cells protein 1</t>
  </si>
  <si>
    <t>OSCAR-like transcript-2 protein (OLT-2)</t>
  </si>
  <si>
    <t>TARM1_HUMAN</t>
  </si>
  <si>
    <t>B6A8C7</t>
  </si>
  <si>
    <t>B4DWY4</t>
  </si>
  <si>
    <t>Adaptive immunity; Alternative splicing; Cell membrane; Disulfide bond; Glycoprotein; Immunity; Immunoglobulin domain; Innate immunity; Membrane; Polymorphism; Receptor; Repeat; Signal; Transmembrane; Transmembrane helix</t>
  </si>
  <si>
    <t>Adaptive immunity; Immunity; Innate immunity</t>
  </si>
  <si>
    <t>adaptive immune response {GO:0002250}; innate immune response {GO:0045087}; negative regulation of CD4-positive, alpha-beta T cell activation {GO:2000515}; neutrophil degranulation {GO:0043312}</t>
  </si>
  <si>
    <t>integral component of membrane {GO:0016021}; plasma membrane {GO:0005886}; specific granule membrane {GO:0035579}; tertiary granule membrane {GO:0070821}</t>
  </si>
  <si>
    <t>immunoglobulin receptor binding {GO:0034987}</t>
  </si>
  <si>
    <t>rRNA 2'-O-methyltransferase fibrillarin</t>
  </si>
  <si>
    <t>34 kDa nucleolar scleroderma antigen; Histone-glutamine methyltransferase</t>
  </si>
  <si>
    <t>FBRL_HUMAN</t>
  </si>
  <si>
    <t>P22087</t>
  </si>
  <si>
    <t>B5BUE8; O75259; Q6IAT5; Q9UPI6</t>
  </si>
  <si>
    <t>FIB1; FLRN</t>
  </si>
  <si>
    <t>3D-structure; Isopeptide bond; Methylation; Methyltransferase; Nucleus; Phosphoprotein; Ribonucleoprotein; RNA-binding; rRNA processing; S-adenosyl-L-methionine; Transferase; Ubl conjugation</t>
  </si>
  <si>
    <t>rRNA processing</t>
  </si>
  <si>
    <t>Methyltransferase; RNA-binding; Ribonucleoprotein; Transferase</t>
  </si>
  <si>
    <t>box C/D snoRNA 3'-end processing {GO:0000494}; histone glutamine methylation {GO:1990258}; osteoblast differentiation {GO:0001649}; rRNA methylation {GO:0031167}; rRNA processing {GO:0006364}; snoRNA localization {GO:0048254}</t>
  </si>
  <si>
    <t>box C/D snoRNP complex {GO:0031428}; Cajal body {GO:0015030}; chromosome {GO:0005694}; dense fibrillar component {GO:0001651}; extracellular exosome {GO:0070062}; fibrillar center {GO:0001650}; granular component {GO:0001652}; membrane {GO:0016020}; nucleolus {GO:0005730}; nucleoplasm {GO:0005654}; nucleus {GO:0005634}; small-subunit processome {GO:0032040}</t>
  </si>
  <si>
    <t>ATPase binding {GO:0051117}; histone-glutamine methyltransferase activity {GO:1990259}; RNA binding {GO:0003723}; rRNA methyltransferase activity {GO:0008649}; TFIID-class transcription factor complex binding {GO:0001094}</t>
  </si>
  <si>
    <t>rRNA modification in the nucleus and cytosol {R-HSA-6790901}; Major pathway of rRNA processing in the nucleolus and cytosol {R-HSA-6791226}</t>
  </si>
  <si>
    <t>Haptoglobin-related protein</t>
  </si>
  <si>
    <t>HPTR_HUMAN</t>
  </si>
  <si>
    <t>P00739</t>
  </si>
  <si>
    <t>Q7LE20; Q92658; Q92659; Q9ULB0</t>
  </si>
  <si>
    <t>Alternative splicing; Disulfide bond; Hemoglobin-binding; Polymorphism; Secreted; Serine protease homolog; Signal; Sushi</t>
  </si>
  <si>
    <t>Signal; Sushi</t>
  </si>
  <si>
    <t>Hemoglobin-binding</t>
  </si>
  <si>
    <t>acute inflammatory response {GO:0002526}; positive regulation of cell death {GO:0010942}; receptor-mediated endocytosis {GO:0006898}; response to organic substance {GO:0010033}</t>
  </si>
  <si>
    <t>blood microparticle {GO:0072562}; extracellular exosome {GO:0070062}; extracellular region {GO:0005576}; extracellular space {GO:0005615}; spherical high-density lipoprotein particle {GO:0034366}</t>
  </si>
  <si>
    <t>hemoglobin binding {GO:0030492}; serine-type endopeptidase activity {GO:0004252}</t>
  </si>
  <si>
    <t>Cytochrome c oxidase subunit 4 isoform 1, mitochondrial</t>
  </si>
  <si>
    <t>Cytochrome c oxidase polypeptide IV; Cytochrome c oxidase subunit IV isoform 1 (COX IV-1)</t>
  </si>
  <si>
    <t>COX41_HUMAN</t>
  </si>
  <si>
    <t>P13073</t>
  </si>
  <si>
    <t>B2R4J2; D3DUM7; Q6P666</t>
  </si>
  <si>
    <t>COX4</t>
  </si>
  <si>
    <t>3D-structure; Acetylation; Membrane; Mitochondrion; Mitochondrion inner membrane; Phosphoprotein; Polymorphism; Transit peptide</t>
  </si>
  <si>
    <t>generation of precursor metabolites and energy {GO:0006091}; mitochondrial electron transport, cytochrome c to oxygen {GO:0006123}; response to nutrient {GO:0007584}</t>
  </si>
  <si>
    <t>membrane {GO:0016020}; mitochondrial inner membrane {GO:0005743}; mitochondrial respiratory chain complex IV {GO:0005751}; mitochondrion {GO:0005739}; nucleus {GO:0005634}</t>
  </si>
  <si>
    <t>Vacuolar protein sorting-associated protein 35 (hVPS35)</t>
  </si>
  <si>
    <t>Maternal-embryonic 3; Vesicle protein sorting 35</t>
  </si>
  <si>
    <t>VPS35_HUMAN</t>
  </si>
  <si>
    <t>Q96QK1</t>
  </si>
  <si>
    <t>Q561W2; Q9H016; Q9H096; Q9H4P3; Q9H8J0; Q9NRS7; Q9NVG2; Q9NX80; Q9NZK2</t>
  </si>
  <si>
    <t>3D-structure; Cytoplasm; Endosome; Host-virus interaction; Membrane; Neurodegeneration; Parkinson disease; Parkinsonism; Phosphoprotein; Polymorphism; Protein transport; Transport</t>
  </si>
  <si>
    <t>intracellular protein transport {GO:0006886}; lysosome organization {GO:0007040}; mitochondrial fragmentation involved in apoptotic process {GO:0043653}; mitochondrion to lysosome transport {GO:0099074}; negative regulation of cell death {GO:0060548}; negative regulation of cellular protein localization {GO:1903828}; negative regulation of gene expression {GO:0010629}; negative regulation of inflammatory response {GO:0050728}; negative regulation of late endosome to lysosome transport {GO:1902823}; negative regulation of lysosomal protein catabolic process {GO:1905166}; negative regulation of neuron death {GO:1901215}; negative regulation of protein homooligomerization {GO:0032463}; neurotransmitter receptor transport, endosome to plasma membrane {GO:0099639}; neurotransmitter receptor transport, endosome to postsynaptic membrane {GO:0098887}; positive regulation of canonical Wnt signaling pathway {GO:0090263}; positive regulation of cellular protein catabolic process {GO:1903364}; positive regulation of dopamine biosynthetic process {GO:1903181}; positive regulation of dopamine receptor signaling pathway {GO:0060161}; positive regulation of gene expression {GO:0010628}; positive regulation of locomotion involved in locomotory behavior {GO:0090326}; positive regulation of mitochondrial fission {GO:0090141}; positive regulation of Wnt protein secretion {GO:0061357}; protein destabilization {GO:0031648}; protein localization to endosome {GO:0036010}; regulation of cellular protein metabolic process {GO:0032268}; regulation of dendritic spine maintenance {GO:1902950}; regulation of macroautophagy {GO:0016241}; regulation of mitochondrion organization {GO:0010821}; regulation of presynapse assembly {GO:1905606}; regulation of protein stability {GO:0031647}; regulation of terminal button organization {GO:2000331}; retrograde transport, endosome to Golgi {GO:0042147}; retrograde transport, endosome to plasma membrane {GO:1990126}; synapse assembly {GO:0007416}; transcytosis {GO:0045056}; vesicle-mediated transport in synapse {GO:0099003}; viral process {GO:0016032}; voluntary musculoskeletal movement {GO:0050882}; Wnt signaling pathway {GO:0016055}</t>
  </si>
  <si>
    <t>cytosol {GO:0005829}; early endosome {GO:0005769}; endosome {GO:0005768}; endosome membrane {GO:0010008}; extracellular exosome {GO:0070062}; glutamatergic synapse {GO:0098978}; late endosome {GO:0005770}; lysosomal membrane {GO:0005765}; lysosome {GO:0005764}; mitochondrion-derived vesicle {GO:0099073}; neuron projection {GO:0043005}; neuronal cell body {GO:0043025}; perinuclear region of cytoplasm {GO:0048471}; plasma membrane {GO:0005886}; postsynaptic density {GO:0014069}; presynapse {GO:0098793}; retromer complex {GO:0030904}; retromer, cargo-selective complex {GO:0030906}; tubular endosome {GO:0097422}</t>
  </si>
  <si>
    <t>D1 dopamine receptor binding {GO:0031748}</t>
  </si>
  <si>
    <t>Alanine--tRNA ligase, cytoplasmic</t>
  </si>
  <si>
    <t>Alanyl-tRNA synthetase (AlaRS); Renal carcinoma antigen NY-REN-42</t>
  </si>
  <si>
    <t>SYAC_HUMAN</t>
  </si>
  <si>
    <t>P49588</t>
  </si>
  <si>
    <t>A6NF14; B4DR45; Q53GV7; Q96FA0</t>
  </si>
  <si>
    <t>3D-structure; Acetylation; Alternative splicing; Aminoacyl-tRNA synthetase; ATP-binding; Charcot-Marie-Tooth disease; Cytoplasm; Disease mutation; Epilepsy; Ligase; Metal-binding; Neurodegeneration; Neuropathy; Nucleotide-binding; Phosphoprotein; Polymorphism; Protein biosynthesis; RNA-binding; tRNA-binding; Ubl conjugation; Zinc</t>
  </si>
  <si>
    <t>Charcot-Marie-Tooth disease; Disease mutation; Epilepsy; Neurodegeneration; Neuropathy</t>
  </si>
  <si>
    <t>alanyl-tRNA aminoacylation {GO:0006419}; cerebellar Purkinje cell layer development {GO:0021680}; negative regulation of neuron apoptotic process {GO:0043524}; neuromuscular process controlling balance {GO:0050885}; regulation of cytoplasmic translational fidelity {GO:0140018}; tRNA aminoacylation for protein translation {GO:0006418}; tRNA modification {GO:0006400}; tRNA processing {GO:0008033}</t>
  </si>
  <si>
    <t>alanine-tRNA ligase activity {GO:0004813}; amino acid binding {GO:0016597}; aminoacyl-tRNA editing activity {GO:0002161}; ATP binding {GO:0005524}; Ser-tRNA(Ala) hydrolase activity {GO:0002196}; translation regulator activity {GO:0045182}; tRNA binding {GO:0000049}; zinc ion binding {GO:0008270}</t>
  </si>
  <si>
    <t>U1 small nuclear ribonucleoprotein 70 kDa (U1 snRNP 70 kDa; U1-70K; snRNP70)</t>
  </si>
  <si>
    <t>RU17_HUMAN</t>
  </si>
  <si>
    <t>P08621</t>
  </si>
  <si>
    <t>B3KUA3; P78493; P78494; Q15364; Q15686; Q15687; Q15689; Q99377; Q9UE45; Q9UE46; Q9UE47; Q9UE48; Q9UFQ6</t>
  </si>
  <si>
    <t>RNPU1Z; RPU1; SNRP70; U1AP1</t>
  </si>
  <si>
    <t>3D-structure; Acetylation; Alternative splicing; Isopeptide bond; mRNA processing; Nucleus; Phosphoprotein; Ribonucleoprotein; RNA-binding; Ubl conjugation</t>
  </si>
  <si>
    <t>mRNA splicing, via spliceosome {GO:0000398}; negative regulation of chaperone-mediated autophagy {GO:1904715}; negative regulation of protein refolding {GO:0061084}; positive regulation of mRNA splicing, via spliceosome {GO:0048026}; regulation of ATPase activity {GO:0043462}; regulation of RNA splicing {GO:0043484}</t>
  </si>
  <si>
    <t>nuclear speck {GO:0016607}; nucleoplasm {GO:0005654}; nucleus {GO:0005634}; spliceosomal complex {GO:0005681}; U1 snRNP {GO:0005685}</t>
  </si>
  <si>
    <t>mRNA binding {GO:0003729}; RNA binding {GO:0003723}; U1 snRNA binding {GO:0030619}</t>
  </si>
  <si>
    <t>Small nuclear ribonucleoprotein Sm D2 (Sm-D2)</t>
  </si>
  <si>
    <t>snRNP core protein D2</t>
  </si>
  <si>
    <t>SMD2_HUMAN</t>
  </si>
  <si>
    <t>P62316</t>
  </si>
  <si>
    <t>A8K797; J3KPM5; P43330</t>
  </si>
  <si>
    <t>SNRPD1</t>
  </si>
  <si>
    <t>3D-structure; Acetylation; Alternative splicing; Cytoplasm; Isopeptide bond; mRNA processing; mRNA splicing; Nucleus; Phosphoprotein; Ribonucleoprotein; Spliceosome; Ubl conjugation</t>
  </si>
  <si>
    <t>import into nucleus {GO:0051170}; mRNA splicing, via spliceosome {GO:0000398}; RNA splicing {GO:0008380}; spliceosomal complex assembly {GO:0000245}; spliceosomal snRNP assembly {GO:0000387}</t>
  </si>
  <si>
    <t>catalytic step 2 spliceosome {GO:0071013}; cytosol {GO:0005829}; extracellular exosome {GO:0070062}; methylosome {GO:0034709}; nucleoplasm {GO:0005654}; nucleus {GO:0005634}; pICln-Sm protein complex {GO:0034715}; small nuclear ribonucleoprotein complex {GO:0030532}; SMN-Sm protein complex {GO:0034719}; spliceosomal complex {GO:0005681}; U1 snRNP {GO:0005685}; U12-type spliceosomal complex {GO:0005689}; U2 snRNP {GO:0005686}; U2-type catalytic step 2 spliceosome {GO:0071007}; U2-type precatalytic spliceosome {GO:0071005}; U4 snRNP {GO:0005687}; U4/U6 x U5 tri-snRNP complex {GO:0046540}; U5 snRNP {GO:0005682}</t>
  </si>
  <si>
    <t>RNA binding {GO:0003723}; U1 snRNP binding {GO:1990446}</t>
  </si>
  <si>
    <t>snRNP Assembly {R-HSA-191859}; mRNA Splicing - Major Pathway {R-HSA-72163}; mRNA Splicing - Minor Pathway {R-HSA-72165}</t>
  </si>
  <si>
    <t>E-Cad/CTF3</t>
  </si>
  <si>
    <t>CAM 120/80; Epithelial cadherin (E-cadherin); Uvomorulin; CD_antigen=CD324</t>
  </si>
  <si>
    <t>CADH1_HUMAN</t>
  </si>
  <si>
    <t>P12830</t>
  </si>
  <si>
    <t>A8K1U7; Q13799; Q14216; Q15855; Q16194; Q4PJ14; Q9UII8</t>
  </si>
  <si>
    <t>CDHE; UVO</t>
  </si>
  <si>
    <t>3D-structure; Alternative splicing; Calcium; Cell adhesion; Cell junction; Cell membrane; Cleavage on pair of basic residues; Disease mutation; Disulfide bond; Ectodermal dysplasia; Endosome; Glycoprotein; Golgi apparatus; Membrane; Metal-binding; Phosphoprotein; Polymorphism; Repeat; Signal; Transmembrane; Transmembrane helix; Ubl conjugation</t>
  </si>
  <si>
    <t>Cell junction; Cell membrane; Endosome; Golgi apparatus; Membrane</t>
  </si>
  <si>
    <t>Cleavage on pair of basic residues; Disulfide bond; Glycoprotein; Phosphoprotein; Ubl conjugation</t>
  </si>
  <si>
    <t>adherens junction organization {GO:0034332}; calcium-dependent cell-cell adhesion via plasma membrane cell adhesion molecules {GO:0016339}; cell morphogenesis {GO:0000902}; cell-cell adhesion {GO:0098609}; cell-cell adhesion mediated by cadherin {GO:0044331}; cell-cell junction assembly {GO:0007043}; cellular response to indole-3-methanol {GO:0071681}; cellular response to lithium ion {GO:0071285}; entry of bacterium into host cell {GO:0035635}; extracellular matrix organization {GO:0030198}; homophilic cell adhesion via plasma membrane adhesion molecules {GO:0007156}; negative regulation of cell migration {GO:0030336}; negative regulation of cell-cell adhesion {GO:0022408}; neuron projection development {GO:0031175}; pituitary gland development {GO:0021983}; positive regulation of protein import into nucleus {GO:0042307}; positive regulation of transcription, DNA-templated {GO:0045893}; protein localization to plasma membrane {GO:0072659}; regulation of gene expression {GO:0010468}; regulation of protein catabolic process at postsynapse, modulating synaptic transmission {GO:0099576}; response to toxic substance {GO:0009636}; synapse assembly {GO:0007416}</t>
  </si>
  <si>
    <t>actin cytoskeleton {GO:0015629}; apical junction complex {GO:0043296}; catenin complex {GO:0016342}; cell junction {GO:0030054}; cell surface {GO:0009986}; cell-cell adherens junction {GO:0005913}; cytoplasm {GO:0005737}; cytoplasmic side of plasma membrane {GO:0009898}; endosome {GO:0005768}; extracellular exosome {GO:0070062}; extracellular region {GO:0005576}; flotillin complex {GO:0016600}; glutamatergic synapse {GO:0098978}; integral component of membrane {GO:0016021}; lamellipodium {GO:0030027}; lateral plasma membrane {GO:0016328}; perinuclear region of cytoplasm {GO:0048471}; plasma membrane {GO:0005886}; postsynapse {GO:0098794}; trans-Golgi network {GO:0005802}</t>
  </si>
  <si>
    <t>ankyrin binding {GO:0030506}; beta-catenin binding {GO:0008013}; cadherin binding {GO:0045296}; calcium ion binding {GO:0005509}; cell adhesion molecule binding {GO:0050839}; cytoskeletal protein binding {GO:0008092}; gamma-catenin binding {GO:0045295}; GTPase activating protein binding {GO:0032794}; identical protein binding {GO:0042802}; protein homodimerization activity {GO:0042803}</t>
  </si>
  <si>
    <t>Degradation of the extracellular matrix {R-HSA-1474228}; Immunoregulatory interactions between a Lymphoid and a non-Lymphoid cell {R-HSA-198933}; Integrin cell surface interactions {R-HSA-216083}; Apoptotic cleavage of cell adhesion proteins {R-HSA-351906}; Adherens junctions interactions {R-HSA-418990}; RHO GTPases activate IQGAPs {R-HSA-5626467}; InlA-mediated entry of Listeria monocytogenes into host cells {R-HSA-8876493}</t>
  </si>
  <si>
    <t>Core-binding factor subunit beta (CBF-beta)</t>
  </si>
  <si>
    <t>Polyomavirus enhancer-binding protein 2 beta subunit (PEA2-beta; PEBP2-beta); SL3-3 enhancer factor 1 subunit beta; SL3/AKV core-binding factor beta subunit</t>
  </si>
  <si>
    <t>PEBB_HUMAN</t>
  </si>
  <si>
    <t>Q13951</t>
  </si>
  <si>
    <t>A8K347; Q13124; Q9HCT2</t>
  </si>
  <si>
    <t>3D-structure; Alternative splicing; Chromosomal rearrangement; Nucleus; Phosphoprotein; Polymorphism; Proto-oncogene</t>
  </si>
  <si>
    <t>cell maturation {GO:0048469}; definitive hemopoiesis {GO:0060216}; lymphocyte differentiation {GO:0030098}; myeloid cell differentiation {GO:0030099}; negative regulation of CD4-positive, alpha-beta T cell differentiation {GO:0043371}; negative regulation of transcription by RNA polymerase II {GO:0000122}; osteoblast differentiation {GO:0001649}; positive regulation of CD8-positive, alpha-beta T cell differentiation {GO:0043378}; positive regulation of transcription by RNA polymerase II {GO:0045944}; protein polyubiquitination {GO:0000209}; regulation of B cell receptor signaling pathway {GO:0050855}; regulation of bicellular tight junction assembly {GO:2000810}; regulation of cytokine-mediated signaling pathway {GO:0001959}; regulation of hematopoietic stem cell differentiation {GO:1902036}; regulation of intracellular estrogen receptor signaling pathway {GO:0033146}; regulation of keratinocyte differentiation {GO:0045616}; regulation of megakaryocyte differentiation {GO:0045652}; regulation of myeloid cell differentiation {GO:0045637}; regulation of regulatory T cell differentiation {GO:0045589}; regulation of Wnt signaling pathway {GO:0030111}; transcription by RNA polymerase II {GO:0006366}; transcription initiation from RNA polymerase II promoter {GO:0006367}</t>
  </si>
  <si>
    <t>core-binding factor complex {GO:0016513}; membrane {GO:0016020}; nucleoplasm {GO:0005654}; nucleus {GO:0005634}</t>
  </si>
  <si>
    <t>DNA binding {GO:0003677}; DNA-binding transcription factor activity {GO:0003700}; DNA-binding transcription factor activity, RNA polymerase II-specific {GO:0000981}; sequence-specific DNA binding {GO:0043565}; transcription coactivator activity {GO:0003713}; transcription coregulator activity {GO:0003712}</t>
  </si>
  <si>
    <t>RUNX1 and FOXP3 control the development of regulatory T lymphocytes (Tregs) {R-HSA-8877330}; Transcriptional regulation by RUNX2 {R-HSA-8878166}; RUNX1 regulates estrogen receptor mediated transcription {R-HSA-8931987}; Regulation of RUNX1 Expression and Activity {R-HSA-8934593}; RUNX1 regulates expression of components of tight junctions {R-HSA-8935964}; RUNX1 regulates genes involved in megakaryocyte differentiation and platelet function {R-HSA-8936459}; RUNX1 regulates transcription of genes involved in differentiation of HSCs {R-HSA-8939236}; RUNX1 regulates transcription of genes involved in differentiation of keratinocytes {R-HSA-8939242}; RUNX1 interacts with co-factors whose precise effect on RUNX1 targets is not known {R-HSA-8939243}; RUNX1 regulates transcription of genes involved in BCR signaling {R-HSA-8939245}; RUNX1 regulates transcription of genes involved in differentiation of myeloid cells {R-HSA-8939246}; RUNX1 regulates transcription of genes involved in interleukin signaling {R-HSA-8939247}; RUNX1 regulates transcription of genes involved in WNT signaling {R-HSA-8939256}; Regulation of RUNX2 expression and activity {R-HSA-8939902}; RUNX2 regulates osteoblast differentiation {R-HSA-8940973}; RUNX2 regulates chondrocyte maturation {R-HSA-8941284}; RUNX2 regulates bone development {R-HSA-8941326}; RUNX2 regulates genes involved in cell migration {R-HSA-8941332}; RUNX2 regulates genes involved in differentiation of myeloid cells {R-HSA-8941333}; Regulation of RUNX3 expression and activity {R-HSA-8941858}; RUNX3 Regulates Immune Response and Cell Migration {R-HSA-8949275}; RUNX3 regulates RUNX1-mediated transcription {R-HSA-8951911}; RUNX3 regulates p14-ARF {R-HSA-8951936}; Estrogen-dependent gene expression {R-HSA-9018519}</t>
  </si>
  <si>
    <t>Syncollin</t>
  </si>
  <si>
    <t>Insulin synthesis-associated protein 1</t>
  </si>
  <si>
    <t>SYCN_HUMAN</t>
  </si>
  <si>
    <t>Q0VAF6</t>
  </si>
  <si>
    <t>INSSA1; SYL</t>
  </si>
  <si>
    <t>Cytoplasmic vesicle; Disulfide bond; Exocytosis; Membrane; Polymorphism; Signal</t>
  </si>
  <si>
    <t>exocytosis {GO:0006887}</t>
  </si>
  <si>
    <t>secretory granule membrane {GO:0030667}; transport vesicle membrane {GO:0030658}</t>
  </si>
  <si>
    <t>Cell adhesion molecule 4</t>
  </si>
  <si>
    <t>Immunoglobulin superfamily member 4C (IgSF4C); Nectin-like protein 4 (NECL-4); TSLC1-like protein 2</t>
  </si>
  <si>
    <t>CADM4_HUMAN</t>
  </si>
  <si>
    <t>Q8NFZ8</t>
  </si>
  <si>
    <t>B2R7L5; Q9Y4A4</t>
  </si>
  <si>
    <t>IGSF4C; NECL4; TSLL2</t>
  </si>
  <si>
    <t>Cell adhesion; Disulfide bond; Glycoprotein; Immunoglobulin domain; Membrane; Phosphoprotein; Polymorphism; Repeat; Signal; Transmembrane; Transmembrane helix; Tumor suppressor</t>
  </si>
  <si>
    <t>cell adhesion {GO:0007155}; negative regulation of peptidyl-threonine phosphorylation {GO:0010801}; negative regulation of peptidyl-tyrosine phosphorylation {GO:0050732}; negative regulation of protein phosphorylation {GO:0001933}; negative regulation of vascular endothelial growth factor receptor signaling pathway {GO:0030948}; negative regulation of vascular endothelial growth factor signaling pathway {GO:1900747}; regulation of cell motility {GO:2000145}; regulation of cell population proliferation {GO:0042127}; regulation of protein phosphorylation {GO:0001932}; regulation of Rac protein signal transduction {GO:0035020}; regulation of wound healing {GO:0061041}</t>
  </si>
  <si>
    <t>cell leading edge {GO:0031252}; cell-cell contact zone {GO:0044291}; integral component of membrane {GO:0016021}</t>
  </si>
  <si>
    <t>protein phosphatase binding {GO:0019903}; receptor tyrosine kinase binding {GO:0030971}; vascular endothelial growth factor receptor 1 binding {GO:0043183}; vascular endothelial growth factor receptor 2 binding {GO:0043184}</t>
  </si>
  <si>
    <t>Cadherin-3</t>
  </si>
  <si>
    <t>Placental cadherin (P-cadherin)</t>
  </si>
  <si>
    <t>CADH3_HUMAN</t>
  </si>
  <si>
    <t>P22223</t>
  </si>
  <si>
    <t>B2R6F4; Q05DI6</t>
  </si>
  <si>
    <t>CDHP</t>
  </si>
  <si>
    <t>3D-structure; Alternative splicing; Calcium; Cell adhesion; Cell membrane; Cleavage on pair of basic residues; Disease mutation; Ectodermal dysplasia; Glycoprotein; Hypotrichosis; Membrane; Metal-binding; Polymorphism; Repeat; Sensory transduction; Signal; Transmembrane; Transmembrane helix; Vision</t>
  </si>
  <si>
    <t>Disease mutation; Ectodermal dysplasia; Hypotrichosis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</si>
  <si>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hair cycle process {GO:0022405}; homophilic cell adhesion via plasma membrane adhesion molecules {GO:0007156}; keratinization {GO:0031424}; negative regulation of timing of catagen {GO:0051796}; negative regulation of transforming growth factor beta2 production {GO:0032912}; positive regulation of canonical Wnt signaling pathway {GO:0090263}; positive regulation of gene expression {GO:0010628}; positive regulation of insulin-like growth factor receptor signaling pathway {GO:0043568}; positive regulation of keratinocyte proliferation {GO:0010838}; positive regulation of melanin biosynthetic process {GO:0048023}; positive regulation of melanosome transport {GO:1902910}; positive regulation of monophenol monooxygenase activity {GO:0032773}; regulation of hair cycle by canonical Wnt signaling pathway {GO:0060901}; response to drug {GO:0042493}; retina homeostasis {GO:0001895}; visual perception {GO:0007601}; wound healing {GO:0042060}</t>
  </si>
  <si>
    <t>catenin complex {GO:0016342}; cell surface {GO:0009986}; cell-cell adherens junction {GO:0005913}; cytoplasm {GO:0005737}; integral component of membrane {GO:0016021}; plasma membrane {GO:0005886}</t>
  </si>
  <si>
    <t>Basal cell adhesion molecule</t>
  </si>
  <si>
    <t>Auberger B antigen; B-CAM cell surface glycoprotein; F8/G253 antigen; Lutheran antigen; Lutheran blood group glycoprotein; CD_antigen=CD239</t>
  </si>
  <si>
    <t>BCAM_HUMAN</t>
  </si>
  <si>
    <t>P50895</t>
  </si>
  <si>
    <t>A8MYF9; A9YWT5; A9YWT6; Q86VC7</t>
  </si>
  <si>
    <t>LU; MSK19</t>
  </si>
  <si>
    <t>3D-structure; Blood group antigen; Cell adhesion; Disulfide bond; Glycoprotein; Immunoglobulin domain; Membrane; Phosphoprotein; Polymorphism; Receptor; Repeat; Signal; Transmembrane; Transmembrane helix</t>
  </si>
  <si>
    <t>cell adhesion {GO:0007155}; cell-matrix adhesion {GO:0007160}; signal transduction {GO:0007165}</t>
  </si>
  <si>
    <t>collagen-containing extracellular matrix {GO:0062023}; external side of plasma membrane {GO:0009897}; extracellular exosome {GO:0070062}; extracellular region {GO:0005576}; integral component of plasma membrane {GO:0005887}; plasma membrane {GO:0005886}</t>
  </si>
  <si>
    <t>laminin binding {GO:0043236}; laminin receptor activity {GO:0005055}; protein C-terminus binding {GO:0008022}; transmembrane signaling receptor activity {GO:0004888}</t>
  </si>
  <si>
    <t>Chymotrypsin B chain C</t>
  </si>
  <si>
    <t>CTRB1_HUMAN</t>
  </si>
  <si>
    <t>P17538</t>
  </si>
  <si>
    <t>Digestion; Disulfide bond; Hydrolase; Phosphoprotein; Polymorphism; Protease; Secreted; Serine protease; Signal; Zymogen</t>
  </si>
  <si>
    <t>cobalamin metabolic process {GO:0009235}; digestion {GO:0007586}; extracellular matrix disassembly {GO:0022617}</t>
  </si>
  <si>
    <t>Programmed cell death protein 5</t>
  </si>
  <si>
    <t>TF-1 cell apoptosis-related protein 19 (Protein TFAR19)</t>
  </si>
  <si>
    <t>PDCD5_HUMAN</t>
  </si>
  <si>
    <t>O14737</t>
  </si>
  <si>
    <t>B4DE64; Q53YC9; Q6IB70</t>
  </si>
  <si>
    <t>TFAR19</t>
  </si>
  <si>
    <t>3D-structure; Acetylation; Alternative splicing; Apoptosis; Phosphoprotein</t>
  </si>
  <si>
    <t>apoptotic process {GO:0006915}; cellular response to transforming growth factor beta stimulus {GO:0071560}; negative regulation of cell population proliferation {GO:0008285}; negative regulation of chaperone-mediated protein folding {GO:1903645}; positive regulation of apoptotic process {GO:0043065}; positive regulation of cysteine-type endopeptidase activity involved in apoptotic process {GO:0043280}; positive regulation of gene expression {GO:0010628}; positive regulation of protein import into mitochondrial outer membrane {GO:1903638}; positive regulation of release of cytochrome c from mitochondria {GO:0090200}</t>
  </si>
  <si>
    <t>acetyltransferase activator activity {GO:0010698}; beta-tubulin binding {GO:0048487}; DNA binding {GO:0003677}; heparin binding {GO:0008201}</t>
  </si>
  <si>
    <t>Xaa-Pro dipeptidase (X-Pro dipeptidase)</t>
  </si>
  <si>
    <t>Imidodipeptidase; Peptidase D; Proline dipeptidase (Prolidase)</t>
  </si>
  <si>
    <t>PEPD_HUMAN</t>
  </si>
  <si>
    <t>P12955</t>
  </si>
  <si>
    <t>A8K3Z1; A8K416; A8K696; A8MX47; B4DDB7; B4DGJ1; E9PCE8; Q8TBN9; Q9BT75</t>
  </si>
  <si>
    <t>PRD</t>
  </si>
  <si>
    <t>3D-structure; Acetylation; Alternative splicing; Collagen degradation; Dipeptidase; Disease mutation; Hydrolase; Manganese; Metal-binding; Metalloprotease; Phosphoprotein; Polymorphism; Protease</t>
  </si>
  <si>
    <t>Dipeptidase; Hydrolase; Metalloprotease; Protease</t>
  </si>
  <si>
    <t>cellular amino acid metabolic process {GO:0006520}; collagen catabolic process {GO:0030574}; proteolysis {GO:0006508}</t>
  </si>
  <si>
    <t>extracellular exosome {GO:0070062}; nucleoplasm {GO:0005654}; nucleus {GO:0005634}</t>
  </si>
  <si>
    <t>aminopeptidase activity {GO:0004177}; manganese ion binding {GO:0030145}; metallocarboxypeptidase activity {GO:0004181}; proline dipeptidase activity {GO:0102009}</t>
  </si>
  <si>
    <t>Ras-related protein R-Ras</t>
  </si>
  <si>
    <t>p23</t>
  </si>
  <si>
    <t>RRAS_HUMAN</t>
  </si>
  <si>
    <t>P10301</t>
  </si>
  <si>
    <t>Q6FH12</t>
  </si>
  <si>
    <t>3D-structure; Cell membrane; GTP-binding; Lipoprotein; Membrane; Methylation; Nucleotide-binding; Prenylation</t>
  </si>
  <si>
    <t>face morphogenesis {GO:0060325}; leukocyte differentiation {GO:0002521}; negative regulation of cell migration {GO:0030336}; positive regulation of angiogenesis {GO:0045766}; Ras protein signal transduction {GO:0007265}; regulation of ERK1 and ERK2 cascade {GO:0070372}; regulation of protein kinase B signaling {GO:0051896}</t>
  </si>
  <si>
    <t>extracellular exosome {GO:0070062}; focal adhesion {GO:0005925}; plasma membrane {GO:0005886}</t>
  </si>
  <si>
    <t>SEMA3A-Plexin repulsion signaling by inhibiting Integrin adhesion {R-HSA-399955}; Sema4D mediated inhibition of cell attachment and migration {R-HSA-416550}</t>
  </si>
  <si>
    <t>Cytochrome b-c1 complex subunit 9</t>
  </si>
  <si>
    <t>Complex III subunit 5; Cytochrome b-c1 complex subunit 5; Rieske iron-sulfur protein (RISP); Rieske protein UQCRFS1; Ubiquinol-cytochrome c reductase iron-sulfur subunit (Su9; Subunit 9); 8 kDa subunit 9; Complex III subunit IX; Cytochrome b-c1 complex subunit 11; Ubiquinol-cytochrome c reductase 8 kDa protein</t>
  </si>
  <si>
    <t>UCRI_HUMAN</t>
  </si>
  <si>
    <t>P47985</t>
  </si>
  <si>
    <t>A8K519; Q6NVX5; Q9UPH2</t>
  </si>
  <si>
    <t>2Fe-2S; 3D-structure; Disulfide bond; Electron transport; Iron; Iron-sulfur; Membrane; Metal-binding; Mitochondrion; Mitochondrion inner membrane; Polymorphism; Respiratory chain; Transit peptide; Translocase; Transmembrane; Transmembrane helix; Transport</t>
  </si>
  <si>
    <t>mitochondrial electron transport, ubiquinol to cytochrome c {GO:0006122}</t>
  </si>
  <si>
    <t>integral component of membrane {GO:0016021}; mitochondrial inner membrane {GO:0005743}; mitochondrial respiratory chain complex III {GO:0005750}; mitochondrial respiratory chain complex IV {GO:0005751}; mitochondrion {GO:0005739}</t>
  </si>
  <si>
    <t>2 iron, 2 sulfur cluster binding {GO:0051537}; metal ion binding {GO:0046872}; ubiquinol-cytochrome-c reductase activity {GO:0008121}</t>
  </si>
  <si>
    <t>14-3-3 protein sigma</t>
  </si>
  <si>
    <t>Epithelial cell marker protein 1; Stratifin</t>
  </si>
  <si>
    <t>1433S_HUMAN</t>
  </si>
  <si>
    <t>P31947</t>
  </si>
  <si>
    <t>Q6FH30; Q6FH51; Q96DH0</t>
  </si>
  <si>
    <t>HME1</t>
  </si>
  <si>
    <t>3D-structure; Alternative splicing; Cytoplasm; Nucleus; Phosphoprotein; Polymorphism; Secreted; Ubl conjugation</t>
  </si>
  <si>
    <t>DNA damage response, signal transduction by p53 class mediator resulting in cell cycle arrest {GO:0006977}; establishment of skin barrier {GO:0061436}; intrinsic apoptotic signaling pathway in response to DNA damage {GO:0008630}; keratinization {GO:0031424}; keratinocyte development {GO:0003334}; membrane organization {GO:0061024}; negative regulation of cysteine-type endopeptidase activity involved in apoptotic process {GO:0043154}; negative regulation of keratinocyte proliferation {GO:0010839}; negative regulation of protein kinase activity {GO:0006469}; positive regulation of cell growth {GO:0030307}; positive regulation of epidermal cell differentiation {GO:0045606}; positive regulation of protein export from nucleus {GO:0046827}; positive regulation of protein insertion into mitochondrial membrane involved in apoptotic signaling pathway {GO:1900740}; regulation of cyclin-dependent protein serine/threonine kinase activity {GO:0000079}; regulation of epidermal cell division {GO:0010482}; release of cytochrome c from mitochondria {GO:0001836}; signal transduction {GO:0007165}</t>
  </si>
  <si>
    <t>cytosol {GO:0005829}; extracellular exosome {GO:0070062}; extracellular space {GO:0005615}; mitochondrion {GO:0005739}; nucleus {GO:0005634}</t>
  </si>
  <si>
    <t>cadherin binding {GO:0045296}; identical protein binding {GO:0042802}; phosphoprotein binding {GO:0051219}; protein domain specific binding {GO:0019904}; protein kinase binding {GO:0019901}; protein kinase C inhibitor activity {GO:0008426}</t>
  </si>
  <si>
    <t>Activation of BAD and translocation to mitochondria {R-HSA-111447}; Translocation of SLC2A4 (GLUT4) to the plasma membrane {R-HSA-1445148}; RHO GTPases activate PKNs {R-HSA-5625740}; TP53 Regulates Metabolic Genes {R-HSA-5628897}; TP53 Regulates Transcription of Genes Involved in G2 Cell Cycle Arrest {R-HSA-6804114}; Chk1/Chk2(Cds1) mediated inactivation of Cyclin B:Cdk1 complex {R-HSA-75035}; Regulation of localization of FOXO transcription factors {R-HSA-9614399}</t>
  </si>
  <si>
    <t>Truncated apolipoprotein C-I</t>
  </si>
  <si>
    <t>Apolipoprotein C1</t>
  </si>
  <si>
    <t>APOC1_HUMAN</t>
  </si>
  <si>
    <t>P02654</t>
  </si>
  <si>
    <t>B2R526; Q6IB97</t>
  </si>
  <si>
    <t>3D-structure; Lipid transport; Polymorphism; Secreted; Signal; Transport; VLDL</t>
  </si>
  <si>
    <t>Secreted; VLDL</t>
  </si>
  <si>
    <t>cholesterol efflux {GO:0033344}; cholesterol metabolic process {GO:0008203}; chylomicron remnant clearance {GO:0034382}; high-density lipoprotein particle remodeling {GO:0034375}; lipid metabolic process {GO:0006629}; lipoprotein metabolic process {GO:0042157}; negative regulation of cholesterol transport {GO:0032375}; negative regulation of fatty acid biosynthetic process {GO:0045717}; negative regulation of lipid catabolic process {GO:0050995}; negative regulation of lipid metabolic process {GO:0045833}; negative regulation of lipoprotein lipase activity {GO:0051005}; negative regulation of phosphatidylcholine catabolic process {GO:0010900}; negative regulation of receptor-mediated endocytosis {GO:0048261}; negative regulation of very-low-density lipoprotein particle clearance {GO:0010916}; phospholipid efflux {GO:0033700}; plasma lipoprotein particle remodeling {GO:0034369}; positive regulation of cholesterol esterification {GO:0010873}; regulation of cholesterol transport {GO:0032374}; triglyceride metabolic process {GO:0006641}; very-low-density lipoprotein particle assembly {GO:0034379}; very-low-density lipoprotein particle clearance {GO:0034447}</t>
  </si>
  <si>
    <t>chylomicron {GO:0042627}; endoplasmic reticulum {GO:0005783}; extracellular region {GO:0005576}; high-density lipoprotein particle {GO:0034364}; very-low-density lipoprotein particle {GO:0034361}</t>
  </si>
  <si>
    <t>fatty acid binding {GO:0005504}; lipase inhibitor activity {GO:0055102}; phosphatidylcholine binding {GO:0031210}; phosphatidylcholine-sterol O-acyltransferase activator activity {GO:0060228}; phospholipase inhibitor activity {GO:0004859}</t>
  </si>
  <si>
    <t>VLDL assembly {R-HSA-8866423}; VLDL clearance {R-HSA-8964046}</t>
  </si>
  <si>
    <t>Heterogeneous nuclear ribonucleoprotein L (hnRNP L)</t>
  </si>
  <si>
    <t>HNRPL_HUMAN</t>
  </si>
  <si>
    <t>P14866</t>
  </si>
  <si>
    <t>A6ND69; A6NIT8; Q9H3P3</t>
  </si>
  <si>
    <t>HNRPL</t>
  </si>
  <si>
    <t>3D-structure; Acetylation; Alternative splicing; Cytoplasm; Isopeptide bond; Methylation; Nucleus; Phosphoprotein; Repeat; Ribonucleoprotein; RNA-binding; Ubl conjugation</t>
  </si>
  <si>
    <t>mRNA splicing, via spliceosome {GO:0000398}; regulation of alternative mRNA splicing, via spliceosome {GO:0000381}; RNA metabolic process {GO:0016070}; RNA processing {GO:0006396}</t>
  </si>
  <si>
    <t>cytoplasm {GO:0005737}; extracellular exosome {GO:0070062}; membrane {GO:0016020}; nucleoplasm {GO:0005654}; nucleus {GO:0005634}; ribonucleoprotein complex {GO:1990904}; ribonucleoprotein granule {GO:0035770}</t>
  </si>
  <si>
    <t>pre-mRNA intronic binding {GO:0097157}; RNA binding {GO:0003723}; transcription regulatory region DNA binding {GO:0044212}</t>
  </si>
  <si>
    <t>CD177 antigen</t>
  </si>
  <si>
    <t>Human neutrophil alloantigen 2a (HNA-2a); NB1 glycoprotein (NB1 GP); Polycythemia rubra vera protein 1 (PRV-1); CD_antigen=CD177</t>
  </si>
  <si>
    <t>CD177_HUMAN</t>
  </si>
  <si>
    <t>Q8N6Q3</t>
  </si>
  <si>
    <t>Q711Q2; Q8NCV9; Q96QH1; Q9HDA5</t>
  </si>
  <si>
    <t>Alternative splicing; Cell adhesion; Cell membrane; Cell projection; Glycoprotein; GPI-anchor; Immunity; Innate immunity; Lipoprotein; Membrane; Polymorphism; Repeat; Secreted; Signal</t>
  </si>
  <si>
    <t>blood coagulation {GO:0007596}; cell adhesion {GO:0007155}; cell-cell adhesion via plasma-membrane adhesion molecules {GO:0098742}; cell-cell junction maintenance {GO:0045217}; innate immune response {GO:0045087}; leukocyte cell-cell adhesion {GO:0007159}; leukocyte migration {GO:0050900}; neutrophil degranulation {GO:0043312}; neutrophil extravasation {GO:0072672}; neutrophil migration {GO:1990266}; positive regulation of neutrophil degranulation {GO:0043315}; positive regulation of superoxide anion generation {GO:0032930}; protein localization to cell surface {GO:0034394}; regulation of endocytosis {GO:0030100}; regulation of integrin-mediated signaling pathway {GO:2001044}</t>
  </si>
  <si>
    <t>anchored component of membrane {GO:0031225}; extracellular exosome {GO:0070062}; lamellipodium {GO:0030027}; plasma membrane {GO:0005886}; plasma membrane raft {GO:0044853}; secretory granule membrane {GO:0030667}; specific granule membrane {GO:0035579}; tertiary granule membrane {GO:0070821}</t>
  </si>
  <si>
    <t>calcium-dependent protein binding {GO:0048306}; integrin binding {GO:0005178}; protease binding {GO:0002020}</t>
  </si>
  <si>
    <t>Common Pathway of Fibrin Clot Formation {R-HSA-140875}; Cell surface interactions at the vascular wall {R-HSA-202733}; Neutrophil degranulation {R-HSA-6798695}</t>
  </si>
  <si>
    <t>Dipeptidase 1</t>
  </si>
  <si>
    <t>Dehydropeptidase-I; Microsomal dipeptidase; Renal dipeptidase (hRDP)</t>
  </si>
  <si>
    <t>DPEP1_HUMAN</t>
  </si>
  <si>
    <t>P16444</t>
  </si>
  <si>
    <t>D3DX80; Q96AK2</t>
  </si>
  <si>
    <t>MDP; RDP</t>
  </si>
  <si>
    <t>3D-structure; Cell membrane; Cell projection; Dipeptidase; Disulfide bond; Glycoprotein; GPI-anchor; Hydrolase; Lipoprotein; Membrane; Metal-binding; Metalloprotease; Polymorphism; Protease; Signal; Zinc</t>
  </si>
  <si>
    <t>antibiotic metabolic process {GO:0016999}; cellular lactam catabolic process {GO:0072340}; cellular response to calcium ion {GO:0071277}; cellular response to drug {GO:0035690}; cellular response to nitric oxide {GO:0071732}; glutathione metabolic process {GO:0006749}; homocysteine metabolic process {GO:0050667}; leukotriene metabolic process {GO:0006691}; negative regulation of apoptotic process {GO:0043066}; negative regulation of cell migration {GO:0030336}; negative regulation of cysteine-type endopeptidase activity involved in apoptotic process {GO:0043154}; xenobiotic metabolic process {GO:0006805}</t>
  </si>
  <si>
    <t>anchored component of membrane {GO:0031225}; apical part of cell {GO:0045177}; apical plasma membrane {GO:0016324}; cell junction {GO:0030054}; extracellular exosome {GO:0070062}; extracellular space {GO:0005615}; microvillus membrane {GO:0031528}; nucleus {GO:0005634}; plasma membrane {GO:0005886}</t>
  </si>
  <si>
    <t>cysteine-type endopeptidase inhibitor activity involved in apoptotic process {GO:0043027}; dipeptidyl-peptidase activity {GO:0008239}; GPI anchor binding {GO:0034235}; metallodipeptidase activity {GO:0070573}; metalloexopeptidase activity {GO:0008235}; modified amino acid binding {GO:0072341}; zinc ion binding {GO:0008270}</t>
  </si>
  <si>
    <t>Synthesis of Leukotrienes (LT) and Eoxins (EX) {R-HSA-2142691}; Aflatoxin activation and detoxification {R-HSA-5423646}</t>
  </si>
  <si>
    <t>Reticulocalbin-3</t>
  </si>
  <si>
    <t>EF-hand calcium-binding protein RLP49</t>
  </si>
  <si>
    <t>RCN3_HUMAN</t>
  </si>
  <si>
    <t>Q96D15</t>
  </si>
  <si>
    <t>Q9HBZ8</t>
  </si>
  <si>
    <t>Calcium; Chaperone; Endoplasmic reticulum; Glycoprotein; Metal-binding; Polymorphism; Protein transport; Repeat; Signal; Transport</t>
  </si>
  <si>
    <t>collagen biosynthetic process {GO:0032964}; ERAD pathway {GO:0036503}; lung epithelium development {GO:0060428}; phospholipid homeostasis {GO:0055091}; positive regulation of peptidase activity {GO:0010952}; protein secretion {GO:0009306}; protein transport {GO:0015031}; regulation of protein kinase B signaling {GO:0051896}; surfactant homeostasis {GO:0043129}</t>
  </si>
  <si>
    <t>PEX</t>
  </si>
  <si>
    <t>72 kDa gelatinase; Gelatinase A; Matrix metalloproteinase-2 (MMP-2); TBE-1</t>
  </si>
  <si>
    <t>MMP2_HUMAN</t>
  </si>
  <si>
    <t>P08253</t>
  </si>
  <si>
    <t>B2R6U1; B4DWH3; E9PE45; Q9UCJ8</t>
  </si>
  <si>
    <t>CLG4A</t>
  </si>
  <si>
    <t>3D-structure; Alternative splicing; Angiogenesis; Autocatalytic cleavage; Calcium; Collagen degradation; Cytoplasm; Disease mutation; Disulfide bond; Extracellular matrix; Glycoprotein; Hydrolase; Membrane; Metal-binding; Metalloprotease; Mitochondrion; Nucleus; Phosphoprotein; Polymorphism; Protease; Repeat; Secreted; Signal; Zinc; Zymogen</t>
  </si>
  <si>
    <t>Angiogenesis; Collagen degradation</t>
  </si>
  <si>
    <t>Cytoplasm; Extracellular matrix; Membrane; Mitochondrion; Nucleus; Secreted</t>
  </si>
  <si>
    <t>angiogenesis {GO:0001525}; blood vessel maturation {GO:0001955}; bone trabecula formation {GO:0060346}; cellular protein metabolic process {GO:0044267}; cellular response to amino acid stimulus {GO:0071230}; cellular response to reactive oxygen species {GO:0034614}; collagen catabolic process {GO:0030574}; cytokine-mediated signaling pathway {GO:0019221}; embryo implantation {GO:0007566}; endodermal cell differentiation {GO:0035987}; ephrin receptor signaling pathway {GO:0048013}; extracellular matrix disassembly {GO:0022617}; extracellular matrix organization {GO:0030198}; face morphogenesis {GO:0060325}; intramembranous ossification {GO:0001957}; positive regulation of vascular smooth muscle cell proliferation {GO:1904707}; proteolysis {GO:0006508}; response to amyloid-beta {GO:1904645}; response to hypoxia {GO:0001666}; tissue remodeling {GO:0048771}</t>
  </si>
  <si>
    <t>collagen-containing extracellular matrix {GO:0062023}; extracellular region {GO:0005576}; extracellular space {GO:0005615}; mitochondrion {GO:0005739}; nucleus {GO:0005634}; plasma membrane {GO:0005886}; sarcomere {GO:0030017}</t>
  </si>
  <si>
    <t>metalloendopeptidase activity {GO:0004222}; metallopeptidase activity {GO:0008237}; serine-type endopeptidase activity {GO:0004252}; zinc ion binding {GO:0008270}</t>
  </si>
  <si>
    <t>Collagen degradation {R-HSA-1442490}; Degradation of the extracellular matrix {R-HSA-1474228}; Activation of Matrix Metalloproteinases {R-HSA-1592389}; Regulation of Insulin-like Growth Factor (IGF) transport and uptake by Insulin-like Growth Factor Binding Proteins (IGFBPs) {R-HSA-381426}; EPH-ephrin mediated repulsion of cells {R-HSA-3928665}; Interleukin-4 and Interleukin-13 signaling {R-HSA-6785807}; Non-genomic estrogen signaling {R-HSA-9009391}</t>
  </si>
  <si>
    <t>Cadherin-13</t>
  </si>
  <si>
    <t>Heart cadherin (H-cadherin); P105; Truncated cadherin (T-cad; T-cadherin)</t>
  </si>
  <si>
    <t>CAD13_HUMAN</t>
  </si>
  <si>
    <t>P55290</t>
  </si>
  <si>
    <t>A8W476; A8W477; B7Z590; C9JRI6; J3KN62; Q6GTW4; Q8TBX3</t>
  </si>
  <si>
    <t>CDHH</t>
  </si>
  <si>
    <t>3D-structure; Alternative splicing; Calcium; Cell adhesion; Cell membrane; Cleavage on pair of basic residues; Glycoprotein; GPI-anchor; Lipoprotein; Membrane; Metal-binding; Polymorphism; Repeat; Signal</t>
  </si>
  <si>
    <t>Cleavage on pair of basic residues; GPI-anchor; Glycoprotein; Lipoprotein</t>
  </si>
  <si>
    <t>adherens junction organization {GO:0034332}; calcium-dependent cell-cell adhesion via plasma membrane cell adhesion molecules {GO:0016339}; cell morphogenesis {GO:0000902}; cell-cell adhesion {GO:0098609}; cell-cell adhesion mediated by cadherin {GO:0044331}; cell-cell junction assembly {GO:0007043}; endothelial cell migration {GO:0043542}; homophilic cell adhesion via plasma membrane adhesion molecules {GO:0007156}; keratinocyte proliferation {GO:0043616}; lamellipodium assembly {GO:0030032}; localization within membrane {GO:0051668}; low-density lipoprotein particle mediated signaling {GO:0055096}; mitotic cell cycle {GO:0000278}; negative regulation of cell adhesion {GO:0007162}; negative regulation of cell population proliferation {GO:0008285}; positive regulation of calcium-mediated signaling {GO:0050850}; positive regulation of cell migration {GO:0030335}; positive regulation of cell-matrix adhesion {GO:0001954}; positive regulation of endothelial cell proliferation {GO:0001938}; positive regulation of positive chemotaxis {GO:0050927}; positive regulation of smooth muscle cell proliferation {GO:0048661}; positive regulation of transcription by RNA polymerase II {GO:0045944}; Rac protein signal transduction {GO:0016601}; regulation of endocytosis {GO:0030100}; regulation of epidermal growth factor receptor signaling pathway {GO:0042058}; Rho protein signal transduction {GO:0007266}; sprouting angiogenesis {GO:0002040}</t>
  </si>
  <si>
    <t>anchored component of membrane {GO:0031225}; catenin complex {GO:0016342}; caveola {GO:0005901}; cell surface {GO:0009986}; cell-cell adherens junction {GO:0005913}; collagen-containing extracellular matrix {GO:0062023}; cytoplasm {GO:0005737}; external side of plasma membrane {GO:0009897}; extracellular exosome {GO:0070062}; extracellular region {GO:0005576}; extracellular space {GO:0005615}; focal adhesion {GO:0005925}; GABA-ergic synapse {GO:0098982}; neuron projection {GO:0043005}; perinuclear region of cytoplasm {GO:0048471}; plasma membrane {GO:0005886}</t>
  </si>
  <si>
    <t>adiponectin binding {GO:0055100}; cadherin binding {GO:0045296}; calcium ion binding {GO:0005509}; cytoskeletal protein binding {GO:0008092}; lipoprotein particle binding {GO:0071813}; low-density lipoprotein particle binding {GO:0030169}; protein homodimerization activity {GO:0042803}</t>
  </si>
  <si>
    <t>Phosphatidylcholine-sterol acyltransferase</t>
  </si>
  <si>
    <t>Lecithin-cholesterol acyltransferase; Phospholipid-cholesterol acyltransferase</t>
  </si>
  <si>
    <t>LCAT_HUMAN</t>
  </si>
  <si>
    <t>P04180</t>
  </si>
  <si>
    <t>Q53XQ3</t>
  </si>
  <si>
    <t>3D-structure; Acyltransferase; Cholesterol metabolism; Corneal dystrophy; Disease mutation; Disulfide bond; Glycoprotein; Lipid metabolism; Polymorphism; Secreted; Signal; Steroid metabolism; Sterol metabolism; Transferase</t>
  </si>
  <si>
    <t>Corneal dystrophy; Disease mutation</t>
  </si>
  <si>
    <t>cholesterol esterification {GO:0034435}; cholesterol homeostasis {GO:0042632}; cholesterol metabolic process {GO:0008203}; cholesterol transport {GO:0030301}; high-density lipoprotein particle remodeling {GO:0034375}; lipoprotein biosynthetic process {GO:0042158}; phosphatidylcholine biosynthetic process {GO:0006656}; phosphatidylcholine metabolic process {GO:0046470}; phospholipid metabolic process {GO:0006644}; regulation of high-density lipoprotein particle assembly {GO:0090107}; reverse cholesterol transport {GO:0043691}; very-low-density lipoprotein particle remodeling {GO:0034372}</t>
  </si>
  <si>
    <t>extracellular exosome {GO:0070062}; extracellular region {GO:0005576}; extracellular space {GO:0005615}; high-density lipoprotein particle {GO:0034364}</t>
  </si>
  <si>
    <t>apolipoprotein A-I binding {GO:0034186}; phosphatidylcholine-sterol O-acyltransferase activity {GO:0004607}</t>
  </si>
  <si>
    <t>HDL remodeling {R-HSA-8964058}</t>
  </si>
  <si>
    <t>40S ribosomal protein S16</t>
  </si>
  <si>
    <t>Small ribosomal subunit protein uS9</t>
  </si>
  <si>
    <t>RS16_HUMAN</t>
  </si>
  <si>
    <t>P62249</t>
  </si>
  <si>
    <t>B2RDD5; P17008</t>
  </si>
  <si>
    <t>maturation of SSU-rRNA from tricistronic rRNA transcript (SSU-rRNA, 5.8S rRNA, LSU-rRNA) {GO:0000462}; nuclear-transcribed mRNA catabolic process, nonsense-mediated decay {GO:0000184}; ribosomal small subunit biogenesis {GO:0042274}; rRNA processing {GO:0006364};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</si>
  <si>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nucleoplasm {GO:0005654}; small ribosomal subunit {GO:0015935}</t>
  </si>
  <si>
    <t>Transcription elongation factor SPT5 (hSPT5)</t>
  </si>
  <si>
    <t>DRB sensitivity-inducing factor 160 kDa subunit (DSIF p160); DRB sensitivity-inducing factor large subunit (DSIF large subunit); Tat-cotransactivator 1 protein (Tat-CT1 protein)</t>
  </si>
  <si>
    <t>SPT5H_HUMAN</t>
  </si>
  <si>
    <t>O00267</t>
  </si>
  <si>
    <t>O43279; Q59G52; Q99639</t>
  </si>
  <si>
    <t>SPT5; SPT5H</t>
  </si>
  <si>
    <t>3D-structure; Acetylation; Activator; Alternative splicing; Isopeptide bond; Methylation; Nucleus; Phosphoprotein; Repeat; Repressor; Transcription; Transcription regulation; Ubl conjugation</t>
  </si>
  <si>
    <t>7-methylguanosine mRNA capping {GO:0006370}; negative regulation of DNA-templated transcription, elongation {GO:0032785}; negative regulation of mRNA polyadenylation {GO:1900364}; negative regulation of transcription by RNA polymerase II {GO:0000122}; positive regulation of DNA-templated transcription, elongation {GO:0032786}; positive regulation of macroautophagy {GO:0016239}; positive regulation of transcription by RNA polymerase II {GO:0045944}; positive regulation of viral transcription {GO:0050434}; regulation of transcription by RNA polymerase II {GO:0006357}; transcription by RNA polymerase II {GO:0006366}; transcription elongation from RNA polymerase II promoter {GO:0006368}</t>
  </si>
  <si>
    <t>DSIF complex {GO:0032044}; nucleoplasm {GO:0005654}; nucleus {GO:0005634}</t>
  </si>
  <si>
    <t>chromatin binding {GO:0003682}; enzyme binding {GO:0019899}; mRNA binding {GO:0003729}; protein heterodimerization activity {GO:0046982}; RNA binding {GO:0003723}</t>
  </si>
  <si>
    <t>Formation of RNA Pol II elongation complex {R-HSA-112382}; Formation of the Early Elongation Complex {R-HSA-113418}; Formation of HIV elongation complex in the absence of HIV Tat {R-HSA-167152}; Formation of the HIV-1 Early Elongation Complex {R-HSA-167158}; RNA Pol II CTD phosphorylation and interaction with CE during HIV infection {R-HSA-167160}; Formation of HIV-1 elongation complex containing HIV-1 Tat {R-HSA-167200}; Pausing and recovery of Tat-mediated HIV elongation {R-HSA-167238}; Abortive elongation of HIV-1 transcript in the absence of Tat {R-HSA-167242}; Tat-mediated HIV elongation arrest and recovery {R-HSA-167243}; Tat-mediated elongation of the HIV-1 transcript {R-HSA-167246}; HIV elongation arrest and recovery {R-HSA-167287}; Pausing and recovery of HIV elongation {R-HSA-167290}; RNA Polymerase II Pre-transcription Events {R-HSA-674695}; TP53 Regulates Transcription of DNA Repair Genes {R-HSA-6796648}; RNA polymerase II transcribes snRNA genes {R-HSA-6807505}; mRNA Capping {R-HSA-72086}; RNA Polymerase II Transcription Elongation {R-HSA-75955}; RNA Pol II CTD phosphorylation and interaction with CE {R-HSA-77075}</t>
  </si>
  <si>
    <t>Proapolipoprotein C-II</t>
  </si>
  <si>
    <t>Apolipoprotein C2 (ProapoC-II)</t>
  </si>
  <si>
    <t>APOC2_HUMAN</t>
  </si>
  <si>
    <t>P02655</t>
  </si>
  <si>
    <t>C0JYY4; Q9BS39; Q9UDE3; Q9UNK3</t>
  </si>
  <si>
    <t>APC2</t>
  </si>
  <si>
    <t>3D-structure; Chylomicron; Disease mutation; Glycoprotein; HDL; Hyperlipidemia; LDL; Lipid degradation; Lipid metabolism; Lipid transport; Polymorphism; Secreted; Sialic acid; Signal; Transport; VLDL</t>
  </si>
  <si>
    <t>Chylomicron; HDL; LDL; Secreted; VLDL</t>
  </si>
  <si>
    <t>cholesterol efflux {GO:0033344}; cholesterol homeostasis {GO:0042632}; chylomicron assembly {GO:0034378}; chylomicron remnant clearance {GO:0034382}; chylomicron remodeling {GO:0034371}; high-density lipoprotein particle clearance {GO:0034384}; high-density lipoprotein particle remodeling {GO:0034375}; lipid catabolic process {GO:0016042}; lipoprotein transport {GO:0042953}; negative regulation of cholesterol transport {GO:0032375}; negative regulation of lipid metabolic process {GO:0045833}; negative regulation of receptor-mediated endocytosis {GO:0048261}; negative regulation of very-low-density lipoprotein particle clearance {GO:0010916}; phospholipid efflux {GO:0033700}; positive regulation of fatty acid biosynthetic process {GO:0045723}; positive regulation of lipoprotein lipase activity {GO:0051006}; positive regulation of phospholipase activity {GO:0010518}; positive regulation of phospholipid catabolic process {GO:0060697}; positive regulation of triglyceride catabolic process {GO:0010898}; positive regulation of very-low-density lipoprotein particle remodeling {GO:0010902}; response to drug {GO:0042493}; retinoid metabolic process {GO:0001523}; reverse cholesterol transport {GO:0043691}; triglyceride homeostasis {GO:0070328}; triglyceride-rich lipoprotein particle remodeling {GO:0034370}; very-low-density lipoprotein particle remodeling {GO:0034372}</t>
  </si>
  <si>
    <t>chylomicron {GO:0042627}; early endosome {GO:0005769}; extracellular region {GO:0005576}; extracellular space {GO:0005615}; intermediate-density lipoprotein particle {GO:0034363}; low-density lipoprotein particle {GO:0034362}; spherical high-density lipoprotein particle {GO:0034366}; very-low-density lipoprotein particle {GO:0034361}</t>
  </si>
  <si>
    <t>lipase inhibitor activity {GO:0055102}; lipid binding {GO:0008289}; lipoprotein lipase activator activity {GO:0060230}; phospholipase activator activity {GO:0016004}; phospholipase binding {GO:0043274}; protein homodimerization activity {GO:0042803}</t>
  </si>
  <si>
    <t>Chylomicron assembly {R-HSA-8963888}; Assembly of active LPL and LIPC lipase complexes {R-HSA-8963889}; Chylomicron remodeling {R-HSA-8963901}; HDL remodeling {R-HSA-8964058}; Retinoid metabolism and transport {R-HSA-975634}</t>
  </si>
  <si>
    <t>Nucleobindin-1</t>
  </si>
  <si>
    <t>CALNUC</t>
  </si>
  <si>
    <t>NUCB1_HUMAN</t>
  </si>
  <si>
    <t>Q02818</t>
  </si>
  <si>
    <t>B2RD64; Q15838; Q7Z4J7; Q9BUR1</t>
  </si>
  <si>
    <t>NUC</t>
  </si>
  <si>
    <t>3D-structure; Calcium; Coiled coil; Cytoplasm; DNA-binding; Glycoprotein; Golgi apparatus; Membrane; Metal-binding; Phosphoprotein; Polymorphism; Repeat; Secreted; Signal</t>
  </si>
  <si>
    <t>Cytoplasm; Golgi apparatus; Membrane; Secreted</t>
  </si>
  <si>
    <t>Coiled coil; Repeat; Signal</t>
  </si>
  <si>
    <t>cellular protein metabolic process {GO:0044267}; post-translational protein modification {GO:0043687}; regulation of protein targeting {GO:1903533}; response to cisplatin {GO:0072718}</t>
  </si>
  <si>
    <t>cis-Golgi network {GO:0005801}; early endosome {GO:0005769}; endoplasmic reticulum lumen {GO:0005788}; endoplasmic reticulum-Golgi intermediate compartment {GO:0005793}; extracellular exosome {GO:0070062}; extracellular space {GO:0005615}; extrinsic component of Golgi membrane {GO:0090498}; Golgi cisterna membrane {GO:0032580}; Golgi-associated vesicle {GO:0005798}; lumenal side of Golgi membrane {GO:0098547}; membrane {GO:0016020}; nucleus {GO:0005634}; rough endoplasmic reticulum {GO:0005791}; trans-Golgi network {GO:0005802}</t>
  </si>
  <si>
    <t>calcium ion binding {GO:0005509}; DNA binding {GO:0003677}; G-protein alpha-subunit binding {GO:0001965}</t>
  </si>
  <si>
    <t>Branched-chain-amino-acid aminotransferase, mitochondrial (BCAT(m))</t>
  </si>
  <si>
    <t>Placental protein 18 (PP18)</t>
  </si>
  <si>
    <t>BCAT2_HUMAN</t>
  </si>
  <si>
    <t>O15382</t>
  </si>
  <si>
    <t>B2RB87; O00269; Q96KG1; Q9BTB6; Q9BUU6</t>
  </si>
  <si>
    <t>BCATM; BCT2; ECA40</t>
  </si>
  <si>
    <t>3D-structure; Acetylation; Alternative splicing; Amino-acid biosynthesis; Aminotransferase; Branched-chain amino acid biosynthesis; Cytoplasm; Mitochondrion; Polymorphism; Pyridoxal phosphate; Transferase; Transit peptide</t>
  </si>
  <si>
    <t>Amino-acid biosynthesis; Branched-chain amino acid biosynthesis</t>
  </si>
  <si>
    <t>branched-chain amino acid biosynthetic process {GO:0009082}; branched-chain amino acid catabolic process {GO:0009083}; cellular response to leukemia inhibitory factor {GO:1990830}; isoleucine catabolic process {GO:0006550}; leucine biosynthetic process {GO:0009098}; regulation of hormone levels {GO:0010817}; valine biosynthetic process {GO:0009099}</t>
  </si>
  <si>
    <t>branched-chain-amino-acid transaminase activity {GO:0004084}; L-isoleucine transaminase activity {GO:0052656}; L-leucine transaminase activity {GO:0052654}; L-valine transaminase activity {GO:0052655}</t>
  </si>
  <si>
    <t>Platelet glycoprotein VI (GPVI)</t>
  </si>
  <si>
    <t>Glycoprotein 6</t>
  </si>
  <si>
    <t>GPVI_HUMAN</t>
  </si>
  <si>
    <t>Q9HCN6</t>
  </si>
  <si>
    <t>Q9HCN7; Q9UIF2</t>
  </si>
  <si>
    <t>3D-structure; Alternative splicing; Blood coagulation; Cell membrane; Disease mutation; Disulfide bond; Glycoprotein; Hemostasis; Immunoglobulin domain; Membrane; Polymorphism; Receptor; Repeat; Signal; Transmembrane; Transmembrane helix</t>
  </si>
  <si>
    <t>blood coagulation {GO:0007596}; enzyme linked receptor protein signaling pathway {GO:0007167}; leukocyte migration {GO:0050900}; platelet activation {GO:0030168}</t>
  </si>
  <si>
    <t>cell surface {GO:0009986}; extracellular exosome {GO:0070062}; integral component of plasma membrane {GO:0005887}; plasma membrane {GO:0005886}; tetraspanin-enriched microdomain {GO:0097197}</t>
  </si>
  <si>
    <t>collagen binding {GO:0005518}; signaling receptor activity {GO:0038023}; transmembrane signaling receptor activity {GO:0004888}</t>
  </si>
  <si>
    <t>GPVI-mediated activation cascade {R-HSA-114604}; Cell surface interactions at the vascular wall {R-HSA-202733}; Platelet Adhesion to exposed collagen {R-HSA-75892}</t>
  </si>
  <si>
    <t>60S ribosomal protein L22</t>
  </si>
  <si>
    <t>EBER-associated protein (EAP); Epstein-Barr virus small RNA-associated protein; Heparin-binding protein HBp15; Large ribosomal subunit protein eL22</t>
  </si>
  <si>
    <t>RL22_HUMAN</t>
  </si>
  <si>
    <t>P35268</t>
  </si>
  <si>
    <t>B2R495; Q6IBD1</t>
  </si>
  <si>
    <t>3D-structure; Heparin-binding; Phosphoprotein; Ribonucleoprotein; Ribosomal protein; RNA-binding</t>
  </si>
  <si>
    <t>Heparin-binding; RNA-binding; Ribonucleoprotein; Ribosomal protein</t>
  </si>
  <si>
    <t>alpha-beta T cell differentiation {GO:0046632}; nuclear-transcribed mRNA catabolic process, nonsense-mediated decay {GO:0000184}; regulation of translation at presynapse, modulating synaptic transmission {GO:0099577}; SRP-dependent cotranslational protein targeting to membrane {GO:0006614}; translation {GO:0006412}; translational initiation {GO:0006413}; viral transcription {GO:0019083}</t>
  </si>
  <si>
    <t>cytoplasm {GO:0005737}; cytosol {GO:0005829}; cytosolic large ribosomal subunit {GO:0022625}; extracellular exosome {GO:0070062}; focal adhesion {GO:0005925}; glutamatergic synapse {GO:0098978}; nucleus {GO:0005634}; presynapse {GO:0098793}; ribonucleoprotein complex {GO:1990904}</t>
  </si>
  <si>
    <t>heparin binding {GO:0008201}; RNA binding {GO:0003723}; structural constituent of ribosome {GO:0003735}; translation regulator activity {GO:0045182}</t>
  </si>
  <si>
    <t>CXXC motif containing zinc binding protein</t>
  </si>
  <si>
    <t>UPF0587 protein C1orf123</t>
  </si>
  <si>
    <t>CZIB_HUMAN</t>
  </si>
  <si>
    <t>Q9NWV4</t>
  </si>
  <si>
    <t>3D-structure; Metal-binding; Phosphoprotein; Zinc</t>
  </si>
  <si>
    <t>Cadherin-11</t>
  </si>
  <si>
    <t>OSF-4; Osteoblast cadherin (OB-cadherin)</t>
  </si>
  <si>
    <t>CAD11_HUMAN</t>
  </si>
  <si>
    <t>P55287</t>
  </si>
  <si>
    <t>A8K5D6; A8MZC8; B7WP28; Q15065; Q15066; Q9UQ93; Q9UQ94</t>
  </si>
  <si>
    <t>Alternative splicing; Calcium; Cell adhesion; Cell membrane; Chromosomal rearrangement; Cleavage on pair of basic residues; Deafness; Disease mutation; Glycoprotein; Membrane; Mental retardation; Metal-binding; Phosphoprotein; Polymorphism; Repeat; Signal; Transmembrane; Transmembrane helix</t>
  </si>
  <si>
    <t>adherens junction organization {GO:0034332}; calcium-dependent cell-cell adhesion via plasma membrane cell adhesion molecules {GO:0016339}; cell adhesion {GO:0007155}; cell morphogenesis {GO:0000902}; cell-cell adhesion {GO:0098609}; cell-cell adhesion mediated by cadherin {GO:0044331}; cell-cell junction assembly {GO:0007043}; corticospinal tract morphogenesis {GO:0021957}; homophilic cell adhesion via plasma membrane adhesion molecules {GO:0007156}; modulation of chemical synaptic transmission {GO:0050804}; ossification {GO:0001503}; skeletal system development {GO:0001501}</t>
  </si>
  <si>
    <t>catenin complex {GO:0016342}; cell surface {GO:0009986}; cell-cell adherens junction {GO:0005913}; cytoplasm {GO:0005737}; extracellular exosome {GO:0070062}; glutamatergic synapse {GO:0098978}; integral component of membrane {GO:0016021}; plasma membrane {GO:0005886}; Schaffer collateral - CA1 synapse {GO:0098685}</t>
  </si>
  <si>
    <t>Peptidoglycan recognition protein 1</t>
  </si>
  <si>
    <t>Peptidoglycan recognition protein short (PGRP-S)</t>
  </si>
  <si>
    <t>PGRP1_HUMAN</t>
  </si>
  <si>
    <t>O75594</t>
  </si>
  <si>
    <t>Q4VB36</t>
  </si>
  <si>
    <t>PGLYRP; PGRP; TNFSF3L</t>
  </si>
  <si>
    <t>3D-structure; Antibiotic; Antimicrobial; Disulfide bond; Glycoprotein; Immunity; Innate immunity; Polymorphism; Pyrrolidone carboxylic acid; Secreted; Signal</t>
  </si>
  <si>
    <t>antimicrobial humoral immune response mediated by antimicrobial peptide {GO:0061844}; antimicrobial humoral response {GO:0019730}; defense response to Gram-positive bacterium {GO:0050830}; detection of bacterium {GO:0016045}; growth of symbiont in host {GO:0044117}; innate immune response {GO:0045087}; killing of cells of other organism {GO:0031640}; negative regulation of inflammatory response {GO:0050728}; negative regulation of interferon-gamma production {GO:0032689}; negative regulation of natural killer cell differentiation involved in immune response {GO:0032827}; neutrophil degranulation {GO:0043312}; peptidoglycan catabolic process {GO:0009253}; positive regulation of cytolysis in other organism {GO:0051714}</t>
  </si>
  <si>
    <t>extracellular exosome {GO:0070062}; extracellular region {GO:0005576}; extracellular space {GO:0005615}; phagocytic vesicle lumen {GO:0097013}; specific granule lumen {GO:0035580}; tertiary granule lumen {GO:1904724}</t>
  </si>
  <si>
    <t>Tyrosine-protein kinase receptor UFO</t>
  </si>
  <si>
    <t>AXL oncogene</t>
  </si>
  <si>
    <t>UFO_HUMAN</t>
  </si>
  <si>
    <t>P30530</t>
  </si>
  <si>
    <t>Q8N5L2; Q9UD27</t>
  </si>
  <si>
    <t>UFO</t>
  </si>
  <si>
    <t>3D-structure; Alternative splicing; ATP-binding; Cell membrane; Differentiation; Disulfide bond; Glycoprotein; Host cell receptor for virus entry; Host-virus interaction; Immunity; Immunoglobulin domain; Innate immunity; Kinase; Membrane; Nucleotide-binding; Oncogene; Phosphoprotein; Polymorphism; Proto-oncogene; Receptor; Repeat; Signal; Transferase; Transmembrane; Transmembrane helix; Tyrosine-protein kinase; Ubl conjugation</t>
  </si>
  <si>
    <t>Differentiation; Host-virus interaction; Immunity; Innate immunity</t>
  </si>
  <si>
    <t>Oncogene; Proto-oncogene</t>
  </si>
  <si>
    <t>Host cell receptor for virus entry; Kinase; Receptor; Transferase; Tyrosine-protein kinase</t>
  </si>
  <si>
    <t>animal organ regeneration {GO:0031100}; apoptotic cell clearance {GO:0043277}; blood vessel remodeling {GO:0001974}; cell maturation {GO:0048469}; cell migration {GO:0016477}; cellular response to extracellular stimulus {GO:0031668}; cellular response to hydrogen peroxide {GO:0070301}; cellular response to interferon-alpha {GO:0035457}; cellular response to lipopolysaccharide {GO:0071222}; dendritic cell differentiation {GO:0097028}; erythrocyte homeostasis {GO:0034101}; forebrain cell migration {GO:0021885}; inflammatory response {GO:0006954}; innate immune response {GO:0045087}; natural killer cell differentiation {GO:0001779}; negative regulation of apoptotic process {GO:0043066}; negative regulation of dendritic cell apoptotic process {GO:2000669}; negative regulation of interferon-gamma production {GO:0032689}; negative regulation of lymphocyte activation {GO:0051250}; negative regulation of neuron apoptotic process {GO:0043524}; negative regulation of tumor necrosis factor production {GO:0032720}; nervous system development {GO:0007399}; neuron migration {GO:0001764}; neutrophil clearance {GO:0097350}; ovulation cycle {GO:0042698}; phagocytosis {GO:0006909}; platelet activation {GO:0030168}; positive regulation of cytokine-mediated signaling pathway {GO:0001961}; positive regulation of natural killer cell differentiation {GO:0032825}; positive regulation of pinocytosis {GO:0048549}; positive regulation of protein kinase B signaling {GO:0051897}; protein kinase B signaling {GO:0043491}; secretion by cell {GO:0032940}; signal transduction {GO:0007165}; spermatogenesis {GO:0007283}; substrate adhesion-dependent cell spreading {GO:0034446}; transmembrane receptor protein tyrosine kinase signaling pathway {GO:0007169}; vagina development {GO:0060068}; vascular endothelial growth factor receptor signaling pathway {GO:0048010}; viral entry into host cell {GO:0046718}; Wnt signaling pathway {GO:0016055}</t>
  </si>
  <si>
    <t>cell surface {GO:0009986}; extracellular exosome {GO:0070062}; extracellular space {GO:0005615}; host cell surface {GO:0044228}; integral component of plasma membrane {GO:0005887}; plasma membrane {GO:0005886}; receptor complex {GO:0043235}</t>
  </si>
  <si>
    <t>ATP binding {GO:0005524}; myosin heavy chain binding {GO:0032036}; phosphatidylinositol 3-kinase binding {GO:0043548}; phosphatidylserine binding {GO:0001786}; protein heterodimerization activity {GO:0046982}; protein tyrosine kinase activity {GO:0004713}; transmembrane receptor protein tyrosine kinase activity {GO:0004714}; virus receptor activity {GO:0001618}; Wnt-protein binding {GO:0017147}</t>
  </si>
  <si>
    <t>VEGFA-VEGFR2 Pathway {R-HSA-4420097}</t>
  </si>
  <si>
    <t>Aspartate aminotransferase, mitochondrial (mAspAT)</t>
  </si>
  <si>
    <t>Fatty acid-binding protein (FABP-1); Glutamate oxaloacetate transaminase 2; Kynurenine aminotransferase 4; Kynurenine aminotransferase IV; Kynurenine--oxoglutarate transaminase 4; Kynurenine--oxoglutarate transaminase IV; Plasma membrane-associated fatty acid-binding protein (FABPpm); Transaminase A</t>
  </si>
  <si>
    <t>AATM_HUMAN</t>
  </si>
  <si>
    <t>P00505</t>
  </si>
  <si>
    <t>B4DJA6; E7ERW2; Q53FL3; Q9BWA3</t>
  </si>
  <si>
    <t>3D-structure; Acetylation; Alternative splicing; Aminotransferase; Cell membrane; Lipid transport; Membrane; Methylation; Mitochondrion; Nitration; Phosphoprotein; Polymorphism; Pyridoxal phosphate; Transferase; Transit peptide; Transport</t>
  </si>
  <si>
    <t>Cell membrane; Membrane; Mitochondrion</t>
  </si>
  <si>
    <t>2-oxoglutarate metabolic process {GO:0006103}; 4-hydroxyproline catabolic process {GO:0019470}; aspartate biosynthetic process {GO:0006532}; aspartate catabolic process {GO:0006533}; aspartate metabolic process {GO:0006531}; cellular amino acid biosynthetic process {GO:0008652}; fatty acid transport {GO:0015908}; female pregnancy {GO:0007565}; gluconeogenesis {GO:0006094}; glutamate catabolic process to 2-oxoglutarate {GO:0019551}; glutamate catabolic process to aspartate {GO:0019550}; glutamate metabolic process {GO:0006536}; glyoxylate metabolic process {GO:0046487}; lactation {GO:0007595}; oxaloacetate metabolic process {GO:0006107}; response to ethanol {GO:0045471}; response to insulin {GO:0032868}; response to morphine {GO:0043278}; response to muscle activity {GO:0014850}</t>
  </si>
  <si>
    <t>cell surface {GO:0009986}; extracellular exosome {GO:0070062}; mitochondrial inner membrane {GO:0005743}; mitochondrial matrix {GO:0005759}; mitochondrion {GO:0005739}; perikaryon {GO:0043204}; plasma membrane {GO:0005886}; protein-containing complex {GO:0032991}; T-tubule {GO:0030315}</t>
  </si>
  <si>
    <t>amino acid binding {GO:0016597}; enzyme binding {GO:0019899}; kynurenine-oxoglutarate transaminase activity {GO:0016212}; L-aspartate:2-oxoglutarate aminotransferase activity {GO:0004069}; phospholipid binding {GO:0005543}; protein homodimerization activity {GO:0042803}; pyridoxal phosphate binding {GO:0030170}; RNA binding {GO:0003723}</t>
  </si>
  <si>
    <t>Degradation of cysteine and homocysteine {R-HSA-1614558}; Glyoxylate metabolism and glycine degradation {R-HSA-389661}; Gluconeogenesis {R-HSA-70263}; Amino acid synthesis and interconversion (transamination) {R-HSA-70614}</t>
  </si>
  <si>
    <t>Vasodilator-stimulated phosphoprotein (VASP)</t>
  </si>
  <si>
    <t>VASP_HUMAN</t>
  </si>
  <si>
    <t>P50552</t>
  </si>
  <si>
    <t>B2RBT9; Q6PIZ1; Q93035</t>
  </si>
  <si>
    <t>3D-structure; Acetylation; Actin-binding; Cell junction; Cell membrane; Cell projection; Coiled coil; Cytoplasm; Cytoskeleton; Membrane; Phosphoprotein; Polymorphism; Repeat; SH3-binding; Tight junction</t>
  </si>
  <si>
    <t>actin cytoskeleton organization {GO:0030036}; actin polymerization or depolymerization {GO:0008154}; axon guidance {GO:0007411}; cell junction assembly {GO:0034329}; neural tube closure {GO:0001843}; positive regulation of actin filament polymerization {GO:0030838}; protein homotetramerization {GO:0051289}</t>
  </si>
  <si>
    <t>actin cytoskeleton {GO:0015629}; bicellular tight junction {GO:0005923}; cytosol {GO:0005829}; extracellular exosome {GO:0070062}; filopodium membrane {GO:0031527}; focal adhesion {GO:0005925}; lamellipodium membrane {GO:0031258}; plasma membrane {GO:0005886}</t>
  </si>
  <si>
    <t>actin binding {GO:0003779}; cadherin binding {GO:0045296}; profilin binding {GO:0005522}; SH3 domain binding {GO:0017124}</t>
  </si>
  <si>
    <t>Generation of second messenger molecules {R-HSA-202433}; Signaling by ROBO receptors {R-HSA-376176}; Cell-extracellular matrix interactions {R-HSA-446353}</t>
  </si>
  <si>
    <t>Flavin reductase (NADPH) (FR)</t>
  </si>
  <si>
    <t>Biliverdin reductase B (BVR-B); Biliverdin-IX beta-reductase; Green heme-binding protein (GHBP); NADPH-dependent diaphorase; NADPH-flavin reductase (FLR)</t>
  </si>
  <si>
    <t>BLVRB_HUMAN</t>
  </si>
  <si>
    <t>P30043</t>
  </si>
  <si>
    <t>A6NKD8; B2R5C6; P32078; P53005; Q32LZ2</t>
  </si>
  <si>
    <t>FLR</t>
  </si>
  <si>
    <t>3D-structure; Cytoplasm; NADP; Oxidoreductase; Phosphoprotein; Polymorphism</t>
  </si>
  <si>
    <t>heme catabolic process {GO:0042167}</t>
  </si>
  <si>
    <t>cytosol {GO:0005829}; extracellular exosome {GO:0070062}; nucleoplasm {GO:0005654}; plasma membrane {GO:0005886}; terminal bouton {GO:0043195}</t>
  </si>
  <si>
    <t>biliverdin reductase activity {GO:0004074}; riboflavin reductase (NADPH) activity {GO:0042602}</t>
  </si>
  <si>
    <t>Tumor protein D52</t>
  </si>
  <si>
    <t>Protein N8</t>
  </si>
  <si>
    <t>TPD52_HUMAN</t>
  </si>
  <si>
    <t>P55327</t>
  </si>
  <si>
    <t>B7Z414; C9J502; D0UFD1; D0UFD2; D0UFD3; D0UFD4; D0UFD5; E5RKB4; Q13056; Q53EK8; Q6FGP3; Q6FGS3; Q86YZ2; Q9UCX8</t>
  </si>
  <si>
    <t>anatomical structure morphogenesis {GO:0009653}; B cell differentiation {GO:0030183}; secretion {GO:0046903}</t>
  </si>
  <si>
    <t>cytoplasm {GO:0005737}; endoplasmic reticulum {GO:0005783}; perinuclear region of cytoplasm {GO:0048471}</t>
  </si>
  <si>
    <t>Coactosin-like protein</t>
  </si>
  <si>
    <t>COTL1_HUMAN</t>
  </si>
  <si>
    <t>Q14019</t>
  </si>
  <si>
    <t>B2RDU3; D3DUL9; Q86XM5</t>
  </si>
  <si>
    <t>CLP</t>
  </si>
  <si>
    <t>3D-structure; Acetylation; Actin-binding; Chaperone; Cytoplasm; Cytoskeleton; Nucleus</t>
  </si>
  <si>
    <t>Actin-binding; Chaperone</t>
  </si>
  <si>
    <t>defense response to fungus {GO:0050832}; neutrophil degranulation {GO:0043312}</t>
  </si>
  <si>
    <t>cytoskeleton {GO:0005856}; extracellular exosome {GO:0070062}; extracellular region {GO:0005576}; ficolin-1-rich granule lumen {GO:1904813}; nucleus {GO:0005634}; secretory granule lumen {GO:0034774}</t>
  </si>
  <si>
    <t>actin binding {GO:0003779}; enzyme binding {GO:0019899}</t>
  </si>
  <si>
    <t>Alpha-soluble NSF attachment protein (SNAP-alpha)</t>
  </si>
  <si>
    <t>N-ethylmaleimide-sensitive factor attachment protein alpha</t>
  </si>
  <si>
    <t>SNAA_HUMAN</t>
  </si>
  <si>
    <t>P54920</t>
  </si>
  <si>
    <t>A8K879; Q96IK3; Q9BVJ3</t>
  </si>
  <si>
    <t>SNAPA</t>
  </si>
  <si>
    <t>Acetylation; Cell membrane; ER-Golgi transport; Membrane; Phosphoprotein; Protein transport; Transport</t>
  </si>
  <si>
    <t>apical protein localization {GO:0045176}; brain development {GO:0007420}; COPII vesicle coating {GO:0048208}; endoplasmic reticulum to Golgi vesicle-mediated transport {GO:0006888}; intra-Golgi vesicle-mediated transport {GO:0006891}; intracellular protein transport {GO:0006886}; membrane fusion {GO:0061025}; neuron differentiation {GO:0030182}; positive regulation of ATPase activity {GO:0032781}; regulation of synaptic vesicle priming {GO:0010807}; retrograde vesicle-mediated transport, Golgi to endoplasmic reticulum {GO:0006890}; SNARE complex disassembly {GO:0035494}; synaptic transmission, glutamatergic {GO:0035249}; synaptic vesicle priming {GO:0016082}</t>
  </si>
  <si>
    <t>cytosol {GO:0005829}; extracellular exosome {GO:0070062}; glutamatergic synapse {GO:0098978}; Golgi membrane {GO:0000139}; membrane {GO:0016020}; plasma membrane {GO:0005886}; postsynapse {GO:0098794}; presynapse {GO:0098793}; SNARE complex {GO:0031201}; synaptobrevin 2-SNAP-25-syntaxin-1a complex {GO:0070044}; vacuolar membrane {GO:0005774}</t>
  </si>
  <si>
    <t>protein-containing complex binding {GO:0044877}; SNARE binding {GO:0000149}; soluble NSF attachment protein activity {GO:0005483}; syntaxin binding {GO:0019905}</t>
  </si>
  <si>
    <t>COPII-mediated vesicle transport {R-HSA-204005}; Golgi Associated Vesicle Biogenesis {R-HSA-432722}; COPI-mediated anterograde transport {R-HSA-6807878}; COPI-dependent Golgi-to-ER retrograde traffic {R-HSA-6811434}; Intra-Golgi traffic {R-HSA-6811438}; Retrograde transport at the Trans-Golgi-Network {R-HSA-6811440}</t>
  </si>
  <si>
    <t>Nectin-2</t>
  </si>
  <si>
    <t>Herpes virus entry mediator B (Herpesvirus entry mediator B; HveB); Nectin cell adhesion molecule 2; Poliovirus receptor-related protein 2; CD_antigen=CD112</t>
  </si>
  <si>
    <t>NECT2_HUMAN</t>
  </si>
  <si>
    <t>Q92692</t>
  </si>
  <si>
    <t>A8K5L5; O75455; Q6IBI6; Q96J29</t>
  </si>
  <si>
    <t>3D-structure; Alternative splicing; Cell adhesion; Cell membrane; Disulfide bond; Glycoprotein; Host cell receptor for virus entry; Host-virus interaction; Immunoglobulin domain; Membrane; Phosphoprotein; Receptor; Repeat; Signal; Transmembrane; Transmembrane helix</t>
  </si>
  <si>
    <t>acrosome assembly {GO:0001675}; adherens junction organization {GO:0034332}; adhesion of symbiont to host {GO:0044406}; cell part morphogenesis {GO:0032990}; cilium organization {GO:0044782}; coreceptor-mediated virion attachment to host cell {GO:0046814}; cytoskeleton organization {GO:0007010}; establishment of mitochondrion localization {GO:0051654}; fertilization {GO:0009566}; fusion of virus membrane with host plasma membrane {GO:0019064}; homophilic cell adhesion via plasma membrane adhesion molecules {GO:0007156}; positive regulation of immunoglobulin mediated immune response {GO:0002891}; positive regulation of mast cell activation {GO:0033005}; positive regulation of natural killer cell mediated cytotoxicity {GO:0045954}; positive regulation of natural killer cell mediated cytotoxicity directed against tumor cell target {GO:0002860}; positive regulation of T cell receptor signaling pathway {GO:0050862}; regulation of immune response {GO:0050776}; regulation of viral entry into host cell {GO:0046596}; sperm mitochondrion organization {GO:0030382}; spermatid development {GO:0007286}; spermatid nucleus differentiation {GO:0007289}; susceptibility to natural killer cell mediated cytotoxicity {GO:0042271}; susceptibility to T cell mediated cytotoxicity {GO:0060370}</t>
  </si>
  <si>
    <t>cell surface {GO:0009986}; cell-cell contact zone {GO:0044291}; cell-cell junction {GO:0005911}; extracellular exosome {GO:0070062}; focal adhesion {GO:0005925}; integral component of membrane {GO:0016021}; plasma membrane {GO:0005886}; zonula adherens {GO:0005915}</t>
  </si>
  <si>
    <t>cell adhesion molecule binding {GO:0050839}; coreceptor activity {GO:0015026}; identical protein binding {GO:0042802}; protein homodimerization activity {GO:0042803}; virus receptor activity {GO:0001618}</t>
  </si>
  <si>
    <t>Immunoregulatory interactions between a Lymphoid and a non-Lymphoid cell {R-HSA-198933}; Adherens junctions interactions {R-HSA-418990}; Nectin/Necl trans heterodimerization {R-HSA-420597}</t>
  </si>
  <si>
    <t>NAD(P)H dehydrogenase [quinone] 1</t>
  </si>
  <si>
    <t>Azoreductase; DT-diaphorase (DTD); Menadione reductase; NAD(P)H:quinone oxidoreductase 1; Phylloquinone reductase; Quinone reductase 1 (QR1)</t>
  </si>
  <si>
    <t>NQO1_HUMAN</t>
  </si>
  <si>
    <t>P15559</t>
  </si>
  <si>
    <t>B2R5Y9; B4DNM7; B7ZAD1; Q86UK1</t>
  </si>
  <si>
    <t>DIA4; NMOR1</t>
  </si>
  <si>
    <t>3D-structure; Alternative splicing; Cytoplasm; FAD; Flavoprotein; Isopeptide bond; NAD; NADP; Oxidoreductase; Phosphoprotein; Polymorphism; Ubl conjugation</t>
  </si>
  <si>
    <t>FAD; Flavoprotein; NAD; NADP</t>
  </si>
  <si>
    <t>aging {GO:0007568}; cellular response to hydrogen peroxide {GO:0070301}; cellular response to metal ion {GO:0071248}; negative regulation of apoptotic process {GO:0043066}; negative regulation of catalytic activity {GO:0043086}; nitric oxide biosynthetic process {GO:0006809}; positive regulation of neuron apoptotic process {GO:0043525}; regulation of cellular amino acid metabolic process {GO:0006521}; response to electrical stimulus {GO:0051602}; response to estradiol {GO:0032355}; response to ethanol {GO:0045471}; response to hydrogen sulfide {GO:1904880}; response to nitrogen compound {GO:1901698}; response to nutrient {GO:0007584}; response to toxic substance {GO:0009636}; synaptic transmission, cholinergic {GO:0007271}; xenobiotic metabolic process {GO:0006805}</t>
  </si>
  <si>
    <t>cytoplasm {GO:0005737}; cytosol {GO:0005829}; dendrite {GO:0030425}; neuronal cell body {GO:0043025}</t>
  </si>
  <si>
    <t>cytochrome-b5 reductase activity, acting on NAD(P)H {GO:0004128}; electron transfer activity {GO:0009055}; identical protein binding {GO:0042802}; NAD(P)H dehydrogenase (quinone) activity {GO:0003955}; oxidoreductase activity {GO:0016491}; RNA binding {GO:0003723}; superoxide dismutase activity {GO:0004784}</t>
  </si>
  <si>
    <t>Regulation of ornithine decarboxylase (ODC) {R-HSA-350562}</t>
  </si>
  <si>
    <t>Sarcoplasmic reticulum histidine-rich calcium-binding protein</t>
  </si>
  <si>
    <t>SRCH_HUMAN</t>
  </si>
  <si>
    <t>P23327</t>
  </si>
  <si>
    <t>Q504Y6</t>
  </si>
  <si>
    <t>HCP</t>
  </si>
  <si>
    <t>Calcium; Phosphoprotein; Polymorphism; Repeat; Sarcoplasmic reticulum; Signal</t>
  </si>
  <si>
    <t>Sarcoplasmic reticulum</t>
  </si>
  <si>
    <t>cellular protein metabolic process {GO:0044267}; muscle contraction {GO:0006936}; positive regulation of heart contraction {GO:0045823}; positive regulation of heart rate {GO:0010460}; positive regulation of relaxation of cardiac muscle {GO:1901899}; post-translational protein modification {GO:0043687}; regulation of calcium ion transmembrane transport {GO:1903169}; regulation of cardiac muscle contraction by regulation of the release of sequestered calcium ion {GO:0010881}; regulation of cell communication by electrical coupling involved in cardiac conduction {GO:1901844}; regulation of cytosolic calcium ion concentration {GO:0051480}; regulation of heart rate {GO:0002027}; regulation of peptidyl-serine phosphorylation {GO:0033135}; regulation of release of sequestered calcium ion into cytosol by sarcoplasmic reticulum {GO:0010880}; regulation of ryanodine-sensitive calcium-release channel activity {GO:0060314}</t>
  </si>
  <si>
    <t>endoplasmic reticulum lumen {GO:0005788}; sarcoplasmic reticulum lumen {GO:0033018}; Z disc {GO:0030018}</t>
  </si>
  <si>
    <t>ATPase binding {GO:0051117}; calcium ion binding {GO:0005509}; ion channel binding {GO:0044325}</t>
  </si>
  <si>
    <t>Transcription intermediary factor 1-beta (TIF1-beta)</t>
  </si>
  <si>
    <t>E3 SUMO-protein ligase TRIM28; KRAB-associated protein 1 (KAP-1); KRAB-interacting protein 1 (KRIP-1); Nuclear corepressor KAP-1; RING finger protein 96; RING-type E3 ubiquitin transferase TIF1-beta; Tripartite motif-containing protein 28</t>
  </si>
  <si>
    <t>TIF1B_HUMAN</t>
  </si>
  <si>
    <t>Q13263</t>
  </si>
  <si>
    <t>O00677; Q7Z632; Q93040; Q96IM1</t>
  </si>
  <si>
    <t>KAP1; RNF96; TIF1B</t>
  </si>
  <si>
    <t>3D-structure; Acetylation; Alternative splicing; Chromatin regulator; Citrullination; Coiled coil; Host-virus interaction; Isopeptide bond; Metal-binding; Nucleus; Phosphoprotein; Polymorphism; Repeat; Repressor; Transcription; Transcription regulation; Transferase; Ubl conjugation; Ubl conjugation pathway; Zinc; Zinc-finger</t>
  </si>
  <si>
    <t>Chromatin regulator; Repressor; Transferase</t>
  </si>
  <si>
    <t>chromatin organization {GO:0006325}; convergent extension involved in axis elongation {GO:0060028}; DNA methylation involved in embryo development {GO:0043045}; DNA repair {GO:0006281}; embryo implantation {GO:0007566}; embryonic placenta morphogenesis {GO:0060669}; epithelial to mesenchymal transition {GO:0001837}; innate immune response {GO:0045087}; negative regulation of DNA demethylation {GO:1901536}; negative regulation of single stranded viral RNA replication via double stranded DNA intermediate {GO:0045869}; negative regulation of transcription by RNA polymerase II {GO:0000122}; negative regulation of transcription, DNA-templated {GO:0045892}; negative regulation of viral release from host cell {GO:1902187}; positive regulation of DNA binding {GO:0043388}; positive regulation of DNA repair {GO:0045739}; positive regulation of methylation-dependent chromatin silencing {GO:0090309}; positive regulation of protein import into nucleus {GO:0042307}; positive regulation of transcription, DNA-templated {GO:0045893}; protein autophosphorylation {GO:0046777}; protein complex oligomerization {GO:0051259}; protein sumoylation {GO:0016925}; Ras protein signal transduction {GO:0007265}; regulation of genetic imprinting {GO:2000653}; transcription initiation from RNA polymerase II promoter {GO:0006367}; viral process {GO:0016032}</t>
  </si>
  <si>
    <t>chromatin {GO:0000785}; nuclear euchromatin {GO:0005719}; nuclear heterochromatin {GO:0005720}; nucleoplasm {GO:0005654}; nucleus {GO:0005634}; RNA polymerase II transcription factor complex {GO:0090575}</t>
  </si>
  <si>
    <t>chromatin binding {GO:0003682}; chromo shadow domain binding {GO:0070087}; DNA binding {GO:0003677}; Krueppel-associated box domain binding {GO:0035851}; promoter-specific chromatin binding {GO:1990841}; protein kinase activity {GO:0004672}; RNA binding {GO:0003723}; sequence-specific DNA binding {GO:0043565}; SUMO transferase activity {GO:0019789}; transcription coactivator activity {GO:0003713}; transcription corepressor activity {GO:0003714}; ubiquitin protein ligase binding {GO:0031625}; ubiquitin-protein transferase activity {GO:0004842}; zinc ion binding {GO:0008270}</t>
  </si>
  <si>
    <t>Protein modification; protein sumoylation.</t>
  </si>
  <si>
    <t>Generic Transcription Pathway {R-HSA-212436}; SUMOylation of transcription cofactors {R-HSA-3899300}</t>
  </si>
  <si>
    <t>Alpha-1B-glycoprotein</t>
  </si>
  <si>
    <t>Alpha-1-B glycoprotein</t>
  </si>
  <si>
    <t>A1BG_HUMAN</t>
  </si>
  <si>
    <t>P04217</t>
  </si>
  <si>
    <t>A8K052; Q68CK0; Q8IYJ6; Q96P39</t>
  </si>
  <si>
    <t>Alternative splicing; Disulfide bond; Glycoprotein; Immunoglobulin domain; Polymorphism; Repeat; Secreted; Signal</t>
  </si>
  <si>
    <t>neutrophil degranulation {GO:0043312}; platelet degranulation {GO:0002576}</t>
  </si>
  <si>
    <t>blood microparticle {GO:0072562}; collagen-containing extracellular matrix {GO:0062023}; extracellular exosome {GO:0070062}; extracellular region {GO:0005576}; extracellular space {GO:0005615}; ficolin-1-rich granule lumen {GO:1904813}; platelet alpha granule lumen {GO:0031093}; secretory granule lumen {GO:0034774}</t>
  </si>
  <si>
    <t>Charged multivesicular body protein 2a</t>
  </si>
  <si>
    <t>Chromatin-modifying protein 2a (CHMP2a); Putative breast adenocarcinoma marker BC-2; Vacuolar protein sorting-associated protein 2-1 (Vps2-1; hVps2-1)</t>
  </si>
  <si>
    <t>CHM2A_HUMAN</t>
  </si>
  <si>
    <t>O43633</t>
  </si>
  <si>
    <t>B2R4W6; Q3ZTT0</t>
  </si>
  <si>
    <t>BC2; CHMP2</t>
  </si>
  <si>
    <t>Acetylation; Coiled coil; Endosome; Membrane; Phosphoprotein; Protein transport; Transport; Ubl conjugation</t>
  </si>
  <si>
    <t>endosomal transport {GO:0016197}; endosome transport via multivesicular body sorting pathway {GO:0032509}; ESCRT III complex disassembly {GO:1904903}; establishment of protein localization {GO:0045184}; exit from mitosis {GO:0010458}; late endosome to vacuole transport {GO:0045324}; macroautophagy {GO:0016236}; membrane invagination {GO:0010324}; midbody abscission {GO:0061952}; mitotic metaphase plate congression {GO:0007080}; multivesicular body assembly {GO:0036258}; negative regulation of cell death {GO:0060548}; negative regulation of centriole elongation {GO:1903723}; nuclear envelope reassembly {GO:0031468}; nucleus organization {GO:0006997}; positive regulation of exosomal secretion {GO:1903543}; positive regulation of viral release from host cell {GO:1902188}; protein heterooligomerization {GO:0051291}; protein homooligomerization {GO:0051260}; protein polymerization {GO:0051258}; protein transport {GO:0015031}; regulation of centrosome duplication {GO:0010824}; regulation of mitotic spindle assembly {GO:1901673}; regulation of viral process {GO:0050792}; viral budding via host ESCRT complex {GO:0039702}; viral life cycle {GO:0019058}</t>
  </si>
  <si>
    <t>cytosol {GO:0005829}; ESCRT III complex {GO:0000815}; extracellular exosome {GO:0070062}; late endosome membrane {GO:0031902}; membrane {GO:0016020}; membrane coat {GO:0030117}; multivesicular body {GO:0005771}; nuclear envelope {GO:0005635}</t>
  </si>
  <si>
    <t>phosphatidylcholine binding {GO:0031210}; protein domain specific binding {GO:0019904}</t>
  </si>
  <si>
    <t>Budding and maturation of HIV virion {R-HSA-162588}; Macroautophagy {R-HSA-1632852}; Lysosome Vesicle Biogenesis {R-HSA-432720}; Endosomal Sorting Complex Required For Transport (ESCRT) {R-HSA-917729}</t>
  </si>
  <si>
    <t>40S ribosomal protein S5, N-terminally processed</t>
  </si>
  <si>
    <t>Small ribosomal subunit protein uS7</t>
  </si>
  <si>
    <t>RS5_HUMAN</t>
  </si>
  <si>
    <t>P46782</t>
  </si>
  <si>
    <t>B2R4T2; Q96BN0</t>
  </si>
  <si>
    <t>nuclear-transcribed mRNA catabolic process, nonsense-mediated decay {GO:0000184}; regulation of translational fidelity {GO:0006450}; ribosomal small subunit assembly {GO:0000028}; SRP-dependent cotranslational protein targeting to membrane {GO:0006614}; translation {GO:0006412}; translational initiation {GO:0006413}; viral transcription {GO:0019083}</t>
  </si>
  <si>
    <t>cytosol {GO:0005829}; cytosolic small ribosomal subunit {GO:0022627}; extracellular exosome {GO:0070062}; focal adhesion {GO:0005925}; membrane {GO:0016020}; nucleoplasm {GO:0005654}; ribonucleoprotein complex {GO:1990904}</t>
  </si>
  <si>
    <t>mRNA binding {GO:0003729}; RNA binding {GO:0003723}; rRNA binding {GO:0019843}; structural constituent of ribosome {GO:0003735}</t>
  </si>
  <si>
    <t>Kunitz-type protease inhibitor 2</t>
  </si>
  <si>
    <t>Hepatocyte growth factor activator inhibitor type 2 (HAI-2); Placental bikunin</t>
  </si>
  <si>
    <t>SPIT2_HUMAN</t>
  </si>
  <si>
    <t>O43291</t>
  </si>
  <si>
    <t>A8K667; B4DLU1; O00271; O14895; Q5TZQ3; Q969E0</t>
  </si>
  <si>
    <t>HAI2; KOP</t>
  </si>
  <si>
    <t>3D-structure; Alternative splicing; Disease mutation; Disulfide bond; Glycoprotein; Membrane; Polymorphism; Protease inhibitor; Repeat; Serine protease inhibitor; Signal; Transmembrane; Transmembrane helix</t>
  </si>
  <si>
    <t>basement membrane organization {GO:0071711}; cellular response to BMP stimulus {GO:0071773}; epithelial cell morphogenesis involved in placental branching {GO:0060672}; establishment or maintenance of cell polarity {GO:0007163}; negative regulation of cell motility {GO:2000146}; negative regulation of cell-cell adhesion {GO:0022408}; negative regulation of neural precursor cell proliferation {GO:2000178}; neural tube closure {GO:0001843}</t>
  </si>
  <si>
    <t>cytoplasm {GO:0005737}; extracellular region {GO:0005576}; integral component of membrane {GO:0016021}; plasma membrane {GO:0005886}</t>
  </si>
  <si>
    <t>Apolipoprotein E (Apo-E)</t>
  </si>
  <si>
    <t>APOE_HUMAN</t>
  </si>
  <si>
    <t>P02649</t>
  </si>
  <si>
    <t>B2RC15; C0JYY5; Q9P2S4</t>
  </si>
  <si>
    <t>3D-structure; Alzheimer disease; Amyloidosis; Cholesterol metabolism; Chylomicron; Disease mutation; Extracellular matrix; Glycation; Glycoprotein; HDL; Heparin-binding; Hyperlipidemia; Lipid metabolism; Lipid transport; Lipid-binding; Neurodegeneration; Oxidation; Phosphoprotein; Polymorphism; Repeat; Secreted; Signal; Steroid metabolism; Sterol metabolism; Transport; VLDL</t>
  </si>
  <si>
    <t>Chylomicron; Extracellular matrix; HDL; Secreted; VLDL</t>
  </si>
  <si>
    <t>Alzheimer disease; Amyloidosis; Disease mutation; Hyperlipidemia; Neurodegeneration</t>
  </si>
  <si>
    <t>Glycation; Glycoprotein; Oxidation; Phosphoprotein</t>
  </si>
  <si>
    <t>AMPA glutamate receptor clustering {GO:0097113}; amyloid precursor protein metabolic process {GO:0042982}; artery morphogenesis {GO:0048844}; cellular calcium ion homeostasis {GO:0006874}; cellular protein metabolic process {GO:0044267}; cGMP-mediated signaling {GO:0019934}; cholesterol biosynthetic process {GO:0006695}; cholesterol catabolic process {GO:0006707}; cholesterol efflux {GO:0033344}; cholesterol homeostasis {GO:0042632}; cholesterol metabolic process {GO:0008203}; chylomicron assembly {GO:0034378}; chylomicron remnant clearance {GO:0034382}; chylomicron remodeling {GO:0034371}; cytoskeleton organization {GO:0007010}; fatty acid homeostasis {GO:0055089}; G protein-coupled receptor signaling pathway {GO:0007186}; high-density lipoprotein particle assembly {GO:0034380}; high-density lipoprotein particle clearance {GO:0034384}; high-density lipoprotein particle remodeling {GO:0034375}; intermediate-density lipoprotein particle clearance {GO:0071831}; intracellular transport {GO:0046907}; lipid transport involved in lipid storage {GO:0010877}; lipoprotein biosynthetic process {GO:0042158}; lipoprotein catabolic process {GO:0042159}; lipoprotein metabolic process {GO:0042157}; locomotory exploration behavior {GO:0035641}; long-chain fatty acid transport {GO:0015909}; long-term memory {GO:0007616}; low-density lipoprotein particle remodeling {GO:0034374}; maintenance of location in cell {GO:0051651}; negative regulation of amyloid fibril formation {GO:1905907}; negative regulation of amyloid-beta formation {GO:1902430}; negative regulation of blood coagulation {GO:0030195}; negative regulation of blood vessel endothelial cell migration {GO:0043537}; negative regulation of canonical Wnt signaling pathway {GO:0090090}; negative regulation of cellular protein metabolic process {GO:0032269}; negative regulation of cholesterol biosynthetic process {GO:0045541}; negative regulation of cholesterol efflux {GO:0090370}; negative regulation of dendritic spine development {GO:0061000}; negative regulation of dendritic spine maintenance {GO:1902951}; negative regulation of endothelial cell migration {GO:0010596}; negative regulation of endothelial cell proliferation {GO:0001937}; negative regulation of gene expression {GO:0010629}; negative regulation of inflammatory response {GO:0050728}; negative regulation of lipid biosynthetic process {GO:0051055}; negative regulation of lipid transport across blood-brain barrier {GO:1903001}; negative regulation of long-term synaptic potentiation {GO:1900272}; negative regulation of MAP kinase activity {GO:0043407}; negative regulation of neuron apoptotic process {GO:0043524}; negative regulation of neuron death {GO:1901215}; negative regulation of neuron projection development {GO:0010977}; negative regulation of phospholipid efflux {GO:1902999}; negative regulation of platelet activation {GO:0010544}; negative regulation of postsynaptic membrane organization {GO:1901627}; negative regulation of presynaptic membrane organization {GO:1901630}; negative regulation of protein secretion {GO:0050709}; negative regulation of triglyceride metabolic process {GO:0090209}; neuron projection development {GO:0031175}; nitric oxide mediated signal transduction {GO:0007263}; NMDA glutamate receptor clustering {GO:0097114}; phospholipid efflux {GO:0033700}; positive regulation by host of viral process {GO:0044794}; positive regulation of amyloid fibril formation {GO:1905908}; positive regulation of amyloid-beta clearance {GO:1900223}; positive regulation of amyloid-beta formation {GO:1902004}; positive regulation of cholesterol efflux {GO:0010875}; positive regulation of cholesterol esterification {GO:0010873}; positive regulation of dendritic spine development {GO:0060999}; positive regulation of dendritic spine maintenance {GO:1902952}; positive regulation of endocytosis {GO:0045807}; positive regulation of ERK1 and ERK2 cascade {GO:0070374}; positive regulation of heparan sulfate binding {GO:1905855}; positive regulation of heparan sulfate proteoglycan binding {GO:1905860}; positive regulation of lipid biosynthetic process {GO:0046889}; positive regulation of lipid transport across blood-brain barrier {GO:1903002}; positive regulation of low-density lipoprotein particle receptor catabolic process {GO:0032805}; positive regulation of membrane protein ectodomain proteolysis {GO:0051044}; positive regulation of neurofibrillary tangle assembly {GO:1902998}; positive regulation of neuron death {GO:1901216}; positive regulation of neuron projection development {GO:0010976}; positive regulation of nitric-oxide synthase activity {GO:0051000}; positive regulation of phospholipid efflux {GO:1902995}; positive regulation of postsynaptic membrane organization {GO:1901628}; positive regulation of presynaptic membrane organization {GO:1901631}; positive regulation of transcription, DNA-templated {GO:0045893}; post-translational protein modification {GO:0043687}; protein import {GO:0017038}; receptor-mediated endocytosis {GO:0006898}; regulation of amyloid fibril formation {GO:1905906}; regulation of amyloid-beta clearance {GO:1900221}; regulation of axon extension {GO:0030516}; regulation of behavioral fear response {GO:2000822}; regulation of Cdc42 protein signal transduction {GO:0032489}; regulation of cellular response to very-low-density lipoprotein particle stimulus {GO:1905890}; regulation of cholesterol metabolic process {GO:0090181}; regulation of cholesterol transport {GO:0032374}; regulation of innate immune response {GO:0045088}; regulation of neuron death {GO:1901214}; regulation of neuronal synaptic plasticity {GO:0048168}; regulation of proteasomal protein catabolic process {GO:0061136}; regulation of protein homooligomerization {GO:0032462}; regulation of protein metabolic process {GO:0051246}; regulation of tau-protein kinase activity {GO:1902947}; regulation of transcription by RNA polymerase II {GO:0006357}; response to caloric restriction {GO:0061771}; response to dietary excess {GO:0002021}; response to reactive oxygen species {GO:0000302}; retinoid metabolic process {GO:0001523}; reverse cholesterol transport {GO:0043691}; synaptic transmission, cholinergic {GO:0007271}; triglyceride catabolic process {GO:0019433}; triglyceride homeostasis {GO:0070328}; triglyceride metabolic process {GO:0006641}; triglyceride-rich lipoprotein particle clearance {GO:0071830}; vasodilation {GO:0042311}; very-low-density lipoprotein particle clearance {GO:0034447}; very-low-density lipoprotein particle remodeling {GO:0034372}; virion assembly {GO:0019068}</t>
  </si>
  <si>
    <t>blood microparticle {GO:0072562}; chylomicron {GO:0042627}; clathrin-coated endocytic vesicle membrane {GO:0030669}; collagen-containing extracellular matrix {GO:0062023}; cytoplasm {GO:0005737}; dendrite {GO:0030425}; discoidal high-density lipoprotein particle {GO:0034365}; early endosome {GO:0005769}; endocytic vesicle lumen {GO:0071682}; endoplasmic reticulum {GO:0005783}; endoplasmic reticulum lumen {GO:0005788}; extracellular exosome {GO:0070062}; extracellular matrix {GO:0031012}; extracellular region {GO:0005576}; extracellular space {GO:0005615}; extracellular vesicle {GO:1903561}; glutamatergic synapse {GO:0098978}; Golgi apparatus {GO:0005794}; high-density lipoprotein particle {GO:0034364}; intermediate-density lipoprotein particle {GO:0034363}; lipoprotein particle {GO:1990777}; low-density lipoprotein particle {GO:0034362}; membrane {GO:0016020}; neuronal cell body {GO:0043025}; nucleus {GO:0005634}; plasma membrane {GO:0005886}; synaptic cleft {GO:0043083}; very-low-density lipoprotein particle {GO:0034361}</t>
  </si>
  <si>
    <t>amyloid-beta binding {GO:0001540}; antioxidant activity {GO:0016209}; cholesterol binding {GO:0015485}; cholesterol transporter activity {GO:0017127}; heparan sulfate proteoglycan binding {GO:0043395}; heparin binding {GO:0008201}; identical protein binding {GO:0042802}; lipid binding {GO:0008289}; lipid transporter activity {GO:0005319}; lipoprotein particle binding {GO:0071813}; low-density lipoprotein particle receptor binding {GO:0050750}; metal chelating activity {GO:0046911}; phosphatidylcholine-sterol O-acyltransferase activator activity {GO:0060228}; phospholipid binding {GO:0005543}; protein dimerization activity {GO:0046983}; protein homodimerization activity {GO:0042803}; protein-containing complex binding {GO:0044877}; signaling receptor binding {GO:0005102}; structural molecule activity {GO:0005198}; tau protein binding {GO:0048156}; very-low-density lipoprotein particle receptor binding {GO:0070326}</t>
  </si>
  <si>
    <t>Scavenging by Class A Receptors {R-HSA-3000480}; Regulation of Insulin-like Growth Factor (IGF) transport and uptake by Insulin-like Growth Factor Binding Proteins (IGFBPs) {R-HSA-381426}; Transcriptional regulation by the AP-2 (TFAP2) family of transcription factors {R-HSA-8864260}; Post-translational protein phosphorylation {R-HSA-8957275}; Chylomicron assembly {R-HSA-8963888}; Chylomicron remodeling {R-HSA-8963901}; Chylomicron clearance {R-HSA-8964026}; HDL remodeling {R-HSA-8964058}; Retinoid metabolism and transport {R-HSA-975634}</t>
  </si>
  <si>
    <t>Poliovirus receptor</t>
  </si>
  <si>
    <t>Nectin-like protein 5 (NECL-5); CD_antigen=CD155</t>
  </si>
  <si>
    <t>PVR_HUMAN</t>
  </si>
  <si>
    <t>P15151</t>
  </si>
  <si>
    <t>B4DTS9; P15152; Q15267; Q15268; Q96BJ1</t>
  </si>
  <si>
    <t>PVS</t>
  </si>
  <si>
    <t>3D-structure; Alternative splicing; Cell adhesion; Cell membrane; Disulfide bond; Glycoprotein; Host cell receptor for virus entry; Host-virus interaction; Immunoglobulin domain; Membrane; Phosphoprotein; Polymorphism; Receptor; Repeat; Secreted; Signal; Transmembrane; Transmembrane helix</t>
  </si>
  <si>
    <t>adherens junction organization {GO:0034332}; heterophilic cell-cell adhesion via plasma membrane cell adhesion molecules {GO:0007157}; homophilic cell adhesion via plasma membrane adhesion molecules {GO:0007156}; positive regulation of natural killer cell mediated cytotoxicity {GO:0045954}; positive regulation of natural killer cell mediated cytotoxicity directed against tumor cell target {GO:0002860}; regulation of immune response {GO:0050776}; susceptibility to natural killer cell mediated cytotoxicity {GO:0042271}; susceptibility to T cell mediated cytotoxicity {GO:0060370}</t>
  </si>
  <si>
    <t>cell surface {GO:0009986}; cell-cell adherens junction {GO:0005913}; cytoplasm {GO:0005737}; extracellular space {GO:0005615}; focal adhesion {GO:0005925}; integral component of membrane {GO:0016021}; plasma membrane {GO:0005886}</t>
  </si>
  <si>
    <t>cell adhesion molecule binding {GO:0050839}; protein homodimerization activity {GO:0042803}; signaling receptor activity {GO:0038023}; virus receptor activity {GO:0001618}</t>
  </si>
  <si>
    <t>Immunoregulatory interactions between a Lymphoid and a non-Lymphoid cell {R-HSA-198933}; Nectin/Necl trans heterodimerization {R-HSA-420597}</t>
  </si>
  <si>
    <t>F-box only protein 50</t>
  </si>
  <si>
    <t>NCC receptor protein 1 homolog (NCCRP-1); Non-specific cytotoxic cell receptor protein 1 homolog</t>
  </si>
  <si>
    <t>FBX50_HUMAN</t>
  </si>
  <si>
    <t>Q6ZVX7</t>
  </si>
  <si>
    <t>Q6NVV5</t>
  </si>
  <si>
    <t>FBXO50</t>
  </si>
  <si>
    <t>Cytoplasm; Phosphoprotein</t>
  </si>
  <si>
    <t>glycoprotein catabolic process {GO:0006516}; positive regulation of cell population proliferation {GO:0008284}; protein ubiquitination {GO:0016567}; SCF-dependent proteasomal ubiquitin-dependent protein catabolic process {GO:0031146}; ubiquitin-dependent ERAD pathway {GO:0030433}</t>
  </si>
  <si>
    <t>cytoplasm {GO:0005737}; extracellular exosome {GO:0070062}; SCF ubiquitin ligase complex {GO:0019005}</t>
  </si>
  <si>
    <t>Latent-transforming growth factor beta-binding protein 4 (LTBP-4)</t>
  </si>
  <si>
    <t>LTBP4_HUMAN</t>
  </si>
  <si>
    <t>Q8N2S1</t>
  </si>
  <si>
    <t>O00508; O75412; O75413</t>
  </si>
  <si>
    <t>Alternative splicing; Disease mutation; Disulfide bond; EGF-like domain; Extracellular matrix; Glycoprotein; Growth factor binding; Polymorphism; Repeat; Secreted; Signal</t>
  </si>
  <si>
    <t>growth hormone secretion {GO:0030252}; multicellular organism development {GO:0007275}; protein folding {GO:0006457}; regulation of cell differentiation {GO:0045595}; regulation of cell growth {GO:0001558}; regulation of proteolysis {GO:0030162}; regulation of transforming growth factor beta receptor signaling pathway {GO:0017015}; transforming growth factor beta receptor signaling pathway {GO:0007179}</t>
  </si>
  <si>
    <t>collagen-containing extracellular matrix {GO:0062023}; extracellular matrix {GO:0031012}; extracellular region {GO:0005576}; extracellular space {GO:0005615}</t>
  </si>
  <si>
    <t>calcium ion binding {GO:0005509}; glycosaminoglycan binding {GO:0005539}; integrin binding {GO:0005178}; transforming growth factor beta binding {GO:0050431}; transforming growth factor beta-activated receptor activity {GO:0005024}</t>
  </si>
  <si>
    <t>Sodium/hydrogen exchanger 1</t>
  </si>
  <si>
    <t>APNH; Na(+)/H(+) antiporter, amiloride-sensitive; Na(+)/H(+) exchanger 1 (NHE-1); Solute carrier family 9 member 1</t>
  </si>
  <si>
    <t>SL9A1_HUMAN</t>
  </si>
  <si>
    <t>P19634</t>
  </si>
  <si>
    <t>B1ALD6; D3DPL4; Q96EM2</t>
  </si>
  <si>
    <t>APNH1; NHE1</t>
  </si>
  <si>
    <t>3D-structure; Alternative splicing; Antiport; Calmodulin-binding; Cell membrane; Deafness; Disease mutation; Endoplasmic reticulum; Glycoprotein; Ion transport; Membrane; Neurodegeneration; Phosphoprotein; Polymorphism; Sodium; Sodium transport; Transmembrane; Transmembrane helix; Transport; Ubl conjugation</t>
  </si>
  <si>
    <t>Antiport; Ion transport; Sodium transport; Transport</t>
  </si>
  <si>
    <t>Deafness; Disease mutation; Neurodegeneration</t>
  </si>
  <si>
    <t>cardiac muscle cell contraction {GO:0086003}; cardiac muscle cell differentiation {GO:0055007}; cell migration {GO:0016477}; cellular response to acidic pH {GO:0071468}; cellular response to antibiotic {GO:0071236}; cellular response to cold {GO:0070417}; cellular response to electrical stimulus {GO:0071257}; cellular response to epinephrine stimulus {GO:0071872}; cellular response to hypoxia {GO:0071456}; cellular response to insulin stimulus {GO:0032869}; cellular response to mechanical stimulus {GO:0071260}; cellular sodium ion homeostasis {GO:0006883}; hyaluronan catabolic process {GO:0030214}; ion transport {GO:0006811}; maintenance of cell polarity {GO:0030011}; negative regulation of apoptotic process {GO:0043066}; neuron death {GO:0070997}; positive regulation of action potential {GO:0045760}; positive regulation of apoptotic process {GO:0043065}; positive regulation of calcineurin-NFAT signaling cascade {GO:0070886}; positive regulation of calcium:sodium antiporter activity {GO:1903281}; positive regulation of cardiac muscle hypertrophy {GO:0010613}; positive regulation of cell growth {GO:0030307}; positive regulation of mitochondrial membrane permeability {GO:0035794}; positive regulation of the force of heart contraction {GO:0098735}; positive regulation of transcription by RNA polymerase II {GO:0045944}; potassium ion transmembrane transport {GO:0071805}; protein complex oligomerization {GO:0051259}; proton transmembrane transport {GO:1902600}; regulation of cardiac muscle cell membrane potential {GO:0086036}; regulation of cardiac muscle contraction by calcium ion signaling {GO:0010882}; regulation of focal adhesion assembly {GO:0051893}; regulation of intracellular pH {GO:0051453}; regulation of pH {GO:0006885}; regulation of sensory perception of pain {GO:0051930}; regulation of stress fiber assembly {GO:0051492}; regulation of the force of heart contraction by cardiac conduction {GO:0086092}; response to acidic pH {GO:0010447}; response to muscle stretch {GO:0035994}; sodium ion export across plasma membrane {GO:0036376}; sodium ion import across plasma membrane {GO:0098719}</t>
  </si>
  <si>
    <t>apical plasma membrane {GO:0016324}; basolateral plasma membrane {GO:0016323}; cation-transporting ATPase complex {GO:0090533}; cell surface {GO:0009986}; cytoplasm {GO:0005737}; endoplasmic reticulum {GO:0005783}; endoplasmic reticulum membrane {GO:0005789}; extracellular exosome {GO:0070062}; focal adhesion {GO:0005925}; integral component of membrane {GO:0016021}; integral component of plasma membrane {GO:0005887}; intercalated disc {GO:0014704}; lamellipodium {GO:0030027}; membrane raft {GO:0045121}; mitochondrion {GO:0005739}; nucleoplasm {GO:0005654}; perinuclear region of cytoplasm {GO:0048471}; plasma membrane {GO:0005886}; T-tubule {GO:0030315}</t>
  </si>
  <si>
    <t>calcium-dependent protein binding {GO:0048306}; calmodulin binding {GO:0005516}; molecular adaptor activity {GO:0060090}; phosphatidylinositol-4,5-bisphosphate binding {GO:0005546}; potassium:proton antiporter activity {GO:0015386}; protein binding, bridging {GO:0030674}; protein phosphatase 2B binding {GO:0030346}; sodium:proton antiporter activity {GO:0015385}; sodium:proton antiporter activity involved in regulation of cardiac muscle cell membrane potential {GO:0086040}; solute:proton antiporter activity {GO:0015299}</t>
  </si>
  <si>
    <t>Hyaluronan uptake and degradation {R-HSA-2160916}; Sodium/Proton exchangers {R-HSA-425986}</t>
  </si>
  <si>
    <t>IgGFc-binding protein</t>
  </si>
  <si>
    <t>Fcgamma-binding protein antigen (FcgammaBP)</t>
  </si>
  <si>
    <t>FCGBP_HUMAN</t>
  </si>
  <si>
    <t>Q9Y6R7</t>
  </si>
  <si>
    <t>O95784</t>
  </si>
  <si>
    <t>Cytochrome b-245 light chain</t>
  </si>
  <si>
    <t>Cytochrome b(558) alpha chain; Cytochrome b558 subunit alpha; Neutrophil cytochrome b 22 kDa polypeptide; Superoxide-generating NADPH oxidase light chain subunit; p22 phagocyte B-cytochrome; p22-phox (p22phox)</t>
  </si>
  <si>
    <t>CY24A_HUMAN</t>
  </si>
  <si>
    <t>P13498</t>
  </si>
  <si>
    <t>Q14090; Q9BR72</t>
  </si>
  <si>
    <t>3D-structure; Cell membrane; Chronic granulomatous disease; Disease mutation; Electron transport; Heme; Iron; Isopeptide bond; Membrane; Metal-binding; NADP; Oxidoreductase; Phosphoprotein; Polymorphism; Transport; Ubl conjugation</t>
  </si>
  <si>
    <t>antigen processing and presentation of exogenous peptide antigen via MHC class I, TAP-dependent {GO:0002479}; cell redox homeostasis {GO:0045454}; cellular response to angiotensin {GO:1904385}; cellular response to gamma radiation {GO:0071480}; cellular response to glucose stimulus {GO:0071333}; cellular response to L-glutamine {GO:1904845}; cellular response to mechanical stimulus {GO:0071260}; cellular response to organic cyclic compound {GO:0071407}; cellular response to oxidative stress {GO:0034599}; cellular response to tumor necrosis factor {GO:0071356}; cytochrome complex assembly {GO:0017004}; hydrogen peroxide biosynthetic process {GO:0050665}; inflammatory response {GO:0006954}; innate immune response {GO:0045087}; negative regulation of glomerular filtration by angiotensin {GO:0003106}; neutrophil degranulation {GO:0043312}; oxidation-reduction process {GO:0055114}; positive regulation of cell growth {GO:0030307}; positive regulation of defense response to bacterium {GO:1900426}; positive regulation of endothelial cell proliferation {GO:0001938}; positive regulation of interleukin-6 production {GO:0032755}; positive regulation of mucus secretion {GO:0070257}; positive regulation of NAD(P)H oxidase activity {GO:0033864}; positive regulation of phagocytosis {GO:0050766}; positive regulation of reactive oxygen species biosynthetic process {GO:1903428}; positive regulation of smooth muscle cell proliferation {GO:0048661}; positive regulation of superoxide anion generation {GO:0032930}; positive regulation of toll-like receptor 2 signaling pathway {GO:0034137}; positive regulation of tumor necrosis factor production {GO:0032760}; regulation of release of sequestered calcium ion into cytosol {GO:0051279}; respiratory burst {GO:0045730}; response to activity {GO:0014823}; response to aldosterone {GO:1904044}; response to hypoxia {GO:0001666}; response to interleukin-1 {GO:0070555}; smooth muscle hypertrophy {GO:0014895}; superoxide anion generation {GO:0042554}; superoxide metabolic process {GO:0006801}; vascular endothelial growth factor receptor signaling pathway {GO:0048010}</t>
  </si>
  <si>
    <t>apical plasma membrane {GO:0016324}; dendrite {GO:0030425}; endoplasmic reticulum membrane {GO:0005789}; endosome {GO:0005768}; focal adhesion {GO:0005925}; Golgi apparatus {GO:0005794}; membrane {GO:0016020}; NADPH oxidase complex {GO:0043020}; neuronal cell body {GO:0043025}; nucleus {GO:0005634}; perinuclear endoplasmic reticulum {GO:0097038}; phagocytic vesicle membrane {GO:0030670}; plasma membrane {GO:0005886}; secretory granule {GO:0030141}; specific granule membrane {GO:0035579}; stress fiber {GO:0001725}; tertiary granule membrane {GO:0070821}</t>
  </si>
  <si>
    <t>electron transfer activity {GO:0009055}; heme binding {GO:0020037}; metal ion binding {GO:0046872}; protein heterodimerization activity {GO:0046982}; SH3 domain binding {GO:0017124}; superoxide-generating NADPH oxidase activity {GO:0016175}</t>
  </si>
  <si>
    <t>40S ribosomal protein S11</t>
  </si>
  <si>
    <t>Small ribosomal subunit protein uS17</t>
  </si>
  <si>
    <t>RS11_HUMAN</t>
  </si>
  <si>
    <t>P62280</t>
  </si>
  <si>
    <t>B2R4F5; P04643; Q498Y6; Q6IRY0</t>
  </si>
  <si>
    <t>3D-structure; Acetylation; Citrullination; Lipoprotein; Methylation; Palmitate; Phosphoprotein; Ribonucleoprotein; Ribosomal protein; RNA-binding; rRNA-binding</t>
  </si>
  <si>
    <t>Acetylation; Citrullination; Lipoprotein; Methylation; Palmitate; Phosphoprotein</t>
  </si>
  <si>
    <t>cytoplasm {GO:0005737}; cytosol {GO:0005829}; cytosolic small ribosomal subunit {GO:0022627}; extracellular exosome {GO:0070062}; focal adhesion {GO:0005925}; membrane {GO:0016020}; nucleolus {GO:0005730}; nucleoplasm {GO:0005654}; ribosome {GO:0005840}</t>
  </si>
  <si>
    <t>IgLON family member 5</t>
  </si>
  <si>
    <t>IGLO5_HUMAN</t>
  </si>
  <si>
    <t>A6NGN9</t>
  </si>
  <si>
    <t>3D-structure; Disulfide bond; Glycoprotein; Immunoglobulin domain; Repeat; Secreted; Signal</t>
  </si>
  <si>
    <t>Electron transfer flavoprotein subunit beta (Beta-ETF)</t>
  </si>
  <si>
    <t>ETFB_HUMAN</t>
  </si>
  <si>
    <t>P38117</t>
  </si>
  <si>
    <t>A8K766; B3KNY2; Q6IBH7; Q71RF6; Q9Y3S7</t>
  </si>
  <si>
    <t>3D-structure; Acetylation; Alternative splicing; Disease mutation; Electron transport; Glutaricaciduria; Methylation; Mitochondrion; Phosphoprotein; Polymorphism; Transport</t>
  </si>
  <si>
    <t>electron transfer activity {GO:0009055}</t>
  </si>
  <si>
    <t>Respiratory electron transport {R-HSA-611105}; Protein methylation {R-HSA-8876725}</t>
  </si>
  <si>
    <t>Anamorsin</t>
  </si>
  <si>
    <t>Cytokine-induced apoptosis inhibitor 1; Fe-S cluster assembly protein DRE2 homolog</t>
  </si>
  <si>
    <t>CPIN1_HUMAN</t>
  </si>
  <si>
    <t>Q6FI81</t>
  </si>
  <si>
    <t>A8K8B6; O75206; O75207; Q9H0W1; Q9P1L7</t>
  </si>
  <si>
    <t>2Fe-2S; 3D-structure; 4Fe-4S; Alternative splicing; Apoptosis; Cytoplasm; Iron; Iron-sulfur; Metal-binding; Mitochondrion; Nucleus; Phosphoprotein; Polymorphism</t>
  </si>
  <si>
    <t>2Fe-2S; 4Fe-4S; Iron; Iron-sulfur; Metal-binding</t>
  </si>
  <si>
    <t>apoptotic process {GO:0006915}; hemopoiesis {GO:0030097}; iron-sulfur cluster assembly {GO:0016226}; negative regulation of apoptotic process {GO:0043066}</t>
  </si>
  <si>
    <t>cytoplasm {GO:0005737}; mitochondrial intermembrane space {GO:0005758}; mitochondrion {GO:0005739}; nucleolus {GO:0005730}; nucleoplasm {GO:0005654}</t>
  </si>
  <si>
    <t>2 iron, 2 sulfur cluster binding {GO:0051537}; 4 iron, 4 sulfur cluster binding {GO:0051539}; electron transfer activity {GO:0009055}; metal ion binding {GO:0046872}; methyltransferase activity {GO:0008168}</t>
  </si>
  <si>
    <t>Cytosolic iron-sulfur cluster assembly {R-HSA-2564830}</t>
  </si>
  <si>
    <t>Delta(3,5)-Delta(2,4)-dienoyl-CoA isomerase, mitochondrial</t>
  </si>
  <si>
    <t>ECH1_HUMAN</t>
  </si>
  <si>
    <t>Q13011</t>
  </si>
  <si>
    <t>A8K745; Q8WVX0; Q96EZ9</t>
  </si>
  <si>
    <t>3D-structure; Acetylation; Fatty acid metabolism; Isomerase; Lipid metabolism; Mitochondrion; Peroxisome; Phosphoprotein; Polymorphism; Transit peptide</t>
  </si>
  <si>
    <t>fatty acid beta-oxidation {GO:0006635}; protein targeting to peroxisome {GO:0006625}</t>
  </si>
  <si>
    <t>cytosol {GO:0005829}; extracellular exosome {GO:0070062}; membrane {GO:0016020}; mitochondrion {GO:0005739}; peroxisomal matrix {GO:0005782}; peroxisome {GO:0005777}</t>
  </si>
  <si>
    <t>delta3,5-delta2,4-dienoyl-CoA isomerase activity {GO:0051750}; signaling receptor binding {GO:0005102}</t>
  </si>
  <si>
    <t>Peroxisomal protein import {R-HSA-9033241}</t>
  </si>
  <si>
    <t>Galectin-4 (Gal-4)</t>
  </si>
  <si>
    <t>Antigen NY-CO-27; L-36 lactose-binding protein (L36LBP); Lactose-binding lectin 4</t>
  </si>
  <si>
    <t>LEG4_HUMAN</t>
  </si>
  <si>
    <t>P56470</t>
  </si>
  <si>
    <t>3D-structure; Lectin; Phosphoprotein; Polymorphism; Repeat</t>
  </si>
  <si>
    <t>cell adhesion {GO:0007155}</t>
  </si>
  <si>
    <t>collagen-containing extracellular matrix {GO:0062023}; cytosol {GO:0005829}; extracellular space {GO:0005615}; plasma membrane {GO:0005886}</t>
  </si>
  <si>
    <t>carbohydrate binding {GO:0030246}; galactoside binding {GO:0016936}</t>
  </si>
  <si>
    <t>Immortalization up-regulated protein</t>
  </si>
  <si>
    <t>Hepatocyte growth factor activator inhibitor type 2-related small protein (H2RSP; HAI-2-related small protein)</t>
  </si>
  <si>
    <t>IMUP_HUMAN</t>
  </si>
  <si>
    <t>Q9GZP8</t>
  </si>
  <si>
    <t>Q0P6G2; Q96H58; Q9HCR4</t>
  </si>
  <si>
    <t>C19orf33</t>
  </si>
  <si>
    <t>Acetylation; Alternative splicing; Nucleus; Phosphoprotein</t>
  </si>
  <si>
    <t>Platelet-activating factor acetylhydrolase IB subunit gamma</t>
  </si>
  <si>
    <t>PAF acetylhydrolase 29 kDa subunit (PAF-AH 29 kDa subunit); PAF-AH subunit gamma (PAFAH subunit gamma)</t>
  </si>
  <si>
    <t>PA1B3_HUMAN</t>
  </si>
  <si>
    <t>Q15102</t>
  </si>
  <si>
    <t>Q53X88</t>
  </si>
  <si>
    <t>PAFAHG</t>
  </si>
  <si>
    <t>Acetylation; Cytoplasm; Hydrolase; Lipid degradation; Lipid metabolism; Phosphoprotein; Polymorphism</t>
  </si>
  <si>
    <t>brain development {GO:0007420}; lipid catabolic process {GO:0016042}; lipid metabolic process {GO:0006629}; nervous system development {GO:0007399}; spermatogenesis {GO:0007283}</t>
  </si>
  <si>
    <t>1-alkyl-2-acetylglycerophosphocholine esterase activity {GO:0003847}; identical protein binding {GO:0042802}; platelet-activating factor acetyltransferase activity {GO:0047179}; protein heterodimerization activity {GO:0046982}</t>
  </si>
  <si>
    <t>COPI-independent Golgi-to-ER retrograde traffic {R-HSA-6811436}</t>
  </si>
  <si>
    <t>26S proteasome regulatory subunit 6B</t>
  </si>
  <si>
    <t>26S proteasome AAA-ATPase subunit RPT3; MB67-interacting protein; MIP224; Proteasome 26S subunit ATPase 4; Tat-binding protein 7 (TBP-7)</t>
  </si>
  <si>
    <t>PRS6B_HUMAN</t>
  </si>
  <si>
    <t>P43686</t>
  </si>
  <si>
    <t>Q96FV5; Q9UBM3; Q9UEX3</t>
  </si>
  <si>
    <t>MIP224; TBP7</t>
  </si>
  <si>
    <t>3D-structure; Acetylation; Alternative splicing; ATP-binding; Cytoplasm; Nucleotide-binding; Nucleus; Phosphoprotein; Proteasome</t>
  </si>
  <si>
    <t>anaphase-promoting complex-dependent catabolic process {GO:0031145}; antigen processing and presentation of exogenous peptide antigen via MHC class I, TAP-dependent {GO:0002479}; blastocyst development {GO:0001824};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NIK/NF-kappaB signaling {GO:0038061}; positive regulation of canonical Wnt signaling pathway {GO:0090263}; positive regulation of RNA polymerase II transcriptional preinitiation complex assembly {GO:0045899}; post-translational protein modification {GO:0043687}; proteasome-mediated ubiquitin-dependent protein catabolic process {GO:0043161}; protein deubiquitination {GO:0016579}; protein polyubiquitination {GO:0000209}; proteolysis {GO:0006508};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Wnt signaling pathway, planar cell polarity pathway {GO:0060071}</t>
  </si>
  <si>
    <t>cytosol {GO:0005829}; cytosolic proteasome complex {GO:0031597}; inclusion body {GO:0016234}; membrane {GO:0016020}; nucleoplasm {GO:0005654}; nucleus {GO:0005634}; proteasome accessory complex {GO:0022624}; proteasome complex {GO:0000502}; proteasome regulatory particle, base subcomplex {GO:0008540}; synapse {GO:0045202}</t>
  </si>
  <si>
    <t>ATP binding {GO:0005524}; ATPase activity {GO:0016887}; proteasome-activating ATPase activity {GO:0036402}</t>
  </si>
  <si>
    <t>V-type proton ATPase subunit d 1 (V-ATPase subunit d 1)</t>
  </si>
  <si>
    <t>32 kDa accessory protein; V-ATPase 40 kDa accessory protein; V-ATPase AC39 subunit (p39); Vacuolar proton pump subunit d 1</t>
  </si>
  <si>
    <t>VA0D1_HUMAN</t>
  </si>
  <si>
    <t>P61421</t>
  </si>
  <si>
    <t>P12953; Q02547</t>
  </si>
  <si>
    <t>ATP6D; VPATPD</t>
  </si>
  <si>
    <t>Cilium biogenesis/degradation; Hydrogen ion transport; Ion transport; Membrane; Phosphoprotein; Transport</t>
  </si>
  <si>
    <t>ATP hydrolysis coupled proton transport {GO:0015991}; brain development {GO:0007420}; cellular iron ion homeostasis {GO:0006879}; cellular response to increased oxygen levels {GO:0036295}; cilium assembly {GO:0060271}; insulin receptor signaling pathway {GO:0008286}; ion transmembrane transport {GO:0034220}; IRE1-mediated unfolded protein response {GO:0036498}; phagosome acidification {GO:0090383}; proton transmembrane transport {GO:1902600}; regulation of macroautophagy {GO:0016241}; transferrin transport {GO:0033572}; vacuolar acidification {GO:0007035}; vacuolar transport {GO:0007034}</t>
  </si>
  <si>
    <t>apical plasma membrane {GO:0016324}; axon terminus {GO:0043679}; early endosome {GO:0005769}; endosome membrane {GO:0010008}; extracellular exosome {GO:0070062}; lysosomal membrane {GO:0005765}; membrane {GO:0016020}; phagocytic vesicle membrane {GO:0030670}; plasma membrane proton-transporting V-type ATPase complex {GO:0033181}; proton-transporting V-type ATPase, V0 domain {GO:0033179}; synaptic vesicle {GO:0008021}; vacuolar proton-transporting V-type ATPase complex {GO:0016471}</t>
  </si>
  <si>
    <t>protein-containing complex binding {GO:0044877}; proton-exporting ATPase activity, phosphorylative mechanism {GO:0008553}; proton-transporting ATPase activity, rotational mechanism {GO:0046961}</t>
  </si>
  <si>
    <t>ROS and RNS production in phagocytes {R-HSA-1222556}; XBP1(S) activates chaperone genes {R-HSA-381038}; Insulin receptor recycling {R-HSA-77387}; Transferrin endocytosis and recycling {R-HSA-917977}; Ion channel transport {R-HSA-983712}</t>
  </si>
  <si>
    <t>RelA-associated inhibitor</t>
  </si>
  <si>
    <t>Inhibitor of ASPP protein (Protein iASPP); NFkB-interacting protein 1; PPP1R13B-like protein</t>
  </si>
  <si>
    <t>IASPP_HUMAN</t>
  </si>
  <si>
    <t>Q8WUF5</t>
  </si>
  <si>
    <t>Q2PNZ9; Q5DU71; Q5I1X4; Q6P1R7; Q6PKF8; Q9Y290</t>
  </si>
  <si>
    <t>IASPP; NKIP1; PPP1R13BL; RAI</t>
  </si>
  <si>
    <t>3D-structure; Acetylation; ANK repeat; Apoptosis; Cytoplasm; Methylation; Nucleus; Phosphoprotein; Repeat; Repressor; SH3 domain; Transcription; Transcription regulation</t>
  </si>
  <si>
    <t>apoptotic process {GO:0006915}; cardiac muscle contraction {GO:0060048}; cardiac right ventricle morphogenesis {GO:0003215}; embryonic camera-type eye development {GO:0031076}; hair cycle {GO:0042633}; multicellular organism growth {GO:0035264}; multicellular organismal homeostasis {GO:0048871}; negative regulation of transcription by RNA polymerase II {GO:0000122}; positive regulation of cell differentiation {GO:0045597}; post-embryonic development {GO:0009791}; regulation of signal transduction by p53 class mediator {GO:1901796}; transcription, DNA-templated {GO:0006351}; ventricular cardiac muscle tissue development {GO:0003229}</t>
  </si>
  <si>
    <t>cell junction {GO:0030054}; cytosol {GO:0005829}; intercellular bridge {GO:0045171}; nucleoplasm {GO:0005654}; nucleus {GO:0005634}</t>
  </si>
  <si>
    <t>cadherin binding {GO:0045296}; identical protein binding {GO:0042802}; transcription corepressor activity {GO:0003714}; transcription factor binding {GO:0008134}</t>
  </si>
  <si>
    <t>Regulation of TP53 Activity through Association with Co-factors {R-HSA-6804759}</t>
  </si>
  <si>
    <t>Group XV phospholipase A2</t>
  </si>
  <si>
    <t>1-O-acylceramide synthase (ACS); LCAT-like lysophospholipase (LLPL); Lysophospholipase 3; Lysosomal phospholipase A2 (LPLA2)</t>
  </si>
  <si>
    <t>PAG15_HUMAN</t>
  </si>
  <si>
    <t>Q8NCC3</t>
  </si>
  <si>
    <t>B3KMF3; B4DUD1; Q53GZ1; Q9NPQ6; Q9UG04; Q9Y2B3</t>
  </si>
  <si>
    <t>LYPLA3</t>
  </si>
  <si>
    <t>3D-structure; Acyltransferase; Alternative splicing; Disulfide bond; Fatty acid metabolism; Glycoprotein; Hydrolase; Lipid degradation; Lipid metabolism; Lysosome; Membrane; Secreted; Signal; Transferase</t>
  </si>
  <si>
    <t>Lysosome; Membrane; Secreted</t>
  </si>
  <si>
    <t>Acyltransferase; Hydrolase; Transferase</t>
  </si>
  <si>
    <t>ceramide metabolic process {GO:0006672}; fatty acid catabolic process {GO:0009062}; glycerophospholipid metabolic process {GO:0006650}; phosphatidylcholine catabolic process {GO:0034638}; phosphatidylethanolamine catabolic process {GO:0046338}; phospholipid metabolic process {GO:0006644}</t>
  </si>
  <si>
    <t>extracellular exosome {GO:0070062}; extracellular region {GO:0005576}; extracellular space {GO:0005615}; intracellular membrane-bounded organelle {GO:0043231}; lysosome {GO:0005764}; membrane {GO:0016020}; nucleoplasm {GO:0005654}</t>
  </si>
  <si>
    <t>calcium-independent phospholipase A2 activity {GO:0047499}; lysophospholipase activity {GO:0004622}; O-acyltransferase activity {GO:0008374}; phospholipid binding {GO:0005543}</t>
  </si>
  <si>
    <t>Hydrolysis of LPC {R-HSA-1483115}</t>
  </si>
  <si>
    <t>Urokinase plasminogen activator surface receptor (U-PAR; uPAR)</t>
  </si>
  <si>
    <t>Monocyte activation antigen Mo3; CD_antigen=CD87</t>
  </si>
  <si>
    <t>UPAR_HUMAN</t>
  </si>
  <si>
    <t>Q03405</t>
  </si>
  <si>
    <t>A8K409; Q12876; Q15845; Q16887; Q6IB52; Q9BWT0; Q9NYC8; Q9UD69; Q9UEA6; Q9UM92; Q9UMV0</t>
  </si>
  <si>
    <t>MO3; UPAR</t>
  </si>
  <si>
    <t>3D-structure; Alternative splicing; Cell junction; Cell membrane; Cell projection; Disulfide bond; Glycoprotein; GPI-anchor; Lipoprotein; Membrane; Polymorphism; Receptor; Repeat; Secreted; Signal</t>
  </si>
  <si>
    <t>blood coagulation {GO:0007596}; chemotaxis {GO:0006935}; fibrinolysis {GO:0042730}; negative regulation of apoptotic process {GO:0043066}; negative regulation of cysteine-type endopeptidase activity involved in apoptotic signaling pathway {GO:2001268}; negative regulation of intrinsic apoptotic signaling pathway {GO:2001243}; neutrophil degranulation {GO:0043312}; positive regulation of DNA binding {GO:0043388}; positive regulation of epidermal growth factor receptor signaling pathway {GO:0045742}; positive regulation of protein phosphorylation {GO:0001934}; positive regulation of release of cytochrome c from mitochondria {GO:0090200}; regulation of proteolysis {GO:0030162}; signal transduction {GO:0007165}</t>
  </si>
  <si>
    <t>anchored component of membrane {GO:0031225}; cell surface {GO:0009986}; endoplasmic reticulum lumen {GO:0005788}; endoplasmic reticulum membrane {GO:0005789}; extracellular region {GO:0005576}; extrinsic component of membrane {GO:0019898}; focal adhesion {GO:0005925}; integral component of membrane {GO:0016021}; integral component of plasma membrane {GO:0005887}; invadopodium membrane {GO:0071438}; plasma membrane {GO:0005886}; specific granule membrane {GO:0035579}</t>
  </si>
  <si>
    <t>enzyme binding {GO:0019899}; protein domain specific binding {GO:0019904}; signaling receptor activity {GO:0038023}; signaling receptor binding {GO:0005102}; urokinase plasminogen activator receptor activity {GO:0030377}</t>
  </si>
  <si>
    <t>Attachment of GPI anchor to uPAR {R-HSA-162791}; Neutrophil degranulation {R-HSA-6798695}; Dissolution of Fibrin Clot {R-HSA-75205}</t>
  </si>
  <si>
    <t>FH1/FH2 domain-containing protein 1</t>
  </si>
  <si>
    <t>Formin homolog overexpressed in spleen 1 (FHOS); Formin homology 2 domain-containing protein 1</t>
  </si>
  <si>
    <t>FHOD1_HUMAN</t>
  </si>
  <si>
    <t>Q9Y613</t>
  </si>
  <si>
    <t>Q59F76; Q6Y1F2; Q76MS8; Q8N521</t>
  </si>
  <si>
    <t>FHOS; FHOS1</t>
  </si>
  <si>
    <t>3D-structure; Actin-binding; Cell projection; Coiled coil; Cytoplasm; Cytoskeleton; Phosphoprotein</t>
  </si>
  <si>
    <t>establishment of centrosome localization {GO:0051660}; nuclear migration {GO:0007097}; positive regulation of stress fiber assembly {GO:0051496}; positive regulation of transcription by RNA polymerase II {GO:0045944}; regulation of stress fiber assembly {GO:0051492}</t>
  </si>
  <si>
    <t>bleb {GO:0032059}; cytoplasm {GO:0005737}; cytoskeleton {GO:0005856}; cytosol {GO:0005829}; intercalated disc {GO:0014704}; membrane {GO:0016020}; nucleus {GO:0005634}</t>
  </si>
  <si>
    <t>actin binding {GO:0003779}; identical protein binding {GO:0042802}; protein domain specific binding {GO:0019904}; protein self-association {GO:0043621}</t>
  </si>
  <si>
    <t>Fibroblast growth factor 21 (FGF-21)</t>
  </si>
  <si>
    <t>FGF21_HUMAN</t>
  </si>
  <si>
    <t>Q9NSA1</t>
  </si>
  <si>
    <t>Q8N683</t>
  </si>
  <si>
    <t>3D-structure; Growth factor; Polymorphism; Secreted; Signal</t>
  </si>
  <si>
    <t>cell-cell signaling {GO:0007267}; cellular response to drug {GO:0035690}; cellular response to glucagon stimulus {GO:0071377}; cellular response to glucose stimulus {GO:0071333}; cellular response to low-density lipoprotein particle stimulus {GO:0071404}; endoplasmic reticulum unfolded protein response {GO:0030968}; endothelial cell apoptotic process {GO:0072577}; negative regulation of endothelial cell apoptotic process {GO:2000352}; negative regulation of neuron death {GO:1901215}; positive regulation of cell population proliferation {GO:0008284}; positive regulation of cold-induced thermogenesis {GO:0120162}; positive regulation of ERK1 and ERK2 cascade {GO:0070374}; positive regulation of glucose import {GO:0046326}; positive regulation of low-density lipoprotein particle receptor biosynthetic process {GO:0045716}; positive regulation of MAPKKK cascade by fibroblast growth factor receptor signaling pathway {GO:0090080}; positive regulation of triglyceride catabolic process {GO:0010898}; regulation of low-density lipoprotein particle clearance {GO:0010988}; response to activity {GO:0014823}; response to methionine {GO:1904640}; response to nutrient levels {GO:0031667}; signal transduction {GO:0007165}</t>
  </si>
  <si>
    <t>cell {GO:0005623}; extracellular region {GO:0005576}; extracellular space {GO:0005615}</t>
  </si>
  <si>
    <t>fibroblast growth factor receptor binding {GO:0005104}; growth factor activity {GO:0008083}</t>
  </si>
  <si>
    <t>Cellular hexose transport {R-HSA-189200}; Assembly of active LPL and LIPC lipase complexes {R-HSA-8963889}</t>
  </si>
  <si>
    <t>EMILIN-1</t>
  </si>
  <si>
    <t>Elastin microfibril interface-located protein 1 (Elastin microfibril interfacer 1)</t>
  </si>
  <si>
    <t>EMIL1_HUMAN</t>
  </si>
  <si>
    <t>Q9Y6C2</t>
  </si>
  <si>
    <t>A0A0C4DFX3; A5PL03; H0Y7A0; Q53SY9; Q96G58; Q96IH6; Q9UG76</t>
  </si>
  <si>
    <t>EMI</t>
  </si>
  <si>
    <t>3D-structure; Alternative splicing; Cell adhesion; Coiled coil; Collagen; Disulfide bond; Extracellular matrix; Glycoprotein; Polymorphism; Secreted; Signal</t>
  </si>
  <si>
    <t>aortic valve morphogenesis {GO:0003180}; cell adhesion {GO:0007155}; cell migration {GO:0016477}; cell-matrix adhesion {GO:0007160}; elastic fiber assembly {GO:0048251}; negative regulation of angiogenesis {GO:0016525}; negative regulation of cell activation {GO:0050866}; negative regulation of collagen biosynthetic process {GO:0032966}; negative regulation of collagen fibril organization {GO:1904027}; negative regulation of ERK1 and ERK2 cascade {GO:0070373}; negative regulation of gene expression {GO:0010629}; negative regulation of macrophage migration {GO:1905522}; negative regulation of pathway-restricted SMAD protein phosphorylation {GO:0060394}; negative regulation of transforming growth factor beta receptor signaling pathway {GO:0030512}; negative regulation of vascular endothelial growth factor receptor signaling pathway {GO:0030948}; positive regulation of cell-substrate adhesion {GO:0010811}; positive regulation of extracellular matrix assembly {GO:1901203}; positive regulation of gene expression {GO:0010628}; protein homotrimerization {GO:0070207}</t>
  </si>
  <si>
    <t>collagen trimer {GO:0005581}; collagen-containing extracellular matrix {GO:0062023}; EMILIN complex {GO:1990971}; extracellular exosome {GO:0070062}; extracellular matrix {GO:0031012}; extracellular region {GO:0005576}; extracellular space {GO:0005615}; integrin alpha4-beta1 complex {GO:0034668}</t>
  </si>
  <si>
    <t>extracellular matrix constituent conferring elasticity {GO:0030023}; identical protein binding {GO:0042802}; integrin binding involved in cell-matrix adhesion {GO:0098640}</t>
  </si>
  <si>
    <t>T-complex protein 1 subunit delta (TCP-1-delta)</t>
  </si>
  <si>
    <t>CCT-delta; Stimulator of TAR RNA-binding</t>
  </si>
  <si>
    <t>TCPD_HUMAN</t>
  </si>
  <si>
    <t>P50991</t>
  </si>
  <si>
    <t>B2R6I3; B7Z8B1; F5H5W3; O14870; Q53QP9; Q96C51</t>
  </si>
  <si>
    <t>CCTD; SRB</t>
  </si>
  <si>
    <t>Acetylation; Alternative splicing; ATP-binding; Cell projection; Chaperone; Cytoplasm; Cytoskeleton; Methylation; Nucleotide-binding; Phosphoprotein; Polymorphism</t>
  </si>
  <si>
    <t>binding of sperm to zona pellucida {GO:0007339}; positive regulation of establishment of protein localization to telomere {GO:1904851}; positive regulation of protein localization to Cajal body {GO:1904871}; positive regulation of telomerase activity {GO:0051973}; positive regulation of telomerase RNA localization to Cajal body {GO:1904874}; positive regulation of telomere maintenance via telomerase {GO:0032212}; protein folding {GO:0006457}; protein stabilization {GO:0050821}; scaRNA localization to Cajal body {GO:0090666}; toxin transport {GO:1901998}</t>
  </si>
  <si>
    <t>cell body {GO:0044297}; cell projection {GO:0042995}; centrosome {GO:0005813}; chaperonin-containing T-complex {GO:0005832}; cytosol {GO:0005829}; extracellular exosome {GO:0070062}; melanosome {GO:0042470}; microtubule {GO:0005874}; nucleoplasm {GO:0005654}; zona pellucida receptor complex {GO:0002199}</t>
  </si>
  <si>
    <t>N-acetyllactosaminide beta-1,3-N-acetylglucosaminyltransferase 2</t>
  </si>
  <si>
    <t>Beta-1,3-N-acetylglucosaminyltransferase 1 (BGnT-1; Beta-1,3-Gn-T1; Beta3Gn-T1); Beta-1,3-galactosyltransferase 7 (Beta-1,3-GalTase 7; Beta3Gal-T7; Beta3GalT7; b3Gal-T7); Beta-3-Gx-T7; UDP-Gal:beta-GlcNAc beta-1,3-galactosyltransferase 7; UDP-GlcNAc:betaGal beta-1,3-N-acetylglucosaminyltransferase 2 (BGnT-2; Beta-1,3-Gn-T2; Beta-1,3-N-acetylglucosaminyltransferase 2; Beta3Gn-T2); UDP-galactose:beta-N-acetylglucosamine beta-1,3-galactosyltransferase 7</t>
  </si>
  <si>
    <t>B3GN2_HUMAN</t>
  </si>
  <si>
    <t>Q9NY97</t>
  </si>
  <si>
    <t>Q54AC1; Q9NQQ9; Q9NQR0; Q9NUT9</t>
  </si>
  <si>
    <t>B3GALT7; B3GNT1</t>
  </si>
  <si>
    <t>Alternative splicing; Glycoprotein; Glycosyltransferase; Golgi apparatus; Manganese; Membrane; Signal-anchor; Transferase; Transmembrane; Transmembrane helix</t>
  </si>
  <si>
    <t>Manganese</t>
  </si>
  <si>
    <t>axon guidance {GO:0007411}; cellular response to leukemia inhibitory factor {GO:1990830}; keratan sulfate biosynthetic process {GO:0018146}; O-glycan processing {GO:0016266}; poly-N-acetyllactosamine biosynthetic process {GO:0030311}; protein glycosylation {GO:0006486}; sensory perception of smell {GO:0007608}</t>
  </si>
  <si>
    <t>endoplasmic reticulum {GO:0005783}; Golgi apparatus {GO:0005794}; Golgi membrane {GO:0000139}; integral component of membrane {GO:0016021}</t>
  </si>
  <si>
    <t>acetylgalactosaminyltransferase activity {GO:0008376}; galactosyltransferase activity {GO:0008378}; N-acetyllactosaminide beta-1,3-N-acetylglucosaminyltransferase activity {GO:0008532}</t>
  </si>
  <si>
    <t>Keratan sulfate biosynthesis {R-HSA-2022854}; O-linked glycosylation of mucins {R-HSA-913709}</t>
  </si>
  <si>
    <t>Neuronal growth regulator 1</t>
  </si>
  <si>
    <t>IgLON family member 4</t>
  </si>
  <si>
    <t>NEGR1_HUMAN</t>
  </si>
  <si>
    <t>Q7Z3B1</t>
  </si>
  <si>
    <t>Q5VT21; Q6UY06; Q8N440; Q8NAQ3</t>
  </si>
  <si>
    <t>IGLON4</t>
  </si>
  <si>
    <t>3D-structure; Alternative splicing; Cell adhesion; Cell membrane; Disulfide bond; Glycoprotein; GPI-anchor; Immunoglobulin domain; Lipoprotein; Membrane; Phosphoprotein; Repeat; Signal</t>
  </si>
  <si>
    <t>cell-cell adhesion {GO:0098609}; feeding behavior {GO:0007631}; locomotory behavior {GO:0007626}; positive regulation of neuron projection development {GO:0010976}</t>
  </si>
  <si>
    <t>cAMP-dependent protein kinase inhibitor alpha (PKI-alpha)</t>
  </si>
  <si>
    <t>cAMP-dependent protein kinase inhibitor, muscle/brain isoform</t>
  </si>
  <si>
    <t>IPKA_HUMAN</t>
  </si>
  <si>
    <t>P61925</t>
  </si>
  <si>
    <t>P04541; Q6IAV2</t>
  </si>
  <si>
    <t>PRKACN1</t>
  </si>
  <si>
    <t>3D-structure; Acetylation; Protein kinase inhibitor</t>
  </si>
  <si>
    <t>Protein kinase inhibitor</t>
  </si>
  <si>
    <t>negative regulation of cAMP-dependent protein kinase activity {GO:2000480}; negative regulation of protein import into nucleus {GO:0042308}; negative regulation of transcription by RNA polymerase II {GO:0000122}; regulation of G2/M transition of mitotic cell cycle {GO:0010389}</t>
  </si>
  <si>
    <t>cAMP-dependent protein kinase inhibitor activity {GO:0004862}; protein kinase A catalytic subunit binding {GO:0034236}</t>
  </si>
  <si>
    <t>Endothelin-3 (ET-3)</t>
  </si>
  <si>
    <t>Preproendothelin-3 (PPET3)</t>
  </si>
  <si>
    <t>EDN3_HUMAN</t>
  </si>
  <si>
    <t>P14138</t>
  </si>
  <si>
    <t>E1P5I5; Q03229; Q7Z6D2; Q9UGT7</t>
  </si>
  <si>
    <t>3D-structure; Alternative splicing; Cleavage on pair of basic residues; Deafness; Disease mutation; Disulfide bond; Hirschsprung disease; Polymorphism; Secreted; Signal; Vasoactive; Vasoconstrictor; Waardenburg syndrome</t>
  </si>
  <si>
    <t>Deafness; Disease mutation; Hirschsprung disease; Waardenburg syndrome</t>
  </si>
  <si>
    <t>blood circulation {GO:0008015}; cell surface receptor signaling pathway {GO:0007166}; cell-cell signaling {GO:0007267}; cellular calcium ion homeostasis {GO:0006874}; cellular magnesium ion homeostasis {GO:0010961}; G protein-coupled receptor signaling pathway {GO:0007186}; inositol phosphate-mediated signaling {GO:0048016}; melanocyte differentiation {GO:0030318}; multicellular organism development {GO:0007275}; neural crest cell migration {GO:0001755}; neuron differentiation {GO:0030182}; neutrophil chemotaxis {GO:0030593}; peptide hormone secretion {GO:0030072}; positive regulation of cell differentiation {GO:0045597}; positive regulation of cell population proliferation {GO:0008284}; positive regulation of heart rate {GO:0010460}; positive regulation of hormone secretion {GO:0046887}; positive regulation of leukocyte chemotaxis {GO:0002690}; positive regulation of MAP kinase activity {GO:0043406}; positive regulation of mitotic nuclear division {GO:0045840}; positive regulation of potassium ion transmembrane transport {GO:1901381}; regulation of developmental pigmentation {GO:0048070}; regulation of gene expression {GO:0010468}; regulation of systemic arterial blood pressure by endothelin {GO:0003100}; regulation of vasoconstriction {GO:0019229}; signal transduction {GO:0007165}; vasoconstriction {GO:0042310}; vein smooth muscle contraction {GO:0014826}</t>
  </si>
  <si>
    <t>endothelin B receptor binding {GO:0031708}; hormone activity {GO:0005179}; signaling receptor binding {GO:0005102}</t>
  </si>
  <si>
    <t>Guanine nucleotide-binding protein G(s) subunit alpha isoforms XLas</t>
  </si>
  <si>
    <t>Adenylate cyclase-stimulating G alpha protein; Extra large alphas protein (XLalphas)</t>
  </si>
  <si>
    <t>GNAS1_HUMAN</t>
  </si>
  <si>
    <t>Q5JWF2</t>
  </si>
  <si>
    <t>A2A2S3; E1P5G3; O75684; O75685; Q5JW67; Q5JWF1; Q9NY42</t>
  </si>
  <si>
    <t>GNAS1</t>
  </si>
  <si>
    <t>ADP-ribosylation; Alternative splicing; Cell membrane; Coiled coil; Cushing syndrome; Disease mutation; GTP-binding; Magnesium; Membrane; Metal-binding; Nucleotide-binding; Phosphoprotein; Polymorphism; Transducer</t>
  </si>
  <si>
    <t>ADP-ribosylation; Phosphoprotein</t>
  </si>
  <si>
    <t>adenylate cyclase-activating dopamine receptor signaling pathway {GO:0007191}; adenylate cyclase-activating G protein-coupled receptor signaling pathway {GO:0007189}; adenylate cyclase-modulating G protein-coupled receptor signaling pathway {GO:0007188}; bone development {GO:0060348}; cartilage development {GO:0051216}; developmental growth {GO:0048589}; DNA methylation {GO:0006306}; embryonic cranial skeleton morphogenesis {GO:0048701}; embryonic hindlimb morphogenesis {GO:0035116}; endochondral ossification {GO:0001958}; energy reserve metabolic process {GO:0006112}; genetic imprinting {GO:0071514}; multicellular organism growth {GO:0035264}; platelet aggregation {GO:0070527}; positive regulation of cold-induced thermogenesis {GO:0120162}; positive regulation of osteoblast differentiation {GO:0045669}; positive regulation of osteoclast differentiation {GO:0045672}; post-embryonic body morphogenesis {GO:0040032}; regulation of parathyroid hormone secretion {GO:2000828}; response to drug {GO:0042493}; skin development {GO:0043588}; tissue homeostasis {GO:0001894}</t>
  </si>
  <si>
    <t>apical plasma membrane {GO:0016324}; cytosol {GO:0005829}; dendrite {GO:0030425}; extracellular exosome {GO:0070062}; heterotrimeric G-protein complex {GO:0005834}; membrane {GO:0016020}</t>
  </si>
  <si>
    <t>adenylate cyclase activator activity {GO:0010856}; beta-2 adrenergic receptor binding {GO:0031698}; corticotropin-releasing hormone receptor 1 binding {GO:0051430}; D1 dopamine receptor binding {GO:0031748}; G protein-coupled receptor binding {GO:0001664}; G-protein beta/gamma-subunit complex binding {GO:0031683}; GTP binding {GO:0005525}; GTPase activity {GO:0003924}; insulin-like growth factor receptor binding {GO:0005159}; ionotropic glutamate receptor binding {GO:0035255}; metal ion binding {GO:0046872}; mu-type opioid receptor binding {GO:0031852}</t>
  </si>
  <si>
    <t>Glucagon signaling in metabolic regulation {R-HSA-163359}; PKA activation in glucagon signalling {R-HSA-164378}; Glucagon-like Peptide-1 (GLP1) regulates insulin secretion {R-HSA-381676}; Prostacyclin signalling through prostacyclin receptor {R-HSA-392851}; G alpha (s) signalling events {R-HSA-418555}; G alpha (i) signalling events {R-HSA-418594}; G alpha (z) signalling events {R-HSA-418597}; Glucagon-type ligand receptors {R-HSA-420092}; Vasopressin regulates renal water homeostasis via Aquaporins {R-HSA-432040}; Hedgehog 'off' state {R-HSA-5610787}</t>
  </si>
  <si>
    <t>Testis anion transporter 1</t>
  </si>
  <si>
    <t>Anion exchange transporter; Solute carrier family 26 member 8</t>
  </si>
  <si>
    <t>S26A8_HUMAN</t>
  </si>
  <si>
    <t>Q96RN1</t>
  </si>
  <si>
    <t>Q5JVR5; Q812C7; Q8TC65; Q96MA0; Q96PK8</t>
  </si>
  <si>
    <t>Alternative splicing; Anion exchange; Developmental protein; Differentiation; Glycoprotein; Ion transport; Meiosis; Membrane; Polymorphism; Spermatogenesis; Transmembrane; Transmembrane helix; Transport</t>
  </si>
  <si>
    <t>Anion exchange; Differentiation; Ion transport; Meiosis; Spermatogenesis; Transport</t>
  </si>
  <si>
    <t>anion transport {GO:0006820}; chloride transport {GO:0006821}; flagellated sperm motility {GO:0030317}; meiotic cell cycle {GO:0051321}; multicellular organism development {GO:0007275}; oxalate transport {GO:0019532}; sperm capacitation {GO:0048240}; sulfate transport {GO:0008272}</t>
  </si>
  <si>
    <t>anion:anion antiporter activity {GO:0015301}; bicarbonate transmembrane transporter activity {GO:0015106}; chloride channel activity {GO:0005254}; chloride transmembrane transporter activity {GO:0015108}; oxalate transmembrane transporter activity {GO:0019531}; secondary active sulfate transmembrane transporter activity {GO:0008271}; sulfate transmembrane transporter activity {GO:0015116}</t>
  </si>
  <si>
    <t>Fatty acid-binding protein, liver</t>
  </si>
  <si>
    <t>Fatty acid-binding protein 1; Liver-type fatty acid-binding protein (L-FABP)</t>
  </si>
  <si>
    <t>FABPL_HUMAN</t>
  </si>
  <si>
    <t>P07148</t>
  </si>
  <si>
    <t>FABPL</t>
  </si>
  <si>
    <t>cellular response to hydrogen peroxide {GO:0070301}; cellular response to hypoxia {GO:0071456}; intestinal absorption {GO:0050892}; negative regulation of apoptotic process {GO:0043066}; negative regulation of cysteine-type endopeptidase activity involved in apoptotic process {GO:0043154}; positive regulation of fatty acid beta-oxidation {GO:0032000}; positive regulation of hydrolase activity {GO:0051345}; regulation of lipid metabolic process {GO:0019216}; triglyceride catabolic process {GO:0019433}</t>
  </si>
  <si>
    <t>apical cortex {GO:0045179}; cytosol {GO:0005829}; extracellular exosome {GO:0070062}; nucleoplasm {GO:0005654}; peroxisomal matrix {GO:0005782}; protein-containing complex {GO:0032991}</t>
  </si>
  <si>
    <t>antioxidant activity {GO:0016209}; bile acid binding {GO:0032052}; chromatin binding {GO:0003682}; drug binding {GO:0008144}; fatty acid binding {GO:0005504}; long-chain fatty acid transporter activity {GO:0005324}; phospholipid binding {GO:0005543}</t>
  </si>
  <si>
    <t>Triglyceride catabolism {R-HSA-163560}; PPARA activates gene expression {R-HSA-1989781}; Regulation of lipid metabolism by Peroxisome proliferator-activated receptor alpha (PPARalpha) {R-HSA-400206}</t>
  </si>
  <si>
    <t>Protein disulfide-isomerase A6</t>
  </si>
  <si>
    <t>Endoplasmic reticulum protein 5 (ER protein 5; ERp5); Protein disulfide isomerase P5; Thioredoxin domain-containing protein 7</t>
  </si>
  <si>
    <t>PDIA6_HUMAN</t>
  </si>
  <si>
    <t>Q15084</t>
  </si>
  <si>
    <t>B3KY95; B5MCQ5; B7Z254; B7Z4M8; F8WA83; Q53RC7; Q6ZSH5; Q99778</t>
  </si>
  <si>
    <t>ERP5; P5; TXNDC7</t>
  </si>
  <si>
    <t>3D-structure; Alternative splicing; Cell membrane; Chaperone; Disulfide bond; Endoplasmic reticulum; Isomerase; Membrane; Phosphoprotein; Polymorphism; Redox-active center; Repeat; Signal</t>
  </si>
  <si>
    <t>cell redox homeostasis {GO:0045454}; cellular protein metabolic process {GO:0044267}; IRE1-mediated unfolded protein response {GO:0036498}; post-translational protein modification {GO:0043687}; protein folding {GO:0006457}</t>
  </si>
  <si>
    <t>cytosol {GO:0005829}; endoplasmic reticulum {GO:0005783}; endoplasmic reticulum chaperone complex {GO:0034663}; endoplasmic reticulum lumen {GO:0005788}; endoplasmic reticulum membrane {GO:0005789}; endoplasmic reticulum-Golgi intermediate compartment {GO:0005793}; extracellular exosome {GO:0070062}; extracellular space {GO:0005615}; melanosome {GO:0042470}; plasma membrane {GO:0005886}</t>
  </si>
  <si>
    <t>peptide disulfide oxidoreductase activity {GO:0015037}; protein disulfide isomerase activity {GO:0003756}</t>
  </si>
  <si>
    <t>XBP1(S) activates chaperone genes {R-HSA-381038}; Regulation of Insulin-like Growth Factor (IGF) transport and uptake by Insulin-like Growth Factor Binding Proteins (IGFBPs) {R-HSA-381426}; Post-translational protein phosphorylation {R-HSA-8957275}</t>
  </si>
  <si>
    <t>Glycosylphosphatidylinositol-anchored high density lipoprotein-binding protein 1 (GPI-HBP1; GPI-anchored HDL-binding protein 1)</t>
  </si>
  <si>
    <t>High density lipoprotein-binding protein 1</t>
  </si>
  <si>
    <t>HDBP1_HUMAN</t>
  </si>
  <si>
    <t>Q8IV16</t>
  </si>
  <si>
    <t>Q6P3T2; Q86W15</t>
  </si>
  <si>
    <t>HBP1</t>
  </si>
  <si>
    <t>3D-structure; Cell membrane; Disease mutation; Disulfide bond; Glycoprotein; GPI-anchor; Lipid-binding; Lipoprotein; Membrane; Polymorphism; Signal; Sulfation; Transport</t>
  </si>
  <si>
    <t>Disulfide bond; GPI-anchor; Glycoprotein; Lipoprotein; Sulfation</t>
  </si>
  <si>
    <t>cholesterol homeostasis {GO:0042632}; chylomicron remodeling {GO:0034371}; intracellular protein transport {GO:0006886}; positive regulation of chylomicron remnant clearance {GO:0090321}; positive regulation of lipoprotein lipase activity {GO:0051006}; protein import {GO:0017038}; protein localization to cell surface {GO:0034394}; protein stabilization {GO:0050821}; regulation of lipoprotein lipase activity {GO:0051004}; response to heparin {GO:0071503}; retinoid metabolic process {GO:0001523}; transcytosis {GO:0045056}; triglyceride homeostasis {GO:0070328}</t>
  </si>
  <si>
    <t>anchored component of external side of plasma membrane {GO:0031362}; anchored component of membrane {GO:0031225}; apical plasma membrane {GO:0016324}; basolateral plasma membrane {GO:0016323}; external side of plasma membrane {GO:0009897}; extracellular region {GO:0005576}; membrane {GO:0016020}; plasma membrane {GO:0005886}</t>
  </si>
  <si>
    <t>chylomicron binding {GO:0035478}; lipase binding {GO:0035473}; lipid binding {GO:0008289}; lipoprotein particle binding {GO:0071813}; protein transmembrane transporter activity {GO:0008320}</t>
  </si>
  <si>
    <t>Post-translational modification: synthesis of GPI-anchored proteins {R-HSA-163125}; Assembly of active LPL and LIPC lipase complexes {R-HSA-8963889}; Chylomicron remodeling {R-HSA-8963901}; Retinoid metabolism and transport {R-HSA-975634}</t>
  </si>
  <si>
    <t>Troponin C, skeletal muscle</t>
  </si>
  <si>
    <t>TNNC2_HUMAN</t>
  </si>
  <si>
    <t>P02585</t>
  </si>
  <si>
    <t>Q6FH92</t>
  </si>
  <si>
    <t>Acetylation; Calcium; Metal-binding; Muscle protein; Repeat</t>
  </si>
  <si>
    <t>muscle filament sliding {GO:0030049}; regulation of muscle contraction {GO:0006937}; skeletal muscle contraction {GO:0003009}</t>
  </si>
  <si>
    <t>actin filament binding {GO:0051015}; calcium ion binding {GO:0005509}; calcium-dependent protein binding {GO:0048306}</t>
  </si>
  <si>
    <t>Adenosylhomocysteinase (AdoHcyase)</t>
  </si>
  <si>
    <t>S-adenosyl-L-homocysteine hydrolase</t>
  </si>
  <si>
    <t>SAHH_HUMAN</t>
  </si>
  <si>
    <t>P23526</t>
  </si>
  <si>
    <t>A8K307; B3KUN3; E1P5P2; F5H737; Q96A36</t>
  </si>
  <si>
    <t>SAHH</t>
  </si>
  <si>
    <t>3D-structure; Acetylation; Alternative splicing; Cytoplasm; Disease mutation; Hydrolase; NAD; One-carbon metabolism; Phosphoprotein; Polymorphism</t>
  </si>
  <si>
    <t>chronic inflammatory response to antigenic stimulus {GO:0002439}; circadian sleep/wake cycle {GO:0042745}; methylation {GO:0032259}; one-carbon metabolic process {GO:0006730}; response to hypoxia {GO:0001666}; response to nutrient {GO:0007584}; S-adenosylhomocysteine catabolic process {GO:0019510}; S-adenosylmethionine cycle {GO:0033353}; sulfur amino acid metabolic process {GO:0000096}</t>
  </si>
  <si>
    <t>cytosol {GO:0005829}; extracellular exosome {GO:0070062}; melanosome {GO:0042470}; neuron projection {GO:0043005}; nucleus {GO:0005634}</t>
  </si>
  <si>
    <t>adenosylhomocysteinase activity {GO:0004013}; adenyl nucleotide binding {GO:0030554}; identical protein binding {GO:0042802}; NAD binding {GO:0051287}</t>
  </si>
  <si>
    <t>Methylation {R-HSA-156581}; Sulfur amino acid metabolism {R-HSA-1614635}; Metabolism of ingested SeMet, Sec, MeSec into H2Se {R-HSA-2408508}; Defective AHCY causes Hypermethioninemia with S-adenosylhomocysteine hydrolase deficiency (HMAHCHD) {R-HSA-5578997}</t>
  </si>
  <si>
    <t>Poly(rC)-binding protein 1</t>
  </si>
  <si>
    <t>Alpha-CP1; Heterogeneous nuclear ribonucleoprotein E1 (hnRNP E1); Nucleic acid-binding protein SUB2.3</t>
  </si>
  <si>
    <t>PCBP1_HUMAN</t>
  </si>
  <si>
    <t>Q15365</t>
  </si>
  <si>
    <t>Q13157; Q14975</t>
  </si>
  <si>
    <t>3D-structure; Acetylation; Cytoplasm; DNA-binding; Isopeptide bond; Nucleus; Phosphoprotein; Repeat; Ribonucleoprotein; RNA-binding; Ubl conjugation; Viral RNA replication</t>
  </si>
  <si>
    <t>Viral RNA replication</t>
  </si>
  <si>
    <t>mRNA splicing, via spliceosome {GO:0000398}; positive regulation of transcription by RNA polymerase II {GO:0045944}; RNA metabolic process {GO:0016070}; viral RNA genome replication {GO:0039694}</t>
  </si>
  <si>
    <t>cytoplasm {GO:0005737}; cytoplasmic ribonucleoprotein granule {GO:0036464}; cytosol {GO:0005829}; extracellular exosome {GO:0070062}; membrane {GO:0016020}; nuclear speck {GO:0016607}; nucleoplasm {GO:0005654}</t>
  </si>
  <si>
    <t>cadherin binding {GO:0045296}; DNA-binding transcription factor activity, RNA polymerase II-specific {GO:0000981}; mRNA binding {GO:0003729}; RNA binding {GO:0003723}; sequence-specific single stranded DNA binding {GO:0098847}; single-stranded DNA binding {GO:0003697}</t>
  </si>
  <si>
    <t>Retroviral-like aspartic protease 1</t>
  </si>
  <si>
    <t>Skin-specific retroviral-like aspartic protease (SASPase; Skin aspartic protease); TPA-inducible aspartic proteinase-like protein (TAPS)</t>
  </si>
  <si>
    <t>APRV1_HUMAN</t>
  </si>
  <si>
    <t>Q53RT3</t>
  </si>
  <si>
    <t>Q8N5P2; Q96LT3; Q96N43</t>
  </si>
  <si>
    <t>Aspartyl protease; Autocatalytic cleavage; Glycoprotein; Hydrolase; Membrane; Polymorphism; Protease; Transmembrane; Transmembrane helix</t>
  </si>
  <si>
    <t>protein processing {GO:0016485}; skin development {GO:0043588}</t>
  </si>
  <si>
    <t>EGF-containing fibulin-like extracellular matrix protein 1</t>
  </si>
  <si>
    <t>Extracellular protein S1-5; Fibrillin-like protein; Fibulin-3 (FIBL-3)</t>
  </si>
  <si>
    <t>FBLN3_HUMAN</t>
  </si>
  <si>
    <t>Q12805</t>
  </si>
  <si>
    <t>A8K3I4; B4DW75; D6W5D2; Q541U7</t>
  </si>
  <si>
    <t>FBLN3; FBNL</t>
  </si>
  <si>
    <t>Alternative splicing; Calcium; Disease mutation; Disulfide bond; EGF-like domain; Extracellular matrix; Glycoprotein; Growth factor; Polymorphism; Repeat; Secreted; Signal</t>
  </si>
  <si>
    <t>camera-type eye development {GO:0043010}; embryonic eye morphogenesis {GO:0048048}; epidermal growth factor receptor signaling pathway {GO:0007173}; negative regulation of chondrocyte differentiation {GO:0032331}; peptidyl-tyrosine phosphorylation {GO:0018108}; post-embryonic eye morphogenesis {GO:0048050}; regulation of transcription, DNA-templated {GO:0006355}; visual perception {GO:0007601}</t>
  </si>
  <si>
    <t>calcium ion binding {GO:0005509}; epidermal growth factor receptor binding {GO:0005154}; epidermal growth factor-activated receptor activity {GO:0005006}; growth factor activity {GO:0008083}</t>
  </si>
  <si>
    <t>Angiopoietin-4 (ANG-4)</t>
  </si>
  <si>
    <t>Angiopoietin-3 (ANG-3)</t>
  </si>
  <si>
    <t>ANGP4_HUMAN</t>
  </si>
  <si>
    <t>Q9Y264</t>
  </si>
  <si>
    <t>B4E3J9; Q5TFF4; Q9H4Z4</t>
  </si>
  <si>
    <t>ANG3; ANG4</t>
  </si>
  <si>
    <t>Alternative splicing; Angiogenesis; Coiled coil; Disulfide bond; Glycoprotein; Polymorphism; Secreted; Signal</t>
  </si>
  <si>
    <t>angiogenesis {GO:0001525}; cellular response to hypoxia {GO:0071456}; leukocyte migration {GO:0050900}; negative regulation of angiogenesis {GO:0016525}; negative regulation of apoptotic process {GO:0043066}; negative regulation of blood vessel endothelial cell migration {GO:0043537}; Notch signaling pathway {GO:0007219}; positive regulation of angiogenesis {GO:0045766}; positive regulation of blood vessel endothelial cell migration {GO:0043536}; positive regulation of endothelial cell migration {GO:0010595}; positive regulation of peptidyl-tyrosine phosphorylation {GO:0050731}</t>
  </si>
  <si>
    <t>receptor tyrosine kinase binding {GO:0030971}; transmembrane receptor protein tyrosine kinase activator activity {GO:0030297}</t>
  </si>
  <si>
    <t>Acetyl-coenzyme A synthetase, cytoplasmic</t>
  </si>
  <si>
    <t>Acetate--CoA ligase; Acetyl-CoA synthetase (ACS; AceCS); Acyl-CoA synthetase short-chain family member 2; Acyl-activating enzyme</t>
  </si>
  <si>
    <t>ACSA_HUMAN</t>
  </si>
  <si>
    <t>Q9NR19</t>
  </si>
  <si>
    <t>A6NE90; Q5QPH2; Q5QPH3; Q8N238; Q96EL0; Q9NQP7; Q9UJ15</t>
  </si>
  <si>
    <t>ACAS2</t>
  </si>
  <si>
    <t>Acetylation; Alternative splicing; ATP-binding; Cytoplasm; Ligase; Nucleotide-binding; Phosphoprotein</t>
  </si>
  <si>
    <t>acetate biosynthetic process {GO:0019413}; acetyl-CoA biosynthetic process from acetate {GO:0019427}; ethanol oxidation {GO:0006069}; lipid biosynthetic process {GO:0008610}; propionate biosynthetic process {GO:0019542}</t>
  </si>
  <si>
    <t>cytoplasm {GO:0005737}; cytosol {GO:0005829}; intracellular membrane-bounded organelle {GO:0043231}; mitochondrial matrix {GO:0005759}; nucleoplasm {GO:0005654}</t>
  </si>
  <si>
    <t>acetate-CoA ligase activity {GO:0003987}; AMP binding {GO:0016208}; ATP binding {GO:0005524}</t>
  </si>
  <si>
    <t>Transcriptional activation of mitochondrial biogenesis {R-HSA-2151201}; Ethanol oxidation {R-HSA-71384}</t>
  </si>
  <si>
    <t>Glutathione synthetase (GSH synthetase; GSH-S)</t>
  </si>
  <si>
    <t>Glutathione synthase</t>
  </si>
  <si>
    <t>GSHB_HUMAN</t>
  </si>
  <si>
    <t>P48637</t>
  </si>
  <si>
    <t>B2R697; B6F210; E1P5P9; Q4TTD9</t>
  </si>
  <si>
    <t>3D-structure; Acetylation; Alternative splicing; ATP-binding; Disease mutation; Glutathione biosynthesis; Hereditary hemolytic anemia; Ligase; Magnesium; Metal-binding; Nucleotide-binding; Phosphoprotein; Polymorphism</t>
  </si>
  <si>
    <t>aging {GO:0007568}; cellular amino acid metabolic process {GO:0006520}; glutathione biosynthetic process {GO:0006750}; nervous system development {GO:0007399}; response to amino acid {GO:0043200}; response to cadmium ion {GO:0046686}; response to nutrient levels {GO:0031667}; response to oxidative stress {GO:0006979}; response to tumor necrosis factor {GO:0034612}; response to xenobiotic stimulus {GO:0009410}</t>
  </si>
  <si>
    <t>ATP binding {GO:0005524}; glutathione binding {GO:0043295}; glutathione synthase activity {GO:0004363}; glycine binding {GO:0016594}; identical protein binding {GO:0042802}; magnesium ion binding {GO:0000287}; protein homodimerization activity {GO:0042803}</t>
  </si>
  <si>
    <t>Sulfur metabolism; glutathione biosynthesis; glutathione from L-cysteine and L-glutamate: step 2/2.</t>
  </si>
  <si>
    <t>Glutathione synthesis and recycling {R-HSA-174403}; Defective GSS causes Glutathione synthetase deficiency (GSS deficiency) {R-HSA-5579006}</t>
  </si>
  <si>
    <t>Xanthine oxidase (XD; XO)</t>
  </si>
  <si>
    <t>Xanthine oxidoreductase (XOR)</t>
  </si>
  <si>
    <t>XDH_HUMAN</t>
  </si>
  <si>
    <t>P47989</t>
  </si>
  <si>
    <t>Q16681; Q16712; Q4PJ16</t>
  </si>
  <si>
    <t>XDHA</t>
  </si>
  <si>
    <t>2Fe-2S; 3D-structure; Cytoplasm; Disease mutation; Disulfide bond; FAD; Flavoprotein; Iron; Iron-sulfur; Metal-binding; Molybdenum; NAD; Oxidoreductase; Peroxisome; Polymorphism; Secreted</t>
  </si>
  <si>
    <t>Cytoplasm; Peroxisome; Secreted</t>
  </si>
  <si>
    <t>2Fe-2S; FAD; Flavoprotein; Iron; Iron-sulfur; Metal-binding; Molybdenum; NAD</t>
  </si>
  <si>
    <t>activation of cysteine-type endopeptidase activity involved in apoptotic process {GO:0006919}; lactation {GO:0007595}; negative regulation of endothelial cell differentiation {GO:0045602}; negative regulation of endothelial cell proliferation {GO:0001937}; negative regulation of gene expression {GO:0010629}; negative regulation of protein kinase B signaling {GO:0051898}; negative regulation of protein phosphorylation {GO:0001933}; negative regulation of vascular endothelial growth factor signaling pathway {GO:1900747}; negative regulation of vasculogenesis {GO:2001213}; positive regulation of p38MAPK cascade {GO:1900745}; positive regulation of reactive oxygen species metabolic process {GO:2000379}; purine nucleotide catabolic process {GO:0006195}; xanthine catabolic process {GO:0009115}</t>
  </si>
  <si>
    <t>cytosol {GO:0005829}; extracellular space {GO:0005615}; peroxisome {GO:0005777}; sarcoplasmic reticulum {GO:0016529}</t>
  </si>
  <si>
    <t>2 iron, 2 sulfur cluster binding {GO:0051537}; electron transfer activity {GO:0009055}; FAD binding {GO:0071949}; flavin adenine dinucleotide binding {GO:0050660}; iron ion binding {GO:0005506}; molybdopterin cofactor binding {GO:0043546}; protein homodimerization activity {GO:0042803}; xanthine dehydrogenase activity {GO:0004854}; xanthine oxidase activity {GO:0004855}</t>
  </si>
  <si>
    <t>Purine catabolism {R-HSA-74259}; Butyrophilin (BTN) family interactions {R-HSA-8851680}</t>
  </si>
  <si>
    <t>Acetyl-coenzyme A synthetase 2-like, mitochondrial</t>
  </si>
  <si>
    <t>Acetate--CoA ligase 2; Acetyl-CoA synthetase 2 (AceCS2); Acyl-CoA synthetase short-chain family member 1</t>
  </si>
  <si>
    <t>ACS2L_HUMAN</t>
  </si>
  <si>
    <t>Q9NUB1</t>
  </si>
  <si>
    <t>B3KXL2; B4DJZ3; D3DW48; F5H6F4; F8W7Y1; Q5TF42; Q8IV99; Q8N234; Q96JI1; Q96JX6; Q9NU28</t>
  </si>
  <si>
    <t>ACAS2L; KIAA1846</t>
  </si>
  <si>
    <t>3D-structure; Acetylation; Alternative splicing; ATP-binding; Ligase; Mitochondrion; Nucleotide-binding; Polymorphism; Transit peptide</t>
  </si>
  <si>
    <t>acetate biosynthetic process {GO:0019413}; acetyl-CoA biosynthetic process {GO:0006085}; acetyl-CoA biosynthetic process from acetate {GO:0019427}; ethanol oxidation {GO:0006069}; propionate biosynthetic process {GO:0019542}</t>
  </si>
  <si>
    <t>Tumor necrosis factor receptor superfamily member 6B</t>
  </si>
  <si>
    <t>Decoy receptor 3 (DcR3); Decoy receptor for Fas ligand; M68</t>
  </si>
  <si>
    <t>TNF6B_HUMAN</t>
  </si>
  <si>
    <t>O95407</t>
  </si>
  <si>
    <t>DCR3; TR6</t>
  </si>
  <si>
    <t>3D-structure; Apoptosis; Disulfide bond; Glycoprotein; Receptor; Repeat; Secreted; Signal</t>
  </si>
  <si>
    <t>apoptotic process {GO:0006915}; negative regulation of apoptotic process {GO:0043066}; tumor necrosis factor-mediated signaling pathway {GO:0033209}</t>
  </si>
  <si>
    <t>Rho-associated protein kinase 2</t>
  </si>
  <si>
    <t>Rho kinase 2; Rho-associated, coiled-coil-containing protein kinase 2; Rho-associated, coiled-coil-containing protein kinase II (ROCK-II); p164 ROCK-2</t>
  </si>
  <si>
    <t>ROCK2_HUMAN</t>
  </si>
  <si>
    <t>O75116</t>
  </si>
  <si>
    <t>Q53QZ0; Q53SJ7; Q9UQN5</t>
  </si>
  <si>
    <t>KIAA0619</t>
  </si>
  <si>
    <t>3D-structure; ATP-binding; Biological rhythms; Cell membrane; Coiled coil; Cytoplasm; Cytoskeleton; Kinase; Magnesium; Membrane; Metal-binding; Nucleotide-binding; Nucleus; Phosphoprotein; Polymorphism; Serine/threonine-protein kinase; Transferase; Zinc; Zinc-finger</t>
  </si>
  <si>
    <t>ATP-binding; Magnesium; Metal-binding; Nucleotide-binding; Zinc</t>
  </si>
  <si>
    <t>actomyosin structure organization {GO:0031032}; aortic valve morphogenesis {GO:0003180}; cellular response to acetylcholine {GO:1905145}; cellular response to testosterone stimulus {GO:0071394}; centrosome duplication {GO:0051298}; cortical actin cytoskeleton organization {GO:0030866}; embryonic morphogenesis {GO:0048598}; ephrin receptor signaling pathway {GO:0048013}; G protein-coupled receptor signaling pathway {GO:0007186}; I-kappaB kinase/NF-kappaB signaling {GO:0007249}; mitotic cytokinesis {GO:0000281}; mRNA destabilization {GO:0061157}; negative regulation of angiogenesis {GO:0016525}; negative regulation of bicellular tight junction assembly {GO:1903347}; negative regulation of biomineral tissue development {GO:0070168}; negative regulation of gene expression {GO:0010629}; negative regulation of myosin-light-chain-phosphatase activity {GO:0035509}; negative regulation of nitric oxide biosynthetic process {GO:0045019}; negative regulation of protein localization to lysosome {GO:0150033}; peptidyl-serine phosphorylation {GO:0018105}; peptidyl-threonine phosphorylation {GO:0018107}; positive regulation of amyloid precursor protein catabolic process {GO:1902993}; positive regulation of amyloid-beta formation {GO:1902004}; positive regulation of aspartic-type endopeptidase activity involved in amyloid precursor protein catabolic process {GO:1902961}; positive regulation of cardiac muscle hypertrophy {GO:0010613}; positive regulation of cell migration {GO:0030335}; positive regulation of centrosome duplication {GO:0010825}; positive regulation of connective tissue growth factor production {GO:0032723}; positive regulation of connective tissue replacement {GO:1905205}; positive regulation of endothelial cell migration {GO:0010595}; positive regulation of fibroblast growth factor production {GO:0090271}; positive regulation of gene expression {GO:0010628}; positive regulation of MAPK cascade {GO:0043410}; positive regulation of protein localization to early endosome {GO:1902966}; positive regulation of protein phosphorylation {GO:0001934}; positive regulation of stress fiber assembly {GO:0051496}; protein localization to plasma membrane {GO:0072659}; protein phosphorylation {GO:0006468}; regulation of actin cytoskeleton organization {GO:0032956}; regulation of angiotensin-activated signaling pathway {GO:0110061}; regulation of blood vessel diameter {GO:0097746}; regulation of cell adhesion {GO:0030155}; regulation of cell junction assembly {GO:1901888}; regulation of cell motility {GO:2000145}; regulation of cellular response to hypoxia {GO:1900037}; regulation of circadian rhythm {GO:0042752}; regulation of establishment of cell polarity {GO:2000114}; regulation of establishment of endothelial barrier {GO:1903140}; regulation of focal adhesion assembly {GO:0051893}; regulation of keratinocyte differentiation {GO:0045616}; regulation of neurological system process {GO:0031644}; regulation of protein metabolic process {GO:0051246}; regulation of stress fiber assembly {GO:0051492}; response to angiotensin {GO:1990776}; response to ischemia {GO:0002931}; response to transforming growth factor beta {GO:0071559}; Rho protein signal transduction {GO:0007266}; rhythmic process {GO:0048511}; smooth muscle contraction {GO:0006939}; vascular endothelial growth factor receptor signaling pathway {GO:0048010}; viral RNA genome replication {GO:0039694}</t>
  </si>
  <si>
    <t>centrosome {GO:0005813}; cytoplasm {GO:0005737}; cytoplasmic ribonucleoprotein granule {GO:0036464}; cytoskeleton {GO:0005856}; cytosol {GO:0005829}; nucleus {GO:0005634}; plasma membrane {GO:0005886}</t>
  </si>
  <si>
    <t>ATP binding {GO:0005524}; GTP-Rho binding {GO:0017049}; metal ion binding {GO:0046872}; protein serine/threonine kinase activity {GO:0004674}; Rho-dependent protein serine/threonine kinase activity {GO:0072518}; RNA binding {GO:0003723}; structural molecule activity {GO:0005198}; tau protein binding {GO:0048156}; tau-protein kinase activity {GO:0050321}</t>
  </si>
  <si>
    <t>EPHB-mediated forward signaling {R-HSA-3928662}; EPHA-mediated growth cone collapse {R-HSA-3928663}; G alpha (12/13) signalling events {R-HSA-416482}; Sema4D induced cell migration and growth-cone collapse {R-HSA-416572}; VEGFA-VEGFR2 Pathway {R-HSA-4420097}; RHO GTPases Activate ROCKs {R-HSA-5627117}</t>
  </si>
  <si>
    <t>ANGPTL3(17-224)</t>
  </si>
  <si>
    <t>Angiopoietin-5 (ANG-5); Angiopoietin-like protein 3</t>
  </si>
  <si>
    <t>ANGL3_HUMAN</t>
  </si>
  <si>
    <t>Q9Y5C1</t>
  </si>
  <si>
    <t>A0JLS0; B1ALJ0; B2RCW1</t>
  </si>
  <si>
    <t>ANGPT5</t>
  </si>
  <si>
    <t>3D-structure; Angiogenesis; Cell adhesion; Cell projection; Coiled coil; Disulfide bond; Glycoprotein; Heparin-binding; Lipid metabolism; Polymorphism; Secreted; Signal</t>
  </si>
  <si>
    <t>Angiogenesis; Cell adhesion; Lipid metabolism</t>
  </si>
  <si>
    <t>Cell projection; Secreted</t>
  </si>
  <si>
    <t>acylglycerol homeostasis {GO:0055090}; angiogenesis {GO:0001525}; artery morphogenesis {GO:0048844}; cell-matrix adhesion {GO:0007160}; cholesterol homeostasis {GO:0042632}; cholesterol metabolic process {GO:0008203}; fatty acid metabolic process {GO:0006631}; glycerol metabolic process {GO:0006071}; integrin-mediated signaling pathway {GO:0007229}; lipid homeostasis {GO:0055088}; lipid storage {GO:0019915}; negative regulation of lipoprotein lipase activity {GO:0051005}; negative regulation of phospholipase activity {GO:0010519}; phospholipid catabolic process {GO:0009395}; phospholipid homeostasis {GO:0055091}; phospholipid metabolic process {GO:0006644}; positive regulation of angiogenesis {GO:0045766}; positive regulation of cell migration {GO:0030335}; positive regulation of lipid catabolic process {GO:0050996}; regulation of lipoprotein lipase activity {GO:0051004}; response to hormone {GO:0009725}; signal transduction {GO:0007165}; triglyceride homeostasis {GO:0070328}</t>
  </si>
  <si>
    <t>cell surface {GO:0009986}; early endosome {GO:0005769}; extracellular region {GO:0005576}; extracellular space {GO:0005615}; Golgi apparatus {GO:0005794}; lamellipodium {GO:0030027}</t>
  </si>
  <si>
    <t>enzyme inhibitor activity {GO:0004857}; growth factor activity {GO:0008083}; heparin binding {GO:0008201}; integrin binding {GO:0005178}; phospholipase inhibitor activity {GO:0004859}</t>
  </si>
  <si>
    <t>Assembly of active LPL and LIPC lipase complexes {R-HSA-8963889}</t>
  </si>
  <si>
    <t>Succinate--CoA ligase [ADP/GDP-forming] subunit alpha, mitochondrial</t>
  </si>
  <si>
    <t>Succinyl-CoA synthetase subunit alpha (SCS-alpha)</t>
  </si>
  <si>
    <t>SUCA_HUMAN</t>
  </si>
  <si>
    <t>P53597</t>
  </si>
  <si>
    <t>Q9BWB0; Q9UNP6</t>
  </si>
  <si>
    <t>3D-structure; Acetylation; Disease mutation; Ligase; Mitochondrion; Nucleotide-binding; Polymorphism; Primary mitochondrial disease; Transit peptide; Tricarboxylic acid cycle</t>
  </si>
  <si>
    <t>nucleoside triphosphate biosynthetic process {GO:0009142}; succinate metabolic process {GO:0006105}; succinyl-CoA metabolic process {GO:0006104}; tricarboxylic acid cycle {GO:0006099}</t>
  </si>
  <si>
    <t>cytosol {GO:0005829}; mitochondrial matrix {GO:0005759}; mitochondrion {GO:0005739}; plasma membrane {GO:0005886}</t>
  </si>
  <si>
    <t>cofactor binding {GO:0048037}; nucleoside diphosphate kinase activity {GO:0004550}; nucleotide binding {GO:0000166}; RNA binding {GO:0003723}; succinate-CoA ligase (ADP-forming) activity {GO:0004775}; succinate-CoA ligase (GDP-forming) activity {GO:0004776}</t>
  </si>
  <si>
    <t>Dolichyl-diphosphooligosaccharide--protein glycosyltransferase subunit 2</t>
  </si>
  <si>
    <t>Dolichyl-diphosphooligosaccharide--protein glycosyltransferase 63 kDa subunit; RIBIIR; Ribophorin II (RPN-II); Ribophorin-2</t>
  </si>
  <si>
    <t>RPN2_HUMAN</t>
  </si>
  <si>
    <t>P04844</t>
  </si>
  <si>
    <t>Q5JYR6; Q6IBA5; Q96E21; Q9BUQ3; Q9UBE1</t>
  </si>
  <si>
    <t>Alternative splicing; Endoplasmic reticulum; Glycoprotein; Isopeptide bond; Membrane; Polymorphism; Signal; Transmembrane; Transmembrane helix; Ubl conjugation</t>
  </si>
  <si>
    <t>Glycoprotein; Isopeptide bond; Ubl conjugation</t>
  </si>
  <si>
    <t>aging {GO:0007568}; cellular protein modification process {GO:0006464}; protein N-linked glycosylation {GO:0006487}; protein N-linked glycosylation via asparagine {GO:0018279}; response to drug {GO:0042493}</t>
  </si>
  <si>
    <t>autophagosome membrane {GO:0000421}; endoplasmic reticulum membrane {GO:0005789}; integral component of membrane {GO:0016021}; membrane {GO:0016020}; oligosaccharyltransferase complex {GO:0008250}; rough endoplasmic reticulum {GO:0005791}</t>
  </si>
  <si>
    <t>ribosome binding {GO:0043022}</t>
  </si>
  <si>
    <t>Attractin</t>
  </si>
  <si>
    <t>DPPT-L; Mahogany homolog</t>
  </si>
  <si>
    <t>ATRN_HUMAN</t>
  </si>
  <si>
    <t>O75882</t>
  </si>
  <si>
    <t>A8KAE5; O60295; O95414; Q3MIT3; Q5TDA2; Q5TDA4; Q5VYW3; Q9NTQ3; Q9NTQ4; Q9NU01; Q9NZ57; Q9NZ58; Q9UC75; Q9UDF5</t>
  </si>
  <si>
    <t>KIAA0548; MGCA</t>
  </si>
  <si>
    <t>Alternative splicing; Cell membrane; Disulfide bond; EGF-like domain; Glycoprotein; Inflammatory response; Kelch repeat; Laminin EGF-like domain; Lectin; Membrane; Polymorphism; Receptor; Repeat; Secreted; Signal; Transmembrane; Transmembrane helix</t>
  </si>
  <si>
    <t>EGF-like domain; Kelch repeat; Laminin EGF-like domain; Repeat; Signal; Transmembrane; Transmembrane helix</t>
  </si>
  <si>
    <t>animal organ morphogenesis {GO:0009887}; cerebellum development {GO:0021549}; inflammatory response {GO:0006954}; myelination {GO:0042552}; pigmentation {GO:0043473}; regulation of multicellular organism growth {GO:0040014}; response to oxidative stress {GO:0006979}; tissue development {GO:0009888}</t>
  </si>
  <si>
    <t>cytoplasm {GO:0005737}; extracellular exosome {GO:0070062}; extracellular space {GO:0005615}; integral component of plasma membrane {GO:0005887}; plasma membrane {GO:0005886}</t>
  </si>
  <si>
    <t>carbohydrate binding {GO:0030246}; signaling receptor activity {GO:0038023}</t>
  </si>
  <si>
    <t>Syntaxin-12</t>
  </si>
  <si>
    <t>STX12_HUMAN</t>
  </si>
  <si>
    <t>Q86Y82</t>
  </si>
  <si>
    <t>B1AJQ7; O95564</t>
  </si>
  <si>
    <t>3D-structure; Acetylation; Coiled coil; Endosome; Golgi apparatus; Membrane; Phosphoprotein; Polymorphism; Protein transport; Transmembrane; Transmembrane helix; Transport</t>
  </si>
  <si>
    <t>autophagosome assembly {GO:0000045}; cholesterol efflux {GO:0033344}; intracellular protein transport {GO:0006886}; protein stabilization {GO:0050821}; vesicle docking {GO:0048278}; vesicle fusion {GO:0006906}</t>
  </si>
  <si>
    <t>early endosome membrane {GO:0031901}; endomembrane system {GO:0012505}; Golgi membrane {GO:0000139}; integral component of membrane {GO:0016021}; integral component of synaptic vesicle membrane {GO:0030285}; membrane raft {GO:0045121}; phagocytic vesicle {GO:0045335}; phagophore assembly site {GO:0000407}; postsynaptic recycling endosome {GO:0098837}; recycling endosome membrane {GO:0055038}; SNARE complex {GO:0031201}; synaptic vesicle {GO:0008021}; vesicle {GO:0031982}</t>
  </si>
  <si>
    <t>SNAP receptor activity {GO:0005484}; SNARE binding {GO:0000149}</t>
  </si>
  <si>
    <t>Tyrosine-protein phosphatase non-receptor type substrate 1 (SHP substrate 1; SHPS-1)</t>
  </si>
  <si>
    <t>Brain Ig-like molecule with tyrosine-based activation motifs (Bit); CD172 antigen-like family member A; Inhibitory receptor SHPS-1; Macrophage fusion receptor; MyD-1 antigen; Signal-regulatory protein alpha-1 (Sirp-alpha-1); Signal-regulatory protein alpha-2 (Sirp-alpha-2); Signal-regulatory protein alpha-3 (Sirp-alpha-3); p84; CD_antigen=CD172a</t>
  </si>
  <si>
    <t>SHPS1_HUMAN</t>
  </si>
  <si>
    <t>P78324</t>
  </si>
  <si>
    <t>A2A2E1; A8K411; B2R6C3; O00683; O43799; Q8N517; Q8TAL8; Q9H0Z2; Q9UDX2; Q9UIJ6; Q9Y4U9</t>
  </si>
  <si>
    <t>BIT; MFR; MYD1; PTPNS1; SHPS1; SIRP</t>
  </si>
  <si>
    <t>3D-structure; Alternative splicing; Disulfide bond; Glycoprotein; Immunoglobulin domain; Membrane; Phosphoprotein; Polymorphism; Repeat; SH3-binding; Signal; Transmembrane; Transmembrane helix</t>
  </si>
  <si>
    <t>Immunoglobulin domain; Repeat; SH3-binding; Signal; Transmembrane; Transmembrane helix</t>
  </si>
  <si>
    <t>cell adhesion {GO:0007155}; cell migration {GO:0016477}; cellular response to hydrogen peroxide {GO:0070301}; cellular response to interferon-gamma {GO:0071346}; cellular response to interleukin-1 {GO:0071347}; cellular response to interleukin-12 {GO:0071349}; cellular response to lipopolysaccharide {GO:0071222}; leukocyte migration {GO:0050900}; monocyte extravasation {GO:0035696}; negative regulation of chemokine (C-C motif) ligand 5 production {GO:0071650}; negative regulation of cytokine production involved in inflammatory response {GO:1900016}; negative regulation of ERK1 and ERK2 cascade {GO:0070373}; negative regulation of I-kappaB phosphorylation {GO:1903720}; negative regulation of inflammatory response {GO:0050728}; negative regulation of interferon-beta production {GO:0032688}; negative regulation of interleukin-6 production {GO:0032715}; negative regulation of JNK cascade {GO:0046329}; negative regulation of macrophage inflammatory protein 1 alpha production {GO:0071641}; negative regulation of nitric oxide biosynthetic process {GO:0045019}; negative regulation of phagocytosis {GO:0050765}; negative regulation of protein phosphorylation {GO:0001933}; negative regulation of tumor necrosis factor production {GO:0032720}; neutrophil degranulation {GO:0043312}; positive regulation of cell-cell adhesion {GO:0022409}; positive regulation of phagocytosis {GO:0050766}; positive regulation of T cell activation {GO:0050870}; regulation of gene expression {GO:0010468}; regulation of interferon-gamma production {GO:0032649}; regulation of interleukin-1 beta production {GO:0032651}; regulation of interleukin-6 production {GO:0032675}; regulation of nitric oxide biosynthetic process {GO:0045428}; regulation of tumor necrosis factor production {GO:0032680}</t>
  </si>
  <si>
    <t>cell surface {GO:0009986}; extracellular exosome {GO:0070062}; ficolin-1-rich granule membrane {GO:0101003}; integral component of plasma membrane {GO:0005887}; membrane {GO:0016020}; plasma membrane {GO:0005886}; tertiary granule membrane {GO:0070821}</t>
  </si>
  <si>
    <t>cell-cell adhesion mediator activity {GO:0098632}; GTPase regulator activity {GO:0030695}; protein antigen binding {GO:1990405}; protein binding involved in heterotypic cell-cell adhesion {GO:0086080}; protein phosphatase binding {GO:0019903}; protein tyrosine kinase binding {GO:1990782}; SH3 domain binding {GO:0017124}</t>
  </si>
  <si>
    <t>Cell surface interactions at the vascular wall {R-HSA-202733}; Signal regulatory protein family interactions {R-HSA-391160}; Neutrophil degranulation {R-HSA-6798695}</t>
  </si>
  <si>
    <t>Putative hydrolase RBBP9</t>
  </si>
  <si>
    <t>B5T-overexpressed gene protein (Protein BOG); Retinoblastoma-binding protein 10 (RBBP-10); Retinoblastoma-binding protein 9 (RBBP-9)</t>
  </si>
  <si>
    <t>RBBP9_HUMAN</t>
  </si>
  <si>
    <t>O75884</t>
  </si>
  <si>
    <t>D3DW31; Q5JPH9; Q9H1D8</t>
  </si>
  <si>
    <t>BOG; RBBP10</t>
  </si>
  <si>
    <t>3D-structure; Alternative splicing; Cytoplasm; Hydrolase; Nucleus; Phosphoprotein</t>
  </si>
  <si>
    <t>regulation of cell population proliferation {GO:0042127}</t>
  </si>
  <si>
    <t>Immunoglobulin kappa variable 2D-28</t>
  </si>
  <si>
    <t>Ig kappa chain V-II region FR; Ig kappa chain V-II region GM607; Ig kappa chain V-II region MIL; Ig kappa chain V-II region TEW</t>
  </si>
  <si>
    <t>KVD28_HUMAN</t>
  </si>
  <si>
    <t>P01615</t>
  </si>
  <si>
    <t>A0A0A0MTQ6; P01616; P01617; P06309</t>
  </si>
  <si>
    <t>3D-structure; Adaptive immunity; Cell membrane; Disulfide bond; Immunity; Immunoglobulin; Membrane; Polymorphism; Secreted; Signal</t>
  </si>
  <si>
    <t>complement activation {GO:0006956}; complement activation, classical pathway {GO:0006958}; Fc-epsilon receptor signaling pathway {GO:0038095}; Fc-gamma receptor signaling pathway involved in phagocytosis {GO:0038096}; immune response {GO:0006955}; immunoglobulin production {GO:0002377}; leukocyte migration {GO:0050900}; receptor-mediated endocytosis {GO:0006898}; regulation of complement activation {GO:0030449}; regulation of immune response {GO:0050776}</t>
  </si>
  <si>
    <t>antigen binding {GO:0003823}</t>
  </si>
  <si>
    <t>Aldose 1-epimerase</t>
  </si>
  <si>
    <t>Galactose mutarotase</t>
  </si>
  <si>
    <t>GALM_HUMAN</t>
  </si>
  <si>
    <t>Q96C23</t>
  </si>
  <si>
    <t>Q53RY1; Q8NIA2; V9HWA8</t>
  </si>
  <si>
    <t>3D-structure; Acetylation; Carbohydrate metabolism; Cytoplasm; Isomerase; Phosphoprotein; Polymorphism</t>
  </si>
  <si>
    <t>galactose catabolic process via UDP-galactose {GO:0033499}; galactose metabolic process {GO:0006012}; glucose metabolic process {GO:0006006}</t>
  </si>
  <si>
    <t>aldose 1-epimerase activity {GO:0004034}; carbohydrate binding {GO:0030246}</t>
  </si>
  <si>
    <t>MICOS complex subunit MIC60</t>
  </si>
  <si>
    <t>Cell proliferation-inducing gene 4/52 protein; Mitochondrial inner membrane protein; Mitofilin; p87/89</t>
  </si>
  <si>
    <t>MIC60_HUMAN</t>
  </si>
  <si>
    <t>Q16891</t>
  </si>
  <si>
    <t>B1H0U5; B2R5N6; Q14539; Q15092; Q68D41; Q69HW5; Q6IBL0; Q7Z3X1; Q8TAJ5; Q9P0V2</t>
  </si>
  <si>
    <t>HMP; MIC60; MINOS2</t>
  </si>
  <si>
    <t>Acetylation; Alternative splicing; Membrane; Mitochondrion; Mitochondrion inner membrane; Phosphoprotein; Polymorphism; Transit peptide; Transmembrane; Transmembrane helix</t>
  </si>
  <si>
    <t>cristae formation {GO:0042407}; mitochondrial calcium ion homeostasis {GO:0051560}</t>
  </si>
  <si>
    <t>membrane {GO:0016020}; MICOS complex {GO:0061617}; mitochondrial inner membrane {GO:0005743}; mitochondrion {GO:0005739}</t>
  </si>
  <si>
    <t>Vesicle-associated membrane protein-associated protein B/C (VAMP-B/VAMP-C; VAMP-associated protein B/C; VAP-B/VAP-C)</t>
  </si>
  <si>
    <t>VAPB_HUMAN</t>
  </si>
  <si>
    <t>O95292</t>
  </si>
  <si>
    <t>A2A2F2; O95293; Q9P0H0</t>
  </si>
  <si>
    <t>3D-structure; Acetylation; Alternative splicing; Amyotrophic lateral sclerosis; Coiled coil; Disease mutation; Endoplasmic reticulum; Host-virus interaction; Isopeptide bond; Membrane; Neurodegeneration; Phosphoprotein; Transmembrane; Transmembrane helix; Ubl conjugation; Unfolded protein response</t>
  </si>
  <si>
    <t>Host-virus interaction; Unfolded protein response</t>
  </si>
  <si>
    <t>cellular calcium ion homeostasis {GO:0006874}; COPII-coated vesicle budding {GO:0090114}; endoplasmic reticulum organization {GO:0007029}; endoplasmic reticulum to Golgi vesicle-mediated transport {GO:0006888}; endoplasmic reticulum unfolded protein response {GO:0030968}; IRE1-mediated unfolded protein response {GO:0036498}; modulation by host of viral RNA genome replication {GO:0044830}; modulation by virus of host morphology or physiology {GO:0019048}; negative regulation by host of viral genome replication {GO:0044828}; negative regulation by host of viral release from host cell {GO:0044790}; negative regulation by virus of viral protein levels in host cell {GO:0046725}; positive regulation by host of viral genome replication {GO:0044829}; positive regulation by host of viral release from host cell {GO:0044791}; positive regulation of viral genome replication {GO:0045070}; sphingolipid biosynthetic process {GO:0030148}</t>
  </si>
  <si>
    <t>cytoplasm {GO:0005737}; endoplasmic reticulum {GO:0005783}; endoplasmic reticulum membrane {GO:0005789}; Golgi apparatus {GO:0005794}; Golgi membrane {GO:0000139}; integral component of membrane {GO:0016021}</t>
  </si>
  <si>
    <t>beta-tubulin binding {GO:0048487}; cadherin binding {GO:0045296}; enzyme binding {GO:0019899}; FFAT motif binding {GO:0033149}; microtubule binding {GO:0008017}; protein heterodimerization activity {GO:0046982}; protein homodimerization activity {GO:0042803}</t>
  </si>
  <si>
    <t>Sphingolipid de novo biosynthesis {R-HSA-1660661}</t>
  </si>
  <si>
    <t>Ephrin type-A receptor 2</t>
  </si>
  <si>
    <t>Epithelial cell kinase; Tyrosine-protein kinase receptor ECK</t>
  </si>
  <si>
    <t>EPHA2_HUMAN</t>
  </si>
  <si>
    <t>P29317</t>
  </si>
  <si>
    <t>B5A968; Q8N3Z2</t>
  </si>
  <si>
    <t>ECK</t>
  </si>
  <si>
    <t>3D-structure; Alternative splicing; Angiogenesis; Apoptosis; ATP-binding; Cataract; Cell adhesion; Cell junction; Cell membrane; Cell projection; Differentiation; Disease mutation; Disulfide bond; Glycoprotein; Host cell receptor for virus entry; Host-virus interaction; Kinase; Membrane; Nucleotide-binding; Phosphoprotein; Polymorphism; Receptor; Repeat; Signal; Transferase; Transmembrane; Transmembrane helix; Tyrosine-protein kinase; Ubl conjugation</t>
  </si>
  <si>
    <t>Angiogenesis; Apoptosis; Cell adhesion; Differentiation; Host-virus interaction</t>
  </si>
  <si>
    <t>activation of GTPase activity {GO:0090630}; axial mesoderm formation {GO:0048320}; axon guidance {GO:0007411}; blood vessel endothelial cell proliferation involved in sprouting angiogenesis {GO:0002043}; bone remodeling {GO:0046849}; branching involved in mammary gland duct morphogenesis {GO:0060444}; cAMP metabolic process {GO:0046058}; cell adhesion {GO:0007155}; cell chemotaxis {GO:0060326}; cell migration {GO:0016477}; cell motility {GO:0048870}; defense response to Gram-positive bacterium {GO:0050830}; ephrin receptor signaling pathway {GO:0048013}; inflammatory response {GO:0006954}; intrinsic apoptotic signaling pathway in response to DNA damage {GO:0008630}; keratinocyte differentiation {GO:0030216}; lens fiber cell morphogenesis {GO:0070309}; mammary gland epithelial cell proliferation {GO:0033598}; multicellular organism development {GO:0007275}; negative regulation of angiogenesis {GO:0016525}; negative regulation of chemokine production {GO:0032682}; negative regulation of lymphangiogenesis {GO:1901491}; negative regulation of protein kinase B signaling {GO:0051898}; neural tube development {GO:0021915}; notochord cell development {GO:0060035}; notochord formation {GO:0014028}; osteoblast differentiation {GO:0001649}; osteoclast differentiation {GO:0030316}; pericyte cell differentiation {GO:1904238}; positive regulation of bicellular tight junction assembly {GO:1903348}; positive regulation of protein localization to plasma membrane {GO:1903078}; post-anal tail morphogenesis {GO:0036342}; protein kinase B signaling {GO:0043491}; protein localization to plasma membrane {GO:0072659}; regulation of angiogenesis {GO:0045765}; regulation of blood vessel endothelial cell migration {GO:0043535}; regulation of cell adhesion mediated by integrin {GO:0033628}; regulation of ERK1 and ERK2 cascade {GO:0070372}; regulation of lamellipodium assembly {GO:0010591}; response to growth factor {GO:0070848}; skeletal system development {GO:0001501}; transmembrane receptor protein tyrosine kinase signaling pathway {GO:0007169}; vasculogenesis {GO:0001570}</t>
  </si>
  <si>
    <t>cell surface {GO:0009986}; focal adhesion {GO:0005925}; integral component of plasma membrane {GO:0005887}; lamellipodium {GO:0030027}; lamellipodium membrane {GO:0031258}; leading edge membrane {GO:0031256}; neuron projection {GO:0043005}; plasma membrane {GO:0005886}; receptor complex {GO:0043235}; ruffle membrane {GO:0032587}; tight junction {GO:0070160}</t>
  </si>
  <si>
    <t>ATP binding {GO:0005524}; cadherin binding {GO:0045296}; transmembrane receptor protein tyrosine kinase activity {GO:0004714}; transmembrane-ephrin receptor activity {GO:0005005}; virus receptor activity {GO:0001618}</t>
  </si>
  <si>
    <t>Lysosomal protective protein 20 kDa chain</t>
  </si>
  <si>
    <t>Carboxypeptidase C; Carboxypeptidase L; Cathepsin A; Protective protein cathepsin A (PPCA); Protective protein for beta-galactosidase</t>
  </si>
  <si>
    <t>PPGB_HUMAN</t>
  </si>
  <si>
    <t>P10619</t>
  </si>
  <si>
    <t>B2R798; Q561W6; Q5JZH1; Q96KJ2; Q9BR08; Q9BW68</t>
  </si>
  <si>
    <t>PPGB</t>
  </si>
  <si>
    <t>3D-structure; Alternative splicing; Carboxypeptidase; Disease mutation; Disulfide bond; Glycoprotein; Hydrolase; Lysosome; Protease; Signal; Zymogen</t>
  </si>
  <si>
    <t>Carboxypeptidase; Hydrolase; Protease</t>
  </si>
  <si>
    <t>glycosphingolipid metabolic process {GO:0006687}; intracellular protein transport {GO:0006886}; negative regulation of chaperone-mediated autophagy {GO:1904715}; neutrophil degranulation {GO:0043312}; proteolysis {GO:0006508}; proteolysis involved in cellular protein catabolic process {GO:0051603}; regulation of chaperone-mediated autophagy {GO:1904714}; regulation of protein stability {GO:0031647}</t>
  </si>
  <si>
    <t>azurophil granule lumen {GO:0035578}; endoplasmic reticulum {GO:0005783}; extracellular exosome {GO:0070062}; extracellular region {GO:0005576}; intracellular membrane-bounded organelle {GO:0043231}; lysosomal lumen {GO:0043202}; lysosome {GO:0005764}; membrane {GO:0016020}; nucleoplasm {GO:0005654}</t>
  </si>
  <si>
    <t>carboxypeptidase activity {GO:0004180}; enzyme activator activity {GO:0008047}; serine-type carboxypeptidase activity {GO:0004185}</t>
  </si>
  <si>
    <t>Glycosphingolipid metabolism {R-HSA-1660662}; MHC class II antigen presentation {R-HSA-2132295}; Sialic acid metabolism {R-HSA-4085001}; Defective NEU1 causes sialidosis {R-HSA-4341670}; Neutrophil degranulation {R-HSA-6798695}</t>
  </si>
  <si>
    <t>Phospholipid transfer protein</t>
  </si>
  <si>
    <t>Lipid transfer protein II</t>
  </si>
  <si>
    <t>PLTP_HUMAN</t>
  </si>
  <si>
    <t>P55058</t>
  </si>
  <si>
    <t>A8K006; B4DDD5; B4DRB4; E1P5N8; E7EV16; Q8WTT1; Q9BR07; Q9BSH8</t>
  </si>
  <si>
    <t>Alternative splicing; Disulfide bond; Glycoprotein; Lipid transport; Polymorphism; Secreted; Signal; Transport</t>
  </si>
  <si>
    <t>ceramide transport {GO:0035627}; flagellated sperm motility {GO:0030317}; high-density lipoprotein particle remodeling {GO:0034375}; lipid metabolic process {GO:0006629}; lipid transport {GO:0006869}; phospholipid transport {GO:0015914}; positive regulation of cholesterol efflux {GO:0010875}; vitamin E biosynthetic process {GO:0010189}</t>
  </si>
  <si>
    <t>extracellular region {GO:0005576}; extracellular space {GO:0005615}; high-density lipoprotein particle {GO:0034364}</t>
  </si>
  <si>
    <t>ceramide binding {GO:0097001}; ceramide transporter activity {GO:0035620}; diacylglycerol binding {GO:0019992}; lipid transporter activity {GO:0005319}; phosphatidic acid binding {GO:0070300}; phosphatidic acid transporter activity {GO:1990050}; phosphatidylcholine binding {GO:0031210}; phosphatidylcholine transporter activity {GO:0008525}; phosphatidylethanolamine binding {GO:0008429}; phosphatidylethanolamine transporter activity {GO:1904121}; phosphatidylglycerol binding {GO:1901611}; phospholipid transporter activity {GO:0005548}</t>
  </si>
  <si>
    <t>Breast carcinoma-amplified sequence 1</t>
  </si>
  <si>
    <t>Amplified and overexpressed in breast cancer; Novel amplified in breast cancer 1</t>
  </si>
  <si>
    <t>BCAS1_HUMAN</t>
  </si>
  <si>
    <t>O75363</t>
  </si>
  <si>
    <t>A0AVG5; Q68CZ3</t>
  </si>
  <si>
    <t>AIBC1; NABC1</t>
  </si>
  <si>
    <t>Alternative splicing; Cytoplasm; Phosphoprotein; Polymorphism</t>
  </si>
  <si>
    <t>myelination {GO:0042552}</t>
  </si>
  <si>
    <t>cytoplasm {GO:0005737}; extracellular exosome {GO:0070062}; postsynaptic density {GO:0014069}</t>
  </si>
  <si>
    <t>Glutamine--fructose-6-phosphate aminotransferase [isomerizing] 1</t>
  </si>
  <si>
    <t>D-fructose-6-phosphate amidotransferase 1; Glutamine:fructose-6-phosphate amidotransferase 1 (GFAT 1; GFAT1); Hexosephosphate aminotransferase 1</t>
  </si>
  <si>
    <t>GFPT1_HUMAN</t>
  </si>
  <si>
    <t>Q06210</t>
  </si>
  <si>
    <t>Q53QE6; Q9BXF8</t>
  </si>
  <si>
    <t>GFAT; GFPT</t>
  </si>
  <si>
    <t>3D-structure; Alternative splicing; Aminotransferase; Biological rhythms; Congenital myasthenic syndrome; Disease mutation; Glutamine amidotransferase; Phosphoprotein; Repeat; Transferase</t>
  </si>
  <si>
    <t>Congenital myasthenic syndrome; Disease mutation</t>
  </si>
  <si>
    <t>Glutamine amidotransferase; Repeat</t>
  </si>
  <si>
    <t>circadian regulation of gene expression {GO:0032922}; energy reserve metabolic process {GO:0006112}; fructose 6-phosphate metabolic process {GO:0006002}; glutamine metabolic process {GO:0006541}; IRE1-mediated unfolded protein response {GO:0036498}; protein N-linked glycosylation {GO:0006487}; UDP-N-acetylglucosamine biosynthetic process {GO:0006048}; UDP-N-acetylglucosamine metabolic process {GO:0006047}</t>
  </si>
  <si>
    <t>carbohydrate derivative binding {GO:0097367}; glutamine-fructose-6-phosphate transaminase (isomerizing) activity {GO:0004360}</t>
  </si>
  <si>
    <t>Nucleotide-sugar biosynthesis; UDP-N-acetyl-alpha-D- glucosamine biosynthesis; alpha-D-glucosamine 6-phosphate from D- fructose 6-phosphate: step 1/1..</t>
  </si>
  <si>
    <t>XBP1(S) activates chaperone genes {R-HSA-381038}; Defective GFPT1 causes CMSTA1 {R-HSA-4085023}; Synthesis of UDP-N-acetyl-glucosamine {R-HSA-446210}</t>
  </si>
  <si>
    <t>Latent-transforming growth factor beta-binding protein 1 (LTBP-1)</t>
  </si>
  <si>
    <t>Transforming growth factor beta-1-binding protein 1 (TGF-beta1-BP-1)</t>
  </si>
  <si>
    <t>LTBP1_HUMAN</t>
  </si>
  <si>
    <t>Q14766</t>
  </si>
  <si>
    <t>A1L3V1; P22064; Q53SD8; Q53SF3; Q53SG1; Q59HF7; Q8TD95</t>
  </si>
  <si>
    <t>3D-structure; Alternative splicing; Disulfide bond; EGF-like domain; Extracellular matrix; Glycoprotein; Growth factor binding; Hydroxylation; Phosphoprotein; Repeat; Secreted; Signal</t>
  </si>
  <si>
    <t>aorta development {GO:0035904}; cellular protein metabolic process {GO:0044267}; coronary vasculature development {GO:0060976}; post-translational protein modification {GO:0043687}; regulation of transforming growth factor beta activation {GO:1901388}; sequestering of TGFbeta in extracellular matrix {GO:0035583}; ventricular septum development {GO:0003281}</t>
  </si>
  <si>
    <t>collagen-containing extracellular matrix {GO:0062023}; endoplasmic reticulum lumen {GO:0005788}; extracellular matrix {GO:0031012}; extracellular region {GO:0005576}; microfibril {GO:0001527}; protein-containing complex {GO:0032991}</t>
  </si>
  <si>
    <t>calcium ion binding {GO:0005509}; microfibril binding {GO:0050436}; transforming growth factor beta binding {GO:0050431}; transforming growth factor beta-activated receptor activity {GO:0005024}</t>
  </si>
  <si>
    <t>Molecules associated with elastic fibres {R-HSA-2129379}; Regulation of Insulin-like Growth Factor (IGF) transport and uptake by Insulin-like Growth Factor Binding Proteins (IGFBPs) {R-HSA-381426}; Post-translational protein phosphorylation {R-HSA-8957275}</t>
  </si>
  <si>
    <t>Microtubule-associated protein RP/EB family member 1</t>
  </si>
  <si>
    <t>APC-binding protein EB1; End-binding protein 1 (EB1)</t>
  </si>
  <si>
    <t>MARE1_HUMAN</t>
  </si>
  <si>
    <t>Q15691</t>
  </si>
  <si>
    <t>B2R6I7; E1P5M8; Q3KQS8</t>
  </si>
  <si>
    <t>3D-structure; Acetylation; Cell cycle; Cell division; Cytoplasm; Cytoskeleton; Golgi apparatus; Microtubule; Mitosis; Phosphoprotein</t>
  </si>
  <si>
    <t>Cytoplasm; Cytoskeleton; Golgi apparatus; Microtubule</t>
  </si>
  <si>
    <t>cell division {GO:0051301}; cell migration {GO:0016477}; ciliary basal body-plasma membrane docking {GO:0097711}; G2/M transition of mitotic cell cycle {GO:0000086}; negative regulation of microtubule polymerization {GO:0031115}; positive regulation of cell migration {GO:0030335}; positive regulation of microtubule plus-end binding {GO:1903033}; positive regulation of microtubule polymerization {GO:0031116}; protein localization {GO:0008104}; protein localization to microtubule {GO:0035372}; protein localization to microtubule plus-end {GO:1904825}; regulation of G2/M transition of mitotic cell cycle {GO:0010389}; regulation of microtubule polymerization or depolymerization {GO:0031110}; spindle assembly {GO:0051225}</t>
  </si>
  <si>
    <t>cell projection membrane {GO:0031253}; centrosome {GO:0005813}; cortical microtubule cytoskeleton {GO:0030981}; cytoplasmic microtubule {GO:0005881}; cytosol {GO:0005829}; focal adhesion {GO:0005925}; Golgi apparatus {GO:0005794}; microtubule {GO:0005874}; microtubule organizing center {GO:0005815}; microtubule plus-end {GO:0035371}; mitotic spindle astral microtubule end {GO:1905721}; spindle midzone {GO:0051233}</t>
  </si>
  <si>
    <t>cadherin binding {GO:0045296}; identical protein binding {GO:0042802}; microtubule binding {GO:0008017}; microtubule plus-end binding {GO:0051010}; protein C-terminus binding {GO:0008022}; protein kinase binding {GO:0019901}; RNA binding {GO:0003723}</t>
  </si>
  <si>
    <t>Amplification of signal from unattached kinetochores via a MAD2 inhibitory signal {R-HSA-141444}; Separation of Sister Chromatids {R-HSA-2467813}; Resolution of Sister Chromatid Cohesion {R-HSA-2500257}; Regulation of PLK1 Activity at G2/M Transition {R-HSA-2565942};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Formins {R-HSA-5663220}; Mitotic Prometaphase {R-HSA-68877}; The role of GTSE1 in G2/M progression after G2 checkpoint {R-HSA-8852276}; AURKA Activation by TPX2 {R-HSA-8854518}</t>
  </si>
  <si>
    <t>Actin-related protein 2</t>
  </si>
  <si>
    <t>Actin-like protein 2</t>
  </si>
  <si>
    <t>ARP2_HUMAN</t>
  </si>
  <si>
    <t>P61160</t>
  </si>
  <si>
    <t>B2RCP5; D6W5F4; E9PF41; O15142; Q96C82</t>
  </si>
  <si>
    <t>Acetylation; Actin-binding; Alternative splicing; ATP-binding; Cell projection; Cytoplasm; Cytoskeleton; Nucleotide-binding; Nucleus</t>
  </si>
  <si>
    <t>Arp2/3 complex-mediated actin nucleation {GO:0034314}; associative learning {GO:0008306}; asymmetric cell division {GO:0008356}; cellular response to interferon-gamma {GO:0071346}; cellular response to trichostatin A {GO:0035984}; cilium assembly {GO:0060271}; cytosolic transport {GO:0016482}; ephrin receptor signaling pathway {GO:0048013}; establishment or maintenance of cell polarity {GO:0007163}; Fc-gamma receptor signaling pathway involved in phagocytosis {GO:0038096}; meiotic chromosome movement towards spindle pole {GO:0016344}; meiotic cytokinesis {GO:0033206}; membrane organization {GO:0061024}; neutrophil degranulation {GO:0043312}; positive regulation of dendritic spine morphogenesis {GO:0061003}; positive regulation of double-strand break repair via homologous recombination {GO:1905168}; positive regulation of transcription by RNA polymerase II {GO:0045944}; response to ethanol {GO:0045471}; response to immobilization stress {GO:0035902}; spindle localization {GO:0051653}</t>
  </si>
  <si>
    <t>actin cap {GO:0030478}; actin cortical patch {GO:0030479}; actin cytoskeleton {GO:0015629}; Arp2/3 protein complex {GO:0005885}; azurophil granule lumen {GO:0035578}; cytoplasm {GO:0005737}; cytosol {GO:0005829}; extracellular exosome {GO:0070062}; extracellular region {GO:0005576}; ficolin-1-rich granule lumen {GO:1904813}; focal adhesion {GO:0005925}; invadopodium {GO:0071437}; lamellipodium {GO:0030027}; membrane {GO:0016020}; nucleus {GO:0005634}; podosome core {GO:0061825}; postsynaptic density {GO:0014069}; site of double-strand break {GO:0035861}</t>
  </si>
  <si>
    <t>14-3-3 protein theta</t>
  </si>
  <si>
    <t>14-3-3 protein T-cell; 14-3-3 protein tau; Protein HS1</t>
  </si>
  <si>
    <t>1433T_HUMAN</t>
  </si>
  <si>
    <t>P27348</t>
  </si>
  <si>
    <t>D6W4Z5; Q567U5; Q5TZU8; Q9UP48</t>
  </si>
  <si>
    <t>3D-structure; Acetylation; Cytoplasm; Isopeptide bond; Nitration; Phosphoprotein; Ubl conjugation</t>
  </si>
  <si>
    <t>Acetylation; Isopeptide bond; Nitration; Phosphoprotein; Ubl conjugation</t>
  </si>
  <si>
    <t>membrane organization {GO:0061024}; negative regulation of ion transmembrane transport {GO:0034766}; negative regulation of transcription, DNA-templated {GO:0045892}; positive regulation of protein insertion into mitochondrial membrane involved in apoptotic signaling pathway {GO:1900740}; protein targeting {GO:0006605}; small GTPase mediated signal transduction {GO:0007264}; substantia nigra development {GO:0021762}</t>
  </si>
  <si>
    <t>cytoplasm {GO:0005737}; cytosol {GO:0005829}; extracellular exosome {GO:0070062}; focal adhesion {GO:0005925}; membrane {GO:0016020}; mitochondrion {GO:0005739}; protein-containing complex {GO:0032991}; synapse {GO:0045202}</t>
  </si>
  <si>
    <t>14-3-3 protein binding {GO:0071889}; identical protein binding {GO:0042802}; ion channel binding {GO:0044325}; protein C-terminus binding {GO:0008022}; protein domain specific binding {GO:0019904}; protein N-terminus binding {GO:0047485}</t>
  </si>
  <si>
    <t>Activation of BAD and translocation to mitochondria {R-HSA-111447}; Translocation of SLC2A4 (GLUT4) to the plasma membrane {R-HSA-1445148}; RHO GTPases activate PKNs {R-HSA-5625740}; TP53 Regulates Metabolic Genes {R-HSA-5628897}; Chk1/Chk2(Cds1) mediated inactivation of Cyclin B:Cdk1 complex {R-HSA-75035}; Regulation of localization of FOXO transcription factors {R-HSA-9614399}</t>
  </si>
  <si>
    <t>Ketohexokinase</t>
  </si>
  <si>
    <t>Hepatic fructokinase</t>
  </si>
  <si>
    <t>KHK_HUMAN</t>
  </si>
  <si>
    <t>P50053</t>
  </si>
  <si>
    <t>Q6IBK2; Q99532; Q9BRJ3; Q9UMN1</t>
  </si>
  <si>
    <t>3D-structure; Alternative splicing; ATP-binding; Carbohydrate metabolism; Disease mutation; Kinase; Nucleotide-binding; Polymorphism; Transferase</t>
  </si>
  <si>
    <t>fructose catabolic process to hydroxyacetone phosphate and glyceraldehyde-3-phosphate {GO:0061624}; fructose metabolic process {GO:0006000}; regulation of glycogen metabolic process {GO:0070873}; response to fructose {GO:0009750}; response to glucose {GO:0009749}; response to insulin {GO:0032868}; response to sucrose {GO:0009744}; response to zinc ion {GO:0010043}</t>
  </si>
  <si>
    <t>ATP binding {GO:0005524}; carbohydrate kinase activity {GO:0019200}; ketohexokinase activity {GO:0004454}</t>
  </si>
  <si>
    <t>Carbohydrate metabolism; fructose metabolism.</t>
  </si>
  <si>
    <t>Essential fructosuria {R-HSA-5657562}; Fructose catabolism {R-HSA-70350}</t>
  </si>
  <si>
    <t>Cell growth regulator with EF hand domain protein 1</t>
  </si>
  <si>
    <t>Cell growth regulatory gene 11 protein; Hydrophobestin</t>
  </si>
  <si>
    <t>CGRE1_HUMAN</t>
  </si>
  <si>
    <t>Q99674</t>
  </si>
  <si>
    <t>A6NHV7; B4DXY8; B5MCB7; B5MCC9; B5MCP5; E7EU99; Q8N4B7</t>
  </si>
  <si>
    <t>CGR11</t>
  </si>
  <si>
    <t>Alternative splicing; Calcium; Cell adhesion; Cell cycle; Growth arrest; Metal-binding; Polymorphism; Repeat; Secreted; Signal</t>
  </si>
  <si>
    <t>Cell adhesion; Cell cycle; Growth arrest</t>
  </si>
  <si>
    <t>cell adhesion {GO:0007155}; cell cycle arrest {GO:0007050}; negative regulation of cell population proliferation {GO:0008285}</t>
  </si>
  <si>
    <t>Anthrax toxin receptor 1</t>
  </si>
  <si>
    <t>Tumor endothelial marker 8</t>
  </si>
  <si>
    <t>ANTR1_HUMAN</t>
  </si>
  <si>
    <t>Q9H6X2</t>
  </si>
  <si>
    <t>A8K7U8; J7K7G4; J7KF88; Q4ZFV6; Q53QD8; Q96P02; Q9NVP3</t>
  </si>
  <si>
    <t>ATR; TEM8</t>
  </si>
  <si>
    <t>3D-structure; Alternative splicing; Cell membrane; Cell projection; Disulfide bond; Glycoprotein; Hypotrichosis; Membrane; Metal-binding; Phosphoprotein; Polymorphism; Receptor; Signal; Transmembrane; Transmembrane helix</t>
  </si>
  <si>
    <t>actin cytoskeleton reorganization {GO:0031532}; blood vessel development {GO:0001568}; negative regulation of extracellular matrix assembly {GO:1901202}; positive regulation of metallopeptidase activity {GO:1905050}; reproductive process {GO:0022414}; substrate adhesion-dependent cell spreading {GO:0034446}; toxin transport {GO:1901998}</t>
  </si>
  <si>
    <t>cell surface {GO:0009986}; endosome membrane {GO:0010008}; external side of plasma membrane {GO:0009897}; filopodium membrane {GO:0031527}; integral component of membrane {GO:0016021}; lamellipodium membrane {GO:0031258}; plasma membrane {GO:0005886}</t>
  </si>
  <si>
    <t>actin filament binding {GO:0051015}; collagen binding {GO:0005518}; metal ion binding {GO:0046872}; transmembrane signaling receptor activity {GO:0004888}</t>
  </si>
  <si>
    <t>Ubiquitin-conjugating enzyme E2 variant 1 (UEV-1)</t>
  </si>
  <si>
    <t>CROC-1; TRAF6-regulated IKK activator 1 beta Uev1A</t>
  </si>
  <si>
    <t>UB2V1_HUMAN</t>
  </si>
  <si>
    <t>Q13404</t>
  </si>
  <si>
    <t>E1P629; Q13403; Q13532; Q5TGE0; Q5TGE3; Q96H34; Q9GZT0; Q9GZW1; Q9H4J3; Q9H4J4; Q9UKL1; Q9UM48; Q9UM49; Q9UM50</t>
  </si>
  <si>
    <t>CROC1; UBE2V; UEV1</t>
  </si>
  <si>
    <t>3D-structure; Acetylation; Alternative splicing; Nucleus; Ubl conjugation pathway</t>
  </si>
  <si>
    <t>activation of MAPK activity {GO:0000187}; cell differentiation {GO:0030154}; interleukin-1-mediated signaling pathway {GO:0070498}; JNK cascade {GO:0007254}; nucleotide-binding oligomerization domain containing signaling pathway {GO:0070423}; positive regulation of I-kappaB kinase/NF-kappaB signaling {GO:0043123}; positive regulation of NF-kappaB transcription factor activity {GO:0051092}; positive regulation of transcription, DNA-templated {GO:0045893}; postreplication repair {GO:0006301}; protein K63-linked ubiquitination {GO:0070534}; protein polyubiquitination {GO:0000209}; regulation of DNA repair {GO:0006282}; regulation of transcription, DNA-templated {GO:0006355}</t>
  </si>
  <si>
    <t>cytoplasm {GO:0005737}; cytosol {GO:0005829}; extracellular exosome {GO:0070062}; nucleoplasm {GO:0005654}; nucleus {GO:0005634}; protein-containing complex {GO:0032991}; UBC13-UEV1A complex {GO:0035370}; ubiquitin conjugating enzyme complex {GO:0031371}; ubiquitin ligase complex {GO:0000151}</t>
  </si>
  <si>
    <t>NOD1/2 Signaling Pathway {R-HSA-168638}; TICAM1, RIP1-mediated IKK complex recruitment {R-HSA-168927}; Downstream TCR signaling {R-HSA-202424}; FCERI mediated NF-kB activation {R-HSA-2871837}; TAK1 activates NFkB by phosphorylation and activation of IKKs complex {R-HSA-445989}; activated TAK1 mediates p38 MAPK activation {R-HSA-450302}; JNK (c-Jun kinases) phosphorylation and activation mediated by activated human TAK1 {R-HSA-450321}; CLEC7A (Dectin-1) signaling {R-HSA-5607764}; Interleukin-1 signaling {R-HSA-9020702}; IRAK1 recruits IKK complex {R-HSA-937039}; IKK complex recruitment mediated by RIP1 {R-HSA-937041}; TRAF6 mediated IRF7 activation in TLR7/8 or 9 signaling {R-HSA-975110}; IRAK1 recruits IKK complex upon TLR7/8 or 9 stimulation {R-HSA-975144}; Antigen processing: Ubiquitination &amp; Proteasome degradation {R-HSA-983168}</t>
  </si>
  <si>
    <t>Secreted Ly-6/uPAR domain-containing protein 2</t>
  </si>
  <si>
    <t>Secreted LY6/PLAUR domain-containing protein 2; Secreted Ly-6/uPAR-related protein 2 (SLURP-2)</t>
  </si>
  <si>
    <t>SLUR2_HUMAN</t>
  </si>
  <si>
    <t>P0DP57</t>
  </si>
  <si>
    <t>D3DWI7; G3XAC2; Q86SR0; Q9BZG9</t>
  </si>
  <si>
    <t>3D-structure; Disulfide bond; Secreted; Signal</t>
  </si>
  <si>
    <t>acetylcholine receptor signaling pathway {GO:0095500}; regulation of neurotransmitter receptor activity {GO:0099601}</t>
  </si>
  <si>
    <t>acetylcholine receptor binding {GO:0033130}; acetylcholine receptor regulator activity {GO:0030548}</t>
  </si>
  <si>
    <t>14-3-3 protein beta/alpha, N-terminally processed</t>
  </si>
  <si>
    <t>Protein 1054; Protein kinase C inhibitor protein 1 (KCIP-1)</t>
  </si>
  <si>
    <t>1433B_HUMAN</t>
  </si>
  <si>
    <t>P31946</t>
  </si>
  <si>
    <t>A8K9K2; E1P616</t>
  </si>
  <si>
    <t>3D-structure; Acetylation; Alternative initiation; Cytoplasm; Host-virus interaction; Isopeptide bond; Membrane; Nitration; Phosphoprotein; Polymorphism; Ubl conjugation; Vacuole</t>
  </si>
  <si>
    <t>Cytoplasm; Membrane; Vacuole</t>
  </si>
  <si>
    <t>cytoplasmic sequestering of protein {GO:0051220}; hippo signaling {GO:0035329}; MAPK cascade {GO:0000165}; membrane organization {GO:0061024}; negative regulation of G protein-coupled receptor signaling pathway {GO:0045744}; negative regulation of protein dephosphorylation {GO:0035308}; negative regulation of transcription, DNA-templated {GO:0045892}; positive regulation of catalytic activity {GO:0043085}; positive regulation of protein insertion into mitochondrial membrane involved in apoptotic signaling pathway {GO:1900740}; protein heterooligomerization {GO:0051291}; protein targeting {GO:0006605}; regulation of mRNA stability {GO:0043488}; viral process {GO:0016032}</t>
  </si>
  <si>
    <t>cytoplasm {GO:0005737}; cytosol {GO:0005829}; extracellular exosome {GO:0070062}; focal adhesion {GO:0005925}; melanosome {GO:0042470}; membrane {GO:0016020}; mitochondrion {GO:0005739}; nucleus {GO:0005634}; perinuclear region of cytoplasm {GO:0048471}; transcriptional repressor complex {GO:0017053}; vacuolar membrane {GO:0005774}</t>
  </si>
  <si>
    <t>cadherin binding {GO:0045296}; enzyme binding {GO:0019899}; histone deacetylase binding {GO:0042826}; identical protein binding {GO:0042802}; phosphoprotein binding {GO:0051219}; phosphoserine residue binding {GO:0050815}; protein C-terminus binding {GO:0008022}; protein domain specific binding {GO:0019904}; protein-containing complex binding {GO:0044877}</t>
  </si>
  <si>
    <t>Activation of BAD and translocation to mitochondria {R-HSA-111447}; Translocation of SLC2A4 (GLUT4) to the plasma membrane {R-HSA-1445148}; mTOR signalling {R-HSA-165159}; mTORC1-mediated signalling {R-HSA-166208}; Frs2-mediated activation {R-HSA-170968}; ARMS-mediated activation {R-HSA-170984}; Signaling by Hippo {R-HSA-2028269}; Rap1 signalling {R-HSA-392517}; Butyrate Response Factor 1 (BRF1) binds and destabilizes mRNA {R-HSA-450385}; Tristetraprolin (TTP, ZFP36) binds and destabilizes mRNA {R-HSA-450513}; RHO GTPases activate PKNs {R-HSA-5625740}; TP53 Regulates Metabolic Genes {R-HSA-5628897}; RAF activation {R-HSA-5673000}; MAP2K and MAPK activation {R-HSA-5674135}; Negative regulation of MAPK pathway {R-HSA-5675221}; Signaling by moderate kinase activity BRAF mutants {R-HSA-6802946}; Signaling by high-kinase activity BRAF mutants {R-HSA-6802948}; Signaling by RAS mutants {R-HSA-6802949}; Signaling by BRAF and RAF fusions {R-HSA-6802952}; Paradoxical activation of RAF signaling by kinase inactive BRAF {R-HSA-6802955}; Chk1/Chk2(Cds1) mediated inactivation of Cyclin B:Cdk1 complex {R-HSA-75035}; Regulation of localization of FOXO transcription factors {R-HSA-9614399}</t>
  </si>
  <si>
    <t>Ras-related protein Rab-10</t>
  </si>
  <si>
    <t>RAB10_HUMAN</t>
  </si>
  <si>
    <t>P61026</t>
  </si>
  <si>
    <t>D6W538; O88386; Q6IA52; Q9D7X6; Q9H0T3</t>
  </si>
  <si>
    <t>3D-structure; Acetylation; Cell projection; Cytoplasm; Cytoplasmic vesicle; Endoplasmic reticulum; Endosome; Golgi apparatus; GTP-binding; Lipoprotein; Membrane; Nucleotide-binding; Prenylation; Protein transport; Transport</t>
  </si>
  <si>
    <t>Cell projection; Cytoplasm; Cytoplasmic vesicle; Endoplasmic reticulum; Endosome; Golgi apparatus; Membrane</t>
  </si>
  <si>
    <t>antigen processing and presentation {GO:0019882}; axonogenesis {GO:0007409}; cellular response to insulin stimulus {GO:0032869}; endoplasmic reticulum tubular network organization {GO:0071786}; endosomal transport {GO:0016197}; establishment of neuroblast polarity {GO:0045200}; establishment of protein localization to endoplasmic reticulum membrane {GO:0097051}; establishment of protein localization to membrane {GO:0090150}; Golgi to plasma membrane protein transport {GO:0043001}; Golgi to plasma membrane transport {GO:0006893}; intracellular protein transport {GO:0006886}; neutrophil degranulation {GO:0043312}; polarized epithelial cell differentiation {GO:0030859}; protein localization to basolateral plasma membrane {GO:1903361}; protein localization to plasma membrane {GO:0072659}; protein secretion {GO:0009306}; Rab protein signal transduction {GO:0032482}; regulated exocytosis {GO:0045055}; regulation of exocytosis {GO:0017157}; vesicle docking involved in exocytosis {GO:0006904}; vesicle-mediated transport {GO:0016192}</t>
  </si>
  <si>
    <t>cell-cell adherens junction {GO:0005913}; cilium {GO:0005929}; cytoplasmic vesicle membrane {GO:0030659}; cytosol {GO:0005829}; endoplasmic reticulum membrane {GO:0005789}; endoplasmic reticulum tubular network {GO:0071782}; endosome {GO:0005768}; exocytic vesicle {GO:0070382}; extracellular exosome {GO:0070062}; focal adhesion {GO:0005925}; Golgi apparatus {GO:0005794}; Golgi membrane {GO:0000139}; insulin-responsive compartment {GO:0032593}; perinuclear region of cytoplasm {GO:0048471}; phagocytic vesicle membrane {GO:0030670}; plasma membrane {GO:0005886}; recycling endosome {GO:0055037}; recycling endosome membrane {GO:0055038}; secretory granule membrane {GO:0030667}; synaptic vesicle {GO:0008021}; trans-Golgi network {GO:0005802}</t>
  </si>
  <si>
    <t>cadherin binding involved in cell-cell adhesion {GO:0098641}; GDP binding {GO:0019003}; GTP binding {GO:0005525}; GTPase activity {GO:0003924}; myosin V binding {GO:0031489}</t>
  </si>
  <si>
    <t>Translocation of SLC2A4 (GLUT4) to the plasma membrane {R-HSA-1445148}; Neutrophil degranulation {R-HSA-6798695}; RAB geranylgeranylation {R-HSA-8873719}; RAB GEFs exchange GTP for GDP on RABs {R-HSA-8876198}</t>
  </si>
  <si>
    <t>V-type proton ATPase subunit B, kidney isoform (V-ATPase subunit B 1)</t>
  </si>
  <si>
    <t>Endomembrane proton pump 58 kDa subunit; Vacuolar proton pump subunit B 1</t>
  </si>
  <si>
    <t>VATB1_HUMAN</t>
  </si>
  <si>
    <t>P15313</t>
  </si>
  <si>
    <t>Q53FY0; Q6P4H6</t>
  </si>
  <si>
    <t>ATP6B1; VATB; VPP3</t>
  </si>
  <si>
    <t>Deafness; Disease mutation; Hydrogen ion transport; Hydrolase; Ion transport; Membrane; Polymorphism; Transport</t>
  </si>
  <si>
    <t>adult behavior {GO:0030534}; ATP hydrolysis coupled proton transport {GO:0015991}; ATP metabolic process {GO:0046034}; calcium ion homeostasis {GO:0055074}; chloride ion homeostasis {GO:0055064}; excretion {GO:0007588}; inner ear morphogenesis {GO:0042472}; insulin receptor signaling pathway {GO:0008286}; ion transmembrane transport {GO:0034220}; olfactory behavior {GO:0042048}; ossification {GO:0001503}; pH reduction {GO:0045851}; phagosome acidification {GO:0090383}; potassium ion homeostasis {GO:0055075}; prostaglandin metabolic process {GO:0006693}; proton transmembrane transport {GO:1902600}; regulation of gene expression {GO:0010468}; regulation of macroautophagy {GO:0016241}; regulation of pH {GO:0006885}; renal sodium excretion {GO:0035812}; renal sodium ion transport {GO:0003096}; renal water homeostasis {GO:0003091}; sensory perception of sound {GO:0007605}; transferrin transport {GO:0033572}</t>
  </si>
  <si>
    <t>apical plasma membrane {GO:0016324}; basolateral plasma membrane {GO:0016323}; cytoplasm {GO:0005737}; cytosol {GO:0005829}; extracellular exosome {GO:0070062}; extrinsic component of synaptic vesicle membrane {GO:0098850}; lateral plasma membrane {GO:0016328}; microvillus {GO:0005902}; proton-transporting V-type ATPase, V1 domain {GO:0033180}; vacuolar proton-transporting V-type ATPase complex {GO:0016471}</t>
  </si>
  <si>
    <t>ATP binding {GO:0005524}; hydrolase activity {GO:0016787}; protein-containing complex binding {GO:0044877}; proton transmembrane transporter activity {GO:0015078}</t>
  </si>
  <si>
    <t>Protein-glutamine gamma-glutamyltransferase 2</t>
  </si>
  <si>
    <t>Tissue transglutaminase; Transglutaminase C (TG(C); TGC; TGase C); Transglutaminase H (TGase H); Transglutaminase-2 (TGase-2)</t>
  </si>
  <si>
    <t>TGM2_HUMAN</t>
  </si>
  <si>
    <t>P21980</t>
  </si>
  <si>
    <t>E1P5V9; Q16436; Q6B838; Q9BTN7; Q9H035; Q9UH35</t>
  </si>
  <si>
    <t>3D-structure; Acetylation; Acyltransferase; Alternative splicing; Calcium; Metal-binding; Phosphoprotein; Polymorphism; Transferase</t>
  </si>
  <si>
    <t>apoptotic cell clearance {GO:0043277}; blood vessel remodeling {GO:0001974}; branching involved in salivary gland morphogenesis {GO:0060445}; isopeptide cross-linking via N6-(L-isoglutamyl)-L-lysine {GO:0018153}; negative regulation of endoplasmic reticulum calcium ion concentration {GO:0032471}; peptide cross-linking {GO:0018149}; positive regulation of apoptotic process {GO:0043065}; positive regulation of cell adhesion {GO:0045785}; positive regulation of cytosolic calcium ion concentration involved in phospholipase C-activating G protein-coupled signaling pathway {GO:0051482}; positive regulation of I-kappaB kinase/NF-kappaB signaling {GO:0043123}; positive regulation of inflammatory response {GO:0050729}; positive regulation of mitochondrial calcium ion concentration {GO:0051561}; positive regulation of smooth muscle cell proliferation {GO:0048661}; protein homooligomerization {GO:0051260}; salivary gland cavitation {GO:0060662}</t>
  </si>
  <si>
    <t>collagen-containing extracellular matrix {GO:0062023}; cytosol {GO:0005829}; endoplasmic reticulum {GO:0005783}; extracellular exosome {GO:0070062}; focal adhesion {GO:0005925}; intrinsic component of plasma membrane {GO:0031226}; mitochondrion {GO:0005739}</t>
  </si>
  <si>
    <t>GTP binding {GO:0005525}; metal ion binding {GO:0046872}; protein domain specific binding {GO:0019904}; protein-glutamine gamma-glutamyltransferase activity {GO:0003810}</t>
  </si>
  <si>
    <t>Heat shock 70 kDa protein 12B</t>
  </si>
  <si>
    <t>HS12B_HUMAN</t>
  </si>
  <si>
    <t>Q96MM6</t>
  </si>
  <si>
    <t>D3DVX7; Q2TAK3; Q9BR52</t>
  </si>
  <si>
    <t>C20orf60</t>
  </si>
  <si>
    <t>ATP-binding; Nucleotide-binding; Phosphoprotein; Polymorphism</t>
  </si>
  <si>
    <t>Protein transport protein Sec23B (hSec23B)</t>
  </si>
  <si>
    <t>SEC23-related protein B</t>
  </si>
  <si>
    <t>SC23B_HUMAN</t>
  </si>
  <si>
    <t>Q15437</t>
  </si>
  <si>
    <t>D3DW33; Q503A9; Q5W183; Q9BS15; Q9BSI2; Q9H1D7</t>
  </si>
  <si>
    <t>Acetylation; Congenital dyserythropoietic anemia; Cytoplasm; Cytoplasmic vesicle; Disease mutation; Endoplasmic reticulum; ER-Golgi transport; Hereditary hemolytic anemia; Membrane; Metal-binding; Polymorphism; Protein transport; Transport; Zinc</t>
  </si>
  <si>
    <t>Congenital dyserythropoietic anemia; Disease mutation; Hereditary hemolytic anemia</t>
  </si>
  <si>
    <t>COPII-coated vesicle cargo loading {GO:0090110}; intracellular protein transport {GO:0006886}</t>
  </si>
  <si>
    <t>COPII vesicle coat {GO:0030127}; cytosol {GO:0005829}; endomembrane system {GO:0012505}; endoplasmic reticulum {GO:0005783}; endoplasmic reticulum exit site {GO:0070971}; endoplasmic reticulum membrane {GO:0005789}; Golgi membrane {GO:0000139}; perinuclear region of cytoplasm {GO:0048471}</t>
  </si>
  <si>
    <t>GTPase activator activity {GO:0005096}; zinc ion binding {GO:0008270}</t>
  </si>
  <si>
    <t>Syndecan-4 (SYND4)</t>
  </si>
  <si>
    <t>Amphiglycan; Ryudocan core protein</t>
  </si>
  <si>
    <t>SDC4_HUMAN</t>
  </si>
  <si>
    <t>P31431</t>
  </si>
  <si>
    <t>O00773; Q16833; Q53FN9; Q6FGN3</t>
  </si>
  <si>
    <t>3D-structure; Alternative splicing; Glycoprotein; Heparan sulfate; Membrane; Polymorphism; Proteoglycan; Secreted; Signal; Transmembrane; Transmembrane helix</t>
  </si>
  <si>
    <t>Glycoprotein; Heparan sulfate; Proteoglycan</t>
  </si>
  <si>
    <t>cell migration {GO:0016477}; glycosaminoglycan biosynthetic process {GO:0006024}; glycosaminoglycan catabolic process {GO:0006027}; inner ear receptor cell stereocilium organization {GO:0060122}; leukocyte migration {GO:0050900}; negative regulation of T cell proliferation {GO:0042130}; neural tube closure {GO:0001843}; positive regulation of exosomal secretion {GO:1903543}; positive regulation of extracellular exosome assembly {GO:1903553}; positive regulation of focal adhesion assembly {GO:0051894}; positive regulation of protein kinase activity {GO:0045860}; positive regulation of stress fiber assembly {GO:0051496}; regulation of fibroblast migration {GO:0010762}; retinoid metabolic process {GO:0001523}; ureteric bud development {GO:0001657}; wound healing {GO:0042060}</t>
  </si>
  <si>
    <t>cell surface {GO:0009986}; costamere {GO:0043034}; extracellular exosome {GO:0070062}; focal adhesion {GO:0005925}; Golgi lumen {GO:0005796}; integral component of plasma membrane {GO:0005887}; lysosomal lumen {GO:0043202}; membrane raft {GO:0045121}; plasma membrane {GO:0005886}</t>
  </si>
  <si>
    <t>fibronectin binding {GO:0001968}; identical protein binding {GO:0042802}; protein kinase C binding {GO:0005080}; thrombospondin receptor activity {GO:0070053}</t>
  </si>
  <si>
    <t>A tetrasaccharide linker sequence is required for GAG synthesis {R-HSA-1971475}; HS-GAG biosynthesis {R-HSA-2022928}; HS-GAG degradation {R-HSA-2024096}; Cell surface interactions at the vascular wall {R-HSA-202733}; Syndecan interactions {R-HSA-3000170};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Retinoid metabolism and transport {R-HSA-975634}</t>
  </si>
  <si>
    <t>Apolipoprotein B-48 (Apo B-100; Apo B-48)</t>
  </si>
  <si>
    <t>APOB_HUMAN</t>
  </si>
  <si>
    <t>P04114</t>
  </si>
  <si>
    <t>O00502; P78479; P78480; P78481; Q13779; Q13785; Q13786; Q13787; Q13788; Q4ZG63; Q53QC8; Q7Z600; Q9UMN0</t>
  </si>
  <si>
    <t>Acetylation; Atherosclerosis; Cholesterol metabolism; Chylomicron; Cytoplasm; Disease mutation; Disulfide bond; Glycoprotein; Heparin-binding; LDL; Lipid metabolism; Lipid transport; Lipoprotein; Palmitate; Phosphoprotein; Polymorphism; RNA editing; Secreted; Signal; Steroid metabolism; Sterol metabolism; Transport; VLDL</t>
  </si>
  <si>
    <t>Chylomicron; Cytoplasm; LDL; Secreted; VLDL</t>
  </si>
  <si>
    <t>Polymorphism; RNA editing</t>
  </si>
  <si>
    <t>Atherosclerosis; Disease mutation</t>
  </si>
  <si>
    <t>Acetylation; Disulfide bond; Glycoprotein; Lipoprotein; Palmitate; Phosphoprotein</t>
  </si>
  <si>
    <t>artery morphogenesis {GO:0048844}; cellular protein metabolic process {GO:0044267}; cellular response to prostaglandin stimulus {GO:0071379}; cellular response to tumor necrosis factor {GO:0071356}; cholesterol efflux {GO:0033344}; cholesterol homeostasis {GO:0042632}; cholesterol metabolic process {GO:0008203}; cholesterol transport {GO:0030301}; chylomicron assembly {GO:0034378}; chylomicron remnant clearance {GO:0034382}; chylomicron remodeling {GO:0034371}; fertilization {GO:0009566}; flagellated sperm motility {GO:0030317}; in utero embryonic development {GO:0001701}; leukocyte migration {GO:0050900}; lipoprotein biosynthetic process {GO:0042158}; lipoprotein catabolic process {GO:0042159}; lipoprotein transport {GO:0042953}; low-density lipoprotein particle clearance {GO:0034383}; low-density lipoprotein particle remodeling {GO:0034374}; membrane organization {GO:0061024}; nervous system development {GO:0007399}; positive regulation of cholesterol storage {GO:0010886}; positive regulation of gene expression {GO:0010628}; positive regulation of lipid storage {GO:0010884}; positive regulation of macrophage derived foam cell differentiation {GO:0010744}; post-embryonic development {GO:0009791}; post-translational protein modification {GO:0043687}; receptor-mediated endocytosis {GO:0006898}; regulation of cholesterol biosynthetic process {GO:0045540}; response to carbohydrate {GO:0009743}; response to estradiol {GO:0032355}; response to lipopolysaccharide {GO:0032496}; response to selenium ion {GO:0010269}; response to virus {GO:0009615}; retinoid metabolic process {GO:0001523}; spermatogenesis {GO:0007283}; toll-like receptor signaling pathway {GO:0002224}; triglyceride catabolic process {GO:0019433}; triglyceride mobilization {GO:0006642}; very-low-density lipoprotein particle assembly {GO:0034379}; very-low-density lipoprotein particle clearance {GO:0034447}</t>
  </si>
  <si>
    <t>chylomicron {GO:0042627}; chylomicron remnant {GO:0034360}; clathrin-coated endocytic vesicle membrane {GO:0030669}; cytoplasm {GO:0005737}; cytosol {GO:0005829}; early endosome {GO:0005769}; endocytic vesicle lumen {GO:0071682}; endoplasmic reticulum exit site {GO:0070971}; endoplasmic reticulum lumen {GO:0005788}; endoplasmic reticulum membrane {GO:0005789}; endosome lumen {GO:0031904}; endosome membrane {GO:0010008}; extracellular exosome {GO:0070062}; extracellular region {GO:0005576}; extracellular space {GO:0005615}; high-density lipoprotein particle {GO:0034364}; intermediate-density lipoprotein particle {GO:0034363}; intracellular membrane-bounded organelle {GO:0043231}; low-density lipoprotein particle {GO:0034362}; lysosomal lumen {GO:0043202}; mature chylomicron {GO:0034359}; neuronal cell body {GO:0043025}; plasma membrane {GO:0005886}; smooth endoplasmic reticulum {GO:0005790}; very-low-density lipoprotein particle {GO:0034361}; vesicle lumen {GO:0031983}</t>
  </si>
  <si>
    <t>cholesterol transporter activity {GO:0017127}; heparin binding {GO:0008201}; lipase binding {GO:0035473}; low-density lipoprotein particle receptor binding {GO:0050750}; phospholipid binding {GO:0005543}; signaling receptor binding {GO:0005102}</t>
  </si>
  <si>
    <t>Cell surface interactions at the vascular wall {R-HSA-202733}; Scavenging by Class B Receptors {R-HSA-3000471}; Scavenging by Class A Receptors {R-HSA-3000480}; Scavenging by Class F Receptors {R-HSA-3000484}; Scavenging by Class H Receptors {R-HSA-3000497}; Regulation of Insulin-like Growth Factor (IGF) transport and uptake by Insulin-like Growth Factor Binding Proteins (IGFBPs) {R-HSA-381426}; Platelet sensitization by LDL {R-HSA-432142}; Regulation of TLR by endogenous ligand {R-HSA-5686938}; Cargo recognition for clathrin-mediated endocytosis {R-HSA-8856825}; Clathrin-mediated endocytosis {R-HSA-8856828}; VLDL assembly {R-HSA-8866423}; Post-translational protein phosphorylation {R-HSA-8957275}; Chylomicron assembly {R-HSA-8963888}; Chylomicron remodeling {R-HSA-8963901}; Chylomicron clearance {R-HSA-8964026}; LDL clearance {R-HSA-8964038}; LDL remodeling {R-HSA-8964041}; VLDL clearance {R-HSA-8964046}; Retinoid metabolism and transport {R-HSA-975634}</t>
  </si>
  <si>
    <t>Deoxynucleoside triphosphate triphosphohydrolase SAMHD1 (dNTPase)</t>
  </si>
  <si>
    <t>Dendritic cell-derived IFNG-induced protein (DCIP); Monocyte protein 5 (MOP-5); SAM domain and HD domain-containing protein 1 (hSAMHD1)</t>
  </si>
  <si>
    <t>SAMH1_HUMAN</t>
  </si>
  <si>
    <t>Q9Y3Z3</t>
  </si>
  <si>
    <t>B4E2A5; E1P5V2; Q5JXG8; Q8N491; Q9H004; Q9H005; Q9H3U9</t>
  </si>
  <si>
    <t>3D-structure; Acetylation; Aicardi-Goutieres syndrome; Allosteric enzyme; Alternative splicing; Antiviral defense; Chromosome; Disease mutation; DNA damage; DNA repair; DNA replication; GTP-binding; Hydrolase; Immunity; Innate immunity; Isopeptide bond; Metal-binding; Nucleotide-binding; Nucleus; Phosphoprotein; Ubl conjugation; Zinc</t>
  </si>
  <si>
    <t>Antiviral defense; DNA damage; DNA repair; DNA replication; Immunity; Innate immunity</t>
  </si>
  <si>
    <t>Aicardi-Goutieres syndrome; Disease mutation</t>
  </si>
  <si>
    <t>GTP-binding; Metal-binding; Nucleotide-binding; Zinc</t>
  </si>
  <si>
    <t>cellular response to DNA damage stimulus {GO:0006974}; dATP catabolic process {GO:0046061}; defense response to virus {GO:0051607}; deoxyribonucleotide catabolic process {GO:0009264}; dGTP catabolic process {GO:0006203}; DNA strand resection involved in replication fork processing {GO:0110025}; double-strand break repair via homologous recombination {GO:0000724}; immune response {GO:0006955}; negative regulation of type I interferon-mediated signaling pathway {GO:0060339}; protein homotetramerization {GO:0051289}; regulation of innate immune response {GO:0045088}; somatic hypermutation of immunoglobulin genes {GO:0016446}; type I interferon signaling pathway {GO:0060337}</t>
  </si>
  <si>
    <t>nucleoplasm {GO:0005654}; nucleus {GO:0005634}; plasma membrane {GO:0005886}; site of double-strand break {GO:0035861}; tetraspanin-enriched microdomain {GO:0097197}</t>
  </si>
  <si>
    <t>dGTP binding {GO:0032567}; dGTPase activity {GO:0008832}; GTP binding {GO:0005525}; identical protein binding {GO:0042802}; nucleic acid binding {GO:0003676}; ribonuclease activity {GO:0004540}; RNA binding {GO:0003723}; single-stranded DNA binding {GO:0003697}; triphosphoric monoester hydrolase activity {GO:0016793}; zinc ion binding {GO:0008270}</t>
  </si>
  <si>
    <t>Nucleobase catabolism {R-HSA-8956319}; Interferon alpha/beta signaling {R-HSA-909733}</t>
  </si>
  <si>
    <t>Cytochrome c oxidase subunit 5B, mitochondrial</t>
  </si>
  <si>
    <t>Cytochrome c oxidase polypeptide Vb</t>
  </si>
  <si>
    <t>COX5B_HUMAN</t>
  </si>
  <si>
    <t>P10606</t>
  </si>
  <si>
    <t>Q53YB7; Q96J18; Q99610</t>
  </si>
  <si>
    <t>3D-structure; Acetylation; Membrane; Metal-binding; Mitochondrion; Mitochondrion inner membrane; Transit peptide; Zinc</t>
  </si>
  <si>
    <t>mitochondrial ATP synthesis coupled proton transport {GO:0042776}; mitochondrial electron transport, cytochrome c to oxygen {GO:0006123}; respiratory gaseous exchange {GO:0007585}</t>
  </si>
  <si>
    <t>cytochrome-c oxidase activity {GO:0004129}; metal ion binding {GO:0046872}</t>
  </si>
  <si>
    <t>NSFL1 cofactor p47</t>
  </si>
  <si>
    <t>UBX domain-containing protein 2C; p97 cofactor p47</t>
  </si>
  <si>
    <t>NSF1C_HUMAN</t>
  </si>
  <si>
    <t>Q9UNZ2</t>
  </si>
  <si>
    <t>A2A2L1; B2RD74; Q5JXA4; Q5JXA5; Q7Z533; Q9H102; Q9NVL9; Q9UI06</t>
  </si>
  <si>
    <t>UBXN2C</t>
  </si>
  <si>
    <t>3D-structure; Alternative splicing; Chromosome; Cytoplasm; Cytoskeleton; Golgi apparatus; Lipid-binding; Nucleus; Phosphoprotein; Polymorphism</t>
  </si>
  <si>
    <t>Chromosome; Cytoplasm; Cytoskeleton; Golgi apparatus; Nucleus</t>
  </si>
  <si>
    <t>autophagosome assembly {GO:0000045}; establishment of mitotic spindle orientation {GO:0000132}; Golgi organization {GO:0007030}; membrane fusion {GO:0061025}; negative regulation of protein localization to centrosome {GO:1904780}; nuclear envelope reassembly {GO:0031468}; positive regulation of mitotic centrosome separation {GO:0046604}; proteasome-mediated ubiquitin-dependent protein catabolic process {GO:0043161}</t>
  </si>
  <si>
    <t>chromosome {GO:0005694}; cytosol {GO:0005829}; Golgi stack {GO:0005795}; intermediate filament cytoskeleton {GO:0045111}; nucleoplasm {GO:0005654}; plasma membrane {GO:0005886}; spindle pole centrosome {GO:0031616}; VCP-NSFL1C complex {GO:1990730}</t>
  </si>
  <si>
    <t>ATPase binding {GO:0051117}; phospholipid binding {GO:0005543}; ubiquitin binding {GO:0043130}</t>
  </si>
  <si>
    <t>Rab11 family-interacting protein 5 (Rab11-FIP5)</t>
  </si>
  <si>
    <t>Gamma-SNAP-associated factor 1 (Gaf-1); Phosphoprotein pp75; Rab11-interacting protein Rip11</t>
  </si>
  <si>
    <t>RFIP5_HUMAN</t>
  </si>
  <si>
    <t>Q9BXF6</t>
  </si>
  <si>
    <t>O94939; Q9P0M1</t>
  </si>
  <si>
    <t>GAF1; KIAA0857; RIP11</t>
  </si>
  <si>
    <t>Cytoplasm; Cytoplasmic vesicle; Endosome; Golgi apparatus; Membrane; Mitochondrion; Phosphoprotein; Protein transport; Transport</t>
  </si>
  <si>
    <t>Cytoplasm; Cytoplasmic vesicle; Endosome; Golgi apparatus; Membrane; Mitochondrion</t>
  </si>
  <si>
    <t>cellular response to acidic pH {GO:0071468}; insulin secretion involved in cellular response to glucose stimulus {GO:0035773}; negative regulation of adiponectin secretion {GO:0070164}; regulated exocytosis {GO:0045055}; regulation of protein localization to cell surface {GO:2000008}</t>
  </si>
  <si>
    <t>early endosome {GO:0005769}; early endosome membrane {GO:0031901}; Golgi apparatus {GO:0005794}; Golgi membrane {GO:0000139}; intracellular membrane-bounded organelle {GO:0043231}; microtubule organizing center {GO:0005815}; mitochondrial outer membrane {GO:0005741}; recycling endosome {GO:0055037}; recycling endosome membrane {GO:0055038}; secretory granule {GO:0030141}; transport vesicle membrane {GO:0030658}</t>
  </si>
  <si>
    <t>gamma-tubulin binding {GO:0043015}; Rab GTPase binding {GO:0017137}</t>
  </si>
  <si>
    <t>Complement component C1q receptor</t>
  </si>
  <si>
    <t>C1q/MBL/SPA receptor (C1qR; C1qR(p); C1qRp); CDw93; Complement component 1 q subcomponent receptor 1; Matrix-remodeling-associated protein 4; CD_antigen=CD93</t>
  </si>
  <si>
    <t>C1QR1_HUMAN</t>
  </si>
  <si>
    <t>Q9NPY3</t>
  </si>
  <si>
    <t>O00274</t>
  </si>
  <si>
    <t>C1QR1; MXRA4</t>
  </si>
  <si>
    <t>Cell adhesion; Disulfide bond; EGF-like domain; Glycoprotein; Host-virus interaction; Lectin; Membrane; Phosphoprotein; Polymorphism; Receptor; Repeat; Signal; Transmembrane; Transmembrane helix</t>
  </si>
  <si>
    <t>cell-cell adhesion {GO:0098609}; macrophage activation {GO:0042116}; neutrophil degranulation {GO:0043312}; phagocytosis {GO:0006909}; viral process {GO:0016032}</t>
  </si>
  <si>
    <t>cell surface {GO:0009986}; ficolin-1-rich granule membrane {GO:0101003}; integral component of membrane {GO:0016021}; plasma membrane {GO:0005886}; secretory granule membrane {GO:0030667}; specific granule membrane {GO:0035579}; tertiary granule membrane {GO:0070821}</t>
  </si>
  <si>
    <t>calcium ion binding {GO:0005509}; carbohydrate binding {GO:0030246}; complement component C1q binding {GO:0001849}; signaling receptor activity {GO:0038023}</t>
  </si>
  <si>
    <t>82 kDa matrix metalloproteinase-9</t>
  </si>
  <si>
    <t>92 kDa gelatinase; 92 kDa type IV collagenase; Gelatinase B (GELB)</t>
  </si>
  <si>
    <t>MMP9_HUMAN</t>
  </si>
  <si>
    <t>P14780</t>
  </si>
  <si>
    <t>B2R7V9; Q3LR70; Q8N725; Q9H4Z1; Q9UCJ9; Q9UCL1; Q9UDK2</t>
  </si>
  <si>
    <t>CLG4B</t>
  </si>
  <si>
    <t>cellular response to cadmium ion {GO:0071276}; cellular response to reactive oxygen species {GO:0034614}; collagen catabolic process {GO:0030574}; cytokine-mediated signaling pathway {GO:0019221}; embryo implantation {GO:0007566}; endodermal cell differentiation {GO:0035987}; ephrin receptor signaling pathway {GO:0048013}; extracellular matrix disassembly {GO:0022617}; extracellular matrix organization {GO:0030198}; leukocyte migration {GO:0050900}; macrophage differentiation {GO:0030225}; negative regulation of apoptotic process {GO:0043066}; negative regulation of cation channel activity {GO:2001258}; negative regulation of cysteine-type endopeptidase activity involved in apoptotic signaling pathway {GO:2001268}; negative regulation of epithelial cell differentiation involved in kidney development {GO:2000697}; negative regulation of intrinsic apoptotic signaling pathway {GO:2001243}; neutrophil degranulation {GO:0043312}; ossification {GO:0001503}; positive regulation of cell migration {GO:0030335}; positive regulation of DNA binding {GO:0043388}; positive regulation of epidermal growth factor receptor signaling pathway {GO:0045742}; positive regulation of keratinocyte migration {GO:0051549}; positive regulation of protein phosphorylation {GO:0001934}; positive regulation of receptor binding {GO:1900122}; positive regulation of release of cytochrome c from mitochondria {GO:0090200}; positive regulation of vascular smooth muscle cell proliferation {GO:1904707}; proteolysis {GO:0006508}; regulation of neuroinflammatory response {GO:0150077}; response to amyloid-beta {GO:1904645}; skeletal system development {GO:0001501}</t>
  </si>
  <si>
    <t>collagen-containing extracellular matrix {GO:0062023}; extracellular exosome {GO:0070062}; extracellular region {GO:0005576}; extracellular space {GO:0005615}; ficolin-1-rich granule lumen {GO:1904813}; tertiary granule lumen {GO:1904724}</t>
  </si>
  <si>
    <t>collagen binding {GO:0005518}; endopeptidase activity {GO:0004175}; identical protein binding {GO:0042802}; metalloendopeptidase activity {GO:0004222}; metallopeptidase activity {GO:0008237}; serine-type endopeptidase activity {GO:0004252}; zinc ion binding {GO:0008270}</t>
  </si>
  <si>
    <t>Signaling by SCF-KIT {R-HSA-1433557}; Collagen degradation {R-HSA-1442490}; Degradation of the extracellular matrix {R-HSA-1474228}; Activation of Matrix Metalloproteinases {R-HSA-1592389}; Assembly of collagen fibrils and other multimeric structures {R-HSA-2022090}; EPH-ephrin mediated repulsion of cells {R-HSA-3928665}; Interleukin-4 and Interleukin-13 signaling {R-HSA-6785807}; Neutrophil degranulation {R-HSA-6798695}; Non-genomic estrogen signaling {R-HSA-9009391}</t>
  </si>
  <si>
    <t>Adenosine deaminase</t>
  </si>
  <si>
    <t>Adenosine aminohydrolase</t>
  </si>
  <si>
    <t>ADA_HUMAN</t>
  </si>
  <si>
    <t>P00813</t>
  </si>
  <si>
    <t>Q53F92; Q6LA59</t>
  </si>
  <si>
    <t>ADA1</t>
  </si>
  <si>
    <t>3D-structure; Acetylation; Cell adhesion; Cell junction; Cell membrane; Cytoplasm; Cytoplasmic vesicle; Disease mutation; Hereditary hemolytic anemia; Hydrolase; Lysosome; Membrane; Metal-binding; Nucleotide metabolism; Polymorphism; SCID; Zinc</t>
  </si>
  <si>
    <t>Cell adhesion; Nucleotide metabolism</t>
  </si>
  <si>
    <t>Cell junction; Cell membrane; Cytoplasm; Cytoplasmic vesicle; Lysosome; Membrane</t>
  </si>
  <si>
    <t>Disease mutation; Hereditary hemolytic anemia; SCID</t>
  </si>
  <si>
    <t>adenosine catabolic process {GO:0006154}; aging {GO:0007568}; cell adhesion {GO:0007155}; dATP catabolic process {GO:0046061}; deoxyadenosine catabolic process {GO:0006157}; embryonic digestive tract development {GO:0048566}; germinal center B cell differentiation {GO:0002314}; histamine secretion {GO:0001821}; hypoxanthine salvage {GO:0043103}; inosine biosynthetic process {GO:0046103}; liver development {GO:0001889}; lung alveolus development {GO:0048286}; negative regulation of adenosine receptor signaling pathway {GO:0060169}; negative regulation of circadian sleep/wake cycle, non-REM sleep {GO:0042323}; negative regulation of inflammatory response {GO:0050728}; negative regulation of leukocyte migration {GO:0002686}; negative regulation of mature B cell apoptotic process {GO:0002906}; negative regulation of mucus secretion {GO:0070256}; negative regulation of penile erection {GO:0060407}; negative regulation of thymocyte apoptotic process {GO:0070244}; Peyer's patch development {GO:0048541}; placenta development {GO:0001890}; positive regulation of alpha-beta T cell differentiation {GO:0046638}; positive regulation of B cell proliferation {GO:0030890}; positive regulation of calcium-mediated signaling {GO:0050850}; positive regulation of germinal center formation {GO:0002636}; positive regulation of heart rate {GO:0010460}; positive regulation of smooth muscle contraction {GO:0045987}; positive regulation of T cell differentiation in thymus {GO:0033089}; positive regulation of T cell receptor signaling pathway {GO:0050862}; purine nucleotide salvage {GO:0032261}; purine ribonucleoside monophosphate biosynthetic process {GO:0009168}; purine-containing compound salvage {GO:0043101}; regulation of cell-cell adhesion mediated by integrin {GO:0033632}; response to hydrogen peroxide {GO:0042542}; response to hypoxia {GO:0001666}; response to morphine {GO:0043278}; response to vitamin E {GO:0033197}; T cell activation {GO:0042110}; trophectodermal cell differentiation {GO:0001829}; xanthine biosynthetic process {GO:0046111}</t>
  </si>
  <si>
    <t>cell junction {GO:0030054}; cell surface {GO:0009986}; cytoplasmic vesicle lumen {GO:0060205}; cytosol {GO:0005829}; dendrite cytoplasm {GO:0032839}; external side of plasma membrane {GO:0009897}; extracellular space {GO:0005615}; lysosome {GO:0005764}; membrane {GO:0016020}; neuronal cell body {GO:0043025}; plasma membrane {GO:0005886}</t>
  </si>
  <si>
    <t>adenosine deaminase activity {GO:0004000}; purine nucleoside binding {GO:0001883}; zinc ion binding {GO:0008270}</t>
  </si>
  <si>
    <t>Cathepsin Z</t>
  </si>
  <si>
    <t>Cathepsin P; Cathepsin X</t>
  </si>
  <si>
    <t>CATZ_HUMAN</t>
  </si>
  <si>
    <t>Q9UBR2</t>
  </si>
  <si>
    <t>B2RC40; O75331; Q9UQV5; Q9UQV6</t>
  </si>
  <si>
    <t>angiotensin maturation {GO:0002003}; COPII vesicle coating {GO:0048208}; endoplasmic reticulum to Golgi vesicle-mediated transport {GO:0006888}; epithelial tube branching involved in lung morphogenesis {GO:0060441}; negative regulation of neuron projection development {GO:0010977}; negative regulation of plasminogen activation {GO:0010757}; negative regulation of protein binding {GO:0032091}; neutrophil degranulation {GO:0043312}; positive regulation of neural precursor cell proliferation {GO:2000179}; positive regulation of neuron apoptotic process {GO:0043525}; proteolysis {GO:0006508}; proteolysis involved in cellular protein catabolic process {GO:0051603}; regulation of neuron death {GO:1901214}</t>
  </si>
  <si>
    <t>cell cortex region {GO:0099738}; cell surface {GO:0009986}; collagen-containing extracellular matrix {GO:0062023}; COPII-coated ER to Golgi transport vesicle {GO:0030134}; cytoplasmic vesicle {GO:0031410}; endoplasmic reticulum {GO:0005783}; endoplasmic reticulum lumen {GO:0005788}; endoplasmic reticulum-Golgi intermediate compartment membrane {GO:0033116}; extracellular exosome {GO:0070062}; extracellular region {GO:0005576}; extracellular space {GO:0005615}; ficolin-1-rich granule lumen {GO:1904813}; Golgi membrane {GO:0000139}; growth cone {GO:0030426}; intracellular membrane-bounded organelle {GO:0043231}; lysosome {GO:0005764}; plasma membrane {GO:0005886}; specific granule lumen {GO:0035580}</t>
  </si>
  <si>
    <t>carboxypeptidase activity {GO:0004180}; cysteine-type endopeptidase activity {GO:0004197}; cysteine-type peptidase activity {GO:0008234}</t>
  </si>
  <si>
    <t>Metabolism of Angiotensinogen to Angiotensins {R-HSA-2022377}; COPII-mediated vesicle transport {R-HSA-204005}; Lysosome Vesicle Biogenesis {R-HSA-432720}; Cargo concentration in the ER {R-HSA-5694530}; Neutrophil degranulation {R-HSA-6798695}</t>
  </si>
  <si>
    <t>Prominin-2 (PROM-2)</t>
  </si>
  <si>
    <t>Prominin-like protein 2 (hPROML2)</t>
  </si>
  <si>
    <t>PROM2_HUMAN</t>
  </si>
  <si>
    <t>Q8N271</t>
  </si>
  <si>
    <t>A8K2V1; Q2HIX6; Q8NB84; Q8TAE2</t>
  </si>
  <si>
    <t>PROML2</t>
  </si>
  <si>
    <t>Alternative splicing; Cell membrane; Cell projection; Cilium; Glycoprotein; Membrane; Phosphoprotein; Polymorphism; Signal; Transmembrane; Transmembrane helix</t>
  </si>
  <si>
    <t>Cell membrane; Cell projection; Cilium; Membrane</t>
  </si>
  <si>
    <t>negative regulation of caveolin-mediated endocytosis {GO:2001287}; negative regulation of pinocytosis {GO:0048550}; positive regulation of cell projection organization {GO:0031346}; positive regulation of protein phosphorylation {GO:0001934}; regulation of GTPase activity {GO:0043087}</t>
  </si>
  <si>
    <t>apical plasma membrane {GO:0016324}; basolateral plasma membrane {GO:0016323}; cell projection {GO:0042995}; cell surface {GO:0009986}; ciliary membrane {GO:0060170}; cilium {GO:0005929}; cytoplasmic vesicle {GO:0031410}; extracellular exosome {GO:0070062}; integral component of plasma membrane {GO:0005887}; microspike {GO:0044393}; microvillus {GO:0005902}; microvillus membrane {GO:0031528}; prominosome {GO:0071914}</t>
  </si>
  <si>
    <t>cholesterol binding {GO:0015485}</t>
  </si>
  <si>
    <t>Serine/threonine-protein phosphatase PP1-beta catalytic subunit (PP-1B; PPP1CD)</t>
  </si>
  <si>
    <t>PP1B_HUMAN</t>
  </si>
  <si>
    <t>P62140</t>
  </si>
  <si>
    <t>B2R5V4; D6W565; P37140; Q5U087; Q6FG45</t>
  </si>
  <si>
    <t>Acetylation; Biological rhythms; Carbohydrate metabolism; Cell cycle; Cell division; Cytoplasm; Disease mutation; Glycogen metabolism; Hydrolase; Manganese; Metal-binding; Nucleus; Phosphoprotein; Protein phosphatase</t>
  </si>
  <si>
    <t>Biological rhythms; Carbohydrate metabolism; Cell cycle; Cell division; Glycogen metabolism</t>
  </si>
  <si>
    <t>cell division {GO:0051301}; circadian regulation of gene expression {GO:0032922}; entrainment of circadian clock by photoperiod {GO:0043153}; G2/M transition of mitotic cell cycle {GO:0000086}; glycogen metabolic process {GO:0005977}; protein dephosphorylation {GO:0006470}; regulation of cell adhesion {GO:0030155}; regulation of circadian rhythm {GO:0042752}; regulation of glycogen biosynthetic process {GO:0005979}; regulation of glycogen catabolic process {GO:0005981}</t>
  </si>
  <si>
    <t>cytoplasm {GO:0005737}; cytosol {GO:0005829}; extracellular exosome {GO:0070062}; focal adhesion {GO:0005925}; glycogen granule {GO:0042587}; nucleolus {GO:0005730}; nucleoplasm {GO:0005654}; nucleus {GO:0005634}; plasma membrane {GO:0005886}; protein phosphatase type 1 complex {GO:0000164}; PTW/PP1 phosphatase complex {GO:0072357}</t>
  </si>
  <si>
    <t>metal ion binding {GO:0046872}; myosin phosphatase activity {GO:0017018}; myosin-light-chain-phosphatase activity {GO:0050115}; phosphatase activity {GO:0016791}; protein kinase binding {GO:0019901}; protein serine/threonine phosphatase activity {GO:0004722}</t>
  </si>
  <si>
    <t>Triglyceride catabolism {R-HSA-163560}; Downregulation of TGF-beta receptor signaling {R-HSA-2173788}; Regulation of PLK1 Activity at G2/M Transition {R-HSA-2565942}; Circadian Clock {R-HSA-400253}; RHO GTPases activate PKNs {R-HSA-5625740}; RHO GTPases activate CIT {R-HSA-5625900}; RHO GTPases Activate ROCKs {R-HSA-5627117}; RHO GTPases activate PAKs {R-HSA-5627123}</t>
  </si>
  <si>
    <t>Dynein light chain roadblock-type 1</t>
  </si>
  <si>
    <t>Bithoraxoid-like protein (BLP); Dynein light chain 2A, cytoplasmic; Dynein-associated protein Km23; Roadblock domain-containing protein 1</t>
  </si>
  <si>
    <t>DLRB1_HUMAN</t>
  </si>
  <si>
    <t>Q9NP97</t>
  </si>
  <si>
    <t>B1AKR5; Q5TC72; Q96IV3; Q9NQM2</t>
  </si>
  <si>
    <t>BITH; DNCL2A; DNLC2A; ROBLD1</t>
  </si>
  <si>
    <t>3D-structure; Acetylation; Alternative splicing; Cytoplasm; Cytoskeleton; Dynein; Microtubule; Motor protein; Polymorphism; Transport</t>
  </si>
  <si>
    <t>intraciliary transport involved in cilium assembly {GO:0035735}; microtubule-based movement {GO:0007018}; visual behavior {GO:0007632}</t>
  </si>
  <si>
    <t>centrosome {GO:0005813}; ciliary tip {GO:0097542}; cilium {GO:0005929}; cytoplasm {GO:0005737}; cytoplasmic dynein complex {GO:0005868}; membrane {GO:0016020}; microtubule {GO:0005874}</t>
  </si>
  <si>
    <t>dynein intermediate chain binding {GO:0045505}; microtubule motor activity {GO:0003777}</t>
  </si>
  <si>
    <t>Intraflagellar transport {R-HSA-5620924}</t>
  </si>
  <si>
    <t>RNA-binding protein Raly</t>
  </si>
  <si>
    <t>Autoantigen p542; Heterogeneous nuclear ribonucleoprotein C-like 2 (hnRNP core protein C-like 2); hnRNP associated with lethal yellow protein homolog</t>
  </si>
  <si>
    <t>RALY_HUMAN</t>
  </si>
  <si>
    <t>Q9UKM9</t>
  </si>
  <si>
    <t>Q14621; Q2M365; Q5QPL8; Q9BQX6; Q9UJE3</t>
  </si>
  <si>
    <t>HNRPCL2; P542</t>
  </si>
  <si>
    <t>3D-structure; Acetylation; Alternative splicing; Coiled coil; Isopeptide bond; mRNA processing; mRNA splicing; Nucleus; Phosphoprotein; Polymorphism; Ribonucleoprotein; RNA-binding; Spliceosome; Transcription; Transcription regulation; Ubl conjugation</t>
  </si>
  <si>
    <t>cholesterol homeostasis {GO:0042632}; mRNA splicing, via spliceosome {GO:0000398}; regulation of nucleic acid-templated transcription {GO:1903506}</t>
  </si>
  <si>
    <t>catalytic step 2 spliceosome {GO:0071013}; nucleus {GO:0005634}</t>
  </si>
  <si>
    <t>RNA binding {GO:0003723}; transcription coregulator activity {GO:0003712}</t>
  </si>
  <si>
    <t>Sulfotransferase 1C4 (ST1C4)</t>
  </si>
  <si>
    <t>Sulfotransferase 1C2 (SULT1C#2)</t>
  </si>
  <si>
    <t>ST1C4_HUMAN</t>
  </si>
  <si>
    <t>O75897</t>
  </si>
  <si>
    <t>Q069I8; Q08AS5; Q53S63</t>
  </si>
  <si>
    <t>SULT1C2</t>
  </si>
  <si>
    <t>3'-phosphoadenosine 5'-phosphosulfate metabolic process {GO:0050427}; ethanol catabolic process {GO:0006068}; sulfation {GO:0051923}</t>
  </si>
  <si>
    <t>aryl sulfotransferase activity {GO:0004062}; sulfotransferase activity {GO:0008146}</t>
  </si>
  <si>
    <t>1,2-dihydroxy-3-keto-5-methylthiopentene dioxygenase</t>
  </si>
  <si>
    <t>Acireductone dioxygenase (Fe(2+)-requiring) (ARD; Fe-ARD); Membrane-type 1 matrix metalloproteinase cytoplasmic tail-binding protein 1 (MTCBP-1); Submergence-induced protein-like factor (Sip-L)</t>
  </si>
  <si>
    <t>MTND_HUMAN</t>
  </si>
  <si>
    <t>Q9BV57</t>
  </si>
  <si>
    <t>D6W4Y3; Q53HW3; Q53QD3; Q57YV7; Q68CK2; Q6ZSF7; Q7Z512; Q96P85; Q9NV57</t>
  </si>
  <si>
    <t>3D-structure; Alternative splicing; Amino-acid biosynthesis; Cell membrane; Cytoplasm; Dioxygenase; Iron; Membrane; Metal-binding; Methionine biosynthesis; Nucleus; Oxidoreductase</t>
  </si>
  <si>
    <t>L-methionine salvage from methylthioadenosine {GO:0019509}; methionine metabolic process {GO:0006555}</t>
  </si>
  <si>
    <t>cytoplasm {GO:0005737}; cytosol {GO:0005829}; nucleus {GO:0005634}; plasma membrane {GO:0005886}</t>
  </si>
  <si>
    <t>acireductone dioxygenase [iron(II)-requiring] activity {GO:0010309}; iron ion binding {GO:0005506}; oxidoreductase activity {GO:0016491}</t>
  </si>
  <si>
    <t>Amino-acid biosynthesis; L-methionine biosynthesis via salvage pathway; L-methionine from S-methyl-5-thio-alpha-D-ribose 1-phosphate: step 5/6..</t>
  </si>
  <si>
    <t>Spectrin beta chain, non-erythrocytic 1</t>
  </si>
  <si>
    <t>Beta-II spectrin; Fodrin beta chain; Spectrin, non-erythroid beta chain 1</t>
  </si>
  <si>
    <t>SPTB2_HUMAN</t>
  </si>
  <si>
    <t>Q01082</t>
  </si>
  <si>
    <t>B2RP63; O60837; Q16057; Q53R99; Q59ER3; Q8IX99</t>
  </si>
  <si>
    <t>SPTB2</t>
  </si>
  <si>
    <t>3D-structure; Acetylation; Actin capping; Actin-binding; Alternative splicing; Calmodulin-binding; Cell membrane; Cytoplasm; Cytoskeleton; Glycoprotein; Membrane; Phosphoprotein; Polymorphism; Repeat</t>
  </si>
  <si>
    <t>actin filament capping {GO:0051693}; axon guidance {GO:0007411}; common-partner SMAD protein phosphorylation {GO:0007182}; endoplasmic reticulum to Golgi vesicle-mediated transport {GO:0006888}; Golgi to plasma membrane protein transport {GO:0043001}; MAPK cascade {GO:0000165}; membrane assembly {GO:0071709}; mitotic cytokinesis {GO:0000281}; plasma membrane organization {GO:0007009}; positive regulation of interleukin-2 secretion {GO:1900042}; positive regulation of protein localization to plasma membrane {GO:1903078}; protein localization to plasma membrane {GO:0072659}; regulation of protein localization to plasma membrane {GO:1903076}; regulation of SMAD protein signal transduction {GO:0060390}</t>
  </si>
  <si>
    <t>axolemma {GO:0030673}; cuticular plate {GO:0032437}; cytoplasm {GO:0005737}; cytosol {GO:0005829}; extracellular exosome {GO:0070062}; glutamatergic synapse {GO:0098978}; M band {GO:0031430}; nucleolus {GO:0005730}; postsynaptic density {GO:0014069}; protein-containing complex {GO:0032991}; spectrin {GO:0008091}; spectrin-associated cytoskeleton {GO:0014731}</t>
  </si>
  <si>
    <t>actin binding {GO:0003779}; ankyrin binding {GO:0030506}; cadherin binding {GO:0045296}; calmodulin binding {GO:0005516}; GTPase binding {GO:0051020}; phospholipid binding {GO:0005543}; protein-containing complex binding {GO:0044877}; RNA binding {GO:0003723}; structural constituent of cytoskeleton {GO:0005200}</t>
  </si>
  <si>
    <t>Nephrin family interactions {R-HSA-373753}; NCAM signaling for neurite out-growth {R-HSA-375165}; Interaction between L1 and Ankyrins {R-HSA-445095}; RAF/MAP kinase cascade {R-HSA-5673001}; COPI-mediated anterograde transport {R-HSA-6807878}</t>
  </si>
  <si>
    <t>Catenin alpha-2</t>
  </si>
  <si>
    <t>Alpha N-catenin; Alpha-catenin-related protein</t>
  </si>
  <si>
    <t>CTNA2_HUMAN</t>
  </si>
  <si>
    <t>P26232</t>
  </si>
  <si>
    <t>B3KXE5; B7Z2W7; B7Z352; B7Z898; Q4ZFW1; Q53R26; Q53R33; Q53T67; Q53T71; Q53TM8; Q7Z3L1; Q7Z3Y0</t>
  </si>
  <si>
    <t>CAPR</t>
  </si>
  <si>
    <t>3D-structure; Alternative splicing; Cell adhesion; Cell junction; Cell membrane; Cell projection; Cytoplasm; Cytoskeleton; Developmental protein; Differentiation; Disease mutation; Lissencephaly; Membrane; Nucleus; Phosphoprotein</t>
  </si>
  <si>
    <t>Cell junction; Cell membrane; Cell projection; Cytoplasm; Cytoskeleton; Membrane; Nucleus</t>
  </si>
  <si>
    <t>Disease mutation; Lissencephaly</t>
  </si>
  <si>
    <t>axonogenesis {GO:0007409}; brain morphogenesis {GO:0048854}; cell-cell adhesion {GO:0098609}; dendrite morphogenesis {GO:0048813}; modification of postsynaptic actin cytoskeleton {GO:0098885}; negative regulation of Arp2/3 complex-mediated actin nucleation {GO:0034316}; positive regulation of muscle cell differentiation {GO:0051149}; prepulse inhibition {GO:0060134}; radial glia guided migration of Purkinje cell {GO:0021942}; regulation of neuron migration {GO:2001222}; regulation of neuron projection development {GO:0010975}; regulation of synapse structural plasticity {GO:0051823}</t>
  </si>
  <si>
    <t>actin cytoskeleton {GO:0015629}; adherens junction {GO:0005912}; axon {GO:0030424}; basolateral plasma membrane {GO:0016323}; cell-cell adherens junction {GO:0005913}; cytoplasm {GO:0005737}; cytosol {GO:0005829}; extrinsic component of postsynaptic membrane {GO:0098890}; extrinsic component of presynaptic membrane {GO:0098888}; hippocampal mossy fiber to CA3 synapse {GO:0098686}; lamellipodium {GO:0030027}; nucleus {GO:0005634}; parallel fiber to Purkinje cell synapse {GO:0098688}; postsynaptic density, intracellular component {GO:0099092}; presynaptic active zone cytoplasmic component {GO:0098831}</t>
  </si>
  <si>
    <t>actin filament binding {GO:0051015}; cadherin binding {GO:0045296}; identical protein binding {GO:0042802}; structural constituent of cytoskeleton {GO:0005200}</t>
  </si>
  <si>
    <t>Myogenesis {R-HSA-525793}</t>
  </si>
  <si>
    <t>Proteasome inhibitor PI31 subunit (hPI31)</t>
  </si>
  <si>
    <t>PSMF1_HUMAN</t>
  </si>
  <si>
    <t>Q92530</t>
  </si>
  <si>
    <t>A0AVQ9; D3DVW3; Q9H4I1</t>
  </si>
  <si>
    <t>3D-structure; Acetylation; Cytoplasm; Endoplasmic reticulum; Methylation; Phosphoprotein; Polymorphism; Proteasome</t>
  </si>
  <si>
    <t>Cytoplasm; Endoplasmic reticulum; Proteasome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</si>
  <si>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negative regulation of proteasomal protein catabolic process {GO:1901799}; NIK/NF-kappaB signaling {GO:0038061}; positive regulation of canonical Wnt signaling pathway {GO:0090263}; post-translational protein modification {GO:0043687};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</si>
  <si>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cytosol {GO:0005829}; endoplasmic reticulum {GO:0005783}; membrane {GO:0016020}; nucleoplasm {GO:0005654}; perinuclear region of cytoplasm {GO:0048471}; proteasome core complex {GO:0005839}</t>
  </si>
  <si>
    <t>endopeptidase inhibitor activity {GO:0004866}; proteasome binding {GO:0070628}; protein heterodimerization activity {GO:0046982}; protein homodimerization activity {GO:0042803}</t>
  </si>
  <si>
    <t>AP2-associated protein kinase 1</t>
  </si>
  <si>
    <t>Adaptor-associated kinase 1</t>
  </si>
  <si>
    <t>AAK1_HUMAN</t>
  </si>
  <si>
    <t>Q2M2I8</t>
  </si>
  <si>
    <t>Q4ZFZ3; Q53RX6; Q9UPV4</t>
  </si>
  <si>
    <t>KIAA1048</t>
  </si>
  <si>
    <t>3D-structure; Acetylation; Alternative splicing; ATP-binding; Cell membrane; Coated pit; Endocytosis; Kinase; Membrane; Methylation; Nucleotide-binding; Phosphoprotein; Polymorphism; Serine/threonine-protein kinase; Transferase</t>
  </si>
  <si>
    <t>endocytosis {GO:0006897}; membrane organization {GO:0061024}; positive regulation of Notch signaling pathway {GO:0045747}; protein autophosphorylation {GO:0046777}; protein phosphorylation {GO:0006468}; protein stabilization {GO:0050821}; regulation of clathrin-dependent endocytosis {GO:2000369}; regulation of protein localization {GO:0032880}</t>
  </si>
  <si>
    <t>cell leading edge {GO:0031252}; clathrin-coated pit {GO:0005905}; clathrin-coated vesicle {GO:0030136}; cytosol {GO:0005829}; extrinsic component of plasma membrane {GO:0019897}; nucleus {GO:0005634}; terminal bouton {GO:0043195}</t>
  </si>
  <si>
    <t>AP-2 adaptor complex binding {GO:0035612}; ATP binding {GO:0005524}; Notch binding {GO:0005112}; protein serine/threonine kinase activity {GO:0004674}</t>
  </si>
  <si>
    <t>Annexin A4</t>
  </si>
  <si>
    <t>35-beta calcimedin; Annexin IV; Annexin-4; Carbohydrate-binding protein p33/p41; Chromobindin-4; Endonexin I; Lipocortin IV; P32.5; PP4-X; Placental anticoagulant protein II (PAP-II); Protein II</t>
  </si>
  <si>
    <t>ANXA4_HUMAN</t>
  </si>
  <si>
    <t>P09525</t>
  </si>
  <si>
    <t>B4DDF9; Q96F33; Q9BWK1</t>
  </si>
  <si>
    <t>ANX4</t>
  </si>
  <si>
    <t>3D-structure; Acetylation; Alternative splicing; Annexin; Calcium; Calcium/phospholipid-binding; Phosphoprotein; Polymorphism; Repeat</t>
  </si>
  <si>
    <t>epithelial cell differentiation {GO:0030855}; negative regulation of apoptotic process {GO:0043066}; negative regulation of interleukin-8 secretion {GO:2000483}; negative regulation of NF-kappaB transcription factor activity {GO:0032088}; Notch signaling pathway {GO:0007219}; regulation of transcription by RNA polymerase II {GO:0006357}; signal transduction {GO:0007165}</t>
  </si>
  <si>
    <t>cell surface {GO:0009986}; collagen-containing extracellular matrix {GO:0062023}; cytoplasm {GO:0005737}; cytosol {GO:0005829}; extracellular exosome {GO:0070062}; nuclear membrane {GO:0031965}; nucleus {GO:0005634}; perinuclear region of cytoplasm {GO:0048471}; plasma membrane {GO:0005886}; vesicle membrane {GO:0012506}</t>
  </si>
  <si>
    <t>calcium ion binding {GO:0005509}; calcium-dependent phospholipid binding {GO:0005544}; calcium-dependent protein binding {GO:0048306}; chondroitin sulfate binding {GO:0035374}; heparin binding {GO:0008201}; identical protein binding {GO:0042802}; NF-kappaB binding {GO:0051059}; phospholipase inhibitor activity {GO:0004859}</t>
  </si>
  <si>
    <t>Tubulin beta-1 chain</t>
  </si>
  <si>
    <t>TBB1_HUMAN</t>
  </si>
  <si>
    <t>Q9H4B7</t>
  </si>
  <si>
    <t>Cytoplasm; Cytoskeleton; Disease mutation; GTP-binding; Isopeptide bond; Microtubule; Nucleotide-binding; Phosphoprotein; Polymorphism</t>
  </si>
  <si>
    <t>microtubule cytoskeleton organization {GO:0000226}; microtubule-based process {GO:0007017}; mitotic cell cycle {GO:0000278}; spindle assembly {GO:0051225}</t>
  </si>
  <si>
    <t>cytoplasm {GO:0005737}; extracellular exosome {GO:0070062}; microtubule {GO:0005874}</t>
  </si>
  <si>
    <t>GTP binding {GO:0005525}; GTPase activity {GO:0003924}; structural constituent of cytoskeleton {GO:0005200}</t>
  </si>
  <si>
    <t>Elafin</t>
  </si>
  <si>
    <t>Elastase-specific inhibitor (ESI); Peptidase inhibitor 3 (PI-3); Protease inhibitor WAP3; Skin-derived antileukoproteinase (SKALP); WAP four-disulfide core domain protein 14</t>
  </si>
  <si>
    <t>ELAF_HUMAN</t>
  </si>
  <si>
    <t>P19957</t>
  </si>
  <si>
    <t>E1P618; Q6FG74</t>
  </si>
  <si>
    <t>WAP3; WFDC14</t>
  </si>
  <si>
    <t>3D-structure; Disulfide bond; Polymorphism; Protease inhibitor; Repeat; Secreted; Serine protease inhibitor; Signal</t>
  </si>
  <si>
    <t>antimicrobial humoral response {GO:0019730}; copulation {GO:0007620}; cornification {GO:0070268}; peptide cross-linking {GO:0018149}</t>
  </si>
  <si>
    <t>cornified envelope {GO:0001533}; cytosol {GO:0005829}; extracellular matrix {GO:0031012}; extracellular region {GO:0005576}</t>
  </si>
  <si>
    <t>endopeptidase inhibitor activity {GO:0004866}; serine-type endopeptidase inhibitor activity {GO:0004867}; structural constituent of epidermis {GO:0030280}</t>
  </si>
  <si>
    <t>Antimicrobial peptides {R-HSA-6803157}; Formation of the cornified envelope {R-HSA-6809371}</t>
  </si>
  <si>
    <t>WNT1-inducible-signaling pathway protein 2 (WISP-2)</t>
  </si>
  <si>
    <t>CCN family member 5; Connective tissue growth factor-like protein (CTGF-L); Connective tissue growth factor-related protein 58</t>
  </si>
  <si>
    <t>WISP2_HUMAN</t>
  </si>
  <si>
    <t>O76076</t>
  </si>
  <si>
    <t>B2R9N4; E1P612; Q6PEG3</t>
  </si>
  <si>
    <t>CCN5; CT58; CTGFL</t>
  </si>
  <si>
    <t>Alternative splicing; Cell adhesion; Polymorphism; Secreted; Signal</t>
  </si>
  <si>
    <t>cell adhesion {GO:0007155}; cell-cell signaling {GO:0007267}; negative regulation of cell death {GO:0060548}; signal transduction {GO:0007165}</t>
  </si>
  <si>
    <t>extracellular matrix {GO:0031012}; extracellular space {GO:0005615}; nucleus {GO:0005634}</t>
  </si>
  <si>
    <t>Endothelial protein C receptor</t>
  </si>
  <si>
    <t>Activated protein C receptor (APC receptor); Endothelial cell protein C receptor; CD_antigen=CD201</t>
  </si>
  <si>
    <t>EPCR_HUMAN</t>
  </si>
  <si>
    <t>Q9UNN8</t>
  </si>
  <si>
    <t>B2RC04; Q14218; Q6IB56; Q96CB3; Q9ULX1</t>
  </si>
  <si>
    <t>EPCR</t>
  </si>
  <si>
    <t>3D-structure; Blood coagulation; Disulfide bond; Glycoprotein; Hemostasis; Membrane; Polymorphism; Receptor; Signal; Transmembrane; Transmembrane helix</t>
  </si>
  <si>
    <t>blood coagulation {GO:0007596}; negative regulation of coagulation {GO:0050819}</t>
  </si>
  <si>
    <t>cell surface {GO:0009986}; centrosome {GO:0005813}; extracellular exosome {GO:0070062}; extracellular region {GO:0005576}; focal adhesion {GO:0005925}; integral component of plasma membrane {GO:0005887}; perinuclear region of cytoplasm {GO:0048471}; plasma membrane {GO:0005886}</t>
  </si>
  <si>
    <t>Common Pathway of Fibrin Clot Formation {R-HSA-140875}; Cell surface interactions at the vascular wall {R-HSA-202733}</t>
  </si>
  <si>
    <t>Glutaminyl-peptide cyclotransferase</t>
  </si>
  <si>
    <t>Glutaminyl cyclase (QC; sQC); Glutaminyl-tRNA cyclotransferase; Glutamyl cyclase (EC)</t>
  </si>
  <si>
    <t>QPCT_HUMAN</t>
  </si>
  <si>
    <t>Q16769</t>
  </si>
  <si>
    <t>Q16770; Q3KRG6; Q53TR4</t>
  </si>
  <si>
    <t>3D-structure; Acyltransferase; Alternative splicing; Disulfide bond; Glycoprotein; Metal-binding; Polymorphism; Secreted; Signal; Transferase; Zinc</t>
  </si>
  <si>
    <t>cellular protein modification process {GO:0006464}; neutrophil degranulation {GO:0043312}; peptidyl-pyroglutamic acid biosynthetic process, using glutaminyl-peptide cyclotransferase {GO:0017186}</t>
  </si>
  <si>
    <t>extracellular exosome {GO:0070062}; extracellular region {GO:0005576}; ficolin-1-rich granule lumen {GO:1904813}; specific granule lumen {GO:0035580}; tertiary granule lumen {GO:1904724}</t>
  </si>
  <si>
    <t>glutaminyl-peptide cyclotransferase activity {GO:0016603}; zinc ion binding {GO:0008270}</t>
  </si>
  <si>
    <t>Serine/arginine-rich splicing factor 7</t>
  </si>
  <si>
    <t>Splicing factor 9G8; Splicing factor, arginine/serine-rich 7</t>
  </si>
  <si>
    <t>SRSF7_HUMAN</t>
  </si>
  <si>
    <t>Q16629</t>
  </si>
  <si>
    <t>B4DLU6; G5E9M3; Q564D3</t>
  </si>
  <si>
    <t>SFRS7</t>
  </si>
  <si>
    <t>3D-structure; Acetylation; Alternative splicing; Cytoplasm; Isopeptide bond; Metal-binding; mRNA processing; mRNA splicing; mRNA transport; Nucleus; Phosphoprotein; Repeat; Repressor; RNA-binding; Transport; Ubl conjugation; Zinc; Zinc-finger</t>
  </si>
  <si>
    <t>cellular response to leukemia inhibitory factor {GO:1990830}; mRNA 3'-end processing {GO:0031124}; mRNA cis splicing, via spliceosome {GO:0045292}; mRNA export from nucleus {GO:0006406}; mRNA processing {GO:0006397}; mRNA splicing, via spliceosome {GO:0000398}; negative regulation of mRNA splicing, via spliceosome {GO:0048025}; regulation of alternative mRNA splicing, via spliceosome {GO:0000381}; RNA export from nucleus {GO:0006405}; RNA splicing {GO:0008380}</t>
  </si>
  <si>
    <t>cytoplasm {GO:0005737}; extracellular exosome {GO:0070062}; nuclear speck {GO:0016607}; nucleoplasm {GO:0005654}; nucleus {GO:0005634}</t>
  </si>
  <si>
    <t>protein domain specific binding {GO:0019904}; RNA binding {GO:0003723}; zinc ion binding {GO:0008270}</t>
  </si>
  <si>
    <t>Transport of Mature mRNA derived from an Intron-Containing Transcript {R-HSA-159236}; mRNA Splicing - Major Pathway {R-HSA-72163}; mRNA Splicing - Minor Pathway {R-HSA-72165}; mRNA 3'-end processing {R-HSA-72187}; RNA Polymerase II Transcription Termination {R-HSA-73856}</t>
  </si>
  <si>
    <t>Serine/arginine-rich splicing factor 6</t>
  </si>
  <si>
    <t>Pre-mRNA-splicing factor SRP55; Splicing factor, arginine/serine-rich 6</t>
  </si>
  <si>
    <t>SRSF6_HUMAN</t>
  </si>
  <si>
    <t>Q13247</t>
  </si>
  <si>
    <t>B7Z6J3; E1P5W6; Q13244; Q13245; Q96J06; Q9UJB8; Q9Y3N7</t>
  </si>
  <si>
    <t>SFRS6; SRP55</t>
  </si>
  <si>
    <t>Acetylation; Alternative splicing; Isopeptide bond; mRNA processing; mRNA splicing; Nucleus; Phosphoprotein; Polymorphism; Repeat; Repressor; RNA-binding; Ubl conjugation</t>
  </si>
  <si>
    <t>alternative mRNA splicing, via spliceosome {GO:0000380}; mRNA 3'-end processing {GO:0031124}; mRNA cis splicing, via spliceosome {GO:0045292}; mRNA export from nucleus {GO:0006406}; mRNA splice site selection {GO:0006376}; mRNA splicing, via spliceosome {GO:0000398}; negative regulation of cell death {GO:0060548}; negative regulation of keratinocyte differentiation {GO:0045617}; negative regulation of mRNA splicing, via spliceosome {GO:0048025}; negative regulation of type B pancreatic cell apoptotic process {GO:2000675}; positive regulation of epithelial cell proliferation involved in lung morphogenesis {GO:0060501}; regulation of alternative mRNA splicing, via spliceosome {GO:0000381}; regulation of keratinocyte proliferation {GO:0010837}; regulation of wound healing {GO:0061041}; response to insulin {GO:0032868}; RNA export from nucleus {GO:0006405}</t>
  </si>
  <si>
    <t>pre-mRNA binding {GO:0036002}; RNA binding {GO:0003723}</t>
  </si>
  <si>
    <t>Sialoadhesin</t>
  </si>
  <si>
    <t>Sialic acid-binding Ig-like lectin 1 (Siglec-1); CD_antigen=CD169</t>
  </si>
  <si>
    <t>SN_HUMAN</t>
  </si>
  <si>
    <t>Q9BZZ2</t>
  </si>
  <si>
    <t>Q96DL4; Q9GZS5; Q9H1H6; Q9H1H7; Q9H7L7</t>
  </si>
  <si>
    <t>SN</t>
  </si>
  <si>
    <t>Alternative splicing; Cell adhesion; Cell membrane; Disulfide bond; Endocytosis; Glycoprotein; Immunoglobulin domain; Lectin; Membrane; Polymorphism; Repeat; Secreted; Signal; Transmembrane; Transmembrane helix</t>
  </si>
  <si>
    <t>Cell adhesion; Endocytosis</t>
  </si>
  <si>
    <t>cell-cell adhesion {GO:0098609}; cell-matrix adhesion {GO:0007160}; endocytosis {GO:0006897}; inflammatory response {GO:0006954}</t>
  </si>
  <si>
    <t>extracellular region {GO:0005576}; integral component of membrane {GO:0016021}; plasma membrane {GO:0005886}</t>
  </si>
  <si>
    <t>Low molecular weight phosphotyrosine protein phosphatase (LMW-PTP; LMW-PTPase)</t>
  </si>
  <si>
    <t>Adipocyte acid phosphatase; Low molecular weight cytosolic acid phosphatase; Red cell acid phosphatase 1</t>
  </si>
  <si>
    <t>PPAC_HUMAN</t>
  </si>
  <si>
    <t>P24666</t>
  </si>
  <si>
    <t>A8K1L9; B5MCC7; P24667; Q16035; Q16036; Q16725; Q3KQX8; Q53RU0</t>
  </si>
  <si>
    <t>3D-structure; Acetylation; Alternative splicing; Cytoplasm; Hydrolase; Phosphoprotein; Polymorphism; Protein phosphatase</t>
  </si>
  <si>
    <t>cytoplasm {GO:0005737}; cytoplasmic side of plasma membrane {GO:0009898}; extracellular exosome {GO:0070062}</t>
  </si>
  <si>
    <t>acid phosphatase activity {GO:0003993}; non-membrane spanning protein tyrosine phosphatase activity {GO:0004726}; protein tyrosine phosphatase activity {GO:0004725}</t>
  </si>
  <si>
    <t>Protease-associated domain-containing protein 1</t>
  </si>
  <si>
    <t>Protease-associated domain-containing protein of 21 kDa (hPAP21)</t>
  </si>
  <si>
    <t>PADC1_HUMAN</t>
  </si>
  <si>
    <t>Q9BSG0</t>
  </si>
  <si>
    <t>Q2Z1P2</t>
  </si>
  <si>
    <t>C2orf7; PAP21</t>
  </si>
  <si>
    <t>Glycoprotein; Secreted; Signal</t>
  </si>
  <si>
    <t>UTP--glucose-1-phosphate uridylyltransferase</t>
  </si>
  <si>
    <t>UDP-glucose pyrophosphorylase (UDPGP; UGPase)</t>
  </si>
  <si>
    <t>UGPA_HUMAN</t>
  </si>
  <si>
    <t>Q16851</t>
  </si>
  <si>
    <t>Q07131; Q0P6K2; Q86Y81; Q9BU15</t>
  </si>
  <si>
    <t>UGP1</t>
  </si>
  <si>
    <t>3D-structure; Acetylation; Alternative splicing; Cytoplasm; Magnesium; Metal-binding; Nucleotidyltransferase; Phosphoprotein; Polymorphism; Transferase</t>
  </si>
  <si>
    <t>Nucleotidyltransferase; Transferase</t>
  </si>
  <si>
    <t>glucose 1-phosphate metabolic process {GO:0019255}; glycogen biosynthetic process {GO:0005978}; glycogen metabolic process {GO:0005977}; UDP-glucose metabolic process {GO:0006011}; UDP-glucuronate biosynthetic process {GO:0006065}</t>
  </si>
  <si>
    <t>glucose binding {GO:0005536}; identical protein binding {GO:0042802}; metal ion binding {GO:0046872}; pyrimidine ribonucleotide binding {GO:0032557}; UTP:glucose-1-phosphate uridylyltransferase activity {GO:0003983}</t>
  </si>
  <si>
    <t>Formation of the active cofactor, UDP-glucuronate {R-HSA-173599}; Glycogen synthesis {R-HSA-3322077}</t>
  </si>
  <si>
    <t>Malate dehydrogenase, cytoplasmic</t>
  </si>
  <si>
    <t>Cytosolic malate dehydrogenase; Diiodophenylpyruvate reductase</t>
  </si>
  <si>
    <t>MDHC_HUMAN</t>
  </si>
  <si>
    <t>P40925</t>
  </si>
  <si>
    <t>B2R5V5; B4DUN2; B7Z3I7; F5H098; Q6I9V0</t>
  </si>
  <si>
    <t>MDHA</t>
  </si>
  <si>
    <t>Acetylation; Alternative splicing; Cytoplasm; Methylation; NAD; Oxidoreductase; Phosphoprotein; Tricarboxylic acid cycle; Ubl conjugation</t>
  </si>
  <si>
    <t>gluconeogenesis {GO:0006094}; malate metabolic process {GO:0006108}; NAD metabolic process {GO:0019674}; NADH metabolic process {GO:0006734}; oxaloacetate metabolic process {GO:0006107}; tricarboxylic acid cycle {GO:0006099}</t>
  </si>
  <si>
    <t>cytosol {GO:0005829}; extracellular exosome {GO:0070062}; extracellular space {GO:0005615}</t>
  </si>
  <si>
    <t>diiodophenylpyruvate reductase activity {GO:0047860}; L-malate dehydrogenase activity {GO:0030060}; malic enzyme activity {GO:0004470}; NAD binding {GO:0051287}</t>
  </si>
  <si>
    <t>Interleukin-1 receptor-like 1</t>
  </si>
  <si>
    <t>Protein ST2</t>
  </si>
  <si>
    <t>ILRL1_HUMAN</t>
  </si>
  <si>
    <t>Q01638</t>
  </si>
  <si>
    <t>A8K6B3; B4E0I3; Q53TU7; Q8NEJ3; Q9ULV7; Q9UQ44</t>
  </si>
  <si>
    <t>DER4; ST2; T1</t>
  </si>
  <si>
    <t>immune response {GO:0006955}; interleukin-33-mediated signaling pathway {GO:0038172}; negative regulation of interferon-gamma production {GO:0032689}; negative regulation of T-helper 1 type immune response {GO:0002826}; positive regulation of chemokine secretion {GO:0090197}; positive regulation of inflammatory response {GO:0050729}; positive regulation of interleukin-5 production {GO:0032754}; positive regulation of macrophage activation {GO:0043032}; signal transduction {GO:0007165}</t>
  </si>
  <si>
    <t>cytokine receptor activity {GO:0004896}; interleukin-1 receptor activity {GO:0004908}; interleukin-33 binding {GO:0002113}; interleukin-33 receptor activity {GO:0002114}</t>
  </si>
  <si>
    <t>PIP3 activates AKT signaling {R-HSA-1257604}; PI5P, PP2A and IER3 Regulate PI3K/AKT Signaling {R-HSA-6811558}; Interleukin-33 signaling {R-HSA-9014843}</t>
  </si>
  <si>
    <t>WAP four-disulfide core domain protein 2</t>
  </si>
  <si>
    <t>Epididymal secretory protein E4; Major epididymis-specific protein E4; Putative protease inhibitor WAP5</t>
  </si>
  <si>
    <t>WFDC2_HUMAN</t>
  </si>
  <si>
    <t>Q14508</t>
  </si>
  <si>
    <t>A2A2A5; A2A2A6; A6PVD5; Q6IB27; Q8WXV9; Q8WXW0; Q8WXW1; Q8WXW2; Q96KJ1</t>
  </si>
  <si>
    <t>HE4; WAP5</t>
  </si>
  <si>
    <t>Alternative splicing; Aspartic protease inhibitor; Disulfide bond; Glycoprotein; Protease inhibitor; Repeat; Secreted; Serine protease inhibitor; Signal; Thiol protease inhibitor</t>
  </si>
  <si>
    <t>Aspartic protease inhibitor; Protease inhibitor; Serine protease inhibitor; Thiol protease inhibitor</t>
  </si>
  <si>
    <t>proteolysis {GO:0006508}; spermatogenesis {GO:0007283}</t>
  </si>
  <si>
    <t>aspartic-type endopeptidase inhibitor activity {GO:0019828}; cysteine-type endopeptidase inhibitor activity {GO:0004869}; endopeptidase inhibitor activity {GO:0004866}; serine-type endopeptidase inhibitor activity {GO:0004867}</t>
  </si>
  <si>
    <t>Glycogen phosphorylase, brain form</t>
  </si>
  <si>
    <t>PYGB_HUMAN</t>
  </si>
  <si>
    <t>P11216</t>
  </si>
  <si>
    <t>Q96AK1; Q9NPX8</t>
  </si>
  <si>
    <t>3D-structure; Acetylation; Allosteric enzyme; Carbohydrate metabolism; Glycogen metabolism; Glycosyltransferase; Phosphoprotein; Polymorphism; Pyridoxal phosphate; Transferase</t>
  </si>
  <si>
    <t>glycogen catabolic process {GO:0005980}; neutrophil degranulation {GO:0043312}</t>
  </si>
  <si>
    <t>azurophil granule lumen {GO:0035578}; cytoplasm {GO:0005737}; extracellular exosome {GO:0070062}; extracellular region {GO:0005576}; membrane {GO:0016020}</t>
  </si>
  <si>
    <t>glycogen phosphorylase activity {GO:0008184}; linear malto-oligosaccharide phosphorylase activity {GO:0102250}; pyridoxal phosphate binding {GO:0030170}; SHG alpha-glucan phosphorylase activity {GO:0102499}</t>
  </si>
  <si>
    <t>Protein S100-A11, N-terminally processed</t>
  </si>
  <si>
    <t>Calgizzarin; Metastatic lymph node gene 70 protein (MLN 70); Protein S100-C; S100 calcium-binding protein A11</t>
  </si>
  <si>
    <t>S10AB_HUMAN</t>
  </si>
  <si>
    <t>P31949</t>
  </si>
  <si>
    <t>Q5VTK0</t>
  </si>
  <si>
    <t>MLN70; S100C</t>
  </si>
  <si>
    <t>3D-structure; Acetylation; Calcium; Cytoplasm; Disulfide bond; Metal-binding; Nucleus; Phosphoprotein; Repeat</t>
  </si>
  <si>
    <t>negative regulation of cell population proliferation {GO:0008285}; negative regulation of DNA replication {GO:0008156}; neutrophil degranulation {GO:0043312}; signal transduction {GO:0007165}</t>
  </si>
  <si>
    <t>cell-cell adherens junction {GO:0005913}; cytoplasm {GO:0005737}; extracellular exosome {GO:0070062}; extracellular region {GO:0005576}; extracellular space {GO:0005615}; nucleus {GO:0005634}; ruffle {GO:0001726}; secretory granule lumen {GO:0034774}</t>
  </si>
  <si>
    <t>cadherin binding involved in cell-cell adhesion {GO:0098641}; calcium ion binding {GO:0005509}; calcium-dependent protein binding {GO:0048306}; protein homodimerization activity {GO:0042803}; S100 protein binding {GO:0044548}</t>
  </si>
  <si>
    <t>Myosin light chain kinase 2, skeletal/cardiac muscle (MLCK2)</t>
  </si>
  <si>
    <t>MYLK2_HUMAN</t>
  </si>
  <si>
    <t>Q9H1R3</t>
  </si>
  <si>
    <t>Q569L1; Q96I84</t>
  </si>
  <si>
    <t>3D-structure; Acetylation; ATP-binding; Calmodulin-binding; Cardiomyopathy; Cytoplasm; Disease mutation; Kinase; Nucleotide-binding; Phosphoprotein; Polymorphism; Serine/threonine-protein kinase; Transferase</t>
  </si>
  <si>
    <t>cardiac muscle contraction {GO:0060048}; cardiac muscle tissue morphogenesis {GO:0055008}; neuromuscular synaptic transmission {GO:0007274}; peptidyl-threonine phosphorylation {GO:0018107}; positive regulation of gene expression {GO:0010628}; protein autophosphorylation {GO:0046777}; regulation of muscle filament sliding {GO:0032971}; skeletal muscle cell differentiation {GO:0035914}; skeletal muscle satellite cell differentiation {GO:0014816}; striated muscle contraction {GO:0006941}</t>
  </si>
  <si>
    <t>cytoplasm {GO:0005737}; nucleus {GO:0005634}; sarcomere {GO:0030017}</t>
  </si>
  <si>
    <t>ATP binding {GO:0005524}; calmodulin binding {GO:0005516}; calmodulin-dependent protein kinase activity {GO:0004683}; myosin light chain binding {GO:0032027}; myosin light chain kinase activity {GO:0004687}</t>
  </si>
  <si>
    <t>Copeptin</t>
  </si>
  <si>
    <t>AVP-NPII; Arginine-vasopressin; Neurophysin-II</t>
  </si>
  <si>
    <t>NEU2_HUMAN</t>
  </si>
  <si>
    <t>P01185</t>
  </si>
  <si>
    <t>A0AV35; O14935</t>
  </si>
  <si>
    <t>ARVP; VP</t>
  </si>
  <si>
    <t>Amidation; Cleavage on pair of basic residues; Diabetes insipidus; Disease mutation; Disulfide bond; Glycoprotein; Hormone; Polymorphism; Secreted; Signal; Vasoactive; Vasoconstrictor</t>
  </si>
  <si>
    <t>Hormone; Vasoactive; Vasoconstrictor</t>
  </si>
  <si>
    <t>Amidation; Cleavage on pair of basic residues; Disulfide bond; Glycoprotein</t>
  </si>
  <si>
    <t>cell-cell signaling {GO:0007267}; ERK1 and ERK2 cascade {GO:0070371}; G protein-coupled receptor signaling pathway {GO:0007186}; generation of precursor metabolites and energy {GO:0006091}; grooming behavior {GO:0007625}; hyperosmotic salinity response {GO:0042538}; locomotory behavior {GO:0007626}; maternal aggressive behavior {GO:0002125}; maternal behavior {GO:0042711}; membrane organization {GO:0061024}; negative regulation of apoptotic process {GO:0043066}; negative regulation of cysteine-type endopeptidase activity involved in apoptotic process {GO:0043154}; negative regulation of female receptivity {GO:0007621}; negative regulation of release of cytochrome c from mitochondria {GO:0090201}; negative regulation of transmission of nerve impulse {GO:0051970}; penile erection {GO:0043084}; positive regulation of cell growth {GO:0030307}; positive regulation of cell population proliferation {GO:0008284}; positive regulation of cellular pH reduction {GO:0032849}; positive regulation of cytosolic calcium ion concentration {GO:0007204}; positive regulation of gene expression {GO:0010628}; positive regulation of glutamate secretion {GO:0014049}; positive regulation of peptidyl-serine phosphorylation {GO:0033138}; positive regulation of prostaglandin biosynthetic process {GO:0031394}; positive regulation of systemic arterial blood pressure {GO:0003084}; positive regulation of vasoconstriction {GO:0045907}; protein kinase C signaling {GO:0070528}; regulation of renal sodium excretion {GO:0035813}; renal water homeostasis {GO:0003091}; response to ethanol {GO:0045471}; response to nicotine {GO:0035094}; response to testosterone {GO:0033574}; signal transduction {GO:0007165}; social behavior {GO:0035176}; vasoconstriction {GO:0042310}; water transport {GO:0006833}</t>
  </si>
  <si>
    <t>clathrin-coated vesicle membrane {GO:0030665}; cytosol {GO:0005829}; dendrite {GO:0030425}; extracellular region {GO:0005576}; extracellular space {GO:0005615}; secretory granule {GO:0030141}</t>
  </si>
  <si>
    <t>cysteine-type endopeptidase inhibitor activity involved in apoptotic process {GO:0043027}; neurohypophyseal hormone activity {GO:0005185}; neuropeptide hormone activity {GO:0005184}; protein kinase activity {GO:0004672}; signaling receptor binding {GO:0005102}; V1A vasopressin receptor binding {GO:0031894}; V1B vasopressin receptor binding {GO:0031895}</t>
  </si>
  <si>
    <t>BMAL1:CLOCK,NPAS2 activates circadian gene expression {R-HSA-1368108}; Vasopressin-like receptors {R-HSA-388479}; G alpha (q) signalling events {R-HSA-416476}; G alpha (s) signalling events {R-HSA-418555}; Vasopressin regulates renal water homeostasis via Aquaporins {R-HSA-432040}; Defective AVP does not bind AVPR1A,B and causes neurohypophyseal diabetes insipidus (NDI) {R-HSA-5619099}; Transport of organic anions {R-HSA-879518}; Cargo recognition for clathrin-mediated endocytosis {R-HSA-8856825}; Clathrin-mediated endocytosis {R-HSA-8856828}; Defective AVP does not bind AVPR2 and causes neurohypophyseal diabetes insipidus (NDI) {R-HSA-9036092}</t>
  </si>
  <si>
    <t>Processed cysteine-rich motor neuron 1 protein</t>
  </si>
  <si>
    <t>Cysteine-rich repeat-containing protein S52</t>
  </si>
  <si>
    <t>CRIM1_HUMAN</t>
  </si>
  <si>
    <t>Q9NZV1</t>
  </si>
  <si>
    <t>Q2M2G4; Q59GH0; Q7LCQ5; Q9H318</t>
  </si>
  <si>
    <t>S52</t>
  </si>
  <si>
    <t>Cell membrane; Glycoprotein; Membrane; Phosphoprotein; Polymorphism; Repeat; Secreted; Signal; Transmembrane; Transmembrane helix</t>
  </si>
  <si>
    <t>insulin-like growth factor binding {GO:0005520}; insulin-like growth factor-activated receptor activity {GO:0005010}; PDZ domain binding {GO:0030165}; serine-type endopeptidase inhibitor activity {GO:0004867}</t>
  </si>
  <si>
    <t>Agrin C-terminal 22 kDa fragment (C90; C22)</t>
  </si>
  <si>
    <t>AGRIN_HUMAN</t>
  </si>
  <si>
    <t>O00468</t>
  </si>
  <si>
    <t>Q5SVA1; Q5SVA2; Q60FE1; Q7KYS8; Q8N4J5; Q96IC1; Q9BTD4</t>
  </si>
  <si>
    <t>AGRIN</t>
  </si>
  <si>
    <t>Alternative splicing; Calcium; Cell junction; Cell membrane; Congenital myasthenic syndrome; Developmental protein; Differentiation; Disease mutation; Disulfide bond; EGF-like domain; Extracellular matrix; Glycoprotein; Heparan sulfate; Laminin EGF-like domain; Membrane; Phosphoprotein; Polymorphism; Proteoglycan; Repeat; Secreted; Signal; Synapse; Transmembrane; Transmembrane helix</t>
  </si>
  <si>
    <t>Cell junction; Cell membrane; Extracellular matrix; Membrane; Secreted; Synapse</t>
  </si>
  <si>
    <t>EGF-like domain; Laminin EGF-like domain; Repeat; Signal; Transmembrane; Transmembrane helix</t>
  </si>
  <si>
    <t>animal organ morphogenesis {GO:0009887}; axon guidance {GO:0007411}; clustering of voltage-gated sodium channels {GO:0045162}; extracellular matrix organization {GO:0030198}; G protein-coupled acetylcholine receptor signaling pathway {GO:0007213}; glycosaminoglycan biosynthetic process {GO:0006024}; glycosaminoglycan catabolic process {GO:0006027}; neuromuscular junction development {GO:0007528}; positive regulation of filopodium assembly {GO:0051491}; positive regulation of GTPase activity {GO:0043547}; positive regulation of synaptic growth at neuromuscular junction {GO:0045887}; positive regulation of transcription by RNA polymerase II {GO:0045944}; receptor clustering {GO:0043113}; retinoid metabolic process {GO:0001523}; signal transduction {GO:0007165}; synapse organization {GO:0050808}; tissue development {GO:0009888}</t>
  </si>
  <si>
    <t>basement membrane {GO:0005604}; cell junction {GO:0030054}; collagen-containing extracellular matrix {GO:0062023}; cytosol {GO:0005829}; extracellular exosome {GO:0070062}; extracellular region {GO:0005576}; Golgi lumen {GO:0005796}; integral component of membrane {GO:0016021}; lysosomal lumen {GO:0043202}; plasma membrane {GO:0005886}; synapse {GO:0045202}</t>
  </si>
  <si>
    <t>calcium ion binding {GO:0005509}; chondroitin sulfate binding {GO:0035374}; dystroglycan binding {GO:0002162}; extracellular matrix structural constituent {GO:0005201}; heparan sulfate proteoglycan binding {GO:0043395}; laminin binding {GO:0043236}; sialic acid binding {GO:0033691}; structural constituent of cytoskeleton {GO:0005200}</t>
  </si>
  <si>
    <t>A tetrasaccharide linker sequence is required for GAG synthesis {R-HSA-1971475}; HS-GAG biosynthesis {R-HSA-2022928}; HS-GAG degradation {R-HSA-2024096}; Integrin cell surface interactions {R-HSA-216083}; Non-integrin membrane-ECM interactions {R-HSA-3000171}; ECM proteoglycans {R-HSA-3000178}; Defective B4GALT7 causes EDS, progeroid type {R-HSA-3560783}; Defective B3GAT3 causes JDSSDHD {R-HSA-3560801}; Defective EXT2 causes exostoses 2 {R-HSA-3656237}; Defective EXT1 causes exostoses 1, TRPS2 and CHDS {R-HSA-3656253}; NCAM1 interactions {R-HSA-419037}; Defective B3GALT6 causes EDSP2 and SEMDJL1 {R-HSA-4420332}; Retinoid metabolism and transport {R-HSA-975634}</t>
  </si>
  <si>
    <t>WAP four-disulfide core domain protein 5</t>
  </si>
  <si>
    <t>Putative protease inhibitor WAP1; p53-responsive gene 5 protein</t>
  </si>
  <si>
    <t>WFDC5_HUMAN</t>
  </si>
  <si>
    <t>Q8TCV5</t>
  </si>
  <si>
    <t>Q5H981; Q6UWE4</t>
  </si>
  <si>
    <t>PRG5; WAP1</t>
  </si>
  <si>
    <t>Alternative splicing; Disulfide bond; Polymorphism; Protease inhibitor; Repeat; Secreted; Serine protease inhibitor; Signal</t>
  </si>
  <si>
    <t>Bactericidal permeability-increasing protein (BPI)</t>
  </si>
  <si>
    <t>CAP 57</t>
  </si>
  <si>
    <t>BPI_HUMAN</t>
  </si>
  <si>
    <t>P17213</t>
  </si>
  <si>
    <t>B2RCY2; Q1ZZU8; Q5JRW0; Q8IW58; Q9BYZ9; Q9H1L2; Q9H1M8; Q9H203; Q9UCT4; Q9UD65</t>
  </si>
  <si>
    <t>3D-structure; Antibiotic; Antimicrobial; Disulfide bond; Glycoprotein; Membrane; Polymorphism; Secreted; Signal</t>
  </si>
  <si>
    <t>antibacterial humoral response {GO:0019731}; antimicrobial humoral immune response mediated by antimicrobial peptide {GO:0061844}; antimicrobial humoral response {GO:0019730}; cellular response to lipopolysaccharide {GO:0071222}; defense response to Gram-negative bacterium {GO:0050829}; negative regulation of interleukin-6 production {GO:0032715}; negative regulation of interleukin-8 production {GO:0032717}; negative regulation of macrophage activation {GO:0043031}; negative regulation of tumor necrosis factor production {GO:0032720}; neutrophil degranulation {GO:0043312}</t>
  </si>
  <si>
    <t>azurophil granule lumen {GO:0035578}; cytoplasmic stress granule {GO:0010494}; extracellular exosome {GO:0070062}; extracellular region {GO:0005576}; membrane {GO:0016020}; specific granule lumen {GO:0035580}</t>
  </si>
  <si>
    <t>Toll Like Receptor 4 (TLR4) Cascade {R-HSA-166016}; Neutrophil degranulation {R-HSA-6798695}; Antimicrobial peptides {R-HSA-6803157}</t>
  </si>
  <si>
    <t>Lipopolysaccharide-binding protein (LBP)</t>
  </si>
  <si>
    <t>LBP_HUMAN</t>
  </si>
  <si>
    <t>P18428</t>
  </si>
  <si>
    <t>B2R938; O43438; Q92672; Q9H403; Q9UD66</t>
  </si>
  <si>
    <t>Antibiotic; Antimicrobial; Disulfide bond; Glycoprotein; Immunity; Innate immunity; Lipid transport; Membrane; Polymorphism; Secreted; Signal; Transport</t>
  </si>
  <si>
    <t>Immunity; Innate immunity; Lipid transport; Transport</t>
  </si>
  <si>
    <t>acute-phase response {GO:0006953}; cellular defense response {GO:0006968}; cellular response to lipopolysaccharide {GO:0071222}; cellular response to lipoteichoic acid {GO:0071223}; cytokine-mediated signaling pathway {GO:0019221}; defense response to Gram-negative bacterium {GO:0050829}; defense response to Gram-positive bacterium {GO:0050830}; detection of molecule of bacterial origin {GO:0032490}; innate immune response {GO:0045087}; leukocyte chemotaxis involved in inflammatory response {GO:0002232}; lipopolysaccharide transport {GO:0015920}; lipopolysaccharide-mediated signaling pathway {GO:0031663}; macromolecule localization {GO:0033036}; macrophage activation involved in immune response {GO:0002281}; negative regulation of growth of symbiont in host {GO:0044130}; negative regulation of tumor necrosis factor production {GO:0032720}; opsonization {GO:0008228}; positive regulation of chemokine production {GO:0032722}; positive regulation of cytolysis {GO:0045919}; positive regulation of interleukin-6 production {GO:0032755}; positive regulation of interleukin-8 production {GO:0032757}; positive regulation of macrophage activation {GO:0043032}; positive regulation of neutrophil chemotaxis {GO:0090023}; positive regulation of respiratory burst involved in inflammatory response {GO:0060265}; positive regulation of toll-like receptor 4 signaling pathway {GO:0034145}; positive regulation of tumor necrosis factor biosynthetic process {GO:0042535}; positive regulation of tumor necrosis factor production {GO:0032760}; response to lipopolysaccharide {GO:0032496}; toll-like receptor 4 signaling pathway {GO:0034142}; toll-like receptor signaling pathway {GO:0002224}</t>
  </si>
  <si>
    <t>cell surface {GO:0009986}; extracellular exosome {GO:0070062}; extracellular region {GO:0005576}; extracellular space {GO:0005615}; membrane {GO:0016020}</t>
  </si>
  <si>
    <t>lipopeptide binding {GO:0071723}; lipopolysaccharide binding {GO:0001530}; lipoteichoic acid binding {GO:0070891}; signaling receptor binding {GO:0005102}</t>
  </si>
  <si>
    <t>Toll Like Receptor 4 (TLR4) Cascade {R-HSA-166016}; Transfer of LPS from LBP carrier to CD14 {R-HSA-166020}; Regulation of TLR by endogenous ligand {R-HSA-5686938}; Interleukin-4 and Interleukin-13 signaling {R-HSA-6785807}</t>
  </si>
  <si>
    <t>Ubiquitin-like protein ISG15</t>
  </si>
  <si>
    <t>Interferon-induced 15 kDa protein; Interferon-induced 17 kDa protein (IP17); Ubiquitin cross-reactive protein (hUCRP)</t>
  </si>
  <si>
    <t>ISG15_HUMAN</t>
  </si>
  <si>
    <t>P05161</t>
  </si>
  <si>
    <t>Q5SVA4; Q7Z2G2; Q96GF0</t>
  </si>
  <si>
    <t>G1P2; UCRP</t>
  </si>
  <si>
    <t>3D-structure; Antiviral defense; Cytoplasm; Disulfide bond; Host-virus interaction; Immunity; Innate immunity; Isopeptide bond; Polymorphism; Repeat; S-nitrosylation; Secreted; Ubl conjugation pathway</t>
  </si>
  <si>
    <t>Antiviral defense; Host-virus interaction; Immunity; Innate immunity; Ubl conjugation pathway</t>
  </si>
  <si>
    <t>Disulfide bond; Isopeptide bond; S-nitrosylation</t>
  </si>
  <si>
    <t>defense response to bacterium {GO:0042742}; defense response to virus {GO:0051607}; integrin-mediated signaling pathway {GO:0007229}; interferon-gamma secretion {GO:0072643}; interleukin-10 secretion {GO:0072608}; ISG15-protein conjugation {GO:0032020}; modification-dependent protein catabolic process {GO:0019941}; negative regulation of protein ubiquitination {GO:0031397}; negative regulation of type I interferon production {GO:0032480}; negative regulation of viral genome replication {GO:0045071}; positive regulation of bone mineralization {GO:0030501}; positive regulation of erythrocyte differentiation {GO:0045648}; regulation of interferon-gamma production {GO:0032649}; response to type I interferon {GO:0034340}; translesion synthesis {GO:0019985}; type I interferon signaling pathway {GO:0060337}; viral process {GO:0016032}</t>
  </si>
  <si>
    <t>cytosol {GO:0005829}; extracellular region {GO:0005576}; nucleoplasm {GO:0005654}</t>
  </si>
  <si>
    <t>integrin binding {GO:0005178}; protein tag {GO:0031386}</t>
  </si>
  <si>
    <t>ISG15 antiviral mechanism {R-HSA-1169408}; NS1 Mediated Effects on Host Pathways {R-HSA-168276}; DDX58/IFIH1-mediated induction of interferon-alpha/beta {R-HSA-168928}; Termination of translesion DNA synthesis {R-HSA-5656169}; Interferon alpha/beta signaling {R-HSA-909733}; Negative regulators of DDX58/IFIH1 signaling {R-HSA-936440}</t>
  </si>
  <si>
    <t>Metal transporter CNNM3</t>
  </si>
  <si>
    <t>Ancient conserved domain-containing protein 3; Cyclin-M3</t>
  </si>
  <si>
    <t>CNNM3_HUMAN</t>
  </si>
  <si>
    <t>Q8NE01</t>
  </si>
  <si>
    <t>B3KX67; Q8TBV4; Q96IW4; Q9NRK4; Q9NXW6</t>
  </si>
  <si>
    <t>ACDP3</t>
  </si>
  <si>
    <t>3D-structure; Alternative splicing; CBS domain; Cell membrane; Glycoprotein; Ion transport; Membrane; Phosphoprotein; Repeat; Transmembrane; Transmembrane helix; Transport</t>
  </si>
  <si>
    <t>CBS domain; Repeat; Transmembrane; Transmembrane helix</t>
  </si>
  <si>
    <t>Neurophysin 1</t>
  </si>
  <si>
    <t>Ocytocin</t>
  </si>
  <si>
    <t>NEU1_HUMAN</t>
  </si>
  <si>
    <t>P01178</t>
  </si>
  <si>
    <t>Q3MIG0</t>
  </si>
  <si>
    <t>OT</t>
  </si>
  <si>
    <t>Amidation; Cleavage on pair of basic residues; Disulfide bond; Hormone; Pharmaceutical; Secreted; Signal</t>
  </si>
  <si>
    <t>Pharmaceutical</t>
  </si>
  <si>
    <t>drinking behavior {GO:0042756}; eating behavior {GO:0042755}; female pregnancy {GO:0007565}; G protein-coupled receptor signaling pathway {GO:0007186}; grooming behavior {GO:0007625}; heart development {GO:0007507}; hyperosmotic salinity response {GO:0042538}; male mating behavior {GO:0060179}; maternal aggressive behavior {GO:0002125}; maternal behavior {GO:0042711}; memory {GO:0007613}; negative regulation of blood pressure {GO:0045776}; negative regulation of gastric acid secretion {GO:0060455}; negative regulation of urine volume {GO:0035811}; positive regulation of blood pressure {GO:0045777}; positive regulation of cold-induced thermogenesis {GO:0120162}; positive regulation of cytosolic calcium ion concentration {GO:0007204}; positive regulation of female receptivity {GO:0045925}; positive regulation of hindgut contraction {GO:0060450}; positive regulation of norepinephrine secretion {GO:0010701}; positive regulation of ossification {GO:0045778}; positive regulation of penile erection {GO:0060406}; positive regulation of prostaglandin secretion {GO:0032308}; positive regulation of renal sodium excretion {GO:0035815}; positive regulation of synapse assembly {GO:0051965}; positive regulation of synaptic transmission {GO:0050806}; positive regulation of uterine smooth muscle contraction {GO:0070474}; regulation of heart rate {GO:0002027}; regulation of sensory perception of pain {GO:0051930}; response to activity {GO:0014823}; response to amphetamine {GO:0001975}; response to cAMP {GO:0051591}; response to cocaine {GO:0042220}; response to electrical stimulus {GO:0051602}; response to estradiol {GO:0032355}; response to ether {GO:0045472}; response to food {GO:0032094}; response to glucocorticoid {GO:0051384}; response to peptide hormone {GO:0043434}; response to progesterone {GO:0032570}; response to prostaglandin E {GO:0034695}; response to retinoic acid {GO:0032526}; response to sucrose {GO:0009744}; signal transduction {GO:0007165}; sleep {GO:0030431}; social behavior {GO:0035176}; sperm ejaculation {GO:0042713}</t>
  </si>
  <si>
    <t>extracellular region {GO:0005576}; extracellular space {GO:0005615}; secretory granule {GO:0030141}; terminal bouton {GO:0043195}</t>
  </si>
  <si>
    <t>neurohypophyseal hormone activity {GO:0005185}; neuropeptide hormone activity {GO:0005184}; oxytocin receptor binding {GO:0031855}</t>
  </si>
  <si>
    <t>Vasopressin-like receptors {R-HSA-388479}; G alpha (q) signalling events {R-HSA-416476}</t>
  </si>
  <si>
    <t>Cadherin EGF LAG seven-pass G-type receptor 2</t>
  </si>
  <si>
    <t>Cadherin family member 10; Epidermal growth factor-like protein 2 (EGF-like protein 2); Flamingo homolog 3; Multiple epidermal growth factor-like domains protein 3 (Multiple EGF-like domains protein 3)</t>
  </si>
  <si>
    <t>CELR2_HUMAN</t>
  </si>
  <si>
    <t>Q9HCU4</t>
  </si>
  <si>
    <t>Q5T2Y7; Q92566</t>
  </si>
  <si>
    <t>Calcium; Cell membrane; Developmental protein; Disulfide bond; EGF-like domain; G-protein coupled receptor; Glycoprotein; Hydroxylation; Laminin EGF-like domain; Membrane; Polymorphism; Receptor; Repeat; Signal; Transducer; Transmembrane; Transmembrane helix</t>
  </si>
  <si>
    <t>cell-cell adhesion {GO:0098609}; dendrite morphogenesis {GO:0048813}; G protein-coupled receptor signaling pathway {GO:0007186}; homophilic cell adhesion via plasma membrane adhesion molecules {GO:0007156}; neural plate anterior/posterior regionalization {GO:0021999}; regulation of cell-cell adhesion {GO:0022407}; regulation of transcription, DNA-templated {GO:0006355}; Wnt signaling pathway {GO:0016055}; Wnt signaling pathway, planar cell polarity pathway {GO:0060071}</t>
  </si>
  <si>
    <t>calcium ion binding {GO:0005509}; G protein-coupled receptor activity {GO:0004930}</t>
  </si>
  <si>
    <t>Interleukin-36 receptor antagonist protein (IL-36Ra)</t>
  </si>
  <si>
    <t>FIL1 delta; IL-1-related protein 3 (IL-1RP3); Interleukin-1 HY1 (IL-1HY1); Interleukin-1 delta (IL-1 delta); Interleukin-1 family member 5 (IL-1F5); Interleukin-1 receptor antagonist homolog 1 (IL-1ra homolog 1); Interleukin-1-like protein 1 (IL-1L1)</t>
  </si>
  <si>
    <t>I36RA_HUMAN</t>
  </si>
  <si>
    <t>Q9UBH0</t>
  </si>
  <si>
    <t>A8K2I4; Q56AT9; Q7RTZ6</t>
  </si>
  <si>
    <t>FIL1D; IL1F5; IL1HY1; IL1L1; IL1RP3</t>
  </si>
  <si>
    <t>3D-structure; Cytokine; Disease mutation; Disulfide bond; Immunity; Innate immunity; Polymorphism; Secreted</t>
  </si>
  <si>
    <t>antifungal humoral response {GO:0019732}; cellular response to lipopolysaccharide {GO:0071222}; cytokine-mediated signaling pathway {GO:0019221}; inflammatory response {GO:0006954}; innate immune response {GO:0045087}; negative regulation of cytokine-mediated signaling pathway {GO:0001960}; negative regulation of interferon-gamma secretion {GO:1902714}; negative regulation of interleukin-17 production {GO:0032700}; negative regulation of interleukin-6 production {GO:0032715}; neutrophil chemotaxis {GO:0030593}; positive regulation of I-kappaB kinase/NF-kappaB signaling {GO:0043123}; positive regulation of interleukin-6 production {GO:0032755}; positive regulation of JNK cascade {GO:0046330}</t>
  </si>
  <si>
    <t>cytokine activity {GO:0005125}; interleukin-1 receptor antagonist activity {GO:0005152}; interleukin-1 receptor binding {GO:0005149}</t>
  </si>
  <si>
    <t>Interleukin-36 pathway {R-HSA-9014826}</t>
  </si>
  <si>
    <t>Endoplasmic reticulum lectin 1</t>
  </si>
  <si>
    <t>ER lectin (Erlectin); XTP3-transactivated gene B protein</t>
  </si>
  <si>
    <t>ERLEC_HUMAN</t>
  </si>
  <si>
    <t>Q96DZ1</t>
  </si>
  <si>
    <t>B2RDB4; B5MC72; O95901; Q6UWN7; Q9NUY7; Q9UQL4</t>
  </si>
  <si>
    <t>C2orf30; XTP3TPB</t>
  </si>
  <si>
    <t>Alternative splicing; Endoplasmic reticulum; Glycoprotein; Polymorphism; Repeat; Signal</t>
  </si>
  <si>
    <t>ERAD pathway {GO:0036503}; negative regulation of retrograde protein transport, ER to cytosol {GO:1904153}; retrograde protein transport, ER to cytosol {GO:0030970}; transmembrane transport {GO:0055085}; ubiquitin-dependent ERAD pathway {GO:0030433}</t>
  </si>
  <si>
    <t>endoplasmic reticulum lumen {GO:0005788}; endoplasmic reticulum quality control compartment {GO:0044322}</t>
  </si>
  <si>
    <t>unfolded protein binding {GO:0051082}</t>
  </si>
  <si>
    <t>ABC-family proteins mediated transport {R-HSA-382556}; Hedgehog ligand biogenesis {R-HSA-5358346}; Hh mutants that don't undergo autocatalytic processing are degraded by ERAD {R-HSA-5362768}; Defective CFTR causes cystic fibrosis {R-HSA-5678895}</t>
  </si>
  <si>
    <t>EH domain-containing protein 3</t>
  </si>
  <si>
    <t>PAST homolog 3</t>
  </si>
  <si>
    <t>EHD3_HUMAN</t>
  </si>
  <si>
    <t>Q9NZN3</t>
  </si>
  <si>
    <t>B4DFR5; D6W574; Q8N514; Q9NZB3</t>
  </si>
  <si>
    <t>Acetylation; Alternative splicing; ATP-binding; Calcium; Cell membrane; Cell projection; Cilium; Cilium biogenesis/degradation; Coiled coil; Endosome; Isopeptide bond; Membrane; Metal-binding; Nucleotide-binding; Phosphoprotein; Protein transport; Transport; Ubl conjugation</t>
  </si>
  <si>
    <t>blood coagulation {GO:0007596}; cilium assembly {GO:0060271}; early endosome to Golgi transport {GO:0034498}; endocytic recycling {GO:0032456}; Golgi to lysosome transport {GO:0090160}; positive regulation of voltage-gated calcium channel activity {GO:1901387}; protein homooligomerization {GO:0051260}; protein localization to plasma membrane {GO:0072659}; protein transport {GO:0015031}; receptor recycling {GO:0001881}; regulation of cardiac conduction {GO:1903779}; regulation of cardiac muscle cell membrane potential {GO:0086036}; regulation of cardiac muscle contraction {GO:0055117}; regulation of Golgi organization {GO:1903358}</t>
  </si>
  <si>
    <t>ciliary pocket membrane {GO:0020018}; cytoplasm {GO:0005737}; cytosol {GO:0005829}; endocytic vesicle {GO:0030139}; endosome membrane {GO:0010008}; focal adhesion {GO:0005925}; nucleus {GO:0005634}; perinuclear region of cytoplasm {GO:0048471}; recycling endosome membrane {GO:0055038}</t>
  </si>
  <si>
    <t>ATP binding {GO:0005524}; calcium ion binding {GO:0005509}; GTP binding {GO:0005525}; nucleic acid binding {GO:0003676}</t>
  </si>
  <si>
    <t>Peptidyl-prolyl cis-trans isomerase FKBP1A (PPIase FKBP1A)</t>
  </si>
  <si>
    <t>12 kDa FK506-binding protein (12 kDa FKBP; FKBP-12); Calstabin-1; FK506-binding protein 1A (FKBP-1A); Immunophilin FKBP12; Rotamase</t>
  </si>
  <si>
    <t>FKB1A_HUMAN</t>
  </si>
  <si>
    <t>P62942</t>
  </si>
  <si>
    <t>D3DVW6; P20071; Q4VC47; Q6FGD9; Q6LEU3; Q9H103; Q9H566</t>
  </si>
  <si>
    <t>FKBP1; FKBP12</t>
  </si>
  <si>
    <t>3D-structure; Acetylation; Cytoplasm; Isomerase; Membrane; Rotamase; Sarcoplasmic reticulum</t>
  </si>
  <si>
    <t>'de novo' protein folding {GO:0006458}; amyloid fibril formation {GO:1990000}; calcium ion transmembrane transport {GO:0070588}; chaperone-mediated protein folding {GO:0061077}; heart morphogenesis {GO:0003007}; heart trabecula formation {GO:0060347}; negative regulation of phosphoprotein phosphatase activity {GO:0032515}; positive regulation of I-kappaB kinase/NF-kappaB signaling {GO:0043123}; positive regulation of protein binding {GO:0032092}; positive regulation of protein ubiquitination {GO:0031398}; protein folding {GO:0006457}; protein maturation by protein folding {GO:0022417}; protein peptidyl-prolyl isomerization {GO:0000413}; protein refolding {GO:0042026}; regulation of activin receptor signaling pathway {GO:0032925}; regulation of amyloid precursor protein catabolic process {GO:1902991}; regulation of immune response {GO:0050776}; regulation of protein localization {GO:0032880}; regulation of ryanodine-sensitive calcium-release channel activity {GO:0060314}; SMAD protein complex assembly {GO:0007183}; supramolecular fiber organization {GO:0097435}; T cell activation {GO:0042110}; ventricular cardiac muscle tissue morphogenesis {GO:0055010}</t>
  </si>
  <si>
    <t>cytoplasm {GO:0005737}; cytoplasmic side of membrane {GO:0098562}; cytosol {GO:0005829}; extrinsic component of organelle membrane {GO:0031312}; membrane {GO:0016020}; ryanodine receptor complex {GO:1990425}; sarcoplasmic reticulum {GO:0016529}; terminal cisterna {GO:0014802}; Z disc {GO:0030018}</t>
  </si>
  <si>
    <t>activin binding {GO:0048185}; FK506 binding {GO:0005528}; ion channel binding {GO:0044325}; macrolide binding {GO:0005527}; peptidyl-prolyl cis-trans isomerase activity {GO:0003755}; SMAD binding {GO:0046332}; transforming growth factor beta receptor binding {GO:0005160}; type I transforming growth factor beta receptor binding {GO:0034713}</t>
  </si>
  <si>
    <t>Calcineurin activates NFAT {R-HSA-2025928}; TGF-beta receptor signaling activates SMADs {R-HSA-2173789}; TGF-beta receptor signaling in EMT (epithelial to mesenchymal transition) {R-HSA-2173791}; TGFBR1 LBD Mutants in Cancer {R-HSA-3656535}</t>
  </si>
  <si>
    <t>Destrin</t>
  </si>
  <si>
    <t>Actin-depolymerizing factor (ADF)</t>
  </si>
  <si>
    <t>DEST_HUMAN</t>
  </si>
  <si>
    <t>P60981</t>
  </si>
  <si>
    <t>B2R6N2; B4DYA6; P18282; Q5W166; Q6IAW2</t>
  </si>
  <si>
    <t>ACTDP; DSN</t>
  </si>
  <si>
    <t>Acetylation; Actin-binding; Alternative splicing; Phosphoprotein; Polymorphism; Ubl conjugation</t>
  </si>
  <si>
    <t>actin filament depolymerization {GO:0030042}; actin filament fragmentation {GO:0030043}; actin filament severing {GO:0051014}; actin polymerization or depolymerization {GO:0008154}; positive regulation of actin filament depolymerization {GO:0030836}</t>
  </si>
  <si>
    <t>actin cytoskeleton {GO:0015629}; cortical actin cytoskeleton {GO:0030864}; extracellular exosome {GO:0070062}</t>
  </si>
  <si>
    <t>Antileukoproteinase (ALP)</t>
  </si>
  <si>
    <t>BLPI; HUSI-1; Mucus proteinase inhibitor (MPI); Protease inhibitor WAP4; Secretory leukocyte protease inhibitor; Seminal proteinase inhibitor; WAP four-disulfide core domain protein 4</t>
  </si>
  <si>
    <t>SLPI_HUMAN</t>
  </si>
  <si>
    <t>P03973</t>
  </si>
  <si>
    <t>B2R5H8; P07757</t>
  </si>
  <si>
    <t>WAP4; WFDC4</t>
  </si>
  <si>
    <t>3D-structure; Antibiotic; Antimicrobial; Disulfide bond; Immunity; Innate immunity; Protease inhibitor; Repeat; Secreted; Serine protease inhibitor; Signal</t>
  </si>
  <si>
    <t>Antibiotic; Antimicrobial; Protease inhibitor; Serine protease inhibitor</t>
  </si>
  <si>
    <t>antibacterial humoral response {GO:0019731}; immune response {GO:0006955}; innate immune response {GO:0045087}; modification of morphology or physiology of other organism {GO:0035821}; negative regulation of protein binding {GO:0032091}; negative regulation of viral genome replication {GO:0045071}; neutrophil degranulation {GO:0043312}; response to lipopolysaccharide {GO:0032496}</t>
  </si>
  <si>
    <t>collagen-containing extracellular matrix {GO:0062023}; extracellular exosome {GO:0070062}; extracellular region {GO:0005576}; extracellular space {GO:0005615}; specific granule lumen {GO:0035580}</t>
  </si>
  <si>
    <t>DNA binding {GO:0003677}; endopeptidase inhibitor activity {GO:0004866}; enzyme binding {GO:0019899}; mRNA binding {GO:0003729}; serine-type endopeptidase inhibitor activity {GO:0004867}</t>
  </si>
  <si>
    <t>Thrombomodulin (TM)</t>
  </si>
  <si>
    <t>Fetomodulin; CD_antigen=CD141</t>
  </si>
  <si>
    <t>TRBM_HUMAN</t>
  </si>
  <si>
    <t>P07204</t>
  </si>
  <si>
    <t>Q8IV29; Q9UC32</t>
  </si>
  <si>
    <t>THRM</t>
  </si>
  <si>
    <t>3D-structure; Blood coagulation; Disease mutation; Disulfide bond; EGF-like domain; Glycoprotein; Hemolytic uremic syndrome; Hemostasis; Hydroxylation; Membrane; Polymorphism; Proteoglycan; Receptor; Repeat; Signal; Thrombophilia; Transmembrane; Transmembrane helix</t>
  </si>
  <si>
    <t>Disease mutation; Hemolytic uremic syndrome; Thrombophilia</t>
  </si>
  <si>
    <t>blood coagulation {GO:0007596}; female pregnancy {GO:0007565}; leukocyte migration {GO:0050900}; negative regulation of blood coagulation {GO:0030195}; negative regulation of fibrinolysis {GO:0051918}; negative regulation of platelet activation {GO:0010544}; response to cAMP {GO:0051591}; response to lipopolysaccharide {GO:0032496}; response to X-ray {GO:0010165}</t>
  </si>
  <si>
    <t>apicolateral plasma membrane {GO:0016327}; cell surface {GO:0009986}; extracellular space {GO:0005615}; integral component of plasma membrane {GO:0005887}; plasma membrane {GO:0005886}; vacuolar membrane {GO:0005774}</t>
  </si>
  <si>
    <t>calcium ion binding {GO:0005509}; signaling receptor activity {GO:0038023}; transmembrane signaling receptor activity {GO:0004888}</t>
  </si>
  <si>
    <t>Major prion protein (PrP)</t>
  </si>
  <si>
    <t>ASCR; PrP27-30; PrP33-35C; CD_antigen=CD230</t>
  </si>
  <si>
    <t>PRIO_HUMAN</t>
  </si>
  <si>
    <t>P04156</t>
  </si>
  <si>
    <t>O60489; P78446; Q15216; Q15221; Q27H91; Q5QPB4; Q8TBG0; Q96E70; Q9UP19</t>
  </si>
  <si>
    <t>ALTPRP; PRIP; PRP</t>
  </si>
  <si>
    <t>3D-structure; Alternative initiation; Amyloid; Amyloidosis; Cell cycle; Cell membrane; Copper; Disease mutation; Disulfide bond; Glycoprotein; Golgi apparatus; GPI-anchor; Growth arrest; Lipoprotein; Membrane; Metal-binding; Polymorphism; Prion; Repeat; Signal; Zinc</t>
  </si>
  <si>
    <t>Amyloid; Cell membrane; Golgi apparatus; Membrane</t>
  </si>
  <si>
    <t>Prion</t>
  </si>
  <si>
    <t>activation of protein kinase activity {GO:0032147}; calcium-mediated signaling using intracellular calcium source {GO:0035584}; cell cycle arrest {GO:0007050}; cellular copper ion homeostasis {GO:0006878}; cellular response to amyloid-beta {GO:1904646}; cellular response to copper ion {GO:0071280}; cellular response to drug {GO:0035690}; dendritic spine maintenance {GO:0097062}; learning or memory {GO:0007611}; long-term memory {GO:0007616}; modulation of age-related behavioral decline {GO:0090647}; negative regulation of activated T cell proliferation {GO:0046007}; negative regulation of amyloid precursor protein catabolic process {GO:1902992}; negative regulation of amyloid-beta formation {GO:1902430}; negative regulation of apoptotic process {GO:0043066}; negative regulation of calcineurin-NFAT signaling cascade {GO:0070885}; negative regulation of catalytic activity {GO:0043086}; negative regulation of dendritic spine maintenance {GO:1902951}; negative regulation of DNA-binding transcription factor activity {GO:0043433}; negative regulation of interferon-gamma production {GO:0032689}; negative regulation of interleukin-17 production {GO:0032700}; negative regulation of interleukin-2 production {GO:0032703}; negative regulation of long-term synaptic potentiation {GO:1900272}; negative regulation of protein phosphorylation {GO:0001933}; negative regulation of protein processing {GO:0010955}; negative regulation of T cell receptor signaling pathway {GO:0050860}; neuron projection maintenance {GO:1990535}; positive regulation of neuron apoptotic process {GO:0043525}; positive regulation of neuron death {GO:1901216}; positive regulation of peptidyl-tyrosine phosphorylation {GO:0050731}; positive regulation of protein localization to plasma membrane {GO:1903078}; positive regulation of protein targeting to membrane {GO:0090314}; positive regulation of protein tyrosine kinase activity {GO:0061098}; protein destabilization {GO:0031648}; protein homooligomerization {GO:0051260}; regulation of calcium ion import across plasma membrane {GO:1905664}; regulation of glutamate receptor signaling pathway {GO:1900449}; regulation of intracellular calcium activated chloride channel activity {GO:1902938}; regulation of peptidyl-tyrosine phosphorylation {GO:0050730}; regulation of potassium ion transmembrane transport {GO:1901379}; response to amyloid-beta {GO:1904645}; response to cadmium ion {GO:0046686}; response to oxidative stress {GO:0006979}</t>
  </si>
  <si>
    <t>anchored component of external side of plasma membrane {GO:0031362}; cell surface {GO:0009986}; cytoplasm {GO:0005737}; cytosol {GO:0005829}; dendrite {GO:0030425}; endoplasmic reticulum {GO:0005783}; extracellular exosome {GO:0070062}; extrinsic component of membrane {GO:0019898}; Golgi apparatus {GO:0005794}; inclusion body {GO:0016234}; intracellular membrane-bounded organelle {GO:0043231}; membrane raft {GO:0045121}; nuclear membrane {GO:0031965}; plasma membrane {GO:0005886}; postsynapse {GO:0098794}; postsynaptic density {GO:0014069}</t>
  </si>
  <si>
    <t>amyloid-beta binding {GO:0001540}; ATP-dependent protein binding {GO:0043008}; chaperone binding {GO:0051087}; copper ion binding {GO:0005507}; cupric ion binding {GO:1903135}; cuprous ion binding {GO:1903136}; glycosaminoglycan binding {GO:0005539}; identical protein binding {GO:0042802}; ion channel binding {GO:0044325}; lamin binding {GO:0005521}; microtubule binding {GO:0008017}; protease binding {GO:0002020}; protein-containing complex binding {GO:0044877}; signaling receptor activity {GO:0038023}; tubulin binding {GO:0015631}; type 5 metabotropic glutamate receptor binding {GO:0031802}</t>
  </si>
  <si>
    <t>NCAM1 interactions {R-HSA-419037}; Insertion of tail-anchored proteins into the endoplasmic reticulum membrane {R-HSA-9609523}</t>
  </si>
  <si>
    <t>Non-specific lipid-transfer protein (NSL-TP)</t>
  </si>
  <si>
    <t>Propanoyl-CoA C-acyltransferase; SCP-chi; SCPX; Sterol carrier protein 2 (SCP-2); Sterol carrier protein X (SCP-X)</t>
  </si>
  <si>
    <t>NLTP_HUMAN</t>
  </si>
  <si>
    <t>P22307</t>
  </si>
  <si>
    <t>A6NM69; B4DGJ9; B4DHP6; C9JC79; D3DQ37; E1B6W5; F2Z3J1; Q15432; Q16622; Q5VVZ1; Q6NXF4; Q99430</t>
  </si>
  <si>
    <t>3D-structure; Acetylation; Acyltransferase; Alternative promoter usage; Alternative splicing; Cytoplasm; Lipid transport; Lipid-binding; Mitochondrion; Peroxisome; Phosphoprotein; Polymorphism; Transferase; Transport</t>
  </si>
  <si>
    <t>alpha-linolenic acid metabolic process {GO:0036109}; bile acid biosynthetic process {GO:0006699}; fatty acid beta-oxidation using acyl-CoA oxidase {GO:0033540}; inositol trisphosphate biosynthetic process {GO:0032959}; lipid hydroperoxide transport {GO:1901373}; phospholipid transport {GO:0015914}; positive regulation of intracellular cholesterol transport {GO:0032385}; positive regulation of steroid metabolic process {GO:0045940}; progesterone biosynthetic process {GO:0006701}; protein localization to plasma membrane {GO:0072659}; protein targeting to peroxisome {GO:0006625}; steroid biosynthetic process {GO:0006694}</t>
  </si>
  <si>
    <t>cytosol {GO:0005829}; intracellular membrane-bounded organelle {GO:0043231}; membrane {GO:0016020}; mitochondrion {GO:0005739}; nucleoplasm {GO:0005654}; peroxisomal matrix {GO:0005782}; peroxisome {GO:0005777}; protein-containing complex {GO:0032991}</t>
  </si>
  <si>
    <t>cholesterol binding {GO:0015485}; fatty-acyl-CoA binding {GO:0000062}; long-chain fatty acyl-CoA binding {GO:0036042}; oleic acid binding {GO:0070538}; phosphatidylinositol transporter activity {GO:0008526}; propanoyl-CoA C-acyltransferase activity {GO:0033814}; propionyl-CoA C2-trimethyltridecanoyltransferase activity {GO:0050632}; signaling receptor binding {GO:0005102}</t>
  </si>
  <si>
    <t>Synthesis of bile acids and bile salts via 7alpha-hydroxycholesterol {R-HSA-193368}; alpha-linolenic acid (ALA) metabolism {R-HSA-2046106}; Beta-oxidation of pristanoyl-CoA {R-HSA-389887}; Peroxisomal protein import {R-HSA-9033241}; TYSND1 cleaves peroxisomal proteins {R-HSA-9033500}</t>
  </si>
  <si>
    <t>Ras-related protein Rab-1A</t>
  </si>
  <si>
    <t>YPT1-related protein</t>
  </si>
  <si>
    <t>RAB1A_HUMAN</t>
  </si>
  <si>
    <t>P62820</t>
  </si>
  <si>
    <t>P11476; Q6FIE7; Q96N61; Q9Y3T2</t>
  </si>
  <si>
    <t>RAB1</t>
  </si>
  <si>
    <t>3D-structure; Acetylation; Alternative splicing; Autophagy; Cytoplasm; Endoplasmic reticulum; Endosome; ER-Golgi transport; Golgi apparatus; GTP-binding; Lipoprotein; Membrane; Nucleotide-binding; Phosphoprotein; Prenylation; Protein transport; Transport</t>
  </si>
  <si>
    <t>Autophagy; ER-Golgi transport; Protein transport; Transport</t>
  </si>
  <si>
    <t>Cytoplasm; Endoplasmic reticulum; Endosome; Golgi apparatus; Membrane</t>
  </si>
  <si>
    <t>Acetylation; Lipoprotein; Phosphoprotein; Prenylation</t>
  </si>
  <si>
    <t>autophagosome assembly {GO:0000045}; autophagy {GO:0006914}; cell migration {GO:0016477}; COPII vesicle coating {GO:0048208}; COPII-coated vesicle cargo loading {GO:0090110}; defense response to bacterium {GO:0042742}; endocytosis {GO:0006897}; endoplasmic reticulum to Golgi vesicle-mediated transport {GO:0006888}; Golgi organization {GO:0007030}; growth hormone secretion {GO:0030252}; interleukin-8 secretion {GO:0072606}; intracellular protein transport {GO:0006886}; melanosome transport {GO:0032402}; positive regulation of glycoprotein metabolic process {GO:1903020}; positive regulation of ubiquitin protein ligase activity {GO:1904668}; post-translational protein modification {GO:0043687}; Rab protein signal transduction {GO:0032482}; retrograde vesicle-mediated transport, Golgi to endoplasmic reticulum {GO:0006890}; substrate adhesion-dependent cell spreading {GO:0034446}; vesicle transport along microtubule {GO:0047496}; vesicle-mediated transport {GO:0016192}; virion assembly {GO:0019068}</t>
  </si>
  <si>
    <t>cytosol {GO:0005829}; early endosome {GO:0005769}; endoplasmic reticulum membrane {GO:0005789}; extracellular exosome {GO:0070062}; Golgi apparatus {GO:0005794}; Golgi membrane {GO:0000139}; melanosome {GO:0042470}; transport vesicle membrane {GO:0030658}</t>
  </si>
  <si>
    <t>cadherin binding {GO:0045296}; GTP binding {GO:0005525}; GTPase activity {GO:0003924}</t>
  </si>
  <si>
    <t>Acylphosphatase-2</t>
  </si>
  <si>
    <t>Acylphosphatase, muscle type isozyme; Acylphosphate phosphohydrolase 2</t>
  </si>
  <si>
    <t>ACYP2_HUMAN</t>
  </si>
  <si>
    <t>P14621</t>
  </si>
  <si>
    <t>ACYP</t>
  </si>
  <si>
    <t>Acetylation; Hydrolase; Phosphoprotein</t>
  </si>
  <si>
    <t>acylphosphatase activity {GO:0003998}; identical protein binding {GO:0042802}</t>
  </si>
  <si>
    <t>Regenerating islet-derived protein 3-gamma 15 kDa form</t>
  </si>
  <si>
    <t>Pancreatitis-associated protein 1B (PAP-1B); Pancreatitis-associated protein IB (PAP IB); Regenerating islet-derived protein III-gamma (REG III; Reg III-gamma)</t>
  </si>
  <si>
    <t>REG3G_HUMAN</t>
  </si>
  <si>
    <t>Q6UW15</t>
  </si>
  <si>
    <t>A8K980; D6W5J6; Q3SYE4; Q3SYE6; Q6FH18</t>
  </si>
  <si>
    <t>PAP1B</t>
  </si>
  <si>
    <t>Acute phase; Alternative splicing; Antimicrobial; Cytoplasm; Disulfide bond; Inflammatory response; Lectin; Secreted; Signal</t>
  </si>
  <si>
    <t>acute-phase response {GO:0006953}; antimicrobial humoral immune response mediated by antimicrobial peptide {GO:0061844}; antimicrobial humoral response {GO:0019730}; cell wall disruption in other organism {GO:0044278}; cytolysis in other organism {GO:0051715}; defense response to Gram-positive bacterium {GO:0050830}; MyD88-dependent toll-like receptor signaling pathway {GO:0002755}; negative regulation of keratinocyte differentiation {GO:0045617}; positive regulation of cell population proliferation {GO:0008284}; positive regulation of keratinocyte proliferation {GO:0010838}; positive regulation of wound healing {GO:0090303}; response to peptide hormone {GO:0043434}</t>
  </si>
  <si>
    <t>oligosaccharide binding {GO:0070492}; peptidoglycan binding {GO:0042834}; transmembrane signaling receptor activity {GO:0004888}</t>
  </si>
  <si>
    <t>Tumor necrosis factor receptor superfamily member 5</t>
  </si>
  <si>
    <t>B-cell surface antigen CD40; Bp50; CD40L receptor; CDw40; CD_antigen=CD40</t>
  </si>
  <si>
    <t>TNR5_HUMAN</t>
  </si>
  <si>
    <t>P25942</t>
  </si>
  <si>
    <t>E1P5S9; Q53GN5; Q5JY15; Q5U007; Q7M4Q8; Q86YK5; Q9BYU0</t>
  </si>
  <si>
    <t>TNFRSF5</t>
  </si>
  <si>
    <t>3D-structure; Alternative splicing; Cell membrane; Disease mutation; Disulfide bond; Glycoprotein; Immunity; Membrane; Polymorphism; Receptor; Repeat; Secreted; Signal; Transmembrane; Transmembrane helix</t>
  </si>
  <si>
    <t>B cell proliferation {GO:0042100}; cellular calcium ion homeostasis {GO:0006874}; cellular response to erythropoietin {GO:0036018}; cellular response to interleukin-1 {GO:0071347}; cellular response to lipopolysaccharide {GO:0071222}; cellular response to mechanical stimulus {GO:0071260}; defense response to protozoan {GO:0042832}; defense response to virus {GO:0051607}; immune response-regulating cell surface receptor signaling pathway {GO:0002768}; inflammatory response {GO:0006954}; platelet activation {GO:0030168}; positive regulation of angiogenesis {GO:0045766}; positive regulation of B cell proliferation {GO:0030890}; positive regulation of blood vessel endothelial cell migration {GO:0043536}; positive regulation of endothelial cell apoptotic process {GO:2000353}; positive regulation of GTPase activity {GO:0043547}; positive regulation of I-kappaB kinase/NF-kappaB signaling {GO:0043123}; positive regulation of interleukin-12 production {GO:0032735}; positive regulation of isotype switching to IgG isotypes {GO:0048304}; positive regulation of MAP kinase activity {GO:0043406}; positive regulation of NF-kappaB transcription factor activity {GO:0051092}; positive regulation of protein kinase C signaling {GO:0090037}; positive regulation of protein phosphorylation {GO:0001934}; positive regulation of transcription by RNA polymerase II {GO:0045944}; positive regulation of tyrosine phosphorylation of STAT protein {GO:0042531}; protein kinase B signaling {GO:0043491}; protein-containing complex assembly {GO:0065003}; regulation of immune response {GO:0050776}; regulation of immunoglobulin secretion {GO:0051023}; response to cobalamin {GO:0033590}; response to interferon-gamma {GO:0034341}; response to peptide {GO:1901652}; tumor necrosis factor-mediated signaling pathway {GO:0033209}</t>
  </si>
  <si>
    <t>CD40 receptor complex {GO:0035631}; cell surface {GO:0009986}; cytoplasm {GO:0005737}; external side of plasma membrane {GO:0009897}; extracellular exosome {GO:0070062}; integral component of plasma membrane {GO:0005887}; intracellular membrane-bounded organelle {GO:0043231}; neuronal cell body {GO:0043025}; plasma membrane {GO:0005886}; varicosity {GO:0043196}</t>
  </si>
  <si>
    <t>antigen binding {GO:0003823}; enzyme binding {GO:0019899}; protein domain specific binding {GO:0019904}; signaling receptor activity {GO:0038023}; ubiquitin protein ligase binding {GO:0031625}</t>
  </si>
  <si>
    <t>Immunoregulatory interactions between a Lymphoid and a non-Lymphoid cell {R-HSA-198933}; TNFR2 non-canonical NF-kB pathway {R-HSA-5668541}; TNF receptor superfamily (TNFSF) members mediating non-canonical NF-kB pathway {R-HSA-5676594}</t>
  </si>
  <si>
    <t>Extracellular matrix protein 1</t>
  </si>
  <si>
    <t>Secretory component p85</t>
  </si>
  <si>
    <t>ECM1_HUMAN</t>
  </si>
  <si>
    <t>Q16610</t>
  </si>
  <si>
    <t>A8K8S0; B4DW49; B4DY60; O43266; Q5T5G4; Q5T5G5; Q5T5G6; Q8IZ60</t>
  </si>
  <si>
    <t>Alternative splicing; Angiogenesis; Biomineralization; Disease mutation; Extracellular matrix; Glycoprotein; Mineral balance; Osteogenesis; Polymorphism; Repeat; Secreted; Signal</t>
  </si>
  <si>
    <t>Angiogenesis; Biomineralization; Mineral balance; Osteogenesis</t>
  </si>
  <si>
    <t>angiogenesis {GO:0001525}; biomineral tissue development {GO:0031214}; chondrocyte development {GO:0002063}; endochondral bone growth {GO:0003416}; inflammatory response {GO:0006954}; negative regulation of bone mineralization {GO:0030502}; negative regulation of cytokine-mediated signaling pathway {GO:0001960}; negative regulation of peptidase activity {GO:0010466}; ossification {GO:0001503}; platelet degranulation {GO:0002576}; positive regulation of angiogenesis {GO:0045766}; positive regulation of endothelial cell proliferation {GO:0001938}; positive regulation of I-kappaB kinase/NF-kappaB signaling {GO:0043123}; regulation of T cell migration {GO:2000404}; regulation of transcription by RNA polymerase II {GO:0006357}; regulation of type 2 immune response {GO:0002828}; signal transduction {GO:0007165}</t>
  </si>
  <si>
    <t>collagen-containing extracellular matrix {GO:0062023}; extracellular exosome {GO:0070062}; extracellular matrix {GO:0031012}; extracellular region {GO:0005576}; platelet dense granule lumen {GO:0031089}</t>
  </si>
  <si>
    <t>enzyme binding {GO:0019899}; interleukin-2 receptor binding {GO:0005134}; laminin binding {GO:0043236}; protease binding {GO:0002020}; protein C-terminus binding {GO:0008022}</t>
  </si>
  <si>
    <t>3-hydroxyanthranilate 3,4-dioxygenase</t>
  </si>
  <si>
    <t>3-hydroxyanthranilate oxygenase (3-HAO; h3HAO); 3-hydroxyanthranilic acid dioxygenase (HAD)</t>
  </si>
  <si>
    <t>3HAO_HUMAN</t>
  </si>
  <si>
    <t>P46952</t>
  </si>
  <si>
    <t>A6NE56; B4DIN2; Q53QZ7; Q8N6N9</t>
  </si>
  <si>
    <t>3D-structure; Alternative splicing; Cytoplasm; Dioxygenase; Disease mutation; Iron; Metal-binding; Oxidoreductase; Polymorphism; Pyridine nucleotide biosynthesis</t>
  </si>
  <si>
    <t>'de novo' NAD biosynthetic process from tryptophan {GO:0034354}; anthranilate metabolic process {GO:0043420}; NAD biosynthetic process {GO:0009435}; neuron cellular homeostasis {GO:0070050}; quinolinate biosynthetic process {GO:0019805}; quinolinate metabolic process {GO:0046874}; response to cadmium ion {GO:0046686}; response to zinc ion {GO:0010043}; tryptophan catabolic process {GO:0006569}</t>
  </si>
  <si>
    <t>3-hydroxyanthranilate 3,4-dioxygenase activity {GO:0000334}; electron transfer activity {GO:0009055}; ferrous iron binding {GO:0008198}</t>
  </si>
  <si>
    <t>Cofactor biosynthesis; NAD(+) biosynthesis; quinolinate from L-kynurenine: step 3/3.</t>
  </si>
  <si>
    <t>Eukaryotic translation initiation factor 6 (eIF-6)</t>
  </si>
  <si>
    <t>B(2)GCN homolog; B4 integrin interactor; CAB; p27(BBP)</t>
  </si>
  <si>
    <t>IF6_HUMAN</t>
  </si>
  <si>
    <t>P56537</t>
  </si>
  <si>
    <t>B7ZBG9; Q6IBN8; Q96TD5</t>
  </si>
  <si>
    <t>Alternative splicing; Cytoplasm; Initiation factor; Nucleus; Phosphoprotein; Protein biosynthesis; Ribosome biogenesis</t>
  </si>
  <si>
    <t>Protein biosynthesis; Ribosome biogenesis</t>
  </si>
  <si>
    <t>assembly of large subunit precursor of preribosome {GO:1902626}; gene silencing by miRNA {GO:0035195}; mature ribosome assembly {GO:0042256}; miRNA mediated inhibition of translation {GO:0035278}; positive regulation of translation {GO:0045727}; regulation of fatty acid biosynthetic process {GO:0042304}; regulation of glycolytic process {GO:0006110}; regulation of megakaryocyte differentiation {GO:0045652}; regulation of reactive oxygen species metabolic process {GO:2000377}; response to insulin {GO:0032868}; ribosomal large subunit biogenesis {GO:0042273}; ribosomal subunit export from nucleus {GO:0000054}</t>
  </si>
  <si>
    <t>cytoplasm {GO:0005737}; cytosol {GO:0005829}; extracellular exosome {GO:0070062}; lamin filament {GO:0005638}; nucleolus {GO:0005730}; nucleoplasm {GO:0005654}; nucleus {GO:0005634}; preribosome, large subunit precursor {GO:0030687}</t>
  </si>
  <si>
    <t>ribosomal large subunit binding {GO:0043023}; ribosome binding {GO:0043022}; translation initiation factor activity {GO:0003743}</t>
  </si>
  <si>
    <t>T-complex protein 1 subunit eta, N-terminally processed</t>
  </si>
  <si>
    <t>CCT-eta; HIV-1 Nef-interacting protein</t>
  </si>
  <si>
    <t>TCPH_HUMAN</t>
  </si>
  <si>
    <t>Q99832</t>
  </si>
  <si>
    <t>A8K7E6; A8MWI8; B7WNW9; B7Z4T9; B7Z4Z7; O14871; Q6FI26</t>
  </si>
  <si>
    <t>CCTH; NIP7-1</t>
  </si>
  <si>
    <t>Acetylation; Alternative splicing; ATP-binding; Chaperone; Cytoplasm; Isopeptide bond; Methylation; Nucleotide-binding; Polymorphism; Ubl conjugation</t>
  </si>
  <si>
    <t>Acetylation; Isopeptide bond; Methylation; Ubl conjugation</t>
  </si>
  <si>
    <t>binding of sperm to zona pellucida {GO:0007339}; positive regulation of establishment of protein localization to telomere {GO:1904851}; positive regulation of protein localization to Cajal body {GO:1904871}; positive regulation of telomerase RNA localization to Cajal body {GO:1904874}; positive regulation of telomere maintenance via telomerase {GO:0032212}; protein folding {GO:0006457}; protein stabilization {GO:0050821}; toxin transport {GO:1901998}</t>
  </si>
  <si>
    <t>cell body {GO:0044297}; chaperonin-containing T-complex {GO:0005832}; cytoplasm {GO:0005737}; cytosol {GO:0005829}; extracellular exosome {GO:0070062}; microtubule {GO:0005874}</t>
  </si>
  <si>
    <t>ATP binding {GO:0005524}; identical protein binding {GO:0042802}; unfolded protein binding {GO:0051082}</t>
  </si>
  <si>
    <t>Lysophospholipase</t>
  </si>
  <si>
    <t>Phospholipase B/lipase (PLB/LIP)</t>
  </si>
  <si>
    <t>PLB1_HUMAN</t>
  </si>
  <si>
    <t>Q6P1J6</t>
  </si>
  <si>
    <t>A8KAX2; Q53S03; Q8IUP7; Q96DP9</t>
  </si>
  <si>
    <t>PLB</t>
  </si>
  <si>
    <t>Alternative splicing; Cell membrane; Glycoprotein; Hydrolase; Lipid degradation; Lipid metabolism; Membrane; Polymorphism; Repeat; Signal; Transmembrane; Transmembrane helix</t>
  </si>
  <si>
    <t>lipid catabolic process {GO:0016042}; phosphatidylcholine acyl-chain remodeling {GO:0036151}; phospholipid metabolic process {GO:0006644}; positive regulation of acrosome reaction {GO:2000344}; retinoid metabolic process {GO:0001523}</t>
  </si>
  <si>
    <t>apical plasma membrane {GO:0016324}; brush border membrane {GO:0031526}; integral component of membrane {GO:0016021}; plasma membrane {GO:0005886}</t>
  </si>
  <si>
    <t>lysophospholipase activity {GO:0004622}; phospholipase A2 activity {GO:0004623}; phospholipase A2 activity (consuming 1,2-dipalmitoylphosphatidylcholine) {GO:0102567}; phospholipase A2 activity consuming 1,2-dioleoylphosphatidylethanolamine) {GO:0102568}; retinyl-palmitate esterase activity {GO:0050253}</t>
  </si>
  <si>
    <t>Acyl chain remodelling of PC {R-HSA-1482788}; Retinoid metabolism and transport {R-HSA-975634}</t>
  </si>
  <si>
    <t>Elongation factor 1-alpha 2 (EF-1-alpha-2)</t>
  </si>
  <si>
    <t>Eukaryotic elongation factor 1 A-2 (eEF1A-2); Statin-S1</t>
  </si>
  <si>
    <t>EF1A2_HUMAN</t>
  </si>
  <si>
    <t>Q05639</t>
  </si>
  <si>
    <t>B5BUF3; E1P5J1; P54266; Q0VGC7</t>
  </si>
  <si>
    <t>EEF1AL; STN</t>
  </si>
  <si>
    <t>3D-structure; Acetylation; Autism spectrum disorder; Disease mutation; Elongation factor; Epilepsy; GTP-binding; Mental retardation; Methylation; Nucleotide-binding; Nucleus; Phosphoprotein; Polymorphism; Protein biosynthesis</t>
  </si>
  <si>
    <t>Autism spectrum disorder; Disease mutation; Epilepsy; Mental retardation</t>
  </si>
  <si>
    <t>positive regulation of apoptotic process {GO:0043065}; positive regulation of lipid kinase activity {GO:0090218}; regulation of chaperone-mediated autophagy {GO:1904714}; response to electrical stimulus {GO:0051602}; response to inorganic substance {GO:0010035}; translation {GO:0006412}; translational elongation {GO:0006414}</t>
  </si>
  <si>
    <t>cytoplasm {GO:0005737}; cytoplasmic side of lysosomal membrane {GO:0098574}; eukaryotic translation elongation factor 1 complex {GO:0005853}; neuronal cell body {GO:0043025}; synapse {GO:0045202}</t>
  </si>
  <si>
    <t>GTP binding {GO:0005525}; GTPase activity {GO:0003924}; protein kinase binding {GO:0019901}; translation elongation factor activity {GO:0003746}; translation factor activity, RNA binding {GO:0008135}</t>
  </si>
  <si>
    <t>Charged multivesicular body protein 4b</t>
  </si>
  <si>
    <t>Chromatin-modifying protein 4b (CHMP4b); SNF7 homolog associated with Alix 1; SNF7-2 (hSnf7-2); Vacuolar protein sorting-associated protein 32-2 (Vps32-2; hVps32-2)</t>
  </si>
  <si>
    <t>CHM4B_HUMAN</t>
  </si>
  <si>
    <t>Q9H444</t>
  </si>
  <si>
    <t>E1P5N4; Q53ZD6</t>
  </si>
  <si>
    <t>C20orf178; SHAX1</t>
  </si>
  <si>
    <t>3D-structure; Acetylation; Cataract; Coiled coil; Cytoplasm; Disease mutation; Endosome; Membrane; Nucleus; Phosphoprotein; Protein transport; Transport; Ubl conjugation</t>
  </si>
  <si>
    <t>Cytoplasm; Endosome; Membrane; Nucleus</t>
  </si>
  <si>
    <t>autophagy {GO:0006914}; endosomal transport {GO:0016197}; exit from mitosis {GO:0010458}; macroautophagy {GO:0016236}; maintenance of lens transparency {GO:0036438}; membrane fission {GO:0090148}; midbody abscission {GO:0061952}; mitotic cytokinesis {GO:0000281}; mitotic metaphase plate congression {GO:0007080}; multivesicular body assembly {GO:0036258}; negative regulation of autophagosome assembly {GO:1902902}; negative regulation of cell death {GO:0060548}; negative regulation of neuron death {GO:1901215}; nuclear envelope reassembly {GO:0031468}; nucleus organization {GO:0006997}; positive regulation of viral release from host cell {GO:1902188}; posttranslational protein targeting to endoplasmic reticulum membrane {GO:0006620}; protein homooligomerization {GO:0051260}; regulation of centrosome duplication {GO:0010824}; regulation of mitotic spindle assembly {GO:1901673}; regulation of viral process {GO:0050792}; ubiquitin-independent protein catabolic process via the multivesicular body sorting pathway {GO:0090611}; vacuolar transport {GO:0007034}; viral budding {GO:0046755}; viral budding via host ESCRT complex {GO:0039702}; viral life cycle {GO:0019058}</t>
  </si>
  <si>
    <t>cytoplasm {GO:0005737}; cytoplasmic side of plasma membrane {GO:0009898}; cytosol {GO:0005829}; endosome {GO:0005768}; ESCRT III complex {GO:0000815}; extracellular exosome {GO:0070062}; late endosome membrane {GO:0031902}; membrane coat {GO:0030117}; midbody {GO:0030496}; nuclear envelope {GO:0005635}; nucleus {GO:0005634}; vesicle {GO:0031982}</t>
  </si>
  <si>
    <t>cadherin binding {GO:0045296}; identical protein binding {GO:0042802}; protein homodimerization activity {GO:0042803}</t>
  </si>
  <si>
    <t>Budding and maturation of HIV virion {R-HSA-162588}; Macroautophagy {R-HSA-1632852}; Endosomal Sorting Complex Required For Transport (ESCRT) {R-HSA-917729}</t>
  </si>
  <si>
    <t>Interleukin-1 receptor antagonist protein (IL-1RN; IL-1ra; IRAP)</t>
  </si>
  <si>
    <t>ICIL-1RA; IL1 inhibitor; INN=Anakinra</t>
  </si>
  <si>
    <t>IL1RA_HUMAN</t>
  </si>
  <si>
    <t>P18510</t>
  </si>
  <si>
    <t>A8K4G1; Q14628; Q53SC2; Q7RTZ4; Q96GD6; Q9UPC0</t>
  </si>
  <si>
    <t>IL1F3; IL1RA</t>
  </si>
  <si>
    <t>3D-structure; Alternative splicing; Cytoplasm; Disulfide bond; Glycoprotein; Pharmaceutical; Polymorphism; Secreted; Signal</t>
  </si>
  <si>
    <t>acute-phase response {GO:0006953}; cellular response to lipopolysaccharide {GO:0071222}; cytokine-mediated signaling pathway {GO:0019221}; immune response {GO:0006955}; inflammatory response {GO:0006954}; insulin secretion {GO:0030073}; interleukin-1-mediated signaling pathway {GO:0070498}; lipid metabolic process {GO:0006629}; negative regulation of heterotypic cell-cell adhesion {GO:0034115}; negative regulation of interleukin-1-mediated signaling pathway {GO:2000660}; neutrophil chemotaxis {GO:0030593}; positive regulation of I-kappaB kinase/NF-kappaB signaling {GO:0043123}; positive regulation of interleukin-6 production {GO:0032755}; positive regulation of JNK cascade {GO:0046330}; response to glucocorticoid {GO:0051384}</t>
  </si>
  <si>
    <t>cytoplasm {GO:0005737}; extracellular exosome {GO:0070062}; extracellular space {GO:0005615}; plasma membrane {GO:0005886}</t>
  </si>
  <si>
    <t>cytokine activity {GO:0005125}; interleukin-1 receptor antagonist activity {GO:0005152}; interleukin-1 receptor binding {GO:0005149}; interleukin-1 type I receptor antagonist activity {GO:0045352}; interleukin-1 type II receptor antagonist activity {GO:0045353}; interleukin-1, type I receptor binding {GO:0005150}; interleukin-1, type II receptor binding {GO:0005151}</t>
  </si>
  <si>
    <t>Interleukin-10 signaling {R-HSA-6783783}; Interleukin-1 signaling {R-HSA-9020702}</t>
  </si>
  <si>
    <t>Fumarylacetoacetate hydrolase domain-containing protein 2A</t>
  </si>
  <si>
    <t>FAH2A_HUMAN</t>
  </si>
  <si>
    <t>Q96GK7</t>
  </si>
  <si>
    <t>Q9Y3B0</t>
  </si>
  <si>
    <t>Calcium; Hydrolase; Magnesium; Metal-binding; Polymorphism</t>
  </si>
  <si>
    <t>Galectin-related protein</t>
  </si>
  <si>
    <t>Galectin-like protein; Lectin galactoside-binding-like protein</t>
  </si>
  <si>
    <t>LEGL_HUMAN</t>
  </si>
  <si>
    <t>Q3ZCW2</t>
  </si>
  <si>
    <t>B2RBG8; D6W5E8; Q6P5T6; Q9P005</t>
  </si>
  <si>
    <t>GRP</t>
  </si>
  <si>
    <t>3D-structure; Acetylation; Lectin; Phosphoprotein</t>
  </si>
  <si>
    <t>cytoplasm {GO:0005737}; intracellular {GO:0005622}</t>
  </si>
  <si>
    <t>40S ribosomal protein S21</t>
  </si>
  <si>
    <t>Small ribosomal subunit protein eS21</t>
  </si>
  <si>
    <t>RS21_HUMAN</t>
  </si>
  <si>
    <t>P63220</t>
  </si>
  <si>
    <t>P35265</t>
  </si>
  <si>
    <t>3D-structure; Acetylation; Cytoplasm; Endoplasmic reticulum; Isopeptide bond; Ribonucleoprotein; Ribosomal protein; Ubl conjugation</t>
  </si>
  <si>
    <t>cytoplasmic translation {GO:0002181}; endonucleolytic cleavage in ITS1 to separate SSU-rRNA from 5.8S rRNA and LSU-rRNA from tricistronic rRNA transcript (SSU-rRNA, 5.8S rRNA, LSU-rRNA) {GO:0000447}; endonucleolytic cleavage to generate mature 3'-end of SSU-rRNA from (SSU-rRNA, 5.8S rRNA, LSU-rRNA) {GO:0000461};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</si>
  <si>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small ribosomal subunit {GO:0022627}; nucleoplasm {GO:0005654}; polysomal ribosome {GO:0042788}; rough endoplasmic reticulum {GO:0005791}; small ribosomal subunit {GO:0015935}; synapse {GO:0045202}</t>
  </si>
  <si>
    <t>protein N-terminus binding {GO:0047485}; RNA binding {GO:0003723}; structural constituent of ribosome {GO:0003735}</t>
  </si>
  <si>
    <t>Matrilin-4</t>
  </si>
  <si>
    <t>MATN4_HUMAN</t>
  </si>
  <si>
    <t>O95460</t>
  </si>
  <si>
    <t>A6NH94; A6NKN5; Q5QPU2; Q5QPU3; Q5QPU4; Q8N2M5; Q8N2M7; Q9H1F8; Q9H1F9</t>
  </si>
  <si>
    <t>Alternative splicing; Coiled coil; Disulfide bond; EGF-like domain; Glycoprotein; Polymorphism; Repeat; Secreted; Signal</t>
  </si>
  <si>
    <t>extracellular matrix organization {GO:0030198}; growth plate cartilage chondrocyte morphogenesis {GO:0003429}</t>
  </si>
  <si>
    <t>Reticulon-4</t>
  </si>
  <si>
    <t>Foocen; Neurite outgrowth inhibitor (Nogo protein); Neuroendocrine-specific protein (NSP); Neuroendocrine-specific protein C homolog; RTN-x; Reticulon-5</t>
  </si>
  <si>
    <t>RTN4_HUMAN</t>
  </si>
  <si>
    <t>Q9NQC3</t>
  </si>
  <si>
    <t>O94962; Q7L7Q5; Q7L7Q6; Q7L7Q8; Q8IUA4; Q96B16; Q9BXG5; Q9H212; Q9H3I3; Q9UQ42; Q9Y293; Q9Y2Y7; Q9Y5U6</t>
  </si>
  <si>
    <t>3D-structure; Acetylation; Alternative splicing; Cell junction; Cell membrane; Endoplasmic reticulum; Membrane; Neurogenesis; Phosphoprotein; Polymorphism; Transmembrane; Transmembrane helix</t>
  </si>
  <si>
    <t>Cell junction; Cell membrane; Endoplasmic reticulum; Membrane</t>
  </si>
  <si>
    <t>apoptotic process {GO:0006915}; axonal fasciculation {GO:0007413}; blastocyst formation {GO:0001825}; cardiac epithelial to mesenchymal transition {GO:0060317}; cell adhesion involved in sprouting angiogenesis {GO:0120078}; cell migration involved in vasculogenesis {GO:0035441}; cellular response to hypoxia {GO:0071456}; cellular sphingolipid homeostasis {GO:0090156}; central nervous system vasculogenesis {GO:0022009}; cerebral cortex radial glia guided migration {GO:0021801}; endoplasmic reticulum organization {GO:0007029}; endoplasmic reticulum tubular network formation {GO:0071787}; endoplasmic reticulum tubular network membrane organization {GO:1990809}; endoplasmic reticulum tubular network organization {GO:0071786}; leukocyte migration involved in inflammatory response {GO:0002523}; negative regulation of axon extension {GO:0030517}; negative regulation of axonogenesis {GO:0050771}; negative regulation of cell growth {GO:0030308}; negative regulation of vasculogenesis {GO:2001213}; nuclear pore complex assembly {GO:0051292}; positive regulation of angiogenesis {GO:0045766}; positive regulation of artery morphogenesis {GO:1905653}; positive regulation of epithelial cell migration {GO:0010634}; positive regulation of ERBB3 signaling pathway {GO:1905580}; positive regulation of hepatocyte proliferation {GO:2000347}; positive regulation of macrophage cytokine production {GO:0060907}; positive regulation of macrophage migration {GO:1905523}; positive regulation of mammary gland epithelial cell proliferation {GO:0033601}; positive regulation of neutrophil migration {GO:1902624}; positive regulation of protein kinase B signaling {GO:0051897}; positive regulation of protein localization to endoplasmic reticulum {GO:1905552}; positive regulation of Rac protein signal transduction {GO:0035022}; positive regulation of toll-like receptor 9 signaling pathway {GO:0034165}; protein localization to lysosome {GO:0061462}; protein stabilization {GO:0050821}; regulation of apoptotic process {GO:0042981}; regulation of branching morphogenesis of a nerve {GO:2000172}; regulation of cell migration {GO:0030334}</t>
  </si>
  <si>
    <t>cell junction {GO:0030054}; cell projection {GO:0042995}; endoplasmic reticulum {GO:0005783}; endoplasmic reticulum membrane {GO:0005789}; endoplasmic reticulum tubular network {GO:0071782}; endoplasmic reticulum tubular network membrane {GO:0098826}; integral component of endoplasmic reticulum membrane {GO:0030176}; neuronal cell body {GO:0043025}; nuclear envelope {GO:0005635}; plasma membrane {GO:0005886}; postsynaptic density {GO:0014069}</t>
  </si>
  <si>
    <t>cadherin binding {GO:0045296}; protein homodimerization activity {GO:0042803}; RNA binding {GO:0003723}; ubiquitin protein ligase binding {GO:0031625}</t>
  </si>
  <si>
    <t>Axonal growth inhibition (RHOA activation) {R-HSA-193634}</t>
  </si>
  <si>
    <t>Macrophage-capping protein</t>
  </si>
  <si>
    <t>Actin regulatory protein CAP-G</t>
  </si>
  <si>
    <t>CAPG_HUMAN</t>
  </si>
  <si>
    <t>P40121</t>
  </si>
  <si>
    <t>B8ZZS7; D6W5K8; Q53SA7</t>
  </si>
  <si>
    <t>AFCP; MCP</t>
  </si>
  <si>
    <t>3D-structure; Acetylation; Actin capping; Actin-binding; Alternative splicing; Cell projection; Cytoplasm; Nucleus; Phosphoprotein; Polymorphism; Repeat</t>
  </si>
  <si>
    <t>barbed-end actin filament capping {GO:0051016}; protein-containing complex assembly {GO:0065003}</t>
  </si>
  <si>
    <t>centriole {GO:0005814}; cytoplasm {GO:0005737}; extracellular exosome {GO:0070062}; F-actin capping protein complex {GO:0008290}; Flemming body {GO:0090543}; lamellipodium {GO:0030027}; melanosome {GO:0042470}; mitotic spindle {GO:0072686}; nucleolus {GO:0005730}; nucleoplasm {GO:0005654}; nucleus {GO:0005634}; ruffle {GO:0001726}</t>
  </si>
  <si>
    <t>actin filament binding {GO:0051015}; cadherin binding {GO:0045296}; protein domain specific binding {GO:0019904}; protein-containing complex binding {GO:0044877}</t>
  </si>
  <si>
    <t>Leucine-rich repeat neuronal protein 4</t>
  </si>
  <si>
    <t>Neuronal leucine-rich repeat protein 4 (NLRR-4)</t>
  </si>
  <si>
    <t>LRRN4_HUMAN</t>
  </si>
  <si>
    <t>Q8WUT4</t>
  </si>
  <si>
    <t>A8K258; Q5JWV6; Q9H419</t>
  </si>
  <si>
    <t>C20orf75</t>
  </si>
  <si>
    <t>Glycoprotein; Leucine-rich repeat; Membrane; Polymorphism; Repeat; Signal; Transmembrane; Transmembrane helix</t>
  </si>
  <si>
    <t>long-term memory {GO:0007616}; visual learning {GO:0008542}</t>
  </si>
  <si>
    <t>Signal-regulatory protein beta-1 (SIRP-beta-1)</t>
  </si>
  <si>
    <t>CD172 antigen-like family member B; CD_antigen=CD172b</t>
  </si>
  <si>
    <t>SIRB1_HUMAN</t>
  </si>
  <si>
    <t>O00241</t>
  </si>
  <si>
    <t>A6NLM2; B2R8V0; Q5TFQ9; Q5TFR0; Q8TB12; Q9H1U5; Q9Y4V0</t>
  </si>
  <si>
    <t>3D-structure; Alternative splicing; Cell membrane; Disulfide bond; Glycoprotein; Immunoglobulin domain; Membrane; Polymorphism; Repeat; Signal; Transmembrane; Transmembrane helix</t>
  </si>
  <si>
    <t>cell surface receptor signaling pathway {GO:0007166}; innate immune response {GO:0045087}; neutrophil degranulation {GO:0043312}; positive regulation of cell-cell adhesion {GO:0022409}; positive regulation of phagocytosis {GO:0050766}; positive regulation of T cell activation {GO:0050870}; signal transduction {GO:0007165}</t>
  </si>
  <si>
    <t>cell surface {GO:0009986}; integral component of plasma membrane {GO:0005887}; plasma membrane {GO:0005886}; secretory granule membrane {GO:0030667}</t>
  </si>
  <si>
    <t>DAP12 interactions {R-HSA-2172127}; Signal regulatory protein family interactions {R-HSA-391160}; Neutrophil degranulation {R-HSA-6798695}</t>
  </si>
  <si>
    <t>Matrilin-3</t>
  </si>
  <si>
    <t>MATN3_HUMAN</t>
  </si>
  <si>
    <t>O15232</t>
  </si>
  <si>
    <t>B2CPU0; Q4ZG02</t>
  </si>
  <si>
    <t>Alternative splicing; Coiled coil; Disease mutation; Disulfide bond; Dwarfism; EGF-like domain; Methylation; Phosphoprotein; Polymorphism; Repeat; Secreted; Signal</t>
  </si>
  <si>
    <t>Disulfide bond; Methylation; Phosphoprotein</t>
  </si>
  <si>
    <t>cellular protein metabolic process {GO:0044267}; extracellular matrix organization {GO:0030198}; growth plate cartilage chondrocyte morphogenesis {GO:0003429}; post-translational protein modification {GO:0043687}; skeletal system development {GO:0001501}</t>
  </si>
  <si>
    <t>Met-enkephalin</t>
  </si>
  <si>
    <t>Corticotropin-lipotropin; Gamma-MSH; Adrenocorticotropic hormone (ACTH; Alpha-MSH); Melanotropin alpha (CLIP); Beta-LPH; Gamma-LPH (Beta-MSH); Melanotropin beta</t>
  </si>
  <si>
    <t>COLI_HUMAN</t>
  </si>
  <si>
    <t>P01189</t>
  </si>
  <si>
    <t>P78442; Q53T23; Q9UD39; Q9UD40</t>
  </si>
  <si>
    <t>3D-structure; Acetylation; Amidation; Cleavage on pair of basic residues; Disulfide bond; Endorphin; Glycoprotein; Hormone; Obesity; Phosphoprotein; Polymorphism; Secreted; Signal</t>
  </si>
  <si>
    <t>Endorphin; Hormone</t>
  </si>
  <si>
    <t>Acetylation; Amidation; Cleavage on pair of basic residues; Disulfide bond; Glycoprotein; Phosphoprotein</t>
  </si>
  <si>
    <t>antimicrobial humoral immune response mediated by antimicrobial peptide {GO:0061844}; cell-cell signaling {GO:0007267}; cellular pigmentation {GO:0033059}; cytokine-mediated signaling pathway {GO:0019221}; G protein-coupled receptor signaling pathway {GO:0007186}; generation of precursor metabolites and energy {GO:0006091}; glucose homeostasis {GO:0042593}; killing of cells of other organism {GO:0031640}; modification of morphology or physiology of other organism {GO:0035821}; negative regulation of tumor necrosis factor production {GO:0032720}; neuropeptide signaling pathway {GO:0007218}; positive regulation of neutrophil mediated killing of fungus {GO:0070965}; positive regulation of transcription by RNA polymerase II {GO:0045944}; regulation of appetite {GO:0032098}; regulation of blood pressure {GO:0008217}; regulation of corticosterone secretion {GO:2000852}; regulation of glycogen metabolic process {GO:0070873}; signal transduction {GO:0007165}</t>
  </si>
  <si>
    <t>cytoplasm {GO:0005737}; extracellular region {GO:0005576}; extracellular space {GO:0005615}; peroxisomal matrix {GO:0005782}; secretory granule {GO:0030141}; secretory granule lumen {GO:0034774}</t>
  </si>
  <si>
    <t>G protein-coupled receptor binding {GO:0001664}; hormone activity {GO:0005179}; signaling receptor binding {GO:0005102}; type 1 melanocortin receptor binding {GO:0070996}; type 3 melanocortin receptor binding {GO:0031781}; type 4 melanocortin receptor binding {GO:0031782}</t>
  </si>
  <si>
    <t>Opioid Signalling {R-HSA-111885}; Androgen biosynthesis {R-HSA-193048}; Glucocorticoid biosynthesis {R-HSA-194002}; G-protein activation {R-HSA-202040}; Peptide hormone biosynthesis {R-HSA-209952}; Endogenous sterols {R-HSA-211976}; Peptide ligand-binding receptors {R-HSA-375276}; G alpha (s) signalling events {R-HSA-418555}; G alpha (i) signalling events {R-HSA-418594}; Defective ACTH causes Obesity and Pro-opiomelanocortinin deficiency (POMCD) {R-HSA-5579031}; Interleukin-4 and Interleukin-13 signaling {R-HSA-6785807}; FOXO-mediated transcription of oxidative stress, metabolic and neuronal genes {R-HSA-9615017}</t>
  </si>
  <si>
    <t>60S ribosomal protein L8</t>
  </si>
  <si>
    <t>Large ribosomal subunit protein uL2</t>
  </si>
  <si>
    <t>RL8_HUMAN</t>
  </si>
  <si>
    <t>P62917</t>
  </si>
  <si>
    <t>A8K094; D3DWN2; P25120; Q567Q7; Q969V7; Q9BWQ9</t>
  </si>
  <si>
    <t>3D-structure; Cytoplasm; Hydroxylation; Isopeptide bond; Polymorphism; Ribonucleoprotein; Ribosomal protein; RNA-binding; rRNA-binding; Ubl conjugation</t>
  </si>
  <si>
    <t>Hydroxylation; Isopeptide bond; Ubl conjugation</t>
  </si>
  <si>
    <t>cellular response to nerve growth factor stimulus {GO:1990090}; cytoplasmic translation {GO:0002181}; nuclear-transcribed mRNA catabolic process, nonsense-mediated decay {GO:0000184}; SRP-dependent cotranslational protein targeting to membrane {GO:0006614}; translation {GO:0006412}; translational initiation {GO:0006413}; viral transcription {GO:0019083}</t>
  </si>
  <si>
    <t>cytosol {GO:0005829}; cytosolic large ribosomal subunit {GO:0022625}; focal adhesion {GO:0005925}; membrane {GO:0016020}; polysomal ribosome {GO:0042788}; postsynapse {GO:0098794}; postsynaptic density {GO:0014069}</t>
  </si>
  <si>
    <t>5.8S rRNA binding {GO:1990932}; RNA binding {GO:0003723}; structural constituent of ribosome {GO:0003735}</t>
  </si>
  <si>
    <t>Protein-glutamine gamma-glutamyltransferase 6</t>
  </si>
  <si>
    <t>Transglutaminase Y (TGY; TGase Y); Transglutaminase-3-like (TGase-3-like); Transglutaminase-6 (TG6; TGase-6)</t>
  </si>
  <si>
    <t>TGM3L_HUMAN</t>
  </si>
  <si>
    <t>O95932</t>
  </si>
  <si>
    <t>Q5JXU4; Q5JXU5; Q719M2; Q719M3; Q9Y4U8</t>
  </si>
  <si>
    <t>TGM3L</t>
  </si>
  <si>
    <t>Acyltransferase; Alternative splicing; Calcium; Cytoplasm; Disease mutation; Metal-binding; Neurodegeneration; Polymorphism; Spinocerebellar ataxia; Transferase</t>
  </si>
  <si>
    <t>peptide cross-linking {GO:0018149}</t>
  </si>
  <si>
    <t>Protein WFDC11</t>
  </si>
  <si>
    <t>WFD11_HUMAN</t>
  </si>
  <si>
    <t>Q8NEX6</t>
  </si>
  <si>
    <t>E1P624; Q5TGZ6</t>
  </si>
  <si>
    <t>WAP11</t>
  </si>
  <si>
    <t>Secreted; Signal</t>
  </si>
  <si>
    <t>Proteasome subunit alpha type-7</t>
  </si>
  <si>
    <t>Proteasome subunit RC6-1; Proteasome subunit XAPC7</t>
  </si>
  <si>
    <t>PSA7_HUMAN</t>
  </si>
  <si>
    <t>O14818</t>
  </si>
  <si>
    <t>B2R515; Q5JXJ2; Q9BR53; Q9H4K5; Q9UEU8</t>
  </si>
  <si>
    <t>HSPC</t>
  </si>
  <si>
    <t>3D-structure; Acetylation; Alternative splicing; Cytoplasm; Glycoprotein; Host-virus interaction; Hydrolase; Nucleus; Phosphoprotein; Polymorphism; Protease; Proteasome; Threonine protease</t>
  </si>
  <si>
    <t>cytoplasm {GO:0005737}; cytosol {GO:0005829}; extracellular exosome {GO:0070062}; nucleoplasm {GO:0005654}; nucleus {GO:0005634}; postsynapse {GO:0098794}; proteasome complex {GO:0000502}; proteasome core complex {GO:0005839}; proteasome core complex, alpha-subunit complex {GO:0019773}</t>
  </si>
  <si>
    <t>endopeptidase activity {GO:0004175}; identical protein binding {GO:0042802}; threonine-type endopeptidase activity {GO:0004298}</t>
  </si>
  <si>
    <t>Ribosome-binding protein 1</t>
  </si>
  <si>
    <t>180 kDa ribosome receptor homolog (RRp); ES/130-related protein; Ribosome receptor protein</t>
  </si>
  <si>
    <t>RRBP1_HUMAN</t>
  </si>
  <si>
    <t>Q9P2E9</t>
  </si>
  <si>
    <t>A0A0A0MRV0; A2A2S6; A6NCN6; O75300; O75301; Q5W165; Q96SB2; Q9BWP1; Q9H476</t>
  </si>
  <si>
    <t>KIAA1398</t>
  </si>
  <si>
    <t>Acetylation; Alternative splicing; Endoplasmic reticulum; Isopeptide bond; Membrane; Phosphoprotein; Polymorphism; Protein transport; Repeat; Translocation; Transmembrane; Transmembrane helix; Transport; Ubl conjugation</t>
  </si>
  <si>
    <t>Protein transport; Translocation; Transport</t>
  </si>
  <si>
    <t>osteoblast differentiation {GO:0001649}; protein transport {GO:0015031}; translation {GO:0006412}</t>
  </si>
  <si>
    <t>endoplasmic reticulum {GO:0005783}; integral component of endoplasmic reticulum membrane {GO:0030176}; membrane {GO:0016020}; ribosome {GO:0005840}</t>
  </si>
  <si>
    <t>RNA binding {GO:0003723}; signaling receptor activity {GO:0038023}</t>
  </si>
  <si>
    <t>Laminin subunit alpha-5</t>
  </si>
  <si>
    <t>Laminin-10 subunit alpha; Laminin-11 subunit alpha; Laminin-15 subunit alpha</t>
  </si>
  <si>
    <t>LAMA5_HUMAN</t>
  </si>
  <si>
    <t>O15230</t>
  </si>
  <si>
    <t>Q5U4N9; Q8TDF8; Q8WZA7; Q9H1P1</t>
  </si>
  <si>
    <t>KIAA0533; KIAA1907</t>
  </si>
  <si>
    <t>3D-structure; Alternative splicing; Basement membrane; Cell adhesion; Coiled coil; Disulfide bond; Extracellular matrix; Glycoprotein; Laminin EGF-like domain; Polymorphism; Repeat; Secreted; Signal</t>
  </si>
  <si>
    <t>angiogenesis {GO:0001525}; animal organ morphogenesis {GO:0009887}; branching involved in salivary gland morphogenesis {GO:0060445}; branching involved in ureteric bud morphogenesis {GO:0001658}; cell differentiation {GO:0030154}; cell migration {GO:0016477}; cell population proliferation {GO:0008283}; cell recognition {GO:0008037}; cell-cell adhesion {GO:0098609}; cilium assembly {GO:0060271}; cytokine-mediated signaling pathway {GO:0019221}; cytoskeleton organization {GO:0007010}; endothelial cell differentiation {GO:0045446}; extracellular matrix organization {GO:0030198}; focal adhesion assembly {GO:0048041}; hair follicle development {GO:0001942}; integrin-mediated signaling pathway {GO:0007229}; lung development {GO:0030324}; morphogenesis of a polarized epithelium {GO:0001738}; morphogenesis of embryonic epithelium {GO:0016331}; muscle organ development {GO:0007517}; neural crest cell migration {GO:0001755}; odontogenesis of dentin-containing tooth {GO:0042475}; protein localization to plasma membrane {GO:0072659}; regulation of cell adhesion {GO:0030155}; regulation of cell migration {GO:0030334}; regulation of cell population proliferation {GO:0042127}; regulation of embryonic development {GO:0045995}; substrate adhesion-dependent cell spreading {GO:0034446}; tissue development {GO:0009888}</t>
  </si>
  <si>
    <t>basement membrane {GO:0005604}; collagen-containing extracellular matrix {GO:0062023}; extracellular exosome {GO:0070062}; extracellular region {GO:0005576}; extracellular space {GO:0005615}; laminin-10 complex {GO:0043259}; laminin-11 complex {GO:0043260}; laminin-5 complex {GO:0005610}; neuromuscular junction {GO:0031594}; nucleus {GO:0005634}; synaptic cleft {GO:0043083}</t>
  </si>
  <si>
    <t>Degradation of the extracellular matrix {R-HSA-1474228}; Laminin interactions {R-HSA-3000157}; Non-integrin membrane-ECM interactions {R-HSA-3000171}; ECM proteoglycans {R-HSA-3000178}; Interleukin-4 and Interleukin-13 signaling {R-HSA-6785807}; MET activates PTK2 signaling {R-HSA-8874081}</t>
  </si>
  <si>
    <t>Phosphoenolpyruvate carboxykinase, cytosolic [GTP] (PEPCK-C)</t>
  </si>
  <si>
    <t>PCKGC_HUMAN</t>
  </si>
  <si>
    <t>P35558</t>
  </si>
  <si>
    <t>A8K437; B4DT64; Q8TCA3; Q9UJD2</t>
  </si>
  <si>
    <t>PEPCK1</t>
  </si>
  <si>
    <t>3D-structure; Acetylation; Alternative splicing; Cytoplasm; Decarboxylase; Gluconeogenesis; GTP-binding; Lyase; Manganese; Metal-binding; Nucleotide-binding; Phosphoprotein; Polymorphism; Ubl conjugation</t>
  </si>
  <si>
    <t>aging {GO:0007568}; cellular response to cAMP {GO:0071320}; cellular response to dexamethasone stimulus {GO:0071549}; cellular response to fructose stimulus {GO:0071332}; cellular response to glucagon stimulus {GO:0071377}; cellular response to glucose stimulus {GO:0071333}; cellular response to hypoxia {GO:0071456}; cellular response to insulin stimulus {GO:0032869}; cellular response to interleukin-1 {GO:0071347}; cellular response to potassium ion starvation {GO:0051365}; cellular response to retinoic acid {GO:0071300}; cellular response to tumor necrosis factor {GO:0071356}; gluconeogenesis {GO:0006094}; glucose homeostasis {GO:0042593}; glucose metabolic process {GO:0006006}; glycerol biosynthetic process from pyruvate {GO:0046327}; hepatocyte differentiation {GO:0070365}; internal protein amino acid acetylation {GO:0006475}; oxaloacetate metabolic process {GO:0006107}; positive regulation of transcription from RNA polymerase II promoter in response to acidic pH {GO:0061402}; propionate catabolic process {GO:0019543}; pyruvate metabolic process {GO:0006090}; response to activity {GO:0014823}; response to insulin {GO:0032868}; response to interleukin-6 {GO:0070741}; response to lipid {GO:0033993}; response to lipopolysaccharide {GO:0032496}; response to methionine {GO:1904640}; response to starvation {GO:0042594}</t>
  </si>
  <si>
    <t>cytoplasm {GO:0005737}; cytosol {GO:0005829}; extracellular exosome {GO:0070062}; mitochondrion {GO:0005739}</t>
  </si>
  <si>
    <t>carboxylic acid binding {GO:0031406}; GDP binding {GO:0019003}; GTP binding {GO:0005525}; magnesium ion binding {GO:0000287}; manganese ion binding {GO:0030145}; phosphoenolpyruvate carboxykinase (GTP) activity {GO:0004613}</t>
  </si>
  <si>
    <t xml:space="preserve">Carbohydrate biosynthesis; gluconeogenesis. </t>
  </si>
  <si>
    <t>Abacavir metabolism {R-HSA-2161541}; Transcriptional regulation of white adipocyte differentiation {R-HSA-381340}; Gluconeogenesis {R-HSA-70263}; FOXO-mediated transcription of oxidative stress, metabolic and neuronal genes {R-HSA-9615017}</t>
  </si>
  <si>
    <t>Prostaglandin F2 receptor negative regulator</t>
  </si>
  <si>
    <t>CD9 partner 1 (CD9P-1); Glu-Trp-Ile EWI motif-containing protein F (EWI-F); Prostaglandin F2-alpha receptor regulatory protein; Prostaglandin F2-alpha receptor-associated protein; CD_antigen=CD315</t>
  </si>
  <si>
    <t>FPRP_HUMAN</t>
  </si>
  <si>
    <t>Q9P2B2</t>
  </si>
  <si>
    <t>Q5VVU9; Q8N2K6</t>
  </si>
  <si>
    <t>CD9P1; EWIF; FPRP; KIAA1436</t>
  </si>
  <si>
    <t>Disulfide bond; Endoplasmic reticulum; Glycoprotein; Golgi apparatus; Immunoglobulin domain; Membrane; Phosphoprotein; Polymorphism; Repeat; Signal; Transmembrane; Transmembrane helix</t>
  </si>
  <si>
    <t>lipid droplet organization {GO:0034389}; myoblast fusion involved in skeletal muscle regeneration {GO:0014905}</t>
  </si>
  <si>
    <t>cell surface {GO:0009986}; endoplasmic reticulum membrane {GO:0005789}; Golgi apparatus {GO:0005794}; integral component of membrane {GO:0016021}</t>
  </si>
  <si>
    <t>Interleukin-1 receptor type 1, soluble form</t>
  </si>
  <si>
    <t>CD121 antigen-like family member A; Interleukin-1 receptor alpha (IL-1R-alpha); Interleukin-1 receptor type I; p80; CD_antigen=CD121a (mIL-1R1; mIL-1RI; sIL-1R1; sIL-1RI)</t>
  </si>
  <si>
    <t>IL1R1_HUMAN</t>
  </si>
  <si>
    <t>P14778</t>
  </si>
  <si>
    <t>Q587I7</t>
  </si>
  <si>
    <t>IL1R; IL1RA; IL1RT1</t>
  </si>
  <si>
    <t>3D-structure; Cell membrane; Disulfide bond; Glycoprotein; Immunoglobulin domain; Inflammatory response; Membrane; Phosphoprotein; Polymorphism; Receptor; Repeat; Secreted; Signal; Transmembrane; Transmembrane helix</t>
  </si>
  <si>
    <t>cell surface receptor signaling pathway {GO:0007166}; cytokine-mediated signaling pathway {GO:0019221}; immune response {GO:0006955}; inflammatory response {GO:0006954}; interleukin-1-mediated signaling pathway {GO:0070498}; positive regulation of interferon-gamma production {GO:0032729}; positive regulation of interleukin-1-mediated signaling pathway {GO:2000661}; positive regulation of neutrophil extravasation {GO:2000391}; positive regulation of T-helper 1 cell cytokine production {GO:2000556}; regulation of inflammatory response {GO:0050727}; response to interleukin-1 {GO:0070555}</t>
  </si>
  <si>
    <t>external side of plasma membrane {GO:0009897}; extracellular region {GO:0005576}; integral component of plasma membrane {GO:0005887}; membrane {GO:0016020}; plasma membrane {GO:0005886}</t>
  </si>
  <si>
    <t>interleukin-1 binding {GO:0019966}; interleukin-1 receptor activity {GO:0004908}; interleukin-1, type I, activating receptor activity {GO:0004909}; platelet-derived growth factor receptor binding {GO:0005161}; protease binding {GO:0002020}; transmembrane signaling receptor activity {GO:0004888}</t>
  </si>
  <si>
    <t>Gastrokine-1</t>
  </si>
  <si>
    <t>18 kDa antrum mucosa protein (AMP-18); Protein CA11</t>
  </si>
  <si>
    <t>GKN1_HUMAN</t>
  </si>
  <si>
    <t>Q9NS71</t>
  </si>
  <si>
    <t>Q8IUA9</t>
  </si>
  <si>
    <t>AMP18; CA11</t>
  </si>
  <si>
    <t>Disulfide bond; Mitogen; Polymorphism; Secreted; Signal</t>
  </si>
  <si>
    <t>Mitogen</t>
  </si>
  <si>
    <t>digestion {GO:0007586}; positive regulation of cell division {GO:0051781}</t>
  </si>
  <si>
    <t>Syndecan-1 (SYND1)</t>
  </si>
  <si>
    <t>CD_antigen=CD138</t>
  </si>
  <si>
    <t>SDC1_HUMAN</t>
  </si>
  <si>
    <t>P18827</t>
  </si>
  <si>
    <t>D6W523; Q53QV0; Q546D3; Q96HB7</t>
  </si>
  <si>
    <t>SDC</t>
  </si>
  <si>
    <t>3D-structure; Glycoprotein; Heparan sulfate; Membrane; Phosphoprotein; Polymorphism; Proteoglycan; Secreted; Signal; Transmembrane; Transmembrane helix</t>
  </si>
  <si>
    <t>canonical Wnt signaling pathway {GO:0060070}; cell migration {GO:0016477}; cytokine-mediated signaling pathway {GO:0019221}; glycosaminoglycan biosynthetic process {GO:0006024}; glycosaminoglycan catabolic process {GO:0006027}; inflammatory response {GO:0006954}; leukocyte migration {GO:0050900}; myoblast development {GO:0048627}; odontogenesis {GO:0042476}; positive regulation of exosomal secretion {GO:1903543}; positive regulation of extracellular exosome assembly {GO:1903553}; response to calcium ion {GO:0051592}; response to cAMP {GO:0051591}; response to glucocorticoid {GO:0051384}; response to hydrogen peroxide {GO:0042542}; retinoid metabolic process {GO:0001523}; Sertoli cell development {GO:0060009}; striated muscle cell development {GO:0055002}; ureteric bud development {GO:0001657}; wound healing {GO:0042060}</t>
  </si>
  <si>
    <t>cell surface {GO:0009986}; external side of plasma membrane {GO:0009897}; extracellular exosome {GO:0070062}; Golgi lumen {GO:0005796}; integral component of plasma membrane {GO:0005887}; lysosomal lumen {GO:0043202}; plasma membrane {GO:0005886}; protein-containing complex {GO:0032991}</t>
  </si>
  <si>
    <t>identical protein binding {GO:0042802}; protein C-terminus binding {GO:0008022}</t>
  </si>
  <si>
    <t>A tetrasaccharide linker sequence is required for GAG synthesis {R-HSA-1971475}; HS-GAG biosynthesis {R-HSA-2022928}; HS-GAG degradation {R-HSA-2024096}; Cell surface interactions at the vascular wall {R-HSA-202733}; Syndecan interactions {R-HSA-3000170}; Defective B4GALT7 causes EDS, progeroid type {R-HSA-3560783}; Defective B3GAT3 causes JDSSDHD {R-HSA-3560801}; Defective EXT2 causes exostoses 2 {R-HSA-3656237}; Defective EXT1 causes exostoses 1, TRPS2 and CHDS {R-HSA-3656253}; Defective B3GALT6 causes EDSP2 and SEMDJL1 {R-HSA-4420332}; Other interleukin signaling {R-HSA-449836}; Retinoid metabolism and transport {R-HSA-975634}</t>
  </si>
  <si>
    <t>Peroxidasin homolog</t>
  </si>
  <si>
    <t>Melanoma-associated antigen MG50; Vascular peroxidase 1; p53-responsive gene 2 protein</t>
  </si>
  <si>
    <t>PXDN_HUMAN</t>
  </si>
  <si>
    <t>Q92626</t>
  </si>
  <si>
    <t>A8QM65; D6W4Y0; Q4KMG2</t>
  </si>
  <si>
    <t>KIAA0230; MG50; PRG2; VPO; VPO1</t>
  </si>
  <si>
    <t>Alternative splicing; Calcium; Disease mutation; Disulfide bond; Extracellular matrix; Glycoprotein; Heme; Hydrogen peroxide; Immunoglobulin domain; Iron; Leucine-rich repeat; Metal-binding; Oxidoreductase; Peroxidase; Phosphoprotein; Polymorphism; Repeat; Secreted; Signal</t>
  </si>
  <si>
    <t>extracellular matrix organization {GO:0030198}; hydrogen peroxide catabolic process {GO:0042744}; immune response {GO:0006955}; oxidation-reduction process {GO:0055114}; response to oxidative stress {GO:0006979}</t>
  </si>
  <si>
    <t>collagen-containing extracellular matrix {GO:0062023}; endoplasmic reticulum {GO:0005783}; extracellular exosome {GO:0070062}; extracellular region {GO:0005576}; extracellular space {GO:0005615}</t>
  </si>
  <si>
    <t>extracellular matrix structural constituent {GO:0005201}; heme binding {GO:0020037}; interleukin-1 receptor antagonist activity {GO:0005152}; metal ion binding {GO:0046872}; peroxidase activity {GO:0004601}</t>
  </si>
  <si>
    <t>Crosslinking of collagen fibrils {R-HSA-2243919}</t>
  </si>
  <si>
    <t>Ribose-5-phosphate isomerase</t>
  </si>
  <si>
    <t>Phosphoriboisomerase</t>
  </si>
  <si>
    <t>RPIA_HUMAN</t>
  </si>
  <si>
    <t>P49247</t>
  </si>
  <si>
    <t>Q541P9; Q96BJ6</t>
  </si>
  <si>
    <t>RPI</t>
  </si>
  <si>
    <t>Disease mutation; Isomerase; Methylation; Phosphoprotein</t>
  </si>
  <si>
    <t>D-ribose metabolic process {GO:0006014}; pentose-phosphate shunt {GO:0006098}; pentose-phosphate shunt, non-oxidative branch {GO:0009052}; ribose phosphate metabolic process {GO:0019693}</t>
  </si>
  <si>
    <t>cytosol {GO:0005829}; intracellular membrane-bounded organelle {GO:0043231}</t>
  </si>
  <si>
    <t>identical protein binding {GO:0042802}; monosaccharide binding {GO:0048029}; ribose-5-phosphate isomerase activity {GO:0004751}</t>
  </si>
  <si>
    <t>Carbohydrate degradation; pentose phosphate pathway; D- ribose 5-phosphate from D-ribulose 5-phosphate (non-oxidative stage): step 1/1.</t>
  </si>
  <si>
    <t>RPIA deficiency: failed conversion of R5P to RU5P {R-HSA-5659996}; RPIA deficiency: failed conversion of RU5P to R5P {R-HSA-6791461}; Pentose phosphate pathway {R-HSA-71336}</t>
  </si>
  <si>
    <t>CCB peptide</t>
  </si>
  <si>
    <t>Chromogranin-B (CgB); Secretogranin I (SgI)</t>
  </si>
  <si>
    <t>SCG1_HUMAN</t>
  </si>
  <si>
    <t>P05060</t>
  </si>
  <si>
    <t>A8K021; Q59EU9; Q6IBS6; Q9BQV6; Q9UC25; Q9UJA6</t>
  </si>
  <si>
    <t>SCG1</t>
  </si>
  <si>
    <t>Cleavage on pair of basic residues; Disulfide bond; Glycoprotein; Phosphoprotein; Polymorphism; Secreted; Signal; Sulfation</t>
  </si>
  <si>
    <t>endoplasmic reticulum lumen {GO:0005788}; extracellular space {GO:0005615}; secretory granule {GO:0030141}</t>
  </si>
  <si>
    <t>Fibulin-7 (FIBL-7)</t>
  </si>
  <si>
    <t>FBLN7_HUMAN</t>
  </si>
  <si>
    <t>Q53RD9</t>
  </si>
  <si>
    <t>A0JNV1; A0JNV2; Q5H9P5; Q8N9G0</t>
  </si>
  <si>
    <t>TM14</t>
  </si>
  <si>
    <t>Alternative splicing; Calcium; Cell adhesion; Coiled coil; Disulfide bond; EGF-like domain; Extracellular matrix; Glycoprotein; Heparin-binding; Polymorphism; Repeat; Secreted; Signal; Sushi</t>
  </si>
  <si>
    <t>Coiled coil; EGF-like domain; Repeat; Signal; Sushi</t>
  </si>
  <si>
    <t>extracellular region {GO:0005576}; focal adhesion {GO:0005925}</t>
  </si>
  <si>
    <t>Pulmonary surfactant-associated protein B (SP-B)</t>
  </si>
  <si>
    <t>18 kDa pulmonary-surfactant protein; 6 kDa protein; Pulmonary surfactant-associated proteolipid SPL(Phe)</t>
  </si>
  <si>
    <t>PSPB_HUMAN</t>
  </si>
  <si>
    <t>P07988</t>
  </si>
  <si>
    <t>Q96R04</t>
  </si>
  <si>
    <t>SFTP3</t>
  </si>
  <si>
    <t>3D-structure; Disease mutation; Disulfide bond; Gaseous exchange; Glycoprotein; Polymorphism; Repeat; Secreted; Signal; Surface film</t>
  </si>
  <si>
    <t>Gaseous exchange</t>
  </si>
  <si>
    <t>Secreted; Surface film</t>
  </si>
  <si>
    <t>animal organ morphogenesis {GO:0009887}; cellular protein metabolic process {GO:0044267}; respiratory gaseous exchange {GO:0007585}; sphingolipid metabolic process {GO:0006665}</t>
  </si>
  <si>
    <t>alveolar lamellar body {GO:0097208}; clathrin-coated endocytic vesicle {GO:0045334}; endoplasmic reticulum membrane {GO:0005789}; extracellular region {GO:0005576}; extracellular space {GO:0005615}; lamellar body {GO:0042599}; lysosome {GO:0005764}; multivesicular body {GO:0005771}; multivesicular body lumen {GO:0097486}; nucleoplasm {GO:0005654}</t>
  </si>
  <si>
    <t>Surfactant metabolism {R-HSA-5683826}; Defective pro-SFTPB causes pulmonary surfactant metabolism dysfunction 1 (SMDP1) and respiratory distress syndrome (RDS) {R-HSA-5688031}; Defective CSF2RB causes pulmonary surfactant metabolism dysfunction 5 (SMDP5) {R-HSA-5688849}; Defective CSF2RA causes pulmonary surfactant metabolism dysfunction 4 (SMDP4) {R-HSA-5688890}</t>
  </si>
  <si>
    <t>Junctophilin-2 N-terminal fragment</t>
  </si>
  <si>
    <t>Junctophilin type 2 (JP2NT)</t>
  </si>
  <si>
    <t>JPH2_HUMAN</t>
  </si>
  <si>
    <t>Q9BR39</t>
  </si>
  <si>
    <t>E1P5X1; O95913; Q5JY74; Q9UJN4</t>
  </si>
  <si>
    <t>Alternative splicing; Cardiomyopathy; Cell membrane; Developmental protein; Disease mutation; DNA-binding; Endoplasmic reticulum; Membrane; Nucleus; Phosphoprotein; Polymorphism; Repeat; Repressor; Sarcoplasmic reticulum; Transcription; Transcription regulation; Transmembrane; Transmembrane helix</t>
  </si>
  <si>
    <t>Cell membrane; Endoplasmic reticulum; Membrane; Nucleus; Sarcoplasmic reticulum</t>
  </si>
  <si>
    <t>DNA-binding; Developmental protein; Repressor</t>
  </si>
  <si>
    <t>calcium ion homeostasis {GO:0055074}; calcium ion transport into cytosol {GO:0060402}; multicellular organism development {GO:0007275}; negative regulation of transcription by RNA polymerase II {GO:0000122}; negative regulation of transcription, DNA-templated {GO:0045892}; positive regulation of ryanodine-sensitive calcium-release channel activity {GO:0060316}; regulation of cardiac muscle tissue development {GO:0055024}; regulation of ryanodine-sensitive calcium-release channel activity {GO:0060314}</t>
  </si>
  <si>
    <t>endoplasmic reticulum {GO:0005783}; endoplasmic reticulum membrane {GO:0005789}; integral component of membrane {GO:0016021}; junctional membrane complex {GO:0030314}; junctional sarcoplasmic reticulum membrane {GO:0014701}; nucleus {GO:0005634}; plasma membrane {GO:0005886}; sarcoplasmic reticulum {GO:0016529}; Z disc {GO:0030018}</t>
  </si>
  <si>
    <t>calcium-release channel activity {GO:0015278}; core promoter binding {GO:0001047}; DNA binding {GO:0003677}; DNA-binding transcription repressor activity, RNA polymerase II-specific {GO:0001227}; phosphatidic acid binding {GO:0070300}; phosphatidylinositol-3,4,5-trisphosphate binding {GO:0005547}; phosphatidylinositol-3,5-bisphosphate binding {GO:0080025}; phosphatidylinositol-3-phosphate binding {GO:0032266}; phosphatidylinositol-4,5-bisphosphate binding {GO:0005546}; phosphatidylinositol-4-phosphate binding {GO:0070273}; phosphatidylinositol-5-phosphate binding {GO:0010314}; phosphatidylserine binding {GO:0001786}</t>
  </si>
  <si>
    <t>T-cell surface glycoprotein CD8 alpha chain</t>
  </si>
  <si>
    <t>T-lymphocyte differentiation antigen T8/Leu-2; CD_antigen=CD8a</t>
  </si>
  <si>
    <t>CD8A_HUMAN</t>
  </si>
  <si>
    <t>P01732</t>
  </si>
  <si>
    <t>B4DT80; D6W5M8; Q13970; Q4ZG17</t>
  </si>
  <si>
    <t>MAL</t>
  </si>
  <si>
    <t>3D-structure; Adaptive immunity; Alternative splicing; Cell membrane; Disease mutation; Disulfide bond; Glycoprotein; Immunity; Immunoglobulin domain; Lipoprotein; Membrane; Palmitate; Secreted; Signal; Transmembrane; Transmembrane helix</t>
  </si>
  <si>
    <t>antigen processing and presentation {GO:0019882}; cell surface receptor signaling pathway {GO:0007166}; cytotoxic T cell differentiation {GO:0045065}; immune response {GO:0006955}; regulation of immune response {GO:0050776}; T cell activation {GO:0042110}; T cell mediated immunity {GO:0002456}; transmembrane receptor protein tyrosine kinase signaling pathway {GO:0007169}</t>
  </si>
  <si>
    <t>external side of plasma membrane {GO:0009897}; extracellular region {GO:0005576}; integral component of plasma membrane {GO:0005887}; plasma membrane {GO:0005886}; plasma membrane raft {GO:0044853}; T cell receptor complex {GO:0042101}</t>
  </si>
  <si>
    <t>coreceptor activity {GO:0015026}; MHC class I protein binding {GO:0042288}; MHC class I protein complex binding {GO:0023024}</t>
  </si>
  <si>
    <t>Long chain 3-hydroxyacyl-CoA dehydrogenase</t>
  </si>
  <si>
    <t>78 kDa gastrin-binding protein; TP-alpha</t>
  </si>
  <si>
    <t>ECHA_HUMAN</t>
  </si>
  <si>
    <t>P40939</t>
  </si>
  <si>
    <t>B2R7L4; B4DYP2; Q16679; Q53T69; Q53TA2; Q96GT7; Q9UQC5</t>
  </si>
  <si>
    <t>HADH</t>
  </si>
  <si>
    <t>3D-structure; Acetylation; Alternative splicing; Disease mutation; Fatty acid metabolism; Lipid metabolism; Lyase; Methylation; Mitochondrion; Multifunctional enzyme; NAD; Oxidoreductase; Phosphoprotein; Polymorphism; Transit peptide</t>
  </si>
  <si>
    <t>Lyase; Multifunctional enzyme; Oxidoreductase</t>
  </si>
  <si>
    <t>cardiolipin acyl-chain remodeling {GO:0035965}; fatty acid beta-oxidation {GO:0006635}; response to drug {GO:0042493}; response to insulin {GO:0032868}</t>
  </si>
  <si>
    <t>mitochondrial fatty acid beta-oxidation multienzyme complex {GO:0016507}; mitochondrial inner membrane {GO:0005743}; mitochondrial nucleoid {GO:0042645}; mitochondrion {GO:0005739}</t>
  </si>
  <si>
    <t>3-hydroxyacyl-CoA dehydrogenase activity {GO:0003857}; acetyl-CoA C-acetyltransferase activity {GO:0003985}; enoyl-CoA hydratase activity {GO:0004300}; fatty-acyl-CoA binding {GO:0000062}; long-chain-3-hydroxyacyl-CoA dehydrogenase activity {GO:0016509}; long-chain-enoyl-CoA hydratase activity {GO:0016508}; NAD binding {GO:0051287}; protein-containing complex binding {GO:0044877}</t>
  </si>
  <si>
    <t>Acyl chain remodeling of CL {R-HSA-1482798}; Beta oxidation of myristoyl-CoA to lauroyl-CoA {R-HSA-77285}; mitochondrial fatty acid beta-oxidation of unsaturated fatty acids {R-HSA-77288}; Beta oxidation of palmitoyl-CoA to myristoyl-CoA {R-HSA-77305}; Beta oxidation of lauroyl-CoA to decanoyl-CoA-CoA {R-HSA-77310}; Beta oxidation of decanoyl-CoA to octanoyl-CoA-CoA {R-HSA-77346}; Beta oxidation of octanoyl-CoA to hexanoyl-CoA {R-HSA-77348}; Beta oxidation of hexanoyl-CoA to butanoyl-CoA {R-HSA-77350}</t>
  </si>
  <si>
    <t>3-ketoacyl-CoA thiolase</t>
  </si>
  <si>
    <t>TP-beta; Acetyl-CoA acyltransferase; Beta-ketothiolase</t>
  </si>
  <si>
    <t>ECHB_HUMAN</t>
  </si>
  <si>
    <t>P55084</t>
  </si>
  <si>
    <t>B2RB16; B4E2W0; O14969; Q53TA6; Q96C77; Q9H3F5; Q9T2V8</t>
  </si>
  <si>
    <t>3D-structure; Acetylation; Acyltransferase; Alternative splicing; Disease mutation; Endoplasmic reticulum; Fatty acid metabolism; Lipid metabolism; Membrane; Mitochondrion; Mitochondrion inner membrane; Mitochondrion outer membrane; Polymorphism; Transferase; Transit peptide</t>
  </si>
  <si>
    <t>Endoplasmic reticulum; Membrane; Mitochondrion; Mitochondrion inner membrane; Mitochondrion outer membrane</t>
  </si>
  <si>
    <t>cardiolipin acyl-chain remodeling {GO:0035965}; fatty acid beta-oxidation {GO:0006635}</t>
  </si>
  <si>
    <t>endoplasmic reticulum {GO:0005783}; mitochondrial envelope {GO:0005740}; mitochondrial inner membrane {GO:0005743}; mitochondrial nucleoid {GO:0042645}; mitochondrial outer membrane {GO:0005741}; mitochondrion {GO:0005739}</t>
  </si>
  <si>
    <t>3-hydroxyacyl-CoA dehydrogenase activity {GO:0003857}; acetyl-CoA C-acyltransferase activity {GO:0003988}; enoyl-CoA hydratase activity {GO:0004300}; long-chain-3-hydroxyacyl-CoA dehydrogenase activity {GO:0016509}; long-chain-enoyl-CoA hydratase activity {GO:0016508}; RNA binding {GO:0003723}</t>
  </si>
  <si>
    <t>Epithelial cell adhesion molecule (Ep-CAM)</t>
  </si>
  <si>
    <t>Adenocarcinoma-associated antigen; Cell surface glycoprotein Trop-1; Epithelial cell surface antigen; Epithelial glycoprotein (EGP); Epithelial glycoprotein 314 (EGP314; hEGP314); KS 1/4 antigen; KSA; Major gastrointestinal tumor-associated protein GA733-2; Tumor-associated calcium signal transducer 1; CD_antigen=CD326</t>
  </si>
  <si>
    <t>EPCAM_HUMAN</t>
  </si>
  <si>
    <t>P16422</t>
  </si>
  <si>
    <t>P18180; Q6FG26; Q6FG49; Q96C47; Q9UCD0</t>
  </si>
  <si>
    <t>GA733-2; M1S2; M4S1; MIC18; TACSTD1; TROP1</t>
  </si>
  <si>
    <t>3D-structure; Cell junction; Cell membrane; Disease mutation; Disulfide bond; Glycoprotein; Hereditary nonpolyposis colorectal cancer; Membrane; Polymorphism; Repeat; Signal; Tight junction; Transmembrane; Transmembrane helix; Tumor antigen</t>
  </si>
  <si>
    <t>Disease mutation; Hereditary nonpolyposis colorectal cancer</t>
  </si>
  <si>
    <t>cell-cell adhesion via plasma-membrane adhesion molecules {GO:0098742}; leukocyte migration {GO:0050900}; negative regulation of apoptotic process {GO:0043066}; negative regulation of cell-cell adhesion mediated by cadherin {GO:2000048}; positive regulation of cell motility {GO:2000147}; positive regulation of cell population proliferation {GO:0008284}; positive regulation of stem cell proliferation {GO:2000648}; positive regulation of transcription by RNA polymerase II {GO:0045944}; signal transduction involved in regulation of gene expression {GO:0023019}; stem cell differentiation {GO:0048863}; ureteric bud development {GO:0001657}</t>
  </si>
  <si>
    <t>apical plasma membrane {GO:0016324}; basolateral plasma membrane {GO:0016323}; bicellular tight junction {GO:0005923}; cell surface {GO:0009986}; extracellular exosome {GO:0070062}; integral component of membrane {GO:0016021}; lateral plasma membrane {GO:0016328}; plasma membrane {GO:0005886}</t>
  </si>
  <si>
    <t>cadherin binding involved in cell-cell adhesion {GO:0098641}; protein-containing complex binding {GO:0044877}</t>
  </si>
  <si>
    <t>Neutral and basic amino acid transport protein rBAT (NBAT)</t>
  </si>
  <si>
    <t>D2h; Solute carrier family 3 member 1; b(0,+)-type amino acid transport protein</t>
  </si>
  <si>
    <t>SLC31_HUMAN</t>
  </si>
  <si>
    <t>Q07837</t>
  </si>
  <si>
    <t>A8K0S1; O00658; Q15295; Q4J6B4; Q4J6B5; Q4J6B6; Q4J6B7; Q4J6B8; Q4J6B9; Q52M92; Q52M94</t>
  </si>
  <si>
    <t>RBAT</t>
  </si>
  <si>
    <t>Alternative splicing; Amino-acid transport; Cystinuria; Disease mutation; Disulfide bond; Glycoprotein; Membrane; Phosphoprotein; Polymorphism; Signal-anchor; Transmembrane; Transmembrane helix; Transport</t>
  </si>
  <si>
    <t>Cystinuria; Disease mutation</t>
  </si>
  <si>
    <t>amino acid transport {GO:0006865}; basic amino acid transport {GO:0015802}; carbohydrate metabolic process {GO:0005975}; cellular amino acid metabolic process {GO:0006520}; L-cystine transport {GO:0015811}</t>
  </si>
  <si>
    <t>brush border membrane {GO:0031526}; extracellular exosome {GO:0070062}; integral component of plasma membrane {GO:0005887}; membrane {GO:0016020}; plasma membrane {GO:0005886}; vacuolar membrane {GO:0005774}</t>
  </si>
  <si>
    <t>amino acid transmembrane transporter activity {GO:0015171}; basic amino acid transmembrane transporter activity {GO:0015174}; catalytic activity {GO:0003824}; L-cystine transmembrane transporter activity {GO:0015184}; protein heterodimerization activity {GO:0046982}</t>
  </si>
  <si>
    <t>Amino acid transport across the plasma membrane {R-HSA-352230}; Defective SLC3A1 causes cystinuria (CSNU) {R-HSA-5619113}; Defective SLC7A9 causes cystinuria (CSNU) {R-HSA-5660883}</t>
  </si>
  <si>
    <t>Sepiapterin reductase (SPR)</t>
  </si>
  <si>
    <t>SPRE_HUMAN</t>
  </si>
  <si>
    <t>P35270</t>
  </si>
  <si>
    <t>A8K741; D6W5H2; Q53GI9; Q9UBB1</t>
  </si>
  <si>
    <t>3D-structure; Acetylation; Cytoplasm; Disease mutation; Dystonia; NADP; Oxidoreductase; Phosphoprotein</t>
  </si>
  <si>
    <t>Disease mutation; Dystonia</t>
  </si>
  <si>
    <t>cofactor metabolic process {GO:0051186}; nitric oxide biosynthetic process {GO:0006809}; oxidation-reduction process {GO:0055114}; regulation of nitric-oxide synthase activity {GO:0050999}; tetrahydrobiopterin biosynthetic process {GO:0006729}</t>
  </si>
  <si>
    <t>aldo-keto reductase (NADP) activity {GO:0004033}; NADP binding {GO:0050661}; sepiapterin reductase activity {GO:0004757}</t>
  </si>
  <si>
    <t>Tetrahydrobiopterin (BH4) synthesis, recycling, salvage and regulation {R-HSA-1474151}; eNOS activation {R-HSA-203615}</t>
  </si>
  <si>
    <t>Transcription elongation factor A protein 1</t>
  </si>
  <si>
    <t>Transcription elongation factor S-II protein 1; Transcription elongation factor TFIIS.o</t>
  </si>
  <si>
    <t>TCEA1_HUMAN</t>
  </si>
  <si>
    <t>P23193</t>
  </si>
  <si>
    <t>A6NF25; A8K339; Q15563; Q6FG87</t>
  </si>
  <si>
    <t>GTF2S; TFIIS</t>
  </si>
  <si>
    <t>3D-structure; Acetylation; Alternative splicing; Chromosomal rearrangement; DNA-binding; Isopeptide bond; Metal-binding; Nucleus; Phosphoprotein; Transcription; Transcription regulation; Ubl conjugation; Zinc; Zinc-finger</t>
  </si>
  <si>
    <t>positive regulation of exoribonuclease activity {GO:1901919}; positive regulation of transcription by RNA polymerase II {GO:0045944}; transcription by RNA polymerase II {GO:0006366}; transcription elongation from RNA polymerase II promoter {GO:0006368}; transcription-coupled nucleotide-excision repair {GO:0006283}</t>
  </si>
  <si>
    <t>nucleolus {GO:0005730}; nucleoplasm {GO:0005654}; nucleus {GO:0005634}; transcription factor TFIID complex {GO:0005669}</t>
  </si>
  <si>
    <t>Formation of RNA Pol II elongation complex {R-HSA-112382}; Formation of HIV elongation complex in the absence of HIV Tat {R-HSA-167152}; Formation of HIV-1 elongation complex containing HIV-1 Tat {R-HSA-167200}; Pausing and recovery of Tat-mediated HIV elongation {R-HSA-167238}; Tat-mediated HIV elongation arrest and recovery {R-HSA-167243}; Tat-mediated elongation of the HIV-1 transcript {R-HSA-167246}; HIV elongation arrest and recovery {R-HSA-167287}; Pausing and recovery of HIV elongation {R-HSA-167290}; RNA Polymerase II Pre-transcription Events {R-HSA-674695}; Formation of TC-NER Pre-Incision Complex {R-HSA-6781823}; Transcription-Coupled Nucleotide Excision Repair (TC-NER) {R-HSA-6781827}; Dual incision in TC-NER {R-HSA-6782135}; Gap-filling DNA repair synthesis and ligation in TC-NER {R-HSA-6782210}; TP53 Regulates Transcription of DNA Repair Genes {R-HSA-6796648}; RNA Polymerase II Transcription Elongation {R-HSA-75955}</t>
  </si>
  <si>
    <t>Probable aminopeptidase NPEPL1</t>
  </si>
  <si>
    <t>Aminopeptidase-like 1</t>
  </si>
  <si>
    <t>PEPL1_HUMAN</t>
  </si>
  <si>
    <t>Q8NDH3</t>
  </si>
  <si>
    <t>A6NGZ0; B4DMW7; B7ZBN0; E9PN47; G5EA34; Q53G37; Q5W083; Q8TF28; Q8WUI2; Q9H1T6; Q9HAI5</t>
  </si>
  <si>
    <t>KIAA1974</t>
  </si>
  <si>
    <t>Alternative splicing; Aminopeptidase; Hydrolase; Manganese; Metal-binding; Polymorphism; Protease; Zinc</t>
  </si>
  <si>
    <t>Manganese; Metal-binding; Zinc</t>
  </si>
  <si>
    <t>Regenerating islet-derived protein 4 (REG-4)</t>
  </si>
  <si>
    <t>Gastrointestinal secretory protein; REG-like protein; Regenerating islet-derived protein IV (Reg IV)</t>
  </si>
  <si>
    <t>REG4_HUMAN</t>
  </si>
  <si>
    <t>Q9BYZ8</t>
  </si>
  <si>
    <t>Q8NER6; Q8NER7</t>
  </si>
  <si>
    <t>GISP; RELP</t>
  </si>
  <si>
    <t>3D-structure; Alternative splicing; Disulfide bond; Glycoprotein; Lectin; Polymorphism; Secreted; Signal</t>
  </si>
  <si>
    <t>response to bacterium {GO:0009617}</t>
  </si>
  <si>
    <t>heparin binding {GO:0008201}; mannan binding {GO:2001065}; transmembrane signaling receptor activity {GO:0004888}</t>
  </si>
  <si>
    <t>Obscurin</t>
  </si>
  <si>
    <t>Obscurin-RhoGEF; Obscurin-myosin light chain kinase (Obscurin-MLCK)</t>
  </si>
  <si>
    <t>OBSCN_HUMAN</t>
  </si>
  <si>
    <t>Q5VST9</t>
  </si>
  <si>
    <t>Q2A664; Q5T7G8; Q5T7G9; Q5VSU2; Q86YC7; Q8NHN0; Q8NHN1; Q8NHN2; Q8NHN3; Q8NHN4; Q8NHN5; Q8NHN6; Q8NHN7; Q8NHN8; Q8NHN9; Q96AA2; Q9HCD3; Q9HCL6</t>
  </si>
  <si>
    <t>KIAA1556; KIAA1639</t>
  </si>
  <si>
    <t>3D-structure; Alternative splicing; ATP-binding; Calmodulin-binding; Cell membrane; Chromosomal rearrangement; Cytoplasm; Developmental protein; Differentiation; Disulfide bond; Immunoglobulin domain; Kinase; Lipid-binding; Magnesium; Membrane; Metal-binding; Muscle protein; Nucleotide-binding; Nucleus; Phosphoprotein; Polymorphism; Repeat; Serine/threonine-protein kinase; SH3 domain; Transferase</t>
  </si>
  <si>
    <t>Immunoglobulin domain; Repeat; SH3 domain</t>
  </si>
  <si>
    <t>ATP-binding; Lipid-binding; Magnesium; Metal-binding; Nucleotide-binding</t>
  </si>
  <si>
    <t>Calmodulin-binding; Developmental protein; Kinase; Muscle protein; Serine/threonine-protein kinase; Transferase</t>
  </si>
  <si>
    <t>G protein-coupled receptor signaling pathway {GO:0007186}; multicellular organism development {GO:0007275}; positive regulation of apoptotic process {GO:0043065}; protein localization to M-band {GO:0036309}; regulation of Rho protein signal transduction {GO:0035023}; regulation of small GTPase mediated signal transduction {GO:0051056}; sarcomere organization {GO:0045214}</t>
  </si>
  <si>
    <t>cytosol {GO:0005829}; M band {GO:0031430}; myofibril {GO:0030016}; nuclear body {GO:0016604}; plasma membrane {GO:0005886}; sarcolemma {GO:0042383}; Z disc {GO:0030018}</t>
  </si>
  <si>
    <t>ankyrin binding {GO:0030506}; ATP binding {GO:0005524}; calmodulin binding {GO:0005516}; metal ion binding {GO:0046872}; phosphatidylinositol-3,4,5-trisphosphate binding {GO:0005547}; phosphatidylinositol-3,4-bisphosphate binding {GO:0043325}; phosphatidylinositol-3-phosphate binding {GO:0032266}; phosphatidylinositol-4,5-bisphosphate binding {GO:0005546}; phosphatidylinositol-4-phosphate binding {GO:0070273}; phosphatidylinositol-5-phosphate binding {GO:0010314}; protein serine/threonine kinase activity {GO:0004674}; Rho guanyl-nucleotide exchange factor activity {GO:0005089}; structural constituent of muscle {GO:0008307}; titin binding {GO:0031432}</t>
  </si>
  <si>
    <t>NRAGE signals death through JNK {R-HSA-193648}; Rho GTPase cycle {R-HSA-194840}; G alpha (12/13) signalling events {R-HSA-416482}</t>
  </si>
  <si>
    <t>Butyrophilin subfamily 1 member A1 (BT)</t>
  </si>
  <si>
    <t>BT1A1_HUMAN</t>
  </si>
  <si>
    <t>Q13410</t>
  </si>
  <si>
    <t>Q4VAN3; Q4VAN4; Q9H458</t>
  </si>
  <si>
    <t>BTN</t>
  </si>
  <si>
    <t>Disulfide bond; Glycoprotein; Immunoglobulin domain; Membrane; Polymorphism; Repeat; Secreted; Signal; Transmembrane; Transmembrane helix</t>
  </si>
  <si>
    <t>regulation of immune response {GO:0050776}; T cell receptor signaling pathway {GO:0050852}</t>
  </si>
  <si>
    <t>external side of plasma membrane {GO:0009897}; extracellular space {GO:0005615}; integral component of plasma membrane {GO:0005887}; plasma membrane {GO:0005886}</t>
  </si>
  <si>
    <t>signaling receptor activity {GO:0038023}; signaling receptor binding {GO:0005102}</t>
  </si>
  <si>
    <t>Butyrophilin (BTN) family interactions {R-HSA-8851680}</t>
  </si>
  <si>
    <t>CMRF35-like molecule 9 (CLM-9)</t>
  </si>
  <si>
    <t>CD300 antigen-like family member G; Triggering receptor expressed on myeloid cells 4 (TREM-4); CD_antigen=CD300g</t>
  </si>
  <si>
    <t>CLM9_HUMAN</t>
  </si>
  <si>
    <t>Q6UXG3</t>
  </si>
  <si>
    <t>B4DNY5; F5H7P9; F8W9M3; Q8IX38; Q8IX39; Q8TA95</t>
  </si>
  <si>
    <t>CLM9; TREM4</t>
  </si>
  <si>
    <t>Alternative splicing; Cell membrane; Disulfide bond; Endosome; Glycoprotein; Immunity; Immunoglobulin domain; Membrane; Polymorphism; Receptor; Signal; Transmembrane; Transmembrane helix</t>
  </si>
  <si>
    <t>apical plasma membrane {GO:0016324}; basolateral plasma membrane {GO:0016323}; integral component of membrane {GO:0016021}; multivesicular body membrane {GO:0032585}; plasma membrane {GO:0005886}</t>
  </si>
  <si>
    <t>Jupiter microtubule associated homolog 1, N-terminally processed</t>
  </si>
  <si>
    <t>Androgen-regulated protein 2; Hematological and neurological expressed 1 protein</t>
  </si>
  <si>
    <t>JUPI1_HUMAN</t>
  </si>
  <si>
    <t>Q9UK76</t>
  </si>
  <si>
    <t>B2R6K3; Q53FG7; Q7Z2D2; Q7Z2F0</t>
  </si>
  <si>
    <t>cytoplasm {GO:0005737}; nuclear membrane {GO:0031965}; nucleolus {GO:0005730}; nucleus {GO:0005634}</t>
  </si>
  <si>
    <t>Band 3 anion transport protein</t>
  </si>
  <si>
    <t>Anion exchange protein 1 (AE 1; Anion exchanger 1); Solute carrier family 4 member 1; CD_antigen=CD233</t>
  </si>
  <si>
    <t>B3AT_HUMAN</t>
  </si>
  <si>
    <t>P02730</t>
  </si>
  <si>
    <t>G4V2I6; P78487; Q1ZZ45; Q4KKW9; Q4VB84; Q9UCY7; Q9UDJ1</t>
  </si>
  <si>
    <t>AE1; DI; EPB3</t>
  </si>
  <si>
    <t>3D-structure; Acetylation; Alternative splicing; Anion exchange; Blood group antigen; Cell membrane; Disease mutation; Elliptocytosis; Glycoprotein; Hereditary hemolytic anemia; Ion transport; Lipoprotein; Membrane; Palmitate; Phosphoprotein; Polymorphism; Transmembrane; Transmembrane helix; Transport</t>
  </si>
  <si>
    <t>Anion exchange; Ion transport; Transport</t>
  </si>
  <si>
    <t>Acetylation; Glycoprotein; Lipoprotein; Palmitate; Phosphoprotein</t>
  </si>
  <si>
    <t>anion transport {GO:0006820}; bicarbonate transport {GO:0015701}; blood coagulation {GO:0007596}; cellular ion homeostasis {GO:0006873}; chloride transport {GO:0006821}; erythrocyte development {GO:0048821}; glycolytic process {GO:0006096}; negative regulation of urine volume {GO:0035811}; pH elevation {GO:0045852}; plasma membrane phospholipid scrambling {GO:0017121}; protein localization to plasma membrane {GO:0072659}; regulation of intracellular pH {GO:0051453}</t>
  </si>
  <si>
    <t>basolateral plasma membrane {GO:0016323}; blood microparticle {GO:0072562}; cortical cytoskeleton {GO:0030863}; cytoplasmic side of plasma membrane {GO:0009898}; extracellular exosome {GO:0070062}; integral component of membrane {GO:0016021}; integral component of plasma membrane {GO:0005887}; plasma membrane {GO:0005886}; Z disc {GO:0030018}</t>
  </si>
  <si>
    <t>anion transmembrane transporter activity {GO:0008509}; anion:anion antiporter activity {GO:0015301}; ankyrin binding {GO:0030506}; bicarbonate transmembrane transporter activity {GO:0015106}; chloride transmembrane transporter activity {GO:0015108}; hemoglobin binding {GO:0030492}; inorganic anion exchanger activity {GO:0005452}; protein homodimerization activity {GO:0042803}; protein membrane anchor {GO:0043495}</t>
  </si>
  <si>
    <t>Erythrocytes take up carbon dioxide and release oxygen {R-HSA-1237044}; Erythrocytes take up oxygen and release carbon dioxide {R-HSA-1247673}; Bicarbonate transporters {R-HSA-425381}; Defective SLC4A1 causes hereditary spherocytosis type 4 (HSP4), distal renal tubular acidosis (dRTA) and dRTA with hemolytic anemia (dRTA-HA) {R-HSA-5619050}</t>
  </si>
  <si>
    <t>Tumor necrosis factor receptor superfamily member 16</t>
  </si>
  <si>
    <t>Gp80-LNGFR; Low affinity neurotrophin receptor p75NTR; Low-affinity nerve growth factor receptor (NGF receptor); p75 ICD; CD_antigen=CD271</t>
  </si>
  <si>
    <t>TNR16_HUMAN</t>
  </si>
  <si>
    <t>P08138</t>
  </si>
  <si>
    <t>B2R961; B4E096</t>
  </si>
  <si>
    <t>TNFRSF16</t>
  </si>
  <si>
    <t>3D-structure; Alternative splicing; Apoptosis; Biological rhythms; Developmental protein; Differentiation; Disulfide bond; Glycoprotein; Membrane; Neurogenesis; Phosphoprotein; Polymorphism; Receptor; Repeat; Signal; Transmembrane; Transmembrane helix</t>
  </si>
  <si>
    <t>Apoptosis; Biological rhythms; Differentiation; Neurogenesis</t>
  </si>
  <si>
    <t>activation of cysteine-type endopeptidase activity involved in apoptotic process {GO:0006919}; cellular glucose homeostasis {GO:0001678}; cellular response to amyloid-beta {GO:1904646}; circadian regulation of gene expression {GO:0032922}; glucose homeostasis {GO:0042593}; intracellular protein transport {GO:0006886}; membrane protein intracellular domain proteolysis {GO:0031293}; negative regulation of apoptotic process {GO:0043066}; negative regulation of axonogenesis {GO:0050771}; negative regulation of blood vessel endothelial cell proliferation involved in sprouting angiogenesis {GO:1903588}; negative regulation of cysteine-type endopeptidase activity involved in apoptotic process {GO:0043154}; neuron apoptotic process {GO:0051402}; neurotrophin TRK receptor signaling pathway {GO:0048011}; positive regulation of apoptotic process {GO:0043065}; positive regulation of axonogenesis {GO:0050772}; positive regulation of pri-miRNA transcription by RNA polymerase II {GO:1902895}; positive regulation of protein localization to nucleus {GO:1900182}; regulation of cysteine-type endopeptidase activity involved in apoptotic process {GO:0043281}; Rho protein signal transduction {GO:0007266}</t>
  </si>
  <si>
    <t>cell surface {GO:0009986}; cytosol {GO:0005829}; endosome {GO:0005768}; extracellular region {GO:0005576}; integral component of membrane {GO:0016021}; integral component of plasma membrane {GO:0005887}; nucleoplasm {GO:0005654}; plasma membrane {GO:0005886}</t>
  </si>
  <si>
    <t>amyloid-beta binding {GO:0001540}; calmodulin binding {GO:0005516}; coreceptor activity {GO:0015026}; death receptor activity {GO:0005035}; nerve growth factor binding {GO:0048406}; neurotrophin binding {GO:0043121}; Rab GTPase binding {GO:0017137}; signaling receptor activity {GO:0038023}; transmembrane signaling receptor activity {GO:0004888}; ubiquitin protein ligase binding {GO:0031625}</t>
  </si>
  <si>
    <t>Axonal growth inhibition (RHOA activation) {R-HSA-193634}; NRAGE signals death through JNK {R-HSA-193648}; p75NTR negatively regulates cell cycle via SC1 {R-HSA-193670}; Ceramide signalling {R-HSA-193681}; Regulated proteolysis of p75NTR {R-HSA-193692}; NFG and proNGF binds to p75NTR {R-HSA-205017}; NADE modulates death signalling {R-HSA-205025}; NRIF signals cell death from the nucleus {R-HSA-205043}; p75NTR recruits signalling complexes {R-HSA-209543}; NF-kB is activated and signals survival {R-HSA-209560}; Axonal growth stimulation {R-HSA-209563}</t>
  </si>
  <si>
    <t>Eosinophil peroxidase heavy chain (EPO)</t>
  </si>
  <si>
    <t>PERE_HUMAN</t>
  </si>
  <si>
    <t>P11678</t>
  </si>
  <si>
    <t>Q4TVP3</t>
  </si>
  <si>
    <t>EPER; EPO; EPP</t>
  </si>
  <si>
    <t>Calcium; Disease mutation; Disulfide bond; Glycoprotein; Heme; Hydrogen peroxide; Iron; Metal-binding; Nitration; Oxidoreductase; Peroxidase; Polymorphism; Signal</t>
  </si>
  <si>
    <t>defense response to bacterium {GO:0042742}; defense response to nematode {GO:0002215}; eosinophil migration {GO:0072677}; hydrogen peroxide catabolic process {GO:0042744}; negative regulation of interleukin-10 production {GO:0032693}; negative regulation of interleukin-5 production {GO:0032714}; neutrophil degranulation {GO:0043312}; positive regulation of interleukin-4 production {GO:0032753}; response to oxidative stress {GO:0006979}</t>
  </si>
  <si>
    <t>cytoplasm {GO:0005737}; extracellular exosome {GO:0070062}; extracellular region {GO:0005576}; extracellular space {GO:0005615}; secretory granule lumen {GO:0034774}</t>
  </si>
  <si>
    <t>heme binding {GO:0020037}; metal ion binding {GO:0046872}; peroxidase activity {GO:0004601}</t>
  </si>
  <si>
    <t>Unconventional myosin-XVIIIa</t>
  </si>
  <si>
    <t>Molecule associated with JAK3 N-terminus (MAJN); Myosin containing a PDZ domain; Surfactant protein receptor SP-R210 (SP-R210)</t>
  </si>
  <si>
    <t>MY18A_HUMAN</t>
  </si>
  <si>
    <t>Q92614</t>
  </si>
  <si>
    <t>Q5H9U3; Q5QD01; Q5W9F9; Q5W9G1; Q8IXP8</t>
  </si>
  <si>
    <t>Alternative splicing; ATP-binding; Coiled coil; Cytoplasm; Cytoskeleton; Golgi apparatus; Motor protein; Myosin; Nucleotide-binding; Phosphoprotein; Polymorphism</t>
  </si>
  <si>
    <t>Cytoplasm; Cytoskeleton; Golgi apparatus</t>
  </si>
  <si>
    <t>Motor protein; Myosin</t>
  </si>
  <si>
    <t>actomyosin structure organization {GO:0031032}; asymmetric Golgi ribbon formation {GO:0090164}; cell migration {GO:0016477}; DNA metabolic process {GO:0006259}; Golgi organization {GO:0007030}; Golgi ribbon formation {GO:0090161}; Golgi vesicle budding {GO:0048194}; negative regulation of apoptotic process {GO:0043066}; positive regulation of opsonization {GO:1903028}; positive regulation of protein secretion {GO:0050714}; regulation of macrophage activation {GO:0043030}</t>
  </si>
  <si>
    <t>actomyosin {GO:0042641}; cell surface {GO:0009986}; endoplasmic reticulum-Golgi intermediate compartment {GO:0005793}; Golgi membrane {GO:0000139}; membrane {GO:0016020}; myosin complex {GO:0016459}; trans-Golgi network {GO:0005802}</t>
  </si>
  <si>
    <t>actin filament binding {GO:0051015}; ADP binding {GO:0043531}; ATP binding {GO:0005524}; DNA binding {GO:0003677}; RNA binding {GO:0003723}</t>
  </si>
  <si>
    <t>Signaling by cytosolic FGFR1 fusion mutants {R-HSA-1839117}; Signaling by FGFR1 in disease {R-HSA-5655302}</t>
  </si>
  <si>
    <t>Tax1-binding protein 3</t>
  </si>
  <si>
    <t>Glutaminase-interacting protein 3; Tax interaction protein 1 (TIP-1); Tax-interacting protein 1</t>
  </si>
  <si>
    <t>TX1B3_HUMAN</t>
  </si>
  <si>
    <t>O14907</t>
  </si>
  <si>
    <t>B2RD53; D3DTJ6; Q7LCQ4</t>
  </si>
  <si>
    <t>3D-structure; Acetylation; Cell membrane; Cytoplasm; Membrane; Nucleus; Phosphoprotein; Polymorphism; Wnt signaling pathway</t>
  </si>
  <si>
    <t>activation of GTPase activity {GO:0090630}; negative regulation of cell population proliferation {GO:0008285}; negative regulation of protein localization to cell surface {GO:2000009}; negative regulation of Wnt signaling pathway {GO:0030178}; Rho protein signal transduction {GO:0007266}; Wnt signaling pathway {GO:0016055}</t>
  </si>
  <si>
    <t>actin cytoskeleton {GO:0015629}; cytoplasm {GO:0005737}; cytosol {GO:0005829}; extracellular exosome {GO:0070062}; fibrillar center {GO:0001650}; intracellular membrane-bounded organelle {GO:0043231}; plasma membrane {GO:0005886}</t>
  </si>
  <si>
    <t>beta-catenin binding {GO:0008013}; protein C-terminus binding {GO:0008022}</t>
  </si>
  <si>
    <t>RHO GTPases Activate Rhotekin and Rhophilins {R-HSA-5666185}</t>
  </si>
  <si>
    <t>Angiotensin-converting enzyme, soluble form</t>
  </si>
  <si>
    <t>Dipeptidyl carboxypeptidase I; Kininase II; CD_antigen=CD143</t>
  </si>
  <si>
    <t>ACE_HUMAN</t>
  </si>
  <si>
    <t>P12821</t>
  </si>
  <si>
    <t>B0LPF0; B4DXI3; E7EU16; P22966; Q53YX9; Q59GY8; Q7M4L4</t>
  </si>
  <si>
    <t>DCP; DCP1</t>
  </si>
  <si>
    <t>3D-structure; Alternative splicing; Carboxypeptidase; Cell membrane; Cytoplasm; Disulfide bond; Glycoprotein; Hydrolase; Membrane; Metal-binding; Metalloprotease; Phosphoprotein; Polymorphism; Protease; Repeat; Secreted; Signal; Transmembrane; Transmembrane helix; Zinc</t>
  </si>
  <si>
    <t>amyloid-beta metabolic process {GO:0050435}; angiotensin maturation {GO:0002003}; antigen processing and presentation of peptide antigen via MHC class I {GO:0002474}; arachidonic acid secretion {GO:0050482}; blood vessel remodeling {GO:0001974}; cell proliferation in bone marrow {GO:0071838}; heart contraction {GO:0060047}; hematopoietic stem cell differentiation {GO:0060218}; hormone catabolic process {GO:0042447}; kidney development {GO:0001822}; mononuclear cell proliferation {GO:0032943}; negative regulation of gap junction assembly {GO:1903597}; negative regulation of gene expression {GO:0010629}; negative regulation of protein binding {GO:0032091}; neutrophil mediated immunity {GO:0002446}; peptide catabolic process {GO:0043171}; positive regulation of blood pressure {GO:0045777}; positive regulation of peptidyl-cysteine S-nitrosylation {GO:2000170}; positive regulation of peptidyl-tyrosine autophosphorylation {GO:1900086}; positive regulation of protein binding {GO:0032092}; positive regulation of protein tyrosine kinase activity {GO:0061098}; positive regulation of systemic arterial blood pressure {GO:0003084}; posttranscriptional regulation of gene expression {GO:0010608}; proteolysis {GO:0006508}; regulation of angiotensin metabolic process {GO:0060177}; regulation of blood pressure {GO:0008217}; regulation of blood vessel diameter {GO:0097746}; regulation of hematopoietic stem cell proliferation {GO:1902033}; regulation of renal output by angiotensin {GO:0002019}; regulation of smooth muscle cell migration {GO:0014910}; regulation of systemic arterial blood pressure by renin-angiotensin {GO:0003081}; regulation of vasoconstriction {GO:0019229}; spermatogenesis {GO:0007283}</t>
  </si>
  <si>
    <t>endosome {GO:0005768}; external side of plasma membrane {GO:0009897}; extracellular exosome {GO:0070062}; extracellular region {GO:0005576}; extracellular space {GO:0005615}; integral component of membrane {GO:0016021}; lysosome {GO:0005764}; plasma membrane {GO:0005886}</t>
  </si>
  <si>
    <t>actin binding {GO:0003779}; bradykinin receptor binding {GO:0031711}; carboxypeptidase activity {GO:0004180}; chloride ion binding {GO:0031404}; dipeptidyl-peptidase activity {GO:0008239}; drug binding {GO:0008144}; endopeptidase activity {GO:0004175}; exopeptidase activity {GO:0008238}; metallodipeptidase activity {GO:0070573}; metallopeptidase activity {GO:0008237}; mitogen-activated protein kinase binding {GO:0051019}; mitogen-activated protein kinase kinase binding {GO:0031434}; peptidyl-dipeptidase activity {GO:0008241}; tripeptidyl-peptidase activity {GO:0008240}; zinc ion binding {GO:0008270}</t>
  </si>
  <si>
    <t>Vesicle-associated membrane protein 2 (VAMP-2)</t>
  </si>
  <si>
    <t>Synaptobrevin-2</t>
  </si>
  <si>
    <t>VAMP2_HUMAN</t>
  </si>
  <si>
    <t>P63027</t>
  </si>
  <si>
    <t>P19065; Q9BUC2</t>
  </si>
  <si>
    <t>SYB2</t>
  </si>
  <si>
    <t>3D-structure; Acetylation; Cell junction; Cell membrane; Coiled coil; Cytoplasmic vesicle; Membrane; Phosphoprotein; Synapse; Synaptosome; Transmembrane; Transmembrane helix</t>
  </si>
  <si>
    <t>Cell junction; Cell membrane; Cytoplasmic vesicle; Membrane; Synapse; Synaptosome</t>
  </si>
  <si>
    <t>calcium ion regulated exocytosis {GO:0017156}; cellular response to insulin stimulus {GO:0032869}; eosinophil degranulation {GO:0043308}; exocytosis {GO:0006887}; glutamate secretion {GO:0014047}; Golgi to plasma membrane protein transport {GO:0043001}; long-term synaptic potentiation {GO:0060291}; membrane fusion {GO:0061025}; membrane organization {GO:0061024}; neurotransmitter secretion {GO:0007269}; positive regulation of intracellular protein transport {GO:0090316}; post-Golgi vesicle-mediated transport {GO:0006892}; protein transport {GO:0015031}; protein-containing complex assembly {GO:0065003}; regulation of delayed rectifier potassium channel activity {GO:1902259}; regulation of exocytosis {GO:0017157}; regulation of vesicle-mediated transport {GO:0060627}; response to glucose {GO:0009749}; synaptic vesicle exocytosis {GO:0016079}; vesicle-mediated transport {GO:0016192}</t>
  </si>
  <si>
    <t>cell junction {GO:0030054}; clathrin-coated vesicle {GO:0030136}; clathrin-coated vesicle membrane {GO:0030665}; clathrin-sculpted gamma-aminobutyric acid transport vesicle membrane {GO:0061202}; clathrin-sculpted glutamate transport vesicle membrane {GO:0060203}; clathrin-sculpted monoamine transport vesicle membrane {GO:0070083}; cytoplasmic vesicle {GO:0031410}; cytosol {GO:0005829}; integral component of plasma membrane {GO:0005887}; intracellular membrane-bounded organelle {GO:0043231}; membrane {GO:0016020}; neuron projection {GO:0043005}; neuron projection terminus {GO:0044306}; perinuclear region of cytoplasm {GO:0048471}; plasma membrane {GO:0005886}; secretory granule {GO:0030141}; secretory granule membrane {GO:0030667}; SNARE complex {GO:0031201}; synapse {GO:0045202}; synaptic vesicle {GO:0008021}; synaptic vesicle membrane {GO:0030672}; synaptobrevin 2-SNAP-25-syntaxin-1a complex {GO:0070044}; synaptobrevin 2-SNAP-25-syntaxin-1a-complexin I complex {GO:0070032}; synaptobrevin 2-SNAP-25-syntaxin-1a-complexin II complex {GO:0070033}; trans-Golgi network {GO:0005802}; vesicle {GO:0031982}; zymogen granule membrane {GO:0042589}</t>
  </si>
  <si>
    <t>calcium-dependent protein binding {GO:0048306}; calmodulin binding {GO:0005516}; phospholipid binding {GO:0005543}; protein self-association {GO:0043621}; SNARE binding {GO:0000149}; syntaxin binding {GO:0019905}; syntaxin-1 binding {GO:0017075}</t>
  </si>
  <si>
    <t>Translocation of SLC2A4 (GLUT4) to the plasma membrane {R-HSA-1445148}; Serotonin Neurotransmitter Release Cycle {R-HSA-181429}; Norepinephrine Neurotransmitter Release Cycle {R-HSA-181430}; trans-Golgi Network Vesicle Budding {R-HSA-199992}; Glutamate Neurotransmitter Release Cycle {R-HSA-210500}; Dopamine Neurotransmitter Release Cycle {R-HSA-212676}; Acetylcholine Neurotransmitter Release Cycle {R-HSA-264642}; Insulin processing {R-HSA-264876}; Regulation of insulin secretion {R-HSA-422356}; Lysosome Vesicle Biogenesis {R-HSA-432720}; Golgi Associated Vesicle Biogenesis {R-HSA-432722}; Other interleukin signaling {R-HSA-449836}; Toxicity of botulinum toxin type D (BoNT/D) {R-HSA-5250955}; Toxicity of botulinum toxin type B (BoNT/B) {R-HSA-5250958}; Toxicity of botulinum toxin type F (BoNT/F) {R-HSA-5250981}; Toxicity of tetanus toxin (TeNT) {R-HSA-5250982}; Toxicity of botulinum toxin type G (BoNT/G) {R-HSA-5250989}; Cargo recognition for clathrin-mediated endocytosis {R-HSA-8856825}; Clathrin-mediated endocytosis {R-HSA-8856828}; GABA synthesis, release, reuptake and degradation {R-HSA-888590}; Insertion of tail-anchored proteins into the endoplasmic reticulum membrane {R-HSA-9609523}</t>
  </si>
  <si>
    <t>E3 ubiquitin/ISG15 ligase TRIM25</t>
  </si>
  <si>
    <t>Estrogen-responsive finger protein; RING finger protein 147; RING-type E3 ubiquitin transferase; RING-type E3 ubiquitin transferase TRIM25; Tripartite motif-containing protein 25; Ubiquitin/ISG15-conjugating enzyme TRIM25; Zinc finger protein 147</t>
  </si>
  <si>
    <t>TRI25_HUMAN</t>
  </si>
  <si>
    <t>Q14258</t>
  </si>
  <si>
    <t>3D-structure; Acetylation; Antiviral defense; Coiled coil; Cytoplasm; Host-virus interaction; Immunity; Innate immunity; Isopeptide bond; Ligase; Metal-binding; Phosphoprotein; Polymorphism; Transferase; Ubl conjugation; Ubl conjugation pathway; Zinc; Zinc-finger</t>
  </si>
  <si>
    <t>cellular response to leukemia inhibitory factor {GO:1990830}; defense response to virus {GO:0051607}; innate immune response {GO:0045087}; interferon-gamma-mediated signaling pathway {GO:0060333}; negative regulation of type I interferon production {GO:0032480}; negative regulation of viral entry into host cell {GO:0046597}; negative regulation of viral release from host cell {GO:1902187}; positive regulation of DNA-binding transcription factor activity {GO:0051091}; positive regulation of I-kappaB kinase/NF-kappaB signaling {GO:0043123}; positive regulation of NF-kappaB transcription factor activity {GO:0051092}; protein monoubiquitination {GO:0006513}; regulation of viral entry into host cell {GO:0046596}; regulation of viral release from host cell {GO:1902186}; response to estrogen {GO:0043627}; response to vitamin D {GO:0033280}; translesion synthesis {GO:0019985}; ubiquitin-dependent ERAD pathway {GO:0030433}; ubiquitin-dependent protein catabolic process {GO:0006511}; viral process {GO:0016032}</t>
  </si>
  <si>
    <t>cytosol {GO:0005829}; nuclear body {GO:0016604}; nucleoplasm {GO:0005654}</t>
  </si>
  <si>
    <t>cadherin binding {GO:0045296}; ligase activity {GO:0016874}; RNA binding {GO:0003723}; ubiquitin protein ligase activity {GO:0061630}; zinc ion binding {GO:0008270}</t>
  </si>
  <si>
    <t>ISG15 antiviral mechanism {R-HSA-1169408}; DDX58/IFIH1-mediated induction of interferon-alpha/beta {R-HSA-168928}; Termination of translesion DNA synthesis {R-HSA-5656169}; Ovarian tumor domain proteases {R-HSA-5689896}; Interferon gamma signaling {R-HSA-877300}; TRAF3-dependent IRF activation pathway {R-HSA-918233}; TRAF6 mediated IRF7 activation {R-HSA-933541}; TRAF6 mediated NF-kB activation {R-HSA-933542}; NF-kB activation through FADD/RIP-1 pathway mediated by caspase-8 and -10 {R-HSA-933543}; Negative regulators of DDX58/IFIH1 signaling {R-HSA-936440}</t>
  </si>
  <si>
    <t>Glyoxalase domain-containing protein 4</t>
  </si>
  <si>
    <t>GLOD4_HUMAN</t>
  </si>
  <si>
    <t>Q9HC38</t>
  </si>
  <si>
    <t>D3DTG9; D3DTH1; Q96B89; Q9H3J8; Q9HC37; Q9NVN1</t>
  </si>
  <si>
    <t>C17orf25</t>
  </si>
  <si>
    <t>3D-structure; Alternative splicing; Mitochondrion; Phosphoprotein; Polymorphism; Repeat</t>
  </si>
  <si>
    <t>extracellular exosome {GO:0070062}; mitochondrion {GO:0005739}</t>
  </si>
  <si>
    <t>Collagen alpha-1(XIV) chain</t>
  </si>
  <si>
    <t>Undulin</t>
  </si>
  <si>
    <t>COEA1_HUMAN</t>
  </si>
  <si>
    <t>Q05707</t>
  </si>
  <si>
    <t>B2RU07; O00260; O00261; O00262; Q05708; Q5XJ18; Q96C67; Q9UDF6</t>
  </si>
  <si>
    <t>UND</t>
  </si>
  <si>
    <t>Alternative splicing; Cell adhesion; Collagen; Disulfide bond; Extracellular matrix; Glycoprotein; Hydroxylation; Polymorphism; Repeat; Secreted; Signal</t>
  </si>
  <si>
    <t>cell-cell adhesion {GO:0098609}; collagen fibril organization {GO:0030199}; extracellular matrix organization {GO:0030198}; growth plate cartilage chondrocyte morphogenesis {GO:0003429}</t>
  </si>
  <si>
    <t>collagen trimer {GO:0005581}; collagen type XIV trimer {GO:0005596}; collagen-containing extracellular matrix {GO:0062023}; endoplasmic reticulum lumen {GO:0005788}; extracellular matrix {GO:0031012}; extracellular region {GO:0005576}; extracellular space {GO:0005615}</t>
  </si>
  <si>
    <t>collagen binding {GO:0005518}; extracellular matrix structural constituent {GO:0005201}; extracellular matrix structural constituent conferring tensile strength {GO:0030020}; protein binding, bridging {GO:0030674}; RNA binding {GO:0003723}</t>
  </si>
  <si>
    <t>Insulin-like growth factor-binding protein 4 (IBP-4; IGF-binding protein 4; IGFBP-4)</t>
  </si>
  <si>
    <t>IBP4_HUMAN</t>
  </si>
  <si>
    <t>P22692</t>
  </si>
  <si>
    <t>A0N9W2; B4E351; Q5U012; Q9UCL6</t>
  </si>
  <si>
    <t>IBP4</t>
  </si>
  <si>
    <t>3D-structure; Alternative splicing; Disulfide bond; Glycoprotein; Growth factor binding; Phosphoprotein; Polymorphism; Secreted; Signal</t>
  </si>
  <si>
    <t>cellular protein metabolic process {GO:0044267}; inflammatory response {GO:0006954}; negative regulation of canonical Wnt signaling pathway {GO:0090090}; positive regulation of insulin-like growth factor receptor signaling pathway {GO:0043568}; positive regulation of MAPK cascade {GO:0043410}; post-translational protein modification {GO:0043687}; regulation of cell growth {GO:0001558}; regulation of glucose metabolic process {GO:0010906}; regulation of insulin-like growth factor receptor signaling pathway {GO:0043567}; signal transduction {GO:0007165}; type B pancreatic cell proliferation {GO:0044342}</t>
  </si>
  <si>
    <t>endoplasmic reticulum lumen {GO:0005788}; extracellular region {GO:0005576}; extracellular space {GO:0005615}</t>
  </si>
  <si>
    <t>Platelet endothelial cell adhesion molecule (PECAM-1)</t>
  </si>
  <si>
    <t>EndoCAM; GPIIA'; PECA1; CD_antigen=CD31</t>
  </si>
  <si>
    <t>PECA1_HUMAN</t>
  </si>
  <si>
    <t>P16284</t>
  </si>
  <si>
    <t>A0A075B738; A8K3S7; D3DU31; Q6LDA9; Q8TBH1; Q96RF5; Q96RF6; Q9NP65; Q9NPB7; Q9NPG9; Q9NQS9; Q9NQT0; Q9NQT1; Q9NQT2</t>
  </si>
  <si>
    <t>3D-structure; Alternative splicing; Cell adhesion; Cell junction; Cell membrane; Disulfide bond; Glycoprotein; Immunoglobulin domain; Lipoprotein; Membrane; Palmitate; Phagocytosis; Phosphoprotein; Polymorphism; Repeat; Signal; Transmembrane; Transmembrane helix</t>
  </si>
  <si>
    <t>angiogenesis {GO:0001525}; cell recognition {GO:0008037}; cell-cell adhesion via plasma-membrane adhesion molecules {GO:0098742}; diapedesis {GO:0050904}; endothelial cell migration {GO:0043542}; endothelial cell morphogenesis {GO:0001886}; endothelial cell-matrix adhesion {GO:0090673}; extracellular matrix organization {GO:0030198}; glomerular endothelium development {GO:0072011}; homophilic cell adhesion via plasma membrane adhesion molecules {GO:0007156}; leukocyte cell-cell adhesion {GO:0007159}; leukocyte migration {GO:0050900}; monocyte extravasation {GO:0035696}; neutrophil degranulation {GO:0043312}; neutrophil extravasation {GO:0072672}; phagocytosis {GO:0006909}; platelet degranulation {GO:0002576}; positive regulation of tyrosine phosphorylation of STAT protein {GO:0042531}; regulation of cell migration {GO:0030334}; Rho protein signal transduction {GO:0007266}; signal transduction {GO:0007165}; wound healing {GO:0042060}</t>
  </si>
  <si>
    <t>cell-cell contact zone {GO:0044291}; external side of plasma membrane {GO:0009897}; extracellular exosome {GO:0070062}; extracellular space {GO:0005615}; integral component of membrane {GO:0016021}; membrane raft {GO:0045121}; plasma membrane {GO:0005886}; platelet alpha granule membrane {GO:0031092}; secretory granule membrane {GO:0030667}; smooth muscle contractile fiber {GO:0030485}</t>
  </si>
  <si>
    <t>Platelet degranulation {R-HSA-114608}; Cell surface interactions at the vascular wall {R-HSA-202733}; PECAM1 interactions {R-HSA-210990}; Integrin cell surface interactions {R-HSA-216083}; Platelet sensitization by LDL {R-HSA-432142}; Neutrophil degranulation {R-HSA-6798695}</t>
  </si>
  <si>
    <t>Neuferricin</t>
  </si>
  <si>
    <t>Cytochrome b5 domain-containing protein 2</t>
  </si>
  <si>
    <t>NEUFC_HUMAN</t>
  </si>
  <si>
    <t>Q8WUJ1</t>
  </si>
  <si>
    <t>B2R7R6; D3DTJ9; I3L1K2</t>
  </si>
  <si>
    <t>Alternative splicing; Neurogenesis; Polymorphism; Secreted; Signal</t>
  </si>
  <si>
    <t>positive regulation of neuron differentiation {GO:0045666}</t>
  </si>
  <si>
    <t>Guanine nucleotide-binding protein subunit alpha-13 (G alpha-13; G-protein subunit alpha-13)</t>
  </si>
  <si>
    <t>GNA13_HUMAN</t>
  </si>
  <si>
    <t>Q14344</t>
  </si>
  <si>
    <t>B2R977; B7Z7R0; F5H1G8; Q8TD70</t>
  </si>
  <si>
    <t>Alternative splicing; Cell membrane; Cytoplasm; GTP-binding; Lipoprotein; Magnesium; Membrane; Metal-binding; Nucleotide-binding; Nucleus; Palmitate; Phosphoprotein; Polymorphism; Transducer</t>
  </si>
  <si>
    <t>activation of phospholipase D activity {GO:0031584}; adenylate cyclase-activating G protein-coupled receptor signaling pathway {GO:0007189}; adenylate cyclase-modulating G protein-coupled receptor signaling pathway {GO:0007188}; branching involved in blood vessel morphogenesis {GO:0001569}; cell differentiation {GO:0030154}; G protein-coupled receptor signaling pathway {GO:0007186}; in utero embryonic development {GO:0001701}; platelet activation {GO:0030168}; positive regulation of apoptotic process {GO:0043065}; positive regulation of cytosolic calcium ion concentration {GO:0007204}; regulation of cell migration {GO:0030334}; regulation of cell shape {GO:0008360}; regulation of small GTPase mediated signal transduction {GO:0051056}; Rho protein signal transduction {GO:0007266}; signal transduction {GO:0007165}</t>
  </si>
  <si>
    <t>brush border membrane {GO:0031526}; cytoplasm {GO:0005737}; cytosol {GO:0005829}; extracellular exosome {GO:0070062}; focal adhesion {GO:0005925}; heterotrimeric G-protein complex {GO:0005834}; melanosome {GO:0042470}; membrane {GO:0016020}; nucleus {GO:0005634}; plasma membrane {GO:0005886}</t>
  </si>
  <si>
    <t>D5 dopamine receptor binding {GO:0031752}; G protein-coupled receptor binding {GO:0001664}; G-protein beta/gamma-subunit complex binding {GO:0031683}; GTP binding {GO:0005525}; GTPase activity {GO:0003924}; metal ion binding {GO:0046872}</t>
  </si>
  <si>
    <t>NRAGE signals death through JNK {R-HSA-193648}; Rho GTPase cycle {R-HSA-194840}; G alpha (12/13) signalling events {R-HSA-416482}; Thromboxane signalling through TP receptor {R-HSA-428930}; Thrombin signalling through proteinase activated receptors (PARs) {R-HSA-456926}</t>
  </si>
  <si>
    <t>Clathrin heavy chain 1</t>
  </si>
  <si>
    <t>Clathrin heavy chain on chromosome 17 (CLH-17)</t>
  </si>
  <si>
    <t>CLH1_HUMAN</t>
  </si>
  <si>
    <t>Q00610</t>
  </si>
  <si>
    <t>D3DU00; Q6N0A0; Q86TF2</t>
  </si>
  <si>
    <t>3D-structure; Acetylation; Alternative splicing; Autophagy; Cell cycle; Cell division; Coated pit; Cytoplasm; Cytoplasmic vesicle; Cytoskeleton; Disease mutation; Membrane; Mental retardation; Mitosis; Phosphoprotein; Repeat</t>
  </si>
  <si>
    <t>Autophagy; Cell cycle; Cell division; Mitosis</t>
  </si>
  <si>
    <t>amyloid-beta clearance by transcytosis {GO:0150093}; antigen processing and presentation of exogenous peptide antigen via MHC class II {GO:0019886}; autophagy {GO:0006914}; cell division {GO:0051301}; clathrin coat assembly {GO:0048268}; clathrin-dependent endocytosis {GO:0072583}; intracellular protein transport {GO:0006886}; low-density lipoprotein particle clearance {GO:0034383}; low-density lipoprotein particle receptor catabolic process {GO:0032802}; membrane organization {GO:0061024}; mitotic cell cycle {GO:0000278}; negative regulation of hyaluronan biosynthetic process {GO:1900126}; negative regulation of protein localization to plasma membrane {GO:1903077}; osteoblast differentiation {GO:0001649}; receptor internalization {GO:0031623}; receptor-mediated endocytosis {GO:0006898}; regulation of mitotic spindle organization {GO:0060236}; retrograde transport, endosome to Golgi {GO:0042147}; transferrin transport {GO:0033572}; Wnt signaling pathway, planar cell polarity pathway {GO:0060071}</t>
  </si>
  <si>
    <t>clathrin coat {GO:0030118}; clathrin coat of coated pit {GO:0030132}; clathrin coat of trans-Golgi network vesicle {GO:0030130}; clathrin complex {GO:0071439}; clathrin-coated endocytic vesicle {GO:0045334}; clathrin-coated endocytic vesicle membrane {GO:0030669}; clathrin-coated vesicle {GO:0030136}; cytosol {GO:0005829}; endolysosome membrane {GO:0036020}; endosome {GO:0005768}; extracellular exosome {GO:0070062}; extracellular vesicle {GO:1903561}; focal adhesion {GO:0005925}; intracellular membrane-bounded organelle {GO:0043231}; lysosome {GO:0005764}; melanosome {GO:0042470}; membrane {GO:0016020}; mitotic spindle {GO:0072686}; mitotic spindle microtubule {GO:1990498}; plasma membrane {GO:0005886}; protein-containing complex {GO:0032991}; spindle {GO:0005819}; trans-Golgi network membrane {GO:0032588}</t>
  </si>
  <si>
    <t>clathrin light chain binding {GO:0032051}; disordered domain specific binding {GO:0097718}; double-stranded RNA binding {GO:0003725}; low-density lipoprotein particle receptor binding {GO:0050750}; protein kinase binding {GO:0019901}; RNA binding {GO:0003723}; structural molecule activity {GO:0005198}; ubiquitin-specific protease binding {GO:1990381}</t>
  </si>
  <si>
    <t>AP-2 complex subunit beta</t>
  </si>
  <si>
    <t>AP105B; Adaptor protein complex AP-2 subunit beta; Adaptor-related protein complex 2 subunit beta; Beta-2-adaptin; Beta-adaptin; Clathrin assembly protein complex 2 beta large chain; Plasma membrane adaptor HA2/AP2 adaptin beta subunit</t>
  </si>
  <si>
    <t>AP2B1_HUMAN</t>
  </si>
  <si>
    <t>P63010</t>
  </si>
  <si>
    <t>A6NJP3; P21851; Q7Z451; Q96J19</t>
  </si>
  <si>
    <t>ADTB2; CLAPB1</t>
  </si>
  <si>
    <t>3D-structure; Acetylation; Alternative splicing; Cell membrane; Coated pit; Endocytosis; Membrane; Phosphoprotein; Protein transport; Transport</t>
  </si>
  <si>
    <t>antigen processing and presentation of exogenous peptide antigen via MHC class II {GO:0019886}; aorta development {GO:0035904}; clathrin coat assembly {GO:0048268}; clathrin-dependent endocytosis {GO:0072583}; coronary vasculature development {GO:0060976}; ephrin receptor signaling pathway {GO:0048013}; low-density lipoprotein particle clearance {GO:0034383}; low-density lipoprotein particle receptor catabolic process {GO:0032802}; membrane organization {GO:0061024}; negative regulation of neuron death {GO:1901215}; positive regulation of endocytosis {GO:0045807}; positive regulation of protein localization to membrane {GO:1905477}; postsynaptic neurotransmitter receptor internalization {GO:0098884}; regulation of defense response to virus by virus {GO:0050690}; synaptic vesicle endocytosis {GO:0048488}; ventricular septum development {GO:0003281}; vesicle-mediated transport {GO:0016192}; Wnt signaling pathway, planar cell polarity pathway {GO:0060071}</t>
  </si>
  <si>
    <t>AP-2 adaptor complex {GO:0030122}; clathrin-coated endocytic vesicle {GO:0045334}; clathrin-coated endocytic vesicle membrane {GO:0030669}; cytosol {GO:0005829}; endocytic vesicle membrane {GO:0030666}; endolysosome membrane {GO:0036020}; glutamatergic synapse {GO:0098978}; membrane {GO:0016020}; plasma membrane {GO:0005886}; postsynapse {GO:0098794}; presynapse {GO:0098793}</t>
  </si>
  <si>
    <t>cargo receptor activity {GO:0038024}; clathrin binding {GO:0030276}; protein-containing complex binding {GO:0044877}; signal sequence binding {GO:0005048}</t>
  </si>
  <si>
    <t>Nef Mediated CD4 Down-regulation {R-HSA-167590}; Retrograde neurotrophin signalling {R-HSA-177504}; Nef Mediated CD8 Down-regulation {R-HSA-182218}; MHC class II antigen presentation {R-HSA-2132295}; EPH-ephrin mediated repulsion of cells {R-HSA-3928665}; Trafficking of GluR2-containing AMPA receptors {R-HSA-416993}; Recycling pathway of L1 {R-HSA-437239}; WNT5A-dependent internalization of FZD4 {R-HSA-5099900}; WNT5A-dependent internalization of FZD2, FZD5 and ROR2 {R-HSA-5140745}; Cargo recognition for clathrin-mediated endocytosis {R-HSA-8856825}; Clathrin-mediated endocytosis {R-HSA-8856828}; VLDLR internalisation and degradation {R-HSA-8866427}; LDL clearance {R-HSA-8964038}</t>
  </si>
  <si>
    <t>Galectin-3-binding protein</t>
  </si>
  <si>
    <t>Basement membrane autoantigen p105; Lectin galactoside-binding soluble 3-binding protein; Mac-2-binding protein (MAC2BP; Mac-2 BP); Tumor-associated antigen 90K</t>
  </si>
  <si>
    <t>LG3BP_HUMAN</t>
  </si>
  <si>
    <t>Q08380</t>
  </si>
  <si>
    <t>Q7M4S0; Q9UCH8; Q9UCH9; Q9UCI0</t>
  </si>
  <si>
    <t>M2BP</t>
  </si>
  <si>
    <t>3D-structure; Cell adhesion; Disulfide bond; Extracellular matrix; Glycoprotein; Secreted; Signal</t>
  </si>
  <si>
    <t>cell adhesion {GO:0007155}; cellular defense response {GO:0006968}; platelet degranulation {GO:0002576}; signal transduction {GO:0007165}</t>
  </si>
  <si>
    <t>blood microparticle {GO:0072562}; collagen-containing extracellular matrix {GO:0062023}; extracellular exosome {GO:0070062}; extracellular region {GO:0005576}; extracellular space {GO:0005615}; membrane {GO:0016020}; platelet dense granule lumen {GO:0031089}</t>
  </si>
  <si>
    <t>Septin-9</t>
  </si>
  <si>
    <t>MLL septin-like fusion protein MSF-A (MLL septin-like fusion protein); Ovarian/Breast septin (Ov/Br septin); Septin D1</t>
  </si>
  <si>
    <t>SEPT9_HUMAN</t>
  </si>
  <si>
    <t>Q9UHD8</t>
  </si>
  <si>
    <t>A8K2V3; B3KPM0; B4DTL9; B4E0N2; B4E274; B7Z654; Q96QF3; Q96QF4; Q96QF5; Q9HA04; Q9UG40; Q9Y5W4</t>
  </si>
  <si>
    <t>KIAA0991; MSF</t>
  </si>
  <si>
    <t>3D-structure; Acetylation; Alternative splicing; Cell cycle; Cell division; Chromosomal rearrangement; Cytoplasm; Cytoskeleton; Disease mutation; GTP-binding; Nucleotide-binding; Phosphoprotein; Polymorphism</t>
  </si>
  <si>
    <t>cytoskeleton-dependent cytokinesis {GO:0061640}; positive regulation of non-motile cilium assembly {GO:1902857}; protein heterooligomerization {GO:0051291}</t>
  </si>
  <si>
    <t>actin cytoskeleton {GO:0015629}; axoneme {GO:0005930}; cytoplasm {GO:0005737}; microtubule {GO:0005874}; microtubule cytoskeleton {GO:0015630}; non-motile cilium {GO:0097730}; perinuclear region of cytoplasm {GO:0048471}; septin complex {GO:0031105}; septin ring {GO:0005940}; stress fiber {GO:0001725}</t>
  </si>
  <si>
    <t>Sodium/glucose cotransporter 5 (Na(+)/glucose cotransporter 5)</t>
  </si>
  <si>
    <t>Solute carrier family 5 member 10</t>
  </si>
  <si>
    <t>SC5AA_HUMAN</t>
  </si>
  <si>
    <t>A0PJK1</t>
  </si>
  <si>
    <t>A8MUC9; B4DPI0; B7WPR4; Q6P5X0; Q8IXM4; Q96LQ1</t>
  </si>
  <si>
    <t>SGLT5</t>
  </si>
  <si>
    <t>Alternative splicing; Cell membrane; Glycoprotein; Ion transport; Membrane; Phosphoprotein; Polymorphism; Sodium; Sodium transport; Transmembrane; Transmembrane helix; Transport</t>
  </si>
  <si>
    <t>glucose:sodium symporter activity {GO:0005412}; solute:sodium symporter activity {GO:0015370}</t>
  </si>
  <si>
    <t>Unconventional myosin-Id</t>
  </si>
  <si>
    <t>MYO1D_HUMAN</t>
  </si>
  <si>
    <t>O94832</t>
  </si>
  <si>
    <t>A6H8V3; Q8NHP9</t>
  </si>
  <si>
    <t>KIAA0727</t>
  </si>
  <si>
    <t>Acetylation; Actin-binding; ATP-binding; Calmodulin-binding; Cell projection; Cytoplasm; Endosome; Motor protein; Myosin; Nucleotide-binding; Phosphoprotein; Polymorphism; Protein transport; Repeat; Transport</t>
  </si>
  <si>
    <t>Cell projection; Cytoplasm; Endosome</t>
  </si>
  <si>
    <t>cellular localization {GO:0051641}; early endosome to recycling endosome transport {GO:0061502}; forebrain development {GO:0030900}; negative regulation of phosphatase activity {GO:0010923}; protein transport {GO:0015031}</t>
  </si>
  <si>
    <t>apical dendrite {GO:0097440}; axolemma {GO:0030673}; axon {GO:0030424}; basolateral plasma membrane {GO:0016323}; brush border {GO:0005903}; cell cortex {GO:0005938}; cytoplasmic vesicle {GO:0031410}; cytosol {GO:0005829}; early endosome {GO:0005769}; endosome {GO:0005768}; extracellular exosome {GO:0070062}; myelin sheath {GO:0043209}; myosin complex {GO:0016459}; neuron projection {GO:0043005}; neuronal cell body {GO:0043025}; perikaryon {GO:0043204}; plasma membrane raft {GO:0044853}; smooth endoplasmic reticulum {GO:0005790}</t>
  </si>
  <si>
    <t>actin filament binding {GO:0051015}; actin-dependent ATPase activity {GO:0030898}; ATP binding {GO:0005524}; calcium-dependent protein binding {GO:0048306}; calmodulin binding {GO:0005516}; microfilament motor activity {GO:0000146}; protein domain specific binding {GO:0019904}</t>
  </si>
  <si>
    <t>C-X-C motif chemokine 16</t>
  </si>
  <si>
    <t>Scavenger receptor for phosphatidylserine and oxidized low density lipoprotein (SR-PSOX); Small-inducible cytokine B16; Transmembrane chemokine CXCL16</t>
  </si>
  <si>
    <t>CXL16_HUMAN</t>
  </si>
  <si>
    <t>Q9H2A7</t>
  </si>
  <si>
    <t>A0N0N4; A8K7U9; B2RCB0; Q8TC80; Q96K63; Q9BXD6; Q9H2F6</t>
  </si>
  <si>
    <t>SCYB16; SRPSOX</t>
  </si>
  <si>
    <t>Cell membrane; Chemotaxis; Cytokine; Disulfide bond; Glycoprotein; Membrane; Polymorphism; Secreted; Signal; Transmembrane; Transmembrane helix</t>
  </si>
  <si>
    <t>Chemotaxis</t>
  </si>
  <si>
    <t>chemotaxis {GO:0006935}; G protein-coupled receptor signaling pathway {GO:0007186}; positive regulation of cell growth {GO:0030307}; positive regulation of cell migration {GO:0030335}; receptor-mediated endocytosis {GO:0006898}; response to cytokine {GO:0034097}; response to interferon-gamma {GO:0034341}; response to tumor necrosis factor {GO:0034612}; T cell chemotaxis {GO:0010818}</t>
  </si>
  <si>
    <t>extracellular region {GO:0005576}; extracellular space {GO:0005615}; integral component of membrane {GO:0016021}; membrane {GO:0016020}; plasma membrane {GO:0005886}</t>
  </si>
  <si>
    <t>chemokine activity {GO:0008009}; low-density lipoprotein particle receptor activity {GO:0005041}; scavenger receptor activity {GO:0005044}</t>
  </si>
  <si>
    <t>Chemokine receptors bind chemokines {R-HSA-380108}; G alpha (i) signalling events {R-HSA-418594}</t>
  </si>
  <si>
    <t>Dynein light chain 2, cytoplasmic</t>
  </si>
  <si>
    <t>8 kDa dynein light chain b (DLC8b); Dynein light chain LC8-type 2</t>
  </si>
  <si>
    <t>DYL2_HUMAN</t>
  </si>
  <si>
    <t>Q96FJ2</t>
  </si>
  <si>
    <t>B2R5B4</t>
  </si>
  <si>
    <t>DLC2</t>
  </si>
  <si>
    <t>3D-structure; Cytoplasm; Cytoskeleton; Dynein; Microtubule; Motor protein; Transport</t>
  </si>
  <si>
    <t>antigen processing and presentation of exogenous peptide antigen via MHC class II {GO:0019886}; endoplasmic reticulum to Golgi vesicle-mediated transport {GO:0006888}; intraciliary transport involved in cilium assembly {GO:0035735}; macroautophagy {GO:0016236}; positive regulation of ATP-dependent microtubule motor activity, plus-end-directed {GO:2000582}</t>
  </si>
  <si>
    <t>centrosome {GO:0005813}; ciliary tip {GO:0097542}; cilium {GO:0005929}; cytoplasmic dynein complex {GO:0005868}; cytosol {GO:0005829}; dynein complex {GO:0030286}; glutamatergic synapse {GO:0098978}; membrane {GO:0016020}; microtubule {GO:0005874}; myosin V complex {GO:0031475}; nucleus {GO:0005634}; plasma membrane {GO:0005886}; postsynapse {GO:0098794}; postsynaptic density {GO:0014069}</t>
  </si>
  <si>
    <t>dynein intermediate chain binding {GO:0045505}; dynein light intermediate chain binding {GO:0051959}; motor activity {GO:0003774}; protein heterodimerization activity {GO:0046982}; protein homodimerization activity {GO:0042803}; scaffold protein binding {GO:0097110}</t>
  </si>
  <si>
    <t>Activation of BMF and translocation to mitochondria {R-HSA-139910}; Amplification of signal from unattached kinetochores via a MAD2 inhibitory signal {R-HSA-141444}; Macroautophagy {R-HSA-1632852}; MHC class II antigen presentation {R-HSA-2132295}; Separation of Sister Chromatids {R-HSA-2467813}; Resolution of Sister Chromatid Cohesion {R-HSA-2500257}; HSP90 chaperone cycle for steroid hormone receptors (SHR) {R-HSA-3371497}; Intraflagellar transport {R-HSA-5620924}; RHO GTPases Activate Formins {R-HSA-5663220}; COPI-mediated anterograde transport {R-HSA-6807878}; COPI-independent Golgi-to-ER retrograde traffic {R-HSA-6811436}; Mitotic Prometaphase {R-HSA-68877}</t>
  </si>
  <si>
    <t>Envoplakin</t>
  </si>
  <si>
    <t>210 kDa cornified envelope precursor protein; 210 kDa paraneoplastic pemphigus antigen; p210</t>
  </si>
  <si>
    <t>EVPL_HUMAN</t>
  </si>
  <si>
    <t>Q92817</t>
  </si>
  <si>
    <t>A0AUV5</t>
  </si>
  <si>
    <t>3D-structure; Cell junction; Coiled coil; Cytoplasm; Cytoskeleton; Keratinization; Phosphoprotein; Polymorphism; Repeat; SH3 domain</t>
  </si>
  <si>
    <t>cornification {GO:0070268}; epidermis development {GO:0008544}; intermediate filament cytoskeleton organization {GO:0045104}; keratinocyte differentiation {GO:0030216}; peptide cross-linking {GO:0018149}; wound healing {GO:0042060}</t>
  </si>
  <si>
    <t>cornified envelope {GO:0001533}; cytoplasm {GO:0005737}; cytosol {GO:0005829}; desmosome {GO:0030057}; extracellular exosome {GO:0070062}; intermediate filament cytoskeleton {GO:0045111}; membrane {GO:0016020}</t>
  </si>
  <si>
    <t>cadherin binding {GO:0045296}; intermediate filament binding {GO:0019215}; protein binding, bridging {GO:0030674}; structural molecule activity {GO:0005198}</t>
  </si>
  <si>
    <t>Vesicle-fusing ATPase</t>
  </si>
  <si>
    <t>N-ethylmaleimide-sensitive fusion protein (NEM-sensitive fusion protein); Vesicular-fusion protein NSF</t>
  </si>
  <si>
    <t>NSF_HUMAN</t>
  </si>
  <si>
    <t>P46459</t>
  </si>
  <si>
    <t>A8K2D9; B4DFA2; Q8N6D7; Q9UKZ2</t>
  </si>
  <si>
    <t>Acetylation; Alternative splicing; ATP-binding; Cytoplasm; Hydrolase; Magnesium; Metal-binding; Nucleotide-binding; Phosphoprotein; Polymorphism; Protein transport; Repeat; Transport</t>
  </si>
  <si>
    <t>COPII vesicle coating {GO:0048208}; endoplasmic reticulum to Golgi vesicle-mediated transport {GO:0006888}; exocytosis {GO:0006887}; Golgi to plasma membrane protein transport {GO:0043001}; Golgi vesicle docking {GO:0048211}; intracellular protein transport {GO:0006886}; plasma membrane fusion {GO:0045026}; positive regulation of protein catabolic process {GO:0045732}; positive regulation of receptor recycling {GO:0001921}; potassium ion transport {GO:0006813}; regulation of exocytosis {GO:0017157}; retrograde vesicle-mediated transport, Golgi to endoplasmic reticulum {GO:0006890}; SNARE complex disassembly {GO:0035494}; vesicle-mediated transport {GO:0016192}</t>
  </si>
  <si>
    <t>cytosol {GO:0005829}; dendritic shaft {GO:0043198}; Golgi membrane {GO:0000139}; Golgi stack {GO:0005795}; lysosomal membrane {GO:0005765}; plasma membrane {GO:0005886}; postsynaptic density {GO:0014069}</t>
  </si>
  <si>
    <t>ATP binding {GO:0005524}; ATPase activity {GO:0016887}; ATPase activity, coupled {GO:0042623}; ionotropic glutamate receptor binding {GO:0035255}; metal ion binding {GO:0046872}; PDZ domain binding {GO:0030165}; protein kinase binding {GO:0019901}; protein-containing complex binding {GO:0044877}; Rab GTPase binding {GO:0017137}; SNARE binding {GO:0000149}; syntaxin-1 binding {GO:0017075}</t>
  </si>
  <si>
    <t>COPII-mediated vesicle transport {R-HSA-204005}; Trafficking of GluR2-containing AMPA receptors {R-HSA-416993}; COPI-mediated anterograde transport {R-HSA-6807878}; COPI-dependent Golgi-to-ER retrograde traffic {R-HSA-6811434}; Intra-Golgi traffic {R-HSA-6811438}; Retrograde transport at the Trans-Golgi-Network {R-HSA-6811440}</t>
  </si>
  <si>
    <t>Myosin-4</t>
  </si>
  <si>
    <t>Myosin heavy chain 2b (MyHC-2b); Myosin heavy chain 4; Myosin heavy chain IIb (MyHC-IIb); Myosin heavy chain, skeletal muscle, fetal</t>
  </si>
  <si>
    <t>MYH4_HUMAN</t>
  </si>
  <si>
    <t>Q9Y623</t>
  </si>
  <si>
    <t>Actin-binding; ATP-binding; Calmodulin-binding; Coiled coil; Cytoplasm; Methylation; Motor protein; Muscle protein; Myosin; Nucleotide-binding; Phosphoprotein; Polymorphism; Thick filament</t>
  </si>
  <si>
    <t>actin filament-based movement {GO:0030048}; ATP metabolic process {GO:0046034}; muscle contraction {GO:0006936}; muscle filament sliding {GO:0030049}</t>
  </si>
  <si>
    <t>muscle myosin complex {GO:0005859}; myofibril {GO:0030016}; myosin filament {GO:0032982}; sarcomere {GO:0030017}</t>
  </si>
  <si>
    <t>actin filament binding {GO:0051015}; ATP binding {GO:0005524}; ATPase activity {GO:0016887}; calmodulin binding {GO:0005516}; double-stranded RNA binding {GO:0003725}; microfilament motor activity {GO:0000146}</t>
  </si>
  <si>
    <t>Myosin-8</t>
  </si>
  <si>
    <t>Myosin heavy chain 8; Myosin heavy chain, skeletal muscle, perinatal (MyHC-perinatal)</t>
  </si>
  <si>
    <t>MYH8_HUMAN</t>
  </si>
  <si>
    <t>P13535</t>
  </si>
  <si>
    <t>Q14910</t>
  </si>
  <si>
    <t>Actin-binding; ATP-binding; Calmodulin-binding; Coiled coil; Cytoplasm; Disease mutation; Methylation; Motor protein; Muscle protein; Myosin; Nucleotide-binding; Phosphoprotein; Polymorphism; Thick filament</t>
  </si>
  <si>
    <t>ATP metabolic process {GO:0046034}; muscle contraction {GO:0006936}; muscle filament sliding {GO:0030049}; skeletal muscle contraction {GO:0003009}</t>
  </si>
  <si>
    <t>cytoplasm {GO:0005737}; cytosol {GO:0005829}; muscle myosin complex {GO:0005859}; myosin filament {GO:0032982}; sarcomere {GO:0030017}</t>
  </si>
  <si>
    <t>actin filament binding {GO:0051015}; ATP binding {GO:0005524}; ATPase activity {GO:0016887}; calmodulin binding {GO:0005516}; microfilament motor activity {GO:0000146}; myosin light chain binding {GO:0032027}; myosin phosphatase activity {GO:0017018}; structural constituent of muscle {GO:0008307}</t>
  </si>
  <si>
    <t>Myosin-1</t>
  </si>
  <si>
    <t>Myosin heavy chain 1; Myosin heavy chain 2x (MyHC-2x); Myosin heavy chain IIx/d (MyHC-IIx/d); Myosin heavy chain, skeletal muscle, adult 1</t>
  </si>
  <si>
    <t>MYH1_HUMAN</t>
  </si>
  <si>
    <t>P12882</t>
  </si>
  <si>
    <t>Q14CA4; Q9Y622</t>
  </si>
  <si>
    <t>A band {GO:0031672}; cytoplasmic ribonucleoprotein granule {GO:0036464}; intercalated disc {GO:0014704}; muscle myosin complex {GO:0005859}; myosin filament {GO:0032982}</t>
  </si>
  <si>
    <t>actin filament binding {GO:0051015}; ATP binding {GO:0005524}; calmodulin binding {GO:0005516}; motor activity {GO:0003774}</t>
  </si>
  <si>
    <t>Myosin-13</t>
  </si>
  <si>
    <t>Myosin heavy chain 13; Myosin heavy chain, skeletal muscle, extraocular (MyHC-EO); Myosin heavy chain, skeletal muscle, laryngeal (MyHC-IIL); Superfast myosin</t>
  </si>
  <si>
    <t>MYH13_HUMAN</t>
  </si>
  <si>
    <t>Q9UKX3</t>
  </si>
  <si>
    <t>O95252; Q9P0U8</t>
  </si>
  <si>
    <t>Actin-binding; ATP-binding; Calmodulin-binding; Coiled coil; Cytoplasm; Methylation; Motor protein; Muscle protein; Myosin; Nucleotide-binding; Polymorphism; Thick filament</t>
  </si>
  <si>
    <t>cellular response to starvation {GO:0009267}; muscle contraction {GO:0006936}</t>
  </si>
  <si>
    <t>extracellular exosome {GO:0070062}; muscle myosin complex {GO:0005859}; myofibril {GO:0030016}; myosin filament {GO:0032982}</t>
  </si>
  <si>
    <t>actin filament binding {GO:0051015}; ATP binding {GO:0005524}; calmodulin binding {GO:0005516}; microfilament motor activity {GO:0000146}</t>
  </si>
  <si>
    <t>Very long-chain specific acyl-CoA dehydrogenase, mitochondrial (VLCAD)</t>
  </si>
  <si>
    <t>ACADV_HUMAN</t>
  </si>
  <si>
    <t>P49748</t>
  </si>
  <si>
    <t>B4DEB6; F5H2A9; O76056; Q8WUL0</t>
  </si>
  <si>
    <t>VLCAD</t>
  </si>
  <si>
    <t>3D-structure; Acetylation; Alternative splicing; Cardiomyopathy; Disease mutation; FAD; Fatty acid metabolism; Flavoprotein; Lipid metabolism; Membrane; Mitochondrion; Mitochondrion inner membrane; Oxidoreductase; Phosphoprotein; Polymorphism; S-nitrosylation; Transit peptide</t>
  </si>
  <si>
    <t>energy derivation by oxidation of organic compounds {GO:0015980}; epithelial cell differentiation {GO:0030855}; fatty acid beta-oxidation {GO:0006635}; fatty acid beta-oxidation using acyl-CoA dehydrogenase {GO:0033539}; IRE1-mediated unfolded protein response {GO:0036498}; negative regulation of fatty acid biosynthetic process {GO:0045717}; negative regulation of fatty acid oxidation {GO:0046322}; regulation of cholesterol metabolic process {GO:0090181}; response to cold {GO:0009409}; temperature homeostasis {GO:0001659}</t>
  </si>
  <si>
    <t>cytosol {GO:0005829}; mitochondrial inner membrane {GO:0005743}; mitochondrial matrix {GO:0005759}; mitochondrial membrane {GO:0031966}; mitochondrial nucleoid {GO:0042645}; mitochondrion {GO:0005739}; nucleolus {GO:0005730}; nucleus {GO:0005634}</t>
  </si>
  <si>
    <t>fatty-acyl-CoA binding {GO:0000062}; flavin adenine dinucleotide binding {GO:0050660}; long-chain-acyl-CoA dehydrogenase activity {GO:0004466}; very-long-chain-acyl-CoA dehydrogenase activity {GO:0017099}</t>
  </si>
  <si>
    <t>XBP1(S) activates chaperone genes {R-HSA-381038}; Beta oxidation of palmitoyl-CoA to myristoyl-CoA {R-HSA-77305}</t>
  </si>
  <si>
    <t>Thioredoxin domain-containing protein 17</t>
  </si>
  <si>
    <t>14 kDa thioredoxin-related protein (TRP14); Protein 42-9-9; Thioredoxin-like protein 5</t>
  </si>
  <si>
    <t>TXD17_HUMAN</t>
  </si>
  <si>
    <t>Q9BRA2</t>
  </si>
  <si>
    <t>A8K7E8</t>
  </si>
  <si>
    <t>TXNL5</t>
  </si>
  <si>
    <t>3D-structure; Acetylation; Cytoplasm; Disulfide bond; Redox-active center</t>
  </si>
  <si>
    <t>tumor necrosis factor-mediated signaling pathway {GO:0033209}</t>
  </si>
  <si>
    <t>peroxidase activity {GO:0004601}; protein-disulfide reductase activity {GO:0047134}</t>
  </si>
  <si>
    <t>cAMP-dependent protein kinase type I-alpha regulatory subunit</t>
  </si>
  <si>
    <t>Tissue-specific extinguisher 1 (TSE1)</t>
  </si>
  <si>
    <t>KAP0_HUMAN</t>
  </si>
  <si>
    <t>P10644</t>
  </si>
  <si>
    <t>K7ER48; Q567S7</t>
  </si>
  <si>
    <t>PKR1; PRKAR1; TSE1</t>
  </si>
  <si>
    <t>3D-structure; Acetylation; Alternative splicing; cAMP; cAMP-binding; Cell membrane; Cushing syndrome; Disease mutation; Disulfide bond; Membrane; Nucleotide-binding; Phosphoprotein; Repeat</t>
  </si>
  <si>
    <t>activation of protein kinase A activity {GO:0034199}; blood coagulation {GO:0007596}; cardiac muscle cell proliferation {GO:0060038}; cellular response to glucagon stimulus {GO:0071377}; cGMP-mediated signaling {GO:0019934}; female meiotic nuclear division {GO:0007143}; intracellular signal transduction {GO:0035556}; mesoderm formation {GO:0001707}; negative regulation of activated T cell proliferation {GO:0046007}; negative regulation of cAMP-dependent protein kinase activity {GO:2000480}; negative regulation of meiotic nuclear division {GO:0045835}; regulation of transcription by RNA polymerase II {GO:0006357}; renal water homeostasis {GO:0003091}; sarcomere organization {GO:0045214}</t>
  </si>
  <si>
    <t>cAMP-dependent protein kinase complex {GO:0005952}; ciliary base {GO:0097546}; cytoplasm {GO:0005737}; cytosol {GO:0005829}; glutamatergic synapse {GO:0098978}; membrane {GO:0016020}; neuromuscular junction {GO:0031594}; nucleotide-activated protein kinase complex {GO:0031588}; plasma membrane raft {GO:0044853}; protein-containing complex {GO:0032991}</t>
  </si>
  <si>
    <t>PKA activation {R-HSA-163615}; PKA activation in glucagon signalling {R-HSA-164378}; DARPP-32 events {R-HSA-180024}; Glucagon-like Peptide-1 (GLP1) regulates insulin secretion {R-HSA-381676}; Vasopressin regulates renal water homeostasis via Aquaporins {R-HSA-432040}; CREB1 phosphorylation through the activation of Adenylate Cyclase {R-HSA-442720}; Hedgehog 'off' state {R-HSA-5610787}; Factors involved in megakaryocyte development and platelet production {R-HSA-983231}</t>
  </si>
  <si>
    <t>Flotillin-2</t>
  </si>
  <si>
    <t>Epidermal surface antigen (ESA); Membrane component chromosome 17 surface marker 1</t>
  </si>
  <si>
    <t>FLOT2_HUMAN</t>
  </si>
  <si>
    <t>Q14254</t>
  </si>
  <si>
    <t>ESA1; M17S1</t>
  </si>
  <si>
    <t>Cell adhesion; Cell membrane; Endosome; Lipoprotein; Membrane; Myristate; Palmitate; Phosphoprotein; Polymorphism</t>
  </si>
  <si>
    <t>anterograde dendritic transport {GO:0098937}; cell adhesion {GO:0007155}; epidermis development {GO:0008544}; membrane raft assembly {GO:0001765}; negative regulation of amyloid precursor protein catabolic process {GO:1902992}; negative regulation of gene expression {GO:0010629}; positive regulation of establishment of T cell polarity {GO:1903905}; positive regulation of NF-kappaB transcription factor activity {GO:0051092}; protein localization to plasma membrane {GO:0072659}; protein localization to plasma membrane raft {GO:0044860}; protein stabilization {GO:0050821}; regulation of myoblast differentiation {GO:0045661}; regulation of postsynaptic membrane neurotransmitter receptor levels {GO:0099072}</t>
  </si>
  <si>
    <t>acrosomal membrane {GO:0002080}; anchored component of presynaptic active zone membrane {GO:0099029}; basolateral plasma membrane {GO:0016323}; caveola {GO:0005901}; cell-cell adherens junction {GO:0005913}; cell-cell contact zone {GO:0044291}; cytoplasmic vesicle {GO:0031410}; dendrite cytoplasm {GO:0032839}; endocytic vesicle {GO:0030139}; endosome {GO:0005768}; extracellular exosome {GO:0070062}; flotillin complex {GO:0016600}; focal adhesion {GO:0005925}; glutamatergic synapse {GO:0098978}; lamellipodium {GO:0030027}; membrane {GO:0016020}; perinuclear region of cytoplasm {GO:0048471}; plasma membrane {GO:0005886}; uropod {GO:0001931}; vesicle {GO:0031982}</t>
  </si>
  <si>
    <t>ionotropic glutamate receptor binding {GO:0035255}; protease binding {GO:0002020}; protein heterodimerization activity {GO:0046982}</t>
  </si>
  <si>
    <t>Synaptic adhesion-like molecules {R-HSA-8849932}</t>
  </si>
  <si>
    <t>Collagen triple helix repeat-containing protein 1</t>
  </si>
  <si>
    <t>Protein NMTC1</t>
  </si>
  <si>
    <t>CTHR1_HUMAN</t>
  </si>
  <si>
    <t>Q96CG8</t>
  </si>
  <si>
    <t>G3V141; Q6UW91; Q8IX63</t>
  </si>
  <si>
    <t>Alternative splicing; Collagen; Extracellular matrix; Glycoprotein; Polymorphism; Secreted; Signal</t>
  </si>
  <si>
    <t>cell migration {GO:0016477}; cochlea morphogenesis {GO:0090103}; establishment of planar polarity involved in neural tube closure {GO:0090177}; inner ear receptor cell stereocilium organization {GO:0060122}; negative regulation of canonical Wnt signaling pathway {GO:0090090}; ossification involved in bone remodeling {GO:0043932}; positive regulation of osteoblast differentiation {GO:0045669}; positive regulation of osteoblast proliferation {GO:0033690}; positive regulation of protein binding {GO:0032092}; Wnt signaling pathway, planar cell polarity pathway {GO:0060071}</t>
  </si>
  <si>
    <t>collagen trimer {GO:0005581}; collagen-containing extracellular matrix {GO:0062023}; cytoplasm {GO:0005737}; extracellular region {GO:0005576}; extracellular space {GO:0005615}</t>
  </si>
  <si>
    <t>frizzled binding {GO:0005109}; Wnt-protein binding {GO:0017147}</t>
  </si>
  <si>
    <t>Importin subunit beta-1</t>
  </si>
  <si>
    <t>Importin-90; Karyopherin subunit beta-1; Nuclear factor p97; Pore targeting complex 97 kDa subunit (PTAC97)</t>
  </si>
  <si>
    <t>IMB1_HUMAN</t>
  </si>
  <si>
    <t>Q14974</t>
  </si>
  <si>
    <t>B7ZAV6; D3DTT3; Q14637; Q53XN2; Q96J27</t>
  </si>
  <si>
    <t>NTF97</t>
  </si>
  <si>
    <t>3D-structure; Acetylation; ADP-ribosylation; Alternative splicing; Cytoplasm; Host-virus interaction; Nucleus; Phosphoprotein; Protein transport; Repeat; Transport</t>
  </si>
  <si>
    <t>apoptotic DNA fragmentation {GO:0006309}; astral microtubule organization {GO:0030953}; establishment of mitotic spindle localization {GO:0040001}; establishment of protein localization {GO:0045184}; intracellular transport of virus {GO:0075733}; mitotic chromosome movement towards spindle pole {GO:0007079}; mitotic metaphase plate congression {GO:0007080}; mitotic spindle assembly {GO:0090307}; modulation by virus of host process {GO:0019054}; neutrophil degranulation {GO:0043312}; NLS-bearing protein import into nucleus {GO:0006607}; protein import into nucleus {GO:0006606}; Ran protein signal transduction {GO:0031291}; regulation of cholesterol biosynthetic process {GO:0045540}; ribosomal protein import into nucleus {GO:0006610}</t>
  </si>
  <si>
    <t>cytoplasm {GO:0005737}; cytoplasmic stress granule {GO:0010494}; cytosol {GO:0005829}; endoplasmic reticulum tubular network {GO:0071782}; extracellular exosome {GO:0070062}; extracellular region {GO:0005576}; ficolin-1-rich granule lumen {GO:1904813}; host cell {GO:0043657}; membrane {GO:0016020}; nuclear envelope {GO:0005635}; nuclear membrane {GO:0031965}; nuclear periphery {GO:0034399}; nuclear pore {GO:0005643}; nucleoplasm {GO:0005654}; specific granule lumen {GO:0035580}</t>
  </si>
  <si>
    <t>enzyme binding {GO:0019899}; Hsp90 protein binding {GO:0051879}; importin-alpha family protein binding {GO:0061676}; nuclear import signal receptor activity {GO:0061608}; nuclear localization sequence binding {GO:0008139}; protein domain specific binding {GO:0019904}; Ran GTPase binding {GO:0008536}; RNA binding {GO:0003723}; zinc ion binding {GO:0008270}</t>
  </si>
  <si>
    <t>ISG15 antiviral mechanism {R-HSA-1169408}; Apoptosis induced DNA fragmentation {R-HSA-140342}; Regulation of cholesterol biosynthesis by SREBP (SREBF) {R-HSA-1655829}; Transport of Ribonucleoproteins into the Host Nucleus {R-HSA-168271}; NS1 Mediated Effects on Host Pathways {R-HSA-168276}; Nuclear import of Rev protein {R-HSA-180746}; Neutrophil degranulation {R-HSA-6798695}</t>
  </si>
  <si>
    <t>Somatomedin-B</t>
  </si>
  <si>
    <t>S-protein; Serum-spreading factor; V75</t>
  </si>
  <si>
    <t>VTNC_HUMAN</t>
  </si>
  <si>
    <t>P04004</t>
  </si>
  <si>
    <t>B2R7G0; P01141; Q9BSH7</t>
  </si>
  <si>
    <t>3D-structure; Cell adhesion; Disulfide bond; Glycoprotein; Heparin-binding; Phosphoprotein; Polymorphism; Repeat; Secreted; Signal; Sulfation</t>
  </si>
  <si>
    <t>cell adhesion {GO:0007155}; cell adhesion mediated by integrin {GO:0033627}; cell migration {GO:0016477}; cell population proliferation {GO:0008283}; cell-matrix adhesion {GO:0007160}; endodermal cell differentiation {GO:0035987}; extracellular matrix organization {GO:0030198}; immune response {GO:0006955}; liver regeneration {GO:0097421}; negative regulation of blood coagulation {GO:0030195}; negative regulation of endopeptidase activity {GO:0010951}; oligodendrocyte differentiation {GO:0048709}; positive regulation of cell-substrate adhesion {GO:0010811}; positive regulation of peptidyl-tyrosine phosphorylation {GO:0050731}; positive regulation of protein binding {GO:0032092}; positive regulation of receptor-mediated endocytosis {GO:0048260}; positive regulation of smooth muscle cell migration {GO:0014911}; positive regulation of vascular endothelial growth factor receptor signaling pathway {GO:0030949}; positive regulation of wound healing {GO:0090303}; protein polymerization {GO:0051258}; regulation of complement activation {GO:0030449}; smooth muscle cell-matrix adhesion {GO:0061302}</t>
  </si>
  <si>
    <t>alphav-beta3 integrin-vitronectin complex {GO:0071062}; basement membrane {GO:0005604}; blood microparticle {GO:0072562}; collagen-containing extracellular matrix {GO:0062023}; endoplasmic reticulum {GO:0005783}; extracellular exosome {GO:0070062}; extracellular region {GO:0005576}; extracellular space {GO:0005615}; Golgi lumen {GO:0005796}; intracellular membrane-bounded organelle {GO:0043231}; rough endoplasmic reticulum lumen {GO:0048237}</t>
  </si>
  <si>
    <t>collagen binding {GO:0005518}; extracellular matrix binding {GO:0050840}; extracellular matrix structural constituent {GO:0005201}; heparin binding {GO:0008201}; identical protein binding {GO:0042802}; integrin binding {GO:0005178}; polysaccharide binding {GO:0030247}; scavenger receptor activity {GO:0005044}</t>
  </si>
  <si>
    <t>Molecules associated with elastic fibres {R-HSA-2129379}; Integrin cell surface interactions {R-HSA-216083}; Syndecan interactions {R-HSA-3000170}; ECM proteoglycans {R-HSA-3000178}; Regulation of Complement cascade {R-HSA-977606}</t>
  </si>
  <si>
    <t>TOM1-like protein 2</t>
  </si>
  <si>
    <t>Target of Myb-like protein 2</t>
  </si>
  <si>
    <t>TM1L2_HUMAN</t>
  </si>
  <si>
    <t>Q6ZVM7</t>
  </si>
  <si>
    <t>B7Z2L7; B7Z7F4; Q86V61; Q8TDE7; Q96M88</t>
  </si>
  <si>
    <t>Alternative splicing; Phosphoprotein; Protein transport; Transport</t>
  </si>
  <si>
    <t>intracellular protein transport {GO:0006886}; negative regulation of mitotic nuclear division {GO:0045839}; signal transduction {GO:0007165}</t>
  </si>
  <si>
    <t>cell {GO:0005623}; extracellular exosome {GO:0070062}</t>
  </si>
  <si>
    <t>Centromere protein V (CENP-V)</t>
  </si>
  <si>
    <t>Nuclear protein p30; Proline-rich protein 6</t>
  </si>
  <si>
    <t>CENPV_HUMAN</t>
  </si>
  <si>
    <t>Q7Z7K6</t>
  </si>
  <si>
    <t>B2RPK2; Q3L8N5; Q8NFH6</t>
  </si>
  <si>
    <t>PRR6</t>
  </si>
  <si>
    <t>Alternative splicing; Cell cycle; Cell division; Centromere; Chromosome; Cytoplasm; Cytoskeleton; Kinetochore; Metal-binding; Methylation; Mitosis; Nucleus; Phosphoprotein; Zinc</t>
  </si>
  <si>
    <t>Centromere; Chromosome; Cytoplasm; Cytoskeleton; Kinetochore; Nucleus</t>
  </si>
  <si>
    <t>ameboidal-type cell migration {GO:0001667}; cell cycle {GO:0007049}; cell division {GO:0051301}; centromere complex assembly {GO:0034508}; pericentric heterochromatin assembly {GO:0031508}; positive regulation of cytokinesis {GO:0032467}; regulation of chromosome organization {GO:0033044}</t>
  </si>
  <si>
    <t>condensed chromosome kinetochore {GO:0000777}; cytoplasm {GO:0005737}; kinetochore {GO:0000776}; microtubule cytoskeleton {GO:0015630}; nucleus {GO:0005634}; spindle midzone {GO:0051233}</t>
  </si>
  <si>
    <t>carbon-sulfur lyase activity {GO:0016846}</t>
  </si>
  <si>
    <t>Sarcoplasmic/endoplasmic reticulum calcium ATPase 3 (SERCA3; SR Ca(2+)-ATPase 3)</t>
  </si>
  <si>
    <t>Calcium pump 3</t>
  </si>
  <si>
    <t>AT2A3_HUMAN</t>
  </si>
  <si>
    <t>Q93084</t>
  </si>
  <si>
    <t>A8MZG0; D3DTJ8; O60900; O60901; O75501; O75502; Q16115; Q6JHX1; Q8TEX5; Q8TEX6</t>
  </si>
  <si>
    <t>Acetylation; Alternative splicing; ATP-binding; Calcium; Calcium transport; Endoplasmic reticulum; Ion transport; Magnesium; Membrane; Metal-binding; Nucleotide-binding; Nucleus; Phosphoprotein; Polymorphism; Sarcoplasmic reticulum; Translocase; Transmembrane; Transmembrane helix; Transport</t>
  </si>
  <si>
    <t>Endoplasmic reticulum; Membrane; Nucleus; Sarcoplasmic reticulum</t>
  </si>
  <si>
    <t>calcium ion transmembrane transport {GO:0070588}; calcium ion transport {GO:0006816}; cellular calcium ion homeostasis {GO:0006874}; ion transmembrane transport {GO:0034220}; regulation of cardiac conduction {GO:1903779}</t>
  </si>
  <si>
    <t>endoplasmic reticulum {GO:0005783}; endoplasmic reticulum membrane {GO:0005789}; integral component of membrane {GO:0016021}; nuclear membrane {GO:0031965}; platelet dense tubular network membrane {GO:0031095}; sarcoplasmic reticulum {GO:0016529}; sarcoplasmic reticulum membrane {GO:0033017}</t>
  </si>
  <si>
    <t>ATP binding {GO:0005524}; calcium-transporting ATPase activity {GO:0005388}; metal ion binding {GO:0046872}; proton-exporting ATPase activity, phosphorylative mechanism {GO:0008553}</t>
  </si>
  <si>
    <t>Myosin-2</t>
  </si>
  <si>
    <t>Myosin heavy chain 2; Myosin heavy chain 2a (MyHC-2a); Myosin heavy chain IIa (MyHC-IIa); Myosin heavy chain, skeletal muscle, adult 2</t>
  </si>
  <si>
    <t>MYH2_HUMAN</t>
  </si>
  <si>
    <t>Q9UKX2</t>
  </si>
  <si>
    <t>A0AVL4; Q14322; Q16229; Q567P6; Q86T56</t>
  </si>
  <si>
    <t>MYHSA2</t>
  </si>
  <si>
    <t>Actin-binding; Alternative splicing; ATP-binding; Calmodulin-binding; Coiled coil; Cytoplasm; Disease mutation; Methylation; Motor protein; Muscle protein; Myosin; Nucleotide-binding; Phosphoprotein; Polymorphism; Thick filament</t>
  </si>
  <si>
    <t>Fc-gamma receptor signaling pathway involved in phagocytosis {GO:0038096}; muscle contraction {GO:0006936}; muscle filament sliding {GO:0030049}</t>
  </si>
  <si>
    <t>cytosol {GO:0005829}; muscle myosin complex {GO:0005859}; myofibril {GO:0030016}; myosin filament {GO:0032982}; protein-containing complex {GO:0032991}; sarcomere {GO:0030017}</t>
  </si>
  <si>
    <t>Regulation of actin dynamics for phagocytic cup formation {R-HSA-2029482}</t>
  </si>
  <si>
    <t>Puromycin-sensitive aminopeptidase (PSA)</t>
  </si>
  <si>
    <t>Cytosol alanyl aminopeptidase (AAP-S)</t>
  </si>
  <si>
    <t>PSA_HUMAN</t>
  </si>
  <si>
    <t>P55786</t>
  </si>
  <si>
    <t>B7Z463; Q6P145; Q9NP16; Q9UEM2</t>
  </si>
  <si>
    <t>Alternative splicing; Aminopeptidase; Cytoplasm; Hydrolase; Metal-binding; Metalloprotease; Nitration; Nucleus; Protease; Zinc</t>
  </si>
  <si>
    <t>Nitration</t>
  </si>
  <si>
    <t>cellular response to hypoxia {GO:0071456}; peptide catabolic process {GO:0043171}; positive regulation of protein targeting to mitochondrion {GO:1903955}; protein polyubiquitination {GO:0000209}; proteolysis {GO:0006508}</t>
  </si>
  <si>
    <t>70 kDa lysosomal alpha-glucosidase</t>
  </si>
  <si>
    <t>Acid maltase; Aglucosidase alfa</t>
  </si>
  <si>
    <t>LYAG_HUMAN</t>
  </si>
  <si>
    <t>P10253</t>
  </si>
  <si>
    <t>Q09GN4; Q14351; Q16302; Q8IWE7</t>
  </si>
  <si>
    <t>3D-structure; Disease mutation; Disulfide bond; Glycogen storage disease; Glycoprotein; Glycosidase; Hydrolase; Lysosome; Membrane; Phosphoprotein; Polymorphism; Signal</t>
  </si>
  <si>
    <t>cardiac muscle contraction {GO:0060048}; diaphragm contraction {GO:0002086}; glucose metabolic process {GO:0006006}; glycogen catabolic process {GO:0005980}; heart morphogenesis {GO:0003007}; locomotory behavior {GO:0007626}; lysosome organization {GO:0007040}; maltose metabolic process {GO:0000023}; muscle cell cellular homeostasis {GO:0046716}; neuromuscular process controlling balance {GO:0050885}; neuromuscular process controlling posture {GO:0050884}; neutrophil degranulation {GO:0043312}; regulation of the force of heart contraction {GO:0002026}; sucrose metabolic process {GO:0005985}; tissue development {GO:0009888}; vacuolar sequestering {GO:0043181}</t>
  </si>
  <si>
    <t>azurophil granule membrane {GO:0035577}; extracellular exosome {GO:0070062}; ficolin-1-rich granule membrane {GO:0101003}; lysosomal lumen {GO:0043202}; lysosomal membrane {GO:0005765}; lysosome {GO:0005764}; membrane {GO:0016020}; plasma membrane {GO:0005886}; tertiary granule membrane {GO:0070821}</t>
  </si>
  <si>
    <t>alpha-1,4-glucosidase activity {GO:0004558}; carbohydrate binding {GO:0030246}; maltose alpha-glucosidase activity {GO:0032450}</t>
  </si>
  <si>
    <t>Glycogen storage disease type II (GAA) {R-HSA-5357609}; Neutrophil degranulation {R-HSA-6798695}; Glycogen breakdown (glycogenolysis) {R-HSA-70221}</t>
  </si>
  <si>
    <t>Acyl-CoA synthetase family member 2, mitochondrial</t>
  </si>
  <si>
    <t>ACSF2_HUMAN</t>
  </si>
  <si>
    <t>Q96CM8</t>
  </si>
  <si>
    <t>B4DFQ6; B4DHT5; B4DUF5; Q9H7G2</t>
  </si>
  <si>
    <t>Acetylation; Alternative splicing; ATP-binding; Fatty acid metabolism; Ligase; Lipid metabolism; Mitochondrion; Nucleotide-binding; Polymorphism; Transit peptide</t>
  </si>
  <si>
    <t>acyl-CoA metabolic process {GO:0006637}; fatty acid metabolic process {GO:0006631}</t>
  </si>
  <si>
    <t>acyl-CoA ligase activity {GO:0003996}; ATP binding {GO:0005524}</t>
  </si>
  <si>
    <t>ATP synthase subunit d, mitochondrial (ATPase subunit d)</t>
  </si>
  <si>
    <t>ATP synthase peripheral stalk subunit d</t>
  </si>
  <si>
    <t>ATP5H_HUMAN</t>
  </si>
  <si>
    <t>O75947</t>
  </si>
  <si>
    <t>B2R5L6; Q9H3J4</t>
  </si>
  <si>
    <t>ATP5H</t>
  </si>
  <si>
    <t>Acetylation; Alternative splicing; CF(0); Hydrogen ion transport; Ion transport; Membrane; Mitochondrion; Mitochondrion inner membrane; Transport</t>
  </si>
  <si>
    <t>ATP biosynthetic process {GO:0006754}; ATP hydrolysis coupled cation transmembrane transport {GO:0099132}; ATP synthesis coupled proton transport {GO:0015986}; cellular response to peptide {GO:1901653}; cristae formation {GO:0042407}; mitochondrial ATP synthesis coupled proton transport {GO:0042776}</t>
  </si>
  <si>
    <t>mitochondrial inner membrane {GO:0005743}; mitochondrial proton-transporting ATP synthase complex {GO:0005753}; mitochondrial proton-transporting ATP synthase, stator stalk {GO:0000274}; mitochondrion {GO:0005739}; nucleoplasm {GO:0005654}</t>
  </si>
  <si>
    <t>protein-containing complex binding {GO:0044877}; proton transmembrane transporter activity {GO:0015078}; transmembrane transporter activity {GO:0022857}</t>
  </si>
  <si>
    <t>Carboxypeptidase D</t>
  </si>
  <si>
    <t>Metallocarboxypeptidase D; gp180</t>
  </si>
  <si>
    <t>CBPD_HUMAN</t>
  </si>
  <si>
    <t>O75976</t>
  </si>
  <si>
    <t>B7Z7T9; B7ZAU4; F5GZH6; O15377; Q86SH9; Q86XE6</t>
  </si>
  <si>
    <t>3D-structure; Alternative splicing; Carboxypeptidase; Cell membrane; Glycoprotein; Hydrolase; Lipoprotein; Membrane; Metal-binding; Metalloprotease; Palmitate; Phosphoprotein; Polymorphism; Protease; Repeat; Signal; Transmembrane; Transmembrane helix; Zinc</t>
  </si>
  <si>
    <t>Glycoprotein; Lipoprotein; Palmitate; Phosphoprotein</t>
  </si>
  <si>
    <t>extracellular exosome {GO:0070062}; extracellular space {GO:0005615}; integral component of membrane {GO:0016021}; membrane {GO:0016020}; plasma membrane {GO:0005886}</t>
  </si>
  <si>
    <t>metallocarboxypeptidase activity {GO:0004181}; serine-type carboxypeptidase activity {GO:0004185}; zinc ion binding {GO:0008270}</t>
  </si>
  <si>
    <t>Oleoyl-[acyl-carrier-protein] hydrolase</t>
  </si>
  <si>
    <t>FAS_HUMAN</t>
  </si>
  <si>
    <t>P49327</t>
  </si>
  <si>
    <t>Q13479; Q16702; Q4LE83; Q6P4U5; Q6SS02; Q969R1; Q96C68; Q96IT0</t>
  </si>
  <si>
    <t>FAS</t>
  </si>
  <si>
    <t>3D-structure; Acetylation; Cytoplasm; Fatty acid biosynthesis; Fatty acid metabolism; Hydrolase; Isopeptide bond; Lipid biosynthesis; Lipid metabolism; Lyase; Multifunctional enzyme; NAD; NADP; Oxidoreductase; Phosphopantetheine; Phosphoprotein; Polymorphism; Pyridoxal phosphate; Transferase; Ubl conjugation</t>
  </si>
  <si>
    <t>Fatty acid biosynthesis; Fatty acid metabolism; Lipid biosynthesis; Lipid metabolism</t>
  </si>
  <si>
    <t>NAD; NADP; Pyridoxal phosphate</t>
  </si>
  <si>
    <t>Hydrolase; Lyase; Multifunctional enzyme; Oxidoreductase; Transferase</t>
  </si>
  <si>
    <t>Acetylation; Isopeptide bond; Phosphopantetheine; Phosphoprotein; Ubl conjugation</t>
  </si>
  <si>
    <t>acetyl-CoA metabolic process {GO:0006084}; cellular response to interleukin-4 {GO:0071353}; establishment of endothelial intestinal barrier {GO:0090557}; ether lipid biosynthetic process {GO:0008611}; fatty acid biosynthetic process {GO:0006633}; fatty acid metabolic process {GO:0006631}; fatty-acyl-CoA biosynthetic process {GO:0046949}; mammary gland development {GO:0030879}; monocyte differentiation {GO:0030224}; neutrophil differentiation {GO:0030223}; osteoblast differentiation {GO:0001649}; positive regulation of cellular metabolic process {GO:0031325}; regulation of cholesterol biosynthetic process {GO:0045540}</t>
  </si>
  <si>
    <t>cytosol {GO:0005829}; extracellular exosome {GO:0070062}; glycogen granule {GO:0042587}; Golgi apparatus {GO:0005794}; melanosome {GO:0042470}; membrane {GO:0016020}; plasma membrane {GO:0005886}</t>
  </si>
  <si>
    <t>(3R)-hydroxymyristoyl-[acyl-carrier-protein] dehydratase activity {GO:0008659}; 3-hydroxyoctanoyl-[acyl-carrier-protein] dehydratase activity {GO:0047451}; 3-oxo-glutaryl-[acp] methyl ester reductase activity {GO:0102131}; 3-oxo-pimeloyl-[acp] methyl ester reductase activity {GO:0102132}; 3-oxoacyl-[acyl-carrier-protein] reductase (NADPH) activity {GO:0004316}; 3-oxoacyl-[acyl-carrier-protein] synthase activity {GO:0004315}; [acyl-carrier-protein] S-acetyltransferase activity {GO:0004313}; [acyl-carrier-protein] S-malonyltransferase activity {GO:0004314}; cadherin binding {GO:0045296}; drug binding {GO:0008144}; enoyl-[acyl-carrier-protein] reductase (NADPH, A-specific) activity {GO:0047117}; myristoyl-[acyl-carrier-protein] hydrolase activity {GO:0016295}; NADPH binding {GO:0070402}; oleoyl-[acyl-carrier-protein] hydrolase activity {GO:0004320}; palmitoyl-[acyl-carrier-protein] hydrolase activity {GO:0016296}; phosphopantetheine binding {GO:0031177}; protein homodimerization activity {GO:0042803}; RNA binding {GO:0003723}</t>
  </si>
  <si>
    <t>ChREBP activates metabolic gene expression {R-HSA-163765}; Vitamin B5 (pantothenate) metabolism {R-HSA-199220}; Activation of gene expression by SREBF (SREBP) {R-HSA-2426168}; Fatty acyl-CoA biosynthesis {R-HSA-75105}</t>
  </si>
  <si>
    <t>Signal transducer and activator of transcription 3</t>
  </si>
  <si>
    <t>Acute-phase response factor</t>
  </si>
  <si>
    <t>STAT3_HUMAN</t>
  </si>
  <si>
    <t>P40763</t>
  </si>
  <si>
    <t>A8K7B8; K7ENL3; O14916; Q9BW54</t>
  </si>
  <si>
    <t>3D-structure; Acetylation; Activator; Alternative splicing; Cytoplasm; Diabetes mellitus; Disease mutation; DNA-binding; Dwarfism; Host-virus interaction; Nucleus; Phosphoprotein; Polymorphism; SH2 domain; Transcription; Transcription regulation</t>
  </si>
  <si>
    <t>Diabetes mellitus; Disease mutation; Dwarfism</t>
  </si>
  <si>
    <t>SH2 domain</t>
  </si>
  <si>
    <t>acute-phase response {GO:0006953}; aging {GO:0007568}; astrocyte differentiation {GO:0048708}; cell population proliferation {GO:0008283}; cellular response to cytokine stimulus {GO:0071345}; cellular response to hormone stimulus {GO:0032870}; cellular response to leptin stimulus {GO:0044320}; cellular response to organic cyclic compound {GO:0071407}; cytokine-mediated signaling pathway {GO:0019221}; defense response {GO:0006952}; eating behavior {GO:0042755}; energy homeostasis {GO:0097009}; eye photoreceptor cell differentiation {GO:0001754}; glucose homeostasis {GO:0042593}; growth hormone receptor signaling pathway {GO:0060396}; growth hormone receptor signaling pathway via JAK-STAT {GO:0060397}; inflammatory response {GO:0006954}; interleukin-15-mediated signaling pathway {GO:0035723}; interleukin-21-mediated signaling pathway {GO:0038114}; interleukin-23-mediated signaling pathway {GO:0038155}; interleukin-27-mediated signaling pathway {GO:0070106}; interleukin-35-mediated signaling pathway {GO:0070757}; interleukin-6-mediated signaling pathway {GO:0070102}; interleukin-7-mediated signaling pathway {GO:0038111}; interleukin-9-mediated signaling pathway {GO:0038113}; intracellular receptor signaling pathway {GO:0030522}; leptin-mediated signaling pathway {GO:0033210}; miRNA mediated inhibition of translation {GO:0035278}; modulation of chemical synaptic transmission {GO:0050804}; mRNA transcription by RNA polymerase II {GO:0042789}; negative regulation of apoptotic process {GO:0043066}; negative regulation of autophagy {GO:0010507}; negative regulation of cell population proliferation {GO:0008285}; negative regulation of glycolytic process {GO:0045820}; negative regulation of hydrogen peroxide biosynthetic process {GO:0010730}; negative regulation of neuron death {GO:1901215}; negative regulation of neuron migration {GO:2001223}; negative regulation of stem cell differentiation {GO:2000737}; negative regulation of transcription by RNA polymerase II {GO:0000122}; nervous system development {GO:0007399}; phosphorylation {GO:0016310}; positive regulation of angiogenesis {GO:0045766}; positive regulation of ATP biosynthetic process {GO:2001171}; positive regulation of cell migration {GO:0030335}; positive regulation of erythrocyte differentiation {GO:0045648}; positive regulation of gene expression {GO:0010628}; positive regulation of gene silencing by miRNA {GO:2000637}; positive regulation of growth factor dependent skeletal muscle satellite cell proliferation {GO:1902728}; positive regulation of interleukin-6 biosynthetic process {GO:0045410}; positive regulation of metalloendopeptidase activity {GO:1904685}; positive regulation of NF-kappaB transcription factor activity {GO:0051092}; positive regulation of Notch signaling pathway {GO:0045747}; positive regulation of pri-miRNA transcription by RNA polymerase II {GO:1902895}; positive regulation of transcription by RNA polymerase II {GO:0045944}; positive regulation of transcription, DNA-templated {GO:0045893}; positive regulation of tyrosine phosphorylation of STAT protein {GO:0042531}; positive regulation of vascular endothelial cell proliferation {GO:1905564}; postsynapse to nucleus signaling pathway {GO:0099527}; protein import into nucleus {GO:0006606}; radial glial cell differentiation {GO:0060019}; receptor signaling pathway via JAK-STAT {GO:0007259}; regulation of cell cycle {GO:0051726}; regulation of cell population proliferation {GO:0042127}; regulation of feeding behavior {GO:0060259}; regulation of mitochondrial membrane permeability {GO:0046902}; regulation of multicellular organism growth {GO:0040014}; regulation of transcription by RNA polymerase II {GO:0006357}; regulation of transcription, DNA-templated {GO:0006355}; response to estradiol {GO:0032355}; response to ethanol {GO:0045471}; response to leptin {GO:0044321}; response to peptide hormone {GO:0043434}; sexual reproduction {GO:0019953}; signal transduction {GO:0007165}; somatic stem cell population maintenance {GO:0035019}; T-helper 17 cell lineage commitment {GO:0072540}; temperature homeostasis {GO:0001659}; viral process {GO:0016032}</t>
  </si>
  <si>
    <t>cytoplasm {GO:0005737}; cytosol {GO:0005829}; glutamatergic synapse {GO:0098978}; mitochondrial inner membrane {GO:0005743}; nuclear chromatin {GO:0000790}; nucleoplasm {GO:0005654}; nucleus {GO:0005634}; plasma membrane {GO:0005886}; postsynaptic density {GO:0014069}; RNA polymerase II transcription factor complex {GO:0090575}; Schaffer collateral - CA1 synapse {GO:0098685}; transcription factor complex {GO:0005667}</t>
  </si>
  <si>
    <t>CCR5 chemokine receptor binding {GO:0031730}; chromatin DNA binding {GO:0031490}; DNA binding {GO:0003677}; DNA-binding transcription activator activity, RNA polymerase II-specific {GO:0001228}; DNA-binding transcription factor activity {GO:0003700}; DNA-binding transcription factor activity, RNA polymerase II-specific {GO:0000981}; glucocorticoid receptor binding {GO:0035259}; identical protein binding {GO:0042802}; nuclear receptor activity {GO:0004879}; protein dimerization activity {GO:0046983}; protein homodimerization activity {GO:0042803}; protein kinase binding {GO:0019901}; protein phosphatase binding {GO:0019903}; RNA polymerase II proximal promoter sequence-specific DNA binding {GO:0000978}; RNA polymerase II repressing transcription factor binding {GO:0001103}; transcription factor binding {GO:0008134}; transcription regulatory region DNA binding {GO:0044212}</t>
  </si>
  <si>
    <t>Interleukin-6 signaling {R-HSA-1059683}; BH3-only proteins associate with and inactivate anti-apoptotic BCL-2 members {R-HSA-111453}; Interleukin-7 signaling {R-HSA-1266695}; Signaling by SCF-KIT {R-HSA-1433557}; Signaling by cytosolic FGFR1 fusion mutants {R-HSA-1839117}; Downstream signal transduction {R-HSA-186763}; Signalling to STAT3 {R-HSA-198745}; Senescence-Associated Secretory Phenotype (SASP) {R-HSA-2559582}; Signaling by Leptin {R-HSA-2586552}; POU5F1 (OCT4), SOX2, NANOG activate genes related to proliferation {R-HSA-2892247}; Association of TriC/CCT with target proteins during biosynthesis {R-HSA-390471}; Transcriptional regulation of pluripotent stem cells {R-HSA-452723}; Interleukin-10 signaling {R-HSA-6783783}; Interleukin-4 and Interleukin-13 signaling {R-HSA-6785807}; PTK6 Activates STAT3 {R-HSA-8849474}; Interleukin-20 family signaling {R-HSA-8854691}; MET activates STAT3 {R-HSA-8875791}; Interleukin-15 signaling {R-HSA-8983432}; Interleukin-35 Signalling {R-HSA-8984722}; Interleukin-9 signaling {R-HSA-8985947}; Interleukin-37 signaling {R-HSA-9008059}; Interleukin-23 signaling {R-HSA-9020933}; Interleukin-27 signaling {R-HSA-9020956}; Interleukin-21 signaling {R-HSA-9020958}; Growth hormone receptor signaling {R-HSA-982772}</t>
  </si>
  <si>
    <t>Esterase OVCA2</t>
  </si>
  <si>
    <t>Ovarian cancer-associated gene 2 protein</t>
  </si>
  <si>
    <t>OVCA2_HUMAN</t>
  </si>
  <si>
    <t>Q8WZ82</t>
  </si>
  <si>
    <t>Q86XN3; Q8IW87; Q9UCX9</t>
  </si>
  <si>
    <t>response to retinoic acid {GO:0032526}</t>
  </si>
  <si>
    <t>Adapter molecule crk</t>
  </si>
  <si>
    <t>Proto-oncogene c-Crk; p38</t>
  </si>
  <si>
    <t>CRK_HUMAN</t>
  </si>
  <si>
    <t>P46108</t>
  </si>
  <si>
    <t>A8MWE8; B0LPE8; D3DTH6; Q96GA9; Q96HJ0</t>
  </si>
  <si>
    <t>3D-structure; Acetylation; Alternative splicing; Cell membrane; Cytoplasm; Membrane; Phosphoprotein; Proto-oncogene; Repeat; SH2 domain; SH3 domain</t>
  </si>
  <si>
    <t>activation of GTPase activity {GO:0090630}; activation of MAPKK activity {GO:0000186}; cell chemotaxis {GO:0060326}; cellular response to endothelin {GO:1990859}; cellular response to insulin-like growth factor stimulus {GO:1990314}; cellular response to nerve growth factor stimulus {GO:1990090}; cellular response to nitric oxide {GO:0071732}; cellular response to transforming growth factor beta stimulus {GO:0071560}; cerebellar neuron development {GO:0098749}; cerebral cortex development {GO:0021987}; cytokine-mediated signaling pathway {GO:0019221}; dendrite development {GO:0016358}; ephrin receptor signaling pathway {GO:0048013}; establishment of cell polarity {GO:0030010}; Fc-gamma receptor signaling pathway involved in phagocytosis {GO:0038096}; helper T cell diapedesis {GO:0035685}; hippocampus development {GO:0021766}; lipid metabolic process {GO:0006629}; negative regulation of cell motility {GO:2000146}; negative regulation of natural killer cell mediated cytotoxicity {GO:0045953}; negative regulation of wound healing {GO:0061045}; neuron migration {GO:0001764}; positive regulation of cell growth {GO:0030307}; positive regulation of smooth muscle cell migration {GO:0014911}; positive regulation of substrate adhesion-dependent cell spreading {GO:1900026}; reelin-mediated signaling pathway {GO:0038026}; regulation of actin cytoskeleton organization {GO:0032956}; regulation of cell adhesion mediated by integrin {GO:0033628}; regulation of cell shape {GO:0008360}; regulation of dendrite development {GO:0050773}; regulation of GTPase activity {GO:0043087}; regulation of protein binding {GO:0043393}; regulation of Rac protein signal transduction {GO:0035020}; regulation of signal transduction {GO:0009966}; regulation of T cell migration {GO:2000404}; regulation of transcription by RNA polymerase II {GO:0006357}; response to cholecystokinin {GO:0061847}; response to hepatocyte growth factor {GO:0035728}; response to hydrogen peroxide {GO:0042542}; response to yeast {GO:0001878}; vascular endothelial growth factor receptor signaling pathway {GO:0048010}</t>
  </si>
  <si>
    <t>actin cytoskeleton {GO:0015629}; cytoplasm {GO:0005737}; cytosol {GO:0005829}; extracellular exosome {GO:0070062}; membrane raft {GO:0045121}; nucleus {GO:0005634}; plasma membrane {GO:0005886}; protein-containing complex {GO:0032991}</t>
  </si>
  <si>
    <t>cytoskeletal protein binding {GO:0008092}; ephrin receptor binding {GO:0046875}; insulin-like growth factor receptor binding {GO:0005159}; phosphotyrosine residue binding {GO:0001784}; protein phosphorylated amino acid binding {GO:0045309}; protein self-association {GO:0043621}; protein tyrosine kinase binding {GO:1990782}; scaffold protein binding {GO:0097110}; SH2 domain binding {GO:0042169}; SH3 domain binding {GO:0017124}; SH3/SH2 adaptor activity {GO:0005070}</t>
  </si>
  <si>
    <t>ARMS-mediated activation {R-HSA-170984}; Downstream signal transduction {R-HSA-186763}; Regulation of actin dynamics for phagocytic cup formation {R-HSA-2029482}; p130Cas linkage to MAPK signaling for integrins {R-HSA-372708}; VEGFA-VEGFR2 Pathway {R-HSA-4420097}; PTK6 Regulates RHO GTPases, RAS GTPase and MAP kinases {R-HSA-8849471}; MET activates RAP1 and RAC1 {R-HSA-8875555}; MET receptor recycling {R-HSA-8875656}; Regulation of signaling by CBL {R-HSA-912631}</t>
  </si>
  <si>
    <t>14-3-3 protein epsilon (14-3-3E)</t>
  </si>
  <si>
    <t>1433E_HUMAN</t>
  </si>
  <si>
    <t>P62258</t>
  </si>
  <si>
    <t>B3KY71; D3DTH5; P29360; P42655; Q4VJB6; Q53XZ5; Q63631; Q7M4R4</t>
  </si>
  <si>
    <t>3D-structure; Acetylation; Alternative splicing; Cytoplasm; Host-virus interaction; Isopeptide bond; Nucleus; Phosphoprotein; Ubl conjugation</t>
  </si>
  <si>
    <t>cellular response to heat {GO:0034605}; cerebral cortex development {GO:0021987}; ciliary basal body-plasma membrane docking {GO:0097711}; G2/M transition of mitotic cell cycle {GO:0000086}; hippo signaling {GO:0035329}; hippocampus development {GO:0021766}; intracellular signal transduction {GO:0035556}; MAPK cascade {GO:0000165}; membrane organization {GO:0061024}; membrane repolarization during cardiac muscle cell action potential {GO:0086013}; negative regulation of calcium ion export across plasma membrane {GO:1905913}; negative regulation of calcium ion transmembrane transporter activity {GO:1901020}; negative regulation of cysteine-type endopeptidase activity involved in apoptotic process {GO:0043154}; negative regulation of peptidyl-serine dephosphorylation {GO:1902309}; neuron migration {GO:0001764}; positive regulation of protein export from nucleus {GO:0046827}; positive regulation of protein insertion into mitochondrial membrane involved in apoptotic signaling pathway {GO:1900740}; protein localization to nucleus {GO:0034504}; protein targeting {GO:0006605}; regulation of cellular response to heat {GO:1900034}; regulation of cytosolic calcium ion concentration {GO:0051480}; regulation of G2/M transition of mitotic cell cycle {GO:0010389}; regulation of heart rate by cardiac conduction {GO:0086091}; regulation of heart rate by hormone {GO:0003064}; regulation of membrane repolarization {GO:0060306}; regulation of postsynaptic membrane neurotransmitter receptor levels {GO:0099072}; regulation of potassium ion transmembrane transporter activity {GO:1901016}; substantia nigra development {GO:0021762}; viral process {GO:0016032}</t>
  </si>
  <si>
    <t>central region of growth cone {GO:0090724}; cytoplasm {GO:0005737}; cytosol {GO:0005829}; extracellular exosome {GO:0070062}; focal adhesion {GO:0005925}; glutamatergic synapse {GO:0098978}; kinesin complex {GO:0005871}; melanosome {GO:0042470}; membrane {GO:0016020}; mitochondrion {GO:0005739}; nucleus {GO:0005634}</t>
  </si>
  <si>
    <t>cadherin binding {GO:0045296}; calcium channel regulator activity {GO:0005246}; enzyme binding {GO:0019899}; histone deacetylase binding {GO:0042826}; identical protein binding {GO:0042802}; ion channel binding {GO:0044325}; MHC class II protein complex binding {GO:0023026}; phosphoprotein binding {GO:0051219}; phosphoserine residue binding {GO:0050815}; potassium channel regulator activity {GO:0015459}; protein domain specific binding {GO:0019904}; protein heterodimerization activity {GO:0046982}; RNA binding {GO:0003723}; scaffold protein binding {GO:0097110}; ubiquitin protein ligase binding {GO:0031625}</t>
  </si>
  <si>
    <t>Activation of BAD and translocation to mitochondria {R-HSA-111447}; Translocation of SLC2A4 (GLUT4) to the plasma membrane {R-HSA-1445148}; Signaling by Hippo {R-HSA-2028269}; NADE modulates death signalling {R-HSA-205025}; Regulation of PLK1 Activity at G2/M Transition {R-HSA-2565942}; Regulation of HSF1-mediated heat shock response {R-HSA-3371453}; HSF1 activation {R-HSA-3371511}; Loss of Nlp from mitotic centrosomes {R-HSA-380259}; Recruitment of mitotic centrosome proteins and complexes {R-HSA-380270}; Loss of proteins required for interphase microtubule organization from the centrosome {R-HSA-380284}; Recruitment of NuMA to mitotic centrosomes {R-HSA-380320}; Anchoring of the basal body to the plasma membrane {R-HSA-5620912}; RHO GTPases activate PKNs {R-HSA-5625740}; TP53 Regulates Metabolic Genes {R-HSA-5628897}; Chk1/Chk2(Cds1) mediated inactivation of Cyclin B:Cdk1 complex {R-HSA-75035}; AURKA Activation by TPX2 {R-HSA-8854518}; Deregulated CDK5 triggers multiple neurodegenerative pathways in Alzheimer's disease models {R-HSA-8862803}; RAB GEFs exchange GTP for GDP on RABs {R-HSA-8876198}</t>
  </si>
  <si>
    <t>60S ribosomal protein L19</t>
  </si>
  <si>
    <t>Large ribosomal subunit protein eL19</t>
  </si>
  <si>
    <t>RL19_HUMAN</t>
  </si>
  <si>
    <t>P84098</t>
  </si>
  <si>
    <t>B2R4K2; P14118; P22908; Q502Y6; Q7Z6E4</t>
  </si>
  <si>
    <t>3D-structure; Citrullination; Isopeptide bond; Phosphoprotein; Ribonucleoprotein; Ribosomal protein; Ubl conjugation</t>
  </si>
  <si>
    <t>Citrullination; Isopeptide bond; Phosphoprotein; Ubl conjugation</t>
  </si>
  <si>
    <t>cytosol {GO:0005829}; cytosolic large ribosomal subunit {GO:0022625}; focal adhesion {GO:0005925}; membrane {GO:0016020}; polysomal ribosome {GO:0042788}</t>
  </si>
  <si>
    <t>Myb-binding protein 1A</t>
  </si>
  <si>
    <t>MBB1A_HUMAN</t>
  </si>
  <si>
    <t>Q9BQG0</t>
  </si>
  <si>
    <t>Q86VM3; Q9BW49; Q9P0V5; Q9UF99</t>
  </si>
  <si>
    <t>P160</t>
  </si>
  <si>
    <t>Acetylation; Activator; Alternative splicing; Biological rhythms; Citrullination; Cytoplasm; Isopeptide bond; Nucleus; Phosphoprotein; Polymorphism; Repressor; Ribosome biogenesis; Transcription; Transcription regulation; Ubl conjugation</t>
  </si>
  <si>
    <t>Biological rhythms; Ribosome biogenesis; Transcription; Transcription regulation</t>
  </si>
  <si>
    <t>cellular response to glucose starvation {GO:0042149}; circadian regulation of gene expression {GO:0032922}; intrinsic apoptotic signaling pathway by p53 class mediator {GO:0072332}; negative regulation of transcription, DNA-templated {GO:0045892}; osteoblast differentiation {GO:0001649}; positive regulation of anoikis {GO:2000210}; positive regulation of cell cycle arrest {GO:0071158}; positive regulation of gene expression, epigenetic {GO:0045815}; regulation of transcription, DNA-templated {GO:0006355}; respiratory electron transport chain {GO:0022904}; ribosome biogenesis {GO:0042254}</t>
  </si>
  <si>
    <t>cytoplasm {GO:0005737}; intracellular membrane-bounded organelle {GO:0043231}; membrane {GO:0016020}; NLS-dependent protein nuclear import complex {GO:0042564}; nucleolus {GO:0005730}; nucleoplasm {GO:0005654}; nucleus {GO:0005634}</t>
  </si>
  <si>
    <t>E-box binding {GO:0070888}; RNA binding {GO:0003723}; sequence-specific DNA binding {GO:0043565}; transcription corepressor activity {GO:0003714}; transcription factor binding {GO:0008134}</t>
  </si>
  <si>
    <t>B-WICH complex positively regulates rRNA expression {R-HSA-5250924}</t>
  </si>
  <si>
    <t>Proteasome subunit beta type-3</t>
  </si>
  <si>
    <t>Proteasome chain 13; Proteasome component C10-II; Proteasome theta chain</t>
  </si>
  <si>
    <t>PSB3_HUMAN</t>
  </si>
  <si>
    <t>P49720</t>
  </si>
  <si>
    <t>P31147; Q0P6J7; Q96E27</t>
  </si>
  <si>
    <t>3D-structure; Acetylation; Cytoplasm; Host-virus interaction; Hydrolase; Nucleus; Polymorphism; Protease; Proteasome; Threonine protease</t>
  </si>
  <si>
    <t>Pre-mRNA-processing-splicing factor 8</t>
  </si>
  <si>
    <t>220 kDa U5 snRNP-specific protein; PRP8 homolog; Splicing factor Prp8; p220</t>
  </si>
  <si>
    <t>PRP8_HUMAN</t>
  </si>
  <si>
    <t>Q6P2Q9</t>
  </si>
  <si>
    <t>O14547; O75965</t>
  </si>
  <si>
    <t>PRPC8</t>
  </si>
  <si>
    <t>3D-structure; Acetylation; Disease mutation; Methylation; mRNA processing; mRNA splicing; Nucleus; Phosphoprotein; Polymorphism; Retinitis pigmentosa; Ribonucleoprotein; RNA-binding; Spliceosome</t>
  </si>
  <si>
    <t>cellular response to lipopolysaccharide {GO:0071222}; cellular response to tumor necrosis factor {GO:0071356}; mRNA processing {GO:0006397}; mRNA splicing, via spliceosome {GO:0000398}; RNA splicing {GO:0008380}; RNA splicing, via transesterification reactions {GO:0000375}; spliceosomal tri-snRNP complex assembly {GO:0000244}</t>
  </si>
  <si>
    <t>catalytic step 2 spliceosome {GO:0071013}; membrane {GO:0016020}; nuclear speck {GO:0016607}; nucleoplasm {GO:0005654}; nucleus {GO:0005634}; U2-type catalytic step 2 spliceosome {GO:0071007}; U2-type precatalytic spliceosome {GO:0071005}; U4/U6 x U5 tri-snRNP complex {GO:0046540}; U5 snRNP {GO:0005682}</t>
  </si>
  <si>
    <t>K63-linked polyubiquitin modification-dependent protein binding {GO:0070530}; pre-mRNA intronic binding {GO:0097157}; RNA binding {GO:0003723}; second spliceosomal transesterification activity {GO:0000386}; U1 snRNA binding {GO:0030619}; U2 snRNA binding {GO:0030620}; U5 snRNA binding {GO:0030623}; U6 snRNA binding {GO:0017070}</t>
  </si>
  <si>
    <t>Pigment epithelium-derived factor (PEDF)</t>
  </si>
  <si>
    <t>Cell proliferation-inducing gene 35 protein; EPC-1; Serpin F1</t>
  </si>
  <si>
    <t>PEDF_HUMAN</t>
  </si>
  <si>
    <t>P36955</t>
  </si>
  <si>
    <t>F1T092; Q13236; Q2TU83; Q96CT1; Q96R01; Q9BWA4</t>
  </si>
  <si>
    <t>PEDF</t>
  </si>
  <si>
    <t>3D-structure; Dwarfism; Glycoprotein; Osteogenesis imperfecta; Phosphoprotein; Polymorphism; Pyrrolidone carboxylic acid; Secreted; Signal</t>
  </si>
  <si>
    <t>Dwarfism; Osteogenesis imperfecta</t>
  </si>
  <si>
    <t>Glycoprotein; Phosphoprotein; Pyrrolidone carboxylic acid</t>
  </si>
  <si>
    <t>aging {GO:0007568}; cellular response to cobalt ion {GO:0071279}; cellular response to dexamethasone stimulus {GO:0071549}; cellular response to glucose stimulus {GO:0071333}; cellular response to retinoic acid {GO:0071300}; kidney development {GO:0001822}; negative regulation of angiogenesis {GO:0016525}; negative regulation of endopeptidase activity {GO:0010951}; negative regulation of endothelial cell migration {GO:0010596}; negative regulation of epithelial cell proliferation involved in prostate gland development {GO:0060770}; negative regulation of gene expression {GO:0010629}; negative regulation of inflammatory response {GO:0050728}; negative regulation of neuron death {GO:1901215}; ovulation cycle {GO:0042698}; positive regulation of neurogenesis {GO:0050769}; positive regulation of neuron projection development {GO:0010976}; response to acidic pH {GO:0010447}; response to arsenic-containing substance {GO:0046685}; retina development in camera-type eye {GO:0060041}; short-term memory {GO:0007614}</t>
  </si>
  <si>
    <t>axon hillock {GO:0043203}; basement membrane {GO:0005604}; collagen-containing extracellular matrix {GO:0062023}; extracellular exosome {GO:0070062}; extracellular region {GO:0005576}; extracellular space {GO:0005615}; melanosome {GO:0042470}; perinuclear region of cytoplasm {GO:0048471}</t>
  </si>
  <si>
    <t>Serine/arginine-rich splicing factor 2</t>
  </si>
  <si>
    <t>Protein PR264; Splicing component, 35 kDa; Splicing factor SC35 (SC-35); Splicing factor, arginine/serine-rich 2</t>
  </si>
  <si>
    <t>SRSF2_HUMAN</t>
  </si>
  <si>
    <t>Q01130</t>
  </si>
  <si>
    <t>B3KWD5; B4DN89; H0YG49</t>
  </si>
  <si>
    <t>SFRS2</t>
  </si>
  <si>
    <t>3D-structure; Acetylation; Alternative splicing; mRNA processing; mRNA splicing; Nucleus; Phosphoprotein; RNA-binding</t>
  </si>
  <si>
    <t>mitotic cell cycle {GO:0000278}; mRNA 3'-end processing {GO:0031124}; mRNA cis splicing, via spliceosome {GO:0045292}; mRNA export from nucleus {GO:0006406}; mRNA processing {GO:0006397}; mRNA splicing, via spliceosome {GO:0000398}; regulation of alternative mRNA splicing, via spliceosome {GO:0000381}; response to vitamin E {GO:0033197}; RNA export from nucleus {GO:0006405}; RNA splicing {GO:0008380}</t>
  </si>
  <si>
    <t>cytoplasm {GO:0005737}; cytosol {GO:0005829}; interchromatin granule {GO:0035061}; nuclear speck {GO:0016607}; nucleoplasm {GO:0005654}; nucleus {GO:0005634}; spliceosomal complex {GO:0005681}</t>
  </si>
  <si>
    <t>pre-mRNA binding {GO:0036002}; protein kinase C binding {GO:0005080}; RNA binding {GO:0003723}; transcription corepressor activity {GO:0003714}</t>
  </si>
  <si>
    <t>Guanine nucleotide-binding protein G(I)/G(S)/G(T) subunit beta-1</t>
  </si>
  <si>
    <t>Transducin beta chain 1</t>
  </si>
  <si>
    <t>GBB1_HUMAN</t>
  </si>
  <si>
    <t>P62873</t>
  </si>
  <si>
    <t>B1AJZ7; P04697; P04901; Q1RMY8</t>
  </si>
  <si>
    <t>3D-structure; Acetylation; Alternative splicing; Disease mutation; Mental retardation; Phosphoprotein; Repeat; Transducer; WD repeat</t>
  </si>
  <si>
    <t>adenylate cyclase-activating dopamine receptor signaling pathway {GO:0007191}; cardiac muscle cell apoptotic process {GO:0010659}; cell population proliferation {GO:0008283}; cellular response to catecholamine stimulus {GO:0071870}; cellular response to hypoxia {GO:0071456}; cellular response to prostaglandin E stimulus {GO:0071380}; G protein-coupled acetylcholine receptor signaling pathway {GO:0007213}; G protein-coupled receptor signaling pathway {GO:0007186}; phospholipase C-activating G protein-coupled receptor signaling pathway {GO:0007200}; platelet activation {GO:0030168}; positive regulation of cytosolic calcium ion concentration {GO:0007204}; protein folding {GO:0006457}; protein heterotrimerization {GO:0070208}; Ras protein signal transduction {GO:0007265}; retina development in camera-type eye {GO:0060041}; rhodopsin mediated signaling pathway {GO:0016056}; sensory perception of taste {GO:0050909}; signal transduction {GO:0007165}; Wnt signaling pathway, calcium modulating pathway {GO:0007223}</t>
  </si>
  <si>
    <t>cell body {GO:0044297}; cytosol {GO:0005829}; dendrite {GO:0030425}; extracellular exosome {GO:0070062}; extracellular vesicle {GO:1903561}; heterotrimeric G-protein complex {GO:0005834}; lysosomal membrane {GO:0005765}; membrane {GO:0016020}; photoreceptor disc membrane {GO:0097381}; photoreceptor inner segment {GO:0001917}; photoreceptor outer segment membrane {GO:0042622}; plasma membrane {GO:0005886}</t>
  </si>
  <si>
    <t>alkylglycerophosphoethanolamine phosphodiesterase activity {GO:0047391}; GTPase activity {GO:0003924}; GTPase binding {GO:0051020}; protein-containing complex binding {GO:0044877}; spectrin binding {GO:0030507}</t>
  </si>
  <si>
    <t>Activation of G protein gated Potassium channels {R-HSA-1296041}; Glucagon signaling in metabolic regulation {R-HSA-163359}; G-protein activation {R-HSA-202040}; Activation of the phototransduction cascade {R-HSA-2485179}; Inactivation, recovery and regulation of the phototransduction cascade {R-HSA-2514859}; Glucagon-like Peptide-1 (GLP1) regulates insulin secretion {R-HSA-381676}; Olfactory Signaling Pathway {R-HSA-381753}; ADP signalling through P2Y purinoceptor 12 {R-HSA-392170}; G beta:gamma signalling through PI3Kgamma {R-HSA-392451}; Prostacyclin signalling through prostacyclin receptor {R-HSA-392851}; Adrenaline,noradrenaline inhibits insulin secretion {R-HSA-400042}; Ca2+ pathway {R-HSA-4086398}; G alpha (q) signalling events {R-HSA-416476}; G alpha (12/13) signalling events {R-HSA-416482}; G beta:gamma signalling through PLC beta {R-HSA-418217}; G alpha (s) signalling events {R-HSA-418555}; ADP signalling through P2Y purinoceptor 1 {R-HSA-418592}; G alpha (i) signalling events {R-HSA-418594}; G alpha (z) signalling events {R-HSA-418597}; Glucagon-type ligand receptors {R-HSA-420092}; Thromboxane signalling through TP receptor {R-HSA-428930}; Vasopressin regulates renal water homeostasis via Aquaporins {R-HSA-432040}; Thrombin signalling through proteinase activated receptors (PARs) {R-HSA-456926}; Presynaptic function of Kainate receptors {R-HSA-500657}; Cooperation of PDCL (PhLP1) and TRiC/CCT in G-protein beta folding {R-HSA-6814122}; G beta:gamma signalling through BTK {R-HSA-8964315}; G beta:gamma signalling through CDC42 {R-HSA-8964616}; Non-genomic estrogen signaling {R-HSA-9009391}; Inhibition of voltage gated Ca2+ channels via Gbeta/gamma subunits {R-HSA-997272}</t>
  </si>
  <si>
    <t>LIM and SH3 domain protein 1 (LASP-1)</t>
  </si>
  <si>
    <t>Metastatic lymph node gene 50 protein (MLN 50)</t>
  </si>
  <si>
    <t>LASP1_HUMAN</t>
  </si>
  <si>
    <t>Q14847</t>
  </si>
  <si>
    <t>B4DGQ0; Q96ED2; Q96IG0</t>
  </si>
  <si>
    <t>MLN50</t>
  </si>
  <si>
    <t>3D-structure; Acetylation; Actin-binding; Alternative splicing; Cytoplasm; Cytoskeleton; Ion transport; LIM domain; Metal-binding; Methylation; Phosphoprotein; Repeat; SH3 domain; Transport; Zinc</t>
  </si>
  <si>
    <t>LIM domain; Repeat; SH3 domain</t>
  </si>
  <si>
    <t>cortical actin cytoskeleton {GO:0030864}; cytoplasm {GO:0005737}; focal adhesion {GO:0005925}</t>
  </si>
  <si>
    <t>actin filament binding {GO:0051015}; cadherin binding {GO:0045296}; ion transmembrane transporter activity {GO:0015075}; metal ion binding {GO:0046872}; SH3/SH2 adaptor activity {GO:0005070}</t>
  </si>
  <si>
    <t>MAGUK p55 subfamily member 3</t>
  </si>
  <si>
    <t>Discs large homolog 3; Protein MPP3</t>
  </si>
  <si>
    <t>MPP3_HUMAN</t>
  </si>
  <si>
    <t>Q13368</t>
  </si>
  <si>
    <t>B2R7N0; D3DX47; Q4GX05; Q6PGR3; Q86SV1</t>
  </si>
  <si>
    <t>DLG3</t>
  </si>
  <si>
    <t>Phosphoprotein; Polymorphism; Repeat; SH3 domain</t>
  </si>
  <si>
    <t>CMRF35-like molecule 1 (CLM-1)</t>
  </si>
  <si>
    <t>CD300 antigen-like family member F; Immune receptor expressed on myeloid cells 1 (IREM-1); Immunoglobulin superfamily member 13 (IgSF13); NK inhibitory receptor; CD_antigen=CD300f</t>
  </si>
  <si>
    <t>CLM1_HUMAN</t>
  </si>
  <si>
    <t>Q8TDQ1</t>
  </si>
  <si>
    <t>B2RCL2; C9JDN3; Q3Y6P0; Q6UX24; Q7Z6A6; Q7Z7I4; Q7Z7I5; Q8N6D0; Q8NAF5</t>
  </si>
  <si>
    <t>CD300F; CLM1; IGSF13; IREM1; NKIR</t>
  </si>
  <si>
    <t>3D-structure; Alternative splicing; Cell membrane; Disulfide bond; Glycoprotein; Immunity; Immunoglobulin domain; Lipid-binding; Membrane; Phosphoprotein; Polymorphism; Receptor; Signal; Transmembrane; Transmembrane helix</t>
  </si>
  <si>
    <t>interleukin-13-mediated signaling pathway {GO:0035772}; negative regulation of apoptotic cell clearance {GO:2000426}; negative regulation of mast cell activation {GO:0033004}; negative regulation of MyD88-dependent toll-like receptor signaling pathway {GO:0034125}; positive regulation of apoptotic cell clearance {GO:2000427}; positive regulation of interleukin-4-mediated signaling pathway {GO:1902216}; regulation of immune response {GO:0050776}; TRIF-dependent toll-like receptor signaling pathway {GO:0035666}</t>
  </si>
  <si>
    <t>ceramide binding {GO:0097001}; interleukin-4 receptor binding {GO:0005136}; phosphatidylserine binding {GO:0001786}</t>
  </si>
  <si>
    <t>Na(+)/H(+) exchange regulatory cofactor NHE-RF1 (NHERF-1)</t>
  </si>
  <si>
    <t>Ezrin-radixin-moesin-binding phosphoprotein 50 (EBP50); Regulatory cofactor of Na(+)/H(+) exchanger; Sodium-hydrogen exchanger regulatory factor 1; Solute carrier family 9 isoform A3 regulatory factor 1</t>
  </si>
  <si>
    <t>NHRF1_HUMAN</t>
  </si>
  <si>
    <t>O14745</t>
  </si>
  <si>
    <t>B3KY21; O43552; Q86WQ5</t>
  </si>
  <si>
    <t>NHERF; NHERF1</t>
  </si>
  <si>
    <t>3D-structure; Acetylation; Alternative splicing; Cell membrane; Cell projection; Cytoplasm; Disease mutation; Membrane; Phosphoprotein; Polymorphism; Repeat; Wnt signaling pathway</t>
  </si>
  <si>
    <t>actin cytoskeleton organization {GO:0030036}; adenylate cyclase-activating dopamine receptor signaling pathway {GO:0007191}; auditory receptor cell stereocilium organization {GO:0060088}; bile acid secretion {GO:0032782}; cellular phosphate ion homeostasis {GO:0030643}; establishment of epithelial cell apical/basal polarity {GO:0045198}; establishment of Golgi localization {GO:0051683}; gland morphogenesis {GO:0022612}; glutathione transport {GO:0034635}; microvillus assembly {GO:0030033}; negative regulation of canonical Wnt signaling pathway {GO:0090090}; negative regulation of cell migration {GO:0030336}; negative regulation of cell population proliferation {GO:0008285}; negative regulation of ERK1 and ERK2 cascade {GO:0070373}; negative regulation of mitotic cell cycle {GO:0045930}; negative regulation of phosphatidylinositol 3-kinase signaling {GO:0014067}; negative regulation of platelet-derived growth factor receptor signaling pathway {GO:0010642}; negative regulation of protein kinase B signaling {GO:0051898}; negative regulation of sodium:proton antiporter activity {GO:0032416}; nuclear migration {GO:0007097}; phospholipase C-activating dopamine receptor signaling pathway {GO:0060158}; positive regulation of intrinsic apoptotic signaling pathway {GO:2001244}; positive regulation of ion transmembrane transport {GO:0034767}; protein localization to plasma membrane {GO:0072659}; protein-containing complex assembly {GO:0065003}; regulation of cell shape {GO:0008360}; regulation of cell size {GO:0008361}; regulation of excretion {GO:0044062}; regulation of protein kinase activity {GO:0045859}; regulation of sodium:proton antiporter activity {GO:0032415}; renal absorption {GO:0070293}; renal phosphate ion absorption {GO:0097291}; renal sodium ion transport {GO:0003096}; sensory perception of sound {GO:0007605}; Wnt signaling pathway {GO:0016055}</t>
  </si>
  <si>
    <t>actin cytoskeleton {GO:0015629}; apical plasma membrane {GO:0016324}; brush border membrane {GO:0031526}; cell periphery {GO:0071944}; cytoplasm {GO:0005737}; endomembrane system {GO:0012505}; extracellular exosome {GO:0070062}; filopodium {GO:0030175}; membrane {GO:0016020}; membrane raft {GO:0045121}; microvillus {GO:0005902}; microvillus membrane {GO:0031528}; perinuclear region of cytoplasm {GO:0048471}; ruffle {GO:0001726}; sperm midpiece {GO:0097225}; stereocilium tip {GO:0032426}; vesicle {GO:0031982}</t>
  </si>
  <si>
    <t>beta-2 adrenergic receptor binding {GO:0031698}; beta-catenin binding {GO:0008013}; chloride channel regulator activity {GO:0017081}; dopamine receptor binding {GO:0050780}; growth factor receptor binding {GO:0070851}; molecular adaptor activity {GO:0060090}; myosin II binding {GO:0045159}; PDZ domain binding {GO:0030165}; phosphatase binding {GO:0019902}; protein N-terminus binding {GO:0047485}; protein self-association {GO:0043621}; protein-containing complex binding {GO:0044877}; signaling receptor binding {GO:0005102}</t>
  </si>
  <si>
    <t>Growth factor receptor-bound protein 2</t>
  </si>
  <si>
    <t>Adapter protein GRB2; Protein Ash; SH2/SH3 adapter GRB2</t>
  </si>
  <si>
    <t>GRB2_HUMAN</t>
  </si>
  <si>
    <t>P62993</t>
  </si>
  <si>
    <t>P29354; Q14450; Q63057; Q63059</t>
  </si>
  <si>
    <t>ASH</t>
  </si>
  <si>
    <t>3D-structure; Acetylation; Alternative splicing; Cytoplasm; Endosome; Golgi apparatus; Host-virus interaction; Nucleus; Phosphoprotein; Repeat; SH2 domain; SH3 domain</t>
  </si>
  <si>
    <t>Cytoplasm; Endosome; Golgi apparatus; Nucleus</t>
  </si>
  <si>
    <t>aging {GO:0007568}; anatomical structure formation involved in morphogenesis {GO:0048646}; axon guidance {GO:0007411}; branching involved in labyrinthine layer morphogenesis {GO:0060670}; cell-cell signaling {GO:0007267}; cellular response to ionizing radiation {GO:0071479}; cytokine-mediated signaling pathway {GO:0019221}; entry of bacterium into host cell {GO:0035635}; epidermal growth factor receptor signaling pathway {GO:0007173}; ERBB2 signaling pathway {GO:0038128}; Fc-epsilon receptor signaling pathway {GO:0038095}; Fc-gamma receptor signaling pathway involved in phagocytosis {GO:0038096}; fibroblast growth factor receptor signaling pathway {GO:0008543}; insulin receptor signaling pathway {GO:0008286}; interleukin-15-mediated signaling pathway {GO:0035723}; leukocyte migration {GO:0050900}; MAPK cascade {GO:0000165}; membrane organization {GO:0061024}; negative regulation of epidermal growth factor receptor signaling pathway {GO:0042059}; neurotrophin TRK receptor signaling pathway {GO:0048011}; positive regulation of actin filament polymerization {GO:0030838}; positive regulation of protein kinase B signaling {GO:0051897}; positive regulation of Ras protein signal transduction {GO:0046579}; positive regulation of reactive oxygen species metabolic process {GO:2000379}; protein heterooligomerization {GO:0051291}; Ras protein signal transduction {GO:0007265}; receptor internalization {GO:0031623}; regulation of MAPK cascade {GO:0043408}; signal transduction in response to DNA damage {GO:0042770}; T cell costimulation {GO:0031295}; viral process {GO:0016032}</t>
  </si>
  <si>
    <t>cell-cell junction {GO:0005911}; COP9 signalosome {GO:0008180}; cytoplasm {GO:0005737}; cytosol {GO:0005829}; endosome {GO:0005768}; extracellular exosome {GO:0070062}; Golgi apparatus {GO:0005794}; Grb2-EGFR complex {GO:0070436}; nucleolus {GO:0005730}; nucleoplasm {GO:0005654}; nucleus {GO:0005634}; plasma membrane {GO:0005886}; vesicle membrane {GO:0012506}</t>
  </si>
  <si>
    <t>ephrin receptor binding {GO:0046875}; epidermal growth factor receptor binding {GO:0005154}; identical protein binding {GO:0042802}; insulin receptor substrate binding {GO:0043560}; neurotrophin TRKA receptor binding {GO:0005168}; phosphotyrosine residue binding {GO:0001784}; protein kinase binding {GO:0019901}; protein phosphatase binding {GO:0019903}; RNA binding {GO:0003723}; SH3 domain binding {GO:0017124}; SH3/SH2 adaptor activity {GO:0005070}</t>
  </si>
  <si>
    <t>PI3K Cascade {R-HSA-109704}; SOS-mediated signalling {R-HSA-112412}; Constitutive Signaling by Ligand-Responsive EGFR Cancer Variants {R-HSA-1236382}; SHC1 events in ERBB2 signaling {R-HSA-1250196}; SHC1 events in ERBB4 signaling {R-HSA-1250347}; PIP3 activates AKT signaling {R-HSA-1257604}; Spry regulation of FGF signaling {R-HSA-1295596}; Signaling by SCF-KIT {R-HSA-1433557}; Regulation of KIT signaling {R-HSA-1433559}; Signalling to RAS {R-HSA-167044}; GRB2 events in EGFR signaling {R-HSA-179812}; GAB1 signalosome {R-HSA-180292}; SHC1 events in EGFR signaling {R-HSA-180336}; EGFR downregulation {R-HSA-182971}; Signaling by cytosolic FGFR1 fusion mutants {R-HSA-1839117}; Downstream signal transduction {R-HSA-186763}; GRB2 events in ERBB2 signaling {R-HSA-1963640}; PI3K events in ERBB2 signaling {R-HSA-1963642}; Regulation of actin dynamics for phagocytic cup formation {R-HSA-2029482}; Tie2 Signaling {R-HSA-210993}; EGFR Transactivation by Gastrin {R-HSA-2179392}; Constitutive Signaling by Aberrant PI3K in Cancer {R-HSA-2219530}; DAP12 signaling {R-HSA-2424491}; SHC-related events triggered by IGF1R {R-HSA-2428933}; Role of LAT2/NTAL/LAB on calcium mobilization {R-HSA-2730905}; FCERI mediated MAPK activation {R-HSA-2871796}; FCERI mediated Ca+2 mobilization {R-HSA-2871809}; GRB2:SOS provides linkage to MAPK signaling for Integrins {R-HSA-354194}; NCAM signaling for neurite out-growth {R-HSA-375165}; Costimulation by the CD28 family {R-HSA-388841}; CD28 dependent Vav1 pathway {R-HSA-389359}; Signal regulatory protein family interactions {R-HSA-391160}; Interleukin-3, Interleukin-5 and GM-CSF signaling {R-HSA-512988}; Constitutive Signaling by EGFRvIII {R-HSA-5637810}; SHC-mediated cascade:FGFR1 {R-HSA-5654688}; PI-3K cascade:FGFR1 {R-HSA-5654689}; FRS-mediated FGFR1 signaling {R-HSA-5654693}; PI-3K cascade:FGFR2 {R-HSA-5654695}; SHC-mediated cascade:FGFR2 {R-HSA-5654699}; FRS-mediated FGFR2 signaling {R-HSA-5654700}; SHC-mediated cascade:FGFR3 {R-HSA-5654704}; FRS-mediated FGFR3 signaling {R-HSA-5654706}; PI-3K cascade:FGFR3 {R-HSA-5654710}; FRS-mediated FGFR4 signaling {R-HSA-5654712}; SHC-mediated cascade:FGFR4 {R-HSA-5654719}; PI-3K cascade:FGFR4 {R-HSA-5654720}; Negative regulation of FGFR1 signaling {R-HSA-5654726}; Negative regulation of FGFR2 signaling {R-HSA-5654727}; Negative regulation of FGFR3 signaling {R-HSA-5654732}; Negative regulation of FGFR4 signaling {R-HSA-5654733}; Signaling by FGFR2 in disease {R-HSA-5655253}; Signaling by FGFR4 in disease {R-HSA-5655291}; Signaling by FGFR1 in disease {R-HSA-5655302}; RHO GTPases Activate WASPs and WAVEs {R-HSA-5663213}; RAF/MAP kinase cascade {R-HSA-5673001}; Negative regulation of MET activity {R-HSA-6807004}; PI5P, PP2A and IER3 Regulate PI3K/AKT Signaling {R-HSA-6811558}; Signal attenuation {R-HSA-74749}; Insulin receptor signalling cascade {R-HSA-74751}; MET activates RAS signaling {R-HSA-8851805}; MET activates PI3K/AKT signaling {R-HSA-8851907}; Signaling by FGFR3 fusions in cancer {R-HSA-8853334}; Signaling by FGFR3 point mutants in cancer {R-HSA-8853338}; RET signaling {R-HSA-8853659}; Cargo recognition for clathrin-mediated endocytosis {R-HSA-8856825}; Clathrin-mediated endocytosis {R-HSA-8856828}; MET activates PTPN11 {R-HSA-8865999}; InlB-mediated entry of Listeria monocytogenes into host cell {R-HSA-8875360}; MET activates RAP1 and RAC1 {R-HSA-8875555}; MET receptor recycling {R-HSA-8875656}; Interleukin-15 signaling {R-HSA-8983432}; Activated NTRK2 signals through RAS {R-HSA-9026519}; Erythropoietin activates RAS {R-HSA-9027284}; Activated NTRK2 signals through PI3K {R-HSA-9028335}; Activated NTRK2 signals through FRS2 and FRS3 {R-HSA-9028731}; Activated NTRK3 signals through RAS {R-HSA-9034864}; Interleukin receptor SHC signaling {R-HSA-912526}; Regulation of signaling by CBL {R-HSA-912631}; Antigen activates B Cell Receptor (BCR) leading to generation of second messengers {R-HSA-983695}</t>
  </si>
  <si>
    <t>Secernin-2</t>
  </si>
  <si>
    <t>SCRN2_HUMAN</t>
  </si>
  <si>
    <t>Q96FV2</t>
  </si>
  <si>
    <t>A8K3N1; B7Z8S7; E9PBV5; Q96AC3; Q9BU04</t>
  </si>
  <si>
    <t>dipeptidase activity {GO:0016805}</t>
  </si>
  <si>
    <t>Myosin-3</t>
  </si>
  <si>
    <t>Muscle embryonic myosin heavy chain; Myosin heavy chain 3; Myosin heavy chain, fast skeletal muscle, embryonic; SMHCE</t>
  </si>
  <si>
    <t>MYH3_HUMAN</t>
  </si>
  <si>
    <t>P11055</t>
  </si>
  <si>
    <t>Q15492</t>
  </si>
  <si>
    <t>Actin-binding; ATP-binding; Calmodulin-binding; Coiled coil; Cytoplasm; Disease mutation; Methylation; Motor protein; Muscle protein; Myosin; Nucleotide-binding; Polymorphism; Thick filament</t>
  </si>
  <si>
    <t>actin filament-based movement {GO:0030048}; ATP metabolic process {GO:0046034}; embryonic limb morphogenesis {GO:0030326}; face morphogenesis {GO:0060325}; muscle filament sliding {GO:0030049}; muscle organ development {GO:0007517}; sarcomere organization {GO:0045214}; skeletal muscle contraction {GO:0003009}</t>
  </si>
  <si>
    <t>cytosol {GO:0005829}; extracellular exosome {GO:0070062}; muscle myosin complex {GO:0005859}; myosin filament {GO:0032982}; sarcomere {GO:0030017}</t>
  </si>
  <si>
    <t>actin filament binding {GO:0051015}; ATP binding {GO:0005524}; ATPase activity, coupled {GO:0042623}; calmodulin binding {GO:0005516}; microfilament motor activity {GO:0000146}; myosin phosphatase activity {GO:0017018}</t>
  </si>
  <si>
    <t>Beta-2-glycoprotein 1</t>
  </si>
  <si>
    <t>APC inhibitor; Activated protein C-binding protein; Anticardiolipin cofactor; Apolipoprotein H (Apo-H); Beta-2-glycoprotein I (B2GPI; Beta(2)GPI)</t>
  </si>
  <si>
    <t>APOH_HUMAN</t>
  </si>
  <si>
    <t>P02749</t>
  </si>
  <si>
    <t>B2R9M3; Q9UCN7</t>
  </si>
  <si>
    <t>B2G1</t>
  </si>
  <si>
    <t>3D-structure; Disulfide bond; Glycoprotein; Heparin-binding; Polymorphism; Repeat; Secreted; Signal; Sushi</t>
  </si>
  <si>
    <t>blood coagulation, intrinsic pathway {GO:0007597}; negative regulation of angiogenesis {GO:0016525}; negative regulation of blood coagulation {GO:0030195}; negative regulation of endothelial cell migration {GO:0010596}; negative regulation of endothelial cell proliferation {GO:0001937}; negative regulation of fibrinolysis {GO:0051918}; negative regulation of myeloid cell apoptotic process {GO:0033033}; negative regulation of smooth muscle cell apoptotic process {GO:0034392}; plasminogen activation {GO:0031639}; platelet degranulation {GO:0002576}; positive regulation of blood coagulation {GO:0030194}; positive regulation of lipoprotein lipase activity {GO:0051006}; regulation of fibrinolysis {GO:0051917}; triglyceride metabolic process {GO:0006641}; triglyceride transport {GO:0034197}</t>
  </si>
  <si>
    <t>cell surface {GO:0009986}; chylomicron {GO:0042627}; collagen-containing extracellular matrix {GO:0062023}; extracellular exosome {GO:0070062}; extracellular region {GO:0005576}; extracellular space {GO:0005615}; high-density lipoprotein particle {GO:0034364}; platelet dense granule lumen {GO:0031089}; very-low-density lipoprotein particle {GO:0034361}</t>
  </si>
  <si>
    <t>heparin binding {GO:0008201}; identical protein binding {GO:0042802}; lipid binding {GO:0008289}; lipoprotein lipase activator activity {GO:0060230}; phospholipid binding {GO:0005543}</t>
  </si>
  <si>
    <t>Fructose-bisphosphate aldolase C</t>
  </si>
  <si>
    <t>Brain-type aldolase</t>
  </si>
  <si>
    <t>ALDOC_HUMAN</t>
  </si>
  <si>
    <t>P09972</t>
  </si>
  <si>
    <t>B2R5R3; Q3SYL3; Q6FH94; Q6P0L5</t>
  </si>
  <si>
    <t>ALDC</t>
  </si>
  <si>
    <t>3D-structure; Acetylation; Glycolysis; Lyase; Phosphoprotein; Schiff base</t>
  </si>
  <si>
    <t>canonical glycolysis {GO:0061621}; epithelial cell differentiation {GO:0030855}; fructose 1,6-bisphosphate metabolic process {GO:0030388}; fructose metabolic process {GO:0006000}; gluconeogenesis {GO:0006094}; glycolytic process {GO:0006096}; neutrophil degranulation {GO:0043312}</t>
  </si>
  <si>
    <t>cytoskeleton {GO:0005856}; cytosol {GO:0005829}; extracellular exosome {GO:0070062}; extracellular region {GO:0005576}; ficolin-1-rich granule lumen {GO:1904813}; secretory granule lumen {GO:0034774}; tertiary granule lumen {GO:1904724}</t>
  </si>
  <si>
    <t>cytoskeletal protein binding {GO:0008092}; fructose-bisphosphate aldolase activity {GO:0004332}</t>
  </si>
  <si>
    <t>Synergin gamma</t>
  </si>
  <si>
    <t>AP1 subunit gamma-binding protein 1; Gamma-synergin</t>
  </si>
  <si>
    <t>SYNRG_HUMAN</t>
  </si>
  <si>
    <t>Q9UMZ2</t>
  </si>
  <si>
    <t>A8MWU4; B7ZKZ2; B7ZKZ3; Q17RI2; Q5BKU5; Q6ZT17</t>
  </si>
  <si>
    <t>3D-structure; Acetylation; Alternative splicing; Coiled coil; Cytoplasm; Endocytosis; Golgi apparatus; Membrane; Phosphoprotein; Polymorphism; Protein transport; Repeat; Transport</t>
  </si>
  <si>
    <t>endocytosis {GO:0006897}; intracellular protein transport {GO:0006886}</t>
  </si>
  <si>
    <t>AP-1 adaptor complex {GO:0030121}; cytoplasm {GO:0005737}; Golgi apparatus {GO:0005794}</t>
  </si>
  <si>
    <t>Asialoglycoprotein receptor 1 (ASGP-R 1; ASGPR 1)</t>
  </si>
  <si>
    <t>C-type lectin domain family 4 member H1; Hepatic lectin H1 (HL-1)</t>
  </si>
  <si>
    <t>ASGR1_HUMAN</t>
  </si>
  <si>
    <t>P07306</t>
  </si>
  <si>
    <t>I3L1X1</t>
  </si>
  <si>
    <t>CLEC4H1</t>
  </si>
  <si>
    <t>3D-structure; Alternative splicing; Calcium; Coiled coil; Disulfide bond; Endocytosis; Glycoprotein; Host-virus interaction; Lectin; Lipoprotein; Membrane; Metal-binding; Palmitate; Phosphoprotein; Receptor; Secreted; Signal-anchor; Transmembrane; Transmembrane helix</t>
  </si>
  <si>
    <t>cellular response to extracellular stimulus {GO:0031668}; protein N-linked glycosylation via asparagine {GO:0018279}; receptor-mediated endocytosis {GO:0006898}; viral process {GO:0016032}</t>
  </si>
  <si>
    <t>extracellular region {GO:0005576}; integral component of plasma membrane {GO:0005887}; plasma membrane {GO:0005886}</t>
  </si>
  <si>
    <t>asialoglycoprotein receptor activity {GO:0004873}; carbohydrate binding {GO:0030246}; metal ion binding {GO:0046872}; protein homodimerization activity {GO:0042803}</t>
  </si>
  <si>
    <t>Somatotropin</t>
  </si>
  <si>
    <t>Growth hormone (GH; GH-N); Growth hormone 1; Pituitary growth hormone</t>
  </si>
  <si>
    <t>SOMA_HUMAN</t>
  </si>
  <si>
    <t>P01241</t>
  </si>
  <si>
    <t>A6NEF6; Q14405; Q16631; Q5EB53; Q9HBZ1; Q9UMJ7; Q9UNL5</t>
  </si>
  <si>
    <t>3D-structure; Alternative splicing; Disease mutation; Disulfide bond; Dwarfism; Hormone; Metal-binding; Pharmaceutical; Phosphoprotein; Polymorphism; Secreted; Signal; Zinc</t>
  </si>
  <si>
    <t>animal organ development {GO:0048513}; bone maturation {GO:0070977}; growth hormone receptor signaling pathway {GO:0060396}; growth hormone receptor signaling pathway via JAK-STAT {GO:0060397}; positive regulation of activation of Janus kinase activity {GO:0010536}; positive regulation of glucose transmembrane transport {GO:0010828}; positive regulation of growth {GO:0045927}; positive regulation of insulin-like growth factor receptor signaling pathway {GO:0043568}; positive regulation of MAP kinase activity {GO:0043406}; positive regulation of multicellular organism growth {GO:0040018}; positive regulation of peptidyl-tyrosine phosphorylation {GO:0050731}; positive regulation of phosphatidylinositol 3-kinase signaling {GO:0014068}; positive regulation of receptor signaling pathway via JAK-STAT {GO:0046427}; positive regulation of tyrosine phosphorylation of STAT protein {GO:0042531}; response to estradiol {GO:0032355}; response to nutrient levels {GO:0031667}</t>
  </si>
  <si>
    <t>endosome lumen {GO:0031904}; extracellular region {GO:0005576}; extracellular space {GO:0005615}; growth hormone receptor complex {GO:0070195}</t>
  </si>
  <si>
    <t>growth factor activity {GO:0008083}; growth hormone receptor binding {GO:0005131}; hormone activity {GO:0005179}; metal ion binding {GO:0046872}; prolactin receptor binding {GO:0005148}</t>
  </si>
  <si>
    <t>Prolactin receptor signaling {R-HSA-1170546}; Synthesis, secretion, and deacylation of Ghrelin {R-HSA-422085}; Growth hormone receptor signaling {R-HSA-982772}</t>
  </si>
  <si>
    <t>Fatty aldehyde dehydrogenase</t>
  </si>
  <si>
    <t>Aldehyde dehydrogenase 10; Aldehyde dehydrogenase family 3 member A2; Microsomal aldehyde dehydrogenase</t>
  </si>
  <si>
    <t>AL3A2_HUMAN</t>
  </si>
  <si>
    <t>P51648</t>
  </si>
  <si>
    <t>Q6I9T3; Q93011; Q96J37</t>
  </si>
  <si>
    <t>3D-structure; Alternative splicing; Disease mutation; Endoplasmic reticulum; Fatty acid metabolism; Ichthyosis; Lipid metabolism; Membrane; Mental retardation; Microsome; NAD; Oxidoreductase; Phosphoprotein; Transmembrane; Transmembrane helix</t>
  </si>
  <si>
    <t>Disease mutation; Ichthyosis; Mental retardation</t>
  </si>
  <si>
    <t>cellular aldehyde metabolic process {GO:0006081}; central nervous system development {GO:0007417}; epidermis development {GO:0008544}; fatty acid alpha-oxidation {GO:0001561}; hexadecanal metabolic process {GO:0046458}; oxidation-reduction process {GO:0055114}; peripheral nervous system development {GO:0007422}; phytol metabolic process {GO:0033306}; sesquiterpenoid metabolic process {GO:0006714}; sphingolipid biosynthetic process {GO:0030148}</t>
  </si>
  <si>
    <t>endoplasmic reticulum membrane {GO:0005789}; integral component of membrane {GO:0016021}; intracellular membrane-bounded organelle {GO:0043231}; peroxisomal membrane {GO:0005778}; peroxisome {GO:0005777}</t>
  </si>
  <si>
    <t>3-chloroallyl aldehyde dehydrogenase activity {GO:0004028}; aldehyde dehydrogenase (NAD) activity {GO:0004029}; glyceraldehyde-3-phosphate dehydrogenase (NAD+) (non-phosphorylating) activity {GO:0043878}; long-chain-alcohol oxidase activity {GO:0046577}; long-chain-aldehyde dehydrogenase activity {GO:0050061}; medium-chain-aldehyde dehydrogenase activity {GO:0052814}; protein homodimerization activity {GO:0042803}</t>
  </si>
  <si>
    <t>Sphingolipid de novo biosynthesis {R-HSA-1660661}; Alpha-oxidation of phytanate {R-HSA-389599}; Class I peroxisomal membrane protein import {R-HSA-9603798}; Insertion of tail-anchored proteins into the endoplasmic reticulum membrane {R-HSA-9609523}</t>
  </si>
  <si>
    <t>CMRF35-like molecule 7 (CLM-7)</t>
  </si>
  <si>
    <t>CD300 antigen-like family member B; CMRF35-A2; Immune receptor expressed on myeloid cells 3 (IREM-3); Leukocyte mono-Ig-like receptor 5; Triggering receptor expressed on myeloid cells 5 (TREM-5); CD_antigen=CD300b</t>
  </si>
  <si>
    <t>CLM7_HUMAN</t>
  </si>
  <si>
    <t>A8K4G0</t>
  </si>
  <si>
    <t>Q1EG73; Q8IX40; Q8N6D1</t>
  </si>
  <si>
    <t>CD300B; CLM7; CMRF35A2; IREM3; LMIR5; TREM5</t>
  </si>
  <si>
    <t>Cell membrane; Disulfide bond; Immunity; Immunoglobulin domain; Membrane; Phosphoprotein; Receptor; Signal; Transmembrane; Transmembrane helix</t>
  </si>
  <si>
    <t>innate immune response {GO:0045087}; regulation of immune response {GO:0050776}</t>
  </si>
  <si>
    <t>Immunoregulatory interactions between a Lymphoid and a non-Lymphoid cell {R-HSA-198933}; DAP12 interactions {R-HSA-2172127}</t>
  </si>
  <si>
    <t>CCL15(29-92)</t>
  </si>
  <si>
    <t>Chemokine CC-2 (HCC-2); Leukotactin-1 (LKN-1); MIP-1 delta; Macrophage inflammatory protein 5 (MIP-5); Mrp-2b; NCC-3; Small-inducible cytokine A15</t>
  </si>
  <si>
    <t>CCL15_HUMAN</t>
  </si>
  <si>
    <t>Q16663</t>
  </si>
  <si>
    <t>B2RU34; E1P651; Q9UM74</t>
  </si>
  <si>
    <t>MIP5; NCC3; SCYA15</t>
  </si>
  <si>
    <t>3D-structure; Chemotaxis; Cytokine; Disulfide bond; Heparin-binding; Polymorphism; Secreted; Signal</t>
  </si>
  <si>
    <t>Cytokine; Heparin-binding</t>
  </si>
  <si>
    <t>cell-cell signaling {GO:0007267}; cellular calcium ion homeostasis {GO:0006874}; cellular response to interferon-gamma {GO:0071346}; cellular response to interleukin-1 {GO:0071347}; cellular response to tumor necrosis factor {GO:0071356}; chemokine-mediated signaling pathway {GO:0070098}; chemotaxis {GO:0006935}; eosinophil chemotaxis {GO:0048245}; G protein-coupled receptor signaling pathway {GO:0007186}; inflammatory response {GO:0006954}; lymphocyte chemotaxis {GO:0048247}; monocyte chemotaxis {GO:0002548}; neutrophil chemotaxis {GO:0030593}; positive regulation of ERK1 and ERK2 cascade {GO:0070374}; positive regulation of GTPase activity {GO:0043547}; signal transduction {GO:0007165}</t>
  </si>
  <si>
    <t>cell {GO:0005623}; extracellular space {GO:0005615}</t>
  </si>
  <si>
    <t>CCR chemokine receptor binding {GO:0048020}; chemoattractant activity {GO:0042056}; chemokine activity {GO:0008009}; heparin binding {GO:0008201}; signaling receptor binding {GO:0005102}</t>
  </si>
  <si>
    <t>LD78-beta(5-70)</t>
  </si>
  <si>
    <t>G0/G1 switch regulatory protein 19-2; LD78-beta(1-70); PAT 464.2; Small-inducible cytokine A3-like 1; Tonsillar lymphocyte LD78 beta protein</t>
  </si>
  <si>
    <t>CL3L1_HUMAN</t>
  </si>
  <si>
    <t>P16619</t>
  </si>
  <si>
    <t>A6NGK6; B2RUX4; Q3B7A8; Q53YA5; Q96I68</t>
  </si>
  <si>
    <t>D17S1718; G0S19-2; SCYA3L1</t>
  </si>
  <si>
    <t>Chemotaxis; Cytokine; Disulfide bond; Secreted; Signal</t>
  </si>
  <si>
    <t>cellular response to interferon-gamma {GO:0071346}; cellular response to interleukin-1 {GO:0071347}; cellular response to tumor necrosis factor {GO:0071356}; chemokine-mediated signaling pathway {GO:0070098}; cytokine-mediated signaling pathway {GO:0019221}; G protein-coupled receptor signaling pathway {GO:0007186}; inflammatory response {GO:0006954}; lymphocyte chemotaxis {GO:0048247}; monocyte chemotaxis {GO:0002548}; negative regulation of cell population proliferation {GO:0008285}; neutrophil chemotaxis {GO:0030593}; positive regulation of ERK1 and ERK2 cascade {GO:0070374}; positive regulation of GTPase activity {GO:0043547}; positive regulation of inflammatory response {GO:0050729}</t>
  </si>
  <si>
    <t>CCR chemokine receptor binding {GO:0048020}; chemokine activity {GO:0008009}</t>
  </si>
  <si>
    <t>Interleukin-10 signaling {R-HSA-6783783}</t>
  </si>
  <si>
    <t>Alpha-sarcoglycan (Alpha-SG)</t>
  </si>
  <si>
    <t>50 kDa dystrophin-associated glycoprotein (50DAG); Adhalin; Dystroglycan-2</t>
  </si>
  <si>
    <t>SGCA_HUMAN</t>
  </si>
  <si>
    <t>Q16586</t>
  </si>
  <si>
    <t>A6NEB8; A8K3K7; Q13710; Q13712</t>
  </si>
  <si>
    <t>ADL; DAG2</t>
  </si>
  <si>
    <t>Alternative splicing; Cell membrane; Cytoplasm; Cytoskeleton; Disease mutation; Glycoprotein; Limb-girdle muscular dystrophy; Membrane; Phosphoprotein; Signal; Transmembrane; Transmembrane helix</t>
  </si>
  <si>
    <t>Disease mutation; Limb-girdle muscular dystrophy</t>
  </si>
  <si>
    <t>muscle contraction {GO:0006936}; muscle organ development {GO:0007517}; response to denervation involved in regulation of muscle adaptation {GO:0014894}; skeletal muscle tissue regeneration {GO:0043403}</t>
  </si>
  <si>
    <t>cell-cell junction {GO:0005911}; cytoplasm {GO:0005737}; cytoskeleton {GO:0005856}; dystrophin-associated glycoprotein complex {GO:0016010}; integral component of membrane {GO:0016021}; membrane raft {GO:0045121}; sarcoglycan complex {GO:0016012}; sarcolemma {GO:0042383}</t>
  </si>
  <si>
    <t>Acidic leucine-rich nuclear phosphoprotein 32 family member E</t>
  </si>
  <si>
    <t>LANP-like protein (LANP-L)</t>
  </si>
  <si>
    <t>AN32E_HUMAN</t>
  </si>
  <si>
    <t>Q9BTT0</t>
  </si>
  <si>
    <t>B4E0I6; E9PEA6; Q5TB18; Q5TB20; Q8N1S4; Q8WWW9</t>
  </si>
  <si>
    <t>3D-structure; Acetylation; Alternative splicing; Chaperone; Chromatin regulator; Cytoplasm; Isopeptide bond; Leucine-rich repeat; Nucleus; Phosphoprotein; Repeat; Ubl conjugation</t>
  </si>
  <si>
    <t>Chaperone; Chromatin regulator</t>
  </si>
  <si>
    <t>histone exchange {GO:0043486}</t>
  </si>
  <si>
    <t>cytoplasmic vesicle {GO:0031410}; nucleus {GO:0005634}; Swr1 complex {GO:0000812}</t>
  </si>
  <si>
    <t>histone binding {GO:0042393}; phosphatase inhibitor activity {GO:0019212}</t>
  </si>
  <si>
    <t>Plexin domain-containing protein 1</t>
  </si>
  <si>
    <t>Tumor endothelial marker 3; Tumor endothelial marker 7</t>
  </si>
  <si>
    <t>PLDX1_HUMAN</t>
  </si>
  <si>
    <t>Q8IUK5</t>
  </si>
  <si>
    <t>B2R7I8; Q5QCZ7; Q5QCZ8; Q5QCZ9; Q9HCT9</t>
  </si>
  <si>
    <t>TEM3; TEM7</t>
  </si>
  <si>
    <t>Alternative splicing; Cell junction; Cell membrane; Cytoplasm; Glycoprotein; Membrane; Polymorphism; Secreted; Signal; Tight junction; Transmembrane; Transmembrane helix</t>
  </si>
  <si>
    <t>Cell junction; Cell membrane; Cytoplasm; Membrane; Secreted; Tight junction</t>
  </si>
  <si>
    <t>angiogenesis {GO:0001525}; spinal cord development {GO:0021510}</t>
  </si>
  <si>
    <t>bicellular tight junction {GO:0005923}; cytoplasm {GO:0005737}; dendrite {GO:0030425}; extracellular region {GO:0005576}; extracellular space {GO:0005615}; integral component of membrane {GO:0016021}; neuronal cell body {GO:0043025}; plasma membrane {GO:0005886}; receptor complex {GO:0043235}</t>
  </si>
  <si>
    <t>Metalloproteinase inhibitor 2</t>
  </si>
  <si>
    <t>CSC-21K; Tissue inhibitor of metalloproteinases 2 (TIMP-2)</t>
  </si>
  <si>
    <t>TIMP2_HUMAN</t>
  </si>
  <si>
    <t>P16035</t>
  </si>
  <si>
    <t>Q16121; Q93006; Q9UDF7</t>
  </si>
  <si>
    <t>3D-structure; Disulfide bond; Metal-binding; Metalloenzyme inhibitor; Metalloprotease inhibitor; Protease inhibitor; Secreted; Signal; Zinc</t>
  </si>
  <si>
    <t>aging {GO:0007568}; central nervous system development {GO:0007417}; extracellular matrix disassembly {GO:0022617}; negative regulation of cell population proliferation {GO:0008285}; negative regulation of endopeptidase activity {GO:0010951}; negative regulation of membrane protein ectodomain proteolysis {GO:0051045}; negative regulation of metallopeptidase activity {GO:1905049}; negative regulation of mitotic cell cycle {GO:0045930}; negative regulation of Ras protein signal transduction {GO:0046580}; neutrophil degranulation {GO:0043312}; positive regulation of adenylate cyclase activity {GO:0045762}; positive regulation of MAPK cascade {GO:0043410}; positive regulation of neuron differentiation {GO:0045666}; regulation of Rap protein signal transduction {GO:0032487}; response to cytokine {GO:0034097}; response to drug {GO:0042493}; response to hormone {GO:0009725}; response to organic substance {GO:0010033}</t>
  </si>
  <si>
    <t>cell surface {GO:0009986}; collagen-containing extracellular matrix {GO:0062023}; extracellular matrix {GO:0031012}; extracellular region {GO:0005576}; extracellular space {GO:0005615}; ficolin-1-rich granule lumen {GO:1904813}; growth cone {GO:0030426}; neuronal cell body {GO:0043025}; specific granule lumen {GO:0035580}; tertiary granule lumen {GO:1904724}</t>
  </si>
  <si>
    <t>integrin binding {GO:0005178}; metalloendopeptidase inhibitor activity {GO:0008191}; peptidase inhibitor activity {GO:0030414}; protease binding {GO:0002020}; zinc ion binding {GO:0008270}</t>
  </si>
  <si>
    <t>Activation of Matrix Metalloproteinases {R-HSA-1592389}; Neutrophil degranulation {R-HSA-6798695}</t>
  </si>
  <si>
    <t>Poly(U)-binding-splicing factor PUF60</t>
  </si>
  <si>
    <t>60 kDa poly(U)-binding-splicing factor; FUSE-binding protein-interacting repressor (FBP-interacting repressor); Ro-binding protein 1 (RoBP1); Siah-binding protein 1 (Siah-BP1)</t>
  </si>
  <si>
    <t>PUF60_HUMAN</t>
  </si>
  <si>
    <t>Q9UHX1</t>
  </si>
  <si>
    <t>A8K8K8; Q969E7; Q96D94; Q96H63; Q99628; Q9NZA0; Q9UJY7</t>
  </si>
  <si>
    <t>FIR; ROBPI; SIAHBP1</t>
  </si>
  <si>
    <t>3D-structure; Acetylation; Alternative splicing; Apoptosis; Disease mutation; DNA-binding; Isopeptide bond; mRNA processing; mRNA splicing; Nucleus; Phosphoprotein; Repeat; Repressor; Ribonucleoprotein; RNA-binding; Transcription; Transcription regulation; Ubl conjugation</t>
  </si>
  <si>
    <t>Apoptosis; Transcription; Transcription regulation; mRNA processing; mRNA splicing</t>
  </si>
  <si>
    <t>DNA-binding; RNA-binding; Repressor; Ribonucleoprotein</t>
  </si>
  <si>
    <t>apoptotic process {GO:0006915}; mRNA splicing, via spliceosome {GO:0000398}</t>
  </si>
  <si>
    <t>cell junction {GO:0030054}; nucleoplasm {GO:0005654}</t>
  </si>
  <si>
    <t>cadherin binding {GO:0045296}; DNA binding {GO:0003677}; identical protein binding {GO:0042802}; RNA binding {GO:0003723}</t>
  </si>
  <si>
    <t>Vitelline membrane outer layer protein 1 homolog</t>
  </si>
  <si>
    <t>VMO1_HUMAN</t>
  </si>
  <si>
    <t>Q7Z5L0</t>
  </si>
  <si>
    <t>C9JQ15; E9PAU9; E9PGP4; Q3SXP1; Q8IUY1</t>
  </si>
  <si>
    <t>Alternative splicing; Disulfide bond; Polymorphism; Secreted; Signal</t>
  </si>
  <si>
    <t>Solute carrier family 13 member 2</t>
  </si>
  <si>
    <t>Na(+)/dicarboxylate cotransporter 1 (NaDC-1); Renal sodium/dicarboxylate cotransporter</t>
  </si>
  <si>
    <t>S13A2_HUMAN</t>
  </si>
  <si>
    <t>Q13183</t>
  </si>
  <si>
    <t>B2RBI9; B4DPL1; E7ETH5; Q4VAR7</t>
  </si>
  <si>
    <t>NADC1; SDCT1</t>
  </si>
  <si>
    <t>Alternative splicing; Ion transport; Membrane; Polymorphism; Sodium; Sodium transport; Symport; Transmembrane; Transmembrane helix; Transport</t>
  </si>
  <si>
    <t>extracellular exosome {GO:0070062}; integral component of membrane {GO:0016021}; integral component of plasma membrane {GO:0005887}; membrane {GO:0016020}; plasma membrane {GO:0005886}</t>
  </si>
  <si>
    <t>low-affinity sodium:dicarboxylate symporter activity {GO:0015361}</t>
  </si>
  <si>
    <t>Nucleoside diphosphate kinase B (NDK B; NDP kinase B)</t>
  </si>
  <si>
    <t>C-myc purine-binding transcription factor PUF; Histidine protein kinase NDKB; nm23-H2</t>
  </si>
  <si>
    <t>NDKB_HUMAN</t>
  </si>
  <si>
    <t>P22392</t>
  </si>
  <si>
    <t>A8MWA3; Q1WM23; Q6LCT6</t>
  </si>
  <si>
    <t>NM23B</t>
  </si>
  <si>
    <t>3D-structure; Activator; Alternative splicing; ATP-binding; Cell projection; Cytoplasm; DNA-binding; Kinase; Magnesium; Metal-binding; Nucleotide metabolism; Nucleotide-binding; Nucleus; Transcription; Transcription regulation; Transferase</t>
  </si>
  <si>
    <t>Nucleotide metabolism; Transcription; Transcription regulation</t>
  </si>
  <si>
    <t>Activator; DNA-binding; Kinase; Transferase</t>
  </si>
  <si>
    <t>adenylate cyclase-activating G protein-coupled receptor signaling pathway {GO:0007189}; cell adhesion {GO:0007155}; cellular response to fatty acid {GO:0071398}; cellular response to glucose stimulus {GO:0071333}; cellular response to oxidative stress {GO:0034599}; CTP biosynthetic process {GO:0006241}; GTP biosynthetic process {GO:0006183}; integrin-mediated signaling pathway {GO:0007229}; negative regulation of apoptotic process {GO:0043066}; negative regulation of myeloid leukocyte differentiation {GO:0002762}; neutrophil degranulation {GO:0043312}; nucleobase-containing small molecule interconversion {GO:0015949}; nucleoside diphosphate phosphorylation {GO:0006165}; nucleoside triphosphate biosynthetic process {GO:0009142}; positive regulation of epithelial cell proliferation {GO:0050679}; positive regulation of keratinocyte differentiation {GO:0045618}; positive regulation of neuron projection development {GO:0010976}; positive regulation of transcription by RNA polymerase II {GO:0045944}; positive regulation of transcription, DNA-templated {GO:0045893}; protein autophosphorylation {GO:0046777}; protein complex oligomerization {GO:0051259}; regulation of epidermis development {GO:0045682}; response to growth hormone {GO:0060416}; UTP biosynthetic process {GO:0006228}</t>
  </si>
  <si>
    <t>cell periphery {GO:0071944}; cytoplasm {GO:0005737}; cytosol {GO:0005829}; extracellular exosome {GO:0070062}; extracellular region {GO:0005576}; ficolin-1-rich granule lumen {GO:1904813}; intermediate filament {GO:0005882}; lamellipodium {GO:0030027}; mitochondrial membrane {GO:0031966}; nucleus {GO:0005634}; perinuclear region of cytoplasm {GO:0048471}; ruffle {GO:0001726}; secretory granule lumen {GO:0034774}</t>
  </si>
  <si>
    <t>ATP binding {GO:0005524}; DNA binding {GO:0003677}; enzyme binding {GO:0019899}; fatty acid binding {GO:0005504}; G-quadruplex DNA binding {GO:0051880}; GDP binding {GO:0019003}; intermediate filament binding {GO:0019215}; metal ion binding {GO:0046872}; nucleoside diphosphate kinase activity {GO:0004550}; protein histidine kinase activity {GO:0004673}; protein serine/threonine kinase activity {GO:0004674}; transcription coactivator activity {GO:0003713}</t>
  </si>
  <si>
    <t>Interconversion of nucleotide di- and triphosphates {R-HSA-499943}; Neutrophil degranulation {R-HSA-6798695}</t>
  </si>
  <si>
    <t>Nucleoside diphosphate kinase A (NDK A; NDP kinase A)</t>
  </si>
  <si>
    <t>Granzyme A-activated DNase (GAAD); Metastasis inhibition factor nm23; NM23-H1; Tumor metastatic process-associated protein</t>
  </si>
  <si>
    <t>NDKA_HUMAN</t>
  </si>
  <si>
    <t>P15531</t>
  </si>
  <si>
    <t>Q6FGK3; Q86XQ2; Q9UDJ6</t>
  </si>
  <si>
    <t>NDPKA; NM23</t>
  </si>
  <si>
    <t>3D-structure; Alternative splicing; ATP-binding; Cytoplasm; Differentiation; Endocytosis; Isopeptide bond; Kinase; Magnesium; Metal-binding; Neurogenesis; Nucleotide metabolism; Nucleotide-binding; Nucleus; Phosphoprotein; Polymorphism; Transferase; Ubl conjugation</t>
  </si>
  <si>
    <t>Differentiation; Endocytosis; Neurogenesis; Nucleotide metabolism</t>
  </si>
  <si>
    <t>cellular response to drug {GO:0035690}; cellular response to fatty acid {GO:0071398}; cellular response to glucose stimulus {GO:0071333}; CTP biosynthetic process {GO:0006241}; endocytosis {GO:0006897}; GTP biosynthetic process {GO:0006183}; hippocampus development {GO:0021766}; lactation {GO:0007595}; negative regulation of cell population proliferation {GO:0008285}; negative regulation of gene expression {GO:0010629}; negative regulation of myeloid leukocyte differentiation {GO:0002762}; nucleobase-containing small molecule interconversion {GO:0015949}; positive regulation of DNA binding {GO:0043388}; positive regulation of epithelial cell proliferation {GO:0050679}; positive regulation of neuron projection development {GO:0010976}; regulation of apoptotic process {GO:0042981}; response to amine {GO:0014075}; response to cAMP {GO:0051591}; response to testosterone {GO:0033574}; UTP biosynthetic process {GO:0006228}</t>
  </si>
  <si>
    <t>centrosome {GO:0005813}; cytoplasm {GO:0005737}; cytosol {GO:0005829}; extracellular exosome {GO:0070062}; intermediate filament {GO:0005882}; membrane {GO:0016020}; mitochondrial outer membrane {GO:0005741}; nucleus {GO:0005634}; perinuclear region of cytoplasm {GO:0048471}; ruffle membrane {GO:0032587}</t>
  </si>
  <si>
    <t>ATP binding {GO:0005524}; deoxyribonuclease activity {GO:0004536}; enzyme binding {GO:0019899}; gamma-tubulin binding {GO:0043015}; GTP binding {GO:0005525}; identical protein binding {GO:0042802}; intermediate filament binding {GO:0019215}; magnesium ion binding {GO:0000287}; nucleoside diphosphate kinase activity {GO:0004550}; ribosomal small subunit binding {GO:0043024}; RNA binding {GO:0003723}; RNA polymerase II regulatory region sequence-specific DNA binding {GO:0000977}; single-stranded DNA binding {GO:0003697}</t>
  </si>
  <si>
    <t>Hepatocyte growth factor-regulated tyrosine kinase substrate</t>
  </si>
  <si>
    <t>Hrs; Protein pp110</t>
  </si>
  <si>
    <t>HGS_HUMAN</t>
  </si>
  <si>
    <t>O14964</t>
  </si>
  <si>
    <t>Q9NR36</t>
  </si>
  <si>
    <t>HRS</t>
  </si>
  <si>
    <t>3D-structure; Acetylation; Alternative splicing; Cytoplasm; Endosome; Membrane; Metal-binding; Phosphoprotein; Polymorphism; Protein transport; Transport; Ubl conjugation; Zinc; Zinc-finger</t>
  </si>
  <si>
    <t>endosomal transport {GO:0016197}; macroautophagy {GO:0016236}; membrane invagination {GO:0010324}; membrane organization {GO:0061024}; multivesicular body assembly {GO:0036258}; negative regulation of angiogenesis {GO:0016525}; negative regulation of cell population proliferation {GO:0008285}; negative regulation of epidermal growth factor receptor signaling pathway {GO:0042059}; negative regulation of platelet-derived growth factor receptor signaling pathway {GO:0010642}; negative regulation of receptor signaling pathway via JAK-STAT {GO:0046426}; negative regulation of vascular endothelial growth factor receptor signaling pathway {GO:0030948}; positive regulation of exosomal secretion {GO:1903543}; positive regulation of gene expression {GO:0010628}; protein deubiquitination {GO:0016579}; protein localization to membrane {GO:0072657}; protein targeting to lysosome {GO:0006622}; regulation of MAP kinase activity {GO:0043405}; regulation of protein catabolic process {GO:0042176}; signal transduction {GO:0007165}</t>
  </si>
  <si>
    <t>cytosol {GO:0005829}; early endosome {GO:0005769}; early endosome membrane {GO:0031901}; endosome {GO:0005768}; ESCRT-0 complex {GO:0033565}; extracellular exosome {GO:0070062}; intracellular membrane-bounded organelle {GO:0043231}; lysosome {GO:0005764}; multivesicular body membrane {GO:0032585}</t>
  </si>
  <si>
    <t>metal ion binding {GO:0046872}; protein domain specific binding {GO:0019904}; ubiquitin-like protein ligase binding {GO:0044389}</t>
  </si>
  <si>
    <t>EGFR downregulation {R-HSA-182971}; Lysosome Vesicle Biogenesis {R-HSA-432720}; Ub-specific processing proteases {R-HSA-5689880}; Negative regulation of MET activity {R-HSA-6807004}; Cargo recognition for clathrin-mediated endocytosis {R-HSA-8856825}; Clathrin-mediated endocytosis {R-HSA-8856828}; InlB-mediated entry of Listeria monocytogenes into host cell {R-HSA-8875360}; Endosomal Sorting Complex Required For Transport (ESCRT) {R-HSA-917729}</t>
  </si>
  <si>
    <t>N-sulphoglucosamine sulphohydrolase</t>
  </si>
  <si>
    <t>Sulfoglucosamine sulfamidase; Sulphamidase</t>
  </si>
  <si>
    <t>SPHM_HUMAN</t>
  </si>
  <si>
    <t>P51688</t>
  </si>
  <si>
    <t>A8K5E2</t>
  </si>
  <si>
    <t>HSS</t>
  </si>
  <si>
    <t>3D-structure; Calcium; Disease mutation; Disulfide bond; Glycoprotein; Hydrolase; Lysosome; Metal-binding; Mucopolysaccharidosis; Polymorphism; Signal</t>
  </si>
  <si>
    <t>glycosaminoglycan catabolic process {GO:0006027}; heparan sulfate proteoglycan catabolic process {GO:0030200}</t>
  </si>
  <si>
    <t>extracellular exosome {GO:0070062}; lysosomal lumen {GO:0043202}; lysosome {GO:0005764}</t>
  </si>
  <si>
    <t>metal ion binding {GO:0046872}; N-sulfoglucosamine sulfohydrolase activity {GO:0016250}; sulfuric ester hydrolase activity {GO:0008484}</t>
  </si>
  <si>
    <t>HS-GAG degradation {R-HSA-2024096}; MPS IIIA - Sanfilippo syndrome A {R-HSA-2206307}</t>
  </si>
  <si>
    <t>L-xylulose reductase (XR)</t>
  </si>
  <si>
    <t>Carbonyl reductase II; Dicarbonyl/L-xylulose reductase; Kidney dicarbonyl reductase (kiDCR); Short chain dehydrogenase/reductase family 20C member 1; Sperm surface protein P34H</t>
  </si>
  <si>
    <t>DCXR_HUMAN</t>
  </si>
  <si>
    <t>Q7Z4W1</t>
  </si>
  <si>
    <t>Q9BTZ3; Q9UHY9</t>
  </si>
  <si>
    <t>SDR20C1</t>
  </si>
  <si>
    <t>3D-structure; Acetylation; Carbohydrate metabolism; Glucose metabolism; Membrane; Methylation; NADP; Oxidoreductase; Phosphoprotein; Xylose metabolism</t>
  </si>
  <si>
    <t>Carbohydrate metabolism; Glucose metabolism; Xylose metabolism</t>
  </si>
  <si>
    <t>D-xylose metabolic process {GO:0042732}; glucose metabolic process {GO:0006006}; glucuronate catabolic process to xylulose 5-phosphate {GO:0019640}; NADP metabolic process {GO:0006739}; oxidation-reduction process {GO:0055114}; protein homotetramerization {GO:0051289}; xylulose metabolic process {GO:0005997}</t>
  </si>
  <si>
    <t>brush border {GO:0005903}; cytoplasmic microtubule {GO:0005881}; extracellular exosome {GO:0070062}; microvillus {GO:0005902}; nucleus {GO:0005634}; plasma membrane {GO:0005886}</t>
  </si>
  <si>
    <t>carbonyl reductase (NADPH) activity {GO:0004090}; identical protein binding {GO:0042802}; L-xylulose reductase (NAD+) activity {GO:0044105}; L-xylulose reductase (NADP+) activity {GO:0050038}; oxidoreductase activity, acting on NAD(P)H, quinone or similar compound as acceptor {GO:0016655}</t>
  </si>
  <si>
    <t>Formation of xylulose-5-phosphate {R-HSA-5661270}; Essential pentosuria {R-HSA-5662853}</t>
  </si>
  <si>
    <t>HCC-1(9-74)</t>
  </si>
  <si>
    <t>Chemokine CC-1/CC-3 (HCC-1/HCC-3); HCC-1(1-74); NCC-2; Small-inducible cytokine A14</t>
  </si>
  <si>
    <t>CCL14_HUMAN</t>
  </si>
  <si>
    <t>Q16627</t>
  </si>
  <si>
    <t>E1P649; E1P650; Q13954</t>
  </si>
  <si>
    <t>NCC2; SCYA14</t>
  </si>
  <si>
    <t>3D-structure; Alternative splicing; Cytokine; Disulfide bond; Glycoprotein; Polymorphism; Secreted; Signal</t>
  </si>
  <si>
    <t>cellular calcium ion homeostasis {GO:0006874}; cellular response to interferon-gamma {GO:0071346}; cellular response to interleukin-1 {GO:0071347}; cellular response to tumor necrosis factor {GO:0071356}; chemokine-mediated signaling pathway {GO:0070098}; G protein-coupled receptor signaling pathway {GO:0007186}; inflammatory response {GO:0006954}; lymphocyte chemotaxis {GO:0048247}; monocyte chemotaxis {GO:0002548}; neutrophil chemotaxis {GO:0030593}; positive regulation of cell population proliferation {GO:0008284}; positive regulation of ERK1 and ERK2 cascade {GO:0070374}; positive regulation of GTPase activity {GO:0043547}; positive regulation of inflammatory response {GO:0050729}</t>
  </si>
  <si>
    <t>C-C motif chemokine 16</t>
  </si>
  <si>
    <t>Chemokine CC-4 (HCC-4); Chemokine LEC; IL-10-inducible chemokine; LCC-1; Liver-expressed chemokine; Lymphocyte and monocyte chemoattractant (LMC); Monotactin-1 (MTN-1); NCC-4; Small-inducible cytokine A16</t>
  </si>
  <si>
    <t>CCL16_HUMAN</t>
  </si>
  <si>
    <t>O15467</t>
  </si>
  <si>
    <t>Q4KKU0</t>
  </si>
  <si>
    <t>ILINCK; NCC4; SCYA16</t>
  </si>
  <si>
    <t>3D-structure; Chemotaxis; Cytokine; Disulfide bond; Inflammatory response; Secreted; Signal</t>
  </si>
  <si>
    <t>cell communication {GO:0007154}; cell-cell signaling {GO:0007267}; cellular response to interferon-gamma {GO:0071346}; cellular response to interleukin-1 {GO:0071347}; cellular response to tumor necrosis factor {GO:0071356}; chemokine-mediated signaling pathway {GO:0070098}; chemotaxis {GO:0006935}; eosinophil chemotaxis {GO:0048245}; G protein-coupled receptor signaling pathway {GO:0007186}; inflammatory response {GO:0006954}; lymphocyte chemotaxis {GO:0048247}; monocyte chemotaxis {GO:0002548}; neutrophil chemotaxis {GO:0030593}; positive regulation of ERK1 and ERK2 cascade {GO:0070374}; positive regulation of GTPase activity {GO:0043547}</t>
  </si>
  <si>
    <t>CCR chemokine receptor binding {GO:0048020}; chemoattractant activity {GO:0042056}; chemokine activity {GO:0008009}</t>
  </si>
  <si>
    <t>Acid sphingomyelinase-like phosphodiesterase 3b (ASM-like phosphodiesterase 3b)</t>
  </si>
  <si>
    <t>ASM3B_HUMAN</t>
  </si>
  <si>
    <t>Q92485</t>
  </si>
  <si>
    <t>B7ZB35; Q5T0Z0; Q96CB7</t>
  </si>
  <si>
    <t>ASML3B; ASMLPD</t>
  </si>
  <si>
    <t>Alternative splicing; Cell membrane; Disulfide bond; Glycoprotein; Glycosidase; GPI-anchor; Hydrolase; Immunity; Inflammatory response; Innate immunity; Lipid degradation; Lipid metabolism; Lipoprotein; Membrane; Metal-binding; Polymorphism; Secreted; Signal; Zinc</t>
  </si>
  <si>
    <t>Immunity; Inflammatory response; Innate immunity; Lipid degradation; Lipid metabolism</t>
  </si>
  <si>
    <t>inflammatory response {GO:0006954}; innate immune response {GO:0045087}; membrane lipid catabolic process {GO:0046466}; negative regulation of inflammatory response {GO:0050728}; negative regulation of toll-like receptor signaling pathway {GO:0034122}; sphingomyelin catabolic process {GO:0006685}</t>
  </si>
  <si>
    <t>anchored component of membrane {GO:0031225}; extracellular exosome {GO:0070062}; extracellular space {GO:0005615}; plasma membrane {GO:0005886}</t>
  </si>
  <si>
    <t>hydrolase activity, acting on glycosyl bonds {GO:0016798}; phosphoric diester hydrolase activity {GO:0008081}; sphingomyelin phosphodiesterase activity {GO:0004767}; zinc ion binding {GO:0008270}</t>
  </si>
  <si>
    <t>Programmed cell death protein 10</t>
  </si>
  <si>
    <t>Cerebral cavernous malformations 3 protein; TF-1 cell apoptosis-related protein 15</t>
  </si>
  <si>
    <t>PDC10_HUMAN</t>
  </si>
  <si>
    <t>Q9BUL8</t>
  </si>
  <si>
    <t>A8K515; D3DNN5; O14811</t>
  </si>
  <si>
    <t>CCM3; TFAR15</t>
  </si>
  <si>
    <t>3D-structure; Acetylation; Angiogenesis; Apoptosis; Cell membrane; Cytoplasm; Golgi apparatus; Isopeptide bond; Membrane; Polymorphism; Ubl conjugation</t>
  </si>
  <si>
    <t>Cell membrane; Cytoplasm; Golgi apparatus; Membrane</t>
  </si>
  <si>
    <t>angiogenesis {GO:0001525}; cellular response to leukemia inhibitory factor {GO:1990830}; establishment of Golgi localization {GO:0051683}; Golgi reassembly {GO:0090168}; intrinsic apoptotic signaling pathway in response to hydrogen peroxide {GO:0036481}; negative regulation of apoptotic process {GO:0043066}; negative regulation of blood vessel endothelial cell proliferation involved in sprouting angiogenesis {GO:1903588}; negative regulation of cell migration involved in sprouting angiogenesis {GO:0090051}; negative regulation of gene expression {GO:0010629}; positive regulation of cell migration {GO:0030335}; positive regulation of cell population proliferation {GO:0008284}; positive regulation of gene expression {GO:0010628}; positive regulation of intracellular protein transport {GO:0090316}; positive regulation of MAP kinase activity {GO:0043406}; positive regulation of Notch signaling pathway {GO:0045747}; positive regulation of peptidyl-serine phosphorylation {GO:0033138}; positive regulation of protein serine/threonine kinase activity {GO:0071902}; positive regulation of stress-activated MAPK cascade {GO:0032874}; protein stabilization {GO:0050821}; response to hydrogen peroxide {GO:0042542}; wound healing, spreading of cells {GO:0044319}</t>
  </si>
  <si>
    <t>cytoplasm {GO:0005737}; cytosol {GO:0005829}; extracellular exosome {GO:0070062}; Golgi apparatus {GO:0005794}; Golgi membrane {GO:0000139}; plasma membrane {GO:0005886}</t>
  </si>
  <si>
    <t>protein homodimerization activity {GO:0042803}; protein kinase binding {GO:0019901}; protein N-terminus binding {GO:0047485}</t>
  </si>
  <si>
    <t>Migration and invasion enhancer 1</t>
  </si>
  <si>
    <t>HBV X-transactivated gene 4 protein; HBV XAg-transactivated protein 4; Protein C35</t>
  </si>
  <si>
    <t>MIEN1_HUMAN</t>
  </si>
  <si>
    <t>Q9BRT3</t>
  </si>
  <si>
    <t>C17orf37; RDX12; XTP4</t>
  </si>
  <si>
    <t>3D-structure; Acetylation; Apoptosis; Cell membrane; Cytoplasm; Disulfide bond; Lipoprotein; Membrane; Prenylation; Redox-active center</t>
  </si>
  <si>
    <t>Acetylation; Disulfide bond; Lipoprotein; Prenylation</t>
  </si>
  <si>
    <t>apoptotic process {GO:0006915}; negative regulation of apoptotic process {GO:0043066}; positive regulation of cell migration {GO:0030335}; positive regulation of filopodium assembly {GO:0051491}; response to selenium ion {GO:0010269}</t>
  </si>
  <si>
    <t>cytosol {GO:0005829}; intrinsic component of the cytoplasmic side of the plasma membrane {GO:0031235}</t>
  </si>
  <si>
    <t>Protein disulfide-isomerase (PDI)</t>
  </si>
  <si>
    <t>Cellular thyroid hormone-binding protein; Prolyl 4-hydroxylase subunit beta; p55</t>
  </si>
  <si>
    <t>PDIA1_HUMAN</t>
  </si>
  <si>
    <t>P07237</t>
  </si>
  <si>
    <t>B2RDQ2; P30037; P32079; Q15205; Q6LDE5</t>
  </si>
  <si>
    <t>ERBA2L; PDI; PDIA1; PO4DB</t>
  </si>
  <si>
    <t>3D-structure; Acetylation; Cell membrane; Chaperone; Craniosynostosis; Disease mutation; Disulfide bond; Endoplasmic reticulum; Isomerase; Membrane; Osteogenesis imperfecta; Phosphoprotein; Redox-active center; Repeat; Signal</t>
  </si>
  <si>
    <t>Craniosynostosis; Disease mutation; Osteogenesis imperfecta</t>
  </si>
  <si>
    <t>cell redox homeostasis {GO:0045454}; cellular protein metabolic process {GO:0044267}; cellular response to hypoxia {GO:0071456}; cellular response to interleukin-7 {GO:0098761}; chylomicron assembly {GO:0034378}; interleukin-12-mediated signaling pathway {GO:0035722}; interleukin-23-mediated signaling pathway {GO:0038155}; peptidyl-proline hydroxylation to 4-hydroxy-L-proline {GO:0018401}; positive regulation of viral entry into host cell {GO:0046598}; post-translational protein modification {GO:0043687}; protein folding {GO:0006457}; regulation of oxidative stress-induced intrinsic apoptotic signaling pathway {GO:1902175}; response to endoplasmic reticulum stress {GO:0034976}; very-low-density lipoprotein particle assembly {GO:0034379}</t>
  </si>
  <si>
    <t>endoplasmic reticulum {GO:0005783}; endoplasmic reticulum chaperone complex {GO:0034663}; endoplasmic reticulum lumen {GO:0005788}; endoplasmic reticulum-Golgi intermediate compartment {GO:0005793}; external side of plasma membrane {GO:0009897}; extracellular exosome {GO:0070062}; extracellular region {GO:0005576}; focal adhesion {GO:0005925}; melanosome {GO:0042470}; procollagen-proline 4-dioxygenase complex {GO:0016222}</t>
  </si>
  <si>
    <t>enzyme binding {GO:0019899}; integrin binding {GO:0005178}; peptide disulfide oxidoreductase activity {GO:0015037}; procollagen-proline 4-dioxygenase activity {GO:0004656}; protein disulfide isomerase activity {GO:0003756}; protein heterodimerization activity {GO:0046982}; RNA binding {GO:0003723}</t>
  </si>
  <si>
    <t>Collagen biosynthesis and modifying enzymes {R-HSA-1650814}; Detoxification of Reactive Oxygen Species {R-HSA-3299685}; Regulation of Insulin-like Growth Factor (IGF) transport and uptake by Insulin-like Growth Factor Binding Proteins (IGFBPs) {R-HSA-381426}; Hedgehog ligand biogenesis {R-HSA-5358346}; VLDL assembly {R-HSA-8866423}; Post-translational protein phosphorylation {R-HSA-8957275}; Chylomicron assembly {R-HSA-8963888}; Interleukin-12 signaling {R-HSA-9020591}; Interleukin-23 signaling {R-HSA-9020933}</t>
  </si>
  <si>
    <t>26S proteasome non-ATPase regulatory subunit 11</t>
  </si>
  <si>
    <t>26S proteasome regulatory subunit RPN6; 26S proteasome regulatory subunit S9; 26S proteasome regulatory subunit p44.5</t>
  </si>
  <si>
    <t>PSD11_HUMAN</t>
  </si>
  <si>
    <t>O00231</t>
  </si>
  <si>
    <t>A8K3I7; E1P663; O00495; Q53FT5</t>
  </si>
  <si>
    <t>3D-structure; Acetylation; Alternative splicing; Cytoplasm; Isopeptide bond; Nucleus; Phosphoprotein; Proteasome; Ubl conjugation</t>
  </si>
  <si>
    <t>anaphase-promoting complex-dependent catabolic process {GO:0031145}; antigen processing and presentation of exogenous peptide antigen via MHC class I, TAP-dependent {GO:0002479}; Fc-epsilon receptor signaling pathway {GO:0038095}; interleukin-1-mediated signaling pathway {GO:0070498}; MAPK cascade {GO:0000165}; negative regulation of canonical Wnt signaling pathway {GO:0090090}; negative regulation of G2/M transition of mitotic cell cycle {GO:0010972}; neutrophil degranulation {GO:0043312}; NIK/NF-kappaB signaling {GO:0038061}; positive regulation of canonical Wnt signaling pathway {GO:0090263}; post-translational protein modification {GO:0043687}; proteasome assembly {GO:0043248}; proteasome-mediated ubiquitin-dependent protein catabolic process {GO:0043161}; protein deubiquitination {GO:0016579}; protein polyubiquitination {GO:0000209}; regulation of cellular amino acid metabolic process {GO:0006521}; regulation of hematopoietic stem cell differentiation {GO:1902036}; regulation of mitotic cell cycle phase transition {GO:1901990}; regulation of mRNA stability {GO:0043488}; regulation of transcription from RNA polymerase II promoter in response to hypoxia {GO:0061418}; SCF-dependent proteasomal ubiquitin-dependent protein catabolic process {GO:0031146}; stem cell differentiation {GO:0048863}; stimulatory C-type lectin receptor signaling pathway {GO:0002223}; T cell receptor signaling pathway {GO:0050852}; transmembrane transport {GO:0055085}; tumor necrosis factor-mediated signaling pathway {GO:0033209}; ubiquitin-dependent protein catabolic process {GO:0006511}; Wnt signaling pathway, planar cell polarity pathway {GO:0060071}</t>
  </si>
  <si>
    <t>cytosol {GO:0005829}; extracellular region {GO:0005576}; ficolin-1-rich granule lumen {GO:1904813}; membrane {GO:0016020}; nucleoplasm {GO:0005654}; nucleus {GO:0005634}; proteasome accessory complex {GO:0022624}; proteasome complex {GO:0000502}; proteasome regulatory particle, lid subcomplex {GO:0008541}; secretory granule lumen {GO:0034774}</t>
  </si>
  <si>
    <t>Alpha-N-acetylglucosaminidase 77 kDa form</t>
  </si>
  <si>
    <t>N-acetyl-alpha-glucosaminidase (NAG)</t>
  </si>
  <si>
    <t>ANAG_HUMAN</t>
  </si>
  <si>
    <t>P54802</t>
  </si>
  <si>
    <t>UFHSD1</t>
  </si>
  <si>
    <t>3D-structure; Charcot-Marie-Tooth disease; Disease mutation; Glycoprotein; Glycosidase; Hydrolase; Lysosome; Mucopolysaccharidosis; Neurodegeneration; Neuropathy; Polymorphism; Signal</t>
  </si>
  <si>
    <t>Charcot-Marie-Tooth disease; Disease mutation; Mucopolysaccharidosis; Neurodegeneration; Neuropathy</t>
  </si>
  <si>
    <t>cerebellar Purkinje cell layer development {GO:0021680}; glycosaminoglycan catabolic process {GO:0006027}; inner ear receptor cell development {GO:0060119}; locomotor rhythm {GO:0045475}; lysosome organization {GO:0007040}; middle ear morphogenesis {GO:0042474}; nervous system development {GO:0007399}; retinal rod cell development {GO:0046548}</t>
  </si>
  <si>
    <t>alpha-N-acetylglucosaminidase activity {GO:0004561}</t>
  </si>
  <si>
    <t>HS-GAG degradation {R-HSA-2024096}; MPS IIIB - Sanfilippo syndrome B {R-HSA-2206282}</t>
  </si>
  <si>
    <t>Cytochrome c oxidase subunit 2</t>
  </si>
  <si>
    <t>Cytochrome c oxidase polypeptide II</t>
  </si>
  <si>
    <t>COX2_HUMAN</t>
  </si>
  <si>
    <t>P00403</t>
  </si>
  <si>
    <t>Q37526</t>
  </si>
  <si>
    <t>3D-structure; Copper; Disease mutation; Electron transport; Membrane; Metal-binding; Mitochondrion; Mitochondrion inner membrane; Polymorphism; Primary mitochondrial disease; Respiratory chain; Transmembrane; Transmembrane helix; Transport</t>
  </si>
  <si>
    <t>ATP synthesis coupled electron transport {GO:0042773}; lactation {GO:0007595}; mitochondrial electron transport, cytochrome c to oxygen {GO:0006123}; positive regulation of ATP biosynthetic process {GO:2001171}; positive regulation of hydrogen peroxide biosynthetic process {GO:0010729}; positive regulation of necrotic cell death {GO:0010940}; response to cold {GO:0009409}</t>
  </si>
  <si>
    <t>integral component of membrane {GO:0016021}; membrane {GO:0016020}; mitochondrial inner membrane {GO:0005743}; mitochondrion {GO:0005739}; respiratory chain complex IV {GO:0045277}</t>
  </si>
  <si>
    <t>copper ion binding {GO:0005507}; cytochrome-c oxidase activity {GO:0004129}</t>
  </si>
  <si>
    <t>ATP synthase protein 8</t>
  </si>
  <si>
    <t>A6L; F-ATPase subunit 8</t>
  </si>
  <si>
    <t>ATP8_HUMAN</t>
  </si>
  <si>
    <t>P03928</t>
  </si>
  <si>
    <t>Q34771</t>
  </si>
  <si>
    <t>ATP8; ATPASE8; MTATP8</t>
  </si>
  <si>
    <t>Acetylation; ATP synthesis; Cardiomyopathy; CF(0); Disease mutation; Hydrogen ion transport; Ion transport; Membrane; Mitochondrion; Polymorphism; Primary mitochondrial disease; Transmembrane; Transmembrane helix; Transport</t>
  </si>
  <si>
    <t>CF(0); Membrane; Mitochondrion</t>
  </si>
  <si>
    <t>Cardiomyopathy; Disease mutation; Primary mitochondrial disease</t>
  </si>
  <si>
    <t>ATP biosynthetic process {GO:0006754}; cristae formation {GO:0042407}; mitochondrial ATP synthesis coupled proton transport {GO:0042776}</t>
  </si>
  <si>
    <t>integral component of membrane {GO:0016021}; mitochondrial inner membrane {GO:0005743}; mitochondrial proton-transporting ATP synthase complex {GO:0005753}; mitochondrial proton-transporting ATP synthase complex, coupling factor F(o) {GO:0000276}</t>
  </si>
  <si>
    <t>less than 5</t>
  </si>
  <si>
    <t>Highlighting:</t>
  </si>
  <si>
    <t>From notebook and edgeR analysis</t>
  </si>
  <si>
    <t>Human orthologs</t>
  </si>
  <si>
    <t>Human Annotations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</si>
  <si>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</si>
  <si>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</si>
  <si>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</si>
  <si>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</si>
  <si>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</si>
  <si>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</si>
  <si>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</si>
  <si>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</si>
  <si>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</si>
  <si>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</si>
  <si>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</si>
  <si>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</si>
  <si>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</si>
  <si>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</si>
  <si>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</si>
  <si>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</si>
  <si>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</si>
  <si>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</si>
  <si>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</si>
  <si>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</si>
  <si>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</si>
  <si>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</si>
  <si>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</si>
  <si>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</si>
  <si>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</si>
  <si>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</si>
  <si>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</si>
  <si>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</si>
  <si>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</si>
  <si>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</si>
  <si>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</si>
  <si>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</si>
  <si>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</si>
  <si>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</si>
  <si>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</si>
  <si>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</si>
  <si>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</si>
  <si>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</si>
  <si>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</si>
  <si>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</si>
  <si>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</si>
  <si>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</si>
  <si>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</si>
  <si>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</si>
  <si>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</si>
  <si>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</si>
  <si>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</si>
  <si>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</si>
  <si>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</si>
  <si>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</si>
  <si>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</si>
  <si>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</si>
  <si>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</si>
  <si>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</si>
  <si>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</si>
  <si>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</si>
  <si>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</si>
  <si>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</si>
  <si>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</si>
  <si>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</si>
  <si>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</si>
  <si>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</si>
  <si>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</si>
  <si>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</si>
  <si>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</si>
  <si>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</si>
  <si>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</si>
  <si>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</si>
  <si>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</si>
  <si>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</si>
  <si>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</si>
  <si>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</si>
  <si>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</si>
  <si>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</si>
  <si>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</si>
  <si>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</si>
  <si>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</si>
  <si>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</si>
  <si>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</si>
  <si>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</si>
  <si>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</si>
  <si>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</si>
  <si>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</si>
  <si>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</si>
  <si>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</si>
  <si>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</si>
  <si>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</si>
  <si>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</si>
  <si>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</si>
  <si>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</si>
  <si>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</si>
  <si>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</si>
  <si>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</si>
  <si>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</si>
  <si>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</si>
  <si>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</si>
  <si>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</si>
  <si>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</si>
  <si>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</si>
  <si>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</si>
  <si>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</si>
  <si>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</si>
  <si>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</si>
  <si>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</si>
  <si>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</si>
  <si>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</si>
  <si>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</si>
  <si>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</si>
  <si>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</si>
  <si>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</si>
  <si>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</si>
  <si>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</si>
  <si>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</si>
  <si>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</si>
  <si>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</si>
  <si>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</si>
  <si>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</si>
  <si>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</si>
  <si>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</si>
  <si>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</si>
  <si>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</si>
  <si>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</si>
  <si>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</si>
  <si>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</si>
  <si>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</si>
  <si>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</si>
  <si>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</si>
  <si>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</si>
  <si>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</si>
  <si>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</si>
  <si>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</si>
  <si>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Column</t>
  </si>
  <si>
    <t>Header</t>
  </si>
  <si>
    <t>OrigOrder</t>
  </si>
  <si>
    <t>PXD009019</t>
  </si>
  <si>
    <t>Control</t>
  </si>
  <si>
    <t>Lepto</t>
  </si>
  <si>
    <t>Arbitrary integral protein group number (redundant by groups)</t>
  </si>
  <si>
    <t>Column of ones for visible row counting</t>
  </si>
  <si>
    <t>FASTA database keys</t>
  </si>
  <si>
    <t>Text flag column to denote contaminant and decoy matches</t>
  </si>
  <si>
    <t>Protein sequence coverage (%)</t>
  </si>
  <si>
    <t>Number of amino acids in protein sequence</t>
  </si>
  <si>
    <t>Calculated molecular weight of FASTA protein sequence</t>
  </si>
  <si>
    <t>FASTA sequence header line (after key)</t>
  </si>
  <si>
    <t>Total spectral counts (SpC) for all samples in experiment</t>
  </si>
  <si>
    <t>Total unique SpC for all samples in experiment</t>
  </si>
  <si>
    <t>Fraction of SpC that are unique (map to single FASTA entry)</t>
  </si>
  <si>
    <t>Total SpC for respective sample</t>
  </si>
  <si>
    <t>Total unique SpC for respective sample</t>
  </si>
  <si>
    <t>Corrected SpC (shared peptide counts fractionally split) for respective sample</t>
  </si>
  <si>
    <t>Union of all accessions having any common shared peptides for respective protein</t>
  </si>
  <si>
    <t>Accessions of other indistinguishable proteins</t>
  </si>
  <si>
    <t>Accessions of homologous proteins that were grouped into families</t>
  </si>
  <si>
    <t>Used for sorting table (to move contams and decoys to bottom)</t>
  </si>
  <si>
    <t>Manual flagging of top 34 reported proteins from JPR paper</t>
  </si>
  <si>
    <t>Average SpC across all 19 samples (used to determine quant cutoff)</t>
  </si>
  <si>
    <t>Cumulative fraction of zero counts of all counts</t>
  </si>
  <si>
    <t>Cumulative fraction of all spectral counts</t>
  </si>
  <si>
    <t>Number of sample with missing values for respective protein</t>
  </si>
  <si>
    <t>"yes" if average SpC exceeds 2.5, "no" otherwise</t>
  </si>
  <si>
    <t>TMM normalized SpC from edgeR for respective sample</t>
  </si>
  <si>
    <t>Log2 of fold change</t>
  </si>
  <si>
    <t>Traditional fold change</t>
  </si>
  <si>
    <t>edgeR p-value</t>
  </si>
  <si>
    <t>edgeR BH-adjusted p-value</t>
  </si>
  <si>
    <t>Average SpC for lepto samples</t>
  </si>
  <si>
    <t>Average SpC for control samples</t>
  </si>
  <si>
    <t>Expression change direction</t>
  </si>
  <si>
    <t>Differential expression status (low &gt; 0.10 &gt; low &gt; 0.05 &gt; medium &gt; 0.01 &gt; high for FDR value)</t>
  </si>
  <si>
    <t>human ortholog accession</t>
  </si>
  <si>
    <t>BLAST match status</t>
  </si>
  <si>
    <t>BLAST bit score for alignment</t>
  </si>
  <si>
    <t>Protein description</t>
  </si>
  <si>
    <t>Any other protein names</t>
  </si>
  <si>
    <t>UniProt identifier</t>
  </si>
  <si>
    <t>UniProt accession</t>
  </si>
  <si>
    <t>Any other accessions</t>
  </si>
  <si>
    <t>UniProt gene symbol</t>
  </si>
  <si>
    <t>Any other gene symbols</t>
  </si>
  <si>
    <t>Species</t>
  </si>
  <si>
    <t>Taxon</t>
  </si>
  <si>
    <t>Hyperlink to UniProt database</t>
  </si>
  <si>
    <t>UniProt keywords (controlled vocabulary from annotators)</t>
  </si>
  <si>
    <t>Keywords by category</t>
  </si>
  <si>
    <t>GO terms by category</t>
  </si>
  <si>
    <t>Manual annotations about pathways</t>
  </si>
  <si>
    <t>Reactome pathway information</t>
  </si>
  <si>
    <t>PXD009019: Sea lion urine</t>
  </si>
  <si>
    <t>from: Neely, B.A., Prager, K.C., Bland, A.M., Fontaine, C., Gulland, F.M. and Janech, M.G., 2018. Proteomic Analysis of Urine from California Sea Lions (Zalophus californianus): a Resource for Urinary Biomarker Discovery. Journal of proteome research, 17(9), pp.3281-3291.</t>
  </si>
  <si>
    <t>Analysis with Comet/PAW: https://github.com/pwilmart/PAW_pipeline</t>
  </si>
  <si>
    <t>Performed by Phil Wilmarth, OHSU, July 19, 2019</t>
  </si>
  <si>
    <t>[in progress]</t>
  </si>
  <si>
    <t>See: https://github.com/pwilmart/PAW_BLAST</t>
  </si>
  <si>
    <t>Data exported for R; results from edgeR analysis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</si>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</sst>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.0000E+00"/>
    <numFmt numFmtId="167" formatCode="0.00000000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5">
    <xf numFmtId="0" fontId="0" fillId="0" borderId="0" xfId="0"/>
    <xf numFmtId="0" fontId="16" fillId="0" borderId="0" xfId="0" applyFont="1"/>
    <xf numFmtId="164" fontId="0" fillId="0" borderId="0" xfId="0" applyNumberFormat="1"/>
    <xf numFmtId="0" fontId="0" fillId="0" borderId="0" xfId="0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0" fillId="33" borderId="0" xfId="0" applyFill="1"/>
    <xf numFmtId="3" fontId="0" fillId="0" borderId="0" xfId="0" applyNumberFormat="1"/>
    <xf numFmtId="3" fontId="0" fillId="33" borderId="0" xfId="0" applyNumberFormat="1" applyFill="1"/>
    <xf numFmtId="3" fontId="0" fillId="34" borderId="0" xfId="0" applyNumberFormat="1" applyFill="1"/>
    <xf numFmtId="0" fontId="0" fillId="34" borderId="0" xfId="0" applyFill="1"/>
    <xf numFmtId="2" fontId="0" fillId="0" borderId="0" xfId="0" applyNumberFormat="1"/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0" fontId="0" fillId="0" borderId="0" xfId="0" applyNumberFormat="1"/>
    <xf numFmtId="164" fontId="0" fillId="35" borderId="10" xfId="0" applyNumberFormat="1" applyFill="1" applyBorder="1"/>
    <xf numFmtId="165" fontId="0" fillId="0" borderId="0" xfId="0" applyNumberFormat="1"/>
    <xf numFmtId="165" fontId="16" fillId="0" borderId="0" xfId="0" applyNumberFormat="1" applyFont="1"/>
    <xf numFmtId="10" fontId="0" fillId="0" borderId="0" xfId="0" applyNumberFormat="1"/>
    <xf numFmtId="0" fontId="0" fillId="36" borderId="0" xfId="0" applyFill="1" applyAlignment="1">
      <alignment horizontal="right"/>
    </xf>
    <xf numFmtId="164" fontId="0" fillId="36" borderId="0" xfId="0" applyNumberFormat="1" applyFill="1"/>
    <xf numFmtId="0" fontId="0" fillId="36" borderId="0" xfId="0" applyFill="1"/>
    <xf numFmtId="164" fontId="0" fillId="37" borderId="0" xfId="0" applyNumberFormat="1" applyFill="1"/>
    <xf numFmtId="0" fontId="0" fillId="37" borderId="0" xfId="0" applyFill="1"/>
    <xf numFmtId="0" fontId="0" fillId="0" borderId="0" xfId="0" applyFont="1"/>
    <xf numFmtId="0" fontId="16" fillId="33" borderId="0" xfId="0" applyFont="1" applyFill="1"/>
    <xf numFmtId="166" fontId="0" fillId="0" borderId="0" xfId="0" applyNumberFormat="1"/>
    <xf numFmtId="167" fontId="0" fillId="0" borderId="0" xfId="0" applyNumberFormat="1"/>
    <xf numFmtId="2" fontId="16" fillId="0" borderId="0" xfId="0" applyNumberFormat="1" applyFont="1"/>
    <xf numFmtId="166" fontId="16" fillId="0" borderId="0" xfId="0" applyNumberFormat="1" applyFont="1"/>
    <xf numFmtId="167" fontId="16" fillId="0" borderId="0" xfId="0" applyNumberFormat="1" applyFont="1"/>
    <xf numFmtId="0" fontId="0" fillId="0" borderId="10" xfId="0" applyBorder="1"/>
    <xf numFmtId="0" fontId="0" fillId="33" borderId="10" xfId="0" applyFill="1" applyBorder="1"/>
    <xf numFmtId="0" fontId="16" fillId="0" borderId="10" xfId="0" applyFont="1" applyBorder="1"/>
    <xf numFmtId="0" fontId="18" fillId="0" borderId="0" xfId="42"/>
    <xf numFmtId="164" fontId="0" fillId="38" borderId="0" xfId="0" applyNumberFormat="1" applyFill="1"/>
    <xf numFmtId="2" fontId="0" fillId="36" borderId="10" xfId="0" applyNumberFormat="1" applyFill="1" applyBorder="1"/>
    <xf numFmtId="2" fontId="0" fillId="37" borderId="10" xfId="0" applyNumberFormat="1" applyFill="1" applyBorder="1"/>
    <xf numFmtId="2" fontId="16" fillId="40" borderId="10" xfId="0" applyNumberFormat="1" applyFont="1" applyFill="1" applyBorder="1"/>
    <xf numFmtId="2" fontId="16" fillId="39" borderId="10" xfId="0" applyNumberFormat="1" applyFont="1" applyFill="1" applyBorder="1"/>
    <xf numFmtId="165" fontId="16" fillId="0" borderId="10" xfId="0" applyNumberFormat="1" applyFont="1" applyBorder="1"/>
    <xf numFmtId="166" fontId="16" fillId="0" borderId="10" xfId="0" applyNumberFormat="1" applyFont="1" applyBorder="1"/>
    <xf numFmtId="167" fontId="16" fillId="0" borderId="10" xfId="0" applyNumberFormat="1" applyFont="1" applyBorder="1"/>
    <xf numFmtId="2" fontId="16" fillId="41" borderId="10" xfId="0" applyNumberFormat="1" applyFont="1" applyFill="1" applyBorder="1"/>
    <xf numFmtId="2" fontId="16" fillId="42" borderId="10" xfId="0" applyNumberFormat="1" applyFont="1" applyFill="1" applyBorder="1"/>
    <xf numFmtId="165" fontId="0" fillId="0" borderId="10" xfId="0" applyNumberFormat="1" applyBorder="1"/>
    <xf numFmtId="166" fontId="0" fillId="0" borderId="10" xfId="0" applyNumberFormat="1" applyBorder="1"/>
    <xf numFmtId="167" fontId="0" fillId="0" borderId="10" xfId="0" applyNumberFormat="1" applyBorder="1"/>
    <xf numFmtId="2" fontId="0" fillId="40" borderId="10" xfId="0" applyNumberFormat="1" applyFill="1" applyBorder="1"/>
    <xf numFmtId="2" fontId="0" fillId="39" borderId="10" xfId="0" applyNumberFormat="1" applyFill="1" applyBorder="1"/>
    <xf numFmtId="0" fontId="18" fillId="0" borderId="10" xfId="42" applyBorder="1"/>
    <xf numFmtId="0" fontId="0" fillId="0" borderId="0" xfId="0" applyBorder="1"/>
    <xf numFmtId="0" fontId="16" fillId="0" borderId="0" xfId="0" applyFont="1" applyBorder="1"/>
    <xf numFmtId="164" fontId="0" fillId="35" borderId="0" xfId="0" applyNumberFormat="1" applyFill="1" applyBorder="1"/>
    <xf numFmtId="3" fontId="0" fillId="0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F2DE-AB39-7A4C-BD78-04F3EA12288E}">
  <dimension ref="A1:D142"/>
  <sheetViews>
    <sheetView workbookViewId="0">
      <selection activeCell="A6" sqref="A6"/>
    </sheetView>
  </sheetViews>
  <sheetFormatPr baseColWidth="10" defaultRowHeight="16"/>
  <cols>
    <col min="2" max="2" width="31.1640625" bestFit="1" customWidth="1"/>
    <col min="3" max="3" width="79.5" bestFit="1" customWidth="1"/>
    <col min="113" max="116" width="10.6640625" customWidth="1"/>
  </cols>
  <sheetData>
    <row r="1" spans="1:3">
      <c r="A1" s="1" t="s">
        <v>36841</v>
      </c>
    </row>
    <row r="2" spans="1:3">
      <c r="A2" t="s">
        <v>36842</v>
      </c>
    </row>
    <row r="3" spans="1:3">
      <c r="A3" t="s">
        <v>36843</v>
      </c>
    </row>
    <row r="4" spans="1:3">
      <c r="A4" t="s">
        <v>36844</v>
      </c>
    </row>
    <row r="10" spans="1:3">
      <c r="A10" s="1" t="s">
        <v>36784</v>
      </c>
      <c r="B10" s="1" t="s">
        <v>36785</v>
      </c>
      <c r="C10" s="1" t="s">
        <v>11</v>
      </c>
    </row>
    <row r="11" spans="1:3">
      <c r="A11" t="s">
        <v>36653</v>
      </c>
      <c r="B11" t="s">
        <v>1</v>
      </c>
      <c r="C11" t="s">
        <v>36790</v>
      </c>
    </row>
    <row r="12" spans="1:3">
      <c r="A12" t="s">
        <v>36654</v>
      </c>
      <c r="B12" t="s">
        <v>2</v>
      </c>
      <c r="C12" t="s">
        <v>36791</v>
      </c>
    </row>
    <row r="13" spans="1:3">
      <c r="A13" t="s">
        <v>36655</v>
      </c>
      <c r="B13" t="s">
        <v>3</v>
      </c>
      <c r="C13" t="s">
        <v>36792</v>
      </c>
    </row>
    <row r="14" spans="1:3">
      <c r="A14" t="s">
        <v>36656</v>
      </c>
      <c r="B14" t="s">
        <v>4</v>
      </c>
      <c r="C14" t="s">
        <v>36805</v>
      </c>
    </row>
    <row r="15" spans="1:3">
      <c r="A15" t="s">
        <v>36657</v>
      </c>
      <c r="B15" t="s">
        <v>5</v>
      </c>
      <c r="C15" t="s">
        <v>36806</v>
      </c>
    </row>
    <row r="16" spans="1:3">
      <c r="A16" t="s">
        <v>36658</v>
      </c>
      <c r="B16" t="s">
        <v>6</v>
      </c>
      <c r="C16" t="s">
        <v>36804</v>
      </c>
    </row>
    <row r="17" spans="1:4">
      <c r="A17" t="s">
        <v>36659</v>
      </c>
      <c r="B17" t="s">
        <v>7</v>
      </c>
      <c r="C17" t="s">
        <v>36793</v>
      </c>
    </row>
    <row r="18" spans="1:4">
      <c r="A18" t="s">
        <v>36660</v>
      </c>
      <c r="B18" t="s">
        <v>8</v>
      </c>
      <c r="C18" t="s">
        <v>36794</v>
      </c>
    </row>
    <row r="19" spans="1:4">
      <c r="A19" t="s">
        <v>36661</v>
      </c>
      <c r="B19" t="s">
        <v>9</v>
      </c>
      <c r="C19" t="s">
        <v>36795</v>
      </c>
    </row>
    <row r="20" spans="1:4">
      <c r="A20" t="s">
        <v>36662</v>
      </c>
      <c r="B20" t="s">
        <v>10</v>
      </c>
      <c r="C20" t="s">
        <v>36796</v>
      </c>
    </row>
    <row r="21" spans="1:4">
      <c r="A21" t="s">
        <v>36663</v>
      </c>
      <c r="B21" t="s">
        <v>11</v>
      </c>
      <c r="C21" t="s">
        <v>36797</v>
      </c>
    </row>
    <row r="22" spans="1:4">
      <c r="A22" t="s">
        <v>36664</v>
      </c>
      <c r="B22" t="s">
        <v>5819</v>
      </c>
      <c r="C22" t="s">
        <v>36807</v>
      </c>
    </row>
    <row r="23" spans="1:4">
      <c r="A23" t="s">
        <v>36665</v>
      </c>
      <c r="B23" t="s">
        <v>5822</v>
      </c>
      <c r="C23" t="s">
        <v>36808</v>
      </c>
    </row>
    <row r="24" spans="1:4">
      <c r="A24" t="s">
        <v>36666</v>
      </c>
      <c r="B24" t="s">
        <v>12</v>
      </c>
      <c r="C24" t="s">
        <v>36798</v>
      </c>
    </row>
    <row r="25" spans="1:4">
      <c r="A25" t="s">
        <v>36667</v>
      </c>
      <c r="B25" t="s">
        <v>13</v>
      </c>
      <c r="C25" t="s">
        <v>36799</v>
      </c>
    </row>
    <row r="26" spans="1:4">
      <c r="A26" t="s">
        <v>36668</v>
      </c>
      <c r="B26" t="s">
        <v>14</v>
      </c>
      <c r="C26" t="s">
        <v>36800</v>
      </c>
    </row>
    <row r="27" spans="1:4">
      <c r="A27" t="s">
        <v>36669</v>
      </c>
      <c r="B27" t="s">
        <v>28</v>
      </c>
      <c r="C27" t="s">
        <v>36801</v>
      </c>
      <c r="D27" t="s">
        <v>36788</v>
      </c>
    </row>
    <row r="28" spans="1:4">
      <c r="A28" t="s">
        <v>36670</v>
      </c>
      <c r="B28" t="s">
        <v>18</v>
      </c>
      <c r="C28" t="s">
        <v>36801</v>
      </c>
      <c r="D28" t="s">
        <v>36788</v>
      </c>
    </row>
    <row r="29" spans="1:4">
      <c r="A29" t="s">
        <v>36671</v>
      </c>
      <c r="B29" t="s">
        <v>29</v>
      </c>
      <c r="C29" t="s">
        <v>36801</v>
      </c>
      <c r="D29" t="s">
        <v>36788</v>
      </c>
    </row>
    <row r="30" spans="1:4">
      <c r="A30" t="s">
        <v>36672</v>
      </c>
      <c r="B30" t="s">
        <v>30</v>
      </c>
      <c r="C30" t="s">
        <v>36801</v>
      </c>
      <c r="D30" t="s">
        <v>36788</v>
      </c>
    </row>
    <row r="31" spans="1:4">
      <c r="A31" t="s">
        <v>36673</v>
      </c>
      <c r="B31" t="s">
        <v>31</v>
      </c>
      <c r="C31" t="s">
        <v>36801</v>
      </c>
      <c r="D31" t="s">
        <v>36788</v>
      </c>
    </row>
    <row r="32" spans="1:4">
      <c r="A32" t="s">
        <v>36674</v>
      </c>
      <c r="B32" t="s">
        <v>22</v>
      </c>
      <c r="C32" t="s">
        <v>36801</v>
      </c>
      <c r="D32" t="s">
        <v>36788</v>
      </c>
    </row>
    <row r="33" spans="1:4">
      <c r="A33" t="s">
        <v>36675</v>
      </c>
      <c r="B33" t="s">
        <v>23</v>
      </c>
      <c r="C33" t="s">
        <v>36801</v>
      </c>
      <c r="D33" t="s">
        <v>36788</v>
      </c>
    </row>
    <row r="34" spans="1:4">
      <c r="A34" t="s">
        <v>36676</v>
      </c>
      <c r="B34" t="s">
        <v>24</v>
      </c>
      <c r="C34" t="s">
        <v>36801</v>
      </c>
      <c r="D34" t="s">
        <v>36788</v>
      </c>
    </row>
    <row r="35" spans="1:4">
      <c r="A35" t="s">
        <v>36677</v>
      </c>
      <c r="B35" t="s">
        <v>25</v>
      </c>
      <c r="C35" t="s">
        <v>36801</v>
      </c>
      <c r="D35" t="s">
        <v>36789</v>
      </c>
    </row>
    <row r="36" spans="1:4">
      <c r="A36" t="s">
        <v>36678</v>
      </c>
      <c r="B36" t="s">
        <v>26</v>
      </c>
      <c r="C36" t="s">
        <v>36801</v>
      </c>
      <c r="D36" t="s">
        <v>36789</v>
      </c>
    </row>
    <row r="37" spans="1:4">
      <c r="A37" t="s">
        <v>36679</v>
      </c>
      <c r="B37" t="s">
        <v>15</v>
      </c>
      <c r="C37" t="s">
        <v>36801</v>
      </c>
      <c r="D37" t="s">
        <v>36789</v>
      </c>
    </row>
    <row r="38" spans="1:4">
      <c r="A38" t="s">
        <v>36680</v>
      </c>
      <c r="B38" t="s">
        <v>27</v>
      </c>
      <c r="C38" t="s">
        <v>36801</v>
      </c>
      <c r="D38" t="s">
        <v>36789</v>
      </c>
    </row>
    <row r="39" spans="1:4">
      <c r="A39" t="s">
        <v>36681</v>
      </c>
      <c r="B39" t="s">
        <v>16</v>
      </c>
      <c r="C39" t="s">
        <v>36801</v>
      </c>
      <c r="D39" t="s">
        <v>36789</v>
      </c>
    </row>
    <row r="40" spans="1:4">
      <c r="A40" t="s">
        <v>36682</v>
      </c>
      <c r="B40" t="s">
        <v>17</v>
      </c>
      <c r="C40" t="s">
        <v>36801</v>
      </c>
      <c r="D40" t="s">
        <v>36789</v>
      </c>
    </row>
    <row r="41" spans="1:4">
      <c r="A41" t="s">
        <v>36683</v>
      </c>
      <c r="B41" t="s">
        <v>32</v>
      </c>
      <c r="C41" t="s">
        <v>36801</v>
      </c>
      <c r="D41" t="s">
        <v>36789</v>
      </c>
    </row>
    <row r="42" spans="1:4">
      <c r="A42" t="s">
        <v>36684</v>
      </c>
      <c r="B42" t="s">
        <v>19</v>
      </c>
      <c r="C42" t="s">
        <v>36801</v>
      </c>
      <c r="D42" t="s">
        <v>36789</v>
      </c>
    </row>
    <row r="43" spans="1:4">
      <c r="A43" t="s">
        <v>36685</v>
      </c>
      <c r="B43" t="s">
        <v>20</v>
      </c>
      <c r="C43" t="s">
        <v>36801</v>
      </c>
      <c r="D43" t="s">
        <v>36789</v>
      </c>
    </row>
    <row r="44" spans="1:4">
      <c r="A44" t="s">
        <v>36686</v>
      </c>
      <c r="B44" t="s">
        <v>33</v>
      </c>
      <c r="C44" t="s">
        <v>36801</v>
      </c>
      <c r="D44" t="s">
        <v>36789</v>
      </c>
    </row>
    <row r="45" spans="1:4">
      <c r="A45" t="s">
        <v>36687</v>
      </c>
      <c r="B45" t="s">
        <v>21</v>
      </c>
      <c r="C45" t="s">
        <v>36801</v>
      </c>
      <c r="D45" t="s">
        <v>36789</v>
      </c>
    </row>
    <row r="46" spans="1:4">
      <c r="A46" t="s">
        <v>36688</v>
      </c>
      <c r="B46" t="s">
        <v>47</v>
      </c>
      <c r="C46" t="s">
        <v>36802</v>
      </c>
      <c r="D46" t="s">
        <v>36788</v>
      </c>
    </row>
    <row r="47" spans="1:4">
      <c r="A47" t="s">
        <v>36689</v>
      </c>
      <c r="B47" t="s">
        <v>37</v>
      </c>
      <c r="C47" t="s">
        <v>36802</v>
      </c>
      <c r="D47" t="s">
        <v>36788</v>
      </c>
    </row>
    <row r="48" spans="1:4">
      <c r="A48" t="s">
        <v>36690</v>
      </c>
      <c r="B48" t="s">
        <v>48</v>
      </c>
      <c r="C48" t="s">
        <v>36802</v>
      </c>
      <c r="D48" t="s">
        <v>36788</v>
      </c>
    </row>
    <row r="49" spans="1:4">
      <c r="A49" t="s">
        <v>18945</v>
      </c>
      <c r="B49" t="s">
        <v>49</v>
      </c>
      <c r="C49" t="s">
        <v>36802</v>
      </c>
      <c r="D49" t="s">
        <v>36788</v>
      </c>
    </row>
    <row r="50" spans="1:4">
      <c r="A50" t="s">
        <v>36691</v>
      </c>
      <c r="B50" t="s">
        <v>50</v>
      </c>
      <c r="C50" t="s">
        <v>36802</v>
      </c>
      <c r="D50" t="s">
        <v>36788</v>
      </c>
    </row>
    <row r="51" spans="1:4">
      <c r="A51" t="s">
        <v>36692</v>
      </c>
      <c r="B51" t="s">
        <v>41</v>
      </c>
      <c r="C51" t="s">
        <v>36802</v>
      </c>
      <c r="D51" t="s">
        <v>36788</v>
      </c>
    </row>
    <row r="52" spans="1:4">
      <c r="A52" t="s">
        <v>36693</v>
      </c>
      <c r="B52" t="s">
        <v>42</v>
      </c>
      <c r="C52" t="s">
        <v>36802</v>
      </c>
      <c r="D52" t="s">
        <v>36788</v>
      </c>
    </row>
    <row r="53" spans="1:4">
      <c r="A53" t="s">
        <v>36694</v>
      </c>
      <c r="B53" t="s">
        <v>43</v>
      </c>
      <c r="C53" t="s">
        <v>36802</v>
      </c>
      <c r="D53" t="s">
        <v>36788</v>
      </c>
    </row>
    <row r="54" spans="1:4">
      <c r="A54" t="s">
        <v>36695</v>
      </c>
      <c r="B54" t="s">
        <v>44</v>
      </c>
      <c r="C54" t="s">
        <v>36802</v>
      </c>
      <c r="D54" t="s">
        <v>36789</v>
      </c>
    </row>
    <row r="55" spans="1:4">
      <c r="A55" t="s">
        <v>36696</v>
      </c>
      <c r="B55" t="s">
        <v>45</v>
      </c>
      <c r="C55" t="s">
        <v>36802</v>
      </c>
      <c r="D55" t="s">
        <v>36789</v>
      </c>
    </row>
    <row r="56" spans="1:4">
      <c r="A56" t="s">
        <v>36697</v>
      </c>
      <c r="B56" t="s">
        <v>34</v>
      </c>
      <c r="C56" t="s">
        <v>36802</v>
      </c>
      <c r="D56" t="s">
        <v>36789</v>
      </c>
    </row>
    <row r="57" spans="1:4">
      <c r="A57" t="s">
        <v>36698</v>
      </c>
      <c r="B57" t="s">
        <v>46</v>
      </c>
      <c r="C57" t="s">
        <v>36802</v>
      </c>
      <c r="D57" t="s">
        <v>36789</v>
      </c>
    </row>
    <row r="58" spans="1:4">
      <c r="A58" t="s">
        <v>36699</v>
      </c>
      <c r="B58" t="s">
        <v>35</v>
      </c>
      <c r="C58" t="s">
        <v>36802</v>
      </c>
      <c r="D58" t="s">
        <v>36789</v>
      </c>
    </row>
    <row r="59" spans="1:4">
      <c r="A59" t="s">
        <v>36700</v>
      </c>
      <c r="B59" t="s">
        <v>36</v>
      </c>
      <c r="C59" t="s">
        <v>36802</v>
      </c>
      <c r="D59" t="s">
        <v>36789</v>
      </c>
    </row>
    <row r="60" spans="1:4">
      <c r="A60" t="s">
        <v>36701</v>
      </c>
      <c r="B60" t="s">
        <v>51</v>
      </c>
      <c r="C60" t="s">
        <v>36802</v>
      </c>
      <c r="D60" t="s">
        <v>36789</v>
      </c>
    </row>
    <row r="61" spans="1:4">
      <c r="A61" t="s">
        <v>36702</v>
      </c>
      <c r="B61" t="s">
        <v>38</v>
      </c>
      <c r="C61" t="s">
        <v>36802</v>
      </c>
      <c r="D61" t="s">
        <v>36789</v>
      </c>
    </row>
    <row r="62" spans="1:4">
      <c r="A62" t="s">
        <v>36703</v>
      </c>
      <c r="B62" t="s">
        <v>39</v>
      </c>
      <c r="C62" t="s">
        <v>36802</v>
      </c>
      <c r="D62" t="s">
        <v>36789</v>
      </c>
    </row>
    <row r="63" spans="1:4">
      <c r="A63" t="s">
        <v>36704</v>
      </c>
      <c r="B63" t="s">
        <v>52</v>
      </c>
      <c r="C63" t="s">
        <v>36802</v>
      </c>
      <c r="D63" t="s">
        <v>36789</v>
      </c>
    </row>
    <row r="64" spans="1:4">
      <c r="A64" t="s">
        <v>36705</v>
      </c>
      <c r="B64" t="s">
        <v>40</v>
      </c>
      <c r="C64" t="s">
        <v>36802</v>
      </c>
      <c r="D64" t="s">
        <v>36789</v>
      </c>
    </row>
    <row r="65" spans="1:4">
      <c r="A65" t="s">
        <v>36706</v>
      </c>
      <c r="B65" t="s">
        <v>66</v>
      </c>
      <c r="C65" t="s">
        <v>36803</v>
      </c>
      <c r="D65" t="s">
        <v>36788</v>
      </c>
    </row>
    <row r="66" spans="1:4">
      <c r="A66" t="s">
        <v>36707</v>
      </c>
      <c r="B66" t="s">
        <v>56</v>
      </c>
      <c r="C66" t="s">
        <v>36803</v>
      </c>
      <c r="D66" t="s">
        <v>36788</v>
      </c>
    </row>
    <row r="67" spans="1:4">
      <c r="A67" t="s">
        <v>36708</v>
      </c>
      <c r="B67" t="s">
        <v>67</v>
      </c>
      <c r="C67" t="s">
        <v>36803</v>
      </c>
      <c r="D67" t="s">
        <v>36788</v>
      </c>
    </row>
    <row r="68" spans="1:4">
      <c r="A68" t="s">
        <v>36709</v>
      </c>
      <c r="B68" t="s">
        <v>68</v>
      </c>
      <c r="C68" t="s">
        <v>36803</v>
      </c>
      <c r="D68" t="s">
        <v>36788</v>
      </c>
    </row>
    <row r="69" spans="1:4">
      <c r="A69" t="s">
        <v>36710</v>
      </c>
      <c r="B69" t="s">
        <v>69</v>
      </c>
      <c r="C69" t="s">
        <v>36803</v>
      </c>
      <c r="D69" t="s">
        <v>36788</v>
      </c>
    </row>
    <row r="70" spans="1:4">
      <c r="A70" t="s">
        <v>36711</v>
      </c>
      <c r="B70" t="s">
        <v>60</v>
      </c>
      <c r="C70" t="s">
        <v>36803</v>
      </c>
      <c r="D70" t="s">
        <v>36788</v>
      </c>
    </row>
    <row r="71" spans="1:4">
      <c r="A71" t="s">
        <v>36712</v>
      </c>
      <c r="B71" t="s">
        <v>61</v>
      </c>
      <c r="C71" t="s">
        <v>36803</v>
      </c>
      <c r="D71" t="s">
        <v>36788</v>
      </c>
    </row>
    <row r="72" spans="1:4">
      <c r="A72" t="s">
        <v>36713</v>
      </c>
      <c r="B72" t="s">
        <v>62</v>
      </c>
      <c r="C72" t="s">
        <v>36803</v>
      </c>
      <c r="D72" t="s">
        <v>36788</v>
      </c>
    </row>
    <row r="73" spans="1:4">
      <c r="A73" t="s">
        <v>36714</v>
      </c>
      <c r="B73" t="s">
        <v>63</v>
      </c>
      <c r="C73" t="s">
        <v>36803</v>
      </c>
      <c r="D73" t="s">
        <v>36789</v>
      </c>
    </row>
    <row r="74" spans="1:4">
      <c r="A74" t="s">
        <v>36715</v>
      </c>
      <c r="B74" t="s">
        <v>64</v>
      </c>
      <c r="C74" t="s">
        <v>36803</v>
      </c>
      <c r="D74" t="s">
        <v>36789</v>
      </c>
    </row>
    <row r="75" spans="1:4">
      <c r="A75" t="s">
        <v>36716</v>
      </c>
      <c r="B75" t="s">
        <v>53</v>
      </c>
      <c r="C75" t="s">
        <v>36803</v>
      </c>
      <c r="D75" t="s">
        <v>36789</v>
      </c>
    </row>
    <row r="76" spans="1:4">
      <c r="A76" t="s">
        <v>36717</v>
      </c>
      <c r="B76" t="s">
        <v>65</v>
      </c>
      <c r="C76" t="s">
        <v>36803</v>
      </c>
      <c r="D76" t="s">
        <v>36789</v>
      </c>
    </row>
    <row r="77" spans="1:4">
      <c r="A77" t="s">
        <v>36718</v>
      </c>
      <c r="B77" t="s">
        <v>54</v>
      </c>
      <c r="C77" t="s">
        <v>36803</v>
      </c>
      <c r="D77" t="s">
        <v>36789</v>
      </c>
    </row>
    <row r="78" spans="1:4">
      <c r="A78" t="s">
        <v>36719</v>
      </c>
      <c r="B78" t="s">
        <v>55</v>
      </c>
      <c r="C78" t="s">
        <v>36803</v>
      </c>
      <c r="D78" t="s">
        <v>36789</v>
      </c>
    </row>
    <row r="79" spans="1:4">
      <c r="A79" t="s">
        <v>36720</v>
      </c>
      <c r="B79" t="s">
        <v>70</v>
      </c>
      <c r="C79" t="s">
        <v>36803</v>
      </c>
      <c r="D79" t="s">
        <v>36789</v>
      </c>
    </row>
    <row r="80" spans="1:4">
      <c r="A80" t="s">
        <v>36721</v>
      </c>
      <c r="B80" t="s">
        <v>57</v>
      </c>
      <c r="C80" t="s">
        <v>36803</v>
      </c>
      <c r="D80" t="s">
        <v>36789</v>
      </c>
    </row>
    <row r="81" spans="1:4">
      <c r="A81" t="s">
        <v>36722</v>
      </c>
      <c r="B81" t="s">
        <v>58</v>
      </c>
      <c r="C81" t="s">
        <v>36803</v>
      </c>
      <c r="D81" t="s">
        <v>36789</v>
      </c>
    </row>
    <row r="82" spans="1:4">
      <c r="A82" t="s">
        <v>36723</v>
      </c>
      <c r="B82" t="s">
        <v>71</v>
      </c>
      <c r="C82" t="s">
        <v>36803</v>
      </c>
      <c r="D82" t="s">
        <v>36789</v>
      </c>
    </row>
    <row r="83" spans="1:4">
      <c r="A83" t="s">
        <v>36724</v>
      </c>
      <c r="B83" t="s">
        <v>59</v>
      </c>
      <c r="C83" t="s">
        <v>36803</v>
      </c>
      <c r="D83" t="s">
        <v>36789</v>
      </c>
    </row>
    <row r="84" spans="1:4">
      <c r="A84" t="s">
        <v>36725</v>
      </c>
      <c r="B84" t="s">
        <v>5829</v>
      </c>
      <c r="C84" t="s">
        <v>36809</v>
      </c>
    </row>
    <row r="85" spans="1:4">
      <c r="A85" t="s">
        <v>36726</v>
      </c>
      <c r="B85" t="s">
        <v>5834</v>
      </c>
      <c r="C85" t="s">
        <v>36810</v>
      </c>
    </row>
    <row r="86" spans="1:4">
      <c r="A86" t="s">
        <v>36727</v>
      </c>
      <c r="B86" t="s">
        <v>5835</v>
      </c>
      <c r="C86" t="s">
        <v>36811</v>
      </c>
    </row>
    <row r="87" spans="1:4">
      <c r="A87" t="s">
        <v>36728</v>
      </c>
      <c r="B87" t="s">
        <v>5833</v>
      </c>
      <c r="C87" t="s">
        <v>36812</v>
      </c>
    </row>
    <row r="88" spans="1:4">
      <c r="A88" t="s">
        <v>36729</v>
      </c>
      <c r="B88" t="s">
        <v>5830</v>
      </c>
      <c r="C88" t="s">
        <v>36813</v>
      </c>
    </row>
    <row r="89" spans="1:4">
      <c r="A89" t="s">
        <v>36730</v>
      </c>
      <c r="B89" t="s">
        <v>5849</v>
      </c>
      <c r="C89" t="s">
        <v>36814</v>
      </c>
      <c r="D89" t="s">
        <v>36788</v>
      </c>
    </row>
    <row r="90" spans="1:4">
      <c r="A90" t="s">
        <v>36731</v>
      </c>
      <c r="B90" t="s">
        <v>5850</v>
      </c>
      <c r="C90" t="s">
        <v>36814</v>
      </c>
      <c r="D90" t="s">
        <v>36788</v>
      </c>
    </row>
    <row r="91" spans="1:4">
      <c r="A91" t="s">
        <v>36732</v>
      </c>
      <c r="B91" t="s">
        <v>5851</v>
      </c>
      <c r="C91" t="s">
        <v>36814</v>
      </c>
      <c r="D91" t="s">
        <v>36788</v>
      </c>
    </row>
    <row r="92" spans="1:4">
      <c r="A92" t="s">
        <v>36733</v>
      </c>
      <c r="B92" t="s">
        <v>5852</v>
      </c>
      <c r="C92" t="s">
        <v>36814</v>
      </c>
      <c r="D92" t="s">
        <v>36788</v>
      </c>
    </row>
    <row r="93" spans="1:4">
      <c r="A93" t="s">
        <v>36734</v>
      </c>
      <c r="B93" t="s">
        <v>5853</v>
      </c>
      <c r="C93" t="s">
        <v>36814</v>
      </c>
      <c r="D93" t="s">
        <v>36788</v>
      </c>
    </row>
    <row r="94" spans="1:4">
      <c r="A94" t="s">
        <v>36735</v>
      </c>
      <c r="B94" t="s">
        <v>5854</v>
      </c>
      <c r="C94" t="s">
        <v>36814</v>
      </c>
      <c r="D94" t="s">
        <v>36788</v>
      </c>
    </row>
    <row r="95" spans="1:4">
      <c r="A95" t="s">
        <v>36736</v>
      </c>
      <c r="B95" t="s">
        <v>5855</v>
      </c>
      <c r="C95" t="s">
        <v>36814</v>
      </c>
      <c r="D95" t="s">
        <v>36788</v>
      </c>
    </row>
    <row r="96" spans="1:4">
      <c r="A96" t="s">
        <v>36737</v>
      </c>
      <c r="B96" t="s">
        <v>5856</v>
      </c>
      <c r="C96" t="s">
        <v>36814</v>
      </c>
      <c r="D96" t="s">
        <v>36788</v>
      </c>
    </row>
    <row r="97" spans="1:4">
      <c r="A97" t="s">
        <v>36738</v>
      </c>
      <c r="B97" t="s">
        <v>5857</v>
      </c>
      <c r="C97" t="s">
        <v>36814</v>
      </c>
      <c r="D97" t="s">
        <v>36789</v>
      </c>
    </row>
    <row r="98" spans="1:4">
      <c r="A98" t="s">
        <v>36739</v>
      </c>
      <c r="B98" t="s">
        <v>5858</v>
      </c>
      <c r="C98" t="s">
        <v>36814</v>
      </c>
      <c r="D98" t="s">
        <v>36789</v>
      </c>
    </row>
    <row r="99" spans="1:4">
      <c r="A99" t="s">
        <v>36740</v>
      </c>
      <c r="B99" t="s">
        <v>5859</v>
      </c>
      <c r="C99" t="s">
        <v>36814</v>
      </c>
      <c r="D99" t="s">
        <v>36789</v>
      </c>
    </row>
    <row r="100" spans="1:4">
      <c r="A100" t="s">
        <v>36741</v>
      </c>
      <c r="B100" t="s">
        <v>5860</v>
      </c>
      <c r="C100" t="s">
        <v>36814</v>
      </c>
      <c r="D100" t="s">
        <v>36789</v>
      </c>
    </row>
    <row r="101" spans="1:4">
      <c r="A101" t="s">
        <v>36742</v>
      </c>
      <c r="B101" t="s">
        <v>5861</v>
      </c>
      <c r="C101" t="s">
        <v>36814</v>
      </c>
      <c r="D101" t="s">
        <v>36789</v>
      </c>
    </row>
    <row r="102" spans="1:4">
      <c r="A102" t="s">
        <v>36743</v>
      </c>
      <c r="B102" t="s">
        <v>5862</v>
      </c>
      <c r="C102" t="s">
        <v>36814</v>
      </c>
      <c r="D102" t="s">
        <v>36789</v>
      </c>
    </row>
    <row r="103" spans="1:4">
      <c r="A103" t="s">
        <v>36744</v>
      </c>
      <c r="B103" t="s">
        <v>5863</v>
      </c>
      <c r="C103" t="s">
        <v>36814</v>
      </c>
      <c r="D103" t="s">
        <v>36789</v>
      </c>
    </row>
    <row r="104" spans="1:4">
      <c r="A104" t="s">
        <v>36745</v>
      </c>
      <c r="B104" t="s">
        <v>5864</v>
      </c>
      <c r="C104" t="s">
        <v>36814</v>
      </c>
      <c r="D104" t="s">
        <v>36789</v>
      </c>
    </row>
    <row r="105" spans="1:4">
      <c r="A105" t="s">
        <v>36746</v>
      </c>
      <c r="B105" t="s">
        <v>5865</v>
      </c>
      <c r="C105" t="s">
        <v>36815</v>
      </c>
    </row>
    <row r="106" spans="1:4">
      <c r="A106" t="s">
        <v>36747</v>
      </c>
      <c r="B106" t="s">
        <v>5866</v>
      </c>
      <c r="C106" t="s">
        <v>36816</v>
      </c>
    </row>
    <row r="107" spans="1:4">
      <c r="A107" t="s">
        <v>36748</v>
      </c>
      <c r="B107" t="s">
        <v>5867</v>
      </c>
      <c r="C107" t="s">
        <v>36817</v>
      </c>
    </row>
    <row r="108" spans="1:4">
      <c r="A108" t="s">
        <v>36749</v>
      </c>
      <c r="B108" t="s">
        <v>5868</v>
      </c>
      <c r="C108" t="s">
        <v>36818</v>
      </c>
    </row>
    <row r="109" spans="1:4">
      <c r="A109" t="s">
        <v>36750</v>
      </c>
      <c r="B109" t="s">
        <v>5869</v>
      </c>
      <c r="C109" t="s">
        <v>36820</v>
      </c>
    </row>
    <row r="110" spans="1:4">
      <c r="A110" t="s">
        <v>36751</v>
      </c>
      <c r="B110" t="s">
        <v>5870</v>
      </c>
      <c r="C110" t="s">
        <v>36819</v>
      </c>
    </row>
    <row r="111" spans="1:4">
      <c r="A111" t="s">
        <v>36752</v>
      </c>
      <c r="B111" t="s">
        <v>5871</v>
      </c>
      <c r="C111" t="s">
        <v>36821</v>
      </c>
    </row>
    <row r="112" spans="1:4">
      <c r="A112" t="s">
        <v>36753</v>
      </c>
      <c r="B112" t="s">
        <v>5872</v>
      </c>
      <c r="C112" t="s">
        <v>36822</v>
      </c>
    </row>
    <row r="113" spans="1:3">
      <c r="A113" t="s">
        <v>36754</v>
      </c>
      <c r="B113" t="s">
        <v>5881</v>
      </c>
      <c r="C113" t="s">
        <v>36823</v>
      </c>
    </row>
    <row r="114" spans="1:3">
      <c r="A114" t="s">
        <v>36755</v>
      </c>
      <c r="B114" t="s">
        <v>5884</v>
      </c>
      <c r="C114" t="s">
        <v>36824</v>
      </c>
    </row>
    <row r="115" spans="1:3">
      <c r="A115" t="s">
        <v>36756</v>
      </c>
      <c r="B115" t="s">
        <v>5892</v>
      </c>
      <c r="C115" t="s">
        <v>36825</v>
      </c>
    </row>
    <row r="116" spans="1:3">
      <c r="A116" t="s">
        <v>36757</v>
      </c>
      <c r="B116" t="s">
        <v>13747</v>
      </c>
      <c r="C116" t="s">
        <v>36826</v>
      </c>
    </row>
    <row r="117" spans="1:3">
      <c r="A117" t="s">
        <v>36758</v>
      </c>
      <c r="B117" t="s">
        <v>13748</v>
      </c>
      <c r="C117" t="s">
        <v>36827</v>
      </c>
    </row>
    <row r="118" spans="1:3">
      <c r="A118" t="s">
        <v>36759</v>
      </c>
      <c r="B118" t="s">
        <v>13749</v>
      </c>
      <c r="C118" t="s">
        <v>36828</v>
      </c>
    </row>
    <row r="119" spans="1:3">
      <c r="A119" t="s">
        <v>36760</v>
      </c>
      <c r="B119" t="s">
        <v>3</v>
      </c>
      <c r="C119" t="s">
        <v>36829</v>
      </c>
    </row>
    <row r="120" spans="1:3">
      <c r="A120" t="s">
        <v>36761</v>
      </c>
      <c r="B120" t="s">
        <v>13750</v>
      </c>
      <c r="C120" t="s">
        <v>36830</v>
      </c>
    </row>
    <row r="121" spans="1:3">
      <c r="A121" t="s">
        <v>36762</v>
      </c>
      <c r="B121" t="s">
        <v>13751</v>
      </c>
      <c r="C121" t="s">
        <v>36831</v>
      </c>
    </row>
    <row r="122" spans="1:3">
      <c r="A122" t="s">
        <v>36763</v>
      </c>
      <c r="B122" t="s">
        <v>13752</v>
      </c>
      <c r="C122" t="s">
        <v>36832</v>
      </c>
    </row>
    <row r="123" spans="1:3">
      <c r="A123" t="s">
        <v>36764</v>
      </c>
      <c r="B123" t="s">
        <v>13753</v>
      </c>
      <c r="C123" t="s">
        <v>36833</v>
      </c>
    </row>
    <row r="124" spans="1:3">
      <c r="A124" t="s">
        <v>36765</v>
      </c>
      <c r="B124" t="s">
        <v>13754</v>
      </c>
      <c r="C124" t="s">
        <v>36834</v>
      </c>
    </row>
    <row r="125" spans="1:3">
      <c r="A125" t="s">
        <v>36766</v>
      </c>
      <c r="B125" t="s">
        <v>13755</v>
      </c>
      <c r="C125" t="s">
        <v>36835</v>
      </c>
    </row>
    <row r="126" spans="1:3">
      <c r="A126" t="s">
        <v>36767</v>
      </c>
      <c r="B126" t="s">
        <v>13756</v>
      </c>
      <c r="C126" t="s">
        <v>36836</v>
      </c>
    </row>
    <row r="127" spans="1:3">
      <c r="A127" t="s">
        <v>36768</v>
      </c>
      <c r="B127" t="s">
        <v>13757</v>
      </c>
      <c r="C127" t="s">
        <v>36837</v>
      </c>
    </row>
    <row r="128" spans="1:3">
      <c r="A128" t="s">
        <v>36769</v>
      </c>
      <c r="B128" t="s">
        <v>13758</v>
      </c>
      <c r="C128" t="s">
        <v>36837</v>
      </c>
    </row>
    <row r="129" spans="1:3">
      <c r="A129" t="s">
        <v>36770</v>
      </c>
      <c r="B129" t="s">
        <v>13759</v>
      </c>
      <c r="C129" t="s">
        <v>36837</v>
      </c>
    </row>
    <row r="130" spans="1:3">
      <c r="A130" t="s">
        <v>36771</v>
      </c>
      <c r="B130" t="s">
        <v>13760</v>
      </c>
      <c r="C130" t="s">
        <v>36837</v>
      </c>
    </row>
    <row r="131" spans="1:3">
      <c r="A131" t="s">
        <v>36772</v>
      </c>
      <c r="B131" t="s">
        <v>13761</v>
      </c>
      <c r="C131" t="s">
        <v>36837</v>
      </c>
    </row>
    <row r="132" spans="1:3">
      <c r="A132" t="s">
        <v>36773</v>
      </c>
      <c r="B132" t="s">
        <v>13762</v>
      </c>
      <c r="C132" t="s">
        <v>36837</v>
      </c>
    </row>
    <row r="133" spans="1:3">
      <c r="A133" t="s">
        <v>36774</v>
      </c>
      <c r="B133" t="s">
        <v>13763</v>
      </c>
      <c r="C133" t="s">
        <v>36837</v>
      </c>
    </row>
    <row r="134" spans="1:3">
      <c r="A134" t="s">
        <v>36775</v>
      </c>
      <c r="B134" t="s">
        <v>13764</v>
      </c>
      <c r="C134" t="s">
        <v>36837</v>
      </c>
    </row>
    <row r="135" spans="1:3">
      <c r="A135" t="s">
        <v>36776</v>
      </c>
      <c r="B135" t="s">
        <v>13765</v>
      </c>
      <c r="C135" t="s">
        <v>36837</v>
      </c>
    </row>
    <row r="136" spans="1:3">
      <c r="A136" t="s">
        <v>36777</v>
      </c>
      <c r="B136" t="s">
        <v>13766</v>
      </c>
      <c r="C136" t="s">
        <v>36837</v>
      </c>
    </row>
    <row r="137" spans="1:3">
      <c r="A137" t="s">
        <v>36778</v>
      </c>
      <c r="B137" t="s">
        <v>13767</v>
      </c>
      <c r="C137" t="s">
        <v>36838</v>
      </c>
    </row>
    <row r="138" spans="1:3">
      <c r="A138" t="s">
        <v>36779</v>
      </c>
      <c r="B138" t="s">
        <v>13768</v>
      </c>
      <c r="C138" t="s">
        <v>36838</v>
      </c>
    </row>
    <row r="139" spans="1:3">
      <c r="A139" t="s">
        <v>36780</v>
      </c>
      <c r="B139" t="s">
        <v>13769</v>
      </c>
      <c r="C139" t="s">
        <v>36838</v>
      </c>
    </row>
    <row r="140" spans="1:3">
      <c r="A140" t="s">
        <v>36781</v>
      </c>
      <c r="B140" t="s">
        <v>13770</v>
      </c>
      <c r="C140" t="s">
        <v>36839</v>
      </c>
    </row>
    <row r="141" spans="1:3">
      <c r="A141" t="s">
        <v>36782</v>
      </c>
      <c r="B141" t="s">
        <v>13771</v>
      </c>
      <c r="C141" t="s">
        <v>36840</v>
      </c>
    </row>
    <row r="142" spans="1:3">
      <c r="A142" t="s">
        <v>36783</v>
      </c>
      <c r="B142" t="s">
        <v>5820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8"/>
  <sheetViews>
    <sheetView workbookViewId="0">
      <selection activeCell="A9" sqref="A9"/>
    </sheetView>
  </sheetViews>
  <sheetFormatPr baseColWidth="10" defaultRowHeight="16"/>
  <cols>
    <col min="1" max="1" width="45.33203125" customWidth="1"/>
    <col min="2" max="2" width="174.83203125" customWidth="1"/>
  </cols>
  <sheetData>
    <row r="2" spans="1:2">
      <c r="A2" s="1" t="s">
        <v>5842</v>
      </c>
      <c r="B2" s="1" t="s">
        <v>5843</v>
      </c>
    </row>
    <row r="3" spans="1:2">
      <c r="A3" t="s">
        <v>5844</v>
      </c>
      <c r="B3" t="s">
        <v>5845</v>
      </c>
    </row>
    <row r="5" spans="1:2">
      <c r="A5" t="s">
        <v>5846</v>
      </c>
      <c r="B5" t="s">
        <v>5847</v>
      </c>
    </row>
    <row r="6" spans="1:2">
      <c r="B6" t="s">
        <v>5848</v>
      </c>
    </row>
    <row r="8" spans="1:2">
      <c r="A8" t="s">
        <v>36845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F4645-E403-424F-B680-53504C91BB9E}">
  <dimension ref="A1:BN674"/>
  <sheetViews>
    <sheetView workbookViewId="0">
      <selection activeCell="S146" sqref="A146:XFD146"/>
    </sheetView>
  </sheetViews>
  <sheetFormatPr baseColWidth="10" defaultRowHeight="16"/>
  <cols>
    <col min="10" max="10" width="39.6640625" customWidth="1"/>
    <col min="40" max="40" width="45.5" customWidth="1"/>
    <col min="42" max="42" width="15.5" bestFit="1" customWidth="1"/>
    <col min="43" max="43" width="11.6640625" bestFit="1" customWidth="1"/>
    <col min="44" max="44" width="18.5" customWidth="1"/>
    <col min="45" max="45" width="20.33203125" bestFit="1" customWidth="1"/>
    <col min="49" max="49" width="13.6640625" bestFit="1" customWidth="1"/>
    <col min="50" max="50" width="32.1640625" customWidth="1"/>
    <col min="61" max="63" width="20.1640625" customWidth="1"/>
    <col min="64" max="64" width="20.5" customWidth="1"/>
    <col min="65" max="65" width="31.5" customWidth="1"/>
  </cols>
  <sheetData>
    <row r="1" spans="1:66">
      <c r="A1" t="s">
        <v>0</v>
      </c>
      <c r="P1" s="33" t="s">
        <v>36650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3" t="s">
        <v>36652</v>
      </c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</row>
    <row r="2" spans="1:66">
      <c r="A2" s="1" t="s">
        <v>36787</v>
      </c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</row>
    <row r="3" spans="1:66">
      <c r="K3" s="3"/>
      <c r="N3" s="2"/>
      <c r="O3" s="16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</row>
    <row r="4" spans="1:66">
      <c r="B4">
        <f>SUBTOTAL(109,B6:B2341)</f>
        <v>669</v>
      </c>
      <c r="K4" s="3"/>
      <c r="O4" s="16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>
        <f>B4</f>
        <v>669</v>
      </c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</row>
    <row r="5" spans="1:66">
      <c r="A5" s="1" t="s">
        <v>1</v>
      </c>
      <c r="B5" s="1" t="s">
        <v>2</v>
      </c>
      <c r="C5" s="1" t="s">
        <v>36786</v>
      </c>
      <c r="D5" s="1" t="s">
        <v>3</v>
      </c>
      <c r="E5" s="1" t="s">
        <v>4</v>
      </c>
      <c r="F5" s="1" t="s">
        <v>5</v>
      </c>
      <c r="G5" s="1" t="s">
        <v>8</v>
      </c>
      <c r="H5" s="1" t="s">
        <v>9</v>
      </c>
      <c r="I5" s="1" t="s">
        <v>10</v>
      </c>
      <c r="J5" s="1" t="s">
        <v>11</v>
      </c>
      <c r="K5" s="5" t="s">
        <v>5822</v>
      </c>
      <c r="L5" s="1" t="s">
        <v>12</v>
      </c>
      <c r="M5" s="1" t="s">
        <v>13</v>
      </c>
      <c r="N5" s="1" t="s">
        <v>14</v>
      </c>
      <c r="O5" s="17" t="s">
        <v>5829</v>
      </c>
      <c r="P5" s="38" t="s">
        <v>5849</v>
      </c>
      <c r="Q5" s="38" t="s">
        <v>5850</v>
      </c>
      <c r="R5" s="38" t="s">
        <v>5851</v>
      </c>
      <c r="S5" s="38" t="s">
        <v>5852</v>
      </c>
      <c r="T5" s="38" t="s">
        <v>5853</v>
      </c>
      <c r="U5" s="38" t="s">
        <v>5854</v>
      </c>
      <c r="V5" s="38" t="s">
        <v>5855</v>
      </c>
      <c r="W5" s="38" t="s">
        <v>5856</v>
      </c>
      <c r="X5" s="39" t="s">
        <v>5857</v>
      </c>
      <c r="Y5" s="39" t="s">
        <v>5858</v>
      </c>
      <c r="Z5" s="39" t="s">
        <v>5859</v>
      </c>
      <c r="AA5" s="39" t="s">
        <v>5860</v>
      </c>
      <c r="AB5" s="39" t="s">
        <v>5861</v>
      </c>
      <c r="AC5" s="39" t="s">
        <v>5862</v>
      </c>
      <c r="AD5" s="39" t="s">
        <v>5863</v>
      </c>
      <c r="AE5" s="39" t="s">
        <v>5864</v>
      </c>
      <c r="AF5" s="40" t="s">
        <v>5865</v>
      </c>
      <c r="AG5" s="40" t="s">
        <v>5866</v>
      </c>
      <c r="AH5" s="41" t="s">
        <v>5867</v>
      </c>
      <c r="AI5" s="42" t="s">
        <v>5868</v>
      </c>
      <c r="AJ5" s="43" t="s">
        <v>5869</v>
      </c>
      <c r="AK5" s="44" t="s">
        <v>5870</v>
      </c>
      <c r="AL5" s="33" t="s">
        <v>5871</v>
      </c>
      <c r="AM5" s="33" t="s">
        <v>5872</v>
      </c>
      <c r="AN5" s="33" t="s">
        <v>13747</v>
      </c>
      <c r="AO5" s="33" t="s">
        <v>13748</v>
      </c>
      <c r="AP5" s="33" t="s">
        <v>13749</v>
      </c>
      <c r="AQ5" s="33" t="s">
        <v>3</v>
      </c>
      <c r="AR5" s="33" t="s">
        <v>13750</v>
      </c>
      <c r="AS5" s="33" t="s">
        <v>13751</v>
      </c>
      <c r="AT5" s="33" t="s">
        <v>13752</v>
      </c>
      <c r="AU5" s="33" t="s">
        <v>13753</v>
      </c>
      <c r="AV5" s="33" t="s">
        <v>13754</v>
      </c>
      <c r="AW5" s="33" t="s">
        <v>13755</v>
      </c>
      <c r="AX5" s="33" t="s">
        <v>13756</v>
      </c>
      <c r="AY5" s="33" t="s">
        <v>13757</v>
      </c>
      <c r="AZ5" s="33" t="s">
        <v>13758</v>
      </c>
      <c r="BA5" s="33" t="s">
        <v>13759</v>
      </c>
      <c r="BB5" s="33" t="s">
        <v>13760</v>
      </c>
      <c r="BC5" s="33" t="s">
        <v>13761</v>
      </c>
      <c r="BD5" s="33" t="s">
        <v>13762</v>
      </c>
      <c r="BE5" s="33" t="s">
        <v>13763</v>
      </c>
      <c r="BF5" s="33" t="s">
        <v>13764</v>
      </c>
      <c r="BG5" s="33" t="s">
        <v>13765</v>
      </c>
      <c r="BH5" s="33" t="s">
        <v>13766</v>
      </c>
      <c r="BI5" s="33" t="s">
        <v>13767</v>
      </c>
      <c r="BJ5" s="33" t="s">
        <v>13768</v>
      </c>
      <c r="BK5" s="33" t="s">
        <v>13769</v>
      </c>
      <c r="BL5" s="33" t="s">
        <v>13770</v>
      </c>
      <c r="BM5" s="33" t="s">
        <v>13771</v>
      </c>
      <c r="BN5" s="1" t="s">
        <v>5820</v>
      </c>
    </row>
    <row r="6" spans="1:66">
      <c r="A6">
        <v>2408</v>
      </c>
      <c r="B6">
        <v>1</v>
      </c>
      <c r="C6">
        <v>1</v>
      </c>
      <c r="D6" t="s">
        <v>5609</v>
      </c>
      <c r="E6" t="s">
        <v>73</v>
      </c>
      <c r="F6" t="s">
        <v>5610</v>
      </c>
      <c r="G6">
        <v>94.7</v>
      </c>
      <c r="H6">
        <v>608</v>
      </c>
      <c r="I6">
        <v>68780</v>
      </c>
      <c r="J6" t="s">
        <v>5612</v>
      </c>
      <c r="K6" s="3">
        <v>1</v>
      </c>
      <c r="L6">
        <v>17021</v>
      </c>
      <c r="M6">
        <v>15228</v>
      </c>
      <c r="N6">
        <v>0.89500000000000002</v>
      </c>
      <c r="O6" s="11">
        <f>AVERAGE(P6:AE6)</f>
        <v>880.70928043583979</v>
      </c>
      <c r="P6" s="36">
        <v>1312.8156193869299</v>
      </c>
      <c r="Q6" s="36">
        <v>627.91780668169497</v>
      </c>
      <c r="R6" s="36">
        <v>872.91496498622405</v>
      </c>
      <c r="S6" s="36">
        <v>792.70057832403802</v>
      </c>
      <c r="T6" s="36">
        <v>400.32607791462999</v>
      </c>
      <c r="U6" s="36">
        <v>403.96648866485901</v>
      </c>
      <c r="V6" s="36">
        <v>1204.2661581728501</v>
      </c>
      <c r="W6" s="36">
        <v>853.579333790281</v>
      </c>
      <c r="X6" s="37">
        <v>497.04183659539598</v>
      </c>
      <c r="Y6" s="37">
        <v>314.37884897381002</v>
      </c>
      <c r="Z6" s="37">
        <v>500.27398397156901</v>
      </c>
      <c r="AA6" s="37">
        <v>1110.3311063204801</v>
      </c>
      <c r="AB6" s="37">
        <v>1104.2049055965999</v>
      </c>
      <c r="AC6" s="37">
        <v>746.653198641367</v>
      </c>
      <c r="AD6" s="37">
        <v>1512.76395999644</v>
      </c>
      <c r="AE6" s="37">
        <v>1837.21361895627</v>
      </c>
      <c r="AF6" s="45">
        <v>0.236275475993838</v>
      </c>
      <c r="AG6" s="45">
        <v>1.1784612732695501</v>
      </c>
      <c r="AH6" s="46">
        <v>0.53479532149499598</v>
      </c>
      <c r="AI6" s="47">
        <v>0.61473895202775297</v>
      </c>
      <c r="AJ6" s="48">
        <v>808.56087849018797</v>
      </c>
      <c r="AK6" s="49">
        <v>952.85768238149205</v>
      </c>
      <c r="AL6" s="31" t="s">
        <v>5874</v>
      </c>
      <c r="AM6" s="31" t="s">
        <v>5832</v>
      </c>
      <c r="AN6" s="31" t="s">
        <v>26496</v>
      </c>
      <c r="AO6" s="31" t="s">
        <v>13772</v>
      </c>
      <c r="AP6" s="31" t="s">
        <v>26497</v>
      </c>
      <c r="AQ6" s="31" t="s">
        <v>26498</v>
      </c>
      <c r="AR6" s="31" t="s">
        <v>26499</v>
      </c>
      <c r="AS6" s="31" t="str">
        <f>"ALB"</f>
        <v>ALB</v>
      </c>
      <c r="AT6" s="31" t="s">
        <v>13772</v>
      </c>
      <c r="AU6" s="31" t="s">
        <v>13777</v>
      </c>
      <c r="AV6" s="31">
        <v>9606</v>
      </c>
      <c r="AW6" s="50" t="str">
        <f>HYPERLINK("http://www.uniprot.org/uniprot/P02768", "P02768")</f>
        <v>P02768</v>
      </c>
      <c r="AX6" s="31" t="s">
        <v>26500</v>
      </c>
      <c r="AY6" s="31" t="s">
        <v>13772</v>
      </c>
      <c r="AZ6" s="31" t="s">
        <v>14321</v>
      </c>
      <c r="BA6" s="31" t="s">
        <v>13780</v>
      </c>
      <c r="BB6" s="31" t="s">
        <v>13772</v>
      </c>
      <c r="BC6" s="31" t="s">
        <v>13807</v>
      </c>
      <c r="BD6" s="31" t="s">
        <v>14404</v>
      </c>
      <c r="BE6" s="31" t="s">
        <v>26501</v>
      </c>
      <c r="BF6" s="31" t="s">
        <v>13772</v>
      </c>
      <c r="BG6" s="31" t="s">
        <v>26502</v>
      </c>
      <c r="BH6" s="31" t="s">
        <v>13812</v>
      </c>
      <c r="BI6" s="31" t="s">
        <v>26503</v>
      </c>
      <c r="BJ6" s="31" t="s">
        <v>26504</v>
      </c>
      <c r="BK6" s="31" t="s">
        <v>26505</v>
      </c>
      <c r="BL6" s="31" t="s">
        <v>13772</v>
      </c>
      <c r="BM6" s="31" t="s">
        <v>26506</v>
      </c>
    </row>
    <row r="7" spans="1:66">
      <c r="A7">
        <v>2052</v>
      </c>
      <c r="B7">
        <v>1</v>
      </c>
      <c r="C7">
        <v>2</v>
      </c>
      <c r="D7" t="s">
        <v>4822</v>
      </c>
      <c r="E7" t="s">
        <v>4823</v>
      </c>
      <c r="F7" t="s">
        <v>73</v>
      </c>
      <c r="G7">
        <v>84.8</v>
      </c>
      <c r="H7">
        <v>394</v>
      </c>
      <c r="I7">
        <v>43135</v>
      </c>
      <c r="J7" t="s">
        <v>4824</v>
      </c>
      <c r="K7" s="3">
        <v>4</v>
      </c>
      <c r="L7">
        <v>5056</v>
      </c>
      <c r="M7">
        <v>5052</v>
      </c>
      <c r="N7">
        <v>0.999</v>
      </c>
      <c r="O7" s="11">
        <f t="shared" ref="O7:O70" si="0">AVERAGE(P7:AE7)</f>
        <v>246.3052128949339</v>
      </c>
      <c r="P7" s="36">
        <v>428.92176212549401</v>
      </c>
      <c r="Q7" s="36">
        <v>176.240734083973</v>
      </c>
      <c r="R7" s="36">
        <v>208.103696035593</v>
      </c>
      <c r="S7" s="36">
        <v>110.37028841818599</v>
      </c>
      <c r="T7" s="36">
        <v>55.051287035961103</v>
      </c>
      <c r="U7" s="36">
        <v>78.097088717717298</v>
      </c>
      <c r="V7" s="36">
        <v>374.192110416947</v>
      </c>
      <c r="W7" s="36">
        <v>19.463671959646099</v>
      </c>
      <c r="X7" s="37">
        <v>189.94723208554501</v>
      </c>
      <c r="Y7" s="37">
        <v>81.984454095477105</v>
      </c>
      <c r="Z7" s="37">
        <v>152.81038051906199</v>
      </c>
      <c r="AA7" s="37">
        <v>350.47047729237499</v>
      </c>
      <c r="AB7" s="37">
        <v>309.63309467969299</v>
      </c>
      <c r="AC7" s="37">
        <v>192.56249917397</v>
      </c>
      <c r="AD7" s="37">
        <v>543.07441723047202</v>
      </c>
      <c r="AE7" s="37">
        <v>669.96021244883104</v>
      </c>
      <c r="AF7" s="45">
        <v>0.778587558821909</v>
      </c>
      <c r="AG7" s="45">
        <v>1.7170249515326499</v>
      </c>
      <c r="AH7" s="46">
        <v>0.13882949939362499</v>
      </c>
      <c r="AI7" s="47">
        <v>0.18954476549864299</v>
      </c>
      <c r="AJ7" s="48">
        <v>181.30507984919001</v>
      </c>
      <c r="AK7" s="49">
        <v>311.30534594067802</v>
      </c>
      <c r="AL7" s="31" t="s">
        <v>5874</v>
      </c>
      <c r="AM7" s="31" t="s">
        <v>5832</v>
      </c>
      <c r="AN7" s="31" t="s">
        <v>33423</v>
      </c>
      <c r="AO7" s="31" t="s">
        <v>13772</v>
      </c>
      <c r="AP7" s="31" t="s">
        <v>33424</v>
      </c>
      <c r="AQ7" s="31" t="s">
        <v>33425</v>
      </c>
      <c r="AR7" s="31" t="s">
        <v>33426</v>
      </c>
      <c r="AS7" s="31" t="str">
        <f>"HPR"</f>
        <v>HPR</v>
      </c>
      <c r="AT7" s="31" t="s">
        <v>13772</v>
      </c>
      <c r="AU7" s="31" t="s">
        <v>13777</v>
      </c>
      <c r="AV7" s="31">
        <v>9606</v>
      </c>
      <c r="AW7" s="50" t="str">
        <f>HYPERLINK("http://www.uniprot.org/uniprot/P00739", "P00739")</f>
        <v>P00739</v>
      </c>
      <c r="AX7" s="31" t="s">
        <v>33427</v>
      </c>
      <c r="AY7" s="31" t="s">
        <v>13772</v>
      </c>
      <c r="AZ7" s="31" t="s">
        <v>14321</v>
      </c>
      <c r="BA7" s="31" t="s">
        <v>13780</v>
      </c>
      <c r="BB7" s="31" t="s">
        <v>13772</v>
      </c>
      <c r="BC7" s="31" t="s">
        <v>13772</v>
      </c>
      <c r="BD7" s="31" t="s">
        <v>33428</v>
      </c>
      <c r="BE7" s="31" t="s">
        <v>33429</v>
      </c>
      <c r="BF7" s="31" t="s">
        <v>20996</v>
      </c>
      <c r="BG7" s="31" t="s">
        <v>14506</v>
      </c>
      <c r="BH7" s="31" t="s">
        <v>13772</v>
      </c>
      <c r="BI7" s="31" t="s">
        <v>33430</v>
      </c>
      <c r="BJ7" s="31" t="s">
        <v>33431</v>
      </c>
      <c r="BK7" s="31" t="s">
        <v>33432</v>
      </c>
      <c r="BL7" s="31" t="s">
        <v>13772</v>
      </c>
      <c r="BM7" s="31" t="s">
        <v>19770</v>
      </c>
    </row>
    <row r="8" spans="1:66">
      <c r="A8">
        <v>1933</v>
      </c>
      <c r="B8">
        <v>1</v>
      </c>
      <c r="C8">
        <v>3</v>
      </c>
      <c r="D8" t="s">
        <v>4553</v>
      </c>
      <c r="E8" t="s">
        <v>73</v>
      </c>
      <c r="F8" t="s">
        <v>73</v>
      </c>
      <c r="G8">
        <v>86.9</v>
      </c>
      <c r="H8">
        <v>352</v>
      </c>
      <c r="I8">
        <v>39169</v>
      </c>
      <c r="J8" t="s">
        <v>4554</v>
      </c>
      <c r="K8" s="3">
        <v>3</v>
      </c>
      <c r="L8">
        <v>3657</v>
      </c>
      <c r="M8">
        <v>3657</v>
      </c>
      <c r="N8">
        <v>1</v>
      </c>
      <c r="O8" s="11">
        <f t="shared" si="0"/>
        <v>218.78375807245556</v>
      </c>
      <c r="P8" s="36">
        <v>232.635532000268</v>
      </c>
      <c r="Q8" s="36">
        <v>104.973989153842</v>
      </c>
      <c r="R8" s="36">
        <v>329.76431833332498</v>
      </c>
      <c r="S8" s="36">
        <v>133.04911480548401</v>
      </c>
      <c r="T8" s="36">
        <v>132.46715943028099</v>
      </c>
      <c r="U8" s="36">
        <v>160.842813668632</v>
      </c>
      <c r="V8" s="36">
        <v>330.975556819497</v>
      </c>
      <c r="W8" s="36">
        <v>442.79853708194901</v>
      </c>
      <c r="X8" s="37">
        <v>131.92987667866299</v>
      </c>
      <c r="Y8" s="37">
        <v>158.29306136896</v>
      </c>
      <c r="Z8" s="37">
        <v>283.21923928663898</v>
      </c>
      <c r="AA8" s="37">
        <v>135.44752745599101</v>
      </c>
      <c r="AB8" s="37">
        <v>170.895417241611</v>
      </c>
      <c r="AC8" s="37">
        <v>220.97335970783499</v>
      </c>
      <c r="AD8" s="37">
        <v>232.31516737081299</v>
      </c>
      <c r="AE8" s="37">
        <v>299.95945875549899</v>
      </c>
      <c r="AF8" s="45">
        <v>-0.194747285255537</v>
      </c>
      <c r="AG8" s="45">
        <v>-1.14358184919696</v>
      </c>
      <c r="AH8" s="46">
        <v>0.57111015882876204</v>
      </c>
      <c r="AI8" s="47">
        <v>0.64978349703476501</v>
      </c>
      <c r="AJ8" s="48">
        <v>233.43837766166001</v>
      </c>
      <c r="AK8" s="49">
        <v>204.12913848325101</v>
      </c>
      <c r="AL8" s="31" t="s">
        <v>5875</v>
      </c>
      <c r="AM8" s="31" t="s">
        <v>5832</v>
      </c>
      <c r="AN8" s="31" t="s">
        <v>32306</v>
      </c>
      <c r="AO8" s="31" t="s">
        <v>32307</v>
      </c>
      <c r="AP8" s="31" t="s">
        <v>32308</v>
      </c>
      <c r="AQ8" s="31" t="s">
        <v>32309</v>
      </c>
      <c r="AR8" s="31" t="s">
        <v>32310</v>
      </c>
      <c r="AS8" s="31" t="str">
        <f>"AMBP"</f>
        <v>AMBP</v>
      </c>
      <c r="AT8" s="31" t="s">
        <v>32311</v>
      </c>
      <c r="AU8" s="31" t="s">
        <v>13777</v>
      </c>
      <c r="AV8" s="31">
        <v>9606</v>
      </c>
      <c r="AW8" s="50" t="str">
        <f>HYPERLINK("http://www.uniprot.org/uniprot/P02760", "P02760")</f>
        <v>P02760</v>
      </c>
      <c r="AX8" s="31" t="s">
        <v>32312</v>
      </c>
      <c r="AY8" s="31" t="s">
        <v>14563</v>
      </c>
      <c r="AZ8" s="31" t="s">
        <v>14321</v>
      </c>
      <c r="BA8" s="31" t="s">
        <v>13772</v>
      </c>
      <c r="BB8" s="31" t="s">
        <v>13772</v>
      </c>
      <c r="BC8" s="31" t="s">
        <v>13772</v>
      </c>
      <c r="BD8" s="31" t="s">
        <v>14404</v>
      </c>
      <c r="BE8" s="31" t="s">
        <v>32313</v>
      </c>
      <c r="BF8" s="31" t="s">
        <v>14375</v>
      </c>
      <c r="BG8" s="31" t="s">
        <v>32314</v>
      </c>
      <c r="BH8" s="31" t="s">
        <v>13812</v>
      </c>
      <c r="BI8" s="31" t="s">
        <v>32315</v>
      </c>
      <c r="BJ8" s="31" t="s">
        <v>32316</v>
      </c>
      <c r="BK8" s="31" t="s">
        <v>32317</v>
      </c>
      <c r="BL8" s="31" t="s">
        <v>13772</v>
      </c>
      <c r="BM8" s="31" t="s">
        <v>19770</v>
      </c>
    </row>
    <row r="9" spans="1:66">
      <c r="A9">
        <v>727</v>
      </c>
      <c r="B9">
        <v>1</v>
      </c>
      <c r="C9">
        <v>4</v>
      </c>
      <c r="D9" t="s">
        <v>1781</v>
      </c>
      <c r="E9" t="s">
        <v>73</v>
      </c>
      <c r="F9" t="s">
        <v>73</v>
      </c>
      <c r="G9">
        <v>57.9</v>
      </c>
      <c r="H9">
        <v>1006</v>
      </c>
      <c r="I9">
        <v>110559</v>
      </c>
      <c r="J9" t="s">
        <v>1783</v>
      </c>
      <c r="K9" s="3">
        <v>7</v>
      </c>
      <c r="L9">
        <v>3559</v>
      </c>
      <c r="M9">
        <v>3556</v>
      </c>
      <c r="N9">
        <v>0.999</v>
      </c>
      <c r="O9" s="11">
        <f t="shared" si="0"/>
        <v>175.80584332065817</v>
      </c>
      <c r="P9" s="36">
        <v>341.68343762539399</v>
      </c>
      <c r="Q9" s="36">
        <v>145.32637581022701</v>
      </c>
      <c r="R9" s="36">
        <v>235.15717652022099</v>
      </c>
      <c r="S9" s="36">
        <v>134.56103656463699</v>
      </c>
      <c r="T9" s="36">
        <v>64.513226995266905</v>
      </c>
      <c r="U9" s="36">
        <v>69.729543497961799</v>
      </c>
      <c r="V9" s="36">
        <v>158.109342429696</v>
      </c>
      <c r="W9" s="36">
        <v>197.556270390408</v>
      </c>
      <c r="X9" s="37">
        <v>133.51939326515301</v>
      </c>
      <c r="Y9" s="37">
        <v>56.758468219945698</v>
      </c>
      <c r="Z9" s="37">
        <v>89.606087005942399</v>
      </c>
      <c r="AA9" s="37">
        <v>229.414249628584</v>
      </c>
      <c r="AB9" s="37">
        <v>212.976116755943</v>
      </c>
      <c r="AC9" s="37">
        <v>158.62730464741</v>
      </c>
      <c r="AD9" s="37">
        <v>254.94326808874899</v>
      </c>
      <c r="AE9" s="37">
        <v>330.41219568499201</v>
      </c>
      <c r="AF9" s="45">
        <v>0.121078813022478</v>
      </c>
      <c r="AG9" s="45">
        <v>1.0888292285797301</v>
      </c>
      <c r="AH9" s="46">
        <v>0.76007195700841002</v>
      </c>
      <c r="AI9" s="47">
        <v>0.82026835229121897</v>
      </c>
      <c r="AJ9" s="48">
        <v>168.32955122922601</v>
      </c>
      <c r="AK9" s="49">
        <v>183.28213541209001</v>
      </c>
      <c r="AL9" s="31" t="s">
        <v>5874</v>
      </c>
      <c r="AM9" s="31" t="s">
        <v>5832</v>
      </c>
      <c r="AN9" s="31" t="s">
        <v>20919</v>
      </c>
      <c r="AO9" s="31" t="s">
        <v>20920</v>
      </c>
      <c r="AP9" s="31" t="s">
        <v>20921</v>
      </c>
      <c r="AQ9" s="31" t="s">
        <v>20922</v>
      </c>
      <c r="AR9" s="31" t="s">
        <v>20923</v>
      </c>
      <c r="AS9" s="31" t="str">
        <f>"TF"</f>
        <v>TF</v>
      </c>
      <c r="AT9" s="31" t="s">
        <v>13772</v>
      </c>
      <c r="AU9" s="31" t="s">
        <v>13777</v>
      </c>
      <c r="AV9" s="31">
        <v>9606</v>
      </c>
      <c r="AW9" s="50" t="str">
        <f>HYPERLINK("http://www.uniprot.org/uniprot/P02787", "P02787")</f>
        <v>P02787</v>
      </c>
      <c r="AX9" s="31" t="s">
        <v>20924</v>
      </c>
      <c r="AY9" s="31" t="s">
        <v>20925</v>
      </c>
      <c r="AZ9" s="31" t="s">
        <v>14321</v>
      </c>
      <c r="BA9" s="31" t="s">
        <v>13793</v>
      </c>
      <c r="BB9" s="31" t="s">
        <v>13772</v>
      </c>
      <c r="BC9" s="31" t="s">
        <v>13807</v>
      </c>
      <c r="BD9" s="31" t="s">
        <v>14404</v>
      </c>
      <c r="BE9" s="31" t="s">
        <v>17802</v>
      </c>
      <c r="BF9" s="31" t="s">
        <v>13772</v>
      </c>
      <c r="BG9" s="31" t="s">
        <v>20926</v>
      </c>
      <c r="BH9" s="31" t="s">
        <v>13812</v>
      </c>
      <c r="BI9" s="31" t="s">
        <v>20927</v>
      </c>
      <c r="BJ9" s="31" t="s">
        <v>20928</v>
      </c>
      <c r="BK9" s="31" t="s">
        <v>20929</v>
      </c>
      <c r="BL9" s="31" t="s">
        <v>13772</v>
      </c>
      <c r="BM9" s="31" t="s">
        <v>20930</v>
      </c>
    </row>
    <row r="10" spans="1:66">
      <c r="A10">
        <v>738</v>
      </c>
      <c r="B10">
        <v>1</v>
      </c>
      <c r="C10">
        <v>5</v>
      </c>
      <c r="D10" t="s">
        <v>1810</v>
      </c>
      <c r="E10" t="s">
        <v>73</v>
      </c>
      <c r="F10" t="s">
        <v>73</v>
      </c>
      <c r="G10">
        <v>73.099999999999994</v>
      </c>
      <c r="H10">
        <v>1661</v>
      </c>
      <c r="I10">
        <v>186659</v>
      </c>
      <c r="J10" t="s">
        <v>1812</v>
      </c>
      <c r="K10" s="3">
        <v>18</v>
      </c>
      <c r="L10">
        <v>3357</v>
      </c>
      <c r="M10">
        <v>3356</v>
      </c>
      <c r="N10">
        <v>1</v>
      </c>
      <c r="O10" s="11">
        <f t="shared" si="0"/>
        <v>147.57828520575077</v>
      </c>
      <c r="P10" s="36">
        <v>158.72528485435001</v>
      </c>
      <c r="Q10" s="36">
        <v>98.232540309099605</v>
      </c>
      <c r="R10" s="36">
        <v>27.213560250808399</v>
      </c>
      <c r="S10" s="36">
        <v>37.798043978830698</v>
      </c>
      <c r="T10" s="36">
        <v>18.0637035586747</v>
      </c>
      <c r="U10" s="36">
        <v>37.189089865579597</v>
      </c>
      <c r="V10" s="36">
        <v>51.6490518603674</v>
      </c>
      <c r="W10" s="36">
        <v>108.996562974018</v>
      </c>
      <c r="X10" s="37">
        <v>100.93430324211</v>
      </c>
      <c r="Y10" s="37">
        <v>66.218212923270002</v>
      </c>
      <c r="Z10" s="37">
        <v>120.808206588369</v>
      </c>
      <c r="AA10" s="37">
        <v>284.43980765757999</v>
      </c>
      <c r="AB10" s="37">
        <v>155.275943622754</v>
      </c>
      <c r="AC10" s="37">
        <v>99.438011868525706</v>
      </c>
      <c r="AD10" s="37">
        <v>438.98515392796497</v>
      </c>
      <c r="AE10" s="37">
        <v>557.28508580971004</v>
      </c>
      <c r="AF10" s="45">
        <v>1.7552613368557299</v>
      </c>
      <c r="AG10" s="45">
        <v>3.3900237158648099</v>
      </c>
      <c r="AH10" s="46">
        <v>5.9963955197529296E-4</v>
      </c>
      <c r="AI10" s="47">
        <v>1.4378453773171E-3</v>
      </c>
      <c r="AJ10" s="48">
        <v>67.233479706465999</v>
      </c>
      <c r="AK10" s="49">
        <v>227.92309070503501</v>
      </c>
      <c r="AL10" s="31" t="s">
        <v>5874</v>
      </c>
      <c r="AM10" s="31" t="s">
        <v>5876</v>
      </c>
      <c r="AN10" s="31" t="s">
        <v>21029</v>
      </c>
      <c r="AO10" s="31" t="s">
        <v>21030</v>
      </c>
      <c r="AP10" s="31" t="s">
        <v>21031</v>
      </c>
      <c r="AQ10" s="31" t="s">
        <v>21032</v>
      </c>
      <c r="AR10" s="31" t="s">
        <v>21033</v>
      </c>
      <c r="AS10" s="31" t="str">
        <f>"C3"</f>
        <v>C3</v>
      </c>
      <c r="AT10" s="31" t="s">
        <v>21034</v>
      </c>
      <c r="AU10" s="31" t="s">
        <v>13777</v>
      </c>
      <c r="AV10" s="31">
        <v>9606</v>
      </c>
      <c r="AW10" s="50" t="str">
        <f>HYPERLINK("http://www.uniprot.org/uniprot/P01024", "P01024")</f>
        <v>P01024</v>
      </c>
      <c r="AX10" s="31" t="s">
        <v>21035</v>
      </c>
      <c r="AY10" s="31" t="s">
        <v>21036</v>
      </c>
      <c r="AZ10" s="31" t="s">
        <v>14321</v>
      </c>
      <c r="BA10" s="31" t="s">
        <v>13793</v>
      </c>
      <c r="BB10" s="31" t="s">
        <v>13772</v>
      </c>
      <c r="BC10" s="31" t="s">
        <v>21037</v>
      </c>
      <c r="BD10" s="31" t="s">
        <v>13808</v>
      </c>
      <c r="BE10" s="31" t="s">
        <v>13772</v>
      </c>
      <c r="BF10" s="31" t="s">
        <v>13772</v>
      </c>
      <c r="BG10" s="31" t="s">
        <v>21038</v>
      </c>
      <c r="BH10" s="31" t="s">
        <v>13812</v>
      </c>
      <c r="BI10" s="31" t="s">
        <v>21039</v>
      </c>
      <c r="BJ10" s="31" t="s">
        <v>21040</v>
      </c>
      <c r="BK10" s="31" t="s">
        <v>21041</v>
      </c>
      <c r="BL10" s="31" t="s">
        <v>13772</v>
      </c>
      <c r="BM10" s="31" t="s">
        <v>21042</v>
      </c>
    </row>
    <row r="11" spans="1:66">
      <c r="A11">
        <v>1221</v>
      </c>
      <c r="B11">
        <v>1</v>
      </c>
      <c r="C11">
        <v>6</v>
      </c>
      <c r="D11" t="s">
        <v>2933</v>
      </c>
      <c r="E11" t="s">
        <v>73</v>
      </c>
      <c r="F11" t="s">
        <v>73</v>
      </c>
      <c r="G11">
        <v>83.1</v>
      </c>
      <c r="H11">
        <v>201</v>
      </c>
      <c r="I11">
        <v>22989</v>
      </c>
      <c r="J11" t="s">
        <v>2934</v>
      </c>
      <c r="K11" s="3">
        <v>9</v>
      </c>
      <c r="L11">
        <v>3354</v>
      </c>
      <c r="M11">
        <v>3353</v>
      </c>
      <c r="N11">
        <v>1</v>
      </c>
      <c r="O11" s="11">
        <f t="shared" si="0"/>
        <v>189.86991040995559</v>
      </c>
      <c r="P11" s="36">
        <v>138.12734712515899</v>
      </c>
      <c r="Q11" s="36">
        <v>100.158668550454</v>
      </c>
      <c r="R11" s="36">
        <v>134.46700359222999</v>
      </c>
      <c r="S11" s="36">
        <v>36.286122219677502</v>
      </c>
      <c r="T11" s="36">
        <v>20.644232638485398</v>
      </c>
      <c r="U11" s="36">
        <v>65.080907264764406</v>
      </c>
      <c r="V11" s="36">
        <v>59.027487840419901</v>
      </c>
      <c r="W11" s="36">
        <v>146.950723295328</v>
      </c>
      <c r="X11" s="37">
        <v>170.07827475442099</v>
      </c>
      <c r="Y11" s="37">
        <v>249.10661052087301</v>
      </c>
      <c r="Z11" s="37">
        <v>436.029619805702</v>
      </c>
      <c r="AA11" s="37">
        <v>259.88994330618198</v>
      </c>
      <c r="AB11" s="37">
        <v>75.340990396839302</v>
      </c>
      <c r="AC11" s="37">
        <v>339.351945265604</v>
      </c>
      <c r="AD11" s="37">
        <v>448.03639421513998</v>
      </c>
      <c r="AE11" s="37">
        <v>359.34229576800999</v>
      </c>
      <c r="AF11" s="45">
        <v>1.7369027677644</v>
      </c>
      <c r="AG11" s="45">
        <v>3.3352852138395499</v>
      </c>
      <c r="AH11" s="46">
        <v>4.51266616984017E-5</v>
      </c>
      <c r="AI11" s="47">
        <v>1.3912321048954301E-4</v>
      </c>
      <c r="AJ11" s="48">
        <v>87.592811565814799</v>
      </c>
      <c r="AK11" s="49">
        <v>292.14700925409602</v>
      </c>
      <c r="AL11" s="31" t="s">
        <v>5874</v>
      </c>
      <c r="AM11" s="31" t="s">
        <v>5876</v>
      </c>
      <c r="AN11" s="31" t="s">
        <v>25557</v>
      </c>
      <c r="AO11" s="31" t="s">
        <v>25558</v>
      </c>
      <c r="AP11" s="31" t="s">
        <v>25559</v>
      </c>
      <c r="AQ11" s="31" t="s">
        <v>25560</v>
      </c>
      <c r="AR11" s="31" t="s">
        <v>25561</v>
      </c>
      <c r="AS11" s="31" t="str">
        <f>"RBP4"</f>
        <v>RBP4</v>
      </c>
      <c r="AT11" s="31" t="s">
        <v>13772</v>
      </c>
      <c r="AU11" s="31" t="s">
        <v>13777</v>
      </c>
      <c r="AV11" s="31">
        <v>9606</v>
      </c>
      <c r="AW11" s="50" t="str">
        <f>HYPERLINK("http://www.uniprot.org/uniprot/P02753", "P02753")</f>
        <v>P02753</v>
      </c>
      <c r="AX11" s="31" t="s">
        <v>25562</v>
      </c>
      <c r="AY11" s="31" t="s">
        <v>25563</v>
      </c>
      <c r="AZ11" s="31" t="s">
        <v>14321</v>
      </c>
      <c r="BA11" s="31" t="s">
        <v>13772</v>
      </c>
      <c r="BB11" s="31" t="s">
        <v>13772</v>
      </c>
      <c r="BC11" s="31" t="s">
        <v>15592</v>
      </c>
      <c r="BD11" s="31" t="s">
        <v>13808</v>
      </c>
      <c r="BE11" s="31" t="s">
        <v>15687</v>
      </c>
      <c r="BF11" s="31" t="s">
        <v>13772</v>
      </c>
      <c r="BG11" s="31" t="s">
        <v>25564</v>
      </c>
      <c r="BH11" s="31" t="s">
        <v>13812</v>
      </c>
      <c r="BI11" s="31" t="s">
        <v>25565</v>
      </c>
      <c r="BJ11" s="31" t="s">
        <v>25566</v>
      </c>
      <c r="BK11" s="31" t="s">
        <v>25567</v>
      </c>
      <c r="BL11" s="31" t="s">
        <v>13772</v>
      </c>
      <c r="BM11" s="31" t="s">
        <v>25568</v>
      </c>
    </row>
    <row r="12" spans="1:66">
      <c r="A12">
        <v>1256</v>
      </c>
      <c r="B12">
        <v>1</v>
      </c>
      <c r="C12">
        <v>7</v>
      </c>
      <c r="D12" t="s">
        <v>3006</v>
      </c>
      <c r="E12" t="s">
        <v>3007</v>
      </c>
      <c r="F12" t="s">
        <v>73</v>
      </c>
      <c r="G12">
        <v>76.099999999999994</v>
      </c>
      <c r="H12">
        <v>444</v>
      </c>
      <c r="I12">
        <v>51541</v>
      </c>
      <c r="J12" t="s">
        <v>3008</v>
      </c>
      <c r="K12" s="3">
        <v>26</v>
      </c>
      <c r="L12">
        <v>3181</v>
      </c>
      <c r="M12">
        <v>3181</v>
      </c>
      <c r="N12">
        <v>1</v>
      </c>
      <c r="O12" s="11">
        <f t="shared" si="0"/>
        <v>166.40849123708804</v>
      </c>
      <c r="P12" s="36">
        <v>102.989688645952</v>
      </c>
      <c r="Q12" s="36">
        <v>143.49655398094001</v>
      </c>
      <c r="R12" s="36">
        <v>57.628715825241301</v>
      </c>
      <c r="S12" s="36">
        <v>87.691462030887294</v>
      </c>
      <c r="T12" s="36">
        <v>51.6105815962135</v>
      </c>
      <c r="U12" s="36">
        <v>55.783634798369498</v>
      </c>
      <c r="V12" s="36">
        <v>33.729993051668501</v>
      </c>
      <c r="W12" s="36">
        <v>51.578730693062198</v>
      </c>
      <c r="X12" s="37">
        <v>210.610947709914</v>
      </c>
      <c r="Y12" s="37">
        <v>110.36368820545</v>
      </c>
      <c r="Z12" s="37">
        <v>271.21842406262903</v>
      </c>
      <c r="AA12" s="37">
        <v>243.805549420783</v>
      </c>
      <c r="AB12" s="37">
        <v>241.64244480937501</v>
      </c>
      <c r="AC12" s="37">
        <v>209.135501152058</v>
      </c>
      <c r="AD12" s="37">
        <v>381.66063210919299</v>
      </c>
      <c r="AE12" s="37">
        <v>409.58931170167199</v>
      </c>
      <c r="AF12" s="45">
        <v>1.82618630662735</v>
      </c>
      <c r="AG12" s="45">
        <v>3.5551637649713199</v>
      </c>
      <c r="AH12" s="46">
        <v>1.82111761470658E-7</v>
      </c>
      <c r="AI12" s="47">
        <v>1.12808118910991E-6</v>
      </c>
      <c r="AJ12" s="48">
        <v>73.063670077791699</v>
      </c>
      <c r="AK12" s="49">
        <v>259.75331239638399</v>
      </c>
      <c r="AL12" s="31" t="s">
        <v>5874</v>
      </c>
      <c r="AM12" s="31" t="s">
        <v>5876</v>
      </c>
      <c r="AN12" s="31" t="s">
        <v>25891</v>
      </c>
      <c r="AO12" s="31" t="s">
        <v>25892</v>
      </c>
      <c r="AP12" s="31" t="s">
        <v>25893</v>
      </c>
      <c r="AQ12" s="31" t="s">
        <v>25894</v>
      </c>
      <c r="AR12" s="31" t="s">
        <v>25895</v>
      </c>
      <c r="AS12" s="31" t="str">
        <f>"CLU"</f>
        <v>CLU</v>
      </c>
      <c r="AT12" s="31" t="s">
        <v>13772</v>
      </c>
      <c r="AU12" s="31" t="s">
        <v>13777</v>
      </c>
      <c r="AV12" s="31">
        <v>9606</v>
      </c>
      <c r="AW12" s="50" t="str">
        <f>HYPERLINK("http://www.uniprot.org/uniprot/P10909", "P10909")</f>
        <v>P10909</v>
      </c>
      <c r="AX12" s="31" t="s">
        <v>25896</v>
      </c>
      <c r="AY12" s="31" t="s">
        <v>25897</v>
      </c>
      <c r="AZ12" s="31" t="s">
        <v>25898</v>
      </c>
      <c r="BA12" s="31" t="s">
        <v>13780</v>
      </c>
      <c r="BB12" s="31" t="s">
        <v>13772</v>
      </c>
      <c r="BC12" s="31" t="s">
        <v>13772</v>
      </c>
      <c r="BD12" s="31" t="s">
        <v>13808</v>
      </c>
      <c r="BE12" s="31" t="s">
        <v>13772</v>
      </c>
      <c r="BF12" s="31" t="s">
        <v>14477</v>
      </c>
      <c r="BG12" s="31" t="s">
        <v>14640</v>
      </c>
      <c r="BH12" s="31" t="s">
        <v>13772</v>
      </c>
      <c r="BI12" s="31" t="s">
        <v>25899</v>
      </c>
      <c r="BJ12" s="31" t="s">
        <v>25900</v>
      </c>
      <c r="BK12" s="31" t="s">
        <v>25901</v>
      </c>
      <c r="BL12" s="31" t="s">
        <v>13772</v>
      </c>
      <c r="BM12" s="31" t="s">
        <v>25902</v>
      </c>
    </row>
    <row r="13" spans="1:66">
      <c r="A13">
        <v>1889</v>
      </c>
      <c r="B13">
        <v>1</v>
      </c>
      <c r="C13">
        <v>8</v>
      </c>
      <c r="D13" t="s">
        <v>4459</v>
      </c>
      <c r="E13" t="s">
        <v>73</v>
      </c>
      <c r="F13" t="s">
        <v>73</v>
      </c>
      <c r="G13">
        <v>66.099999999999994</v>
      </c>
      <c r="H13">
        <v>643</v>
      </c>
      <c r="I13">
        <v>69865</v>
      </c>
      <c r="J13" t="s">
        <v>4460</v>
      </c>
      <c r="K13" s="3">
        <v>2</v>
      </c>
      <c r="L13">
        <v>2914</v>
      </c>
      <c r="M13">
        <v>2914</v>
      </c>
      <c r="N13">
        <v>1</v>
      </c>
      <c r="O13" s="11">
        <f t="shared" si="0"/>
        <v>192.97434894890083</v>
      </c>
      <c r="P13" s="36">
        <v>202.34444710439999</v>
      </c>
      <c r="Q13" s="36">
        <v>321.66341630626698</v>
      </c>
      <c r="R13" s="36">
        <v>526.66243073623298</v>
      </c>
      <c r="S13" s="36">
        <v>409.73079673052501</v>
      </c>
      <c r="T13" s="36">
        <v>296.76084417822801</v>
      </c>
      <c r="U13" s="36">
        <v>207.32917600060699</v>
      </c>
      <c r="V13" s="36">
        <v>283.54275409058801</v>
      </c>
      <c r="W13" s="36">
        <v>109.969746572001</v>
      </c>
      <c r="X13" s="37">
        <v>125.571810332703</v>
      </c>
      <c r="Y13" s="37">
        <v>32.163131991302599</v>
      </c>
      <c r="Z13" s="37">
        <v>76.005163085397598</v>
      </c>
      <c r="AA13" s="37">
        <v>245.49864351398301</v>
      </c>
      <c r="AB13" s="37">
        <v>25.726191842823201</v>
      </c>
      <c r="AC13" s="37">
        <v>59.189292778884401</v>
      </c>
      <c r="AD13" s="37">
        <v>57.324521818772098</v>
      </c>
      <c r="AE13" s="37">
        <v>108.10721609969799</v>
      </c>
      <c r="AF13" s="45">
        <v>-1.68981904074161</v>
      </c>
      <c r="AG13" s="45">
        <v>-3.2319749884837399</v>
      </c>
      <c r="AH13" s="46">
        <v>1.0784033930214301E-4</v>
      </c>
      <c r="AI13" s="47">
        <v>3.01862707084241E-4</v>
      </c>
      <c r="AJ13" s="48">
        <v>294.75045146485598</v>
      </c>
      <c r="AK13" s="49">
        <v>91.198246432945496</v>
      </c>
      <c r="AL13" s="31" t="s">
        <v>5875</v>
      </c>
      <c r="AM13" s="31" t="s">
        <v>5876</v>
      </c>
      <c r="AN13" s="31" t="s">
        <v>31906</v>
      </c>
      <c r="AO13" s="31" t="s">
        <v>31907</v>
      </c>
      <c r="AP13" s="31" t="s">
        <v>31908</v>
      </c>
      <c r="AQ13" s="31" t="s">
        <v>31909</v>
      </c>
      <c r="AR13" s="31" t="s">
        <v>31910</v>
      </c>
      <c r="AS13" s="31" t="str">
        <f>"UMOD"</f>
        <v>UMOD</v>
      </c>
      <c r="AT13" s="31" t="s">
        <v>13772</v>
      </c>
      <c r="AU13" s="31" t="s">
        <v>13777</v>
      </c>
      <c r="AV13" s="31">
        <v>9606</v>
      </c>
      <c r="AW13" s="50" t="str">
        <f>HYPERLINK("http://www.uniprot.org/uniprot/P07911", "P07911")</f>
        <v>P07911</v>
      </c>
      <c r="AX13" s="31" t="s">
        <v>31911</v>
      </c>
      <c r="AY13" s="31" t="s">
        <v>13772</v>
      </c>
      <c r="AZ13" s="31" t="s">
        <v>31912</v>
      </c>
      <c r="BA13" s="31" t="s">
        <v>13780</v>
      </c>
      <c r="BB13" s="31" t="s">
        <v>13772</v>
      </c>
      <c r="BC13" s="31" t="s">
        <v>31913</v>
      </c>
      <c r="BD13" s="31" t="s">
        <v>14768</v>
      </c>
      <c r="BE13" s="31" t="s">
        <v>13772</v>
      </c>
      <c r="BF13" s="31" t="s">
        <v>13772</v>
      </c>
      <c r="BG13" s="31" t="s">
        <v>15699</v>
      </c>
      <c r="BH13" s="31" t="s">
        <v>13812</v>
      </c>
      <c r="BI13" s="31" t="s">
        <v>31914</v>
      </c>
      <c r="BJ13" s="31" t="s">
        <v>31915</v>
      </c>
      <c r="BK13" s="31" t="s">
        <v>31916</v>
      </c>
      <c r="BL13" s="31" t="s">
        <v>13772</v>
      </c>
      <c r="BM13" s="31" t="s">
        <v>14422</v>
      </c>
    </row>
    <row r="14" spans="1:66">
      <c r="A14">
        <v>1138</v>
      </c>
      <c r="B14">
        <v>1</v>
      </c>
      <c r="C14">
        <v>9</v>
      </c>
      <c r="D14" t="s">
        <v>2741</v>
      </c>
      <c r="E14" t="s">
        <v>73</v>
      </c>
      <c r="F14" t="s">
        <v>73</v>
      </c>
      <c r="G14">
        <v>85.8</v>
      </c>
      <c r="H14">
        <v>148</v>
      </c>
      <c r="I14">
        <v>16486</v>
      </c>
      <c r="J14" t="s">
        <v>2742</v>
      </c>
      <c r="K14" s="3">
        <v>21</v>
      </c>
      <c r="L14">
        <v>2518</v>
      </c>
      <c r="M14">
        <v>2503</v>
      </c>
      <c r="N14">
        <v>0.99399999999999999</v>
      </c>
      <c r="O14" s="11">
        <f t="shared" si="0"/>
        <v>140.78693559945032</v>
      </c>
      <c r="P14" s="36">
        <v>123.58762637514199</v>
      </c>
      <c r="Q14" s="36">
        <v>111.71543799858399</v>
      </c>
      <c r="R14" s="36">
        <v>121.660622297732</v>
      </c>
      <c r="S14" s="36">
        <v>40.821887497137197</v>
      </c>
      <c r="T14" s="36">
        <v>22.3645853583592</v>
      </c>
      <c r="U14" s="36">
        <v>22.313453919347801</v>
      </c>
      <c r="V14" s="36">
        <v>52.703114143232</v>
      </c>
      <c r="W14" s="36">
        <v>111.916113767965</v>
      </c>
      <c r="X14" s="37">
        <v>146.95080842099301</v>
      </c>
      <c r="Y14" s="37">
        <v>162.70760889717801</v>
      </c>
      <c r="Z14" s="37">
        <v>216.014674032183</v>
      </c>
      <c r="AA14" s="37">
        <v>137.14062154919</v>
      </c>
      <c r="AB14" s="37">
        <v>204.89074217677</v>
      </c>
      <c r="AC14" s="37">
        <v>230.44364655245599</v>
      </c>
      <c r="AD14" s="37">
        <v>247.40056784943701</v>
      </c>
      <c r="AE14" s="37">
        <v>299.95945875549899</v>
      </c>
      <c r="AF14" s="45">
        <v>1.43855131856059</v>
      </c>
      <c r="AG14" s="45">
        <v>2.7105166150869699</v>
      </c>
      <c r="AH14" s="46">
        <v>2.0551327904926001E-4</v>
      </c>
      <c r="AI14" s="47">
        <v>5.3987415568573099E-4</v>
      </c>
      <c r="AJ14" s="48">
        <v>75.885355169687401</v>
      </c>
      <c r="AK14" s="49">
        <v>205.68851602921299</v>
      </c>
      <c r="AL14" s="31" t="s">
        <v>5874</v>
      </c>
      <c r="AM14" s="31" t="s">
        <v>5876</v>
      </c>
      <c r="AN14" s="31" t="s">
        <v>24357</v>
      </c>
      <c r="AO14" s="31" t="s">
        <v>24358</v>
      </c>
      <c r="AP14" s="31" t="s">
        <v>24359</v>
      </c>
      <c r="AQ14" s="31" t="s">
        <v>24360</v>
      </c>
      <c r="AR14" s="31" t="s">
        <v>24361</v>
      </c>
      <c r="AS14" s="31" t="str">
        <f>"LYZ"</f>
        <v>LYZ</v>
      </c>
      <c r="AT14" s="31" t="s">
        <v>24362</v>
      </c>
      <c r="AU14" s="31" t="s">
        <v>13777</v>
      </c>
      <c r="AV14" s="31">
        <v>9606</v>
      </c>
      <c r="AW14" s="50" t="str">
        <f>HYPERLINK("http://www.uniprot.org/uniprot/P61626", "P61626")</f>
        <v>P61626</v>
      </c>
      <c r="AX14" s="31" t="s">
        <v>24363</v>
      </c>
      <c r="AY14" s="31" t="s">
        <v>13772</v>
      </c>
      <c r="AZ14" s="31" t="s">
        <v>20170</v>
      </c>
      <c r="BA14" s="31" t="s">
        <v>13793</v>
      </c>
      <c r="BB14" s="31" t="s">
        <v>13772</v>
      </c>
      <c r="BC14" s="31" t="s">
        <v>16144</v>
      </c>
      <c r="BD14" s="31" t="s">
        <v>13808</v>
      </c>
      <c r="BE14" s="31" t="s">
        <v>13772</v>
      </c>
      <c r="BF14" s="31" t="s">
        <v>24364</v>
      </c>
      <c r="BG14" s="31" t="s">
        <v>14506</v>
      </c>
      <c r="BH14" s="31" t="s">
        <v>13812</v>
      </c>
      <c r="BI14" s="31" t="s">
        <v>24365</v>
      </c>
      <c r="BJ14" s="31" t="s">
        <v>24366</v>
      </c>
      <c r="BK14" s="31" t="s">
        <v>24367</v>
      </c>
      <c r="BL14" s="31" t="s">
        <v>13772</v>
      </c>
      <c r="BM14" s="31" t="s">
        <v>24368</v>
      </c>
    </row>
    <row r="15" spans="1:66">
      <c r="A15">
        <v>1480</v>
      </c>
      <c r="B15">
        <v>1</v>
      </c>
      <c r="C15">
        <v>10</v>
      </c>
      <c r="D15" t="s">
        <v>3522</v>
      </c>
      <c r="E15" t="s">
        <v>73</v>
      </c>
      <c r="F15" t="s">
        <v>73</v>
      </c>
      <c r="G15">
        <v>77</v>
      </c>
      <c r="H15">
        <v>768</v>
      </c>
      <c r="I15">
        <v>86350</v>
      </c>
      <c r="J15" t="s">
        <v>3523</v>
      </c>
      <c r="K15" s="3">
        <v>8</v>
      </c>
      <c r="L15">
        <v>2470</v>
      </c>
      <c r="M15">
        <v>2470</v>
      </c>
      <c r="N15">
        <v>1</v>
      </c>
      <c r="O15" s="11">
        <f t="shared" si="0"/>
        <v>149.38107115638508</v>
      </c>
      <c r="P15" s="36">
        <v>264.13826029197099</v>
      </c>
      <c r="Q15" s="36">
        <v>140.60736161890699</v>
      </c>
      <c r="R15" s="36">
        <v>203.301303050157</v>
      </c>
      <c r="S15" s="36">
        <v>173.87100230262101</v>
      </c>
      <c r="T15" s="36">
        <v>108.38222135204801</v>
      </c>
      <c r="U15" s="36">
        <v>132.95099626944699</v>
      </c>
      <c r="V15" s="36">
        <v>161.27152927828999</v>
      </c>
      <c r="W15" s="36">
        <v>138.19207091348699</v>
      </c>
      <c r="X15" s="37">
        <v>109.676644467804</v>
      </c>
      <c r="Y15" s="37">
        <v>63.695614335716797</v>
      </c>
      <c r="Z15" s="37">
        <v>152.010326170795</v>
      </c>
      <c r="AA15" s="37">
        <v>104.97183377839301</v>
      </c>
      <c r="AB15" s="37">
        <v>88.204086318250901</v>
      </c>
      <c r="AC15" s="37">
        <v>74.183913616201707</v>
      </c>
      <c r="AD15" s="37">
        <v>208.17852660501401</v>
      </c>
      <c r="AE15" s="37">
        <v>266.46144813305801</v>
      </c>
      <c r="AF15" s="45">
        <v>-0.31477900361328298</v>
      </c>
      <c r="AG15" s="45">
        <v>-1.23921356884325</v>
      </c>
      <c r="AH15" s="46">
        <v>0.346872267398117</v>
      </c>
      <c r="AI15" s="47">
        <v>0.427361964805415</v>
      </c>
      <c r="AJ15" s="48">
        <v>165.339343134616</v>
      </c>
      <c r="AK15" s="49">
        <v>133.42279917815401</v>
      </c>
      <c r="AL15" s="31" t="s">
        <v>5875</v>
      </c>
      <c r="AM15" s="31" t="s">
        <v>5832</v>
      </c>
      <c r="AN15" s="31" t="s">
        <v>28014</v>
      </c>
      <c r="AO15" s="31" t="s">
        <v>28015</v>
      </c>
      <c r="AP15" s="31" t="s">
        <v>28016</v>
      </c>
      <c r="AQ15" s="31" t="s">
        <v>28017</v>
      </c>
      <c r="AR15" s="31" t="s">
        <v>28018</v>
      </c>
      <c r="AS15" s="31" t="str">
        <f>"CFB"</f>
        <v>CFB</v>
      </c>
      <c r="AT15" s="31" t="s">
        <v>28019</v>
      </c>
      <c r="AU15" s="31" t="s">
        <v>13777</v>
      </c>
      <c r="AV15" s="31">
        <v>9606</v>
      </c>
      <c r="AW15" s="50" t="str">
        <f>HYPERLINK("http://www.uniprot.org/uniprot/P00751", "P00751")</f>
        <v>P00751</v>
      </c>
      <c r="AX15" s="31" t="s">
        <v>28020</v>
      </c>
      <c r="AY15" s="31" t="s">
        <v>21849</v>
      </c>
      <c r="AZ15" s="31" t="s">
        <v>14321</v>
      </c>
      <c r="BA15" s="31" t="s">
        <v>13780</v>
      </c>
      <c r="BB15" s="31" t="s">
        <v>13772</v>
      </c>
      <c r="BC15" s="31" t="s">
        <v>28021</v>
      </c>
      <c r="BD15" s="31" t="s">
        <v>28012</v>
      </c>
      <c r="BE15" s="31" t="s">
        <v>13772</v>
      </c>
      <c r="BF15" s="31" t="s">
        <v>15176</v>
      </c>
      <c r="BG15" s="31" t="s">
        <v>28022</v>
      </c>
      <c r="BH15" s="31" t="s">
        <v>13812</v>
      </c>
      <c r="BI15" s="31" t="s">
        <v>28023</v>
      </c>
      <c r="BJ15" s="31" t="s">
        <v>28024</v>
      </c>
      <c r="BK15" s="31" t="s">
        <v>28025</v>
      </c>
      <c r="BL15" s="31" t="s">
        <v>13772</v>
      </c>
      <c r="BM15" s="31" t="s">
        <v>28026</v>
      </c>
    </row>
    <row r="16" spans="1:66">
      <c r="A16">
        <v>1333</v>
      </c>
      <c r="B16">
        <v>1</v>
      </c>
      <c r="C16">
        <v>11</v>
      </c>
      <c r="D16" t="s">
        <v>3195</v>
      </c>
      <c r="E16" t="s">
        <v>73</v>
      </c>
      <c r="F16" t="s">
        <v>73</v>
      </c>
      <c r="G16">
        <v>67.3</v>
      </c>
      <c r="H16">
        <v>872</v>
      </c>
      <c r="I16">
        <v>94955</v>
      </c>
      <c r="J16" t="s">
        <v>3196</v>
      </c>
      <c r="K16" s="3" t="s">
        <v>73</v>
      </c>
      <c r="L16">
        <v>2464</v>
      </c>
      <c r="M16">
        <v>2464</v>
      </c>
      <c r="N16">
        <v>1</v>
      </c>
      <c r="O16" s="11">
        <f t="shared" si="0"/>
        <v>109.76725344772046</v>
      </c>
      <c r="P16" s="36">
        <v>78.756820729257399</v>
      </c>
      <c r="Q16" s="36">
        <v>74.155937292163401</v>
      </c>
      <c r="R16" s="36">
        <v>62.431108810677998</v>
      </c>
      <c r="S16" s="36">
        <v>89.203383790040505</v>
      </c>
      <c r="T16" s="36">
        <v>54.191110676024202</v>
      </c>
      <c r="U16" s="36">
        <v>57.643089291648501</v>
      </c>
      <c r="V16" s="36">
        <v>61.1356124061492</v>
      </c>
      <c r="W16" s="36">
        <v>36.007793125345302</v>
      </c>
      <c r="X16" s="37">
        <v>153.38835059627701</v>
      </c>
      <c r="Y16" s="37">
        <v>134.95902443409301</v>
      </c>
      <c r="Z16" s="37">
        <v>124.008423981438</v>
      </c>
      <c r="AA16" s="37">
        <v>120.20968061719201</v>
      </c>
      <c r="AB16" s="37">
        <v>171.81420980742601</v>
      </c>
      <c r="AC16" s="37">
        <v>121.535347839309</v>
      </c>
      <c r="AD16" s="37">
        <v>202.144366413565</v>
      </c>
      <c r="AE16" s="37">
        <v>214.69179535292099</v>
      </c>
      <c r="AF16" s="45">
        <v>1.27405862968202</v>
      </c>
      <c r="AG16" s="45">
        <v>2.4200409858031402</v>
      </c>
      <c r="AH16" s="46">
        <v>1.5379308440685201E-6</v>
      </c>
      <c r="AI16" s="47">
        <v>7.1449703797349904E-6</v>
      </c>
      <c r="AJ16" s="48">
        <v>64.190607015163295</v>
      </c>
      <c r="AK16" s="49">
        <v>155.343899880278</v>
      </c>
      <c r="AL16" s="31" t="s">
        <v>5874</v>
      </c>
      <c r="AM16" s="31" t="s">
        <v>5876</v>
      </c>
      <c r="AN16" s="31" t="s">
        <v>26671</v>
      </c>
      <c r="AO16" s="31" t="s">
        <v>13772</v>
      </c>
      <c r="AP16" s="31" t="s">
        <v>26672</v>
      </c>
      <c r="AQ16" s="31" t="s">
        <v>26673</v>
      </c>
      <c r="AR16" s="31" t="s">
        <v>26674</v>
      </c>
      <c r="AS16" s="31" t="str">
        <f>"FGA"</f>
        <v>FGA</v>
      </c>
      <c r="AT16" s="31" t="s">
        <v>13772</v>
      </c>
      <c r="AU16" s="31" t="s">
        <v>13777</v>
      </c>
      <c r="AV16" s="31">
        <v>9606</v>
      </c>
      <c r="AW16" s="50" t="str">
        <f>HYPERLINK("http://www.uniprot.org/uniprot/P02671", "P02671")</f>
        <v>P02671</v>
      </c>
      <c r="AX16" s="31" t="s">
        <v>26675</v>
      </c>
      <c r="AY16" s="31" t="s">
        <v>26074</v>
      </c>
      <c r="AZ16" s="31" t="s">
        <v>20170</v>
      </c>
      <c r="BA16" s="31" t="s">
        <v>13780</v>
      </c>
      <c r="BB16" s="31" t="s">
        <v>13772</v>
      </c>
      <c r="BC16" s="31" t="s">
        <v>16144</v>
      </c>
      <c r="BD16" s="31" t="s">
        <v>16820</v>
      </c>
      <c r="BE16" s="31" t="s">
        <v>13873</v>
      </c>
      <c r="BF16" s="31" t="s">
        <v>13772</v>
      </c>
      <c r="BG16" s="31" t="s">
        <v>26676</v>
      </c>
      <c r="BH16" s="31" t="s">
        <v>13812</v>
      </c>
      <c r="BI16" s="31" t="s">
        <v>26677</v>
      </c>
      <c r="BJ16" s="31" t="s">
        <v>26678</v>
      </c>
      <c r="BK16" s="31" t="s">
        <v>26679</v>
      </c>
      <c r="BL16" s="31" t="s">
        <v>13772</v>
      </c>
      <c r="BM16" s="31" t="s">
        <v>26680</v>
      </c>
    </row>
    <row r="17" spans="1:65">
      <c r="A17">
        <v>603</v>
      </c>
      <c r="B17">
        <v>1</v>
      </c>
      <c r="C17">
        <v>12</v>
      </c>
      <c r="D17" t="s">
        <v>1493</v>
      </c>
      <c r="E17" t="s">
        <v>73</v>
      </c>
      <c r="F17" t="s">
        <v>73</v>
      </c>
      <c r="G17">
        <v>91.4</v>
      </c>
      <c r="H17">
        <v>266</v>
      </c>
      <c r="I17">
        <v>30254</v>
      </c>
      <c r="J17" t="s">
        <v>1494</v>
      </c>
      <c r="K17" s="3" t="s">
        <v>73</v>
      </c>
      <c r="L17">
        <v>2429</v>
      </c>
      <c r="M17">
        <v>2429</v>
      </c>
      <c r="N17">
        <v>1</v>
      </c>
      <c r="O17" s="11">
        <f t="shared" si="0"/>
        <v>98.827164642183533</v>
      </c>
      <c r="P17" s="36">
        <v>42.407518854215503</v>
      </c>
      <c r="Q17" s="36">
        <v>82.823514378260398</v>
      </c>
      <c r="R17" s="36">
        <v>30.415155574432902</v>
      </c>
      <c r="S17" s="36">
        <v>46.869574533750097</v>
      </c>
      <c r="T17" s="36">
        <v>33.546878037538796</v>
      </c>
      <c r="U17" s="36">
        <v>29.751271892463699</v>
      </c>
      <c r="V17" s="36">
        <v>30.5678062030746</v>
      </c>
      <c r="W17" s="36">
        <v>48.659179899115301</v>
      </c>
      <c r="X17" s="37">
        <v>98.550028362374704</v>
      </c>
      <c r="Y17" s="37">
        <v>100.903943502126</v>
      </c>
      <c r="Z17" s="37">
        <v>70.404782647526204</v>
      </c>
      <c r="AA17" s="37">
        <v>245.49864351398301</v>
      </c>
      <c r="AB17" s="37">
        <v>197.54040165025</v>
      </c>
      <c r="AC17" s="37">
        <v>97.859630727755501</v>
      </c>
      <c r="AD17" s="37">
        <v>259.46888823233701</v>
      </c>
      <c r="AE17" s="37">
        <v>165.96741626573299</v>
      </c>
      <c r="AF17" s="45">
        <v>1.8322639211955001</v>
      </c>
      <c r="AG17" s="45">
        <v>3.58274551552873</v>
      </c>
      <c r="AH17" s="46">
        <v>1.9851181150039001E-7</v>
      </c>
      <c r="AI17" s="47">
        <v>1.2183890081996399E-6</v>
      </c>
      <c r="AJ17" s="48">
        <v>43.130112421606398</v>
      </c>
      <c r="AK17" s="49">
        <v>154.52421686276099</v>
      </c>
      <c r="AL17" s="31" t="s">
        <v>5874</v>
      </c>
      <c r="AM17" s="31" t="s">
        <v>5876</v>
      </c>
      <c r="AN17" s="31" t="s">
        <v>19737</v>
      </c>
      <c r="AO17" s="31" t="s">
        <v>19738</v>
      </c>
      <c r="AP17" s="31" t="s">
        <v>19739</v>
      </c>
      <c r="AQ17" s="31" t="s">
        <v>19740</v>
      </c>
      <c r="AR17" s="31" t="s">
        <v>19741</v>
      </c>
      <c r="AS17" s="31" t="str">
        <f>"APOA1"</f>
        <v>APOA1</v>
      </c>
      <c r="AT17" s="31" t="s">
        <v>13772</v>
      </c>
      <c r="AU17" s="31" t="s">
        <v>13777</v>
      </c>
      <c r="AV17" s="31">
        <v>9606</v>
      </c>
      <c r="AW17" s="50" t="str">
        <f>HYPERLINK("http://www.uniprot.org/uniprot/P02647", "P02647")</f>
        <v>P02647</v>
      </c>
      <c r="AX17" s="31" t="s">
        <v>19742</v>
      </c>
      <c r="AY17" s="31" t="s">
        <v>16169</v>
      </c>
      <c r="AZ17" s="31" t="s">
        <v>19678</v>
      </c>
      <c r="BA17" s="31" t="s">
        <v>13793</v>
      </c>
      <c r="BB17" s="31" t="s">
        <v>13772</v>
      </c>
      <c r="BC17" s="31" t="s">
        <v>19743</v>
      </c>
      <c r="BD17" s="31" t="s">
        <v>14404</v>
      </c>
      <c r="BE17" s="31" t="s">
        <v>13772</v>
      </c>
      <c r="BF17" s="31" t="s">
        <v>13772</v>
      </c>
      <c r="BG17" s="31" t="s">
        <v>19744</v>
      </c>
      <c r="BH17" s="31" t="s">
        <v>13812</v>
      </c>
      <c r="BI17" s="31" t="s">
        <v>19745</v>
      </c>
      <c r="BJ17" s="31" t="s">
        <v>19746</v>
      </c>
      <c r="BK17" s="31" t="s">
        <v>19747</v>
      </c>
      <c r="BL17" s="31" t="s">
        <v>13772</v>
      </c>
      <c r="BM17" s="31" t="s">
        <v>19748</v>
      </c>
    </row>
    <row r="18" spans="1:65">
      <c r="A18">
        <v>1855</v>
      </c>
      <c r="B18">
        <v>1</v>
      </c>
      <c r="C18">
        <v>13</v>
      </c>
      <c r="D18" t="s">
        <v>4384</v>
      </c>
      <c r="E18" t="s">
        <v>4385</v>
      </c>
      <c r="F18" t="s">
        <v>73</v>
      </c>
      <c r="G18">
        <v>54.2</v>
      </c>
      <c r="H18">
        <v>812</v>
      </c>
      <c r="I18">
        <v>89175</v>
      </c>
      <c r="J18" t="s">
        <v>4386</v>
      </c>
      <c r="K18" s="3">
        <v>17</v>
      </c>
      <c r="L18">
        <v>2411</v>
      </c>
      <c r="M18">
        <v>2411</v>
      </c>
      <c r="N18">
        <v>1</v>
      </c>
      <c r="O18" s="11">
        <f t="shared" si="0"/>
        <v>153.90228095939523</v>
      </c>
      <c r="P18" s="36">
        <v>145.39720750016701</v>
      </c>
      <c r="Q18" s="36">
        <v>239.802966048684</v>
      </c>
      <c r="R18" s="36">
        <v>265.73241186083499</v>
      </c>
      <c r="S18" s="36">
        <v>300.872430071493</v>
      </c>
      <c r="T18" s="36">
        <v>219.344971783907</v>
      </c>
      <c r="U18" s="36">
        <v>172.929267874945</v>
      </c>
      <c r="V18" s="36">
        <v>198.16370917855201</v>
      </c>
      <c r="W18" s="36">
        <v>99.2647269941952</v>
      </c>
      <c r="X18" s="37">
        <v>60.4016302866168</v>
      </c>
      <c r="Y18" s="37">
        <v>52.343920691727703</v>
      </c>
      <c r="Z18" s="37">
        <v>101.60690222995299</v>
      </c>
      <c r="AA18" s="37">
        <v>74.496140100794804</v>
      </c>
      <c r="AB18" s="37">
        <v>85.447708620805599</v>
      </c>
      <c r="AC18" s="37">
        <v>87.600153312748901</v>
      </c>
      <c r="AD18" s="37">
        <v>196.11020622211501</v>
      </c>
      <c r="AE18" s="37">
        <v>162.922142572784</v>
      </c>
      <c r="AF18" s="45">
        <v>-1.0067101077653</v>
      </c>
      <c r="AG18" s="45">
        <v>-1.9995737550435699</v>
      </c>
      <c r="AH18" s="46">
        <v>2.53459509665418E-3</v>
      </c>
      <c r="AI18" s="47">
        <v>5.2173665220358401E-3</v>
      </c>
      <c r="AJ18" s="48">
        <v>205.18846141409699</v>
      </c>
      <c r="AK18" s="49">
        <v>102.61610050469299</v>
      </c>
      <c r="AL18" s="31" t="s">
        <v>5875</v>
      </c>
      <c r="AM18" s="31" t="s">
        <v>5876</v>
      </c>
      <c r="AN18" s="31" t="s">
        <v>31627</v>
      </c>
      <c r="AO18" s="31" t="s">
        <v>31628</v>
      </c>
      <c r="AP18" s="31" t="s">
        <v>31629</v>
      </c>
      <c r="AQ18" s="31" t="s">
        <v>31630</v>
      </c>
      <c r="AR18" s="31" t="s">
        <v>31631</v>
      </c>
      <c r="AS18" s="31" t="str">
        <f>"PIGR"</f>
        <v>PIGR</v>
      </c>
      <c r="AT18" s="31" t="s">
        <v>13772</v>
      </c>
      <c r="AU18" s="31" t="s">
        <v>13777</v>
      </c>
      <c r="AV18" s="31">
        <v>9606</v>
      </c>
      <c r="AW18" s="50" t="str">
        <f>HYPERLINK("http://www.uniprot.org/uniprot/P01833", "P01833")</f>
        <v>P01833</v>
      </c>
      <c r="AX18" s="31" t="s">
        <v>31632</v>
      </c>
      <c r="AY18" s="31" t="s">
        <v>13772</v>
      </c>
      <c r="AZ18" s="31" t="s">
        <v>14336</v>
      </c>
      <c r="BA18" s="31" t="s">
        <v>13793</v>
      </c>
      <c r="BB18" s="31" t="s">
        <v>13772</v>
      </c>
      <c r="BC18" s="31" t="s">
        <v>13772</v>
      </c>
      <c r="BD18" s="31" t="s">
        <v>13951</v>
      </c>
      <c r="BE18" s="31" t="s">
        <v>13772</v>
      </c>
      <c r="BF18" s="31" t="s">
        <v>13772</v>
      </c>
      <c r="BG18" s="31" t="s">
        <v>13964</v>
      </c>
      <c r="BH18" s="31" t="s">
        <v>13812</v>
      </c>
      <c r="BI18" s="31" t="s">
        <v>31633</v>
      </c>
      <c r="BJ18" s="31" t="s">
        <v>31634</v>
      </c>
      <c r="BK18" s="31" t="s">
        <v>31635</v>
      </c>
      <c r="BL18" s="31" t="s">
        <v>13772</v>
      </c>
      <c r="BM18" s="31" t="s">
        <v>13890</v>
      </c>
    </row>
    <row r="19" spans="1:65">
      <c r="A19">
        <v>394</v>
      </c>
      <c r="B19">
        <v>1</v>
      </c>
      <c r="C19">
        <v>14</v>
      </c>
      <c r="D19" t="s">
        <v>985</v>
      </c>
      <c r="E19" t="s">
        <v>986</v>
      </c>
      <c r="F19" t="s">
        <v>73</v>
      </c>
      <c r="G19">
        <v>40.299999999999997</v>
      </c>
      <c r="H19">
        <v>191</v>
      </c>
      <c r="I19">
        <v>20695</v>
      </c>
      <c r="J19" t="s">
        <v>987</v>
      </c>
      <c r="K19" s="3">
        <v>29</v>
      </c>
      <c r="L19">
        <v>2217</v>
      </c>
      <c r="M19">
        <v>2217</v>
      </c>
      <c r="N19">
        <v>1</v>
      </c>
      <c r="O19" s="11">
        <f t="shared" si="0"/>
        <v>104.77171057887476</v>
      </c>
      <c r="P19" s="36">
        <v>84.815037708431007</v>
      </c>
      <c r="Q19" s="36">
        <v>27.928859499645998</v>
      </c>
      <c r="R19" s="36">
        <v>54.427120501616798</v>
      </c>
      <c r="S19" s="36">
        <v>18.143061109838801</v>
      </c>
      <c r="T19" s="36">
        <v>23.224761718296101</v>
      </c>
      <c r="U19" s="36">
        <v>39.978271605498101</v>
      </c>
      <c r="V19" s="36">
        <v>78.000608931983393</v>
      </c>
      <c r="W19" s="36">
        <v>95.371992602266005</v>
      </c>
      <c r="X19" s="37">
        <v>147.82504254356201</v>
      </c>
      <c r="Y19" s="37">
        <v>112.88628679300299</v>
      </c>
      <c r="Z19" s="37">
        <v>96.806576140348497</v>
      </c>
      <c r="AA19" s="37">
        <v>137.14062154919</v>
      </c>
      <c r="AB19" s="37">
        <v>160.788699017645</v>
      </c>
      <c r="AC19" s="37">
        <v>84.443391031208407</v>
      </c>
      <c r="AD19" s="37">
        <v>334.89589062545798</v>
      </c>
      <c r="AE19" s="37">
        <v>179.67114788400499</v>
      </c>
      <c r="AF19" s="45">
        <v>1.5652170161091301</v>
      </c>
      <c r="AG19" s="45">
        <v>2.9734255539188701</v>
      </c>
      <c r="AH19" s="46">
        <v>7.3594753194681795E-5</v>
      </c>
      <c r="AI19" s="47">
        <v>2.1689378804952501E-4</v>
      </c>
      <c r="AJ19" s="48">
        <v>52.736214209697003</v>
      </c>
      <c r="AK19" s="49">
        <v>156.807206948052</v>
      </c>
      <c r="AL19" s="31" t="s">
        <v>5874</v>
      </c>
      <c r="AM19" s="31" t="s">
        <v>5876</v>
      </c>
      <c r="AN19" s="31" t="s">
        <v>17551</v>
      </c>
      <c r="AO19" s="31" t="s">
        <v>17552</v>
      </c>
      <c r="AP19" s="31" t="s">
        <v>17553</v>
      </c>
      <c r="AQ19" s="31" t="s">
        <v>17554</v>
      </c>
      <c r="AR19" s="31" t="s">
        <v>17555</v>
      </c>
      <c r="AS19" s="31" t="str">
        <f>"IGLC1"</f>
        <v>IGLC1</v>
      </c>
      <c r="AT19" s="31" t="s">
        <v>13772</v>
      </c>
      <c r="AU19" s="31" t="s">
        <v>13777</v>
      </c>
      <c r="AV19" s="31">
        <v>9606</v>
      </c>
      <c r="AW19" s="50" t="str">
        <f>HYPERLINK("http://www.uniprot.org/uniprot/P0CG04", "P0CG04")</f>
        <v>P0CG04</v>
      </c>
      <c r="AX19" s="31" t="s">
        <v>17556</v>
      </c>
      <c r="AY19" s="31" t="s">
        <v>15290</v>
      </c>
      <c r="AZ19" s="31" t="s">
        <v>15291</v>
      </c>
      <c r="BA19" s="31" t="s">
        <v>13793</v>
      </c>
      <c r="BB19" s="31" t="s">
        <v>13772</v>
      </c>
      <c r="BC19" s="31" t="s">
        <v>13772</v>
      </c>
      <c r="BD19" s="31" t="s">
        <v>17557</v>
      </c>
      <c r="BE19" s="31" t="s">
        <v>13772</v>
      </c>
      <c r="BF19" s="31" t="s">
        <v>17558</v>
      </c>
      <c r="BG19" s="31" t="s">
        <v>14506</v>
      </c>
      <c r="BH19" s="31" t="s">
        <v>13812</v>
      </c>
      <c r="BI19" s="31" t="s">
        <v>17559</v>
      </c>
      <c r="BJ19" s="31" t="s">
        <v>17560</v>
      </c>
      <c r="BK19" s="31" t="s">
        <v>15294</v>
      </c>
      <c r="BL19" s="31" t="s">
        <v>13772</v>
      </c>
      <c r="BM19" s="31" t="s">
        <v>17561</v>
      </c>
    </row>
    <row r="20" spans="1:65">
      <c r="A20">
        <v>605</v>
      </c>
      <c r="B20">
        <v>1</v>
      </c>
      <c r="C20">
        <v>15</v>
      </c>
      <c r="D20" t="s">
        <v>1498</v>
      </c>
      <c r="E20" t="s">
        <v>73</v>
      </c>
      <c r="F20" t="s">
        <v>73</v>
      </c>
      <c r="G20">
        <v>74.900000000000006</v>
      </c>
      <c r="H20">
        <v>463</v>
      </c>
      <c r="I20">
        <v>51742</v>
      </c>
      <c r="J20" t="s">
        <v>1499</v>
      </c>
      <c r="K20" s="3">
        <v>5</v>
      </c>
      <c r="L20">
        <v>2115</v>
      </c>
      <c r="M20">
        <v>2115</v>
      </c>
      <c r="N20">
        <v>1</v>
      </c>
      <c r="O20" s="11">
        <f t="shared" si="0"/>
        <v>118.23431898862134</v>
      </c>
      <c r="P20" s="36">
        <v>135.70406033348999</v>
      </c>
      <c r="Q20" s="36">
        <v>63.562231964711501</v>
      </c>
      <c r="R20" s="36">
        <v>99.249455032360004</v>
      </c>
      <c r="S20" s="36">
        <v>93.739149067500193</v>
      </c>
      <c r="T20" s="36">
        <v>69.674285154888295</v>
      </c>
      <c r="U20" s="36">
        <v>108.77808785681999</v>
      </c>
      <c r="V20" s="36">
        <v>126.487473943757</v>
      </c>
      <c r="W20" s="36">
        <v>225.778594731895</v>
      </c>
      <c r="X20" s="37">
        <v>47.685497594697402</v>
      </c>
      <c r="Y20" s="37">
        <v>47.298723516621401</v>
      </c>
      <c r="Z20" s="37">
        <v>72.804945692328204</v>
      </c>
      <c r="AA20" s="37">
        <v>106.66492787159299</v>
      </c>
      <c r="AB20" s="37">
        <v>116.686655858519</v>
      </c>
      <c r="AC20" s="37">
        <v>89.178534453519106</v>
      </c>
      <c r="AD20" s="37">
        <v>196.11020622211501</v>
      </c>
      <c r="AE20" s="37">
        <v>292.346274523126</v>
      </c>
      <c r="AF20" s="45">
        <v>6.14615379168858E-2</v>
      </c>
      <c r="AG20" s="45">
        <v>1.0496248653748901</v>
      </c>
      <c r="AH20" s="46">
        <v>0.871142894618403</v>
      </c>
      <c r="AI20" s="47">
        <v>0.91061655703079902</v>
      </c>
      <c r="AJ20" s="48">
        <v>115.371667260678</v>
      </c>
      <c r="AK20" s="49">
        <v>121.096970716565</v>
      </c>
      <c r="AL20" s="31" t="s">
        <v>5874</v>
      </c>
      <c r="AM20" s="31" t="s">
        <v>5832</v>
      </c>
      <c r="AN20" s="31" t="s">
        <v>19760</v>
      </c>
      <c r="AO20" s="31" t="s">
        <v>19761</v>
      </c>
      <c r="AP20" s="31" t="s">
        <v>19762</v>
      </c>
      <c r="AQ20" s="31" t="s">
        <v>19763</v>
      </c>
      <c r="AR20" s="31" t="s">
        <v>19764</v>
      </c>
      <c r="AS20" s="31" t="str">
        <f>"HPX"</f>
        <v>HPX</v>
      </c>
      <c r="AT20" s="31" t="s">
        <v>13772</v>
      </c>
      <c r="AU20" s="31" t="s">
        <v>13777</v>
      </c>
      <c r="AV20" s="31">
        <v>9606</v>
      </c>
      <c r="AW20" s="50" t="str">
        <f>HYPERLINK("http://www.uniprot.org/uniprot/P02790", "P02790")</f>
        <v>P02790</v>
      </c>
      <c r="AX20" s="31" t="s">
        <v>19765</v>
      </c>
      <c r="AY20" s="31" t="s">
        <v>19766</v>
      </c>
      <c r="AZ20" s="31" t="s">
        <v>14321</v>
      </c>
      <c r="BA20" s="31" t="s">
        <v>13793</v>
      </c>
      <c r="BB20" s="31" t="s">
        <v>13772</v>
      </c>
      <c r="BC20" s="31" t="s">
        <v>13772</v>
      </c>
      <c r="BD20" s="31" t="s">
        <v>14404</v>
      </c>
      <c r="BE20" s="31" t="s">
        <v>16031</v>
      </c>
      <c r="BF20" s="31" t="s">
        <v>13772</v>
      </c>
      <c r="BG20" s="31" t="s">
        <v>13796</v>
      </c>
      <c r="BH20" s="31" t="s">
        <v>13772</v>
      </c>
      <c r="BI20" s="31" t="s">
        <v>19767</v>
      </c>
      <c r="BJ20" s="31" t="s">
        <v>19768</v>
      </c>
      <c r="BK20" s="31" t="s">
        <v>19769</v>
      </c>
      <c r="BL20" s="31" t="s">
        <v>13772</v>
      </c>
      <c r="BM20" s="31" t="s">
        <v>19770</v>
      </c>
    </row>
    <row r="21" spans="1:65">
      <c r="A21">
        <v>171</v>
      </c>
      <c r="B21">
        <v>1</v>
      </c>
      <c r="C21">
        <v>16</v>
      </c>
      <c r="D21" t="s">
        <v>435</v>
      </c>
      <c r="E21" t="s">
        <v>73</v>
      </c>
      <c r="F21" t="s">
        <v>73</v>
      </c>
      <c r="G21">
        <v>61.9</v>
      </c>
      <c r="H21">
        <v>428</v>
      </c>
      <c r="I21">
        <v>47260</v>
      </c>
      <c r="J21" t="s">
        <v>436</v>
      </c>
      <c r="K21" s="3" t="s">
        <v>73</v>
      </c>
      <c r="L21">
        <v>2065</v>
      </c>
      <c r="M21">
        <v>2065</v>
      </c>
      <c r="N21">
        <v>1</v>
      </c>
      <c r="O21" s="11">
        <f t="shared" si="0"/>
        <v>105.33961303128267</v>
      </c>
      <c r="P21" s="36">
        <v>134.49241693765501</v>
      </c>
      <c r="Q21" s="36">
        <v>82.823514378260398</v>
      </c>
      <c r="R21" s="36">
        <v>99.249455032360004</v>
      </c>
      <c r="S21" s="36">
        <v>71.060322680201807</v>
      </c>
      <c r="T21" s="36">
        <v>29.2459962378543</v>
      </c>
      <c r="U21" s="36">
        <v>56.713362045008999</v>
      </c>
      <c r="V21" s="36">
        <v>128.595598509486</v>
      </c>
      <c r="W21" s="36">
        <v>184.90488361663799</v>
      </c>
      <c r="X21" s="37">
        <v>81.065345910985599</v>
      </c>
      <c r="Y21" s="37">
        <v>47.929373163509702</v>
      </c>
      <c r="Z21" s="37">
        <v>59.204021771783403</v>
      </c>
      <c r="AA21" s="37">
        <v>178.62142683258801</v>
      </c>
      <c r="AB21" s="37">
        <v>139.656470003897</v>
      </c>
      <c r="AC21" s="37">
        <v>93.124487305444703</v>
      </c>
      <c r="AD21" s="37">
        <v>129.73444411616799</v>
      </c>
      <c r="AE21" s="37">
        <v>169.01268995868199</v>
      </c>
      <c r="AF21" s="45">
        <v>0.18722449780951</v>
      </c>
      <c r="AG21" s="45">
        <v>1.1413603765246501</v>
      </c>
      <c r="AH21" s="46">
        <v>0.61851897982218795</v>
      </c>
      <c r="AI21" s="47">
        <v>0.694277177015174</v>
      </c>
      <c r="AJ21" s="48">
        <v>98.385693679683101</v>
      </c>
      <c r="AK21" s="49">
        <v>112.29353238288201</v>
      </c>
      <c r="AL21" s="31" t="s">
        <v>5874</v>
      </c>
      <c r="AM21" s="31" t="s">
        <v>5832</v>
      </c>
      <c r="AN21" s="31" t="s">
        <v>15115</v>
      </c>
      <c r="AO21" s="31" t="s">
        <v>15116</v>
      </c>
      <c r="AP21" s="31" t="s">
        <v>15117</v>
      </c>
      <c r="AQ21" s="31" t="s">
        <v>15118</v>
      </c>
      <c r="AR21" s="31" t="s">
        <v>15119</v>
      </c>
      <c r="AS21" s="31" t="str">
        <f>"SERPINA1"</f>
        <v>SERPINA1</v>
      </c>
      <c r="AT21" s="31" t="s">
        <v>15120</v>
      </c>
      <c r="AU21" s="31" t="s">
        <v>13777</v>
      </c>
      <c r="AV21" s="31">
        <v>9606</v>
      </c>
      <c r="AW21" s="50" t="str">
        <f>HYPERLINK("http://www.uniprot.org/uniprot/P01009", "P01009")</f>
        <v>P01009</v>
      </c>
      <c r="AX21" s="31" t="s">
        <v>15121</v>
      </c>
      <c r="AY21" s="31" t="s">
        <v>15122</v>
      </c>
      <c r="AZ21" s="31" t="s">
        <v>15123</v>
      </c>
      <c r="BA21" s="31" t="s">
        <v>13780</v>
      </c>
      <c r="BB21" s="31" t="s">
        <v>13772</v>
      </c>
      <c r="BC21" s="31" t="s">
        <v>13772</v>
      </c>
      <c r="BD21" s="31" t="s">
        <v>13808</v>
      </c>
      <c r="BE21" s="31" t="s">
        <v>13772</v>
      </c>
      <c r="BF21" s="31" t="s">
        <v>14375</v>
      </c>
      <c r="BG21" s="31" t="s">
        <v>13978</v>
      </c>
      <c r="BH21" s="31" t="s">
        <v>13812</v>
      </c>
      <c r="BI21" s="31" t="s">
        <v>15124</v>
      </c>
      <c r="BJ21" s="31" t="s">
        <v>15125</v>
      </c>
      <c r="BK21" s="31" t="s">
        <v>15126</v>
      </c>
      <c r="BL21" s="31" t="s">
        <v>13772</v>
      </c>
      <c r="BM21" s="31" t="s">
        <v>15127</v>
      </c>
    </row>
    <row r="22" spans="1:65">
      <c r="A22">
        <v>1463</v>
      </c>
      <c r="B22">
        <v>1</v>
      </c>
      <c r="C22">
        <v>17</v>
      </c>
      <c r="D22" t="s">
        <v>3481</v>
      </c>
      <c r="E22" t="s">
        <v>73</v>
      </c>
      <c r="F22" t="s">
        <v>73</v>
      </c>
      <c r="G22">
        <v>83.3</v>
      </c>
      <c r="H22">
        <v>812</v>
      </c>
      <c r="I22">
        <v>91142</v>
      </c>
      <c r="J22" t="s">
        <v>3482</v>
      </c>
      <c r="K22" s="3">
        <v>24</v>
      </c>
      <c r="L22">
        <v>2065</v>
      </c>
      <c r="M22">
        <v>2065</v>
      </c>
      <c r="N22">
        <v>1</v>
      </c>
      <c r="O22" s="11">
        <f t="shared" si="0"/>
        <v>103.17320866592783</v>
      </c>
      <c r="P22" s="36">
        <v>132.06913014598501</v>
      </c>
      <c r="Q22" s="36">
        <v>95.343347947067201</v>
      </c>
      <c r="R22" s="36">
        <v>83.241478414237406</v>
      </c>
      <c r="S22" s="36">
        <v>86.179540271734098</v>
      </c>
      <c r="T22" s="36">
        <v>48.169876156466003</v>
      </c>
      <c r="U22" s="36">
        <v>57.643089291648501</v>
      </c>
      <c r="V22" s="36">
        <v>83.270920346306596</v>
      </c>
      <c r="W22" s="36">
        <v>89.532891014372197</v>
      </c>
      <c r="X22" s="37">
        <v>98.550028362374704</v>
      </c>
      <c r="Y22" s="37">
        <v>70.632760451487997</v>
      </c>
      <c r="Z22" s="37">
        <v>94.406413095546398</v>
      </c>
      <c r="AA22" s="37">
        <v>150.685374294789</v>
      </c>
      <c r="AB22" s="37">
        <v>124.03699638504</v>
      </c>
      <c r="AC22" s="37">
        <v>106.540727001992</v>
      </c>
      <c r="AD22" s="37">
        <v>156.88816497769201</v>
      </c>
      <c r="AE22" s="37">
        <v>173.58060049810601</v>
      </c>
      <c r="AF22" s="45">
        <v>0.52626068696375194</v>
      </c>
      <c r="AG22" s="45">
        <v>1.44395687322233</v>
      </c>
      <c r="AH22" s="46">
        <v>6.1297543888067497E-2</v>
      </c>
      <c r="AI22" s="47">
        <v>9.2360488425939594E-2</v>
      </c>
      <c r="AJ22" s="48">
        <v>84.431284198477201</v>
      </c>
      <c r="AK22" s="49">
        <v>121.915133133379</v>
      </c>
      <c r="AL22" s="31" t="s">
        <v>5874</v>
      </c>
      <c r="AM22" s="31" t="s">
        <v>5877</v>
      </c>
      <c r="AN22" s="31" t="s">
        <v>27848</v>
      </c>
      <c r="AO22" s="31" t="s">
        <v>13772</v>
      </c>
      <c r="AP22" s="31" t="s">
        <v>27849</v>
      </c>
      <c r="AQ22" s="31" t="s">
        <v>27850</v>
      </c>
      <c r="AR22" s="31" t="s">
        <v>27851</v>
      </c>
      <c r="AS22" s="31" t="str">
        <f>"PLG"</f>
        <v>PLG</v>
      </c>
      <c r="AT22" s="31" t="s">
        <v>13772</v>
      </c>
      <c r="AU22" s="31" t="s">
        <v>13777</v>
      </c>
      <c r="AV22" s="31">
        <v>9606</v>
      </c>
      <c r="AW22" s="50" t="str">
        <f>HYPERLINK("http://www.uniprot.org/uniprot/P00747", "P00747")</f>
        <v>P00747</v>
      </c>
      <c r="AX22" s="31" t="s">
        <v>27852</v>
      </c>
      <c r="AY22" s="31" t="s">
        <v>27853</v>
      </c>
      <c r="AZ22" s="31" t="s">
        <v>14321</v>
      </c>
      <c r="BA22" s="31" t="s">
        <v>13793</v>
      </c>
      <c r="BB22" s="31" t="s">
        <v>13772</v>
      </c>
      <c r="BC22" s="31" t="s">
        <v>17445</v>
      </c>
      <c r="BD22" s="31" t="s">
        <v>20047</v>
      </c>
      <c r="BE22" s="31" t="s">
        <v>13772</v>
      </c>
      <c r="BF22" s="31" t="s">
        <v>15176</v>
      </c>
      <c r="BG22" s="31" t="s">
        <v>15140</v>
      </c>
      <c r="BH22" s="31" t="s">
        <v>13812</v>
      </c>
      <c r="BI22" s="31" t="s">
        <v>27854</v>
      </c>
      <c r="BJ22" s="31" t="s">
        <v>27855</v>
      </c>
      <c r="BK22" s="31" t="s">
        <v>27856</v>
      </c>
      <c r="BL22" s="31" t="s">
        <v>13772</v>
      </c>
      <c r="BM22" s="31" t="s">
        <v>27857</v>
      </c>
    </row>
    <row r="23" spans="1:65">
      <c r="A23">
        <v>1119</v>
      </c>
      <c r="B23">
        <v>1</v>
      </c>
      <c r="C23">
        <v>18</v>
      </c>
      <c r="D23" t="s">
        <v>2693</v>
      </c>
      <c r="E23" t="s">
        <v>73</v>
      </c>
      <c r="F23" t="s">
        <v>73</v>
      </c>
      <c r="G23">
        <v>84.7</v>
      </c>
      <c r="H23">
        <v>163</v>
      </c>
      <c r="I23">
        <v>18295</v>
      </c>
      <c r="J23" t="s">
        <v>2694</v>
      </c>
      <c r="K23" s="3" t="s">
        <v>73</v>
      </c>
      <c r="L23">
        <v>2033</v>
      </c>
      <c r="M23">
        <v>2033</v>
      </c>
      <c r="N23">
        <v>1</v>
      </c>
      <c r="O23" s="11">
        <f t="shared" si="0"/>
        <v>109.82291729311002</v>
      </c>
      <c r="P23" s="36">
        <v>8.4815037708430996</v>
      </c>
      <c r="Q23" s="36">
        <v>0.24076603016936199</v>
      </c>
      <c r="R23" s="36">
        <v>0.40019941545306398</v>
      </c>
      <c r="S23" s="36">
        <v>0.37798043978830698</v>
      </c>
      <c r="T23" s="36">
        <v>1.72035271987378</v>
      </c>
      <c r="U23" s="36">
        <v>6.50809072647644</v>
      </c>
      <c r="V23" s="36">
        <v>22.135307940157499</v>
      </c>
      <c r="W23" s="36">
        <v>357.15838045950602</v>
      </c>
      <c r="X23" s="37">
        <v>135.903668144888</v>
      </c>
      <c r="Y23" s="37">
        <v>92.705498092577997</v>
      </c>
      <c r="Z23" s="37">
        <v>45.603097851238502</v>
      </c>
      <c r="AA23" s="37">
        <v>129.52169812979099</v>
      </c>
      <c r="AB23" s="37">
        <v>615.59101909612605</v>
      </c>
      <c r="AC23" s="37">
        <v>234.38959940438201</v>
      </c>
      <c r="AD23" s="37">
        <v>16.593940526486598</v>
      </c>
      <c r="AE23" s="37">
        <v>89.835573942002398</v>
      </c>
      <c r="AF23" s="45">
        <v>1.77186984675315</v>
      </c>
      <c r="AG23" s="45">
        <v>3.4258607911946299</v>
      </c>
      <c r="AH23" s="46">
        <v>8.6088047801247097E-2</v>
      </c>
      <c r="AI23" s="47">
        <v>0.124390721337007</v>
      </c>
      <c r="AJ23" s="48">
        <v>49.6278226877835</v>
      </c>
      <c r="AK23" s="49">
        <v>170.01801189843701</v>
      </c>
      <c r="AL23" s="31" t="s">
        <v>5874</v>
      </c>
      <c r="AM23" s="31" t="s">
        <v>5832</v>
      </c>
      <c r="AN23" s="31" t="s">
        <v>24634</v>
      </c>
      <c r="AO23" s="31" t="s">
        <v>13772</v>
      </c>
      <c r="AP23" s="31" t="s">
        <v>24635</v>
      </c>
      <c r="AQ23" s="31" t="s">
        <v>24636</v>
      </c>
      <c r="AR23" s="31" t="s">
        <v>24637</v>
      </c>
      <c r="AS23" s="31" t="str">
        <f>"MB"</f>
        <v>MB</v>
      </c>
      <c r="AT23" s="31" t="s">
        <v>13772</v>
      </c>
      <c r="AU23" s="31" t="s">
        <v>13777</v>
      </c>
      <c r="AV23" s="31">
        <v>9606</v>
      </c>
      <c r="AW23" s="50" t="str">
        <f>HYPERLINK("http://www.uniprot.org/uniprot/P02144", "P02144")</f>
        <v>P02144</v>
      </c>
      <c r="AX23" s="31" t="s">
        <v>24638</v>
      </c>
      <c r="AY23" s="31" t="s">
        <v>24639</v>
      </c>
      <c r="AZ23" s="31" t="s">
        <v>13772</v>
      </c>
      <c r="BA23" s="31" t="s">
        <v>13793</v>
      </c>
      <c r="BB23" s="31" t="s">
        <v>13772</v>
      </c>
      <c r="BC23" s="31" t="s">
        <v>13772</v>
      </c>
      <c r="BD23" s="31" t="s">
        <v>13772</v>
      </c>
      <c r="BE23" s="31" t="s">
        <v>16031</v>
      </c>
      <c r="BF23" s="31" t="s">
        <v>17512</v>
      </c>
      <c r="BG23" s="31" t="s">
        <v>13782</v>
      </c>
      <c r="BH23" s="31" t="s">
        <v>13812</v>
      </c>
      <c r="BI23" s="31" t="s">
        <v>24640</v>
      </c>
      <c r="BJ23" s="31" t="s">
        <v>15111</v>
      </c>
      <c r="BK23" s="31" t="s">
        <v>24641</v>
      </c>
      <c r="BL23" s="31" t="s">
        <v>13772</v>
      </c>
      <c r="BM23" s="31" t="s">
        <v>24642</v>
      </c>
    </row>
    <row r="24" spans="1:65">
      <c r="A24">
        <v>878</v>
      </c>
      <c r="B24">
        <v>1</v>
      </c>
      <c r="C24">
        <v>19</v>
      </c>
      <c r="D24" t="s">
        <v>2143</v>
      </c>
      <c r="E24" t="s">
        <v>73</v>
      </c>
      <c r="F24" t="s">
        <v>73</v>
      </c>
      <c r="G24">
        <v>82.3</v>
      </c>
      <c r="H24">
        <v>384</v>
      </c>
      <c r="I24">
        <v>42459</v>
      </c>
      <c r="J24" t="s">
        <v>2144</v>
      </c>
      <c r="K24" s="3" t="s">
        <v>73</v>
      </c>
      <c r="L24">
        <v>2011</v>
      </c>
      <c r="M24">
        <v>2011</v>
      </c>
      <c r="N24">
        <v>1</v>
      </c>
      <c r="O24" s="11">
        <f t="shared" si="0"/>
        <v>104.78909545005415</v>
      </c>
      <c r="P24" s="36">
        <v>227.78895841692901</v>
      </c>
      <c r="Q24" s="36">
        <v>66.451424326743805</v>
      </c>
      <c r="R24" s="36">
        <v>124.862217621356</v>
      </c>
      <c r="S24" s="36">
        <v>81.643774994274395</v>
      </c>
      <c r="T24" s="36">
        <v>49.890228876339698</v>
      </c>
      <c r="U24" s="36">
        <v>37.189089865579597</v>
      </c>
      <c r="V24" s="36">
        <v>47.432802728908797</v>
      </c>
      <c r="W24" s="36">
        <v>77.854687838584496</v>
      </c>
      <c r="X24" s="37">
        <v>69.143971512311296</v>
      </c>
      <c r="Y24" s="37">
        <v>70.632760451487997</v>
      </c>
      <c r="Z24" s="37">
        <v>104.00706527475501</v>
      </c>
      <c r="AA24" s="37">
        <v>127.828604036591</v>
      </c>
      <c r="AB24" s="37">
        <v>113.930278161074</v>
      </c>
      <c r="AC24" s="37">
        <v>131.00563468393099</v>
      </c>
      <c r="AD24" s="37">
        <v>184.04188583921601</v>
      </c>
      <c r="AE24" s="37">
        <v>162.922142572784</v>
      </c>
      <c r="AF24" s="45">
        <v>0.43439221250399501</v>
      </c>
      <c r="AG24" s="45">
        <v>1.35113522403847</v>
      </c>
      <c r="AH24" s="46">
        <v>0.24647633453126699</v>
      </c>
      <c r="AI24" s="47">
        <v>0.31771226936689301</v>
      </c>
      <c r="AJ24" s="48">
        <v>89.139148083589504</v>
      </c>
      <c r="AK24" s="49">
        <v>120.43904281651901</v>
      </c>
      <c r="AL24" s="31" t="s">
        <v>5874</v>
      </c>
      <c r="AM24" s="31" t="s">
        <v>5832</v>
      </c>
      <c r="AN24" s="31" t="s">
        <v>22427</v>
      </c>
      <c r="AO24" s="31" t="s">
        <v>22428</v>
      </c>
      <c r="AP24" s="31" t="s">
        <v>22429</v>
      </c>
      <c r="AQ24" s="31" t="s">
        <v>22430</v>
      </c>
      <c r="AR24" s="31" t="s">
        <v>22431</v>
      </c>
      <c r="AS24" s="31" t="str">
        <f>"FETUB"</f>
        <v>FETUB</v>
      </c>
      <c r="AT24" s="31" t="s">
        <v>13772</v>
      </c>
      <c r="AU24" s="31" t="s">
        <v>13777</v>
      </c>
      <c r="AV24" s="31">
        <v>9606</v>
      </c>
      <c r="AW24" s="50" t="str">
        <f>HYPERLINK("http://www.uniprot.org/uniprot/Q9UGM5", "Q9UGM5")</f>
        <v>Q9UGM5</v>
      </c>
      <c r="AX24" s="31" t="s">
        <v>22432</v>
      </c>
      <c r="AY24" s="31" t="s">
        <v>22433</v>
      </c>
      <c r="AZ24" s="31" t="s">
        <v>14321</v>
      </c>
      <c r="BA24" s="31" t="s">
        <v>13780</v>
      </c>
      <c r="BB24" s="31" t="s">
        <v>13772</v>
      </c>
      <c r="BC24" s="31" t="s">
        <v>13772</v>
      </c>
      <c r="BD24" s="31" t="s">
        <v>14404</v>
      </c>
      <c r="BE24" s="31" t="s">
        <v>13772</v>
      </c>
      <c r="BF24" s="31" t="s">
        <v>22434</v>
      </c>
      <c r="BG24" s="31" t="s">
        <v>13964</v>
      </c>
      <c r="BH24" s="31" t="s">
        <v>13772</v>
      </c>
      <c r="BI24" s="31" t="s">
        <v>22435</v>
      </c>
      <c r="BJ24" s="31" t="s">
        <v>22436</v>
      </c>
      <c r="BK24" s="31" t="s">
        <v>22437</v>
      </c>
      <c r="BL24" s="31" t="s">
        <v>13772</v>
      </c>
      <c r="BM24" s="31" t="s">
        <v>13772</v>
      </c>
    </row>
    <row r="25" spans="1:65">
      <c r="A25">
        <v>256</v>
      </c>
      <c r="B25">
        <v>1</v>
      </c>
      <c r="C25">
        <v>20</v>
      </c>
      <c r="D25" t="s">
        <v>651</v>
      </c>
      <c r="E25" t="s">
        <v>73</v>
      </c>
      <c r="F25" t="s">
        <v>73</v>
      </c>
      <c r="G25">
        <v>86.8</v>
      </c>
      <c r="H25">
        <v>151</v>
      </c>
      <c r="I25">
        <v>16965</v>
      </c>
      <c r="J25" t="s">
        <v>652</v>
      </c>
      <c r="K25" s="3" t="s">
        <v>73</v>
      </c>
      <c r="L25">
        <v>1786</v>
      </c>
      <c r="M25">
        <v>1786</v>
      </c>
      <c r="N25">
        <v>1</v>
      </c>
      <c r="O25" s="11">
        <f t="shared" si="0"/>
        <v>120.04709606900916</v>
      </c>
      <c r="P25" s="36">
        <v>189.01636975021799</v>
      </c>
      <c r="Q25" s="36">
        <v>146.385746342972</v>
      </c>
      <c r="R25" s="36">
        <v>278.538793155333</v>
      </c>
      <c r="S25" s="36">
        <v>334.13470877286397</v>
      </c>
      <c r="T25" s="36">
        <v>150.53086298895599</v>
      </c>
      <c r="U25" s="36">
        <v>144.10772322912101</v>
      </c>
      <c r="V25" s="36">
        <v>227.67745309876199</v>
      </c>
      <c r="W25" s="36">
        <v>77.854687838584496</v>
      </c>
      <c r="X25" s="37">
        <v>38.943156369002899</v>
      </c>
      <c r="Y25" s="37">
        <v>37.838978813297103</v>
      </c>
      <c r="Z25" s="37">
        <v>59.204021771783403</v>
      </c>
      <c r="AA25" s="37">
        <v>29.629146630997901</v>
      </c>
      <c r="AB25" s="37">
        <v>49.614798554016197</v>
      </c>
      <c r="AC25" s="37">
        <v>48.140624793492599</v>
      </c>
      <c r="AD25" s="37">
        <v>52.798901675184801</v>
      </c>
      <c r="AE25" s="37">
        <v>56.3375633195608</v>
      </c>
      <c r="AF25" s="45">
        <v>-2.0539497189498599</v>
      </c>
      <c r="AG25" s="45">
        <v>-4.1562857811315101</v>
      </c>
      <c r="AH25" s="46">
        <v>1.3413591235141301E-10</v>
      </c>
      <c r="AI25" s="47">
        <v>2.2434231340773798E-9</v>
      </c>
      <c r="AJ25" s="48">
        <v>193.53079314710101</v>
      </c>
      <c r="AK25" s="49">
        <v>46.563398990917001</v>
      </c>
      <c r="AL25" s="31" t="s">
        <v>5875</v>
      </c>
      <c r="AM25" s="31" t="s">
        <v>5876</v>
      </c>
      <c r="AN25" s="31" t="s">
        <v>16063</v>
      </c>
      <c r="AO25" s="31" t="s">
        <v>13772</v>
      </c>
      <c r="AP25" s="31" t="s">
        <v>16064</v>
      </c>
      <c r="AQ25" s="31" t="s">
        <v>16065</v>
      </c>
      <c r="AR25" s="31" t="s">
        <v>13772</v>
      </c>
      <c r="AS25" s="31" t="str">
        <f>"RNASE6"</f>
        <v>RNASE6</v>
      </c>
      <c r="AT25" s="31" t="s">
        <v>16066</v>
      </c>
      <c r="AU25" s="31" t="s">
        <v>13777</v>
      </c>
      <c r="AV25" s="31">
        <v>9606</v>
      </c>
      <c r="AW25" s="50" t="str">
        <f>HYPERLINK("http://www.uniprot.org/uniprot/Q93091", "Q93091")</f>
        <v>Q93091</v>
      </c>
      <c r="AX25" s="31" t="s">
        <v>16067</v>
      </c>
      <c r="AY25" s="31" t="s">
        <v>13772</v>
      </c>
      <c r="AZ25" s="31" t="s">
        <v>14402</v>
      </c>
      <c r="BA25" s="31" t="s">
        <v>13793</v>
      </c>
      <c r="BB25" s="31" t="s">
        <v>13772</v>
      </c>
      <c r="BC25" s="31" t="s">
        <v>13772</v>
      </c>
      <c r="BD25" s="31" t="s">
        <v>13808</v>
      </c>
      <c r="BE25" s="31" t="s">
        <v>13772</v>
      </c>
      <c r="BF25" s="31" t="s">
        <v>16068</v>
      </c>
      <c r="BG25" s="31" t="s">
        <v>13796</v>
      </c>
      <c r="BH25" s="31" t="s">
        <v>13812</v>
      </c>
      <c r="BI25" s="31" t="s">
        <v>16069</v>
      </c>
      <c r="BJ25" s="31" t="s">
        <v>16070</v>
      </c>
      <c r="BK25" s="31" t="s">
        <v>16071</v>
      </c>
      <c r="BL25" s="31" t="s">
        <v>13772</v>
      </c>
      <c r="BM25" s="31" t="s">
        <v>14470</v>
      </c>
    </row>
    <row r="26" spans="1:65">
      <c r="A26">
        <v>34</v>
      </c>
      <c r="B26">
        <v>1</v>
      </c>
      <c r="C26">
        <v>21</v>
      </c>
      <c r="D26" t="s">
        <v>123</v>
      </c>
      <c r="E26" t="s">
        <v>73</v>
      </c>
      <c r="F26" t="s">
        <v>73</v>
      </c>
      <c r="G26">
        <v>100</v>
      </c>
      <c r="H26">
        <v>134</v>
      </c>
      <c r="I26">
        <v>14166</v>
      </c>
      <c r="J26" t="s">
        <v>124</v>
      </c>
      <c r="K26" s="3" t="s">
        <v>73</v>
      </c>
      <c r="L26">
        <v>1782</v>
      </c>
      <c r="M26">
        <v>1782</v>
      </c>
      <c r="N26">
        <v>1</v>
      </c>
      <c r="O26" s="11">
        <f t="shared" si="0"/>
        <v>92.999803403231212</v>
      </c>
      <c r="P26" s="36">
        <v>102.989688645952</v>
      </c>
      <c r="Q26" s="36">
        <v>64.525296085388902</v>
      </c>
      <c r="R26" s="36">
        <v>110.455038665046</v>
      </c>
      <c r="S26" s="36">
        <v>111.882210177339</v>
      </c>
      <c r="T26" s="36">
        <v>56.771639755834897</v>
      </c>
      <c r="U26" s="36">
        <v>67.870089004682896</v>
      </c>
      <c r="V26" s="36">
        <v>93.811543174953002</v>
      </c>
      <c r="W26" s="36">
        <v>95.371992602266005</v>
      </c>
      <c r="X26" s="37">
        <v>88.218170550190294</v>
      </c>
      <c r="Y26" s="37">
        <v>48.560022810398003</v>
      </c>
      <c r="Z26" s="37">
        <v>87.2059239611404</v>
      </c>
      <c r="AA26" s="37">
        <v>80.421969426994394</v>
      </c>
      <c r="AB26" s="37">
        <v>90.960464015696303</v>
      </c>
      <c r="AC26" s="37">
        <v>59.978483349269503</v>
      </c>
      <c r="AD26" s="37">
        <v>153.87108488196699</v>
      </c>
      <c r="AE26" s="37">
        <v>175.103237344581</v>
      </c>
      <c r="AF26" s="45">
        <v>0.150147244817913</v>
      </c>
      <c r="AG26" s="45">
        <v>1.1146005925231399</v>
      </c>
      <c r="AH26" s="46">
        <v>0.62193597252648603</v>
      </c>
      <c r="AI26" s="47">
        <v>0.69694332599701803</v>
      </c>
      <c r="AJ26" s="48">
        <v>87.959687263932807</v>
      </c>
      <c r="AK26" s="49">
        <v>98.039919542529603</v>
      </c>
      <c r="AL26" s="31" t="s">
        <v>5874</v>
      </c>
      <c r="AM26" s="31" t="s">
        <v>5832</v>
      </c>
      <c r="AN26" s="31" t="s">
        <v>13773</v>
      </c>
      <c r="AO26" s="31" t="s">
        <v>13772</v>
      </c>
      <c r="AP26" s="31" t="s">
        <v>13774</v>
      </c>
      <c r="AQ26" s="31" t="s">
        <v>13775</v>
      </c>
      <c r="AR26" s="31" t="s">
        <v>13776</v>
      </c>
      <c r="AS26" s="31" t="str">
        <f>"WDR91"</f>
        <v>WDR91</v>
      </c>
      <c r="AT26" s="31" t="s">
        <v>13772</v>
      </c>
      <c r="AU26" s="31" t="s">
        <v>13777</v>
      </c>
      <c r="AV26" s="31">
        <v>9606</v>
      </c>
      <c r="AW26" s="50" t="str">
        <f>HYPERLINK("http://www.uniprot.org/uniprot/A4D1P6", "A4D1P6")</f>
        <v>A4D1P6</v>
      </c>
      <c r="AX26" s="31" t="s">
        <v>13778</v>
      </c>
      <c r="AY26" s="31" t="s">
        <v>13772</v>
      </c>
      <c r="AZ26" s="31" t="s">
        <v>13779</v>
      </c>
      <c r="BA26" s="31" t="s">
        <v>13780</v>
      </c>
      <c r="BB26" s="31" t="s">
        <v>13772</v>
      </c>
      <c r="BC26" s="31" t="s">
        <v>13772</v>
      </c>
      <c r="BD26" s="31" t="s">
        <v>13781</v>
      </c>
      <c r="BE26" s="31" t="s">
        <v>13772</v>
      </c>
      <c r="BF26" s="31" t="s">
        <v>13772</v>
      </c>
      <c r="BG26" s="31" t="s">
        <v>13782</v>
      </c>
      <c r="BH26" s="31" t="s">
        <v>13772</v>
      </c>
      <c r="BI26" s="31" t="s">
        <v>13783</v>
      </c>
      <c r="BJ26" s="31" t="s">
        <v>13784</v>
      </c>
      <c r="BK26" s="31" t="s">
        <v>13785</v>
      </c>
      <c r="BL26" s="31" t="s">
        <v>13772</v>
      </c>
      <c r="BM26" s="31" t="s">
        <v>13772</v>
      </c>
    </row>
    <row r="27" spans="1:65">
      <c r="A27">
        <v>816</v>
      </c>
      <c r="B27">
        <v>1</v>
      </c>
      <c r="C27">
        <v>22</v>
      </c>
      <c r="D27" t="s">
        <v>2002</v>
      </c>
      <c r="E27" t="s">
        <v>2003</v>
      </c>
      <c r="F27" t="s">
        <v>73</v>
      </c>
      <c r="G27">
        <v>87.6</v>
      </c>
      <c r="H27">
        <v>259</v>
      </c>
      <c r="I27">
        <v>27658</v>
      </c>
      <c r="J27" t="s">
        <v>2004</v>
      </c>
      <c r="K27" s="3" t="s">
        <v>73</v>
      </c>
      <c r="L27">
        <v>1713</v>
      </c>
      <c r="M27">
        <v>1713</v>
      </c>
      <c r="N27">
        <v>1</v>
      </c>
      <c r="O27" s="11">
        <f t="shared" si="0"/>
        <v>93.744296535256268</v>
      </c>
      <c r="P27" s="36">
        <v>61.793813187571203</v>
      </c>
      <c r="Q27" s="36">
        <v>28.8919236203234</v>
      </c>
      <c r="R27" s="36">
        <v>60.830311148865803</v>
      </c>
      <c r="S27" s="36">
        <v>9.0715305549193808</v>
      </c>
      <c r="T27" s="36">
        <v>7.7415872394320298</v>
      </c>
      <c r="U27" s="36">
        <v>9.2972724663949098</v>
      </c>
      <c r="V27" s="36">
        <v>13.7028096772403</v>
      </c>
      <c r="W27" s="36">
        <v>58.391015878938397</v>
      </c>
      <c r="X27" s="37">
        <v>112.85567764078399</v>
      </c>
      <c r="Y27" s="37">
        <v>150.09461595941201</v>
      </c>
      <c r="Z27" s="37">
        <v>206.414021852974</v>
      </c>
      <c r="AA27" s="37">
        <v>167.616315226788</v>
      </c>
      <c r="AB27" s="37">
        <v>119.443033555965</v>
      </c>
      <c r="AC27" s="37">
        <v>119.167776128154</v>
      </c>
      <c r="AD27" s="37">
        <v>159.90524507341701</v>
      </c>
      <c r="AE27" s="37">
        <v>214.69179535292099</v>
      </c>
      <c r="AF27" s="45">
        <v>2.3263393784312698</v>
      </c>
      <c r="AG27" s="45">
        <v>5.0063557594325898</v>
      </c>
      <c r="AH27" s="46">
        <v>2.54766634518182E-7</v>
      </c>
      <c r="AI27" s="47">
        <v>1.4950778815146001E-6</v>
      </c>
      <c r="AJ27" s="48">
        <v>31.215032971710698</v>
      </c>
      <c r="AK27" s="49">
        <v>156.27356009880199</v>
      </c>
      <c r="AL27" s="31" t="s">
        <v>5874</v>
      </c>
      <c r="AM27" s="31" t="s">
        <v>5876</v>
      </c>
      <c r="AN27" s="31" t="s">
        <v>21842</v>
      </c>
      <c r="AO27" s="31" t="s">
        <v>21843</v>
      </c>
      <c r="AP27" s="31" t="s">
        <v>21844</v>
      </c>
      <c r="AQ27" s="31" t="s">
        <v>21845</v>
      </c>
      <c r="AR27" s="31" t="s">
        <v>21846</v>
      </c>
      <c r="AS27" s="31" t="str">
        <f>"CFD"</f>
        <v>CFD</v>
      </c>
      <c r="AT27" s="31" t="s">
        <v>21847</v>
      </c>
      <c r="AU27" s="31" t="s">
        <v>13777</v>
      </c>
      <c r="AV27" s="31">
        <v>9606</v>
      </c>
      <c r="AW27" s="50" t="str">
        <f>HYPERLINK("http://www.uniprot.org/uniprot/P00746", "P00746")</f>
        <v>P00746</v>
      </c>
      <c r="AX27" s="31" t="s">
        <v>21848</v>
      </c>
      <c r="AY27" s="31" t="s">
        <v>21849</v>
      </c>
      <c r="AZ27" s="31" t="s">
        <v>14321</v>
      </c>
      <c r="BA27" s="31" t="s">
        <v>13793</v>
      </c>
      <c r="BB27" s="31" t="s">
        <v>13772</v>
      </c>
      <c r="BC27" s="31" t="s">
        <v>13807</v>
      </c>
      <c r="BD27" s="31" t="s">
        <v>13808</v>
      </c>
      <c r="BE27" s="31" t="s">
        <v>13772</v>
      </c>
      <c r="BF27" s="31" t="s">
        <v>15176</v>
      </c>
      <c r="BG27" s="31" t="s">
        <v>15387</v>
      </c>
      <c r="BH27" s="31" t="s">
        <v>13812</v>
      </c>
      <c r="BI27" s="31" t="s">
        <v>21850</v>
      </c>
      <c r="BJ27" s="31" t="s">
        <v>21851</v>
      </c>
      <c r="BK27" s="31" t="s">
        <v>21852</v>
      </c>
      <c r="BL27" s="31" t="s">
        <v>13772</v>
      </c>
      <c r="BM27" s="31" t="s">
        <v>21853</v>
      </c>
    </row>
    <row r="28" spans="1:65">
      <c r="A28">
        <v>262</v>
      </c>
      <c r="B28">
        <v>1</v>
      </c>
      <c r="C28">
        <v>23</v>
      </c>
      <c r="D28" t="s">
        <v>665</v>
      </c>
      <c r="E28" t="s">
        <v>73</v>
      </c>
      <c r="F28" t="s">
        <v>73</v>
      </c>
      <c r="G28">
        <v>72.900000000000006</v>
      </c>
      <c r="H28">
        <v>118</v>
      </c>
      <c r="I28">
        <v>13571</v>
      </c>
      <c r="J28" t="s">
        <v>666</v>
      </c>
      <c r="K28" s="3" t="s">
        <v>73</v>
      </c>
      <c r="L28">
        <v>1611</v>
      </c>
      <c r="M28">
        <v>1611</v>
      </c>
      <c r="N28">
        <v>1</v>
      </c>
      <c r="O28" s="11">
        <f t="shared" si="0"/>
        <v>88.616754219613597</v>
      </c>
      <c r="P28" s="36">
        <v>47.254092437554398</v>
      </c>
      <c r="Q28" s="36">
        <v>19.261282413548901</v>
      </c>
      <c r="R28" s="36">
        <v>25.612762588996102</v>
      </c>
      <c r="S28" s="36">
        <v>12.0953740732258</v>
      </c>
      <c r="T28" s="36">
        <v>12.9026453990534</v>
      </c>
      <c r="U28" s="36">
        <v>12.0864542063134</v>
      </c>
      <c r="V28" s="36">
        <v>32.675930768803902</v>
      </c>
      <c r="W28" s="36">
        <v>99.2647269941952</v>
      </c>
      <c r="X28" s="37">
        <v>217.763772349118</v>
      </c>
      <c r="Y28" s="37">
        <v>92.074848445689696</v>
      </c>
      <c r="Z28" s="37">
        <v>129.60880441930999</v>
      </c>
      <c r="AA28" s="37">
        <v>135.44752745599101</v>
      </c>
      <c r="AB28" s="37">
        <v>128.63095921411599</v>
      </c>
      <c r="AC28" s="37">
        <v>86.021772171978597</v>
      </c>
      <c r="AD28" s="37">
        <v>140.294224451205</v>
      </c>
      <c r="AE28" s="37">
        <v>226.872890124718</v>
      </c>
      <c r="AF28" s="45">
        <v>2.13729098908447</v>
      </c>
      <c r="AG28" s="45">
        <v>4.4292564423390202</v>
      </c>
      <c r="AH28" s="46">
        <v>9.8262029588955205E-7</v>
      </c>
      <c r="AI28" s="47">
        <v>4.9057684921649996E-6</v>
      </c>
      <c r="AJ28" s="48">
        <v>32.644158610211399</v>
      </c>
      <c r="AK28" s="49">
        <v>144.58934982901599</v>
      </c>
      <c r="AL28" s="31" t="s">
        <v>5874</v>
      </c>
      <c r="AM28" s="31" t="s">
        <v>5876</v>
      </c>
      <c r="AN28" s="31" t="s">
        <v>16138</v>
      </c>
      <c r="AO28" s="31" t="s">
        <v>13772</v>
      </c>
      <c r="AP28" s="31" t="s">
        <v>16139</v>
      </c>
      <c r="AQ28" s="31" t="s">
        <v>16140</v>
      </c>
      <c r="AR28" s="31" t="s">
        <v>16141</v>
      </c>
      <c r="AS28" s="31" t="str">
        <f>"B2M HDCMA22P"</f>
        <v>B2M HDCMA22P</v>
      </c>
      <c r="AT28" s="31" t="s">
        <v>13772</v>
      </c>
      <c r="AU28" s="31" t="s">
        <v>13777</v>
      </c>
      <c r="AV28" s="31">
        <v>9606</v>
      </c>
      <c r="AW28" s="50" t="str">
        <f>HYPERLINK("http://www.uniprot.org/uniprot/P61769", "P61769")</f>
        <v>P61769</v>
      </c>
      <c r="AX28" s="31" t="s">
        <v>16142</v>
      </c>
      <c r="AY28" s="31" t="s">
        <v>13791</v>
      </c>
      <c r="AZ28" s="31" t="s">
        <v>16143</v>
      </c>
      <c r="BA28" s="31" t="s">
        <v>13772</v>
      </c>
      <c r="BB28" s="31" t="s">
        <v>13772</v>
      </c>
      <c r="BC28" s="31" t="s">
        <v>16144</v>
      </c>
      <c r="BD28" s="31" t="s">
        <v>15698</v>
      </c>
      <c r="BE28" s="31" t="s">
        <v>13772</v>
      </c>
      <c r="BF28" s="31" t="s">
        <v>13772</v>
      </c>
      <c r="BG28" s="31" t="s">
        <v>16145</v>
      </c>
      <c r="BH28" s="31" t="s">
        <v>13812</v>
      </c>
      <c r="BI28" s="31" t="s">
        <v>16146</v>
      </c>
      <c r="BJ28" s="31" t="s">
        <v>16147</v>
      </c>
      <c r="BK28" s="31" t="s">
        <v>16148</v>
      </c>
      <c r="BL28" s="31" t="s">
        <v>13772</v>
      </c>
      <c r="BM28" s="31" t="s">
        <v>16149</v>
      </c>
    </row>
    <row r="29" spans="1:65">
      <c r="A29">
        <v>1523</v>
      </c>
      <c r="B29">
        <v>1</v>
      </c>
      <c r="C29">
        <v>24</v>
      </c>
      <c r="D29" t="s">
        <v>3625</v>
      </c>
      <c r="E29" t="s">
        <v>73</v>
      </c>
      <c r="F29" t="s">
        <v>73</v>
      </c>
      <c r="G29">
        <v>47.6</v>
      </c>
      <c r="H29">
        <v>4401</v>
      </c>
      <c r="I29">
        <v>468762</v>
      </c>
      <c r="J29" t="s">
        <v>3626</v>
      </c>
      <c r="K29" s="3" t="s">
        <v>5823</v>
      </c>
      <c r="L29">
        <v>1563</v>
      </c>
      <c r="M29">
        <v>1563</v>
      </c>
      <c r="N29">
        <v>1</v>
      </c>
      <c r="O29" s="11">
        <f t="shared" si="0"/>
        <v>94.99316647494922</v>
      </c>
      <c r="P29" s="36">
        <v>95.719828270943594</v>
      </c>
      <c r="Q29" s="36">
        <v>129.050592170778</v>
      </c>
      <c r="R29" s="36">
        <v>172.88614747572399</v>
      </c>
      <c r="S29" s="36">
        <v>149.68025415617001</v>
      </c>
      <c r="T29" s="36">
        <v>104.941515912301</v>
      </c>
      <c r="U29" s="36">
        <v>134.81045076272599</v>
      </c>
      <c r="V29" s="36">
        <v>92.757480892088395</v>
      </c>
      <c r="W29" s="36">
        <v>66.176484662796796</v>
      </c>
      <c r="X29" s="37">
        <v>54.838322233902097</v>
      </c>
      <c r="Y29" s="37">
        <v>56.758468219945698</v>
      </c>
      <c r="Z29" s="37">
        <v>72.804945692328204</v>
      </c>
      <c r="AA29" s="37">
        <v>112.590757197792</v>
      </c>
      <c r="AB29" s="37">
        <v>51.452383685646403</v>
      </c>
      <c r="AC29" s="37">
        <v>63.135245630809997</v>
      </c>
      <c r="AD29" s="37">
        <v>67.884302153809003</v>
      </c>
      <c r="AE29" s="37">
        <v>94.403484481426204</v>
      </c>
      <c r="AF29" s="45">
        <v>-0.71995619235680197</v>
      </c>
      <c r="AG29" s="45">
        <v>-1.6485026240004199</v>
      </c>
      <c r="AH29" s="46">
        <v>9.7413049366180792E-3</v>
      </c>
      <c r="AI29" s="47">
        <v>1.7903662095048099E-2</v>
      </c>
      <c r="AJ29" s="48">
        <v>118.252844287941</v>
      </c>
      <c r="AK29" s="49">
        <v>71.733488661957495</v>
      </c>
      <c r="AL29" s="31" t="s">
        <v>5875</v>
      </c>
      <c r="AM29" s="31" t="s">
        <v>5878</v>
      </c>
      <c r="AN29" s="31" t="s">
        <v>28412</v>
      </c>
      <c r="AO29" s="31" t="s">
        <v>28413</v>
      </c>
      <c r="AP29" s="31" t="s">
        <v>28414</v>
      </c>
      <c r="AQ29" s="31" t="s">
        <v>28415</v>
      </c>
      <c r="AR29" s="31" t="s">
        <v>28416</v>
      </c>
      <c r="AS29" s="31" t="str">
        <f>"HSPG2"</f>
        <v>HSPG2</v>
      </c>
      <c r="AT29" s="31" t="s">
        <v>13772</v>
      </c>
      <c r="AU29" s="31" t="s">
        <v>13777</v>
      </c>
      <c r="AV29" s="31">
        <v>9606</v>
      </c>
      <c r="AW29" s="50" t="str">
        <f>HYPERLINK("http://www.uniprot.org/uniprot/P98160", "P98160")</f>
        <v>P98160</v>
      </c>
      <c r="AX29" s="31" t="s">
        <v>28417</v>
      </c>
      <c r="AY29" s="31" t="s">
        <v>22082</v>
      </c>
      <c r="AZ29" s="31" t="s">
        <v>15002</v>
      </c>
      <c r="BA29" s="31" t="s">
        <v>13793</v>
      </c>
      <c r="BB29" s="31" t="s">
        <v>13772</v>
      </c>
      <c r="BC29" s="31" t="s">
        <v>13807</v>
      </c>
      <c r="BD29" s="31" t="s">
        <v>28418</v>
      </c>
      <c r="BE29" s="31" t="s">
        <v>13873</v>
      </c>
      <c r="BF29" s="31" t="s">
        <v>13772</v>
      </c>
      <c r="BG29" s="31" t="s">
        <v>28419</v>
      </c>
      <c r="BH29" s="31" t="s">
        <v>13812</v>
      </c>
      <c r="BI29" s="31" t="s">
        <v>28420</v>
      </c>
      <c r="BJ29" s="31" t="s">
        <v>28421</v>
      </c>
      <c r="BK29" s="31" t="s">
        <v>28422</v>
      </c>
      <c r="BL29" s="31" t="s">
        <v>13772</v>
      </c>
      <c r="BM29" s="31" t="s">
        <v>28423</v>
      </c>
    </row>
    <row r="30" spans="1:65">
      <c r="A30">
        <v>1445</v>
      </c>
      <c r="B30">
        <v>1</v>
      </c>
      <c r="C30">
        <v>25</v>
      </c>
      <c r="D30" t="s">
        <v>3442</v>
      </c>
      <c r="E30" t="s">
        <v>73</v>
      </c>
      <c r="F30" t="s">
        <v>73</v>
      </c>
      <c r="G30">
        <v>53.7</v>
      </c>
      <c r="H30">
        <v>1742</v>
      </c>
      <c r="I30">
        <v>191623</v>
      </c>
      <c r="J30" t="s">
        <v>3443</v>
      </c>
      <c r="K30" s="3" t="s">
        <v>73</v>
      </c>
      <c r="L30">
        <v>1461</v>
      </c>
      <c r="M30">
        <v>1461</v>
      </c>
      <c r="N30">
        <v>1</v>
      </c>
      <c r="O30" s="11">
        <f t="shared" si="0"/>
        <v>70.615059428199103</v>
      </c>
      <c r="P30" s="36">
        <v>186.593082958548</v>
      </c>
      <c r="Q30" s="36">
        <v>25.039667137613598</v>
      </c>
      <c r="R30" s="36">
        <v>30.415155574432902</v>
      </c>
      <c r="S30" s="36">
        <v>7.5596087957661497</v>
      </c>
      <c r="T30" s="36">
        <v>5.1610581596213496</v>
      </c>
      <c r="U30" s="36">
        <v>22.313453919347801</v>
      </c>
      <c r="V30" s="36">
        <v>36.892179900262398</v>
      </c>
      <c r="W30" s="36">
        <v>52.551914291044497</v>
      </c>
      <c r="X30" s="37">
        <v>58.017355406881897</v>
      </c>
      <c r="Y30" s="37">
        <v>69.371461157711394</v>
      </c>
      <c r="Z30" s="37">
        <v>76.005163085397598</v>
      </c>
      <c r="AA30" s="37">
        <v>111.74421015119199</v>
      </c>
      <c r="AB30" s="37">
        <v>60.640309343797497</v>
      </c>
      <c r="AC30" s="37">
        <v>41.827100230411602</v>
      </c>
      <c r="AD30" s="37">
        <v>155.37962492982999</v>
      </c>
      <c r="AE30" s="37">
        <v>190.32960580932701</v>
      </c>
      <c r="AF30" s="45">
        <v>1.0537143536300999</v>
      </c>
      <c r="AG30" s="45">
        <v>2.0825659807831798</v>
      </c>
      <c r="AH30" s="46">
        <v>5.69734879059028E-2</v>
      </c>
      <c r="AI30" s="47">
        <v>8.6625598656929495E-2</v>
      </c>
      <c r="AJ30" s="48">
        <v>45.815765092079602</v>
      </c>
      <c r="AK30" s="49">
        <v>95.414353764318605</v>
      </c>
      <c r="AL30" s="31" t="s">
        <v>5874</v>
      </c>
      <c r="AM30" s="31" t="s">
        <v>5877</v>
      </c>
      <c r="AN30" s="31" t="s">
        <v>27662</v>
      </c>
      <c r="AO30" s="31" t="s">
        <v>27663</v>
      </c>
      <c r="AP30" s="31" t="s">
        <v>27664</v>
      </c>
      <c r="AQ30" s="31" t="s">
        <v>27665</v>
      </c>
      <c r="AR30" s="31" t="s">
        <v>27666</v>
      </c>
      <c r="AS30" s="31" t="str">
        <f>"C4B"</f>
        <v>C4B</v>
      </c>
      <c r="AT30" s="31" t="s">
        <v>27667</v>
      </c>
      <c r="AU30" s="31" t="s">
        <v>13777</v>
      </c>
      <c r="AV30" s="31">
        <v>9606</v>
      </c>
      <c r="AW30" s="50" t="str">
        <f>HYPERLINK("http://www.uniprot.org/uniprot/P0C0L5", "P0C0L5")</f>
        <v>P0C0L5</v>
      </c>
      <c r="AX30" s="31" t="s">
        <v>27668</v>
      </c>
      <c r="AY30" s="31" t="s">
        <v>27669</v>
      </c>
      <c r="AZ30" s="31" t="s">
        <v>27670</v>
      </c>
      <c r="BA30" s="31" t="s">
        <v>13793</v>
      </c>
      <c r="BB30" s="31" t="s">
        <v>13772</v>
      </c>
      <c r="BC30" s="31" t="s">
        <v>27671</v>
      </c>
      <c r="BD30" s="31" t="s">
        <v>13808</v>
      </c>
      <c r="BE30" s="31" t="s">
        <v>13772</v>
      </c>
      <c r="BF30" s="31" t="s">
        <v>16993</v>
      </c>
      <c r="BG30" s="31" t="s">
        <v>27672</v>
      </c>
      <c r="BH30" s="31" t="s">
        <v>13812</v>
      </c>
      <c r="BI30" s="31" t="s">
        <v>27673</v>
      </c>
      <c r="BJ30" s="31" t="s">
        <v>27674</v>
      </c>
      <c r="BK30" s="31" t="s">
        <v>27675</v>
      </c>
      <c r="BL30" s="31" t="s">
        <v>13772</v>
      </c>
      <c r="BM30" s="31" t="s">
        <v>27676</v>
      </c>
    </row>
    <row r="31" spans="1:65">
      <c r="A31">
        <v>865</v>
      </c>
      <c r="B31">
        <v>1</v>
      </c>
      <c r="C31">
        <v>26</v>
      </c>
      <c r="D31" t="s">
        <v>2114</v>
      </c>
      <c r="E31" t="s">
        <v>2115</v>
      </c>
      <c r="F31" t="s">
        <v>73</v>
      </c>
      <c r="G31">
        <v>60.1</v>
      </c>
      <c r="H31">
        <v>1094</v>
      </c>
      <c r="I31">
        <v>125348</v>
      </c>
      <c r="J31" t="s">
        <v>2116</v>
      </c>
      <c r="K31" s="3" t="s">
        <v>73</v>
      </c>
      <c r="L31">
        <v>1446</v>
      </c>
      <c r="M31">
        <v>1446</v>
      </c>
      <c r="N31">
        <v>1</v>
      </c>
      <c r="O31" s="11">
        <f t="shared" si="0"/>
        <v>71.846072312756064</v>
      </c>
      <c r="P31" s="36">
        <v>138.12734712515899</v>
      </c>
      <c r="Q31" s="36">
        <v>33.707244223710603</v>
      </c>
      <c r="R31" s="36">
        <v>24.0119649271839</v>
      </c>
      <c r="S31" s="36">
        <v>9.0715305549193808</v>
      </c>
      <c r="T31" s="36">
        <v>9.4619399593058091</v>
      </c>
      <c r="U31" s="36">
        <v>10.226999713034401</v>
      </c>
      <c r="V31" s="36">
        <v>102.24404143787</v>
      </c>
      <c r="W31" s="36">
        <v>54.498281487009102</v>
      </c>
      <c r="X31" s="37">
        <v>19.868957331123902</v>
      </c>
      <c r="Y31" s="37">
        <v>34.055080931967403</v>
      </c>
      <c r="Z31" s="37">
        <v>28.001902189357001</v>
      </c>
      <c r="AA31" s="37">
        <v>112.590757197792</v>
      </c>
      <c r="AB31" s="37">
        <v>67.990649870318407</v>
      </c>
      <c r="AC31" s="37">
        <v>44.983862511952097</v>
      </c>
      <c r="AD31" s="37">
        <v>233.82370741867601</v>
      </c>
      <c r="AE31" s="37">
        <v>226.872890124718</v>
      </c>
      <c r="AF31" s="45">
        <v>1.00247888753412</v>
      </c>
      <c r="AG31" s="45">
        <v>2.0143939113250098</v>
      </c>
      <c r="AH31" s="46">
        <v>0.103432465466111</v>
      </c>
      <c r="AI31" s="47">
        <v>0.14660237160344899</v>
      </c>
      <c r="AJ31" s="48">
        <v>47.668668678524099</v>
      </c>
      <c r="AK31" s="49">
        <v>96.0234759469881</v>
      </c>
      <c r="AL31" s="31" t="s">
        <v>5874</v>
      </c>
      <c r="AM31" s="31" t="s">
        <v>5832</v>
      </c>
      <c r="AN31" s="31" t="s">
        <v>20294</v>
      </c>
      <c r="AO31" s="31" t="s">
        <v>20295</v>
      </c>
      <c r="AP31" s="31" t="s">
        <v>20296</v>
      </c>
      <c r="AQ31" s="31" t="s">
        <v>20297</v>
      </c>
      <c r="AR31" s="31" t="s">
        <v>20298</v>
      </c>
      <c r="AS31" s="31" t="str">
        <f>"CP"</f>
        <v>CP</v>
      </c>
      <c r="AT31" s="31" t="s">
        <v>13772</v>
      </c>
      <c r="AU31" s="31" t="s">
        <v>13777</v>
      </c>
      <c r="AV31" s="31">
        <v>9606</v>
      </c>
      <c r="AW31" s="50" t="str">
        <f>HYPERLINK("http://www.uniprot.org/uniprot/P00450", "P00450")</f>
        <v>P00450</v>
      </c>
      <c r="AX31" s="31" t="s">
        <v>20299</v>
      </c>
      <c r="AY31" s="31" t="s">
        <v>20300</v>
      </c>
      <c r="AZ31" s="31" t="s">
        <v>14321</v>
      </c>
      <c r="BA31" s="31" t="s">
        <v>13793</v>
      </c>
      <c r="BB31" s="31" t="s">
        <v>13772</v>
      </c>
      <c r="BC31" s="31" t="s">
        <v>13772</v>
      </c>
      <c r="BD31" s="31" t="s">
        <v>14404</v>
      </c>
      <c r="BE31" s="31" t="s">
        <v>15982</v>
      </c>
      <c r="BF31" s="31" t="s">
        <v>13885</v>
      </c>
      <c r="BG31" s="31" t="s">
        <v>13964</v>
      </c>
      <c r="BH31" s="31" t="s">
        <v>13812</v>
      </c>
      <c r="BI31" s="31" t="s">
        <v>20301</v>
      </c>
      <c r="BJ31" s="31" t="s">
        <v>20302</v>
      </c>
      <c r="BK31" s="31" t="s">
        <v>20303</v>
      </c>
      <c r="BL31" s="31" t="s">
        <v>13772</v>
      </c>
      <c r="BM31" s="31" t="s">
        <v>20304</v>
      </c>
    </row>
    <row r="32" spans="1:65">
      <c r="A32">
        <v>895</v>
      </c>
      <c r="B32">
        <v>1</v>
      </c>
      <c r="C32">
        <v>27</v>
      </c>
      <c r="D32" t="s">
        <v>2187</v>
      </c>
      <c r="E32" t="s">
        <v>73</v>
      </c>
      <c r="F32" t="s">
        <v>73</v>
      </c>
      <c r="G32">
        <v>80.599999999999994</v>
      </c>
      <c r="H32">
        <v>708</v>
      </c>
      <c r="I32">
        <v>77725</v>
      </c>
      <c r="J32" t="s">
        <v>2189</v>
      </c>
      <c r="K32" s="3" t="s">
        <v>73</v>
      </c>
      <c r="L32">
        <v>1390</v>
      </c>
      <c r="M32">
        <v>1389</v>
      </c>
      <c r="N32">
        <v>0.999</v>
      </c>
      <c r="O32" s="11">
        <f t="shared" si="0"/>
        <v>76.656811661291044</v>
      </c>
      <c r="P32" s="36">
        <v>43.619162250050302</v>
      </c>
      <c r="Q32" s="36">
        <v>83.786578498937899</v>
      </c>
      <c r="R32" s="36">
        <v>81.640680752425098</v>
      </c>
      <c r="S32" s="36">
        <v>99.786836104113206</v>
      </c>
      <c r="T32" s="36">
        <v>59.3521688356456</v>
      </c>
      <c r="U32" s="36">
        <v>54.853907551730003</v>
      </c>
      <c r="V32" s="36">
        <v>54.811238708961298</v>
      </c>
      <c r="W32" s="36">
        <v>34.061425929380697</v>
      </c>
      <c r="X32" s="37">
        <v>72.323004685291096</v>
      </c>
      <c r="Y32" s="37">
        <v>58.650417160610601</v>
      </c>
      <c r="Z32" s="37">
        <v>76.005163085397598</v>
      </c>
      <c r="AA32" s="37">
        <v>101.585645591993</v>
      </c>
      <c r="AB32" s="37">
        <v>53.473727330439601</v>
      </c>
      <c r="AC32" s="37">
        <v>73.394723045816605</v>
      </c>
      <c r="AD32" s="37">
        <v>107.106343398232</v>
      </c>
      <c r="AE32" s="37">
        <v>172.05796365163201</v>
      </c>
      <c r="AF32" s="45">
        <v>0.47722508155638599</v>
      </c>
      <c r="AG32" s="45">
        <v>1.39593717252205</v>
      </c>
      <c r="AH32" s="46">
        <v>0.130216895976729</v>
      </c>
      <c r="AI32" s="47">
        <v>0.17924918396796599</v>
      </c>
      <c r="AJ32" s="48">
        <v>63.988999828905499</v>
      </c>
      <c r="AK32" s="49">
        <v>89.324623493676498</v>
      </c>
      <c r="AL32" s="31" t="s">
        <v>5874</v>
      </c>
      <c r="AM32" s="31" t="s">
        <v>5832</v>
      </c>
      <c r="AN32" s="31" t="s">
        <v>22613</v>
      </c>
      <c r="AO32" s="31" t="s">
        <v>22614</v>
      </c>
      <c r="AP32" s="31" t="s">
        <v>22615</v>
      </c>
      <c r="AQ32" s="31" t="s">
        <v>22616</v>
      </c>
      <c r="AR32" s="31" t="s">
        <v>22617</v>
      </c>
      <c r="AS32" s="31" t="str">
        <f>"LTF"</f>
        <v>LTF</v>
      </c>
      <c r="AT32" s="31" t="s">
        <v>22618</v>
      </c>
      <c r="AU32" s="31" t="s">
        <v>13777</v>
      </c>
      <c r="AV32" s="31">
        <v>9606</v>
      </c>
      <c r="AW32" s="50" t="str">
        <f>HYPERLINK("http://www.uniprot.org/uniprot/P02788", "P02788")</f>
        <v>P02788</v>
      </c>
      <c r="AX32" s="31" t="s">
        <v>22619</v>
      </c>
      <c r="AY32" s="31" t="s">
        <v>22620</v>
      </c>
      <c r="AZ32" s="31" t="s">
        <v>14276</v>
      </c>
      <c r="BA32" s="31" t="s">
        <v>22621</v>
      </c>
      <c r="BB32" s="31" t="s">
        <v>13772</v>
      </c>
      <c r="BC32" s="31" t="s">
        <v>13772</v>
      </c>
      <c r="BD32" s="31" t="s">
        <v>14404</v>
      </c>
      <c r="BE32" s="31" t="s">
        <v>17802</v>
      </c>
      <c r="BF32" s="31" t="s">
        <v>22622</v>
      </c>
      <c r="BG32" s="31" t="s">
        <v>22623</v>
      </c>
      <c r="BH32" s="31" t="s">
        <v>13812</v>
      </c>
      <c r="BI32" s="31" t="s">
        <v>22624</v>
      </c>
      <c r="BJ32" s="31" t="s">
        <v>22625</v>
      </c>
      <c r="BK32" s="31" t="s">
        <v>22626</v>
      </c>
      <c r="BL32" s="31" t="s">
        <v>13772</v>
      </c>
      <c r="BM32" s="31" t="s">
        <v>22627</v>
      </c>
    </row>
    <row r="33" spans="1:65">
      <c r="A33">
        <v>333</v>
      </c>
      <c r="B33">
        <v>1</v>
      </c>
      <c r="C33">
        <v>28</v>
      </c>
      <c r="D33" t="s">
        <v>837</v>
      </c>
      <c r="E33" t="s">
        <v>73</v>
      </c>
      <c r="F33" t="s">
        <v>73</v>
      </c>
      <c r="G33">
        <v>87.1</v>
      </c>
      <c r="H33">
        <v>255</v>
      </c>
      <c r="I33">
        <v>27533</v>
      </c>
      <c r="J33" t="s">
        <v>838</v>
      </c>
      <c r="K33" s="3" t="s">
        <v>73</v>
      </c>
      <c r="L33">
        <v>1344</v>
      </c>
      <c r="M33">
        <v>1344</v>
      </c>
      <c r="N33">
        <v>1</v>
      </c>
      <c r="O33" s="11">
        <f t="shared" si="0"/>
        <v>64.377064898871765</v>
      </c>
      <c r="P33" s="36">
        <v>20.597937729190399</v>
      </c>
      <c r="Q33" s="36">
        <v>24.0766030169362</v>
      </c>
      <c r="R33" s="36">
        <v>27.213560250808399</v>
      </c>
      <c r="S33" s="36">
        <v>39.309965737984001</v>
      </c>
      <c r="T33" s="36">
        <v>14.6229981189272</v>
      </c>
      <c r="U33" s="36">
        <v>15.805363192871299</v>
      </c>
      <c r="V33" s="36">
        <v>36.892179900262398</v>
      </c>
      <c r="W33" s="36">
        <v>8.7586523818407507</v>
      </c>
      <c r="X33" s="37">
        <v>88.218170550190294</v>
      </c>
      <c r="Y33" s="37">
        <v>360.731598020099</v>
      </c>
      <c r="Z33" s="37">
        <v>13.600923920544799</v>
      </c>
      <c r="AA33" s="37">
        <v>40.634258236797201</v>
      </c>
      <c r="AB33" s="37">
        <v>197.54040165025</v>
      </c>
      <c r="AC33" s="37">
        <v>63.135245630809997</v>
      </c>
      <c r="AD33" s="37">
        <v>30.170800957248499</v>
      </c>
      <c r="AE33" s="37">
        <v>48.7243790871877</v>
      </c>
      <c r="AF33" s="45">
        <v>2.1753702572917701</v>
      </c>
      <c r="AG33" s="45">
        <v>4.5000432864802704</v>
      </c>
      <c r="AH33" s="46">
        <v>9.7124368609368805E-5</v>
      </c>
      <c r="AI33" s="47">
        <v>2.73009254620452E-4</v>
      </c>
      <c r="AJ33" s="48">
        <v>23.4096575411026</v>
      </c>
      <c r="AK33" s="49">
        <v>105.344472256641</v>
      </c>
      <c r="AL33" s="31" t="s">
        <v>5874</v>
      </c>
      <c r="AM33" s="31" t="s">
        <v>5876</v>
      </c>
      <c r="AN33" s="31" t="s">
        <v>16889</v>
      </c>
      <c r="AO33" s="31" t="s">
        <v>16890</v>
      </c>
      <c r="AP33" s="31" t="s">
        <v>16891</v>
      </c>
      <c r="AQ33" s="31" t="s">
        <v>16892</v>
      </c>
      <c r="AR33" s="31" t="s">
        <v>16893</v>
      </c>
      <c r="AS33" s="31" t="str">
        <f>"IGFBP1"</f>
        <v>IGFBP1</v>
      </c>
      <c r="AT33" s="31" t="s">
        <v>16894</v>
      </c>
      <c r="AU33" s="31" t="s">
        <v>13777</v>
      </c>
      <c r="AV33" s="31">
        <v>9606</v>
      </c>
      <c r="AW33" s="50" t="str">
        <f>HYPERLINK("http://www.uniprot.org/uniprot/P08833", "P08833")</f>
        <v>P08833</v>
      </c>
      <c r="AX33" s="31" t="s">
        <v>16895</v>
      </c>
      <c r="AY33" s="31" t="s">
        <v>13772</v>
      </c>
      <c r="AZ33" s="31" t="s">
        <v>14321</v>
      </c>
      <c r="BA33" s="31" t="s">
        <v>13793</v>
      </c>
      <c r="BB33" s="31" t="s">
        <v>13772</v>
      </c>
      <c r="BC33" s="31" t="s">
        <v>13772</v>
      </c>
      <c r="BD33" s="31" t="s">
        <v>13808</v>
      </c>
      <c r="BE33" s="31" t="s">
        <v>13772</v>
      </c>
      <c r="BF33" s="31" t="s">
        <v>16896</v>
      </c>
      <c r="BG33" s="31" t="s">
        <v>15554</v>
      </c>
      <c r="BH33" s="31" t="s">
        <v>13812</v>
      </c>
      <c r="BI33" s="31" t="s">
        <v>16897</v>
      </c>
      <c r="BJ33" s="31" t="s">
        <v>16898</v>
      </c>
      <c r="BK33" s="31" t="s">
        <v>16899</v>
      </c>
      <c r="BL33" s="31" t="s">
        <v>13772</v>
      </c>
      <c r="BM33" s="31" t="s">
        <v>16900</v>
      </c>
    </row>
    <row r="34" spans="1:65">
      <c r="A34">
        <v>2444</v>
      </c>
      <c r="B34">
        <v>1</v>
      </c>
      <c r="C34">
        <v>29</v>
      </c>
      <c r="D34" t="s">
        <v>5736</v>
      </c>
      <c r="E34" t="s">
        <v>73</v>
      </c>
      <c r="F34" t="s">
        <v>5737</v>
      </c>
      <c r="G34">
        <v>50.7</v>
      </c>
      <c r="H34">
        <v>2387</v>
      </c>
      <c r="I34">
        <v>262651</v>
      </c>
      <c r="J34" t="s">
        <v>5738</v>
      </c>
      <c r="K34" s="3">
        <v>16</v>
      </c>
      <c r="L34">
        <v>1318</v>
      </c>
      <c r="M34">
        <v>1318</v>
      </c>
      <c r="N34">
        <v>1</v>
      </c>
      <c r="O34" s="11">
        <f t="shared" si="0"/>
        <v>66.889249632697585</v>
      </c>
      <c r="P34" s="36">
        <v>67.852030166744797</v>
      </c>
      <c r="Q34" s="36">
        <v>53.931590757937002</v>
      </c>
      <c r="R34" s="36">
        <v>102.45105035598399</v>
      </c>
      <c r="S34" s="36">
        <v>102.81067962242</v>
      </c>
      <c r="T34" s="36">
        <v>46.449523436592202</v>
      </c>
      <c r="U34" s="36">
        <v>82.745724950914706</v>
      </c>
      <c r="V34" s="36">
        <v>61.1356124061492</v>
      </c>
      <c r="W34" s="36">
        <v>30.168691537451501</v>
      </c>
      <c r="X34" s="37">
        <v>53.248805647412098</v>
      </c>
      <c r="Y34" s="37">
        <v>51.082621397951101</v>
      </c>
      <c r="Z34" s="37">
        <v>56.803858726981296</v>
      </c>
      <c r="AA34" s="37">
        <v>70.263404867795103</v>
      </c>
      <c r="AB34" s="37">
        <v>51.452383685646403</v>
      </c>
      <c r="AC34" s="37">
        <v>62.346055060424902</v>
      </c>
      <c r="AD34" s="37">
        <v>70.901382249533896</v>
      </c>
      <c r="AE34" s="37">
        <v>106.584579253223</v>
      </c>
      <c r="AF34" s="45">
        <v>-6.6262382772623196E-2</v>
      </c>
      <c r="AG34" s="45">
        <v>-1.0475657483063801</v>
      </c>
      <c r="AH34" s="46">
        <v>0.82373729313055999</v>
      </c>
      <c r="AI34" s="47">
        <v>0.87334429335078401</v>
      </c>
      <c r="AJ34" s="48">
        <v>68.443112904274201</v>
      </c>
      <c r="AK34" s="49">
        <v>65.335386361120996</v>
      </c>
      <c r="AL34" s="31" t="s">
        <v>5875</v>
      </c>
      <c r="AM34" s="31" t="s">
        <v>5832</v>
      </c>
      <c r="AN34" s="31" t="s">
        <v>22824</v>
      </c>
      <c r="AO34" s="31" t="s">
        <v>22825</v>
      </c>
      <c r="AP34" s="31" t="s">
        <v>22826</v>
      </c>
      <c r="AQ34" s="31" t="s">
        <v>22827</v>
      </c>
      <c r="AR34" s="31" t="s">
        <v>22828</v>
      </c>
      <c r="AS34" s="31" t="str">
        <f>"FN1"</f>
        <v>FN1</v>
      </c>
      <c r="AT34" s="31" t="s">
        <v>22829</v>
      </c>
      <c r="AU34" s="31" t="s">
        <v>13777</v>
      </c>
      <c r="AV34" s="31">
        <v>9606</v>
      </c>
      <c r="AW34" s="50" t="str">
        <f>HYPERLINK("http://www.uniprot.org/uniprot/P02751", "P02751")</f>
        <v>P02751</v>
      </c>
      <c r="AX34" s="31" t="s">
        <v>22830</v>
      </c>
      <c r="AY34" s="31" t="s">
        <v>22831</v>
      </c>
      <c r="AZ34" s="31" t="s">
        <v>13869</v>
      </c>
      <c r="BA34" s="31" t="s">
        <v>13780</v>
      </c>
      <c r="BB34" s="31" t="s">
        <v>13772</v>
      </c>
      <c r="BC34" s="31" t="s">
        <v>14517</v>
      </c>
      <c r="BD34" s="31" t="s">
        <v>14404</v>
      </c>
      <c r="BE34" s="31" t="s">
        <v>13772</v>
      </c>
      <c r="BF34" s="31" t="s">
        <v>14073</v>
      </c>
      <c r="BG34" s="31" t="s">
        <v>22832</v>
      </c>
      <c r="BH34" s="31" t="s">
        <v>13812</v>
      </c>
      <c r="BI34" s="31" t="s">
        <v>22833</v>
      </c>
      <c r="BJ34" s="31" t="s">
        <v>22834</v>
      </c>
      <c r="BK34" s="31" t="s">
        <v>22835</v>
      </c>
      <c r="BL34" s="31" t="s">
        <v>13772</v>
      </c>
      <c r="BM34" s="31" t="s">
        <v>22836</v>
      </c>
    </row>
    <row r="35" spans="1:65">
      <c r="A35">
        <v>768</v>
      </c>
      <c r="B35">
        <v>1</v>
      </c>
      <c r="C35">
        <v>30</v>
      </c>
      <c r="D35" t="s">
        <v>1887</v>
      </c>
      <c r="E35" t="s">
        <v>73</v>
      </c>
      <c r="F35" t="s">
        <v>73</v>
      </c>
      <c r="G35">
        <v>76.400000000000006</v>
      </c>
      <c r="H35">
        <v>110</v>
      </c>
      <c r="I35">
        <v>11475</v>
      </c>
      <c r="J35" t="s">
        <v>1888</v>
      </c>
      <c r="K35" s="3">
        <v>11</v>
      </c>
      <c r="L35">
        <v>1235</v>
      </c>
      <c r="M35">
        <v>1235</v>
      </c>
      <c r="N35">
        <v>1</v>
      </c>
      <c r="O35" s="11">
        <f t="shared" si="0"/>
        <v>82.353841204480602</v>
      </c>
      <c r="P35" s="36">
        <v>52.100666020893399</v>
      </c>
      <c r="Q35" s="36">
        <v>96.306412067744702</v>
      </c>
      <c r="R35" s="36">
        <v>155.27737319578901</v>
      </c>
      <c r="S35" s="36">
        <v>287.26513423911399</v>
      </c>
      <c r="T35" s="36">
        <v>138.48839394984</v>
      </c>
      <c r="U35" s="36">
        <v>101.34026988370501</v>
      </c>
      <c r="V35" s="36">
        <v>162.32559156115499</v>
      </c>
      <c r="W35" s="36">
        <v>32.115058733416099</v>
      </c>
      <c r="X35" s="37">
        <v>11.126616105429401</v>
      </c>
      <c r="Y35" s="37">
        <v>29.0098837568611</v>
      </c>
      <c r="Z35" s="37">
        <v>65.604456557922106</v>
      </c>
      <c r="AA35" s="37">
        <v>15.2378468387989</v>
      </c>
      <c r="AB35" s="37">
        <v>22.0510215795627</v>
      </c>
      <c r="AC35" s="37">
        <v>41.827100230411602</v>
      </c>
      <c r="AD35" s="37">
        <v>55.815981770909602</v>
      </c>
      <c r="AE35" s="37">
        <v>51.769652780137001</v>
      </c>
      <c r="AF35" s="45">
        <v>-1.8118066105169499</v>
      </c>
      <c r="AG35" s="45">
        <v>-3.5057103213147598</v>
      </c>
      <c r="AH35" s="46">
        <v>5.4179406524061197E-5</v>
      </c>
      <c r="AI35" s="47">
        <v>1.6327037371440101E-4</v>
      </c>
      <c r="AJ35" s="48">
        <v>128.15236245645701</v>
      </c>
      <c r="AK35" s="49">
        <v>36.555319952504099</v>
      </c>
      <c r="AL35" s="31" t="s">
        <v>5875</v>
      </c>
      <c r="AM35" s="31" t="s">
        <v>5876</v>
      </c>
      <c r="AN35" s="31" t="s">
        <v>21345</v>
      </c>
      <c r="AO35" s="31" t="s">
        <v>21346</v>
      </c>
      <c r="AP35" s="31" t="s">
        <v>21347</v>
      </c>
      <c r="AQ35" s="31" t="s">
        <v>21348</v>
      </c>
      <c r="AR35" s="31" t="s">
        <v>21349</v>
      </c>
      <c r="AS35" s="31" t="str">
        <f>"RETN"</f>
        <v>RETN</v>
      </c>
      <c r="AT35" s="31" t="s">
        <v>21350</v>
      </c>
      <c r="AU35" s="31" t="s">
        <v>13777</v>
      </c>
      <c r="AV35" s="31">
        <v>9606</v>
      </c>
      <c r="AW35" s="50" t="str">
        <f>HYPERLINK("http://www.uniprot.org/uniprot/Q9HD89", "Q9HD89")</f>
        <v>Q9HD89</v>
      </c>
      <c r="AX35" s="31" t="s">
        <v>21351</v>
      </c>
      <c r="AY35" s="31" t="s">
        <v>13772</v>
      </c>
      <c r="AZ35" s="31" t="s">
        <v>14321</v>
      </c>
      <c r="BA35" s="31" t="s">
        <v>13841</v>
      </c>
      <c r="BB35" s="31" t="s">
        <v>13772</v>
      </c>
      <c r="BC35" s="31" t="s">
        <v>21352</v>
      </c>
      <c r="BD35" s="31" t="s">
        <v>13808</v>
      </c>
      <c r="BE35" s="31" t="s">
        <v>13772</v>
      </c>
      <c r="BF35" s="31" t="s">
        <v>14322</v>
      </c>
      <c r="BG35" s="31" t="s">
        <v>14506</v>
      </c>
      <c r="BH35" s="31" t="s">
        <v>13812</v>
      </c>
      <c r="BI35" s="31" t="s">
        <v>21353</v>
      </c>
      <c r="BJ35" s="31" t="s">
        <v>21354</v>
      </c>
      <c r="BK35" s="31" t="s">
        <v>21355</v>
      </c>
      <c r="BL35" s="31" t="s">
        <v>13772</v>
      </c>
      <c r="BM35" s="31" t="s">
        <v>21356</v>
      </c>
    </row>
    <row r="36" spans="1:65">
      <c r="A36">
        <v>184</v>
      </c>
      <c r="B36">
        <v>1</v>
      </c>
      <c r="C36">
        <v>31</v>
      </c>
      <c r="D36" t="s">
        <v>463</v>
      </c>
      <c r="E36" t="s">
        <v>73</v>
      </c>
      <c r="F36" t="s">
        <v>73</v>
      </c>
      <c r="G36">
        <v>51.8</v>
      </c>
      <c r="H36">
        <v>247</v>
      </c>
      <c r="I36">
        <v>26761</v>
      </c>
      <c r="J36" t="s">
        <v>464</v>
      </c>
      <c r="K36" s="3" t="s">
        <v>73</v>
      </c>
      <c r="L36">
        <v>1225</v>
      </c>
      <c r="M36">
        <v>1225</v>
      </c>
      <c r="N36">
        <v>1</v>
      </c>
      <c r="O36" s="11">
        <f t="shared" si="0"/>
        <v>61.549286716916598</v>
      </c>
      <c r="P36" s="36">
        <v>84.815037708431007</v>
      </c>
      <c r="Q36" s="36">
        <v>37.559500706420401</v>
      </c>
      <c r="R36" s="36">
        <v>60.830311148865803</v>
      </c>
      <c r="S36" s="36">
        <v>36.286122219677502</v>
      </c>
      <c r="T36" s="36">
        <v>21.504408998422299</v>
      </c>
      <c r="U36" s="36">
        <v>32.540453632382203</v>
      </c>
      <c r="V36" s="36">
        <v>51.6490518603674</v>
      </c>
      <c r="W36" s="36">
        <v>82.720605828496005</v>
      </c>
      <c r="X36" s="37">
        <v>27.816540263573501</v>
      </c>
      <c r="Y36" s="37">
        <v>27.1179348161963</v>
      </c>
      <c r="Z36" s="37">
        <v>40.002717413367101</v>
      </c>
      <c r="AA36" s="37">
        <v>71.956498960995006</v>
      </c>
      <c r="AB36" s="37">
        <v>60.640309343797497</v>
      </c>
      <c r="AC36" s="37">
        <v>28.410860533864501</v>
      </c>
      <c r="AD36" s="37">
        <v>199.12728631784</v>
      </c>
      <c r="AE36" s="37">
        <v>121.810947717969</v>
      </c>
      <c r="AF36" s="45">
        <v>0.48845099169471801</v>
      </c>
      <c r="AG36" s="45">
        <v>1.41425674950669</v>
      </c>
      <c r="AH36" s="46">
        <v>0.26819762128974101</v>
      </c>
      <c r="AI36" s="47">
        <v>0.342412611913811</v>
      </c>
      <c r="AJ36" s="48">
        <v>50.988186512882798</v>
      </c>
      <c r="AK36" s="49">
        <v>72.110386920950404</v>
      </c>
      <c r="AL36" s="31" t="s">
        <v>5874</v>
      </c>
      <c r="AM36" s="31" t="s">
        <v>5832</v>
      </c>
      <c r="AN36" s="31" t="s">
        <v>15286</v>
      </c>
      <c r="AO36" s="31" t="s">
        <v>13772</v>
      </c>
      <c r="AP36" s="31" t="s">
        <v>15287</v>
      </c>
      <c r="AQ36" s="31" t="s">
        <v>15288</v>
      </c>
      <c r="AR36" s="31" t="s">
        <v>13772</v>
      </c>
      <c r="AS36" s="31" t="str">
        <f>"IGHV3-74"</f>
        <v>IGHV3-74</v>
      </c>
      <c r="AT36" s="31" t="s">
        <v>13772</v>
      </c>
      <c r="AU36" s="31" t="s">
        <v>13777</v>
      </c>
      <c r="AV36" s="31">
        <v>9606</v>
      </c>
      <c r="AW36" s="50" t="str">
        <f>HYPERLINK("http://www.uniprot.org/uniprot/A0A0B4J1X5", "A0A0B4J1X5")</f>
        <v>A0A0B4J1X5</v>
      </c>
      <c r="AX36" s="31" t="s">
        <v>15289</v>
      </c>
      <c r="AY36" s="31" t="s">
        <v>15290</v>
      </c>
      <c r="AZ36" s="31" t="s">
        <v>15291</v>
      </c>
      <c r="BA36" s="31" t="s">
        <v>13793</v>
      </c>
      <c r="BB36" s="31" t="s">
        <v>13772</v>
      </c>
      <c r="BC36" s="31" t="s">
        <v>13772</v>
      </c>
      <c r="BD36" s="31" t="s">
        <v>13808</v>
      </c>
      <c r="BE36" s="31" t="s">
        <v>13772</v>
      </c>
      <c r="BF36" s="31" t="s">
        <v>13772</v>
      </c>
      <c r="BG36" s="31" t="s">
        <v>14506</v>
      </c>
      <c r="BH36" s="31" t="s">
        <v>13772</v>
      </c>
      <c r="BI36" s="31" t="s">
        <v>15292</v>
      </c>
      <c r="BJ36" s="31" t="s">
        <v>15293</v>
      </c>
      <c r="BK36" s="31" t="s">
        <v>15294</v>
      </c>
      <c r="BL36" s="31" t="s">
        <v>13772</v>
      </c>
      <c r="BM36" s="31" t="s">
        <v>13772</v>
      </c>
    </row>
    <row r="37" spans="1:65">
      <c r="A37">
        <v>1342</v>
      </c>
      <c r="B37">
        <v>1</v>
      </c>
      <c r="C37">
        <v>32</v>
      </c>
      <c r="D37" t="s">
        <v>3211</v>
      </c>
      <c r="E37" t="s">
        <v>73</v>
      </c>
      <c r="F37" t="s">
        <v>73</v>
      </c>
      <c r="G37">
        <v>79.3</v>
      </c>
      <c r="H37">
        <v>488</v>
      </c>
      <c r="I37">
        <v>54721</v>
      </c>
      <c r="J37" t="s">
        <v>3212</v>
      </c>
      <c r="K37" s="3">
        <v>34</v>
      </c>
      <c r="L37">
        <v>1214</v>
      </c>
      <c r="M37">
        <v>1214</v>
      </c>
      <c r="N37">
        <v>1</v>
      </c>
      <c r="O37" s="11">
        <f t="shared" si="0"/>
        <v>60.539825910592498</v>
      </c>
      <c r="P37" s="36">
        <v>94.508184875108896</v>
      </c>
      <c r="Q37" s="36">
        <v>57.7838472406468</v>
      </c>
      <c r="R37" s="36">
        <v>65.6327041343026</v>
      </c>
      <c r="S37" s="36">
        <v>51.405339811209799</v>
      </c>
      <c r="T37" s="36">
        <v>31.826525317664998</v>
      </c>
      <c r="U37" s="36">
        <v>29.751271892463699</v>
      </c>
      <c r="V37" s="36">
        <v>36.892179900262398</v>
      </c>
      <c r="W37" s="36">
        <v>98.291543396212901</v>
      </c>
      <c r="X37" s="37">
        <v>54.043563940657101</v>
      </c>
      <c r="Y37" s="37">
        <v>20.811438347313398</v>
      </c>
      <c r="Z37" s="37">
        <v>40.802771761634503</v>
      </c>
      <c r="AA37" s="37">
        <v>77.035781240594602</v>
      </c>
      <c r="AB37" s="37">
        <v>60.640309343797497</v>
      </c>
      <c r="AC37" s="37">
        <v>52.086577645418203</v>
      </c>
      <c r="AD37" s="37">
        <v>87.495322776020501</v>
      </c>
      <c r="AE37" s="37">
        <v>109.62985294617199</v>
      </c>
      <c r="AF37" s="45">
        <v>0.10007227843986399</v>
      </c>
      <c r="AG37" s="45">
        <v>1.0782121404937799</v>
      </c>
      <c r="AH37" s="46">
        <v>0.77968986200255197</v>
      </c>
      <c r="AI37" s="47">
        <v>0.83519703989177596</v>
      </c>
      <c r="AJ37" s="48">
        <v>58.261449570983999</v>
      </c>
      <c r="AK37" s="49">
        <v>62.818202250200997</v>
      </c>
      <c r="AL37" s="31" t="s">
        <v>5874</v>
      </c>
      <c r="AM37" s="31" t="s">
        <v>5832</v>
      </c>
      <c r="AN37" s="31" t="s">
        <v>26752</v>
      </c>
      <c r="AO37" s="31" t="s">
        <v>26753</v>
      </c>
      <c r="AP37" s="31" t="s">
        <v>26754</v>
      </c>
      <c r="AQ37" s="31" t="s">
        <v>26755</v>
      </c>
      <c r="AR37" s="31" t="s">
        <v>26756</v>
      </c>
      <c r="AS37" s="31" t="str">
        <f>"GC"</f>
        <v>GC</v>
      </c>
      <c r="AT37" s="31" t="s">
        <v>13772</v>
      </c>
      <c r="AU37" s="31" t="s">
        <v>13777</v>
      </c>
      <c r="AV37" s="31">
        <v>9606</v>
      </c>
      <c r="AW37" s="50" t="str">
        <f>HYPERLINK("http://www.uniprot.org/uniprot/P02774", "P02774")</f>
        <v>P02774</v>
      </c>
      <c r="AX37" s="31" t="s">
        <v>26757</v>
      </c>
      <c r="AY37" s="31" t="s">
        <v>14192</v>
      </c>
      <c r="AZ37" s="31" t="s">
        <v>14321</v>
      </c>
      <c r="BA37" s="31" t="s">
        <v>13780</v>
      </c>
      <c r="BB37" s="31" t="s">
        <v>13772</v>
      </c>
      <c r="BC37" s="31" t="s">
        <v>13772</v>
      </c>
      <c r="BD37" s="31" t="s">
        <v>14404</v>
      </c>
      <c r="BE37" s="31" t="s">
        <v>26758</v>
      </c>
      <c r="BF37" s="31" t="s">
        <v>13990</v>
      </c>
      <c r="BG37" s="31" t="s">
        <v>13796</v>
      </c>
      <c r="BH37" s="31" t="s">
        <v>13812</v>
      </c>
      <c r="BI37" s="31" t="s">
        <v>26759</v>
      </c>
      <c r="BJ37" s="31" t="s">
        <v>26760</v>
      </c>
      <c r="BK37" s="31" t="s">
        <v>26761</v>
      </c>
      <c r="BL37" s="31" t="s">
        <v>13772</v>
      </c>
      <c r="BM37" s="31" t="s">
        <v>26762</v>
      </c>
    </row>
    <row r="38" spans="1:65">
      <c r="A38">
        <v>1273</v>
      </c>
      <c r="B38">
        <v>1</v>
      </c>
      <c r="C38">
        <v>33</v>
      </c>
      <c r="D38" t="s">
        <v>3054</v>
      </c>
      <c r="E38" t="s">
        <v>73</v>
      </c>
      <c r="F38" t="s">
        <v>73</v>
      </c>
      <c r="G38">
        <v>78.3</v>
      </c>
      <c r="H38">
        <v>484</v>
      </c>
      <c r="I38">
        <v>54775</v>
      </c>
      <c r="J38" t="s">
        <v>3055</v>
      </c>
      <c r="K38" s="3" t="s">
        <v>73</v>
      </c>
      <c r="L38">
        <v>1173</v>
      </c>
      <c r="M38">
        <v>1173</v>
      </c>
      <c r="N38">
        <v>1</v>
      </c>
      <c r="O38" s="11">
        <f t="shared" si="0"/>
        <v>42.471438861737795</v>
      </c>
      <c r="P38" s="36">
        <v>37.560945270876601</v>
      </c>
      <c r="Q38" s="36">
        <v>31.781115982355701</v>
      </c>
      <c r="R38" s="36">
        <v>11.2055836326858</v>
      </c>
      <c r="S38" s="36">
        <v>19.654982868992001</v>
      </c>
      <c r="T38" s="36">
        <v>6.8814108794951396</v>
      </c>
      <c r="U38" s="36">
        <v>4.6486362331974602</v>
      </c>
      <c r="V38" s="36">
        <v>7.3784359800524904</v>
      </c>
      <c r="W38" s="36">
        <v>22.383222753593</v>
      </c>
      <c r="X38" s="37">
        <v>52.454047354167201</v>
      </c>
      <c r="Y38" s="37">
        <v>20.180788700425101</v>
      </c>
      <c r="Z38" s="37">
        <v>24.801684796287599</v>
      </c>
      <c r="AA38" s="37">
        <v>77.035781240594602</v>
      </c>
      <c r="AB38" s="37">
        <v>66.153064738688201</v>
      </c>
      <c r="AC38" s="37">
        <v>30.7784322450199</v>
      </c>
      <c r="AD38" s="37">
        <v>143.31130454692999</v>
      </c>
      <c r="AE38" s="37">
        <v>123.333584564444</v>
      </c>
      <c r="AF38" s="45">
        <v>1.91327613921269</v>
      </c>
      <c r="AG38" s="45">
        <v>3.8026165040845901</v>
      </c>
      <c r="AH38" s="46">
        <v>1.23152595863304E-4</v>
      </c>
      <c r="AI38" s="47">
        <v>3.3904973922860299E-4</v>
      </c>
      <c r="AJ38" s="48">
        <v>17.686791700156</v>
      </c>
      <c r="AK38" s="49">
        <v>67.256086023319597</v>
      </c>
      <c r="AL38" s="31" t="s">
        <v>5874</v>
      </c>
      <c r="AM38" s="31" t="s">
        <v>5876</v>
      </c>
      <c r="AN38" s="31" t="s">
        <v>26069</v>
      </c>
      <c r="AO38" s="31" t="s">
        <v>13772</v>
      </c>
      <c r="AP38" s="31" t="s">
        <v>26070</v>
      </c>
      <c r="AQ38" s="31" t="s">
        <v>26071</v>
      </c>
      <c r="AR38" s="31" t="s">
        <v>26072</v>
      </c>
      <c r="AS38" s="31" t="str">
        <f>"FGB"</f>
        <v>FGB</v>
      </c>
      <c r="AT38" s="31" t="s">
        <v>13772</v>
      </c>
      <c r="AU38" s="31" t="s">
        <v>13777</v>
      </c>
      <c r="AV38" s="31">
        <v>9606</v>
      </c>
      <c r="AW38" s="50" t="str">
        <f>HYPERLINK("http://www.uniprot.org/uniprot/P02675", "P02675")</f>
        <v>P02675</v>
      </c>
      <c r="AX38" s="31" t="s">
        <v>26073</v>
      </c>
      <c r="AY38" s="31" t="s">
        <v>26074</v>
      </c>
      <c r="AZ38" s="31" t="s">
        <v>14321</v>
      </c>
      <c r="BA38" s="31" t="s">
        <v>13793</v>
      </c>
      <c r="BB38" s="31" t="s">
        <v>13772</v>
      </c>
      <c r="BC38" s="31" t="s">
        <v>13807</v>
      </c>
      <c r="BD38" s="31" t="s">
        <v>16820</v>
      </c>
      <c r="BE38" s="31" t="s">
        <v>13772</v>
      </c>
      <c r="BF38" s="31" t="s">
        <v>13772</v>
      </c>
      <c r="BG38" s="31" t="s">
        <v>16701</v>
      </c>
      <c r="BH38" s="31" t="s">
        <v>13812</v>
      </c>
      <c r="BI38" s="31" t="s">
        <v>26075</v>
      </c>
      <c r="BJ38" s="31" t="s">
        <v>26076</v>
      </c>
      <c r="BK38" s="31" t="s">
        <v>26077</v>
      </c>
      <c r="BL38" s="31" t="s">
        <v>13772</v>
      </c>
      <c r="BM38" s="31" t="s">
        <v>26078</v>
      </c>
    </row>
    <row r="39" spans="1:65">
      <c r="A39">
        <v>2460</v>
      </c>
      <c r="B39">
        <v>1</v>
      </c>
      <c r="C39">
        <v>34</v>
      </c>
      <c r="D39" t="s">
        <v>5788</v>
      </c>
      <c r="E39" t="s">
        <v>73</v>
      </c>
      <c r="F39" t="s">
        <v>5789</v>
      </c>
      <c r="G39">
        <v>74.099999999999994</v>
      </c>
      <c r="H39">
        <v>243</v>
      </c>
      <c r="I39">
        <v>26859</v>
      </c>
      <c r="J39" t="s">
        <v>5790</v>
      </c>
      <c r="K39" s="3" t="s">
        <v>73</v>
      </c>
      <c r="L39">
        <v>1141</v>
      </c>
      <c r="M39">
        <v>1141</v>
      </c>
      <c r="N39">
        <v>1</v>
      </c>
      <c r="O39" s="11">
        <f t="shared" si="0"/>
        <v>69.568278415965963</v>
      </c>
      <c r="P39" s="36">
        <v>94.508184875108896</v>
      </c>
      <c r="Q39" s="36">
        <v>41.411757189130199</v>
      </c>
      <c r="R39" s="36">
        <v>57.628715825241301</v>
      </c>
      <c r="S39" s="36">
        <v>46.869574533750097</v>
      </c>
      <c r="T39" s="36">
        <v>30.1061725977912</v>
      </c>
      <c r="U39" s="36">
        <v>28.821544645824201</v>
      </c>
      <c r="V39" s="36">
        <v>68.514048386201594</v>
      </c>
      <c r="W39" s="36">
        <v>55.471465084991401</v>
      </c>
      <c r="X39" s="37">
        <v>44.506464421717602</v>
      </c>
      <c r="Y39" s="37">
        <v>27.1179348161963</v>
      </c>
      <c r="Z39" s="37">
        <v>27.201847841089702</v>
      </c>
      <c r="AA39" s="37">
        <v>53.332463935796298</v>
      </c>
      <c r="AB39" s="37">
        <v>61.5591019096126</v>
      </c>
      <c r="AC39" s="37">
        <v>50.508196504647998</v>
      </c>
      <c r="AD39" s="37">
        <v>248.9091078973</v>
      </c>
      <c r="AE39" s="37">
        <v>176.625874191056</v>
      </c>
      <c r="AF39" s="45">
        <v>0.69374655255867801</v>
      </c>
      <c r="AG39" s="45">
        <v>1.62936387105369</v>
      </c>
      <c r="AH39" s="46">
        <v>0.127796844185256</v>
      </c>
      <c r="AI39" s="47">
        <v>0.17628059538131199</v>
      </c>
      <c r="AJ39" s="48">
        <v>52.916432892254903</v>
      </c>
      <c r="AK39" s="49">
        <v>86.220123939676995</v>
      </c>
      <c r="AL39" s="31" t="s">
        <v>5874</v>
      </c>
      <c r="AM39" s="31" t="s">
        <v>5832</v>
      </c>
      <c r="AN39" s="31" t="s">
        <v>34427</v>
      </c>
      <c r="AO39" s="31" t="s">
        <v>34428</v>
      </c>
      <c r="AP39" s="31" t="s">
        <v>34429</v>
      </c>
      <c r="AQ39" s="31" t="s">
        <v>34430</v>
      </c>
      <c r="AR39" s="31" t="s">
        <v>34431</v>
      </c>
      <c r="AS39" s="31" t="str">
        <f>"IGKV2D-28"</f>
        <v>IGKV2D-28</v>
      </c>
      <c r="AT39" s="31" t="s">
        <v>13772</v>
      </c>
      <c r="AU39" s="31" t="s">
        <v>13777</v>
      </c>
      <c r="AV39" s="31">
        <v>9606</v>
      </c>
      <c r="AW39" s="50" t="str">
        <f>HYPERLINK("http://www.uniprot.org/uniprot/P01615", "P01615")</f>
        <v>P01615</v>
      </c>
      <c r="AX39" s="31" t="s">
        <v>34432</v>
      </c>
      <c r="AY39" s="31" t="s">
        <v>15290</v>
      </c>
      <c r="AZ39" s="31" t="s">
        <v>15291</v>
      </c>
      <c r="BA39" s="31" t="s">
        <v>13793</v>
      </c>
      <c r="BB39" s="31" t="s">
        <v>13772</v>
      </c>
      <c r="BC39" s="31" t="s">
        <v>13772</v>
      </c>
      <c r="BD39" s="31" t="s">
        <v>13808</v>
      </c>
      <c r="BE39" s="31" t="s">
        <v>13772</v>
      </c>
      <c r="BF39" s="31" t="s">
        <v>13772</v>
      </c>
      <c r="BG39" s="31" t="s">
        <v>14506</v>
      </c>
      <c r="BH39" s="31" t="s">
        <v>13812</v>
      </c>
      <c r="BI39" s="31" t="s">
        <v>34433</v>
      </c>
      <c r="BJ39" s="31" t="s">
        <v>28024</v>
      </c>
      <c r="BK39" s="31" t="s">
        <v>34434</v>
      </c>
      <c r="BL39" s="31" t="s">
        <v>13772</v>
      </c>
      <c r="BM39" s="31" t="s">
        <v>17561</v>
      </c>
    </row>
    <row r="40" spans="1:65">
      <c r="A40">
        <v>991</v>
      </c>
      <c r="B40">
        <v>1</v>
      </c>
      <c r="C40">
        <v>35</v>
      </c>
      <c r="D40" t="s">
        <v>2405</v>
      </c>
      <c r="E40" t="s">
        <v>73</v>
      </c>
      <c r="F40" t="s">
        <v>73</v>
      </c>
      <c r="G40">
        <v>11.2</v>
      </c>
      <c r="H40">
        <v>34239</v>
      </c>
      <c r="I40">
        <v>3803282</v>
      </c>
      <c r="J40" t="s">
        <v>2406</v>
      </c>
      <c r="K40" s="3" t="s">
        <v>73</v>
      </c>
      <c r="L40">
        <v>1120</v>
      </c>
      <c r="M40">
        <v>1120</v>
      </c>
      <c r="N40">
        <v>1</v>
      </c>
      <c r="O40" s="11">
        <f t="shared" si="0"/>
        <v>61.600880163714173</v>
      </c>
      <c r="P40" s="36">
        <v>2.4232867916694598</v>
      </c>
      <c r="Q40" s="36">
        <v>0.24076603016936199</v>
      </c>
      <c r="R40" s="36">
        <v>0.40019941545306398</v>
      </c>
      <c r="S40" s="36">
        <v>9.0715305549193808</v>
      </c>
      <c r="T40" s="36">
        <v>12.042469039116501</v>
      </c>
      <c r="U40" s="36">
        <v>7.43781797311593</v>
      </c>
      <c r="V40" s="36">
        <v>69.5681106690663</v>
      </c>
      <c r="W40" s="36">
        <v>34.061425929380697</v>
      </c>
      <c r="X40" s="37">
        <v>65.1701800460865</v>
      </c>
      <c r="Y40" s="37">
        <v>86.399001623695099</v>
      </c>
      <c r="Z40" s="37">
        <v>13.600923920544799</v>
      </c>
      <c r="AA40" s="37">
        <v>50.7928227959964</v>
      </c>
      <c r="AB40" s="37">
        <v>407.94389922191101</v>
      </c>
      <c r="AC40" s="37">
        <v>142.84349323970801</v>
      </c>
      <c r="AD40" s="37">
        <v>13.576860430761799</v>
      </c>
      <c r="AE40" s="37">
        <v>70.041294937832404</v>
      </c>
      <c r="AF40" s="45">
        <v>2.6377963873749999</v>
      </c>
      <c r="AG40" s="45">
        <v>6.2875867012147202</v>
      </c>
      <c r="AH40" s="46">
        <v>1.11790167892402E-3</v>
      </c>
      <c r="AI40" s="47">
        <v>2.4764113350999001E-3</v>
      </c>
      <c r="AJ40" s="48">
        <v>16.905700800361299</v>
      </c>
      <c r="AK40" s="49">
        <v>106.296059527067</v>
      </c>
      <c r="AL40" s="31" t="s">
        <v>5874</v>
      </c>
      <c r="AM40" s="31" t="s">
        <v>5876</v>
      </c>
      <c r="AN40" s="31" t="s">
        <v>23540</v>
      </c>
      <c r="AO40" s="31" t="s">
        <v>23541</v>
      </c>
      <c r="AP40" s="31" t="s">
        <v>23542</v>
      </c>
      <c r="AQ40" s="31" t="s">
        <v>23543</v>
      </c>
      <c r="AR40" s="31" t="s">
        <v>23544</v>
      </c>
      <c r="AS40" s="31" t="str">
        <f>"TTN"</f>
        <v>TTN</v>
      </c>
      <c r="AT40" s="31" t="s">
        <v>13772</v>
      </c>
      <c r="AU40" s="31" t="s">
        <v>13777</v>
      </c>
      <c r="AV40" s="31">
        <v>9606</v>
      </c>
      <c r="AW40" s="50" t="str">
        <f>HYPERLINK("http://www.uniprot.org/uniprot/Q8WZ42", "Q8WZ42")</f>
        <v>Q8WZ42</v>
      </c>
      <c r="AX40" s="31" t="s">
        <v>23545</v>
      </c>
      <c r="AY40" s="31" t="s">
        <v>13772</v>
      </c>
      <c r="AZ40" s="31" t="s">
        <v>13912</v>
      </c>
      <c r="BA40" s="31" t="s">
        <v>13780</v>
      </c>
      <c r="BB40" s="31" t="s">
        <v>13772</v>
      </c>
      <c r="BC40" s="31" t="s">
        <v>23546</v>
      </c>
      <c r="BD40" s="31" t="s">
        <v>16679</v>
      </c>
      <c r="BE40" s="31" t="s">
        <v>17650</v>
      </c>
      <c r="BF40" s="31" t="s">
        <v>23547</v>
      </c>
      <c r="BG40" s="31" t="s">
        <v>15554</v>
      </c>
      <c r="BH40" s="31" t="s">
        <v>13812</v>
      </c>
      <c r="BI40" s="31" t="s">
        <v>23548</v>
      </c>
      <c r="BJ40" s="31" t="s">
        <v>23549</v>
      </c>
      <c r="BK40" s="31" t="s">
        <v>23550</v>
      </c>
      <c r="BL40" s="31" t="s">
        <v>13772</v>
      </c>
      <c r="BM40" s="31" t="s">
        <v>23551</v>
      </c>
    </row>
    <row r="41" spans="1:65">
      <c r="A41">
        <v>1967</v>
      </c>
      <c r="B41">
        <v>1</v>
      </c>
      <c r="C41">
        <v>36</v>
      </c>
      <c r="D41" t="s">
        <v>4636</v>
      </c>
      <c r="E41" t="s">
        <v>73</v>
      </c>
      <c r="F41" t="s">
        <v>73</v>
      </c>
      <c r="G41">
        <v>52.9</v>
      </c>
      <c r="H41">
        <v>777</v>
      </c>
      <c r="I41">
        <v>84022</v>
      </c>
      <c r="J41" t="s">
        <v>4637</v>
      </c>
      <c r="K41" s="3" t="s">
        <v>73</v>
      </c>
      <c r="L41">
        <v>1074</v>
      </c>
      <c r="M41">
        <v>1074</v>
      </c>
      <c r="N41">
        <v>1</v>
      </c>
      <c r="O41" s="11">
        <f t="shared" si="0"/>
        <v>58.527517825433982</v>
      </c>
      <c r="P41" s="36">
        <v>52.100666020893399</v>
      </c>
      <c r="Q41" s="36">
        <v>32.744180103033202</v>
      </c>
      <c r="R41" s="36">
        <v>57.628715825241301</v>
      </c>
      <c r="S41" s="36">
        <v>6.0476870366129196</v>
      </c>
      <c r="T41" s="36">
        <v>14.6229981189272</v>
      </c>
      <c r="U41" s="36">
        <v>71.588997991240802</v>
      </c>
      <c r="V41" s="36">
        <v>67.459986103337002</v>
      </c>
      <c r="W41" s="36">
        <v>116.78203175787699</v>
      </c>
      <c r="X41" s="37">
        <v>68.3492132190663</v>
      </c>
      <c r="Y41" s="37">
        <v>73.786008685929403</v>
      </c>
      <c r="Z41" s="37">
        <v>67.204565254456796</v>
      </c>
      <c r="AA41" s="37">
        <v>62.644481448395602</v>
      </c>
      <c r="AB41" s="37">
        <v>43.183250593310397</v>
      </c>
      <c r="AC41" s="37">
        <v>38.670337948871101</v>
      </c>
      <c r="AD41" s="37">
        <v>87.495322776020501</v>
      </c>
      <c r="AE41" s="37">
        <v>76.131842323730794</v>
      </c>
      <c r="AF41" s="45">
        <v>0.29813621141109797</v>
      </c>
      <c r="AG41" s="45">
        <v>1.2350729696962801</v>
      </c>
      <c r="AH41" s="46">
        <v>0.47466245999533901</v>
      </c>
      <c r="AI41" s="47">
        <v>0.55508762841009396</v>
      </c>
      <c r="AJ41" s="48">
        <v>52.371907869645298</v>
      </c>
      <c r="AK41" s="49">
        <v>64.683127781222595</v>
      </c>
      <c r="AL41" s="31" t="s">
        <v>5874</v>
      </c>
      <c r="AM41" s="31" t="s">
        <v>5832</v>
      </c>
      <c r="AN41" s="31" t="s">
        <v>32635</v>
      </c>
      <c r="AO41" s="31" t="s">
        <v>32636</v>
      </c>
      <c r="AP41" s="31" t="s">
        <v>32637</v>
      </c>
      <c r="AQ41" s="31" t="s">
        <v>32638</v>
      </c>
      <c r="AR41" s="31" t="s">
        <v>32639</v>
      </c>
      <c r="AS41" s="31" t="str">
        <f>"GSN"</f>
        <v>GSN</v>
      </c>
      <c r="AT41" s="31" t="s">
        <v>13772</v>
      </c>
      <c r="AU41" s="31" t="s">
        <v>13777</v>
      </c>
      <c r="AV41" s="31">
        <v>9606</v>
      </c>
      <c r="AW41" s="50" t="str">
        <f>HYPERLINK("http://www.uniprot.org/uniprot/P06396", "P06396")</f>
        <v>P06396</v>
      </c>
      <c r="AX41" s="31" t="s">
        <v>32640</v>
      </c>
      <c r="AY41" s="31" t="s">
        <v>21905</v>
      </c>
      <c r="AZ41" s="31" t="s">
        <v>32641</v>
      </c>
      <c r="BA41" s="31" t="s">
        <v>19227</v>
      </c>
      <c r="BB41" s="31" t="s">
        <v>13772</v>
      </c>
      <c r="BC41" s="31" t="s">
        <v>29155</v>
      </c>
      <c r="BD41" s="31" t="s">
        <v>14404</v>
      </c>
      <c r="BE41" s="31" t="s">
        <v>13873</v>
      </c>
      <c r="BF41" s="31" t="s">
        <v>14589</v>
      </c>
      <c r="BG41" s="31" t="s">
        <v>15256</v>
      </c>
      <c r="BH41" s="31" t="s">
        <v>13812</v>
      </c>
      <c r="BI41" s="31" t="s">
        <v>32642</v>
      </c>
      <c r="BJ41" s="31" t="s">
        <v>32643</v>
      </c>
      <c r="BK41" s="31" t="s">
        <v>32644</v>
      </c>
      <c r="BL41" s="31" t="s">
        <v>13772</v>
      </c>
      <c r="BM41" s="31" t="s">
        <v>32645</v>
      </c>
    </row>
    <row r="42" spans="1:65">
      <c r="A42">
        <v>808</v>
      </c>
      <c r="B42">
        <v>1</v>
      </c>
      <c r="C42">
        <v>37</v>
      </c>
      <c r="D42" t="s">
        <v>1981</v>
      </c>
      <c r="E42" t="s">
        <v>1982</v>
      </c>
      <c r="F42" t="s">
        <v>73</v>
      </c>
      <c r="G42">
        <v>70.099999999999994</v>
      </c>
      <c r="H42">
        <v>364</v>
      </c>
      <c r="I42">
        <v>38777</v>
      </c>
      <c r="J42" t="s">
        <v>1983</v>
      </c>
      <c r="K42" s="3">
        <v>20</v>
      </c>
      <c r="L42">
        <v>1046</v>
      </c>
      <c r="M42">
        <v>1046</v>
      </c>
      <c r="N42">
        <v>1</v>
      </c>
      <c r="O42" s="11">
        <f t="shared" si="0"/>
        <v>65.113409896585736</v>
      </c>
      <c r="P42" s="36">
        <v>153.87871127101101</v>
      </c>
      <c r="Q42" s="36">
        <v>85.712706740292802</v>
      </c>
      <c r="R42" s="36">
        <v>126.463015283168</v>
      </c>
      <c r="S42" s="36">
        <v>72.572244439355003</v>
      </c>
      <c r="T42" s="36">
        <v>43.868994356781499</v>
      </c>
      <c r="U42" s="36">
        <v>39.048544358858599</v>
      </c>
      <c r="V42" s="36">
        <v>72.730297517660205</v>
      </c>
      <c r="W42" s="36">
        <v>26.275957145522302</v>
      </c>
      <c r="X42" s="37">
        <v>35.7641231960231</v>
      </c>
      <c r="Y42" s="37">
        <v>30.271183050637699</v>
      </c>
      <c r="Z42" s="37">
        <v>36.002445672030397</v>
      </c>
      <c r="AA42" s="37">
        <v>66.030669634795402</v>
      </c>
      <c r="AB42" s="37">
        <v>28.4825695402685</v>
      </c>
      <c r="AC42" s="37">
        <v>41.0379096600265</v>
      </c>
      <c r="AD42" s="37">
        <v>60.341601914496898</v>
      </c>
      <c r="AE42" s="37">
        <v>123.333584564444</v>
      </c>
      <c r="AF42" s="45">
        <v>-0.56490132002193905</v>
      </c>
      <c r="AG42" s="45">
        <v>-1.4730675837787099</v>
      </c>
      <c r="AH42" s="46">
        <v>0.16403575565978201</v>
      </c>
      <c r="AI42" s="47">
        <v>0.21991968043365501</v>
      </c>
      <c r="AJ42" s="48">
        <v>77.568808889081197</v>
      </c>
      <c r="AK42" s="49">
        <v>52.658010904090297</v>
      </c>
      <c r="AL42" s="31" t="s">
        <v>5875</v>
      </c>
      <c r="AM42" s="31" t="s">
        <v>5832</v>
      </c>
      <c r="AN42" s="31" t="s">
        <v>21760</v>
      </c>
      <c r="AO42" s="31" t="s">
        <v>21761</v>
      </c>
      <c r="AP42" s="31" t="s">
        <v>21762</v>
      </c>
      <c r="AQ42" s="31" t="s">
        <v>21763</v>
      </c>
      <c r="AR42" s="31" t="s">
        <v>21764</v>
      </c>
      <c r="AS42" s="31" t="str">
        <f>"AHSG"</f>
        <v>AHSG</v>
      </c>
      <c r="AT42" s="31" t="s">
        <v>21765</v>
      </c>
      <c r="AU42" s="31" t="s">
        <v>13777</v>
      </c>
      <c r="AV42" s="31">
        <v>9606</v>
      </c>
      <c r="AW42" s="50" t="str">
        <f>HYPERLINK("http://www.uniprot.org/uniprot/P02765", "P02765")</f>
        <v>P02765</v>
      </c>
      <c r="AX42" s="31" t="s">
        <v>21766</v>
      </c>
      <c r="AY42" s="31" t="s">
        <v>21767</v>
      </c>
      <c r="AZ42" s="31" t="s">
        <v>14321</v>
      </c>
      <c r="BA42" s="31" t="s">
        <v>13793</v>
      </c>
      <c r="BB42" s="31" t="s">
        <v>13772</v>
      </c>
      <c r="BC42" s="31" t="s">
        <v>21768</v>
      </c>
      <c r="BD42" s="31" t="s">
        <v>14404</v>
      </c>
      <c r="BE42" s="31" t="s">
        <v>13772</v>
      </c>
      <c r="BF42" s="31" t="s">
        <v>13772</v>
      </c>
      <c r="BG42" s="31" t="s">
        <v>13964</v>
      </c>
      <c r="BH42" s="31" t="s">
        <v>13772</v>
      </c>
      <c r="BI42" s="31" t="s">
        <v>21769</v>
      </c>
      <c r="BJ42" s="31" t="s">
        <v>21770</v>
      </c>
      <c r="BK42" s="31" t="s">
        <v>21771</v>
      </c>
      <c r="BL42" s="31" t="s">
        <v>13772</v>
      </c>
      <c r="BM42" s="31" t="s">
        <v>21772</v>
      </c>
    </row>
    <row r="43" spans="1:65">
      <c r="A43">
        <v>1806</v>
      </c>
      <c r="B43">
        <v>1</v>
      </c>
      <c r="C43">
        <v>38</v>
      </c>
      <c r="D43" t="s">
        <v>4269</v>
      </c>
      <c r="E43" t="s">
        <v>4270</v>
      </c>
      <c r="F43" t="s">
        <v>73</v>
      </c>
      <c r="G43">
        <v>80</v>
      </c>
      <c r="H43">
        <v>375</v>
      </c>
      <c r="I43">
        <v>41736</v>
      </c>
      <c r="J43" t="s">
        <v>4271</v>
      </c>
      <c r="K43" s="3" t="s">
        <v>5824</v>
      </c>
      <c r="L43">
        <v>1243</v>
      </c>
      <c r="M43">
        <v>536</v>
      </c>
      <c r="N43">
        <v>0.43099999999999999</v>
      </c>
      <c r="O43" s="11">
        <f t="shared" si="0"/>
        <v>55.718905447685707</v>
      </c>
      <c r="P43" s="36">
        <v>40.1053964021295</v>
      </c>
      <c r="Q43" s="36">
        <v>45.649239320111</v>
      </c>
      <c r="R43" s="36">
        <v>28.974437678801898</v>
      </c>
      <c r="S43" s="36">
        <v>53.824414625854999</v>
      </c>
      <c r="T43" s="36">
        <v>73.545078774604306</v>
      </c>
      <c r="U43" s="36">
        <v>57.364171117656603</v>
      </c>
      <c r="V43" s="36">
        <v>33.940805508241397</v>
      </c>
      <c r="W43" s="36">
        <v>42.528123231826797</v>
      </c>
      <c r="X43" s="37">
        <v>72.323004685291096</v>
      </c>
      <c r="Y43" s="37">
        <v>67.038057464224806</v>
      </c>
      <c r="Z43" s="37">
        <v>72.564929387847997</v>
      </c>
      <c r="AA43" s="37">
        <v>90.157260462893703</v>
      </c>
      <c r="AB43" s="37">
        <v>55.2194332054884</v>
      </c>
      <c r="AC43" s="37">
        <v>51.770901417264199</v>
      </c>
      <c r="AD43" s="37">
        <v>58.2296458474895</v>
      </c>
      <c r="AE43" s="37">
        <v>48.267588033245303</v>
      </c>
      <c r="AF43" s="45">
        <v>0.451942474914516</v>
      </c>
      <c r="AG43" s="45">
        <v>1.37144823442367</v>
      </c>
      <c r="AH43" s="46">
        <v>8.9068350476708996E-2</v>
      </c>
      <c r="AI43" s="47">
        <v>0.12786851173587599</v>
      </c>
      <c r="AJ43" s="48">
        <v>46.991458332403298</v>
      </c>
      <c r="AK43" s="49">
        <v>64.446352562968102</v>
      </c>
      <c r="AL43" s="31" t="s">
        <v>5874</v>
      </c>
      <c r="AM43" s="31" t="s">
        <v>5832</v>
      </c>
      <c r="AN43" s="31" t="s">
        <v>31140</v>
      </c>
      <c r="AO43" s="31" t="s">
        <v>31141</v>
      </c>
      <c r="AP43" s="31" t="s">
        <v>31142</v>
      </c>
      <c r="AQ43" s="31" t="s">
        <v>31143</v>
      </c>
      <c r="AR43" s="31" t="s">
        <v>31144</v>
      </c>
      <c r="AS43" s="31" t="str">
        <f>"ACTB"</f>
        <v>ACTB</v>
      </c>
      <c r="AT43" s="31" t="s">
        <v>13772</v>
      </c>
      <c r="AU43" s="31" t="s">
        <v>13777</v>
      </c>
      <c r="AV43" s="31">
        <v>9606</v>
      </c>
      <c r="AW43" s="50" t="str">
        <f>HYPERLINK("http://www.uniprot.org/uniprot/P60709", "P60709")</f>
        <v>P60709</v>
      </c>
      <c r="AX43" s="31" t="s">
        <v>31145</v>
      </c>
      <c r="AY43" s="31" t="s">
        <v>13772</v>
      </c>
      <c r="AZ43" s="31" t="s">
        <v>15843</v>
      </c>
      <c r="BA43" s="31" t="s">
        <v>13793</v>
      </c>
      <c r="BB43" s="31" t="s">
        <v>13772</v>
      </c>
      <c r="BC43" s="31" t="s">
        <v>31146</v>
      </c>
      <c r="BD43" s="31" t="s">
        <v>13772</v>
      </c>
      <c r="BE43" s="31" t="s">
        <v>14005</v>
      </c>
      <c r="BF43" s="31" t="s">
        <v>13772</v>
      </c>
      <c r="BG43" s="31" t="s">
        <v>31147</v>
      </c>
      <c r="BH43" s="31" t="s">
        <v>13812</v>
      </c>
      <c r="BI43" s="31" t="s">
        <v>31148</v>
      </c>
      <c r="BJ43" s="31" t="s">
        <v>31149</v>
      </c>
      <c r="BK43" s="31" t="s">
        <v>31150</v>
      </c>
      <c r="BL43" s="31" t="s">
        <v>13772</v>
      </c>
      <c r="BM43" s="31" t="s">
        <v>31151</v>
      </c>
    </row>
    <row r="44" spans="1:65">
      <c r="A44">
        <v>1862</v>
      </c>
      <c r="B44">
        <v>1</v>
      </c>
      <c r="C44">
        <v>39</v>
      </c>
      <c r="D44" t="s">
        <v>4401</v>
      </c>
      <c r="E44" t="s">
        <v>73</v>
      </c>
      <c r="F44" t="s">
        <v>73</v>
      </c>
      <c r="G44">
        <v>64.7</v>
      </c>
      <c r="H44">
        <v>465</v>
      </c>
      <c r="I44">
        <v>52661</v>
      </c>
      <c r="J44" t="s">
        <v>4402</v>
      </c>
      <c r="K44" s="3" t="s">
        <v>73</v>
      </c>
      <c r="L44">
        <v>1011</v>
      </c>
      <c r="M44">
        <v>1011</v>
      </c>
      <c r="N44">
        <v>1</v>
      </c>
      <c r="O44" s="11">
        <f t="shared" si="0"/>
        <v>55.427826478443563</v>
      </c>
      <c r="P44" s="36">
        <v>88.449967895935202</v>
      </c>
      <c r="Q44" s="36">
        <v>41.411757189130199</v>
      </c>
      <c r="R44" s="36">
        <v>49.624727516180002</v>
      </c>
      <c r="S44" s="36">
        <v>18.143061109838801</v>
      </c>
      <c r="T44" s="36">
        <v>12.9026453990534</v>
      </c>
      <c r="U44" s="36">
        <v>34.399908125661199</v>
      </c>
      <c r="V44" s="36">
        <v>117.000913397975</v>
      </c>
      <c r="W44" s="36">
        <v>132.35296932559399</v>
      </c>
      <c r="X44" s="37">
        <v>30.2008151433084</v>
      </c>
      <c r="Y44" s="37">
        <v>30.271183050637699</v>
      </c>
      <c r="Z44" s="37">
        <v>40.802771761634503</v>
      </c>
      <c r="AA44" s="37">
        <v>46.560087562996699</v>
      </c>
      <c r="AB44" s="37">
        <v>44.1020431591255</v>
      </c>
      <c r="AC44" s="37">
        <v>32.356813385790097</v>
      </c>
      <c r="AD44" s="37">
        <v>79.952622536708404</v>
      </c>
      <c r="AE44" s="37">
        <v>88.312937095527801</v>
      </c>
      <c r="AF44" s="45">
        <v>-0.34398550929737198</v>
      </c>
      <c r="AG44" s="45">
        <v>-1.2591371114632901</v>
      </c>
      <c r="AH44" s="46">
        <v>0.44957039090544698</v>
      </c>
      <c r="AI44" s="47">
        <v>0.53232317082432601</v>
      </c>
      <c r="AJ44" s="48">
        <v>61.7857437449209</v>
      </c>
      <c r="AK44" s="49">
        <v>49.069909211966099</v>
      </c>
      <c r="AL44" s="31" t="s">
        <v>5875</v>
      </c>
      <c r="AM44" s="31" t="s">
        <v>5832</v>
      </c>
      <c r="AN44" s="31" t="s">
        <v>31690</v>
      </c>
      <c r="AO44" s="31" t="s">
        <v>31691</v>
      </c>
      <c r="AP44" s="31" t="s">
        <v>31692</v>
      </c>
      <c r="AQ44" s="31" t="s">
        <v>31693</v>
      </c>
      <c r="AR44" s="31" t="s">
        <v>31694</v>
      </c>
      <c r="AS44" s="31" t="str">
        <f>"SERPINC1"</f>
        <v>SERPINC1</v>
      </c>
      <c r="AT44" s="31" t="s">
        <v>31695</v>
      </c>
      <c r="AU44" s="31" t="s">
        <v>13777</v>
      </c>
      <c r="AV44" s="31">
        <v>9606</v>
      </c>
      <c r="AW44" s="50" t="str">
        <f>HYPERLINK("http://www.uniprot.org/uniprot/P01008", "P01008")</f>
        <v>P01008</v>
      </c>
      <c r="AX44" s="31" t="s">
        <v>31696</v>
      </c>
      <c r="AY44" s="31" t="s">
        <v>16755</v>
      </c>
      <c r="AZ44" s="31" t="s">
        <v>14321</v>
      </c>
      <c r="BA44" s="31" t="s">
        <v>13793</v>
      </c>
      <c r="BB44" s="31" t="s">
        <v>13772</v>
      </c>
      <c r="BC44" s="31" t="s">
        <v>17445</v>
      </c>
      <c r="BD44" s="31" t="s">
        <v>13808</v>
      </c>
      <c r="BE44" s="31" t="s">
        <v>13772</v>
      </c>
      <c r="BF44" s="31" t="s">
        <v>14691</v>
      </c>
      <c r="BG44" s="31" t="s">
        <v>13964</v>
      </c>
      <c r="BH44" s="31" t="s">
        <v>13812</v>
      </c>
      <c r="BI44" s="31" t="s">
        <v>31697</v>
      </c>
      <c r="BJ44" s="31" t="s">
        <v>31698</v>
      </c>
      <c r="BK44" s="31" t="s">
        <v>31699</v>
      </c>
      <c r="BL44" s="31" t="s">
        <v>13772</v>
      </c>
      <c r="BM44" s="31" t="s">
        <v>17450</v>
      </c>
    </row>
    <row r="45" spans="1:65">
      <c r="A45">
        <v>506</v>
      </c>
      <c r="B45">
        <v>1</v>
      </c>
      <c r="C45">
        <v>40</v>
      </c>
      <c r="D45" t="s">
        <v>1276</v>
      </c>
      <c r="E45" t="s">
        <v>73</v>
      </c>
      <c r="F45" t="s">
        <v>73</v>
      </c>
      <c r="G45">
        <v>70</v>
      </c>
      <c r="H45">
        <v>6009</v>
      </c>
      <c r="I45">
        <v>642280</v>
      </c>
      <c r="J45" t="s">
        <v>1277</v>
      </c>
      <c r="K45" s="3" t="s">
        <v>73</v>
      </c>
      <c r="L45">
        <v>991</v>
      </c>
      <c r="M45">
        <v>991</v>
      </c>
      <c r="N45">
        <v>1</v>
      </c>
      <c r="O45" s="11">
        <f t="shared" si="0"/>
        <v>52.71859504035509</v>
      </c>
      <c r="P45" s="36">
        <v>9.6931471666778304</v>
      </c>
      <c r="Q45" s="36">
        <v>8.6675770860970207</v>
      </c>
      <c r="R45" s="36">
        <v>14.4071789563103</v>
      </c>
      <c r="S45" s="36">
        <v>10.5834523140726</v>
      </c>
      <c r="T45" s="36">
        <v>6.8814108794951396</v>
      </c>
      <c r="U45" s="36">
        <v>15.805363192871299</v>
      </c>
      <c r="V45" s="36">
        <v>7.3784359800524904</v>
      </c>
      <c r="W45" s="36">
        <v>23.356406351575298</v>
      </c>
      <c r="X45" s="37">
        <v>108.087127881314</v>
      </c>
      <c r="Y45" s="37">
        <v>131.805776199652</v>
      </c>
      <c r="Z45" s="37">
        <v>97.606630488615806</v>
      </c>
      <c r="AA45" s="37">
        <v>80.421969426994394</v>
      </c>
      <c r="AB45" s="37">
        <v>106.579937634553</v>
      </c>
      <c r="AC45" s="37">
        <v>96.281249586985197</v>
      </c>
      <c r="AD45" s="37">
        <v>46.764741483735101</v>
      </c>
      <c r="AE45" s="37">
        <v>79.177116016680102</v>
      </c>
      <c r="AF45" s="45">
        <v>2.9417478856452801</v>
      </c>
      <c r="AG45" s="45">
        <v>7.7162510755652196</v>
      </c>
      <c r="AH45" s="46">
        <v>1.7467203628377501E-18</v>
      </c>
      <c r="AI45" s="47">
        <v>2.3371118454769101E-16</v>
      </c>
      <c r="AJ45" s="48">
        <v>12.096621490894</v>
      </c>
      <c r="AK45" s="49">
        <v>93.340568589816201</v>
      </c>
      <c r="AL45" s="31" t="s">
        <v>5874</v>
      </c>
      <c r="AM45" s="31" t="s">
        <v>5876</v>
      </c>
      <c r="AN45" s="31" t="s">
        <v>18774</v>
      </c>
      <c r="AO45" s="31" t="s">
        <v>18775</v>
      </c>
      <c r="AP45" s="31" t="s">
        <v>18776</v>
      </c>
      <c r="AQ45" s="31" t="s">
        <v>18777</v>
      </c>
      <c r="AR45" s="31" t="s">
        <v>18778</v>
      </c>
      <c r="AS45" s="31" t="str">
        <f>"AHNAK"</f>
        <v>AHNAK</v>
      </c>
      <c r="AT45" s="31" t="s">
        <v>18779</v>
      </c>
      <c r="AU45" s="31" t="s">
        <v>13777</v>
      </c>
      <c r="AV45" s="31">
        <v>9606</v>
      </c>
      <c r="AW45" s="50" t="str">
        <f>HYPERLINK("http://www.uniprot.org/uniprot/Q09666", "Q09666")</f>
        <v>Q09666</v>
      </c>
      <c r="AX45" s="31" t="s">
        <v>18780</v>
      </c>
      <c r="AY45" s="31" t="s">
        <v>13772</v>
      </c>
      <c r="AZ45" s="31" t="s">
        <v>14825</v>
      </c>
      <c r="BA45" s="31" t="s">
        <v>13780</v>
      </c>
      <c r="BB45" s="31" t="s">
        <v>13772</v>
      </c>
      <c r="BC45" s="31" t="s">
        <v>13772</v>
      </c>
      <c r="BD45" s="31" t="s">
        <v>14096</v>
      </c>
      <c r="BE45" s="31" t="s">
        <v>13772</v>
      </c>
      <c r="BF45" s="31" t="s">
        <v>13772</v>
      </c>
      <c r="BG45" s="31" t="s">
        <v>14663</v>
      </c>
      <c r="BH45" s="31" t="s">
        <v>13812</v>
      </c>
      <c r="BI45" s="31" t="s">
        <v>18781</v>
      </c>
      <c r="BJ45" s="31" t="s">
        <v>18782</v>
      </c>
      <c r="BK45" s="31" t="s">
        <v>18783</v>
      </c>
      <c r="BL45" s="31" t="s">
        <v>13772</v>
      </c>
      <c r="BM45" s="31" t="s">
        <v>13772</v>
      </c>
    </row>
    <row r="46" spans="1:65">
      <c r="A46">
        <v>1784</v>
      </c>
      <c r="B46">
        <v>1</v>
      </c>
      <c r="C46">
        <v>41</v>
      </c>
      <c r="D46" t="s">
        <v>4219</v>
      </c>
      <c r="E46" t="s">
        <v>73</v>
      </c>
      <c r="F46" t="s">
        <v>73</v>
      </c>
      <c r="G46">
        <v>59.8</v>
      </c>
      <c r="H46">
        <v>895</v>
      </c>
      <c r="I46">
        <v>102042</v>
      </c>
      <c r="J46" t="s">
        <v>4220</v>
      </c>
      <c r="K46" s="3" t="s">
        <v>73</v>
      </c>
      <c r="L46">
        <v>1021</v>
      </c>
      <c r="M46">
        <v>937</v>
      </c>
      <c r="N46">
        <v>0.91800000000000004</v>
      </c>
      <c r="O46" s="11">
        <f t="shared" si="0"/>
        <v>49.942829119432126</v>
      </c>
      <c r="P46" s="36">
        <v>36.712794893792299</v>
      </c>
      <c r="Q46" s="36">
        <v>44.878788023569001</v>
      </c>
      <c r="R46" s="36">
        <v>58.2690348899662</v>
      </c>
      <c r="S46" s="36">
        <v>88.749807262294595</v>
      </c>
      <c r="T46" s="36">
        <v>48.8580172444155</v>
      </c>
      <c r="U46" s="36">
        <v>30.959917313095101</v>
      </c>
      <c r="V46" s="36">
        <v>41.5300539448668</v>
      </c>
      <c r="W46" s="36">
        <v>26.567912224916999</v>
      </c>
      <c r="X46" s="37">
        <v>33.459324145612698</v>
      </c>
      <c r="Y46" s="37">
        <v>12.8021878318322</v>
      </c>
      <c r="Z46" s="37">
        <v>24.7216793614609</v>
      </c>
      <c r="AA46" s="37">
        <v>61.543970287815696</v>
      </c>
      <c r="AB46" s="37">
        <v>67.347495074247902</v>
      </c>
      <c r="AC46" s="37">
        <v>41.195747774103502</v>
      </c>
      <c r="AD46" s="37">
        <v>82.517140618074507</v>
      </c>
      <c r="AE46" s="37">
        <v>98.971395020850096</v>
      </c>
      <c r="AF46" s="45">
        <v>0.158987142871856</v>
      </c>
      <c r="AG46" s="45">
        <v>1.1222560314199901</v>
      </c>
      <c r="AH46" s="46">
        <v>0.67915739087425897</v>
      </c>
      <c r="AI46" s="47">
        <v>0.74863260614146798</v>
      </c>
      <c r="AJ46" s="48">
        <v>47.065790724614601</v>
      </c>
      <c r="AK46" s="49">
        <v>52.819867514249701</v>
      </c>
      <c r="AL46" s="31" t="s">
        <v>5874</v>
      </c>
      <c r="AM46" s="31" t="s">
        <v>5832</v>
      </c>
      <c r="AN46" s="31" t="s">
        <v>30908</v>
      </c>
      <c r="AO46" s="31" t="s">
        <v>30909</v>
      </c>
      <c r="AP46" s="31" t="s">
        <v>30910</v>
      </c>
      <c r="AQ46" s="31" t="s">
        <v>30911</v>
      </c>
      <c r="AR46" s="31" t="s">
        <v>30912</v>
      </c>
      <c r="AS46" s="31" t="str">
        <f>"CFH"</f>
        <v>CFH</v>
      </c>
      <c r="AT46" s="31" t="s">
        <v>30913</v>
      </c>
      <c r="AU46" s="31" t="s">
        <v>13777</v>
      </c>
      <c r="AV46" s="31">
        <v>9606</v>
      </c>
      <c r="AW46" s="50" t="str">
        <f>HYPERLINK("http://www.uniprot.org/uniprot/P08603", "P08603")</f>
        <v>P08603</v>
      </c>
      <c r="AX46" s="31" t="s">
        <v>30914</v>
      </c>
      <c r="AY46" s="31" t="s">
        <v>30915</v>
      </c>
      <c r="AZ46" s="31" t="s">
        <v>14321</v>
      </c>
      <c r="BA46" s="31" t="s">
        <v>13780</v>
      </c>
      <c r="BB46" s="31" t="s">
        <v>13772</v>
      </c>
      <c r="BC46" s="31" t="s">
        <v>21037</v>
      </c>
      <c r="BD46" s="31" t="s">
        <v>28012</v>
      </c>
      <c r="BE46" s="31" t="s">
        <v>13772</v>
      </c>
      <c r="BF46" s="31" t="s">
        <v>13772</v>
      </c>
      <c r="BG46" s="31" t="s">
        <v>13796</v>
      </c>
      <c r="BH46" s="31" t="s">
        <v>13812</v>
      </c>
      <c r="BI46" s="31" t="s">
        <v>30916</v>
      </c>
      <c r="BJ46" s="31" t="s">
        <v>24704</v>
      </c>
      <c r="BK46" s="31" t="s">
        <v>30917</v>
      </c>
      <c r="BL46" s="31" t="s">
        <v>13772</v>
      </c>
      <c r="BM46" s="31" t="s">
        <v>22277</v>
      </c>
    </row>
    <row r="47" spans="1:65">
      <c r="A47">
        <v>1931</v>
      </c>
      <c r="B47">
        <v>1</v>
      </c>
      <c r="C47">
        <v>42</v>
      </c>
      <c r="D47" t="s">
        <v>4548</v>
      </c>
      <c r="E47" t="s">
        <v>73</v>
      </c>
      <c r="F47" t="s">
        <v>73</v>
      </c>
      <c r="G47">
        <v>83.5</v>
      </c>
      <c r="H47">
        <v>206</v>
      </c>
      <c r="I47">
        <v>23311</v>
      </c>
      <c r="J47" t="s">
        <v>4549</v>
      </c>
      <c r="K47" s="3" t="s">
        <v>73</v>
      </c>
      <c r="L47">
        <v>965</v>
      </c>
      <c r="M47">
        <v>965</v>
      </c>
      <c r="N47">
        <v>1</v>
      </c>
      <c r="O47" s="11">
        <f t="shared" si="0"/>
        <v>53.327652428262333</v>
      </c>
      <c r="P47" s="36">
        <v>119.952696187638</v>
      </c>
      <c r="Q47" s="36">
        <v>20.224346534226399</v>
      </c>
      <c r="R47" s="36">
        <v>27.213560250808399</v>
      </c>
      <c r="S47" s="36">
        <v>16.631139350685501</v>
      </c>
      <c r="T47" s="36">
        <v>6.8814108794951396</v>
      </c>
      <c r="U47" s="36">
        <v>13.0161814529529</v>
      </c>
      <c r="V47" s="36">
        <v>78.000608931983393</v>
      </c>
      <c r="W47" s="36">
        <v>59.364199476920703</v>
      </c>
      <c r="X47" s="37">
        <v>101.729061535355</v>
      </c>
      <c r="Y47" s="37">
        <v>35.316380225743998</v>
      </c>
      <c r="Z47" s="37">
        <v>55.203750030446599</v>
      </c>
      <c r="AA47" s="37">
        <v>57.565199168795999</v>
      </c>
      <c r="AB47" s="37">
        <v>33.995324935159204</v>
      </c>
      <c r="AC47" s="37">
        <v>52.086577645418203</v>
      </c>
      <c r="AD47" s="37">
        <v>60.341601914496898</v>
      </c>
      <c r="AE47" s="37">
        <v>115.72040033207099</v>
      </c>
      <c r="AF47" s="45">
        <v>0.580966067214016</v>
      </c>
      <c r="AG47" s="45">
        <v>1.5000940014093</v>
      </c>
      <c r="AH47" s="46">
        <v>0.23564096661772599</v>
      </c>
      <c r="AI47" s="47">
        <v>0.30551125323112199</v>
      </c>
      <c r="AJ47" s="48">
        <v>42.660517883088801</v>
      </c>
      <c r="AK47" s="49">
        <v>63.994786973435801</v>
      </c>
      <c r="AL47" s="31" t="s">
        <v>5874</v>
      </c>
      <c r="AM47" s="31" t="s">
        <v>5832</v>
      </c>
      <c r="AN47" s="31" t="s">
        <v>32288</v>
      </c>
      <c r="AO47" s="31" t="s">
        <v>32289</v>
      </c>
      <c r="AP47" s="31" t="s">
        <v>32290</v>
      </c>
      <c r="AQ47" s="31" t="s">
        <v>32291</v>
      </c>
      <c r="AR47" s="31" t="s">
        <v>32292</v>
      </c>
      <c r="AS47" s="31" t="str">
        <f>"ORM1"</f>
        <v>ORM1</v>
      </c>
      <c r="AT47" s="31" t="s">
        <v>32293</v>
      </c>
      <c r="AU47" s="31" t="s">
        <v>13777</v>
      </c>
      <c r="AV47" s="31">
        <v>9606</v>
      </c>
      <c r="AW47" s="50" t="str">
        <f>HYPERLINK("http://www.uniprot.org/uniprot/P02763", "P02763")</f>
        <v>P02763</v>
      </c>
      <c r="AX47" s="31" t="s">
        <v>32294</v>
      </c>
      <c r="AY47" s="31" t="s">
        <v>32295</v>
      </c>
      <c r="AZ47" s="31" t="s">
        <v>14321</v>
      </c>
      <c r="BA47" s="31" t="s">
        <v>13793</v>
      </c>
      <c r="BB47" s="31" t="s">
        <v>13772</v>
      </c>
      <c r="BC47" s="31" t="s">
        <v>13772</v>
      </c>
      <c r="BD47" s="31" t="s">
        <v>13808</v>
      </c>
      <c r="BE47" s="31" t="s">
        <v>13772</v>
      </c>
      <c r="BF47" s="31" t="s">
        <v>13772</v>
      </c>
      <c r="BG47" s="31" t="s">
        <v>16701</v>
      </c>
      <c r="BH47" s="31" t="s">
        <v>13812</v>
      </c>
      <c r="BI47" s="31" t="s">
        <v>32296</v>
      </c>
      <c r="BJ47" s="31" t="s">
        <v>32297</v>
      </c>
      <c r="BK47" s="31" t="s">
        <v>13772</v>
      </c>
      <c r="BL47" s="31" t="s">
        <v>13772</v>
      </c>
      <c r="BM47" s="31" t="s">
        <v>14706</v>
      </c>
    </row>
    <row r="48" spans="1:65">
      <c r="A48">
        <v>1083</v>
      </c>
      <c r="B48">
        <v>1</v>
      </c>
      <c r="C48">
        <v>43</v>
      </c>
      <c r="D48" t="s">
        <v>2605</v>
      </c>
      <c r="E48" t="s">
        <v>2606</v>
      </c>
      <c r="F48" t="s">
        <v>73</v>
      </c>
      <c r="G48">
        <v>60.3</v>
      </c>
      <c r="H48">
        <v>527</v>
      </c>
      <c r="I48">
        <v>58185</v>
      </c>
      <c r="J48" t="s">
        <v>2607</v>
      </c>
      <c r="K48" s="3" t="s">
        <v>73</v>
      </c>
      <c r="L48">
        <v>938</v>
      </c>
      <c r="M48">
        <v>938</v>
      </c>
      <c r="N48">
        <v>1</v>
      </c>
      <c r="O48" s="11">
        <f t="shared" si="0"/>
        <v>59.084085131498227</v>
      </c>
      <c r="P48" s="36">
        <v>66.640386770910098</v>
      </c>
      <c r="Q48" s="36">
        <v>74.155937292163401</v>
      </c>
      <c r="R48" s="36">
        <v>147.273384886728</v>
      </c>
      <c r="S48" s="36">
        <v>107.346444899879</v>
      </c>
      <c r="T48" s="36">
        <v>73.9751669545727</v>
      </c>
      <c r="U48" s="36">
        <v>74.378179731159307</v>
      </c>
      <c r="V48" s="36">
        <v>84.324982629171203</v>
      </c>
      <c r="W48" s="36">
        <v>59.364199476920703</v>
      </c>
      <c r="X48" s="37">
        <v>19.074199037879001</v>
      </c>
      <c r="Y48" s="37">
        <v>27.1179348161963</v>
      </c>
      <c r="Z48" s="37">
        <v>32.802228278961103</v>
      </c>
      <c r="AA48" s="37">
        <v>22.0102232115985</v>
      </c>
      <c r="AB48" s="37">
        <v>42.264458027495202</v>
      </c>
      <c r="AC48" s="37">
        <v>41.827100230411602</v>
      </c>
      <c r="AD48" s="37">
        <v>31.679341005110899</v>
      </c>
      <c r="AE48" s="37">
        <v>41.111194854814599</v>
      </c>
      <c r="AF48" s="45">
        <v>-1.4111050691987199</v>
      </c>
      <c r="AG48" s="45">
        <v>-2.6657394017962699</v>
      </c>
      <c r="AH48" s="46">
        <v>1.1285905791534399E-6</v>
      </c>
      <c r="AI48" s="47">
        <v>5.5516698342180104E-6</v>
      </c>
      <c r="AJ48" s="48">
        <v>85.932335330188096</v>
      </c>
      <c r="AK48" s="49">
        <v>32.235834932808402</v>
      </c>
      <c r="AL48" s="31" t="s">
        <v>5875</v>
      </c>
      <c r="AM48" s="31" t="s">
        <v>5876</v>
      </c>
      <c r="AN48" s="31" t="s">
        <v>24261</v>
      </c>
      <c r="AO48" s="31" t="s">
        <v>24262</v>
      </c>
      <c r="AP48" s="31" t="s">
        <v>24263</v>
      </c>
      <c r="AQ48" s="31" t="s">
        <v>24264</v>
      </c>
      <c r="AR48" s="31" t="s">
        <v>24265</v>
      </c>
      <c r="AS48" s="31" t="str">
        <f>"PSAP"</f>
        <v>PSAP</v>
      </c>
      <c r="AT48" s="31" t="s">
        <v>24266</v>
      </c>
      <c r="AU48" s="31" t="s">
        <v>13777</v>
      </c>
      <c r="AV48" s="31">
        <v>9606</v>
      </c>
      <c r="AW48" s="50" t="str">
        <f>HYPERLINK("http://www.uniprot.org/uniprot/P07602", "P07602")</f>
        <v>P07602</v>
      </c>
      <c r="AX48" s="31" t="s">
        <v>24267</v>
      </c>
      <c r="AY48" s="31" t="s">
        <v>18297</v>
      </c>
      <c r="AZ48" s="31" t="s">
        <v>14402</v>
      </c>
      <c r="BA48" s="31" t="s">
        <v>13841</v>
      </c>
      <c r="BB48" s="31" t="s">
        <v>13772</v>
      </c>
      <c r="BC48" s="31" t="s">
        <v>24268</v>
      </c>
      <c r="BD48" s="31" t="s">
        <v>14404</v>
      </c>
      <c r="BE48" s="31" t="s">
        <v>13772</v>
      </c>
      <c r="BF48" s="31" t="s">
        <v>13772</v>
      </c>
      <c r="BG48" s="31" t="s">
        <v>13796</v>
      </c>
      <c r="BH48" s="31" t="s">
        <v>13812</v>
      </c>
      <c r="BI48" s="31" t="s">
        <v>24269</v>
      </c>
      <c r="BJ48" s="31" t="s">
        <v>24270</v>
      </c>
      <c r="BK48" s="31" t="s">
        <v>24271</v>
      </c>
      <c r="BL48" s="31" t="s">
        <v>13772</v>
      </c>
      <c r="BM48" s="31" t="s">
        <v>24272</v>
      </c>
    </row>
    <row r="49" spans="1:65">
      <c r="A49">
        <v>254</v>
      </c>
      <c r="B49">
        <v>1</v>
      </c>
      <c r="C49">
        <v>44</v>
      </c>
      <c r="D49" t="s">
        <v>646</v>
      </c>
      <c r="E49" t="s">
        <v>73</v>
      </c>
      <c r="F49" t="s">
        <v>73</v>
      </c>
      <c r="G49">
        <v>64.099999999999994</v>
      </c>
      <c r="H49">
        <v>153</v>
      </c>
      <c r="I49">
        <v>17119</v>
      </c>
      <c r="J49" t="s">
        <v>647</v>
      </c>
      <c r="K49" s="3" t="s">
        <v>73</v>
      </c>
      <c r="L49">
        <v>925</v>
      </c>
      <c r="M49">
        <v>925</v>
      </c>
      <c r="N49">
        <v>1</v>
      </c>
      <c r="O49" s="11">
        <f t="shared" si="0"/>
        <v>59.281003041927278</v>
      </c>
      <c r="P49" s="36">
        <v>79.968464125092098</v>
      </c>
      <c r="Q49" s="36">
        <v>111.71543799858399</v>
      </c>
      <c r="R49" s="36">
        <v>80.039883090612904</v>
      </c>
      <c r="S49" s="36">
        <v>161.77562822939601</v>
      </c>
      <c r="T49" s="36">
        <v>86.877812353626098</v>
      </c>
      <c r="U49" s="36">
        <v>59.502543784927397</v>
      </c>
      <c r="V49" s="36">
        <v>96.973730023546906</v>
      </c>
      <c r="W49" s="36">
        <v>41.846894713239202</v>
      </c>
      <c r="X49" s="37">
        <v>25.432265383838601</v>
      </c>
      <c r="Y49" s="37">
        <v>22.072737641090001</v>
      </c>
      <c r="Z49" s="37">
        <v>26.4017934928223</v>
      </c>
      <c r="AA49" s="37">
        <v>23.703317304798301</v>
      </c>
      <c r="AB49" s="37">
        <v>17.457058750487199</v>
      </c>
      <c r="AC49" s="37">
        <v>46.562243652722401</v>
      </c>
      <c r="AD49" s="37">
        <v>37.7135011965606</v>
      </c>
      <c r="AE49" s="37">
        <v>30.4527369294923</v>
      </c>
      <c r="AF49" s="45">
        <v>-1.64405705101824</v>
      </c>
      <c r="AG49" s="45">
        <v>-3.12756303571655</v>
      </c>
      <c r="AH49" s="46">
        <v>2.7339001857919202E-7</v>
      </c>
      <c r="AI49" s="47">
        <v>1.57670622784034E-6</v>
      </c>
      <c r="AJ49" s="48">
        <v>89.837549289877998</v>
      </c>
      <c r="AK49" s="49">
        <v>28.724456793976501</v>
      </c>
      <c r="AL49" s="31" t="s">
        <v>5875</v>
      </c>
      <c r="AM49" s="31" t="s">
        <v>5876</v>
      </c>
      <c r="AN49" s="31" t="s">
        <v>16063</v>
      </c>
      <c r="AO49" s="31" t="s">
        <v>13772</v>
      </c>
      <c r="AP49" s="31" t="s">
        <v>16064</v>
      </c>
      <c r="AQ49" s="31" t="s">
        <v>16065</v>
      </c>
      <c r="AR49" s="31" t="s">
        <v>13772</v>
      </c>
      <c r="AS49" s="31" t="str">
        <f>"RNASE6"</f>
        <v>RNASE6</v>
      </c>
      <c r="AT49" s="31" t="s">
        <v>16066</v>
      </c>
      <c r="AU49" s="31" t="s">
        <v>13777</v>
      </c>
      <c r="AV49" s="31">
        <v>9606</v>
      </c>
      <c r="AW49" s="50" t="str">
        <f>HYPERLINK("http://www.uniprot.org/uniprot/Q93091", "Q93091")</f>
        <v>Q93091</v>
      </c>
      <c r="AX49" s="31" t="s">
        <v>16067</v>
      </c>
      <c r="AY49" s="31" t="s">
        <v>13772</v>
      </c>
      <c r="AZ49" s="31" t="s">
        <v>14402</v>
      </c>
      <c r="BA49" s="31" t="s">
        <v>13793</v>
      </c>
      <c r="BB49" s="31" t="s">
        <v>13772</v>
      </c>
      <c r="BC49" s="31" t="s">
        <v>13772</v>
      </c>
      <c r="BD49" s="31" t="s">
        <v>13808</v>
      </c>
      <c r="BE49" s="31" t="s">
        <v>13772</v>
      </c>
      <c r="BF49" s="31" t="s">
        <v>16068</v>
      </c>
      <c r="BG49" s="31" t="s">
        <v>13796</v>
      </c>
      <c r="BH49" s="31" t="s">
        <v>13812</v>
      </c>
      <c r="BI49" s="31" t="s">
        <v>16069</v>
      </c>
      <c r="BJ49" s="31" t="s">
        <v>16070</v>
      </c>
      <c r="BK49" s="31" t="s">
        <v>16071</v>
      </c>
      <c r="BL49" s="31" t="s">
        <v>13772</v>
      </c>
      <c r="BM49" s="31" t="s">
        <v>14470</v>
      </c>
    </row>
    <row r="50" spans="1:65">
      <c r="A50">
        <v>572</v>
      </c>
      <c r="B50">
        <v>1</v>
      </c>
      <c r="C50">
        <v>45</v>
      </c>
      <c r="D50" t="s">
        <v>1424</v>
      </c>
      <c r="E50" t="s">
        <v>73</v>
      </c>
      <c r="F50" t="s">
        <v>73</v>
      </c>
      <c r="G50">
        <v>69.2</v>
      </c>
      <c r="H50">
        <v>91</v>
      </c>
      <c r="I50">
        <v>9791</v>
      </c>
      <c r="J50" t="s">
        <v>1425</v>
      </c>
      <c r="K50" s="3" t="s">
        <v>73</v>
      </c>
      <c r="L50">
        <v>905</v>
      </c>
      <c r="M50">
        <v>905</v>
      </c>
      <c r="N50">
        <v>1</v>
      </c>
      <c r="O50" s="11">
        <f t="shared" si="0"/>
        <v>58.4968448131945</v>
      </c>
      <c r="P50" s="36">
        <v>81.180107520926896</v>
      </c>
      <c r="Q50" s="36">
        <v>80.897386136905496</v>
      </c>
      <c r="R50" s="36">
        <v>126.463015283168</v>
      </c>
      <c r="S50" s="36">
        <v>99.786836104113206</v>
      </c>
      <c r="T50" s="36">
        <v>49.890228876339698</v>
      </c>
      <c r="U50" s="36">
        <v>46.486362331974597</v>
      </c>
      <c r="V50" s="36">
        <v>56.919363274690603</v>
      </c>
      <c r="W50" s="36">
        <v>47.685996301133002</v>
      </c>
      <c r="X50" s="37">
        <v>27.816540263573501</v>
      </c>
      <c r="Y50" s="37">
        <v>29.0098837568611</v>
      </c>
      <c r="Z50" s="37">
        <v>35.202391323763102</v>
      </c>
      <c r="AA50" s="37">
        <v>22.0102232115985</v>
      </c>
      <c r="AB50" s="37">
        <v>57.883931646352202</v>
      </c>
      <c r="AC50" s="37">
        <v>47.351434223107503</v>
      </c>
      <c r="AD50" s="37">
        <v>57.324521818772098</v>
      </c>
      <c r="AE50" s="37">
        <v>70.041294937832404</v>
      </c>
      <c r="AF50" s="45">
        <v>-0.77021444910123904</v>
      </c>
      <c r="AG50" s="45">
        <v>-1.70006035023869</v>
      </c>
      <c r="AH50" s="46">
        <v>1.8952499750903601E-2</v>
      </c>
      <c r="AI50" s="47">
        <v>3.2847726252213799E-2</v>
      </c>
      <c r="AJ50" s="48">
        <v>73.663661978656506</v>
      </c>
      <c r="AK50" s="49">
        <v>43.3300276477325</v>
      </c>
      <c r="AL50" s="31" t="s">
        <v>5875</v>
      </c>
      <c r="AM50" s="31" t="s">
        <v>5878</v>
      </c>
      <c r="AN50" s="31" t="s">
        <v>19411</v>
      </c>
      <c r="AO50" s="31" t="s">
        <v>19412</v>
      </c>
      <c r="AP50" s="31" t="s">
        <v>19413</v>
      </c>
      <c r="AQ50" s="31" t="s">
        <v>19414</v>
      </c>
      <c r="AR50" s="31" t="s">
        <v>19415</v>
      </c>
      <c r="AS50" s="31" t="str">
        <f>"SCGB1A1"</f>
        <v>SCGB1A1</v>
      </c>
      <c r="AT50" s="31" t="s">
        <v>19416</v>
      </c>
      <c r="AU50" s="31" t="s">
        <v>13777</v>
      </c>
      <c r="AV50" s="31">
        <v>9606</v>
      </c>
      <c r="AW50" s="50" t="str">
        <f>HYPERLINK("http://www.uniprot.org/uniprot/P11684", "P11684")</f>
        <v>P11684</v>
      </c>
      <c r="AX50" s="31" t="s">
        <v>19417</v>
      </c>
      <c r="AY50" s="31" t="s">
        <v>13772</v>
      </c>
      <c r="AZ50" s="31" t="s">
        <v>14321</v>
      </c>
      <c r="BA50" s="31" t="s">
        <v>13793</v>
      </c>
      <c r="BB50" s="31" t="s">
        <v>13772</v>
      </c>
      <c r="BC50" s="31" t="s">
        <v>13772</v>
      </c>
      <c r="BD50" s="31" t="s">
        <v>13808</v>
      </c>
      <c r="BE50" s="31" t="s">
        <v>13772</v>
      </c>
      <c r="BF50" s="31" t="s">
        <v>19418</v>
      </c>
      <c r="BG50" s="31" t="s">
        <v>14506</v>
      </c>
      <c r="BH50" s="31" t="s">
        <v>13772</v>
      </c>
      <c r="BI50" s="31" t="s">
        <v>19419</v>
      </c>
      <c r="BJ50" s="31" t="s">
        <v>19420</v>
      </c>
      <c r="BK50" s="31" t="s">
        <v>19421</v>
      </c>
      <c r="BL50" s="31" t="s">
        <v>13772</v>
      </c>
      <c r="BM50" s="31" t="s">
        <v>13772</v>
      </c>
    </row>
    <row r="51" spans="1:65">
      <c r="A51">
        <v>634</v>
      </c>
      <c r="B51">
        <v>1</v>
      </c>
      <c r="C51">
        <v>46</v>
      </c>
      <c r="D51" t="s">
        <v>1569</v>
      </c>
      <c r="E51" t="s">
        <v>73</v>
      </c>
      <c r="F51" t="s">
        <v>73</v>
      </c>
      <c r="G51">
        <v>57.6</v>
      </c>
      <c r="H51">
        <v>622</v>
      </c>
      <c r="I51">
        <v>70202</v>
      </c>
      <c r="J51" t="s">
        <v>1570</v>
      </c>
      <c r="K51" s="3" t="s">
        <v>73</v>
      </c>
      <c r="L51">
        <v>895</v>
      </c>
      <c r="M51">
        <v>895</v>
      </c>
      <c r="N51">
        <v>1</v>
      </c>
      <c r="O51" s="11">
        <f t="shared" si="0"/>
        <v>47.801519313377433</v>
      </c>
      <c r="P51" s="36">
        <v>50.889022625058601</v>
      </c>
      <c r="Q51" s="36">
        <v>53.931590757937002</v>
      </c>
      <c r="R51" s="36">
        <v>64.031906472490306</v>
      </c>
      <c r="S51" s="36">
        <v>92.227227308346997</v>
      </c>
      <c r="T51" s="36">
        <v>63.653050635329997</v>
      </c>
      <c r="U51" s="36">
        <v>64.151180018124904</v>
      </c>
      <c r="V51" s="36">
        <v>56.919363274690603</v>
      </c>
      <c r="W51" s="36">
        <v>50.605547095079899</v>
      </c>
      <c r="X51" s="37">
        <v>17.484682451389101</v>
      </c>
      <c r="Y51" s="37">
        <v>27.748584463084601</v>
      </c>
      <c r="Z51" s="37">
        <v>24.801684796287599</v>
      </c>
      <c r="AA51" s="37">
        <v>50.7928227959964</v>
      </c>
      <c r="AB51" s="37">
        <v>27.5637769744534</v>
      </c>
      <c r="AC51" s="37">
        <v>26.043288822709101</v>
      </c>
      <c r="AD51" s="37">
        <v>45.256201435872697</v>
      </c>
      <c r="AE51" s="37">
        <v>48.7243790871877</v>
      </c>
      <c r="AF51" s="45">
        <v>-0.90010783718499099</v>
      </c>
      <c r="AG51" s="45">
        <v>-1.8494052489891799</v>
      </c>
      <c r="AH51" s="46">
        <v>1.7544426131961899E-3</v>
      </c>
      <c r="AI51" s="47">
        <v>3.7862003491233999E-3</v>
      </c>
      <c r="AJ51" s="48">
        <v>62.051111023382298</v>
      </c>
      <c r="AK51" s="49">
        <v>33.551927603372597</v>
      </c>
      <c r="AL51" s="31" t="s">
        <v>5875</v>
      </c>
      <c r="AM51" s="31" t="s">
        <v>5876</v>
      </c>
      <c r="AN51" s="31" t="s">
        <v>20041</v>
      </c>
      <c r="AO51" s="31" t="s">
        <v>20042</v>
      </c>
      <c r="AP51" s="31" t="s">
        <v>20043</v>
      </c>
      <c r="AQ51" s="31" t="s">
        <v>20044</v>
      </c>
      <c r="AR51" s="31" t="s">
        <v>20045</v>
      </c>
      <c r="AS51" s="31" t="str">
        <f>"F2"</f>
        <v>F2</v>
      </c>
      <c r="AT51" s="31" t="s">
        <v>13772</v>
      </c>
      <c r="AU51" s="31" t="s">
        <v>13777</v>
      </c>
      <c r="AV51" s="31">
        <v>9606</v>
      </c>
      <c r="AW51" s="50" t="str">
        <f>HYPERLINK("http://www.uniprot.org/uniprot/P00734", "P00734")</f>
        <v>P00734</v>
      </c>
      <c r="AX51" s="31" t="s">
        <v>20046</v>
      </c>
      <c r="AY51" s="31" t="s">
        <v>15122</v>
      </c>
      <c r="AZ51" s="31" t="s">
        <v>14321</v>
      </c>
      <c r="BA51" s="31" t="s">
        <v>13793</v>
      </c>
      <c r="BB51" s="31" t="s">
        <v>13772</v>
      </c>
      <c r="BC51" s="31" t="s">
        <v>17445</v>
      </c>
      <c r="BD51" s="31" t="s">
        <v>20047</v>
      </c>
      <c r="BE51" s="31" t="s">
        <v>14465</v>
      </c>
      <c r="BF51" s="31" t="s">
        <v>15176</v>
      </c>
      <c r="BG51" s="31" t="s">
        <v>20048</v>
      </c>
      <c r="BH51" s="31" t="s">
        <v>14324</v>
      </c>
      <c r="BI51" s="31" t="s">
        <v>20049</v>
      </c>
      <c r="BJ51" s="31" t="s">
        <v>20050</v>
      </c>
      <c r="BK51" s="31" t="s">
        <v>20051</v>
      </c>
      <c r="BL51" s="31" t="s">
        <v>13772</v>
      </c>
      <c r="BM51" s="31" t="s">
        <v>20052</v>
      </c>
    </row>
    <row r="52" spans="1:65">
      <c r="A52">
        <v>1729</v>
      </c>
      <c r="B52">
        <v>1</v>
      </c>
      <c r="C52">
        <v>47</v>
      </c>
      <c r="D52" t="s">
        <v>4090</v>
      </c>
      <c r="E52" t="s">
        <v>73</v>
      </c>
      <c r="F52" t="s">
        <v>73</v>
      </c>
      <c r="G52">
        <v>88.8</v>
      </c>
      <c r="H52">
        <v>260</v>
      </c>
      <c r="I52">
        <v>29436</v>
      </c>
      <c r="J52" t="s">
        <v>4092</v>
      </c>
      <c r="K52" s="3" t="s">
        <v>73</v>
      </c>
      <c r="L52">
        <v>890</v>
      </c>
      <c r="M52">
        <v>889</v>
      </c>
      <c r="N52">
        <v>0.999</v>
      </c>
      <c r="O52" s="11">
        <f t="shared" si="0"/>
        <v>48.193903903929829</v>
      </c>
      <c r="P52" s="36">
        <v>6.0582169791736504</v>
      </c>
      <c r="Q52" s="36">
        <v>0.24076603016936199</v>
      </c>
      <c r="R52" s="36">
        <v>0.40019941545306398</v>
      </c>
      <c r="S52" s="36">
        <v>0.37798043978830698</v>
      </c>
      <c r="T52" s="36">
        <v>0.215044089984223</v>
      </c>
      <c r="U52" s="36">
        <v>12.0864542063134</v>
      </c>
      <c r="V52" s="36">
        <v>26.351557071616</v>
      </c>
      <c r="W52" s="36">
        <v>116.78203175787699</v>
      </c>
      <c r="X52" s="37">
        <v>60.4016302866168</v>
      </c>
      <c r="Y52" s="37">
        <v>47.298723516621401</v>
      </c>
      <c r="Z52" s="37">
        <v>32.802228278961103</v>
      </c>
      <c r="AA52" s="37">
        <v>94.813269219193401</v>
      </c>
      <c r="AB52" s="37">
        <v>218.67263066399701</v>
      </c>
      <c r="AC52" s="37">
        <v>74.183913616201707</v>
      </c>
      <c r="AD52" s="37">
        <v>30.170800957248499</v>
      </c>
      <c r="AE52" s="37">
        <v>50.247015933662396</v>
      </c>
      <c r="AF52" s="45">
        <v>1.89189761219165</v>
      </c>
      <c r="AG52" s="45">
        <v>3.7448882315551502</v>
      </c>
      <c r="AH52" s="46">
        <v>2.9639383846422299E-2</v>
      </c>
      <c r="AI52" s="47">
        <v>4.8481045949282403E-2</v>
      </c>
      <c r="AJ52" s="48">
        <v>20.314031248796802</v>
      </c>
      <c r="AK52" s="49">
        <v>76.073776559062793</v>
      </c>
      <c r="AL52" s="31" t="s">
        <v>5874</v>
      </c>
      <c r="AM52" s="31" t="s">
        <v>5878</v>
      </c>
      <c r="AN52" s="31" t="s">
        <v>30368</v>
      </c>
      <c r="AO52" s="31" t="s">
        <v>30369</v>
      </c>
      <c r="AP52" s="31" t="s">
        <v>30370</v>
      </c>
      <c r="AQ52" s="31" t="s">
        <v>30371</v>
      </c>
      <c r="AR52" s="31" t="s">
        <v>30372</v>
      </c>
      <c r="AS52" s="31" t="str">
        <f>"CA3"</f>
        <v>CA3</v>
      </c>
      <c r="AT52" s="31" t="s">
        <v>13772</v>
      </c>
      <c r="AU52" s="31" t="s">
        <v>13777</v>
      </c>
      <c r="AV52" s="31">
        <v>9606</v>
      </c>
      <c r="AW52" s="50" t="str">
        <f>HYPERLINK("http://www.uniprot.org/uniprot/P07451", "P07451")</f>
        <v>P07451</v>
      </c>
      <c r="AX52" s="31" t="s">
        <v>30373</v>
      </c>
      <c r="AY52" s="31" t="s">
        <v>13772</v>
      </c>
      <c r="AZ52" s="31" t="s">
        <v>13899</v>
      </c>
      <c r="BA52" s="31" t="s">
        <v>13793</v>
      </c>
      <c r="BB52" s="31" t="s">
        <v>13772</v>
      </c>
      <c r="BC52" s="31" t="s">
        <v>13772</v>
      </c>
      <c r="BD52" s="31" t="s">
        <v>13772</v>
      </c>
      <c r="BE52" s="31" t="s">
        <v>13856</v>
      </c>
      <c r="BF52" s="31" t="s">
        <v>15788</v>
      </c>
      <c r="BG52" s="31" t="s">
        <v>30374</v>
      </c>
      <c r="BH52" s="31" t="s">
        <v>13812</v>
      </c>
      <c r="BI52" s="31" t="s">
        <v>30375</v>
      </c>
      <c r="BJ52" s="31" t="s">
        <v>13902</v>
      </c>
      <c r="BK52" s="31" t="s">
        <v>30376</v>
      </c>
      <c r="BL52" s="31" t="s">
        <v>13772</v>
      </c>
      <c r="BM52" s="31" t="s">
        <v>30377</v>
      </c>
    </row>
    <row r="53" spans="1:65">
      <c r="A53">
        <v>2442</v>
      </c>
      <c r="B53">
        <v>1</v>
      </c>
      <c r="C53">
        <v>48</v>
      </c>
      <c r="D53" t="s">
        <v>5730</v>
      </c>
      <c r="E53" t="s">
        <v>73</v>
      </c>
      <c r="F53" t="s">
        <v>5731</v>
      </c>
      <c r="G53">
        <v>65.5</v>
      </c>
      <c r="H53">
        <v>426</v>
      </c>
      <c r="I53">
        <v>47926</v>
      </c>
      <c r="J53" t="s">
        <v>5732</v>
      </c>
      <c r="K53" s="3">
        <v>32</v>
      </c>
      <c r="L53">
        <v>873</v>
      </c>
      <c r="M53">
        <v>873</v>
      </c>
      <c r="N53">
        <v>1</v>
      </c>
      <c r="O53" s="11">
        <f t="shared" si="0"/>
        <v>51.526246933274308</v>
      </c>
      <c r="P53" s="36">
        <v>63.005456583405902</v>
      </c>
      <c r="Q53" s="36">
        <v>67.414488447421306</v>
      </c>
      <c r="R53" s="36">
        <v>124.862217621356</v>
      </c>
      <c r="S53" s="36">
        <v>93.739149067500193</v>
      </c>
      <c r="T53" s="36">
        <v>51.6105815962135</v>
      </c>
      <c r="U53" s="36">
        <v>31.610726385742701</v>
      </c>
      <c r="V53" s="36">
        <v>41.108429031721002</v>
      </c>
      <c r="W53" s="36">
        <v>25.302773547539999</v>
      </c>
      <c r="X53" s="37">
        <v>26.227023677083601</v>
      </c>
      <c r="Y53" s="37">
        <v>29.0098837568611</v>
      </c>
      <c r="Z53" s="37">
        <v>31.202119582426398</v>
      </c>
      <c r="AA53" s="37">
        <v>33.015334817397701</v>
      </c>
      <c r="AB53" s="37">
        <v>45.939628290755699</v>
      </c>
      <c r="AC53" s="37">
        <v>29.989241674634702</v>
      </c>
      <c r="AD53" s="37">
        <v>60.341601914496898</v>
      </c>
      <c r="AE53" s="37">
        <v>70.041294937832404</v>
      </c>
      <c r="AF53" s="45">
        <v>-0.61804515200144905</v>
      </c>
      <c r="AG53" s="45">
        <v>-1.53071107897277</v>
      </c>
      <c r="AH53" s="46">
        <v>8.9444008329040203E-2</v>
      </c>
      <c r="AI53" s="47">
        <v>0.12813285133218</v>
      </c>
      <c r="AJ53" s="48">
        <v>62.331727785112598</v>
      </c>
      <c r="AK53" s="49">
        <v>40.720766081436103</v>
      </c>
      <c r="AL53" s="31" t="s">
        <v>5875</v>
      </c>
      <c r="AM53" s="31" t="s">
        <v>5832</v>
      </c>
      <c r="AN53" s="31" t="s">
        <v>22302</v>
      </c>
      <c r="AO53" s="31" t="s">
        <v>22303</v>
      </c>
      <c r="AP53" s="31" t="s">
        <v>22304</v>
      </c>
      <c r="AQ53" s="31" t="s">
        <v>22305</v>
      </c>
      <c r="AR53" s="31" t="s">
        <v>22306</v>
      </c>
      <c r="AS53" s="31" t="str">
        <f>"KNG1"</f>
        <v>KNG1</v>
      </c>
      <c r="AT53" s="31" t="s">
        <v>22307</v>
      </c>
      <c r="AU53" s="31" t="s">
        <v>13777</v>
      </c>
      <c r="AV53" s="31">
        <v>9606</v>
      </c>
      <c r="AW53" s="50" t="str">
        <f>HYPERLINK("http://www.uniprot.org/uniprot/P01042", "P01042")</f>
        <v>P01042</v>
      </c>
      <c r="AX53" s="31" t="s">
        <v>22308</v>
      </c>
      <c r="AY53" s="31" t="s">
        <v>22309</v>
      </c>
      <c r="AZ53" s="31" t="s">
        <v>14321</v>
      </c>
      <c r="BA53" s="31" t="s">
        <v>13780</v>
      </c>
      <c r="BB53" s="31" t="s">
        <v>13772</v>
      </c>
      <c r="BC53" s="31" t="s">
        <v>13772</v>
      </c>
      <c r="BD53" s="31" t="s">
        <v>14404</v>
      </c>
      <c r="BE53" s="31" t="s">
        <v>13772</v>
      </c>
      <c r="BF53" s="31" t="s">
        <v>22310</v>
      </c>
      <c r="BG53" s="31" t="s">
        <v>13874</v>
      </c>
      <c r="BH53" s="31" t="s">
        <v>13812</v>
      </c>
      <c r="BI53" s="31" t="s">
        <v>22311</v>
      </c>
      <c r="BJ53" s="31" t="s">
        <v>22312</v>
      </c>
      <c r="BK53" s="31" t="s">
        <v>22313</v>
      </c>
      <c r="BL53" s="31" t="s">
        <v>13772</v>
      </c>
      <c r="BM53" s="31" t="s">
        <v>22314</v>
      </c>
    </row>
    <row r="54" spans="1:65">
      <c r="A54">
        <v>1320</v>
      </c>
      <c r="B54">
        <v>1</v>
      </c>
      <c r="C54">
        <v>49</v>
      </c>
      <c r="D54" t="s">
        <v>3166</v>
      </c>
      <c r="E54" t="s">
        <v>73</v>
      </c>
      <c r="F54" t="s">
        <v>73</v>
      </c>
      <c r="G54">
        <v>71.900000000000006</v>
      </c>
      <c r="H54">
        <v>445</v>
      </c>
      <c r="I54">
        <v>50730</v>
      </c>
      <c r="J54" t="s">
        <v>3167</v>
      </c>
      <c r="K54" s="3" t="s">
        <v>73</v>
      </c>
      <c r="L54">
        <v>871</v>
      </c>
      <c r="M54">
        <v>871</v>
      </c>
      <c r="N54">
        <v>1</v>
      </c>
      <c r="O54" s="11">
        <f t="shared" si="0"/>
        <v>31.123745100570265</v>
      </c>
      <c r="P54" s="36">
        <v>26.656154708363999</v>
      </c>
      <c r="Q54" s="36">
        <v>22.150474775581301</v>
      </c>
      <c r="R54" s="36">
        <v>12.806381294498101</v>
      </c>
      <c r="S54" s="36">
        <v>18.143061109838801</v>
      </c>
      <c r="T54" s="36">
        <v>5.1610581596213496</v>
      </c>
      <c r="U54" s="36">
        <v>1.85945449327898</v>
      </c>
      <c r="V54" s="36">
        <v>6.3243736971878404</v>
      </c>
      <c r="W54" s="36">
        <v>20.436855557628402</v>
      </c>
      <c r="X54" s="37">
        <v>30.9955734365533</v>
      </c>
      <c r="Y54" s="37">
        <v>16.3968908190954</v>
      </c>
      <c r="Z54" s="37">
        <v>17.601195661881501</v>
      </c>
      <c r="AA54" s="37">
        <v>60.104840308595797</v>
      </c>
      <c r="AB54" s="37">
        <v>47.777213422385898</v>
      </c>
      <c r="AC54" s="37">
        <v>23.675717111553698</v>
      </c>
      <c r="AD54" s="37">
        <v>98.055103111057505</v>
      </c>
      <c r="AE54" s="37">
        <v>89.835573942002398</v>
      </c>
      <c r="AF54" s="45">
        <v>1.74717812475868</v>
      </c>
      <c r="AG54" s="45">
        <v>3.38602704209084</v>
      </c>
      <c r="AH54" s="46">
        <v>4.8647817990342499E-4</v>
      </c>
      <c r="AI54" s="47">
        <v>1.18346873583779E-3</v>
      </c>
      <c r="AJ54" s="48">
        <v>14.1922267244998</v>
      </c>
      <c r="AK54" s="49">
        <v>48.055263476640697</v>
      </c>
      <c r="AL54" s="31" t="s">
        <v>5874</v>
      </c>
      <c r="AM54" s="31" t="s">
        <v>5876</v>
      </c>
      <c r="AN54" s="31" t="s">
        <v>26544</v>
      </c>
      <c r="AO54" s="31" t="s">
        <v>13772</v>
      </c>
      <c r="AP54" s="31" t="s">
        <v>26545</v>
      </c>
      <c r="AQ54" s="31" t="s">
        <v>26546</v>
      </c>
      <c r="AR54" s="31" t="s">
        <v>26547</v>
      </c>
      <c r="AS54" s="31" t="str">
        <f>"FGG"</f>
        <v>FGG</v>
      </c>
      <c r="AT54" s="31" t="s">
        <v>13772</v>
      </c>
      <c r="AU54" s="31" t="s">
        <v>13777</v>
      </c>
      <c r="AV54" s="31">
        <v>9606</v>
      </c>
      <c r="AW54" s="50" t="str">
        <f>HYPERLINK("http://www.uniprot.org/uniprot/P02679", "P02679")</f>
        <v>P02679</v>
      </c>
      <c r="AX54" s="31" t="s">
        <v>26548</v>
      </c>
      <c r="AY54" s="31" t="s">
        <v>16755</v>
      </c>
      <c r="AZ54" s="31" t="s">
        <v>14321</v>
      </c>
      <c r="BA54" s="31" t="s">
        <v>13780</v>
      </c>
      <c r="BB54" s="31" t="s">
        <v>13772</v>
      </c>
      <c r="BC54" s="31" t="s">
        <v>13807</v>
      </c>
      <c r="BD54" s="31" t="s">
        <v>16820</v>
      </c>
      <c r="BE54" s="31" t="s">
        <v>13873</v>
      </c>
      <c r="BF54" s="31" t="s">
        <v>13772</v>
      </c>
      <c r="BG54" s="31" t="s">
        <v>26549</v>
      </c>
      <c r="BH54" s="31" t="s">
        <v>13812</v>
      </c>
      <c r="BI54" s="31" t="s">
        <v>26550</v>
      </c>
      <c r="BJ54" s="31" t="s">
        <v>26551</v>
      </c>
      <c r="BK54" s="31" t="s">
        <v>26552</v>
      </c>
      <c r="BL54" s="31" t="s">
        <v>13772</v>
      </c>
      <c r="BM54" s="31" t="s">
        <v>26553</v>
      </c>
    </row>
    <row r="55" spans="1:65">
      <c r="A55">
        <v>949</v>
      </c>
      <c r="B55">
        <v>1</v>
      </c>
      <c r="C55">
        <v>50</v>
      </c>
      <c r="D55" t="s">
        <v>2310</v>
      </c>
      <c r="E55" t="s">
        <v>2311</v>
      </c>
      <c r="F55" t="s">
        <v>73</v>
      </c>
      <c r="G55">
        <v>32</v>
      </c>
      <c r="H55">
        <v>4651</v>
      </c>
      <c r="I55">
        <v>520939</v>
      </c>
      <c r="J55" t="s">
        <v>2312</v>
      </c>
      <c r="K55" s="3" t="s">
        <v>73</v>
      </c>
      <c r="L55">
        <v>847</v>
      </c>
      <c r="M55">
        <v>847</v>
      </c>
      <c r="N55">
        <v>1</v>
      </c>
      <c r="O55" s="11">
        <f t="shared" si="0"/>
        <v>57.147584430294714</v>
      </c>
      <c r="P55" s="36">
        <v>98.143115062613106</v>
      </c>
      <c r="Q55" s="36">
        <v>129.050592170778</v>
      </c>
      <c r="R55" s="36">
        <v>97.648657370547696</v>
      </c>
      <c r="S55" s="36">
        <v>133.04911480548401</v>
      </c>
      <c r="T55" s="36">
        <v>130.74680671040801</v>
      </c>
      <c r="U55" s="36">
        <v>104.129451623623</v>
      </c>
      <c r="V55" s="36">
        <v>107.514352852193</v>
      </c>
      <c r="W55" s="36">
        <v>86.613340220425201</v>
      </c>
      <c r="X55" s="37">
        <v>0.19868957331123899</v>
      </c>
      <c r="Y55" s="37">
        <v>3.7838978813297102</v>
      </c>
      <c r="Z55" s="37">
        <v>4.8003260896040603</v>
      </c>
      <c r="AA55" s="37">
        <v>0.21163676164998499</v>
      </c>
      <c r="AB55" s="37">
        <v>2.7563776974453398</v>
      </c>
      <c r="AC55" s="37">
        <v>3.1567622815404999</v>
      </c>
      <c r="AD55" s="37">
        <v>0.377135011965606</v>
      </c>
      <c r="AE55" s="37">
        <v>12.1810947717969</v>
      </c>
      <c r="AF55" s="45">
        <v>-5.0621321825223102</v>
      </c>
      <c r="AG55" s="45">
        <v>-32.290759916271703</v>
      </c>
      <c r="AH55" s="46">
        <v>2.1634872813674401E-31</v>
      </c>
      <c r="AI55" s="47">
        <v>1.4473729912348201E-28</v>
      </c>
      <c r="AJ55" s="48">
        <v>110.861928852009</v>
      </c>
      <c r="AK55" s="49">
        <v>3.43324000858042</v>
      </c>
      <c r="AL55" s="31" t="s">
        <v>5875</v>
      </c>
      <c r="AM55" s="31" t="s">
        <v>5876</v>
      </c>
      <c r="AN55" s="31" t="s">
        <v>23152</v>
      </c>
      <c r="AO55" s="31" t="s">
        <v>23153</v>
      </c>
      <c r="AP55" s="31" t="s">
        <v>23154</v>
      </c>
      <c r="AQ55" s="31" t="s">
        <v>23155</v>
      </c>
      <c r="AR55" s="31" t="s">
        <v>23156</v>
      </c>
      <c r="AS55" s="31" t="str">
        <f>"LRP2"</f>
        <v>LRP2</v>
      </c>
      <c r="AT55" s="31" t="s">
        <v>13772</v>
      </c>
      <c r="AU55" s="31" t="s">
        <v>13777</v>
      </c>
      <c r="AV55" s="31">
        <v>9606</v>
      </c>
      <c r="AW55" s="50" t="str">
        <f>HYPERLINK("http://www.uniprot.org/uniprot/P98164", "P98164")</f>
        <v>P98164</v>
      </c>
      <c r="AX55" s="31" t="s">
        <v>23157</v>
      </c>
      <c r="AY55" s="31" t="s">
        <v>23158</v>
      </c>
      <c r="AZ55" s="31" t="s">
        <v>23159</v>
      </c>
      <c r="BA55" s="31" t="s">
        <v>13793</v>
      </c>
      <c r="BB55" s="31" t="s">
        <v>13772</v>
      </c>
      <c r="BC55" s="31" t="s">
        <v>13807</v>
      </c>
      <c r="BD55" s="31" t="s">
        <v>23160</v>
      </c>
      <c r="BE55" s="31" t="s">
        <v>13873</v>
      </c>
      <c r="BF55" s="31" t="s">
        <v>13795</v>
      </c>
      <c r="BG55" s="31" t="s">
        <v>13964</v>
      </c>
      <c r="BH55" s="31" t="s">
        <v>13812</v>
      </c>
      <c r="BI55" s="31" t="s">
        <v>23161</v>
      </c>
      <c r="BJ55" s="31" t="s">
        <v>23162</v>
      </c>
      <c r="BK55" s="31" t="s">
        <v>23163</v>
      </c>
      <c r="BL55" s="31" t="s">
        <v>13772</v>
      </c>
      <c r="BM55" s="31" t="s">
        <v>23164</v>
      </c>
    </row>
    <row r="56" spans="1:65">
      <c r="A56">
        <v>110</v>
      </c>
      <c r="B56">
        <v>1</v>
      </c>
      <c r="C56">
        <v>51</v>
      </c>
      <c r="D56" t="s">
        <v>288</v>
      </c>
      <c r="E56" t="s">
        <v>289</v>
      </c>
      <c r="F56" t="s">
        <v>73</v>
      </c>
      <c r="G56">
        <v>60.6</v>
      </c>
      <c r="H56">
        <v>587</v>
      </c>
      <c r="I56">
        <v>62451</v>
      </c>
      <c r="J56" t="s">
        <v>290</v>
      </c>
      <c r="K56" s="3" t="s">
        <v>73</v>
      </c>
      <c r="L56">
        <v>770</v>
      </c>
      <c r="M56">
        <v>770</v>
      </c>
      <c r="N56">
        <v>1</v>
      </c>
      <c r="O56" s="11">
        <f t="shared" si="0"/>
        <v>49.997511630126773</v>
      </c>
      <c r="P56" s="36">
        <v>67.852030166744797</v>
      </c>
      <c r="Q56" s="36">
        <v>61.636103723356598</v>
      </c>
      <c r="R56" s="36">
        <v>104.051848017797</v>
      </c>
      <c r="S56" s="36">
        <v>117.929897213952</v>
      </c>
      <c r="T56" s="36">
        <v>70.534461514825196</v>
      </c>
      <c r="U56" s="36">
        <v>67.870089004682896</v>
      </c>
      <c r="V56" s="36">
        <v>72.730297517660205</v>
      </c>
      <c r="W56" s="36">
        <v>37.954160321309899</v>
      </c>
      <c r="X56" s="37">
        <v>13.5108909851643</v>
      </c>
      <c r="Y56" s="37">
        <v>23.334036934866599</v>
      </c>
      <c r="Z56" s="37">
        <v>24.0016304480203</v>
      </c>
      <c r="AA56" s="37">
        <v>13.5447527455991</v>
      </c>
      <c r="AB56" s="37">
        <v>26.644984408638301</v>
      </c>
      <c r="AC56" s="37">
        <v>34.724385096945497</v>
      </c>
      <c r="AD56" s="37">
        <v>33.187881052973303</v>
      </c>
      <c r="AE56" s="37">
        <v>30.4527369294923</v>
      </c>
      <c r="AF56" s="45">
        <v>-1.5921269075694899</v>
      </c>
      <c r="AG56" s="45">
        <v>-3.0118103126295801</v>
      </c>
      <c r="AH56" s="46">
        <v>2.9034481338484501E-7</v>
      </c>
      <c r="AI56" s="47">
        <v>1.66017185999186E-6</v>
      </c>
      <c r="AJ56" s="48">
        <v>75.069860935041007</v>
      </c>
      <c r="AK56" s="49">
        <v>24.925162325212501</v>
      </c>
      <c r="AL56" s="31" t="s">
        <v>5875</v>
      </c>
      <c r="AM56" s="31" t="s">
        <v>5876</v>
      </c>
      <c r="AN56" s="31" t="s">
        <v>14396</v>
      </c>
      <c r="AO56" s="31" t="s">
        <v>14397</v>
      </c>
      <c r="AP56" s="31" t="s">
        <v>14398</v>
      </c>
      <c r="AQ56" s="31" t="s">
        <v>14399</v>
      </c>
      <c r="AR56" s="31" t="s">
        <v>14400</v>
      </c>
      <c r="AS56" s="31" t="str">
        <f>"GRN"</f>
        <v>GRN</v>
      </c>
      <c r="AT56" s="31" t="s">
        <v>13772</v>
      </c>
      <c r="AU56" s="31" t="s">
        <v>13777</v>
      </c>
      <c r="AV56" s="31">
        <v>9606</v>
      </c>
      <c r="AW56" s="50" t="str">
        <f>HYPERLINK("http://www.uniprot.org/uniprot/P28799", "P28799")</f>
        <v>P28799</v>
      </c>
      <c r="AX56" s="31" t="s">
        <v>14401</v>
      </c>
      <c r="AY56" s="31" t="s">
        <v>13772</v>
      </c>
      <c r="AZ56" s="31" t="s">
        <v>14402</v>
      </c>
      <c r="BA56" s="31" t="s">
        <v>13780</v>
      </c>
      <c r="BB56" s="31" t="s">
        <v>13772</v>
      </c>
      <c r="BC56" s="31" t="s">
        <v>14403</v>
      </c>
      <c r="BD56" s="31" t="s">
        <v>14404</v>
      </c>
      <c r="BE56" s="31" t="s">
        <v>13772</v>
      </c>
      <c r="BF56" s="31" t="s">
        <v>14405</v>
      </c>
      <c r="BG56" s="31" t="s">
        <v>13796</v>
      </c>
      <c r="BH56" s="31" t="s">
        <v>13812</v>
      </c>
      <c r="BI56" s="31" t="s">
        <v>14406</v>
      </c>
      <c r="BJ56" s="31" t="s">
        <v>14407</v>
      </c>
      <c r="BK56" s="31" t="s">
        <v>14408</v>
      </c>
      <c r="BL56" s="31" t="s">
        <v>13772</v>
      </c>
      <c r="BM56" s="31" t="s">
        <v>13890</v>
      </c>
    </row>
    <row r="57" spans="1:65">
      <c r="A57">
        <v>586</v>
      </c>
      <c r="B57">
        <v>1</v>
      </c>
      <c r="C57">
        <v>52</v>
      </c>
      <c r="D57" t="s">
        <v>1454</v>
      </c>
      <c r="E57" t="s">
        <v>73</v>
      </c>
      <c r="F57" t="s">
        <v>73</v>
      </c>
      <c r="G57">
        <v>74.7</v>
      </c>
      <c r="H57">
        <v>150</v>
      </c>
      <c r="I57">
        <v>16239</v>
      </c>
      <c r="J57" t="s">
        <v>1455</v>
      </c>
      <c r="K57" s="3" t="s">
        <v>73</v>
      </c>
      <c r="L57">
        <v>746</v>
      </c>
      <c r="M57">
        <v>746</v>
      </c>
      <c r="N57">
        <v>1</v>
      </c>
      <c r="O57" s="11">
        <f t="shared" si="0"/>
        <v>42.326582136823291</v>
      </c>
      <c r="P57" s="36">
        <v>44.830805645885</v>
      </c>
      <c r="Q57" s="36">
        <v>30.818051861678299</v>
      </c>
      <c r="R57" s="36">
        <v>57.628715825241301</v>
      </c>
      <c r="S57" s="36">
        <v>22.6788263872984</v>
      </c>
      <c r="T57" s="36">
        <v>14.6229981189272</v>
      </c>
      <c r="U57" s="36">
        <v>24.1729084126268</v>
      </c>
      <c r="V57" s="36">
        <v>13.7028096772403</v>
      </c>
      <c r="W57" s="36">
        <v>15.5709375677169</v>
      </c>
      <c r="X57" s="37">
        <v>42.916947835227703</v>
      </c>
      <c r="Y57" s="37">
        <v>50.4519717510628</v>
      </c>
      <c r="Z57" s="37">
        <v>56.003804378714001</v>
      </c>
      <c r="AA57" s="37">
        <v>64.337575541595498</v>
      </c>
      <c r="AB57" s="37">
        <v>36.751702632604598</v>
      </c>
      <c r="AC57" s="37">
        <v>66.292007912350499</v>
      </c>
      <c r="AD57" s="37">
        <v>63.358682010221798</v>
      </c>
      <c r="AE57" s="37">
        <v>73.086568630781599</v>
      </c>
      <c r="AF57" s="45">
        <v>1.02970001130209</v>
      </c>
      <c r="AG57" s="45">
        <v>2.0229756924205602</v>
      </c>
      <c r="AH57" s="46">
        <v>2.21117051079337E-3</v>
      </c>
      <c r="AI57" s="47">
        <v>4.5940157506856004E-3</v>
      </c>
      <c r="AJ57" s="48">
        <v>28.003256687076799</v>
      </c>
      <c r="AK57" s="49">
        <v>56.649907586569803</v>
      </c>
      <c r="AL57" s="31" t="s">
        <v>5874</v>
      </c>
      <c r="AM57" s="31" t="s">
        <v>5876</v>
      </c>
      <c r="AN57" s="31" t="s">
        <v>19553</v>
      </c>
      <c r="AO57" s="31" t="s">
        <v>19554</v>
      </c>
      <c r="AP57" s="31" t="s">
        <v>19555</v>
      </c>
      <c r="AQ57" s="31" t="s">
        <v>19556</v>
      </c>
      <c r="AR57" s="31" t="s">
        <v>19557</v>
      </c>
      <c r="AS57" s="31" t="str">
        <f>"CST6"</f>
        <v>CST6</v>
      </c>
      <c r="AT57" s="31" t="s">
        <v>13772</v>
      </c>
      <c r="AU57" s="31" t="s">
        <v>13777</v>
      </c>
      <c r="AV57" s="31">
        <v>9606</v>
      </c>
      <c r="AW57" s="50" t="str">
        <f>HYPERLINK("http://www.uniprot.org/uniprot/Q15828", "Q15828")</f>
        <v>Q15828</v>
      </c>
      <c r="AX57" s="31" t="s">
        <v>19558</v>
      </c>
      <c r="AY57" s="31" t="s">
        <v>13772</v>
      </c>
      <c r="AZ57" s="31" t="s">
        <v>14321</v>
      </c>
      <c r="BA57" s="31" t="s">
        <v>13772</v>
      </c>
      <c r="BB57" s="31" t="s">
        <v>13772</v>
      </c>
      <c r="BC57" s="31" t="s">
        <v>13772</v>
      </c>
      <c r="BD57" s="31" t="s">
        <v>13808</v>
      </c>
      <c r="BE57" s="31" t="s">
        <v>13772</v>
      </c>
      <c r="BF57" s="31" t="s">
        <v>19559</v>
      </c>
      <c r="BG57" s="31" t="s">
        <v>13796</v>
      </c>
      <c r="BH57" s="31" t="s">
        <v>13812</v>
      </c>
      <c r="BI57" s="31" t="s">
        <v>19560</v>
      </c>
      <c r="BJ57" s="31" t="s">
        <v>19561</v>
      </c>
      <c r="BK57" s="31" t="s">
        <v>19562</v>
      </c>
      <c r="BL57" s="31" t="s">
        <v>13772</v>
      </c>
      <c r="BM57" s="31" t="s">
        <v>13772</v>
      </c>
    </row>
    <row r="58" spans="1:65">
      <c r="A58">
        <v>2028</v>
      </c>
      <c r="B58">
        <v>1</v>
      </c>
      <c r="C58">
        <v>53</v>
      </c>
      <c r="D58" t="s">
        <v>4765</v>
      </c>
      <c r="E58" t="s">
        <v>73</v>
      </c>
      <c r="F58" t="s">
        <v>73</v>
      </c>
      <c r="G58">
        <v>54.2</v>
      </c>
      <c r="H58">
        <v>83</v>
      </c>
      <c r="I58">
        <v>8699</v>
      </c>
      <c r="J58" t="s">
        <v>4766</v>
      </c>
      <c r="K58" s="3" t="s">
        <v>73</v>
      </c>
      <c r="L58">
        <v>731</v>
      </c>
      <c r="M58">
        <v>731</v>
      </c>
      <c r="N58">
        <v>1</v>
      </c>
      <c r="O58" s="11">
        <f t="shared" si="0"/>
        <v>42.897990934096363</v>
      </c>
      <c r="P58" s="36">
        <v>149.03213768767199</v>
      </c>
      <c r="Q58" s="36">
        <v>22.150474775581301</v>
      </c>
      <c r="R58" s="36">
        <v>17.608774279934799</v>
      </c>
      <c r="S58" s="36">
        <v>55.941105088669502</v>
      </c>
      <c r="T58" s="36">
        <v>27.525643517980502</v>
      </c>
      <c r="U58" s="36">
        <v>26.032362905905799</v>
      </c>
      <c r="V58" s="36">
        <v>21.081245657292801</v>
      </c>
      <c r="W58" s="36">
        <v>14.597753969734599</v>
      </c>
      <c r="X58" s="37">
        <v>46.095981008207502</v>
      </c>
      <c r="Y58" s="37">
        <v>63.064964688828603</v>
      </c>
      <c r="Z58" s="37">
        <v>41.602826109901798</v>
      </c>
      <c r="AA58" s="37">
        <v>34.708428910597597</v>
      </c>
      <c r="AB58" s="37">
        <v>35.832910066789402</v>
      </c>
      <c r="AC58" s="37">
        <v>55.243339926958697</v>
      </c>
      <c r="AD58" s="37">
        <v>30.170800957248499</v>
      </c>
      <c r="AE58" s="37">
        <v>45.679105394238498</v>
      </c>
      <c r="AF58" s="45">
        <v>8.6160769458544895E-2</v>
      </c>
      <c r="AG58" s="45">
        <v>1.0551812644473</v>
      </c>
      <c r="AH58" s="46">
        <v>0.85983211479145505</v>
      </c>
      <c r="AI58" s="47">
        <v>0.90302619277156004</v>
      </c>
      <c r="AJ58" s="48">
        <v>41.746187235346397</v>
      </c>
      <c r="AK58" s="49">
        <v>44.0497946328463</v>
      </c>
      <c r="AL58" s="31" t="s">
        <v>5874</v>
      </c>
      <c r="AM58" s="31" t="s">
        <v>5832</v>
      </c>
      <c r="AN58" s="31" t="s">
        <v>33187</v>
      </c>
      <c r="AO58" s="31" t="s">
        <v>33188</v>
      </c>
      <c r="AP58" s="31" t="s">
        <v>33189</v>
      </c>
      <c r="AQ58" s="31" t="s">
        <v>33190</v>
      </c>
      <c r="AR58" s="31" t="s">
        <v>33191</v>
      </c>
      <c r="AS58" s="31" t="str">
        <f>"HAMP"</f>
        <v>HAMP</v>
      </c>
      <c r="AT58" s="31" t="s">
        <v>33192</v>
      </c>
      <c r="AU58" s="31" t="s">
        <v>13777</v>
      </c>
      <c r="AV58" s="31">
        <v>9606</v>
      </c>
      <c r="AW58" s="50" t="str">
        <f>HYPERLINK("http://www.uniprot.org/uniprot/P81172", "P81172")</f>
        <v>P81172</v>
      </c>
      <c r="AX58" s="31" t="s">
        <v>33193</v>
      </c>
      <c r="AY58" s="31" t="s">
        <v>13772</v>
      </c>
      <c r="AZ58" s="31" t="s">
        <v>14321</v>
      </c>
      <c r="BA58" s="31" t="s">
        <v>13772</v>
      </c>
      <c r="BB58" s="31" t="s">
        <v>13772</v>
      </c>
      <c r="BC58" s="31" t="s">
        <v>13807</v>
      </c>
      <c r="BD58" s="31" t="s">
        <v>13808</v>
      </c>
      <c r="BE58" s="31" t="s">
        <v>13772</v>
      </c>
      <c r="BF58" s="31" t="s">
        <v>33194</v>
      </c>
      <c r="BG58" s="31" t="s">
        <v>21731</v>
      </c>
      <c r="BH58" s="31" t="s">
        <v>13812</v>
      </c>
      <c r="BI58" s="31" t="s">
        <v>33195</v>
      </c>
      <c r="BJ58" s="31" t="s">
        <v>33196</v>
      </c>
      <c r="BK58" s="31" t="s">
        <v>33197</v>
      </c>
      <c r="BL58" s="31" t="s">
        <v>13772</v>
      </c>
      <c r="BM58" s="31" t="s">
        <v>13772</v>
      </c>
    </row>
    <row r="59" spans="1:65">
      <c r="A59">
        <v>1505</v>
      </c>
      <c r="B59">
        <v>1</v>
      </c>
      <c r="C59">
        <v>54</v>
      </c>
      <c r="D59" t="s">
        <v>3583</v>
      </c>
      <c r="E59" t="s">
        <v>73</v>
      </c>
      <c r="F59" t="s">
        <v>73</v>
      </c>
      <c r="G59">
        <v>41.1</v>
      </c>
      <c r="H59">
        <v>1109</v>
      </c>
      <c r="I59">
        <v>125920</v>
      </c>
      <c r="J59" t="s">
        <v>3584</v>
      </c>
      <c r="K59" s="3" t="s">
        <v>73</v>
      </c>
      <c r="L59">
        <v>721</v>
      </c>
      <c r="M59">
        <v>721</v>
      </c>
      <c r="N59">
        <v>1</v>
      </c>
      <c r="O59" s="11">
        <f t="shared" si="0"/>
        <v>39.874489213214346</v>
      </c>
      <c r="P59" s="36">
        <v>52.100666020893399</v>
      </c>
      <c r="Q59" s="36">
        <v>6.7414488447421297</v>
      </c>
      <c r="R59" s="36">
        <v>11.2055836326858</v>
      </c>
      <c r="S59" s="36">
        <v>1.5119217591532299</v>
      </c>
      <c r="T59" s="36">
        <v>0.215044089984223</v>
      </c>
      <c r="U59" s="36">
        <v>1.85945449327898</v>
      </c>
      <c r="V59" s="36">
        <v>5.2703114143232002</v>
      </c>
      <c r="W59" s="36">
        <v>11.678203175787701</v>
      </c>
      <c r="X59" s="37">
        <v>57.222597113636901</v>
      </c>
      <c r="Y59" s="37">
        <v>78.200556214147397</v>
      </c>
      <c r="Z59" s="37">
        <v>74.405054388862894</v>
      </c>
      <c r="AA59" s="37">
        <v>44.866993469796903</v>
      </c>
      <c r="AB59" s="37">
        <v>45.020835724940603</v>
      </c>
      <c r="AC59" s="37">
        <v>76.551485327357099</v>
      </c>
      <c r="AD59" s="37">
        <v>98.055103111057505</v>
      </c>
      <c r="AE59" s="37">
        <v>73.086568630781599</v>
      </c>
      <c r="AF59" s="45">
        <v>2.5935970835776798</v>
      </c>
      <c r="AG59" s="45">
        <v>6.0432024688096204</v>
      </c>
      <c r="AH59" s="46">
        <v>1.4835518013377E-5</v>
      </c>
      <c r="AI59" s="47">
        <v>5.22366397418379E-5</v>
      </c>
      <c r="AJ59" s="48">
        <v>11.3228291788561</v>
      </c>
      <c r="AK59" s="49">
        <v>68.426149247572596</v>
      </c>
      <c r="AL59" s="31" t="s">
        <v>5874</v>
      </c>
      <c r="AM59" s="31" t="s">
        <v>5876</v>
      </c>
      <c r="AN59" s="31" t="s">
        <v>28244</v>
      </c>
      <c r="AO59" s="31" t="s">
        <v>28245</v>
      </c>
      <c r="AP59" s="31" t="s">
        <v>28246</v>
      </c>
      <c r="AQ59" s="31" t="s">
        <v>28247</v>
      </c>
      <c r="AR59" s="31" t="s">
        <v>28248</v>
      </c>
      <c r="AS59" s="31" t="str">
        <f>"SPINK5"</f>
        <v>SPINK5</v>
      </c>
      <c r="AT59" s="31" t="s">
        <v>13772</v>
      </c>
      <c r="AU59" s="31" t="s">
        <v>13777</v>
      </c>
      <c r="AV59" s="31">
        <v>9606</v>
      </c>
      <c r="AW59" s="50" t="str">
        <f>HYPERLINK("http://www.uniprot.org/uniprot/Q9NQ38", "Q9NQ38")</f>
        <v>Q9NQ38</v>
      </c>
      <c r="AX59" s="31" t="s">
        <v>28249</v>
      </c>
      <c r="AY59" s="31" t="s">
        <v>13772</v>
      </c>
      <c r="AZ59" s="31" t="s">
        <v>14321</v>
      </c>
      <c r="BA59" s="31" t="s">
        <v>13780</v>
      </c>
      <c r="BB59" s="31" t="s">
        <v>13772</v>
      </c>
      <c r="BC59" s="31" t="s">
        <v>28250</v>
      </c>
      <c r="BD59" s="31" t="s">
        <v>14404</v>
      </c>
      <c r="BE59" s="31" t="s">
        <v>13772</v>
      </c>
      <c r="BF59" s="31" t="s">
        <v>14375</v>
      </c>
      <c r="BG59" s="31" t="s">
        <v>21731</v>
      </c>
      <c r="BH59" s="31" t="s">
        <v>13812</v>
      </c>
      <c r="BI59" s="31" t="s">
        <v>28251</v>
      </c>
      <c r="BJ59" s="31" t="s">
        <v>28252</v>
      </c>
      <c r="BK59" s="31" t="s">
        <v>16362</v>
      </c>
      <c r="BL59" s="31" t="s">
        <v>13772</v>
      </c>
      <c r="BM59" s="31" t="s">
        <v>16024</v>
      </c>
    </row>
    <row r="60" spans="1:65">
      <c r="A60">
        <v>2371</v>
      </c>
      <c r="B60">
        <v>1</v>
      </c>
      <c r="C60">
        <v>55</v>
      </c>
      <c r="D60" t="s">
        <v>5525</v>
      </c>
      <c r="E60" t="s">
        <v>73</v>
      </c>
      <c r="F60" t="s">
        <v>73</v>
      </c>
      <c r="G60">
        <v>61.2</v>
      </c>
      <c r="H60">
        <v>345</v>
      </c>
      <c r="I60">
        <v>38614</v>
      </c>
      <c r="J60" t="s">
        <v>5526</v>
      </c>
      <c r="K60" s="3" t="s">
        <v>73</v>
      </c>
      <c r="L60">
        <v>719</v>
      </c>
      <c r="M60">
        <v>719</v>
      </c>
      <c r="N60">
        <v>1</v>
      </c>
      <c r="O60" s="11">
        <f t="shared" si="0"/>
        <v>36.901488553530733</v>
      </c>
      <c r="P60" s="36">
        <v>42.407518854215503</v>
      </c>
      <c r="Q60" s="36">
        <v>30.818051861678299</v>
      </c>
      <c r="R60" s="36">
        <v>38.419143883494201</v>
      </c>
      <c r="S60" s="36">
        <v>40.821887497137197</v>
      </c>
      <c r="T60" s="36">
        <v>29.2459962378543</v>
      </c>
      <c r="U60" s="36">
        <v>32.540453632382203</v>
      </c>
      <c r="V60" s="36">
        <v>26.351557071616</v>
      </c>
      <c r="W60" s="36">
        <v>28.2223243414869</v>
      </c>
      <c r="X60" s="37">
        <v>49.275014181187402</v>
      </c>
      <c r="Y60" s="37">
        <v>24.595336228643099</v>
      </c>
      <c r="Z60" s="37">
        <v>21.601467403218301</v>
      </c>
      <c r="AA60" s="37">
        <v>49.099728702796597</v>
      </c>
      <c r="AB60" s="37">
        <v>33.995324935159204</v>
      </c>
      <c r="AC60" s="37">
        <v>32.356813385790097</v>
      </c>
      <c r="AD60" s="37">
        <v>51.290361627322397</v>
      </c>
      <c r="AE60" s="37">
        <v>59.382837012510102</v>
      </c>
      <c r="AF60" s="45">
        <v>0.24875108442375099</v>
      </c>
      <c r="AG60" s="45">
        <v>1.19629710994097</v>
      </c>
      <c r="AH60" s="46">
        <v>0.37684742520918602</v>
      </c>
      <c r="AI60" s="47">
        <v>0.45921844711283299</v>
      </c>
      <c r="AJ60" s="48">
        <v>33.603366672483098</v>
      </c>
      <c r="AK60" s="49">
        <v>40.199610434578403</v>
      </c>
      <c r="AL60" s="31" t="s">
        <v>5874</v>
      </c>
      <c r="AM60" s="31" t="s">
        <v>5832</v>
      </c>
      <c r="AN60" s="31" t="s">
        <v>36338</v>
      </c>
      <c r="AO60" s="31" t="s">
        <v>36339</v>
      </c>
      <c r="AP60" s="31" t="s">
        <v>36340</v>
      </c>
      <c r="AQ60" s="31" t="s">
        <v>36341</v>
      </c>
      <c r="AR60" s="31" t="s">
        <v>36342</v>
      </c>
      <c r="AS60" s="31" t="str">
        <f>"APOH"</f>
        <v>APOH</v>
      </c>
      <c r="AT60" s="31" t="s">
        <v>36343</v>
      </c>
      <c r="AU60" s="31" t="s">
        <v>13777</v>
      </c>
      <c r="AV60" s="31">
        <v>9606</v>
      </c>
      <c r="AW60" s="50" t="str">
        <f>HYPERLINK("http://www.uniprot.org/uniprot/P02749", "P02749")</f>
        <v>P02749</v>
      </c>
      <c r="AX60" s="31" t="s">
        <v>36344</v>
      </c>
      <c r="AY60" s="31" t="s">
        <v>13772</v>
      </c>
      <c r="AZ60" s="31" t="s">
        <v>14321</v>
      </c>
      <c r="BA60" s="31" t="s">
        <v>13793</v>
      </c>
      <c r="BB60" s="31" t="s">
        <v>13772</v>
      </c>
      <c r="BC60" s="31" t="s">
        <v>13772</v>
      </c>
      <c r="BD60" s="31" t="s">
        <v>28012</v>
      </c>
      <c r="BE60" s="31" t="s">
        <v>13772</v>
      </c>
      <c r="BF60" s="31" t="s">
        <v>14073</v>
      </c>
      <c r="BG60" s="31" t="s">
        <v>13796</v>
      </c>
      <c r="BH60" s="31" t="s">
        <v>13812</v>
      </c>
      <c r="BI60" s="31" t="s">
        <v>36345</v>
      </c>
      <c r="BJ60" s="31" t="s">
        <v>36346</v>
      </c>
      <c r="BK60" s="31" t="s">
        <v>36347</v>
      </c>
      <c r="BL60" s="31" t="s">
        <v>13772</v>
      </c>
      <c r="BM60" s="31" t="s">
        <v>15665</v>
      </c>
    </row>
    <row r="61" spans="1:65">
      <c r="A61">
        <v>62</v>
      </c>
      <c r="B61">
        <v>1</v>
      </c>
      <c r="C61">
        <v>56</v>
      </c>
      <c r="D61" t="s">
        <v>178</v>
      </c>
      <c r="E61" t="s">
        <v>73</v>
      </c>
      <c r="F61" t="s">
        <v>73</v>
      </c>
      <c r="G61">
        <v>46.3</v>
      </c>
      <c r="H61">
        <v>1460</v>
      </c>
      <c r="I61">
        <v>138797</v>
      </c>
      <c r="J61" t="s">
        <v>180</v>
      </c>
      <c r="K61" s="3" t="s">
        <v>73</v>
      </c>
      <c r="L61">
        <v>714</v>
      </c>
      <c r="M61">
        <v>709</v>
      </c>
      <c r="N61">
        <v>0.99299999999999999</v>
      </c>
      <c r="O61" s="11">
        <f t="shared" si="0"/>
        <v>50.409281626022704</v>
      </c>
      <c r="P61" s="36">
        <v>135.70406033348999</v>
      </c>
      <c r="Q61" s="36">
        <v>54.894654878614503</v>
      </c>
      <c r="R61" s="36">
        <v>144.07178956310301</v>
      </c>
      <c r="S61" s="36">
        <v>143.632567119557</v>
      </c>
      <c r="T61" s="36">
        <v>69.674285154888295</v>
      </c>
      <c r="U61" s="36">
        <v>75.865743325782503</v>
      </c>
      <c r="V61" s="36">
        <v>44.270615880314899</v>
      </c>
      <c r="W61" s="36">
        <v>42.820078311221501</v>
      </c>
      <c r="X61" s="37">
        <v>7.1528246392046197</v>
      </c>
      <c r="Y61" s="37">
        <v>11.351693643989099</v>
      </c>
      <c r="Z61" s="37">
        <v>16.0010869653469</v>
      </c>
      <c r="AA61" s="37">
        <v>8.4654704659994096</v>
      </c>
      <c r="AB61" s="37">
        <v>6.4315479607058004</v>
      </c>
      <c r="AC61" s="37">
        <v>20.440035772974699</v>
      </c>
      <c r="AD61" s="37">
        <v>12.068320382899399</v>
      </c>
      <c r="AE61" s="37">
        <v>13.7037316182716</v>
      </c>
      <c r="AF61" s="45">
        <v>-2.8760284378897301</v>
      </c>
      <c r="AG61" s="45">
        <v>-7.4354017680978499</v>
      </c>
      <c r="AH61" s="46">
        <v>1.6486464246348499E-13</v>
      </c>
      <c r="AI61" s="47">
        <v>5.8049708320037598E-12</v>
      </c>
      <c r="AJ61" s="48">
        <v>88.866724320871398</v>
      </c>
      <c r="AK61" s="49">
        <v>11.951838931173899</v>
      </c>
      <c r="AL61" s="31" t="s">
        <v>5875</v>
      </c>
      <c r="AM61" s="31" t="s">
        <v>5876</v>
      </c>
      <c r="AN61" s="31" t="s">
        <v>13863</v>
      </c>
      <c r="AO61" s="31" t="s">
        <v>13864</v>
      </c>
      <c r="AP61" s="31" t="s">
        <v>13865</v>
      </c>
      <c r="AQ61" s="31" t="s">
        <v>13866</v>
      </c>
      <c r="AR61" s="31" t="s">
        <v>13867</v>
      </c>
      <c r="AS61" s="31" t="str">
        <f>"COL1A1"</f>
        <v>COL1A1</v>
      </c>
      <c r="AT61" s="31" t="s">
        <v>13772</v>
      </c>
      <c r="AU61" s="31" t="s">
        <v>13777</v>
      </c>
      <c r="AV61" s="31">
        <v>9606</v>
      </c>
      <c r="AW61" s="50" t="str">
        <f>HYPERLINK("http://www.uniprot.org/uniprot/P02452", "P02452")</f>
        <v>P02452</v>
      </c>
      <c r="AX61" s="31" t="s">
        <v>13868</v>
      </c>
      <c r="AY61" s="31" t="s">
        <v>13772</v>
      </c>
      <c r="AZ61" s="31" t="s">
        <v>13869</v>
      </c>
      <c r="BA61" s="31" t="s">
        <v>13870</v>
      </c>
      <c r="BB61" s="31" t="s">
        <v>13772</v>
      </c>
      <c r="BC61" s="31" t="s">
        <v>13871</v>
      </c>
      <c r="BD61" s="31" t="s">
        <v>13872</v>
      </c>
      <c r="BE61" s="31" t="s">
        <v>13873</v>
      </c>
      <c r="BF61" s="31" t="s">
        <v>13772</v>
      </c>
      <c r="BG61" s="31" t="s">
        <v>13874</v>
      </c>
      <c r="BH61" s="31" t="s">
        <v>13812</v>
      </c>
      <c r="BI61" s="31" t="s">
        <v>13875</v>
      </c>
      <c r="BJ61" s="31" t="s">
        <v>13876</v>
      </c>
      <c r="BK61" s="31" t="s">
        <v>13877</v>
      </c>
      <c r="BL61" s="31" t="s">
        <v>13772</v>
      </c>
      <c r="BM61" s="31" t="s">
        <v>13878</v>
      </c>
    </row>
    <row r="62" spans="1:65">
      <c r="A62">
        <v>647</v>
      </c>
      <c r="B62">
        <v>1</v>
      </c>
      <c r="C62">
        <v>57</v>
      </c>
      <c r="D62" t="s">
        <v>1600</v>
      </c>
      <c r="E62" t="s">
        <v>73</v>
      </c>
      <c r="F62" t="s">
        <v>73</v>
      </c>
      <c r="G62">
        <v>55.7</v>
      </c>
      <c r="H62">
        <v>149</v>
      </c>
      <c r="I62">
        <v>16248</v>
      </c>
      <c r="J62" t="s">
        <v>1601</v>
      </c>
      <c r="K62" s="3" t="s">
        <v>73</v>
      </c>
      <c r="L62">
        <v>696</v>
      </c>
      <c r="M62">
        <v>696</v>
      </c>
      <c r="N62">
        <v>1</v>
      </c>
      <c r="O62" s="11">
        <f t="shared" si="0"/>
        <v>40.835388213166617</v>
      </c>
      <c r="P62" s="36">
        <v>36.349301875041903</v>
      </c>
      <c r="Q62" s="36">
        <v>26.002731258291099</v>
      </c>
      <c r="R62" s="36">
        <v>36.8183462216819</v>
      </c>
      <c r="S62" s="36">
        <v>39.309965737984001</v>
      </c>
      <c r="T62" s="36">
        <v>27.525643517980502</v>
      </c>
      <c r="U62" s="36">
        <v>26.032362905905799</v>
      </c>
      <c r="V62" s="36">
        <v>25.297494788751401</v>
      </c>
      <c r="W62" s="36">
        <v>25.302773547539999</v>
      </c>
      <c r="X62" s="37">
        <v>41.327431248737803</v>
      </c>
      <c r="Y62" s="37">
        <v>47.929373163509702</v>
      </c>
      <c r="Z62" s="37">
        <v>53.603641333912002</v>
      </c>
      <c r="AA62" s="37">
        <v>50.7928227959964</v>
      </c>
      <c r="AB62" s="37">
        <v>44.1020431591255</v>
      </c>
      <c r="AC62" s="37">
        <v>39.459528519256203</v>
      </c>
      <c r="AD62" s="37">
        <v>51.290361627322397</v>
      </c>
      <c r="AE62" s="37">
        <v>82.222389709629297</v>
      </c>
      <c r="AF62" s="45">
        <v>0.75930225842756305</v>
      </c>
      <c r="AG62" s="45">
        <v>1.6927544007875801</v>
      </c>
      <c r="AH62" s="46">
        <v>3.31093602098729E-3</v>
      </c>
      <c r="AI62" s="47">
        <v>6.7121702970924201E-3</v>
      </c>
      <c r="AJ62" s="48">
        <v>30.329827481647101</v>
      </c>
      <c r="AK62" s="49">
        <v>51.340948944686197</v>
      </c>
      <c r="AL62" s="31" t="s">
        <v>5874</v>
      </c>
      <c r="AM62" s="31" t="s">
        <v>5876</v>
      </c>
      <c r="AN62" s="31" t="s">
        <v>20164</v>
      </c>
      <c r="AO62" s="31" t="s">
        <v>20165</v>
      </c>
      <c r="AP62" s="31" t="s">
        <v>20166</v>
      </c>
      <c r="AQ62" s="31" t="s">
        <v>20167</v>
      </c>
      <c r="AR62" s="31" t="s">
        <v>20168</v>
      </c>
      <c r="AS62" s="31" t="str">
        <f>"CST3"</f>
        <v>CST3</v>
      </c>
      <c r="AT62" s="31" t="s">
        <v>13772</v>
      </c>
      <c r="AU62" s="31" t="s">
        <v>13777</v>
      </c>
      <c r="AV62" s="31">
        <v>9606</v>
      </c>
      <c r="AW62" s="50" t="str">
        <f>HYPERLINK("http://www.uniprot.org/uniprot/P01034", "P01034")</f>
        <v>P01034</v>
      </c>
      <c r="AX62" s="31" t="s">
        <v>20169</v>
      </c>
      <c r="AY62" s="31" t="s">
        <v>13772</v>
      </c>
      <c r="AZ62" s="31" t="s">
        <v>20170</v>
      </c>
      <c r="BA62" s="31" t="s">
        <v>13793</v>
      </c>
      <c r="BB62" s="31" t="s">
        <v>13772</v>
      </c>
      <c r="BC62" s="31" t="s">
        <v>20171</v>
      </c>
      <c r="BD62" s="31" t="s">
        <v>13808</v>
      </c>
      <c r="BE62" s="31" t="s">
        <v>13772</v>
      </c>
      <c r="BF62" s="31" t="s">
        <v>19559</v>
      </c>
      <c r="BG62" s="31" t="s">
        <v>13964</v>
      </c>
      <c r="BH62" s="31" t="s">
        <v>13812</v>
      </c>
      <c r="BI62" s="31" t="s">
        <v>20172</v>
      </c>
      <c r="BJ62" s="31" t="s">
        <v>20173</v>
      </c>
      <c r="BK62" s="31" t="s">
        <v>20174</v>
      </c>
      <c r="BL62" s="31" t="s">
        <v>13772</v>
      </c>
      <c r="BM62" s="31" t="s">
        <v>20175</v>
      </c>
    </row>
    <row r="63" spans="1:65">
      <c r="A63">
        <v>1122</v>
      </c>
      <c r="B63">
        <v>1</v>
      </c>
      <c r="C63">
        <v>58</v>
      </c>
      <c r="D63" t="s">
        <v>2698</v>
      </c>
      <c r="E63" t="s">
        <v>2699</v>
      </c>
      <c r="F63" t="s">
        <v>73</v>
      </c>
      <c r="G63">
        <v>54.2</v>
      </c>
      <c r="H63">
        <v>1480</v>
      </c>
      <c r="I63">
        <v>164847</v>
      </c>
      <c r="J63" t="s">
        <v>2700</v>
      </c>
      <c r="K63" s="3" t="s">
        <v>73</v>
      </c>
      <c r="L63">
        <v>678</v>
      </c>
      <c r="M63">
        <v>671</v>
      </c>
      <c r="N63">
        <v>0.99</v>
      </c>
      <c r="O63" s="11">
        <f t="shared" si="0"/>
        <v>26.688425569570693</v>
      </c>
      <c r="P63" s="36">
        <v>52.100666020893399</v>
      </c>
      <c r="Q63" s="36">
        <v>29.854987741000802</v>
      </c>
      <c r="R63" s="36">
        <v>4.8023929854367697</v>
      </c>
      <c r="S63" s="36">
        <v>9.0715305549193808</v>
      </c>
      <c r="T63" s="36">
        <v>8.6017635993689208</v>
      </c>
      <c r="U63" s="36">
        <v>13.945908699592399</v>
      </c>
      <c r="V63" s="36">
        <v>17.9190588086989</v>
      </c>
      <c r="W63" s="36">
        <v>9.7318359798230603</v>
      </c>
      <c r="X63" s="37">
        <v>42.122189541982699</v>
      </c>
      <c r="Y63" s="37">
        <v>2.5225985875531398</v>
      </c>
      <c r="Z63" s="37">
        <v>4.0002717413367099</v>
      </c>
      <c r="AA63" s="37">
        <v>34.708428910597597</v>
      </c>
      <c r="AB63" s="37">
        <v>22.9698141453778</v>
      </c>
      <c r="AC63" s="37">
        <v>7.1027151334661296</v>
      </c>
      <c r="AD63" s="37">
        <v>90.2106948621729</v>
      </c>
      <c r="AE63" s="37">
        <v>77.349951800910503</v>
      </c>
      <c r="AF63" s="45">
        <v>0.92186114701243205</v>
      </c>
      <c r="AG63" s="45">
        <v>1.92419527001229</v>
      </c>
      <c r="AH63" s="46">
        <v>0.14227723809244799</v>
      </c>
      <c r="AI63" s="47">
        <v>0.19346234204033999</v>
      </c>
      <c r="AJ63" s="48">
        <v>18.2535180487167</v>
      </c>
      <c r="AK63" s="49">
        <v>35.123333090424701</v>
      </c>
      <c r="AL63" s="31" t="s">
        <v>5874</v>
      </c>
      <c r="AM63" s="31" t="s">
        <v>5832</v>
      </c>
      <c r="AN63" s="31" t="s">
        <v>24621</v>
      </c>
      <c r="AO63" s="31" t="s">
        <v>24622</v>
      </c>
      <c r="AP63" s="31" t="s">
        <v>24623</v>
      </c>
      <c r="AQ63" s="31" t="s">
        <v>24624</v>
      </c>
      <c r="AR63" s="31" t="s">
        <v>24625</v>
      </c>
      <c r="AS63" s="31" t="str">
        <f>"A2M"</f>
        <v>A2M</v>
      </c>
      <c r="AT63" s="31" t="s">
        <v>24626</v>
      </c>
      <c r="AU63" s="31" t="s">
        <v>13777</v>
      </c>
      <c r="AV63" s="31">
        <v>9606</v>
      </c>
      <c r="AW63" s="50" t="str">
        <f>HYPERLINK("http://www.uniprot.org/uniprot/P01023", "P01023")</f>
        <v>P01023</v>
      </c>
      <c r="AX63" s="31" t="s">
        <v>24627</v>
      </c>
      <c r="AY63" s="31" t="s">
        <v>13772</v>
      </c>
      <c r="AZ63" s="31" t="s">
        <v>14321</v>
      </c>
      <c r="BA63" s="31" t="s">
        <v>13793</v>
      </c>
      <c r="BB63" s="31" t="s">
        <v>13772</v>
      </c>
      <c r="BC63" s="31" t="s">
        <v>13772</v>
      </c>
      <c r="BD63" s="31" t="s">
        <v>24628</v>
      </c>
      <c r="BE63" s="31" t="s">
        <v>13772</v>
      </c>
      <c r="BF63" s="31" t="s">
        <v>14375</v>
      </c>
      <c r="BG63" s="31" t="s">
        <v>24629</v>
      </c>
      <c r="BH63" s="31" t="s">
        <v>13812</v>
      </c>
      <c r="BI63" s="31" t="s">
        <v>24630</v>
      </c>
      <c r="BJ63" s="31" t="s">
        <v>24631</v>
      </c>
      <c r="BK63" s="31" t="s">
        <v>24632</v>
      </c>
      <c r="BL63" s="31" t="s">
        <v>13772</v>
      </c>
      <c r="BM63" s="31" t="s">
        <v>24633</v>
      </c>
    </row>
    <row r="64" spans="1:65">
      <c r="A64">
        <v>1782</v>
      </c>
      <c r="B64">
        <v>1</v>
      </c>
      <c r="C64">
        <v>59</v>
      </c>
      <c r="D64" t="s">
        <v>4214</v>
      </c>
      <c r="E64" t="s">
        <v>73</v>
      </c>
      <c r="F64" t="s">
        <v>73</v>
      </c>
      <c r="G64">
        <v>77.2</v>
      </c>
      <c r="H64">
        <v>447</v>
      </c>
      <c r="I64">
        <v>51395</v>
      </c>
      <c r="J64" t="s">
        <v>4216</v>
      </c>
      <c r="K64" s="3" t="s">
        <v>73</v>
      </c>
      <c r="L64">
        <v>694</v>
      </c>
      <c r="M64">
        <v>610</v>
      </c>
      <c r="N64">
        <v>0.879</v>
      </c>
      <c r="O64" s="11">
        <f t="shared" si="0"/>
        <v>30.590658859523778</v>
      </c>
      <c r="P64" s="36">
        <v>20.234444710439998</v>
      </c>
      <c r="Q64" s="36">
        <v>23.498764544529699</v>
      </c>
      <c r="R64" s="36">
        <v>15.3676575533977</v>
      </c>
      <c r="S64" s="36">
        <v>18.596637637584699</v>
      </c>
      <c r="T64" s="36">
        <v>19.956091550535898</v>
      </c>
      <c r="U64" s="36">
        <v>9.9480815390425494</v>
      </c>
      <c r="V64" s="36">
        <v>18.5514961784177</v>
      </c>
      <c r="W64" s="36">
        <v>19.171716880251399</v>
      </c>
      <c r="X64" s="37">
        <v>30.121339313983899</v>
      </c>
      <c r="Y64" s="37">
        <v>16.207695925028901</v>
      </c>
      <c r="Z64" s="37">
        <v>26.481798927648999</v>
      </c>
      <c r="AA64" s="37">
        <v>38.348581210977301</v>
      </c>
      <c r="AB64" s="37">
        <v>58.527086442422799</v>
      </c>
      <c r="AC64" s="37">
        <v>34.566546982868502</v>
      </c>
      <c r="AD64" s="37">
        <v>71.3539442638926</v>
      </c>
      <c r="AE64" s="37">
        <v>68.518658091357807</v>
      </c>
      <c r="AF64" s="45">
        <v>1.2144217435855</v>
      </c>
      <c r="AG64" s="45">
        <v>2.3679746102070398</v>
      </c>
      <c r="AH64" s="46">
        <v>3.2518408763509499E-4</v>
      </c>
      <c r="AI64" s="47">
        <v>8.1785020536796304E-4</v>
      </c>
      <c r="AJ64" s="48">
        <v>18.165611324275002</v>
      </c>
      <c r="AK64" s="49">
        <v>43.0157063947726</v>
      </c>
      <c r="AL64" s="31" t="s">
        <v>5874</v>
      </c>
      <c r="AM64" s="31" t="s">
        <v>5876</v>
      </c>
      <c r="AN64" s="31" t="s">
        <v>30908</v>
      </c>
      <c r="AO64" s="31" t="s">
        <v>30909</v>
      </c>
      <c r="AP64" s="31" t="s">
        <v>30910</v>
      </c>
      <c r="AQ64" s="31" t="s">
        <v>30911</v>
      </c>
      <c r="AR64" s="31" t="s">
        <v>30912</v>
      </c>
      <c r="AS64" s="31" t="str">
        <f>"CFH"</f>
        <v>CFH</v>
      </c>
      <c r="AT64" s="31" t="s">
        <v>30913</v>
      </c>
      <c r="AU64" s="31" t="s">
        <v>13777</v>
      </c>
      <c r="AV64" s="31">
        <v>9606</v>
      </c>
      <c r="AW64" s="50" t="str">
        <f>HYPERLINK("http://www.uniprot.org/uniprot/P08603", "P08603")</f>
        <v>P08603</v>
      </c>
      <c r="AX64" s="31" t="s">
        <v>30914</v>
      </c>
      <c r="AY64" s="31" t="s">
        <v>30915</v>
      </c>
      <c r="AZ64" s="31" t="s">
        <v>14321</v>
      </c>
      <c r="BA64" s="31" t="s">
        <v>13780</v>
      </c>
      <c r="BB64" s="31" t="s">
        <v>13772</v>
      </c>
      <c r="BC64" s="31" t="s">
        <v>21037</v>
      </c>
      <c r="BD64" s="31" t="s">
        <v>28012</v>
      </c>
      <c r="BE64" s="31" t="s">
        <v>13772</v>
      </c>
      <c r="BF64" s="31" t="s">
        <v>13772</v>
      </c>
      <c r="BG64" s="31" t="s">
        <v>13796</v>
      </c>
      <c r="BH64" s="31" t="s">
        <v>13812</v>
      </c>
      <c r="BI64" s="31" t="s">
        <v>30916</v>
      </c>
      <c r="BJ64" s="31" t="s">
        <v>24704</v>
      </c>
      <c r="BK64" s="31" t="s">
        <v>30917</v>
      </c>
      <c r="BL64" s="31" t="s">
        <v>13772</v>
      </c>
      <c r="BM64" s="31" t="s">
        <v>22277</v>
      </c>
    </row>
    <row r="65" spans="1:65">
      <c r="A65">
        <v>771</v>
      </c>
      <c r="B65">
        <v>1</v>
      </c>
      <c r="C65">
        <v>60</v>
      </c>
      <c r="D65" t="s">
        <v>1895</v>
      </c>
      <c r="E65" t="s">
        <v>73</v>
      </c>
      <c r="F65" t="s">
        <v>73</v>
      </c>
      <c r="G65">
        <v>65.5</v>
      </c>
      <c r="H65">
        <v>354</v>
      </c>
      <c r="I65">
        <v>39084</v>
      </c>
      <c r="J65" t="s">
        <v>1896</v>
      </c>
      <c r="K65" s="3" t="s">
        <v>73</v>
      </c>
      <c r="L65">
        <v>629</v>
      </c>
      <c r="M65">
        <v>629</v>
      </c>
      <c r="N65">
        <v>1</v>
      </c>
      <c r="O65" s="11">
        <f t="shared" si="0"/>
        <v>34.580463373451636</v>
      </c>
      <c r="P65" s="36">
        <v>77.5451773334227</v>
      </c>
      <c r="Q65" s="36">
        <v>21.1874106549038</v>
      </c>
      <c r="R65" s="36">
        <v>38.419143883494201</v>
      </c>
      <c r="S65" s="36">
        <v>24.1907481464517</v>
      </c>
      <c r="T65" s="36">
        <v>18.0637035586747</v>
      </c>
      <c r="U65" s="36">
        <v>17.6648176861503</v>
      </c>
      <c r="V65" s="36">
        <v>21.081245657292801</v>
      </c>
      <c r="W65" s="36">
        <v>48.659179899115301</v>
      </c>
      <c r="X65" s="37">
        <v>27.021781970328501</v>
      </c>
      <c r="Y65" s="37">
        <v>22.072737641090001</v>
      </c>
      <c r="Z65" s="37">
        <v>28.001902189357001</v>
      </c>
      <c r="AA65" s="37">
        <v>32.168787770797699</v>
      </c>
      <c r="AB65" s="37">
        <v>33.0765323693441</v>
      </c>
      <c r="AC65" s="37">
        <v>21.308145400398399</v>
      </c>
      <c r="AD65" s="37">
        <v>54.307441723047198</v>
      </c>
      <c r="AE65" s="37">
        <v>68.518658091357807</v>
      </c>
      <c r="AF65" s="45">
        <v>8.8518584385641599E-2</v>
      </c>
      <c r="AG65" s="45">
        <v>1.0737020920378999</v>
      </c>
      <c r="AH65" s="46">
        <v>0.81023885926400896</v>
      </c>
      <c r="AI65" s="47">
        <v>0.86176438290559998</v>
      </c>
      <c r="AJ65" s="48">
        <v>33.351428352438198</v>
      </c>
      <c r="AK65" s="49">
        <v>35.809498394465102</v>
      </c>
      <c r="AL65" s="31" t="s">
        <v>5874</v>
      </c>
      <c r="AM65" s="31" t="s">
        <v>5832</v>
      </c>
      <c r="AN65" s="31" t="s">
        <v>21380</v>
      </c>
      <c r="AO65" s="31" t="s">
        <v>13772</v>
      </c>
      <c r="AP65" s="31" t="s">
        <v>21381</v>
      </c>
      <c r="AQ65" s="31" t="s">
        <v>21382</v>
      </c>
      <c r="AR65" s="31" t="s">
        <v>21383</v>
      </c>
      <c r="AS65" s="31" t="str">
        <f>"LRG1"</f>
        <v>LRG1</v>
      </c>
      <c r="AT65" s="31" t="s">
        <v>21384</v>
      </c>
      <c r="AU65" s="31" t="s">
        <v>13777</v>
      </c>
      <c r="AV65" s="31">
        <v>9606</v>
      </c>
      <c r="AW65" s="50" t="str">
        <f>HYPERLINK("http://www.uniprot.org/uniprot/P02750", "P02750")</f>
        <v>P02750</v>
      </c>
      <c r="AX65" s="31" t="s">
        <v>21385</v>
      </c>
      <c r="AY65" s="31" t="s">
        <v>13772</v>
      </c>
      <c r="AZ65" s="31" t="s">
        <v>14321</v>
      </c>
      <c r="BA65" s="31" t="s">
        <v>13793</v>
      </c>
      <c r="BB65" s="31" t="s">
        <v>13772</v>
      </c>
      <c r="BC65" s="31" t="s">
        <v>13772</v>
      </c>
      <c r="BD65" s="31" t="s">
        <v>19328</v>
      </c>
      <c r="BE65" s="31" t="s">
        <v>13772</v>
      </c>
      <c r="BF65" s="31" t="s">
        <v>13772</v>
      </c>
      <c r="BG65" s="31" t="s">
        <v>13796</v>
      </c>
      <c r="BH65" s="31" t="s">
        <v>13772</v>
      </c>
      <c r="BI65" s="31" t="s">
        <v>21386</v>
      </c>
      <c r="BJ65" s="31" t="s">
        <v>21387</v>
      </c>
      <c r="BK65" s="31" t="s">
        <v>21388</v>
      </c>
      <c r="BL65" s="31" t="s">
        <v>13772</v>
      </c>
      <c r="BM65" s="31" t="s">
        <v>13890</v>
      </c>
    </row>
    <row r="66" spans="1:65">
      <c r="A66">
        <v>2002</v>
      </c>
      <c r="B66">
        <v>1</v>
      </c>
      <c r="C66">
        <v>61</v>
      </c>
      <c r="D66" t="s">
        <v>4711</v>
      </c>
      <c r="E66" t="s">
        <v>73</v>
      </c>
      <c r="F66" t="s">
        <v>73</v>
      </c>
      <c r="G66">
        <v>79.3</v>
      </c>
      <c r="H66">
        <v>261</v>
      </c>
      <c r="I66">
        <v>28854</v>
      </c>
      <c r="J66" t="s">
        <v>4712</v>
      </c>
      <c r="K66" s="3" t="s">
        <v>73</v>
      </c>
      <c r="L66">
        <v>620</v>
      </c>
      <c r="M66">
        <v>620</v>
      </c>
      <c r="N66">
        <v>1</v>
      </c>
      <c r="O66" s="11">
        <f t="shared" si="0"/>
        <v>44.3640666595794</v>
      </c>
      <c r="P66" s="36">
        <v>72.698603750083706</v>
      </c>
      <c r="Q66" s="36">
        <v>95.343347947067201</v>
      </c>
      <c r="R66" s="36">
        <v>124.862217621356</v>
      </c>
      <c r="S66" s="36">
        <v>143.632567119557</v>
      </c>
      <c r="T66" s="36">
        <v>71.394637874761997</v>
      </c>
      <c r="U66" s="36">
        <v>51.134998565171998</v>
      </c>
      <c r="V66" s="36">
        <v>76.946546649118801</v>
      </c>
      <c r="W66" s="36">
        <v>34.061425929380697</v>
      </c>
      <c r="X66" s="37">
        <v>0.19868957331123899</v>
      </c>
      <c r="Y66" s="37">
        <v>2.5225985875531398</v>
      </c>
      <c r="Z66" s="37">
        <v>4.0002717413367099</v>
      </c>
      <c r="AA66" s="37">
        <v>0.21163676164998499</v>
      </c>
      <c r="AB66" s="37">
        <v>4.5939628290755703</v>
      </c>
      <c r="AC66" s="37">
        <v>3.94595285192562</v>
      </c>
      <c r="AD66" s="37">
        <v>9.0512402871745401</v>
      </c>
      <c r="AE66" s="37">
        <v>15.2263684647462</v>
      </c>
      <c r="AF66" s="45">
        <v>-4.1730856654470303</v>
      </c>
      <c r="AG66" s="45">
        <v>-16.8569104400699</v>
      </c>
      <c r="AH66" s="46">
        <v>2.39576658393795E-15</v>
      </c>
      <c r="AI66" s="47">
        <v>1.6027678446544901E-13</v>
      </c>
      <c r="AJ66" s="48">
        <v>83.759293182062194</v>
      </c>
      <c r="AK66" s="49">
        <v>4.9688401370966204</v>
      </c>
      <c r="AL66" s="31" t="s">
        <v>5875</v>
      </c>
      <c r="AM66" s="31" t="s">
        <v>5876</v>
      </c>
      <c r="AN66" s="31" t="s">
        <v>32957</v>
      </c>
      <c r="AO66" s="31" t="s">
        <v>32958</v>
      </c>
      <c r="AP66" s="31" t="s">
        <v>32959</v>
      </c>
      <c r="AQ66" s="31" t="s">
        <v>32960</v>
      </c>
      <c r="AR66" s="31" t="s">
        <v>32961</v>
      </c>
      <c r="AS66" s="31" t="str">
        <f>"KLK1"</f>
        <v>KLK1</v>
      </c>
      <c r="AT66" s="31" t="s">
        <v>13772</v>
      </c>
      <c r="AU66" s="31" t="s">
        <v>13777</v>
      </c>
      <c r="AV66" s="31">
        <v>9606</v>
      </c>
      <c r="AW66" s="50" t="str">
        <f>HYPERLINK("http://www.uniprot.org/uniprot/P06870", "P06870")</f>
        <v>P06870</v>
      </c>
      <c r="AX66" s="31" t="s">
        <v>32962</v>
      </c>
      <c r="AY66" s="31" t="s">
        <v>13772</v>
      </c>
      <c r="AZ66" s="31" t="s">
        <v>13772</v>
      </c>
      <c r="BA66" s="31" t="s">
        <v>13780</v>
      </c>
      <c r="BB66" s="31" t="s">
        <v>13772</v>
      </c>
      <c r="BC66" s="31" t="s">
        <v>13772</v>
      </c>
      <c r="BD66" s="31" t="s">
        <v>13808</v>
      </c>
      <c r="BE66" s="31" t="s">
        <v>13772</v>
      </c>
      <c r="BF66" s="31" t="s">
        <v>15176</v>
      </c>
      <c r="BG66" s="31" t="s">
        <v>15472</v>
      </c>
      <c r="BH66" s="31" t="s">
        <v>13812</v>
      </c>
      <c r="BI66" s="31" t="s">
        <v>32963</v>
      </c>
      <c r="BJ66" s="31" t="s">
        <v>32964</v>
      </c>
      <c r="BK66" s="31" t="s">
        <v>25219</v>
      </c>
      <c r="BL66" s="31" t="s">
        <v>13772</v>
      </c>
      <c r="BM66" s="31" t="s">
        <v>23670</v>
      </c>
    </row>
    <row r="67" spans="1:65">
      <c r="A67">
        <v>805</v>
      </c>
      <c r="B67">
        <v>1</v>
      </c>
      <c r="C67">
        <v>62</v>
      </c>
      <c r="D67" t="s">
        <v>1975</v>
      </c>
      <c r="E67" t="s">
        <v>73</v>
      </c>
      <c r="F67" t="s">
        <v>73</v>
      </c>
      <c r="G67">
        <v>56.5</v>
      </c>
      <c r="H67">
        <v>170</v>
      </c>
      <c r="I67">
        <v>19725</v>
      </c>
      <c r="J67" t="s">
        <v>1976</v>
      </c>
      <c r="K67" s="3" t="s">
        <v>73</v>
      </c>
      <c r="L67">
        <v>619</v>
      </c>
      <c r="M67">
        <v>619</v>
      </c>
      <c r="N67">
        <v>1</v>
      </c>
      <c r="O67" s="11">
        <f t="shared" si="0"/>
        <v>35.811348342326724</v>
      </c>
      <c r="P67" s="36">
        <v>38.7725886667113</v>
      </c>
      <c r="Q67" s="36">
        <v>39.485628947775297</v>
      </c>
      <c r="R67" s="36">
        <v>54.427120501616798</v>
      </c>
      <c r="S67" s="36">
        <v>69.548400921048597</v>
      </c>
      <c r="T67" s="36">
        <v>26.6654671580437</v>
      </c>
      <c r="U67" s="36">
        <v>19.5242721794293</v>
      </c>
      <c r="V67" s="36">
        <v>32.675930768803902</v>
      </c>
      <c r="W67" s="36">
        <v>11.678203175787701</v>
      </c>
      <c r="X67" s="37">
        <v>28.6112985568185</v>
      </c>
      <c r="Y67" s="37">
        <v>36.577679519520601</v>
      </c>
      <c r="Z67" s="37">
        <v>20.0013587066836</v>
      </c>
      <c r="AA67" s="37">
        <v>28.782599584398</v>
      </c>
      <c r="AB67" s="37">
        <v>38.589287764234797</v>
      </c>
      <c r="AC67" s="37">
        <v>48.9298153638778</v>
      </c>
      <c r="AD67" s="37">
        <v>49.781821579460001</v>
      </c>
      <c r="AE67" s="37">
        <v>28.930100083017699</v>
      </c>
      <c r="AF67" s="45">
        <v>-4.8573093068231502E-2</v>
      </c>
      <c r="AG67" s="45">
        <v>-1.04487320989055</v>
      </c>
      <c r="AH67" s="46">
        <v>0.88062253167665705</v>
      </c>
      <c r="AI67" s="47">
        <v>0.916230907763116</v>
      </c>
      <c r="AJ67" s="48">
        <v>36.597201539902102</v>
      </c>
      <c r="AK67" s="49">
        <v>35.025495144751297</v>
      </c>
      <c r="AL67" s="31" t="s">
        <v>5875</v>
      </c>
      <c r="AM67" s="31" t="s">
        <v>5832</v>
      </c>
      <c r="AN67" s="31" t="s">
        <v>21724</v>
      </c>
      <c r="AO67" s="31" t="s">
        <v>21725</v>
      </c>
      <c r="AP67" s="31" t="s">
        <v>21726</v>
      </c>
      <c r="AQ67" s="31" t="s">
        <v>21727</v>
      </c>
      <c r="AR67" s="31" t="s">
        <v>21728</v>
      </c>
      <c r="AS67" s="31" t="str">
        <f>"CAMP"</f>
        <v>CAMP</v>
      </c>
      <c r="AT67" s="31" t="s">
        <v>13772</v>
      </c>
      <c r="AU67" s="31" t="s">
        <v>13777</v>
      </c>
      <c r="AV67" s="31">
        <v>9606</v>
      </c>
      <c r="AW67" s="50" t="str">
        <f>HYPERLINK("http://www.uniprot.org/uniprot/P49913", "P49913")</f>
        <v>P49913</v>
      </c>
      <c r="AX67" s="31" t="s">
        <v>21729</v>
      </c>
      <c r="AY67" s="31" t="s">
        <v>13772</v>
      </c>
      <c r="AZ67" s="31" t="s">
        <v>14321</v>
      </c>
      <c r="BA67" s="31" t="s">
        <v>13772</v>
      </c>
      <c r="BB67" s="31" t="s">
        <v>13772</v>
      </c>
      <c r="BC67" s="31" t="s">
        <v>13772</v>
      </c>
      <c r="BD67" s="31" t="s">
        <v>13808</v>
      </c>
      <c r="BE67" s="31" t="s">
        <v>13772</v>
      </c>
      <c r="BF67" s="31" t="s">
        <v>21730</v>
      </c>
      <c r="BG67" s="31" t="s">
        <v>21731</v>
      </c>
      <c r="BH67" s="31" t="s">
        <v>13812</v>
      </c>
      <c r="BI67" s="31" t="s">
        <v>21732</v>
      </c>
      <c r="BJ67" s="31" t="s">
        <v>21733</v>
      </c>
      <c r="BK67" s="31" t="s">
        <v>21734</v>
      </c>
      <c r="BL67" s="31" t="s">
        <v>13772</v>
      </c>
      <c r="BM67" s="31" t="s">
        <v>21735</v>
      </c>
    </row>
    <row r="68" spans="1:65">
      <c r="A68">
        <v>643</v>
      </c>
      <c r="B68">
        <v>1</v>
      </c>
      <c r="C68">
        <v>63</v>
      </c>
      <c r="D68" t="s">
        <v>1589</v>
      </c>
      <c r="E68" t="s">
        <v>73</v>
      </c>
      <c r="F68" t="s">
        <v>73</v>
      </c>
      <c r="G68">
        <v>82.9</v>
      </c>
      <c r="H68">
        <v>129</v>
      </c>
      <c r="I68">
        <v>14296</v>
      </c>
      <c r="J68" t="s">
        <v>1590</v>
      </c>
      <c r="K68" s="3" t="s">
        <v>73</v>
      </c>
      <c r="L68">
        <v>836</v>
      </c>
      <c r="M68">
        <v>239</v>
      </c>
      <c r="N68">
        <v>0.28599999999999998</v>
      </c>
      <c r="O68" s="11">
        <f t="shared" si="0"/>
        <v>26.228268540175186</v>
      </c>
      <c r="P68" s="36">
        <v>39.257246025045198</v>
      </c>
      <c r="Q68" s="36">
        <v>0.24076603016936199</v>
      </c>
      <c r="R68" s="36">
        <v>0.48023929854367697</v>
      </c>
      <c r="S68" s="36">
        <v>0.37798043978830698</v>
      </c>
      <c r="T68" s="36">
        <v>0.215044089984223</v>
      </c>
      <c r="U68" s="36">
        <v>0.23243181165987301</v>
      </c>
      <c r="V68" s="36">
        <v>0.21081245657292799</v>
      </c>
      <c r="W68" s="36">
        <v>0.24329589949557701</v>
      </c>
      <c r="X68" s="37">
        <v>153.070447278979</v>
      </c>
      <c r="Y68" s="37">
        <v>39.4156029305178</v>
      </c>
      <c r="Z68" s="37">
        <v>24.561668491807399</v>
      </c>
      <c r="AA68" s="37">
        <v>23.703317304798301</v>
      </c>
      <c r="AB68" s="37">
        <v>18.008334289976201</v>
      </c>
      <c r="AC68" s="37">
        <v>18.309221232934899</v>
      </c>
      <c r="AD68" s="37">
        <v>41.333997311430402</v>
      </c>
      <c r="AE68" s="37">
        <v>59.991891751099899</v>
      </c>
      <c r="AF68" s="45">
        <v>3.1803958811794</v>
      </c>
      <c r="AG68" s="45">
        <v>9.1714617206451798</v>
      </c>
      <c r="AH68" s="46">
        <v>1.0790619450777E-3</v>
      </c>
      <c r="AI68" s="47">
        <v>2.3983137583288299E-3</v>
      </c>
      <c r="AJ68" s="48">
        <v>5.1572270064073997</v>
      </c>
      <c r="AK68" s="49">
        <v>47.299310073942998</v>
      </c>
      <c r="AL68" s="31" t="s">
        <v>5874</v>
      </c>
      <c r="AM68" s="31" t="s">
        <v>5876</v>
      </c>
      <c r="AN68" s="31" t="s">
        <v>19672</v>
      </c>
      <c r="AO68" s="31" t="s">
        <v>19673</v>
      </c>
      <c r="AP68" s="31" t="s">
        <v>19674</v>
      </c>
      <c r="AQ68" s="31" t="s">
        <v>19675</v>
      </c>
      <c r="AR68" s="31" t="s">
        <v>19676</v>
      </c>
      <c r="AS68" s="31" t="str">
        <f>"SAA1"</f>
        <v>SAA1</v>
      </c>
      <c r="AT68" s="31" t="s">
        <v>13772</v>
      </c>
      <c r="AU68" s="31" t="s">
        <v>13777</v>
      </c>
      <c r="AV68" s="31">
        <v>9606</v>
      </c>
      <c r="AW68" s="50" t="str">
        <f>HYPERLINK("http://www.uniprot.org/uniprot/P0DJI8", "P0DJI8")</f>
        <v>P0DJI8</v>
      </c>
      <c r="AX68" s="31" t="s">
        <v>19677</v>
      </c>
      <c r="AY68" s="31" t="s">
        <v>14374</v>
      </c>
      <c r="AZ68" s="31" t="s">
        <v>19678</v>
      </c>
      <c r="BA68" s="31" t="s">
        <v>13793</v>
      </c>
      <c r="BB68" s="31" t="s">
        <v>13772</v>
      </c>
      <c r="BC68" s="31" t="s">
        <v>19679</v>
      </c>
      <c r="BD68" s="31" t="s">
        <v>13808</v>
      </c>
      <c r="BE68" s="31" t="s">
        <v>13772</v>
      </c>
      <c r="BF68" s="31" t="s">
        <v>14073</v>
      </c>
      <c r="BG68" s="31" t="s">
        <v>17914</v>
      </c>
      <c r="BH68" s="31" t="s">
        <v>13812</v>
      </c>
      <c r="BI68" s="31" t="s">
        <v>19680</v>
      </c>
      <c r="BJ68" s="31" t="s">
        <v>19681</v>
      </c>
      <c r="BK68" s="31" t="s">
        <v>19682</v>
      </c>
      <c r="BL68" s="31" t="s">
        <v>13772</v>
      </c>
      <c r="BM68" s="31" t="s">
        <v>19683</v>
      </c>
    </row>
    <row r="69" spans="1:65">
      <c r="A69">
        <v>834</v>
      </c>
      <c r="B69">
        <v>1</v>
      </c>
      <c r="C69">
        <v>64</v>
      </c>
      <c r="D69" t="s">
        <v>2042</v>
      </c>
      <c r="E69" t="s">
        <v>73</v>
      </c>
      <c r="F69" t="s">
        <v>73</v>
      </c>
      <c r="G69">
        <v>71.599999999999994</v>
      </c>
      <c r="H69">
        <v>81</v>
      </c>
      <c r="I69">
        <v>8772</v>
      </c>
      <c r="J69" t="s">
        <v>2043</v>
      </c>
      <c r="K69" s="3" t="s">
        <v>73</v>
      </c>
      <c r="L69">
        <v>605</v>
      </c>
      <c r="M69">
        <v>605</v>
      </c>
      <c r="N69">
        <v>1</v>
      </c>
      <c r="O69" s="11">
        <f t="shared" si="0"/>
        <v>40.229671013879845</v>
      </c>
      <c r="P69" s="36">
        <v>37.560945270876601</v>
      </c>
      <c r="Q69" s="36">
        <v>76.082065533518303</v>
      </c>
      <c r="R69" s="36">
        <v>108.85424100323399</v>
      </c>
      <c r="S69" s="36">
        <v>105.83452314072601</v>
      </c>
      <c r="T69" s="36">
        <v>54.191110676024202</v>
      </c>
      <c r="U69" s="36">
        <v>30.6809991391032</v>
      </c>
      <c r="V69" s="36">
        <v>59.027487840419901</v>
      </c>
      <c r="W69" s="36">
        <v>22.383222753593</v>
      </c>
      <c r="X69" s="37">
        <v>9.53709951893949</v>
      </c>
      <c r="Y69" s="37">
        <v>11.982343290877401</v>
      </c>
      <c r="Z69" s="37">
        <v>25.601739144555001</v>
      </c>
      <c r="AA69" s="37">
        <v>12.6982056989991</v>
      </c>
      <c r="AB69" s="37">
        <v>17.457058750487199</v>
      </c>
      <c r="AC69" s="37">
        <v>14.2054302669323</v>
      </c>
      <c r="AD69" s="37">
        <v>30.170800957248499</v>
      </c>
      <c r="AE69" s="37">
        <v>27.407463236543101</v>
      </c>
      <c r="AF69" s="45">
        <v>-1.7410468730421</v>
      </c>
      <c r="AG69" s="45">
        <v>-3.3182217089600199</v>
      </c>
      <c r="AH69" s="46">
        <v>8.4373740933540206E-6</v>
      </c>
      <c r="AI69" s="47">
        <v>3.1534096471809097E-5</v>
      </c>
      <c r="AJ69" s="48">
        <v>61.826824419686901</v>
      </c>
      <c r="AK69" s="49">
        <v>18.6325176080727</v>
      </c>
      <c r="AL69" s="31" t="s">
        <v>5875</v>
      </c>
      <c r="AM69" s="31" t="s">
        <v>5876</v>
      </c>
      <c r="AN69" s="31" t="s">
        <v>22016</v>
      </c>
      <c r="AO69" s="31" t="s">
        <v>22017</v>
      </c>
      <c r="AP69" s="31" t="s">
        <v>22018</v>
      </c>
      <c r="AQ69" s="31" t="s">
        <v>22019</v>
      </c>
      <c r="AR69" s="31" t="s">
        <v>13772</v>
      </c>
      <c r="AS69" s="31" t="str">
        <f>"TFF1"</f>
        <v>TFF1</v>
      </c>
      <c r="AT69" s="31" t="s">
        <v>22020</v>
      </c>
      <c r="AU69" s="31" t="s">
        <v>13777</v>
      </c>
      <c r="AV69" s="31">
        <v>9606</v>
      </c>
      <c r="AW69" s="50" t="str">
        <f>HYPERLINK("http://www.uniprot.org/uniprot/P04155", "P04155")</f>
        <v>P04155</v>
      </c>
      <c r="AX69" s="31" t="s">
        <v>22021</v>
      </c>
      <c r="AY69" s="31" t="s">
        <v>13772</v>
      </c>
      <c r="AZ69" s="31" t="s">
        <v>14321</v>
      </c>
      <c r="BA69" s="31" t="s">
        <v>13793</v>
      </c>
      <c r="BB69" s="31" t="s">
        <v>13772</v>
      </c>
      <c r="BC69" s="31" t="s">
        <v>13772</v>
      </c>
      <c r="BD69" s="31" t="s">
        <v>13808</v>
      </c>
      <c r="BE69" s="31" t="s">
        <v>13772</v>
      </c>
      <c r="BF69" s="31" t="s">
        <v>15740</v>
      </c>
      <c r="BG69" s="31" t="s">
        <v>14506</v>
      </c>
      <c r="BH69" s="31" t="s">
        <v>13812</v>
      </c>
      <c r="BI69" s="31" t="s">
        <v>22022</v>
      </c>
      <c r="BJ69" s="31" t="s">
        <v>22023</v>
      </c>
      <c r="BK69" s="31" t="s">
        <v>22024</v>
      </c>
      <c r="BL69" s="31" t="s">
        <v>13772</v>
      </c>
      <c r="BM69" s="31" t="s">
        <v>21872</v>
      </c>
    </row>
    <row r="70" spans="1:65">
      <c r="A70">
        <v>2341</v>
      </c>
      <c r="B70">
        <v>1</v>
      </c>
      <c r="C70">
        <v>65</v>
      </c>
      <c r="D70" t="s">
        <v>5461</v>
      </c>
      <c r="E70" t="s">
        <v>73</v>
      </c>
      <c r="F70" t="s">
        <v>73</v>
      </c>
      <c r="G70">
        <v>48.1</v>
      </c>
      <c r="H70">
        <v>470</v>
      </c>
      <c r="I70">
        <v>53356</v>
      </c>
      <c r="J70" t="s">
        <v>5462</v>
      </c>
      <c r="K70" s="3" t="s">
        <v>73</v>
      </c>
      <c r="L70">
        <v>603</v>
      </c>
      <c r="M70">
        <v>603</v>
      </c>
      <c r="N70">
        <v>1</v>
      </c>
      <c r="O70" s="11">
        <f t="shared" si="0"/>
        <v>38.357569194415895</v>
      </c>
      <c r="P70" s="36">
        <v>64.217099979240601</v>
      </c>
      <c r="Q70" s="36">
        <v>41.411757189130199</v>
      </c>
      <c r="R70" s="36">
        <v>81.640680752425098</v>
      </c>
      <c r="S70" s="36">
        <v>86.179540271734098</v>
      </c>
      <c r="T70" s="36">
        <v>40.428288917033903</v>
      </c>
      <c r="U70" s="36">
        <v>31.610726385742701</v>
      </c>
      <c r="V70" s="36">
        <v>46.378740446044198</v>
      </c>
      <c r="W70" s="36">
        <v>38.927343919292198</v>
      </c>
      <c r="X70" s="37">
        <v>23.047990504103801</v>
      </c>
      <c r="Y70" s="37">
        <v>10.7210439971009</v>
      </c>
      <c r="Z70" s="37">
        <v>16.801141313614199</v>
      </c>
      <c r="AA70" s="37">
        <v>27.0895054911981</v>
      </c>
      <c r="AB70" s="37">
        <v>11.944303355596499</v>
      </c>
      <c r="AC70" s="37">
        <v>22.097335970783501</v>
      </c>
      <c r="AD70" s="37">
        <v>36.204961148698096</v>
      </c>
      <c r="AE70" s="37">
        <v>35.020647468916202</v>
      </c>
      <c r="AF70" s="45">
        <v>-1.2479064678857399</v>
      </c>
      <c r="AG70" s="45">
        <v>-2.3550068851364401</v>
      </c>
      <c r="AH70" s="46">
        <v>2.5155237034424002E-4</v>
      </c>
      <c r="AI70" s="47">
        <v>6.44783661916846E-4</v>
      </c>
      <c r="AJ70" s="48">
        <v>53.849272232580397</v>
      </c>
      <c r="AK70" s="49">
        <v>22.8658661562514</v>
      </c>
      <c r="AL70" s="31" t="s">
        <v>5875</v>
      </c>
      <c r="AM70" s="31" t="s">
        <v>5876</v>
      </c>
      <c r="AN70" s="31" t="s">
        <v>36066</v>
      </c>
      <c r="AO70" s="31" t="s">
        <v>36067</v>
      </c>
      <c r="AP70" s="31" t="s">
        <v>36068</v>
      </c>
      <c r="AQ70" s="31" t="s">
        <v>36069</v>
      </c>
      <c r="AR70" s="31" t="s">
        <v>36070</v>
      </c>
      <c r="AS70" s="31" t="str">
        <f>"VTN"</f>
        <v>VTN</v>
      </c>
      <c r="AT70" s="31" t="s">
        <v>13772</v>
      </c>
      <c r="AU70" s="31" t="s">
        <v>13777</v>
      </c>
      <c r="AV70" s="31">
        <v>9606</v>
      </c>
      <c r="AW70" s="50" t="str">
        <f>HYPERLINK("http://www.uniprot.org/uniprot/P04004", "P04004")</f>
        <v>P04004</v>
      </c>
      <c r="AX70" s="31" t="s">
        <v>36071</v>
      </c>
      <c r="AY70" s="31" t="s">
        <v>13949</v>
      </c>
      <c r="AZ70" s="31" t="s">
        <v>14321</v>
      </c>
      <c r="BA70" s="31" t="s">
        <v>13793</v>
      </c>
      <c r="BB70" s="31" t="s">
        <v>13772</v>
      </c>
      <c r="BC70" s="31" t="s">
        <v>13772</v>
      </c>
      <c r="BD70" s="31" t="s">
        <v>14404</v>
      </c>
      <c r="BE70" s="31" t="s">
        <v>13772</v>
      </c>
      <c r="BF70" s="31" t="s">
        <v>14073</v>
      </c>
      <c r="BG70" s="31" t="s">
        <v>14159</v>
      </c>
      <c r="BH70" s="31" t="s">
        <v>13812</v>
      </c>
      <c r="BI70" s="31" t="s">
        <v>36072</v>
      </c>
      <c r="BJ70" s="31" t="s">
        <v>36073</v>
      </c>
      <c r="BK70" s="31" t="s">
        <v>36074</v>
      </c>
      <c r="BL70" s="31" t="s">
        <v>13772</v>
      </c>
      <c r="BM70" s="31" t="s">
        <v>36075</v>
      </c>
    </row>
    <row r="71" spans="1:65">
      <c r="A71">
        <v>1110</v>
      </c>
      <c r="B71">
        <v>1</v>
      </c>
      <c r="C71">
        <v>66</v>
      </c>
      <c r="D71" t="s">
        <v>2670</v>
      </c>
      <c r="E71" t="s">
        <v>73</v>
      </c>
      <c r="F71" t="s">
        <v>73</v>
      </c>
      <c r="G71">
        <v>61.7</v>
      </c>
      <c r="H71">
        <v>287</v>
      </c>
      <c r="I71">
        <v>30916</v>
      </c>
      <c r="J71" t="s">
        <v>2671</v>
      </c>
      <c r="K71" s="3" t="s">
        <v>73</v>
      </c>
      <c r="L71">
        <v>597</v>
      </c>
      <c r="M71">
        <v>597</v>
      </c>
      <c r="N71">
        <v>1</v>
      </c>
      <c r="O71" s="11">
        <f t="shared" ref="O71:O134" si="1">AVERAGE(P71:AE71)</f>
        <v>32.380289689472015</v>
      </c>
      <c r="P71" s="36">
        <v>12.116433958347301</v>
      </c>
      <c r="Q71" s="36">
        <v>2.8891923620323401</v>
      </c>
      <c r="R71" s="36">
        <v>4.8023929854367697</v>
      </c>
      <c r="S71" s="36">
        <v>3.0238435183064598</v>
      </c>
      <c r="T71" s="36">
        <v>1.72035271987378</v>
      </c>
      <c r="U71" s="36">
        <v>2.7891817399184702</v>
      </c>
      <c r="V71" s="36">
        <v>4.21624913145856</v>
      </c>
      <c r="W71" s="36">
        <v>0.97318359798230603</v>
      </c>
      <c r="X71" s="37">
        <v>63.5806634595966</v>
      </c>
      <c r="Y71" s="37">
        <v>72.524709392152801</v>
      </c>
      <c r="Z71" s="37">
        <v>48.803315244307903</v>
      </c>
      <c r="AA71" s="37">
        <v>45.713540516396797</v>
      </c>
      <c r="AB71" s="37">
        <v>39.5080803300499</v>
      </c>
      <c r="AC71" s="37">
        <v>37.881147378485998</v>
      </c>
      <c r="AD71" s="37">
        <v>64.867222058084195</v>
      </c>
      <c r="AE71" s="37">
        <v>112.675126639122</v>
      </c>
      <c r="AF71" s="45">
        <v>3.9030791855854998</v>
      </c>
      <c r="AG71" s="45">
        <v>14.9259580778863</v>
      </c>
      <c r="AH71" s="46">
        <v>1.99081713660675E-19</v>
      </c>
      <c r="AI71" s="47">
        <v>4.4395222146330497E-17</v>
      </c>
      <c r="AJ71" s="48">
        <v>4.0663537516695003</v>
      </c>
      <c r="AK71" s="49">
        <v>60.694225627274498</v>
      </c>
      <c r="AL71" s="31" t="s">
        <v>5874</v>
      </c>
      <c r="AM71" s="31" t="s">
        <v>5876</v>
      </c>
      <c r="AN71" s="31" t="s">
        <v>24546</v>
      </c>
      <c r="AO71" s="31" t="s">
        <v>13772</v>
      </c>
      <c r="AP71" s="31" t="s">
        <v>24547</v>
      </c>
      <c r="AQ71" s="31" t="s">
        <v>24548</v>
      </c>
      <c r="AR71" s="31" t="s">
        <v>24549</v>
      </c>
      <c r="AS71" s="31" t="str">
        <f>"IGFBP6"</f>
        <v>IGFBP6</v>
      </c>
      <c r="AT71" s="31" t="s">
        <v>24550</v>
      </c>
      <c r="AU71" s="31" t="s">
        <v>13777</v>
      </c>
      <c r="AV71" s="31">
        <v>9606</v>
      </c>
      <c r="AW71" s="50" t="str">
        <f>HYPERLINK("http://www.uniprot.org/uniprot/P24592", "P24592")</f>
        <v>P24592</v>
      </c>
      <c r="AX71" s="31" t="s">
        <v>24551</v>
      </c>
      <c r="AY71" s="31" t="s">
        <v>13772</v>
      </c>
      <c r="AZ71" s="31" t="s">
        <v>14321</v>
      </c>
      <c r="BA71" s="31" t="s">
        <v>13793</v>
      </c>
      <c r="BB71" s="31" t="s">
        <v>13772</v>
      </c>
      <c r="BC71" s="31" t="s">
        <v>13772</v>
      </c>
      <c r="BD71" s="31" t="s">
        <v>13808</v>
      </c>
      <c r="BE71" s="31" t="s">
        <v>13772</v>
      </c>
      <c r="BF71" s="31" t="s">
        <v>16896</v>
      </c>
      <c r="BG71" s="31" t="s">
        <v>13796</v>
      </c>
      <c r="BH71" s="31" t="s">
        <v>13812</v>
      </c>
      <c r="BI71" s="31" t="s">
        <v>24552</v>
      </c>
      <c r="BJ71" s="31" t="s">
        <v>24553</v>
      </c>
      <c r="BK71" s="31" t="s">
        <v>24554</v>
      </c>
      <c r="BL71" s="31" t="s">
        <v>13772</v>
      </c>
      <c r="BM71" s="31" t="s">
        <v>23670</v>
      </c>
    </row>
    <row r="72" spans="1:65">
      <c r="A72">
        <v>1517</v>
      </c>
      <c r="B72">
        <v>1</v>
      </c>
      <c r="C72">
        <v>67</v>
      </c>
      <c r="D72" t="s">
        <v>3611</v>
      </c>
      <c r="E72" t="s">
        <v>73</v>
      </c>
      <c r="F72" t="s">
        <v>73</v>
      </c>
      <c r="G72">
        <v>62.8</v>
      </c>
      <c r="H72">
        <v>843</v>
      </c>
      <c r="I72">
        <v>92746</v>
      </c>
      <c r="J72" t="s">
        <v>3612</v>
      </c>
      <c r="K72" s="3" t="s">
        <v>73</v>
      </c>
      <c r="L72">
        <v>597</v>
      </c>
      <c r="M72">
        <v>597</v>
      </c>
      <c r="N72">
        <v>1</v>
      </c>
      <c r="O72" s="11">
        <f t="shared" si="1"/>
        <v>30.445257854091203</v>
      </c>
      <c r="P72" s="36">
        <v>30.291084895868199</v>
      </c>
      <c r="Q72" s="36">
        <v>29.854987741000802</v>
      </c>
      <c r="R72" s="36">
        <v>24.0119649271839</v>
      </c>
      <c r="S72" s="36">
        <v>37.798043978830698</v>
      </c>
      <c r="T72" s="36">
        <v>27.525643517980502</v>
      </c>
      <c r="U72" s="36">
        <v>23.243181165987298</v>
      </c>
      <c r="V72" s="36">
        <v>20.027183374428201</v>
      </c>
      <c r="W72" s="36">
        <v>27.249140743504601</v>
      </c>
      <c r="X72" s="37">
        <v>20.663715624368901</v>
      </c>
      <c r="Y72" s="37">
        <v>15.135591525318899</v>
      </c>
      <c r="Z72" s="37">
        <v>18.4012500101489</v>
      </c>
      <c r="AA72" s="37">
        <v>44.866993469796903</v>
      </c>
      <c r="AB72" s="37">
        <v>36.751702632604598</v>
      </c>
      <c r="AC72" s="37">
        <v>23.675717111553698</v>
      </c>
      <c r="AD72" s="37">
        <v>51.290361627322397</v>
      </c>
      <c r="AE72" s="37">
        <v>56.3375633195608</v>
      </c>
      <c r="AF72" s="45">
        <v>0.25504633495719198</v>
      </c>
      <c r="AG72" s="45">
        <v>1.2141881884116801</v>
      </c>
      <c r="AH72" s="46">
        <v>0.41293241538826497</v>
      </c>
      <c r="AI72" s="47">
        <v>0.49596370896723402</v>
      </c>
      <c r="AJ72" s="48">
        <v>27.500153793098001</v>
      </c>
      <c r="AK72" s="49">
        <v>33.390361915084398</v>
      </c>
      <c r="AL72" s="31" t="s">
        <v>5874</v>
      </c>
      <c r="AM72" s="31" t="s">
        <v>5832</v>
      </c>
      <c r="AN72" s="31" t="s">
        <v>28358</v>
      </c>
      <c r="AO72" s="31" t="s">
        <v>13772</v>
      </c>
      <c r="AP72" s="31" t="s">
        <v>28359</v>
      </c>
      <c r="AQ72" s="31" t="s">
        <v>28360</v>
      </c>
      <c r="AR72" s="31" t="s">
        <v>28361</v>
      </c>
      <c r="AS72" s="31" t="str">
        <f>"C7"</f>
        <v>C7</v>
      </c>
      <c r="AT72" s="31" t="s">
        <v>13772</v>
      </c>
      <c r="AU72" s="31" t="s">
        <v>13777</v>
      </c>
      <c r="AV72" s="31">
        <v>9606</v>
      </c>
      <c r="AW72" s="50" t="str">
        <f>HYPERLINK("http://www.uniprot.org/uniprot/P10643", "P10643")</f>
        <v>P10643</v>
      </c>
      <c r="AX72" s="31" t="s">
        <v>28362</v>
      </c>
      <c r="AY72" s="31" t="s">
        <v>16369</v>
      </c>
      <c r="AZ72" s="31" t="s">
        <v>20220</v>
      </c>
      <c r="BA72" s="31" t="s">
        <v>13793</v>
      </c>
      <c r="BB72" s="31" t="s">
        <v>13772</v>
      </c>
      <c r="BC72" s="31" t="s">
        <v>13807</v>
      </c>
      <c r="BD72" s="31" t="s">
        <v>21282</v>
      </c>
      <c r="BE72" s="31" t="s">
        <v>13772</v>
      </c>
      <c r="BF72" s="31" t="s">
        <v>13772</v>
      </c>
      <c r="BG72" s="31" t="s">
        <v>13796</v>
      </c>
      <c r="BH72" s="31" t="s">
        <v>13812</v>
      </c>
      <c r="BI72" s="31" t="s">
        <v>28363</v>
      </c>
      <c r="BJ72" s="31" t="s">
        <v>28364</v>
      </c>
      <c r="BK72" s="31" t="s">
        <v>13772</v>
      </c>
      <c r="BL72" s="31" t="s">
        <v>13772</v>
      </c>
      <c r="BM72" s="31" t="s">
        <v>16375</v>
      </c>
    </row>
    <row r="73" spans="1:65">
      <c r="A73">
        <v>1356</v>
      </c>
      <c r="B73">
        <v>1</v>
      </c>
      <c r="C73">
        <v>68</v>
      </c>
      <c r="D73" t="s">
        <v>3241</v>
      </c>
      <c r="E73" t="s">
        <v>3242</v>
      </c>
      <c r="F73" t="s">
        <v>73</v>
      </c>
      <c r="G73">
        <v>61.6</v>
      </c>
      <c r="H73">
        <v>604</v>
      </c>
      <c r="I73">
        <v>69006</v>
      </c>
      <c r="J73" t="s">
        <v>3243</v>
      </c>
      <c r="K73" s="3" t="s">
        <v>73</v>
      </c>
      <c r="L73">
        <v>593</v>
      </c>
      <c r="M73">
        <v>593</v>
      </c>
      <c r="N73">
        <v>1</v>
      </c>
      <c r="O73" s="11">
        <f t="shared" si="1"/>
        <v>29.9947238820689</v>
      </c>
      <c r="P73" s="36">
        <v>49.677379229223902</v>
      </c>
      <c r="Q73" s="36">
        <v>25.039667137613598</v>
      </c>
      <c r="R73" s="36">
        <v>30.415155574432902</v>
      </c>
      <c r="S73" s="36">
        <v>21.1669046281452</v>
      </c>
      <c r="T73" s="36">
        <v>17.203527198737799</v>
      </c>
      <c r="U73" s="36">
        <v>16.735090439510799</v>
      </c>
      <c r="V73" s="36">
        <v>29.513743920209901</v>
      </c>
      <c r="W73" s="36">
        <v>34.061425929380697</v>
      </c>
      <c r="X73" s="37">
        <v>12.716132691919301</v>
      </c>
      <c r="Y73" s="37">
        <v>11.351693643989099</v>
      </c>
      <c r="Z73" s="37">
        <v>15.2010326170795</v>
      </c>
      <c r="AA73" s="37">
        <v>38.094617096997297</v>
      </c>
      <c r="AB73" s="37">
        <v>41.345665461680099</v>
      </c>
      <c r="AC73" s="37">
        <v>25.254098252323999</v>
      </c>
      <c r="AD73" s="37">
        <v>57.324521818772098</v>
      </c>
      <c r="AE73" s="37">
        <v>54.814926473086203</v>
      </c>
      <c r="AF73" s="45">
        <v>0.17286343718479899</v>
      </c>
      <c r="AG73" s="45">
        <v>1.14427137513504</v>
      </c>
      <c r="AH73" s="46">
        <v>0.64180113528805804</v>
      </c>
      <c r="AI73" s="47">
        <v>0.71323082974702801</v>
      </c>
      <c r="AJ73" s="48">
        <v>27.976611757156899</v>
      </c>
      <c r="AK73" s="49">
        <v>32.012836006980997</v>
      </c>
      <c r="AL73" s="31" t="s">
        <v>5874</v>
      </c>
      <c r="AM73" s="31" t="s">
        <v>5832</v>
      </c>
      <c r="AN73" s="31" t="s">
        <v>26892</v>
      </c>
      <c r="AO73" s="31" t="s">
        <v>26893</v>
      </c>
      <c r="AP73" s="31" t="s">
        <v>26894</v>
      </c>
      <c r="AQ73" s="31" t="s">
        <v>26895</v>
      </c>
      <c r="AR73" s="31" t="s">
        <v>26896</v>
      </c>
      <c r="AS73" s="31" t="str">
        <f>"AFM"</f>
        <v>AFM</v>
      </c>
      <c r="AT73" s="31" t="s">
        <v>26897</v>
      </c>
      <c r="AU73" s="31" t="s">
        <v>13777</v>
      </c>
      <c r="AV73" s="31">
        <v>9606</v>
      </c>
      <c r="AW73" s="50" t="str">
        <f>HYPERLINK("http://www.uniprot.org/uniprot/P43652", "P43652")</f>
        <v>P43652</v>
      </c>
      <c r="AX73" s="31" t="s">
        <v>26898</v>
      </c>
      <c r="AY73" s="31" t="s">
        <v>14347</v>
      </c>
      <c r="AZ73" s="31" t="s">
        <v>14321</v>
      </c>
      <c r="BA73" s="31" t="s">
        <v>13793</v>
      </c>
      <c r="BB73" s="31" t="s">
        <v>13772</v>
      </c>
      <c r="BC73" s="31" t="s">
        <v>13772</v>
      </c>
      <c r="BD73" s="31" t="s">
        <v>14404</v>
      </c>
      <c r="BE73" s="31" t="s">
        <v>13772</v>
      </c>
      <c r="BF73" s="31" t="s">
        <v>13772</v>
      </c>
      <c r="BG73" s="31" t="s">
        <v>13796</v>
      </c>
      <c r="BH73" s="31" t="s">
        <v>13812</v>
      </c>
      <c r="BI73" s="31" t="s">
        <v>26899</v>
      </c>
      <c r="BJ73" s="31" t="s">
        <v>24704</v>
      </c>
      <c r="BK73" s="31" t="s">
        <v>26900</v>
      </c>
      <c r="BL73" s="31" t="s">
        <v>13772</v>
      </c>
      <c r="BM73" s="31" t="s">
        <v>13772</v>
      </c>
    </row>
    <row r="74" spans="1:65">
      <c r="A74">
        <v>915</v>
      </c>
      <c r="B74">
        <v>1</v>
      </c>
      <c r="C74">
        <v>69</v>
      </c>
      <c r="D74" t="s">
        <v>2229</v>
      </c>
      <c r="E74" t="s">
        <v>73</v>
      </c>
      <c r="F74" t="s">
        <v>73</v>
      </c>
      <c r="G74">
        <v>35.200000000000003</v>
      </c>
      <c r="H74">
        <v>3179</v>
      </c>
      <c r="I74">
        <v>343308</v>
      </c>
      <c r="J74" t="s">
        <v>2230</v>
      </c>
      <c r="K74" s="3" t="s">
        <v>73</v>
      </c>
      <c r="L74">
        <v>581</v>
      </c>
      <c r="M74">
        <v>581</v>
      </c>
      <c r="N74">
        <v>1</v>
      </c>
      <c r="O74" s="11">
        <f t="shared" si="1"/>
        <v>34.880325787422585</v>
      </c>
      <c r="P74" s="36">
        <v>31.502728291703001</v>
      </c>
      <c r="Q74" s="36">
        <v>24.0766030169362</v>
      </c>
      <c r="R74" s="36">
        <v>36.8183462216819</v>
      </c>
      <c r="S74" s="36">
        <v>25.7026699056049</v>
      </c>
      <c r="T74" s="36">
        <v>23.224761718296101</v>
      </c>
      <c r="U74" s="36">
        <v>59.502543784927397</v>
      </c>
      <c r="V74" s="36">
        <v>27.405619354480699</v>
      </c>
      <c r="W74" s="36">
        <v>55.471465084991401</v>
      </c>
      <c r="X74" s="37">
        <v>16.689924158144098</v>
      </c>
      <c r="Y74" s="37">
        <v>41.622876694626903</v>
      </c>
      <c r="Z74" s="37">
        <v>38.402608716832397</v>
      </c>
      <c r="AA74" s="37">
        <v>32.168787770797699</v>
      </c>
      <c r="AB74" s="37">
        <v>22.0510215795627</v>
      </c>
      <c r="AC74" s="37">
        <v>37.091956808100903</v>
      </c>
      <c r="AD74" s="37">
        <v>46.764741483735101</v>
      </c>
      <c r="AE74" s="37">
        <v>39.588558008340001</v>
      </c>
      <c r="AF74" s="45">
        <v>-5.9941611060804402E-2</v>
      </c>
      <c r="AG74" s="45">
        <v>-1.0339829652638399</v>
      </c>
      <c r="AH74" s="46">
        <v>0.87754381860154596</v>
      </c>
      <c r="AI74" s="47">
        <v>0.91444986704740505</v>
      </c>
      <c r="AJ74" s="48">
        <v>35.463092172327698</v>
      </c>
      <c r="AK74" s="49">
        <v>34.2975594025175</v>
      </c>
      <c r="AL74" s="31" t="s">
        <v>5875</v>
      </c>
      <c r="AM74" s="31" t="s">
        <v>5832</v>
      </c>
      <c r="AN74" s="31" t="s">
        <v>22807</v>
      </c>
      <c r="AO74" s="31" t="s">
        <v>13772</v>
      </c>
      <c r="AP74" s="31" t="s">
        <v>22808</v>
      </c>
      <c r="AQ74" s="31" t="s">
        <v>22809</v>
      </c>
      <c r="AR74" s="31" t="s">
        <v>22810</v>
      </c>
      <c r="AS74" s="31" t="str">
        <f>"COL6A3"</f>
        <v>COL6A3</v>
      </c>
      <c r="AT74" s="31" t="s">
        <v>13772</v>
      </c>
      <c r="AU74" s="31" t="s">
        <v>13777</v>
      </c>
      <c r="AV74" s="31">
        <v>9606</v>
      </c>
      <c r="AW74" s="50" t="str">
        <f>HYPERLINK("http://www.uniprot.org/uniprot/P12111", "P12111")</f>
        <v>P12111</v>
      </c>
      <c r="AX74" s="31" t="s">
        <v>22811</v>
      </c>
      <c r="AY74" s="31" t="s">
        <v>13949</v>
      </c>
      <c r="AZ74" s="31" t="s">
        <v>13869</v>
      </c>
      <c r="BA74" s="31" t="s">
        <v>13780</v>
      </c>
      <c r="BB74" s="31" t="s">
        <v>13772</v>
      </c>
      <c r="BC74" s="31" t="s">
        <v>22812</v>
      </c>
      <c r="BD74" s="31" t="s">
        <v>13872</v>
      </c>
      <c r="BE74" s="31" t="s">
        <v>13772</v>
      </c>
      <c r="BF74" s="31" t="s">
        <v>14375</v>
      </c>
      <c r="BG74" s="31" t="s">
        <v>14770</v>
      </c>
      <c r="BH74" s="31" t="s">
        <v>13812</v>
      </c>
      <c r="BI74" s="31" t="s">
        <v>22813</v>
      </c>
      <c r="BJ74" s="31" t="s">
        <v>22814</v>
      </c>
      <c r="BK74" s="31" t="s">
        <v>22525</v>
      </c>
      <c r="BL74" s="31" t="s">
        <v>13772</v>
      </c>
      <c r="BM74" s="31" t="s">
        <v>21930</v>
      </c>
    </row>
    <row r="75" spans="1:65">
      <c r="A75">
        <v>2145</v>
      </c>
      <c r="B75">
        <v>1</v>
      </c>
      <c r="C75">
        <v>70</v>
      </c>
      <c r="D75" t="s">
        <v>5028</v>
      </c>
      <c r="E75" t="s">
        <v>73</v>
      </c>
      <c r="F75" t="s">
        <v>73</v>
      </c>
      <c r="G75">
        <v>68.900000000000006</v>
      </c>
      <c r="H75">
        <v>502</v>
      </c>
      <c r="I75">
        <v>55110</v>
      </c>
      <c r="J75" t="s">
        <v>5029</v>
      </c>
      <c r="K75" s="3" t="s">
        <v>73</v>
      </c>
      <c r="L75">
        <v>575</v>
      </c>
      <c r="M75">
        <v>575</v>
      </c>
      <c r="N75">
        <v>1</v>
      </c>
      <c r="O75" s="11">
        <f t="shared" si="1"/>
        <v>32.794973123956382</v>
      </c>
      <c r="P75" s="36">
        <v>31.502728291703001</v>
      </c>
      <c r="Q75" s="36">
        <v>30.818051861678299</v>
      </c>
      <c r="R75" s="36">
        <v>25.612762588996102</v>
      </c>
      <c r="S75" s="36">
        <v>36.286122219677502</v>
      </c>
      <c r="T75" s="36">
        <v>22.3645853583592</v>
      </c>
      <c r="U75" s="36">
        <v>19.5242721794293</v>
      </c>
      <c r="V75" s="36">
        <v>21.081245657292801</v>
      </c>
      <c r="W75" s="36">
        <v>20.436855557628402</v>
      </c>
      <c r="X75" s="37">
        <v>36.558881489268003</v>
      </c>
      <c r="Y75" s="37">
        <v>45.406774575956597</v>
      </c>
      <c r="Z75" s="37">
        <v>41.602826109901798</v>
      </c>
      <c r="AA75" s="37">
        <v>27.936052537797998</v>
      </c>
      <c r="AB75" s="37">
        <v>33.0765323693441</v>
      </c>
      <c r="AC75" s="37">
        <v>33.935194526560402</v>
      </c>
      <c r="AD75" s="37">
        <v>42.239121340147797</v>
      </c>
      <c r="AE75" s="37">
        <v>56.3375633195608</v>
      </c>
      <c r="AF75" s="45">
        <v>0.61145337013274104</v>
      </c>
      <c r="AG75" s="45">
        <v>1.5272268102965301</v>
      </c>
      <c r="AH75" s="46">
        <v>1.86658407596299E-2</v>
      </c>
      <c r="AI75" s="47">
        <v>3.2519394448417699E-2</v>
      </c>
      <c r="AJ75" s="48">
        <v>25.953327964345601</v>
      </c>
      <c r="AK75" s="49">
        <v>39.636618283567202</v>
      </c>
      <c r="AL75" s="31" t="s">
        <v>5874</v>
      </c>
      <c r="AM75" s="31" t="s">
        <v>5878</v>
      </c>
      <c r="AN75" s="31" t="s">
        <v>34277</v>
      </c>
      <c r="AO75" s="31" t="s">
        <v>34278</v>
      </c>
      <c r="AP75" s="31" t="s">
        <v>34279</v>
      </c>
      <c r="AQ75" s="31" t="s">
        <v>34280</v>
      </c>
      <c r="AR75" s="31" t="s">
        <v>34281</v>
      </c>
      <c r="AS75" s="31" t="str">
        <f>"EFEMP1"</f>
        <v>EFEMP1</v>
      </c>
      <c r="AT75" s="31" t="s">
        <v>34282</v>
      </c>
      <c r="AU75" s="31" t="s">
        <v>13777</v>
      </c>
      <c r="AV75" s="31">
        <v>9606</v>
      </c>
      <c r="AW75" s="50" t="str">
        <f>HYPERLINK("http://www.uniprot.org/uniprot/Q12805", "Q12805")</f>
        <v>Q12805</v>
      </c>
      <c r="AX75" s="31" t="s">
        <v>34283</v>
      </c>
      <c r="AY75" s="31" t="s">
        <v>13772</v>
      </c>
      <c r="AZ75" s="31" t="s">
        <v>13869</v>
      </c>
      <c r="BA75" s="31" t="s">
        <v>13780</v>
      </c>
      <c r="BB75" s="31" t="s">
        <v>13772</v>
      </c>
      <c r="BC75" s="31" t="s">
        <v>13807</v>
      </c>
      <c r="BD75" s="31" t="s">
        <v>14768</v>
      </c>
      <c r="BE75" s="31" t="s">
        <v>14465</v>
      </c>
      <c r="BF75" s="31" t="s">
        <v>15740</v>
      </c>
      <c r="BG75" s="31" t="s">
        <v>13796</v>
      </c>
      <c r="BH75" s="31" t="s">
        <v>13772</v>
      </c>
      <c r="BI75" s="31" t="s">
        <v>34284</v>
      </c>
      <c r="BJ75" s="31" t="s">
        <v>27026</v>
      </c>
      <c r="BK75" s="31" t="s">
        <v>34285</v>
      </c>
      <c r="BL75" s="31" t="s">
        <v>13772</v>
      </c>
      <c r="BM75" s="31" t="s">
        <v>14774</v>
      </c>
    </row>
    <row r="76" spans="1:65">
      <c r="A76">
        <v>570</v>
      </c>
      <c r="B76">
        <v>1</v>
      </c>
      <c r="C76">
        <v>71</v>
      </c>
      <c r="D76" t="s">
        <v>1420</v>
      </c>
      <c r="E76" t="s">
        <v>73</v>
      </c>
      <c r="F76" t="s">
        <v>73</v>
      </c>
      <c r="G76">
        <v>53.9</v>
      </c>
      <c r="H76">
        <v>410</v>
      </c>
      <c r="I76">
        <v>44385</v>
      </c>
      <c r="J76" t="s">
        <v>1421</v>
      </c>
      <c r="K76" s="3" t="s">
        <v>73</v>
      </c>
      <c r="L76">
        <v>572</v>
      </c>
      <c r="M76">
        <v>572</v>
      </c>
      <c r="N76">
        <v>1</v>
      </c>
      <c r="O76" s="11">
        <f t="shared" si="1"/>
        <v>34.898199430672136</v>
      </c>
      <c r="P76" s="36">
        <v>58.158883000067</v>
      </c>
      <c r="Q76" s="36">
        <v>45.264013671839997</v>
      </c>
      <c r="R76" s="36">
        <v>49.624727516180002</v>
      </c>
      <c r="S76" s="36">
        <v>71.060322680201807</v>
      </c>
      <c r="T76" s="36">
        <v>43.008817996844598</v>
      </c>
      <c r="U76" s="36">
        <v>29.751271892463699</v>
      </c>
      <c r="V76" s="36">
        <v>37.946242183127097</v>
      </c>
      <c r="W76" s="36">
        <v>27.249140743504601</v>
      </c>
      <c r="X76" s="37">
        <v>21.458473917613802</v>
      </c>
      <c r="Y76" s="37">
        <v>20.811438347313398</v>
      </c>
      <c r="Z76" s="37">
        <v>24.801684796287599</v>
      </c>
      <c r="AA76" s="37">
        <v>26.242958444598202</v>
      </c>
      <c r="AB76" s="37">
        <v>25.726191842823201</v>
      </c>
      <c r="AC76" s="37">
        <v>16.5730019780876</v>
      </c>
      <c r="AD76" s="37">
        <v>22.628100717936299</v>
      </c>
      <c r="AE76" s="37">
        <v>38.065921161865397</v>
      </c>
      <c r="AF76" s="45">
        <v>-0.88440767122850095</v>
      </c>
      <c r="AG76" s="45">
        <v>-1.8443662085252801</v>
      </c>
      <c r="AH76" s="46">
        <v>1.9267657888783899E-3</v>
      </c>
      <c r="AI76" s="47">
        <v>4.1182310311809597E-3</v>
      </c>
      <c r="AJ76" s="48">
        <v>45.257927460528599</v>
      </c>
      <c r="AK76" s="49">
        <v>24.538471400815698</v>
      </c>
      <c r="AL76" s="31" t="s">
        <v>5875</v>
      </c>
      <c r="AM76" s="31" t="s">
        <v>5876</v>
      </c>
      <c r="AN76" s="31" t="s">
        <v>19389</v>
      </c>
      <c r="AO76" s="31" t="s">
        <v>13772</v>
      </c>
      <c r="AP76" s="31" t="s">
        <v>19390</v>
      </c>
      <c r="AQ76" s="31" t="s">
        <v>19391</v>
      </c>
      <c r="AR76" s="31" t="s">
        <v>19392</v>
      </c>
      <c r="AS76" s="31" t="str">
        <f>"CTSD"</f>
        <v>CTSD</v>
      </c>
      <c r="AT76" s="31" t="s">
        <v>19393</v>
      </c>
      <c r="AU76" s="31" t="s">
        <v>13777</v>
      </c>
      <c r="AV76" s="31">
        <v>9606</v>
      </c>
      <c r="AW76" s="50" t="str">
        <f>HYPERLINK("http://www.uniprot.org/uniprot/P07339", "P07339")</f>
        <v>P07339</v>
      </c>
      <c r="AX76" s="31" t="s">
        <v>19394</v>
      </c>
      <c r="AY76" s="31" t="s">
        <v>13772</v>
      </c>
      <c r="AZ76" s="31" t="s">
        <v>14402</v>
      </c>
      <c r="BA76" s="31" t="s">
        <v>13793</v>
      </c>
      <c r="BB76" s="31" t="s">
        <v>13772</v>
      </c>
      <c r="BC76" s="31" t="s">
        <v>19395</v>
      </c>
      <c r="BD76" s="31" t="s">
        <v>13808</v>
      </c>
      <c r="BE76" s="31" t="s">
        <v>13772</v>
      </c>
      <c r="BF76" s="31" t="s">
        <v>15386</v>
      </c>
      <c r="BG76" s="31" t="s">
        <v>15472</v>
      </c>
      <c r="BH76" s="31" t="s">
        <v>13812</v>
      </c>
      <c r="BI76" s="31" t="s">
        <v>19396</v>
      </c>
      <c r="BJ76" s="31" t="s">
        <v>19397</v>
      </c>
      <c r="BK76" s="31" t="s">
        <v>19398</v>
      </c>
      <c r="BL76" s="31" t="s">
        <v>13772</v>
      </c>
      <c r="BM76" s="31" t="s">
        <v>19399</v>
      </c>
    </row>
    <row r="77" spans="1:65">
      <c r="A77">
        <v>618</v>
      </c>
      <c r="B77">
        <v>1</v>
      </c>
      <c r="C77">
        <v>72</v>
      </c>
      <c r="D77" t="s">
        <v>1530</v>
      </c>
      <c r="E77" t="s">
        <v>73</v>
      </c>
      <c r="F77" t="s">
        <v>73</v>
      </c>
      <c r="G77">
        <v>94.7</v>
      </c>
      <c r="H77">
        <v>133</v>
      </c>
      <c r="I77">
        <v>14819</v>
      </c>
      <c r="J77" t="s">
        <v>1532</v>
      </c>
      <c r="K77" s="3" t="s">
        <v>73</v>
      </c>
      <c r="L77">
        <v>562</v>
      </c>
      <c r="M77">
        <v>554</v>
      </c>
      <c r="N77">
        <v>0.98599999999999999</v>
      </c>
      <c r="O77" s="11">
        <f t="shared" si="1"/>
        <v>29.602407322505346</v>
      </c>
      <c r="P77" s="36">
        <v>4.8465735833389196</v>
      </c>
      <c r="Q77" s="36">
        <v>2.8891923620323401</v>
      </c>
      <c r="R77" s="36">
        <v>3.2015953236245198</v>
      </c>
      <c r="S77" s="36">
        <v>4.5357652774596904</v>
      </c>
      <c r="T77" s="36">
        <v>4.3008817996844604</v>
      </c>
      <c r="U77" s="36">
        <v>8.3675452197554208</v>
      </c>
      <c r="V77" s="36">
        <v>34.7840553345331</v>
      </c>
      <c r="W77" s="36">
        <v>72.015586250690603</v>
      </c>
      <c r="X77" s="37">
        <v>33.379848316288196</v>
      </c>
      <c r="Y77" s="37">
        <v>35.316380225743998</v>
      </c>
      <c r="Z77" s="37">
        <v>26.4017934928223</v>
      </c>
      <c r="AA77" s="37">
        <v>49.946275749396499</v>
      </c>
      <c r="AB77" s="37">
        <v>75.984145192909907</v>
      </c>
      <c r="AC77" s="37">
        <v>61.5568644900398</v>
      </c>
      <c r="AD77" s="37">
        <v>24.136640765798798</v>
      </c>
      <c r="AE77" s="37">
        <v>31.975373775967</v>
      </c>
      <c r="AF77" s="45">
        <v>1.3106471030079001</v>
      </c>
      <c r="AG77" s="45">
        <v>2.5099623701247298</v>
      </c>
      <c r="AH77" s="46">
        <v>2.6439763073241501E-2</v>
      </c>
      <c r="AI77" s="47">
        <v>4.3782676970293498E-2</v>
      </c>
      <c r="AJ77" s="48">
        <v>16.867649393889899</v>
      </c>
      <c r="AK77" s="49">
        <v>42.337165251120801</v>
      </c>
      <c r="AL77" s="31" t="s">
        <v>5874</v>
      </c>
      <c r="AM77" s="31" t="s">
        <v>5878</v>
      </c>
      <c r="AN77" s="31" t="s">
        <v>19899</v>
      </c>
      <c r="AO77" s="31" t="s">
        <v>19900</v>
      </c>
      <c r="AP77" s="31" t="s">
        <v>19901</v>
      </c>
      <c r="AQ77" s="31" t="s">
        <v>19902</v>
      </c>
      <c r="AR77" s="31" t="s">
        <v>19903</v>
      </c>
      <c r="AS77" s="31" t="str">
        <f>"FABP3"</f>
        <v>FABP3</v>
      </c>
      <c r="AT77" s="31" t="s">
        <v>19904</v>
      </c>
      <c r="AU77" s="31" t="s">
        <v>13777</v>
      </c>
      <c r="AV77" s="31">
        <v>9606</v>
      </c>
      <c r="AW77" s="50" t="str">
        <f>HYPERLINK("http://www.uniprot.org/uniprot/P05413", "P05413")</f>
        <v>P05413</v>
      </c>
      <c r="AX77" s="31" t="s">
        <v>19905</v>
      </c>
      <c r="AY77" s="31" t="s">
        <v>14192</v>
      </c>
      <c r="AZ77" s="31" t="s">
        <v>13899</v>
      </c>
      <c r="BA77" s="31" t="s">
        <v>13793</v>
      </c>
      <c r="BB77" s="31" t="s">
        <v>13772</v>
      </c>
      <c r="BC77" s="31" t="s">
        <v>13772</v>
      </c>
      <c r="BD77" s="31" t="s">
        <v>13772</v>
      </c>
      <c r="BE77" s="31" t="s">
        <v>13900</v>
      </c>
      <c r="BF77" s="31" t="s">
        <v>13772</v>
      </c>
      <c r="BG77" s="31" t="s">
        <v>13886</v>
      </c>
      <c r="BH77" s="31" t="s">
        <v>13812</v>
      </c>
      <c r="BI77" s="31" t="s">
        <v>19906</v>
      </c>
      <c r="BJ77" s="31" t="s">
        <v>19907</v>
      </c>
      <c r="BK77" s="31" t="s">
        <v>19908</v>
      </c>
      <c r="BL77" s="31" t="s">
        <v>13772</v>
      </c>
      <c r="BM77" s="31" t="s">
        <v>17696</v>
      </c>
    </row>
    <row r="78" spans="1:65">
      <c r="A78">
        <v>108</v>
      </c>
      <c r="B78">
        <v>1</v>
      </c>
      <c r="C78">
        <v>73</v>
      </c>
      <c r="D78" t="s">
        <v>283</v>
      </c>
      <c r="E78" t="s">
        <v>284</v>
      </c>
      <c r="F78" t="s">
        <v>73</v>
      </c>
      <c r="G78">
        <v>57</v>
      </c>
      <c r="H78">
        <v>588</v>
      </c>
      <c r="I78">
        <v>65862</v>
      </c>
      <c r="J78" t="s">
        <v>285</v>
      </c>
      <c r="K78" s="3" t="s">
        <v>73</v>
      </c>
      <c r="L78">
        <v>554</v>
      </c>
      <c r="M78">
        <v>554</v>
      </c>
      <c r="N78">
        <v>1</v>
      </c>
      <c r="O78" s="11">
        <f t="shared" si="1"/>
        <v>27.951616941304511</v>
      </c>
      <c r="P78" s="36">
        <v>46.042449041719699</v>
      </c>
      <c r="Q78" s="36">
        <v>20.224346534226399</v>
      </c>
      <c r="R78" s="36">
        <v>8.00398830906129</v>
      </c>
      <c r="S78" s="36">
        <v>3.0238435183064598</v>
      </c>
      <c r="T78" s="36">
        <v>2.5805290798106801</v>
      </c>
      <c r="U78" s="36">
        <v>6.50809072647644</v>
      </c>
      <c r="V78" s="36">
        <v>10.5406228286464</v>
      </c>
      <c r="W78" s="36">
        <v>26.275957145522302</v>
      </c>
      <c r="X78" s="37">
        <v>37.353639782513</v>
      </c>
      <c r="Y78" s="37">
        <v>35.947029872632299</v>
      </c>
      <c r="Z78" s="37">
        <v>36.002445672030397</v>
      </c>
      <c r="AA78" s="37">
        <v>56.718652122195998</v>
      </c>
      <c r="AB78" s="37">
        <v>28.4825695402685</v>
      </c>
      <c r="AC78" s="37">
        <v>37.091956808100903</v>
      </c>
      <c r="AD78" s="37">
        <v>48.273281531597497</v>
      </c>
      <c r="AE78" s="37">
        <v>44.1564685477639</v>
      </c>
      <c r="AF78" s="45">
        <v>1.3820217766174101</v>
      </c>
      <c r="AG78" s="45">
        <v>2.6300852142736599</v>
      </c>
      <c r="AH78" s="46">
        <v>2.63019618850682E-3</v>
      </c>
      <c r="AI78" s="47">
        <v>5.3810435783212896E-3</v>
      </c>
      <c r="AJ78" s="48">
        <v>15.3999783979712</v>
      </c>
      <c r="AK78" s="49">
        <v>40.503255484637798</v>
      </c>
      <c r="AL78" s="31" t="s">
        <v>5874</v>
      </c>
      <c r="AM78" s="31" t="s">
        <v>5876</v>
      </c>
      <c r="AN78" s="31" t="s">
        <v>14367</v>
      </c>
      <c r="AO78" s="31" t="s">
        <v>14368</v>
      </c>
      <c r="AP78" s="31" t="s">
        <v>14369</v>
      </c>
      <c r="AQ78" s="31" t="s">
        <v>14370</v>
      </c>
      <c r="AR78" s="31" t="s">
        <v>14371</v>
      </c>
      <c r="AS78" s="31" t="str">
        <f>"SERPINF2"</f>
        <v>SERPINF2</v>
      </c>
      <c r="AT78" s="31" t="s">
        <v>14372</v>
      </c>
      <c r="AU78" s="31" t="s">
        <v>13777</v>
      </c>
      <c r="AV78" s="31">
        <v>9606</v>
      </c>
      <c r="AW78" s="50" t="str">
        <f>HYPERLINK("http://www.uniprot.org/uniprot/P08697", "P08697")</f>
        <v>P08697</v>
      </c>
      <c r="AX78" s="31" t="s">
        <v>14373</v>
      </c>
      <c r="AY78" s="31" t="s">
        <v>14374</v>
      </c>
      <c r="AZ78" s="31" t="s">
        <v>14321</v>
      </c>
      <c r="BA78" s="31" t="s">
        <v>13780</v>
      </c>
      <c r="BB78" s="31" t="s">
        <v>13772</v>
      </c>
      <c r="BC78" s="31" t="s">
        <v>13807</v>
      </c>
      <c r="BD78" s="31" t="s">
        <v>13808</v>
      </c>
      <c r="BE78" s="31" t="s">
        <v>13772</v>
      </c>
      <c r="BF78" s="31" t="s">
        <v>14375</v>
      </c>
      <c r="BG78" s="31" t="s">
        <v>14376</v>
      </c>
      <c r="BH78" s="31" t="s">
        <v>13772</v>
      </c>
      <c r="BI78" s="31" t="s">
        <v>14377</v>
      </c>
      <c r="BJ78" s="31" t="s">
        <v>14378</v>
      </c>
      <c r="BK78" s="31" t="s">
        <v>14379</v>
      </c>
      <c r="BL78" s="31" t="s">
        <v>13772</v>
      </c>
      <c r="BM78" s="31" t="s">
        <v>14380</v>
      </c>
    </row>
    <row r="79" spans="1:65">
      <c r="A79">
        <v>143</v>
      </c>
      <c r="B79">
        <v>1</v>
      </c>
      <c r="C79">
        <v>74</v>
      </c>
      <c r="D79" t="s">
        <v>373</v>
      </c>
      <c r="E79" t="s">
        <v>73</v>
      </c>
      <c r="F79" t="s">
        <v>73</v>
      </c>
      <c r="G79">
        <v>41.5</v>
      </c>
      <c r="H79">
        <v>1170</v>
      </c>
      <c r="I79">
        <v>129261</v>
      </c>
      <c r="J79" t="s">
        <v>374</v>
      </c>
      <c r="K79" s="3" t="s">
        <v>73</v>
      </c>
      <c r="L79">
        <v>550</v>
      </c>
      <c r="M79">
        <v>550</v>
      </c>
      <c r="N79">
        <v>1</v>
      </c>
      <c r="O79" s="11">
        <f t="shared" si="1"/>
        <v>29.010038153697682</v>
      </c>
      <c r="P79" s="36">
        <v>18.174650937520902</v>
      </c>
      <c r="Q79" s="36">
        <v>21.1874106549038</v>
      </c>
      <c r="R79" s="36">
        <v>17.608774279934799</v>
      </c>
      <c r="S79" s="36">
        <v>22.6788263872984</v>
      </c>
      <c r="T79" s="36">
        <v>14.6229981189272</v>
      </c>
      <c r="U79" s="36">
        <v>13.0161814529529</v>
      </c>
      <c r="V79" s="36">
        <v>20.027183374428201</v>
      </c>
      <c r="W79" s="36">
        <v>14.597753969734599</v>
      </c>
      <c r="X79" s="37">
        <v>36.558881489268003</v>
      </c>
      <c r="Y79" s="37">
        <v>39.100278107073699</v>
      </c>
      <c r="Z79" s="37">
        <v>30.402065234159</v>
      </c>
      <c r="AA79" s="37">
        <v>48.253181656196602</v>
      </c>
      <c r="AB79" s="37">
        <v>52.371176251461499</v>
      </c>
      <c r="AC79" s="37">
        <v>44.194671941567002</v>
      </c>
      <c r="AD79" s="37">
        <v>21.119560670073898</v>
      </c>
      <c r="AE79" s="37">
        <v>50.247015933662396</v>
      </c>
      <c r="AF79" s="45">
        <v>1.19257106435841</v>
      </c>
      <c r="AG79" s="45">
        <v>2.27072263986779</v>
      </c>
      <c r="AH79" s="46">
        <v>1.5188672851486E-5</v>
      </c>
      <c r="AI79" s="47">
        <v>5.30332033223086E-5</v>
      </c>
      <c r="AJ79" s="48">
        <v>17.7392223969626</v>
      </c>
      <c r="AK79" s="49">
        <v>40.280853910432803</v>
      </c>
      <c r="AL79" s="31" t="s">
        <v>5874</v>
      </c>
      <c r="AM79" s="31" t="s">
        <v>5876</v>
      </c>
      <c r="AN79" s="31" t="s">
        <v>14805</v>
      </c>
      <c r="AO79" s="31" t="s">
        <v>14806</v>
      </c>
      <c r="AP79" s="31" t="s">
        <v>14807</v>
      </c>
      <c r="AQ79" s="31" t="s">
        <v>14808</v>
      </c>
      <c r="AR79" s="31" t="s">
        <v>14809</v>
      </c>
      <c r="AS79" s="31" t="str">
        <f>"THBS1"</f>
        <v>THBS1</v>
      </c>
      <c r="AT79" s="31" t="s">
        <v>14810</v>
      </c>
      <c r="AU79" s="31" t="s">
        <v>13777</v>
      </c>
      <c r="AV79" s="31">
        <v>9606</v>
      </c>
      <c r="AW79" s="50" t="str">
        <f>HYPERLINK("http://www.uniprot.org/uniprot/P07996", "P07996")</f>
        <v>P07996</v>
      </c>
      <c r="AX79" s="31" t="s">
        <v>14811</v>
      </c>
      <c r="AY79" s="31" t="s">
        <v>14812</v>
      </c>
      <c r="AZ79" s="31" t="s">
        <v>14813</v>
      </c>
      <c r="BA79" s="31" t="s">
        <v>13780</v>
      </c>
      <c r="BB79" s="31" t="s">
        <v>13772</v>
      </c>
      <c r="BC79" s="31" t="s">
        <v>13772</v>
      </c>
      <c r="BD79" s="31" t="s">
        <v>14768</v>
      </c>
      <c r="BE79" s="31" t="s">
        <v>14465</v>
      </c>
      <c r="BF79" s="31" t="s">
        <v>14073</v>
      </c>
      <c r="BG79" s="31" t="s">
        <v>13796</v>
      </c>
      <c r="BH79" s="31" t="s">
        <v>13812</v>
      </c>
      <c r="BI79" s="31" t="s">
        <v>14814</v>
      </c>
      <c r="BJ79" s="31" t="s">
        <v>14815</v>
      </c>
      <c r="BK79" s="31" t="s">
        <v>14816</v>
      </c>
      <c r="BL79" s="31" t="s">
        <v>13772</v>
      </c>
      <c r="BM79" s="31" t="s">
        <v>14817</v>
      </c>
    </row>
    <row r="80" spans="1:65">
      <c r="A80">
        <v>71</v>
      </c>
      <c r="B80">
        <v>1</v>
      </c>
      <c r="C80">
        <v>75</v>
      </c>
      <c r="D80" t="s">
        <v>201</v>
      </c>
      <c r="E80" t="s">
        <v>73</v>
      </c>
      <c r="F80" t="s">
        <v>73</v>
      </c>
      <c r="G80">
        <v>91.4</v>
      </c>
      <c r="H80">
        <v>140</v>
      </c>
      <c r="I80">
        <v>15043</v>
      </c>
      <c r="J80" t="s">
        <v>202</v>
      </c>
      <c r="K80" s="3" t="s">
        <v>73</v>
      </c>
      <c r="L80">
        <v>544</v>
      </c>
      <c r="M80">
        <v>544</v>
      </c>
      <c r="N80">
        <v>1</v>
      </c>
      <c r="O80" s="11">
        <f t="shared" si="1"/>
        <v>28.621041406340403</v>
      </c>
      <c r="P80" s="36">
        <v>19.3862943333557</v>
      </c>
      <c r="Q80" s="36">
        <v>11.556769448129399</v>
      </c>
      <c r="R80" s="36">
        <v>9.6047859708735501</v>
      </c>
      <c r="S80" s="36">
        <v>0.37798043978830698</v>
      </c>
      <c r="T80" s="36">
        <v>6.8814108794951396</v>
      </c>
      <c r="U80" s="36">
        <v>10.226999713034401</v>
      </c>
      <c r="V80" s="36">
        <v>13.7028096772403</v>
      </c>
      <c r="W80" s="36">
        <v>11.678203175787701</v>
      </c>
      <c r="X80" s="37">
        <v>35.7641231960231</v>
      </c>
      <c r="Y80" s="37">
        <v>72.524709392152801</v>
      </c>
      <c r="Z80" s="37">
        <v>36.002445672030397</v>
      </c>
      <c r="AA80" s="37">
        <v>37.248070050397402</v>
      </c>
      <c r="AB80" s="37">
        <v>45.020835724940603</v>
      </c>
      <c r="AC80" s="37">
        <v>40.248719089641398</v>
      </c>
      <c r="AD80" s="37">
        <v>42.239121340147797</v>
      </c>
      <c r="AE80" s="37">
        <v>65.473384398408498</v>
      </c>
      <c r="AF80" s="45">
        <v>2.13705593623326</v>
      </c>
      <c r="AG80" s="45">
        <v>4.4898431945120301</v>
      </c>
      <c r="AH80" s="46">
        <v>1.7159296737611599E-9</v>
      </c>
      <c r="AI80" s="47">
        <v>2.01395956446705E-8</v>
      </c>
      <c r="AJ80" s="48">
        <v>10.426906704713099</v>
      </c>
      <c r="AK80" s="49">
        <v>46.815176107967801</v>
      </c>
      <c r="AL80" s="31" t="s">
        <v>5874</v>
      </c>
      <c r="AM80" s="31" t="s">
        <v>5876</v>
      </c>
      <c r="AN80" s="31" t="s">
        <v>13982</v>
      </c>
      <c r="AO80" s="31" t="s">
        <v>13983</v>
      </c>
      <c r="AP80" s="31" t="s">
        <v>13984</v>
      </c>
      <c r="AQ80" s="31" t="s">
        <v>13985</v>
      </c>
      <c r="AR80" s="31" t="s">
        <v>13986</v>
      </c>
      <c r="AS80" s="31" t="str">
        <f>"PFN1"</f>
        <v>PFN1</v>
      </c>
      <c r="AT80" s="31" t="s">
        <v>13772</v>
      </c>
      <c r="AU80" s="31" t="s">
        <v>13777</v>
      </c>
      <c r="AV80" s="31">
        <v>9606</v>
      </c>
      <c r="AW80" s="50" t="str">
        <f>HYPERLINK("http://www.uniprot.org/uniprot/P07737", "P07737")</f>
        <v>P07737</v>
      </c>
      <c r="AX80" s="31" t="s">
        <v>13987</v>
      </c>
      <c r="AY80" s="31" t="s">
        <v>13772</v>
      </c>
      <c r="AZ80" s="31" t="s">
        <v>13988</v>
      </c>
      <c r="BA80" s="31" t="s">
        <v>13772</v>
      </c>
      <c r="BB80" s="31" t="s">
        <v>13772</v>
      </c>
      <c r="BC80" s="31" t="s">
        <v>13989</v>
      </c>
      <c r="BD80" s="31" t="s">
        <v>13772</v>
      </c>
      <c r="BE80" s="31" t="s">
        <v>13772</v>
      </c>
      <c r="BF80" s="31" t="s">
        <v>13990</v>
      </c>
      <c r="BG80" s="31" t="s">
        <v>13991</v>
      </c>
      <c r="BH80" s="31" t="s">
        <v>13812</v>
      </c>
      <c r="BI80" s="31" t="s">
        <v>13992</v>
      </c>
      <c r="BJ80" s="31" t="s">
        <v>13993</v>
      </c>
      <c r="BK80" s="31" t="s">
        <v>13994</v>
      </c>
      <c r="BL80" s="31" t="s">
        <v>13772</v>
      </c>
      <c r="BM80" s="31" t="s">
        <v>13995</v>
      </c>
    </row>
    <row r="81" spans="1:65">
      <c r="A81">
        <v>2446</v>
      </c>
      <c r="B81">
        <v>1</v>
      </c>
      <c r="C81">
        <v>76</v>
      </c>
      <c r="D81" t="s">
        <v>5742</v>
      </c>
      <c r="E81" t="s">
        <v>73</v>
      </c>
      <c r="F81" t="s">
        <v>5743</v>
      </c>
      <c r="G81">
        <v>63.1</v>
      </c>
      <c r="H81">
        <v>333</v>
      </c>
      <c r="I81">
        <v>35794</v>
      </c>
      <c r="J81" t="s">
        <v>5744</v>
      </c>
      <c r="K81" s="3" t="s">
        <v>73</v>
      </c>
      <c r="L81">
        <v>544</v>
      </c>
      <c r="M81">
        <v>544</v>
      </c>
      <c r="N81">
        <v>1</v>
      </c>
      <c r="O81" s="11">
        <f t="shared" si="1"/>
        <v>29.13280840665297</v>
      </c>
      <c r="P81" s="36">
        <v>20.597937729190399</v>
      </c>
      <c r="Q81" s="36">
        <v>25.039667137613598</v>
      </c>
      <c r="R81" s="36">
        <v>20.810369603559401</v>
      </c>
      <c r="S81" s="36">
        <v>19.654982868992001</v>
      </c>
      <c r="T81" s="36">
        <v>28.385819877917399</v>
      </c>
      <c r="U81" s="36">
        <v>30.6809991391032</v>
      </c>
      <c r="V81" s="36">
        <v>21.081245657292801</v>
      </c>
      <c r="W81" s="36">
        <v>30.168691537451501</v>
      </c>
      <c r="X81" s="37">
        <v>75.502037858270896</v>
      </c>
      <c r="Y81" s="37">
        <v>34.055080931967403</v>
      </c>
      <c r="Z81" s="37">
        <v>35.202391323763102</v>
      </c>
      <c r="AA81" s="37">
        <v>33.861881863997603</v>
      </c>
      <c r="AB81" s="37">
        <v>33.995324935159204</v>
      </c>
      <c r="AC81" s="37">
        <v>25.254098252323999</v>
      </c>
      <c r="AD81" s="37">
        <v>15.0854004786242</v>
      </c>
      <c r="AE81" s="37">
        <v>16.749005311220799</v>
      </c>
      <c r="AF81" s="45">
        <v>0.465404652124421</v>
      </c>
      <c r="AG81" s="45">
        <v>1.37310668099072</v>
      </c>
      <c r="AH81" s="46">
        <v>0.162074501729707</v>
      </c>
      <c r="AI81" s="47">
        <v>0.21772658967304101</v>
      </c>
      <c r="AJ81" s="48">
        <v>24.55246419389</v>
      </c>
      <c r="AK81" s="49">
        <v>33.713152619415901</v>
      </c>
      <c r="AL81" s="31" t="s">
        <v>5874</v>
      </c>
      <c r="AM81" s="31" t="s">
        <v>5832</v>
      </c>
      <c r="AN81" s="31" t="s">
        <v>24938</v>
      </c>
      <c r="AO81" s="31" t="s">
        <v>24939</v>
      </c>
      <c r="AP81" s="31" t="s">
        <v>24940</v>
      </c>
      <c r="AQ81" s="31" t="s">
        <v>24941</v>
      </c>
      <c r="AR81" s="31" t="s">
        <v>24942</v>
      </c>
      <c r="AS81" s="31" t="str">
        <f>"GAPDH"</f>
        <v>GAPDH</v>
      </c>
      <c r="AT81" s="31" t="s">
        <v>24943</v>
      </c>
      <c r="AU81" s="31" t="s">
        <v>13777</v>
      </c>
      <c r="AV81" s="31">
        <v>9606</v>
      </c>
      <c r="AW81" s="50" t="str">
        <f>HYPERLINK("http://www.uniprot.org/uniprot/P04406", "P04406")</f>
        <v>P04406</v>
      </c>
      <c r="AX81" s="31" t="s">
        <v>24944</v>
      </c>
      <c r="AY81" s="31" t="s">
        <v>24945</v>
      </c>
      <c r="AZ81" s="31" t="s">
        <v>22446</v>
      </c>
      <c r="BA81" s="31" t="s">
        <v>13780</v>
      </c>
      <c r="BB81" s="31" t="s">
        <v>13772</v>
      </c>
      <c r="BC81" s="31" t="s">
        <v>13772</v>
      </c>
      <c r="BD81" s="31" t="s">
        <v>13772</v>
      </c>
      <c r="BE81" s="31" t="s">
        <v>14492</v>
      </c>
      <c r="BF81" s="31" t="s">
        <v>24946</v>
      </c>
      <c r="BG81" s="31" t="s">
        <v>24947</v>
      </c>
      <c r="BH81" s="31" t="s">
        <v>13812</v>
      </c>
      <c r="BI81" s="31" t="s">
        <v>24948</v>
      </c>
      <c r="BJ81" s="31" t="s">
        <v>24949</v>
      </c>
      <c r="BK81" s="31" t="s">
        <v>24950</v>
      </c>
      <c r="BL81" s="31" t="s">
        <v>24951</v>
      </c>
      <c r="BM81" s="31" t="s">
        <v>16800</v>
      </c>
    </row>
    <row r="82" spans="1:65">
      <c r="A82">
        <v>1188</v>
      </c>
      <c r="B82">
        <v>1</v>
      </c>
      <c r="C82">
        <v>77</v>
      </c>
      <c r="D82" t="s">
        <v>2852</v>
      </c>
      <c r="E82" t="s">
        <v>73</v>
      </c>
      <c r="F82" t="s">
        <v>73</v>
      </c>
      <c r="G82">
        <v>26.5</v>
      </c>
      <c r="H82">
        <v>3620</v>
      </c>
      <c r="I82">
        <v>397107</v>
      </c>
      <c r="J82" t="s">
        <v>2854</v>
      </c>
      <c r="K82" s="3">
        <v>15</v>
      </c>
      <c r="L82">
        <v>541</v>
      </c>
      <c r="M82">
        <v>540</v>
      </c>
      <c r="N82">
        <v>0.998</v>
      </c>
      <c r="O82" s="11">
        <f t="shared" si="1"/>
        <v>36.324534486607661</v>
      </c>
      <c r="P82" s="36">
        <v>54.523952812562797</v>
      </c>
      <c r="Q82" s="36">
        <v>79.934322016228094</v>
      </c>
      <c r="R82" s="36">
        <v>52.826322839804497</v>
      </c>
      <c r="S82" s="36">
        <v>107.346444899879</v>
      </c>
      <c r="T82" s="36">
        <v>89.4583414334368</v>
      </c>
      <c r="U82" s="36">
        <v>62.291725524845901</v>
      </c>
      <c r="V82" s="36">
        <v>45.324678163179499</v>
      </c>
      <c r="W82" s="36">
        <v>40.873711115256903</v>
      </c>
      <c r="X82" s="37">
        <v>0.19868957331123899</v>
      </c>
      <c r="Y82" s="37">
        <v>8.8290950564359996</v>
      </c>
      <c r="Z82" s="37">
        <v>2.4001630448020301</v>
      </c>
      <c r="AA82" s="37">
        <v>1.6930940931998799</v>
      </c>
      <c r="AB82" s="37">
        <v>4.5939628290755703</v>
      </c>
      <c r="AC82" s="37">
        <v>14.2054302669323</v>
      </c>
      <c r="AD82" s="37">
        <v>6.0341601914496898</v>
      </c>
      <c r="AE82" s="37">
        <v>10.658457925322301</v>
      </c>
      <c r="AF82" s="45">
        <v>-3.4470806853681699</v>
      </c>
      <c r="AG82" s="45">
        <v>-10.955483479272701</v>
      </c>
      <c r="AH82" s="46">
        <v>1.1444508485822199E-14</v>
      </c>
      <c r="AI82" s="47">
        <v>5.6423012481090399E-13</v>
      </c>
      <c r="AJ82" s="48">
        <v>66.572437350649196</v>
      </c>
      <c r="AK82" s="49">
        <v>6.0766316225661203</v>
      </c>
      <c r="AL82" s="31" t="s">
        <v>5875</v>
      </c>
      <c r="AM82" s="31" t="s">
        <v>5876</v>
      </c>
      <c r="AN82" s="31" t="s">
        <v>25232</v>
      </c>
      <c r="AO82" s="31" t="s">
        <v>25233</v>
      </c>
      <c r="AP82" s="31" t="s">
        <v>25234</v>
      </c>
      <c r="AQ82" s="31" t="s">
        <v>25235</v>
      </c>
      <c r="AR82" s="31" t="s">
        <v>25236</v>
      </c>
      <c r="AS82" s="31" t="str">
        <f>"CUBN"</f>
        <v>CUBN</v>
      </c>
      <c r="AT82" s="31" t="s">
        <v>25237</v>
      </c>
      <c r="AU82" s="31" t="s">
        <v>13777</v>
      </c>
      <c r="AV82" s="31">
        <v>9606</v>
      </c>
      <c r="AW82" s="50" t="str">
        <f>HYPERLINK("http://www.uniprot.org/uniprot/O60494", "O60494")</f>
        <v>O60494</v>
      </c>
      <c r="AX82" s="31" t="s">
        <v>25238</v>
      </c>
      <c r="AY82" s="31" t="s">
        <v>25239</v>
      </c>
      <c r="AZ82" s="31" t="s">
        <v>25240</v>
      </c>
      <c r="BA82" s="31" t="s">
        <v>13793</v>
      </c>
      <c r="BB82" s="31" t="s">
        <v>13772</v>
      </c>
      <c r="BC82" s="31" t="s">
        <v>13807</v>
      </c>
      <c r="BD82" s="31" t="s">
        <v>14768</v>
      </c>
      <c r="BE82" s="31" t="s">
        <v>25241</v>
      </c>
      <c r="BF82" s="31" t="s">
        <v>13795</v>
      </c>
      <c r="BG82" s="31" t="s">
        <v>15920</v>
      </c>
      <c r="BH82" s="31" t="s">
        <v>13812</v>
      </c>
      <c r="BI82" s="31" t="s">
        <v>25242</v>
      </c>
      <c r="BJ82" s="31" t="s">
        <v>25243</v>
      </c>
      <c r="BK82" s="31" t="s">
        <v>25244</v>
      </c>
      <c r="BL82" s="31" t="s">
        <v>13772</v>
      </c>
      <c r="BM82" s="31" t="s">
        <v>25245</v>
      </c>
    </row>
    <row r="83" spans="1:65">
      <c r="A83">
        <v>1382</v>
      </c>
      <c r="B83">
        <v>1</v>
      </c>
      <c r="C83">
        <v>78</v>
      </c>
      <c r="D83" t="s">
        <v>3302</v>
      </c>
      <c r="E83" t="s">
        <v>73</v>
      </c>
      <c r="F83" t="s">
        <v>73</v>
      </c>
      <c r="G83">
        <v>67.900000000000006</v>
      </c>
      <c r="H83">
        <v>586</v>
      </c>
      <c r="I83">
        <v>69393</v>
      </c>
      <c r="J83" t="s">
        <v>3303</v>
      </c>
      <c r="K83" s="3">
        <v>12</v>
      </c>
      <c r="L83">
        <v>597</v>
      </c>
      <c r="M83">
        <v>377</v>
      </c>
      <c r="N83">
        <v>0.63100000000000001</v>
      </c>
      <c r="O83" s="11">
        <f t="shared" si="1"/>
        <v>32.083686698198925</v>
      </c>
      <c r="P83" s="36">
        <v>32.956700366704602</v>
      </c>
      <c r="Q83" s="36">
        <v>50.175640687295001</v>
      </c>
      <c r="R83" s="36">
        <v>9.6047859708735501</v>
      </c>
      <c r="S83" s="36">
        <v>74.386550550338896</v>
      </c>
      <c r="T83" s="36">
        <v>76.985784214351796</v>
      </c>
      <c r="U83" s="36">
        <v>65.731716337411996</v>
      </c>
      <c r="V83" s="36">
        <v>37.313804813408296</v>
      </c>
      <c r="W83" s="36">
        <v>38.927343919292198</v>
      </c>
      <c r="X83" s="37">
        <v>22.094280552209799</v>
      </c>
      <c r="Y83" s="37">
        <v>25.667440628353202</v>
      </c>
      <c r="Z83" s="37">
        <v>19.121298923589499</v>
      </c>
      <c r="AA83" s="37">
        <v>10.327873968519301</v>
      </c>
      <c r="AB83" s="37">
        <v>12.5874581516671</v>
      </c>
      <c r="AC83" s="37">
        <v>13.652996867662701</v>
      </c>
      <c r="AD83" s="37">
        <v>10.7106343398232</v>
      </c>
      <c r="AE83" s="37">
        <v>13.0946768796817</v>
      </c>
      <c r="AF83" s="45">
        <v>-1.58038865434981</v>
      </c>
      <c r="AG83" s="45">
        <v>-3.0338869958916201</v>
      </c>
      <c r="AH83" s="46">
        <v>2.2296615371015298E-5</v>
      </c>
      <c r="AI83" s="47">
        <v>7.3479978735020796E-5</v>
      </c>
      <c r="AJ83" s="48">
        <v>48.260290857459601</v>
      </c>
      <c r="AK83" s="49">
        <v>15.907082538938299</v>
      </c>
      <c r="AL83" s="31" t="s">
        <v>5875</v>
      </c>
      <c r="AM83" s="31" t="s">
        <v>5876</v>
      </c>
      <c r="AN83" s="31" t="s">
        <v>27125</v>
      </c>
      <c r="AO83" s="31" t="s">
        <v>27126</v>
      </c>
      <c r="AP83" s="31" t="s">
        <v>27127</v>
      </c>
      <c r="AQ83" s="31" t="s">
        <v>27128</v>
      </c>
      <c r="AR83" s="31" t="s">
        <v>27129</v>
      </c>
      <c r="AS83" s="31" t="str">
        <f>"EZR"</f>
        <v>EZR</v>
      </c>
      <c r="AT83" s="31" t="s">
        <v>27130</v>
      </c>
      <c r="AU83" s="31" t="s">
        <v>13777</v>
      </c>
      <c r="AV83" s="31">
        <v>9606</v>
      </c>
      <c r="AW83" s="50" t="str">
        <f>HYPERLINK("http://www.uniprot.org/uniprot/P15311", "P15311")</f>
        <v>P15311</v>
      </c>
      <c r="AX83" s="31" t="s">
        <v>27131</v>
      </c>
      <c r="AY83" s="31" t="s">
        <v>27132</v>
      </c>
      <c r="AZ83" s="31" t="s">
        <v>14215</v>
      </c>
      <c r="BA83" s="31" t="s">
        <v>13793</v>
      </c>
      <c r="BB83" s="31" t="s">
        <v>13772</v>
      </c>
      <c r="BC83" s="31" t="s">
        <v>13772</v>
      </c>
      <c r="BD83" s="31" t="s">
        <v>13772</v>
      </c>
      <c r="BE83" s="31" t="s">
        <v>13772</v>
      </c>
      <c r="BF83" s="31" t="s">
        <v>13772</v>
      </c>
      <c r="BG83" s="31" t="s">
        <v>26450</v>
      </c>
      <c r="BH83" s="31" t="s">
        <v>13812</v>
      </c>
      <c r="BI83" s="31" t="s">
        <v>27133</v>
      </c>
      <c r="BJ83" s="31" t="s">
        <v>27134</v>
      </c>
      <c r="BK83" s="31" t="s">
        <v>27135</v>
      </c>
      <c r="BL83" s="31" t="s">
        <v>13772</v>
      </c>
      <c r="BM83" s="31" t="s">
        <v>27136</v>
      </c>
    </row>
    <row r="84" spans="1:65">
      <c r="A84">
        <v>1881</v>
      </c>
      <c r="B84">
        <v>1</v>
      </c>
      <c r="C84">
        <v>79</v>
      </c>
      <c r="D84" t="s">
        <v>4440</v>
      </c>
      <c r="E84" t="s">
        <v>4441</v>
      </c>
      <c r="F84" t="s">
        <v>73</v>
      </c>
      <c r="G84">
        <v>48.6</v>
      </c>
      <c r="H84">
        <v>625</v>
      </c>
      <c r="I84">
        <v>71027</v>
      </c>
      <c r="J84" t="s">
        <v>4442</v>
      </c>
      <c r="K84" s="3" t="s">
        <v>73</v>
      </c>
      <c r="L84">
        <v>536</v>
      </c>
      <c r="M84">
        <v>536</v>
      </c>
      <c r="N84">
        <v>1</v>
      </c>
      <c r="O84" s="11">
        <f t="shared" si="1"/>
        <v>31.316956120552554</v>
      </c>
      <c r="P84" s="36">
        <v>38.7725886667113</v>
      </c>
      <c r="Q84" s="36">
        <v>44.300949551162603</v>
      </c>
      <c r="R84" s="36">
        <v>48.023929854367701</v>
      </c>
      <c r="S84" s="36">
        <v>65.012635643588894</v>
      </c>
      <c r="T84" s="36">
        <v>30.1061725977912</v>
      </c>
      <c r="U84" s="36">
        <v>37.189089865579597</v>
      </c>
      <c r="V84" s="36">
        <v>30.5678062030746</v>
      </c>
      <c r="W84" s="36">
        <v>12.65138677377</v>
      </c>
      <c r="X84" s="37">
        <v>25.432265383838601</v>
      </c>
      <c r="Y84" s="37">
        <v>7.5677957626594301</v>
      </c>
      <c r="Z84" s="37">
        <v>18.4012500101489</v>
      </c>
      <c r="AA84" s="37">
        <v>16.930940931998801</v>
      </c>
      <c r="AB84" s="37">
        <v>16.5382661846721</v>
      </c>
      <c r="AC84" s="37">
        <v>27.621669963479398</v>
      </c>
      <c r="AD84" s="37">
        <v>28.662260909385999</v>
      </c>
      <c r="AE84" s="37">
        <v>53.292289626611598</v>
      </c>
      <c r="AF84" s="45">
        <v>-0.67291418655365498</v>
      </c>
      <c r="AG84" s="45">
        <v>-1.57690769766176</v>
      </c>
      <c r="AH84" s="46">
        <v>7.9825328894918501E-2</v>
      </c>
      <c r="AI84" s="47">
        <v>0.116600753342141</v>
      </c>
      <c r="AJ84" s="48">
        <v>38.328069894505703</v>
      </c>
      <c r="AK84" s="49">
        <v>24.305842346599299</v>
      </c>
      <c r="AL84" s="31" t="s">
        <v>5875</v>
      </c>
      <c r="AM84" s="31" t="s">
        <v>5832</v>
      </c>
      <c r="AN84" s="31" t="s">
        <v>31681</v>
      </c>
      <c r="AO84" s="31" t="s">
        <v>31682</v>
      </c>
      <c r="AP84" s="31" t="s">
        <v>31683</v>
      </c>
      <c r="AQ84" s="31" t="s">
        <v>31684</v>
      </c>
      <c r="AR84" s="31" t="s">
        <v>31685</v>
      </c>
      <c r="AS84" s="31" t="str">
        <f>"C4BPA"</f>
        <v>C4BPA</v>
      </c>
      <c r="AT84" s="31" t="s">
        <v>31686</v>
      </c>
      <c r="AU84" s="31" t="s">
        <v>13777</v>
      </c>
      <c r="AV84" s="31">
        <v>9606</v>
      </c>
      <c r="AW84" s="50" t="str">
        <f>HYPERLINK("http://www.uniprot.org/uniprot/P04003", "P04003")</f>
        <v>P04003</v>
      </c>
      <c r="AX84" s="31" t="s">
        <v>31687</v>
      </c>
      <c r="AY84" s="31" t="s">
        <v>20457</v>
      </c>
      <c r="AZ84" s="31" t="s">
        <v>14321</v>
      </c>
      <c r="BA84" s="31" t="s">
        <v>13793</v>
      </c>
      <c r="BB84" s="31" t="s">
        <v>13772</v>
      </c>
      <c r="BC84" s="31" t="s">
        <v>13772</v>
      </c>
      <c r="BD84" s="31" t="s">
        <v>28012</v>
      </c>
      <c r="BE84" s="31" t="s">
        <v>13772</v>
      </c>
      <c r="BF84" s="31" t="s">
        <v>13772</v>
      </c>
      <c r="BG84" s="31" t="s">
        <v>13796</v>
      </c>
      <c r="BH84" s="31" t="s">
        <v>13812</v>
      </c>
      <c r="BI84" s="31" t="s">
        <v>31688</v>
      </c>
      <c r="BJ84" s="31" t="s">
        <v>31689</v>
      </c>
      <c r="BK84" s="31" t="s">
        <v>14235</v>
      </c>
      <c r="BL84" s="31" t="s">
        <v>13772</v>
      </c>
      <c r="BM84" s="31" t="s">
        <v>22277</v>
      </c>
    </row>
    <row r="85" spans="1:65">
      <c r="A85">
        <v>2105</v>
      </c>
      <c r="B85">
        <v>1</v>
      </c>
      <c r="C85">
        <v>80</v>
      </c>
      <c r="D85" t="s">
        <v>4942</v>
      </c>
      <c r="E85" t="s">
        <v>73</v>
      </c>
      <c r="F85" t="s">
        <v>73</v>
      </c>
      <c r="G85">
        <v>65</v>
      </c>
      <c r="H85">
        <v>329</v>
      </c>
      <c r="I85">
        <v>37946</v>
      </c>
      <c r="J85" t="s">
        <v>4943</v>
      </c>
      <c r="K85" s="3" t="s">
        <v>73</v>
      </c>
      <c r="L85">
        <v>526</v>
      </c>
      <c r="M85">
        <v>526</v>
      </c>
      <c r="N85">
        <v>1</v>
      </c>
      <c r="O85" s="11">
        <f t="shared" si="1"/>
        <v>27.34640863638375</v>
      </c>
      <c r="P85" s="36">
        <v>32.7143716875377</v>
      </c>
      <c r="Q85" s="36">
        <v>16.372090051516601</v>
      </c>
      <c r="R85" s="36">
        <v>32.015953236245203</v>
      </c>
      <c r="S85" s="36">
        <v>42.333809256290401</v>
      </c>
      <c r="T85" s="36">
        <v>25.8052907981068</v>
      </c>
      <c r="U85" s="36">
        <v>22.313453919347801</v>
      </c>
      <c r="V85" s="36">
        <v>17.9190588086989</v>
      </c>
      <c r="W85" s="36">
        <v>17.517304763681501</v>
      </c>
      <c r="X85" s="37">
        <v>47.685497594697402</v>
      </c>
      <c r="Y85" s="37">
        <v>29.0098837568611</v>
      </c>
      <c r="Z85" s="37">
        <v>15.2010326170795</v>
      </c>
      <c r="AA85" s="37">
        <v>18.624035025198701</v>
      </c>
      <c r="AB85" s="37">
        <v>34.914117500974299</v>
      </c>
      <c r="AC85" s="37">
        <v>24.4649076819389</v>
      </c>
      <c r="AD85" s="37">
        <v>27.153720861523599</v>
      </c>
      <c r="AE85" s="37">
        <v>33.498010622441598</v>
      </c>
      <c r="AF85" s="45">
        <v>0.17152429022711199</v>
      </c>
      <c r="AG85" s="45">
        <v>1.1138205781483701</v>
      </c>
      <c r="AH85" s="46">
        <v>0.59940863052428806</v>
      </c>
      <c r="AI85" s="47">
        <v>0.67395693079117402</v>
      </c>
      <c r="AJ85" s="48">
        <v>25.873916565178099</v>
      </c>
      <c r="AK85" s="49">
        <v>28.8189007075894</v>
      </c>
      <c r="AL85" s="31" t="s">
        <v>5874</v>
      </c>
      <c r="AM85" s="31" t="s">
        <v>5832</v>
      </c>
      <c r="AN85" s="31" t="s">
        <v>33925</v>
      </c>
      <c r="AO85" s="31" t="s">
        <v>13772</v>
      </c>
      <c r="AP85" s="31" t="s">
        <v>33926</v>
      </c>
      <c r="AQ85" s="31" t="s">
        <v>33927</v>
      </c>
      <c r="AR85" s="31" t="s">
        <v>33928</v>
      </c>
      <c r="AS85" s="31" t="str">
        <f>"APOE"</f>
        <v>APOE</v>
      </c>
      <c r="AT85" s="31" t="s">
        <v>13772</v>
      </c>
      <c r="AU85" s="31" t="s">
        <v>13777</v>
      </c>
      <c r="AV85" s="31">
        <v>9606</v>
      </c>
      <c r="AW85" s="50" t="str">
        <f>HYPERLINK("http://www.uniprot.org/uniprot/P02649", "P02649")</f>
        <v>P02649</v>
      </c>
      <c r="AX85" s="31" t="s">
        <v>33929</v>
      </c>
      <c r="AY85" s="31" t="s">
        <v>16169</v>
      </c>
      <c r="AZ85" s="31" t="s">
        <v>33930</v>
      </c>
      <c r="BA85" s="31" t="s">
        <v>13793</v>
      </c>
      <c r="BB85" s="31" t="s">
        <v>13772</v>
      </c>
      <c r="BC85" s="31" t="s">
        <v>33931</v>
      </c>
      <c r="BD85" s="31" t="s">
        <v>14404</v>
      </c>
      <c r="BE85" s="31" t="s">
        <v>13900</v>
      </c>
      <c r="BF85" s="31" t="s">
        <v>14073</v>
      </c>
      <c r="BG85" s="31" t="s">
        <v>33932</v>
      </c>
      <c r="BH85" s="31" t="s">
        <v>13812</v>
      </c>
      <c r="BI85" s="31" t="s">
        <v>33933</v>
      </c>
      <c r="BJ85" s="31" t="s">
        <v>33934</v>
      </c>
      <c r="BK85" s="31" t="s">
        <v>33935</v>
      </c>
      <c r="BL85" s="31" t="s">
        <v>13772</v>
      </c>
      <c r="BM85" s="31" t="s">
        <v>33936</v>
      </c>
    </row>
    <row r="86" spans="1:65">
      <c r="A86">
        <v>2252</v>
      </c>
      <c r="B86">
        <v>1</v>
      </c>
      <c r="C86">
        <v>81</v>
      </c>
      <c r="D86" t="s">
        <v>5264</v>
      </c>
      <c r="E86" t="s">
        <v>73</v>
      </c>
      <c r="F86" t="s">
        <v>73</v>
      </c>
      <c r="G86">
        <v>72.400000000000006</v>
      </c>
      <c r="H86">
        <v>543</v>
      </c>
      <c r="I86">
        <v>60606</v>
      </c>
      <c r="J86" t="s">
        <v>5265</v>
      </c>
      <c r="K86" s="3" t="s">
        <v>73</v>
      </c>
      <c r="L86">
        <v>524</v>
      </c>
      <c r="M86">
        <v>524</v>
      </c>
      <c r="N86">
        <v>1</v>
      </c>
      <c r="O86" s="11">
        <f t="shared" si="1"/>
        <v>27.424584736673634</v>
      </c>
      <c r="P86" s="36">
        <v>15.7513641458515</v>
      </c>
      <c r="Q86" s="36">
        <v>6.7414488447421297</v>
      </c>
      <c r="R86" s="36">
        <v>12.806381294498101</v>
      </c>
      <c r="S86" s="36">
        <v>18.143061109838801</v>
      </c>
      <c r="T86" s="36">
        <v>11.1822926791796</v>
      </c>
      <c r="U86" s="36">
        <v>15.805363192871299</v>
      </c>
      <c r="V86" s="36">
        <v>18.973121091563499</v>
      </c>
      <c r="W86" s="36">
        <v>13.6245703717523</v>
      </c>
      <c r="X86" s="37">
        <v>23.842748797348701</v>
      </c>
      <c r="Y86" s="37">
        <v>34.055080931967403</v>
      </c>
      <c r="Z86" s="37">
        <v>35.202391323763102</v>
      </c>
      <c r="AA86" s="37">
        <v>34.708428910597597</v>
      </c>
      <c r="AB86" s="37">
        <v>44.1020431591255</v>
      </c>
      <c r="AC86" s="37">
        <v>38.670337948871101</v>
      </c>
      <c r="AD86" s="37">
        <v>57.324521818772098</v>
      </c>
      <c r="AE86" s="37">
        <v>57.860200166035398</v>
      </c>
      <c r="AF86" s="45">
        <v>1.5113130132868</v>
      </c>
      <c r="AG86" s="45">
        <v>2.8821787349928401</v>
      </c>
      <c r="AH86" s="46">
        <v>3.2307540283800998E-7</v>
      </c>
      <c r="AI86" s="47">
        <v>1.77161839752974E-6</v>
      </c>
      <c r="AJ86" s="48">
        <v>14.128450341287101</v>
      </c>
      <c r="AK86" s="49">
        <v>40.720719132060097</v>
      </c>
      <c r="AL86" s="31" t="s">
        <v>5874</v>
      </c>
      <c r="AM86" s="31" t="s">
        <v>5876</v>
      </c>
      <c r="AN86" s="31" t="s">
        <v>35273</v>
      </c>
      <c r="AO86" s="31" t="s">
        <v>35274</v>
      </c>
      <c r="AP86" s="31" t="s">
        <v>35275</v>
      </c>
      <c r="AQ86" s="31" t="s">
        <v>35276</v>
      </c>
      <c r="AR86" s="31" t="s">
        <v>35277</v>
      </c>
      <c r="AS86" s="31" t="str">
        <f>"ECM1"</f>
        <v>ECM1</v>
      </c>
      <c r="AT86" s="31" t="s">
        <v>13772</v>
      </c>
      <c r="AU86" s="31" t="s">
        <v>13777</v>
      </c>
      <c r="AV86" s="31">
        <v>9606</v>
      </c>
      <c r="AW86" s="50" t="str">
        <f>HYPERLINK("http://www.uniprot.org/uniprot/Q16610", "Q16610")</f>
        <v>Q16610</v>
      </c>
      <c r="AX86" s="31" t="s">
        <v>35278</v>
      </c>
      <c r="AY86" s="31" t="s">
        <v>35279</v>
      </c>
      <c r="AZ86" s="31" t="s">
        <v>13869</v>
      </c>
      <c r="BA86" s="31" t="s">
        <v>13780</v>
      </c>
      <c r="BB86" s="31" t="s">
        <v>13772</v>
      </c>
      <c r="BC86" s="31" t="s">
        <v>13807</v>
      </c>
      <c r="BD86" s="31" t="s">
        <v>14404</v>
      </c>
      <c r="BE86" s="31" t="s">
        <v>13772</v>
      </c>
      <c r="BF86" s="31" t="s">
        <v>13772</v>
      </c>
      <c r="BG86" s="31" t="s">
        <v>13858</v>
      </c>
      <c r="BH86" s="31" t="s">
        <v>13772</v>
      </c>
      <c r="BI86" s="31" t="s">
        <v>35280</v>
      </c>
      <c r="BJ86" s="31" t="s">
        <v>35281</v>
      </c>
      <c r="BK86" s="31" t="s">
        <v>35282</v>
      </c>
      <c r="BL86" s="31" t="s">
        <v>13772</v>
      </c>
      <c r="BM86" s="31" t="s">
        <v>15665</v>
      </c>
    </row>
    <row r="87" spans="1:65">
      <c r="A87">
        <v>2171</v>
      </c>
      <c r="B87">
        <v>1</v>
      </c>
      <c r="C87">
        <v>82</v>
      </c>
      <c r="D87" t="s">
        <v>5084</v>
      </c>
      <c r="E87" t="s">
        <v>5085</v>
      </c>
      <c r="F87" t="s">
        <v>73</v>
      </c>
      <c r="G87">
        <v>43.4</v>
      </c>
      <c r="H87">
        <v>1718</v>
      </c>
      <c r="I87">
        <v>186384</v>
      </c>
      <c r="J87" t="s">
        <v>5086</v>
      </c>
      <c r="K87" s="3" t="s">
        <v>5827</v>
      </c>
      <c r="L87">
        <v>521</v>
      </c>
      <c r="M87">
        <v>521</v>
      </c>
      <c r="N87">
        <v>1</v>
      </c>
      <c r="O87" s="11">
        <f t="shared" si="1"/>
        <v>34.790708305223767</v>
      </c>
      <c r="P87" s="36">
        <v>39.984232062546099</v>
      </c>
      <c r="Q87" s="36">
        <v>78.971257895550593</v>
      </c>
      <c r="R87" s="36">
        <v>56.027918163429</v>
      </c>
      <c r="S87" s="36">
        <v>114.906053695645</v>
      </c>
      <c r="T87" s="36">
        <v>55.911463395897997</v>
      </c>
      <c r="U87" s="36">
        <v>44.626907838695601</v>
      </c>
      <c r="V87" s="36">
        <v>41.108429031721002</v>
      </c>
      <c r="W87" s="36">
        <v>25.302773547539999</v>
      </c>
      <c r="X87" s="37">
        <v>9.53709951893949</v>
      </c>
      <c r="Y87" s="37">
        <v>8.8290950564359996</v>
      </c>
      <c r="Z87" s="37">
        <v>8.0005434826734305</v>
      </c>
      <c r="AA87" s="37">
        <v>10.1585645591993</v>
      </c>
      <c r="AB87" s="37">
        <v>7.3503405265209096</v>
      </c>
      <c r="AC87" s="37">
        <v>14.994620837317401</v>
      </c>
      <c r="AD87" s="37">
        <v>18.102480574349102</v>
      </c>
      <c r="AE87" s="37">
        <v>22.839552697119299</v>
      </c>
      <c r="AF87" s="45">
        <v>-2.2206852553699199</v>
      </c>
      <c r="AG87" s="45">
        <v>-4.5769814762913104</v>
      </c>
      <c r="AH87" s="46">
        <v>3.1043994166061698E-9</v>
      </c>
      <c r="AI87" s="47">
        <v>3.4589461848453201E-8</v>
      </c>
      <c r="AJ87" s="48">
        <v>57.104879453878198</v>
      </c>
      <c r="AK87" s="49">
        <v>12.4765371565694</v>
      </c>
      <c r="AL87" s="31" t="s">
        <v>5875</v>
      </c>
      <c r="AM87" s="31" t="s">
        <v>5876</v>
      </c>
      <c r="AN87" s="31" t="s">
        <v>34516</v>
      </c>
      <c r="AO87" s="31" t="s">
        <v>34517</v>
      </c>
      <c r="AP87" s="31" t="s">
        <v>34518</v>
      </c>
      <c r="AQ87" s="31" t="s">
        <v>34519</v>
      </c>
      <c r="AR87" s="31" t="s">
        <v>34520</v>
      </c>
      <c r="AS87" s="31" t="str">
        <f>"LTBP1"</f>
        <v>LTBP1</v>
      </c>
      <c r="AT87" s="31" t="s">
        <v>13772</v>
      </c>
      <c r="AU87" s="31" t="s">
        <v>13777</v>
      </c>
      <c r="AV87" s="31">
        <v>9606</v>
      </c>
      <c r="AW87" s="50" t="str">
        <f>HYPERLINK("http://www.uniprot.org/uniprot/Q14766", "Q14766")</f>
        <v>Q14766</v>
      </c>
      <c r="AX87" s="31" t="s">
        <v>34521</v>
      </c>
      <c r="AY87" s="31" t="s">
        <v>13772</v>
      </c>
      <c r="AZ87" s="31" t="s">
        <v>13869</v>
      </c>
      <c r="BA87" s="31" t="s">
        <v>13841</v>
      </c>
      <c r="BB87" s="31" t="s">
        <v>13772</v>
      </c>
      <c r="BC87" s="31" t="s">
        <v>13772</v>
      </c>
      <c r="BD87" s="31" t="s">
        <v>14768</v>
      </c>
      <c r="BE87" s="31" t="s">
        <v>13772</v>
      </c>
      <c r="BF87" s="31" t="s">
        <v>16896</v>
      </c>
      <c r="BG87" s="31" t="s">
        <v>14770</v>
      </c>
      <c r="BH87" s="31" t="s">
        <v>13812</v>
      </c>
      <c r="BI87" s="31" t="s">
        <v>34522</v>
      </c>
      <c r="BJ87" s="31" t="s">
        <v>34523</v>
      </c>
      <c r="BK87" s="31" t="s">
        <v>34524</v>
      </c>
      <c r="BL87" s="31" t="s">
        <v>13772</v>
      </c>
      <c r="BM87" s="31" t="s">
        <v>34525</v>
      </c>
    </row>
    <row r="88" spans="1:65">
      <c r="A88">
        <v>562</v>
      </c>
      <c r="B88">
        <v>1</v>
      </c>
      <c r="C88">
        <v>83</v>
      </c>
      <c r="D88" t="s">
        <v>1402</v>
      </c>
      <c r="E88" t="s">
        <v>73</v>
      </c>
      <c r="F88" t="s">
        <v>73</v>
      </c>
      <c r="G88">
        <v>78.5</v>
      </c>
      <c r="H88">
        <v>382</v>
      </c>
      <c r="I88">
        <v>43964</v>
      </c>
      <c r="J88" t="s">
        <v>1403</v>
      </c>
      <c r="K88" s="3" t="s">
        <v>73</v>
      </c>
      <c r="L88">
        <v>518</v>
      </c>
      <c r="M88">
        <v>518</v>
      </c>
      <c r="N88">
        <v>1</v>
      </c>
      <c r="O88" s="11">
        <f t="shared" si="1"/>
        <v>21.692490203717778</v>
      </c>
      <c r="P88" s="36">
        <v>12.116433958347301</v>
      </c>
      <c r="Q88" s="36">
        <v>9.6306412067744702</v>
      </c>
      <c r="R88" s="36">
        <v>17.608774279934799</v>
      </c>
      <c r="S88" s="36">
        <v>3.0238435183064598</v>
      </c>
      <c r="T88" s="36">
        <v>11.1822926791796</v>
      </c>
      <c r="U88" s="36">
        <v>10.226999713034401</v>
      </c>
      <c r="V88" s="36">
        <v>8.4324982629171306</v>
      </c>
      <c r="W88" s="36">
        <v>17.517304763681501</v>
      </c>
      <c r="X88" s="37">
        <v>30.2008151433084</v>
      </c>
      <c r="Y88" s="37">
        <v>22.703387287978298</v>
      </c>
      <c r="Z88" s="37">
        <v>16.801141313614199</v>
      </c>
      <c r="AA88" s="37">
        <v>47.406634609596701</v>
      </c>
      <c r="AB88" s="37">
        <v>45.020835724940603</v>
      </c>
      <c r="AC88" s="37">
        <v>31.567622815404999</v>
      </c>
      <c r="AD88" s="37">
        <v>33.187881052973303</v>
      </c>
      <c r="AE88" s="37">
        <v>30.4527369294923</v>
      </c>
      <c r="AF88" s="45">
        <v>1.5038082836264</v>
      </c>
      <c r="AG88" s="45">
        <v>2.8676680342658001</v>
      </c>
      <c r="AH88" s="46">
        <v>6.8232102348210399E-6</v>
      </c>
      <c r="AI88" s="47">
        <v>2.64703884671654E-5</v>
      </c>
      <c r="AJ88" s="48">
        <v>11.217348547772</v>
      </c>
      <c r="AK88" s="49">
        <v>32.167631859663601</v>
      </c>
      <c r="AL88" s="31" t="s">
        <v>5874</v>
      </c>
      <c r="AM88" s="31" t="s">
        <v>5876</v>
      </c>
      <c r="AN88" s="31" t="s">
        <v>19311</v>
      </c>
      <c r="AO88" s="31" t="s">
        <v>19312</v>
      </c>
      <c r="AP88" s="31" t="s">
        <v>19313</v>
      </c>
      <c r="AQ88" s="31" t="s">
        <v>19314</v>
      </c>
      <c r="AR88" s="31" t="s">
        <v>19315</v>
      </c>
      <c r="AS88" s="31" t="str">
        <f>"APOA4"</f>
        <v>APOA4</v>
      </c>
      <c r="AT88" s="31" t="s">
        <v>13772</v>
      </c>
      <c r="AU88" s="31" t="s">
        <v>13777</v>
      </c>
      <c r="AV88" s="31">
        <v>9606</v>
      </c>
      <c r="AW88" s="50" t="str">
        <f>HYPERLINK("http://www.uniprot.org/uniprot/P06727", "P06727")</f>
        <v>P06727</v>
      </c>
      <c r="AX88" s="31" t="s">
        <v>19316</v>
      </c>
      <c r="AY88" s="31" t="s">
        <v>13898</v>
      </c>
      <c r="AZ88" s="31" t="s">
        <v>19317</v>
      </c>
      <c r="BA88" s="31" t="s">
        <v>13793</v>
      </c>
      <c r="BB88" s="31" t="s">
        <v>13772</v>
      </c>
      <c r="BC88" s="31" t="s">
        <v>13772</v>
      </c>
      <c r="BD88" s="31" t="s">
        <v>14404</v>
      </c>
      <c r="BE88" s="31" t="s">
        <v>13772</v>
      </c>
      <c r="BF88" s="31" t="s">
        <v>13772</v>
      </c>
      <c r="BG88" s="31" t="s">
        <v>13782</v>
      </c>
      <c r="BH88" s="31" t="s">
        <v>13812</v>
      </c>
      <c r="BI88" s="31" t="s">
        <v>19318</v>
      </c>
      <c r="BJ88" s="31" t="s">
        <v>19319</v>
      </c>
      <c r="BK88" s="31" t="s">
        <v>19320</v>
      </c>
      <c r="BL88" s="31" t="s">
        <v>13772</v>
      </c>
      <c r="BM88" s="31" t="s">
        <v>19321</v>
      </c>
    </row>
    <row r="89" spans="1:65">
      <c r="A89">
        <v>1403</v>
      </c>
      <c r="B89">
        <v>1</v>
      </c>
      <c r="C89">
        <v>84</v>
      </c>
      <c r="D89" t="s">
        <v>3349</v>
      </c>
      <c r="E89" t="s">
        <v>3350</v>
      </c>
      <c r="F89" t="s">
        <v>73</v>
      </c>
      <c r="G89">
        <v>27.8</v>
      </c>
      <c r="H89">
        <v>3120</v>
      </c>
      <c r="I89">
        <v>338953</v>
      </c>
      <c r="J89" t="s">
        <v>3351</v>
      </c>
      <c r="K89" s="3">
        <v>23</v>
      </c>
      <c r="L89">
        <v>514</v>
      </c>
      <c r="M89">
        <v>514</v>
      </c>
      <c r="N89">
        <v>1</v>
      </c>
      <c r="O89" s="11">
        <f t="shared" si="1"/>
        <v>34.85313710906108</v>
      </c>
      <c r="P89" s="36">
        <v>25.444511312529301</v>
      </c>
      <c r="Q89" s="36">
        <v>46.227077792517399</v>
      </c>
      <c r="R89" s="36">
        <v>97.648657370547696</v>
      </c>
      <c r="S89" s="36">
        <v>102.81067962242</v>
      </c>
      <c r="T89" s="36">
        <v>62.792874275393103</v>
      </c>
      <c r="U89" s="36">
        <v>74.378179731159307</v>
      </c>
      <c r="V89" s="36">
        <v>41.108429031721002</v>
      </c>
      <c r="W89" s="36">
        <v>31.1418751354338</v>
      </c>
      <c r="X89" s="37">
        <v>2.3842748797348698</v>
      </c>
      <c r="Y89" s="37">
        <v>8.1984454095477108</v>
      </c>
      <c r="Z89" s="37">
        <v>12.0008152240101</v>
      </c>
      <c r="AA89" s="37">
        <v>6.7723763727995303</v>
      </c>
      <c r="AB89" s="37">
        <v>11.0255107897814</v>
      </c>
      <c r="AC89" s="37">
        <v>22.097335970783501</v>
      </c>
      <c r="AD89" s="37">
        <v>9.0512402871745401</v>
      </c>
      <c r="AE89" s="37">
        <v>4.5679105394238499</v>
      </c>
      <c r="AF89" s="45">
        <v>-2.6225244328047599</v>
      </c>
      <c r="AG89" s="45">
        <v>-6.3280619350123199</v>
      </c>
      <c r="AH89" s="46">
        <v>5.6518716488343099E-10</v>
      </c>
      <c r="AI89" s="47">
        <v>8.2197872458046799E-9</v>
      </c>
      <c r="AJ89" s="48">
        <v>60.194035533965199</v>
      </c>
      <c r="AK89" s="49">
        <v>9.5122386841569408</v>
      </c>
      <c r="AL89" s="31" t="s">
        <v>5875</v>
      </c>
      <c r="AM89" s="31" t="s">
        <v>5876</v>
      </c>
      <c r="AN89" s="31" t="s">
        <v>27324</v>
      </c>
      <c r="AO89" s="31" t="s">
        <v>13772</v>
      </c>
      <c r="AP89" s="31" t="s">
        <v>27325</v>
      </c>
      <c r="AQ89" s="31" t="s">
        <v>27326</v>
      </c>
      <c r="AR89" s="31" t="s">
        <v>27327</v>
      </c>
      <c r="AS89" s="31" t="str">
        <f>"COL12A1"</f>
        <v>COL12A1</v>
      </c>
      <c r="AT89" s="31" t="s">
        <v>27328</v>
      </c>
      <c r="AU89" s="31" t="s">
        <v>13777</v>
      </c>
      <c r="AV89" s="31">
        <v>9606</v>
      </c>
      <c r="AW89" s="50" t="str">
        <f>HYPERLINK("http://www.uniprot.org/uniprot/Q99715", "Q99715")</f>
        <v>Q99715</v>
      </c>
      <c r="AX89" s="31" t="s">
        <v>27329</v>
      </c>
      <c r="AY89" s="31" t="s">
        <v>13949</v>
      </c>
      <c r="AZ89" s="31" t="s">
        <v>13869</v>
      </c>
      <c r="BA89" s="31" t="s">
        <v>13780</v>
      </c>
      <c r="BB89" s="31" t="s">
        <v>13772</v>
      </c>
      <c r="BC89" s="31" t="s">
        <v>27330</v>
      </c>
      <c r="BD89" s="31" t="s">
        <v>13872</v>
      </c>
      <c r="BE89" s="31" t="s">
        <v>13772</v>
      </c>
      <c r="BF89" s="31" t="s">
        <v>13772</v>
      </c>
      <c r="BG89" s="31" t="s">
        <v>27331</v>
      </c>
      <c r="BH89" s="31" t="s">
        <v>13772</v>
      </c>
      <c r="BI89" s="31" t="s">
        <v>27332</v>
      </c>
      <c r="BJ89" s="31" t="s">
        <v>27333</v>
      </c>
      <c r="BK89" s="31" t="s">
        <v>21929</v>
      </c>
      <c r="BL89" s="31" t="s">
        <v>13772</v>
      </c>
      <c r="BM89" s="31" t="s">
        <v>27334</v>
      </c>
    </row>
    <row r="90" spans="1:65">
      <c r="A90">
        <v>2432</v>
      </c>
      <c r="B90">
        <v>1</v>
      </c>
      <c r="C90">
        <v>85</v>
      </c>
      <c r="D90" t="s">
        <v>5695</v>
      </c>
      <c r="E90" t="s">
        <v>73</v>
      </c>
      <c r="F90" t="s">
        <v>5696</v>
      </c>
      <c r="G90">
        <v>34.9</v>
      </c>
      <c r="H90">
        <v>1837</v>
      </c>
      <c r="I90">
        <v>208091</v>
      </c>
      <c r="J90" t="s">
        <v>5698</v>
      </c>
      <c r="K90" s="3">
        <v>25</v>
      </c>
      <c r="L90">
        <v>512</v>
      </c>
      <c r="M90">
        <v>500</v>
      </c>
      <c r="N90">
        <v>0.97699999999999998</v>
      </c>
      <c r="O90" s="11">
        <f t="shared" si="1"/>
        <v>32.814114658537576</v>
      </c>
      <c r="P90" s="36">
        <v>46.042449041719699</v>
      </c>
      <c r="Q90" s="36">
        <v>59.517362657866201</v>
      </c>
      <c r="R90" s="36">
        <v>25.292603056633698</v>
      </c>
      <c r="S90" s="36">
        <v>66.222173050911493</v>
      </c>
      <c r="T90" s="36">
        <v>78.017995846276094</v>
      </c>
      <c r="U90" s="36">
        <v>69.543598048633896</v>
      </c>
      <c r="V90" s="36">
        <v>36.681367443689503</v>
      </c>
      <c r="W90" s="36">
        <v>36.786340003731198</v>
      </c>
      <c r="X90" s="37">
        <v>0.19868957331123899</v>
      </c>
      <c r="Y90" s="37">
        <v>13.243642584653999</v>
      </c>
      <c r="Z90" s="37">
        <v>3.2002173930693698</v>
      </c>
      <c r="AA90" s="37">
        <v>1.6930940931998799</v>
      </c>
      <c r="AB90" s="37">
        <v>1.8375851316302301</v>
      </c>
      <c r="AC90" s="37">
        <v>18.940573689242999</v>
      </c>
      <c r="AD90" s="37">
        <v>43.4459533784378</v>
      </c>
      <c r="AE90" s="37">
        <v>24.3621895435939</v>
      </c>
      <c r="AF90" s="45">
        <v>-1.9990024356246401</v>
      </c>
      <c r="AG90" s="45">
        <v>-3.9103655253896199</v>
      </c>
      <c r="AH90" s="46">
        <v>1.1961017343789699E-3</v>
      </c>
      <c r="AI90" s="47">
        <v>2.6235805255722402E-3</v>
      </c>
      <c r="AJ90" s="48">
        <v>52.262986143682703</v>
      </c>
      <c r="AK90" s="49">
        <v>13.3652431733924</v>
      </c>
      <c r="AL90" s="31" t="s">
        <v>5875</v>
      </c>
      <c r="AM90" s="31" t="s">
        <v>5876</v>
      </c>
      <c r="AN90" s="31" t="s">
        <v>17242</v>
      </c>
      <c r="AO90" s="31" t="s">
        <v>17243</v>
      </c>
      <c r="AP90" s="31" t="s">
        <v>17244</v>
      </c>
      <c r="AQ90" s="31" t="s">
        <v>17245</v>
      </c>
      <c r="AR90" s="31" t="s">
        <v>17246</v>
      </c>
      <c r="AS90" s="31" t="str">
        <f>"MGAM"</f>
        <v>MGAM</v>
      </c>
      <c r="AT90" s="31" t="s">
        <v>17247</v>
      </c>
      <c r="AU90" s="31" t="s">
        <v>13777</v>
      </c>
      <c r="AV90" s="31">
        <v>9606</v>
      </c>
      <c r="AW90" s="50" t="str">
        <f>HYPERLINK("http://www.uniprot.org/uniprot/O43451", "O43451")</f>
        <v>O43451</v>
      </c>
      <c r="AX90" s="31" t="s">
        <v>17248</v>
      </c>
      <c r="AY90" s="31" t="s">
        <v>13772</v>
      </c>
      <c r="AZ90" s="31" t="s">
        <v>13792</v>
      </c>
      <c r="BA90" s="31" t="s">
        <v>13793</v>
      </c>
      <c r="BB90" s="31" t="s">
        <v>13772</v>
      </c>
      <c r="BC90" s="31" t="s">
        <v>13772</v>
      </c>
      <c r="BD90" s="31" t="s">
        <v>17249</v>
      </c>
      <c r="BE90" s="31" t="s">
        <v>13772</v>
      </c>
      <c r="BF90" s="31" t="s">
        <v>17250</v>
      </c>
      <c r="BG90" s="31" t="s">
        <v>16429</v>
      </c>
      <c r="BH90" s="31" t="s">
        <v>13812</v>
      </c>
      <c r="BI90" s="31" t="s">
        <v>17251</v>
      </c>
      <c r="BJ90" s="31" t="s">
        <v>17252</v>
      </c>
      <c r="BK90" s="31" t="s">
        <v>17253</v>
      </c>
      <c r="BL90" s="31" t="s">
        <v>13772</v>
      </c>
      <c r="BM90" s="31" t="s">
        <v>17254</v>
      </c>
    </row>
    <row r="91" spans="1:65">
      <c r="A91">
        <v>1243</v>
      </c>
      <c r="B91">
        <v>1</v>
      </c>
      <c r="C91">
        <v>86</v>
      </c>
      <c r="D91" t="s">
        <v>2981</v>
      </c>
      <c r="E91" t="s">
        <v>73</v>
      </c>
      <c r="F91" t="s">
        <v>73</v>
      </c>
      <c r="G91">
        <v>63</v>
      </c>
      <c r="H91">
        <v>432</v>
      </c>
      <c r="I91">
        <v>48472</v>
      </c>
      <c r="J91" t="s">
        <v>2982</v>
      </c>
      <c r="K91" s="3" t="s">
        <v>73</v>
      </c>
      <c r="L91">
        <v>492</v>
      </c>
      <c r="M91">
        <v>492</v>
      </c>
      <c r="N91">
        <v>1</v>
      </c>
      <c r="O91" s="11">
        <f t="shared" si="1"/>
        <v>35.064949679370258</v>
      </c>
      <c r="P91" s="36">
        <v>59.370526395901699</v>
      </c>
      <c r="Q91" s="36">
        <v>75.119001412840802</v>
      </c>
      <c r="R91" s="36">
        <v>116.85822931229499</v>
      </c>
      <c r="S91" s="36">
        <v>98.274914344959896</v>
      </c>
      <c r="T91" s="36">
        <v>59.3521688356456</v>
      </c>
      <c r="U91" s="36">
        <v>30.6809991391032</v>
      </c>
      <c r="V91" s="36">
        <v>47.432802728908797</v>
      </c>
      <c r="W91" s="36">
        <v>26.275957145522302</v>
      </c>
      <c r="X91" s="37">
        <v>0.79475829324495695</v>
      </c>
      <c r="Y91" s="37">
        <v>2.5225985875531398</v>
      </c>
      <c r="Z91" s="37">
        <v>9.6006521792081099</v>
      </c>
      <c r="AA91" s="37">
        <v>5.9258293261995796</v>
      </c>
      <c r="AB91" s="37">
        <v>8.2691330923360304</v>
      </c>
      <c r="AC91" s="37">
        <v>11.048667985391701</v>
      </c>
      <c r="AD91" s="37">
        <v>0.377135011965606</v>
      </c>
      <c r="AE91" s="37">
        <v>9.1358210788476999</v>
      </c>
      <c r="AF91" s="45">
        <v>-3.3900001400155002</v>
      </c>
      <c r="AG91" s="45">
        <v>-10.7680955305779</v>
      </c>
      <c r="AH91" s="46">
        <v>1.6066307428016601E-12</v>
      </c>
      <c r="AI91" s="47">
        <v>4.6736805526667397E-11</v>
      </c>
      <c r="AJ91" s="48">
        <v>64.170574914397207</v>
      </c>
      <c r="AK91" s="49">
        <v>5.9593244443433599</v>
      </c>
      <c r="AL91" s="31" t="s">
        <v>5875</v>
      </c>
      <c r="AM91" s="31" t="s">
        <v>5876</v>
      </c>
      <c r="AN91" s="31" t="s">
        <v>25779</v>
      </c>
      <c r="AO91" s="31" t="s">
        <v>13772</v>
      </c>
      <c r="AP91" s="31" t="s">
        <v>25780</v>
      </c>
      <c r="AQ91" s="31" t="s">
        <v>25781</v>
      </c>
      <c r="AR91" s="31" t="s">
        <v>25782</v>
      </c>
      <c r="AS91" s="31" t="str">
        <f>"PLAU"</f>
        <v>PLAU</v>
      </c>
      <c r="AT91" s="31" t="s">
        <v>13772</v>
      </c>
      <c r="AU91" s="31" t="s">
        <v>13777</v>
      </c>
      <c r="AV91" s="31">
        <v>9606</v>
      </c>
      <c r="AW91" s="50" t="str">
        <f>HYPERLINK("http://www.uniprot.org/uniprot/P00749", "P00749")</f>
        <v>P00749</v>
      </c>
      <c r="AX91" s="31" t="s">
        <v>25783</v>
      </c>
      <c r="AY91" s="31" t="s">
        <v>25784</v>
      </c>
      <c r="AZ91" s="31" t="s">
        <v>14321</v>
      </c>
      <c r="BA91" s="31" t="s">
        <v>13780</v>
      </c>
      <c r="BB91" s="31" t="s">
        <v>13772</v>
      </c>
      <c r="BC91" s="31" t="s">
        <v>13772</v>
      </c>
      <c r="BD91" s="31" t="s">
        <v>25785</v>
      </c>
      <c r="BE91" s="31" t="s">
        <v>13772</v>
      </c>
      <c r="BF91" s="31" t="s">
        <v>15176</v>
      </c>
      <c r="BG91" s="31" t="s">
        <v>25786</v>
      </c>
      <c r="BH91" s="31" t="s">
        <v>14324</v>
      </c>
      <c r="BI91" s="31" t="s">
        <v>25787</v>
      </c>
      <c r="BJ91" s="31" t="s">
        <v>25788</v>
      </c>
      <c r="BK91" s="31" t="s">
        <v>25219</v>
      </c>
      <c r="BL91" s="31" t="s">
        <v>13772</v>
      </c>
      <c r="BM91" s="31" t="s">
        <v>25789</v>
      </c>
    </row>
    <row r="92" spans="1:65">
      <c r="A92">
        <v>1267</v>
      </c>
      <c r="B92">
        <v>1</v>
      </c>
      <c r="C92">
        <v>87</v>
      </c>
      <c r="D92" t="s">
        <v>3037</v>
      </c>
      <c r="E92" t="s">
        <v>73</v>
      </c>
      <c r="F92" t="s">
        <v>73</v>
      </c>
      <c r="G92">
        <v>59.6</v>
      </c>
      <c r="H92">
        <v>270</v>
      </c>
      <c r="I92">
        <v>27855</v>
      </c>
      <c r="J92" t="s">
        <v>3038</v>
      </c>
      <c r="K92" s="3" t="s">
        <v>73</v>
      </c>
      <c r="L92">
        <v>492</v>
      </c>
      <c r="M92">
        <v>492</v>
      </c>
      <c r="N92">
        <v>1</v>
      </c>
      <c r="O92" s="11">
        <f t="shared" si="1"/>
        <v>30.397616604472997</v>
      </c>
      <c r="P92" s="36">
        <v>35.137658479207097</v>
      </c>
      <c r="Q92" s="36">
        <v>44.300949551162603</v>
      </c>
      <c r="R92" s="36">
        <v>51.225525177992203</v>
      </c>
      <c r="S92" s="36">
        <v>66.524557402742104</v>
      </c>
      <c r="T92" s="36">
        <v>36.127407117349499</v>
      </c>
      <c r="U92" s="36">
        <v>31.610726385742701</v>
      </c>
      <c r="V92" s="36">
        <v>34.7840553345331</v>
      </c>
      <c r="W92" s="36">
        <v>20.436855557628402</v>
      </c>
      <c r="X92" s="37">
        <v>21.458473917613802</v>
      </c>
      <c r="Y92" s="37">
        <v>12.6129929377657</v>
      </c>
      <c r="Z92" s="37">
        <v>24.801684796287599</v>
      </c>
      <c r="AA92" s="37">
        <v>19.470582071798599</v>
      </c>
      <c r="AB92" s="37">
        <v>22.0510215795627</v>
      </c>
      <c r="AC92" s="37">
        <v>15.783811407702499</v>
      </c>
      <c r="AD92" s="37">
        <v>22.628100717936299</v>
      </c>
      <c r="AE92" s="37">
        <v>27.407463236543101</v>
      </c>
      <c r="AF92" s="45">
        <v>-0.94483358082319102</v>
      </c>
      <c r="AG92" s="45">
        <v>-1.92611623166505</v>
      </c>
      <c r="AH92" s="46">
        <v>1.19235617855923E-3</v>
      </c>
      <c r="AI92" s="47">
        <v>2.6235805255722402E-3</v>
      </c>
      <c r="AJ92" s="48">
        <v>40.018466875794701</v>
      </c>
      <c r="AK92" s="49">
        <v>20.776766333151301</v>
      </c>
      <c r="AL92" s="31" t="s">
        <v>5875</v>
      </c>
      <c r="AM92" s="31" t="s">
        <v>5876</v>
      </c>
      <c r="AN92" s="31" t="s">
        <v>26002</v>
      </c>
      <c r="AO92" s="31" t="s">
        <v>26003</v>
      </c>
      <c r="AP92" s="31" t="s">
        <v>26004</v>
      </c>
      <c r="AQ92" s="31" t="s">
        <v>26005</v>
      </c>
      <c r="AR92" s="31" t="s">
        <v>26006</v>
      </c>
      <c r="AS92" s="31" t="str">
        <f>"IGFBP7"</f>
        <v>IGFBP7</v>
      </c>
      <c r="AT92" s="31" t="s">
        <v>26007</v>
      </c>
      <c r="AU92" s="31" t="s">
        <v>13777</v>
      </c>
      <c r="AV92" s="31">
        <v>9606</v>
      </c>
      <c r="AW92" s="50" t="str">
        <f>HYPERLINK("http://www.uniprot.org/uniprot/Q16270", "Q16270")</f>
        <v>Q16270</v>
      </c>
      <c r="AX92" s="31" t="s">
        <v>26008</v>
      </c>
      <c r="AY92" s="31" t="s">
        <v>13949</v>
      </c>
      <c r="AZ92" s="31" t="s">
        <v>14321</v>
      </c>
      <c r="BA92" s="31" t="s">
        <v>26009</v>
      </c>
      <c r="BB92" s="31" t="s">
        <v>13772</v>
      </c>
      <c r="BC92" s="31" t="s">
        <v>13772</v>
      </c>
      <c r="BD92" s="31" t="s">
        <v>15698</v>
      </c>
      <c r="BE92" s="31" t="s">
        <v>13772</v>
      </c>
      <c r="BF92" s="31" t="s">
        <v>16896</v>
      </c>
      <c r="BG92" s="31" t="s">
        <v>13964</v>
      </c>
      <c r="BH92" s="31" t="s">
        <v>13772</v>
      </c>
      <c r="BI92" s="31" t="s">
        <v>26010</v>
      </c>
      <c r="BJ92" s="31" t="s">
        <v>26011</v>
      </c>
      <c r="BK92" s="31" t="s">
        <v>26012</v>
      </c>
      <c r="BL92" s="31" t="s">
        <v>13772</v>
      </c>
      <c r="BM92" s="31" t="s">
        <v>26013</v>
      </c>
    </row>
    <row r="93" spans="1:65">
      <c r="A93">
        <v>2463</v>
      </c>
      <c r="B93">
        <v>1</v>
      </c>
      <c r="C93">
        <v>88</v>
      </c>
      <c r="D93" t="s">
        <v>5797</v>
      </c>
      <c r="E93" t="s">
        <v>73</v>
      </c>
      <c r="F93" t="s">
        <v>5798</v>
      </c>
      <c r="G93">
        <v>33.299999999999997</v>
      </c>
      <c r="H93">
        <v>862</v>
      </c>
      <c r="I93">
        <v>95877</v>
      </c>
      <c r="J93" t="s">
        <v>5799</v>
      </c>
      <c r="K93" s="3" t="s">
        <v>73</v>
      </c>
      <c r="L93">
        <v>485</v>
      </c>
      <c r="M93">
        <v>485</v>
      </c>
      <c r="N93">
        <v>1</v>
      </c>
      <c r="O93" s="11">
        <f t="shared" si="1"/>
        <v>30.036499913232504</v>
      </c>
      <c r="P93" s="36">
        <v>30.291084895868199</v>
      </c>
      <c r="Q93" s="36">
        <v>45.264013671839997</v>
      </c>
      <c r="R93" s="36">
        <v>46.423132192555499</v>
      </c>
      <c r="S93" s="36">
        <v>54.429183329516299</v>
      </c>
      <c r="T93" s="36">
        <v>34.407054397475697</v>
      </c>
      <c r="U93" s="36">
        <v>32.540453632382203</v>
      </c>
      <c r="V93" s="36">
        <v>33.729993051668501</v>
      </c>
      <c r="W93" s="36">
        <v>18.4904883616638</v>
      </c>
      <c r="X93" s="37">
        <v>13.5108909851643</v>
      </c>
      <c r="Y93" s="37">
        <v>11.982343290877401</v>
      </c>
      <c r="Z93" s="37">
        <v>21.601467403218301</v>
      </c>
      <c r="AA93" s="37">
        <v>22.0102232115985</v>
      </c>
      <c r="AB93" s="37">
        <v>8.2691330923360304</v>
      </c>
      <c r="AC93" s="37">
        <v>18.1513831188579</v>
      </c>
      <c r="AD93" s="37">
        <v>37.7135011965606</v>
      </c>
      <c r="AE93" s="37">
        <v>51.769652780137001</v>
      </c>
      <c r="AF93" s="45">
        <v>-0.70544603305359099</v>
      </c>
      <c r="AG93" s="45">
        <v>-1.5976306582251301</v>
      </c>
      <c r="AH93" s="46">
        <v>6.3122869068544293E-2</v>
      </c>
      <c r="AI93" s="47">
        <v>9.4472481894532806E-2</v>
      </c>
      <c r="AJ93" s="48">
        <v>36.946925441621303</v>
      </c>
      <c r="AK93" s="49">
        <v>23.126074384843701</v>
      </c>
      <c r="AL93" s="31" t="s">
        <v>5875</v>
      </c>
      <c r="AM93" s="31" t="s">
        <v>5877</v>
      </c>
      <c r="AN93" s="31" t="s">
        <v>35896</v>
      </c>
      <c r="AO93" s="31" t="s">
        <v>35897</v>
      </c>
      <c r="AP93" s="31" t="s">
        <v>35898</v>
      </c>
      <c r="AQ93" s="31" t="s">
        <v>35899</v>
      </c>
      <c r="AR93" s="31" t="s">
        <v>35900</v>
      </c>
      <c r="AS93" s="31" t="str">
        <f>"LGALS3BP"</f>
        <v>LGALS3BP</v>
      </c>
      <c r="AT93" s="31" t="s">
        <v>35901</v>
      </c>
      <c r="AU93" s="31" t="s">
        <v>13777</v>
      </c>
      <c r="AV93" s="31">
        <v>9606</v>
      </c>
      <c r="AW93" s="50" t="str">
        <f>HYPERLINK("http://www.uniprot.org/uniprot/Q08380", "Q08380")</f>
        <v>Q08380</v>
      </c>
      <c r="AX93" s="31" t="s">
        <v>35902</v>
      </c>
      <c r="AY93" s="31" t="s">
        <v>13949</v>
      </c>
      <c r="AZ93" s="31" t="s">
        <v>13869</v>
      </c>
      <c r="BA93" s="31" t="s">
        <v>13772</v>
      </c>
      <c r="BB93" s="31" t="s">
        <v>13772</v>
      </c>
      <c r="BC93" s="31" t="s">
        <v>13772</v>
      </c>
      <c r="BD93" s="31" t="s">
        <v>13808</v>
      </c>
      <c r="BE93" s="31" t="s">
        <v>13772</v>
      </c>
      <c r="BF93" s="31" t="s">
        <v>13772</v>
      </c>
      <c r="BG93" s="31" t="s">
        <v>13796</v>
      </c>
      <c r="BH93" s="31" t="s">
        <v>13812</v>
      </c>
      <c r="BI93" s="31" t="s">
        <v>35903</v>
      </c>
      <c r="BJ93" s="31" t="s">
        <v>35904</v>
      </c>
      <c r="BK93" s="31" t="s">
        <v>24576</v>
      </c>
      <c r="BL93" s="31" t="s">
        <v>13772</v>
      </c>
      <c r="BM93" s="31" t="s">
        <v>15665</v>
      </c>
    </row>
    <row r="94" spans="1:65">
      <c r="A94">
        <v>2450</v>
      </c>
      <c r="B94">
        <v>1</v>
      </c>
      <c r="C94">
        <v>89</v>
      </c>
      <c r="D94" t="s">
        <v>5755</v>
      </c>
      <c r="E94" t="s">
        <v>73</v>
      </c>
      <c r="F94" t="s">
        <v>5756</v>
      </c>
      <c r="G94">
        <v>71.7</v>
      </c>
      <c r="H94">
        <v>272</v>
      </c>
      <c r="I94">
        <v>30286</v>
      </c>
      <c r="J94" t="s">
        <v>5757</v>
      </c>
      <c r="K94" s="3" t="s">
        <v>73</v>
      </c>
      <c r="L94">
        <v>477</v>
      </c>
      <c r="M94">
        <v>477</v>
      </c>
      <c r="N94">
        <v>1</v>
      </c>
      <c r="O94" s="11">
        <f t="shared" si="1"/>
        <v>26.471054135421237</v>
      </c>
      <c r="P94" s="36">
        <v>12.116433958347301</v>
      </c>
      <c r="Q94" s="36">
        <v>4.8153206033872298</v>
      </c>
      <c r="R94" s="36">
        <v>8.00398830906129</v>
      </c>
      <c r="S94" s="36">
        <v>4.5357652774596904</v>
      </c>
      <c r="T94" s="36">
        <v>8.6017635993689208</v>
      </c>
      <c r="U94" s="36">
        <v>4.6486362331974602</v>
      </c>
      <c r="V94" s="36">
        <v>5.2703114143232002</v>
      </c>
      <c r="W94" s="36">
        <v>6.8122851858761404</v>
      </c>
      <c r="X94" s="37">
        <v>34.969364902778103</v>
      </c>
      <c r="Y94" s="37">
        <v>35.947029872632299</v>
      </c>
      <c r="Z94" s="37">
        <v>45.603097851238502</v>
      </c>
      <c r="AA94" s="37">
        <v>41.480805283397103</v>
      </c>
      <c r="AB94" s="37">
        <v>19.294643882117398</v>
      </c>
      <c r="AC94" s="37">
        <v>48.9298153638778</v>
      </c>
      <c r="AD94" s="37">
        <v>66.375762105946606</v>
      </c>
      <c r="AE94" s="37">
        <v>76.131842323730794</v>
      </c>
      <c r="AF94" s="45">
        <v>2.7194148741142201</v>
      </c>
      <c r="AG94" s="45">
        <v>6.7281396740042902</v>
      </c>
      <c r="AH94" s="46">
        <v>7.4082114027294003E-14</v>
      </c>
      <c r="AI94" s="47">
        <v>2.9153490755446899E-12</v>
      </c>
      <c r="AJ94" s="48">
        <v>6.8505630726276499</v>
      </c>
      <c r="AK94" s="49">
        <v>46.091545198214803</v>
      </c>
      <c r="AL94" s="31" t="s">
        <v>5874</v>
      </c>
      <c r="AM94" s="31" t="s">
        <v>5876</v>
      </c>
      <c r="AN94" s="31" t="s">
        <v>26740</v>
      </c>
      <c r="AO94" s="31" t="s">
        <v>26741</v>
      </c>
      <c r="AP94" s="31" t="s">
        <v>26742</v>
      </c>
      <c r="AQ94" s="31" t="s">
        <v>26743</v>
      </c>
      <c r="AR94" s="31" t="s">
        <v>26744</v>
      </c>
      <c r="AS94" s="31" t="str">
        <f>"SPP1"</f>
        <v>SPP1</v>
      </c>
      <c r="AT94" s="31" t="s">
        <v>26745</v>
      </c>
      <c r="AU94" s="31" t="s">
        <v>13777</v>
      </c>
      <c r="AV94" s="31">
        <v>9606</v>
      </c>
      <c r="AW94" s="50" t="str">
        <f>HYPERLINK("http://www.uniprot.org/uniprot/P10451", "P10451")</f>
        <v>P10451</v>
      </c>
      <c r="AX94" s="31" t="s">
        <v>26746</v>
      </c>
      <c r="AY94" s="31" t="s">
        <v>26747</v>
      </c>
      <c r="AZ94" s="31" t="s">
        <v>14321</v>
      </c>
      <c r="BA94" s="31" t="s">
        <v>13780</v>
      </c>
      <c r="BB94" s="31" t="s">
        <v>13772</v>
      </c>
      <c r="BC94" s="31" t="s">
        <v>13772</v>
      </c>
      <c r="BD94" s="31" t="s">
        <v>13808</v>
      </c>
      <c r="BE94" s="31" t="s">
        <v>17535</v>
      </c>
      <c r="BF94" s="31" t="s">
        <v>14405</v>
      </c>
      <c r="BG94" s="31" t="s">
        <v>13978</v>
      </c>
      <c r="BH94" s="31" t="s">
        <v>13812</v>
      </c>
      <c r="BI94" s="31" t="s">
        <v>26748</v>
      </c>
      <c r="BJ94" s="31" t="s">
        <v>26749</v>
      </c>
      <c r="BK94" s="31" t="s">
        <v>26750</v>
      </c>
      <c r="BL94" s="31" t="s">
        <v>13772</v>
      </c>
      <c r="BM94" s="31" t="s">
        <v>26751</v>
      </c>
    </row>
    <row r="95" spans="1:65">
      <c r="A95">
        <v>1536</v>
      </c>
      <c r="B95">
        <v>1</v>
      </c>
      <c r="C95">
        <v>90</v>
      </c>
      <c r="D95" t="s">
        <v>3647</v>
      </c>
      <c r="E95" t="s">
        <v>73</v>
      </c>
      <c r="F95" t="s">
        <v>73</v>
      </c>
      <c r="G95">
        <v>69.599999999999994</v>
      </c>
      <c r="H95">
        <v>322</v>
      </c>
      <c r="I95">
        <v>36015</v>
      </c>
      <c r="J95" t="s">
        <v>3648</v>
      </c>
      <c r="K95" s="3" t="s">
        <v>73</v>
      </c>
      <c r="L95">
        <v>476</v>
      </c>
      <c r="M95">
        <v>476</v>
      </c>
      <c r="N95">
        <v>1</v>
      </c>
      <c r="O95" s="11">
        <f t="shared" si="1"/>
        <v>28.299300284366414</v>
      </c>
      <c r="P95" s="36">
        <v>38.7725886667113</v>
      </c>
      <c r="Q95" s="36">
        <v>26.002731258291099</v>
      </c>
      <c r="R95" s="36">
        <v>38.419143883494201</v>
      </c>
      <c r="S95" s="36">
        <v>13.6072958323791</v>
      </c>
      <c r="T95" s="36">
        <v>23.224761718296101</v>
      </c>
      <c r="U95" s="36">
        <v>36.259362618940202</v>
      </c>
      <c r="V95" s="36">
        <v>46.378740446044198</v>
      </c>
      <c r="W95" s="36">
        <v>33.088242331398398</v>
      </c>
      <c r="X95" s="37">
        <v>17.484682451389101</v>
      </c>
      <c r="Y95" s="37">
        <v>28.379234109972899</v>
      </c>
      <c r="Z95" s="37">
        <v>21.601467403218301</v>
      </c>
      <c r="AA95" s="37">
        <v>29.629146630997901</v>
      </c>
      <c r="AB95" s="37">
        <v>19.294643882117398</v>
      </c>
      <c r="AC95" s="37">
        <v>26.043288822709101</v>
      </c>
      <c r="AD95" s="37">
        <v>22.628100717936299</v>
      </c>
      <c r="AE95" s="37">
        <v>31.975373775967</v>
      </c>
      <c r="AF95" s="45">
        <v>-0.38139531088371398</v>
      </c>
      <c r="AG95" s="45">
        <v>-1.29800111400258</v>
      </c>
      <c r="AH95" s="46">
        <v>0.18677242826439899</v>
      </c>
      <c r="AI95" s="47">
        <v>0.24791816370810099</v>
      </c>
      <c r="AJ95" s="48">
        <v>31.969108344444301</v>
      </c>
      <c r="AK95" s="49">
        <v>24.629492224288501</v>
      </c>
      <c r="AL95" s="31" t="s">
        <v>5875</v>
      </c>
      <c r="AM95" s="31" t="s">
        <v>5832</v>
      </c>
      <c r="AN95" s="31" t="s">
        <v>28532</v>
      </c>
      <c r="AO95" s="31" t="s">
        <v>28533</v>
      </c>
      <c r="AP95" s="31" t="s">
        <v>28534</v>
      </c>
      <c r="AQ95" s="31" t="s">
        <v>28535</v>
      </c>
      <c r="AR95" s="31" t="s">
        <v>28536</v>
      </c>
      <c r="AS95" s="31" t="str">
        <f>"LMAN2"</f>
        <v>LMAN2</v>
      </c>
      <c r="AT95" s="31" t="s">
        <v>28537</v>
      </c>
      <c r="AU95" s="31" t="s">
        <v>13777</v>
      </c>
      <c r="AV95" s="31">
        <v>9606</v>
      </c>
      <c r="AW95" s="50" t="str">
        <f>HYPERLINK("http://www.uniprot.org/uniprot/Q12907", "Q12907")</f>
        <v>Q12907</v>
      </c>
      <c r="AX95" s="31" t="s">
        <v>28538</v>
      </c>
      <c r="AY95" s="31" t="s">
        <v>14347</v>
      </c>
      <c r="AZ95" s="31" t="s">
        <v>17766</v>
      </c>
      <c r="BA95" s="31" t="s">
        <v>13772</v>
      </c>
      <c r="BB95" s="31" t="s">
        <v>13772</v>
      </c>
      <c r="BC95" s="31" t="s">
        <v>13772</v>
      </c>
      <c r="BD95" s="31" t="s">
        <v>13855</v>
      </c>
      <c r="BE95" s="31" t="s">
        <v>14519</v>
      </c>
      <c r="BF95" s="31" t="s">
        <v>13772</v>
      </c>
      <c r="BG95" s="31" t="s">
        <v>13796</v>
      </c>
      <c r="BH95" s="31" t="s">
        <v>13772</v>
      </c>
      <c r="BI95" s="31" t="s">
        <v>28539</v>
      </c>
      <c r="BJ95" s="31" t="s">
        <v>28540</v>
      </c>
      <c r="BK95" s="31" t="s">
        <v>28541</v>
      </c>
      <c r="BL95" s="31" t="s">
        <v>13772</v>
      </c>
      <c r="BM95" s="31" t="s">
        <v>28542</v>
      </c>
    </row>
    <row r="96" spans="1:65">
      <c r="A96">
        <v>217</v>
      </c>
      <c r="B96">
        <v>1</v>
      </c>
      <c r="C96">
        <v>91</v>
      </c>
      <c r="D96" t="s">
        <v>551</v>
      </c>
      <c r="E96" t="s">
        <v>73</v>
      </c>
      <c r="F96" t="s">
        <v>73</v>
      </c>
      <c r="G96">
        <v>31</v>
      </c>
      <c r="H96">
        <v>1939</v>
      </c>
      <c r="I96">
        <v>223034</v>
      </c>
      <c r="J96" t="s">
        <v>553</v>
      </c>
      <c r="K96" s="3" t="s">
        <v>73</v>
      </c>
      <c r="L96">
        <v>497</v>
      </c>
      <c r="M96">
        <v>387</v>
      </c>
      <c r="N96">
        <v>0.77900000000000003</v>
      </c>
      <c r="O96" s="11">
        <f t="shared" si="1"/>
        <v>23.500756049524053</v>
      </c>
      <c r="P96" s="36">
        <v>0.30291084895868198</v>
      </c>
      <c r="Q96" s="36">
        <v>0.24076603016936199</v>
      </c>
      <c r="R96" s="36">
        <v>0.40019941545306398</v>
      </c>
      <c r="S96" s="36">
        <v>0.37798043978830698</v>
      </c>
      <c r="T96" s="36">
        <v>0.172035271987378</v>
      </c>
      <c r="U96" s="36">
        <v>0.23243181165987301</v>
      </c>
      <c r="V96" s="36">
        <v>15.389309329823799</v>
      </c>
      <c r="W96" s="36">
        <v>8.9532891014372105</v>
      </c>
      <c r="X96" s="37">
        <v>30.677670119255399</v>
      </c>
      <c r="Y96" s="37">
        <v>34.748795543544503</v>
      </c>
      <c r="Z96" s="37">
        <v>26.961831536609498</v>
      </c>
      <c r="AA96" s="37">
        <v>19.8092008904386</v>
      </c>
      <c r="AB96" s="37">
        <v>118.891758016476</v>
      </c>
      <c r="AC96" s="37">
        <v>76.788242498472698</v>
      </c>
      <c r="AD96" s="37">
        <v>11.917466378113099</v>
      </c>
      <c r="AE96" s="37">
        <v>30.148209560197401</v>
      </c>
      <c r="AF96" s="45">
        <v>3.6702855935374799</v>
      </c>
      <c r="AG96" s="45">
        <v>13.4237683935247</v>
      </c>
      <c r="AH96" s="46">
        <v>2.03661931046549E-6</v>
      </c>
      <c r="AI96" s="47">
        <v>8.9052177692902903E-6</v>
      </c>
      <c r="AJ96" s="48">
        <v>3.2586152811596998</v>
      </c>
      <c r="AK96" s="49">
        <v>43.742896817888401</v>
      </c>
      <c r="AL96" s="31" t="s">
        <v>5874</v>
      </c>
      <c r="AM96" s="31" t="s">
        <v>5876</v>
      </c>
      <c r="AN96" s="31" t="s">
        <v>15644</v>
      </c>
      <c r="AO96" s="31" t="s">
        <v>15645</v>
      </c>
      <c r="AP96" s="31" t="s">
        <v>15646</v>
      </c>
      <c r="AQ96" s="31" t="s">
        <v>15647</v>
      </c>
      <c r="AR96" s="31" t="s">
        <v>15648</v>
      </c>
      <c r="AS96" s="31" t="str">
        <f>"MYH6"</f>
        <v>MYH6</v>
      </c>
      <c r="AT96" s="31" t="s">
        <v>15649</v>
      </c>
      <c r="AU96" s="31" t="s">
        <v>13777</v>
      </c>
      <c r="AV96" s="31">
        <v>9606</v>
      </c>
      <c r="AW96" s="50" t="str">
        <f>HYPERLINK("http://www.uniprot.org/uniprot/P13533", "P13533")</f>
        <v>P13533</v>
      </c>
      <c r="AX96" s="31" t="s">
        <v>15650</v>
      </c>
      <c r="AY96" s="31" t="s">
        <v>13772</v>
      </c>
      <c r="AZ96" s="31" t="s">
        <v>15651</v>
      </c>
      <c r="BA96" s="31" t="s">
        <v>13793</v>
      </c>
      <c r="BB96" s="31" t="s">
        <v>13772</v>
      </c>
      <c r="BC96" s="31" t="s">
        <v>15652</v>
      </c>
      <c r="BD96" s="31" t="s">
        <v>14245</v>
      </c>
      <c r="BE96" s="31" t="s">
        <v>14005</v>
      </c>
      <c r="BF96" s="31" t="s">
        <v>15653</v>
      </c>
      <c r="BG96" s="31" t="s">
        <v>14478</v>
      </c>
      <c r="BH96" s="31" t="s">
        <v>13772</v>
      </c>
      <c r="BI96" s="31" t="s">
        <v>15654</v>
      </c>
      <c r="BJ96" s="31" t="s">
        <v>15655</v>
      </c>
      <c r="BK96" s="31" t="s">
        <v>15656</v>
      </c>
      <c r="BL96" s="31" t="s">
        <v>13772</v>
      </c>
      <c r="BM96" s="31" t="s">
        <v>15657</v>
      </c>
    </row>
    <row r="97" spans="1:65">
      <c r="A97">
        <v>2058</v>
      </c>
      <c r="B97">
        <v>1</v>
      </c>
      <c r="C97">
        <v>92</v>
      </c>
      <c r="D97" t="s">
        <v>4838</v>
      </c>
      <c r="E97" t="s">
        <v>73</v>
      </c>
      <c r="F97" t="s">
        <v>73</v>
      </c>
      <c r="G97">
        <v>37.4</v>
      </c>
      <c r="H97">
        <v>882</v>
      </c>
      <c r="I97">
        <v>97818</v>
      </c>
      <c r="J97" t="s">
        <v>4840</v>
      </c>
      <c r="K97" s="3" t="s">
        <v>73</v>
      </c>
      <c r="L97">
        <v>465</v>
      </c>
      <c r="M97">
        <v>455</v>
      </c>
      <c r="N97">
        <v>0.97799999999999998</v>
      </c>
      <c r="O97" s="11">
        <f t="shared" si="1"/>
        <v>29.107596024053581</v>
      </c>
      <c r="P97" s="36">
        <v>83.482229973012807</v>
      </c>
      <c r="Q97" s="36">
        <v>24.8470543134781</v>
      </c>
      <c r="R97" s="36">
        <v>23.531725628640199</v>
      </c>
      <c r="S97" s="36">
        <v>15.119217591532299</v>
      </c>
      <c r="T97" s="36">
        <v>39.568112557097002</v>
      </c>
      <c r="U97" s="36">
        <v>27.798844674520801</v>
      </c>
      <c r="V97" s="36">
        <v>31.621868485939199</v>
      </c>
      <c r="W97" s="36">
        <v>30.168691537451501</v>
      </c>
      <c r="X97" s="37">
        <v>16.689924158144098</v>
      </c>
      <c r="Y97" s="37">
        <v>20.180788700425101</v>
      </c>
      <c r="Z97" s="37">
        <v>23.7616141435401</v>
      </c>
      <c r="AA97" s="37">
        <v>9.3120175125993505</v>
      </c>
      <c r="AB97" s="37">
        <v>15.619473618856899</v>
      </c>
      <c r="AC97" s="37">
        <v>24.307069567861799</v>
      </c>
      <c r="AD97" s="37">
        <v>40.4288732827129</v>
      </c>
      <c r="AE97" s="37">
        <v>39.284030639045099</v>
      </c>
      <c r="AF97" s="45">
        <v>-0.56818829930706005</v>
      </c>
      <c r="AG97" s="45">
        <v>-1.4565472206111401</v>
      </c>
      <c r="AH97" s="46">
        <v>0.147653311506246</v>
      </c>
      <c r="AI97" s="47">
        <v>0.19955568767207699</v>
      </c>
      <c r="AJ97" s="48">
        <v>34.517218095209003</v>
      </c>
      <c r="AK97" s="49">
        <v>23.697973952898199</v>
      </c>
      <c r="AL97" s="31" t="s">
        <v>5875</v>
      </c>
      <c r="AM97" s="31" t="s">
        <v>5832</v>
      </c>
      <c r="AN97" s="31" t="s">
        <v>33480</v>
      </c>
      <c r="AO97" s="31" t="s">
        <v>33481</v>
      </c>
      <c r="AP97" s="31" t="s">
        <v>33482</v>
      </c>
      <c r="AQ97" s="31" t="s">
        <v>33483</v>
      </c>
      <c r="AR97" s="31" t="s">
        <v>33484</v>
      </c>
      <c r="AS97" s="31" t="str">
        <f>"CDH1"</f>
        <v>CDH1</v>
      </c>
      <c r="AT97" s="31" t="s">
        <v>33485</v>
      </c>
      <c r="AU97" s="31" t="s">
        <v>13777</v>
      </c>
      <c r="AV97" s="31">
        <v>9606</v>
      </c>
      <c r="AW97" s="50" t="str">
        <f>HYPERLINK("http://www.uniprot.org/uniprot/P12830", "P12830")</f>
        <v>P12830</v>
      </c>
      <c r="AX97" s="31" t="s">
        <v>33486</v>
      </c>
      <c r="AY97" s="31" t="s">
        <v>13949</v>
      </c>
      <c r="AZ97" s="31" t="s">
        <v>33487</v>
      </c>
      <c r="BA97" s="31" t="s">
        <v>13780</v>
      </c>
      <c r="BB97" s="31" t="s">
        <v>13772</v>
      </c>
      <c r="BC97" s="31" t="s">
        <v>19583</v>
      </c>
      <c r="BD97" s="31" t="s">
        <v>13826</v>
      </c>
      <c r="BE97" s="31" t="s">
        <v>13873</v>
      </c>
      <c r="BF97" s="31" t="s">
        <v>13772</v>
      </c>
      <c r="BG97" s="31" t="s">
        <v>33488</v>
      </c>
      <c r="BH97" s="31" t="s">
        <v>13812</v>
      </c>
      <c r="BI97" s="31" t="s">
        <v>33489</v>
      </c>
      <c r="BJ97" s="31" t="s">
        <v>33490</v>
      </c>
      <c r="BK97" s="31" t="s">
        <v>33491</v>
      </c>
      <c r="BL97" s="31" t="s">
        <v>13772</v>
      </c>
      <c r="BM97" s="31" t="s">
        <v>33492</v>
      </c>
    </row>
    <row r="98" spans="1:65">
      <c r="A98">
        <v>115</v>
      </c>
      <c r="B98">
        <v>1</v>
      </c>
      <c r="C98">
        <v>93</v>
      </c>
      <c r="D98" t="s">
        <v>301</v>
      </c>
      <c r="E98" t="s">
        <v>73</v>
      </c>
      <c r="F98" t="s">
        <v>73</v>
      </c>
      <c r="G98">
        <v>75.7</v>
      </c>
      <c r="H98">
        <v>449</v>
      </c>
      <c r="I98">
        <v>49767</v>
      </c>
      <c r="J98" t="s">
        <v>302</v>
      </c>
      <c r="K98" s="3" t="s">
        <v>73</v>
      </c>
      <c r="L98">
        <v>458</v>
      </c>
      <c r="M98">
        <v>458</v>
      </c>
      <c r="N98">
        <v>1</v>
      </c>
      <c r="O98" s="11">
        <f t="shared" si="1"/>
        <v>27.438553391309192</v>
      </c>
      <c r="P98" s="36">
        <v>20.597937729190399</v>
      </c>
      <c r="Q98" s="36">
        <v>7.7045129654195703</v>
      </c>
      <c r="R98" s="36">
        <v>11.2055836326858</v>
      </c>
      <c r="S98" s="36">
        <v>16.631139350685501</v>
      </c>
      <c r="T98" s="36">
        <v>6.8814108794951396</v>
      </c>
      <c r="U98" s="36">
        <v>5.5783634798369501</v>
      </c>
      <c r="V98" s="36">
        <v>16.8649965258343</v>
      </c>
      <c r="W98" s="36">
        <v>8.7586523818407507</v>
      </c>
      <c r="X98" s="37">
        <v>41.327431248737803</v>
      </c>
      <c r="Y98" s="37">
        <v>41.622876694626903</v>
      </c>
      <c r="Z98" s="37">
        <v>28.001902189357001</v>
      </c>
      <c r="AA98" s="37">
        <v>23.703317304798301</v>
      </c>
      <c r="AB98" s="37">
        <v>23.888606711192999</v>
      </c>
      <c r="AC98" s="37">
        <v>46.562243652722401</v>
      </c>
      <c r="AD98" s="37">
        <v>42.239121340147797</v>
      </c>
      <c r="AE98" s="37">
        <v>97.448758174375499</v>
      </c>
      <c r="AF98" s="45">
        <v>1.8704321907920101</v>
      </c>
      <c r="AG98" s="45">
        <v>3.6593584606595599</v>
      </c>
      <c r="AH98" s="46">
        <v>1.2366994444173499E-6</v>
      </c>
      <c r="AI98" s="47">
        <v>5.9953038283710596E-6</v>
      </c>
      <c r="AJ98" s="48">
        <v>11.7778246181235</v>
      </c>
      <c r="AK98" s="49">
        <v>43.099282164494802</v>
      </c>
      <c r="AL98" s="31" t="s">
        <v>5874</v>
      </c>
      <c r="AM98" s="31" t="s">
        <v>5876</v>
      </c>
      <c r="AN98" s="31" t="s">
        <v>14458</v>
      </c>
      <c r="AO98" s="31" t="s">
        <v>14459</v>
      </c>
      <c r="AP98" s="31" t="s">
        <v>14460</v>
      </c>
      <c r="AQ98" s="31" t="s">
        <v>14461</v>
      </c>
      <c r="AR98" s="31" t="s">
        <v>14462</v>
      </c>
      <c r="AS98" s="31" t="str">
        <f>"CHGA"</f>
        <v>CHGA</v>
      </c>
      <c r="AT98" s="31" t="s">
        <v>13772</v>
      </c>
      <c r="AU98" s="31" t="s">
        <v>13777</v>
      </c>
      <c r="AV98" s="31">
        <v>9606</v>
      </c>
      <c r="AW98" s="50" t="str">
        <f>HYPERLINK("http://www.uniprot.org/uniprot/P10645", "P10645")</f>
        <v>P10645</v>
      </c>
      <c r="AX98" s="31" t="s">
        <v>14463</v>
      </c>
      <c r="AY98" s="31" t="s">
        <v>13772</v>
      </c>
      <c r="AZ98" s="31" t="s">
        <v>14464</v>
      </c>
      <c r="BA98" s="31" t="s">
        <v>13793</v>
      </c>
      <c r="BB98" s="31" t="s">
        <v>13772</v>
      </c>
      <c r="BC98" s="31" t="s">
        <v>13772</v>
      </c>
      <c r="BD98" s="31" t="s">
        <v>13808</v>
      </c>
      <c r="BE98" s="31" t="s">
        <v>14465</v>
      </c>
      <c r="BF98" s="31" t="s">
        <v>14466</v>
      </c>
      <c r="BG98" s="31" t="s">
        <v>14467</v>
      </c>
      <c r="BH98" s="31" t="s">
        <v>13812</v>
      </c>
      <c r="BI98" s="31" t="s">
        <v>14468</v>
      </c>
      <c r="BJ98" s="31" t="s">
        <v>14469</v>
      </c>
      <c r="BK98" s="31" t="s">
        <v>13772</v>
      </c>
      <c r="BL98" s="31" t="s">
        <v>13772</v>
      </c>
      <c r="BM98" s="31" t="s">
        <v>14470</v>
      </c>
    </row>
    <row r="99" spans="1:65">
      <c r="A99">
        <v>289</v>
      </c>
      <c r="B99">
        <v>1</v>
      </c>
      <c r="C99">
        <v>94</v>
      </c>
      <c r="D99" t="s">
        <v>729</v>
      </c>
      <c r="E99" t="s">
        <v>73</v>
      </c>
      <c r="F99" t="s">
        <v>73</v>
      </c>
      <c r="G99">
        <v>45</v>
      </c>
      <c r="H99">
        <v>974</v>
      </c>
      <c r="I99">
        <v>110109</v>
      </c>
      <c r="J99" t="s">
        <v>730</v>
      </c>
      <c r="K99" s="3" t="s">
        <v>73</v>
      </c>
      <c r="L99">
        <v>454</v>
      </c>
      <c r="M99">
        <v>454</v>
      </c>
      <c r="N99">
        <v>1</v>
      </c>
      <c r="O99" s="11">
        <f t="shared" si="1"/>
        <v>32.159757224304826</v>
      </c>
      <c r="P99" s="36">
        <v>26.656154708363999</v>
      </c>
      <c r="Q99" s="36">
        <v>33.707244223710603</v>
      </c>
      <c r="R99" s="36">
        <v>36.8183462216819</v>
      </c>
      <c r="S99" s="36">
        <v>43.845731015443697</v>
      </c>
      <c r="T99" s="36">
        <v>36.9875834772864</v>
      </c>
      <c r="U99" s="36">
        <v>53.924180305090502</v>
      </c>
      <c r="V99" s="36">
        <v>43.2165535974503</v>
      </c>
      <c r="W99" s="36">
        <v>25.302773547539999</v>
      </c>
      <c r="X99" s="37">
        <v>3.17903317297983</v>
      </c>
      <c r="Y99" s="37">
        <v>7.5677957626594301</v>
      </c>
      <c r="Z99" s="37">
        <v>8.8005978309407702</v>
      </c>
      <c r="AA99" s="37">
        <v>7.6189234193994704</v>
      </c>
      <c r="AB99" s="37">
        <v>0.91879256581511404</v>
      </c>
      <c r="AC99" s="37">
        <v>7.8919057038512497</v>
      </c>
      <c r="AD99" s="37">
        <v>165.93940526486699</v>
      </c>
      <c r="AE99" s="37">
        <v>12.1810947717969</v>
      </c>
      <c r="AF99" s="45">
        <v>-0.51163966115341397</v>
      </c>
      <c r="AG99" s="45">
        <v>-1.40337229086656</v>
      </c>
      <c r="AH99" s="46">
        <v>0.47794811704460899</v>
      </c>
      <c r="AI99" s="47">
        <v>0.55705102840216603</v>
      </c>
      <c r="AJ99" s="48">
        <v>37.557320887070901</v>
      </c>
      <c r="AK99" s="49">
        <v>26.762193561538702</v>
      </c>
      <c r="AL99" s="31" t="s">
        <v>5875</v>
      </c>
      <c r="AM99" s="31" t="s">
        <v>5832</v>
      </c>
      <c r="AN99" s="31" t="s">
        <v>16420</v>
      </c>
      <c r="AO99" s="31" t="s">
        <v>16421</v>
      </c>
      <c r="AP99" s="31" t="s">
        <v>16422</v>
      </c>
      <c r="AQ99" s="31" t="s">
        <v>16423</v>
      </c>
      <c r="AR99" s="31" t="s">
        <v>16424</v>
      </c>
      <c r="AS99" s="31" t="str">
        <f>"ANPEP"</f>
        <v>ANPEP</v>
      </c>
      <c r="AT99" s="31" t="s">
        <v>16425</v>
      </c>
      <c r="AU99" s="31" t="s">
        <v>13777</v>
      </c>
      <c r="AV99" s="31">
        <v>9606</v>
      </c>
      <c r="AW99" s="50" t="str">
        <f>HYPERLINK("http://www.uniprot.org/uniprot/P15144", "P15144")</f>
        <v>P15144</v>
      </c>
      <c r="AX99" s="31" t="s">
        <v>16426</v>
      </c>
      <c r="AY99" s="31" t="s">
        <v>16427</v>
      </c>
      <c r="AZ99" s="31" t="s">
        <v>13792</v>
      </c>
      <c r="BA99" s="31" t="s">
        <v>13793</v>
      </c>
      <c r="BB99" s="31" t="s">
        <v>13772</v>
      </c>
      <c r="BC99" s="31" t="s">
        <v>13772</v>
      </c>
      <c r="BD99" s="31" t="s">
        <v>14417</v>
      </c>
      <c r="BE99" s="31" t="s">
        <v>13856</v>
      </c>
      <c r="BF99" s="31" t="s">
        <v>16428</v>
      </c>
      <c r="BG99" s="31" t="s">
        <v>16429</v>
      </c>
      <c r="BH99" s="31" t="s">
        <v>13812</v>
      </c>
      <c r="BI99" s="31" t="s">
        <v>16430</v>
      </c>
      <c r="BJ99" s="31" t="s">
        <v>16431</v>
      </c>
      <c r="BK99" s="31" t="s">
        <v>16432</v>
      </c>
      <c r="BL99" s="31" t="s">
        <v>13772</v>
      </c>
      <c r="BM99" s="31" t="s">
        <v>16433</v>
      </c>
    </row>
    <row r="100" spans="1:65">
      <c r="A100">
        <v>1361</v>
      </c>
      <c r="B100">
        <v>1</v>
      </c>
      <c r="C100">
        <v>95</v>
      </c>
      <c r="D100" t="s">
        <v>3254</v>
      </c>
      <c r="E100" t="s">
        <v>73</v>
      </c>
      <c r="F100" t="s">
        <v>73</v>
      </c>
      <c r="G100">
        <v>43.8</v>
      </c>
      <c r="H100">
        <v>1206</v>
      </c>
      <c r="I100">
        <v>133324</v>
      </c>
      <c r="J100" t="s">
        <v>3255</v>
      </c>
      <c r="K100" s="3">
        <v>30</v>
      </c>
      <c r="L100">
        <v>452</v>
      </c>
      <c r="M100">
        <v>452</v>
      </c>
      <c r="N100">
        <v>1</v>
      </c>
      <c r="O100" s="11">
        <f t="shared" si="1"/>
        <v>30.749201132998099</v>
      </c>
      <c r="P100" s="36">
        <v>52.100666020893399</v>
      </c>
      <c r="Q100" s="36">
        <v>78.971257895550593</v>
      </c>
      <c r="R100" s="36">
        <v>52.826322839804497</v>
      </c>
      <c r="S100" s="36">
        <v>74.084166198508299</v>
      </c>
      <c r="T100" s="36">
        <v>41.288465276970797</v>
      </c>
      <c r="U100" s="36">
        <v>35.3296353723007</v>
      </c>
      <c r="V100" s="36">
        <v>67.459986103337002</v>
      </c>
      <c r="W100" s="36">
        <v>30.168691537451501</v>
      </c>
      <c r="X100" s="37">
        <v>2.3842748797348698</v>
      </c>
      <c r="Y100" s="37">
        <v>6.3064964688828598</v>
      </c>
      <c r="Z100" s="37">
        <v>4.8003260896040603</v>
      </c>
      <c r="AA100" s="37">
        <v>4.2327352329997003</v>
      </c>
      <c r="AB100" s="37">
        <v>5.5127553948906796</v>
      </c>
      <c r="AC100" s="37">
        <v>10.2594774150066</v>
      </c>
      <c r="AD100" s="37">
        <v>0.377135011965606</v>
      </c>
      <c r="AE100" s="37">
        <v>25.884826390068501</v>
      </c>
      <c r="AF100" s="45">
        <v>-2.88669301714233</v>
      </c>
      <c r="AG100" s="45">
        <v>-7.2329896716631996</v>
      </c>
      <c r="AH100" s="46">
        <v>6.7562825071215798E-10</v>
      </c>
      <c r="AI100" s="47">
        <v>9.2243938719680404E-9</v>
      </c>
      <c r="AJ100" s="48">
        <v>54.028648905602097</v>
      </c>
      <c r="AK100" s="49">
        <v>7.46975336039411</v>
      </c>
      <c r="AL100" s="31" t="s">
        <v>5875</v>
      </c>
      <c r="AM100" s="31" t="s">
        <v>5876</v>
      </c>
      <c r="AN100" s="31" t="s">
        <v>26941</v>
      </c>
      <c r="AO100" s="31" t="s">
        <v>26942</v>
      </c>
      <c r="AP100" s="31" t="s">
        <v>26943</v>
      </c>
      <c r="AQ100" s="31" t="s">
        <v>26944</v>
      </c>
      <c r="AR100" s="31" t="s">
        <v>26945</v>
      </c>
      <c r="AS100" s="31" t="str">
        <f>"EGF"</f>
        <v>EGF</v>
      </c>
      <c r="AT100" s="31" t="s">
        <v>13772</v>
      </c>
      <c r="AU100" s="31" t="s">
        <v>13777</v>
      </c>
      <c r="AV100" s="31">
        <v>9606</v>
      </c>
      <c r="AW100" s="50" t="str">
        <f>HYPERLINK("http://www.uniprot.org/uniprot/P01133", "P01133")</f>
        <v>P01133</v>
      </c>
      <c r="AX100" s="31" t="s">
        <v>26946</v>
      </c>
      <c r="AY100" s="31" t="s">
        <v>13772</v>
      </c>
      <c r="AZ100" s="31" t="s">
        <v>13825</v>
      </c>
      <c r="BA100" s="31" t="s">
        <v>13780</v>
      </c>
      <c r="BB100" s="31" t="s">
        <v>13772</v>
      </c>
      <c r="BC100" s="31" t="s">
        <v>19050</v>
      </c>
      <c r="BD100" s="31" t="s">
        <v>13963</v>
      </c>
      <c r="BE100" s="31" t="s">
        <v>13772</v>
      </c>
      <c r="BF100" s="31" t="s">
        <v>15740</v>
      </c>
      <c r="BG100" s="31" t="s">
        <v>13796</v>
      </c>
      <c r="BH100" s="31" t="s">
        <v>13812</v>
      </c>
      <c r="BI100" s="31" t="s">
        <v>26947</v>
      </c>
      <c r="BJ100" s="31" t="s">
        <v>26948</v>
      </c>
      <c r="BK100" s="31" t="s">
        <v>26949</v>
      </c>
      <c r="BL100" s="31" t="s">
        <v>13772</v>
      </c>
      <c r="BM100" s="31" t="s">
        <v>26950</v>
      </c>
    </row>
    <row r="101" spans="1:65">
      <c r="A101">
        <v>2430</v>
      </c>
      <c r="B101">
        <v>1</v>
      </c>
      <c r="C101">
        <v>96</v>
      </c>
      <c r="D101" t="s">
        <v>5688</v>
      </c>
      <c r="E101" t="s">
        <v>73</v>
      </c>
      <c r="F101" t="s">
        <v>5689</v>
      </c>
      <c r="G101">
        <v>64.5</v>
      </c>
      <c r="H101">
        <v>377</v>
      </c>
      <c r="I101">
        <v>38822</v>
      </c>
      <c r="J101" t="s">
        <v>5691</v>
      </c>
      <c r="K101" s="3" t="s">
        <v>73</v>
      </c>
      <c r="L101">
        <v>860</v>
      </c>
      <c r="M101">
        <v>261</v>
      </c>
      <c r="N101">
        <v>0.30299999999999999</v>
      </c>
      <c r="O101" s="11">
        <f t="shared" si="1"/>
        <v>24.860782969880564</v>
      </c>
      <c r="P101" s="36">
        <v>15.630199806267999</v>
      </c>
      <c r="Q101" s="36">
        <v>20.3206529462941</v>
      </c>
      <c r="R101" s="36">
        <v>8.8043871399674192</v>
      </c>
      <c r="S101" s="36">
        <v>29.180089951657301</v>
      </c>
      <c r="T101" s="36">
        <v>27.1815729740058</v>
      </c>
      <c r="U101" s="36">
        <v>26.6831719785534</v>
      </c>
      <c r="V101" s="36">
        <v>13.7028096772403</v>
      </c>
      <c r="W101" s="36">
        <v>15.4736192079187</v>
      </c>
      <c r="X101" s="37">
        <v>29.247105191414398</v>
      </c>
      <c r="Y101" s="37">
        <v>31.973937097236099</v>
      </c>
      <c r="Z101" s="37">
        <v>28.561940233144099</v>
      </c>
      <c r="AA101" s="37">
        <v>25.819684921298201</v>
      </c>
      <c r="AB101" s="37">
        <v>55.770708744977398</v>
      </c>
      <c r="AC101" s="37">
        <v>33.619518298406298</v>
      </c>
      <c r="AD101" s="37">
        <v>14.029422445120501</v>
      </c>
      <c r="AE101" s="37">
        <v>21.773706904587002</v>
      </c>
      <c r="AF101" s="45">
        <v>0.61929020046691496</v>
      </c>
      <c r="AG101" s="45">
        <v>1.5339622057332201</v>
      </c>
      <c r="AH101" s="46">
        <v>6.0312820497132602E-2</v>
      </c>
      <c r="AI101" s="47">
        <v>9.1081889193186605E-2</v>
      </c>
      <c r="AJ101" s="48">
        <v>19.6220629602381</v>
      </c>
      <c r="AK101" s="49">
        <v>30.099502979522999</v>
      </c>
      <c r="AL101" s="31" t="s">
        <v>5874</v>
      </c>
      <c r="AM101" s="31" t="s">
        <v>5877</v>
      </c>
      <c r="AN101" s="31" t="s">
        <v>25737</v>
      </c>
      <c r="AO101" s="31" t="s">
        <v>25738</v>
      </c>
      <c r="AP101" s="31" t="s">
        <v>25739</v>
      </c>
      <c r="AQ101" s="31" t="s">
        <v>25740</v>
      </c>
      <c r="AR101" s="31" t="s">
        <v>25741</v>
      </c>
      <c r="AS101" s="31" t="str">
        <f>"ACTA1"</f>
        <v>ACTA1</v>
      </c>
      <c r="AT101" s="31" t="s">
        <v>25742</v>
      </c>
      <c r="AU101" s="31" t="s">
        <v>13777</v>
      </c>
      <c r="AV101" s="31">
        <v>9606</v>
      </c>
      <c r="AW101" s="50" t="str">
        <f>HYPERLINK("http://www.uniprot.org/uniprot/P68133", "P68133")</f>
        <v>P68133</v>
      </c>
      <c r="AX101" s="31" t="s">
        <v>25743</v>
      </c>
      <c r="AY101" s="31" t="s">
        <v>13772</v>
      </c>
      <c r="AZ101" s="31" t="s">
        <v>13988</v>
      </c>
      <c r="BA101" s="31" t="s">
        <v>13772</v>
      </c>
      <c r="BB101" s="31" t="s">
        <v>13772</v>
      </c>
      <c r="BC101" s="31" t="s">
        <v>15844</v>
      </c>
      <c r="BD101" s="31" t="s">
        <v>13772</v>
      </c>
      <c r="BE101" s="31" t="s">
        <v>14005</v>
      </c>
      <c r="BF101" s="31" t="s">
        <v>17512</v>
      </c>
      <c r="BG101" s="31" t="s">
        <v>25744</v>
      </c>
      <c r="BH101" s="31" t="s">
        <v>13772</v>
      </c>
      <c r="BI101" s="31" t="s">
        <v>25745</v>
      </c>
      <c r="BJ101" s="31" t="s">
        <v>25746</v>
      </c>
      <c r="BK101" s="31" t="s">
        <v>25747</v>
      </c>
      <c r="BL101" s="31" t="s">
        <v>13772</v>
      </c>
      <c r="BM101" s="31" t="s">
        <v>15657</v>
      </c>
    </row>
    <row r="102" spans="1:65">
      <c r="A102">
        <v>1975</v>
      </c>
      <c r="B102">
        <v>1</v>
      </c>
      <c r="C102">
        <v>97</v>
      </c>
      <c r="D102" t="s">
        <v>4652</v>
      </c>
      <c r="E102" t="s">
        <v>73</v>
      </c>
      <c r="F102" t="s">
        <v>73</v>
      </c>
      <c r="G102">
        <v>44.3</v>
      </c>
      <c r="H102">
        <v>1679</v>
      </c>
      <c r="I102">
        <v>189093</v>
      </c>
      <c r="J102" t="s">
        <v>4653</v>
      </c>
      <c r="K102" s="3" t="s">
        <v>73</v>
      </c>
      <c r="L102">
        <v>450</v>
      </c>
      <c r="M102">
        <v>450</v>
      </c>
      <c r="N102">
        <v>1</v>
      </c>
      <c r="O102" s="11">
        <f t="shared" si="1"/>
        <v>15.914928841005906</v>
      </c>
      <c r="P102" s="36">
        <v>6.0582169791736504</v>
      </c>
      <c r="Q102" s="36">
        <v>16.372090051516601</v>
      </c>
      <c r="R102" s="36">
        <v>0.40019941545306398</v>
      </c>
      <c r="S102" s="36">
        <v>0.37798043978830698</v>
      </c>
      <c r="T102" s="36">
        <v>1.72035271987378</v>
      </c>
      <c r="U102" s="36">
        <v>0.23243181165987301</v>
      </c>
      <c r="V102" s="36">
        <v>0.26351557071616</v>
      </c>
      <c r="W102" s="36">
        <v>3.8927343919292201</v>
      </c>
      <c r="X102" s="37">
        <v>0.79475829324495695</v>
      </c>
      <c r="Y102" s="37">
        <v>6.9371461157711396</v>
      </c>
      <c r="Z102" s="37">
        <v>4.8003260896040603</v>
      </c>
      <c r="AA102" s="37">
        <v>57.565199168795999</v>
      </c>
      <c r="AB102" s="37">
        <v>22.9698141453778</v>
      </c>
      <c r="AC102" s="37">
        <v>9.4702868446214996</v>
      </c>
      <c r="AD102" s="37">
        <v>58.833061866634502</v>
      </c>
      <c r="AE102" s="37">
        <v>63.950747551933901</v>
      </c>
      <c r="AF102" s="45">
        <v>2.8624980099075401</v>
      </c>
      <c r="AG102" s="45">
        <v>7.6855521704793404</v>
      </c>
      <c r="AH102" s="46">
        <v>6.5867213823180904E-4</v>
      </c>
      <c r="AI102" s="47">
        <v>1.5673268991058299E-3</v>
      </c>
      <c r="AJ102" s="48">
        <v>3.6646901725138301</v>
      </c>
      <c r="AK102" s="49">
        <v>28.165167509498001</v>
      </c>
      <c r="AL102" s="31" t="s">
        <v>5874</v>
      </c>
      <c r="AM102" s="31" t="s">
        <v>5876</v>
      </c>
      <c r="AN102" s="31" t="s">
        <v>32710</v>
      </c>
      <c r="AO102" s="31" t="s">
        <v>32711</v>
      </c>
      <c r="AP102" s="31" t="s">
        <v>32712</v>
      </c>
      <c r="AQ102" s="31" t="s">
        <v>32713</v>
      </c>
      <c r="AR102" s="31" t="s">
        <v>32714</v>
      </c>
      <c r="AS102" s="31" t="str">
        <f>"C5"</f>
        <v>C5</v>
      </c>
      <c r="AT102" s="31" t="s">
        <v>32715</v>
      </c>
      <c r="AU102" s="31" t="s">
        <v>13777</v>
      </c>
      <c r="AV102" s="31">
        <v>9606</v>
      </c>
      <c r="AW102" s="50" t="str">
        <f>HYPERLINK("http://www.uniprot.org/uniprot/P01031", "P01031")</f>
        <v>P01031</v>
      </c>
      <c r="AX102" s="31" t="s">
        <v>32716</v>
      </c>
      <c r="AY102" s="31" t="s">
        <v>32717</v>
      </c>
      <c r="AZ102" s="31" t="s">
        <v>20220</v>
      </c>
      <c r="BA102" s="31" t="s">
        <v>13793</v>
      </c>
      <c r="BB102" s="31" t="s">
        <v>13772</v>
      </c>
      <c r="BC102" s="31" t="s">
        <v>13772</v>
      </c>
      <c r="BD102" s="31" t="s">
        <v>13808</v>
      </c>
      <c r="BE102" s="31" t="s">
        <v>13772</v>
      </c>
      <c r="BF102" s="31" t="s">
        <v>13772</v>
      </c>
      <c r="BG102" s="31" t="s">
        <v>14629</v>
      </c>
      <c r="BH102" s="31" t="s">
        <v>13812</v>
      </c>
      <c r="BI102" s="31" t="s">
        <v>32718</v>
      </c>
      <c r="BJ102" s="31" t="s">
        <v>32719</v>
      </c>
      <c r="BK102" s="31" t="s">
        <v>32720</v>
      </c>
      <c r="BL102" s="31" t="s">
        <v>13772</v>
      </c>
      <c r="BM102" s="31" t="s">
        <v>32721</v>
      </c>
    </row>
    <row r="103" spans="1:65">
      <c r="A103">
        <v>624</v>
      </c>
      <c r="B103">
        <v>1</v>
      </c>
      <c r="C103">
        <v>98</v>
      </c>
      <c r="D103" t="s">
        <v>1544</v>
      </c>
      <c r="E103" t="s">
        <v>73</v>
      </c>
      <c r="F103" t="s">
        <v>73</v>
      </c>
      <c r="G103">
        <v>78.3</v>
      </c>
      <c r="H103">
        <v>129</v>
      </c>
      <c r="I103">
        <v>14402</v>
      </c>
      <c r="J103" t="s">
        <v>1546</v>
      </c>
      <c r="K103" s="3" t="s">
        <v>73</v>
      </c>
      <c r="L103">
        <v>830</v>
      </c>
      <c r="M103">
        <v>154</v>
      </c>
      <c r="N103">
        <v>0.186</v>
      </c>
      <c r="O103" s="11">
        <f t="shared" si="1"/>
        <v>17.526386590214084</v>
      </c>
      <c r="P103" s="36">
        <v>30.7757422542021</v>
      </c>
      <c r="Q103" s="36">
        <v>0.24076603016936199</v>
      </c>
      <c r="R103" s="36">
        <v>0.48023929854367697</v>
      </c>
      <c r="S103" s="36">
        <v>0.37798043978830698</v>
      </c>
      <c r="T103" s="36">
        <v>0.215044089984223</v>
      </c>
      <c r="U103" s="36">
        <v>0.23243181165987301</v>
      </c>
      <c r="V103" s="36">
        <v>0.21081245657292799</v>
      </c>
      <c r="W103" s="36">
        <v>0.24329589949557701</v>
      </c>
      <c r="X103" s="37">
        <v>92.033010357766003</v>
      </c>
      <c r="Y103" s="37">
        <v>35.253315261055199</v>
      </c>
      <c r="Z103" s="37">
        <v>15.6810652260399</v>
      </c>
      <c r="AA103" s="37">
        <v>13.798716859579001</v>
      </c>
      <c r="AB103" s="37">
        <v>14.9763188227864</v>
      </c>
      <c r="AC103" s="37">
        <v>13.7319159247012</v>
      </c>
      <c r="AD103" s="37">
        <v>11.163196354181901</v>
      </c>
      <c r="AE103" s="37">
        <v>51.008334356899702</v>
      </c>
      <c r="AF103" s="45">
        <v>2.8988592288814501</v>
      </c>
      <c r="AG103" s="45">
        <v>7.5556356384540004</v>
      </c>
      <c r="AH103" s="46">
        <v>1.79586141189389E-3</v>
      </c>
      <c r="AI103" s="47">
        <v>3.8507412966570999E-3</v>
      </c>
      <c r="AJ103" s="48">
        <v>4.0970390350520098</v>
      </c>
      <c r="AK103" s="49">
        <v>30.955734145376201</v>
      </c>
      <c r="AL103" s="31" t="s">
        <v>5874</v>
      </c>
      <c r="AM103" s="31" t="s">
        <v>5876</v>
      </c>
      <c r="AN103" s="31" t="s">
        <v>19672</v>
      </c>
      <c r="AO103" s="31" t="s">
        <v>19673</v>
      </c>
      <c r="AP103" s="31" t="s">
        <v>19674</v>
      </c>
      <c r="AQ103" s="31" t="s">
        <v>19675</v>
      </c>
      <c r="AR103" s="31" t="s">
        <v>19676</v>
      </c>
      <c r="AS103" s="31" t="str">
        <f>"SAA1"</f>
        <v>SAA1</v>
      </c>
      <c r="AT103" s="31" t="s">
        <v>13772</v>
      </c>
      <c r="AU103" s="31" t="s">
        <v>13777</v>
      </c>
      <c r="AV103" s="31">
        <v>9606</v>
      </c>
      <c r="AW103" s="50" t="str">
        <f>HYPERLINK("http://www.uniprot.org/uniprot/P0DJI8", "P0DJI8")</f>
        <v>P0DJI8</v>
      </c>
      <c r="AX103" s="31" t="s">
        <v>19677</v>
      </c>
      <c r="AY103" s="31" t="s">
        <v>14374</v>
      </c>
      <c r="AZ103" s="31" t="s">
        <v>19678</v>
      </c>
      <c r="BA103" s="31" t="s">
        <v>13793</v>
      </c>
      <c r="BB103" s="31" t="s">
        <v>13772</v>
      </c>
      <c r="BC103" s="31" t="s">
        <v>19679</v>
      </c>
      <c r="BD103" s="31" t="s">
        <v>13808</v>
      </c>
      <c r="BE103" s="31" t="s">
        <v>13772</v>
      </c>
      <c r="BF103" s="31" t="s">
        <v>14073</v>
      </c>
      <c r="BG103" s="31" t="s">
        <v>17914</v>
      </c>
      <c r="BH103" s="31" t="s">
        <v>13812</v>
      </c>
      <c r="BI103" s="31" t="s">
        <v>19680</v>
      </c>
      <c r="BJ103" s="31" t="s">
        <v>19681</v>
      </c>
      <c r="BK103" s="31" t="s">
        <v>19682</v>
      </c>
      <c r="BL103" s="31" t="s">
        <v>13772</v>
      </c>
      <c r="BM103" s="31" t="s">
        <v>19683</v>
      </c>
    </row>
    <row r="104" spans="1:65">
      <c r="A104">
        <v>1915</v>
      </c>
      <c r="B104">
        <v>1</v>
      </c>
      <c r="C104">
        <v>99</v>
      </c>
      <c r="D104" t="s">
        <v>4511</v>
      </c>
      <c r="E104" t="s">
        <v>73</v>
      </c>
      <c r="F104" t="s">
        <v>73</v>
      </c>
      <c r="G104">
        <v>36.5</v>
      </c>
      <c r="H104">
        <v>2151</v>
      </c>
      <c r="I104">
        <v>234512</v>
      </c>
      <c r="J104" t="s">
        <v>4512</v>
      </c>
      <c r="K104" s="3" t="s">
        <v>5828</v>
      </c>
      <c r="L104">
        <v>445</v>
      </c>
      <c r="M104">
        <v>445</v>
      </c>
      <c r="N104">
        <v>1</v>
      </c>
      <c r="O104" s="11">
        <f t="shared" si="1"/>
        <v>30.643756391675431</v>
      </c>
      <c r="P104" s="36">
        <v>33.926015083372398</v>
      </c>
      <c r="Q104" s="36">
        <v>32.744180103033202</v>
      </c>
      <c r="R104" s="36">
        <v>86.443073737861894</v>
      </c>
      <c r="S104" s="36">
        <v>93.739149067500193</v>
      </c>
      <c r="T104" s="36">
        <v>56.771639755834897</v>
      </c>
      <c r="U104" s="36">
        <v>47.416089578613999</v>
      </c>
      <c r="V104" s="36">
        <v>45.324678163179499</v>
      </c>
      <c r="W104" s="36">
        <v>25.302773547539999</v>
      </c>
      <c r="X104" s="37">
        <v>4.7685497594697397</v>
      </c>
      <c r="Y104" s="37">
        <v>7.5677957626594301</v>
      </c>
      <c r="Z104" s="37">
        <v>8.0005434826734305</v>
      </c>
      <c r="AA104" s="37">
        <v>8.4654704659994096</v>
      </c>
      <c r="AB104" s="37">
        <v>8.2691330923360304</v>
      </c>
      <c r="AC104" s="37">
        <v>13.4162396965471</v>
      </c>
      <c r="AD104" s="37">
        <v>13.576860430761799</v>
      </c>
      <c r="AE104" s="37">
        <v>4.5679105394238499</v>
      </c>
      <c r="AF104" s="45">
        <v>-2.5961568116081701</v>
      </c>
      <c r="AG104" s="45">
        <v>-6.1438469994988401</v>
      </c>
      <c r="AH104" s="46">
        <v>4.1968853601723498E-12</v>
      </c>
      <c r="AI104" s="47">
        <v>1.0398949281315899E-10</v>
      </c>
      <c r="AJ104" s="48">
        <v>52.708449879617</v>
      </c>
      <c r="AK104" s="49">
        <v>8.5790629037338508</v>
      </c>
      <c r="AL104" s="31" t="s">
        <v>5875</v>
      </c>
      <c r="AM104" s="31" t="s">
        <v>5876</v>
      </c>
      <c r="AN104" s="31" t="s">
        <v>32116</v>
      </c>
      <c r="AO104" s="31" t="s">
        <v>32117</v>
      </c>
      <c r="AP104" s="31" t="s">
        <v>32118</v>
      </c>
      <c r="AQ104" s="31" t="s">
        <v>32119</v>
      </c>
      <c r="AR104" s="31" t="s">
        <v>32120</v>
      </c>
      <c r="AS104" s="31" t="str">
        <f>"TNC"</f>
        <v>TNC</v>
      </c>
      <c r="AT104" s="31" t="s">
        <v>32121</v>
      </c>
      <c r="AU104" s="31" t="s">
        <v>13777</v>
      </c>
      <c r="AV104" s="31">
        <v>9606</v>
      </c>
      <c r="AW104" s="50" t="str">
        <f>HYPERLINK("http://www.uniprot.org/uniprot/P24821", "P24821")</f>
        <v>P24821</v>
      </c>
      <c r="AX104" s="31" t="s">
        <v>32122</v>
      </c>
      <c r="AY104" s="31" t="s">
        <v>13949</v>
      </c>
      <c r="AZ104" s="31" t="s">
        <v>13869</v>
      </c>
      <c r="BA104" s="31" t="s">
        <v>13780</v>
      </c>
      <c r="BB104" s="31" t="s">
        <v>13772</v>
      </c>
      <c r="BC104" s="31" t="s">
        <v>14255</v>
      </c>
      <c r="BD104" s="31" t="s">
        <v>27024</v>
      </c>
      <c r="BE104" s="31" t="s">
        <v>13772</v>
      </c>
      <c r="BF104" s="31" t="s">
        <v>13772</v>
      </c>
      <c r="BG104" s="31" t="s">
        <v>13964</v>
      </c>
      <c r="BH104" s="31" t="s">
        <v>13812</v>
      </c>
      <c r="BI104" s="31" t="s">
        <v>32123</v>
      </c>
      <c r="BJ104" s="31" t="s">
        <v>32124</v>
      </c>
      <c r="BK104" s="31" t="s">
        <v>32125</v>
      </c>
      <c r="BL104" s="31" t="s">
        <v>13772</v>
      </c>
      <c r="BM104" s="31" t="s">
        <v>32126</v>
      </c>
    </row>
    <row r="105" spans="1:65">
      <c r="A105">
        <v>292</v>
      </c>
      <c r="B105">
        <v>1</v>
      </c>
      <c r="C105">
        <v>100</v>
      </c>
      <c r="D105" t="s">
        <v>733</v>
      </c>
      <c r="E105" t="s">
        <v>73</v>
      </c>
      <c r="F105" t="s">
        <v>73</v>
      </c>
      <c r="G105">
        <v>78.5</v>
      </c>
      <c r="H105">
        <v>121</v>
      </c>
      <c r="I105">
        <v>13194</v>
      </c>
      <c r="J105" t="s">
        <v>734</v>
      </c>
      <c r="K105" s="3" t="s">
        <v>73</v>
      </c>
      <c r="L105">
        <v>438</v>
      </c>
      <c r="M105">
        <v>438</v>
      </c>
      <c r="N105">
        <v>1</v>
      </c>
      <c r="O105" s="11">
        <f t="shared" si="1"/>
        <v>23.041897215564575</v>
      </c>
      <c r="P105" s="36">
        <v>9.6931471666778304</v>
      </c>
      <c r="Q105" s="36">
        <v>12.519833568806799</v>
      </c>
      <c r="R105" s="36">
        <v>4.8023929854367697</v>
      </c>
      <c r="S105" s="36">
        <v>9.0715305549193808</v>
      </c>
      <c r="T105" s="36">
        <v>8.6017635993689208</v>
      </c>
      <c r="U105" s="36">
        <v>10.226999713034401</v>
      </c>
      <c r="V105" s="36">
        <v>6.3243736971878404</v>
      </c>
      <c r="W105" s="36">
        <v>22.383222753593</v>
      </c>
      <c r="X105" s="37">
        <v>46.890739301452498</v>
      </c>
      <c r="Y105" s="37">
        <v>52.974570338615997</v>
      </c>
      <c r="Z105" s="37">
        <v>24.0016304480203</v>
      </c>
      <c r="AA105" s="37">
        <v>44.020446423196901</v>
      </c>
      <c r="AB105" s="37">
        <v>45.020835724940603</v>
      </c>
      <c r="AC105" s="37">
        <v>41.827100230411602</v>
      </c>
      <c r="AD105" s="37">
        <v>15.0854004786242</v>
      </c>
      <c r="AE105" s="37">
        <v>15.2263684647462</v>
      </c>
      <c r="AF105" s="45">
        <v>1.7534651620597499</v>
      </c>
      <c r="AG105" s="45">
        <v>3.4087056357544698</v>
      </c>
      <c r="AH105" s="46">
        <v>3.33371216702802E-6</v>
      </c>
      <c r="AI105" s="47">
        <v>1.40267511933443E-5</v>
      </c>
      <c r="AJ105" s="48">
        <v>10.4529080048781</v>
      </c>
      <c r="AK105" s="49">
        <v>35.630886426251003</v>
      </c>
      <c r="AL105" s="31" t="s">
        <v>5874</v>
      </c>
      <c r="AM105" s="31" t="s">
        <v>5876</v>
      </c>
      <c r="AN105" s="31" t="s">
        <v>16442</v>
      </c>
      <c r="AO105" s="31" t="s">
        <v>16443</v>
      </c>
      <c r="AP105" s="31" t="s">
        <v>16444</v>
      </c>
      <c r="AQ105" s="31" t="s">
        <v>16445</v>
      </c>
      <c r="AR105" s="31" t="s">
        <v>16446</v>
      </c>
      <c r="AS105" s="31" t="str">
        <f>"PPIA"</f>
        <v>PPIA</v>
      </c>
      <c r="AT105" s="31" t="s">
        <v>16447</v>
      </c>
      <c r="AU105" s="31" t="s">
        <v>13777</v>
      </c>
      <c r="AV105" s="31">
        <v>9606</v>
      </c>
      <c r="AW105" s="50" t="str">
        <f>HYPERLINK("http://www.uniprot.org/uniprot/P62937", "P62937")</f>
        <v>P62937</v>
      </c>
      <c r="AX105" s="31" t="s">
        <v>16448</v>
      </c>
      <c r="AY105" s="31" t="s">
        <v>14563</v>
      </c>
      <c r="AZ105" s="31" t="s">
        <v>16449</v>
      </c>
      <c r="BA105" s="31" t="s">
        <v>13841</v>
      </c>
      <c r="BB105" s="31" t="s">
        <v>13772</v>
      </c>
      <c r="BC105" s="31" t="s">
        <v>13772</v>
      </c>
      <c r="BD105" s="31" t="s">
        <v>13772</v>
      </c>
      <c r="BE105" s="31" t="s">
        <v>13772</v>
      </c>
      <c r="BF105" s="31" t="s">
        <v>15050</v>
      </c>
      <c r="BG105" s="31" t="s">
        <v>16450</v>
      </c>
      <c r="BH105" s="31" t="s">
        <v>13812</v>
      </c>
      <c r="BI105" s="31" t="s">
        <v>16451</v>
      </c>
      <c r="BJ105" s="31" t="s">
        <v>16452</v>
      </c>
      <c r="BK105" s="31" t="s">
        <v>16453</v>
      </c>
      <c r="BL105" s="31" t="s">
        <v>13772</v>
      </c>
      <c r="BM105" s="31" t="s">
        <v>16454</v>
      </c>
    </row>
    <row r="106" spans="1:65">
      <c r="A106">
        <v>2138</v>
      </c>
      <c r="B106">
        <v>1</v>
      </c>
      <c r="C106">
        <v>101</v>
      </c>
      <c r="D106" t="s">
        <v>5014</v>
      </c>
      <c r="E106" t="s">
        <v>73</v>
      </c>
      <c r="F106" t="s">
        <v>73</v>
      </c>
      <c r="G106">
        <v>85</v>
      </c>
      <c r="H106">
        <v>127</v>
      </c>
      <c r="I106">
        <v>14226</v>
      </c>
      <c r="J106" t="s">
        <v>5015</v>
      </c>
      <c r="K106" s="3" t="s">
        <v>73</v>
      </c>
      <c r="L106">
        <v>438</v>
      </c>
      <c r="M106">
        <v>438</v>
      </c>
      <c r="N106">
        <v>1</v>
      </c>
      <c r="O106" s="11">
        <f t="shared" si="1"/>
        <v>24.578337540990994</v>
      </c>
      <c r="P106" s="36">
        <v>6.0582169791736504</v>
      </c>
      <c r="Q106" s="36">
        <v>16.372090051516601</v>
      </c>
      <c r="R106" s="36">
        <v>9.6047859708735501</v>
      </c>
      <c r="S106" s="36">
        <v>18.143061109838801</v>
      </c>
      <c r="T106" s="36">
        <v>14.6229981189272</v>
      </c>
      <c r="U106" s="36">
        <v>13.0161814529529</v>
      </c>
      <c r="V106" s="36">
        <v>9.4865605457817708</v>
      </c>
      <c r="W106" s="36">
        <v>33.088242331398398</v>
      </c>
      <c r="X106" s="37">
        <v>14.3056492784092</v>
      </c>
      <c r="Y106" s="37">
        <v>13.243642584653999</v>
      </c>
      <c r="Z106" s="37">
        <v>28.801956537624299</v>
      </c>
      <c r="AA106" s="37">
        <v>16.930940931998801</v>
      </c>
      <c r="AB106" s="37">
        <v>15.619473618856899</v>
      </c>
      <c r="AC106" s="37">
        <v>131.00563468393099</v>
      </c>
      <c r="AD106" s="37">
        <v>36.204961148698096</v>
      </c>
      <c r="AE106" s="37">
        <v>16.749005311220799</v>
      </c>
      <c r="AF106" s="45">
        <v>1.17119858078813</v>
      </c>
      <c r="AG106" s="45">
        <v>2.2664375921126498</v>
      </c>
      <c r="AH106" s="46">
        <v>2.1191294997777398E-2</v>
      </c>
      <c r="AI106" s="47">
        <v>3.6351221419264397E-2</v>
      </c>
      <c r="AJ106" s="48">
        <v>15.049017070057801</v>
      </c>
      <c r="AK106" s="49">
        <v>34.107658011924102</v>
      </c>
      <c r="AL106" s="31" t="s">
        <v>5874</v>
      </c>
      <c r="AM106" s="31" t="s">
        <v>5878</v>
      </c>
      <c r="AN106" s="31" t="s">
        <v>34210</v>
      </c>
      <c r="AO106" s="31" t="s">
        <v>34211</v>
      </c>
      <c r="AP106" s="31" t="s">
        <v>34212</v>
      </c>
      <c r="AQ106" s="31" t="s">
        <v>34213</v>
      </c>
      <c r="AR106" s="31" t="s">
        <v>13772</v>
      </c>
      <c r="AS106" s="31" t="str">
        <f>"FABP1"</f>
        <v>FABP1</v>
      </c>
      <c r="AT106" s="31" t="s">
        <v>34214</v>
      </c>
      <c r="AU106" s="31" t="s">
        <v>13777</v>
      </c>
      <c r="AV106" s="31">
        <v>9606</v>
      </c>
      <c r="AW106" s="50" t="str">
        <f>HYPERLINK("http://www.uniprot.org/uniprot/P07148", "P07148")</f>
        <v>P07148</v>
      </c>
      <c r="AX106" s="31" t="s">
        <v>19905</v>
      </c>
      <c r="AY106" s="31" t="s">
        <v>14192</v>
      </c>
      <c r="AZ106" s="31" t="s">
        <v>13899</v>
      </c>
      <c r="BA106" s="31" t="s">
        <v>13793</v>
      </c>
      <c r="BB106" s="31" t="s">
        <v>13772</v>
      </c>
      <c r="BC106" s="31" t="s">
        <v>13772</v>
      </c>
      <c r="BD106" s="31" t="s">
        <v>13772</v>
      </c>
      <c r="BE106" s="31" t="s">
        <v>13900</v>
      </c>
      <c r="BF106" s="31" t="s">
        <v>13772</v>
      </c>
      <c r="BG106" s="31" t="s">
        <v>13886</v>
      </c>
      <c r="BH106" s="31" t="s">
        <v>13812</v>
      </c>
      <c r="BI106" s="31" t="s">
        <v>34215</v>
      </c>
      <c r="BJ106" s="31" t="s">
        <v>34216</v>
      </c>
      <c r="BK106" s="31" t="s">
        <v>34217</v>
      </c>
      <c r="BL106" s="31" t="s">
        <v>13772</v>
      </c>
      <c r="BM106" s="31" t="s">
        <v>34218</v>
      </c>
    </row>
    <row r="107" spans="1:65">
      <c r="A107">
        <v>2081</v>
      </c>
      <c r="B107">
        <v>1</v>
      </c>
      <c r="C107">
        <v>102</v>
      </c>
      <c r="D107" t="s">
        <v>4891</v>
      </c>
      <c r="E107" t="s">
        <v>73</v>
      </c>
      <c r="F107" t="s">
        <v>73</v>
      </c>
      <c r="G107">
        <v>74.5</v>
      </c>
      <c r="H107">
        <v>458</v>
      </c>
      <c r="I107">
        <v>53115</v>
      </c>
      <c r="J107" t="s">
        <v>4892</v>
      </c>
      <c r="K107" s="3" t="s">
        <v>73</v>
      </c>
      <c r="L107">
        <v>435</v>
      </c>
      <c r="M107">
        <v>435</v>
      </c>
      <c r="N107">
        <v>1</v>
      </c>
      <c r="O107" s="11">
        <f t="shared" si="1"/>
        <v>28.176054617510445</v>
      </c>
      <c r="P107" s="36">
        <v>50.889022625058601</v>
      </c>
      <c r="Q107" s="36">
        <v>47.1901419131949</v>
      </c>
      <c r="R107" s="36">
        <v>62.431108810677998</v>
      </c>
      <c r="S107" s="36">
        <v>57.453026847822699</v>
      </c>
      <c r="T107" s="36">
        <v>46.449523436592202</v>
      </c>
      <c r="U107" s="36">
        <v>31.610726385742701</v>
      </c>
      <c r="V107" s="36">
        <v>34.7840553345331</v>
      </c>
      <c r="W107" s="36">
        <v>22.383222753593</v>
      </c>
      <c r="X107" s="37">
        <v>12.716132691919301</v>
      </c>
      <c r="Y107" s="37">
        <v>12.6129929377657</v>
      </c>
      <c r="Z107" s="37">
        <v>12.0008152240101</v>
      </c>
      <c r="AA107" s="37">
        <v>11.0051116057992</v>
      </c>
      <c r="AB107" s="37">
        <v>9.1879256581511406</v>
      </c>
      <c r="AC107" s="37">
        <v>17.362192548472699</v>
      </c>
      <c r="AD107" s="37">
        <v>10.559780335037001</v>
      </c>
      <c r="AE107" s="37">
        <v>12.1810947717969</v>
      </c>
      <c r="AF107" s="45">
        <v>-1.8221109898751799</v>
      </c>
      <c r="AG107" s="45">
        <v>-3.6177930316734099</v>
      </c>
      <c r="AH107" s="46">
        <v>4.9846529425688396E-10</v>
      </c>
      <c r="AI107" s="47">
        <v>7.5789382240421697E-9</v>
      </c>
      <c r="AJ107" s="48">
        <v>44.148853513401903</v>
      </c>
      <c r="AK107" s="49">
        <v>12.203255721619</v>
      </c>
      <c r="AL107" s="31" t="s">
        <v>5875</v>
      </c>
      <c r="AM107" s="31" t="s">
        <v>5876</v>
      </c>
      <c r="AN107" s="31" t="s">
        <v>33708</v>
      </c>
      <c r="AO107" s="31" t="s">
        <v>33709</v>
      </c>
      <c r="AP107" s="31" t="s">
        <v>33710</v>
      </c>
      <c r="AQ107" s="31" t="s">
        <v>33711</v>
      </c>
      <c r="AR107" s="31" t="s">
        <v>33712</v>
      </c>
      <c r="AS107" s="31" t="str">
        <f>"NUCB1"</f>
        <v>NUCB1</v>
      </c>
      <c r="AT107" s="31" t="s">
        <v>33713</v>
      </c>
      <c r="AU107" s="31" t="s">
        <v>13777</v>
      </c>
      <c r="AV107" s="31">
        <v>9606</v>
      </c>
      <c r="AW107" s="50" t="str">
        <f>HYPERLINK("http://www.uniprot.org/uniprot/Q02818", "Q02818")</f>
        <v>Q02818</v>
      </c>
      <c r="AX107" s="31" t="s">
        <v>33714</v>
      </c>
      <c r="AY107" s="31" t="s">
        <v>13772</v>
      </c>
      <c r="AZ107" s="31" t="s">
        <v>33715</v>
      </c>
      <c r="BA107" s="31" t="s">
        <v>13793</v>
      </c>
      <c r="BB107" s="31" t="s">
        <v>13772</v>
      </c>
      <c r="BC107" s="31" t="s">
        <v>13772</v>
      </c>
      <c r="BD107" s="31" t="s">
        <v>33716</v>
      </c>
      <c r="BE107" s="31" t="s">
        <v>13873</v>
      </c>
      <c r="BF107" s="31" t="s">
        <v>15871</v>
      </c>
      <c r="BG107" s="31" t="s">
        <v>13978</v>
      </c>
      <c r="BH107" s="31" t="s">
        <v>13812</v>
      </c>
      <c r="BI107" s="31" t="s">
        <v>33717</v>
      </c>
      <c r="BJ107" s="31" t="s">
        <v>33718</v>
      </c>
      <c r="BK107" s="31" t="s">
        <v>33719</v>
      </c>
      <c r="BL107" s="31" t="s">
        <v>13772</v>
      </c>
      <c r="BM107" s="31" t="s">
        <v>17241</v>
      </c>
    </row>
    <row r="108" spans="1:65">
      <c r="A108">
        <v>2049</v>
      </c>
      <c r="B108">
        <v>1</v>
      </c>
      <c r="C108">
        <v>103</v>
      </c>
      <c r="D108" t="s">
        <v>4816</v>
      </c>
      <c r="E108" t="s">
        <v>73</v>
      </c>
      <c r="F108" t="s">
        <v>73</v>
      </c>
      <c r="G108">
        <v>77.8</v>
      </c>
      <c r="H108">
        <v>519</v>
      </c>
      <c r="I108">
        <v>56887</v>
      </c>
      <c r="J108" t="s">
        <v>4817</v>
      </c>
      <c r="K108" s="3" t="s">
        <v>73</v>
      </c>
      <c r="L108">
        <v>433</v>
      </c>
      <c r="M108">
        <v>433</v>
      </c>
      <c r="N108">
        <v>1</v>
      </c>
      <c r="O108" s="11">
        <f t="shared" si="1"/>
        <v>27.205984177556044</v>
      </c>
      <c r="P108" s="36">
        <v>29.0794415000335</v>
      </c>
      <c r="Q108" s="36">
        <v>57.7838472406468</v>
      </c>
      <c r="R108" s="36">
        <v>9.6047859708735501</v>
      </c>
      <c r="S108" s="36">
        <v>65.012635643588894</v>
      </c>
      <c r="T108" s="36">
        <v>96.339752312931907</v>
      </c>
      <c r="U108" s="36">
        <v>78.097088717717298</v>
      </c>
      <c r="V108" s="36">
        <v>30.5678062030746</v>
      </c>
      <c r="W108" s="36">
        <v>37.954160321309899</v>
      </c>
      <c r="X108" s="37">
        <v>0.19868957331123899</v>
      </c>
      <c r="Y108" s="37">
        <v>5.6758468219945701</v>
      </c>
      <c r="Z108" s="37">
        <v>0.200013587066836</v>
      </c>
      <c r="AA108" s="37">
        <v>0.21163676164998499</v>
      </c>
      <c r="AB108" s="37">
        <v>0.22969814145377901</v>
      </c>
      <c r="AC108" s="37">
        <v>10.2594774150066</v>
      </c>
      <c r="AD108" s="37">
        <v>0.377135011965606</v>
      </c>
      <c r="AE108" s="37">
        <v>13.7037316182716</v>
      </c>
      <c r="AF108" s="45">
        <v>-3.7126848608143002</v>
      </c>
      <c r="AG108" s="45">
        <v>-13.107224438159401</v>
      </c>
      <c r="AH108" s="46">
        <v>2.6112624064748498E-7</v>
      </c>
      <c r="AI108" s="47">
        <v>1.51907352167972E-6</v>
      </c>
      <c r="AJ108" s="48">
        <v>50.554939738772099</v>
      </c>
      <c r="AK108" s="49">
        <v>3.85702861634002</v>
      </c>
      <c r="AL108" s="31" t="s">
        <v>5875</v>
      </c>
      <c r="AM108" s="31" t="s">
        <v>5876</v>
      </c>
      <c r="AN108" s="31" t="s">
        <v>33390</v>
      </c>
      <c r="AO108" s="31" t="s">
        <v>33391</v>
      </c>
      <c r="AP108" s="31" t="s">
        <v>33392</v>
      </c>
      <c r="AQ108" s="31" t="s">
        <v>33393</v>
      </c>
      <c r="AR108" s="31" t="s">
        <v>33394</v>
      </c>
      <c r="AS108" s="31" t="str">
        <f>"PDZK1"</f>
        <v>PDZK1</v>
      </c>
      <c r="AT108" s="31" t="s">
        <v>33395</v>
      </c>
      <c r="AU108" s="31" t="s">
        <v>13777</v>
      </c>
      <c r="AV108" s="31">
        <v>9606</v>
      </c>
      <c r="AW108" s="50" t="str">
        <f>HYPERLINK("http://www.uniprot.org/uniprot/Q5T2W1", "Q5T2W1")</f>
        <v>Q5T2W1</v>
      </c>
      <c r="AX108" s="31" t="s">
        <v>33396</v>
      </c>
      <c r="AY108" s="31" t="s">
        <v>13772</v>
      </c>
      <c r="AZ108" s="31" t="s">
        <v>13792</v>
      </c>
      <c r="BA108" s="31" t="s">
        <v>13841</v>
      </c>
      <c r="BB108" s="31" t="s">
        <v>13772</v>
      </c>
      <c r="BC108" s="31" t="s">
        <v>13772</v>
      </c>
      <c r="BD108" s="31" t="s">
        <v>14096</v>
      </c>
      <c r="BE108" s="31" t="s">
        <v>13772</v>
      </c>
      <c r="BF108" s="31" t="s">
        <v>13772</v>
      </c>
      <c r="BG108" s="31" t="s">
        <v>13782</v>
      </c>
      <c r="BH108" s="31" t="s">
        <v>13812</v>
      </c>
      <c r="BI108" s="31" t="s">
        <v>33397</v>
      </c>
      <c r="BJ108" s="31" t="s">
        <v>33398</v>
      </c>
      <c r="BK108" s="31" t="s">
        <v>33399</v>
      </c>
      <c r="BL108" s="31" t="s">
        <v>13772</v>
      </c>
      <c r="BM108" s="31" t="s">
        <v>13772</v>
      </c>
    </row>
    <row r="109" spans="1:65">
      <c r="A109">
        <v>2108</v>
      </c>
      <c r="B109">
        <v>1</v>
      </c>
      <c r="C109">
        <v>104</v>
      </c>
      <c r="D109" t="s">
        <v>4948</v>
      </c>
      <c r="E109" t="s">
        <v>73</v>
      </c>
      <c r="F109" t="s">
        <v>73</v>
      </c>
      <c r="G109">
        <v>37.700000000000003</v>
      </c>
      <c r="H109">
        <v>1548</v>
      </c>
      <c r="I109">
        <v>164173</v>
      </c>
      <c r="J109" t="s">
        <v>4949</v>
      </c>
      <c r="K109" s="3" t="s">
        <v>73</v>
      </c>
      <c r="L109">
        <v>431</v>
      </c>
      <c r="M109">
        <v>431</v>
      </c>
      <c r="N109">
        <v>1</v>
      </c>
      <c r="O109" s="11">
        <f t="shared" si="1"/>
        <v>28.839175147430002</v>
      </c>
      <c r="P109" s="36">
        <v>33.926015083372398</v>
      </c>
      <c r="Q109" s="36">
        <v>42.3748213098077</v>
      </c>
      <c r="R109" s="36">
        <v>43.221536868930997</v>
      </c>
      <c r="S109" s="36">
        <v>75.596087957661496</v>
      </c>
      <c r="T109" s="36">
        <v>48.169876156466003</v>
      </c>
      <c r="U109" s="36">
        <v>35.3296353723007</v>
      </c>
      <c r="V109" s="36">
        <v>29.513743920209901</v>
      </c>
      <c r="W109" s="36">
        <v>14.597753969734599</v>
      </c>
      <c r="X109" s="37">
        <v>9.53709951893949</v>
      </c>
      <c r="Y109" s="37">
        <v>15.135591525318899</v>
      </c>
      <c r="Z109" s="37">
        <v>17.601195661881501</v>
      </c>
      <c r="AA109" s="37">
        <v>8.4654704659994096</v>
      </c>
      <c r="AB109" s="37">
        <v>12.863095921411601</v>
      </c>
      <c r="AC109" s="37">
        <v>18.940573689242999</v>
      </c>
      <c r="AD109" s="37">
        <v>19.611020622211502</v>
      </c>
      <c r="AE109" s="37">
        <v>36.5432843153908</v>
      </c>
      <c r="AF109" s="45">
        <v>-1.23671063278516</v>
      </c>
      <c r="AG109" s="45">
        <v>-2.3268614228937201</v>
      </c>
      <c r="AH109" s="46">
        <v>7.51558586335265E-4</v>
      </c>
      <c r="AI109" s="47">
        <v>1.7458079661746299E-3</v>
      </c>
      <c r="AJ109" s="48">
        <v>40.341183829810497</v>
      </c>
      <c r="AK109" s="49">
        <v>17.337166465049499</v>
      </c>
      <c r="AL109" s="31" t="s">
        <v>5875</v>
      </c>
      <c r="AM109" s="31" t="s">
        <v>5876</v>
      </c>
      <c r="AN109" s="31" t="s">
        <v>33957</v>
      </c>
      <c r="AO109" s="31" t="s">
        <v>13772</v>
      </c>
      <c r="AP109" s="31" t="s">
        <v>33958</v>
      </c>
      <c r="AQ109" s="31" t="s">
        <v>33959</v>
      </c>
      <c r="AR109" s="31" t="s">
        <v>33960</v>
      </c>
      <c r="AS109" s="31" t="str">
        <f>"LTBP4"</f>
        <v>LTBP4</v>
      </c>
      <c r="AT109" s="31" t="s">
        <v>13772</v>
      </c>
      <c r="AU109" s="31" t="s">
        <v>13777</v>
      </c>
      <c r="AV109" s="31">
        <v>9606</v>
      </c>
      <c r="AW109" s="50" t="str">
        <f>HYPERLINK("http://www.uniprot.org/uniprot/Q8N2S1", "Q8N2S1")</f>
        <v>Q8N2S1</v>
      </c>
      <c r="AX109" s="31" t="s">
        <v>33961</v>
      </c>
      <c r="AY109" s="31" t="s">
        <v>13772</v>
      </c>
      <c r="AZ109" s="31" t="s">
        <v>13869</v>
      </c>
      <c r="BA109" s="31" t="s">
        <v>13780</v>
      </c>
      <c r="BB109" s="31" t="s">
        <v>13772</v>
      </c>
      <c r="BC109" s="31" t="s">
        <v>13807</v>
      </c>
      <c r="BD109" s="31" t="s">
        <v>14768</v>
      </c>
      <c r="BE109" s="31" t="s">
        <v>13772</v>
      </c>
      <c r="BF109" s="31" t="s">
        <v>16896</v>
      </c>
      <c r="BG109" s="31" t="s">
        <v>13796</v>
      </c>
      <c r="BH109" s="31" t="s">
        <v>13772</v>
      </c>
      <c r="BI109" s="31" t="s">
        <v>33962</v>
      </c>
      <c r="BJ109" s="31" t="s">
        <v>33963</v>
      </c>
      <c r="BK109" s="31" t="s">
        <v>33964</v>
      </c>
      <c r="BL109" s="31" t="s">
        <v>13772</v>
      </c>
      <c r="BM109" s="31" t="s">
        <v>14774</v>
      </c>
    </row>
    <row r="110" spans="1:65">
      <c r="A110">
        <v>2440</v>
      </c>
      <c r="B110">
        <v>1</v>
      </c>
      <c r="C110">
        <v>105</v>
      </c>
      <c r="D110" t="s">
        <v>5724</v>
      </c>
      <c r="E110" t="s">
        <v>73</v>
      </c>
      <c r="F110" t="s">
        <v>5725</v>
      </c>
      <c r="G110">
        <v>57</v>
      </c>
      <c r="H110">
        <v>921</v>
      </c>
      <c r="I110">
        <v>101311</v>
      </c>
      <c r="J110" t="s">
        <v>5726</v>
      </c>
      <c r="K110" s="3" t="s">
        <v>73</v>
      </c>
      <c r="L110">
        <v>423</v>
      </c>
      <c r="M110">
        <v>423</v>
      </c>
      <c r="N110">
        <v>1</v>
      </c>
      <c r="O110" s="11">
        <f t="shared" si="1"/>
        <v>19.751279009163518</v>
      </c>
      <c r="P110" s="36">
        <v>8.4815037708430996</v>
      </c>
      <c r="Q110" s="36">
        <v>0.24076603016936199</v>
      </c>
      <c r="R110" s="36">
        <v>1.6007976618122599</v>
      </c>
      <c r="S110" s="36">
        <v>0.37798043978830698</v>
      </c>
      <c r="T110" s="36">
        <v>0.215044089984223</v>
      </c>
      <c r="U110" s="36">
        <v>2.7891817399184702</v>
      </c>
      <c r="V110" s="36">
        <v>8.4324982629171306</v>
      </c>
      <c r="W110" s="36">
        <v>15.5709375677169</v>
      </c>
      <c r="X110" s="37">
        <v>30.2008151433084</v>
      </c>
      <c r="Y110" s="37">
        <v>25.2259858755314</v>
      </c>
      <c r="Z110" s="37">
        <v>23.201576099752899</v>
      </c>
      <c r="AA110" s="37">
        <v>62.644481448395602</v>
      </c>
      <c r="AB110" s="37">
        <v>20.213436447932501</v>
      </c>
      <c r="AC110" s="37">
        <v>21.308145400398399</v>
      </c>
      <c r="AD110" s="37">
        <v>43.7476613880103</v>
      </c>
      <c r="AE110" s="37">
        <v>51.769652780137001</v>
      </c>
      <c r="AF110" s="45">
        <v>2.8233572135553602</v>
      </c>
      <c r="AG110" s="45">
        <v>7.38056957683437</v>
      </c>
      <c r="AH110" s="46">
        <v>6.2668781431549798E-7</v>
      </c>
      <c r="AI110" s="47">
        <v>3.2754290392144802E-6</v>
      </c>
      <c r="AJ110" s="48">
        <v>4.7135886953937201</v>
      </c>
      <c r="AK110" s="49">
        <v>34.788969322933298</v>
      </c>
      <c r="AL110" s="31" t="s">
        <v>5874</v>
      </c>
      <c r="AM110" s="31" t="s">
        <v>5876</v>
      </c>
      <c r="AN110" s="31" t="s">
        <v>20842</v>
      </c>
      <c r="AO110" s="31" t="s">
        <v>20843</v>
      </c>
      <c r="AP110" s="31" t="s">
        <v>20844</v>
      </c>
      <c r="AQ110" s="31" t="s">
        <v>20845</v>
      </c>
      <c r="AR110" s="31" t="s">
        <v>20846</v>
      </c>
      <c r="AS110" s="31" t="str">
        <f>"ITIH4"</f>
        <v>ITIH4</v>
      </c>
      <c r="AT110" s="31" t="s">
        <v>20847</v>
      </c>
      <c r="AU110" s="31" t="s">
        <v>13777</v>
      </c>
      <c r="AV110" s="31">
        <v>9606</v>
      </c>
      <c r="AW110" s="50" t="str">
        <f>HYPERLINK("http://www.uniprot.org/uniprot/Q14624", "Q14624")</f>
        <v>Q14624</v>
      </c>
      <c r="AX110" s="31" t="s">
        <v>20848</v>
      </c>
      <c r="AY110" s="31" t="s">
        <v>14374</v>
      </c>
      <c r="AZ110" s="31" t="s">
        <v>14321</v>
      </c>
      <c r="BA110" s="31" t="s">
        <v>13780</v>
      </c>
      <c r="BB110" s="31" t="s">
        <v>13772</v>
      </c>
      <c r="BC110" s="31" t="s">
        <v>13772</v>
      </c>
      <c r="BD110" s="31" t="s">
        <v>13808</v>
      </c>
      <c r="BE110" s="31" t="s">
        <v>13772</v>
      </c>
      <c r="BF110" s="31" t="s">
        <v>14375</v>
      </c>
      <c r="BG110" s="31" t="s">
        <v>13796</v>
      </c>
      <c r="BH110" s="31" t="s">
        <v>13772</v>
      </c>
      <c r="BI110" s="31" t="s">
        <v>20849</v>
      </c>
      <c r="BJ110" s="31" t="s">
        <v>20850</v>
      </c>
      <c r="BK110" s="31" t="s">
        <v>20851</v>
      </c>
      <c r="BL110" s="31" t="s">
        <v>13772</v>
      </c>
      <c r="BM110" s="31" t="s">
        <v>15665</v>
      </c>
    </row>
    <row r="111" spans="1:65">
      <c r="A111">
        <v>703</v>
      </c>
      <c r="B111">
        <v>1</v>
      </c>
      <c r="C111">
        <v>106</v>
      </c>
      <c r="D111" t="s">
        <v>1731</v>
      </c>
      <c r="E111" t="s">
        <v>1732</v>
      </c>
      <c r="F111" t="s">
        <v>73</v>
      </c>
      <c r="G111">
        <v>25.3</v>
      </c>
      <c r="H111">
        <v>1733</v>
      </c>
      <c r="I111">
        <v>175986</v>
      </c>
      <c r="J111" t="s">
        <v>1734</v>
      </c>
      <c r="K111" s="3" t="s">
        <v>73</v>
      </c>
      <c r="L111">
        <v>420</v>
      </c>
      <c r="M111">
        <v>417</v>
      </c>
      <c r="N111">
        <v>0.99299999999999999</v>
      </c>
      <c r="O111" s="11">
        <f t="shared" si="1"/>
        <v>24.892624980421083</v>
      </c>
      <c r="P111" s="36">
        <v>17.689993579187</v>
      </c>
      <c r="Q111" s="36">
        <v>20.898491418700601</v>
      </c>
      <c r="R111" s="36">
        <v>34.577229495144799</v>
      </c>
      <c r="S111" s="36">
        <v>51.405339811209799</v>
      </c>
      <c r="T111" s="36">
        <v>24.084938078233002</v>
      </c>
      <c r="U111" s="36">
        <v>23.243181165987298</v>
      </c>
      <c r="V111" s="36">
        <v>24.243432505886702</v>
      </c>
      <c r="W111" s="36">
        <v>12.65138677377</v>
      </c>
      <c r="X111" s="37">
        <v>20.663715624368901</v>
      </c>
      <c r="Y111" s="37">
        <v>23.964686581754901</v>
      </c>
      <c r="Z111" s="37">
        <v>22.4015217514856</v>
      </c>
      <c r="AA111" s="37">
        <v>22.0102232115985</v>
      </c>
      <c r="AB111" s="37">
        <v>18.375851316302299</v>
      </c>
      <c r="AC111" s="37">
        <v>22.8865265411686</v>
      </c>
      <c r="AD111" s="37">
        <v>21.119560670073898</v>
      </c>
      <c r="AE111" s="37">
        <v>38.065921161865397</v>
      </c>
      <c r="AF111" s="45">
        <v>-0.127974082767494</v>
      </c>
      <c r="AG111" s="45">
        <v>-1.10188500206193</v>
      </c>
      <c r="AH111" s="46">
        <v>0.67925260377858099</v>
      </c>
      <c r="AI111" s="47">
        <v>0.74863260614146798</v>
      </c>
      <c r="AJ111" s="48">
        <v>26.0992491035149</v>
      </c>
      <c r="AK111" s="49">
        <v>23.686000857327301</v>
      </c>
      <c r="AL111" s="31" t="s">
        <v>5875</v>
      </c>
      <c r="AM111" s="31" t="s">
        <v>5832</v>
      </c>
      <c r="AN111" s="31" t="s">
        <v>20729</v>
      </c>
      <c r="AO111" s="31" t="s">
        <v>13772</v>
      </c>
      <c r="AP111" s="31" t="s">
        <v>20730</v>
      </c>
      <c r="AQ111" s="31" t="s">
        <v>20731</v>
      </c>
      <c r="AR111" s="31" t="s">
        <v>20732</v>
      </c>
      <c r="AS111" s="31" t="str">
        <f>"COL18A1"</f>
        <v>COL18A1</v>
      </c>
      <c r="AT111" s="31" t="s">
        <v>13772</v>
      </c>
      <c r="AU111" s="31" t="s">
        <v>13777</v>
      </c>
      <c r="AV111" s="31">
        <v>9606</v>
      </c>
      <c r="AW111" s="50" t="str">
        <f>HYPERLINK("http://www.uniprot.org/uniprot/P39060", "P39060")</f>
        <v>P39060</v>
      </c>
      <c r="AX111" s="31" t="s">
        <v>20733</v>
      </c>
      <c r="AY111" s="31" t="s">
        <v>13949</v>
      </c>
      <c r="AZ111" s="31" t="s">
        <v>15002</v>
      </c>
      <c r="BA111" s="31" t="s">
        <v>14942</v>
      </c>
      <c r="BB111" s="31" t="s">
        <v>13772</v>
      </c>
      <c r="BC111" s="31" t="s">
        <v>13772</v>
      </c>
      <c r="BD111" s="31" t="s">
        <v>13872</v>
      </c>
      <c r="BE111" s="31" t="s">
        <v>13856</v>
      </c>
      <c r="BF111" s="31" t="s">
        <v>13772</v>
      </c>
      <c r="BG111" s="31" t="s">
        <v>14770</v>
      </c>
      <c r="BH111" s="31" t="s">
        <v>13812</v>
      </c>
      <c r="BI111" s="31" t="s">
        <v>20734</v>
      </c>
      <c r="BJ111" s="31" t="s">
        <v>20735</v>
      </c>
      <c r="BK111" s="31" t="s">
        <v>20736</v>
      </c>
      <c r="BL111" s="31" t="s">
        <v>13772</v>
      </c>
      <c r="BM111" s="31" t="s">
        <v>20737</v>
      </c>
    </row>
    <row r="112" spans="1:65">
      <c r="A112">
        <v>1764</v>
      </c>
      <c r="B112">
        <v>1</v>
      </c>
      <c r="C112">
        <v>107</v>
      </c>
      <c r="D112" t="s">
        <v>4173</v>
      </c>
      <c r="E112" t="s">
        <v>73</v>
      </c>
      <c r="F112" t="s">
        <v>73</v>
      </c>
      <c r="G112">
        <v>79.599999999999994</v>
      </c>
      <c r="H112">
        <v>240</v>
      </c>
      <c r="I112">
        <v>26185</v>
      </c>
      <c r="J112" t="s">
        <v>4174</v>
      </c>
      <c r="K112" s="3" t="s">
        <v>73</v>
      </c>
      <c r="L112">
        <v>416</v>
      </c>
      <c r="M112">
        <v>416</v>
      </c>
      <c r="N112">
        <v>1</v>
      </c>
      <c r="O112" s="11">
        <f t="shared" si="1"/>
        <v>24.272843621909708</v>
      </c>
      <c r="P112" s="36">
        <v>35.137658479207097</v>
      </c>
      <c r="Q112" s="36">
        <v>10.5937053274519</v>
      </c>
      <c r="R112" s="36">
        <v>33.616750898057397</v>
      </c>
      <c r="S112" s="36">
        <v>6.0476870366129196</v>
      </c>
      <c r="T112" s="36">
        <v>6.0212345195582504</v>
      </c>
      <c r="U112" s="36">
        <v>23.243181165987298</v>
      </c>
      <c r="V112" s="36">
        <v>35.838117617397799</v>
      </c>
      <c r="W112" s="36">
        <v>38.927343919292198</v>
      </c>
      <c r="X112" s="37">
        <v>20.663715624368901</v>
      </c>
      <c r="Y112" s="37">
        <v>15.135591525318899</v>
      </c>
      <c r="Z112" s="37">
        <v>36.002445672030397</v>
      </c>
      <c r="AA112" s="37">
        <v>19.470582071798599</v>
      </c>
      <c r="AB112" s="37">
        <v>16.5382661846721</v>
      </c>
      <c r="AC112" s="37">
        <v>42.616290800796698</v>
      </c>
      <c r="AD112" s="37">
        <v>22.628100717936299</v>
      </c>
      <c r="AE112" s="37">
        <v>25.884826390068501</v>
      </c>
      <c r="AF112" s="45">
        <v>7.3581184537070396E-2</v>
      </c>
      <c r="AG112" s="45">
        <v>1.0502262421625299</v>
      </c>
      <c r="AH112" s="46">
        <v>0.86781470994163201</v>
      </c>
      <c r="AI112" s="47">
        <v>0.90998125540901598</v>
      </c>
      <c r="AJ112" s="48">
        <v>23.678209870445599</v>
      </c>
      <c r="AK112" s="49">
        <v>24.867477373373799</v>
      </c>
      <c r="AL112" s="31" t="s">
        <v>5874</v>
      </c>
      <c r="AM112" s="31" t="s">
        <v>5832</v>
      </c>
      <c r="AN112" s="31" t="s">
        <v>30726</v>
      </c>
      <c r="AO112" s="31" t="s">
        <v>30727</v>
      </c>
      <c r="AP112" s="31" t="s">
        <v>30728</v>
      </c>
      <c r="AQ112" s="31" t="s">
        <v>30729</v>
      </c>
      <c r="AR112" s="31" t="s">
        <v>30730</v>
      </c>
      <c r="AS112" s="31" t="str">
        <f>"F11R"</f>
        <v>F11R</v>
      </c>
      <c r="AT112" s="31" t="s">
        <v>30731</v>
      </c>
      <c r="AU112" s="31" t="s">
        <v>13777</v>
      </c>
      <c r="AV112" s="31">
        <v>9606</v>
      </c>
      <c r="AW112" s="50" t="str">
        <f>HYPERLINK("http://www.uniprot.org/uniprot/Q9Y624", "Q9Y624")</f>
        <v>Q9Y624</v>
      </c>
      <c r="AX112" s="31" t="s">
        <v>30732</v>
      </c>
      <c r="AY112" s="31" t="s">
        <v>14563</v>
      </c>
      <c r="AZ112" s="31" t="s">
        <v>18913</v>
      </c>
      <c r="BA112" s="31" t="s">
        <v>13841</v>
      </c>
      <c r="BB112" s="31" t="s">
        <v>13772</v>
      </c>
      <c r="BC112" s="31" t="s">
        <v>13772</v>
      </c>
      <c r="BD112" s="31" t="s">
        <v>13951</v>
      </c>
      <c r="BE112" s="31" t="s">
        <v>13772</v>
      </c>
      <c r="BF112" s="31" t="s">
        <v>18791</v>
      </c>
      <c r="BG112" s="31" t="s">
        <v>13964</v>
      </c>
      <c r="BH112" s="31" t="s">
        <v>13812</v>
      </c>
      <c r="BI112" s="31" t="s">
        <v>30733</v>
      </c>
      <c r="BJ112" s="31" t="s">
        <v>30734</v>
      </c>
      <c r="BK112" s="31" t="s">
        <v>30735</v>
      </c>
      <c r="BL112" s="31" t="s">
        <v>13772</v>
      </c>
      <c r="BM112" s="31" t="s">
        <v>30736</v>
      </c>
    </row>
    <row r="113" spans="1:65">
      <c r="A113">
        <v>1025</v>
      </c>
      <c r="B113">
        <v>1</v>
      </c>
      <c r="C113">
        <v>108</v>
      </c>
      <c r="D113" t="s">
        <v>2480</v>
      </c>
      <c r="E113" t="s">
        <v>73</v>
      </c>
      <c r="F113" t="s">
        <v>73</v>
      </c>
      <c r="G113">
        <v>72.400000000000006</v>
      </c>
      <c r="H113">
        <v>286</v>
      </c>
      <c r="I113">
        <v>30711</v>
      </c>
      <c r="J113" t="s">
        <v>2481</v>
      </c>
      <c r="K113" s="3" t="s">
        <v>73</v>
      </c>
      <c r="L113">
        <v>412</v>
      </c>
      <c r="M113">
        <v>412</v>
      </c>
      <c r="N113">
        <v>1</v>
      </c>
      <c r="O113" s="11">
        <f t="shared" si="1"/>
        <v>23.2880888857615</v>
      </c>
      <c r="P113" s="36">
        <v>13.328077354182</v>
      </c>
      <c r="Q113" s="36">
        <v>14.4459618101617</v>
      </c>
      <c r="R113" s="36">
        <v>17.608774279934799</v>
      </c>
      <c r="S113" s="36">
        <v>15.119217591532299</v>
      </c>
      <c r="T113" s="36">
        <v>24.945114438169899</v>
      </c>
      <c r="U113" s="36">
        <v>25.102635659266301</v>
      </c>
      <c r="V113" s="36">
        <v>16.8649965258343</v>
      </c>
      <c r="W113" s="36">
        <v>53.525097889026803</v>
      </c>
      <c r="X113" s="37">
        <v>39.737914662247903</v>
      </c>
      <c r="Y113" s="37">
        <v>24.595336228643099</v>
      </c>
      <c r="Z113" s="37">
        <v>13.600923920544799</v>
      </c>
      <c r="AA113" s="37">
        <v>18.624035025198701</v>
      </c>
      <c r="AB113" s="37">
        <v>30.320154671898798</v>
      </c>
      <c r="AC113" s="37">
        <v>13.4162396965471</v>
      </c>
      <c r="AD113" s="37">
        <v>42.239121340147797</v>
      </c>
      <c r="AE113" s="37">
        <v>9.1358210788476999</v>
      </c>
      <c r="AF113" s="45">
        <v>6.8107304524714904E-2</v>
      </c>
      <c r="AG113" s="45">
        <v>1.05929964881133</v>
      </c>
      <c r="AH113" s="46">
        <v>0.87110756346309903</v>
      </c>
      <c r="AI113" s="47">
        <v>0.91061655703079902</v>
      </c>
      <c r="AJ113" s="48">
        <v>22.617484443513501</v>
      </c>
      <c r="AK113" s="49">
        <v>23.958693328009499</v>
      </c>
      <c r="AL113" s="31" t="s">
        <v>5874</v>
      </c>
      <c r="AM113" s="31" t="s">
        <v>5832</v>
      </c>
      <c r="AN113" s="31" t="s">
        <v>23836</v>
      </c>
      <c r="AO113" s="31" t="s">
        <v>23837</v>
      </c>
      <c r="AP113" s="31" t="s">
        <v>23838</v>
      </c>
      <c r="AQ113" s="31" t="s">
        <v>23839</v>
      </c>
      <c r="AR113" s="31" t="s">
        <v>23840</v>
      </c>
      <c r="AS113" s="31" t="str">
        <f>"TPI1"</f>
        <v>TPI1</v>
      </c>
      <c r="AT113" s="31" t="s">
        <v>23841</v>
      </c>
      <c r="AU113" s="31" t="s">
        <v>13777</v>
      </c>
      <c r="AV113" s="31">
        <v>9606</v>
      </c>
      <c r="AW113" s="50" t="str">
        <f>HYPERLINK("http://www.uniprot.org/uniprot/P60174", "P60174")</f>
        <v>P60174</v>
      </c>
      <c r="AX113" s="31" t="s">
        <v>23842</v>
      </c>
      <c r="AY113" s="31" t="s">
        <v>23843</v>
      </c>
      <c r="AZ113" s="31" t="s">
        <v>13899</v>
      </c>
      <c r="BA113" s="31" t="s">
        <v>14942</v>
      </c>
      <c r="BB113" s="31" t="s">
        <v>13772</v>
      </c>
      <c r="BC113" s="31" t="s">
        <v>17205</v>
      </c>
      <c r="BD113" s="31" t="s">
        <v>13772</v>
      </c>
      <c r="BE113" s="31" t="s">
        <v>13772</v>
      </c>
      <c r="BF113" s="31" t="s">
        <v>23844</v>
      </c>
      <c r="BG113" s="31" t="s">
        <v>23845</v>
      </c>
      <c r="BH113" s="31" t="s">
        <v>13812</v>
      </c>
      <c r="BI113" s="31" t="s">
        <v>23846</v>
      </c>
      <c r="BJ113" s="31" t="s">
        <v>23847</v>
      </c>
      <c r="BK113" s="31" t="s">
        <v>23848</v>
      </c>
      <c r="BL113" s="31" t="s">
        <v>14959</v>
      </c>
      <c r="BM113" s="31" t="s">
        <v>16800</v>
      </c>
    </row>
    <row r="114" spans="1:65">
      <c r="A114">
        <v>2421</v>
      </c>
      <c r="B114">
        <v>1</v>
      </c>
      <c r="C114">
        <v>109</v>
      </c>
      <c r="D114" t="s">
        <v>5656</v>
      </c>
      <c r="E114" t="s">
        <v>73</v>
      </c>
      <c r="F114" t="s">
        <v>5657</v>
      </c>
      <c r="G114">
        <v>66.8</v>
      </c>
      <c r="H114">
        <v>434</v>
      </c>
      <c r="I114">
        <v>47311</v>
      </c>
      <c r="J114" t="s">
        <v>5658</v>
      </c>
      <c r="K114" s="3" t="s">
        <v>73</v>
      </c>
      <c r="L114">
        <v>406</v>
      </c>
      <c r="M114">
        <v>406</v>
      </c>
      <c r="N114">
        <v>1</v>
      </c>
      <c r="O114" s="11">
        <f t="shared" si="1"/>
        <v>22.908841190153865</v>
      </c>
      <c r="P114" s="36">
        <v>15.7513641458515</v>
      </c>
      <c r="Q114" s="36">
        <v>24.0766030169362</v>
      </c>
      <c r="R114" s="36">
        <v>24.0119649271839</v>
      </c>
      <c r="S114" s="36">
        <v>16.631139350685501</v>
      </c>
      <c r="T114" s="36">
        <v>32.686701677601903</v>
      </c>
      <c r="U114" s="36">
        <v>36.259362618940202</v>
      </c>
      <c r="V114" s="36">
        <v>21.081245657292801</v>
      </c>
      <c r="W114" s="36">
        <v>17.517304763681501</v>
      </c>
      <c r="X114" s="37">
        <v>31.7903317297983</v>
      </c>
      <c r="Y114" s="37">
        <v>26.487285169307999</v>
      </c>
      <c r="Z114" s="37">
        <v>21.601467403218301</v>
      </c>
      <c r="AA114" s="37">
        <v>24.549864351398298</v>
      </c>
      <c r="AB114" s="37">
        <v>22.0510215795627</v>
      </c>
      <c r="AC114" s="37">
        <v>14.2054302669323</v>
      </c>
      <c r="AD114" s="37">
        <v>24.136640765798798</v>
      </c>
      <c r="AE114" s="37">
        <v>13.7037316182716</v>
      </c>
      <c r="AF114" s="45">
        <v>-7.6676774196902206E-2</v>
      </c>
      <c r="AG114" s="45">
        <v>-1.05315710510905</v>
      </c>
      <c r="AH114" s="46">
        <v>0.80248884300419798</v>
      </c>
      <c r="AI114" s="47">
        <v>0.85488063052517305</v>
      </c>
      <c r="AJ114" s="48">
        <v>23.501960769771699</v>
      </c>
      <c r="AK114" s="49">
        <v>22.315721610535999</v>
      </c>
      <c r="AL114" s="31" t="s">
        <v>5875</v>
      </c>
      <c r="AM114" s="31" t="s">
        <v>5832</v>
      </c>
      <c r="AN114" s="31" t="s">
        <v>31868</v>
      </c>
      <c r="AO114" s="31" t="s">
        <v>31869</v>
      </c>
      <c r="AP114" s="31" t="s">
        <v>31870</v>
      </c>
      <c r="AQ114" s="31" t="s">
        <v>31871</v>
      </c>
      <c r="AR114" s="31" t="s">
        <v>31872</v>
      </c>
      <c r="AS114" s="31" t="str">
        <f>"ENO1"</f>
        <v>ENO1</v>
      </c>
      <c r="AT114" s="31" t="s">
        <v>31873</v>
      </c>
      <c r="AU114" s="31" t="s">
        <v>13777</v>
      </c>
      <c r="AV114" s="31">
        <v>9606</v>
      </c>
      <c r="AW114" s="50" t="str">
        <f>HYPERLINK("http://www.uniprot.org/uniprot/P06733", "P06733")</f>
        <v>P06733</v>
      </c>
      <c r="AX114" s="31" t="s">
        <v>31874</v>
      </c>
      <c r="AY114" s="31" t="s">
        <v>31875</v>
      </c>
      <c r="AZ114" s="31" t="s">
        <v>14968</v>
      </c>
      <c r="BA114" s="31" t="s">
        <v>29290</v>
      </c>
      <c r="BB114" s="31" t="s">
        <v>13772</v>
      </c>
      <c r="BC114" s="31" t="s">
        <v>13772</v>
      </c>
      <c r="BD114" s="31" t="s">
        <v>13772</v>
      </c>
      <c r="BE114" s="31" t="s">
        <v>14784</v>
      </c>
      <c r="BF114" s="31" t="s">
        <v>31876</v>
      </c>
      <c r="BG114" s="31" t="s">
        <v>13991</v>
      </c>
      <c r="BH114" s="31" t="s">
        <v>13812</v>
      </c>
      <c r="BI114" s="31" t="s">
        <v>31877</v>
      </c>
      <c r="BJ114" s="31" t="s">
        <v>31878</v>
      </c>
      <c r="BK114" s="31" t="s">
        <v>31879</v>
      </c>
      <c r="BL114" s="31" t="s">
        <v>31880</v>
      </c>
      <c r="BM114" s="31" t="s">
        <v>16800</v>
      </c>
    </row>
    <row r="115" spans="1:65">
      <c r="A115">
        <v>2101</v>
      </c>
      <c r="B115">
        <v>1</v>
      </c>
      <c r="C115">
        <v>110</v>
      </c>
      <c r="D115" t="s">
        <v>4933</v>
      </c>
      <c r="E115" t="s">
        <v>73</v>
      </c>
      <c r="F115" t="s">
        <v>73</v>
      </c>
      <c r="G115">
        <v>66.7</v>
      </c>
      <c r="H115">
        <v>505</v>
      </c>
      <c r="I115">
        <v>54489</v>
      </c>
      <c r="J115" t="s">
        <v>4934</v>
      </c>
      <c r="K115" s="3" t="s">
        <v>73</v>
      </c>
      <c r="L115">
        <v>395</v>
      </c>
      <c r="M115">
        <v>395</v>
      </c>
      <c r="N115">
        <v>1</v>
      </c>
      <c r="O115" s="11">
        <f t="shared" si="1"/>
        <v>22.162743026093686</v>
      </c>
      <c r="P115" s="36">
        <v>50.889022625058601</v>
      </c>
      <c r="Q115" s="36">
        <v>17.335154172193999</v>
      </c>
      <c r="R115" s="36">
        <v>33.616750898057397</v>
      </c>
      <c r="S115" s="36">
        <v>13.6072958323791</v>
      </c>
      <c r="T115" s="36">
        <v>18.0637035586747</v>
      </c>
      <c r="U115" s="36">
        <v>36.259362618940202</v>
      </c>
      <c r="V115" s="36">
        <v>29.513743920209901</v>
      </c>
      <c r="W115" s="36">
        <v>24.3295899495577</v>
      </c>
      <c r="X115" s="37">
        <v>7.1528246392046197</v>
      </c>
      <c r="Y115" s="37">
        <v>5.0451971751062796</v>
      </c>
      <c r="Z115" s="37">
        <v>4.0002717413367099</v>
      </c>
      <c r="AA115" s="37">
        <v>29.629146630997901</v>
      </c>
      <c r="AB115" s="37">
        <v>15.619473618856899</v>
      </c>
      <c r="AC115" s="37">
        <v>13.4162396965471</v>
      </c>
      <c r="AD115" s="37">
        <v>22.628100717936299</v>
      </c>
      <c r="AE115" s="37">
        <v>33.498010622441598</v>
      </c>
      <c r="AF115" s="45">
        <v>-0.80054730629800097</v>
      </c>
      <c r="AG115" s="45">
        <v>-1.7071217541686901</v>
      </c>
      <c r="AH115" s="46">
        <v>7.6059989248634899E-2</v>
      </c>
      <c r="AI115" s="47">
        <v>0.11207958768135801</v>
      </c>
      <c r="AJ115" s="48">
        <v>27.951827946883999</v>
      </c>
      <c r="AK115" s="49">
        <v>16.373658105303399</v>
      </c>
      <c r="AL115" s="31" t="s">
        <v>5875</v>
      </c>
      <c r="AM115" s="31" t="s">
        <v>5832</v>
      </c>
      <c r="AN115" s="31" t="s">
        <v>33889</v>
      </c>
      <c r="AO115" s="31" t="s">
        <v>33890</v>
      </c>
      <c r="AP115" s="31" t="s">
        <v>33891</v>
      </c>
      <c r="AQ115" s="31" t="s">
        <v>33892</v>
      </c>
      <c r="AR115" s="31" t="s">
        <v>33893</v>
      </c>
      <c r="AS115" s="31" t="str">
        <f>"A1BG"</f>
        <v>A1BG</v>
      </c>
      <c r="AT115" s="31" t="s">
        <v>13772</v>
      </c>
      <c r="AU115" s="31" t="s">
        <v>13777</v>
      </c>
      <c r="AV115" s="31">
        <v>9606</v>
      </c>
      <c r="AW115" s="50" t="str">
        <f>HYPERLINK("http://www.uniprot.org/uniprot/P04217", "P04217")</f>
        <v>P04217</v>
      </c>
      <c r="AX115" s="31" t="s">
        <v>33894</v>
      </c>
      <c r="AY115" s="31" t="s">
        <v>13772</v>
      </c>
      <c r="AZ115" s="31" t="s">
        <v>14321</v>
      </c>
      <c r="BA115" s="31" t="s">
        <v>13780</v>
      </c>
      <c r="BB115" s="31" t="s">
        <v>13772</v>
      </c>
      <c r="BC115" s="31" t="s">
        <v>13772</v>
      </c>
      <c r="BD115" s="31" t="s">
        <v>16182</v>
      </c>
      <c r="BE115" s="31" t="s">
        <v>13772</v>
      </c>
      <c r="BF115" s="31" t="s">
        <v>13772</v>
      </c>
      <c r="BG115" s="31" t="s">
        <v>13796</v>
      </c>
      <c r="BH115" s="31" t="s">
        <v>13772</v>
      </c>
      <c r="BI115" s="31" t="s">
        <v>33895</v>
      </c>
      <c r="BJ115" s="31" t="s">
        <v>33896</v>
      </c>
      <c r="BK115" s="31" t="s">
        <v>13772</v>
      </c>
      <c r="BL115" s="31" t="s">
        <v>13772</v>
      </c>
      <c r="BM115" s="31" t="s">
        <v>14706</v>
      </c>
    </row>
    <row r="116" spans="1:65">
      <c r="A116">
        <v>264</v>
      </c>
      <c r="B116">
        <v>1</v>
      </c>
      <c r="C116">
        <v>111</v>
      </c>
      <c r="D116" t="s">
        <v>669</v>
      </c>
      <c r="E116" t="s">
        <v>73</v>
      </c>
      <c r="F116" t="s">
        <v>73</v>
      </c>
      <c r="G116">
        <v>87.2</v>
      </c>
      <c r="H116">
        <v>149</v>
      </c>
      <c r="I116">
        <v>16264</v>
      </c>
      <c r="J116" t="s">
        <v>670</v>
      </c>
      <c r="K116" s="3" t="s">
        <v>73</v>
      </c>
      <c r="L116">
        <v>393</v>
      </c>
      <c r="M116">
        <v>393</v>
      </c>
      <c r="N116">
        <v>1</v>
      </c>
      <c r="O116" s="11">
        <f t="shared" si="1"/>
        <v>22.210417475532726</v>
      </c>
      <c r="P116" s="36">
        <v>23.021224520859899</v>
      </c>
      <c r="Q116" s="36">
        <v>13.4828976894843</v>
      </c>
      <c r="R116" s="36">
        <v>35.217548559869698</v>
      </c>
      <c r="S116" s="36">
        <v>13.6072958323791</v>
      </c>
      <c r="T116" s="36">
        <v>11.1822926791796</v>
      </c>
      <c r="U116" s="36">
        <v>20.453999426068801</v>
      </c>
      <c r="V116" s="36">
        <v>30.5678062030746</v>
      </c>
      <c r="W116" s="36">
        <v>36.980976723327601</v>
      </c>
      <c r="X116" s="37">
        <v>14.3056492784092</v>
      </c>
      <c r="Y116" s="37">
        <v>22.703387287978298</v>
      </c>
      <c r="Z116" s="37">
        <v>28.001902189357001</v>
      </c>
      <c r="AA116" s="37">
        <v>16.930940931998801</v>
      </c>
      <c r="AB116" s="37">
        <v>22.0510215795627</v>
      </c>
      <c r="AC116" s="37">
        <v>22.8865265411686</v>
      </c>
      <c r="AD116" s="37">
        <v>19.611020622211502</v>
      </c>
      <c r="AE116" s="37">
        <v>24.3621895435939</v>
      </c>
      <c r="AF116" s="45">
        <v>-0.10311993271584299</v>
      </c>
      <c r="AG116" s="45">
        <v>-1.07996015643621</v>
      </c>
      <c r="AH116" s="46">
        <v>0.75024496551409803</v>
      </c>
      <c r="AI116" s="47">
        <v>0.81215838499827198</v>
      </c>
      <c r="AJ116" s="48">
        <v>23.0642552042804</v>
      </c>
      <c r="AK116" s="49">
        <v>21.356579746784998</v>
      </c>
      <c r="AL116" s="31" t="s">
        <v>5875</v>
      </c>
      <c r="AM116" s="31" t="s">
        <v>5832</v>
      </c>
      <c r="AN116" s="31" t="s">
        <v>16162</v>
      </c>
      <c r="AO116" s="31" t="s">
        <v>16163</v>
      </c>
      <c r="AP116" s="31" t="s">
        <v>16164</v>
      </c>
      <c r="AQ116" s="31" t="s">
        <v>16165</v>
      </c>
      <c r="AR116" s="31" t="s">
        <v>16166</v>
      </c>
      <c r="AS116" s="31" t="str">
        <f>"NPC2"</f>
        <v>NPC2</v>
      </c>
      <c r="AT116" s="31" t="s">
        <v>16167</v>
      </c>
      <c r="AU116" s="31" t="s">
        <v>13777</v>
      </c>
      <c r="AV116" s="31">
        <v>9606</v>
      </c>
      <c r="AW116" s="50" t="str">
        <f>HYPERLINK("http://www.uniprot.org/uniprot/P61916", "P61916")</f>
        <v>P61916</v>
      </c>
      <c r="AX116" s="31" t="s">
        <v>16168</v>
      </c>
      <c r="AY116" s="31" t="s">
        <v>16169</v>
      </c>
      <c r="AZ116" s="31" t="s">
        <v>16170</v>
      </c>
      <c r="BA116" s="31" t="s">
        <v>13780</v>
      </c>
      <c r="BB116" s="31" t="s">
        <v>13772</v>
      </c>
      <c r="BC116" s="31" t="s">
        <v>16171</v>
      </c>
      <c r="BD116" s="31" t="s">
        <v>13808</v>
      </c>
      <c r="BE116" s="31" t="s">
        <v>13772</v>
      </c>
      <c r="BF116" s="31" t="s">
        <v>13772</v>
      </c>
      <c r="BG116" s="31" t="s">
        <v>16172</v>
      </c>
      <c r="BH116" s="31" t="s">
        <v>13812</v>
      </c>
      <c r="BI116" s="31" t="s">
        <v>16173</v>
      </c>
      <c r="BJ116" s="31" t="s">
        <v>16174</v>
      </c>
      <c r="BK116" s="31" t="s">
        <v>16175</v>
      </c>
      <c r="BL116" s="31" t="s">
        <v>13772</v>
      </c>
      <c r="BM116" s="31" t="s">
        <v>16176</v>
      </c>
    </row>
    <row r="117" spans="1:65">
      <c r="A117">
        <v>554</v>
      </c>
      <c r="B117">
        <v>1</v>
      </c>
      <c r="C117">
        <v>112</v>
      </c>
      <c r="D117" t="s">
        <v>1382</v>
      </c>
      <c r="E117" t="s">
        <v>73</v>
      </c>
      <c r="F117" t="s">
        <v>73</v>
      </c>
      <c r="G117">
        <v>80</v>
      </c>
      <c r="H117">
        <v>100</v>
      </c>
      <c r="I117">
        <v>11044</v>
      </c>
      <c r="J117" t="s">
        <v>1383</v>
      </c>
      <c r="K117" s="3" t="s">
        <v>73</v>
      </c>
      <c r="L117">
        <v>393</v>
      </c>
      <c r="M117">
        <v>393</v>
      </c>
      <c r="N117">
        <v>1</v>
      </c>
      <c r="O117" s="11">
        <f t="shared" si="1"/>
        <v>22.240453010048487</v>
      </c>
      <c r="P117" s="36">
        <v>10.9047905625126</v>
      </c>
      <c r="Q117" s="36">
        <v>6.7414488447421297</v>
      </c>
      <c r="R117" s="36">
        <v>9.6047859708735501</v>
      </c>
      <c r="S117" s="36">
        <v>9.0715305549193808</v>
      </c>
      <c r="T117" s="36">
        <v>7.7415872394320298</v>
      </c>
      <c r="U117" s="36">
        <v>6.50809072647644</v>
      </c>
      <c r="V117" s="36">
        <v>9.4865605457817708</v>
      </c>
      <c r="W117" s="36">
        <v>4.8659179899115301</v>
      </c>
      <c r="X117" s="37">
        <v>16.689924158144098</v>
      </c>
      <c r="Y117" s="37">
        <v>27.1179348161963</v>
      </c>
      <c r="Z117" s="37">
        <v>70.404782647526204</v>
      </c>
      <c r="AA117" s="37">
        <v>22.856770258198399</v>
      </c>
      <c r="AB117" s="37">
        <v>22.9698141453778</v>
      </c>
      <c r="AC117" s="37">
        <v>17.362192548472699</v>
      </c>
      <c r="AD117" s="37">
        <v>72.409922297396307</v>
      </c>
      <c r="AE117" s="37">
        <v>41.111194854814599</v>
      </c>
      <c r="AF117" s="45">
        <v>2.1488940895128699</v>
      </c>
      <c r="AG117" s="45">
        <v>4.4809214367943104</v>
      </c>
      <c r="AH117" s="46">
        <v>1.6669764863720099E-7</v>
      </c>
      <c r="AI117" s="47">
        <v>1.04224978446998E-6</v>
      </c>
      <c r="AJ117" s="48">
        <v>8.1155890543311706</v>
      </c>
      <c r="AK117" s="49">
        <v>36.3653169657658</v>
      </c>
      <c r="AL117" s="31" t="s">
        <v>5874</v>
      </c>
      <c r="AM117" s="31" t="s">
        <v>5876</v>
      </c>
      <c r="AN117" s="31" t="s">
        <v>19232</v>
      </c>
      <c r="AO117" s="31" t="s">
        <v>19233</v>
      </c>
      <c r="AP117" s="31" t="s">
        <v>19234</v>
      </c>
      <c r="AQ117" s="31" t="s">
        <v>19235</v>
      </c>
      <c r="AR117" s="31" t="s">
        <v>19236</v>
      </c>
      <c r="AS117" s="31" t="str">
        <f>"APOC3"</f>
        <v>APOC3</v>
      </c>
      <c r="AT117" s="31" t="s">
        <v>13772</v>
      </c>
      <c r="AU117" s="31" t="s">
        <v>13777</v>
      </c>
      <c r="AV117" s="31">
        <v>9606</v>
      </c>
      <c r="AW117" s="50" t="str">
        <f>HYPERLINK("http://www.uniprot.org/uniprot/P02656", "P02656")</f>
        <v>P02656</v>
      </c>
      <c r="AX117" s="31" t="s">
        <v>19237</v>
      </c>
      <c r="AY117" s="31" t="s">
        <v>19238</v>
      </c>
      <c r="AZ117" s="31" t="s">
        <v>19239</v>
      </c>
      <c r="BA117" s="31" t="s">
        <v>13793</v>
      </c>
      <c r="BB117" s="31" t="s">
        <v>13772</v>
      </c>
      <c r="BC117" s="31" t="s">
        <v>13807</v>
      </c>
      <c r="BD117" s="31" t="s">
        <v>13808</v>
      </c>
      <c r="BE117" s="31" t="s">
        <v>17535</v>
      </c>
      <c r="BF117" s="31" t="s">
        <v>13772</v>
      </c>
      <c r="BG117" s="31" t="s">
        <v>13858</v>
      </c>
      <c r="BH117" s="31" t="s">
        <v>13812</v>
      </c>
      <c r="BI117" s="31" t="s">
        <v>19240</v>
      </c>
      <c r="BJ117" s="31" t="s">
        <v>19241</v>
      </c>
      <c r="BK117" s="31" t="s">
        <v>19242</v>
      </c>
      <c r="BL117" s="31" t="s">
        <v>13772</v>
      </c>
      <c r="BM117" s="31" t="s">
        <v>19243</v>
      </c>
    </row>
    <row r="118" spans="1:65">
      <c r="A118">
        <v>1575</v>
      </c>
      <c r="B118">
        <v>1</v>
      </c>
      <c r="C118">
        <v>113</v>
      </c>
      <c r="D118" t="s">
        <v>3732</v>
      </c>
      <c r="E118" t="s">
        <v>3733</v>
      </c>
      <c r="F118" t="s">
        <v>73</v>
      </c>
      <c r="G118">
        <v>45.2</v>
      </c>
      <c r="H118">
        <v>558</v>
      </c>
      <c r="I118">
        <v>63224</v>
      </c>
      <c r="J118" t="s">
        <v>3734</v>
      </c>
      <c r="K118" s="3" t="s">
        <v>73</v>
      </c>
      <c r="L118">
        <v>385</v>
      </c>
      <c r="M118">
        <v>385</v>
      </c>
      <c r="N118">
        <v>1</v>
      </c>
      <c r="O118" s="11">
        <f t="shared" si="1"/>
        <v>18.269882054673367</v>
      </c>
      <c r="P118" s="36">
        <v>36.349301875041903</v>
      </c>
      <c r="Q118" s="36">
        <v>10.5937053274519</v>
      </c>
      <c r="R118" s="36">
        <v>8.00398830906129</v>
      </c>
      <c r="S118" s="36">
        <v>12.0953740732258</v>
      </c>
      <c r="T118" s="36">
        <v>6.8814108794951396</v>
      </c>
      <c r="U118" s="36">
        <v>9.2972724663949098</v>
      </c>
      <c r="V118" s="36">
        <v>6.3243736971878404</v>
      </c>
      <c r="W118" s="36">
        <v>11.678203175787701</v>
      </c>
      <c r="X118" s="37">
        <v>21.458473917613802</v>
      </c>
      <c r="Y118" s="37">
        <v>15.766241172207099</v>
      </c>
      <c r="Z118" s="37">
        <v>16.0010869653469</v>
      </c>
      <c r="AA118" s="37">
        <v>31.322240724197801</v>
      </c>
      <c r="AB118" s="37">
        <v>20.213436447932501</v>
      </c>
      <c r="AC118" s="37">
        <v>14.994620837317401</v>
      </c>
      <c r="AD118" s="37">
        <v>24.136640765798798</v>
      </c>
      <c r="AE118" s="37">
        <v>47.201742240713102</v>
      </c>
      <c r="AF118" s="45">
        <v>0.90069483424286401</v>
      </c>
      <c r="AG118" s="45">
        <v>1.8878446015205399</v>
      </c>
      <c r="AH118" s="46">
        <v>2.6287823710008301E-2</v>
      </c>
      <c r="AI118" s="47">
        <v>4.37476469203869E-2</v>
      </c>
      <c r="AJ118" s="48">
        <v>12.6529537254558</v>
      </c>
      <c r="AK118" s="49">
        <v>23.8868103838909</v>
      </c>
      <c r="AL118" s="31" t="s">
        <v>5874</v>
      </c>
      <c r="AM118" s="31" t="s">
        <v>5878</v>
      </c>
      <c r="AN118" s="31" t="s">
        <v>28906</v>
      </c>
      <c r="AO118" s="31" t="s">
        <v>13772</v>
      </c>
      <c r="AP118" s="31" t="s">
        <v>28907</v>
      </c>
      <c r="AQ118" s="31" t="s">
        <v>28908</v>
      </c>
      <c r="AR118" s="31" t="s">
        <v>13772</v>
      </c>
      <c r="AS118" s="31" t="str">
        <f>"C9"</f>
        <v>C9</v>
      </c>
      <c r="AT118" s="31" t="s">
        <v>13772</v>
      </c>
      <c r="AU118" s="31" t="s">
        <v>13777</v>
      </c>
      <c r="AV118" s="31">
        <v>9606</v>
      </c>
      <c r="AW118" s="50" t="str">
        <f>HYPERLINK("http://www.uniprot.org/uniprot/P02748", "P02748")</f>
        <v>P02748</v>
      </c>
      <c r="AX118" s="31" t="s">
        <v>28909</v>
      </c>
      <c r="AY118" s="31" t="s">
        <v>16369</v>
      </c>
      <c r="AZ118" s="31" t="s">
        <v>28910</v>
      </c>
      <c r="BA118" s="31" t="s">
        <v>13793</v>
      </c>
      <c r="BB118" s="31" t="s">
        <v>13772</v>
      </c>
      <c r="BC118" s="31" t="s">
        <v>25532</v>
      </c>
      <c r="BD118" s="31" t="s">
        <v>28911</v>
      </c>
      <c r="BE118" s="31" t="s">
        <v>13772</v>
      </c>
      <c r="BF118" s="31" t="s">
        <v>13772</v>
      </c>
      <c r="BG118" s="31" t="s">
        <v>13964</v>
      </c>
      <c r="BH118" s="31" t="s">
        <v>13812</v>
      </c>
      <c r="BI118" s="31" t="s">
        <v>28912</v>
      </c>
      <c r="BJ118" s="31" t="s">
        <v>28913</v>
      </c>
      <c r="BK118" s="31" t="s">
        <v>13772</v>
      </c>
      <c r="BL118" s="31" t="s">
        <v>13772</v>
      </c>
      <c r="BM118" s="31" t="s">
        <v>16375</v>
      </c>
    </row>
    <row r="119" spans="1:65">
      <c r="A119">
        <v>1468</v>
      </c>
      <c r="B119">
        <v>1</v>
      </c>
      <c r="C119">
        <v>114</v>
      </c>
      <c r="D119" t="s">
        <v>3492</v>
      </c>
      <c r="E119" t="s">
        <v>73</v>
      </c>
      <c r="F119" t="s">
        <v>73</v>
      </c>
      <c r="G119">
        <v>39.700000000000003</v>
      </c>
      <c r="H119">
        <v>494</v>
      </c>
      <c r="I119">
        <v>55205</v>
      </c>
      <c r="J119" t="s">
        <v>3493</v>
      </c>
      <c r="K119" s="3" t="s">
        <v>73</v>
      </c>
      <c r="L119">
        <v>384</v>
      </c>
      <c r="M119">
        <v>384</v>
      </c>
      <c r="N119">
        <v>1</v>
      </c>
      <c r="O119" s="11">
        <f t="shared" si="1"/>
        <v>24.174428226606356</v>
      </c>
      <c r="P119" s="36">
        <v>30.291084895868199</v>
      </c>
      <c r="Q119" s="36">
        <v>37.559500706420401</v>
      </c>
      <c r="R119" s="36">
        <v>32.015953236245203</v>
      </c>
      <c r="S119" s="36">
        <v>36.286122219677502</v>
      </c>
      <c r="T119" s="36">
        <v>29.2459962378543</v>
      </c>
      <c r="U119" s="36">
        <v>26.032362905905799</v>
      </c>
      <c r="V119" s="36">
        <v>40.054366748856303</v>
      </c>
      <c r="W119" s="36">
        <v>26.275957145522302</v>
      </c>
      <c r="X119" s="37">
        <v>5.5633080527147003</v>
      </c>
      <c r="Y119" s="37">
        <v>8.1984454095477108</v>
      </c>
      <c r="Z119" s="37">
        <v>13.600923920544799</v>
      </c>
      <c r="AA119" s="37">
        <v>11.8516586523992</v>
      </c>
      <c r="AB119" s="37">
        <v>11.0255107897814</v>
      </c>
      <c r="AC119" s="37">
        <v>16.5730019780876</v>
      </c>
      <c r="AD119" s="37">
        <v>22.628100717936299</v>
      </c>
      <c r="AE119" s="37">
        <v>39.588558008340001</v>
      </c>
      <c r="AF119" s="45">
        <v>-1.0518421517346901</v>
      </c>
      <c r="AG119" s="45">
        <v>-1.9976930008642699</v>
      </c>
      <c r="AH119" s="46">
        <v>3.5681619645771701E-3</v>
      </c>
      <c r="AI119" s="47">
        <v>7.1684695324388103E-3</v>
      </c>
      <c r="AJ119" s="48">
        <v>32.2201680120438</v>
      </c>
      <c r="AK119" s="49">
        <v>16.128688441169</v>
      </c>
      <c r="AL119" s="31" t="s">
        <v>5875</v>
      </c>
      <c r="AM119" s="31" t="s">
        <v>5876</v>
      </c>
      <c r="AN119" s="31" t="s">
        <v>27899</v>
      </c>
      <c r="AO119" s="31" t="s">
        <v>27900</v>
      </c>
      <c r="AP119" s="31" t="s">
        <v>27901</v>
      </c>
      <c r="AQ119" s="31" t="s">
        <v>27902</v>
      </c>
      <c r="AR119" s="31" t="s">
        <v>27903</v>
      </c>
      <c r="AS119" s="31" t="str">
        <f>"VNN1"</f>
        <v>VNN1</v>
      </c>
      <c r="AT119" s="31" t="s">
        <v>13772</v>
      </c>
      <c r="AU119" s="31" t="s">
        <v>13777</v>
      </c>
      <c r="AV119" s="31">
        <v>9606</v>
      </c>
      <c r="AW119" s="50" t="str">
        <f>HYPERLINK("http://www.uniprot.org/uniprot/O95497", "O95497")</f>
        <v>O95497</v>
      </c>
      <c r="AX119" s="31" t="s">
        <v>27904</v>
      </c>
      <c r="AY119" s="31" t="s">
        <v>13772</v>
      </c>
      <c r="AZ119" s="31" t="s">
        <v>13792</v>
      </c>
      <c r="BA119" s="31" t="s">
        <v>13793</v>
      </c>
      <c r="BB119" s="31" t="s">
        <v>13772</v>
      </c>
      <c r="BC119" s="31" t="s">
        <v>13772</v>
      </c>
      <c r="BD119" s="31" t="s">
        <v>13808</v>
      </c>
      <c r="BE119" s="31" t="s">
        <v>13772</v>
      </c>
      <c r="BF119" s="31" t="s">
        <v>13857</v>
      </c>
      <c r="BG119" s="31" t="s">
        <v>27905</v>
      </c>
      <c r="BH119" s="31" t="s">
        <v>13812</v>
      </c>
      <c r="BI119" s="31" t="s">
        <v>27906</v>
      </c>
      <c r="BJ119" s="31" t="s">
        <v>27907</v>
      </c>
      <c r="BK119" s="31" t="s">
        <v>27908</v>
      </c>
      <c r="BL119" s="31" t="s">
        <v>13772</v>
      </c>
      <c r="BM119" s="31" t="s">
        <v>27909</v>
      </c>
    </row>
    <row r="120" spans="1:65">
      <c r="A120">
        <v>2110</v>
      </c>
      <c r="B120">
        <v>1</v>
      </c>
      <c r="C120">
        <v>115</v>
      </c>
      <c r="D120" t="s">
        <v>4953</v>
      </c>
      <c r="E120" t="s">
        <v>4954</v>
      </c>
      <c r="F120" t="s">
        <v>73</v>
      </c>
      <c r="G120">
        <v>44.7</v>
      </c>
      <c r="H120">
        <v>2974</v>
      </c>
      <c r="I120">
        <v>315552</v>
      </c>
      <c r="J120" t="s">
        <v>4955</v>
      </c>
      <c r="K120" s="3" t="s">
        <v>73</v>
      </c>
      <c r="L120">
        <v>377</v>
      </c>
      <c r="M120">
        <v>377</v>
      </c>
      <c r="N120">
        <v>1</v>
      </c>
      <c r="O120" s="11">
        <f t="shared" si="1"/>
        <v>28.637795286741852</v>
      </c>
      <c r="P120" s="36">
        <v>9.6931471666778304</v>
      </c>
      <c r="Q120" s="36">
        <v>15.4090259308391</v>
      </c>
      <c r="R120" s="36">
        <v>12.806381294498101</v>
      </c>
      <c r="S120" s="36">
        <v>24.1907481464517</v>
      </c>
      <c r="T120" s="36">
        <v>17.203527198737799</v>
      </c>
      <c r="U120" s="36">
        <v>9.2972724663949098</v>
      </c>
      <c r="V120" s="36">
        <v>1.05406228286464</v>
      </c>
      <c r="W120" s="36">
        <v>6.8122851858761404</v>
      </c>
      <c r="X120" s="37">
        <v>0.19868957331123899</v>
      </c>
      <c r="Y120" s="37">
        <v>11.982343290877401</v>
      </c>
      <c r="Z120" s="37">
        <v>23.201576099752899</v>
      </c>
      <c r="AA120" s="37">
        <v>1.6930940931998799</v>
      </c>
      <c r="AB120" s="37">
        <v>11.0255107897814</v>
      </c>
      <c r="AC120" s="37">
        <v>29.989241674634702</v>
      </c>
      <c r="AD120" s="37">
        <v>279.07990885454802</v>
      </c>
      <c r="AE120" s="37">
        <v>4.5679105394238499</v>
      </c>
      <c r="AF120" s="45">
        <v>1.89120880089126</v>
      </c>
      <c r="AG120" s="45">
        <v>3.74988688963071</v>
      </c>
      <c r="AH120" s="46">
        <v>2.9262617838748999E-2</v>
      </c>
      <c r="AI120" s="47">
        <v>4.7982086603242803E-2</v>
      </c>
      <c r="AJ120" s="48">
        <v>12.058306209042501</v>
      </c>
      <c r="AK120" s="49">
        <v>45.217284364441198</v>
      </c>
      <c r="AL120" s="31" t="s">
        <v>5874</v>
      </c>
      <c r="AM120" s="31" t="s">
        <v>5878</v>
      </c>
      <c r="AN120" s="31" t="s">
        <v>33978</v>
      </c>
      <c r="AO120" s="31" t="s">
        <v>33979</v>
      </c>
      <c r="AP120" s="31" t="s">
        <v>33980</v>
      </c>
      <c r="AQ120" s="31" t="s">
        <v>33981</v>
      </c>
      <c r="AR120" s="31" t="s">
        <v>33982</v>
      </c>
      <c r="AS120" s="31" t="str">
        <f>"FCGBP"</f>
        <v>FCGBP</v>
      </c>
      <c r="AT120" s="31" t="s">
        <v>13772</v>
      </c>
      <c r="AU120" s="31" t="s">
        <v>13777</v>
      </c>
      <c r="AV120" s="31">
        <v>9606</v>
      </c>
      <c r="AW120" s="50" t="str">
        <f>HYPERLINK("http://www.uniprot.org/uniprot/Q9Y6R7", "Q9Y6R7")</f>
        <v>Q9Y6R7</v>
      </c>
      <c r="AX120" s="31" t="s">
        <v>19087</v>
      </c>
      <c r="AY120" s="31" t="s">
        <v>13772</v>
      </c>
      <c r="AZ120" s="31" t="s">
        <v>14321</v>
      </c>
      <c r="BA120" s="31" t="s">
        <v>13793</v>
      </c>
      <c r="BB120" s="31" t="s">
        <v>13772</v>
      </c>
      <c r="BC120" s="31" t="s">
        <v>13772</v>
      </c>
      <c r="BD120" s="31" t="s">
        <v>14404</v>
      </c>
      <c r="BE120" s="31" t="s">
        <v>13772</v>
      </c>
      <c r="BF120" s="31" t="s">
        <v>13772</v>
      </c>
      <c r="BG120" s="31" t="s">
        <v>13796</v>
      </c>
      <c r="BH120" s="31" t="s">
        <v>13772</v>
      </c>
      <c r="BI120" s="31" t="s">
        <v>13772</v>
      </c>
      <c r="BJ120" s="31" t="s">
        <v>15835</v>
      </c>
      <c r="BK120" s="31" t="s">
        <v>13772</v>
      </c>
      <c r="BL120" s="31" t="s">
        <v>13772</v>
      </c>
      <c r="BM120" s="31" t="s">
        <v>13772</v>
      </c>
    </row>
    <row r="121" spans="1:65">
      <c r="A121">
        <v>1688</v>
      </c>
      <c r="B121">
        <v>1</v>
      </c>
      <c r="C121">
        <v>116</v>
      </c>
      <c r="D121" t="s">
        <v>4004</v>
      </c>
      <c r="E121" t="s">
        <v>73</v>
      </c>
      <c r="F121" t="s">
        <v>73</v>
      </c>
      <c r="G121">
        <v>70.3</v>
      </c>
      <c r="H121">
        <v>417</v>
      </c>
      <c r="I121">
        <v>44589</v>
      </c>
      <c r="J121" t="s">
        <v>4005</v>
      </c>
      <c r="K121" s="3" t="s">
        <v>73</v>
      </c>
      <c r="L121">
        <v>365</v>
      </c>
      <c r="M121">
        <v>365</v>
      </c>
      <c r="N121">
        <v>1</v>
      </c>
      <c r="O121" s="11">
        <f t="shared" si="1"/>
        <v>20.25317727833708</v>
      </c>
      <c r="P121" s="36">
        <v>14.5397207500168</v>
      </c>
      <c r="Q121" s="36">
        <v>34.670308344388097</v>
      </c>
      <c r="R121" s="36">
        <v>6.4031906472490299</v>
      </c>
      <c r="S121" s="36">
        <v>13.6072958323791</v>
      </c>
      <c r="T121" s="36">
        <v>37.8477598372233</v>
      </c>
      <c r="U121" s="36">
        <v>32.540453632382203</v>
      </c>
      <c r="V121" s="36">
        <v>17.9190588086989</v>
      </c>
      <c r="W121" s="36">
        <v>22.383222753593</v>
      </c>
      <c r="X121" s="37">
        <v>35.7641231960231</v>
      </c>
      <c r="Y121" s="37">
        <v>15.135591525318899</v>
      </c>
      <c r="Z121" s="37">
        <v>16.0010869653469</v>
      </c>
      <c r="AA121" s="37">
        <v>22.856770258198399</v>
      </c>
      <c r="AB121" s="37">
        <v>25.726191842823201</v>
      </c>
      <c r="AC121" s="37">
        <v>14.994620837317401</v>
      </c>
      <c r="AD121" s="37">
        <v>4.5256201435872701</v>
      </c>
      <c r="AE121" s="37">
        <v>9.1358210788476999</v>
      </c>
      <c r="AF121" s="45">
        <v>-0.31626539587827701</v>
      </c>
      <c r="AG121" s="45">
        <v>-1.2481700289850699</v>
      </c>
      <c r="AH121" s="46">
        <v>0.43644438721589202</v>
      </c>
      <c r="AI121" s="47">
        <v>0.52046576657296295</v>
      </c>
      <c r="AJ121" s="48">
        <v>22.488876325741298</v>
      </c>
      <c r="AK121" s="49">
        <v>18.017478230932799</v>
      </c>
      <c r="AL121" s="31" t="s">
        <v>5875</v>
      </c>
      <c r="AM121" s="31" t="s">
        <v>5832</v>
      </c>
      <c r="AN121" s="31" t="s">
        <v>29999</v>
      </c>
      <c r="AO121" s="31" t="s">
        <v>30000</v>
      </c>
      <c r="AP121" s="31" t="s">
        <v>30001</v>
      </c>
      <c r="AQ121" s="31" t="s">
        <v>30002</v>
      </c>
      <c r="AR121" s="31" t="s">
        <v>30003</v>
      </c>
      <c r="AS121" s="31" t="str">
        <f>"PGK1"</f>
        <v>PGK1</v>
      </c>
      <c r="AT121" s="31" t="s">
        <v>30004</v>
      </c>
      <c r="AU121" s="31" t="s">
        <v>13777</v>
      </c>
      <c r="AV121" s="31">
        <v>9606</v>
      </c>
      <c r="AW121" s="50" t="str">
        <f>HYPERLINK("http://www.uniprot.org/uniprot/P00558", "P00558")</f>
        <v>P00558</v>
      </c>
      <c r="AX121" s="31" t="s">
        <v>30005</v>
      </c>
      <c r="AY121" s="31" t="s">
        <v>15772</v>
      </c>
      <c r="AZ121" s="31" t="s">
        <v>13899</v>
      </c>
      <c r="BA121" s="31" t="s">
        <v>13780</v>
      </c>
      <c r="BB121" s="31" t="s">
        <v>13772</v>
      </c>
      <c r="BC121" s="31" t="s">
        <v>17205</v>
      </c>
      <c r="BD121" s="31" t="s">
        <v>13772</v>
      </c>
      <c r="BE121" s="31" t="s">
        <v>14005</v>
      </c>
      <c r="BF121" s="31" t="s">
        <v>14006</v>
      </c>
      <c r="BG121" s="31" t="s">
        <v>13886</v>
      </c>
      <c r="BH121" s="31" t="s">
        <v>13812</v>
      </c>
      <c r="BI121" s="31" t="s">
        <v>30006</v>
      </c>
      <c r="BJ121" s="31" t="s">
        <v>30007</v>
      </c>
      <c r="BK121" s="31" t="s">
        <v>30008</v>
      </c>
      <c r="BL121" s="31" t="s">
        <v>30009</v>
      </c>
      <c r="BM121" s="31" t="s">
        <v>16800</v>
      </c>
    </row>
    <row r="122" spans="1:65">
      <c r="A122">
        <v>2462</v>
      </c>
      <c r="B122">
        <v>1</v>
      </c>
      <c r="C122">
        <v>117</v>
      </c>
      <c r="D122" t="s">
        <v>5794</v>
      </c>
      <c r="E122" t="s">
        <v>73</v>
      </c>
      <c r="F122" t="s">
        <v>5795</v>
      </c>
      <c r="G122">
        <v>69.7</v>
      </c>
      <c r="H122">
        <v>175</v>
      </c>
      <c r="I122">
        <v>19378</v>
      </c>
      <c r="J122" t="s">
        <v>5796</v>
      </c>
      <c r="K122" s="3" t="s">
        <v>73</v>
      </c>
      <c r="L122">
        <v>364</v>
      </c>
      <c r="M122">
        <v>364</v>
      </c>
      <c r="N122">
        <v>1</v>
      </c>
      <c r="O122" s="11">
        <f t="shared" si="1"/>
        <v>19.909132866235588</v>
      </c>
      <c r="P122" s="36">
        <v>0.30291084895868198</v>
      </c>
      <c r="Q122" s="36">
        <v>2.8891923620323401</v>
      </c>
      <c r="R122" s="36">
        <v>12.806381294498101</v>
      </c>
      <c r="S122" s="36">
        <v>0.37798043978830698</v>
      </c>
      <c r="T122" s="36">
        <v>0.215044089984223</v>
      </c>
      <c r="U122" s="36">
        <v>0.23243181165987301</v>
      </c>
      <c r="V122" s="36">
        <v>1.05406228286464</v>
      </c>
      <c r="W122" s="36">
        <v>8.7586523818407507</v>
      </c>
      <c r="X122" s="37">
        <v>20.663715624368901</v>
      </c>
      <c r="Y122" s="37">
        <v>22.072737641090001</v>
      </c>
      <c r="Z122" s="37">
        <v>26.4017934928223</v>
      </c>
      <c r="AA122" s="37">
        <v>11.0051116057992</v>
      </c>
      <c r="AB122" s="37">
        <v>53.289968817276602</v>
      </c>
      <c r="AC122" s="37">
        <v>46.562243652722401</v>
      </c>
      <c r="AD122" s="37">
        <v>81.461162584570801</v>
      </c>
      <c r="AE122" s="37">
        <v>30.4527369294923</v>
      </c>
      <c r="AF122" s="45">
        <v>3.4632591061136102</v>
      </c>
      <c r="AG122" s="45">
        <v>10.958938528176899</v>
      </c>
      <c r="AH122" s="46">
        <v>1.5287569214411201E-7</v>
      </c>
      <c r="AI122" s="47">
        <v>9.7403655280391107E-7</v>
      </c>
      <c r="AJ122" s="48">
        <v>3.3295819389533601</v>
      </c>
      <c r="AK122" s="49">
        <v>36.488683793517801</v>
      </c>
      <c r="AL122" s="31" t="s">
        <v>5874</v>
      </c>
      <c r="AM122" s="31" t="s">
        <v>5876</v>
      </c>
      <c r="AN122" s="31" t="s">
        <v>35253</v>
      </c>
      <c r="AO122" s="31" t="s">
        <v>35254</v>
      </c>
      <c r="AP122" s="31" t="s">
        <v>35255</v>
      </c>
      <c r="AQ122" s="31" t="s">
        <v>35256</v>
      </c>
      <c r="AR122" s="31" t="s">
        <v>35257</v>
      </c>
      <c r="AS122" s="31" t="str">
        <f>"REG3G"</f>
        <v>REG3G</v>
      </c>
      <c r="AT122" s="31" t="s">
        <v>35258</v>
      </c>
      <c r="AU122" s="31" t="s">
        <v>13777</v>
      </c>
      <c r="AV122" s="31">
        <v>9606</v>
      </c>
      <c r="AW122" s="50" t="str">
        <f>HYPERLINK("http://www.uniprot.org/uniprot/Q6UW15", "Q6UW15")</f>
        <v>Q6UW15</v>
      </c>
      <c r="AX122" s="31" t="s">
        <v>35259</v>
      </c>
      <c r="AY122" s="31" t="s">
        <v>24573</v>
      </c>
      <c r="AZ122" s="31" t="s">
        <v>16449</v>
      </c>
      <c r="BA122" s="31" t="s">
        <v>13841</v>
      </c>
      <c r="BB122" s="31" t="s">
        <v>13772</v>
      </c>
      <c r="BC122" s="31" t="s">
        <v>13772</v>
      </c>
      <c r="BD122" s="31" t="s">
        <v>13808</v>
      </c>
      <c r="BE122" s="31" t="s">
        <v>14277</v>
      </c>
      <c r="BF122" s="31" t="s">
        <v>31406</v>
      </c>
      <c r="BG122" s="31" t="s">
        <v>14506</v>
      </c>
      <c r="BH122" s="31" t="s">
        <v>13772</v>
      </c>
      <c r="BI122" s="31" t="s">
        <v>35260</v>
      </c>
      <c r="BJ122" s="31" t="s">
        <v>14326</v>
      </c>
      <c r="BK122" s="31" t="s">
        <v>35261</v>
      </c>
      <c r="BL122" s="31" t="s">
        <v>13772</v>
      </c>
      <c r="BM122" s="31" t="s">
        <v>14470</v>
      </c>
    </row>
    <row r="123" spans="1:65">
      <c r="A123">
        <v>1008</v>
      </c>
      <c r="B123">
        <v>1</v>
      </c>
      <c r="C123">
        <v>118</v>
      </c>
      <c r="D123" t="s">
        <v>2436</v>
      </c>
      <c r="E123" t="s">
        <v>73</v>
      </c>
      <c r="F123" t="s">
        <v>73</v>
      </c>
      <c r="G123">
        <v>76.5</v>
      </c>
      <c r="H123">
        <v>327</v>
      </c>
      <c r="I123">
        <v>34798</v>
      </c>
      <c r="J123" t="s">
        <v>2437</v>
      </c>
      <c r="K123" s="3" t="s">
        <v>73</v>
      </c>
      <c r="L123">
        <v>363</v>
      </c>
      <c r="M123">
        <v>363</v>
      </c>
      <c r="N123">
        <v>1</v>
      </c>
      <c r="O123" s="11">
        <f t="shared" si="1"/>
        <v>18.634949903352265</v>
      </c>
      <c r="P123" s="36">
        <v>12.116433958347301</v>
      </c>
      <c r="Q123" s="36">
        <v>18.2982182928715</v>
      </c>
      <c r="R123" s="36">
        <v>9.6047859708735501</v>
      </c>
      <c r="S123" s="36">
        <v>16.631139350685501</v>
      </c>
      <c r="T123" s="36">
        <v>6.8814108794951396</v>
      </c>
      <c r="U123" s="36">
        <v>10.226999713034401</v>
      </c>
      <c r="V123" s="36">
        <v>5.2703114143232002</v>
      </c>
      <c r="W123" s="36">
        <v>6.8122851858761404</v>
      </c>
      <c r="X123" s="37">
        <v>41.327431248737803</v>
      </c>
      <c r="Y123" s="37">
        <v>29.640533403749401</v>
      </c>
      <c r="Z123" s="37">
        <v>19.201304358416198</v>
      </c>
      <c r="AA123" s="37">
        <v>30.475693677597899</v>
      </c>
      <c r="AB123" s="37">
        <v>21.132229013747601</v>
      </c>
      <c r="AC123" s="37">
        <v>20.5189548300133</v>
      </c>
      <c r="AD123" s="37">
        <v>24.136640765798798</v>
      </c>
      <c r="AE123" s="37">
        <v>25.884826390068501</v>
      </c>
      <c r="AF123" s="45">
        <v>1.3187771774682799</v>
      </c>
      <c r="AG123" s="45">
        <v>2.4733654937536</v>
      </c>
      <c r="AH123" s="46">
        <v>4.9753791290259997E-5</v>
      </c>
      <c r="AI123" s="47">
        <v>1.5214270737968699E-4</v>
      </c>
      <c r="AJ123" s="48">
        <v>10.7301980956883</v>
      </c>
      <c r="AK123" s="49">
        <v>26.5397017110162</v>
      </c>
      <c r="AL123" s="31" t="s">
        <v>5874</v>
      </c>
      <c r="AM123" s="31" t="s">
        <v>5876</v>
      </c>
      <c r="AN123" s="31" t="s">
        <v>23660</v>
      </c>
      <c r="AO123" s="31" t="s">
        <v>13772</v>
      </c>
      <c r="AP123" s="31" t="s">
        <v>23661</v>
      </c>
      <c r="AQ123" s="31" t="s">
        <v>23662</v>
      </c>
      <c r="AR123" s="31" t="s">
        <v>23663</v>
      </c>
      <c r="AS123" s="31" t="str">
        <f>"IGFBP2"</f>
        <v>IGFBP2</v>
      </c>
      <c r="AT123" s="31" t="s">
        <v>23664</v>
      </c>
      <c r="AU123" s="31" t="s">
        <v>13777</v>
      </c>
      <c r="AV123" s="31">
        <v>9606</v>
      </c>
      <c r="AW123" s="50" t="str">
        <f>HYPERLINK("http://www.uniprot.org/uniprot/P18065", "P18065")</f>
        <v>P18065</v>
      </c>
      <c r="AX123" s="31" t="s">
        <v>23665</v>
      </c>
      <c r="AY123" s="31" t="s">
        <v>23666</v>
      </c>
      <c r="AZ123" s="31" t="s">
        <v>14321</v>
      </c>
      <c r="BA123" s="31" t="s">
        <v>13793</v>
      </c>
      <c r="BB123" s="31" t="s">
        <v>13772</v>
      </c>
      <c r="BC123" s="31" t="s">
        <v>13772</v>
      </c>
      <c r="BD123" s="31" t="s">
        <v>13808</v>
      </c>
      <c r="BE123" s="31" t="s">
        <v>13772</v>
      </c>
      <c r="BF123" s="31" t="s">
        <v>16896</v>
      </c>
      <c r="BG123" s="31" t="s">
        <v>13796</v>
      </c>
      <c r="BH123" s="31" t="s">
        <v>13812</v>
      </c>
      <c r="BI123" s="31" t="s">
        <v>23667</v>
      </c>
      <c r="BJ123" s="31" t="s">
        <v>23668</v>
      </c>
      <c r="BK123" s="31" t="s">
        <v>23669</v>
      </c>
      <c r="BL123" s="31" t="s">
        <v>13772</v>
      </c>
      <c r="BM123" s="31" t="s">
        <v>23670</v>
      </c>
    </row>
    <row r="124" spans="1:65">
      <c r="A124">
        <v>187</v>
      </c>
      <c r="B124">
        <v>1</v>
      </c>
      <c r="C124">
        <v>119</v>
      </c>
      <c r="D124" t="s">
        <v>470</v>
      </c>
      <c r="E124" t="s">
        <v>471</v>
      </c>
      <c r="F124" t="s">
        <v>73</v>
      </c>
      <c r="G124">
        <v>63.5</v>
      </c>
      <c r="H124">
        <v>351</v>
      </c>
      <c r="I124">
        <v>40057</v>
      </c>
      <c r="J124" t="s">
        <v>472</v>
      </c>
      <c r="K124" s="3" t="s">
        <v>73</v>
      </c>
      <c r="L124">
        <v>358</v>
      </c>
      <c r="M124">
        <v>358</v>
      </c>
      <c r="N124">
        <v>1</v>
      </c>
      <c r="O124" s="11">
        <f t="shared" si="1"/>
        <v>19.163316514227816</v>
      </c>
      <c r="P124" s="36">
        <v>7.2698603750083803</v>
      </c>
      <c r="Q124" s="36">
        <v>11.556769448129399</v>
      </c>
      <c r="R124" s="36">
        <v>8.00398830906129</v>
      </c>
      <c r="S124" s="36">
        <v>16.631139350685501</v>
      </c>
      <c r="T124" s="36">
        <v>17.203527198737799</v>
      </c>
      <c r="U124" s="36">
        <v>11.1567269596739</v>
      </c>
      <c r="V124" s="36">
        <v>14.756871960105</v>
      </c>
      <c r="W124" s="36">
        <v>11.678203175787701</v>
      </c>
      <c r="X124" s="37">
        <v>24.637507090593701</v>
      </c>
      <c r="Y124" s="37">
        <v>19.550139053536899</v>
      </c>
      <c r="Z124" s="37">
        <v>33.602282627228398</v>
      </c>
      <c r="AA124" s="37">
        <v>30.475693677597899</v>
      </c>
      <c r="AB124" s="37">
        <v>26.644984408638301</v>
      </c>
      <c r="AC124" s="37">
        <v>18.940573689242999</v>
      </c>
      <c r="AD124" s="37">
        <v>33.187881052973303</v>
      </c>
      <c r="AE124" s="37">
        <v>21.316915850644602</v>
      </c>
      <c r="AF124" s="45">
        <v>1.0590194253513801</v>
      </c>
      <c r="AG124" s="45">
        <v>2.1205185731074101</v>
      </c>
      <c r="AH124" s="46">
        <v>2.07364225554015E-4</v>
      </c>
      <c r="AI124" s="47">
        <v>5.3987415568573099E-4</v>
      </c>
      <c r="AJ124" s="48">
        <v>12.2821358471486</v>
      </c>
      <c r="AK124" s="49">
        <v>26.044497181307001</v>
      </c>
      <c r="AL124" s="31" t="s">
        <v>5874</v>
      </c>
      <c r="AM124" s="31" t="s">
        <v>5876</v>
      </c>
      <c r="AN124" s="31" t="s">
        <v>15315</v>
      </c>
      <c r="AO124" s="31" t="s">
        <v>15316</v>
      </c>
      <c r="AP124" s="31" t="s">
        <v>15317</v>
      </c>
      <c r="AQ124" s="31" t="s">
        <v>15318</v>
      </c>
      <c r="AR124" s="31" t="s">
        <v>15319</v>
      </c>
      <c r="AS124" s="31" t="str">
        <f>"ANXA2"</f>
        <v>ANXA2</v>
      </c>
      <c r="AT124" s="31" t="s">
        <v>15320</v>
      </c>
      <c r="AU124" s="31" t="s">
        <v>13777</v>
      </c>
      <c r="AV124" s="31">
        <v>9606</v>
      </c>
      <c r="AW124" s="50" t="str">
        <f>HYPERLINK("http://www.uniprot.org/uniprot/P07355", "P07355")</f>
        <v>P07355</v>
      </c>
      <c r="AX124" s="31" t="s">
        <v>15321</v>
      </c>
      <c r="AY124" s="31" t="s">
        <v>13772</v>
      </c>
      <c r="AZ124" s="31" t="s">
        <v>15002</v>
      </c>
      <c r="BA124" s="31" t="s">
        <v>13780</v>
      </c>
      <c r="BB124" s="31" t="s">
        <v>13772</v>
      </c>
      <c r="BC124" s="31" t="s">
        <v>13772</v>
      </c>
      <c r="BD124" s="31" t="s">
        <v>15322</v>
      </c>
      <c r="BE124" s="31" t="s">
        <v>15323</v>
      </c>
      <c r="BF124" s="31" t="s">
        <v>14826</v>
      </c>
      <c r="BG124" s="31" t="s">
        <v>13991</v>
      </c>
      <c r="BH124" s="31" t="s">
        <v>13812</v>
      </c>
      <c r="BI124" s="31" t="s">
        <v>15324</v>
      </c>
      <c r="BJ124" s="31" t="s">
        <v>15325</v>
      </c>
      <c r="BK124" s="31" t="s">
        <v>15326</v>
      </c>
      <c r="BL124" s="31" t="s">
        <v>13772</v>
      </c>
      <c r="BM124" s="31" t="s">
        <v>15327</v>
      </c>
    </row>
    <row r="125" spans="1:65">
      <c r="A125">
        <v>725</v>
      </c>
      <c r="B125">
        <v>1</v>
      </c>
      <c r="C125">
        <v>120</v>
      </c>
      <c r="D125" t="s">
        <v>1774</v>
      </c>
      <c r="E125" t="s">
        <v>1775</v>
      </c>
      <c r="F125" t="s">
        <v>73</v>
      </c>
      <c r="G125">
        <v>21.6</v>
      </c>
      <c r="H125">
        <v>264</v>
      </c>
      <c r="I125">
        <v>28506</v>
      </c>
      <c r="J125" t="s">
        <v>1776</v>
      </c>
      <c r="K125" s="3" t="s">
        <v>73</v>
      </c>
      <c r="L125">
        <v>352</v>
      </c>
      <c r="M125">
        <v>352</v>
      </c>
      <c r="N125">
        <v>1</v>
      </c>
      <c r="O125" s="11">
        <f t="shared" si="1"/>
        <v>22.864386527748824</v>
      </c>
      <c r="P125" s="36">
        <v>42.407518854215503</v>
      </c>
      <c r="Q125" s="36">
        <v>28.8919236203234</v>
      </c>
      <c r="R125" s="36">
        <v>40.019941545306402</v>
      </c>
      <c r="S125" s="36">
        <v>58.964948606976002</v>
      </c>
      <c r="T125" s="36">
        <v>25.8052907981068</v>
      </c>
      <c r="U125" s="36">
        <v>30.6809991391032</v>
      </c>
      <c r="V125" s="36">
        <v>33.729993051668501</v>
      </c>
      <c r="W125" s="36">
        <v>10.7050195778054</v>
      </c>
      <c r="X125" s="37">
        <v>11.9213743986744</v>
      </c>
      <c r="Y125" s="37">
        <v>12.6129929377657</v>
      </c>
      <c r="Z125" s="37">
        <v>13.600923920544799</v>
      </c>
      <c r="AA125" s="37">
        <v>6.7723763727995303</v>
      </c>
      <c r="AB125" s="37">
        <v>9.1879256581511406</v>
      </c>
      <c r="AC125" s="37">
        <v>10.2594774150066</v>
      </c>
      <c r="AD125" s="37">
        <v>19.611020622211502</v>
      </c>
      <c r="AE125" s="37">
        <v>10.658457925322301</v>
      </c>
      <c r="AF125" s="45">
        <v>-1.51129436722679</v>
      </c>
      <c r="AG125" s="45">
        <v>-2.8661234039341101</v>
      </c>
      <c r="AH125" s="46">
        <v>1.1717218827024201E-5</v>
      </c>
      <c r="AI125" s="47">
        <v>4.21441902971998E-5</v>
      </c>
      <c r="AJ125" s="48">
        <v>33.900704399188101</v>
      </c>
      <c r="AK125" s="49">
        <v>11.828068656309499</v>
      </c>
      <c r="AL125" s="31" t="s">
        <v>5875</v>
      </c>
      <c r="AM125" s="31" t="s">
        <v>5876</v>
      </c>
      <c r="AN125" s="31" t="s">
        <v>20909</v>
      </c>
      <c r="AO125" s="31" t="s">
        <v>20910</v>
      </c>
      <c r="AP125" s="31" t="s">
        <v>20911</v>
      </c>
      <c r="AQ125" s="31" t="s">
        <v>20912</v>
      </c>
      <c r="AR125" s="31" t="s">
        <v>20913</v>
      </c>
      <c r="AS125" s="31" t="str">
        <f>"SHISA5"</f>
        <v>SHISA5</v>
      </c>
      <c r="AT125" s="31" t="s">
        <v>20914</v>
      </c>
      <c r="AU125" s="31" t="s">
        <v>13777</v>
      </c>
      <c r="AV125" s="31">
        <v>9606</v>
      </c>
      <c r="AW125" s="50" t="str">
        <f>HYPERLINK("http://www.uniprot.org/uniprot/Q8N114", "Q8N114")</f>
        <v>Q8N114</v>
      </c>
      <c r="AX125" s="31" t="s">
        <v>20915</v>
      </c>
      <c r="AY125" s="31" t="s">
        <v>17109</v>
      </c>
      <c r="AZ125" s="31" t="s">
        <v>20410</v>
      </c>
      <c r="BA125" s="31" t="s">
        <v>13780</v>
      </c>
      <c r="BB125" s="31" t="s">
        <v>13772</v>
      </c>
      <c r="BC125" s="31" t="s">
        <v>13772</v>
      </c>
      <c r="BD125" s="31" t="s">
        <v>13855</v>
      </c>
      <c r="BE125" s="31" t="s">
        <v>13772</v>
      </c>
      <c r="BF125" s="31" t="s">
        <v>13772</v>
      </c>
      <c r="BG125" s="31" t="s">
        <v>13772</v>
      </c>
      <c r="BH125" s="31" t="s">
        <v>13772</v>
      </c>
      <c r="BI125" s="31" t="s">
        <v>20916</v>
      </c>
      <c r="BJ125" s="31" t="s">
        <v>20917</v>
      </c>
      <c r="BK125" s="31" t="s">
        <v>20918</v>
      </c>
      <c r="BL125" s="31" t="s">
        <v>13772</v>
      </c>
      <c r="BM125" s="31" t="s">
        <v>17241</v>
      </c>
    </row>
    <row r="126" spans="1:65">
      <c r="A126">
        <v>35</v>
      </c>
      <c r="B126">
        <v>1</v>
      </c>
      <c r="C126">
        <v>121</v>
      </c>
      <c r="D126" t="s">
        <v>125</v>
      </c>
      <c r="E126" t="s">
        <v>73</v>
      </c>
      <c r="F126" t="s">
        <v>73</v>
      </c>
      <c r="G126">
        <v>37.9</v>
      </c>
      <c r="H126">
        <v>285</v>
      </c>
      <c r="I126">
        <v>32956</v>
      </c>
      <c r="J126" t="s">
        <v>126</v>
      </c>
      <c r="K126" s="3" t="s">
        <v>73</v>
      </c>
      <c r="L126">
        <v>347</v>
      </c>
      <c r="M126">
        <v>347</v>
      </c>
      <c r="N126">
        <v>1</v>
      </c>
      <c r="O126" s="11">
        <f t="shared" si="1"/>
        <v>19.774510575777395</v>
      </c>
      <c r="P126" s="36">
        <v>21.809581125025101</v>
      </c>
      <c r="Q126" s="36">
        <v>16.372090051516601</v>
      </c>
      <c r="R126" s="36">
        <v>36.8183462216819</v>
      </c>
      <c r="S126" s="36">
        <v>30.238435183064599</v>
      </c>
      <c r="T126" s="36">
        <v>16.343350838801001</v>
      </c>
      <c r="U126" s="36">
        <v>20.453999426068801</v>
      </c>
      <c r="V126" s="36">
        <v>21.081245657292801</v>
      </c>
      <c r="W126" s="36">
        <v>16.544121165699199</v>
      </c>
      <c r="X126" s="37">
        <v>7.9475829324495697</v>
      </c>
      <c r="Y126" s="37">
        <v>6.9371461157711396</v>
      </c>
      <c r="Z126" s="37">
        <v>17.601195661881501</v>
      </c>
      <c r="AA126" s="37">
        <v>9.3120175125993505</v>
      </c>
      <c r="AB126" s="37">
        <v>15.619473618856899</v>
      </c>
      <c r="AC126" s="37">
        <v>11.048667985391701</v>
      </c>
      <c r="AD126" s="37">
        <v>27.153720861523599</v>
      </c>
      <c r="AE126" s="37">
        <v>41.111194854814599</v>
      </c>
      <c r="AF126" s="45">
        <v>-0.42926127018412402</v>
      </c>
      <c r="AG126" s="45">
        <v>-1.3139753989165399</v>
      </c>
      <c r="AH126" s="46">
        <v>0.29690680935559699</v>
      </c>
      <c r="AI126" s="47">
        <v>0.37548328064063302</v>
      </c>
      <c r="AJ126" s="48">
        <v>22.457646208643801</v>
      </c>
      <c r="AK126" s="49">
        <v>17.091374942911099</v>
      </c>
      <c r="AL126" s="31" t="s">
        <v>5875</v>
      </c>
      <c r="AM126" s="31" t="s">
        <v>5832</v>
      </c>
      <c r="AN126" s="31" t="s">
        <v>13772</v>
      </c>
      <c r="AO126" s="31" t="s">
        <v>13772</v>
      </c>
      <c r="AP126" s="31" t="s">
        <v>13772</v>
      </c>
      <c r="AQ126" s="31" t="s">
        <v>13772</v>
      </c>
      <c r="AR126" s="31" t="s">
        <v>13772</v>
      </c>
      <c r="AS126" s="31" t="s">
        <v>13772</v>
      </c>
      <c r="AT126" s="31" t="s">
        <v>13772</v>
      </c>
      <c r="AU126" s="31" t="s">
        <v>13772</v>
      </c>
      <c r="AV126" s="31" t="s">
        <v>13772</v>
      </c>
      <c r="AW126" s="50" t="s">
        <v>13772</v>
      </c>
      <c r="AX126" s="31" t="s">
        <v>13772</v>
      </c>
      <c r="AY126" s="31" t="s">
        <v>13772</v>
      </c>
      <c r="AZ126" s="31" t="s">
        <v>13772</v>
      </c>
      <c r="BA126" s="31" t="s">
        <v>13772</v>
      </c>
      <c r="BB126" s="31" t="s">
        <v>13772</v>
      </c>
      <c r="BC126" s="31" t="s">
        <v>13772</v>
      </c>
      <c r="BD126" s="31" t="s">
        <v>13772</v>
      </c>
      <c r="BE126" s="31" t="s">
        <v>13772</v>
      </c>
      <c r="BF126" s="31" t="s">
        <v>13772</v>
      </c>
      <c r="BG126" s="31" t="s">
        <v>13772</v>
      </c>
      <c r="BH126" s="31" t="s">
        <v>13772</v>
      </c>
      <c r="BI126" s="31" t="s">
        <v>13772</v>
      </c>
      <c r="BJ126" s="31" t="s">
        <v>13772</v>
      </c>
      <c r="BK126" s="31" t="s">
        <v>13772</v>
      </c>
      <c r="BL126" s="31" t="s">
        <v>13772</v>
      </c>
      <c r="BM126" s="31" t="s">
        <v>13772</v>
      </c>
    </row>
    <row r="127" spans="1:65">
      <c r="A127">
        <v>182</v>
      </c>
      <c r="B127">
        <v>1</v>
      </c>
      <c r="C127">
        <v>122</v>
      </c>
      <c r="D127" t="s">
        <v>461</v>
      </c>
      <c r="E127" t="s">
        <v>73</v>
      </c>
      <c r="F127" t="s">
        <v>73</v>
      </c>
      <c r="G127">
        <v>39</v>
      </c>
      <c r="H127">
        <v>426</v>
      </c>
      <c r="I127">
        <v>47750</v>
      </c>
      <c r="J127" t="s">
        <v>462</v>
      </c>
      <c r="K127" s="3" t="s">
        <v>73</v>
      </c>
      <c r="L127">
        <v>347</v>
      </c>
      <c r="M127">
        <v>347</v>
      </c>
      <c r="N127">
        <v>1</v>
      </c>
      <c r="O127" s="11">
        <f t="shared" si="1"/>
        <v>22.833909658624844</v>
      </c>
      <c r="P127" s="36">
        <v>20.597937729190399</v>
      </c>
      <c r="Q127" s="36">
        <v>33.707244223710603</v>
      </c>
      <c r="R127" s="36">
        <v>44.822334530743198</v>
      </c>
      <c r="S127" s="36">
        <v>68.036479161895301</v>
      </c>
      <c r="T127" s="36">
        <v>31.826525317664998</v>
      </c>
      <c r="U127" s="36">
        <v>33.470180879021697</v>
      </c>
      <c r="V127" s="36">
        <v>27.405619354480699</v>
      </c>
      <c r="W127" s="36">
        <v>14.597753969734599</v>
      </c>
      <c r="X127" s="37">
        <v>7.9475829324495697</v>
      </c>
      <c r="Y127" s="37">
        <v>10.0903943502126</v>
      </c>
      <c r="Z127" s="37">
        <v>12.0008152240101</v>
      </c>
      <c r="AA127" s="37">
        <v>16.084393885398899</v>
      </c>
      <c r="AB127" s="37">
        <v>10.1067182239663</v>
      </c>
      <c r="AC127" s="37">
        <v>13.4162396965471</v>
      </c>
      <c r="AD127" s="37">
        <v>9.0512402871745401</v>
      </c>
      <c r="AE127" s="37">
        <v>12.1810947717969</v>
      </c>
      <c r="AF127" s="45">
        <v>-1.5646348014789599</v>
      </c>
      <c r="AG127" s="45">
        <v>-3.0201217831154201</v>
      </c>
      <c r="AH127" s="46">
        <v>3.9408049942473096E-6</v>
      </c>
      <c r="AI127" s="47">
        <v>1.6075600860679599E-5</v>
      </c>
      <c r="AJ127" s="48">
        <v>34.3080093958052</v>
      </c>
      <c r="AK127" s="49">
        <v>11.3598099214445</v>
      </c>
      <c r="AL127" s="31" t="s">
        <v>5875</v>
      </c>
      <c r="AM127" s="31" t="s">
        <v>5876</v>
      </c>
      <c r="AN127" s="31" t="s">
        <v>15261</v>
      </c>
      <c r="AO127" s="31" t="s">
        <v>15262</v>
      </c>
      <c r="AP127" s="31" t="s">
        <v>15263</v>
      </c>
      <c r="AQ127" s="31" t="s">
        <v>15264</v>
      </c>
      <c r="AR127" s="31" t="s">
        <v>15265</v>
      </c>
      <c r="AS127" s="31" t="str">
        <f>"FBLN5"</f>
        <v>FBLN5</v>
      </c>
      <c r="AT127" s="31" t="s">
        <v>15266</v>
      </c>
      <c r="AU127" s="31" t="s">
        <v>13777</v>
      </c>
      <c r="AV127" s="31">
        <v>9606</v>
      </c>
      <c r="AW127" s="50" t="str">
        <f>HYPERLINK("http://www.uniprot.org/uniprot/Q9UBX5", "Q9UBX5")</f>
        <v>Q9UBX5</v>
      </c>
      <c r="AX127" s="31" t="s">
        <v>15267</v>
      </c>
      <c r="AY127" s="31" t="s">
        <v>13949</v>
      </c>
      <c r="AZ127" s="31" t="s">
        <v>13869</v>
      </c>
      <c r="BA127" s="31" t="s">
        <v>13772</v>
      </c>
      <c r="BB127" s="31" t="s">
        <v>13772</v>
      </c>
      <c r="BC127" s="31" t="s">
        <v>15268</v>
      </c>
      <c r="BD127" s="31" t="s">
        <v>14768</v>
      </c>
      <c r="BE127" s="31" t="s">
        <v>14465</v>
      </c>
      <c r="BF127" s="31" t="s">
        <v>13772</v>
      </c>
      <c r="BG127" s="31" t="s">
        <v>13796</v>
      </c>
      <c r="BH127" s="31" t="s">
        <v>13772</v>
      </c>
      <c r="BI127" s="31" t="s">
        <v>15269</v>
      </c>
      <c r="BJ127" s="31" t="s">
        <v>15270</v>
      </c>
      <c r="BK127" s="31" t="s">
        <v>15271</v>
      </c>
      <c r="BL127" s="31" t="s">
        <v>13772</v>
      </c>
      <c r="BM127" s="31" t="s">
        <v>15272</v>
      </c>
    </row>
    <row r="128" spans="1:65">
      <c r="A128">
        <v>1542</v>
      </c>
      <c r="B128">
        <v>1</v>
      </c>
      <c r="C128">
        <v>123</v>
      </c>
      <c r="D128" t="s">
        <v>3662</v>
      </c>
      <c r="E128" t="s">
        <v>73</v>
      </c>
      <c r="F128" t="s">
        <v>73</v>
      </c>
      <c r="G128">
        <v>89.7</v>
      </c>
      <c r="H128">
        <v>68</v>
      </c>
      <c r="I128">
        <v>7437</v>
      </c>
      <c r="J128" t="s">
        <v>3663</v>
      </c>
      <c r="K128" s="3" t="s">
        <v>73</v>
      </c>
      <c r="L128">
        <v>347</v>
      </c>
      <c r="M128">
        <v>347</v>
      </c>
      <c r="N128">
        <v>1</v>
      </c>
      <c r="O128" s="11">
        <f t="shared" si="1"/>
        <v>20.984094469655151</v>
      </c>
      <c r="P128" s="36">
        <v>13.328077354182</v>
      </c>
      <c r="Q128" s="36">
        <v>14.4459618101617</v>
      </c>
      <c r="R128" s="36">
        <v>28.814357912620601</v>
      </c>
      <c r="S128" s="36">
        <v>33.262278701371102</v>
      </c>
      <c r="T128" s="36">
        <v>42.148641636907698</v>
      </c>
      <c r="U128" s="36">
        <v>43.6971805920561</v>
      </c>
      <c r="V128" s="36">
        <v>40.054366748856303</v>
      </c>
      <c r="W128" s="36">
        <v>26.275957145522302</v>
      </c>
      <c r="X128" s="37">
        <v>14.3056492784092</v>
      </c>
      <c r="Y128" s="37">
        <v>8.1984454095477108</v>
      </c>
      <c r="Z128" s="37">
        <v>13.600923920544799</v>
      </c>
      <c r="AA128" s="37">
        <v>7.6189234193994704</v>
      </c>
      <c r="AB128" s="37">
        <v>13.7818884872267</v>
      </c>
      <c r="AC128" s="37">
        <v>14.994620837317401</v>
      </c>
      <c r="AD128" s="37">
        <v>10.559780335037001</v>
      </c>
      <c r="AE128" s="37">
        <v>10.658457925322301</v>
      </c>
      <c r="AF128" s="45">
        <v>-1.3604879786606701</v>
      </c>
      <c r="AG128" s="45">
        <v>-2.5824819243803199</v>
      </c>
      <c r="AH128" s="46">
        <v>3.91358361557321E-5</v>
      </c>
      <c r="AI128" s="47">
        <v>1.2291959806659501E-4</v>
      </c>
      <c r="AJ128" s="48">
        <v>30.253352737709701</v>
      </c>
      <c r="AK128" s="49">
        <v>11.714836201600599</v>
      </c>
      <c r="AL128" s="31" t="s">
        <v>5875</v>
      </c>
      <c r="AM128" s="31" t="s">
        <v>5876</v>
      </c>
      <c r="AN128" s="31" t="s">
        <v>28588</v>
      </c>
      <c r="AO128" s="31" t="s">
        <v>28589</v>
      </c>
      <c r="AP128" s="31" t="s">
        <v>28590</v>
      </c>
      <c r="AQ128" s="31" t="s">
        <v>28591</v>
      </c>
      <c r="AR128" s="31" t="s">
        <v>28592</v>
      </c>
      <c r="AS128" s="31" t="str">
        <f>"ATOX1"</f>
        <v>ATOX1</v>
      </c>
      <c r="AT128" s="31" t="s">
        <v>28593</v>
      </c>
      <c r="AU128" s="31" t="s">
        <v>13777</v>
      </c>
      <c r="AV128" s="31">
        <v>9606</v>
      </c>
      <c r="AW128" s="50" t="str">
        <f>HYPERLINK("http://www.uniprot.org/uniprot/O00244", "O00244")</f>
        <v>O00244</v>
      </c>
      <c r="AX128" s="31" t="s">
        <v>28594</v>
      </c>
      <c r="AY128" s="31" t="s">
        <v>20300</v>
      </c>
      <c r="AZ128" s="31" t="s">
        <v>13772</v>
      </c>
      <c r="BA128" s="31" t="s">
        <v>13772</v>
      </c>
      <c r="BB128" s="31" t="s">
        <v>13772</v>
      </c>
      <c r="BC128" s="31" t="s">
        <v>13772</v>
      </c>
      <c r="BD128" s="31" t="s">
        <v>13772</v>
      </c>
      <c r="BE128" s="31" t="s">
        <v>15982</v>
      </c>
      <c r="BF128" s="31" t="s">
        <v>14477</v>
      </c>
      <c r="BG128" s="31" t="s">
        <v>13886</v>
      </c>
      <c r="BH128" s="31" t="s">
        <v>13812</v>
      </c>
      <c r="BI128" s="31" t="s">
        <v>28595</v>
      </c>
      <c r="BJ128" s="31" t="s">
        <v>13902</v>
      </c>
      <c r="BK128" s="31" t="s">
        <v>28596</v>
      </c>
      <c r="BL128" s="31" t="s">
        <v>13772</v>
      </c>
      <c r="BM128" s="31" t="s">
        <v>28597</v>
      </c>
    </row>
    <row r="129" spans="1:65">
      <c r="A129">
        <v>1963</v>
      </c>
      <c r="B129">
        <v>1</v>
      </c>
      <c r="C129">
        <v>124</v>
      </c>
      <c r="D129" t="s">
        <v>4628</v>
      </c>
      <c r="E129" t="s">
        <v>73</v>
      </c>
      <c r="F129" t="s">
        <v>73</v>
      </c>
      <c r="G129">
        <v>45</v>
      </c>
      <c r="H129">
        <v>191</v>
      </c>
      <c r="I129">
        <v>21264</v>
      </c>
      <c r="J129" t="s">
        <v>4629</v>
      </c>
      <c r="K129" s="3" t="s">
        <v>73</v>
      </c>
      <c r="L129">
        <v>343</v>
      </c>
      <c r="M129">
        <v>343</v>
      </c>
      <c r="N129">
        <v>1</v>
      </c>
      <c r="O129" s="11">
        <f t="shared" si="1"/>
        <v>21.658028075126897</v>
      </c>
      <c r="P129" s="36">
        <v>49.677379229223902</v>
      </c>
      <c r="Q129" s="36">
        <v>36.596436585743</v>
      </c>
      <c r="R129" s="36">
        <v>36.8183462216819</v>
      </c>
      <c r="S129" s="36">
        <v>22.6788263872984</v>
      </c>
      <c r="T129" s="36">
        <v>22.3645853583592</v>
      </c>
      <c r="U129" s="36">
        <v>23.243181165987298</v>
      </c>
      <c r="V129" s="36">
        <v>39.000304465991697</v>
      </c>
      <c r="W129" s="36">
        <v>22.383222753593</v>
      </c>
      <c r="X129" s="37">
        <v>5.5633080527147003</v>
      </c>
      <c r="Y129" s="37">
        <v>8.1984454095477108</v>
      </c>
      <c r="Z129" s="37">
        <v>17.601195661881501</v>
      </c>
      <c r="AA129" s="37">
        <v>9.3120175125993505</v>
      </c>
      <c r="AB129" s="37">
        <v>11.0255107897814</v>
      </c>
      <c r="AC129" s="37">
        <v>10.2594774150066</v>
      </c>
      <c r="AD129" s="37">
        <v>18.102480574349102</v>
      </c>
      <c r="AE129" s="37">
        <v>13.7037316182716</v>
      </c>
      <c r="AF129" s="45">
        <v>-1.4508834610111301</v>
      </c>
      <c r="AG129" s="45">
        <v>-2.69566614657306</v>
      </c>
      <c r="AH129" s="46">
        <v>8.5157461508553105E-6</v>
      </c>
      <c r="AI129" s="47">
        <v>3.1650189860678899E-5</v>
      </c>
      <c r="AJ129" s="48">
        <v>31.5952852709848</v>
      </c>
      <c r="AK129" s="49">
        <v>11.720770879269001</v>
      </c>
      <c r="AL129" s="31" t="s">
        <v>5875</v>
      </c>
      <c r="AM129" s="31" t="s">
        <v>5876</v>
      </c>
      <c r="AN129" s="31" t="s">
        <v>32595</v>
      </c>
      <c r="AO129" s="31" t="s">
        <v>32596</v>
      </c>
      <c r="AP129" s="31" t="s">
        <v>32597</v>
      </c>
      <c r="AQ129" s="31" t="s">
        <v>32598</v>
      </c>
      <c r="AR129" s="31" t="s">
        <v>32599</v>
      </c>
      <c r="AS129" s="31" t="str">
        <f>"PTGDS"</f>
        <v>PTGDS</v>
      </c>
      <c r="AT129" s="31" t="s">
        <v>32600</v>
      </c>
      <c r="AU129" s="31" t="s">
        <v>13777</v>
      </c>
      <c r="AV129" s="31">
        <v>9606</v>
      </c>
      <c r="AW129" s="50" t="str">
        <f>HYPERLINK("http://www.uniprot.org/uniprot/P41222", "P41222")</f>
        <v>P41222</v>
      </c>
      <c r="AX129" s="31" t="s">
        <v>32601</v>
      </c>
      <c r="AY129" s="31" t="s">
        <v>32602</v>
      </c>
      <c r="AZ129" s="31" t="s">
        <v>20069</v>
      </c>
      <c r="BA129" s="31" t="s">
        <v>13793</v>
      </c>
      <c r="BB129" s="31" t="s">
        <v>13772</v>
      </c>
      <c r="BC129" s="31" t="s">
        <v>13772</v>
      </c>
      <c r="BD129" s="31" t="s">
        <v>13808</v>
      </c>
      <c r="BE129" s="31" t="s">
        <v>13772</v>
      </c>
      <c r="BF129" s="31" t="s">
        <v>14910</v>
      </c>
      <c r="BG129" s="31" t="s">
        <v>13796</v>
      </c>
      <c r="BH129" s="31" t="s">
        <v>13812</v>
      </c>
      <c r="BI129" s="31" t="s">
        <v>32603</v>
      </c>
      <c r="BJ129" s="31" t="s">
        <v>32604</v>
      </c>
      <c r="BK129" s="31" t="s">
        <v>32605</v>
      </c>
      <c r="BL129" s="31" t="s">
        <v>13772</v>
      </c>
      <c r="BM129" s="31" t="s">
        <v>15910</v>
      </c>
    </row>
    <row r="130" spans="1:65">
      <c r="A130">
        <v>365</v>
      </c>
      <c r="B130">
        <v>1</v>
      </c>
      <c r="C130">
        <v>125</v>
      </c>
      <c r="D130" t="s">
        <v>912</v>
      </c>
      <c r="E130" t="s">
        <v>913</v>
      </c>
      <c r="F130" t="s">
        <v>73</v>
      </c>
      <c r="G130">
        <v>49.2</v>
      </c>
      <c r="H130">
        <v>445</v>
      </c>
      <c r="I130">
        <v>49750</v>
      </c>
      <c r="J130" t="s">
        <v>914</v>
      </c>
      <c r="K130" s="3" t="s">
        <v>73</v>
      </c>
      <c r="L130">
        <v>341</v>
      </c>
      <c r="M130">
        <v>341</v>
      </c>
      <c r="N130">
        <v>1</v>
      </c>
      <c r="O130" s="11">
        <f t="shared" si="1"/>
        <v>22.551896385516208</v>
      </c>
      <c r="P130" s="36">
        <v>39.984232062546099</v>
      </c>
      <c r="Q130" s="36">
        <v>26.002731258291099</v>
      </c>
      <c r="R130" s="36">
        <v>52.826322839804497</v>
      </c>
      <c r="S130" s="36">
        <v>45.3576527745969</v>
      </c>
      <c r="T130" s="36">
        <v>35.267230757412598</v>
      </c>
      <c r="U130" s="36">
        <v>33.470180879021697</v>
      </c>
      <c r="V130" s="36">
        <v>31.621868485939199</v>
      </c>
      <c r="W130" s="36">
        <v>16.544121165699199</v>
      </c>
      <c r="X130" s="37">
        <v>7.1528246392046197</v>
      </c>
      <c r="Y130" s="37">
        <v>8.8290950564359996</v>
      </c>
      <c r="Z130" s="37">
        <v>17.601195661881501</v>
      </c>
      <c r="AA130" s="37">
        <v>9.3120175125993505</v>
      </c>
      <c r="AB130" s="37">
        <v>4.5939628290755703</v>
      </c>
      <c r="AC130" s="37">
        <v>11.048667985391701</v>
      </c>
      <c r="AD130" s="37">
        <v>10.559780335037001</v>
      </c>
      <c r="AE130" s="37">
        <v>10.658457925322301</v>
      </c>
      <c r="AF130" s="45">
        <v>-1.7924906649874299</v>
      </c>
      <c r="AG130" s="45">
        <v>-3.5241779097368</v>
      </c>
      <c r="AH130" s="46">
        <v>4.2462251596292002E-8</v>
      </c>
      <c r="AI130" s="47">
        <v>3.2280961724908301E-7</v>
      </c>
      <c r="AJ130" s="48">
        <v>35.1342925279139</v>
      </c>
      <c r="AK130" s="49">
        <v>9.9695002431185102</v>
      </c>
      <c r="AL130" s="31" t="s">
        <v>5875</v>
      </c>
      <c r="AM130" s="31" t="s">
        <v>5876</v>
      </c>
      <c r="AN130" s="31" t="s">
        <v>17232</v>
      </c>
      <c r="AO130" s="31" t="s">
        <v>17233</v>
      </c>
      <c r="AP130" s="31" t="s">
        <v>17234</v>
      </c>
      <c r="AQ130" s="31" t="s">
        <v>17235</v>
      </c>
      <c r="AR130" s="31" t="s">
        <v>17236</v>
      </c>
      <c r="AS130" s="31" t="str">
        <f>"MXRA8"</f>
        <v>MXRA8</v>
      </c>
      <c r="AT130" s="31" t="s">
        <v>13772</v>
      </c>
      <c r="AU130" s="31" t="s">
        <v>13777</v>
      </c>
      <c r="AV130" s="31">
        <v>9606</v>
      </c>
      <c r="AW130" s="50" t="str">
        <f>HYPERLINK("http://www.uniprot.org/uniprot/Q9BRK3", "Q9BRK3")</f>
        <v>Q9BRK3</v>
      </c>
      <c r="AX130" s="31" t="s">
        <v>17237</v>
      </c>
      <c r="AY130" s="31" t="s">
        <v>16592</v>
      </c>
      <c r="AZ130" s="31" t="s">
        <v>17238</v>
      </c>
      <c r="BA130" s="31" t="s">
        <v>13780</v>
      </c>
      <c r="BB130" s="31" t="s">
        <v>13772</v>
      </c>
      <c r="BC130" s="31" t="s">
        <v>13772</v>
      </c>
      <c r="BD130" s="31" t="s">
        <v>13951</v>
      </c>
      <c r="BE130" s="31" t="s">
        <v>13772</v>
      </c>
      <c r="BF130" s="31" t="s">
        <v>13772</v>
      </c>
      <c r="BG130" s="31" t="s">
        <v>13964</v>
      </c>
      <c r="BH130" s="31" t="s">
        <v>13772</v>
      </c>
      <c r="BI130" s="31" t="s">
        <v>17239</v>
      </c>
      <c r="BJ130" s="31" t="s">
        <v>17240</v>
      </c>
      <c r="BK130" s="31" t="s">
        <v>13772</v>
      </c>
      <c r="BL130" s="31" t="s">
        <v>13772</v>
      </c>
      <c r="BM130" s="31" t="s">
        <v>17241</v>
      </c>
    </row>
    <row r="131" spans="1:65">
      <c r="A131">
        <v>1028</v>
      </c>
      <c r="B131">
        <v>1</v>
      </c>
      <c r="C131">
        <v>126</v>
      </c>
      <c r="D131" t="s">
        <v>2487</v>
      </c>
      <c r="E131" t="s">
        <v>73</v>
      </c>
      <c r="F131" t="s">
        <v>73</v>
      </c>
      <c r="G131">
        <v>49.5</v>
      </c>
      <c r="H131">
        <v>1960</v>
      </c>
      <c r="I131">
        <v>226409</v>
      </c>
      <c r="J131" t="s">
        <v>2488</v>
      </c>
      <c r="K131" s="3" t="s">
        <v>73</v>
      </c>
      <c r="L131">
        <v>345</v>
      </c>
      <c r="M131">
        <v>305</v>
      </c>
      <c r="N131">
        <v>0.88400000000000001</v>
      </c>
      <c r="O131" s="11">
        <f t="shared" si="1"/>
        <v>16.859205390546304</v>
      </c>
      <c r="P131" s="36">
        <v>2.4232867916694598</v>
      </c>
      <c r="Q131" s="36">
        <v>3.4670308344388099</v>
      </c>
      <c r="R131" s="36">
        <v>0.40019941545306398</v>
      </c>
      <c r="S131" s="36">
        <v>0.45357652774596902</v>
      </c>
      <c r="T131" s="36">
        <v>2.5805290798106801</v>
      </c>
      <c r="U131" s="36">
        <v>8.2745724950914692</v>
      </c>
      <c r="V131" s="36">
        <v>1.05406228286464</v>
      </c>
      <c r="W131" s="36">
        <v>1.9463671959646101</v>
      </c>
      <c r="X131" s="37">
        <v>31.7903317297983</v>
      </c>
      <c r="Y131" s="37">
        <v>47.6771133047544</v>
      </c>
      <c r="Z131" s="37">
        <v>74.165038084382701</v>
      </c>
      <c r="AA131" s="37">
        <v>48.591800474836603</v>
      </c>
      <c r="AB131" s="37">
        <v>10.841752276618299</v>
      </c>
      <c r="AC131" s="37">
        <v>28.9632939331341</v>
      </c>
      <c r="AD131" s="37">
        <v>4.0730581292285404</v>
      </c>
      <c r="AE131" s="37">
        <v>3.0452736929492299</v>
      </c>
      <c r="AF131" s="45">
        <v>3.4826049565095798</v>
      </c>
      <c r="AG131" s="45">
        <v>12.0947670739133</v>
      </c>
      <c r="AH131" s="46">
        <v>1.2481026280410099E-7</v>
      </c>
      <c r="AI131" s="47">
        <v>8.10660833164504E-7</v>
      </c>
      <c r="AJ131" s="48">
        <v>2.5749530778798402</v>
      </c>
      <c r="AK131" s="49">
        <v>31.1434577032128</v>
      </c>
      <c r="AL131" s="31" t="s">
        <v>5874</v>
      </c>
      <c r="AM131" s="31" t="s">
        <v>5876</v>
      </c>
      <c r="AN131" s="31" t="s">
        <v>23872</v>
      </c>
      <c r="AO131" s="31" t="s">
        <v>23873</v>
      </c>
      <c r="AP131" s="31" t="s">
        <v>23874</v>
      </c>
      <c r="AQ131" s="31" t="s">
        <v>23875</v>
      </c>
      <c r="AR131" s="31" t="s">
        <v>23876</v>
      </c>
      <c r="AS131" s="31" t="str">
        <f>"MYH9"</f>
        <v>MYH9</v>
      </c>
      <c r="AT131" s="31" t="s">
        <v>13772</v>
      </c>
      <c r="AU131" s="31" t="s">
        <v>13777</v>
      </c>
      <c r="AV131" s="31">
        <v>9606</v>
      </c>
      <c r="AW131" s="50" t="str">
        <f>HYPERLINK("http://www.uniprot.org/uniprot/P35579", "P35579")</f>
        <v>P35579</v>
      </c>
      <c r="AX131" s="31" t="s">
        <v>23877</v>
      </c>
      <c r="AY131" s="31" t="s">
        <v>23878</v>
      </c>
      <c r="AZ131" s="31" t="s">
        <v>13988</v>
      </c>
      <c r="BA131" s="31" t="s">
        <v>13780</v>
      </c>
      <c r="BB131" s="31" t="s">
        <v>13772</v>
      </c>
      <c r="BC131" s="31" t="s">
        <v>23879</v>
      </c>
      <c r="BD131" s="31" t="s">
        <v>14245</v>
      </c>
      <c r="BE131" s="31" t="s">
        <v>14005</v>
      </c>
      <c r="BF131" s="31" t="s">
        <v>14097</v>
      </c>
      <c r="BG131" s="31" t="s">
        <v>23880</v>
      </c>
      <c r="BH131" s="31" t="s">
        <v>13812</v>
      </c>
      <c r="BI131" s="31" t="s">
        <v>23881</v>
      </c>
      <c r="BJ131" s="31" t="s">
        <v>23882</v>
      </c>
      <c r="BK131" s="31" t="s">
        <v>23883</v>
      </c>
      <c r="BL131" s="31" t="s">
        <v>13772</v>
      </c>
      <c r="BM131" s="31" t="s">
        <v>23884</v>
      </c>
    </row>
    <row r="132" spans="1:65">
      <c r="A132">
        <v>162</v>
      </c>
      <c r="B132">
        <v>1</v>
      </c>
      <c r="C132">
        <v>127</v>
      </c>
      <c r="D132" t="s">
        <v>411</v>
      </c>
      <c r="E132" t="s">
        <v>412</v>
      </c>
      <c r="F132" t="s">
        <v>73</v>
      </c>
      <c r="G132">
        <v>25.7</v>
      </c>
      <c r="H132">
        <v>2868</v>
      </c>
      <c r="I132">
        <v>311428</v>
      </c>
      <c r="J132" t="s">
        <v>413</v>
      </c>
      <c r="K132" s="3" t="s">
        <v>73</v>
      </c>
      <c r="L132">
        <v>338</v>
      </c>
      <c r="M132">
        <v>338</v>
      </c>
      <c r="N132">
        <v>1</v>
      </c>
      <c r="O132" s="11">
        <f t="shared" si="1"/>
        <v>22.794157779705142</v>
      </c>
      <c r="P132" s="36">
        <v>16.963007541686199</v>
      </c>
      <c r="Q132" s="36">
        <v>24.0766030169362</v>
      </c>
      <c r="R132" s="36">
        <v>41.620739207118703</v>
      </c>
      <c r="S132" s="36">
        <v>77.108009716814706</v>
      </c>
      <c r="T132" s="36">
        <v>43.008817996844598</v>
      </c>
      <c r="U132" s="36">
        <v>42.767453345416598</v>
      </c>
      <c r="V132" s="36">
        <v>25.297494788751401</v>
      </c>
      <c r="W132" s="36">
        <v>22.383222753593</v>
      </c>
      <c r="X132" s="37">
        <v>2.3842748797348698</v>
      </c>
      <c r="Y132" s="37">
        <v>11.351693643989099</v>
      </c>
      <c r="Z132" s="37">
        <v>10.400706527475499</v>
      </c>
      <c r="AA132" s="37">
        <v>1.6930940931998799</v>
      </c>
      <c r="AB132" s="37">
        <v>7.3503405265209096</v>
      </c>
      <c r="AC132" s="37">
        <v>11.048667985391701</v>
      </c>
      <c r="AD132" s="37">
        <v>16.593940526486598</v>
      </c>
      <c r="AE132" s="37">
        <v>10.658457925322301</v>
      </c>
      <c r="AF132" s="45">
        <v>-2.0436481141543501</v>
      </c>
      <c r="AG132" s="45">
        <v>-4.10213379706616</v>
      </c>
      <c r="AH132" s="46">
        <v>2.0357887842943698E-6</v>
      </c>
      <c r="AI132" s="47">
        <v>8.9052177692902903E-6</v>
      </c>
      <c r="AJ132" s="48">
        <v>36.653168545895198</v>
      </c>
      <c r="AK132" s="49">
        <v>8.9351470135151203</v>
      </c>
      <c r="AL132" s="31" t="s">
        <v>5875</v>
      </c>
      <c r="AM132" s="31" t="s">
        <v>5876</v>
      </c>
      <c r="AN132" s="31" t="s">
        <v>15008</v>
      </c>
      <c r="AO132" s="31" t="s">
        <v>13772</v>
      </c>
      <c r="AP132" s="31" t="s">
        <v>15009</v>
      </c>
      <c r="AQ132" s="31" t="s">
        <v>15010</v>
      </c>
      <c r="AR132" s="31" t="s">
        <v>15011</v>
      </c>
      <c r="AS132" s="31" t="str">
        <f>"FBN1"</f>
        <v>FBN1</v>
      </c>
      <c r="AT132" s="31" t="s">
        <v>15012</v>
      </c>
      <c r="AU132" s="31" t="s">
        <v>13777</v>
      </c>
      <c r="AV132" s="31">
        <v>9606</v>
      </c>
      <c r="AW132" s="50" t="str">
        <f>HYPERLINK("http://www.uniprot.org/uniprot/P35555", "P35555")</f>
        <v>P35555</v>
      </c>
      <c r="AX132" s="31" t="s">
        <v>15013</v>
      </c>
      <c r="AY132" s="31" t="s">
        <v>13772</v>
      </c>
      <c r="AZ132" s="31" t="s">
        <v>13869</v>
      </c>
      <c r="BA132" s="31" t="s">
        <v>13793</v>
      </c>
      <c r="BB132" s="31" t="s">
        <v>13772</v>
      </c>
      <c r="BC132" s="31" t="s">
        <v>15014</v>
      </c>
      <c r="BD132" s="31" t="s">
        <v>14768</v>
      </c>
      <c r="BE132" s="31" t="s">
        <v>14465</v>
      </c>
      <c r="BF132" s="31" t="s">
        <v>15015</v>
      </c>
      <c r="BG132" s="31" t="s">
        <v>13964</v>
      </c>
      <c r="BH132" s="31" t="s">
        <v>13812</v>
      </c>
      <c r="BI132" s="31" t="s">
        <v>15016</v>
      </c>
      <c r="BJ132" s="31" t="s">
        <v>15017</v>
      </c>
      <c r="BK132" s="31" t="s">
        <v>15018</v>
      </c>
      <c r="BL132" s="31" t="s">
        <v>13772</v>
      </c>
      <c r="BM132" s="31" t="s">
        <v>15019</v>
      </c>
    </row>
    <row r="133" spans="1:65">
      <c r="A133">
        <v>2018</v>
      </c>
      <c r="B133">
        <v>1</v>
      </c>
      <c r="C133">
        <v>128</v>
      </c>
      <c r="D133" t="s">
        <v>4748</v>
      </c>
      <c r="E133" t="s">
        <v>4749</v>
      </c>
      <c r="F133" t="s">
        <v>73</v>
      </c>
      <c r="G133">
        <v>31.6</v>
      </c>
      <c r="H133">
        <v>553</v>
      </c>
      <c r="I133">
        <v>60068</v>
      </c>
      <c r="J133" t="s">
        <v>4750</v>
      </c>
      <c r="K133" s="3" t="s">
        <v>73</v>
      </c>
      <c r="L133">
        <v>335</v>
      </c>
      <c r="M133">
        <v>334</v>
      </c>
      <c r="N133">
        <v>0.997</v>
      </c>
      <c r="O133" s="11">
        <f t="shared" si="1"/>
        <v>21.846726804761705</v>
      </c>
      <c r="P133" s="36">
        <v>30.291084895868199</v>
      </c>
      <c r="Q133" s="36">
        <v>29.854987741000802</v>
      </c>
      <c r="R133" s="36">
        <v>38.419143883494201</v>
      </c>
      <c r="S133" s="36">
        <v>42.333809256290401</v>
      </c>
      <c r="T133" s="36">
        <v>32.686701677601903</v>
      </c>
      <c r="U133" s="36">
        <v>27.891817399184699</v>
      </c>
      <c r="V133" s="36">
        <v>25.297494788751401</v>
      </c>
      <c r="W133" s="36">
        <v>19.463671959646099</v>
      </c>
      <c r="X133" s="37">
        <v>8.6628653963700408</v>
      </c>
      <c r="Y133" s="37">
        <v>8.1984454095477108</v>
      </c>
      <c r="Z133" s="37">
        <v>12.0008152240101</v>
      </c>
      <c r="AA133" s="37">
        <v>10.1585645591993</v>
      </c>
      <c r="AB133" s="37">
        <v>12.863095921411601</v>
      </c>
      <c r="AC133" s="37">
        <v>14.994620837317401</v>
      </c>
      <c r="AD133" s="37">
        <v>12.068320382899399</v>
      </c>
      <c r="AE133" s="37">
        <v>24.3621895435939</v>
      </c>
      <c r="AF133" s="45">
        <v>-1.27667797762354</v>
      </c>
      <c r="AG133" s="45">
        <v>-2.3835184618954099</v>
      </c>
      <c r="AH133" s="46">
        <v>2.44227230705826E-5</v>
      </c>
      <c r="AI133" s="47">
        <v>7.9701471874242806E-5</v>
      </c>
      <c r="AJ133" s="48">
        <v>30.779838950229699</v>
      </c>
      <c r="AK133" s="49">
        <v>12.9136146592937</v>
      </c>
      <c r="AL133" s="31" t="s">
        <v>5875</v>
      </c>
      <c r="AM133" s="31" t="s">
        <v>5876</v>
      </c>
      <c r="AN133" s="31" t="s">
        <v>33113</v>
      </c>
      <c r="AO133" s="31" t="s">
        <v>33114</v>
      </c>
      <c r="AP133" s="31" t="s">
        <v>33115</v>
      </c>
      <c r="AQ133" s="31" t="s">
        <v>33116</v>
      </c>
      <c r="AR133" s="31" t="s">
        <v>33117</v>
      </c>
      <c r="AS133" s="31" t="str">
        <f>"CSF1"</f>
        <v>CSF1</v>
      </c>
      <c r="AT133" s="31" t="s">
        <v>13772</v>
      </c>
      <c r="AU133" s="31" t="s">
        <v>13777</v>
      </c>
      <c r="AV133" s="31">
        <v>9606</v>
      </c>
      <c r="AW133" s="50" t="str">
        <f>HYPERLINK("http://www.uniprot.org/uniprot/P09603", "P09603")</f>
        <v>P09603</v>
      </c>
      <c r="AX133" s="31" t="s">
        <v>33118</v>
      </c>
      <c r="AY133" s="31" t="s">
        <v>20696</v>
      </c>
      <c r="AZ133" s="31" t="s">
        <v>14336</v>
      </c>
      <c r="BA133" s="31" t="s">
        <v>13780</v>
      </c>
      <c r="BB133" s="31" t="s">
        <v>13772</v>
      </c>
      <c r="BC133" s="31" t="s">
        <v>13772</v>
      </c>
      <c r="BD133" s="31" t="s">
        <v>13855</v>
      </c>
      <c r="BE133" s="31" t="s">
        <v>13772</v>
      </c>
      <c r="BF133" s="31" t="s">
        <v>22745</v>
      </c>
      <c r="BG133" s="31" t="s">
        <v>15858</v>
      </c>
      <c r="BH133" s="31" t="s">
        <v>13812</v>
      </c>
      <c r="BI133" s="31" t="s">
        <v>33119</v>
      </c>
      <c r="BJ133" s="31" t="s">
        <v>33120</v>
      </c>
      <c r="BK133" s="31" t="s">
        <v>33121</v>
      </c>
      <c r="BL133" s="31" t="s">
        <v>13772</v>
      </c>
      <c r="BM133" s="31" t="s">
        <v>33122</v>
      </c>
    </row>
    <row r="134" spans="1:65">
      <c r="A134">
        <v>1961</v>
      </c>
      <c r="B134">
        <v>1</v>
      </c>
      <c r="C134">
        <v>129</v>
      </c>
      <c r="D134" t="s">
        <v>4624</v>
      </c>
      <c r="E134" t="s">
        <v>73</v>
      </c>
      <c r="F134" t="s">
        <v>73</v>
      </c>
      <c r="G134">
        <v>50.5</v>
      </c>
      <c r="H134">
        <v>184</v>
      </c>
      <c r="I134">
        <v>20137</v>
      </c>
      <c r="J134" t="s">
        <v>4625</v>
      </c>
      <c r="K134" s="3" t="s">
        <v>73</v>
      </c>
      <c r="L134">
        <v>334</v>
      </c>
      <c r="M134">
        <v>334</v>
      </c>
      <c r="N134">
        <v>1</v>
      </c>
      <c r="O134" s="11">
        <f t="shared" si="1"/>
        <v>19.68521614838404</v>
      </c>
      <c r="P134" s="36">
        <v>19.3862943333557</v>
      </c>
      <c r="Q134" s="36">
        <v>16.372090051516601</v>
      </c>
      <c r="R134" s="36">
        <v>36.8183462216819</v>
      </c>
      <c r="S134" s="36">
        <v>21.1669046281452</v>
      </c>
      <c r="T134" s="36">
        <v>20.644232638485398</v>
      </c>
      <c r="U134" s="36">
        <v>21.383726672708299</v>
      </c>
      <c r="V134" s="36">
        <v>31.621868485939199</v>
      </c>
      <c r="W134" s="36">
        <v>18.4904883616638</v>
      </c>
      <c r="X134" s="37">
        <v>15.8951658648991</v>
      </c>
      <c r="Y134" s="37">
        <v>21.4420879942017</v>
      </c>
      <c r="Z134" s="37">
        <v>6.4004347861387396</v>
      </c>
      <c r="AA134" s="37">
        <v>21.163676164998499</v>
      </c>
      <c r="AB134" s="37">
        <v>10.1067182239663</v>
      </c>
      <c r="AC134" s="37">
        <v>25.254098252323999</v>
      </c>
      <c r="AD134" s="37">
        <v>12.068320382899399</v>
      </c>
      <c r="AE134" s="37">
        <v>16.749005311220799</v>
      </c>
      <c r="AF134" s="45">
        <v>-0.496858458823699</v>
      </c>
      <c r="AG134" s="45">
        <v>-1.4400732985551601</v>
      </c>
      <c r="AH134" s="46">
        <v>0.11364511069012</v>
      </c>
      <c r="AI134" s="47">
        <v>0.15872354708077299</v>
      </c>
      <c r="AJ134" s="48">
        <v>23.235493924187001</v>
      </c>
      <c r="AK134" s="49">
        <v>16.1349383725811</v>
      </c>
      <c r="AL134" s="31" t="s">
        <v>5875</v>
      </c>
      <c r="AM134" s="31" t="s">
        <v>5832</v>
      </c>
      <c r="AN134" s="31" t="s">
        <v>32582</v>
      </c>
      <c r="AO134" s="31" t="s">
        <v>13772</v>
      </c>
      <c r="AP134" s="31" t="s">
        <v>32583</v>
      </c>
      <c r="AQ134" s="31" t="s">
        <v>32584</v>
      </c>
      <c r="AR134" s="31" t="s">
        <v>13772</v>
      </c>
      <c r="AS134" s="31" t="str">
        <f>"LCNL1"</f>
        <v>LCNL1</v>
      </c>
      <c r="AT134" s="31" t="s">
        <v>13772</v>
      </c>
      <c r="AU134" s="31" t="s">
        <v>13777</v>
      </c>
      <c r="AV134" s="31">
        <v>9606</v>
      </c>
      <c r="AW134" s="50" t="str">
        <f>HYPERLINK("http://www.uniprot.org/uniprot/Q6ZST4", "Q6ZST4")</f>
        <v>Q6ZST4</v>
      </c>
      <c r="AX134" s="31" t="s">
        <v>13793</v>
      </c>
      <c r="AY134" s="31" t="s">
        <v>13772</v>
      </c>
      <c r="AZ134" s="31" t="s">
        <v>13772</v>
      </c>
      <c r="BA134" s="31" t="s">
        <v>13793</v>
      </c>
      <c r="BB134" s="31" t="s">
        <v>13772</v>
      </c>
      <c r="BC134" s="31" t="s">
        <v>13772</v>
      </c>
      <c r="BD134" s="31" t="s">
        <v>13772</v>
      </c>
      <c r="BE134" s="31" t="s">
        <v>13772</v>
      </c>
      <c r="BF134" s="31" t="s">
        <v>13772</v>
      </c>
      <c r="BG134" s="31" t="s">
        <v>13772</v>
      </c>
      <c r="BH134" s="31" t="s">
        <v>13772</v>
      </c>
      <c r="BI134" s="31" t="s">
        <v>13772</v>
      </c>
      <c r="BJ134" s="31" t="s">
        <v>13772</v>
      </c>
      <c r="BK134" s="31" t="s">
        <v>32585</v>
      </c>
      <c r="BL134" s="31" t="s">
        <v>13772</v>
      </c>
      <c r="BM134" s="31" t="s">
        <v>13772</v>
      </c>
    </row>
    <row r="135" spans="1:65">
      <c r="A135">
        <v>430</v>
      </c>
      <c r="B135">
        <v>1</v>
      </c>
      <c r="C135">
        <v>130</v>
      </c>
      <c r="D135" t="s">
        <v>1077</v>
      </c>
      <c r="E135" t="s">
        <v>73</v>
      </c>
      <c r="F135" t="s">
        <v>73</v>
      </c>
      <c r="G135">
        <v>81.3</v>
      </c>
      <c r="H135">
        <v>187</v>
      </c>
      <c r="I135">
        <v>20969</v>
      </c>
      <c r="J135" t="s">
        <v>1079</v>
      </c>
      <c r="K135" s="3" t="s">
        <v>73</v>
      </c>
      <c r="L135">
        <v>328</v>
      </c>
      <c r="M135">
        <v>311</v>
      </c>
      <c r="N135">
        <v>0.94799999999999995</v>
      </c>
      <c r="O135" s="11">
        <f t="shared" ref="O135:O198" si="2">AVERAGE(P135:AE135)</f>
        <v>18.617028392435341</v>
      </c>
      <c r="P135" s="36">
        <v>12.116433958347301</v>
      </c>
      <c r="Q135" s="36">
        <v>8.6675770860970207</v>
      </c>
      <c r="R135" s="36">
        <v>6.4031906472490299</v>
      </c>
      <c r="S135" s="36">
        <v>3.0238435183064598</v>
      </c>
      <c r="T135" s="36">
        <v>12.9026453990534</v>
      </c>
      <c r="U135" s="36">
        <v>15.805363192871299</v>
      </c>
      <c r="V135" s="36">
        <v>8.4324982629171306</v>
      </c>
      <c r="W135" s="36">
        <v>35.034609527363003</v>
      </c>
      <c r="X135" s="37">
        <v>20.663715624368901</v>
      </c>
      <c r="Y135" s="37">
        <v>17.027540465983702</v>
      </c>
      <c r="Z135" s="37">
        <v>19.201304358416198</v>
      </c>
      <c r="AA135" s="37">
        <v>16.084393885398899</v>
      </c>
      <c r="AB135" s="37">
        <v>49.614798554016197</v>
      </c>
      <c r="AC135" s="37">
        <v>21.308145400398399</v>
      </c>
      <c r="AD135" s="37">
        <v>19.611020622211502</v>
      </c>
      <c r="AE135" s="37">
        <v>31.975373775967</v>
      </c>
      <c r="AF135" s="45">
        <v>0.89198245268229603</v>
      </c>
      <c r="AG135" s="45">
        <v>1.90930385168033</v>
      </c>
      <c r="AH135" s="46">
        <v>2.8525841813728098E-2</v>
      </c>
      <c r="AI135" s="47">
        <v>4.6888914430919103E-2</v>
      </c>
      <c r="AJ135" s="48">
        <v>12.7982701990256</v>
      </c>
      <c r="AK135" s="49">
        <v>24.435786585845101</v>
      </c>
      <c r="AL135" s="31" t="s">
        <v>5874</v>
      </c>
      <c r="AM135" s="31" t="s">
        <v>5878</v>
      </c>
      <c r="AN135" s="31" t="s">
        <v>17946</v>
      </c>
      <c r="AO135" s="31" t="s">
        <v>17947</v>
      </c>
      <c r="AP135" s="31" t="s">
        <v>17948</v>
      </c>
      <c r="AQ135" s="31" t="s">
        <v>17949</v>
      </c>
      <c r="AR135" s="31" t="s">
        <v>17950</v>
      </c>
      <c r="AS135" s="31" t="str">
        <f>"PEBP1"</f>
        <v>PEBP1</v>
      </c>
      <c r="AT135" s="31" t="s">
        <v>17951</v>
      </c>
      <c r="AU135" s="31" t="s">
        <v>13777</v>
      </c>
      <c r="AV135" s="31">
        <v>9606</v>
      </c>
      <c r="AW135" s="50" t="str">
        <f>HYPERLINK("http://www.uniprot.org/uniprot/P30086", "P30086")</f>
        <v>P30086</v>
      </c>
      <c r="AX135" s="31" t="s">
        <v>17952</v>
      </c>
      <c r="AY135" s="31" t="s">
        <v>13772</v>
      </c>
      <c r="AZ135" s="31" t="s">
        <v>13899</v>
      </c>
      <c r="BA135" s="31" t="s">
        <v>13772</v>
      </c>
      <c r="BB135" s="31" t="s">
        <v>13772</v>
      </c>
      <c r="BC135" s="31" t="s">
        <v>13772</v>
      </c>
      <c r="BD135" s="31" t="s">
        <v>13772</v>
      </c>
      <c r="BE135" s="31" t="s">
        <v>17953</v>
      </c>
      <c r="BF135" s="31" t="s">
        <v>14375</v>
      </c>
      <c r="BG135" s="31" t="s">
        <v>15554</v>
      </c>
      <c r="BH135" s="31" t="s">
        <v>13812</v>
      </c>
      <c r="BI135" s="31" t="s">
        <v>17954</v>
      </c>
      <c r="BJ135" s="31" t="s">
        <v>14135</v>
      </c>
      <c r="BK135" s="31" t="s">
        <v>17955</v>
      </c>
      <c r="BL135" s="31" t="s">
        <v>13772</v>
      </c>
      <c r="BM135" s="31" t="s">
        <v>17956</v>
      </c>
    </row>
    <row r="136" spans="1:65">
      <c r="A136">
        <v>1456</v>
      </c>
      <c r="B136">
        <v>1</v>
      </c>
      <c r="C136">
        <v>131</v>
      </c>
      <c r="D136" t="s">
        <v>3466</v>
      </c>
      <c r="E136" t="s">
        <v>73</v>
      </c>
      <c r="F136" t="s">
        <v>73</v>
      </c>
      <c r="G136">
        <v>70.900000000000006</v>
      </c>
      <c r="H136">
        <v>378</v>
      </c>
      <c r="I136">
        <v>42773</v>
      </c>
      <c r="J136" t="s">
        <v>3467</v>
      </c>
      <c r="K136" s="3" t="s">
        <v>73</v>
      </c>
      <c r="L136">
        <v>325</v>
      </c>
      <c r="M136">
        <v>321</v>
      </c>
      <c r="N136">
        <v>0.98799999999999999</v>
      </c>
      <c r="O136" s="11">
        <f t="shared" si="2"/>
        <v>17.39626543285906</v>
      </c>
      <c r="P136" s="36">
        <v>14.5397207500168</v>
      </c>
      <c r="Q136" s="36">
        <v>0.24076603016936199</v>
      </c>
      <c r="R136" s="36">
        <v>0.40019941545306398</v>
      </c>
      <c r="S136" s="36">
        <v>0.37798043978830698</v>
      </c>
      <c r="T136" s="36">
        <v>0.215044089984223</v>
      </c>
      <c r="U136" s="36">
        <v>2.7891817399184702</v>
      </c>
      <c r="V136" s="36">
        <v>12.6487473943757</v>
      </c>
      <c r="W136" s="36">
        <v>54.498281487009102</v>
      </c>
      <c r="X136" s="37">
        <v>18.279440744634002</v>
      </c>
      <c r="Y136" s="37">
        <v>33.992015967278597</v>
      </c>
      <c r="Z136" s="37">
        <v>23.201576099752899</v>
      </c>
      <c r="AA136" s="37">
        <v>27.0895054911981</v>
      </c>
      <c r="AB136" s="37">
        <v>11.944303355596499</v>
      </c>
      <c r="AC136" s="37">
        <v>25.254098252323999</v>
      </c>
      <c r="AD136" s="37">
        <v>45.256201435872697</v>
      </c>
      <c r="AE136" s="37">
        <v>7.6131842323730803</v>
      </c>
      <c r="AF136" s="45">
        <v>1.1469156260437801</v>
      </c>
      <c r="AG136" s="45">
        <v>2.2474682341592498</v>
      </c>
      <c r="AH136" s="46">
        <v>0.137764369582145</v>
      </c>
      <c r="AI136" s="47">
        <v>0.18847518047127901</v>
      </c>
      <c r="AJ136" s="48">
        <v>10.713740168339401</v>
      </c>
      <c r="AK136" s="49">
        <v>24.0787906973787</v>
      </c>
      <c r="AL136" s="31" t="s">
        <v>5874</v>
      </c>
      <c r="AM136" s="31" t="s">
        <v>5832</v>
      </c>
      <c r="AN136" s="31" t="s">
        <v>27778</v>
      </c>
      <c r="AO136" s="31" t="s">
        <v>27779</v>
      </c>
      <c r="AP136" s="31" t="s">
        <v>27780</v>
      </c>
      <c r="AQ136" s="31" t="s">
        <v>27781</v>
      </c>
      <c r="AR136" s="31" t="s">
        <v>27782</v>
      </c>
      <c r="AS136" s="31" t="str">
        <f>"SERPINB1"</f>
        <v>SERPINB1</v>
      </c>
      <c r="AT136" s="31" t="s">
        <v>27783</v>
      </c>
      <c r="AU136" s="31" t="s">
        <v>13777</v>
      </c>
      <c r="AV136" s="31">
        <v>9606</v>
      </c>
      <c r="AW136" s="50" t="str">
        <f>HYPERLINK("http://www.uniprot.org/uniprot/P30740", "P30740")</f>
        <v>P30740</v>
      </c>
      <c r="AX136" s="31" t="s">
        <v>27784</v>
      </c>
      <c r="AY136" s="31" t="s">
        <v>13772</v>
      </c>
      <c r="AZ136" s="31" t="s">
        <v>16449</v>
      </c>
      <c r="BA136" s="31" t="s">
        <v>13780</v>
      </c>
      <c r="BB136" s="31" t="s">
        <v>13772</v>
      </c>
      <c r="BC136" s="31" t="s">
        <v>13772</v>
      </c>
      <c r="BD136" s="31" t="s">
        <v>13772</v>
      </c>
      <c r="BE136" s="31" t="s">
        <v>13772</v>
      </c>
      <c r="BF136" s="31" t="s">
        <v>14375</v>
      </c>
      <c r="BG136" s="31" t="s">
        <v>13886</v>
      </c>
      <c r="BH136" s="31" t="s">
        <v>13812</v>
      </c>
      <c r="BI136" s="31" t="s">
        <v>27785</v>
      </c>
      <c r="BJ136" s="31" t="s">
        <v>27786</v>
      </c>
      <c r="BK136" s="31" t="s">
        <v>27787</v>
      </c>
      <c r="BL136" s="31" t="s">
        <v>13772</v>
      </c>
      <c r="BM136" s="31" t="s">
        <v>13890</v>
      </c>
    </row>
    <row r="137" spans="1:65">
      <c r="A137">
        <v>1897</v>
      </c>
      <c r="B137">
        <v>1</v>
      </c>
      <c r="C137">
        <v>132</v>
      </c>
      <c r="D137" t="s">
        <v>4475</v>
      </c>
      <c r="E137" t="s">
        <v>73</v>
      </c>
      <c r="F137" t="s">
        <v>73</v>
      </c>
      <c r="G137">
        <v>71.3</v>
      </c>
      <c r="H137">
        <v>129</v>
      </c>
      <c r="I137">
        <v>14472</v>
      </c>
      <c r="J137" t="s">
        <v>1546</v>
      </c>
      <c r="K137" s="3" t="s">
        <v>73</v>
      </c>
      <c r="L137">
        <v>574</v>
      </c>
      <c r="M137">
        <v>93</v>
      </c>
      <c r="N137">
        <v>0.16200000000000001</v>
      </c>
      <c r="O137" s="11">
        <f t="shared" si="2"/>
        <v>12.767660383895208</v>
      </c>
      <c r="P137" s="36">
        <v>39.499574704212201</v>
      </c>
      <c r="Q137" s="36">
        <v>0.24076603016936199</v>
      </c>
      <c r="R137" s="36">
        <v>0.48023929854367697</v>
      </c>
      <c r="S137" s="36">
        <v>0.37798043978830698</v>
      </c>
      <c r="T137" s="36">
        <v>0.215044089984223</v>
      </c>
      <c r="U137" s="36">
        <v>0.23243181165987301</v>
      </c>
      <c r="V137" s="36">
        <v>0.21081245657292799</v>
      </c>
      <c r="W137" s="36">
        <v>0.24329589949557701</v>
      </c>
      <c r="X137" s="37">
        <v>78.919498519224305</v>
      </c>
      <c r="Y137" s="37">
        <v>21.2528931001352</v>
      </c>
      <c r="Z137" s="37">
        <v>5.7603913075248698</v>
      </c>
      <c r="AA137" s="37">
        <v>9.5659816265793296</v>
      </c>
      <c r="AB137" s="37">
        <v>14.2412847701343</v>
      </c>
      <c r="AC137" s="37">
        <v>0.6313524563081</v>
      </c>
      <c r="AD137" s="37">
        <v>2.2628100717936301</v>
      </c>
      <c r="AE137" s="37">
        <v>30.148209560197401</v>
      </c>
      <c r="AF137" s="45">
        <v>1.95854542012734</v>
      </c>
      <c r="AG137" s="45">
        <v>3.9224543063473201</v>
      </c>
      <c r="AH137" s="46">
        <v>7.0773148893829699E-2</v>
      </c>
      <c r="AI137" s="47">
        <v>0.104982786274883</v>
      </c>
      <c r="AJ137" s="48">
        <v>5.1875180913032697</v>
      </c>
      <c r="AK137" s="49">
        <v>20.347802676487099</v>
      </c>
      <c r="AL137" s="31" t="s">
        <v>5874</v>
      </c>
      <c r="AM137" s="31" t="s">
        <v>5832</v>
      </c>
      <c r="AN137" s="31" t="s">
        <v>19672</v>
      </c>
      <c r="AO137" s="31" t="s">
        <v>19673</v>
      </c>
      <c r="AP137" s="31" t="s">
        <v>19674</v>
      </c>
      <c r="AQ137" s="31" t="s">
        <v>19675</v>
      </c>
      <c r="AR137" s="31" t="s">
        <v>19676</v>
      </c>
      <c r="AS137" s="31" t="str">
        <f>"SAA1"</f>
        <v>SAA1</v>
      </c>
      <c r="AT137" s="31" t="s">
        <v>13772</v>
      </c>
      <c r="AU137" s="31" t="s">
        <v>13777</v>
      </c>
      <c r="AV137" s="31">
        <v>9606</v>
      </c>
      <c r="AW137" s="50" t="str">
        <f>HYPERLINK("http://www.uniprot.org/uniprot/P0DJI8", "P0DJI8")</f>
        <v>P0DJI8</v>
      </c>
      <c r="AX137" s="31" t="s">
        <v>19677</v>
      </c>
      <c r="AY137" s="31" t="s">
        <v>14374</v>
      </c>
      <c r="AZ137" s="31" t="s">
        <v>19678</v>
      </c>
      <c r="BA137" s="31" t="s">
        <v>13793</v>
      </c>
      <c r="BB137" s="31" t="s">
        <v>13772</v>
      </c>
      <c r="BC137" s="31" t="s">
        <v>19679</v>
      </c>
      <c r="BD137" s="31" t="s">
        <v>13808</v>
      </c>
      <c r="BE137" s="31" t="s">
        <v>13772</v>
      </c>
      <c r="BF137" s="31" t="s">
        <v>14073</v>
      </c>
      <c r="BG137" s="31" t="s">
        <v>17914</v>
      </c>
      <c r="BH137" s="31" t="s">
        <v>13812</v>
      </c>
      <c r="BI137" s="31" t="s">
        <v>19680</v>
      </c>
      <c r="BJ137" s="31" t="s">
        <v>19681</v>
      </c>
      <c r="BK137" s="31" t="s">
        <v>19682</v>
      </c>
      <c r="BL137" s="31" t="s">
        <v>13772</v>
      </c>
      <c r="BM137" s="31" t="s">
        <v>19683</v>
      </c>
    </row>
    <row r="138" spans="1:65">
      <c r="A138">
        <v>2211</v>
      </c>
      <c r="B138">
        <v>1</v>
      </c>
      <c r="C138">
        <v>133</v>
      </c>
      <c r="D138" t="s">
        <v>5172</v>
      </c>
      <c r="E138" t="s">
        <v>73</v>
      </c>
      <c r="F138" t="s">
        <v>73</v>
      </c>
      <c r="G138">
        <v>64.400000000000006</v>
      </c>
      <c r="H138">
        <v>101</v>
      </c>
      <c r="I138">
        <v>10582</v>
      </c>
      <c r="J138" t="s">
        <v>5173</v>
      </c>
      <c r="K138" s="3" t="s">
        <v>73</v>
      </c>
      <c r="L138">
        <v>318</v>
      </c>
      <c r="M138">
        <v>318</v>
      </c>
      <c r="N138">
        <v>1</v>
      </c>
      <c r="O138" s="11">
        <f t="shared" si="2"/>
        <v>17.917088751939815</v>
      </c>
      <c r="P138" s="36">
        <v>19.3862943333557</v>
      </c>
      <c r="Q138" s="36">
        <v>7.7045129654195703</v>
      </c>
      <c r="R138" s="36">
        <v>12.806381294498101</v>
      </c>
      <c r="S138" s="36">
        <v>12.0953740732258</v>
      </c>
      <c r="T138" s="36">
        <v>7.7415872394320298</v>
      </c>
      <c r="U138" s="36">
        <v>5.5783634798369501</v>
      </c>
      <c r="V138" s="36">
        <v>6.3243736971878404</v>
      </c>
      <c r="W138" s="36">
        <v>1.9463671959646101</v>
      </c>
      <c r="X138" s="37">
        <v>73.912521271781003</v>
      </c>
      <c r="Y138" s="37">
        <v>17.027540465983702</v>
      </c>
      <c r="Z138" s="37">
        <v>20.0013587066836</v>
      </c>
      <c r="AA138" s="37">
        <v>11.8516586523992</v>
      </c>
      <c r="AB138" s="37">
        <v>22.9698141453778</v>
      </c>
      <c r="AC138" s="37">
        <v>17.362192548472699</v>
      </c>
      <c r="AD138" s="37">
        <v>30.170800957248499</v>
      </c>
      <c r="AE138" s="37">
        <v>19.794279004170001</v>
      </c>
      <c r="AF138" s="45">
        <v>1.55391073518711</v>
      </c>
      <c r="AG138" s="45">
        <v>2.8959057035502802</v>
      </c>
      <c r="AH138" s="46">
        <v>7.7450526059197702E-4</v>
      </c>
      <c r="AI138" s="47">
        <v>1.79288588005548E-3</v>
      </c>
      <c r="AJ138" s="48">
        <v>9.1979067848650704</v>
      </c>
      <c r="AK138" s="49">
        <v>26.6362707190146</v>
      </c>
      <c r="AL138" s="31" t="s">
        <v>5874</v>
      </c>
      <c r="AM138" s="31" t="s">
        <v>5876</v>
      </c>
      <c r="AN138" s="31" t="s">
        <v>34888</v>
      </c>
      <c r="AO138" s="31" t="s">
        <v>34889</v>
      </c>
      <c r="AP138" s="31" t="s">
        <v>34890</v>
      </c>
      <c r="AQ138" s="31" t="s">
        <v>34891</v>
      </c>
      <c r="AR138" s="31" t="s">
        <v>34892</v>
      </c>
      <c r="AS138" s="31" t="str">
        <f>"PI3"</f>
        <v>PI3</v>
      </c>
      <c r="AT138" s="31" t="s">
        <v>34893</v>
      </c>
      <c r="AU138" s="31" t="s">
        <v>13777</v>
      </c>
      <c r="AV138" s="31">
        <v>9606</v>
      </c>
      <c r="AW138" s="50" t="str">
        <f>HYPERLINK("http://www.uniprot.org/uniprot/P19957", "P19957")</f>
        <v>P19957</v>
      </c>
      <c r="AX138" s="31" t="s">
        <v>34894</v>
      </c>
      <c r="AY138" s="31" t="s">
        <v>13772</v>
      </c>
      <c r="AZ138" s="31" t="s">
        <v>14321</v>
      </c>
      <c r="BA138" s="31" t="s">
        <v>13793</v>
      </c>
      <c r="BB138" s="31" t="s">
        <v>13772</v>
      </c>
      <c r="BC138" s="31" t="s">
        <v>13772</v>
      </c>
      <c r="BD138" s="31" t="s">
        <v>14404</v>
      </c>
      <c r="BE138" s="31" t="s">
        <v>13772</v>
      </c>
      <c r="BF138" s="31" t="s">
        <v>14375</v>
      </c>
      <c r="BG138" s="31" t="s">
        <v>14506</v>
      </c>
      <c r="BH138" s="31" t="s">
        <v>13812</v>
      </c>
      <c r="BI138" s="31" t="s">
        <v>34895</v>
      </c>
      <c r="BJ138" s="31" t="s">
        <v>34896</v>
      </c>
      <c r="BK138" s="31" t="s">
        <v>34897</v>
      </c>
      <c r="BL138" s="31" t="s">
        <v>13772</v>
      </c>
      <c r="BM138" s="31" t="s">
        <v>34898</v>
      </c>
    </row>
    <row r="139" spans="1:65">
      <c r="A139">
        <v>190</v>
      </c>
      <c r="B139">
        <v>1</v>
      </c>
      <c r="C139">
        <v>134</v>
      </c>
      <c r="D139" t="s">
        <v>479</v>
      </c>
      <c r="E139" t="s">
        <v>73</v>
      </c>
      <c r="F139" t="s">
        <v>73</v>
      </c>
      <c r="G139">
        <v>74.7</v>
      </c>
      <c r="H139">
        <v>146</v>
      </c>
      <c r="I139">
        <v>16381</v>
      </c>
      <c r="J139" t="s">
        <v>480</v>
      </c>
      <c r="K139" s="3" t="s">
        <v>73</v>
      </c>
      <c r="L139">
        <v>313</v>
      </c>
      <c r="M139">
        <v>313</v>
      </c>
      <c r="N139">
        <v>1</v>
      </c>
      <c r="O139" s="11">
        <f t="shared" si="2"/>
        <v>16.338038191910407</v>
      </c>
      <c r="P139" s="36">
        <v>2.4232867916694598</v>
      </c>
      <c r="Q139" s="36">
        <v>0.96306412067744696</v>
      </c>
      <c r="R139" s="36">
        <v>0.40019941545306398</v>
      </c>
      <c r="S139" s="36">
        <v>3.0238435183064598</v>
      </c>
      <c r="T139" s="36">
        <v>3.4407054397475698</v>
      </c>
      <c r="U139" s="36">
        <v>0.23243181165987301</v>
      </c>
      <c r="V139" s="36">
        <v>2.10812456572928</v>
      </c>
      <c r="W139" s="36">
        <v>0.97318359798230603</v>
      </c>
      <c r="X139" s="37">
        <v>43.711706128472599</v>
      </c>
      <c r="Y139" s="37">
        <v>39.730927753962</v>
      </c>
      <c r="Z139" s="37">
        <v>24.801684796287599</v>
      </c>
      <c r="AA139" s="37">
        <v>38.094617096997297</v>
      </c>
      <c r="AB139" s="37">
        <v>23.888606711192999</v>
      </c>
      <c r="AC139" s="37">
        <v>24.4649076819389</v>
      </c>
      <c r="AD139" s="37">
        <v>15.0854004786242</v>
      </c>
      <c r="AE139" s="37">
        <v>38.065921161865397</v>
      </c>
      <c r="AF139" s="45">
        <v>4.1033830798479896</v>
      </c>
      <c r="AG139" s="45">
        <v>18.271043765169601</v>
      </c>
      <c r="AH139" s="46">
        <v>1.5571851517659601E-20</v>
      </c>
      <c r="AI139" s="47">
        <v>5.2087843326571499E-18</v>
      </c>
      <c r="AJ139" s="48">
        <v>1.6956049076531801</v>
      </c>
      <c r="AK139" s="49">
        <v>30.980471476167601</v>
      </c>
      <c r="AL139" s="31" t="s">
        <v>5874</v>
      </c>
      <c r="AM139" s="31" t="s">
        <v>5876</v>
      </c>
      <c r="AN139" s="31" t="s">
        <v>15348</v>
      </c>
      <c r="AO139" s="31" t="s">
        <v>15349</v>
      </c>
      <c r="AP139" s="31" t="s">
        <v>15350</v>
      </c>
      <c r="AQ139" s="31" t="s">
        <v>15351</v>
      </c>
      <c r="AR139" s="31" t="s">
        <v>15352</v>
      </c>
      <c r="AS139" s="31" t="str">
        <f>"ANG"</f>
        <v>ANG</v>
      </c>
      <c r="AT139" s="31" t="s">
        <v>15353</v>
      </c>
      <c r="AU139" s="31" t="s">
        <v>13777</v>
      </c>
      <c r="AV139" s="31">
        <v>9606</v>
      </c>
      <c r="AW139" s="50" t="str">
        <f>HYPERLINK("http://www.uniprot.org/uniprot/P03950", "P03950")</f>
        <v>P03950</v>
      </c>
      <c r="AX139" s="31" t="s">
        <v>15354</v>
      </c>
      <c r="AY139" s="31" t="s">
        <v>15355</v>
      </c>
      <c r="AZ139" s="31" t="s">
        <v>15356</v>
      </c>
      <c r="BA139" s="31" t="s">
        <v>13793</v>
      </c>
      <c r="BB139" s="31" t="s">
        <v>13772</v>
      </c>
      <c r="BC139" s="31" t="s">
        <v>13989</v>
      </c>
      <c r="BD139" s="31" t="s">
        <v>13808</v>
      </c>
      <c r="BE139" s="31" t="s">
        <v>13772</v>
      </c>
      <c r="BF139" s="31" t="s">
        <v>15357</v>
      </c>
      <c r="BG139" s="31" t="s">
        <v>15344</v>
      </c>
      <c r="BH139" s="31" t="s">
        <v>13812</v>
      </c>
      <c r="BI139" s="31" t="s">
        <v>15358</v>
      </c>
      <c r="BJ139" s="31" t="s">
        <v>15359</v>
      </c>
      <c r="BK139" s="31" t="s">
        <v>15360</v>
      </c>
      <c r="BL139" s="31" t="s">
        <v>13772</v>
      </c>
      <c r="BM139" s="31" t="s">
        <v>15361</v>
      </c>
    </row>
    <row r="140" spans="1:65">
      <c r="A140">
        <v>231</v>
      </c>
      <c r="B140">
        <v>1</v>
      </c>
      <c r="C140">
        <v>135</v>
      </c>
      <c r="D140" t="s">
        <v>585</v>
      </c>
      <c r="E140" t="s">
        <v>73</v>
      </c>
      <c r="F140" t="s">
        <v>73</v>
      </c>
      <c r="G140">
        <v>76.2</v>
      </c>
      <c r="H140">
        <v>189</v>
      </c>
      <c r="I140">
        <v>19993</v>
      </c>
      <c r="J140" t="s">
        <v>586</v>
      </c>
      <c r="K140" s="3" t="s">
        <v>73</v>
      </c>
      <c r="L140">
        <v>312</v>
      </c>
      <c r="M140">
        <v>312</v>
      </c>
      <c r="N140">
        <v>1</v>
      </c>
      <c r="O140" s="11">
        <f t="shared" si="2"/>
        <v>17.5817193841897</v>
      </c>
      <c r="P140" s="36">
        <v>14.5397207500168</v>
      </c>
      <c r="Q140" s="36">
        <v>10.5937053274519</v>
      </c>
      <c r="R140" s="36">
        <v>6.4031906472490299</v>
      </c>
      <c r="S140" s="36">
        <v>3.0238435183064598</v>
      </c>
      <c r="T140" s="36">
        <v>16.343350838801001</v>
      </c>
      <c r="U140" s="36">
        <v>10.226999713034401</v>
      </c>
      <c r="V140" s="36">
        <v>9.4865605457817708</v>
      </c>
      <c r="W140" s="36">
        <v>72.015586250690603</v>
      </c>
      <c r="X140" s="37">
        <v>36.558881489268003</v>
      </c>
      <c r="Y140" s="37">
        <v>14.5049418784306</v>
      </c>
      <c r="Z140" s="37">
        <v>9.6006521792081099</v>
      </c>
      <c r="AA140" s="37">
        <v>12.6982056989991</v>
      </c>
      <c r="AB140" s="37">
        <v>32.157739803528997</v>
      </c>
      <c r="AC140" s="37">
        <v>13.4162396965471</v>
      </c>
      <c r="AD140" s="37">
        <v>6.0341601914496898</v>
      </c>
      <c r="AE140" s="37">
        <v>13.7037316182716</v>
      </c>
      <c r="AF140" s="45">
        <v>-4.7134345304332401E-2</v>
      </c>
      <c r="AG140" s="45">
        <v>-1.0285445668486199</v>
      </c>
      <c r="AH140" s="46">
        <v>0.95369550097357003</v>
      </c>
      <c r="AI140" s="47">
        <v>0.97111459688176305</v>
      </c>
      <c r="AJ140" s="48">
        <v>17.8291196989165</v>
      </c>
      <c r="AK140" s="49">
        <v>17.3343190694629</v>
      </c>
      <c r="AL140" s="31" t="s">
        <v>5875</v>
      </c>
      <c r="AM140" s="31" t="s">
        <v>5832</v>
      </c>
      <c r="AN140" s="31" t="s">
        <v>15799</v>
      </c>
      <c r="AO140" s="31" t="s">
        <v>15800</v>
      </c>
      <c r="AP140" s="31" t="s">
        <v>15801</v>
      </c>
      <c r="AQ140" s="31" t="s">
        <v>15802</v>
      </c>
      <c r="AR140" s="31" t="s">
        <v>15803</v>
      </c>
      <c r="AS140" s="31" t="str">
        <f>"PARK7"</f>
        <v>PARK7</v>
      </c>
      <c r="AT140" s="31" t="s">
        <v>13772</v>
      </c>
      <c r="AU140" s="31" t="s">
        <v>13777</v>
      </c>
      <c r="AV140" s="31">
        <v>9606</v>
      </c>
      <c r="AW140" s="50" t="str">
        <f>HYPERLINK("http://www.uniprot.org/uniprot/Q99497", "Q99497")</f>
        <v>Q99497</v>
      </c>
      <c r="AX140" s="31" t="s">
        <v>15804</v>
      </c>
      <c r="AY140" s="31" t="s">
        <v>15805</v>
      </c>
      <c r="AZ140" s="31" t="s">
        <v>15806</v>
      </c>
      <c r="BA140" s="31" t="s">
        <v>13793</v>
      </c>
      <c r="BB140" s="31" t="s">
        <v>13772</v>
      </c>
      <c r="BC140" s="31" t="s">
        <v>15807</v>
      </c>
      <c r="BD140" s="31" t="s">
        <v>13772</v>
      </c>
      <c r="BE140" s="31" t="s">
        <v>15808</v>
      </c>
      <c r="BF140" s="31" t="s">
        <v>15809</v>
      </c>
      <c r="BG140" s="31" t="s">
        <v>15810</v>
      </c>
      <c r="BH140" s="31" t="s">
        <v>13812</v>
      </c>
      <c r="BI140" s="31" t="s">
        <v>15811</v>
      </c>
      <c r="BJ140" s="31" t="s">
        <v>15812</v>
      </c>
      <c r="BK140" s="31" t="s">
        <v>15813</v>
      </c>
      <c r="BL140" s="31" t="s">
        <v>13772</v>
      </c>
      <c r="BM140" s="31" t="s">
        <v>15814</v>
      </c>
    </row>
    <row r="141" spans="1:65">
      <c r="A141">
        <v>1733</v>
      </c>
      <c r="B141">
        <v>1</v>
      </c>
      <c r="C141">
        <v>136</v>
      </c>
      <c r="D141" t="s">
        <v>4099</v>
      </c>
      <c r="E141" t="s">
        <v>73</v>
      </c>
      <c r="F141" t="s">
        <v>73</v>
      </c>
      <c r="G141">
        <v>64.7</v>
      </c>
      <c r="H141">
        <v>665</v>
      </c>
      <c r="I141">
        <v>74124</v>
      </c>
      <c r="J141" t="s">
        <v>4100</v>
      </c>
      <c r="K141" s="3" t="s">
        <v>73</v>
      </c>
      <c r="L141">
        <v>311</v>
      </c>
      <c r="M141">
        <v>311</v>
      </c>
      <c r="N141">
        <v>1</v>
      </c>
      <c r="O141" s="11">
        <f t="shared" si="2"/>
        <v>17.001697855461341</v>
      </c>
      <c r="P141" s="36">
        <v>8.4815037708430996</v>
      </c>
      <c r="Q141" s="36">
        <v>5.7783847240646802</v>
      </c>
      <c r="R141" s="36">
        <v>4.8023929854367697</v>
      </c>
      <c r="S141" s="36">
        <v>18.143061109838801</v>
      </c>
      <c r="T141" s="36">
        <v>17.203527198737799</v>
      </c>
      <c r="U141" s="36">
        <v>11.1567269596739</v>
      </c>
      <c r="V141" s="36">
        <v>6.3243736971878404</v>
      </c>
      <c r="W141" s="36">
        <v>15.5709375677169</v>
      </c>
      <c r="X141" s="37">
        <v>26.227023677083601</v>
      </c>
      <c r="Y141" s="37">
        <v>25.856635522419701</v>
      </c>
      <c r="Z141" s="37">
        <v>29.602010885891701</v>
      </c>
      <c r="AA141" s="37">
        <v>24.549864351398298</v>
      </c>
      <c r="AB141" s="37">
        <v>25.726191842823201</v>
      </c>
      <c r="AC141" s="37">
        <v>26.8324793930942</v>
      </c>
      <c r="AD141" s="37">
        <v>12.068320382899399</v>
      </c>
      <c r="AE141" s="37">
        <v>13.7037316182716</v>
      </c>
      <c r="AF141" s="45">
        <v>1.0824638363483601</v>
      </c>
      <c r="AG141" s="45">
        <v>2.1102714557387601</v>
      </c>
      <c r="AH141" s="46">
        <v>1.70850713474654E-3</v>
      </c>
      <c r="AI141" s="47">
        <v>3.6990008839658099E-3</v>
      </c>
      <c r="AJ141" s="48">
        <v>10.9326135016875</v>
      </c>
      <c r="AK141" s="49">
        <v>23.070782209235201</v>
      </c>
      <c r="AL141" s="31" t="s">
        <v>5874</v>
      </c>
      <c r="AM141" s="31" t="s">
        <v>5876</v>
      </c>
      <c r="AN141" s="31" t="s">
        <v>30411</v>
      </c>
      <c r="AO141" s="31" t="s">
        <v>30412</v>
      </c>
      <c r="AP141" s="31" t="s">
        <v>30413</v>
      </c>
      <c r="AQ141" s="31" t="s">
        <v>30414</v>
      </c>
      <c r="AR141" s="31" t="s">
        <v>30415</v>
      </c>
      <c r="AS141" s="31" t="str">
        <f>"LMNA"</f>
        <v>LMNA</v>
      </c>
      <c r="AT141" s="31" t="s">
        <v>30416</v>
      </c>
      <c r="AU141" s="31" t="s">
        <v>13777</v>
      </c>
      <c r="AV141" s="31">
        <v>9606</v>
      </c>
      <c r="AW141" s="50" t="str">
        <f>HYPERLINK("http://www.uniprot.org/uniprot/P02545", "P02545")</f>
        <v>P02545</v>
      </c>
      <c r="AX141" s="31" t="s">
        <v>30417</v>
      </c>
      <c r="AY141" s="31" t="s">
        <v>13772</v>
      </c>
      <c r="AZ141" s="31" t="s">
        <v>30418</v>
      </c>
      <c r="BA141" s="31" t="s">
        <v>13780</v>
      </c>
      <c r="BB141" s="31" t="s">
        <v>13772</v>
      </c>
      <c r="BC141" s="31" t="s">
        <v>30419</v>
      </c>
      <c r="BD141" s="31" t="s">
        <v>14245</v>
      </c>
      <c r="BE141" s="31" t="s">
        <v>13772</v>
      </c>
      <c r="BF141" s="31" t="s">
        <v>13772</v>
      </c>
      <c r="BG141" s="31" t="s">
        <v>20601</v>
      </c>
      <c r="BH141" s="31" t="s">
        <v>13812</v>
      </c>
      <c r="BI141" s="31" t="s">
        <v>30420</v>
      </c>
      <c r="BJ141" s="31" t="s">
        <v>30421</v>
      </c>
      <c r="BK141" s="31" t="s">
        <v>30422</v>
      </c>
      <c r="BL141" s="31" t="s">
        <v>13772</v>
      </c>
      <c r="BM141" s="31" t="s">
        <v>30423</v>
      </c>
    </row>
    <row r="142" spans="1:65">
      <c r="A142">
        <v>1442</v>
      </c>
      <c r="B142">
        <v>1</v>
      </c>
      <c r="C142">
        <v>137</v>
      </c>
      <c r="D142" t="s">
        <v>3435</v>
      </c>
      <c r="E142" t="s">
        <v>73</v>
      </c>
      <c r="F142" t="s">
        <v>73</v>
      </c>
      <c r="G142">
        <v>46.8</v>
      </c>
      <c r="H142">
        <v>735</v>
      </c>
      <c r="I142">
        <v>80872</v>
      </c>
      <c r="J142" t="s">
        <v>3436</v>
      </c>
      <c r="K142" s="3" t="s">
        <v>73</v>
      </c>
      <c r="L142">
        <v>306</v>
      </c>
      <c r="M142">
        <v>306</v>
      </c>
      <c r="N142">
        <v>1</v>
      </c>
      <c r="O142" s="11">
        <f t="shared" si="2"/>
        <v>17.270746906256822</v>
      </c>
      <c r="P142" s="36">
        <v>27.867798104198801</v>
      </c>
      <c r="Q142" s="36">
        <v>8.6675770860970207</v>
      </c>
      <c r="R142" s="36">
        <v>19.2095719417471</v>
      </c>
      <c r="S142" s="36">
        <v>0.37798043978830698</v>
      </c>
      <c r="T142" s="36">
        <v>12.042469039116501</v>
      </c>
      <c r="U142" s="36">
        <v>25.102635659266301</v>
      </c>
      <c r="V142" s="36">
        <v>44.270615880314899</v>
      </c>
      <c r="W142" s="36">
        <v>45.739629105168397</v>
      </c>
      <c r="X142" s="37">
        <v>11.126616105429401</v>
      </c>
      <c r="Y142" s="37">
        <v>10.7210439971009</v>
      </c>
      <c r="Z142" s="37">
        <v>13.600923920544799</v>
      </c>
      <c r="AA142" s="37">
        <v>7.6189234193994704</v>
      </c>
      <c r="AB142" s="37">
        <v>10.1067182239663</v>
      </c>
      <c r="AC142" s="37">
        <v>12.627049126161999</v>
      </c>
      <c r="AD142" s="37">
        <v>16.593940526486598</v>
      </c>
      <c r="AE142" s="37">
        <v>10.658457925322301</v>
      </c>
      <c r="AF142" s="45">
        <v>-0.98603342805608296</v>
      </c>
      <c r="AG142" s="45">
        <v>-1.96959744699497</v>
      </c>
      <c r="AH142" s="46">
        <v>3.8774372699359301E-2</v>
      </c>
      <c r="AI142" s="47">
        <v>6.17620365139794E-2</v>
      </c>
      <c r="AJ142" s="48">
        <v>22.909784656962199</v>
      </c>
      <c r="AK142" s="49">
        <v>11.6317091555515</v>
      </c>
      <c r="AL142" s="31" t="s">
        <v>5875</v>
      </c>
      <c r="AM142" s="31" t="s">
        <v>5877</v>
      </c>
      <c r="AN142" s="31" t="s">
        <v>27635</v>
      </c>
      <c r="AO142" s="31" t="s">
        <v>27636</v>
      </c>
      <c r="AP142" s="31" t="s">
        <v>27637</v>
      </c>
      <c r="AQ142" s="31" t="s">
        <v>27638</v>
      </c>
      <c r="AR142" s="31" t="s">
        <v>27639</v>
      </c>
      <c r="AS142" s="31" t="str">
        <f>"VCAM1"</f>
        <v>VCAM1</v>
      </c>
      <c r="AT142" s="31" t="s">
        <v>13772</v>
      </c>
      <c r="AU142" s="31" t="s">
        <v>13777</v>
      </c>
      <c r="AV142" s="31">
        <v>9606</v>
      </c>
      <c r="AW142" s="50" t="str">
        <f>HYPERLINK("http://www.uniprot.org/uniprot/P19320", "P19320")</f>
        <v>P19320</v>
      </c>
      <c r="AX142" s="31" t="s">
        <v>21496</v>
      </c>
      <c r="AY142" s="31" t="s">
        <v>13949</v>
      </c>
      <c r="AZ142" s="31" t="s">
        <v>13825</v>
      </c>
      <c r="BA142" s="31" t="s">
        <v>13780</v>
      </c>
      <c r="BB142" s="31" t="s">
        <v>13772</v>
      </c>
      <c r="BC142" s="31" t="s">
        <v>13772</v>
      </c>
      <c r="BD142" s="31" t="s">
        <v>13951</v>
      </c>
      <c r="BE142" s="31" t="s">
        <v>13772</v>
      </c>
      <c r="BF142" s="31" t="s">
        <v>13772</v>
      </c>
      <c r="BG142" s="31" t="s">
        <v>13796</v>
      </c>
      <c r="BH142" s="31" t="s">
        <v>13812</v>
      </c>
      <c r="BI142" s="31" t="s">
        <v>27640</v>
      </c>
      <c r="BJ142" s="31" t="s">
        <v>27641</v>
      </c>
      <c r="BK142" s="31" t="s">
        <v>27642</v>
      </c>
      <c r="BL142" s="31" t="s">
        <v>13772</v>
      </c>
      <c r="BM142" s="31" t="s">
        <v>27643</v>
      </c>
    </row>
    <row r="143" spans="1:65">
      <c r="A143">
        <v>140</v>
      </c>
      <c r="B143">
        <v>1</v>
      </c>
      <c r="C143">
        <v>138</v>
      </c>
      <c r="D143" t="s">
        <v>365</v>
      </c>
      <c r="E143" t="s">
        <v>366</v>
      </c>
      <c r="F143" t="s">
        <v>73</v>
      </c>
      <c r="G143">
        <v>11.7</v>
      </c>
      <c r="H143">
        <v>1817</v>
      </c>
      <c r="I143">
        <v>194359</v>
      </c>
      <c r="J143" t="s">
        <v>367</v>
      </c>
      <c r="K143" s="3" t="s">
        <v>73</v>
      </c>
      <c r="L143">
        <v>302</v>
      </c>
      <c r="M143">
        <v>302</v>
      </c>
      <c r="N143">
        <v>1</v>
      </c>
      <c r="O143" s="11">
        <f t="shared" si="2"/>
        <v>19.904253348681866</v>
      </c>
      <c r="P143" s="36">
        <v>23.021224520859899</v>
      </c>
      <c r="Q143" s="36">
        <v>24.0766030169362</v>
      </c>
      <c r="R143" s="36">
        <v>48.023929854367701</v>
      </c>
      <c r="S143" s="36">
        <v>52.917261570363003</v>
      </c>
      <c r="T143" s="36">
        <v>24.084938078233002</v>
      </c>
      <c r="U143" s="36">
        <v>28.821544645824201</v>
      </c>
      <c r="V143" s="36">
        <v>16.8649965258343</v>
      </c>
      <c r="W143" s="36">
        <v>14.597753969734599</v>
      </c>
      <c r="X143" s="37">
        <v>11.126616105429401</v>
      </c>
      <c r="Y143" s="37">
        <v>9.4597447033242794</v>
      </c>
      <c r="Z143" s="37">
        <v>8.8005978309407702</v>
      </c>
      <c r="AA143" s="37">
        <v>7.6189234193994704</v>
      </c>
      <c r="AB143" s="37">
        <v>9.1879256581511406</v>
      </c>
      <c r="AC143" s="37">
        <v>11.048667985391701</v>
      </c>
      <c r="AD143" s="37">
        <v>12.068320382899399</v>
      </c>
      <c r="AE143" s="37">
        <v>16.749005311220799</v>
      </c>
      <c r="AF143" s="45">
        <v>-1.4273094741900201</v>
      </c>
      <c r="AG143" s="45">
        <v>-2.7005436732382599</v>
      </c>
      <c r="AH143" s="46">
        <v>4.0284748026812003E-5</v>
      </c>
      <c r="AI143" s="47">
        <v>1.2535114618575499E-4</v>
      </c>
      <c r="AJ143" s="48">
        <v>29.051031522769101</v>
      </c>
      <c r="AK143" s="49">
        <v>10.7574751745946</v>
      </c>
      <c r="AL143" s="31" t="s">
        <v>5875</v>
      </c>
      <c r="AM143" s="31" t="s">
        <v>5876</v>
      </c>
      <c r="AN143" s="31" t="s">
        <v>14761</v>
      </c>
      <c r="AO143" s="31" t="s">
        <v>13772</v>
      </c>
      <c r="AP143" s="31" t="s">
        <v>14762</v>
      </c>
      <c r="AQ143" s="31" t="s">
        <v>14763</v>
      </c>
      <c r="AR143" s="31" t="s">
        <v>14764</v>
      </c>
      <c r="AS143" s="31" t="str">
        <f>"LTBP2"</f>
        <v>LTBP2</v>
      </c>
      <c r="AT143" s="31" t="s">
        <v>14765</v>
      </c>
      <c r="AU143" s="31" t="s">
        <v>13777</v>
      </c>
      <c r="AV143" s="31">
        <v>9606</v>
      </c>
      <c r="AW143" s="50" t="str">
        <f>HYPERLINK("http://www.uniprot.org/uniprot/Q14767", "Q14767")</f>
        <v>Q14767</v>
      </c>
      <c r="AX143" s="31" t="s">
        <v>14766</v>
      </c>
      <c r="AY143" s="31" t="s">
        <v>13772</v>
      </c>
      <c r="AZ143" s="31" t="s">
        <v>13869</v>
      </c>
      <c r="BA143" s="31" t="s">
        <v>13793</v>
      </c>
      <c r="BB143" s="31" t="s">
        <v>13772</v>
      </c>
      <c r="BC143" s="31" t="s">
        <v>14767</v>
      </c>
      <c r="BD143" s="31" t="s">
        <v>14768</v>
      </c>
      <c r="BE143" s="31" t="s">
        <v>13772</v>
      </c>
      <c r="BF143" s="31" t="s">
        <v>14769</v>
      </c>
      <c r="BG143" s="31" t="s">
        <v>14770</v>
      </c>
      <c r="BH143" s="31" t="s">
        <v>13772</v>
      </c>
      <c r="BI143" s="31" t="s">
        <v>14771</v>
      </c>
      <c r="BJ143" s="31" t="s">
        <v>14772</v>
      </c>
      <c r="BK143" s="31" t="s">
        <v>14773</v>
      </c>
      <c r="BL143" s="31" t="s">
        <v>13772</v>
      </c>
      <c r="BM143" s="31" t="s">
        <v>14774</v>
      </c>
    </row>
    <row r="144" spans="1:65">
      <c r="A144">
        <v>1303</v>
      </c>
      <c r="B144">
        <v>1</v>
      </c>
      <c r="C144">
        <v>139</v>
      </c>
      <c r="D144" t="s">
        <v>3124</v>
      </c>
      <c r="E144" t="s">
        <v>73</v>
      </c>
      <c r="F144" t="s">
        <v>73</v>
      </c>
      <c r="G144">
        <v>42.2</v>
      </c>
      <c r="H144">
        <v>339</v>
      </c>
      <c r="I144">
        <v>37641</v>
      </c>
      <c r="J144" t="s">
        <v>3125</v>
      </c>
      <c r="K144" s="3" t="s">
        <v>73</v>
      </c>
      <c r="L144">
        <v>302</v>
      </c>
      <c r="M144">
        <v>302</v>
      </c>
      <c r="N144">
        <v>1</v>
      </c>
      <c r="O144" s="11">
        <f t="shared" si="2"/>
        <v>17.776543839757789</v>
      </c>
      <c r="P144" s="36">
        <v>15.7513641458515</v>
      </c>
      <c r="Q144" s="36">
        <v>15.4090259308391</v>
      </c>
      <c r="R144" s="36">
        <v>20.810369603559401</v>
      </c>
      <c r="S144" s="36">
        <v>24.1907481464517</v>
      </c>
      <c r="T144" s="36">
        <v>16.343350838801001</v>
      </c>
      <c r="U144" s="36">
        <v>8.3675452197554208</v>
      </c>
      <c r="V144" s="36">
        <v>14.756871960105</v>
      </c>
      <c r="W144" s="36">
        <v>19.463671959646099</v>
      </c>
      <c r="X144" s="37">
        <v>18.279440744634002</v>
      </c>
      <c r="Y144" s="37">
        <v>17.658190112871999</v>
      </c>
      <c r="Z144" s="37">
        <v>19.201304358416198</v>
      </c>
      <c r="AA144" s="37">
        <v>13.5447527455991</v>
      </c>
      <c r="AB144" s="37">
        <v>22.0510215795627</v>
      </c>
      <c r="AC144" s="37">
        <v>25.254098252323999</v>
      </c>
      <c r="AD144" s="37">
        <v>16.593940526486598</v>
      </c>
      <c r="AE144" s="37">
        <v>16.749005311220799</v>
      </c>
      <c r="AF144" s="45">
        <v>0.17578717472695299</v>
      </c>
      <c r="AG144" s="45">
        <v>1.1054000675642801</v>
      </c>
      <c r="AH144" s="46">
        <v>0.59872908798995705</v>
      </c>
      <c r="AI144" s="47">
        <v>0.67395693079117402</v>
      </c>
      <c r="AJ144" s="48">
        <v>16.886618475626101</v>
      </c>
      <c r="AK144" s="49">
        <v>18.666469203889399</v>
      </c>
      <c r="AL144" s="31" t="s">
        <v>5874</v>
      </c>
      <c r="AM144" s="31" t="s">
        <v>5832</v>
      </c>
      <c r="AN144" s="31" t="s">
        <v>26386</v>
      </c>
      <c r="AO144" s="31" t="s">
        <v>26387</v>
      </c>
      <c r="AP144" s="31" t="s">
        <v>26388</v>
      </c>
      <c r="AQ144" s="31" t="s">
        <v>26389</v>
      </c>
      <c r="AR144" s="31" t="s">
        <v>26390</v>
      </c>
      <c r="AS144" s="31" t="str">
        <f>"CTSB"</f>
        <v>CTSB</v>
      </c>
      <c r="AT144" s="31" t="s">
        <v>15516</v>
      </c>
      <c r="AU144" s="31" t="s">
        <v>13777</v>
      </c>
      <c r="AV144" s="31">
        <v>9606</v>
      </c>
      <c r="AW144" s="50" t="str">
        <f>HYPERLINK("http://www.uniprot.org/uniprot/P07858", "P07858")</f>
        <v>P07858</v>
      </c>
      <c r="AX144" s="31" t="s">
        <v>26391</v>
      </c>
      <c r="AY144" s="31" t="s">
        <v>13772</v>
      </c>
      <c r="AZ144" s="31" t="s">
        <v>14402</v>
      </c>
      <c r="BA144" s="31" t="s">
        <v>13793</v>
      </c>
      <c r="BB144" s="31" t="s">
        <v>13772</v>
      </c>
      <c r="BC144" s="31" t="s">
        <v>13772</v>
      </c>
      <c r="BD144" s="31" t="s">
        <v>13808</v>
      </c>
      <c r="BE144" s="31" t="s">
        <v>13772</v>
      </c>
      <c r="BF144" s="31" t="s">
        <v>14083</v>
      </c>
      <c r="BG144" s="31" t="s">
        <v>26392</v>
      </c>
      <c r="BH144" s="31" t="s">
        <v>13812</v>
      </c>
      <c r="BI144" s="31" t="s">
        <v>26393</v>
      </c>
      <c r="BJ144" s="31" t="s">
        <v>26394</v>
      </c>
      <c r="BK144" s="31" t="s">
        <v>26395</v>
      </c>
      <c r="BL144" s="31" t="s">
        <v>13772</v>
      </c>
      <c r="BM144" s="31" t="s">
        <v>26396</v>
      </c>
    </row>
    <row r="145" spans="1:65">
      <c r="A145">
        <v>973</v>
      </c>
      <c r="B145">
        <v>1</v>
      </c>
      <c r="C145">
        <v>140</v>
      </c>
      <c r="D145" t="s">
        <v>2361</v>
      </c>
      <c r="E145" t="s">
        <v>73</v>
      </c>
      <c r="F145" t="s">
        <v>73</v>
      </c>
      <c r="G145">
        <v>44.4</v>
      </c>
      <c r="H145">
        <v>423</v>
      </c>
      <c r="I145">
        <v>49157</v>
      </c>
      <c r="J145" t="s">
        <v>2362</v>
      </c>
      <c r="K145" s="3" t="s">
        <v>73</v>
      </c>
      <c r="L145">
        <v>299</v>
      </c>
      <c r="M145">
        <v>299</v>
      </c>
      <c r="N145">
        <v>1</v>
      </c>
      <c r="O145" s="11">
        <f t="shared" si="2"/>
        <v>15.047761110083149</v>
      </c>
      <c r="P145" s="36">
        <v>19.3862943333557</v>
      </c>
      <c r="Q145" s="36">
        <v>0.96306412067744696</v>
      </c>
      <c r="R145" s="36">
        <v>1.6007976618122599</v>
      </c>
      <c r="S145" s="36">
        <v>0.37798043978830698</v>
      </c>
      <c r="T145" s="36">
        <v>0.215044089984223</v>
      </c>
      <c r="U145" s="36">
        <v>2.7891817399184702</v>
      </c>
      <c r="V145" s="36">
        <v>6.3243736971878404</v>
      </c>
      <c r="W145" s="36">
        <v>52.551914291044497</v>
      </c>
      <c r="X145" s="37">
        <v>9.53709951893949</v>
      </c>
      <c r="Y145" s="37">
        <v>14.5049418784306</v>
      </c>
      <c r="Z145" s="37">
        <v>19.201304358416198</v>
      </c>
      <c r="AA145" s="37">
        <v>22.0102232115985</v>
      </c>
      <c r="AB145" s="37">
        <v>19.294643882117398</v>
      </c>
      <c r="AC145" s="37">
        <v>18.940573689242999</v>
      </c>
      <c r="AD145" s="37">
        <v>24.136640765798798</v>
      </c>
      <c r="AE145" s="37">
        <v>28.930100083017699</v>
      </c>
      <c r="AF145" s="45">
        <v>0.86930008409832904</v>
      </c>
      <c r="AG145" s="45">
        <v>1.85913830340082</v>
      </c>
      <c r="AH145" s="46">
        <v>0.214864970099966</v>
      </c>
      <c r="AI145" s="47">
        <v>0.28020402533504402</v>
      </c>
      <c r="AJ145" s="48">
        <v>10.526081296721101</v>
      </c>
      <c r="AK145" s="49">
        <v>19.5694409234452</v>
      </c>
      <c r="AL145" s="31" t="s">
        <v>5874</v>
      </c>
      <c r="AM145" s="31" t="s">
        <v>5832</v>
      </c>
      <c r="AN145" s="31" t="s">
        <v>23369</v>
      </c>
      <c r="AO145" s="31" t="s">
        <v>23370</v>
      </c>
      <c r="AP145" s="31" t="s">
        <v>23371</v>
      </c>
      <c r="AQ145" s="31" t="s">
        <v>23372</v>
      </c>
      <c r="AR145" s="31" t="s">
        <v>23373</v>
      </c>
      <c r="AS145" s="31" t="str">
        <f>"CPB2"</f>
        <v>CPB2</v>
      </c>
      <c r="AT145" s="31" t="s">
        <v>13772</v>
      </c>
      <c r="AU145" s="31" t="s">
        <v>13777</v>
      </c>
      <c r="AV145" s="31">
        <v>9606</v>
      </c>
      <c r="AW145" s="50" t="str">
        <f>HYPERLINK("http://www.uniprot.org/uniprot/Q96IY4", "Q96IY4")</f>
        <v>Q96IY4</v>
      </c>
      <c r="AX145" s="31" t="s">
        <v>23374</v>
      </c>
      <c r="AY145" s="31" t="s">
        <v>21175</v>
      </c>
      <c r="AZ145" s="31" t="s">
        <v>14321</v>
      </c>
      <c r="BA145" s="31" t="s">
        <v>13780</v>
      </c>
      <c r="BB145" s="31" t="s">
        <v>13772</v>
      </c>
      <c r="BC145" s="31" t="s">
        <v>13772</v>
      </c>
      <c r="BD145" s="31" t="s">
        <v>13808</v>
      </c>
      <c r="BE145" s="31" t="s">
        <v>13856</v>
      </c>
      <c r="BF145" s="31" t="s">
        <v>16539</v>
      </c>
      <c r="BG145" s="31" t="s">
        <v>15472</v>
      </c>
      <c r="BH145" s="31" t="s">
        <v>13812</v>
      </c>
      <c r="BI145" s="31" t="s">
        <v>23375</v>
      </c>
      <c r="BJ145" s="31" t="s">
        <v>23376</v>
      </c>
      <c r="BK145" s="31" t="s">
        <v>17127</v>
      </c>
      <c r="BL145" s="31" t="s">
        <v>13772</v>
      </c>
      <c r="BM145" s="31" t="s">
        <v>23377</v>
      </c>
    </row>
    <row r="146" spans="1:65">
      <c r="A146">
        <v>726</v>
      </c>
      <c r="B146">
        <v>1</v>
      </c>
      <c r="C146">
        <v>141</v>
      </c>
      <c r="D146" t="s">
        <v>1777</v>
      </c>
      <c r="E146" t="s">
        <v>1778</v>
      </c>
      <c r="F146" t="s">
        <v>73</v>
      </c>
      <c r="G146">
        <v>51.4</v>
      </c>
      <c r="H146">
        <v>699</v>
      </c>
      <c r="I146">
        <v>77108</v>
      </c>
      <c r="J146" t="s">
        <v>1780</v>
      </c>
      <c r="K146" s="3" t="s">
        <v>73</v>
      </c>
      <c r="L146">
        <v>298</v>
      </c>
      <c r="M146">
        <v>296</v>
      </c>
      <c r="N146">
        <v>0.99299999999999999</v>
      </c>
      <c r="O146" s="11">
        <f t="shared" si="2"/>
        <v>14.916567170750834</v>
      </c>
      <c r="P146" s="36">
        <v>27.867798104198801</v>
      </c>
      <c r="Q146" s="36">
        <v>11.653075860197101</v>
      </c>
      <c r="R146" s="36">
        <v>25.7728423551773</v>
      </c>
      <c r="S146" s="36">
        <v>0.37798043978830698</v>
      </c>
      <c r="T146" s="36">
        <v>0.215044089984223</v>
      </c>
      <c r="U146" s="36">
        <v>6.50809072647644</v>
      </c>
      <c r="V146" s="36">
        <v>40.054366748856303</v>
      </c>
      <c r="W146" s="36">
        <v>23.356406351575298</v>
      </c>
      <c r="X146" s="37">
        <v>3.17903317297983</v>
      </c>
      <c r="Y146" s="37">
        <v>5.0451971751062796</v>
      </c>
      <c r="Z146" s="37">
        <v>8.8005978309407702</v>
      </c>
      <c r="AA146" s="37">
        <v>27.0895054911981</v>
      </c>
      <c r="AB146" s="37">
        <v>11.944303355596499</v>
      </c>
      <c r="AC146" s="37">
        <v>14.994620837317401</v>
      </c>
      <c r="AD146" s="37">
        <v>18.102480574349102</v>
      </c>
      <c r="AE146" s="37">
        <v>13.7037316182716</v>
      </c>
      <c r="AF146" s="45">
        <v>-0.40357543374140098</v>
      </c>
      <c r="AG146" s="45">
        <v>-1.3203023951283701</v>
      </c>
      <c r="AH146" s="46">
        <v>0.53628372354373999</v>
      </c>
      <c r="AI146" s="47">
        <v>0.61539247178518397</v>
      </c>
      <c r="AJ146" s="48">
        <v>16.975700584531701</v>
      </c>
      <c r="AK146" s="49">
        <v>12.8574337569699</v>
      </c>
      <c r="AL146" s="31" t="s">
        <v>5875</v>
      </c>
      <c r="AM146" s="31" t="s">
        <v>5832</v>
      </c>
      <c r="AN146" s="31" t="s">
        <v>20919</v>
      </c>
      <c r="AO146" s="31" t="s">
        <v>20920</v>
      </c>
      <c r="AP146" s="31" t="s">
        <v>20921</v>
      </c>
      <c r="AQ146" s="31" t="s">
        <v>20922</v>
      </c>
      <c r="AR146" s="31" t="s">
        <v>20923</v>
      </c>
      <c r="AS146" s="31" t="str">
        <f>"TF"</f>
        <v>TF</v>
      </c>
      <c r="AT146" s="31" t="s">
        <v>13772</v>
      </c>
      <c r="AU146" s="31" t="s">
        <v>13777</v>
      </c>
      <c r="AV146" s="31">
        <v>9606</v>
      </c>
      <c r="AW146" s="50" t="str">
        <f>HYPERLINK("http://www.uniprot.org/uniprot/P02787", "P02787")</f>
        <v>P02787</v>
      </c>
      <c r="AX146" s="31" t="s">
        <v>20924</v>
      </c>
      <c r="AY146" s="31" t="s">
        <v>20925</v>
      </c>
      <c r="AZ146" s="31" t="s">
        <v>14321</v>
      </c>
      <c r="BA146" s="31" t="s">
        <v>13793</v>
      </c>
      <c r="BB146" s="31" t="s">
        <v>13772</v>
      </c>
      <c r="BC146" s="31" t="s">
        <v>13807</v>
      </c>
      <c r="BD146" s="31" t="s">
        <v>14404</v>
      </c>
      <c r="BE146" s="31" t="s">
        <v>17802</v>
      </c>
      <c r="BF146" s="31" t="s">
        <v>13772</v>
      </c>
      <c r="BG146" s="31" t="s">
        <v>20926</v>
      </c>
      <c r="BH146" s="31" t="s">
        <v>13812</v>
      </c>
      <c r="BI146" s="31" t="s">
        <v>20927</v>
      </c>
      <c r="BJ146" s="31" t="s">
        <v>20928</v>
      </c>
      <c r="BK146" s="31" t="s">
        <v>20929</v>
      </c>
      <c r="BL146" s="31" t="s">
        <v>13772</v>
      </c>
      <c r="BM146" s="31" t="s">
        <v>20930</v>
      </c>
    </row>
    <row r="147" spans="1:65">
      <c r="A147">
        <v>1257</v>
      </c>
      <c r="B147">
        <v>1</v>
      </c>
      <c r="C147">
        <v>142</v>
      </c>
      <c r="D147" t="s">
        <v>3009</v>
      </c>
      <c r="E147" t="s">
        <v>73</v>
      </c>
      <c r="F147" t="s">
        <v>73</v>
      </c>
      <c r="G147">
        <v>51.2</v>
      </c>
      <c r="H147">
        <v>303</v>
      </c>
      <c r="I147">
        <v>32137</v>
      </c>
      <c r="J147" t="s">
        <v>3011</v>
      </c>
      <c r="K147" s="3" t="s">
        <v>73</v>
      </c>
      <c r="L147">
        <v>296</v>
      </c>
      <c r="M147">
        <v>295</v>
      </c>
      <c r="N147">
        <v>0.997</v>
      </c>
      <c r="O147" s="11">
        <f t="shared" si="2"/>
        <v>18.462092296864324</v>
      </c>
      <c r="P147" s="36">
        <v>25.444511312529301</v>
      </c>
      <c r="Q147" s="36">
        <v>6.7414488447421297</v>
      </c>
      <c r="R147" s="36">
        <v>40.019941545306402</v>
      </c>
      <c r="S147" s="36">
        <v>42.333809256290401</v>
      </c>
      <c r="T147" s="36">
        <v>26.6654671580437</v>
      </c>
      <c r="U147" s="36">
        <v>24.1729084126268</v>
      </c>
      <c r="V147" s="36">
        <v>23.189370223022099</v>
      </c>
      <c r="W147" s="36">
        <v>17.517304763681501</v>
      </c>
      <c r="X147" s="37">
        <v>9.53709951893949</v>
      </c>
      <c r="Y147" s="37">
        <v>10.2165242795902</v>
      </c>
      <c r="Z147" s="37">
        <v>11.2007608757428</v>
      </c>
      <c r="AA147" s="37">
        <v>5.0792822795996404</v>
      </c>
      <c r="AB147" s="37">
        <v>16.5382661846721</v>
      </c>
      <c r="AC147" s="37">
        <v>9.4702868446214996</v>
      </c>
      <c r="AD147" s="37">
        <v>15.0854004786242</v>
      </c>
      <c r="AE147" s="37">
        <v>12.1810947717969</v>
      </c>
      <c r="AF147" s="45">
        <v>-1.1968241864220399</v>
      </c>
      <c r="AG147" s="45">
        <v>-2.3075548783478501</v>
      </c>
      <c r="AH147" s="46">
        <v>1.0026363476503301E-3</v>
      </c>
      <c r="AI147" s="47">
        <v>2.25846369218206E-3</v>
      </c>
      <c r="AJ147" s="48">
        <v>25.760595189530299</v>
      </c>
      <c r="AK147" s="49">
        <v>11.163589404198399</v>
      </c>
      <c r="AL147" s="31" t="s">
        <v>5875</v>
      </c>
      <c r="AM147" s="31" t="s">
        <v>5876</v>
      </c>
      <c r="AN147" s="31" t="s">
        <v>25903</v>
      </c>
      <c r="AO147" s="31" t="s">
        <v>13772</v>
      </c>
      <c r="AP147" s="31" t="s">
        <v>25904</v>
      </c>
      <c r="AQ147" s="31" t="s">
        <v>25905</v>
      </c>
      <c r="AR147" s="31" t="s">
        <v>25906</v>
      </c>
      <c r="AS147" s="31" t="str">
        <f>"SOD3"</f>
        <v>SOD3</v>
      </c>
      <c r="AT147" s="31" t="s">
        <v>13772</v>
      </c>
      <c r="AU147" s="31" t="s">
        <v>13777</v>
      </c>
      <c r="AV147" s="31">
        <v>9606</v>
      </c>
      <c r="AW147" s="50" t="str">
        <f>HYPERLINK("http://www.uniprot.org/uniprot/P08294", "P08294")</f>
        <v>P08294</v>
      </c>
      <c r="AX147" s="31" t="s">
        <v>25907</v>
      </c>
      <c r="AY147" s="31" t="s">
        <v>13772</v>
      </c>
      <c r="AZ147" s="31" t="s">
        <v>14321</v>
      </c>
      <c r="BA147" s="31" t="s">
        <v>13793</v>
      </c>
      <c r="BB147" s="31" t="s">
        <v>13772</v>
      </c>
      <c r="BC147" s="31" t="s">
        <v>13772</v>
      </c>
      <c r="BD147" s="31" t="s">
        <v>13808</v>
      </c>
      <c r="BE147" s="31" t="s">
        <v>20010</v>
      </c>
      <c r="BF147" s="31" t="s">
        <v>25908</v>
      </c>
      <c r="BG147" s="31" t="s">
        <v>25909</v>
      </c>
      <c r="BH147" s="31" t="s">
        <v>13812</v>
      </c>
      <c r="BI147" s="31" t="s">
        <v>25910</v>
      </c>
      <c r="BJ147" s="31" t="s">
        <v>25911</v>
      </c>
      <c r="BK147" s="31" t="s">
        <v>25912</v>
      </c>
      <c r="BL147" s="31" t="s">
        <v>13772</v>
      </c>
      <c r="BM147" s="31" t="s">
        <v>17385</v>
      </c>
    </row>
    <row r="148" spans="1:65">
      <c r="A148">
        <v>1454</v>
      </c>
      <c r="B148">
        <v>1</v>
      </c>
      <c r="C148">
        <v>143</v>
      </c>
      <c r="D148" t="s">
        <v>3462</v>
      </c>
      <c r="E148" t="s">
        <v>73</v>
      </c>
      <c r="F148" t="s">
        <v>73</v>
      </c>
      <c r="G148">
        <v>36.5</v>
      </c>
      <c r="H148">
        <v>351</v>
      </c>
      <c r="I148">
        <v>37950</v>
      </c>
      <c r="J148" t="s">
        <v>3463</v>
      </c>
      <c r="K148" s="3" t="s">
        <v>73</v>
      </c>
      <c r="L148">
        <v>292</v>
      </c>
      <c r="M148">
        <v>292</v>
      </c>
      <c r="N148">
        <v>1</v>
      </c>
      <c r="O148" s="11">
        <f t="shared" si="2"/>
        <v>16.548380416969767</v>
      </c>
      <c r="P148" s="36">
        <v>16.963007541686199</v>
      </c>
      <c r="Q148" s="36">
        <v>12.519833568806799</v>
      </c>
      <c r="R148" s="36">
        <v>12.806381294498101</v>
      </c>
      <c r="S148" s="36">
        <v>7.5596087957661497</v>
      </c>
      <c r="T148" s="36">
        <v>7.7415872394320298</v>
      </c>
      <c r="U148" s="36">
        <v>13.0161814529529</v>
      </c>
      <c r="V148" s="36">
        <v>13.7028096772403</v>
      </c>
      <c r="W148" s="36">
        <v>14.597753969734599</v>
      </c>
      <c r="X148" s="37">
        <v>18.279440744634002</v>
      </c>
      <c r="Y148" s="37">
        <v>15.135591525318899</v>
      </c>
      <c r="Z148" s="37">
        <v>20.801413054950899</v>
      </c>
      <c r="AA148" s="37">
        <v>17.777487978598799</v>
      </c>
      <c r="AB148" s="37">
        <v>21.132229013747601</v>
      </c>
      <c r="AC148" s="37">
        <v>18.1513831188579</v>
      </c>
      <c r="AD148" s="37">
        <v>24.136640765798798</v>
      </c>
      <c r="AE148" s="37">
        <v>30.4527369294923</v>
      </c>
      <c r="AF148" s="45">
        <v>0.70845159316266804</v>
      </c>
      <c r="AG148" s="45">
        <v>1.6769960556408301</v>
      </c>
      <c r="AH148" s="46">
        <v>1.21478669143016E-2</v>
      </c>
      <c r="AI148" s="47">
        <v>2.1964656663966999E-2</v>
      </c>
      <c r="AJ148" s="48">
        <v>12.3633954425146</v>
      </c>
      <c r="AK148" s="49">
        <v>20.733365391424901</v>
      </c>
      <c r="AL148" s="31" t="s">
        <v>5874</v>
      </c>
      <c r="AM148" s="31" t="s">
        <v>5878</v>
      </c>
      <c r="AN148" s="31" t="s">
        <v>27755</v>
      </c>
      <c r="AO148" s="31" t="s">
        <v>27756</v>
      </c>
      <c r="AP148" s="31" t="s">
        <v>27757</v>
      </c>
      <c r="AQ148" s="31" t="s">
        <v>27758</v>
      </c>
      <c r="AR148" s="31" t="s">
        <v>27759</v>
      </c>
      <c r="AS148" s="31" t="str">
        <f>"CCN2"</f>
        <v>CCN2</v>
      </c>
      <c r="AT148" s="31" t="s">
        <v>13772</v>
      </c>
      <c r="AU148" s="31" t="s">
        <v>13777</v>
      </c>
      <c r="AV148" s="31">
        <v>9606</v>
      </c>
      <c r="AW148" s="50" t="str">
        <f>HYPERLINK("http://www.uniprot.org/uniprot/P29279", "P29279")</f>
        <v>P29279</v>
      </c>
      <c r="AX148" s="31" t="s">
        <v>27760</v>
      </c>
      <c r="AY148" s="31" t="s">
        <v>27761</v>
      </c>
      <c r="AZ148" s="31" t="s">
        <v>13869</v>
      </c>
      <c r="BA148" s="31" t="s">
        <v>13780</v>
      </c>
      <c r="BB148" s="31" t="s">
        <v>13772</v>
      </c>
      <c r="BC148" s="31" t="s">
        <v>13772</v>
      </c>
      <c r="BD148" s="31" t="s">
        <v>13808</v>
      </c>
      <c r="BE148" s="31" t="s">
        <v>13772</v>
      </c>
      <c r="BF148" s="31" t="s">
        <v>14073</v>
      </c>
      <c r="BG148" s="31" t="s">
        <v>13796</v>
      </c>
      <c r="BH148" s="31" t="s">
        <v>13772</v>
      </c>
      <c r="BI148" s="31" t="s">
        <v>27762</v>
      </c>
      <c r="BJ148" s="31" t="s">
        <v>27763</v>
      </c>
      <c r="BK148" s="31" t="s">
        <v>27764</v>
      </c>
      <c r="BL148" s="31" t="s">
        <v>13772</v>
      </c>
      <c r="BM148" s="31" t="s">
        <v>27765</v>
      </c>
    </row>
    <row r="149" spans="1:65">
      <c r="A149">
        <v>174</v>
      </c>
      <c r="B149">
        <v>1</v>
      </c>
      <c r="C149">
        <v>144</v>
      </c>
      <c r="D149" t="s">
        <v>442</v>
      </c>
      <c r="E149" t="s">
        <v>73</v>
      </c>
      <c r="F149" t="s">
        <v>73</v>
      </c>
      <c r="G149">
        <v>78.2</v>
      </c>
      <c r="H149">
        <v>110</v>
      </c>
      <c r="I149">
        <v>11976</v>
      </c>
      <c r="J149" t="s">
        <v>443</v>
      </c>
      <c r="K149" s="3" t="s">
        <v>73</v>
      </c>
      <c r="L149">
        <v>290</v>
      </c>
      <c r="M149">
        <v>290</v>
      </c>
      <c r="N149">
        <v>1</v>
      </c>
      <c r="O149" s="11">
        <f t="shared" si="2"/>
        <v>18.670285256692786</v>
      </c>
      <c r="P149" s="36">
        <v>18.174650937520902</v>
      </c>
      <c r="Q149" s="36">
        <v>31.781115982355701</v>
      </c>
      <c r="R149" s="36">
        <v>44.822334530743198</v>
      </c>
      <c r="S149" s="36">
        <v>24.1907481464517</v>
      </c>
      <c r="T149" s="36">
        <v>17.203527198737799</v>
      </c>
      <c r="U149" s="36">
        <v>9.2972724663949098</v>
      </c>
      <c r="V149" s="36">
        <v>8.4324982629171306</v>
      </c>
      <c r="W149" s="36">
        <v>19.463671959646099</v>
      </c>
      <c r="X149" s="37">
        <v>14.3056492784092</v>
      </c>
      <c r="Y149" s="37">
        <v>8.1984454095477108</v>
      </c>
      <c r="Z149" s="37">
        <v>24.0016304480203</v>
      </c>
      <c r="AA149" s="37">
        <v>7.6189234193994704</v>
      </c>
      <c r="AB149" s="37">
        <v>5.5127553948906796</v>
      </c>
      <c r="AC149" s="37">
        <v>14.2054302669323</v>
      </c>
      <c r="AD149" s="37">
        <v>27.153720861523599</v>
      </c>
      <c r="AE149" s="37">
        <v>24.3621895435939</v>
      </c>
      <c r="AF149" s="45">
        <v>-0.47715529139333701</v>
      </c>
      <c r="AG149" s="45">
        <v>-1.38295752727173</v>
      </c>
      <c r="AH149" s="46">
        <v>0.26709639893688902</v>
      </c>
      <c r="AI149" s="47">
        <v>0.34165868238772201</v>
      </c>
      <c r="AJ149" s="48">
        <v>21.6707274355959</v>
      </c>
      <c r="AK149" s="49">
        <v>15.669843077789601</v>
      </c>
      <c r="AL149" s="31" t="s">
        <v>5875</v>
      </c>
      <c r="AM149" s="31" t="s">
        <v>5832</v>
      </c>
      <c r="AN149" s="31" t="s">
        <v>15158</v>
      </c>
      <c r="AO149" s="31" t="s">
        <v>15159</v>
      </c>
      <c r="AP149" s="31" t="s">
        <v>15160</v>
      </c>
      <c r="AQ149" s="31" t="s">
        <v>15161</v>
      </c>
      <c r="AR149" s="31" t="s">
        <v>15162</v>
      </c>
      <c r="AS149" s="31" t="str">
        <f>"GUCA2B"</f>
        <v>GUCA2B</v>
      </c>
      <c r="AT149" s="31" t="s">
        <v>13772</v>
      </c>
      <c r="AU149" s="31" t="s">
        <v>13777</v>
      </c>
      <c r="AV149" s="31">
        <v>9606</v>
      </c>
      <c r="AW149" s="50" t="str">
        <f>HYPERLINK("http://www.uniprot.org/uniprot/Q16661", "Q16661")</f>
        <v>Q16661</v>
      </c>
      <c r="AX149" s="31" t="s">
        <v>15163</v>
      </c>
      <c r="AY149" s="31" t="s">
        <v>13772</v>
      </c>
      <c r="AZ149" s="31" t="s">
        <v>14321</v>
      </c>
      <c r="BA149" s="31" t="s">
        <v>13793</v>
      </c>
      <c r="BB149" s="31" t="s">
        <v>13772</v>
      </c>
      <c r="BC149" s="31" t="s">
        <v>13772</v>
      </c>
      <c r="BD149" s="31" t="s">
        <v>13808</v>
      </c>
      <c r="BE149" s="31" t="s">
        <v>13772</v>
      </c>
      <c r="BF149" s="31" t="s">
        <v>13772</v>
      </c>
      <c r="BG149" s="31" t="s">
        <v>14506</v>
      </c>
      <c r="BH149" s="31" t="s">
        <v>13812</v>
      </c>
      <c r="BI149" s="31" t="s">
        <v>15164</v>
      </c>
      <c r="BJ149" s="31" t="s">
        <v>15165</v>
      </c>
      <c r="BK149" s="31" t="s">
        <v>15166</v>
      </c>
      <c r="BL149" s="31" t="s">
        <v>13772</v>
      </c>
      <c r="BM149" s="31" t="s">
        <v>15167</v>
      </c>
    </row>
    <row r="150" spans="1:65">
      <c r="A150">
        <v>818</v>
      </c>
      <c r="B150">
        <v>1</v>
      </c>
      <c r="C150">
        <v>145</v>
      </c>
      <c r="D150" t="s">
        <v>2007</v>
      </c>
      <c r="E150" t="s">
        <v>73</v>
      </c>
      <c r="F150" t="s">
        <v>73</v>
      </c>
      <c r="G150">
        <v>73.8</v>
      </c>
      <c r="H150">
        <v>80</v>
      </c>
      <c r="I150">
        <v>8910</v>
      </c>
      <c r="J150" t="s">
        <v>2008</v>
      </c>
      <c r="K150" s="3" t="s">
        <v>73</v>
      </c>
      <c r="L150">
        <v>289</v>
      </c>
      <c r="M150">
        <v>289</v>
      </c>
      <c r="N150">
        <v>1</v>
      </c>
      <c r="O150" s="11">
        <f t="shared" si="2"/>
        <v>17.848345957747167</v>
      </c>
      <c r="P150" s="36">
        <v>21.809581125025101</v>
      </c>
      <c r="Q150" s="36">
        <v>16.372090051516601</v>
      </c>
      <c r="R150" s="36">
        <v>20.810369603559401</v>
      </c>
      <c r="S150" s="36">
        <v>33.262278701371102</v>
      </c>
      <c r="T150" s="36">
        <v>30.966348957728101</v>
      </c>
      <c r="U150" s="36">
        <v>16.735090439510799</v>
      </c>
      <c r="V150" s="36">
        <v>28.459681637345302</v>
      </c>
      <c r="W150" s="36">
        <v>15.5709375677169</v>
      </c>
      <c r="X150" s="37">
        <v>10.331857812184399</v>
      </c>
      <c r="Y150" s="37">
        <v>6.9371461157711396</v>
      </c>
      <c r="Z150" s="37">
        <v>11.2007608757428</v>
      </c>
      <c r="AA150" s="37">
        <v>5.0792822795996404</v>
      </c>
      <c r="AB150" s="37">
        <v>12.863095921411601</v>
      </c>
      <c r="AC150" s="37">
        <v>15.783811407702499</v>
      </c>
      <c r="AD150" s="37">
        <v>21.119560670073898</v>
      </c>
      <c r="AE150" s="37">
        <v>18.2716421576954</v>
      </c>
      <c r="AF150" s="45">
        <v>-0.89404161635354396</v>
      </c>
      <c r="AG150" s="45">
        <v>-1.81111848271112</v>
      </c>
      <c r="AH150" s="46">
        <v>8.7051047267152192E-3</v>
      </c>
      <c r="AI150" s="47">
        <v>1.6176986283812499E-2</v>
      </c>
      <c r="AJ150" s="48">
        <v>22.998297260471698</v>
      </c>
      <c r="AK150" s="49">
        <v>12.6983946550227</v>
      </c>
      <c r="AL150" s="31" t="s">
        <v>5875</v>
      </c>
      <c r="AM150" s="31" t="s">
        <v>5878</v>
      </c>
      <c r="AN150" s="31" t="s">
        <v>21862</v>
      </c>
      <c r="AO150" s="31" t="s">
        <v>21863</v>
      </c>
      <c r="AP150" s="31" t="s">
        <v>21864</v>
      </c>
      <c r="AQ150" s="31" t="s">
        <v>21865</v>
      </c>
      <c r="AR150" s="31" t="s">
        <v>21866</v>
      </c>
      <c r="AS150" s="31" t="str">
        <f>"TFF3"</f>
        <v>TFF3</v>
      </c>
      <c r="AT150" s="31" t="s">
        <v>21867</v>
      </c>
      <c r="AU150" s="31" t="s">
        <v>13777</v>
      </c>
      <c r="AV150" s="31">
        <v>9606</v>
      </c>
      <c r="AW150" s="50" t="str">
        <f>HYPERLINK("http://www.uniprot.org/uniprot/Q07654", "Q07654")</f>
        <v>Q07654</v>
      </c>
      <c r="AX150" s="31" t="s">
        <v>21868</v>
      </c>
      <c r="AY150" s="31" t="s">
        <v>13772</v>
      </c>
      <c r="AZ150" s="31" t="s">
        <v>21869</v>
      </c>
      <c r="BA150" s="31" t="s">
        <v>13772</v>
      </c>
      <c r="BB150" s="31" t="s">
        <v>13772</v>
      </c>
      <c r="BC150" s="31" t="s">
        <v>13772</v>
      </c>
      <c r="BD150" s="31" t="s">
        <v>13808</v>
      </c>
      <c r="BE150" s="31" t="s">
        <v>13772</v>
      </c>
      <c r="BF150" s="31" t="s">
        <v>13772</v>
      </c>
      <c r="BG150" s="31" t="s">
        <v>14506</v>
      </c>
      <c r="BH150" s="31" t="s">
        <v>13812</v>
      </c>
      <c r="BI150" s="31" t="s">
        <v>21870</v>
      </c>
      <c r="BJ150" s="31" t="s">
        <v>21871</v>
      </c>
      <c r="BK150" s="31" t="s">
        <v>13772</v>
      </c>
      <c r="BL150" s="31" t="s">
        <v>13772</v>
      </c>
      <c r="BM150" s="31" t="s">
        <v>21872</v>
      </c>
    </row>
    <row r="151" spans="1:65">
      <c r="A151">
        <v>1479</v>
      </c>
      <c r="B151">
        <v>1</v>
      </c>
      <c r="C151">
        <v>146</v>
      </c>
      <c r="D151" t="s">
        <v>3520</v>
      </c>
      <c r="E151" t="s">
        <v>73</v>
      </c>
      <c r="F151" t="s">
        <v>73</v>
      </c>
      <c r="G151">
        <v>48</v>
      </c>
      <c r="H151">
        <v>769</v>
      </c>
      <c r="I151">
        <v>85052</v>
      </c>
      <c r="J151" t="s">
        <v>3521</v>
      </c>
      <c r="K151" s="3" t="s">
        <v>73</v>
      </c>
      <c r="L151">
        <v>285</v>
      </c>
      <c r="M151">
        <v>285</v>
      </c>
      <c r="N151">
        <v>1</v>
      </c>
      <c r="O151" s="11">
        <f t="shared" si="2"/>
        <v>13.178035445090687</v>
      </c>
      <c r="P151" s="36">
        <v>25.444511312529301</v>
      </c>
      <c r="Q151" s="36">
        <v>3.85225648270979</v>
      </c>
      <c r="R151" s="36">
        <v>0.40019941545306398</v>
      </c>
      <c r="S151" s="36">
        <v>0.37798043978830698</v>
      </c>
      <c r="T151" s="36">
        <v>0.215044089984223</v>
      </c>
      <c r="U151" s="36">
        <v>1.85945449327898</v>
      </c>
      <c r="V151" s="36">
        <v>2.10812456572928</v>
      </c>
      <c r="W151" s="36">
        <v>10.7050195778054</v>
      </c>
      <c r="X151" s="37">
        <v>13.5108909851643</v>
      </c>
      <c r="Y151" s="37">
        <v>21.4420879942017</v>
      </c>
      <c r="Z151" s="37">
        <v>16.801141313614199</v>
      </c>
      <c r="AA151" s="37">
        <v>20.317129118398601</v>
      </c>
      <c r="AB151" s="37">
        <v>15.619473618856899</v>
      </c>
      <c r="AC151" s="37">
        <v>22.097335970783501</v>
      </c>
      <c r="AD151" s="37">
        <v>25.645180813661199</v>
      </c>
      <c r="AE151" s="37">
        <v>30.4527369294923</v>
      </c>
      <c r="AF151" s="45">
        <v>1.8515095032070601</v>
      </c>
      <c r="AG151" s="45">
        <v>3.6894221474393198</v>
      </c>
      <c r="AH151" s="46">
        <v>1.9989420532986E-3</v>
      </c>
      <c r="AI151" s="47">
        <v>4.2453721703389303E-3</v>
      </c>
      <c r="AJ151" s="48">
        <v>5.6203237971597897</v>
      </c>
      <c r="AK151" s="49">
        <v>20.735747093021601</v>
      </c>
      <c r="AL151" s="31" t="s">
        <v>5874</v>
      </c>
      <c r="AM151" s="31" t="s">
        <v>5876</v>
      </c>
      <c r="AN151" s="31" t="s">
        <v>28006</v>
      </c>
      <c r="AO151" s="31" t="s">
        <v>28007</v>
      </c>
      <c r="AP151" s="31" t="s">
        <v>28008</v>
      </c>
      <c r="AQ151" s="31" t="s">
        <v>28009</v>
      </c>
      <c r="AR151" s="31" t="s">
        <v>28010</v>
      </c>
      <c r="AS151" s="31" t="str">
        <f>"C2"</f>
        <v>C2</v>
      </c>
      <c r="AT151" s="31" t="s">
        <v>13772</v>
      </c>
      <c r="AU151" s="31" t="s">
        <v>13777</v>
      </c>
      <c r="AV151" s="31">
        <v>9606</v>
      </c>
      <c r="AW151" s="50" t="str">
        <f>HYPERLINK("http://www.uniprot.org/uniprot/P06681", "P06681")</f>
        <v>P06681</v>
      </c>
      <c r="AX151" s="31" t="s">
        <v>28011</v>
      </c>
      <c r="AY151" s="31" t="s">
        <v>20457</v>
      </c>
      <c r="AZ151" s="31" t="s">
        <v>14321</v>
      </c>
      <c r="BA151" s="31" t="s">
        <v>13780</v>
      </c>
      <c r="BB151" s="31" t="s">
        <v>13772</v>
      </c>
      <c r="BC151" s="31" t="s">
        <v>13807</v>
      </c>
      <c r="BD151" s="31" t="s">
        <v>28012</v>
      </c>
      <c r="BE151" s="31" t="s">
        <v>18390</v>
      </c>
      <c r="BF151" s="31" t="s">
        <v>15176</v>
      </c>
      <c r="BG151" s="31" t="s">
        <v>13796</v>
      </c>
      <c r="BH151" s="31" t="s">
        <v>13812</v>
      </c>
      <c r="BI151" s="31" t="s">
        <v>28013</v>
      </c>
      <c r="BJ151" s="31" t="s">
        <v>16659</v>
      </c>
      <c r="BK151" s="31" t="s">
        <v>16638</v>
      </c>
      <c r="BL151" s="31" t="s">
        <v>13772</v>
      </c>
      <c r="BM151" s="31" t="s">
        <v>27676</v>
      </c>
    </row>
    <row r="152" spans="1:65">
      <c r="A152">
        <v>1266</v>
      </c>
      <c r="B152">
        <v>1</v>
      </c>
      <c r="C152">
        <v>147</v>
      </c>
      <c r="D152" t="s">
        <v>3035</v>
      </c>
      <c r="E152" t="s">
        <v>73</v>
      </c>
      <c r="F152" t="s">
        <v>73</v>
      </c>
      <c r="G152">
        <v>41.7</v>
      </c>
      <c r="H152">
        <v>635</v>
      </c>
      <c r="I152">
        <v>71825</v>
      </c>
      <c r="J152" t="s">
        <v>3036</v>
      </c>
      <c r="K152" s="3" t="s">
        <v>73</v>
      </c>
      <c r="L152">
        <v>284</v>
      </c>
      <c r="M152">
        <v>284</v>
      </c>
      <c r="N152">
        <v>1</v>
      </c>
      <c r="O152" s="11">
        <f t="shared" si="2"/>
        <v>12.084445899570953</v>
      </c>
      <c r="P152" s="36">
        <v>2.4232867916694598</v>
      </c>
      <c r="Q152" s="36">
        <v>8.6675770860970207</v>
      </c>
      <c r="R152" s="36">
        <v>4.8023929854367697</v>
      </c>
      <c r="S152" s="36">
        <v>9.0715305549193808</v>
      </c>
      <c r="T152" s="36">
        <v>8.6017635993689208</v>
      </c>
      <c r="U152" s="36">
        <v>2.7891817399184702</v>
      </c>
      <c r="V152" s="36">
        <v>2.10812456572928</v>
      </c>
      <c r="W152" s="36">
        <v>4.8659179899115301</v>
      </c>
      <c r="X152" s="37">
        <v>14.3056492784092</v>
      </c>
      <c r="Y152" s="37">
        <v>2.5225985875531398</v>
      </c>
      <c r="Z152" s="37">
        <v>10.400706527475499</v>
      </c>
      <c r="AA152" s="37">
        <v>26.242958444598202</v>
      </c>
      <c r="AB152" s="37">
        <v>24.807399277008098</v>
      </c>
      <c r="AC152" s="37">
        <v>12.627049126161999</v>
      </c>
      <c r="AD152" s="37">
        <v>28.662260909385999</v>
      </c>
      <c r="AE152" s="37">
        <v>30.4527369294923</v>
      </c>
      <c r="AF152" s="45">
        <v>1.7428391225784501</v>
      </c>
      <c r="AG152" s="45">
        <v>3.4623156477550001</v>
      </c>
      <c r="AH152" s="46">
        <v>2.34270474035716E-4</v>
      </c>
      <c r="AI152" s="47">
        <v>6.0512334799186899E-4</v>
      </c>
      <c r="AJ152" s="48">
        <v>5.4162219141313503</v>
      </c>
      <c r="AK152" s="49">
        <v>18.752669885010601</v>
      </c>
      <c r="AL152" s="31" t="s">
        <v>5874</v>
      </c>
      <c r="AM152" s="31" t="s">
        <v>5876</v>
      </c>
      <c r="AN152" s="31" t="s">
        <v>25992</v>
      </c>
      <c r="AO152" s="31" t="s">
        <v>25993</v>
      </c>
      <c r="AP152" s="31" t="s">
        <v>25994</v>
      </c>
      <c r="AQ152" s="31" t="s">
        <v>25995</v>
      </c>
      <c r="AR152" s="31" t="s">
        <v>25996</v>
      </c>
      <c r="AS152" s="31" t="str">
        <f>"CFI"</f>
        <v>CFI</v>
      </c>
      <c r="AT152" s="31" t="s">
        <v>25997</v>
      </c>
      <c r="AU152" s="31" t="s">
        <v>13777</v>
      </c>
      <c r="AV152" s="31">
        <v>9606</v>
      </c>
      <c r="AW152" s="50" t="str">
        <f>HYPERLINK("http://www.uniprot.org/uniprot/P05156", "P05156")</f>
        <v>P05156</v>
      </c>
      <c r="AX152" s="31" t="s">
        <v>25998</v>
      </c>
      <c r="AY152" s="31" t="s">
        <v>25999</v>
      </c>
      <c r="AZ152" s="31" t="s">
        <v>14321</v>
      </c>
      <c r="BA152" s="31" t="s">
        <v>13793</v>
      </c>
      <c r="BB152" s="31" t="s">
        <v>13772</v>
      </c>
      <c r="BC152" s="31" t="s">
        <v>21037</v>
      </c>
      <c r="BD152" s="31" t="s">
        <v>14404</v>
      </c>
      <c r="BE152" s="31" t="s">
        <v>13873</v>
      </c>
      <c r="BF152" s="31" t="s">
        <v>15176</v>
      </c>
      <c r="BG152" s="31" t="s">
        <v>14629</v>
      </c>
      <c r="BH152" s="31" t="s">
        <v>13812</v>
      </c>
      <c r="BI152" s="31" t="s">
        <v>26000</v>
      </c>
      <c r="BJ152" s="31" t="s">
        <v>21951</v>
      </c>
      <c r="BK152" s="31" t="s">
        <v>26001</v>
      </c>
      <c r="BL152" s="31" t="s">
        <v>13772</v>
      </c>
      <c r="BM152" s="31" t="s">
        <v>22277</v>
      </c>
    </row>
    <row r="153" spans="1:65">
      <c r="A153">
        <v>892</v>
      </c>
      <c r="B153">
        <v>1</v>
      </c>
      <c r="C153">
        <v>148</v>
      </c>
      <c r="D153" t="s">
        <v>2180</v>
      </c>
      <c r="E153" t="s">
        <v>73</v>
      </c>
      <c r="F153" t="s">
        <v>73</v>
      </c>
      <c r="G153">
        <v>67.599999999999994</v>
      </c>
      <c r="H153">
        <v>411</v>
      </c>
      <c r="I153">
        <v>47381</v>
      </c>
      <c r="J153" t="s">
        <v>2181</v>
      </c>
      <c r="K153" s="3" t="s">
        <v>73</v>
      </c>
      <c r="L153">
        <v>283</v>
      </c>
      <c r="M153">
        <v>283</v>
      </c>
      <c r="N153">
        <v>1</v>
      </c>
      <c r="O153" s="11">
        <f t="shared" si="2"/>
        <v>15.748330529788593</v>
      </c>
      <c r="P153" s="36">
        <v>16.963007541686199</v>
      </c>
      <c r="Q153" s="36">
        <v>4.8153206033872298</v>
      </c>
      <c r="R153" s="36">
        <v>8.00398830906129</v>
      </c>
      <c r="S153" s="36">
        <v>1.5119217591532299</v>
      </c>
      <c r="T153" s="36">
        <v>4.3008817996844604</v>
      </c>
      <c r="U153" s="36">
        <v>9.2972724663949098</v>
      </c>
      <c r="V153" s="36">
        <v>27.405619354480699</v>
      </c>
      <c r="W153" s="36">
        <v>31.1418751354338</v>
      </c>
      <c r="X153" s="37">
        <v>37.353639782513</v>
      </c>
      <c r="Y153" s="37">
        <v>14.5049418784306</v>
      </c>
      <c r="Z153" s="37">
        <v>20.801413054950899</v>
      </c>
      <c r="AA153" s="37">
        <v>21.163676164998499</v>
      </c>
      <c r="AB153" s="37">
        <v>15.619473618856899</v>
      </c>
      <c r="AC153" s="37">
        <v>11.837858555776901</v>
      </c>
      <c r="AD153" s="37">
        <v>16.593940526486598</v>
      </c>
      <c r="AE153" s="37">
        <v>10.658457925322301</v>
      </c>
      <c r="AF153" s="45">
        <v>0.51316664954577096</v>
      </c>
      <c r="AG153" s="45">
        <v>1.4359393253343899</v>
      </c>
      <c r="AH153" s="46">
        <v>0.279875246723024</v>
      </c>
      <c r="AI153" s="47">
        <v>0.35664102868134001</v>
      </c>
      <c r="AJ153" s="48">
        <v>12.9299858711602</v>
      </c>
      <c r="AK153" s="49">
        <v>18.566675188417001</v>
      </c>
      <c r="AL153" s="31" t="s">
        <v>5874</v>
      </c>
      <c r="AM153" s="31" t="s">
        <v>5832</v>
      </c>
      <c r="AN153" s="31" t="s">
        <v>22581</v>
      </c>
      <c r="AO153" s="31" t="s">
        <v>22582</v>
      </c>
      <c r="AP153" s="31" t="s">
        <v>22583</v>
      </c>
      <c r="AQ153" s="31" t="s">
        <v>22584</v>
      </c>
      <c r="AR153" s="31" t="s">
        <v>22585</v>
      </c>
      <c r="AS153" s="31" t="str">
        <f>"CALR"</f>
        <v>CALR</v>
      </c>
      <c r="AT153" s="31" t="s">
        <v>22586</v>
      </c>
      <c r="AU153" s="31" t="s">
        <v>13777</v>
      </c>
      <c r="AV153" s="31">
        <v>9606</v>
      </c>
      <c r="AW153" s="50" t="str">
        <f>HYPERLINK("http://www.uniprot.org/uniprot/P27797", "P27797")</f>
        <v>P27797</v>
      </c>
      <c r="AX153" s="31" t="s">
        <v>22587</v>
      </c>
      <c r="AY153" s="31" t="s">
        <v>13772</v>
      </c>
      <c r="AZ153" s="31" t="s">
        <v>22588</v>
      </c>
      <c r="BA153" s="31" t="s">
        <v>13772</v>
      </c>
      <c r="BB153" s="31" t="s">
        <v>13772</v>
      </c>
      <c r="BC153" s="31" t="s">
        <v>13772</v>
      </c>
      <c r="BD153" s="31" t="s">
        <v>14404</v>
      </c>
      <c r="BE153" s="31" t="s">
        <v>22589</v>
      </c>
      <c r="BF153" s="31" t="s">
        <v>14477</v>
      </c>
      <c r="BG153" s="31" t="s">
        <v>16172</v>
      </c>
      <c r="BH153" s="31" t="s">
        <v>13812</v>
      </c>
      <c r="BI153" s="31" t="s">
        <v>22590</v>
      </c>
      <c r="BJ153" s="31" t="s">
        <v>22591</v>
      </c>
      <c r="BK153" s="31" t="s">
        <v>22592</v>
      </c>
      <c r="BL153" s="31" t="s">
        <v>13772</v>
      </c>
      <c r="BM153" s="31" t="s">
        <v>22593</v>
      </c>
    </row>
    <row r="154" spans="1:65">
      <c r="A154">
        <v>1251</v>
      </c>
      <c r="B154">
        <v>1</v>
      </c>
      <c r="C154">
        <v>149</v>
      </c>
      <c r="D154" t="s">
        <v>3000</v>
      </c>
      <c r="E154" t="s">
        <v>73</v>
      </c>
      <c r="F154" t="s">
        <v>73</v>
      </c>
      <c r="G154">
        <v>69.7</v>
      </c>
      <c r="H154">
        <v>132</v>
      </c>
      <c r="I154">
        <v>15117</v>
      </c>
      <c r="J154" t="s">
        <v>3001</v>
      </c>
      <c r="K154" s="3" t="s">
        <v>73</v>
      </c>
      <c r="L154">
        <v>283</v>
      </c>
      <c r="M154">
        <v>283</v>
      </c>
      <c r="N154">
        <v>1</v>
      </c>
      <c r="O154" s="11">
        <f t="shared" si="2"/>
        <v>16.390758558607487</v>
      </c>
      <c r="P154" s="36">
        <v>14.5397207500168</v>
      </c>
      <c r="Q154" s="36">
        <v>7.7045129654195703</v>
      </c>
      <c r="R154" s="36">
        <v>33.616750898057397</v>
      </c>
      <c r="S154" s="36">
        <v>0.37798043978830698</v>
      </c>
      <c r="T154" s="36">
        <v>1.72035271987378</v>
      </c>
      <c r="U154" s="36">
        <v>6.50809072647644</v>
      </c>
      <c r="V154" s="36">
        <v>7.3784359800524904</v>
      </c>
      <c r="W154" s="36">
        <v>19.463671959646099</v>
      </c>
      <c r="X154" s="37">
        <v>11.126616105429401</v>
      </c>
      <c r="Y154" s="37">
        <v>11.351693643989099</v>
      </c>
      <c r="Z154" s="37">
        <v>20.801413054950899</v>
      </c>
      <c r="AA154" s="37">
        <v>9.3120175125993505</v>
      </c>
      <c r="AB154" s="37">
        <v>12.863095921411601</v>
      </c>
      <c r="AC154" s="37">
        <v>61.5568644900398</v>
      </c>
      <c r="AD154" s="37">
        <v>24.136640765798798</v>
      </c>
      <c r="AE154" s="37">
        <v>19.794279004170001</v>
      </c>
      <c r="AF154" s="45">
        <v>0.91807729952352102</v>
      </c>
      <c r="AG154" s="45">
        <v>1.8721227224105299</v>
      </c>
      <c r="AH154" s="46">
        <v>0.108180800841263</v>
      </c>
      <c r="AI154" s="47">
        <v>0.15266546479389501</v>
      </c>
      <c r="AJ154" s="48">
        <v>11.413689554916401</v>
      </c>
      <c r="AK154" s="49">
        <v>21.367827562298601</v>
      </c>
      <c r="AL154" s="31" t="s">
        <v>5874</v>
      </c>
      <c r="AM154" s="31" t="s">
        <v>5832</v>
      </c>
      <c r="AN154" s="31" t="s">
        <v>25860</v>
      </c>
      <c r="AO154" s="31" t="s">
        <v>25861</v>
      </c>
      <c r="AP154" s="31" t="s">
        <v>25862</v>
      </c>
      <c r="AQ154" s="31" t="s">
        <v>25863</v>
      </c>
      <c r="AR154" s="31" t="s">
        <v>25864</v>
      </c>
      <c r="AS154" s="31" t="str">
        <f>"FABP2"</f>
        <v>FABP2</v>
      </c>
      <c r="AT154" s="31" t="s">
        <v>25865</v>
      </c>
      <c r="AU154" s="31" t="s">
        <v>13777</v>
      </c>
      <c r="AV154" s="31">
        <v>9606</v>
      </c>
      <c r="AW154" s="50" t="str">
        <f>HYPERLINK("http://www.uniprot.org/uniprot/P12104", "P12104")</f>
        <v>P12104</v>
      </c>
      <c r="AX154" s="31" t="s">
        <v>25866</v>
      </c>
      <c r="AY154" s="31" t="s">
        <v>14192</v>
      </c>
      <c r="AZ154" s="31" t="s">
        <v>13899</v>
      </c>
      <c r="BA154" s="31" t="s">
        <v>13793</v>
      </c>
      <c r="BB154" s="31" t="s">
        <v>13772</v>
      </c>
      <c r="BC154" s="31" t="s">
        <v>13772</v>
      </c>
      <c r="BD154" s="31" t="s">
        <v>13772</v>
      </c>
      <c r="BE154" s="31" t="s">
        <v>13900</v>
      </c>
      <c r="BF154" s="31" t="s">
        <v>13772</v>
      </c>
      <c r="BG154" s="31" t="s">
        <v>14020</v>
      </c>
      <c r="BH154" s="31" t="s">
        <v>13812</v>
      </c>
      <c r="BI154" s="31" t="s">
        <v>25867</v>
      </c>
      <c r="BJ154" s="31" t="s">
        <v>13902</v>
      </c>
      <c r="BK154" s="31" t="s">
        <v>25868</v>
      </c>
      <c r="BL154" s="31" t="s">
        <v>13772</v>
      </c>
      <c r="BM154" s="31" t="s">
        <v>17696</v>
      </c>
    </row>
    <row r="155" spans="1:65">
      <c r="A155">
        <v>2347</v>
      </c>
      <c r="B155">
        <v>1</v>
      </c>
      <c r="C155">
        <v>150</v>
      </c>
      <c r="D155" t="s">
        <v>5476</v>
      </c>
      <c r="E155" t="s">
        <v>73</v>
      </c>
      <c r="F155" t="s">
        <v>73</v>
      </c>
      <c r="G155">
        <v>34.700000000000003</v>
      </c>
      <c r="H155">
        <v>957</v>
      </c>
      <c r="I155">
        <v>107019</v>
      </c>
      <c r="J155" t="s">
        <v>5477</v>
      </c>
      <c r="K155" s="3" t="s">
        <v>73</v>
      </c>
      <c r="L155">
        <v>283</v>
      </c>
      <c r="M155">
        <v>283</v>
      </c>
      <c r="N155">
        <v>1</v>
      </c>
      <c r="O155" s="11">
        <f t="shared" si="2"/>
        <v>18.41145571556266</v>
      </c>
      <c r="P155" s="36">
        <v>30.291084895868199</v>
      </c>
      <c r="Q155" s="36">
        <v>23.113538896258699</v>
      </c>
      <c r="R155" s="36">
        <v>19.2095719417471</v>
      </c>
      <c r="S155" s="36">
        <v>60.476870366129198</v>
      </c>
      <c r="T155" s="36">
        <v>53.330934316087301</v>
      </c>
      <c r="U155" s="36">
        <v>35.3296353723007</v>
      </c>
      <c r="V155" s="36">
        <v>20.027183374428201</v>
      </c>
      <c r="W155" s="36">
        <v>16.544121165699199</v>
      </c>
      <c r="X155" s="37">
        <v>0.79475829324495695</v>
      </c>
      <c r="Y155" s="37">
        <v>5.6758468219945701</v>
      </c>
      <c r="Z155" s="37">
        <v>7.2004891344060802</v>
      </c>
      <c r="AA155" s="37">
        <v>0.84654704659994096</v>
      </c>
      <c r="AB155" s="37">
        <v>1.8375851316302301</v>
      </c>
      <c r="AC155" s="37">
        <v>4.7351434223107498</v>
      </c>
      <c r="AD155" s="37">
        <v>6.0341601914496898</v>
      </c>
      <c r="AE155" s="37">
        <v>9.1358210788476999</v>
      </c>
      <c r="AF155" s="45">
        <v>-2.85205670511206</v>
      </c>
      <c r="AG155" s="45">
        <v>-7.1241157999319196</v>
      </c>
      <c r="AH155" s="46">
        <v>7.3985411399312899E-10</v>
      </c>
      <c r="AI155" s="47">
        <v>9.8992480452280599E-9</v>
      </c>
      <c r="AJ155" s="48">
        <v>32.290367541064803</v>
      </c>
      <c r="AK155" s="49">
        <v>4.5325438900604897</v>
      </c>
      <c r="AL155" s="31" t="s">
        <v>5875</v>
      </c>
      <c r="AM155" s="31" t="s">
        <v>5876</v>
      </c>
      <c r="AN155" s="31" t="s">
        <v>36123</v>
      </c>
      <c r="AO155" s="31" t="s">
        <v>36124</v>
      </c>
      <c r="AP155" s="31" t="s">
        <v>36125</v>
      </c>
      <c r="AQ155" s="31" t="s">
        <v>36126</v>
      </c>
      <c r="AR155" s="31" t="s">
        <v>36127</v>
      </c>
      <c r="AS155" s="31" t="str">
        <f>"GAA"</f>
        <v>GAA</v>
      </c>
      <c r="AT155" s="31" t="s">
        <v>13772</v>
      </c>
      <c r="AU155" s="31" t="s">
        <v>13777</v>
      </c>
      <c r="AV155" s="31">
        <v>9606</v>
      </c>
      <c r="AW155" s="50" t="str">
        <f>HYPERLINK("http://www.uniprot.org/uniprot/P10253", "P10253")</f>
        <v>P10253</v>
      </c>
      <c r="AX155" s="31" t="s">
        <v>36128</v>
      </c>
      <c r="AY155" s="31" t="s">
        <v>13772</v>
      </c>
      <c r="AZ155" s="31" t="s">
        <v>18613</v>
      </c>
      <c r="BA155" s="31" t="s">
        <v>13793</v>
      </c>
      <c r="BB155" s="31" t="s">
        <v>13772</v>
      </c>
      <c r="BC155" s="31" t="s">
        <v>16230</v>
      </c>
      <c r="BD155" s="31" t="s">
        <v>13808</v>
      </c>
      <c r="BE155" s="31" t="s">
        <v>13772</v>
      </c>
      <c r="BF155" s="31" t="s">
        <v>15471</v>
      </c>
      <c r="BG155" s="31" t="s">
        <v>13964</v>
      </c>
      <c r="BH155" s="31" t="s">
        <v>13812</v>
      </c>
      <c r="BI155" s="31" t="s">
        <v>36129</v>
      </c>
      <c r="BJ155" s="31" t="s">
        <v>36130</v>
      </c>
      <c r="BK155" s="31" t="s">
        <v>36131</v>
      </c>
      <c r="BL155" s="31" t="s">
        <v>13772</v>
      </c>
      <c r="BM155" s="31" t="s">
        <v>36132</v>
      </c>
    </row>
    <row r="156" spans="1:65">
      <c r="A156">
        <v>1643</v>
      </c>
      <c r="B156">
        <v>1</v>
      </c>
      <c r="C156">
        <v>151</v>
      </c>
      <c r="D156" t="s">
        <v>3895</v>
      </c>
      <c r="E156" t="s">
        <v>3896</v>
      </c>
      <c r="F156" t="s">
        <v>73</v>
      </c>
      <c r="G156">
        <v>36.200000000000003</v>
      </c>
      <c r="H156">
        <v>2646</v>
      </c>
      <c r="I156">
        <v>280357</v>
      </c>
      <c r="J156" t="s">
        <v>3897</v>
      </c>
      <c r="K156" s="3" t="s">
        <v>73</v>
      </c>
      <c r="L156">
        <v>284</v>
      </c>
      <c r="M156">
        <v>280</v>
      </c>
      <c r="N156">
        <v>0.98599999999999999</v>
      </c>
      <c r="O156" s="11">
        <f t="shared" si="2"/>
        <v>15.24112538361198</v>
      </c>
      <c r="P156" s="36">
        <v>1.2116433958347299</v>
      </c>
      <c r="Q156" s="36">
        <v>4.8153206033872298</v>
      </c>
      <c r="R156" s="36">
        <v>4.8023929854367697</v>
      </c>
      <c r="S156" s="36">
        <v>15.119217591532299</v>
      </c>
      <c r="T156" s="36">
        <v>3.4407054397475698</v>
      </c>
      <c r="U156" s="36">
        <v>13.945908699592399</v>
      </c>
      <c r="V156" s="36">
        <v>9.4865605457817708</v>
      </c>
      <c r="W156" s="36">
        <v>8.7586523818407507</v>
      </c>
      <c r="X156" s="37">
        <v>12.716132691919301</v>
      </c>
      <c r="Y156" s="37">
        <v>29.640533403749401</v>
      </c>
      <c r="Z156" s="37">
        <v>10.800733701609101</v>
      </c>
      <c r="AA156" s="37">
        <v>25.3964113979982</v>
      </c>
      <c r="AB156" s="37">
        <v>38.589287764234797</v>
      </c>
      <c r="AC156" s="37">
        <v>42.379533629681198</v>
      </c>
      <c r="AD156" s="37">
        <v>9.0512402871745401</v>
      </c>
      <c r="AE156" s="37">
        <v>13.7037316182716</v>
      </c>
      <c r="AF156" s="45">
        <v>1.57085468769336</v>
      </c>
      <c r="AG156" s="45">
        <v>2.9599937582561</v>
      </c>
      <c r="AH156" s="46">
        <v>7.9289507734663805E-4</v>
      </c>
      <c r="AI156" s="47">
        <v>1.8228412602917599E-3</v>
      </c>
      <c r="AJ156" s="48">
        <v>7.6975502053941902</v>
      </c>
      <c r="AK156" s="49">
        <v>22.784700561829801</v>
      </c>
      <c r="AL156" s="31" t="s">
        <v>5874</v>
      </c>
      <c r="AM156" s="31" t="s">
        <v>5876</v>
      </c>
      <c r="AN156" s="31" t="s">
        <v>29537</v>
      </c>
      <c r="AO156" s="31" t="s">
        <v>29538</v>
      </c>
      <c r="AP156" s="31" t="s">
        <v>29539</v>
      </c>
      <c r="AQ156" s="31" t="s">
        <v>29540</v>
      </c>
      <c r="AR156" s="31" t="s">
        <v>29541</v>
      </c>
      <c r="AS156" s="31" t="str">
        <f>"FLNA"</f>
        <v>FLNA</v>
      </c>
      <c r="AT156" s="31" t="s">
        <v>29542</v>
      </c>
      <c r="AU156" s="31" t="s">
        <v>13777</v>
      </c>
      <c r="AV156" s="31">
        <v>9606</v>
      </c>
      <c r="AW156" s="50" t="str">
        <f>HYPERLINK("http://www.uniprot.org/uniprot/P21333", "P21333")</f>
        <v>P21333</v>
      </c>
      <c r="AX156" s="31" t="s">
        <v>29543</v>
      </c>
      <c r="AY156" s="31" t="s">
        <v>21905</v>
      </c>
      <c r="AZ156" s="31" t="s">
        <v>13988</v>
      </c>
      <c r="BA156" s="31" t="s">
        <v>13780</v>
      </c>
      <c r="BB156" s="31" t="s">
        <v>13772</v>
      </c>
      <c r="BC156" s="31" t="s">
        <v>26462</v>
      </c>
      <c r="BD156" s="31" t="s">
        <v>14096</v>
      </c>
      <c r="BE156" s="31" t="s">
        <v>13772</v>
      </c>
      <c r="BF156" s="31" t="s">
        <v>13990</v>
      </c>
      <c r="BG156" s="31" t="s">
        <v>13991</v>
      </c>
      <c r="BH156" s="31" t="s">
        <v>13812</v>
      </c>
      <c r="BI156" s="31" t="s">
        <v>29544</v>
      </c>
      <c r="BJ156" s="31" t="s">
        <v>29545</v>
      </c>
      <c r="BK156" s="31" t="s">
        <v>29546</v>
      </c>
      <c r="BL156" s="31" t="s">
        <v>13772</v>
      </c>
      <c r="BM156" s="31" t="s">
        <v>29547</v>
      </c>
    </row>
    <row r="157" spans="1:65">
      <c r="A157">
        <v>1541</v>
      </c>
      <c r="B157">
        <v>1</v>
      </c>
      <c r="C157">
        <v>152</v>
      </c>
      <c r="D157" t="s">
        <v>3659</v>
      </c>
      <c r="E157" t="s">
        <v>3660</v>
      </c>
      <c r="F157" t="s">
        <v>73</v>
      </c>
      <c r="G157">
        <v>36.5</v>
      </c>
      <c r="H157">
        <v>304</v>
      </c>
      <c r="I157">
        <v>34708</v>
      </c>
      <c r="J157" t="s">
        <v>3661</v>
      </c>
      <c r="K157" s="3" t="s">
        <v>73</v>
      </c>
      <c r="L157">
        <v>282</v>
      </c>
      <c r="M157">
        <v>282</v>
      </c>
      <c r="N157">
        <v>1</v>
      </c>
      <c r="O157" s="11">
        <f t="shared" si="2"/>
        <v>19.447643314301043</v>
      </c>
      <c r="P157" s="36">
        <v>31.502728291703001</v>
      </c>
      <c r="Q157" s="36">
        <v>22.150474775581301</v>
      </c>
      <c r="R157" s="36">
        <v>70.435097119739297</v>
      </c>
      <c r="S157" s="36">
        <v>42.333809256290401</v>
      </c>
      <c r="T157" s="36">
        <v>32.686701677601903</v>
      </c>
      <c r="U157" s="36">
        <v>30.6809991391032</v>
      </c>
      <c r="V157" s="36">
        <v>15.8109342429696</v>
      </c>
      <c r="W157" s="36">
        <v>10.7050195778054</v>
      </c>
      <c r="X157" s="37">
        <v>7.1528246392046197</v>
      </c>
      <c r="Y157" s="37">
        <v>5.0451971751062796</v>
      </c>
      <c r="Z157" s="37">
        <v>10.400706527475499</v>
      </c>
      <c r="AA157" s="37">
        <v>5.0792822795996404</v>
      </c>
      <c r="AB157" s="37">
        <v>7.3503405265209096</v>
      </c>
      <c r="AC157" s="37">
        <v>11.837858555776901</v>
      </c>
      <c r="AD157" s="37">
        <v>0.377135011965606</v>
      </c>
      <c r="AE157" s="37">
        <v>7.6131842323730803</v>
      </c>
      <c r="AF157" s="45">
        <v>-2.1587566108119298</v>
      </c>
      <c r="AG157" s="45">
        <v>-4.67229277892607</v>
      </c>
      <c r="AH157" s="46">
        <v>6.2668896415463895E-7</v>
      </c>
      <c r="AI157" s="47">
        <v>3.2754290392144802E-6</v>
      </c>
      <c r="AJ157" s="48">
        <v>32.0382205100993</v>
      </c>
      <c r="AK157" s="49">
        <v>6.8570661185028099</v>
      </c>
      <c r="AL157" s="31" t="s">
        <v>5875</v>
      </c>
      <c r="AM157" s="31" t="s">
        <v>5876</v>
      </c>
      <c r="AN157" s="31" t="s">
        <v>28578</v>
      </c>
      <c r="AO157" s="31" t="s">
        <v>28579</v>
      </c>
      <c r="AP157" s="31" t="s">
        <v>28580</v>
      </c>
      <c r="AQ157" s="31" t="s">
        <v>28581</v>
      </c>
      <c r="AR157" s="31" t="s">
        <v>28582</v>
      </c>
      <c r="AS157" s="31" t="str">
        <f>"SPARC"</f>
        <v>SPARC</v>
      </c>
      <c r="AT157" s="31" t="s">
        <v>28583</v>
      </c>
      <c r="AU157" s="31" t="s">
        <v>13777</v>
      </c>
      <c r="AV157" s="31">
        <v>9606</v>
      </c>
      <c r="AW157" s="50" t="str">
        <f>HYPERLINK("http://www.uniprot.org/uniprot/P09486", "P09486")</f>
        <v>P09486</v>
      </c>
      <c r="AX157" s="31" t="s">
        <v>28584</v>
      </c>
      <c r="AY157" s="31" t="s">
        <v>13772</v>
      </c>
      <c r="AZ157" s="31" t="s">
        <v>15002</v>
      </c>
      <c r="BA157" s="31" t="s">
        <v>13793</v>
      </c>
      <c r="BB157" s="31" t="s">
        <v>13772</v>
      </c>
      <c r="BC157" s="31" t="s">
        <v>22058</v>
      </c>
      <c r="BD157" s="31" t="s">
        <v>13808</v>
      </c>
      <c r="BE157" s="31" t="s">
        <v>22069</v>
      </c>
      <c r="BF157" s="31" t="s">
        <v>13772</v>
      </c>
      <c r="BG157" s="31" t="s">
        <v>13796</v>
      </c>
      <c r="BH157" s="31" t="s">
        <v>13812</v>
      </c>
      <c r="BI157" s="31" t="s">
        <v>28585</v>
      </c>
      <c r="BJ157" s="31" t="s">
        <v>28586</v>
      </c>
      <c r="BK157" s="31" t="s">
        <v>26022</v>
      </c>
      <c r="BL157" s="31" t="s">
        <v>13772</v>
      </c>
      <c r="BM157" s="31" t="s">
        <v>28587</v>
      </c>
    </row>
    <row r="158" spans="1:65">
      <c r="A158">
        <v>228</v>
      </c>
      <c r="B158">
        <v>1</v>
      </c>
      <c r="C158">
        <v>153</v>
      </c>
      <c r="D158" t="s">
        <v>578</v>
      </c>
      <c r="E158" t="s">
        <v>73</v>
      </c>
      <c r="F158" t="s">
        <v>73</v>
      </c>
      <c r="G158">
        <v>68</v>
      </c>
      <c r="H158">
        <v>531</v>
      </c>
      <c r="I158">
        <v>58001</v>
      </c>
      <c r="J158" t="s">
        <v>580</v>
      </c>
      <c r="K158" s="3" t="s">
        <v>73</v>
      </c>
      <c r="L158">
        <v>274</v>
      </c>
      <c r="M158">
        <v>265</v>
      </c>
      <c r="N158">
        <v>0.96699999999999997</v>
      </c>
      <c r="O158" s="11">
        <f t="shared" si="2"/>
        <v>13.354767524744821</v>
      </c>
      <c r="P158" s="36">
        <v>3.6349301875041902</v>
      </c>
      <c r="Q158" s="36">
        <v>2.8891923620323401</v>
      </c>
      <c r="R158" s="36">
        <v>1.6007976618122599</v>
      </c>
      <c r="S158" s="36">
        <v>3.0238435183064598</v>
      </c>
      <c r="T158" s="36">
        <v>4.9030052516402796</v>
      </c>
      <c r="U158" s="36">
        <v>6.13619982782064</v>
      </c>
      <c r="V158" s="36">
        <v>6.3243736971878404</v>
      </c>
      <c r="W158" s="36">
        <v>12.65138677377</v>
      </c>
      <c r="X158" s="37">
        <v>35.7641231960231</v>
      </c>
      <c r="Y158" s="37">
        <v>24.595336228643099</v>
      </c>
      <c r="Z158" s="37">
        <v>22.4015217514856</v>
      </c>
      <c r="AA158" s="37">
        <v>37.248070050397402</v>
      </c>
      <c r="AB158" s="37">
        <v>9.1879256581511406</v>
      </c>
      <c r="AC158" s="37">
        <v>22.097335970783501</v>
      </c>
      <c r="AD158" s="37">
        <v>10.559780335037001</v>
      </c>
      <c r="AE158" s="37">
        <v>10.658457925322301</v>
      </c>
      <c r="AF158" s="45">
        <v>2.0176698353895</v>
      </c>
      <c r="AG158" s="45">
        <v>4.1908873207790398</v>
      </c>
      <c r="AH158" s="46">
        <v>3.79966355767782E-6</v>
      </c>
      <c r="AI158" s="47">
        <v>1.5691203210410199E-5</v>
      </c>
      <c r="AJ158" s="48">
        <v>5.1454661600092502</v>
      </c>
      <c r="AK158" s="49">
        <v>21.564068889480399</v>
      </c>
      <c r="AL158" s="31" t="s">
        <v>5874</v>
      </c>
      <c r="AM158" s="31" t="s">
        <v>5876</v>
      </c>
      <c r="AN158" s="31" t="s">
        <v>15765</v>
      </c>
      <c r="AO158" s="31" t="s">
        <v>15766</v>
      </c>
      <c r="AP158" s="31" t="s">
        <v>15767</v>
      </c>
      <c r="AQ158" s="31" t="s">
        <v>15768</v>
      </c>
      <c r="AR158" s="31" t="s">
        <v>15769</v>
      </c>
      <c r="AS158" s="31" t="str">
        <f>"PKM"</f>
        <v>PKM</v>
      </c>
      <c r="AT158" s="31" t="s">
        <v>15770</v>
      </c>
      <c r="AU158" s="31" t="s">
        <v>13777</v>
      </c>
      <c r="AV158" s="31">
        <v>9606</v>
      </c>
      <c r="AW158" s="50" t="str">
        <f>HYPERLINK("http://www.uniprot.org/uniprot/P14618", "P14618")</f>
        <v>P14618</v>
      </c>
      <c r="AX158" s="31" t="s">
        <v>15771</v>
      </c>
      <c r="AY158" s="31" t="s">
        <v>15772</v>
      </c>
      <c r="AZ158" s="31" t="s">
        <v>13912</v>
      </c>
      <c r="BA158" s="31" t="s">
        <v>13780</v>
      </c>
      <c r="BB158" s="31" t="s">
        <v>13772</v>
      </c>
      <c r="BC158" s="31" t="s">
        <v>13772</v>
      </c>
      <c r="BD158" s="31" t="s">
        <v>13772</v>
      </c>
      <c r="BE158" s="31" t="s">
        <v>15773</v>
      </c>
      <c r="BF158" s="31" t="s">
        <v>15774</v>
      </c>
      <c r="BG158" s="31" t="s">
        <v>15775</v>
      </c>
      <c r="BH158" s="31" t="s">
        <v>13812</v>
      </c>
      <c r="BI158" s="31" t="s">
        <v>15776</v>
      </c>
      <c r="BJ158" s="31" t="s">
        <v>15777</v>
      </c>
      <c r="BK158" s="31" t="s">
        <v>15778</v>
      </c>
      <c r="BL158" s="31" t="s">
        <v>15779</v>
      </c>
      <c r="BM158" s="31" t="s">
        <v>15780</v>
      </c>
    </row>
    <row r="159" spans="1:65">
      <c r="A159">
        <v>1964</v>
      </c>
      <c r="B159">
        <v>1</v>
      </c>
      <c r="C159">
        <v>154</v>
      </c>
      <c r="D159" t="s">
        <v>4630</v>
      </c>
      <c r="E159" t="s">
        <v>73</v>
      </c>
      <c r="F159" t="s">
        <v>73</v>
      </c>
      <c r="G159">
        <v>80</v>
      </c>
      <c r="H159">
        <v>125</v>
      </c>
      <c r="I159">
        <v>13888</v>
      </c>
      <c r="J159" t="s">
        <v>4631</v>
      </c>
      <c r="K159" s="3" t="s">
        <v>73</v>
      </c>
      <c r="L159">
        <v>272</v>
      </c>
      <c r="M159">
        <v>272</v>
      </c>
      <c r="N159">
        <v>1</v>
      </c>
      <c r="O159" s="11">
        <f t="shared" si="2"/>
        <v>16.615160927775264</v>
      </c>
      <c r="P159" s="36">
        <v>14.5397207500168</v>
      </c>
      <c r="Q159" s="36">
        <v>17.335154172193999</v>
      </c>
      <c r="R159" s="36">
        <v>22.411167265371599</v>
      </c>
      <c r="S159" s="36">
        <v>34.774200460524298</v>
      </c>
      <c r="T159" s="36">
        <v>43.868994356781499</v>
      </c>
      <c r="U159" s="36">
        <v>33.470180879021697</v>
      </c>
      <c r="V159" s="36">
        <v>23.189370223022099</v>
      </c>
      <c r="W159" s="36">
        <v>20.436855557628402</v>
      </c>
      <c r="X159" s="37">
        <v>8.7423412256945294</v>
      </c>
      <c r="Y159" s="37">
        <v>10.7210439971009</v>
      </c>
      <c r="Z159" s="37">
        <v>7.2004891344060802</v>
      </c>
      <c r="AA159" s="37">
        <v>8.4654704659994096</v>
      </c>
      <c r="AB159" s="37">
        <v>10.1067182239663</v>
      </c>
      <c r="AC159" s="37">
        <v>8.6810962742363706</v>
      </c>
      <c r="AD159" s="37">
        <v>0.377135011965606</v>
      </c>
      <c r="AE159" s="37">
        <v>1.5226368464746201</v>
      </c>
      <c r="AF159" s="45">
        <v>-1.8196827151634001</v>
      </c>
      <c r="AG159" s="45">
        <v>-3.7627587046634998</v>
      </c>
      <c r="AH159" s="46">
        <v>1.8053585249286799E-6</v>
      </c>
      <c r="AI159" s="47">
        <v>8.1059386119281094E-6</v>
      </c>
      <c r="AJ159" s="48">
        <v>26.253205458069999</v>
      </c>
      <c r="AK159" s="49">
        <v>6.9771163974804704</v>
      </c>
      <c r="AL159" s="31" t="s">
        <v>5875</v>
      </c>
      <c r="AM159" s="31" t="s">
        <v>5876</v>
      </c>
      <c r="AN159" s="31" t="s">
        <v>32606</v>
      </c>
      <c r="AO159" s="31" t="s">
        <v>32607</v>
      </c>
      <c r="AP159" s="31" t="s">
        <v>32608</v>
      </c>
      <c r="AQ159" s="31" t="s">
        <v>32609</v>
      </c>
      <c r="AR159" s="31" t="s">
        <v>32610</v>
      </c>
      <c r="AS159" s="31" t="str">
        <f>"PHPT1"</f>
        <v>PHPT1</v>
      </c>
      <c r="AT159" s="31" t="s">
        <v>32611</v>
      </c>
      <c r="AU159" s="31" t="s">
        <v>13777</v>
      </c>
      <c r="AV159" s="31">
        <v>9606</v>
      </c>
      <c r="AW159" s="50" t="str">
        <f>HYPERLINK("http://www.uniprot.org/uniprot/Q9NRX4", "Q9NRX4")</f>
        <v>Q9NRX4</v>
      </c>
      <c r="AX159" s="31" t="s">
        <v>32612</v>
      </c>
      <c r="AY159" s="31" t="s">
        <v>13772</v>
      </c>
      <c r="AZ159" s="31" t="s">
        <v>13899</v>
      </c>
      <c r="BA159" s="31" t="s">
        <v>13841</v>
      </c>
      <c r="BB159" s="31" t="s">
        <v>13772</v>
      </c>
      <c r="BC159" s="31" t="s">
        <v>13772</v>
      </c>
      <c r="BD159" s="31" t="s">
        <v>13772</v>
      </c>
      <c r="BE159" s="31" t="s">
        <v>13772</v>
      </c>
      <c r="BF159" s="31" t="s">
        <v>16320</v>
      </c>
      <c r="BG159" s="31" t="s">
        <v>14020</v>
      </c>
      <c r="BH159" s="31" t="s">
        <v>13812</v>
      </c>
      <c r="BI159" s="31" t="s">
        <v>32613</v>
      </c>
      <c r="BJ159" s="31" t="s">
        <v>15111</v>
      </c>
      <c r="BK159" s="31" t="s">
        <v>32614</v>
      </c>
      <c r="BL159" s="31" t="s">
        <v>13772</v>
      </c>
      <c r="BM159" s="31" t="s">
        <v>13772</v>
      </c>
    </row>
    <row r="160" spans="1:65">
      <c r="A160">
        <v>2367</v>
      </c>
      <c r="B160">
        <v>1</v>
      </c>
      <c r="C160">
        <v>155</v>
      </c>
      <c r="D160" t="s">
        <v>5516</v>
      </c>
      <c r="E160" t="s">
        <v>73</v>
      </c>
      <c r="F160" t="s">
        <v>73</v>
      </c>
      <c r="G160">
        <v>62.7</v>
      </c>
      <c r="H160">
        <v>367</v>
      </c>
      <c r="I160">
        <v>39403</v>
      </c>
      <c r="J160" t="s">
        <v>5517</v>
      </c>
      <c r="K160" s="3" t="s">
        <v>73</v>
      </c>
      <c r="L160">
        <v>272</v>
      </c>
      <c r="M160">
        <v>272</v>
      </c>
      <c r="N160">
        <v>1</v>
      </c>
      <c r="O160" s="11">
        <f t="shared" si="2"/>
        <v>16.909307344866136</v>
      </c>
      <c r="P160" s="36">
        <v>26.656154708363999</v>
      </c>
      <c r="Q160" s="36">
        <v>37.559500706420401</v>
      </c>
      <c r="R160" s="36">
        <v>9.6047859708735501</v>
      </c>
      <c r="S160" s="36">
        <v>37.798043978830698</v>
      </c>
      <c r="T160" s="36">
        <v>44.7291707167184</v>
      </c>
      <c r="U160" s="36">
        <v>36.259362618940202</v>
      </c>
      <c r="V160" s="36">
        <v>14.756871960105</v>
      </c>
      <c r="W160" s="36">
        <v>22.383222753593</v>
      </c>
      <c r="X160" s="37">
        <v>5.5633080527147003</v>
      </c>
      <c r="Y160" s="37">
        <v>5.6758468219945701</v>
      </c>
      <c r="Z160" s="37">
        <v>8.0005434826734305</v>
      </c>
      <c r="AA160" s="37">
        <v>2.5396411397998202</v>
      </c>
      <c r="AB160" s="37">
        <v>2.7563776974453398</v>
      </c>
      <c r="AC160" s="37">
        <v>8.6810962742363706</v>
      </c>
      <c r="AD160" s="37">
        <v>3.0170800957248498</v>
      </c>
      <c r="AE160" s="37">
        <v>4.5679105394238499</v>
      </c>
      <c r="AF160" s="45">
        <v>-2.4384317558750701</v>
      </c>
      <c r="AG160" s="45">
        <v>-5.6308077169374302</v>
      </c>
      <c r="AH160" s="46">
        <v>1.1724619536587E-9</v>
      </c>
      <c r="AI160" s="47">
        <v>1.4799566924484301E-8</v>
      </c>
      <c r="AJ160" s="48">
        <v>28.7183891767307</v>
      </c>
      <c r="AK160" s="49">
        <v>5.1002255130016199</v>
      </c>
      <c r="AL160" s="31" t="s">
        <v>5875</v>
      </c>
      <c r="AM160" s="31" t="s">
        <v>5876</v>
      </c>
      <c r="AN160" s="31" t="s">
        <v>36302</v>
      </c>
      <c r="AO160" s="31" t="s">
        <v>36303</v>
      </c>
      <c r="AP160" s="31" t="s">
        <v>36304</v>
      </c>
      <c r="AQ160" s="31" t="s">
        <v>36305</v>
      </c>
      <c r="AR160" s="31" t="s">
        <v>36306</v>
      </c>
      <c r="AS160" s="31" t="str">
        <f>"SLC9A3R1"</f>
        <v>SLC9A3R1</v>
      </c>
      <c r="AT160" s="31" t="s">
        <v>36307</v>
      </c>
      <c r="AU160" s="31" t="s">
        <v>13777</v>
      </c>
      <c r="AV160" s="31">
        <v>9606</v>
      </c>
      <c r="AW160" s="50" t="str">
        <f>HYPERLINK("http://www.uniprot.org/uniprot/O14745", "O14745")</f>
        <v>O14745</v>
      </c>
      <c r="AX160" s="31" t="s">
        <v>36308</v>
      </c>
      <c r="AY160" s="31" t="s">
        <v>14072</v>
      </c>
      <c r="AZ160" s="31" t="s">
        <v>30708</v>
      </c>
      <c r="BA160" s="31" t="s">
        <v>13780</v>
      </c>
      <c r="BB160" s="31" t="s">
        <v>13772</v>
      </c>
      <c r="BC160" s="31" t="s">
        <v>13807</v>
      </c>
      <c r="BD160" s="31" t="s">
        <v>14096</v>
      </c>
      <c r="BE160" s="31" t="s">
        <v>13772</v>
      </c>
      <c r="BF160" s="31" t="s">
        <v>13772</v>
      </c>
      <c r="BG160" s="31" t="s">
        <v>13886</v>
      </c>
      <c r="BH160" s="31" t="s">
        <v>13812</v>
      </c>
      <c r="BI160" s="31" t="s">
        <v>36309</v>
      </c>
      <c r="BJ160" s="31" t="s">
        <v>36310</v>
      </c>
      <c r="BK160" s="31" t="s">
        <v>36311</v>
      </c>
      <c r="BL160" s="31" t="s">
        <v>13772</v>
      </c>
      <c r="BM160" s="31" t="s">
        <v>13772</v>
      </c>
    </row>
    <row r="161" spans="1:65">
      <c r="A161">
        <v>189</v>
      </c>
      <c r="B161">
        <v>1</v>
      </c>
      <c r="C161">
        <v>156</v>
      </c>
      <c r="D161" t="s">
        <v>476</v>
      </c>
      <c r="E161" t="s">
        <v>477</v>
      </c>
      <c r="F161" t="s">
        <v>73</v>
      </c>
      <c r="G161">
        <v>24.6</v>
      </c>
      <c r="H161">
        <v>309</v>
      </c>
      <c r="I161">
        <v>33378</v>
      </c>
      <c r="J161" t="s">
        <v>478</v>
      </c>
      <c r="K161" s="3" t="s">
        <v>73</v>
      </c>
      <c r="L161">
        <v>271</v>
      </c>
      <c r="M161">
        <v>271</v>
      </c>
      <c r="N161">
        <v>1</v>
      </c>
      <c r="O161" s="11">
        <f t="shared" si="2"/>
        <v>13.870803421835983</v>
      </c>
      <c r="P161" s="36">
        <v>8.4815037708430996</v>
      </c>
      <c r="Q161" s="36">
        <v>5.7783847240646802</v>
      </c>
      <c r="R161" s="36">
        <v>3.2015953236245198</v>
      </c>
      <c r="S161" s="36">
        <v>3.0238435183064598</v>
      </c>
      <c r="T161" s="36">
        <v>1.72035271987378</v>
      </c>
      <c r="U161" s="36">
        <v>0.23243181165987301</v>
      </c>
      <c r="V161" s="36">
        <v>1.05406228286464</v>
      </c>
      <c r="W161" s="36">
        <v>0.24329589949557701</v>
      </c>
      <c r="X161" s="37">
        <v>46.890739301452498</v>
      </c>
      <c r="Y161" s="37">
        <v>29.640533403749401</v>
      </c>
      <c r="Z161" s="37">
        <v>18.4012500101489</v>
      </c>
      <c r="AA161" s="37">
        <v>13.5447527455991</v>
      </c>
      <c r="AB161" s="37">
        <v>20.213436447932501</v>
      </c>
      <c r="AC161" s="37">
        <v>31.567622815404999</v>
      </c>
      <c r="AD161" s="37">
        <v>13.576860430761799</v>
      </c>
      <c r="AE161" s="37">
        <v>24.3621895435939</v>
      </c>
      <c r="AF161" s="45">
        <v>3.0691630460664299</v>
      </c>
      <c r="AG161" s="45">
        <v>8.3502616242700203</v>
      </c>
      <c r="AH161" s="46">
        <v>6.4965407128410397E-10</v>
      </c>
      <c r="AI161" s="47">
        <v>9.0545536185222008E-9</v>
      </c>
      <c r="AJ161" s="48">
        <v>2.9669337563415801</v>
      </c>
      <c r="AK161" s="49">
        <v>24.774673087330399</v>
      </c>
      <c r="AL161" s="31" t="s">
        <v>5874</v>
      </c>
      <c r="AM161" s="31" t="s">
        <v>5876</v>
      </c>
      <c r="AN161" s="31" t="s">
        <v>15338</v>
      </c>
      <c r="AO161" s="31" t="s">
        <v>13772</v>
      </c>
      <c r="AP161" s="31" t="s">
        <v>15339</v>
      </c>
      <c r="AQ161" s="31" t="s">
        <v>15340</v>
      </c>
      <c r="AR161" s="31" t="s">
        <v>13772</v>
      </c>
      <c r="AS161" s="31" t="str">
        <f>"RNASE4"</f>
        <v>RNASE4</v>
      </c>
      <c r="AT161" s="31" t="s">
        <v>15341</v>
      </c>
      <c r="AU161" s="31" t="s">
        <v>13777</v>
      </c>
      <c r="AV161" s="31">
        <v>9606</v>
      </c>
      <c r="AW161" s="50" t="str">
        <f>HYPERLINK("http://www.uniprot.org/uniprot/P34096", "P34096")</f>
        <v>P34096</v>
      </c>
      <c r="AX161" s="31" t="s">
        <v>15342</v>
      </c>
      <c r="AY161" s="31" t="s">
        <v>13772</v>
      </c>
      <c r="AZ161" s="31" t="s">
        <v>14321</v>
      </c>
      <c r="BA161" s="31" t="s">
        <v>13793</v>
      </c>
      <c r="BB161" s="31" t="s">
        <v>13772</v>
      </c>
      <c r="BC161" s="31" t="s">
        <v>13772</v>
      </c>
      <c r="BD161" s="31" t="s">
        <v>13808</v>
      </c>
      <c r="BE161" s="31" t="s">
        <v>13772</v>
      </c>
      <c r="BF161" s="31" t="s">
        <v>15343</v>
      </c>
      <c r="BG161" s="31" t="s">
        <v>15344</v>
      </c>
      <c r="BH161" s="31" t="s">
        <v>13812</v>
      </c>
      <c r="BI161" s="31" t="s">
        <v>15345</v>
      </c>
      <c r="BJ161" s="31" t="s">
        <v>15346</v>
      </c>
      <c r="BK161" s="31" t="s">
        <v>15347</v>
      </c>
      <c r="BL161" s="31" t="s">
        <v>13772</v>
      </c>
      <c r="BM161" s="31" t="s">
        <v>13772</v>
      </c>
    </row>
    <row r="162" spans="1:65">
      <c r="A162">
        <v>574</v>
      </c>
      <c r="B162">
        <v>1</v>
      </c>
      <c r="C162">
        <v>157</v>
      </c>
      <c r="D162" t="s">
        <v>1428</v>
      </c>
      <c r="E162" t="s">
        <v>73</v>
      </c>
      <c r="F162" t="s">
        <v>73</v>
      </c>
      <c r="G162">
        <v>42.9</v>
      </c>
      <c r="H162">
        <v>476</v>
      </c>
      <c r="I162">
        <v>52857</v>
      </c>
      <c r="J162" t="s">
        <v>1429</v>
      </c>
      <c r="K162" s="3" t="s">
        <v>73</v>
      </c>
      <c r="L162">
        <v>270</v>
      </c>
      <c r="M162">
        <v>270</v>
      </c>
      <c r="N162">
        <v>1</v>
      </c>
      <c r="O162" s="11">
        <f t="shared" si="2"/>
        <v>13.029116496943123</v>
      </c>
      <c r="P162" s="36">
        <v>12.116433958347301</v>
      </c>
      <c r="Q162" s="36">
        <v>9.6306412067744702</v>
      </c>
      <c r="R162" s="36">
        <v>8.00398830906129</v>
      </c>
      <c r="S162" s="36">
        <v>4.5357652774596904</v>
      </c>
      <c r="T162" s="36">
        <v>3.4407054397475698</v>
      </c>
      <c r="U162" s="36">
        <v>7.43781797311593</v>
      </c>
      <c r="V162" s="36">
        <v>4.21624913145856</v>
      </c>
      <c r="W162" s="36">
        <v>8.7586523818407507</v>
      </c>
      <c r="X162" s="37">
        <v>11.126616105429401</v>
      </c>
      <c r="Y162" s="37">
        <v>10.0903943502126</v>
      </c>
      <c r="Z162" s="37">
        <v>12.0008152240101</v>
      </c>
      <c r="AA162" s="37">
        <v>30.475693677597899</v>
      </c>
      <c r="AB162" s="37">
        <v>16.5382661846721</v>
      </c>
      <c r="AC162" s="37">
        <v>9.4702868446214996</v>
      </c>
      <c r="AD162" s="37">
        <v>30.170800957248499</v>
      </c>
      <c r="AE162" s="37">
        <v>30.4527369294923</v>
      </c>
      <c r="AF162" s="45">
        <v>1.32514198415178</v>
      </c>
      <c r="AG162" s="45">
        <v>2.5855685306490099</v>
      </c>
      <c r="AH162" s="46">
        <v>1.0264346890437701E-3</v>
      </c>
      <c r="AI162" s="47">
        <v>2.30431143278619E-3</v>
      </c>
      <c r="AJ162" s="48">
        <v>7.2675317097256897</v>
      </c>
      <c r="AK162" s="49">
        <v>18.790701284160502</v>
      </c>
      <c r="AL162" s="31" t="s">
        <v>5874</v>
      </c>
      <c r="AM162" s="31" t="s">
        <v>5876</v>
      </c>
      <c r="AN162" s="31" t="s">
        <v>19434</v>
      </c>
      <c r="AO162" s="31" t="s">
        <v>19435</v>
      </c>
      <c r="AP162" s="31" t="s">
        <v>19436</v>
      </c>
      <c r="AQ162" s="31" t="s">
        <v>19437</v>
      </c>
      <c r="AR162" s="31" t="s">
        <v>19438</v>
      </c>
      <c r="AS162" s="31" t="str">
        <f>"SERPING1"</f>
        <v>SERPING1</v>
      </c>
      <c r="AT162" s="31" t="s">
        <v>19439</v>
      </c>
      <c r="AU162" s="31" t="s">
        <v>13777</v>
      </c>
      <c r="AV162" s="31">
        <v>9606</v>
      </c>
      <c r="AW162" s="50" t="str">
        <f>HYPERLINK("http://www.uniprot.org/uniprot/P05155", "P05155")</f>
        <v>P05155</v>
      </c>
      <c r="AX162" s="31" t="s">
        <v>19440</v>
      </c>
      <c r="AY162" s="31" t="s">
        <v>19441</v>
      </c>
      <c r="AZ162" s="31" t="s">
        <v>14321</v>
      </c>
      <c r="BA162" s="31" t="s">
        <v>13780</v>
      </c>
      <c r="BB162" s="31" t="s">
        <v>13772</v>
      </c>
      <c r="BC162" s="31" t="s">
        <v>13807</v>
      </c>
      <c r="BD162" s="31" t="s">
        <v>14404</v>
      </c>
      <c r="BE162" s="31" t="s">
        <v>13772</v>
      </c>
      <c r="BF162" s="31" t="s">
        <v>14375</v>
      </c>
      <c r="BG162" s="31" t="s">
        <v>13796</v>
      </c>
      <c r="BH162" s="31" t="s">
        <v>13812</v>
      </c>
      <c r="BI162" s="31" t="s">
        <v>19442</v>
      </c>
      <c r="BJ162" s="31" t="s">
        <v>19443</v>
      </c>
      <c r="BK162" s="31" t="s">
        <v>16362</v>
      </c>
      <c r="BL162" s="31" t="s">
        <v>13772</v>
      </c>
      <c r="BM162" s="31" t="s">
        <v>19444</v>
      </c>
    </row>
    <row r="163" spans="1:65">
      <c r="A163">
        <v>1690</v>
      </c>
      <c r="B163">
        <v>1</v>
      </c>
      <c r="C163">
        <v>158</v>
      </c>
      <c r="D163" t="s">
        <v>4008</v>
      </c>
      <c r="E163" t="s">
        <v>4009</v>
      </c>
      <c r="F163" t="s">
        <v>73</v>
      </c>
      <c r="G163">
        <v>44.6</v>
      </c>
      <c r="H163">
        <v>399</v>
      </c>
      <c r="I163">
        <v>44171</v>
      </c>
      <c r="J163" t="s">
        <v>4010</v>
      </c>
      <c r="K163" s="3" t="s">
        <v>73</v>
      </c>
      <c r="L163">
        <v>266</v>
      </c>
      <c r="M163">
        <v>266</v>
      </c>
      <c r="N163">
        <v>1</v>
      </c>
      <c r="O163" s="11">
        <f t="shared" si="2"/>
        <v>15.339421784933382</v>
      </c>
      <c r="P163" s="36">
        <v>12.116433958347301</v>
      </c>
      <c r="Q163" s="36">
        <v>16.372090051516601</v>
      </c>
      <c r="R163" s="36">
        <v>11.2055836326858</v>
      </c>
      <c r="S163" s="36">
        <v>16.631139350685501</v>
      </c>
      <c r="T163" s="36">
        <v>9.4619399593058091</v>
      </c>
      <c r="U163" s="36">
        <v>13.0161814529529</v>
      </c>
      <c r="V163" s="36">
        <v>14.756871960105</v>
      </c>
      <c r="W163" s="36">
        <v>16.544121165699199</v>
      </c>
      <c r="X163" s="37">
        <v>13.5108909851643</v>
      </c>
      <c r="Y163" s="37">
        <v>20.180788700425101</v>
      </c>
      <c r="Z163" s="37">
        <v>10.400706527475499</v>
      </c>
      <c r="AA163" s="37">
        <v>13.5447527455991</v>
      </c>
      <c r="AB163" s="37">
        <v>27.5637769744534</v>
      </c>
      <c r="AC163" s="37">
        <v>21.308145400398399</v>
      </c>
      <c r="AD163" s="37">
        <v>12.068320382899399</v>
      </c>
      <c r="AE163" s="37">
        <v>16.749005311220799</v>
      </c>
      <c r="AF163" s="45">
        <v>0.306905626746518</v>
      </c>
      <c r="AG163" s="45">
        <v>1.2290738091167099</v>
      </c>
      <c r="AH163" s="46">
        <v>0.331929148338444</v>
      </c>
      <c r="AI163" s="47">
        <v>0.41352067083504501</v>
      </c>
      <c r="AJ163" s="48">
        <v>13.763045191412299</v>
      </c>
      <c r="AK163" s="49">
        <v>16.9157983784545</v>
      </c>
      <c r="AL163" s="31" t="s">
        <v>5874</v>
      </c>
      <c r="AM163" s="31" t="s">
        <v>5832</v>
      </c>
      <c r="AN163" s="31" t="s">
        <v>30021</v>
      </c>
      <c r="AO163" s="31" t="s">
        <v>30022</v>
      </c>
      <c r="AP163" s="31" t="s">
        <v>30023</v>
      </c>
      <c r="AQ163" s="31" t="s">
        <v>30024</v>
      </c>
      <c r="AR163" s="31" t="s">
        <v>30025</v>
      </c>
      <c r="AS163" s="31" t="str">
        <f>"VSIG4"</f>
        <v>VSIG4</v>
      </c>
      <c r="AT163" s="31" t="s">
        <v>30026</v>
      </c>
      <c r="AU163" s="31" t="s">
        <v>13777</v>
      </c>
      <c r="AV163" s="31">
        <v>9606</v>
      </c>
      <c r="AW163" s="50" t="str">
        <f>HYPERLINK("http://www.uniprot.org/uniprot/Q9Y279", "Q9Y279")</f>
        <v>Q9Y279</v>
      </c>
      <c r="AX163" s="31" t="s">
        <v>30027</v>
      </c>
      <c r="AY163" s="31" t="s">
        <v>21849</v>
      </c>
      <c r="AZ163" s="31" t="s">
        <v>13825</v>
      </c>
      <c r="BA163" s="31" t="s">
        <v>13780</v>
      </c>
      <c r="BB163" s="31" t="s">
        <v>13772</v>
      </c>
      <c r="BC163" s="31" t="s">
        <v>13772</v>
      </c>
      <c r="BD163" s="31" t="s">
        <v>13951</v>
      </c>
      <c r="BE163" s="31" t="s">
        <v>13772</v>
      </c>
      <c r="BF163" s="31" t="s">
        <v>13772</v>
      </c>
      <c r="BG163" s="31" t="s">
        <v>14506</v>
      </c>
      <c r="BH163" s="31" t="s">
        <v>13812</v>
      </c>
      <c r="BI163" s="31" t="s">
        <v>30028</v>
      </c>
      <c r="BJ163" s="31" t="s">
        <v>30029</v>
      </c>
      <c r="BK163" s="31" t="s">
        <v>30030</v>
      </c>
      <c r="BL163" s="31" t="s">
        <v>13772</v>
      </c>
      <c r="BM163" s="31" t="s">
        <v>13772</v>
      </c>
    </row>
    <row r="164" spans="1:65">
      <c r="A164">
        <v>1431</v>
      </c>
      <c r="B164">
        <v>1</v>
      </c>
      <c r="C164">
        <v>159</v>
      </c>
      <c r="D164" t="s">
        <v>3410</v>
      </c>
      <c r="E164" t="s">
        <v>73</v>
      </c>
      <c r="F164" t="s">
        <v>73</v>
      </c>
      <c r="G164">
        <v>37.5</v>
      </c>
      <c r="H164">
        <v>456</v>
      </c>
      <c r="I164">
        <v>48524</v>
      </c>
      <c r="J164" t="s">
        <v>3411</v>
      </c>
      <c r="K164" s="3" t="s">
        <v>73</v>
      </c>
      <c r="L164">
        <v>264</v>
      </c>
      <c r="M164">
        <v>264</v>
      </c>
      <c r="N164">
        <v>1</v>
      </c>
      <c r="O164" s="11">
        <f t="shared" si="2"/>
        <v>17.454428883773009</v>
      </c>
      <c r="P164" s="36">
        <v>21.809581125025101</v>
      </c>
      <c r="Q164" s="36">
        <v>22.150474775581301</v>
      </c>
      <c r="R164" s="36">
        <v>40.019941545306402</v>
      </c>
      <c r="S164" s="36">
        <v>15.119217591532299</v>
      </c>
      <c r="T164" s="36">
        <v>18.9238799186116</v>
      </c>
      <c r="U164" s="36">
        <v>47.416089578613999</v>
      </c>
      <c r="V164" s="36">
        <v>34.7840553345331</v>
      </c>
      <c r="W164" s="36">
        <v>34.061425929380697</v>
      </c>
      <c r="X164" s="37">
        <v>1.5895165864899099</v>
      </c>
      <c r="Y164" s="37">
        <v>3.1532482344414299</v>
      </c>
      <c r="Z164" s="37">
        <v>6.4004347861387396</v>
      </c>
      <c r="AA164" s="37">
        <v>1.6930940931998799</v>
      </c>
      <c r="AB164" s="37">
        <v>3.6751702632604601</v>
      </c>
      <c r="AC164" s="37">
        <v>10.2594774150066</v>
      </c>
      <c r="AD164" s="37">
        <v>6.0341601914496898</v>
      </c>
      <c r="AE164" s="37">
        <v>12.1810947717969</v>
      </c>
      <c r="AF164" s="45">
        <v>-2.42010497868577</v>
      </c>
      <c r="AG164" s="45">
        <v>-5.2079234265240304</v>
      </c>
      <c r="AH164" s="46">
        <v>1.6052726547968699E-8</v>
      </c>
      <c r="AI164" s="47">
        <v>1.4319032080788099E-7</v>
      </c>
      <c r="AJ164" s="48">
        <v>29.2855832248231</v>
      </c>
      <c r="AK164" s="49">
        <v>5.6232745427229602</v>
      </c>
      <c r="AL164" s="31" t="s">
        <v>5875</v>
      </c>
      <c r="AM164" s="31" t="s">
        <v>5876</v>
      </c>
      <c r="AN164" s="31" t="s">
        <v>27549</v>
      </c>
      <c r="AO164" s="31" t="s">
        <v>27550</v>
      </c>
      <c r="AP164" s="31" t="s">
        <v>27551</v>
      </c>
      <c r="AQ164" s="31" t="s">
        <v>27552</v>
      </c>
      <c r="AR164" s="31" t="s">
        <v>27553</v>
      </c>
      <c r="AS164" s="31" t="str">
        <f>"PI16"</f>
        <v>PI16</v>
      </c>
      <c r="AT164" s="31" t="s">
        <v>27554</v>
      </c>
      <c r="AU164" s="31" t="s">
        <v>13777</v>
      </c>
      <c r="AV164" s="31">
        <v>9606</v>
      </c>
      <c r="AW164" s="50" t="str">
        <f>HYPERLINK("http://www.uniprot.org/uniprot/Q6UXB8", "Q6UXB8")</f>
        <v>Q6UXB8</v>
      </c>
      <c r="AX164" s="31" t="s">
        <v>27555</v>
      </c>
      <c r="AY164" s="31" t="s">
        <v>13772</v>
      </c>
      <c r="AZ164" s="31" t="s">
        <v>14321</v>
      </c>
      <c r="BA164" s="31" t="s">
        <v>13780</v>
      </c>
      <c r="BB164" s="31" t="s">
        <v>13772</v>
      </c>
      <c r="BC164" s="31" t="s">
        <v>13772</v>
      </c>
      <c r="BD164" s="31" t="s">
        <v>13808</v>
      </c>
      <c r="BE164" s="31" t="s">
        <v>13772</v>
      </c>
      <c r="BF164" s="31" t="s">
        <v>27556</v>
      </c>
      <c r="BG164" s="31" t="s">
        <v>13858</v>
      </c>
      <c r="BH164" s="31" t="s">
        <v>13772</v>
      </c>
      <c r="BI164" s="31" t="s">
        <v>27557</v>
      </c>
      <c r="BJ164" s="31" t="s">
        <v>14508</v>
      </c>
      <c r="BK164" s="31" t="s">
        <v>27558</v>
      </c>
      <c r="BL164" s="31" t="s">
        <v>13772</v>
      </c>
      <c r="BM164" s="31" t="s">
        <v>13772</v>
      </c>
    </row>
    <row r="165" spans="1:65">
      <c r="A165">
        <v>422</v>
      </c>
      <c r="B165">
        <v>1</v>
      </c>
      <c r="C165">
        <v>160</v>
      </c>
      <c r="D165" t="s">
        <v>1057</v>
      </c>
      <c r="E165" t="s">
        <v>73</v>
      </c>
      <c r="F165" t="s">
        <v>73</v>
      </c>
      <c r="G165">
        <v>77.599999999999994</v>
      </c>
      <c r="H165">
        <v>147</v>
      </c>
      <c r="I165">
        <v>15757</v>
      </c>
      <c r="J165" t="s">
        <v>1058</v>
      </c>
      <c r="K165" s="3" t="s">
        <v>73</v>
      </c>
      <c r="L165">
        <v>262</v>
      </c>
      <c r="M165">
        <v>262</v>
      </c>
      <c r="N165">
        <v>1</v>
      </c>
      <c r="O165" s="11">
        <f t="shared" si="2"/>
        <v>13.307536866636825</v>
      </c>
      <c r="P165" s="36">
        <v>8.4815037708430996</v>
      </c>
      <c r="Q165" s="36">
        <v>6.7414488447421297</v>
      </c>
      <c r="R165" s="36">
        <v>9.6047859708735501</v>
      </c>
      <c r="S165" s="36">
        <v>4.5357652774596904</v>
      </c>
      <c r="T165" s="36">
        <v>5.1610581596213496</v>
      </c>
      <c r="U165" s="36">
        <v>8.3675452197554208</v>
      </c>
      <c r="V165" s="36">
        <v>5.2703114143232002</v>
      </c>
      <c r="W165" s="36">
        <v>35.034609527363003</v>
      </c>
      <c r="X165" s="37">
        <v>7.1528246392046197</v>
      </c>
      <c r="Y165" s="37">
        <v>9.4597447033242794</v>
      </c>
      <c r="Z165" s="37">
        <v>8.8005978309407702</v>
      </c>
      <c r="AA165" s="37">
        <v>20.317129118398601</v>
      </c>
      <c r="AB165" s="37">
        <v>11.944303355596499</v>
      </c>
      <c r="AC165" s="37">
        <v>20.5189548300133</v>
      </c>
      <c r="AD165" s="37">
        <v>25.645180813661199</v>
      </c>
      <c r="AE165" s="37">
        <v>25.884826390068501</v>
      </c>
      <c r="AF165" s="45">
        <v>0.59669754513772</v>
      </c>
      <c r="AG165" s="45">
        <v>1.55923311819238</v>
      </c>
      <c r="AH165" s="46">
        <v>0.19135500877150399</v>
      </c>
      <c r="AI165" s="47">
        <v>0.25299703728880701</v>
      </c>
      <c r="AJ165" s="48">
        <v>10.399628523122701</v>
      </c>
      <c r="AK165" s="49">
        <v>16.215445210151</v>
      </c>
      <c r="AL165" s="31" t="s">
        <v>5874</v>
      </c>
      <c r="AM165" s="31" t="s">
        <v>5832</v>
      </c>
      <c r="AN165" s="31" t="s">
        <v>17864</v>
      </c>
      <c r="AO165" s="31" t="s">
        <v>17865</v>
      </c>
      <c r="AP165" s="31" t="s">
        <v>17866</v>
      </c>
      <c r="AQ165" s="31" t="s">
        <v>17867</v>
      </c>
      <c r="AR165" s="31" t="s">
        <v>17868</v>
      </c>
      <c r="AS165" s="31" t="str">
        <f>"TTR"</f>
        <v>TTR</v>
      </c>
      <c r="AT165" s="31" t="s">
        <v>17869</v>
      </c>
      <c r="AU165" s="31" t="s">
        <v>13777</v>
      </c>
      <c r="AV165" s="31">
        <v>9606</v>
      </c>
      <c r="AW165" s="50" t="str">
        <f>HYPERLINK("http://www.uniprot.org/uniprot/P02766", "P02766")</f>
        <v>P02766</v>
      </c>
      <c r="AX165" s="31" t="s">
        <v>17870</v>
      </c>
      <c r="AY165" s="31" t="s">
        <v>14192</v>
      </c>
      <c r="AZ165" s="31" t="s">
        <v>17871</v>
      </c>
      <c r="BA165" s="31" t="s">
        <v>13793</v>
      </c>
      <c r="BB165" s="31" t="s">
        <v>13772</v>
      </c>
      <c r="BC165" s="31" t="s">
        <v>17872</v>
      </c>
      <c r="BD165" s="31" t="s">
        <v>13808</v>
      </c>
      <c r="BE165" s="31" t="s">
        <v>13772</v>
      </c>
      <c r="BF165" s="31" t="s">
        <v>17873</v>
      </c>
      <c r="BG165" s="31" t="s">
        <v>17874</v>
      </c>
      <c r="BH165" s="31" t="s">
        <v>13812</v>
      </c>
      <c r="BI165" s="31" t="s">
        <v>17875</v>
      </c>
      <c r="BJ165" s="31" t="s">
        <v>17876</v>
      </c>
      <c r="BK165" s="31" t="s">
        <v>17877</v>
      </c>
      <c r="BL165" s="31" t="s">
        <v>13772</v>
      </c>
      <c r="BM165" s="31" t="s">
        <v>17878</v>
      </c>
    </row>
    <row r="166" spans="1:65">
      <c r="A166">
        <v>2333</v>
      </c>
      <c r="B166">
        <v>1</v>
      </c>
      <c r="C166">
        <v>161</v>
      </c>
      <c r="D166" t="s">
        <v>5440</v>
      </c>
      <c r="E166" t="s">
        <v>5441</v>
      </c>
      <c r="F166" t="s">
        <v>73</v>
      </c>
      <c r="G166">
        <v>32.5</v>
      </c>
      <c r="H166">
        <v>1939</v>
      </c>
      <c r="I166">
        <v>223461</v>
      </c>
      <c r="J166" t="s">
        <v>5442</v>
      </c>
      <c r="K166" s="3" t="s">
        <v>73</v>
      </c>
      <c r="L166">
        <v>473</v>
      </c>
      <c r="M166">
        <v>74</v>
      </c>
      <c r="N166">
        <v>0.156</v>
      </c>
      <c r="O166" s="11">
        <f t="shared" si="2"/>
        <v>13.651700854798689</v>
      </c>
      <c r="P166" s="36">
        <v>0.30291084895868198</v>
      </c>
      <c r="Q166" s="36">
        <v>0.24076603016936199</v>
      </c>
      <c r="R166" s="36">
        <v>0.40019941545306398</v>
      </c>
      <c r="S166" s="36">
        <v>0.37798043978830698</v>
      </c>
      <c r="T166" s="36">
        <v>0.77415872394320295</v>
      </c>
      <c r="U166" s="36">
        <v>0.27891817399184698</v>
      </c>
      <c r="V166" s="36">
        <v>13.9136221338133</v>
      </c>
      <c r="W166" s="36">
        <v>21.799312594803698</v>
      </c>
      <c r="X166" s="37">
        <v>20.345812307070901</v>
      </c>
      <c r="Y166" s="37">
        <v>23.397101899555398</v>
      </c>
      <c r="Z166" s="37">
        <v>20.641402185297402</v>
      </c>
      <c r="AA166" s="37">
        <v>7.3649593054194797</v>
      </c>
      <c r="AB166" s="37">
        <v>46.766541599989303</v>
      </c>
      <c r="AC166" s="37">
        <v>54.217392185458102</v>
      </c>
      <c r="AD166" s="37">
        <v>0.75427002393121101</v>
      </c>
      <c r="AE166" s="37">
        <v>6.8518658091357798</v>
      </c>
      <c r="AF166" s="45">
        <v>2.1979777615867402</v>
      </c>
      <c r="AG166" s="45">
        <v>4.7348237923676502</v>
      </c>
      <c r="AH166" s="46">
        <v>1.1018755262374899E-2</v>
      </c>
      <c r="AI166" s="47">
        <v>2.0085959865201099E-2</v>
      </c>
      <c r="AJ166" s="48">
        <v>4.7609835451151703</v>
      </c>
      <c r="AK166" s="49">
        <v>22.5424181644822</v>
      </c>
      <c r="AL166" s="31" t="s">
        <v>5874</v>
      </c>
      <c r="AM166" s="31" t="s">
        <v>5878</v>
      </c>
      <c r="AN166" s="31" t="s">
        <v>35991</v>
      </c>
      <c r="AO166" s="31" t="s">
        <v>35992</v>
      </c>
      <c r="AP166" s="31" t="s">
        <v>35993</v>
      </c>
      <c r="AQ166" s="31" t="s">
        <v>35994</v>
      </c>
      <c r="AR166" s="31" t="s">
        <v>35995</v>
      </c>
      <c r="AS166" s="31" t="str">
        <f>"MYH1"</f>
        <v>MYH1</v>
      </c>
      <c r="AT166" s="31" t="s">
        <v>13772</v>
      </c>
      <c r="AU166" s="31" t="s">
        <v>13777</v>
      </c>
      <c r="AV166" s="31">
        <v>9606</v>
      </c>
      <c r="AW166" s="50" t="str">
        <f>HYPERLINK("http://www.uniprot.org/uniprot/P12882", "P12882")</f>
        <v>P12882</v>
      </c>
      <c r="AX166" s="31" t="s">
        <v>35978</v>
      </c>
      <c r="AY166" s="31" t="s">
        <v>13772</v>
      </c>
      <c r="AZ166" s="31" t="s">
        <v>15651</v>
      </c>
      <c r="BA166" s="31" t="s">
        <v>13793</v>
      </c>
      <c r="BB166" s="31" t="s">
        <v>13772</v>
      </c>
      <c r="BC166" s="31" t="s">
        <v>13772</v>
      </c>
      <c r="BD166" s="31" t="s">
        <v>14245</v>
      </c>
      <c r="BE166" s="31" t="s">
        <v>14005</v>
      </c>
      <c r="BF166" s="31" t="s">
        <v>15653</v>
      </c>
      <c r="BG166" s="31" t="s">
        <v>14478</v>
      </c>
      <c r="BH166" s="31" t="s">
        <v>13772</v>
      </c>
      <c r="BI166" s="31" t="s">
        <v>17017</v>
      </c>
      <c r="BJ166" s="31" t="s">
        <v>35996</v>
      </c>
      <c r="BK166" s="31" t="s">
        <v>35997</v>
      </c>
      <c r="BL166" s="31" t="s">
        <v>13772</v>
      </c>
      <c r="BM166" s="31" t="s">
        <v>13772</v>
      </c>
    </row>
    <row r="167" spans="1:65">
      <c r="A167">
        <v>692</v>
      </c>
      <c r="B167">
        <v>1</v>
      </c>
      <c r="C167">
        <v>162</v>
      </c>
      <c r="D167" t="s">
        <v>1704</v>
      </c>
      <c r="E167" t="s">
        <v>1705</v>
      </c>
      <c r="F167" t="s">
        <v>73</v>
      </c>
      <c r="G167">
        <v>40.700000000000003</v>
      </c>
      <c r="H167">
        <v>2602</v>
      </c>
      <c r="I167">
        <v>277745</v>
      </c>
      <c r="J167" t="s">
        <v>1706</v>
      </c>
      <c r="K167" s="3" t="s">
        <v>73</v>
      </c>
      <c r="L167">
        <v>260</v>
      </c>
      <c r="M167">
        <v>251</v>
      </c>
      <c r="N167">
        <v>0.96499999999999997</v>
      </c>
      <c r="O167" s="11">
        <f t="shared" si="2"/>
        <v>13.617108718799056</v>
      </c>
      <c r="P167" s="36">
        <v>1.2116433958347299</v>
      </c>
      <c r="Q167" s="36">
        <v>1.9261282413548899</v>
      </c>
      <c r="R167" s="36">
        <v>1.6007976618122599</v>
      </c>
      <c r="S167" s="36">
        <v>0.37798043978830698</v>
      </c>
      <c r="T167" s="36">
        <v>2.5805290798106801</v>
      </c>
      <c r="U167" s="36">
        <v>0.92972724663949102</v>
      </c>
      <c r="V167" s="36">
        <v>0.26351557071616</v>
      </c>
      <c r="W167" s="36">
        <v>8.7586523818407507</v>
      </c>
      <c r="X167" s="37">
        <v>20.504763965719899</v>
      </c>
      <c r="Y167" s="37">
        <v>23.6493617583107</v>
      </c>
      <c r="Z167" s="37">
        <v>18.961288053935998</v>
      </c>
      <c r="AA167" s="37">
        <v>17.523523864618799</v>
      </c>
      <c r="AB167" s="37">
        <v>47.4096963960599</v>
      </c>
      <c r="AC167" s="37">
        <v>54.0595540713811</v>
      </c>
      <c r="AD167" s="37">
        <v>16.593940526486598</v>
      </c>
      <c r="AE167" s="37">
        <v>1.5226368464746201</v>
      </c>
      <c r="AF167" s="45">
        <v>3.3901673702466502</v>
      </c>
      <c r="AG167" s="45">
        <v>11.3448388150541</v>
      </c>
      <c r="AH167" s="46">
        <v>6.5290292571418999E-8</v>
      </c>
      <c r="AI167" s="47">
        <v>4.69668878820208E-7</v>
      </c>
      <c r="AJ167" s="48">
        <v>2.2061217522246599</v>
      </c>
      <c r="AK167" s="49">
        <v>25.028095685373501</v>
      </c>
      <c r="AL167" s="31" t="s">
        <v>5874</v>
      </c>
      <c r="AM167" s="31" t="s">
        <v>5876</v>
      </c>
      <c r="AN167" s="31" t="s">
        <v>20614</v>
      </c>
      <c r="AO167" s="31" t="s">
        <v>20615</v>
      </c>
      <c r="AP167" s="31" t="s">
        <v>20616</v>
      </c>
      <c r="AQ167" s="31" t="s">
        <v>20617</v>
      </c>
      <c r="AR167" s="31" t="s">
        <v>20618</v>
      </c>
      <c r="AS167" s="31" t="str">
        <f>"FLNB"</f>
        <v>FLNB</v>
      </c>
      <c r="AT167" s="31" t="s">
        <v>20619</v>
      </c>
      <c r="AU167" s="31" t="s">
        <v>13777</v>
      </c>
      <c r="AV167" s="31">
        <v>9606</v>
      </c>
      <c r="AW167" s="50" t="str">
        <f>HYPERLINK("http://www.uniprot.org/uniprot/O75369", "O75369")</f>
        <v>O75369</v>
      </c>
      <c r="AX167" s="31" t="s">
        <v>20620</v>
      </c>
      <c r="AY167" s="31" t="s">
        <v>20621</v>
      </c>
      <c r="AZ167" s="31" t="s">
        <v>13988</v>
      </c>
      <c r="BA167" s="31" t="s">
        <v>13780</v>
      </c>
      <c r="BB167" s="31" t="s">
        <v>13772</v>
      </c>
      <c r="BC167" s="31" t="s">
        <v>14517</v>
      </c>
      <c r="BD167" s="31" t="s">
        <v>14096</v>
      </c>
      <c r="BE167" s="31" t="s">
        <v>13772</v>
      </c>
      <c r="BF167" s="31" t="s">
        <v>19657</v>
      </c>
      <c r="BG167" s="31" t="s">
        <v>13991</v>
      </c>
      <c r="BH167" s="31" t="s">
        <v>13812</v>
      </c>
      <c r="BI167" s="31" t="s">
        <v>20622</v>
      </c>
      <c r="BJ167" s="31" t="s">
        <v>20623</v>
      </c>
      <c r="BK167" s="31" t="s">
        <v>20624</v>
      </c>
      <c r="BL167" s="31" t="s">
        <v>13772</v>
      </c>
      <c r="BM167" s="31" t="s">
        <v>20625</v>
      </c>
    </row>
    <row r="168" spans="1:65">
      <c r="A168">
        <v>1250</v>
      </c>
      <c r="B168">
        <v>1</v>
      </c>
      <c r="C168">
        <v>163</v>
      </c>
      <c r="D168" t="s">
        <v>2998</v>
      </c>
      <c r="E168" t="s">
        <v>73</v>
      </c>
      <c r="F168" t="s">
        <v>73</v>
      </c>
      <c r="G168">
        <v>63.8</v>
      </c>
      <c r="H168">
        <v>69</v>
      </c>
      <c r="I168">
        <v>7502</v>
      </c>
      <c r="J168" t="s">
        <v>2999</v>
      </c>
      <c r="K168" s="3" t="s">
        <v>73</v>
      </c>
      <c r="L168">
        <v>256</v>
      </c>
      <c r="M168">
        <v>256</v>
      </c>
      <c r="N168">
        <v>1</v>
      </c>
      <c r="O168" s="11">
        <f t="shared" si="2"/>
        <v>17.857013453284694</v>
      </c>
      <c r="P168" s="36">
        <v>25.444511312529301</v>
      </c>
      <c r="Q168" s="36">
        <v>32.744180103033202</v>
      </c>
      <c r="R168" s="36">
        <v>60.830311148865803</v>
      </c>
      <c r="S168" s="36">
        <v>66.524557402742104</v>
      </c>
      <c r="T168" s="36">
        <v>25.8052907981068</v>
      </c>
      <c r="U168" s="36">
        <v>15.805363192871299</v>
      </c>
      <c r="V168" s="36">
        <v>20.027183374428201</v>
      </c>
      <c r="W168" s="36">
        <v>6.8122851858761404</v>
      </c>
      <c r="X168" s="37">
        <v>3.9737914662247902</v>
      </c>
      <c r="Y168" s="37">
        <v>3.7838978813297102</v>
      </c>
      <c r="Z168" s="37">
        <v>6.4004347861387396</v>
      </c>
      <c r="AA168" s="37">
        <v>2.5396411397998202</v>
      </c>
      <c r="AB168" s="37">
        <v>2.7563776974453398</v>
      </c>
      <c r="AC168" s="37">
        <v>3.1567622815404999</v>
      </c>
      <c r="AD168" s="37">
        <v>3.0170800957248498</v>
      </c>
      <c r="AE168" s="37">
        <v>6.0905473858984696</v>
      </c>
      <c r="AF168" s="45">
        <v>-2.9549927557445499</v>
      </c>
      <c r="AG168" s="45">
        <v>-8.0077374526650509</v>
      </c>
      <c r="AH168" s="46">
        <v>8.8236794226585496E-10</v>
      </c>
      <c r="AI168" s="47">
        <v>1.15745912426639E-8</v>
      </c>
      <c r="AJ168" s="48">
        <v>31.7492103148066</v>
      </c>
      <c r="AK168" s="49">
        <v>3.96481659176278</v>
      </c>
      <c r="AL168" s="31" t="s">
        <v>5875</v>
      </c>
      <c r="AM168" s="31" t="s">
        <v>5876</v>
      </c>
      <c r="AN168" s="31" t="s">
        <v>25848</v>
      </c>
      <c r="AO168" s="31" t="s">
        <v>25849</v>
      </c>
      <c r="AP168" s="31" t="s">
        <v>25850</v>
      </c>
      <c r="AQ168" s="31" t="s">
        <v>25851</v>
      </c>
      <c r="AR168" s="31" t="s">
        <v>25852</v>
      </c>
      <c r="AS168" s="31" t="str">
        <f>"DEFB1"</f>
        <v>DEFB1</v>
      </c>
      <c r="AT168" s="31" t="s">
        <v>25853</v>
      </c>
      <c r="AU168" s="31" t="s">
        <v>13777</v>
      </c>
      <c r="AV168" s="31">
        <v>9606</v>
      </c>
      <c r="AW168" s="50" t="str">
        <f>HYPERLINK("http://www.uniprot.org/uniprot/P60022", "P60022")</f>
        <v>P60022</v>
      </c>
      <c r="AX168" s="31" t="s">
        <v>25854</v>
      </c>
      <c r="AY168" s="31" t="s">
        <v>13772</v>
      </c>
      <c r="AZ168" s="31" t="s">
        <v>17261</v>
      </c>
      <c r="BA168" s="31" t="s">
        <v>13793</v>
      </c>
      <c r="BB168" s="31" t="s">
        <v>13772</v>
      </c>
      <c r="BC168" s="31" t="s">
        <v>13772</v>
      </c>
      <c r="BD168" s="31" t="s">
        <v>13808</v>
      </c>
      <c r="BE168" s="31" t="s">
        <v>13772</v>
      </c>
      <c r="BF168" s="31" t="s">
        <v>25855</v>
      </c>
      <c r="BG168" s="31" t="s">
        <v>14506</v>
      </c>
      <c r="BH168" s="31" t="s">
        <v>13812</v>
      </c>
      <c r="BI168" s="31" t="s">
        <v>25856</v>
      </c>
      <c r="BJ168" s="31" t="s">
        <v>25857</v>
      </c>
      <c r="BK168" s="31" t="s">
        <v>25858</v>
      </c>
      <c r="BL168" s="31" t="s">
        <v>13772</v>
      </c>
      <c r="BM168" s="31" t="s">
        <v>25859</v>
      </c>
    </row>
    <row r="169" spans="1:65">
      <c r="A169">
        <v>769</v>
      </c>
      <c r="B169">
        <v>1</v>
      </c>
      <c r="C169">
        <v>164</v>
      </c>
      <c r="D169" t="s">
        <v>1889</v>
      </c>
      <c r="E169" t="s">
        <v>1890</v>
      </c>
      <c r="F169" t="s">
        <v>73</v>
      </c>
      <c r="G169">
        <v>40.4</v>
      </c>
      <c r="H169">
        <v>768</v>
      </c>
      <c r="I169">
        <v>87788</v>
      </c>
      <c r="J169" t="s">
        <v>1891</v>
      </c>
      <c r="K169" s="3" t="s">
        <v>73</v>
      </c>
      <c r="L169">
        <v>255</v>
      </c>
      <c r="M169">
        <v>255</v>
      </c>
      <c r="N169">
        <v>1</v>
      </c>
      <c r="O169" s="11">
        <f t="shared" si="2"/>
        <v>16.630554163159829</v>
      </c>
      <c r="P169" s="36">
        <v>24.232867916694602</v>
      </c>
      <c r="Q169" s="36">
        <v>34.670308344388097</v>
      </c>
      <c r="R169" s="36">
        <v>12.806381294498101</v>
      </c>
      <c r="S169" s="36">
        <v>24.1907481464517</v>
      </c>
      <c r="T169" s="36">
        <v>40.428288917033903</v>
      </c>
      <c r="U169" s="36">
        <v>50.205271318532503</v>
      </c>
      <c r="V169" s="36">
        <v>29.513743920209901</v>
      </c>
      <c r="W169" s="36">
        <v>17.517304763681501</v>
      </c>
      <c r="X169" s="37">
        <v>0.19868957331123899</v>
      </c>
      <c r="Y169" s="37">
        <v>1.2612992937765699</v>
      </c>
      <c r="Z169" s="37">
        <v>0.200013587066836</v>
      </c>
      <c r="AA169" s="37">
        <v>0.21163676164998499</v>
      </c>
      <c r="AB169" s="37">
        <v>0.22969814145377901</v>
      </c>
      <c r="AC169" s="37">
        <v>4.7351434223107498</v>
      </c>
      <c r="AD169" s="37">
        <v>21.119560670073898</v>
      </c>
      <c r="AE169" s="37">
        <v>4.5679105394238499</v>
      </c>
      <c r="AF169" s="45">
        <v>-2.9592850644395301</v>
      </c>
      <c r="AG169" s="45">
        <v>-7.18132023746697</v>
      </c>
      <c r="AH169" s="46">
        <v>2.7577439780647399E-5</v>
      </c>
      <c r="AI169" s="47">
        <v>8.8274197192598502E-5</v>
      </c>
      <c r="AJ169" s="48">
        <v>29.1956143276863</v>
      </c>
      <c r="AK169" s="49">
        <v>4.0654939986333698</v>
      </c>
      <c r="AL169" s="31" t="s">
        <v>5875</v>
      </c>
      <c r="AM169" s="31" t="s">
        <v>5876</v>
      </c>
      <c r="AN169" s="31" t="s">
        <v>21357</v>
      </c>
      <c r="AO169" s="31" t="s">
        <v>21358</v>
      </c>
      <c r="AP169" s="31" t="s">
        <v>21359</v>
      </c>
      <c r="AQ169" s="31" t="s">
        <v>21360</v>
      </c>
      <c r="AR169" s="31" t="s">
        <v>21361</v>
      </c>
      <c r="AS169" s="31" t="str">
        <f>"MME"</f>
        <v>MME</v>
      </c>
      <c r="AT169" s="31" t="s">
        <v>21362</v>
      </c>
      <c r="AU169" s="31" t="s">
        <v>13777</v>
      </c>
      <c r="AV169" s="31">
        <v>9606</v>
      </c>
      <c r="AW169" s="50" t="str">
        <f>HYPERLINK("http://www.uniprot.org/uniprot/P08473", "P08473")</f>
        <v>P08473</v>
      </c>
      <c r="AX169" s="31" t="s">
        <v>21363</v>
      </c>
      <c r="AY169" s="31" t="s">
        <v>13772</v>
      </c>
      <c r="AZ169" s="31" t="s">
        <v>13792</v>
      </c>
      <c r="BA169" s="31" t="s">
        <v>13772</v>
      </c>
      <c r="BB169" s="31" t="s">
        <v>13772</v>
      </c>
      <c r="BC169" s="31" t="s">
        <v>21364</v>
      </c>
      <c r="BD169" s="31" t="s">
        <v>14417</v>
      </c>
      <c r="BE169" s="31" t="s">
        <v>13856</v>
      </c>
      <c r="BF169" s="31" t="s">
        <v>15139</v>
      </c>
      <c r="BG169" s="31" t="s">
        <v>21365</v>
      </c>
      <c r="BH169" s="31" t="s">
        <v>13812</v>
      </c>
      <c r="BI169" s="31" t="s">
        <v>21366</v>
      </c>
      <c r="BJ169" s="31" t="s">
        <v>21367</v>
      </c>
      <c r="BK169" s="31" t="s">
        <v>21368</v>
      </c>
      <c r="BL169" s="31" t="s">
        <v>13772</v>
      </c>
      <c r="BM169" s="31" t="s">
        <v>16433</v>
      </c>
    </row>
    <row r="170" spans="1:65">
      <c r="A170">
        <v>1003</v>
      </c>
      <c r="B170">
        <v>1</v>
      </c>
      <c r="C170">
        <v>165</v>
      </c>
      <c r="D170" t="s">
        <v>2432</v>
      </c>
      <c r="E170" t="s">
        <v>73</v>
      </c>
      <c r="F170" t="s">
        <v>73</v>
      </c>
      <c r="G170">
        <v>45.9</v>
      </c>
      <c r="H170">
        <v>765</v>
      </c>
      <c r="I170">
        <v>88182</v>
      </c>
      <c r="J170" t="s">
        <v>2433</v>
      </c>
      <c r="K170" s="3" t="s">
        <v>73</v>
      </c>
      <c r="L170">
        <v>254</v>
      </c>
      <c r="M170">
        <v>254</v>
      </c>
      <c r="N170">
        <v>1</v>
      </c>
      <c r="O170" s="11">
        <f t="shared" si="2"/>
        <v>17.824747418049871</v>
      </c>
      <c r="P170" s="36">
        <v>15.7513641458515</v>
      </c>
      <c r="Q170" s="36">
        <v>22.150474775581301</v>
      </c>
      <c r="R170" s="36">
        <v>17.608774279934799</v>
      </c>
      <c r="S170" s="36">
        <v>31.750356942217799</v>
      </c>
      <c r="T170" s="36">
        <v>32.686701677601903</v>
      </c>
      <c r="U170" s="36">
        <v>23.243181165987298</v>
      </c>
      <c r="V170" s="36">
        <v>32.675930768803902</v>
      </c>
      <c r="W170" s="36">
        <v>27.249140743504601</v>
      </c>
      <c r="X170" s="37">
        <v>0.19868957331123899</v>
      </c>
      <c r="Y170" s="37">
        <v>3.7838978813297102</v>
      </c>
      <c r="Z170" s="37">
        <v>4.0002717413367099</v>
      </c>
      <c r="AA170" s="37">
        <v>0.84654704659994096</v>
      </c>
      <c r="AB170" s="37">
        <v>3.6751702632604601</v>
      </c>
      <c r="AC170" s="37">
        <v>1.5783811407702499</v>
      </c>
      <c r="AD170" s="37">
        <v>55.815981770909602</v>
      </c>
      <c r="AE170" s="37">
        <v>12.1810947717969</v>
      </c>
      <c r="AF170" s="45">
        <v>-1.3657822246029401</v>
      </c>
      <c r="AG170" s="45">
        <v>-2.4746081858470301</v>
      </c>
      <c r="AH170" s="46">
        <v>5.2165081307153E-2</v>
      </c>
      <c r="AI170" s="47">
        <v>8.0226297458587004E-2</v>
      </c>
      <c r="AJ170" s="48">
        <v>25.389490562435402</v>
      </c>
      <c r="AK170" s="49">
        <v>10.2600042736644</v>
      </c>
      <c r="AL170" s="31" t="s">
        <v>5875</v>
      </c>
      <c r="AM170" s="31" t="s">
        <v>5877</v>
      </c>
      <c r="AN170" s="31" t="s">
        <v>23635</v>
      </c>
      <c r="AO170" s="31" t="s">
        <v>23636</v>
      </c>
      <c r="AP170" s="31" t="s">
        <v>23637</v>
      </c>
      <c r="AQ170" s="31" t="s">
        <v>23638</v>
      </c>
      <c r="AR170" s="31" t="s">
        <v>23639</v>
      </c>
      <c r="AS170" s="31" t="str">
        <f>"DPP4"</f>
        <v>DPP4</v>
      </c>
      <c r="AT170" s="31" t="s">
        <v>23640</v>
      </c>
      <c r="AU170" s="31" t="s">
        <v>13777</v>
      </c>
      <c r="AV170" s="31">
        <v>9606</v>
      </c>
      <c r="AW170" s="50" t="str">
        <f>HYPERLINK("http://www.uniprot.org/uniprot/P27487", "P27487")</f>
        <v>P27487</v>
      </c>
      <c r="AX170" s="31" t="s">
        <v>23641</v>
      </c>
      <c r="AY170" s="31" t="s">
        <v>13949</v>
      </c>
      <c r="AZ170" s="31" t="s">
        <v>23642</v>
      </c>
      <c r="BA170" s="31" t="s">
        <v>13772</v>
      </c>
      <c r="BB170" s="31" t="s">
        <v>13772</v>
      </c>
      <c r="BC170" s="31" t="s">
        <v>13772</v>
      </c>
      <c r="BD170" s="31" t="s">
        <v>14417</v>
      </c>
      <c r="BE170" s="31" t="s">
        <v>13772</v>
      </c>
      <c r="BF170" s="31" t="s">
        <v>23643</v>
      </c>
      <c r="BG170" s="31" t="s">
        <v>13796</v>
      </c>
      <c r="BH170" s="31" t="s">
        <v>13812</v>
      </c>
      <c r="BI170" s="31" t="s">
        <v>23644</v>
      </c>
      <c r="BJ170" s="31" t="s">
        <v>23645</v>
      </c>
      <c r="BK170" s="31" t="s">
        <v>23646</v>
      </c>
      <c r="BL170" s="31" t="s">
        <v>13772</v>
      </c>
      <c r="BM170" s="31" t="s">
        <v>23647</v>
      </c>
    </row>
    <row r="171" spans="1:65">
      <c r="A171">
        <v>1242</v>
      </c>
      <c r="B171">
        <v>1</v>
      </c>
      <c r="C171">
        <v>166</v>
      </c>
      <c r="D171" t="s">
        <v>2979</v>
      </c>
      <c r="E171" t="s">
        <v>73</v>
      </c>
      <c r="F171" t="s">
        <v>73</v>
      </c>
      <c r="G171">
        <v>50.3</v>
      </c>
      <c r="H171">
        <v>477</v>
      </c>
      <c r="I171">
        <v>51722</v>
      </c>
      <c r="J171" t="s">
        <v>2980</v>
      </c>
      <c r="K171" s="3" t="s">
        <v>73</v>
      </c>
      <c r="L171">
        <v>254</v>
      </c>
      <c r="M171">
        <v>254</v>
      </c>
      <c r="N171">
        <v>1</v>
      </c>
      <c r="O171" s="11">
        <f t="shared" si="2"/>
        <v>13.768470072508149</v>
      </c>
      <c r="P171" s="36">
        <v>16.963007541686199</v>
      </c>
      <c r="Q171" s="36">
        <v>0.96306412067744696</v>
      </c>
      <c r="R171" s="36">
        <v>0.40019941545306398</v>
      </c>
      <c r="S171" s="36">
        <v>0.37798043978830698</v>
      </c>
      <c r="T171" s="36">
        <v>0.215044089984223</v>
      </c>
      <c r="U171" s="36">
        <v>0.92972724663949102</v>
      </c>
      <c r="V171" s="36">
        <v>8.4324982629171306</v>
      </c>
      <c r="W171" s="36">
        <v>46.712812703150703</v>
      </c>
      <c r="X171" s="37">
        <v>7.1528246392046197</v>
      </c>
      <c r="Y171" s="37">
        <v>10.7210439971009</v>
      </c>
      <c r="Z171" s="37">
        <v>15.2010326170795</v>
      </c>
      <c r="AA171" s="37">
        <v>19.470582071798599</v>
      </c>
      <c r="AB171" s="37">
        <v>12.863095921411601</v>
      </c>
      <c r="AC171" s="37">
        <v>8.6810962742363706</v>
      </c>
      <c r="AD171" s="37">
        <v>37.7135011965606</v>
      </c>
      <c r="AE171" s="37">
        <v>33.498010622441598</v>
      </c>
      <c r="AF171" s="45">
        <v>0.92021823200035402</v>
      </c>
      <c r="AG171" s="45">
        <v>1.9374955405032099</v>
      </c>
      <c r="AH171" s="46">
        <v>0.232220564291471</v>
      </c>
      <c r="AI171" s="47">
        <v>0.30224816636380197</v>
      </c>
      <c r="AJ171" s="48">
        <v>9.3742917275370701</v>
      </c>
      <c r="AK171" s="49">
        <v>18.1626484174792</v>
      </c>
      <c r="AL171" s="31" t="s">
        <v>5874</v>
      </c>
      <c r="AM171" s="31" t="s">
        <v>5832</v>
      </c>
      <c r="AN171" s="31" t="s">
        <v>25767</v>
      </c>
      <c r="AO171" s="31" t="s">
        <v>25768</v>
      </c>
      <c r="AP171" s="31" t="s">
        <v>25769</v>
      </c>
      <c r="AQ171" s="31" t="s">
        <v>25770</v>
      </c>
      <c r="AR171" s="31" t="s">
        <v>25771</v>
      </c>
      <c r="AS171" s="31" t="str">
        <f>"AGT"</f>
        <v>AGT</v>
      </c>
      <c r="AT171" s="31" t="s">
        <v>25772</v>
      </c>
      <c r="AU171" s="31" t="s">
        <v>13777</v>
      </c>
      <c r="AV171" s="31">
        <v>9606</v>
      </c>
      <c r="AW171" s="50" t="str">
        <f>HYPERLINK("http://www.uniprot.org/uniprot/P01019", "P01019")</f>
        <v>P01019</v>
      </c>
      <c r="AX171" s="31" t="s">
        <v>25773</v>
      </c>
      <c r="AY171" s="31" t="s">
        <v>13772</v>
      </c>
      <c r="AZ171" s="31" t="s">
        <v>14321</v>
      </c>
      <c r="BA171" s="31" t="s">
        <v>13793</v>
      </c>
      <c r="BB171" s="31" t="s">
        <v>13772</v>
      </c>
      <c r="BC171" s="31" t="s">
        <v>13807</v>
      </c>
      <c r="BD171" s="31" t="s">
        <v>13808</v>
      </c>
      <c r="BE171" s="31" t="s">
        <v>13772</v>
      </c>
      <c r="BF171" s="31" t="s">
        <v>25774</v>
      </c>
      <c r="BG171" s="31" t="s">
        <v>13796</v>
      </c>
      <c r="BH171" s="31" t="s">
        <v>13812</v>
      </c>
      <c r="BI171" s="31" t="s">
        <v>25775</v>
      </c>
      <c r="BJ171" s="31" t="s">
        <v>25776</v>
      </c>
      <c r="BK171" s="31" t="s">
        <v>25777</v>
      </c>
      <c r="BL171" s="31" t="s">
        <v>13772</v>
      </c>
      <c r="BM171" s="31" t="s">
        <v>25778</v>
      </c>
    </row>
    <row r="172" spans="1:65">
      <c r="A172">
        <v>1351</v>
      </c>
      <c r="B172">
        <v>1</v>
      </c>
      <c r="C172">
        <v>167</v>
      </c>
      <c r="D172" t="s">
        <v>3232</v>
      </c>
      <c r="E172" t="s">
        <v>73</v>
      </c>
      <c r="F172" t="s">
        <v>73</v>
      </c>
      <c r="G172">
        <v>76.599999999999994</v>
      </c>
      <c r="H172">
        <v>261</v>
      </c>
      <c r="I172">
        <v>29126</v>
      </c>
      <c r="J172" t="s">
        <v>3233</v>
      </c>
      <c r="K172" s="3" t="s">
        <v>73</v>
      </c>
      <c r="L172">
        <v>251</v>
      </c>
      <c r="M172">
        <v>251</v>
      </c>
      <c r="N172">
        <v>1</v>
      </c>
      <c r="O172" s="11">
        <f t="shared" si="2"/>
        <v>13.679438312872909</v>
      </c>
      <c r="P172" s="36">
        <v>10.9047905625126</v>
      </c>
      <c r="Q172" s="36">
        <v>0.96306412067744696</v>
      </c>
      <c r="R172" s="36">
        <v>1.6007976618122599</v>
      </c>
      <c r="S172" s="36">
        <v>0.37798043978830698</v>
      </c>
      <c r="T172" s="36">
        <v>0.215044089984223</v>
      </c>
      <c r="U172" s="36">
        <v>12.0864542063134</v>
      </c>
      <c r="V172" s="36">
        <v>12.6487473943757</v>
      </c>
      <c r="W172" s="36">
        <v>79.801055034549094</v>
      </c>
      <c r="X172" s="37">
        <v>13.5108909851643</v>
      </c>
      <c r="Y172" s="37">
        <v>20.180788700425101</v>
      </c>
      <c r="Z172" s="37">
        <v>14.400978268812199</v>
      </c>
      <c r="AA172" s="37">
        <v>9.3120175125993505</v>
      </c>
      <c r="AB172" s="37">
        <v>16.5382661846721</v>
      </c>
      <c r="AC172" s="37">
        <v>14.2054302669323</v>
      </c>
      <c r="AD172" s="37">
        <v>6.0341601914496898</v>
      </c>
      <c r="AE172" s="37">
        <v>6.0905473858984696</v>
      </c>
      <c r="AF172" s="45">
        <v>-0.24072237840944899</v>
      </c>
      <c r="AG172" s="45">
        <v>-1.18274948875784</v>
      </c>
      <c r="AH172" s="46">
        <v>0.76018890645823001</v>
      </c>
      <c r="AI172" s="47">
        <v>0.82026835229121897</v>
      </c>
      <c r="AJ172" s="48">
        <v>14.824741688751599</v>
      </c>
      <c r="AK172" s="49">
        <v>12.534134936994199</v>
      </c>
      <c r="AL172" s="31" t="s">
        <v>5875</v>
      </c>
      <c r="AM172" s="31" t="s">
        <v>5832</v>
      </c>
      <c r="AN172" s="31" t="s">
        <v>26839</v>
      </c>
      <c r="AO172" s="31" t="s">
        <v>26840</v>
      </c>
      <c r="AP172" s="31" t="s">
        <v>26841</v>
      </c>
      <c r="AQ172" s="31" t="s">
        <v>26842</v>
      </c>
      <c r="AR172" s="31" t="s">
        <v>13772</v>
      </c>
      <c r="AS172" s="31" t="str">
        <f>"CA1"</f>
        <v>CA1</v>
      </c>
      <c r="AT172" s="31" t="s">
        <v>13772</v>
      </c>
      <c r="AU172" s="31" t="s">
        <v>13777</v>
      </c>
      <c r="AV172" s="31">
        <v>9606</v>
      </c>
      <c r="AW172" s="50" t="str">
        <f>HYPERLINK("http://www.uniprot.org/uniprot/P00915", "P00915")</f>
        <v>P00915</v>
      </c>
      <c r="AX172" s="31" t="s">
        <v>26843</v>
      </c>
      <c r="AY172" s="31" t="s">
        <v>13772</v>
      </c>
      <c r="AZ172" s="31" t="s">
        <v>13899</v>
      </c>
      <c r="BA172" s="31" t="s">
        <v>13793</v>
      </c>
      <c r="BB172" s="31" t="s">
        <v>13772</v>
      </c>
      <c r="BC172" s="31" t="s">
        <v>13772</v>
      </c>
      <c r="BD172" s="31" t="s">
        <v>13772</v>
      </c>
      <c r="BE172" s="31" t="s">
        <v>13856</v>
      </c>
      <c r="BF172" s="31" t="s">
        <v>15788</v>
      </c>
      <c r="BG172" s="31" t="s">
        <v>14020</v>
      </c>
      <c r="BH172" s="31" t="s">
        <v>13812</v>
      </c>
      <c r="BI172" s="31" t="s">
        <v>26844</v>
      </c>
      <c r="BJ172" s="31" t="s">
        <v>15111</v>
      </c>
      <c r="BK172" s="31" t="s">
        <v>26845</v>
      </c>
      <c r="BL172" s="31" t="s">
        <v>13772</v>
      </c>
      <c r="BM172" s="31" t="s">
        <v>26846</v>
      </c>
    </row>
    <row r="173" spans="1:65">
      <c r="A173">
        <v>826</v>
      </c>
      <c r="B173">
        <v>1</v>
      </c>
      <c r="C173">
        <v>168</v>
      </c>
      <c r="D173" t="s">
        <v>2022</v>
      </c>
      <c r="E173" t="s">
        <v>73</v>
      </c>
      <c r="F173" t="s">
        <v>73</v>
      </c>
      <c r="G173">
        <v>97.4</v>
      </c>
      <c r="H173">
        <v>153</v>
      </c>
      <c r="I173">
        <v>15733</v>
      </c>
      <c r="J173" t="s">
        <v>2023</v>
      </c>
      <c r="K173" s="3" t="s">
        <v>73</v>
      </c>
      <c r="L173">
        <v>250</v>
      </c>
      <c r="M173">
        <v>250</v>
      </c>
      <c r="N173">
        <v>1</v>
      </c>
      <c r="O173" s="11">
        <f t="shared" si="2"/>
        <v>15.461022696087214</v>
      </c>
      <c r="P173" s="36">
        <v>10.9047905625126</v>
      </c>
      <c r="Q173" s="36">
        <v>11.556769448129399</v>
      </c>
      <c r="R173" s="36">
        <v>24.0119649271839</v>
      </c>
      <c r="S173" s="36">
        <v>16.631139350685501</v>
      </c>
      <c r="T173" s="36">
        <v>11.1822926791796</v>
      </c>
      <c r="U173" s="36">
        <v>12.0864542063134</v>
      </c>
      <c r="V173" s="36">
        <v>32.675930768803902</v>
      </c>
      <c r="W173" s="36">
        <v>36.980976723327601</v>
      </c>
      <c r="X173" s="37">
        <v>13.5108909851643</v>
      </c>
      <c r="Y173" s="37">
        <v>10.7210439971009</v>
      </c>
      <c r="Z173" s="37">
        <v>8.0005434826734305</v>
      </c>
      <c r="AA173" s="37">
        <v>5.9258293261995796</v>
      </c>
      <c r="AB173" s="37">
        <v>15.619473618856899</v>
      </c>
      <c r="AC173" s="37">
        <v>10.2594774150066</v>
      </c>
      <c r="AD173" s="37">
        <v>10.559780335037001</v>
      </c>
      <c r="AE173" s="37">
        <v>16.749005311220799</v>
      </c>
      <c r="AF173" s="45">
        <v>-0.77938334451344005</v>
      </c>
      <c r="AG173" s="45">
        <v>-1.7081234285435101</v>
      </c>
      <c r="AH173" s="46">
        <v>3.7085967587386699E-2</v>
      </c>
      <c r="AI173" s="47">
        <v>5.9355292621917903E-2</v>
      </c>
      <c r="AJ173" s="48">
        <v>19.503789833267</v>
      </c>
      <c r="AK173" s="49">
        <v>11.418255558907401</v>
      </c>
      <c r="AL173" s="31" t="s">
        <v>5875</v>
      </c>
      <c r="AM173" s="31" t="s">
        <v>5877</v>
      </c>
      <c r="AN173" s="31" t="s">
        <v>21931</v>
      </c>
      <c r="AO173" s="31" t="s">
        <v>21932</v>
      </c>
      <c r="AP173" s="31" t="s">
        <v>21933</v>
      </c>
      <c r="AQ173" s="31" t="s">
        <v>21934</v>
      </c>
      <c r="AR173" s="31" t="s">
        <v>21935</v>
      </c>
      <c r="AS173" s="31" t="str">
        <f>"SOD1"</f>
        <v>SOD1</v>
      </c>
      <c r="AT173" s="31" t="s">
        <v>13772</v>
      </c>
      <c r="AU173" s="31" t="s">
        <v>13777</v>
      </c>
      <c r="AV173" s="31">
        <v>9606</v>
      </c>
      <c r="AW173" s="50" t="str">
        <f>HYPERLINK("http://www.uniprot.org/uniprot/P00441", "P00441")</f>
        <v>P00441</v>
      </c>
      <c r="AX173" s="31" t="s">
        <v>21936</v>
      </c>
      <c r="AY173" s="31" t="s">
        <v>13772</v>
      </c>
      <c r="AZ173" s="31" t="s">
        <v>19098</v>
      </c>
      <c r="BA173" s="31" t="s">
        <v>13772</v>
      </c>
      <c r="BB173" s="31" t="s">
        <v>13772</v>
      </c>
      <c r="BC173" s="31" t="s">
        <v>13989</v>
      </c>
      <c r="BD173" s="31" t="s">
        <v>13772</v>
      </c>
      <c r="BE173" s="31" t="s">
        <v>20010</v>
      </c>
      <c r="BF173" s="31" t="s">
        <v>21937</v>
      </c>
      <c r="BG173" s="31" t="s">
        <v>21938</v>
      </c>
      <c r="BH173" s="31" t="s">
        <v>13812</v>
      </c>
      <c r="BI173" s="31" t="s">
        <v>21939</v>
      </c>
      <c r="BJ173" s="31" t="s">
        <v>21940</v>
      </c>
      <c r="BK173" s="31" t="s">
        <v>21941</v>
      </c>
      <c r="BL173" s="31" t="s">
        <v>13772</v>
      </c>
      <c r="BM173" s="31" t="s">
        <v>21942</v>
      </c>
    </row>
    <row r="174" spans="1:65">
      <c r="A174">
        <v>1415</v>
      </c>
      <c r="B174">
        <v>1</v>
      </c>
      <c r="C174">
        <v>169</v>
      </c>
      <c r="D174" t="s">
        <v>3374</v>
      </c>
      <c r="E174" t="s">
        <v>3375</v>
      </c>
      <c r="F174" t="s">
        <v>73</v>
      </c>
      <c r="G174">
        <v>55.4</v>
      </c>
      <c r="H174">
        <v>224</v>
      </c>
      <c r="I174">
        <v>25046</v>
      </c>
      <c r="J174" t="s">
        <v>3377</v>
      </c>
      <c r="K174" s="3" t="s">
        <v>73</v>
      </c>
      <c r="L174">
        <v>255</v>
      </c>
      <c r="M174">
        <v>198</v>
      </c>
      <c r="N174">
        <v>0.77600000000000002</v>
      </c>
      <c r="O174" s="11">
        <f t="shared" si="2"/>
        <v>12.615896958339881</v>
      </c>
      <c r="P174" s="36">
        <v>1.0904790562512601</v>
      </c>
      <c r="Q174" s="36">
        <v>6.4525296085388897</v>
      </c>
      <c r="R174" s="36">
        <v>4.8023929854367697</v>
      </c>
      <c r="S174" s="36">
        <v>1.5119217591532299</v>
      </c>
      <c r="T174" s="36">
        <v>10.1500810472553</v>
      </c>
      <c r="U174" s="36">
        <v>5.5783634798369501</v>
      </c>
      <c r="V174" s="36">
        <v>5.1649051860367399</v>
      </c>
      <c r="W174" s="36">
        <v>8.6613340220425208</v>
      </c>
      <c r="X174" s="37">
        <v>27.180733628977499</v>
      </c>
      <c r="Y174" s="37">
        <v>13.432837478720501</v>
      </c>
      <c r="Z174" s="37">
        <v>23.7616141435401</v>
      </c>
      <c r="AA174" s="37">
        <v>45.628885811736801</v>
      </c>
      <c r="AB174" s="37">
        <v>12.5874581516671</v>
      </c>
      <c r="AC174" s="37">
        <v>10.8908298713147</v>
      </c>
      <c r="AD174" s="37">
        <v>17.4990645552041</v>
      </c>
      <c r="AE174" s="37">
        <v>7.4609205477256202</v>
      </c>
      <c r="AF174" s="45">
        <v>1.8087711465549901</v>
      </c>
      <c r="AG174" s="45">
        <v>3.64973551352535</v>
      </c>
      <c r="AH174" s="46">
        <v>7.1533675557509599E-5</v>
      </c>
      <c r="AI174" s="47">
        <v>2.11752340477761E-4</v>
      </c>
      <c r="AJ174" s="48">
        <v>5.42650089306896</v>
      </c>
      <c r="AK174" s="49">
        <v>19.805293023610801</v>
      </c>
      <c r="AL174" s="31" t="s">
        <v>5874</v>
      </c>
      <c r="AM174" s="31" t="s">
        <v>5876</v>
      </c>
      <c r="AN174" s="31" t="s">
        <v>27411</v>
      </c>
      <c r="AO174" s="31" t="s">
        <v>27412</v>
      </c>
      <c r="AP174" s="31" t="s">
        <v>27413</v>
      </c>
      <c r="AQ174" s="31" t="s">
        <v>27414</v>
      </c>
      <c r="AR174" s="31" t="s">
        <v>27415</v>
      </c>
      <c r="AS174" s="31" t="str">
        <f>"HIST1H3A"</f>
        <v>HIST1H3A</v>
      </c>
      <c r="AT174" s="31" t="s">
        <v>27416</v>
      </c>
      <c r="AU174" s="31" t="s">
        <v>13777</v>
      </c>
      <c r="AV174" s="31">
        <v>9606</v>
      </c>
      <c r="AW174" s="50" t="str">
        <f>HYPERLINK("http://www.uniprot.org/uniprot/P68431", "P68431")</f>
        <v>P68431</v>
      </c>
      <c r="AX174" s="31" t="s">
        <v>25083</v>
      </c>
      <c r="AY174" s="31" t="s">
        <v>13772</v>
      </c>
      <c r="AZ174" s="31" t="s">
        <v>15870</v>
      </c>
      <c r="BA174" s="31" t="s">
        <v>13772</v>
      </c>
      <c r="BB174" s="31" t="s">
        <v>13772</v>
      </c>
      <c r="BC174" s="31" t="s">
        <v>13807</v>
      </c>
      <c r="BD174" s="31" t="s">
        <v>13772</v>
      </c>
      <c r="BE174" s="31" t="s">
        <v>13772</v>
      </c>
      <c r="BF174" s="31" t="s">
        <v>15871</v>
      </c>
      <c r="BG174" s="31" t="s">
        <v>25084</v>
      </c>
      <c r="BH174" s="31" t="s">
        <v>13812</v>
      </c>
      <c r="BI174" s="31" t="s">
        <v>27417</v>
      </c>
      <c r="BJ174" s="31" t="s">
        <v>27418</v>
      </c>
      <c r="BK174" s="31" t="s">
        <v>27419</v>
      </c>
      <c r="BL174" s="31" t="s">
        <v>13772</v>
      </c>
      <c r="BM174" s="31" t="s">
        <v>27420</v>
      </c>
    </row>
    <row r="175" spans="1:65">
      <c r="A175">
        <v>1930</v>
      </c>
      <c r="B175">
        <v>1</v>
      </c>
      <c r="C175">
        <v>170</v>
      </c>
      <c r="D175" t="s">
        <v>4546</v>
      </c>
      <c r="E175" t="s">
        <v>73</v>
      </c>
      <c r="F175" t="s">
        <v>73</v>
      </c>
      <c r="G175">
        <v>49.8</v>
      </c>
      <c r="H175">
        <v>654</v>
      </c>
      <c r="I175">
        <v>72252</v>
      </c>
      <c r="J175" t="s">
        <v>4547</v>
      </c>
      <c r="K175" s="3" t="s">
        <v>73</v>
      </c>
      <c r="L175">
        <v>261</v>
      </c>
      <c r="M175">
        <v>224</v>
      </c>
      <c r="N175">
        <v>0.85799999999999998</v>
      </c>
      <c r="O175" s="11">
        <f t="shared" si="2"/>
        <v>13.642741223632775</v>
      </c>
      <c r="P175" s="36">
        <v>13.933899052099401</v>
      </c>
      <c r="Q175" s="36">
        <v>11.460463036061601</v>
      </c>
      <c r="R175" s="36">
        <v>7.5237490105176104</v>
      </c>
      <c r="S175" s="36">
        <v>3.77980439788307</v>
      </c>
      <c r="T175" s="36">
        <v>5.5051287035961103</v>
      </c>
      <c r="U175" s="36">
        <v>9.6691633650507107</v>
      </c>
      <c r="V175" s="36">
        <v>13.070372307521501</v>
      </c>
      <c r="W175" s="36">
        <v>8.4666973024460592</v>
      </c>
      <c r="X175" s="37">
        <v>21.6174255762628</v>
      </c>
      <c r="Y175" s="37">
        <v>9.3966797386354592</v>
      </c>
      <c r="Z175" s="37">
        <v>29.842027190371901</v>
      </c>
      <c r="AA175" s="37">
        <v>23.5340078954784</v>
      </c>
      <c r="AB175" s="37">
        <v>14.884439566204801</v>
      </c>
      <c r="AC175" s="37">
        <v>14.1265112098937</v>
      </c>
      <c r="AD175" s="37">
        <v>21.119560670073898</v>
      </c>
      <c r="AE175" s="37">
        <v>10.3539305560274</v>
      </c>
      <c r="AF175" s="45">
        <v>0.96301848419041902</v>
      </c>
      <c r="AG175" s="45">
        <v>1.9735187155873399</v>
      </c>
      <c r="AH175" s="46">
        <v>6.6888237321798697E-3</v>
      </c>
      <c r="AI175" s="47">
        <v>1.2895743737257499E-2</v>
      </c>
      <c r="AJ175" s="48">
        <v>9.1761596468970108</v>
      </c>
      <c r="AK175" s="49">
        <v>18.109322800368599</v>
      </c>
      <c r="AL175" s="31" t="s">
        <v>5874</v>
      </c>
      <c r="AM175" s="31" t="s">
        <v>5878</v>
      </c>
      <c r="AN175" s="31" t="s">
        <v>32277</v>
      </c>
      <c r="AO175" s="31" t="s">
        <v>32278</v>
      </c>
      <c r="AP175" s="31" t="s">
        <v>32279</v>
      </c>
      <c r="AQ175" s="31" t="s">
        <v>32280</v>
      </c>
      <c r="AR175" s="31" t="s">
        <v>32281</v>
      </c>
      <c r="AS175" s="31" t="str">
        <f>"HSPA5"</f>
        <v>HSPA5</v>
      </c>
      <c r="AT175" s="31" t="s">
        <v>13772</v>
      </c>
      <c r="AU175" s="31" t="s">
        <v>13777</v>
      </c>
      <c r="AV175" s="31">
        <v>9606</v>
      </c>
      <c r="AW175" s="50" t="str">
        <f>HYPERLINK("http://www.uniprot.org/uniprot/P11021", "P11021")</f>
        <v>P11021</v>
      </c>
      <c r="AX175" s="31" t="s">
        <v>32282</v>
      </c>
      <c r="AY175" s="31" t="s">
        <v>13772</v>
      </c>
      <c r="AZ175" s="31" t="s">
        <v>14265</v>
      </c>
      <c r="BA175" s="31" t="s">
        <v>13793</v>
      </c>
      <c r="BB175" s="31" t="s">
        <v>13772</v>
      </c>
      <c r="BC175" s="31" t="s">
        <v>13772</v>
      </c>
      <c r="BD175" s="31" t="s">
        <v>13808</v>
      </c>
      <c r="BE175" s="31" t="s">
        <v>14005</v>
      </c>
      <c r="BF175" s="31" t="s">
        <v>32283</v>
      </c>
      <c r="BG175" s="31" t="s">
        <v>23845</v>
      </c>
      <c r="BH175" s="31" t="s">
        <v>13812</v>
      </c>
      <c r="BI175" s="31" t="s">
        <v>32284</v>
      </c>
      <c r="BJ175" s="31" t="s">
        <v>32285</v>
      </c>
      <c r="BK175" s="31" t="s">
        <v>32286</v>
      </c>
      <c r="BL175" s="31" t="s">
        <v>13772</v>
      </c>
      <c r="BM175" s="31" t="s">
        <v>32287</v>
      </c>
    </row>
    <row r="176" spans="1:65">
      <c r="A176">
        <v>382</v>
      </c>
      <c r="B176">
        <v>1</v>
      </c>
      <c r="C176">
        <v>171</v>
      </c>
      <c r="D176" t="s">
        <v>953</v>
      </c>
      <c r="E176" t="s">
        <v>73</v>
      </c>
      <c r="F176" t="s">
        <v>73</v>
      </c>
      <c r="G176">
        <v>14.9</v>
      </c>
      <c r="H176">
        <v>1001</v>
      </c>
      <c r="I176">
        <v>112176</v>
      </c>
      <c r="J176" t="s">
        <v>954</v>
      </c>
      <c r="K176" s="3" t="s">
        <v>73</v>
      </c>
      <c r="L176">
        <v>246</v>
      </c>
      <c r="M176">
        <v>246</v>
      </c>
      <c r="N176">
        <v>1</v>
      </c>
      <c r="O176" s="11">
        <f t="shared" si="2"/>
        <v>15.659268562124621</v>
      </c>
      <c r="P176" s="36">
        <v>32.7143716875377</v>
      </c>
      <c r="Q176" s="36">
        <v>16.372090051516601</v>
      </c>
      <c r="R176" s="36">
        <v>27.213560250808399</v>
      </c>
      <c r="S176" s="36">
        <v>16.631139350685501</v>
      </c>
      <c r="T176" s="36">
        <v>5.1610581596213496</v>
      </c>
      <c r="U176" s="36">
        <v>17.6648176861503</v>
      </c>
      <c r="V176" s="36">
        <v>12.6487473943757</v>
      </c>
      <c r="W176" s="36">
        <v>14.597753969734599</v>
      </c>
      <c r="X176" s="37">
        <v>9.53709951893949</v>
      </c>
      <c r="Y176" s="37">
        <v>9.4597447033242794</v>
      </c>
      <c r="Z176" s="37">
        <v>15.2010326170795</v>
      </c>
      <c r="AA176" s="37">
        <v>10.1585645591993</v>
      </c>
      <c r="AB176" s="37">
        <v>7.3503405265209096</v>
      </c>
      <c r="AC176" s="37">
        <v>14.994620837317401</v>
      </c>
      <c r="AD176" s="37">
        <v>28.662260909385999</v>
      </c>
      <c r="AE176" s="37">
        <v>12.1810947717969</v>
      </c>
      <c r="AF176" s="45">
        <v>-0.41966450582115</v>
      </c>
      <c r="AG176" s="45">
        <v>-1.3297118392383001</v>
      </c>
      <c r="AH176" s="46">
        <v>0.29948967152669698</v>
      </c>
      <c r="AI176" s="47">
        <v>0.37785756326945402</v>
      </c>
      <c r="AJ176" s="48">
        <v>17.875442318803799</v>
      </c>
      <c r="AK176" s="49">
        <v>13.443094805445501</v>
      </c>
      <c r="AL176" s="31" t="s">
        <v>5875</v>
      </c>
      <c r="AM176" s="31" t="s">
        <v>5832</v>
      </c>
      <c r="AN176" s="31" t="s">
        <v>17417</v>
      </c>
      <c r="AO176" s="31" t="s">
        <v>17418</v>
      </c>
      <c r="AP176" s="31" t="s">
        <v>17419</v>
      </c>
      <c r="AQ176" s="31" t="s">
        <v>17420</v>
      </c>
      <c r="AR176" s="31" t="s">
        <v>17421</v>
      </c>
      <c r="AS176" s="31" t="str">
        <f>"DSC1"</f>
        <v>DSC1</v>
      </c>
      <c r="AT176" s="31" t="s">
        <v>17422</v>
      </c>
      <c r="AU176" s="31" t="s">
        <v>13777</v>
      </c>
      <c r="AV176" s="31">
        <v>9606</v>
      </c>
      <c r="AW176" s="50" t="str">
        <f>HYPERLINK("http://www.uniprot.org/uniprot/Q08554", "Q08554")</f>
        <v>Q08554</v>
      </c>
      <c r="AX176" s="31" t="s">
        <v>17423</v>
      </c>
      <c r="AY176" s="31" t="s">
        <v>13949</v>
      </c>
      <c r="AZ176" s="31" t="s">
        <v>17424</v>
      </c>
      <c r="BA176" s="31" t="s">
        <v>13780</v>
      </c>
      <c r="BB176" s="31" t="s">
        <v>13772</v>
      </c>
      <c r="BC176" s="31" t="s">
        <v>13772</v>
      </c>
      <c r="BD176" s="31" t="s">
        <v>13826</v>
      </c>
      <c r="BE176" s="31" t="s">
        <v>13873</v>
      </c>
      <c r="BF176" s="31" t="s">
        <v>13772</v>
      </c>
      <c r="BG176" s="31" t="s">
        <v>17425</v>
      </c>
      <c r="BH176" s="31" t="s">
        <v>13812</v>
      </c>
      <c r="BI176" s="31" t="s">
        <v>17426</v>
      </c>
      <c r="BJ176" s="31" t="s">
        <v>17427</v>
      </c>
      <c r="BK176" s="31" t="s">
        <v>15899</v>
      </c>
      <c r="BL176" s="31" t="s">
        <v>13772</v>
      </c>
      <c r="BM176" s="31" t="s">
        <v>17428</v>
      </c>
    </row>
    <row r="177" spans="1:65">
      <c r="A177">
        <v>851</v>
      </c>
      <c r="B177">
        <v>1</v>
      </c>
      <c r="C177">
        <v>172</v>
      </c>
      <c r="D177" t="s">
        <v>2087</v>
      </c>
      <c r="E177" t="s">
        <v>2088</v>
      </c>
      <c r="F177" t="s">
        <v>73</v>
      </c>
      <c r="G177">
        <v>11.2</v>
      </c>
      <c r="H177">
        <v>1228</v>
      </c>
      <c r="I177">
        <v>131065</v>
      </c>
      <c r="J177" t="s">
        <v>2089</v>
      </c>
      <c r="K177" s="3" t="s">
        <v>73</v>
      </c>
      <c r="L177">
        <v>246</v>
      </c>
      <c r="M177">
        <v>246</v>
      </c>
      <c r="N177">
        <v>1</v>
      </c>
      <c r="O177" s="11">
        <f t="shared" si="2"/>
        <v>14.652731863965347</v>
      </c>
      <c r="P177" s="36">
        <v>23.021224520859899</v>
      </c>
      <c r="Q177" s="36">
        <v>16.372090051516601</v>
      </c>
      <c r="R177" s="36">
        <v>19.2095719417471</v>
      </c>
      <c r="S177" s="36">
        <v>10.5834523140726</v>
      </c>
      <c r="T177" s="36">
        <v>9.4619399593058091</v>
      </c>
      <c r="U177" s="36">
        <v>15.805363192871299</v>
      </c>
      <c r="V177" s="36">
        <v>14.756871960105</v>
      </c>
      <c r="W177" s="36">
        <v>5.8391015878938397</v>
      </c>
      <c r="X177" s="37">
        <v>9.53709951893949</v>
      </c>
      <c r="Y177" s="37">
        <v>13.243642584653999</v>
      </c>
      <c r="Z177" s="37">
        <v>15.2010326170795</v>
      </c>
      <c r="AA177" s="37">
        <v>15.2378468387989</v>
      </c>
      <c r="AB177" s="37">
        <v>6.4315479607058004</v>
      </c>
      <c r="AC177" s="37">
        <v>15.783811407702499</v>
      </c>
      <c r="AD177" s="37">
        <v>21.119560670073898</v>
      </c>
      <c r="AE177" s="37">
        <v>22.839552697119299</v>
      </c>
      <c r="AF177" s="45">
        <v>3.4861387010906401E-2</v>
      </c>
      <c r="AG177" s="45">
        <v>1.0377617843114799</v>
      </c>
      <c r="AH177" s="46">
        <v>0.94112983412250495</v>
      </c>
      <c r="AI177" s="47">
        <v>0.96156153915847598</v>
      </c>
      <c r="AJ177" s="48">
        <v>14.3812019410465</v>
      </c>
      <c r="AK177" s="49">
        <v>14.9242617868842</v>
      </c>
      <c r="AL177" s="31" t="s">
        <v>5874</v>
      </c>
      <c r="AM177" s="31" t="s">
        <v>5832</v>
      </c>
      <c r="AN177" s="31" t="s">
        <v>22177</v>
      </c>
      <c r="AO177" s="31" t="s">
        <v>13772</v>
      </c>
      <c r="AP177" s="31" t="s">
        <v>22178</v>
      </c>
      <c r="AQ177" s="31" t="s">
        <v>22179</v>
      </c>
      <c r="AR177" s="31" t="s">
        <v>22180</v>
      </c>
      <c r="AS177" s="31" t="str">
        <f>"FBLN2"</f>
        <v>FBLN2</v>
      </c>
      <c r="AT177" s="31" t="s">
        <v>13772</v>
      </c>
      <c r="AU177" s="31" t="s">
        <v>13777</v>
      </c>
      <c r="AV177" s="31">
        <v>9606</v>
      </c>
      <c r="AW177" s="50" t="str">
        <f>HYPERLINK("http://www.uniprot.org/uniprot/P98095", "P98095")</f>
        <v>P98095</v>
      </c>
      <c r="AX177" s="31" t="s">
        <v>22181</v>
      </c>
      <c r="AY177" s="31" t="s">
        <v>13772</v>
      </c>
      <c r="AZ177" s="31" t="s">
        <v>13869</v>
      </c>
      <c r="BA177" s="31" t="s">
        <v>13780</v>
      </c>
      <c r="BB177" s="31" t="s">
        <v>13772</v>
      </c>
      <c r="BC177" s="31" t="s">
        <v>13772</v>
      </c>
      <c r="BD177" s="31" t="s">
        <v>14768</v>
      </c>
      <c r="BE177" s="31" t="s">
        <v>14465</v>
      </c>
      <c r="BF177" s="31" t="s">
        <v>13772</v>
      </c>
      <c r="BG177" s="31" t="s">
        <v>13964</v>
      </c>
      <c r="BH177" s="31" t="s">
        <v>13772</v>
      </c>
      <c r="BI177" s="31" t="s">
        <v>22182</v>
      </c>
      <c r="BJ177" s="31" t="s">
        <v>22183</v>
      </c>
      <c r="BK177" s="31" t="s">
        <v>22184</v>
      </c>
      <c r="BL177" s="31" t="s">
        <v>13772</v>
      </c>
      <c r="BM177" s="31" t="s">
        <v>14774</v>
      </c>
    </row>
    <row r="178" spans="1:65">
      <c r="A178">
        <v>977</v>
      </c>
      <c r="B178">
        <v>1</v>
      </c>
      <c r="C178">
        <v>173</v>
      </c>
      <c r="D178" t="s">
        <v>2371</v>
      </c>
      <c r="E178" t="s">
        <v>73</v>
      </c>
      <c r="F178" t="s">
        <v>73</v>
      </c>
      <c r="G178">
        <v>84.1</v>
      </c>
      <c r="H178">
        <v>44</v>
      </c>
      <c r="I178">
        <v>5053</v>
      </c>
      <c r="J178" t="s">
        <v>2372</v>
      </c>
      <c r="K178" s="3" t="s">
        <v>73</v>
      </c>
      <c r="L178">
        <v>246</v>
      </c>
      <c r="M178">
        <v>246</v>
      </c>
      <c r="N178">
        <v>1</v>
      </c>
      <c r="O178" s="11">
        <f t="shared" si="2"/>
        <v>13.577442592433551</v>
      </c>
      <c r="P178" s="36">
        <v>10.9047905625126</v>
      </c>
      <c r="Q178" s="36">
        <v>10.5937053274519</v>
      </c>
      <c r="R178" s="36">
        <v>11.2055836326858</v>
      </c>
      <c r="S178" s="36">
        <v>15.119217591532299</v>
      </c>
      <c r="T178" s="36">
        <v>6.0212345195582504</v>
      </c>
      <c r="U178" s="36">
        <v>3.7189089865579601</v>
      </c>
      <c r="V178" s="36">
        <v>3.1621868485939202</v>
      </c>
      <c r="W178" s="36">
        <v>10.7050195778054</v>
      </c>
      <c r="X178" s="37">
        <v>17.484682451389101</v>
      </c>
      <c r="Y178" s="37">
        <v>12.6129929377657</v>
      </c>
      <c r="Z178" s="37">
        <v>19.201304358416198</v>
      </c>
      <c r="AA178" s="37">
        <v>11.8516586523992</v>
      </c>
      <c r="AB178" s="37">
        <v>23.888606711192999</v>
      </c>
      <c r="AC178" s="37">
        <v>22.8865265411686</v>
      </c>
      <c r="AD178" s="37">
        <v>19.611020622211502</v>
      </c>
      <c r="AE178" s="37">
        <v>18.2716421576954</v>
      </c>
      <c r="AF178" s="45">
        <v>1.05583293511059</v>
      </c>
      <c r="AG178" s="45">
        <v>2.0412587658196002</v>
      </c>
      <c r="AH178" s="46">
        <v>2.57270866198489E-3</v>
      </c>
      <c r="AI178" s="47">
        <v>5.2795769781223698E-3</v>
      </c>
      <c r="AJ178" s="48">
        <v>8.9288308808372605</v>
      </c>
      <c r="AK178" s="49">
        <v>18.226054304029802</v>
      </c>
      <c r="AL178" s="31" t="s">
        <v>5874</v>
      </c>
      <c r="AM178" s="31" t="s">
        <v>5876</v>
      </c>
      <c r="AN178" s="31" t="s">
        <v>23412</v>
      </c>
      <c r="AO178" s="31" t="s">
        <v>23413</v>
      </c>
      <c r="AP178" s="31" t="s">
        <v>23414</v>
      </c>
      <c r="AQ178" s="31" t="s">
        <v>23415</v>
      </c>
      <c r="AR178" s="31" t="s">
        <v>23416</v>
      </c>
      <c r="AS178" s="31" t="str">
        <f>"TMSB4X"</f>
        <v>TMSB4X</v>
      </c>
      <c r="AT178" s="31" t="s">
        <v>23417</v>
      </c>
      <c r="AU178" s="31" t="s">
        <v>13777</v>
      </c>
      <c r="AV178" s="31">
        <v>9606</v>
      </c>
      <c r="AW178" s="50" t="str">
        <f>HYPERLINK("http://www.uniprot.org/uniprot/P62328", "P62328")</f>
        <v>P62328</v>
      </c>
      <c r="AX178" s="31" t="s">
        <v>23418</v>
      </c>
      <c r="AY178" s="31" t="s">
        <v>13772</v>
      </c>
      <c r="AZ178" s="31" t="s">
        <v>13988</v>
      </c>
      <c r="BA178" s="31" t="s">
        <v>13772</v>
      </c>
      <c r="BB178" s="31" t="s">
        <v>13772</v>
      </c>
      <c r="BC178" s="31" t="s">
        <v>13772</v>
      </c>
      <c r="BD178" s="31" t="s">
        <v>13772</v>
      </c>
      <c r="BE178" s="31" t="s">
        <v>13772</v>
      </c>
      <c r="BF178" s="31" t="s">
        <v>13990</v>
      </c>
      <c r="BG178" s="31" t="s">
        <v>13991</v>
      </c>
      <c r="BH178" s="31" t="s">
        <v>13812</v>
      </c>
      <c r="BI178" s="31" t="s">
        <v>23419</v>
      </c>
      <c r="BJ178" s="31" t="s">
        <v>23420</v>
      </c>
      <c r="BK178" s="31" t="s">
        <v>23421</v>
      </c>
      <c r="BL178" s="31" t="s">
        <v>13772</v>
      </c>
      <c r="BM178" s="31" t="s">
        <v>15665</v>
      </c>
    </row>
    <row r="179" spans="1:65">
      <c r="A179">
        <v>2019</v>
      </c>
      <c r="B179">
        <v>1</v>
      </c>
      <c r="C179">
        <v>174</v>
      </c>
      <c r="D179" t="s">
        <v>4751</v>
      </c>
      <c r="E179" t="s">
        <v>73</v>
      </c>
      <c r="F179" t="s">
        <v>73</v>
      </c>
      <c r="G179">
        <v>60.4</v>
      </c>
      <c r="H179">
        <v>500</v>
      </c>
      <c r="I179">
        <v>49202</v>
      </c>
      <c r="J179" t="s">
        <v>4752</v>
      </c>
      <c r="K179" s="3" t="s">
        <v>73</v>
      </c>
      <c r="L179">
        <v>245</v>
      </c>
      <c r="M179">
        <v>245</v>
      </c>
      <c r="N179">
        <v>1</v>
      </c>
      <c r="O179" s="11">
        <f t="shared" si="2"/>
        <v>14.37882371721577</v>
      </c>
      <c r="P179" s="36">
        <v>23.021224520859899</v>
      </c>
      <c r="Q179" s="36">
        <v>12.519833568806799</v>
      </c>
      <c r="R179" s="36">
        <v>19.2095719417471</v>
      </c>
      <c r="S179" s="36">
        <v>25.7026699056049</v>
      </c>
      <c r="T179" s="36">
        <v>4.3008817996844604</v>
      </c>
      <c r="U179" s="36">
        <v>8.3675452197554208</v>
      </c>
      <c r="V179" s="36">
        <v>3.1621868485939202</v>
      </c>
      <c r="W179" s="36">
        <v>5.8391015878938397</v>
      </c>
      <c r="X179" s="37">
        <v>10.331857812184399</v>
      </c>
      <c r="Y179" s="37">
        <v>22.703387287978298</v>
      </c>
      <c r="Z179" s="37">
        <v>19.201304358416198</v>
      </c>
      <c r="AA179" s="37">
        <v>5.9258293261995796</v>
      </c>
      <c r="AB179" s="37">
        <v>9.1879256581511406</v>
      </c>
      <c r="AC179" s="37">
        <v>18.1513831188579</v>
      </c>
      <c r="AD179" s="37">
        <v>21.119560670073898</v>
      </c>
      <c r="AE179" s="37">
        <v>21.316915850644602</v>
      </c>
      <c r="AF179" s="45">
        <v>0.35261347636191398</v>
      </c>
      <c r="AG179" s="45">
        <v>1.25278482612591</v>
      </c>
      <c r="AH179" s="46">
        <v>0.46418404415169201</v>
      </c>
      <c r="AI179" s="47">
        <v>0.54576296228028498</v>
      </c>
      <c r="AJ179" s="48">
        <v>12.7653769241183</v>
      </c>
      <c r="AK179" s="49">
        <v>15.9922705103133</v>
      </c>
      <c r="AL179" s="31" t="s">
        <v>5874</v>
      </c>
      <c r="AM179" s="31" t="s">
        <v>5832</v>
      </c>
      <c r="AN179" s="31" t="s">
        <v>33123</v>
      </c>
      <c r="AO179" s="31" t="s">
        <v>33124</v>
      </c>
      <c r="AP179" s="31" t="s">
        <v>33125</v>
      </c>
      <c r="AQ179" s="31" t="s">
        <v>33126</v>
      </c>
      <c r="AR179" s="31" t="s">
        <v>33127</v>
      </c>
      <c r="AS179" s="31" t="str">
        <f>"DMKN"</f>
        <v>DMKN</v>
      </c>
      <c r="AT179" s="31" t="s">
        <v>13772</v>
      </c>
      <c r="AU179" s="31" t="s">
        <v>13777</v>
      </c>
      <c r="AV179" s="31">
        <v>9606</v>
      </c>
      <c r="AW179" s="50" t="str">
        <f>HYPERLINK("http://www.uniprot.org/uniprot/Q6E0U4", "Q6E0U4")</f>
        <v>Q6E0U4</v>
      </c>
      <c r="AX179" s="31" t="s">
        <v>33128</v>
      </c>
      <c r="AY179" s="31" t="s">
        <v>13772</v>
      </c>
      <c r="AZ179" s="31" t="s">
        <v>14321</v>
      </c>
      <c r="BA179" s="31" t="s">
        <v>13780</v>
      </c>
      <c r="BB179" s="31" t="s">
        <v>13772</v>
      </c>
      <c r="BC179" s="31" t="s">
        <v>13772</v>
      </c>
      <c r="BD179" s="31" t="s">
        <v>13808</v>
      </c>
      <c r="BE179" s="31" t="s">
        <v>13772</v>
      </c>
      <c r="BF179" s="31" t="s">
        <v>13772</v>
      </c>
      <c r="BG179" s="31" t="s">
        <v>13858</v>
      </c>
      <c r="BH179" s="31" t="s">
        <v>13812</v>
      </c>
      <c r="BI179" s="31" t="s">
        <v>33129</v>
      </c>
      <c r="BJ179" s="31" t="s">
        <v>14508</v>
      </c>
      <c r="BK179" s="31" t="s">
        <v>13772</v>
      </c>
      <c r="BL179" s="31" t="s">
        <v>13772</v>
      </c>
      <c r="BM179" s="31" t="s">
        <v>13772</v>
      </c>
    </row>
    <row r="180" spans="1:65">
      <c r="A180">
        <v>2452</v>
      </c>
      <c r="B180">
        <v>1</v>
      </c>
      <c r="C180">
        <v>175</v>
      </c>
      <c r="D180" t="s">
        <v>5762</v>
      </c>
      <c r="E180" t="s">
        <v>73</v>
      </c>
      <c r="F180" t="s">
        <v>5763</v>
      </c>
      <c r="G180">
        <v>44.2</v>
      </c>
      <c r="H180">
        <v>226</v>
      </c>
      <c r="I180">
        <v>25504</v>
      </c>
      <c r="J180" t="s">
        <v>5765</v>
      </c>
      <c r="K180" s="3" t="s">
        <v>73</v>
      </c>
      <c r="L180">
        <v>243</v>
      </c>
      <c r="M180">
        <v>242</v>
      </c>
      <c r="N180">
        <v>0.996</v>
      </c>
      <c r="O180" s="11">
        <f t="shared" si="2"/>
        <v>13.600262990648805</v>
      </c>
      <c r="P180" s="36">
        <v>25.444511312529301</v>
      </c>
      <c r="Q180" s="36">
        <v>5.7783847240646802</v>
      </c>
      <c r="R180" s="36">
        <v>6.4031906472490299</v>
      </c>
      <c r="S180" s="36">
        <v>1.5119217591532299</v>
      </c>
      <c r="T180" s="36">
        <v>3.4407054397475698</v>
      </c>
      <c r="U180" s="36">
        <v>12.0864542063134</v>
      </c>
      <c r="V180" s="36">
        <v>18.973121091563499</v>
      </c>
      <c r="W180" s="36">
        <v>56.4446486829737</v>
      </c>
      <c r="X180" s="37">
        <v>4.7685497594697397</v>
      </c>
      <c r="Y180" s="37">
        <v>6.9371461157711396</v>
      </c>
      <c r="Z180" s="37">
        <v>6.4004347861387396</v>
      </c>
      <c r="AA180" s="37">
        <v>11.0051116057992</v>
      </c>
      <c r="AB180" s="37">
        <v>11.944303355596499</v>
      </c>
      <c r="AC180" s="37">
        <v>7.1027151334661296</v>
      </c>
      <c r="AD180" s="37">
        <v>24.136640765798798</v>
      </c>
      <c r="AE180" s="37">
        <v>15.2263684647462</v>
      </c>
      <c r="AF180" s="45">
        <v>-0.60830361652997</v>
      </c>
      <c r="AG180" s="45">
        <v>-1.4863008487335001</v>
      </c>
      <c r="AH180" s="46">
        <v>0.31079368383455203</v>
      </c>
      <c r="AI180" s="47">
        <v>0.389996103873263</v>
      </c>
      <c r="AJ180" s="48">
        <v>16.260367232949299</v>
      </c>
      <c r="AK180" s="49">
        <v>10.940158748348299</v>
      </c>
      <c r="AL180" s="31" t="s">
        <v>5875</v>
      </c>
      <c r="AM180" s="31" t="s">
        <v>5832</v>
      </c>
      <c r="AN180" s="31" t="s">
        <v>28642</v>
      </c>
      <c r="AO180" s="31" t="s">
        <v>28643</v>
      </c>
      <c r="AP180" s="31" t="s">
        <v>28644</v>
      </c>
      <c r="AQ180" s="31" t="s">
        <v>28645</v>
      </c>
      <c r="AR180" s="31" t="s">
        <v>28646</v>
      </c>
      <c r="AS180" s="31" t="str">
        <f>"GPX3"</f>
        <v>GPX3</v>
      </c>
      <c r="AT180" s="31" t="s">
        <v>28647</v>
      </c>
      <c r="AU180" s="31" t="s">
        <v>13777</v>
      </c>
      <c r="AV180" s="31">
        <v>9606</v>
      </c>
      <c r="AW180" s="50" t="str">
        <f>HYPERLINK("http://www.uniprot.org/uniprot/P22352", "P22352")</f>
        <v>P22352</v>
      </c>
      <c r="AX180" s="31" t="s">
        <v>28648</v>
      </c>
      <c r="AY180" s="31" t="s">
        <v>13772</v>
      </c>
      <c r="AZ180" s="31" t="s">
        <v>14321</v>
      </c>
      <c r="BA180" s="31" t="s">
        <v>14757</v>
      </c>
      <c r="BB180" s="31" t="s">
        <v>13772</v>
      </c>
      <c r="BC180" s="31" t="s">
        <v>13772</v>
      </c>
      <c r="BD180" s="31" t="s">
        <v>13808</v>
      </c>
      <c r="BE180" s="31" t="s">
        <v>13772</v>
      </c>
      <c r="BF180" s="31" t="s">
        <v>13810</v>
      </c>
      <c r="BG180" s="31" t="s">
        <v>13772</v>
      </c>
      <c r="BH180" s="31" t="s">
        <v>13812</v>
      </c>
      <c r="BI180" s="31" t="s">
        <v>28649</v>
      </c>
      <c r="BJ180" s="31" t="s">
        <v>16659</v>
      </c>
      <c r="BK180" s="31" t="s">
        <v>28650</v>
      </c>
      <c r="BL180" s="31" t="s">
        <v>13772</v>
      </c>
      <c r="BM180" s="31" t="s">
        <v>17385</v>
      </c>
    </row>
    <row r="181" spans="1:65">
      <c r="A181">
        <v>945</v>
      </c>
      <c r="B181">
        <v>1</v>
      </c>
      <c r="C181">
        <v>176</v>
      </c>
      <c r="D181" t="s">
        <v>2301</v>
      </c>
      <c r="E181" t="s">
        <v>73</v>
      </c>
      <c r="F181" t="s">
        <v>73</v>
      </c>
      <c r="G181">
        <v>17.399999999999999</v>
      </c>
      <c r="H181">
        <v>6674</v>
      </c>
      <c r="I181">
        <v>773472</v>
      </c>
      <c r="J181" t="s">
        <v>2303</v>
      </c>
      <c r="K181" s="3" t="s">
        <v>73</v>
      </c>
      <c r="L181">
        <v>242</v>
      </c>
      <c r="M181">
        <v>241</v>
      </c>
      <c r="N181">
        <v>0.996</v>
      </c>
      <c r="O181" s="11">
        <f t="shared" si="2"/>
        <v>13.257813514595286</v>
      </c>
      <c r="P181" s="36">
        <v>0.30291084895868198</v>
      </c>
      <c r="Q181" s="36">
        <v>0.24076603016936199</v>
      </c>
      <c r="R181" s="36">
        <v>0.40019941545306398</v>
      </c>
      <c r="S181" s="36">
        <v>0.37798043978830698</v>
      </c>
      <c r="T181" s="36">
        <v>0.86017635993689201</v>
      </c>
      <c r="U181" s="36">
        <v>0.92972724663949102</v>
      </c>
      <c r="V181" s="36">
        <v>11.594685111511</v>
      </c>
      <c r="W181" s="36">
        <v>8.7586523818407507</v>
      </c>
      <c r="X181" s="37">
        <v>18.279440744634002</v>
      </c>
      <c r="Y181" s="37">
        <v>17.658190112871999</v>
      </c>
      <c r="Z181" s="37">
        <v>4.0002717413367099</v>
      </c>
      <c r="AA181" s="37">
        <v>4.2327352329997003</v>
      </c>
      <c r="AB181" s="37">
        <v>96.473219410587006</v>
      </c>
      <c r="AC181" s="37">
        <v>33.935194526560402</v>
      </c>
      <c r="AD181" s="37">
        <v>0.377135011965606</v>
      </c>
      <c r="AE181" s="37">
        <v>13.7037316182716</v>
      </c>
      <c r="AF181" s="45">
        <v>2.9303362785348099</v>
      </c>
      <c r="AG181" s="45">
        <v>8.0400226639359396</v>
      </c>
      <c r="AH181" s="46">
        <v>7.5129759774381901E-4</v>
      </c>
      <c r="AI181" s="47">
        <v>1.7458079661746299E-3</v>
      </c>
      <c r="AJ181" s="48">
        <v>2.9331372292872002</v>
      </c>
      <c r="AK181" s="49">
        <v>23.582489799903399</v>
      </c>
      <c r="AL181" s="31" t="s">
        <v>5874</v>
      </c>
      <c r="AM181" s="31" t="s">
        <v>5876</v>
      </c>
      <c r="AN181" s="31" t="s">
        <v>23111</v>
      </c>
      <c r="AO181" s="31" t="s">
        <v>13772</v>
      </c>
      <c r="AP181" s="31" t="s">
        <v>23112</v>
      </c>
      <c r="AQ181" s="31" t="s">
        <v>23113</v>
      </c>
      <c r="AR181" s="31" t="s">
        <v>23114</v>
      </c>
      <c r="AS181" s="31" t="str">
        <f>"NEB"</f>
        <v>NEB</v>
      </c>
      <c r="AT181" s="31" t="s">
        <v>13772</v>
      </c>
      <c r="AU181" s="31" t="s">
        <v>13777</v>
      </c>
      <c r="AV181" s="31">
        <v>9606</v>
      </c>
      <c r="AW181" s="50" t="str">
        <f>HYPERLINK("http://www.uniprot.org/uniprot/P20929", "P20929")</f>
        <v>P20929</v>
      </c>
      <c r="AX181" s="31" t="s">
        <v>23115</v>
      </c>
      <c r="AY181" s="31" t="s">
        <v>13772</v>
      </c>
      <c r="AZ181" s="31" t="s">
        <v>13988</v>
      </c>
      <c r="BA181" s="31" t="s">
        <v>13780</v>
      </c>
      <c r="BB181" s="31" t="s">
        <v>13772</v>
      </c>
      <c r="BC181" s="31" t="s">
        <v>23116</v>
      </c>
      <c r="BD181" s="31" t="s">
        <v>15028</v>
      </c>
      <c r="BE181" s="31" t="s">
        <v>13772</v>
      </c>
      <c r="BF181" s="31" t="s">
        <v>14849</v>
      </c>
      <c r="BG181" s="31" t="s">
        <v>13772</v>
      </c>
      <c r="BH181" s="31" t="s">
        <v>13812</v>
      </c>
      <c r="BI181" s="31" t="s">
        <v>23117</v>
      </c>
      <c r="BJ181" s="31" t="s">
        <v>23118</v>
      </c>
      <c r="BK181" s="31" t="s">
        <v>23119</v>
      </c>
      <c r="BL181" s="31" t="s">
        <v>13772</v>
      </c>
      <c r="BM181" s="31" t="s">
        <v>15657</v>
      </c>
    </row>
    <row r="182" spans="1:65">
      <c r="A182">
        <v>596</v>
      </c>
      <c r="B182">
        <v>1</v>
      </c>
      <c r="C182">
        <v>177</v>
      </c>
      <c r="D182" t="s">
        <v>1477</v>
      </c>
      <c r="E182" t="s">
        <v>73</v>
      </c>
      <c r="F182" t="s">
        <v>73</v>
      </c>
      <c r="G182">
        <v>79.3</v>
      </c>
      <c r="H182">
        <v>135</v>
      </c>
      <c r="I182">
        <v>15104</v>
      </c>
      <c r="J182" t="s">
        <v>1478</v>
      </c>
      <c r="K182" s="3" t="s">
        <v>73</v>
      </c>
      <c r="L182">
        <v>240</v>
      </c>
      <c r="M182">
        <v>240</v>
      </c>
      <c r="N182">
        <v>1</v>
      </c>
      <c r="O182" s="11">
        <f t="shared" si="2"/>
        <v>12.869747473521235</v>
      </c>
      <c r="P182" s="36">
        <v>1.2116433958347299</v>
      </c>
      <c r="Q182" s="36">
        <v>0.24076603016936199</v>
      </c>
      <c r="R182" s="36">
        <v>0.40019941545306398</v>
      </c>
      <c r="S182" s="36">
        <v>0.37798043978830698</v>
      </c>
      <c r="T182" s="36">
        <v>0.215044089984223</v>
      </c>
      <c r="U182" s="36">
        <v>0.23243181165987301</v>
      </c>
      <c r="V182" s="36">
        <v>0.26351557071616</v>
      </c>
      <c r="W182" s="36">
        <v>8.7586523818407507</v>
      </c>
      <c r="X182" s="37">
        <v>15.1004075716542</v>
      </c>
      <c r="Y182" s="37">
        <v>29.0098837568611</v>
      </c>
      <c r="Z182" s="37">
        <v>4.0002717413367099</v>
      </c>
      <c r="AA182" s="37">
        <v>19.470582071798599</v>
      </c>
      <c r="AB182" s="37">
        <v>29.401362106083599</v>
      </c>
      <c r="AC182" s="37">
        <v>44.194671941567002</v>
      </c>
      <c r="AD182" s="37">
        <v>27.153720861523599</v>
      </c>
      <c r="AE182" s="37">
        <v>25.884826390068501</v>
      </c>
      <c r="AF182" s="45">
        <v>3.8845687446856201</v>
      </c>
      <c r="AG182" s="45">
        <v>16.5993039790384</v>
      </c>
      <c r="AH182" s="46">
        <v>3.15389711921621E-9</v>
      </c>
      <c r="AI182" s="47">
        <v>3.4589461848453201E-8</v>
      </c>
      <c r="AJ182" s="48">
        <v>1.46252914193081</v>
      </c>
      <c r="AK182" s="49">
        <v>24.276965805111701</v>
      </c>
      <c r="AL182" s="31" t="s">
        <v>5874</v>
      </c>
      <c r="AM182" s="31" t="s">
        <v>5876</v>
      </c>
      <c r="AN182" s="31" t="s">
        <v>19661</v>
      </c>
      <c r="AO182" s="31" t="s">
        <v>19662</v>
      </c>
      <c r="AP182" s="31" t="s">
        <v>19663</v>
      </c>
      <c r="AQ182" s="31" t="s">
        <v>19664</v>
      </c>
      <c r="AR182" s="31" t="s">
        <v>19665</v>
      </c>
      <c r="AS182" s="31" t="str">
        <f>"FABP5"</f>
        <v>FABP5</v>
      </c>
      <c r="AT182" s="31" t="s">
        <v>13772</v>
      </c>
      <c r="AU182" s="31" t="s">
        <v>13777</v>
      </c>
      <c r="AV182" s="31">
        <v>9606</v>
      </c>
      <c r="AW182" s="50" t="str">
        <f>HYPERLINK("http://www.uniprot.org/uniprot/Q01469", "Q01469")</f>
        <v>Q01469</v>
      </c>
      <c r="AX182" s="31" t="s">
        <v>19666</v>
      </c>
      <c r="AY182" s="31" t="s">
        <v>14192</v>
      </c>
      <c r="AZ182" s="31" t="s">
        <v>19667</v>
      </c>
      <c r="BA182" s="31" t="s">
        <v>13772</v>
      </c>
      <c r="BB182" s="31" t="s">
        <v>13772</v>
      </c>
      <c r="BC182" s="31" t="s">
        <v>13772</v>
      </c>
      <c r="BD182" s="31" t="s">
        <v>13772</v>
      </c>
      <c r="BE182" s="31" t="s">
        <v>13900</v>
      </c>
      <c r="BF182" s="31" t="s">
        <v>13772</v>
      </c>
      <c r="BG182" s="31" t="s">
        <v>15256</v>
      </c>
      <c r="BH182" s="31" t="s">
        <v>13812</v>
      </c>
      <c r="BI182" s="31" t="s">
        <v>19668</v>
      </c>
      <c r="BJ182" s="31" t="s">
        <v>19669</v>
      </c>
      <c r="BK182" s="31" t="s">
        <v>19670</v>
      </c>
      <c r="BL182" s="31" t="s">
        <v>13772</v>
      </c>
      <c r="BM182" s="31" t="s">
        <v>19671</v>
      </c>
    </row>
    <row r="183" spans="1:65">
      <c r="A183">
        <v>2313</v>
      </c>
      <c r="B183">
        <v>1</v>
      </c>
      <c r="C183">
        <v>178</v>
      </c>
      <c r="D183" t="s">
        <v>5402</v>
      </c>
      <c r="E183" t="s">
        <v>73</v>
      </c>
      <c r="F183" t="s">
        <v>73</v>
      </c>
      <c r="G183">
        <v>67.8</v>
      </c>
      <c r="H183">
        <v>258</v>
      </c>
      <c r="I183">
        <v>28008</v>
      </c>
      <c r="J183" t="s">
        <v>5403</v>
      </c>
      <c r="K183" s="3" t="s">
        <v>73</v>
      </c>
      <c r="L183">
        <v>239</v>
      </c>
      <c r="M183">
        <v>239</v>
      </c>
      <c r="N183">
        <v>1</v>
      </c>
      <c r="O183" s="11">
        <f t="shared" si="2"/>
        <v>12.730485135191245</v>
      </c>
      <c r="P183" s="36">
        <v>9.6931471666778304</v>
      </c>
      <c r="Q183" s="36">
        <v>2.8891923620323401</v>
      </c>
      <c r="R183" s="36">
        <v>4.8023929854367697</v>
      </c>
      <c r="S183" s="36">
        <v>4.5357652774596904</v>
      </c>
      <c r="T183" s="36">
        <v>3.4407054397475698</v>
      </c>
      <c r="U183" s="36">
        <v>2.7891817399184702</v>
      </c>
      <c r="V183" s="36">
        <v>0.26351557071616</v>
      </c>
      <c r="W183" s="36">
        <v>0.24329589949557701</v>
      </c>
      <c r="X183" s="37">
        <v>41.327431248737803</v>
      </c>
      <c r="Y183" s="37">
        <v>17.027540465983702</v>
      </c>
      <c r="Z183" s="37">
        <v>15.2010326170795</v>
      </c>
      <c r="AA183" s="37">
        <v>17.777487978598799</v>
      </c>
      <c r="AB183" s="37">
        <v>11.0255107897814</v>
      </c>
      <c r="AC183" s="37">
        <v>14.994620837317401</v>
      </c>
      <c r="AD183" s="37">
        <v>19.611020622211502</v>
      </c>
      <c r="AE183" s="37">
        <v>38.065921161865397</v>
      </c>
      <c r="AF183" s="45">
        <v>2.6160625264814699</v>
      </c>
      <c r="AG183" s="45">
        <v>6.10773514007112</v>
      </c>
      <c r="AH183" s="46">
        <v>1.17608934142177E-7</v>
      </c>
      <c r="AI183" s="47">
        <v>7.7137624452074902E-7</v>
      </c>
      <c r="AJ183" s="48">
        <v>3.5821495551855498</v>
      </c>
      <c r="AK183" s="49">
        <v>21.878820715196898</v>
      </c>
      <c r="AL183" s="31" t="s">
        <v>5874</v>
      </c>
      <c r="AM183" s="31" t="s">
        <v>5876</v>
      </c>
      <c r="AN183" s="31" t="s">
        <v>35842</v>
      </c>
      <c r="AO183" s="31" t="s">
        <v>13772</v>
      </c>
      <c r="AP183" s="31" t="s">
        <v>35843</v>
      </c>
      <c r="AQ183" s="31" t="s">
        <v>35844</v>
      </c>
      <c r="AR183" s="31" t="s">
        <v>35845</v>
      </c>
      <c r="AS183" s="31" t="str">
        <f>"IGFBP4"</f>
        <v>IGFBP4</v>
      </c>
      <c r="AT183" s="31" t="s">
        <v>35846</v>
      </c>
      <c r="AU183" s="31" t="s">
        <v>13777</v>
      </c>
      <c r="AV183" s="31">
        <v>9606</v>
      </c>
      <c r="AW183" s="50" t="str">
        <f>HYPERLINK("http://www.uniprot.org/uniprot/P22692", "P22692")</f>
        <v>P22692</v>
      </c>
      <c r="AX183" s="31" t="s">
        <v>35847</v>
      </c>
      <c r="AY183" s="31" t="s">
        <v>13772</v>
      </c>
      <c r="AZ183" s="31" t="s">
        <v>14321</v>
      </c>
      <c r="BA183" s="31" t="s">
        <v>13780</v>
      </c>
      <c r="BB183" s="31" t="s">
        <v>13772</v>
      </c>
      <c r="BC183" s="31" t="s">
        <v>13772</v>
      </c>
      <c r="BD183" s="31" t="s">
        <v>13808</v>
      </c>
      <c r="BE183" s="31" t="s">
        <v>13772</v>
      </c>
      <c r="BF183" s="31" t="s">
        <v>16896</v>
      </c>
      <c r="BG183" s="31" t="s">
        <v>13964</v>
      </c>
      <c r="BH183" s="31" t="s">
        <v>13812</v>
      </c>
      <c r="BI183" s="31" t="s">
        <v>35848</v>
      </c>
      <c r="BJ183" s="31" t="s">
        <v>35849</v>
      </c>
      <c r="BK183" s="31" t="s">
        <v>23669</v>
      </c>
      <c r="BL183" s="31" t="s">
        <v>13772</v>
      </c>
      <c r="BM183" s="31" t="s">
        <v>17241</v>
      </c>
    </row>
    <row r="184" spans="1:65">
      <c r="A184">
        <v>653</v>
      </c>
      <c r="B184">
        <v>1</v>
      </c>
      <c r="C184">
        <v>179</v>
      </c>
      <c r="D184" t="s">
        <v>1611</v>
      </c>
      <c r="E184" t="s">
        <v>73</v>
      </c>
      <c r="F184" t="s">
        <v>73</v>
      </c>
      <c r="G184">
        <v>59.3</v>
      </c>
      <c r="H184">
        <v>590</v>
      </c>
      <c r="I184">
        <v>66482</v>
      </c>
      <c r="J184" t="s">
        <v>1612</v>
      </c>
      <c r="K184" s="3" t="s">
        <v>73</v>
      </c>
      <c r="L184">
        <v>238</v>
      </c>
      <c r="M184">
        <v>238</v>
      </c>
      <c r="N184">
        <v>1</v>
      </c>
      <c r="O184" s="11">
        <f t="shared" si="2"/>
        <v>10.971015088874056</v>
      </c>
      <c r="P184" s="36">
        <v>10.9047905625126</v>
      </c>
      <c r="Q184" s="36">
        <v>3.85225648270979</v>
      </c>
      <c r="R184" s="36">
        <v>6.4031906472490299</v>
      </c>
      <c r="S184" s="36">
        <v>9.0715305549193808</v>
      </c>
      <c r="T184" s="36">
        <v>7.7415872394320298</v>
      </c>
      <c r="U184" s="36">
        <v>5.5783634798369501</v>
      </c>
      <c r="V184" s="36">
        <v>6.3243736971878404</v>
      </c>
      <c r="W184" s="36">
        <v>9.7318359798230603</v>
      </c>
      <c r="X184" s="37">
        <v>5.5633080527147003</v>
      </c>
      <c r="Y184" s="37">
        <v>3.1532482344414299</v>
      </c>
      <c r="Z184" s="37">
        <v>4.8003260896040603</v>
      </c>
      <c r="AA184" s="37">
        <v>34.708428910597597</v>
      </c>
      <c r="AB184" s="37">
        <v>12.863095921411601</v>
      </c>
      <c r="AC184" s="37">
        <v>7.8919057038512497</v>
      </c>
      <c r="AD184" s="37">
        <v>27.153720861523599</v>
      </c>
      <c r="AE184" s="37">
        <v>19.794279004170001</v>
      </c>
      <c r="AF184" s="45">
        <v>0.92249508063753405</v>
      </c>
      <c r="AG184" s="45">
        <v>1.94484719426035</v>
      </c>
      <c r="AH184" s="46">
        <v>5.5932382909106099E-2</v>
      </c>
      <c r="AI184" s="47">
        <v>8.5544992069530201E-2</v>
      </c>
      <c r="AJ184" s="48">
        <v>7.45099108045883</v>
      </c>
      <c r="AK184" s="49">
        <v>14.491039097289301</v>
      </c>
      <c r="AL184" s="31" t="s">
        <v>5874</v>
      </c>
      <c r="AM184" s="31" t="s">
        <v>5877</v>
      </c>
      <c r="AN184" s="31" t="s">
        <v>20214</v>
      </c>
      <c r="AO184" s="31" t="s">
        <v>20215</v>
      </c>
      <c r="AP184" s="31" t="s">
        <v>20216</v>
      </c>
      <c r="AQ184" s="31" t="s">
        <v>20217</v>
      </c>
      <c r="AR184" s="31" t="s">
        <v>20218</v>
      </c>
      <c r="AS184" s="31" t="str">
        <f>"C8B"</f>
        <v>C8B</v>
      </c>
      <c r="AT184" s="31" t="s">
        <v>13772</v>
      </c>
      <c r="AU184" s="31" t="s">
        <v>13777</v>
      </c>
      <c r="AV184" s="31">
        <v>9606</v>
      </c>
      <c r="AW184" s="50" t="str">
        <f>HYPERLINK("http://www.uniprot.org/uniprot/P07358", "P07358")</f>
        <v>P07358</v>
      </c>
      <c r="AX184" s="31" t="s">
        <v>20219</v>
      </c>
      <c r="AY184" s="31" t="s">
        <v>16369</v>
      </c>
      <c r="AZ184" s="31" t="s">
        <v>20220</v>
      </c>
      <c r="BA184" s="31" t="s">
        <v>13793</v>
      </c>
      <c r="BB184" s="31" t="s">
        <v>13772</v>
      </c>
      <c r="BC184" s="31" t="s">
        <v>13772</v>
      </c>
      <c r="BD184" s="31" t="s">
        <v>14768</v>
      </c>
      <c r="BE184" s="31" t="s">
        <v>13772</v>
      </c>
      <c r="BF184" s="31" t="s">
        <v>13772</v>
      </c>
      <c r="BG184" s="31" t="s">
        <v>13964</v>
      </c>
      <c r="BH184" s="31" t="s">
        <v>13812</v>
      </c>
      <c r="BI184" s="31" t="s">
        <v>16372</v>
      </c>
      <c r="BJ184" s="31" t="s">
        <v>20221</v>
      </c>
      <c r="BK184" s="31" t="s">
        <v>20222</v>
      </c>
      <c r="BL184" s="31" t="s">
        <v>13772</v>
      </c>
      <c r="BM184" s="31" t="s">
        <v>16375</v>
      </c>
    </row>
    <row r="185" spans="1:65">
      <c r="A185">
        <v>1692</v>
      </c>
      <c r="B185">
        <v>1</v>
      </c>
      <c r="C185">
        <v>180</v>
      </c>
      <c r="D185" t="s">
        <v>4013</v>
      </c>
      <c r="E185" t="s">
        <v>73</v>
      </c>
      <c r="F185" t="s">
        <v>73</v>
      </c>
      <c r="G185">
        <v>52.2</v>
      </c>
      <c r="H185">
        <v>201</v>
      </c>
      <c r="I185">
        <v>24012</v>
      </c>
      <c r="J185" t="s">
        <v>4014</v>
      </c>
      <c r="K185" s="3" t="s">
        <v>73</v>
      </c>
      <c r="L185">
        <v>238</v>
      </c>
      <c r="M185">
        <v>238</v>
      </c>
      <c r="N185">
        <v>1</v>
      </c>
      <c r="O185" s="11">
        <f t="shared" si="2"/>
        <v>15.511128397696694</v>
      </c>
      <c r="P185" s="36">
        <v>24.232867916694602</v>
      </c>
      <c r="Q185" s="36">
        <v>28.8919236203234</v>
      </c>
      <c r="R185" s="36">
        <v>36.8183462216819</v>
      </c>
      <c r="S185" s="36">
        <v>34.774200460524298</v>
      </c>
      <c r="T185" s="36">
        <v>18.9238799186116</v>
      </c>
      <c r="U185" s="36">
        <v>25.102635659266301</v>
      </c>
      <c r="V185" s="36">
        <v>22.135307940157499</v>
      </c>
      <c r="W185" s="36">
        <v>4.8659179899115301</v>
      </c>
      <c r="X185" s="37">
        <v>3.17903317297983</v>
      </c>
      <c r="Y185" s="37">
        <v>6.3064964688828598</v>
      </c>
      <c r="Z185" s="37">
        <v>10.400706527475499</v>
      </c>
      <c r="AA185" s="37">
        <v>5.9258293261995796</v>
      </c>
      <c r="AB185" s="37">
        <v>2.7563776974453398</v>
      </c>
      <c r="AC185" s="37">
        <v>10.2594774150066</v>
      </c>
      <c r="AD185" s="37">
        <v>10.559780335037001</v>
      </c>
      <c r="AE185" s="37">
        <v>3.0452736929492299</v>
      </c>
      <c r="AF185" s="45">
        <v>-1.86410641035033</v>
      </c>
      <c r="AG185" s="45">
        <v>-3.7332438429473398</v>
      </c>
      <c r="AH185" s="46">
        <v>6.2336047625340399E-6</v>
      </c>
      <c r="AI185" s="47">
        <v>2.4531068153736899E-5</v>
      </c>
      <c r="AJ185" s="48">
        <v>24.4681349658964</v>
      </c>
      <c r="AK185" s="49">
        <v>6.5541218294969896</v>
      </c>
      <c r="AL185" s="31" t="s">
        <v>5875</v>
      </c>
      <c r="AM185" s="31" t="s">
        <v>5876</v>
      </c>
      <c r="AN185" s="31" t="s">
        <v>30042</v>
      </c>
      <c r="AO185" s="31" t="s">
        <v>30043</v>
      </c>
      <c r="AP185" s="31" t="s">
        <v>30044</v>
      </c>
      <c r="AQ185" s="31" t="s">
        <v>30045</v>
      </c>
      <c r="AR185" s="31" t="s">
        <v>30046</v>
      </c>
      <c r="AS185" s="31" t="str">
        <f>"DPT"</f>
        <v>DPT</v>
      </c>
      <c r="AT185" s="31" t="s">
        <v>13772</v>
      </c>
      <c r="AU185" s="31" t="s">
        <v>13777</v>
      </c>
      <c r="AV185" s="31">
        <v>9606</v>
      </c>
      <c r="AW185" s="50" t="str">
        <f>HYPERLINK("http://www.uniprot.org/uniprot/Q07507", "Q07507")</f>
        <v>Q07507</v>
      </c>
      <c r="AX185" s="31" t="s">
        <v>30047</v>
      </c>
      <c r="AY185" s="31" t="s">
        <v>13949</v>
      </c>
      <c r="AZ185" s="31" t="s">
        <v>13869</v>
      </c>
      <c r="BA185" s="31" t="s">
        <v>13793</v>
      </c>
      <c r="BB185" s="31" t="s">
        <v>13772</v>
      </c>
      <c r="BC185" s="31" t="s">
        <v>13772</v>
      </c>
      <c r="BD185" s="31" t="s">
        <v>14404</v>
      </c>
      <c r="BE185" s="31" t="s">
        <v>13772</v>
      </c>
      <c r="BF185" s="31" t="s">
        <v>13772</v>
      </c>
      <c r="BG185" s="31" t="s">
        <v>30048</v>
      </c>
      <c r="BH185" s="31" t="s">
        <v>13772</v>
      </c>
      <c r="BI185" s="31" t="s">
        <v>30049</v>
      </c>
      <c r="BJ185" s="31" t="s">
        <v>25312</v>
      </c>
      <c r="BK185" s="31" t="s">
        <v>19629</v>
      </c>
      <c r="BL185" s="31" t="s">
        <v>13772</v>
      </c>
      <c r="BM185" s="31" t="s">
        <v>13772</v>
      </c>
    </row>
    <row r="186" spans="1:65">
      <c r="A186">
        <v>464</v>
      </c>
      <c r="B186">
        <v>1</v>
      </c>
      <c r="C186">
        <v>181</v>
      </c>
      <c r="D186" t="s">
        <v>1162</v>
      </c>
      <c r="E186" t="s">
        <v>73</v>
      </c>
      <c r="F186" t="s">
        <v>73</v>
      </c>
      <c r="G186">
        <v>70.400000000000006</v>
      </c>
      <c r="H186">
        <v>253</v>
      </c>
      <c r="I186">
        <v>28687</v>
      </c>
      <c r="J186" t="s">
        <v>1164</v>
      </c>
      <c r="K186" s="3" t="s">
        <v>73</v>
      </c>
      <c r="L186">
        <v>237</v>
      </c>
      <c r="M186">
        <v>235</v>
      </c>
      <c r="N186">
        <v>0.99199999999999999</v>
      </c>
      <c r="O186" s="11">
        <f t="shared" si="2"/>
        <v>13.888471481511218</v>
      </c>
      <c r="P186" s="36">
        <v>9.6931471666778304</v>
      </c>
      <c r="Q186" s="36">
        <v>28.8919236203234</v>
      </c>
      <c r="R186" s="36">
        <v>0.40019941545306398</v>
      </c>
      <c r="S186" s="36">
        <v>28.726513423911399</v>
      </c>
      <c r="T186" s="36">
        <v>43.008817996844598</v>
      </c>
      <c r="U186" s="36">
        <v>26.032362905905799</v>
      </c>
      <c r="V186" s="36">
        <v>13.7028096772403</v>
      </c>
      <c r="W186" s="36">
        <v>18.003896562672701</v>
      </c>
      <c r="X186" s="37">
        <v>0.79475829324495695</v>
      </c>
      <c r="Y186" s="37">
        <v>15.513981313451801</v>
      </c>
      <c r="Z186" s="37">
        <v>3.2002173930693698</v>
      </c>
      <c r="AA186" s="37">
        <v>7.6189234193994704</v>
      </c>
      <c r="AB186" s="37">
        <v>11.0255107897814</v>
      </c>
      <c r="AC186" s="37">
        <v>11.048667985391701</v>
      </c>
      <c r="AD186" s="37">
        <v>1.50854004786242</v>
      </c>
      <c r="AE186" s="37">
        <v>3.0452736929492299</v>
      </c>
      <c r="AF186" s="45">
        <v>-1.6014831422520199</v>
      </c>
      <c r="AG186" s="45">
        <v>-3.13379099939934</v>
      </c>
      <c r="AH186" s="46">
        <v>5.1843425066867496E-3</v>
      </c>
      <c r="AI186" s="47">
        <v>1.0171041457400099E-2</v>
      </c>
      <c r="AJ186" s="48">
        <v>21.057458846128601</v>
      </c>
      <c r="AK186" s="49">
        <v>6.7194841168938</v>
      </c>
      <c r="AL186" s="31" t="s">
        <v>5875</v>
      </c>
      <c r="AM186" s="31" t="s">
        <v>5878</v>
      </c>
      <c r="AN186" s="31" t="s">
        <v>18314</v>
      </c>
      <c r="AO186" s="31" t="s">
        <v>18315</v>
      </c>
      <c r="AP186" s="31" t="s">
        <v>18316</v>
      </c>
      <c r="AQ186" s="31" t="s">
        <v>18317</v>
      </c>
      <c r="AR186" s="31" t="s">
        <v>18318</v>
      </c>
      <c r="AS186" s="31" t="str">
        <f>"CLIC4"</f>
        <v>CLIC4</v>
      </c>
      <c r="AT186" s="31" t="s">
        <v>13772</v>
      </c>
      <c r="AU186" s="31" t="s">
        <v>13777</v>
      </c>
      <c r="AV186" s="31">
        <v>9606</v>
      </c>
      <c r="AW186" s="50" t="str">
        <f>HYPERLINK("http://www.uniprot.org/uniprot/Q9Y696", "Q9Y696")</f>
        <v>Q9Y696</v>
      </c>
      <c r="AX186" s="31" t="s">
        <v>18319</v>
      </c>
      <c r="AY186" s="31" t="s">
        <v>14288</v>
      </c>
      <c r="AZ186" s="31" t="s">
        <v>18320</v>
      </c>
      <c r="BA186" s="31" t="s">
        <v>13772</v>
      </c>
      <c r="BB186" s="31" t="s">
        <v>13772</v>
      </c>
      <c r="BC186" s="31" t="s">
        <v>13772</v>
      </c>
      <c r="BD186" s="31" t="s">
        <v>13925</v>
      </c>
      <c r="BE186" s="31" t="s">
        <v>18321</v>
      </c>
      <c r="BF186" s="31" t="s">
        <v>18322</v>
      </c>
      <c r="BG186" s="31" t="s">
        <v>13886</v>
      </c>
      <c r="BH186" s="31" t="s">
        <v>13812</v>
      </c>
      <c r="BI186" s="31" t="s">
        <v>18323</v>
      </c>
      <c r="BJ186" s="31" t="s">
        <v>18324</v>
      </c>
      <c r="BK186" s="31" t="s">
        <v>18325</v>
      </c>
      <c r="BL186" s="31" t="s">
        <v>13772</v>
      </c>
      <c r="BM186" s="31" t="s">
        <v>13772</v>
      </c>
    </row>
    <row r="187" spans="1:65">
      <c r="A187">
        <v>2445</v>
      </c>
      <c r="B187">
        <v>1</v>
      </c>
      <c r="C187">
        <v>182</v>
      </c>
      <c r="D187" t="s">
        <v>5739</v>
      </c>
      <c r="E187" t="s">
        <v>73</v>
      </c>
      <c r="F187" t="s">
        <v>5740</v>
      </c>
      <c r="G187">
        <v>82.8</v>
      </c>
      <c r="H187">
        <v>87</v>
      </c>
      <c r="I187">
        <v>10031</v>
      </c>
      <c r="J187" t="s">
        <v>5741</v>
      </c>
      <c r="K187" s="3" t="s">
        <v>73</v>
      </c>
      <c r="L187">
        <v>236</v>
      </c>
      <c r="M187">
        <v>236</v>
      </c>
      <c r="N187">
        <v>1</v>
      </c>
      <c r="O187" s="11">
        <f t="shared" si="2"/>
        <v>12.644480337011224</v>
      </c>
      <c r="P187" s="36">
        <v>2.4232867916694598</v>
      </c>
      <c r="Q187" s="36">
        <v>6.7414488447421297</v>
      </c>
      <c r="R187" s="36">
        <v>4.8023929854367697</v>
      </c>
      <c r="S187" s="36">
        <v>6.0476870366129196</v>
      </c>
      <c r="T187" s="36">
        <v>7.7415872394320298</v>
      </c>
      <c r="U187" s="36">
        <v>3.7189089865579601</v>
      </c>
      <c r="V187" s="36">
        <v>6.3243736971878404</v>
      </c>
      <c r="W187" s="36">
        <v>4.8659179899115301</v>
      </c>
      <c r="X187" s="37">
        <v>42.916947835227703</v>
      </c>
      <c r="Y187" s="37">
        <v>19.550139053536899</v>
      </c>
      <c r="Z187" s="37">
        <v>10.400706527475499</v>
      </c>
      <c r="AA187" s="37">
        <v>9.3120175125993505</v>
      </c>
      <c r="AB187" s="37">
        <v>27.5637769744534</v>
      </c>
      <c r="AC187" s="37">
        <v>14.994620837317401</v>
      </c>
      <c r="AD187" s="37">
        <v>12.068320382899399</v>
      </c>
      <c r="AE187" s="37">
        <v>22.839552697119299</v>
      </c>
      <c r="AF187" s="45">
        <v>1.87267151507128</v>
      </c>
      <c r="AG187" s="45">
        <v>3.74179827440858</v>
      </c>
      <c r="AH187" s="46">
        <v>5.7283878698845599E-6</v>
      </c>
      <c r="AI187" s="47">
        <v>2.2676280976051902E-5</v>
      </c>
      <c r="AJ187" s="48">
        <v>5.3332004464438301</v>
      </c>
      <c r="AK187" s="49">
        <v>19.955760227578601</v>
      </c>
      <c r="AL187" s="31" t="s">
        <v>5874</v>
      </c>
      <c r="AM187" s="31" t="s">
        <v>5876</v>
      </c>
      <c r="AN187" s="31" t="s">
        <v>23194</v>
      </c>
      <c r="AO187" s="31" t="s">
        <v>23195</v>
      </c>
      <c r="AP187" s="31" t="s">
        <v>23196</v>
      </c>
      <c r="AQ187" s="31" t="s">
        <v>23197</v>
      </c>
      <c r="AR187" s="31" t="s">
        <v>23198</v>
      </c>
      <c r="AS187" s="31" t="str">
        <f>"DBI"</f>
        <v>DBI</v>
      </c>
      <c r="AT187" s="31" t="s">
        <v>13772</v>
      </c>
      <c r="AU187" s="31" t="s">
        <v>13777</v>
      </c>
      <c r="AV187" s="31">
        <v>9606</v>
      </c>
      <c r="AW187" s="50" t="str">
        <f>HYPERLINK("http://www.uniprot.org/uniprot/P07108", "P07108")</f>
        <v>P07108</v>
      </c>
      <c r="AX187" s="31" t="s">
        <v>23199</v>
      </c>
      <c r="AY187" s="31" t="s">
        <v>14192</v>
      </c>
      <c r="AZ187" s="31" t="s">
        <v>18661</v>
      </c>
      <c r="BA187" s="31" t="s">
        <v>14942</v>
      </c>
      <c r="BB187" s="31" t="s">
        <v>13772</v>
      </c>
      <c r="BC187" s="31" t="s">
        <v>13772</v>
      </c>
      <c r="BD187" s="31" t="s">
        <v>13772</v>
      </c>
      <c r="BE187" s="31" t="s">
        <v>13900</v>
      </c>
      <c r="BF187" s="31" t="s">
        <v>13772</v>
      </c>
      <c r="BG187" s="31" t="s">
        <v>13886</v>
      </c>
      <c r="BH187" s="31" t="s">
        <v>13812</v>
      </c>
      <c r="BI187" s="31" t="s">
        <v>23200</v>
      </c>
      <c r="BJ187" s="31" t="s">
        <v>23201</v>
      </c>
      <c r="BK187" s="31" t="s">
        <v>23202</v>
      </c>
      <c r="BL187" s="31" t="s">
        <v>13772</v>
      </c>
      <c r="BM187" s="31" t="s">
        <v>18151</v>
      </c>
    </row>
    <row r="188" spans="1:65">
      <c r="A188">
        <v>1334</v>
      </c>
      <c r="B188">
        <v>1</v>
      </c>
      <c r="C188">
        <v>183</v>
      </c>
      <c r="D188" t="s">
        <v>3197</v>
      </c>
      <c r="E188" t="s">
        <v>73</v>
      </c>
      <c r="F188" t="s">
        <v>73</v>
      </c>
      <c r="G188">
        <v>70.900000000000006</v>
      </c>
      <c r="H188">
        <v>158</v>
      </c>
      <c r="I188">
        <v>17968</v>
      </c>
      <c r="J188" t="s">
        <v>3198</v>
      </c>
      <c r="K188" s="3" t="s">
        <v>73</v>
      </c>
      <c r="L188">
        <v>234</v>
      </c>
      <c r="M188">
        <v>234</v>
      </c>
      <c r="N188">
        <v>1</v>
      </c>
      <c r="O188" s="11">
        <f t="shared" si="2"/>
        <v>13.612072648454596</v>
      </c>
      <c r="P188" s="36">
        <v>24.232867916694602</v>
      </c>
      <c r="Q188" s="36">
        <v>4.8153206033872298</v>
      </c>
      <c r="R188" s="36">
        <v>25.612762588996102</v>
      </c>
      <c r="S188" s="36">
        <v>13.6072958323791</v>
      </c>
      <c r="T188" s="36">
        <v>13.762821758990301</v>
      </c>
      <c r="U188" s="36">
        <v>22.313453919347801</v>
      </c>
      <c r="V188" s="36">
        <v>9.4865605457817708</v>
      </c>
      <c r="W188" s="36">
        <v>3.8927343919292201</v>
      </c>
      <c r="X188" s="37">
        <v>9.53709951893949</v>
      </c>
      <c r="Y188" s="37">
        <v>3.7838978813297102</v>
      </c>
      <c r="Z188" s="37">
        <v>10.400706527475499</v>
      </c>
      <c r="AA188" s="37">
        <v>7.6189234193994704</v>
      </c>
      <c r="AB188" s="37">
        <v>11.0255107897814</v>
      </c>
      <c r="AC188" s="37">
        <v>4.7351434223107498</v>
      </c>
      <c r="AD188" s="37">
        <v>34.6964211008357</v>
      </c>
      <c r="AE188" s="37">
        <v>18.2716421576954</v>
      </c>
      <c r="AF188" s="45">
        <v>-0.27096375089095498</v>
      </c>
      <c r="AG188" s="45">
        <v>-1.1764223876141999</v>
      </c>
      <c r="AH188" s="46">
        <v>0.63236743139700902</v>
      </c>
      <c r="AI188" s="47">
        <v>0.70626679733655895</v>
      </c>
      <c r="AJ188" s="48">
        <v>14.715477194688299</v>
      </c>
      <c r="AK188" s="49">
        <v>12.5086681022209</v>
      </c>
      <c r="AL188" s="31" t="s">
        <v>5875</v>
      </c>
      <c r="AM188" s="31" t="s">
        <v>5832</v>
      </c>
      <c r="AN188" s="31" t="s">
        <v>26681</v>
      </c>
      <c r="AO188" s="31" t="s">
        <v>26682</v>
      </c>
      <c r="AP188" s="31" t="s">
        <v>26683</v>
      </c>
      <c r="AQ188" s="31" t="s">
        <v>26684</v>
      </c>
      <c r="AR188" s="31" t="s">
        <v>13772</v>
      </c>
      <c r="AS188" s="31" t="str">
        <f>"JCHAIN IGJ"</f>
        <v>JCHAIN IGJ</v>
      </c>
      <c r="AT188" s="31" t="s">
        <v>13772</v>
      </c>
      <c r="AU188" s="31" t="s">
        <v>13777</v>
      </c>
      <c r="AV188" s="31">
        <v>9606</v>
      </c>
      <c r="AW188" s="50" t="str">
        <f>HYPERLINK("http://www.uniprot.org/uniprot/P01591", "P01591")</f>
        <v>P01591</v>
      </c>
      <c r="AX188" s="31" t="s">
        <v>26685</v>
      </c>
      <c r="AY188" s="31" t="s">
        <v>13772</v>
      </c>
      <c r="AZ188" s="31" t="s">
        <v>14321</v>
      </c>
      <c r="BA188" s="31" t="s">
        <v>13772</v>
      </c>
      <c r="BB188" s="31" t="s">
        <v>13772</v>
      </c>
      <c r="BC188" s="31" t="s">
        <v>13772</v>
      </c>
      <c r="BD188" s="31" t="s">
        <v>13808</v>
      </c>
      <c r="BE188" s="31" t="s">
        <v>13772</v>
      </c>
      <c r="BF188" s="31" t="s">
        <v>13772</v>
      </c>
      <c r="BG188" s="31" t="s">
        <v>16701</v>
      </c>
      <c r="BH188" s="31" t="s">
        <v>13772</v>
      </c>
      <c r="BI188" s="31" t="s">
        <v>26686</v>
      </c>
      <c r="BJ188" s="31" t="s">
        <v>26687</v>
      </c>
      <c r="BK188" s="31" t="s">
        <v>26688</v>
      </c>
      <c r="BL188" s="31" t="s">
        <v>13772</v>
      </c>
      <c r="BM188" s="31" t="s">
        <v>26689</v>
      </c>
    </row>
    <row r="189" spans="1:65">
      <c r="A189">
        <v>475</v>
      </c>
      <c r="B189">
        <v>1</v>
      </c>
      <c r="C189">
        <v>184</v>
      </c>
      <c r="D189" t="s">
        <v>1194</v>
      </c>
      <c r="E189" t="s">
        <v>73</v>
      </c>
      <c r="F189" t="s">
        <v>73</v>
      </c>
      <c r="G189">
        <v>21.2</v>
      </c>
      <c r="H189">
        <v>160</v>
      </c>
      <c r="I189">
        <v>17472</v>
      </c>
      <c r="J189" t="s">
        <v>1195</v>
      </c>
      <c r="K189" s="3" t="s">
        <v>73</v>
      </c>
      <c r="L189">
        <v>232</v>
      </c>
      <c r="M189">
        <v>232</v>
      </c>
      <c r="N189">
        <v>1</v>
      </c>
      <c r="O189" s="11">
        <f t="shared" si="2"/>
        <v>14.727051568976147</v>
      </c>
      <c r="P189" s="36">
        <v>14.5397207500168</v>
      </c>
      <c r="Q189" s="36">
        <v>22.150474775581301</v>
      </c>
      <c r="R189" s="36">
        <v>33.616750898057397</v>
      </c>
      <c r="S189" s="36">
        <v>36.286122219677502</v>
      </c>
      <c r="T189" s="36">
        <v>16.343350838801001</v>
      </c>
      <c r="U189" s="36">
        <v>14.875635946231901</v>
      </c>
      <c r="V189" s="36">
        <v>22.135307940157499</v>
      </c>
      <c r="W189" s="36">
        <v>8.7586523818407507</v>
      </c>
      <c r="X189" s="37">
        <v>5.5633080527147003</v>
      </c>
      <c r="Y189" s="37">
        <v>6.3064964688828598</v>
      </c>
      <c r="Z189" s="37">
        <v>7.2004891344060802</v>
      </c>
      <c r="AA189" s="37">
        <v>6.7723763727995303</v>
      </c>
      <c r="AB189" s="37">
        <v>7.3503405265209096</v>
      </c>
      <c r="AC189" s="37">
        <v>9.4702868446214996</v>
      </c>
      <c r="AD189" s="37">
        <v>10.559780335037001</v>
      </c>
      <c r="AE189" s="37">
        <v>13.7037316182716</v>
      </c>
      <c r="AF189" s="45">
        <v>-1.3391887567285501</v>
      </c>
      <c r="AG189" s="45">
        <v>-2.5207539008754698</v>
      </c>
      <c r="AH189" s="46">
        <v>2.6339646087333499E-4</v>
      </c>
      <c r="AI189" s="47">
        <v>6.7000848792494799E-4</v>
      </c>
      <c r="AJ189" s="48">
        <v>21.0882519687955</v>
      </c>
      <c r="AK189" s="49">
        <v>8.3658511691567607</v>
      </c>
      <c r="AL189" s="31" t="s">
        <v>5875</v>
      </c>
      <c r="AM189" s="31" t="s">
        <v>5876</v>
      </c>
      <c r="AN189" s="31" t="s">
        <v>18430</v>
      </c>
      <c r="AO189" s="31" t="s">
        <v>18431</v>
      </c>
      <c r="AP189" s="31" t="s">
        <v>18432</v>
      </c>
      <c r="AQ189" s="31" t="s">
        <v>18433</v>
      </c>
      <c r="AR189" s="31" t="s">
        <v>18434</v>
      </c>
      <c r="AS189" s="31" t="str">
        <f>"CD59"</f>
        <v>CD59</v>
      </c>
      <c r="AT189" s="31" t="s">
        <v>18435</v>
      </c>
      <c r="AU189" s="31" t="s">
        <v>13777</v>
      </c>
      <c r="AV189" s="31">
        <v>9606</v>
      </c>
      <c r="AW189" s="50" t="str">
        <f>HYPERLINK("http://www.uniprot.org/uniprot/P13987", "P13987")</f>
        <v>P13987</v>
      </c>
      <c r="AX189" s="31" t="s">
        <v>18436</v>
      </c>
      <c r="AY189" s="31" t="s">
        <v>13772</v>
      </c>
      <c r="AZ189" s="31" t="s">
        <v>14336</v>
      </c>
      <c r="BA189" s="31" t="s">
        <v>13841</v>
      </c>
      <c r="BB189" s="31" t="s">
        <v>13772</v>
      </c>
      <c r="BC189" s="31" t="s">
        <v>17205</v>
      </c>
      <c r="BD189" s="31" t="s">
        <v>13808</v>
      </c>
      <c r="BE189" s="31" t="s">
        <v>13772</v>
      </c>
      <c r="BF189" s="31" t="s">
        <v>13772</v>
      </c>
      <c r="BG189" s="31" t="s">
        <v>18437</v>
      </c>
      <c r="BH189" s="31" t="s">
        <v>13812</v>
      </c>
      <c r="BI189" s="31" t="s">
        <v>18438</v>
      </c>
      <c r="BJ189" s="31" t="s">
        <v>18439</v>
      </c>
      <c r="BK189" s="31" t="s">
        <v>18440</v>
      </c>
      <c r="BL189" s="31" t="s">
        <v>13772</v>
      </c>
      <c r="BM189" s="31" t="s">
        <v>18441</v>
      </c>
    </row>
    <row r="190" spans="1:65">
      <c r="A190">
        <v>1537</v>
      </c>
      <c r="B190">
        <v>1</v>
      </c>
      <c r="C190">
        <v>185</v>
      </c>
      <c r="D190" t="s">
        <v>3649</v>
      </c>
      <c r="E190" t="s">
        <v>73</v>
      </c>
      <c r="F190" t="s">
        <v>73</v>
      </c>
      <c r="G190">
        <v>55.3</v>
      </c>
      <c r="H190">
        <v>470</v>
      </c>
      <c r="I190">
        <v>50686</v>
      </c>
      <c r="J190" t="s">
        <v>3650</v>
      </c>
      <c r="K190" s="3" t="s">
        <v>73</v>
      </c>
      <c r="L190">
        <v>231</v>
      </c>
      <c r="M190">
        <v>231</v>
      </c>
      <c r="N190">
        <v>1</v>
      </c>
      <c r="O190" s="11">
        <f t="shared" si="2"/>
        <v>12.243769104580714</v>
      </c>
      <c r="P190" s="36">
        <v>14.5397207500168</v>
      </c>
      <c r="Q190" s="36">
        <v>6.7414488447421297</v>
      </c>
      <c r="R190" s="36">
        <v>9.6047859708735501</v>
      </c>
      <c r="S190" s="36">
        <v>9.0715305549193808</v>
      </c>
      <c r="T190" s="36">
        <v>6.0212345195582504</v>
      </c>
      <c r="U190" s="36">
        <v>2.7891817399184702</v>
      </c>
      <c r="V190" s="36">
        <v>7.3784359800524904</v>
      </c>
      <c r="W190" s="36">
        <v>9.7318359798230603</v>
      </c>
      <c r="X190" s="37">
        <v>9.53709951893949</v>
      </c>
      <c r="Y190" s="37">
        <v>18.2888397597603</v>
      </c>
      <c r="Z190" s="37">
        <v>9.6006521792081099</v>
      </c>
      <c r="AA190" s="37">
        <v>18.624035025198701</v>
      </c>
      <c r="AB190" s="37">
        <v>11.944303355596499</v>
      </c>
      <c r="AC190" s="37">
        <v>14.994620837317401</v>
      </c>
      <c r="AD190" s="37">
        <v>18.102480574349102</v>
      </c>
      <c r="AE190" s="37">
        <v>28.930100083017699</v>
      </c>
      <c r="AF190" s="45">
        <v>0.97184150622521204</v>
      </c>
      <c r="AG190" s="45">
        <v>1.9736753884909899</v>
      </c>
      <c r="AH190" s="46">
        <v>7.52225849162303E-3</v>
      </c>
      <c r="AI190" s="47">
        <v>1.4175749101114901E-2</v>
      </c>
      <c r="AJ190" s="48">
        <v>8.2347717924880097</v>
      </c>
      <c r="AK190" s="49">
        <v>16.252766416673399</v>
      </c>
      <c r="AL190" s="31" t="s">
        <v>5874</v>
      </c>
      <c r="AM190" s="31" t="s">
        <v>5878</v>
      </c>
      <c r="AN190" s="31" t="s">
        <v>28543</v>
      </c>
      <c r="AO190" s="31" t="s">
        <v>28544</v>
      </c>
      <c r="AP190" s="31" t="s">
        <v>28545</v>
      </c>
      <c r="AQ190" s="31" t="s">
        <v>28546</v>
      </c>
      <c r="AR190" s="31" t="s">
        <v>28547</v>
      </c>
      <c r="AS190" s="31" t="str">
        <f>"CD14"</f>
        <v>CD14</v>
      </c>
      <c r="AT190" s="31" t="s">
        <v>13772</v>
      </c>
      <c r="AU190" s="31" t="s">
        <v>13777</v>
      </c>
      <c r="AV190" s="31">
        <v>9606</v>
      </c>
      <c r="AW190" s="50" t="str">
        <f>HYPERLINK("http://www.uniprot.org/uniprot/P08571", "P08571")</f>
        <v>P08571</v>
      </c>
      <c r="AX190" s="31" t="s">
        <v>28548</v>
      </c>
      <c r="AY190" s="31" t="s">
        <v>20696</v>
      </c>
      <c r="AZ190" s="31" t="s">
        <v>24403</v>
      </c>
      <c r="BA190" s="31" t="s">
        <v>13793</v>
      </c>
      <c r="BB190" s="31" t="s">
        <v>13772</v>
      </c>
      <c r="BC190" s="31" t="s">
        <v>13772</v>
      </c>
      <c r="BD190" s="31" t="s">
        <v>19328</v>
      </c>
      <c r="BE190" s="31" t="s">
        <v>13772</v>
      </c>
      <c r="BF190" s="31" t="s">
        <v>13772</v>
      </c>
      <c r="BG190" s="31" t="s">
        <v>15699</v>
      </c>
      <c r="BH190" s="31" t="s">
        <v>13812</v>
      </c>
      <c r="BI190" s="31" t="s">
        <v>28549</v>
      </c>
      <c r="BJ190" s="31" t="s">
        <v>28550</v>
      </c>
      <c r="BK190" s="31" t="s">
        <v>28551</v>
      </c>
      <c r="BL190" s="31" t="s">
        <v>13772</v>
      </c>
      <c r="BM190" s="31" t="s">
        <v>28552</v>
      </c>
    </row>
    <row r="191" spans="1:65">
      <c r="A191">
        <v>627</v>
      </c>
      <c r="B191">
        <v>1</v>
      </c>
      <c r="C191">
        <v>186</v>
      </c>
      <c r="D191" t="s">
        <v>1551</v>
      </c>
      <c r="E191" t="s">
        <v>73</v>
      </c>
      <c r="F191" t="s">
        <v>73</v>
      </c>
      <c r="G191">
        <v>62.3</v>
      </c>
      <c r="H191">
        <v>130</v>
      </c>
      <c r="I191">
        <v>14466</v>
      </c>
      <c r="J191" t="s">
        <v>1481</v>
      </c>
      <c r="K191" s="3" t="s">
        <v>73</v>
      </c>
      <c r="L191">
        <v>263</v>
      </c>
      <c r="M191">
        <v>170</v>
      </c>
      <c r="N191">
        <v>0.64600000000000002</v>
      </c>
      <c r="O191" s="11">
        <f t="shared" si="2"/>
        <v>11.213185893670824</v>
      </c>
      <c r="P191" s="36">
        <v>9.3296541479274193</v>
      </c>
      <c r="Q191" s="36">
        <v>0.24076603016936199</v>
      </c>
      <c r="R191" s="36">
        <v>0.40019941545306398</v>
      </c>
      <c r="S191" s="36">
        <v>0.37798043978830698</v>
      </c>
      <c r="T191" s="36">
        <v>0.215044089984223</v>
      </c>
      <c r="U191" s="36">
        <v>0.23243181165987301</v>
      </c>
      <c r="V191" s="36">
        <v>0.26351557071616</v>
      </c>
      <c r="W191" s="36">
        <v>0.24329589949557701</v>
      </c>
      <c r="X191" s="37">
        <v>62.4680018490536</v>
      </c>
      <c r="Y191" s="37">
        <v>23.901621617065999</v>
      </c>
      <c r="Z191" s="37">
        <v>12.960880441931</v>
      </c>
      <c r="AA191" s="37">
        <v>9.5659816265793296</v>
      </c>
      <c r="AB191" s="37">
        <v>17.916455033394701</v>
      </c>
      <c r="AC191" s="37">
        <v>8.6810962742363706</v>
      </c>
      <c r="AD191" s="37">
        <v>13.1242984164031</v>
      </c>
      <c r="AE191" s="37">
        <v>19.489751634875098</v>
      </c>
      <c r="AF191" s="45">
        <v>3.85005500758355</v>
      </c>
      <c r="AG191" s="45">
        <v>14.8730214561183</v>
      </c>
      <c r="AH191" s="46">
        <v>7.7088820039046001E-8</v>
      </c>
      <c r="AI191" s="47">
        <v>5.4286758532759705E-7</v>
      </c>
      <c r="AJ191" s="48">
        <v>1.4128609256492499</v>
      </c>
      <c r="AK191" s="49">
        <v>21.013510861692399</v>
      </c>
      <c r="AL191" s="31" t="s">
        <v>5874</v>
      </c>
      <c r="AM191" s="31" t="s">
        <v>5876</v>
      </c>
      <c r="AN191" s="31" t="s">
        <v>19672</v>
      </c>
      <c r="AO191" s="31" t="s">
        <v>19673</v>
      </c>
      <c r="AP191" s="31" t="s">
        <v>19674</v>
      </c>
      <c r="AQ191" s="31" t="s">
        <v>19675</v>
      </c>
      <c r="AR191" s="31" t="s">
        <v>19676</v>
      </c>
      <c r="AS191" s="31" t="str">
        <f>"SAA1"</f>
        <v>SAA1</v>
      </c>
      <c r="AT191" s="31" t="s">
        <v>13772</v>
      </c>
      <c r="AU191" s="31" t="s">
        <v>13777</v>
      </c>
      <c r="AV191" s="31">
        <v>9606</v>
      </c>
      <c r="AW191" s="50" t="str">
        <f>HYPERLINK("http://www.uniprot.org/uniprot/P0DJI8", "P0DJI8")</f>
        <v>P0DJI8</v>
      </c>
      <c r="AX191" s="31" t="s">
        <v>19677</v>
      </c>
      <c r="AY191" s="31" t="s">
        <v>14374</v>
      </c>
      <c r="AZ191" s="31" t="s">
        <v>19678</v>
      </c>
      <c r="BA191" s="31" t="s">
        <v>13793</v>
      </c>
      <c r="BB191" s="31" t="s">
        <v>13772</v>
      </c>
      <c r="BC191" s="31" t="s">
        <v>19679</v>
      </c>
      <c r="BD191" s="31" t="s">
        <v>13808</v>
      </c>
      <c r="BE191" s="31" t="s">
        <v>13772</v>
      </c>
      <c r="BF191" s="31" t="s">
        <v>14073</v>
      </c>
      <c r="BG191" s="31" t="s">
        <v>17914</v>
      </c>
      <c r="BH191" s="31" t="s">
        <v>13812</v>
      </c>
      <c r="BI191" s="31" t="s">
        <v>19680</v>
      </c>
      <c r="BJ191" s="31" t="s">
        <v>19681</v>
      </c>
      <c r="BK191" s="31" t="s">
        <v>19682</v>
      </c>
      <c r="BL191" s="31" t="s">
        <v>13772</v>
      </c>
      <c r="BM191" s="31" t="s">
        <v>19683</v>
      </c>
    </row>
    <row r="192" spans="1:65">
      <c r="A192">
        <v>405</v>
      </c>
      <c r="B192">
        <v>1</v>
      </c>
      <c r="C192">
        <v>187</v>
      </c>
      <c r="D192" t="s">
        <v>1015</v>
      </c>
      <c r="E192" t="s">
        <v>73</v>
      </c>
      <c r="F192" t="s">
        <v>73</v>
      </c>
      <c r="G192">
        <v>75.8</v>
      </c>
      <c r="H192">
        <v>132</v>
      </c>
      <c r="I192">
        <v>14695</v>
      </c>
      <c r="J192" t="s">
        <v>1017</v>
      </c>
      <c r="K192" s="3" t="s">
        <v>73</v>
      </c>
      <c r="L192">
        <v>230</v>
      </c>
      <c r="M192">
        <v>229</v>
      </c>
      <c r="N192">
        <v>0.996</v>
      </c>
      <c r="O192" s="11">
        <f t="shared" si="2"/>
        <v>11.886676880496598</v>
      </c>
      <c r="P192" s="36">
        <v>7.2698603750083803</v>
      </c>
      <c r="Q192" s="36">
        <v>0.24076603016936199</v>
      </c>
      <c r="R192" s="36">
        <v>0.40019941545306398</v>
      </c>
      <c r="S192" s="36">
        <v>0.37798043978830698</v>
      </c>
      <c r="T192" s="36">
        <v>0.215044089984223</v>
      </c>
      <c r="U192" s="36">
        <v>3.7189089865579601</v>
      </c>
      <c r="V192" s="36">
        <v>0.26351557071616</v>
      </c>
      <c r="W192" s="36">
        <v>27.249140743504601</v>
      </c>
      <c r="X192" s="37">
        <v>13.5108909851643</v>
      </c>
      <c r="Y192" s="37">
        <v>32.163131991302599</v>
      </c>
      <c r="Z192" s="37">
        <v>10.400706527475499</v>
      </c>
      <c r="AA192" s="37">
        <v>11.0051116057992</v>
      </c>
      <c r="AB192" s="37">
        <v>31.5145850074584</v>
      </c>
      <c r="AC192" s="37">
        <v>27.621669963479398</v>
      </c>
      <c r="AD192" s="37">
        <v>13.576860430761799</v>
      </c>
      <c r="AE192" s="37">
        <v>10.658457925322301</v>
      </c>
      <c r="AF192" s="45">
        <v>1.87390273725878</v>
      </c>
      <c r="AG192" s="45">
        <v>3.78633045536766</v>
      </c>
      <c r="AH192" s="46">
        <v>9.4846890146574499E-3</v>
      </c>
      <c r="AI192" s="47">
        <v>1.7528334118248199E-2</v>
      </c>
      <c r="AJ192" s="48">
        <v>4.9669269563977503</v>
      </c>
      <c r="AK192" s="49">
        <v>18.8064268045954</v>
      </c>
      <c r="AL192" s="31" t="s">
        <v>5874</v>
      </c>
      <c r="AM192" s="31" t="s">
        <v>5878</v>
      </c>
      <c r="AN192" s="31" t="s">
        <v>17680</v>
      </c>
      <c r="AO192" s="31" t="s">
        <v>17681</v>
      </c>
      <c r="AP192" s="31" t="s">
        <v>17682</v>
      </c>
      <c r="AQ192" s="31" t="s">
        <v>17683</v>
      </c>
      <c r="AR192" s="31" t="s">
        <v>17684</v>
      </c>
      <c r="AS192" s="31" t="str">
        <f>"FABP4"</f>
        <v>FABP4</v>
      </c>
      <c r="AT192" s="31" t="s">
        <v>13772</v>
      </c>
      <c r="AU192" s="31" t="s">
        <v>13777</v>
      </c>
      <c r="AV192" s="31">
        <v>9606</v>
      </c>
      <c r="AW192" s="50" t="str">
        <f>HYPERLINK("http://www.uniprot.org/uniprot/P15090", "P15090")</f>
        <v>P15090</v>
      </c>
      <c r="AX192" s="31" t="s">
        <v>17685</v>
      </c>
      <c r="AY192" s="31" t="s">
        <v>14192</v>
      </c>
      <c r="AZ192" s="31" t="s">
        <v>13912</v>
      </c>
      <c r="BA192" s="31" t="s">
        <v>13793</v>
      </c>
      <c r="BB192" s="31" t="s">
        <v>13772</v>
      </c>
      <c r="BC192" s="31" t="s">
        <v>13772</v>
      </c>
      <c r="BD192" s="31" t="s">
        <v>13772</v>
      </c>
      <c r="BE192" s="31" t="s">
        <v>13900</v>
      </c>
      <c r="BF192" s="31" t="s">
        <v>13772</v>
      </c>
      <c r="BG192" s="31" t="s">
        <v>13886</v>
      </c>
      <c r="BH192" s="31" t="s">
        <v>13812</v>
      </c>
      <c r="BI192" s="31" t="s">
        <v>17686</v>
      </c>
      <c r="BJ192" s="31" t="s">
        <v>17687</v>
      </c>
      <c r="BK192" s="31" t="s">
        <v>17688</v>
      </c>
      <c r="BL192" s="31" t="s">
        <v>13772</v>
      </c>
      <c r="BM192" s="31" t="s">
        <v>16161</v>
      </c>
    </row>
    <row r="193" spans="1:65">
      <c r="A193">
        <v>1805</v>
      </c>
      <c r="B193">
        <v>1</v>
      </c>
      <c r="C193">
        <v>188</v>
      </c>
      <c r="D193" t="s">
        <v>4267</v>
      </c>
      <c r="E193" t="s">
        <v>73</v>
      </c>
      <c r="F193" t="s">
        <v>73</v>
      </c>
      <c r="G193">
        <v>37.6</v>
      </c>
      <c r="H193">
        <v>93</v>
      </c>
      <c r="I193">
        <v>10495</v>
      </c>
      <c r="J193" t="s">
        <v>4268</v>
      </c>
      <c r="K193" s="3" t="s">
        <v>73</v>
      </c>
      <c r="L193">
        <v>227</v>
      </c>
      <c r="M193">
        <v>227</v>
      </c>
      <c r="N193">
        <v>1</v>
      </c>
      <c r="O193" s="11">
        <f t="shared" si="2"/>
        <v>14.019062159462509</v>
      </c>
      <c r="P193" s="36">
        <v>19.3862943333557</v>
      </c>
      <c r="Q193" s="36">
        <v>7.7045129654195703</v>
      </c>
      <c r="R193" s="36">
        <v>16.007976618122601</v>
      </c>
      <c r="S193" s="36">
        <v>9.0715305549193808</v>
      </c>
      <c r="T193" s="36">
        <v>18.0637035586747</v>
      </c>
      <c r="U193" s="36">
        <v>26.032362905905799</v>
      </c>
      <c r="V193" s="36">
        <v>31.621868485939199</v>
      </c>
      <c r="W193" s="36">
        <v>21.410039155610701</v>
      </c>
      <c r="X193" s="37">
        <v>7.9475829324495697</v>
      </c>
      <c r="Y193" s="37">
        <v>6.9371461157711396</v>
      </c>
      <c r="Z193" s="37">
        <v>8.0005434826734305</v>
      </c>
      <c r="AA193" s="37">
        <v>6.7723763727995303</v>
      </c>
      <c r="AB193" s="37">
        <v>10.1067182239663</v>
      </c>
      <c r="AC193" s="37">
        <v>9.4702868446214996</v>
      </c>
      <c r="AD193" s="37">
        <v>12.068320382899399</v>
      </c>
      <c r="AE193" s="37">
        <v>13.7037316182716</v>
      </c>
      <c r="AF193" s="45">
        <v>-1.0363285938823701</v>
      </c>
      <c r="AG193" s="45">
        <v>-1.99046587422183</v>
      </c>
      <c r="AH193" s="46">
        <v>4.0531030979023596E-3</v>
      </c>
      <c r="AI193" s="47">
        <v>8.04607113500499E-3</v>
      </c>
      <c r="AJ193" s="48">
        <v>18.6622860722435</v>
      </c>
      <c r="AK193" s="49">
        <v>9.3758382466815409</v>
      </c>
      <c r="AL193" s="31" t="s">
        <v>5875</v>
      </c>
      <c r="AM193" s="31" t="s">
        <v>5876</v>
      </c>
      <c r="AN193" s="31" t="s">
        <v>31132</v>
      </c>
      <c r="AO193" s="31" t="s">
        <v>31133</v>
      </c>
      <c r="AP193" s="31" t="s">
        <v>31134</v>
      </c>
      <c r="AQ193" s="31" t="s">
        <v>31135</v>
      </c>
      <c r="AR193" s="31" t="s">
        <v>31136</v>
      </c>
      <c r="AS193" s="31" t="str">
        <f>"SH3BGRL3"</f>
        <v>SH3BGRL3</v>
      </c>
      <c r="AT193" s="31" t="s">
        <v>13772</v>
      </c>
      <c r="AU193" s="31" t="s">
        <v>13777</v>
      </c>
      <c r="AV193" s="31">
        <v>9606</v>
      </c>
      <c r="AW193" s="50" t="str">
        <f>HYPERLINK("http://www.uniprot.org/uniprot/Q9H299", "Q9H299")</f>
        <v>Q9H299</v>
      </c>
      <c r="AX193" s="31" t="s">
        <v>31137</v>
      </c>
      <c r="AY193" s="31" t="s">
        <v>13772</v>
      </c>
      <c r="AZ193" s="31" t="s">
        <v>13912</v>
      </c>
      <c r="BA193" s="31" t="s">
        <v>13772</v>
      </c>
      <c r="BB193" s="31" t="s">
        <v>13772</v>
      </c>
      <c r="BC193" s="31" t="s">
        <v>13772</v>
      </c>
      <c r="BD193" s="31" t="s">
        <v>13772</v>
      </c>
      <c r="BE193" s="31" t="s">
        <v>13772</v>
      </c>
      <c r="BF193" s="31" t="s">
        <v>13772</v>
      </c>
      <c r="BG193" s="31" t="s">
        <v>14020</v>
      </c>
      <c r="BH193" s="31" t="s">
        <v>13812</v>
      </c>
      <c r="BI193" s="31" t="s">
        <v>18189</v>
      </c>
      <c r="BJ193" s="31" t="s">
        <v>31138</v>
      </c>
      <c r="BK193" s="31" t="s">
        <v>31139</v>
      </c>
      <c r="BL193" s="31" t="s">
        <v>13772</v>
      </c>
      <c r="BM193" s="31" t="s">
        <v>13772</v>
      </c>
    </row>
    <row r="194" spans="1:65">
      <c r="A194">
        <v>2095</v>
      </c>
      <c r="B194">
        <v>1</v>
      </c>
      <c r="C194">
        <v>189</v>
      </c>
      <c r="D194" t="s">
        <v>4919</v>
      </c>
      <c r="E194" t="s">
        <v>73</v>
      </c>
      <c r="F194" t="s">
        <v>73</v>
      </c>
      <c r="G194">
        <v>73.2</v>
      </c>
      <c r="H194">
        <v>142</v>
      </c>
      <c r="I194">
        <v>15924</v>
      </c>
      <c r="J194" t="s">
        <v>4920</v>
      </c>
      <c r="K194" s="3" t="s">
        <v>73</v>
      </c>
      <c r="L194">
        <v>225</v>
      </c>
      <c r="M194">
        <v>225</v>
      </c>
      <c r="N194">
        <v>1</v>
      </c>
      <c r="O194" s="11">
        <f t="shared" si="2"/>
        <v>12.966281030202698</v>
      </c>
      <c r="P194" s="36">
        <v>13.328077354182</v>
      </c>
      <c r="Q194" s="36">
        <v>4.8153206033872298</v>
      </c>
      <c r="R194" s="36">
        <v>11.2055836326858</v>
      </c>
      <c r="S194" s="36">
        <v>0.37798043978830698</v>
      </c>
      <c r="T194" s="36">
        <v>4.3008817996844604</v>
      </c>
      <c r="U194" s="36">
        <v>13.945908699592399</v>
      </c>
      <c r="V194" s="36">
        <v>20.027183374428201</v>
      </c>
      <c r="W194" s="36">
        <v>25.302773547539999</v>
      </c>
      <c r="X194" s="37">
        <v>7.9475829324495697</v>
      </c>
      <c r="Y194" s="37">
        <v>8.8290950564359996</v>
      </c>
      <c r="Z194" s="37">
        <v>13.600923920544799</v>
      </c>
      <c r="AA194" s="37">
        <v>13.5447527455991</v>
      </c>
      <c r="AB194" s="37">
        <v>11.944303355596499</v>
      </c>
      <c r="AC194" s="37">
        <v>17.362192548472699</v>
      </c>
      <c r="AD194" s="37">
        <v>19.611020622211502</v>
      </c>
      <c r="AE194" s="37">
        <v>21.316915850644602</v>
      </c>
      <c r="AF194" s="45">
        <v>0.25412776108153201</v>
      </c>
      <c r="AG194" s="45">
        <v>1.22349676881339</v>
      </c>
      <c r="AH194" s="46">
        <v>0.57056216939224003</v>
      </c>
      <c r="AI194" s="47">
        <v>0.64978349703476501</v>
      </c>
      <c r="AJ194" s="48">
        <v>11.662963681411</v>
      </c>
      <c r="AK194" s="49">
        <v>14.269598378994401</v>
      </c>
      <c r="AL194" s="31" t="s">
        <v>5874</v>
      </c>
      <c r="AM194" s="31" t="s">
        <v>5832</v>
      </c>
      <c r="AN194" s="31" t="s">
        <v>33823</v>
      </c>
      <c r="AO194" s="31" t="s">
        <v>13772</v>
      </c>
      <c r="AP194" s="31" t="s">
        <v>33824</v>
      </c>
      <c r="AQ194" s="31" t="s">
        <v>33825</v>
      </c>
      <c r="AR194" s="31" t="s">
        <v>33826</v>
      </c>
      <c r="AS194" s="31" t="str">
        <f>"COTL1"</f>
        <v>COTL1</v>
      </c>
      <c r="AT194" s="31" t="s">
        <v>33827</v>
      </c>
      <c r="AU194" s="31" t="s">
        <v>13777</v>
      </c>
      <c r="AV194" s="31">
        <v>9606</v>
      </c>
      <c r="AW194" s="50" t="str">
        <f>HYPERLINK("http://www.uniprot.org/uniprot/Q14019", "Q14019")</f>
        <v>Q14019</v>
      </c>
      <c r="AX194" s="31" t="s">
        <v>33828</v>
      </c>
      <c r="AY194" s="31" t="s">
        <v>13772</v>
      </c>
      <c r="AZ194" s="31" t="s">
        <v>15843</v>
      </c>
      <c r="BA194" s="31" t="s">
        <v>13772</v>
      </c>
      <c r="BB194" s="31" t="s">
        <v>13772</v>
      </c>
      <c r="BC194" s="31" t="s">
        <v>13772</v>
      </c>
      <c r="BD194" s="31" t="s">
        <v>13772</v>
      </c>
      <c r="BE194" s="31" t="s">
        <v>13772</v>
      </c>
      <c r="BF194" s="31" t="s">
        <v>33829</v>
      </c>
      <c r="BG194" s="31" t="s">
        <v>14020</v>
      </c>
      <c r="BH194" s="31" t="s">
        <v>13812</v>
      </c>
      <c r="BI194" s="31" t="s">
        <v>33830</v>
      </c>
      <c r="BJ194" s="31" t="s">
        <v>33831</v>
      </c>
      <c r="BK194" s="31" t="s">
        <v>33832</v>
      </c>
      <c r="BL194" s="31" t="s">
        <v>13772</v>
      </c>
      <c r="BM194" s="31" t="s">
        <v>13890</v>
      </c>
    </row>
    <row r="195" spans="1:65">
      <c r="A195">
        <v>1977</v>
      </c>
      <c r="B195">
        <v>1</v>
      </c>
      <c r="C195">
        <v>190</v>
      </c>
      <c r="D195" t="s">
        <v>4656</v>
      </c>
      <c r="E195" t="s">
        <v>73</v>
      </c>
      <c r="F195" t="s">
        <v>73</v>
      </c>
      <c r="G195">
        <v>62</v>
      </c>
      <c r="H195">
        <v>345</v>
      </c>
      <c r="I195">
        <v>38595</v>
      </c>
      <c r="J195" t="s">
        <v>4657</v>
      </c>
      <c r="K195" s="3" t="s">
        <v>73</v>
      </c>
      <c r="L195">
        <v>224</v>
      </c>
      <c r="M195">
        <v>224</v>
      </c>
      <c r="N195">
        <v>1</v>
      </c>
      <c r="O195" s="11">
        <f t="shared" si="2"/>
        <v>11.421044733841239</v>
      </c>
      <c r="P195" s="36">
        <v>1.2116433958347299</v>
      </c>
      <c r="Q195" s="36">
        <v>4.8153206033872298</v>
      </c>
      <c r="R195" s="36">
        <v>4.8023929854367697</v>
      </c>
      <c r="S195" s="36">
        <v>4.5357652774596904</v>
      </c>
      <c r="T195" s="36">
        <v>1.72035271987378</v>
      </c>
      <c r="U195" s="36">
        <v>10.226999713034401</v>
      </c>
      <c r="V195" s="36">
        <v>11.594685111511</v>
      </c>
      <c r="W195" s="36">
        <v>9.7318359798230603</v>
      </c>
      <c r="X195" s="37">
        <v>28.6112985568185</v>
      </c>
      <c r="Y195" s="37">
        <v>25.856635522419701</v>
      </c>
      <c r="Z195" s="37">
        <v>27.201847841089702</v>
      </c>
      <c r="AA195" s="37">
        <v>17.777487978598799</v>
      </c>
      <c r="AB195" s="37">
        <v>5.5127553948906796</v>
      </c>
      <c r="AC195" s="37">
        <v>9.4702868446214996</v>
      </c>
      <c r="AD195" s="37">
        <v>13.576860430761799</v>
      </c>
      <c r="AE195" s="37">
        <v>6.0905473858984696</v>
      </c>
      <c r="AF195" s="45">
        <v>1.4483341114997701</v>
      </c>
      <c r="AG195" s="45">
        <v>2.7570001762393002</v>
      </c>
      <c r="AH195" s="46">
        <v>2.2038174119191202E-3</v>
      </c>
      <c r="AI195" s="47">
        <v>4.5930026435323703E-3</v>
      </c>
      <c r="AJ195" s="48">
        <v>6.0798744732950896</v>
      </c>
      <c r="AK195" s="49">
        <v>16.762214994387399</v>
      </c>
      <c r="AL195" s="31" t="s">
        <v>5874</v>
      </c>
      <c r="AM195" s="31" t="s">
        <v>5876</v>
      </c>
      <c r="AN195" s="31" t="s">
        <v>32733</v>
      </c>
      <c r="AO195" s="31" t="s">
        <v>32734</v>
      </c>
      <c r="AP195" s="31" t="s">
        <v>32735</v>
      </c>
      <c r="AQ195" s="31" t="s">
        <v>32736</v>
      </c>
      <c r="AR195" s="31" t="s">
        <v>32737</v>
      </c>
      <c r="AS195" s="31" t="str">
        <f>"ANXA1"</f>
        <v>ANXA1</v>
      </c>
      <c r="AT195" s="31" t="s">
        <v>32738</v>
      </c>
      <c r="AU195" s="31" t="s">
        <v>13777</v>
      </c>
      <c r="AV195" s="31">
        <v>9606</v>
      </c>
      <c r="AW195" s="50" t="str">
        <f>HYPERLINK("http://www.uniprot.org/uniprot/P04083", "P04083")</f>
        <v>P04083</v>
      </c>
      <c r="AX195" s="31" t="s">
        <v>32739</v>
      </c>
      <c r="AY195" s="31" t="s">
        <v>32740</v>
      </c>
      <c r="AZ195" s="31" t="s">
        <v>32741</v>
      </c>
      <c r="BA195" s="31" t="s">
        <v>13772</v>
      </c>
      <c r="BB195" s="31" t="s">
        <v>13772</v>
      </c>
      <c r="BC195" s="31" t="s">
        <v>13772</v>
      </c>
      <c r="BD195" s="31" t="s">
        <v>15322</v>
      </c>
      <c r="BE195" s="31" t="s">
        <v>24991</v>
      </c>
      <c r="BF195" s="31" t="s">
        <v>19418</v>
      </c>
      <c r="BG195" s="31" t="s">
        <v>18756</v>
      </c>
      <c r="BH195" s="31" t="s">
        <v>14324</v>
      </c>
      <c r="BI195" s="31" t="s">
        <v>32742</v>
      </c>
      <c r="BJ195" s="31" t="s">
        <v>32743</v>
      </c>
      <c r="BK195" s="31" t="s">
        <v>32744</v>
      </c>
      <c r="BL195" s="31" t="s">
        <v>13772</v>
      </c>
      <c r="BM195" s="31" t="s">
        <v>32745</v>
      </c>
    </row>
    <row r="196" spans="1:65">
      <c r="A196">
        <v>1684</v>
      </c>
      <c r="B196">
        <v>1</v>
      </c>
      <c r="C196">
        <v>191</v>
      </c>
      <c r="D196" t="s">
        <v>3993</v>
      </c>
      <c r="E196" t="s">
        <v>3994</v>
      </c>
      <c r="F196" t="s">
        <v>73</v>
      </c>
      <c r="G196">
        <v>24.2</v>
      </c>
      <c r="H196">
        <v>4703</v>
      </c>
      <c r="I196">
        <v>534301</v>
      </c>
      <c r="J196" t="s">
        <v>3996</v>
      </c>
      <c r="K196" s="3" t="s">
        <v>73</v>
      </c>
      <c r="L196">
        <v>224</v>
      </c>
      <c r="M196">
        <v>213</v>
      </c>
      <c r="N196">
        <v>0.95099999999999996</v>
      </c>
      <c r="O196" s="11">
        <f t="shared" si="2"/>
        <v>11.25576705671314</v>
      </c>
      <c r="P196" s="36">
        <v>0.30291084895868198</v>
      </c>
      <c r="Q196" s="36">
        <v>0.96306412067744696</v>
      </c>
      <c r="R196" s="36">
        <v>0.40019941545306398</v>
      </c>
      <c r="S196" s="36">
        <v>0.37798043978830698</v>
      </c>
      <c r="T196" s="36">
        <v>0.215044089984223</v>
      </c>
      <c r="U196" s="36">
        <v>1.85945449327898</v>
      </c>
      <c r="V196" s="36">
        <v>0.26351557071616</v>
      </c>
      <c r="W196" s="36">
        <v>1.9463671959646101</v>
      </c>
      <c r="X196" s="37">
        <v>15.1004075716542</v>
      </c>
      <c r="Y196" s="37">
        <v>33.1721714263238</v>
      </c>
      <c r="Z196" s="37">
        <v>39.202663065099799</v>
      </c>
      <c r="AA196" s="37">
        <v>20.317129118398601</v>
      </c>
      <c r="AB196" s="37">
        <v>33.0765323693441</v>
      </c>
      <c r="AC196" s="37">
        <v>26.8324793930942</v>
      </c>
      <c r="AD196" s="37">
        <v>3.0170800957248498</v>
      </c>
      <c r="AE196" s="37">
        <v>3.0452736929492299</v>
      </c>
      <c r="AF196" s="45">
        <v>4.5321935355707303</v>
      </c>
      <c r="AG196" s="45">
        <v>27.457176815061899</v>
      </c>
      <c r="AH196" s="46">
        <v>2.0434843117974E-11</v>
      </c>
      <c r="AI196" s="47">
        <v>4.27215938935143E-10</v>
      </c>
      <c r="AJ196" s="48">
        <v>0.79106702185268496</v>
      </c>
      <c r="AK196" s="49">
        <v>21.7204670915736</v>
      </c>
      <c r="AL196" s="31" t="s">
        <v>5874</v>
      </c>
      <c r="AM196" s="31" t="s">
        <v>5876</v>
      </c>
      <c r="AN196" s="31" t="s">
        <v>29959</v>
      </c>
      <c r="AO196" s="31" t="s">
        <v>29960</v>
      </c>
      <c r="AP196" s="31" t="s">
        <v>29961</v>
      </c>
      <c r="AQ196" s="31" t="s">
        <v>29962</v>
      </c>
      <c r="AR196" s="31" t="s">
        <v>29963</v>
      </c>
      <c r="AS196" s="31" t="str">
        <f>"PLEC"</f>
        <v>PLEC</v>
      </c>
      <c r="AT196" s="31" t="s">
        <v>29964</v>
      </c>
      <c r="AU196" s="31" t="s">
        <v>13777</v>
      </c>
      <c r="AV196" s="31">
        <v>9606</v>
      </c>
      <c r="AW196" s="50" t="str">
        <f>HYPERLINK("http://www.uniprot.org/uniprot/Q15149", "Q15149")</f>
        <v>Q15149</v>
      </c>
      <c r="AX196" s="31" t="s">
        <v>29965</v>
      </c>
      <c r="AY196" s="31" t="s">
        <v>13772</v>
      </c>
      <c r="AZ196" s="31" t="s">
        <v>29272</v>
      </c>
      <c r="BA196" s="31" t="s">
        <v>13780</v>
      </c>
      <c r="BB196" s="31" t="s">
        <v>13772</v>
      </c>
      <c r="BC196" s="31" t="s">
        <v>29966</v>
      </c>
      <c r="BD196" s="31" t="s">
        <v>19296</v>
      </c>
      <c r="BE196" s="31" t="s">
        <v>13772</v>
      </c>
      <c r="BF196" s="31" t="s">
        <v>13990</v>
      </c>
      <c r="BG196" s="31" t="s">
        <v>14098</v>
      </c>
      <c r="BH196" s="31" t="s">
        <v>13812</v>
      </c>
      <c r="BI196" s="31" t="s">
        <v>29967</v>
      </c>
      <c r="BJ196" s="31" t="s">
        <v>29968</v>
      </c>
      <c r="BK196" s="31" t="s">
        <v>29969</v>
      </c>
      <c r="BL196" s="31" t="s">
        <v>13772</v>
      </c>
      <c r="BM196" s="31" t="s">
        <v>29970</v>
      </c>
    </row>
    <row r="197" spans="1:65">
      <c r="A197">
        <v>1802</v>
      </c>
      <c r="B197">
        <v>1</v>
      </c>
      <c r="C197">
        <v>192</v>
      </c>
      <c r="D197" t="s">
        <v>4261</v>
      </c>
      <c r="E197" t="s">
        <v>73</v>
      </c>
      <c r="F197" t="s">
        <v>73</v>
      </c>
      <c r="G197">
        <v>44.2</v>
      </c>
      <c r="H197">
        <v>224</v>
      </c>
      <c r="I197">
        <v>24890</v>
      </c>
      <c r="J197" t="s">
        <v>4262</v>
      </c>
      <c r="K197" s="3" t="s">
        <v>73</v>
      </c>
      <c r="L197">
        <v>223</v>
      </c>
      <c r="M197">
        <v>223</v>
      </c>
      <c r="N197">
        <v>1</v>
      </c>
      <c r="O197" s="11">
        <f t="shared" si="2"/>
        <v>12.319921462345658</v>
      </c>
      <c r="P197" s="36">
        <v>20.597937729190399</v>
      </c>
      <c r="Q197" s="36">
        <v>9.6306412067744702</v>
      </c>
      <c r="R197" s="36">
        <v>11.2055836326858</v>
      </c>
      <c r="S197" s="36">
        <v>9.0715305549193808</v>
      </c>
      <c r="T197" s="36">
        <v>6.8814108794951396</v>
      </c>
      <c r="U197" s="36">
        <v>9.2972724663949098</v>
      </c>
      <c r="V197" s="36">
        <v>20.027183374428201</v>
      </c>
      <c r="W197" s="36">
        <v>12.65138677377</v>
      </c>
      <c r="X197" s="37">
        <v>9.53709951893949</v>
      </c>
      <c r="Y197" s="37">
        <v>5.0451971751062796</v>
      </c>
      <c r="Z197" s="37">
        <v>4.0002717413367099</v>
      </c>
      <c r="AA197" s="37">
        <v>15.2378468387989</v>
      </c>
      <c r="AB197" s="37">
        <v>22.0510215795627</v>
      </c>
      <c r="AC197" s="37">
        <v>5.5243339926958699</v>
      </c>
      <c r="AD197" s="37">
        <v>19.611020622211502</v>
      </c>
      <c r="AE197" s="37">
        <v>16.749005311220799</v>
      </c>
      <c r="AF197" s="45">
        <v>-6.1230530619576E-2</v>
      </c>
      <c r="AG197" s="45">
        <v>-1.01644045561211</v>
      </c>
      <c r="AH197" s="46">
        <v>0.94143917511031605</v>
      </c>
      <c r="AI197" s="47">
        <v>0.96156153915847598</v>
      </c>
      <c r="AJ197" s="48">
        <v>12.420368327207299</v>
      </c>
      <c r="AK197" s="49">
        <v>12.219474597484</v>
      </c>
      <c r="AL197" s="31" t="s">
        <v>5875</v>
      </c>
      <c r="AM197" s="31" t="s">
        <v>5832</v>
      </c>
      <c r="AN197" s="31" t="s">
        <v>31098</v>
      </c>
      <c r="AO197" s="31" t="s">
        <v>31099</v>
      </c>
      <c r="AP197" s="31" t="s">
        <v>31100</v>
      </c>
      <c r="AQ197" s="31" t="s">
        <v>31101</v>
      </c>
      <c r="AR197" s="31" t="s">
        <v>13772</v>
      </c>
      <c r="AS197" s="31" t="str">
        <f>"APCS"</f>
        <v>APCS</v>
      </c>
      <c r="AT197" s="31" t="s">
        <v>31102</v>
      </c>
      <c r="AU197" s="31" t="s">
        <v>13777</v>
      </c>
      <c r="AV197" s="31">
        <v>9606</v>
      </c>
      <c r="AW197" s="50" t="str">
        <f>HYPERLINK("http://www.uniprot.org/uniprot/P02743", "P02743")</f>
        <v>P02743</v>
      </c>
      <c r="AX197" s="31" t="s">
        <v>31103</v>
      </c>
      <c r="AY197" s="31" t="s">
        <v>13772</v>
      </c>
      <c r="AZ197" s="31" t="s">
        <v>20170</v>
      </c>
      <c r="BA197" s="31" t="s">
        <v>13793</v>
      </c>
      <c r="BB197" s="31" t="s">
        <v>13772</v>
      </c>
      <c r="BC197" s="31" t="s">
        <v>13772</v>
      </c>
      <c r="BD197" s="31" t="s">
        <v>13808</v>
      </c>
      <c r="BE197" s="31" t="s">
        <v>14519</v>
      </c>
      <c r="BF197" s="31" t="s">
        <v>13772</v>
      </c>
      <c r="BG197" s="31" t="s">
        <v>13796</v>
      </c>
      <c r="BH197" s="31" t="s">
        <v>13812</v>
      </c>
      <c r="BI197" s="31" t="s">
        <v>31104</v>
      </c>
      <c r="BJ197" s="31" t="s">
        <v>31105</v>
      </c>
      <c r="BK197" s="31" t="s">
        <v>31106</v>
      </c>
      <c r="BL197" s="31" t="s">
        <v>13772</v>
      </c>
      <c r="BM197" s="31" t="s">
        <v>18773</v>
      </c>
    </row>
    <row r="198" spans="1:65">
      <c r="A198">
        <v>2231</v>
      </c>
      <c r="B198">
        <v>1</v>
      </c>
      <c r="C198">
        <v>193</v>
      </c>
      <c r="D198" t="s">
        <v>5217</v>
      </c>
      <c r="E198" t="s">
        <v>5218</v>
      </c>
      <c r="F198" t="s">
        <v>73</v>
      </c>
      <c r="G198">
        <v>34.5</v>
      </c>
      <c r="H198">
        <v>2055</v>
      </c>
      <c r="I198">
        <v>217268</v>
      </c>
      <c r="J198" t="s">
        <v>5219</v>
      </c>
      <c r="K198" s="3" t="s">
        <v>73</v>
      </c>
      <c r="L198">
        <v>222</v>
      </c>
      <c r="M198">
        <v>222</v>
      </c>
      <c r="N198">
        <v>1</v>
      </c>
      <c r="O198" s="11">
        <f t="shared" si="2"/>
        <v>12.550366534320151</v>
      </c>
      <c r="P198" s="36">
        <v>12.116433958347301</v>
      </c>
      <c r="Q198" s="36">
        <v>7.7045129654195703</v>
      </c>
      <c r="R198" s="36">
        <v>12.806381294498101</v>
      </c>
      <c r="S198" s="36">
        <v>0.37798043978830698</v>
      </c>
      <c r="T198" s="36">
        <v>6.8814108794951396</v>
      </c>
      <c r="U198" s="36">
        <v>10.226999713034401</v>
      </c>
      <c r="V198" s="36">
        <v>18.973121091563499</v>
      </c>
      <c r="W198" s="36">
        <v>18.4904883616638</v>
      </c>
      <c r="X198" s="37">
        <v>2.3842748797348698</v>
      </c>
      <c r="Y198" s="37">
        <v>8.8290950564359996</v>
      </c>
      <c r="Z198" s="37">
        <v>17.601195661881501</v>
      </c>
      <c r="AA198" s="37">
        <v>30.475693677597899</v>
      </c>
      <c r="AB198" s="37">
        <v>6.4315479607058004</v>
      </c>
      <c r="AC198" s="37">
        <v>12.627049126161999</v>
      </c>
      <c r="AD198" s="37">
        <v>15.0854004786242</v>
      </c>
      <c r="AE198" s="37">
        <v>19.794279004170001</v>
      </c>
      <c r="AF198" s="45">
        <v>0.34702916069494399</v>
      </c>
      <c r="AG198" s="45">
        <v>1.2928978026751099</v>
      </c>
      <c r="AH198" s="46">
        <v>0.46683384109600801</v>
      </c>
      <c r="AI198" s="47">
        <v>0.54752488067127203</v>
      </c>
      <c r="AJ198" s="48">
        <v>10.947166087976299</v>
      </c>
      <c r="AK198" s="49">
        <v>14.153566980663999</v>
      </c>
      <c r="AL198" s="31" t="s">
        <v>5874</v>
      </c>
      <c r="AM198" s="31" t="s">
        <v>5832</v>
      </c>
      <c r="AN198" s="31" t="s">
        <v>35059</v>
      </c>
      <c r="AO198" s="31" t="s">
        <v>13772</v>
      </c>
      <c r="AP198" s="31" t="s">
        <v>35060</v>
      </c>
      <c r="AQ198" s="31" t="s">
        <v>35061</v>
      </c>
      <c r="AR198" s="31" t="s">
        <v>35062</v>
      </c>
      <c r="AS198" s="31" t="str">
        <f>"AGRN"</f>
        <v>AGRN</v>
      </c>
      <c r="AT198" s="31" t="s">
        <v>35063</v>
      </c>
      <c r="AU198" s="31" t="s">
        <v>13777</v>
      </c>
      <c r="AV198" s="31">
        <v>9606</v>
      </c>
      <c r="AW198" s="50" t="str">
        <f>HYPERLINK("http://www.uniprot.org/uniprot/O00468", "O00468")</f>
        <v>O00468</v>
      </c>
      <c r="AX198" s="31" t="s">
        <v>35064</v>
      </c>
      <c r="AY198" s="31" t="s">
        <v>15591</v>
      </c>
      <c r="AZ198" s="31" t="s">
        <v>35065</v>
      </c>
      <c r="BA198" s="31" t="s">
        <v>13780</v>
      </c>
      <c r="BB198" s="31" t="s">
        <v>13772</v>
      </c>
      <c r="BC198" s="31" t="s">
        <v>34510</v>
      </c>
      <c r="BD198" s="31" t="s">
        <v>35066</v>
      </c>
      <c r="BE198" s="31" t="s">
        <v>14465</v>
      </c>
      <c r="BF198" s="31" t="s">
        <v>14727</v>
      </c>
      <c r="BG198" s="31" t="s">
        <v>25418</v>
      </c>
      <c r="BH198" s="31" t="s">
        <v>13772</v>
      </c>
      <c r="BI198" s="31" t="s">
        <v>35067</v>
      </c>
      <c r="BJ198" s="31" t="s">
        <v>35068</v>
      </c>
      <c r="BK198" s="31" t="s">
        <v>35069</v>
      </c>
      <c r="BL198" s="31" t="s">
        <v>13772</v>
      </c>
      <c r="BM198" s="31" t="s">
        <v>35070</v>
      </c>
    </row>
    <row r="199" spans="1:65">
      <c r="A199">
        <v>1540</v>
      </c>
      <c r="B199">
        <v>1</v>
      </c>
      <c r="C199">
        <v>194</v>
      </c>
      <c r="D199" t="s">
        <v>3657</v>
      </c>
      <c r="E199" t="s">
        <v>73</v>
      </c>
      <c r="F199" t="s">
        <v>73</v>
      </c>
      <c r="G199">
        <v>40</v>
      </c>
      <c r="H199">
        <v>950</v>
      </c>
      <c r="I199">
        <v>107119</v>
      </c>
      <c r="J199" t="s">
        <v>3658</v>
      </c>
      <c r="K199" s="3" t="s">
        <v>73</v>
      </c>
      <c r="L199">
        <v>217</v>
      </c>
      <c r="M199">
        <v>217</v>
      </c>
      <c r="N199">
        <v>1</v>
      </c>
      <c r="O199" s="11">
        <f t="shared" ref="O199:O262" si="3">AVERAGE(P199:AE199)</f>
        <v>10.071018808105418</v>
      </c>
      <c r="P199" s="36">
        <v>2.4232867916694598</v>
      </c>
      <c r="Q199" s="36">
        <v>2.8891923620323401</v>
      </c>
      <c r="R199" s="36">
        <v>4.8023929854367697</v>
      </c>
      <c r="S199" s="36">
        <v>12.0953740732258</v>
      </c>
      <c r="T199" s="36">
        <v>1.72035271987378</v>
      </c>
      <c r="U199" s="36">
        <v>2.7891817399184702</v>
      </c>
      <c r="V199" s="36">
        <v>1.05406228286464</v>
      </c>
      <c r="W199" s="36">
        <v>3.8927343919292201</v>
      </c>
      <c r="X199" s="37">
        <v>7.1528246392046197</v>
      </c>
      <c r="Y199" s="37">
        <v>5.6758468219945701</v>
      </c>
      <c r="Z199" s="37">
        <v>6.4004347861387396</v>
      </c>
      <c r="AA199" s="37">
        <v>26.242958444598202</v>
      </c>
      <c r="AB199" s="37">
        <v>22.9698141453778</v>
      </c>
      <c r="AC199" s="37">
        <v>11.048667985391701</v>
      </c>
      <c r="AD199" s="37">
        <v>28.662260909385999</v>
      </c>
      <c r="AE199" s="37">
        <v>21.316915850644602</v>
      </c>
      <c r="AF199" s="45">
        <v>2.0511741597704298</v>
      </c>
      <c r="AG199" s="45">
        <v>4.0885291190209498</v>
      </c>
      <c r="AH199" s="46">
        <v>8.4425715494598294E-5</v>
      </c>
      <c r="AI199" s="47">
        <v>2.43451739939165E-4</v>
      </c>
      <c r="AJ199" s="48">
        <v>3.9583221683688201</v>
      </c>
      <c r="AK199" s="49">
        <v>16.183715447842001</v>
      </c>
      <c r="AL199" s="31" t="s">
        <v>5874</v>
      </c>
      <c r="AM199" s="31" t="s">
        <v>5876</v>
      </c>
      <c r="AN199" s="31" t="s">
        <v>28572</v>
      </c>
      <c r="AO199" s="31" t="s">
        <v>13772</v>
      </c>
      <c r="AP199" s="31" t="s">
        <v>28573</v>
      </c>
      <c r="AQ199" s="31" t="s">
        <v>28574</v>
      </c>
      <c r="AR199" s="31" t="s">
        <v>13772</v>
      </c>
      <c r="AS199" s="31" t="str">
        <f>"C6"</f>
        <v>C6</v>
      </c>
      <c r="AT199" s="31" t="s">
        <v>13772</v>
      </c>
      <c r="AU199" s="31" t="s">
        <v>13777</v>
      </c>
      <c r="AV199" s="31">
        <v>9606</v>
      </c>
      <c r="AW199" s="50" t="str">
        <f>HYPERLINK("http://www.uniprot.org/uniprot/P13671", "P13671")</f>
        <v>P13671</v>
      </c>
      <c r="AX199" s="31" t="s">
        <v>28575</v>
      </c>
      <c r="AY199" s="31" t="s">
        <v>28576</v>
      </c>
      <c r="AZ199" s="31" t="s">
        <v>20220</v>
      </c>
      <c r="BA199" s="31" t="s">
        <v>13793</v>
      </c>
      <c r="BB199" s="31" t="s">
        <v>13772</v>
      </c>
      <c r="BC199" s="31" t="s">
        <v>13772</v>
      </c>
      <c r="BD199" s="31" t="s">
        <v>21282</v>
      </c>
      <c r="BE199" s="31" t="s">
        <v>13772</v>
      </c>
      <c r="BF199" s="31" t="s">
        <v>13772</v>
      </c>
      <c r="BG199" s="31" t="s">
        <v>13796</v>
      </c>
      <c r="BH199" s="31" t="s">
        <v>13812</v>
      </c>
      <c r="BI199" s="31" t="s">
        <v>28577</v>
      </c>
      <c r="BJ199" s="31" t="s">
        <v>28364</v>
      </c>
      <c r="BK199" s="31" t="s">
        <v>13772</v>
      </c>
      <c r="BL199" s="31" t="s">
        <v>13772</v>
      </c>
      <c r="BM199" s="31" t="s">
        <v>16375</v>
      </c>
    </row>
    <row r="200" spans="1:65">
      <c r="A200">
        <v>2361</v>
      </c>
      <c r="B200">
        <v>1</v>
      </c>
      <c r="C200">
        <v>195</v>
      </c>
      <c r="D200" t="s">
        <v>5502</v>
      </c>
      <c r="E200" t="s">
        <v>73</v>
      </c>
      <c r="F200" t="s">
        <v>73</v>
      </c>
      <c r="G200">
        <v>42.8</v>
      </c>
      <c r="H200">
        <v>418</v>
      </c>
      <c r="I200">
        <v>46601</v>
      </c>
      <c r="J200" t="s">
        <v>5503</v>
      </c>
      <c r="K200" s="3" t="s">
        <v>73</v>
      </c>
      <c r="L200">
        <v>213</v>
      </c>
      <c r="M200">
        <v>213</v>
      </c>
      <c r="N200">
        <v>1</v>
      </c>
      <c r="O200" s="11">
        <f t="shared" si="3"/>
        <v>10.220007841801475</v>
      </c>
      <c r="P200" s="36">
        <v>10.9047905625126</v>
      </c>
      <c r="Q200" s="36">
        <v>2.8891923620323401</v>
      </c>
      <c r="R200" s="36">
        <v>0.40019941545306398</v>
      </c>
      <c r="S200" s="36">
        <v>1.5119217591532299</v>
      </c>
      <c r="T200" s="36">
        <v>1.72035271987378</v>
      </c>
      <c r="U200" s="36">
        <v>7.43781797311593</v>
      </c>
      <c r="V200" s="36">
        <v>5.2703114143232002</v>
      </c>
      <c r="W200" s="36">
        <v>9.7318359798230603</v>
      </c>
      <c r="X200" s="37">
        <v>13.5108909851643</v>
      </c>
      <c r="Y200" s="37">
        <v>13.243642584653999</v>
      </c>
      <c r="Z200" s="37">
        <v>12.0008152240101</v>
      </c>
      <c r="AA200" s="37">
        <v>16.930940931998801</v>
      </c>
      <c r="AB200" s="37">
        <v>17.457058750487199</v>
      </c>
      <c r="AC200" s="37">
        <v>11.048667985391701</v>
      </c>
      <c r="AD200" s="37">
        <v>13.576860430761799</v>
      </c>
      <c r="AE200" s="37">
        <v>25.884826390068501</v>
      </c>
      <c r="AF200" s="45">
        <v>1.5523255544569301</v>
      </c>
      <c r="AG200" s="45">
        <v>3.1017005414915202</v>
      </c>
      <c r="AH200" s="46">
        <v>1.44904601479413E-4</v>
      </c>
      <c r="AI200" s="47">
        <v>3.9247440643614301E-4</v>
      </c>
      <c r="AJ200" s="48">
        <v>4.9833027732859003</v>
      </c>
      <c r="AK200" s="49">
        <v>15.456712910317099</v>
      </c>
      <c r="AL200" s="31" t="s">
        <v>5874</v>
      </c>
      <c r="AM200" s="31" t="s">
        <v>5876</v>
      </c>
      <c r="AN200" s="31" t="s">
        <v>36245</v>
      </c>
      <c r="AO200" s="31" t="s">
        <v>36246</v>
      </c>
      <c r="AP200" s="31" t="s">
        <v>36247</v>
      </c>
      <c r="AQ200" s="31" t="s">
        <v>36248</v>
      </c>
      <c r="AR200" s="31" t="s">
        <v>36249</v>
      </c>
      <c r="AS200" s="31" t="str">
        <f>"SERPINF1"</f>
        <v>SERPINF1</v>
      </c>
      <c r="AT200" s="31" t="s">
        <v>36250</v>
      </c>
      <c r="AU200" s="31" t="s">
        <v>13777</v>
      </c>
      <c r="AV200" s="31">
        <v>9606</v>
      </c>
      <c r="AW200" s="50" t="str">
        <f>HYPERLINK("http://www.uniprot.org/uniprot/P36955", "P36955")</f>
        <v>P36955</v>
      </c>
      <c r="AX200" s="31" t="s">
        <v>36251</v>
      </c>
      <c r="AY200" s="31" t="s">
        <v>13772</v>
      </c>
      <c r="AZ200" s="31" t="s">
        <v>14321</v>
      </c>
      <c r="BA200" s="31" t="s">
        <v>13793</v>
      </c>
      <c r="BB200" s="31" t="s">
        <v>13772</v>
      </c>
      <c r="BC200" s="31" t="s">
        <v>36252</v>
      </c>
      <c r="BD200" s="31" t="s">
        <v>13808</v>
      </c>
      <c r="BE200" s="31" t="s">
        <v>13772</v>
      </c>
      <c r="BF200" s="31" t="s">
        <v>13772</v>
      </c>
      <c r="BG200" s="31" t="s">
        <v>36253</v>
      </c>
      <c r="BH200" s="31" t="s">
        <v>13812</v>
      </c>
      <c r="BI200" s="31" t="s">
        <v>36254</v>
      </c>
      <c r="BJ200" s="31" t="s">
        <v>36255</v>
      </c>
      <c r="BK200" s="31" t="s">
        <v>16362</v>
      </c>
      <c r="BL200" s="31" t="s">
        <v>13772</v>
      </c>
      <c r="BM200" s="31" t="s">
        <v>13772</v>
      </c>
    </row>
    <row r="201" spans="1:65">
      <c r="A201">
        <v>445</v>
      </c>
      <c r="B201">
        <v>1</v>
      </c>
      <c r="C201">
        <v>196</v>
      </c>
      <c r="D201" t="s">
        <v>1114</v>
      </c>
      <c r="E201" t="s">
        <v>1115</v>
      </c>
      <c r="F201" t="s">
        <v>73</v>
      </c>
      <c r="G201">
        <v>25.5</v>
      </c>
      <c r="H201">
        <v>902</v>
      </c>
      <c r="I201">
        <v>100328</v>
      </c>
      <c r="J201" t="s">
        <v>1116</v>
      </c>
      <c r="K201" s="3" t="s">
        <v>73</v>
      </c>
      <c r="L201">
        <v>212</v>
      </c>
      <c r="M201">
        <v>212</v>
      </c>
      <c r="N201">
        <v>1</v>
      </c>
      <c r="O201" s="11">
        <f t="shared" si="3"/>
        <v>13.144381340810913</v>
      </c>
      <c r="P201" s="36">
        <v>21.809581125025101</v>
      </c>
      <c r="Q201" s="36">
        <v>10.5937053274519</v>
      </c>
      <c r="R201" s="36">
        <v>16.007976618122601</v>
      </c>
      <c r="S201" s="36">
        <v>3.0238435183064598</v>
      </c>
      <c r="T201" s="36">
        <v>5.1610581596213496</v>
      </c>
      <c r="U201" s="36">
        <v>12.0864542063134</v>
      </c>
      <c r="V201" s="36">
        <v>18.973121091563499</v>
      </c>
      <c r="W201" s="36">
        <v>19.463671959646099</v>
      </c>
      <c r="X201" s="37">
        <v>11.126616105429401</v>
      </c>
      <c r="Y201" s="37">
        <v>9.4597447033242794</v>
      </c>
      <c r="Z201" s="37">
        <v>9.6006521792081099</v>
      </c>
      <c r="AA201" s="37">
        <v>8.4654704659994096</v>
      </c>
      <c r="AB201" s="37">
        <v>11.0255107897814</v>
      </c>
      <c r="AC201" s="37">
        <v>12.627049126161999</v>
      </c>
      <c r="AD201" s="37">
        <v>24.136640765798798</v>
      </c>
      <c r="AE201" s="37">
        <v>16.749005311220799</v>
      </c>
      <c r="AF201" s="45">
        <v>-9.2946350239933695E-2</v>
      </c>
      <c r="AG201" s="45">
        <v>-1.0380724518867299</v>
      </c>
      <c r="AH201" s="46">
        <v>0.88381636218839199</v>
      </c>
      <c r="AI201" s="47">
        <v>0.91812600357769203</v>
      </c>
      <c r="AJ201" s="48">
        <v>13.3899265007563</v>
      </c>
      <c r="AK201" s="49">
        <v>12.8988361808655</v>
      </c>
      <c r="AL201" s="31" t="s">
        <v>5875</v>
      </c>
      <c r="AM201" s="31" t="s">
        <v>5832</v>
      </c>
      <c r="AN201" s="31" t="s">
        <v>18114</v>
      </c>
      <c r="AO201" s="31" t="s">
        <v>18115</v>
      </c>
      <c r="AP201" s="31" t="s">
        <v>18116</v>
      </c>
      <c r="AQ201" s="31" t="s">
        <v>18117</v>
      </c>
      <c r="AR201" s="31" t="s">
        <v>13772</v>
      </c>
      <c r="AS201" s="31" t="str">
        <f>"DSC2 DSC3"</f>
        <v>DSC2 DSC3</v>
      </c>
      <c r="AT201" s="31" t="s">
        <v>13772</v>
      </c>
      <c r="AU201" s="31" t="s">
        <v>13777</v>
      </c>
      <c r="AV201" s="31">
        <v>9606</v>
      </c>
      <c r="AW201" s="50" t="str">
        <f>HYPERLINK("http://www.uniprot.org/uniprot/Q02487", "Q02487")</f>
        <v>Q02487</v>
      </c>
      <c r="AX201" s="31" t="s">
        <v>18118</v>
      </c>
      <c r="AY201" s="31" t="s">
        <v>13949</v>
      </c>
      <c r="AZ201" s="31" t="s">
        <v>17424</v>
      </c>
      <c r="BA201" s="31" t="s">
        <v>13780</v>
      </c>
      <c r="BB201" s="31" t="s">
        <v>13772</v>
      </c>
      <c r="BC201" s="31" t="s">
        <v>14848</v>
      </c>
      <c r="BD201" s="31" t="s">
        <v>13826</v>
      </c>
      <c r="BE201" s="31" t="s">
        <v>13873</v>
      </c>
      <c r="BF201" s="31" t="s">
        <v>13772</v>
      </c>
      <c r="BG201" s="31" t="s">
        <v>17425</v>
      </c>
      <c r="BH201" s="31" t="s">
        <v>13812</v>
      </c>
      <c r="BI201" s="31" t="s">
        <v>18119</v>
      </c>
      <c r="BJ201" s="31" t="s">
        <v>18120</v>
      </c>
      <c r="BK201" s="31" t="s">
        <v>18121</v>
      </c>
      <c r="BL201" s="31" t="s">
        <v>13772</v>
      </c>
      <c r="BM201" s="31" t="s">
        <v>18122</v>
      </c>
    </row>
    <row r="202" spans="1:65">
      <c r="A202">
        <v>1766</v>
      </c>
      <c r="B202">
        <v>1</v>
      </c>
      <c r="C202">
        <v>197</v>
      </c>
      <c r="D202" t="s">
        <v>4178</v>
      </c>
      <c r="E202" t="s">
        <v>4179</v>
      </c>
      <c r="F202" t="s">
        <v>73</v>
      </c>
      <c r="G202">
        <v>68.3</v>
      </c>
      <c r="H202">
        <v>416</v>
      </c>
      <c r="I202">
        <v>45077</v>
      </c>
      <c r="J202" t="s">
        <v>4181</v>
      </c>
      <c r="K202" s="3" t="s">
        <v>73</v>
      </c>
      <c r="L202">
        <v>224</v>
      </c>
      <c r="M202">
        <v>191</v>
      </c>
      <c r="N202">
        <v>0.85299999999999998</v>
      </c>
      <c r="O202" s="11">
        <f t="shared" si="3"/>
        <v>10.567297421002669</v>
      </c>
      <c r="P202" s="36">
        <v>7.7545177333422703</v>
      </c>
      <c r="Q202" s="36">
        <v>7.0303680809453599</v>
      </c>
      <c r="R202" s="36">
        <v>0.40019941545306398</v>
      </c>
      <c r="S202" s="36">
        <v>0.37798043978830698</v>
      </c>
      <c r="T202" s="36">
        <v>7.1394637874762097</v>
      </c>
      <c r="U202" s="36">
        <v>13.7599632502645</v>
      </c>
      <c r="V202" s="36">
        <v>5.4811238708961296</v>
      </c>
      <c r="W202" s="36">
        <v>14.0138438109452</v>
      </c>
      <c r="X202" s="37">
        <v>16.451496670170599</v>
      </c>
      <c r="Y202" s="37">
        <v>13.685097337475799</v>
      </c>
      <c r="Z202" s="37">
        <v>14.080956529505199</v>
      </c>
      <c r="AA202" s="37">
        <v>14.475954496859</v>
      </c>
      <c r="AB202" s="37">
        <v>16.997662467579602</v>
      </c>
      <c r="AC202" s="37">
        <v>8.2075819320053007</v>
      </c>
      <c r="AD202" s="37">
        <v>17.800772564776601</v>
      </c>
      <c r="AE202" s="37">
        <v>11.4197763485596</v>
      </c>
      <c r="AF202" s="45">
        <v>0.93401815095975405</v>
      </c>
      <c r="AG202" s="45">
        <v>2.0215230920119498</v>
      </c>
      <c r="AH202" s="46">
        <v>1.9545785831097399E-2</v>
      </c>
      <c r="AI202" s="47">
        <v>3.3788451475462999E-2</v>
      </c>
      <c r="AJ202" s="48">
        <v>6.9946825486388802</v>
      </c>
      <c r="AK202" s="49">
        <v>14.1399122933665</v>
      </c>
      <c r="AL202" s="31" t="s">
        <v>5874</v>
      </c>
      <c r="AM202" s="31" t="s">
        <v>5878</v>
      </c>
      <c r="AN202" s="31" t="s">
        <v>30750</v>
      </c>
      <c r="AO202" s="31" t="s">
        <v>30751</v>
      </c>
      <c r="AP202" s="31" t="s">
        <v>30752</v>
      </c>
      <c r="AQ202" s="31" t="s">
        <v>30753</v>
      </c>
      <c r="AR202" s="31" t="s">
        <v>30754</v>
      </c>
      <c r="AS202" s="31" t="str">
        <f>"ALDOA"</f>
        <v>ALDOA</v>
      </c>
      <c r="AT202" s="31" t="s">
        <v>30755</v>
      </c>
      <c r="AU202" s="31" t="s">
        <v>13777</v>
      </c>
      <c r="AV202" s="31">
        <v>9606</v>
      </c>
      <c r="AW202" s="50" t="str">
        <f>HYPERLINK("http://www.uniprot.org/uniprot/P04075", "P04075")</f>
        <v>P04075</v>
      </c>
      <c r="AX202" s="31" t="s">
        <v>30756</v>
      </c>
      <c r="AY202" s="31" t="s">
        <v>15772</v>
      </c>
      <c r="AZ202" s="31" t="s">
        <v>13899</v>
      </c>
      <c r="BA202" s="31" t="s">
        <v>13780</v>
      </c>
      <c r="BB202" s="31" t="s">
        <v>13772</v>
      </c>
      <c r="BC202" s="31" t="s">
        <v>30757</v>
      </c>
      <c r="BD202" s="31" t="s">
        <v>13772</v>
      </c>
      <c r="BE202" s="31" t="s">
        <v>18902</v>
      </c>
      <c r="BF202" s="31" t="s">
        <v>15788</v>
      </c>
      <c r="BG202" s="31" t="s">
        <v>13991</v>
      </c>
      <c r="BH202" s="31" t="s">
        <v>13812</v>
      </c>
      <c r="BI202" s="31" t="s">
        <v>30758</v>
      </c>
      <c r="BJ202" s="31" t="s">
        <v>30759</v>
      </c>
      <c r="BK202" s="31" t="s">
        <v>30760</v>
      </c>
      <c r="BL202" s="31" t="s">
        <v>30761</v>
      </c>
      <c r="BM202" s="31" t="s">
        <v>30762</v>
      </c>
    </row>
    <row r="203" spans="1:65">
      <c r="A203">
        <v>1973</v>
      </c>
      <c r="B203">
        <v>1</v>
      </c>
      <c r="C203">
        <v>198</v>
      </c>
      <c r="D203" t="s">
        <v>4648</v>
      </c>
      <c r="E203" t="s">
        <v>73</v>
      </c>
      <c r="F203" t="s">
        <v>73</v>
      </c>
      <c r="G203">
        <v>66.3</v>
      </c>
      <c r="H203">
        <v>208</v>
      </c>
      <c r="I203">
        <v>24026</v>
      </c>
      <c r="J203" t="s">
        <v>4649</v>
      </c>
      <c r="K203" s="3" t="s">
        <v>73</v>
      </c>
      <c r="L203">
        <v>210</v>
      </c>
      <c r="M203">
        <v>210</v>
      </c>
      <c r="N203">
        <v>1</v>
      </c>
      <c r="O203" s="11">
        <f t="shared" si="3"/>
        <v>11.034059110576608</v>
      </c>
      <c r="P203" s="36">
        <v>1.2116433958347299</v>
      </c>
      <c r="Q203" s="36">
        <v>1.9261282413548899</v>
      </c>
      <c r="R203" s="36">
        <v>0.40019941545306398</v>
      </c>
      <c r="S203" s="36">
        <v>0.37798043978830698</v>
      </c>
      <c r="T203" s="36">
        <v>0.215044089984223</v>
      </c>
      <c r="U203" s="36">
        <v>1.85945449327898</v>
      </c>
      <c r="V203" s="36">
        <v>1.05406228286464</v>
      </c>
      <c r="W203" s="36">
        <v>0.97318359798230603</v>
      </c>
      <c r="X203" s="37">
        <v>27.021781970328501</v>
      </c>
      <c r="Y203" s="37">
        <v>19.550139053536899</v>
      </c>
      <c r="Z203" s="37">
        <v>13.600923920544799</v>
      </c>
      <c r="AA203" s="37">
        <v>15.2378468387989</v>
      </c>
      <c r="AB203" s="37">
        <v>23.888606711192999</v>
      </c>
      <c r="AC203" s="37">
        <v>23.675717111553698</v>
      </c>
      <c r="AD203" s="37">
        <v>13.576860430761799</v>
      </c>
      <c r="AE203" s="37">
        <v>31.975373775967</v>
      </c>
      <c r="AF203" s="45">
        <v>4.1722317239708504</v>
      </c>
      <c r="AG203" s="45">
        <v>21.0194114027476</v>
      </c>
      <c r="AH203" s="46">
        <v>2.80024401321353E-19</v>
      </c>
      <c r="AI203" s="47">
        <v>4.6834081120996399E-17</v>
      </c>
      <c r="AJ203" s="48">
        <v>1.00221199456764</v>
      </c>
      <c r="AK203" s="49">
        <v>21.0659062265856</v>
      </c>
      <c r="AL203" s="31" t="s">
        <v>5874</v>
      </c>
      <c r="AM203" s="31" t="s">
        <v>5876</v>
      </c>
      <c r="AN203" s="31" t="s">
        <v>32689</v>
      </c>
      <c r="AO203" s="31" t="s">
        <v>32690</v>
      </c>
      <c r="AP203" s="31" t="s">
        <v>32691</v>
      </c>
      <c r="AQ203" s="31" t="s">
        <v>32692</v>
      </c>
      <c r="AR203" s="31" t="s">
        <v>32693</v>
      </c>
      <c r="AS203" s="31" t="str">
        <f>"LCN2"</f>
        <v>LCN2</v>
      </c>
      <c r="AT203" s="31" t="s">
        <v>32694</v>
      </c>
      <c r="AU203" s="31" t="s">
        <v>13777</v>
      </c>
      <c r="AV203" s="31">
        <v>9606</v>
      </c>
      <c r="AW203" s="50" t="str">
        <f>HYPERLINK("http://www.uniprot.org/uniprot/P80188", "P80188")</f>
        <v>P80188</v>
      </c>
      <c r="AX203" s="31" t="s">
        <v>32695</v>
      </c>
      <c r="AY203" s="31" t="s">
        <v>32696</v>
      </c>
      <c r="AZ203" s="31" t="s">
        <v>16982</v>
      </c>
      <c r="BA203" s="31" t="s">
        <v>13841</v>
      </c>
      <c r="BB203" s="31" t="s">
        <v>13772</v>
      </c>
      <c r="BC203" s="31" t="s">
        <v>13772</v>
      </c>
      <c r="BD203" s="31" t="s">
        <v>13808</v>
      </c>
      <c r="BE203" s="31" t="s">
        <v>26821</v>
      </c>
      <c r="BF203" s="31" t="s">
        <v>13772</v>
      </c>
      <c r="BG203" s="31" t="s">
        <v>16701</v>
      </c>
      <c r="BH203" s="31" t="s">
        <v>13812</v>
      </c>
      <c r="BI203" s="31" t="s">
        <v>32697</v>
      </c>
      <c r="BJ203" s="31" t="s">
        <v>32698</v>
      </c>
      <c r="BK203" s="31" t="s">
        <v>32699</v>
      </c>
      <c r="BL203" s="31" t="s">
        <v>13772</v>
      </c>
      <c r="BM203" s="31" t="s">
        <v>32700</v>
      </c>
    </row>
    <row r="204" spans="1:65">
      <c r="A204">
        <v>919</v>
      </c>
      <c r="B204">
        <v>1</v>
      </c>
      <c r="C204">
        <v>199</v>
      </c>
      <c r="D204" t="s">
        <v>2234</v>
      </c>
      <c r="E204" t="s">
        <v>73</v>
      </c>
      <c r="F204" t="s">
        <v>73</v>
      </c>
      <c r="G204">
        <v>81.2</v>
      </c>
      <c r="H204">
        <v>192</v>
      </c>
      <c r="I204">
        <v>20924</v>
      </c>
      <c r="J204" t="s">
        <v>2236</v>
      </c>
      <c r="K204" s="3" t="s">
        <v>73</v>
      </c>
      <c r="L204">
        <v>219</v>
      </c>
      <c r="M204">
        <v>185</v>
      </c>
      <c r="N204">
        <v>0.84499999999999997</v>
      </c>
      <c r="O204" s="11">
        <f t="shared" si="3"/>
        <v>10.480877879377053</v>
      </c>
      <c r="P204" s="36">
        <v>0.30291084895868198</v>
      </c>
      <c r="Q204" s="36">
        <v>0.24076603016936199</v>
      </c>
      <c r="R204" s="36">
        <v>0.40019941545306398</v>
      </c>
      <c r="S204" s="36">
        <v>0.37798043978830698</v>
      </c>
      <c r="T204" s="36">
        <v>0.215044089984223</v>
      </c>
      <c r="U204" s="36">
        <v>0.23243181165987301</v>
      </c>
      <c r="V204" s="36">
        <v>22.873151538162698</v>
      </c>
      <c r="W204" s="36">
        <v>7.78546878385845</v>
      </c>
      <c r="X204" s="37">
        <v>28.134443580871501</v>
      </c>
      <c r="Y204" s="37">
        <v>17.847385006938499</v>
      </c>
      <c r="Z204" s="37">
        <v>13.040885876757701</v>
      </c>
      <c r="AA204" s="37">
        <v>10.666492787159299</v>
      </c>
      <c r="AB204" s="37">
        <v>30.7795509548063</v>
      </c>
      <c r="AC204" s="37">
        <v>15.0735398943559</v>
      </c>
      <c r="AD204" s="37">
        <v>7.5427002393121096</v>
      </c>
      <c r="AE204" s="37">
        <v>12.1810947717969</v>
      </c>
      <c r="AF204" s="45">
        <v>2.0099634061188101</v>
      </c>
      <c r="AG204" s="45">
        <v>4.1712806629221202</v>
      </c>
      <c r="AH204" s="46">
        <v>6.9052577604603697E-3</v>
      </c>
      <c r="AI204" s="47">
        <v>1.32747627636436E-2</v>
      </c>
      <c r="AJ204" s="48">
        <v>4.0534941197543297</v>
      </c>
      <c r="AK204" s="49">
        <v>16.9082616389998</v>
      </c>
      <c r="AL204" s="31" t="s">
        <v>5874</v>
      </c>
      <c r="AM204" s="31" t="s">
        <v>5878</v>
      </c>
      <c r="AN204" s="31" t="s">
        <v>22837</v>
      </c>
      <c r="AO204" s="31" t="s">
        <v>22838</v>
      </c>
      <c r="AP204" s="31" t="s">
        <v>22839</v>
      </c>
      <c r="AQ204" s="31" t="s">
        <v>22840</v>
      </c>
      <c r="AR204" s="31" t="s">
        <v>22841</v>
      </c>
      <c r="AS204" s="31" t="str">
        <f>"MYL1"</f>
        <v>MYL1</v>
      </c>
      <c r="AT204" s="31" t="s">
        <v>13772</v>
      </c>
      <c r="AU204" s="31" t="s">
        <v>13777</v>
      </c>
      <c r="AV204" s="31">
        <v>9606</v>
      </c>
      <c r="AW204" s="50" t="str">
        <f>HYPERLINK("http://www.uniprot.org/uniprot/P05976", "P05976")</f>
        <v>P05976</v>
      </c>
      <c r="AX204" s="31" t="s">
        <v>22842</v>
      </c>
      <c r="AY204" s="31" t="s">
        <v>13772</v>
      </c>
      <c r="AZ204" s="31" t="s">
        <v>13772</v>
      </c>
      <c r="BA204" s="31" t="s">
        <v>13841</v>
      </c>
      <c r="BB204" s="31" t="s">
        <v>13772</v>
      </c>
      <c r="BC204" s="31" t="s">
        <v>13772</v>
      </c>
      <c r="BD204" s="31" t="s">
        <v>14096</v>
      </c>
      <c r="BE204" s="31" t="s">
        <v>13772</v>
      </c>
      <c r="BF204" s="31" t="s">
        <v>17523</v>
      </c>
      <c r="BG204" s="31" t="s">
        <v>14098</v>
      </c>
      <c r="BH204" s="31" t="s">
        <v>13772</v>
      </c>
      <c r="BI204" s="31" t="s">
        <v>22843</v>
      </c>
      <c r="BJ204" s="31" t="s">
        <v>22844</v>
      </c>
      <c r="BK204" s="31" t="s">
        <v>22845</v>
      </c>
      <c r="BL204" s="31" t="s">
        <v>13772</v>
      </c>
      <c r="BM204" s="31" t="s">
        <v>15657</v>
      </c>
    </row>
    <row r="205" spans="1:65">
      <c r="A205">
        <v>541</v>
      </c>
      <c r="B205">
        <v>1</v>
      </c>
      <c r="C205">
        <v>200</v>
      </c>
      <c r="D205" t="s">
        <v>1351</v>
      </c>
      <c r="E205" t="s">
        <v>73</v>
      </c>
      <c r="F205" t="s">
        <v>73</v>
      </c>
      <c r="G205">
        <v>66.7</v>
      </c>
      <c r="H205">
        <v>210</v>
      </c>
      <c r="I205">
        <v>23755</v>
      </c>
      <c r="J205" t="s">
        <v>1352</v>
      </c>
      <c r="K205" s="3" t="s">
        <v>73</v>
      </c>
      <c r="L205">
        <v>208</v>
      </c>
      <c r="M205">
        <v>208</v>
      </c>
      <c r="N205">
        <v>1</v>
      </c>
      <c r="O205" s="11">
        <f t="shared" si="3"/>
        <v>12.213027389010643</v>
      </c>
      <c r="P205" s="36">
        <v>7.2698603750083803</v>
      </c>
      <c r="Q205" s="36">
        <v>15.4090259308391</v>
      </c>
      <c r="R205" s="36">
        <v>12.806381294498101</v>
      </c>
      <c r="S205" s="36">
        <v>12.0953740732258</v>
      </c>
      <c r="T205" s="36">
        <v>15.4831744788641</v>
      </c>
      <c r="U205" s="36">
        <v>13.0161814529529</v>
      </c>
      <c r="V205" s="36">
        <v>8.4324982629171306</v>
      </c>
      <c r="W205" s="36">
        <v>11.678203175787701</v>
      </c>
      <c r="X205" s="37">
        <v>13.5108909851643</v>
      </c>
      <c r="Y205" s="37">
        <v>19.550139053536899</v>
      </c>
      <c r="Z205" s="37">
        <v>5.6003804378713999</v>
      </c>
      <c r="AA205" s="37">
        <v>11.0051116057992</v>
      </c>
      <c r="AB205" s="37">
        <v>21.132229013747601</v>
      </c>
      <c r="AC205" s="37">
        <v>8.6810962742363706</v>
      </c>
      <c r="AD205" s="37">
        <v>6.0341601914496898</v>
      </c>
      <c r="AE205" s="37">
        <v>13.7037316182716</v>
      </c>
      <c r="AF205" s="45">
        <v>5.4646897026862797E-2</v>
      </c>
      <c r="AG205" s="45">
        <v>1.03146915622888</v>
      </c>
      <c r="AH205" s="46">
        <v>0.93016244763593003</v>
      </c>
      <c r="AI205" s="47">
        <v>0.95687611984778798</v>
      </c>
      <c r="AJ205" s="48">
        <v>12.023837380511599</v>
      </c>
      <c r="AK205" s="49">
        <v>12.402217397509601</v>
      </c>
      <c r="AL205" s="31" t="s">
        <v>5874</v>
      </c>
      <c r="AM205" s="31" t="s">
        <v>5832</v>
      </c>
      <c r="AN205" s="31" t="s">
        <v>19091</v>
      </c>
      <c r="AO205" s="31" t="s">
        <v>19092</v>
      </c>
      <c r="AP205" s="31" t="s">
        <v>19093</v>
      </c>
      <c r="AQ205" s="31" t="s">
        <v>19094</v>
      </c>
      <c r="AR205" s="31" t="s">
        <v>19095</v>
      </c>
      <c r="AS205" s="31" t="str">
        <f>"GSTP1"</f>
        <v>GSTP1</v>
      </c>
      <c r="AT205" s="31" t="s">
        <v>19096</v>
      </c>
      <c r="AU205" s="31" t="s">
        <v>13777</v>
      </c>
      <c r="AV205" s="31">
        <v>9606</v>
      </c>
      <c r="AW205" s="50" t="str">
        <f>HYPERLINK("http://www.uniprot.org/uniprot/P09211", "P09211")</f>
        <v>P09211</v>
      </c>
      <c r="AX205" s="31" t="s">
        <v>19097</v>
      </c>
      <c r="AY205" s="31" t="s">
        <v>13772</v>
      </c>
      <c r="AZ205" s="31" t="s">
        <v>19098</v>
      </c>
      <c r="BA205" s="31" t="s">
        <v>13793</v>
      </c>
      <c r="BB205" s="31" t="s">
        <v>13772</v>
      </c>
      <c r="BC205" s="31" t="s">
        <v>13772</v>
      </c>
      <c r="BD205" s="31" t="s">
        <v>13772</v>
      </c>
      <c r="BE205" s="31" t="s">
        <v>13772</v>
      </c>
      <c r="BF205" s="31" t="s">
        <v>14111</v>
      </c>
      <c r="BG205" s="31" t="s">
        <v>13886</v>
      </c>
      <c r="BH205" s="31" t="s">
        <v>13812</v>
      </c>
      <c r="BI205" s="31" t="s">
        <v>19099</v>
      </c>
      <c r="BJ205" s="31" t="s">
        <v>19100</v>
      </c>
      <c r="BK205" s="31" t="s">
        <v>19101</v>
      </c>
      <c r="BL205" s="31" t="s">
        <v>13772</v>
      </c>
      <c r="BM205" s="31" t="s">
        <v>19102</v>
      </c>
    </row>
    <row r="206" spans="1:65">
      <c r="A206">
        <v>1237</v>
      </c>
      <c r="B206">
        <v>1</v>
      </c>
      <c r="C206">
        <v>201</v>
      </c>
      <c r="D206" t="s">
        <v>2970</v>
      </c>
      <c r="E206" t="s">
        <v>73</v>
      </c>
      <c r="F206" t="s">
        <v>73</v>
      </c>
      <c r="G206">
        <v>94.7</v>
      </c>
      <c r="H206">
        <v>75</v>
      </c>
      <c r="I206">
        <v>7774</v>
      </c>
      <c r="J206" t="s">
        <v>2971</v>
      </c>
      <c r="K206" s="3" t="s">
        <v>73</v>
      </c>
      <c r="L206">
        <v>208</v>
      </c>
      <c r="M206">
        <v>208</v>
      </c>
      <c r="N206">
        <v>1</v>
      </c>
      <c r="O206" s="11">
        <f t="shared" si="3"/>
        <v>11.084700566095574</v>
      </c>
      <c r="P206" s="36">
        <v>2.4232867916694598</v>
      </c>
      <c r="Q206" s="36">
        <v>2.8891923620323401</v>
      </c>
      <c r="R206" s="36">
        <v>4.8023929854367697</v>
      </c>
      <c r="S206" s="36">
        <v>0.37798043978830698</v>
      </c>
      <c r="T206" s="36">
        <v>1.72035271987378</v>
      </c>
      <c r="U206" s="36">
        <v>3.7189089865579601</v>
      </c>
      <c r="V206" s="36">
        <v>4.21624913145856</v>
      </c>
      <c r="W206" s="36">
        <v>11.678203175787701</v>
      </c>
      <c r="X206" s="37">
        <v>53.248805647412098</v>
      </c>
      <c r="Y206" s="37">
        <v>13.874292231542301</v>
      </c>
      <c r="Z206" s="37">
        <v>12.800869572277501</v>
      </c>
      <c r="AA206" s="37">
        <v>8.4654704659994096</v>
      </c>
      <c r="AB206" s="37">
        <v>11.944303355596499</v>
      </c>
      <c r="AC206" s="37">
        <v>11.837858555776901</v>
      </c>
      <c r="AD206" s="37">
        <v>15.0854004786242</v>
      </c>
      <c r="AE206" s="37">
        <v>18.2716421576954</v>
      </c>
      <c r="AF206" s="45">
        <v>2.1393785710759001</v>
      </c>
      <c r="AG206" s="45">
        <v>4.5725523688357601</v>
      </c>
      <c r="AH206" s="46">
        <v>2.9758540561877299E-5</v>
      </c>
      <c r="AI206" s="47">
        <v>9.4352908226995002E-5</v>
      </c>
      <c r="AJ206" s="48">
        <v>3.9783208240756101</v>
      </c>
      <c r="AK206" s="49">
        <v>18.191080308115499</v>
      </c>
      <c r="AL206" s="31" t="s">
        <v>5874</v>
      </c>
      <c r="AM206" s="31" t="s">
        <v>5876</v>
      </c>
      <c r="AN206" s="31" t="s">
        <v>25713</v>
      </c>
      <c r="AO206" s="31" t="s">
        <v>25714</v>
      </c>
      <c r="AP206" s="31" t="s">
        <v>25715</v>
      </c>
      <c r="AQ206" s="31" t="s">
        <v>25716</v>
      </c>
      <c r="AR206" s="31" t="s">
        <v>13772</v>
      </c>
      <c r="AS206" s="31" t="str">
        <f>"ADIRF"</f>
        <v>ADIRF</v>
      </c>
      <c r="AT206" s="31" t="s">
        <v>25717</v>
      </c>
      <c r="AU206" s="31" t="s">
        <v>13777</v>
      </c>
      <c r="AV206" s="31">
        <v>9606</v>
      </c>
      <c r="AW206" s="50" t="str">
        <f>HYPERLINK("http://www.uniprot.org/uniprot/Q15847", "Q15847")</f>
        <v>Q15847</v>
      </c>
      <c r="AX206" s="31" t="s">
        <v>25718</v>
      </c>
      <c r="AY206" s="31" t="s">
        <v>25719</v>
      </c>
      <c r="AZ206" s="31" t="s">
        <v>14825</v>
      </c>
      <c r="BA206" s="31" t="s">
        <v>13772</v>
      </c>
      <c r="BB206" s="31" t="s">
        <v>13772</v>
      </c>
      <c r="BC206" s="31" t="s">
        <v>13772</v>
      </c>
      <c r="BD206" s="31" t="s">
        <v>13772</v>
      </c>
      <c r="BE206" s="31" t="s">
        <v>13772</v>
      </c>
      <c r="BF206" s="31" t="s">
        <v>13772</v>
      </c>
      <c r="BG206" s="31" t="s">
        <v>13772</v>
      </c>
      <c r="BH206" s="31" t="s">
        <v>13772</v>
      </c>
      <c r="BI206" s="31" t="s">
        <v>25720</v>
      </c>
      <c r="BJ206" s="31" t="s">
        <v>18925</v>
      </c>
      <c r="BK206" s="31" t="s">
        <v>13772</v>
      </c>
      <c r="BL206" s="31" t="s">
        <v>13772</v>
      </c>
      <c r="BM206" s="31" t="s">
        <v>25721</v>
      </c>
    </row>
    <row r="207" spans="1:65">
      <c r="A207">
        <v>1827</v>
      </c>
      <c r="B207">
        <v>1</v>
      </c>
      <c r="C207">
        <v>202</v>
      </c>
      <c r="D207" t="s">
        <v>4319</v>
      </c>
      <c r="E207" t="s">
        <v>73</v>
      </c>
      <c r="F207" t="s">
        <v>73</v>
      </c>
      <c r="G207">
        <v>33.299999999999997</v>
      </c>
      <c r="H207">
        <v>868</v>
      </c>
      <c r="I207">
        <v>94890</v>
      </c>
      <c r="J207" t="s">
        <v>4320</v>
      </c>
      <c r="K207" s="3" t="s">
        <v>73</v>
      </c>
      <c r="L207">
        <v>208</v>
      </c>
      <c r="M207">
        <v>208</v>
      </c>
      <c r="N207">
        <v>1</v>
      </c>
      <c r="O207" s="11">
        <f t="shared" si="3"/>
        <v>10.590193944579564</v>
      </c>
      <c r="P207" s="36">
        <v>10.9047905625126</v>
      </c>
      <c r="Q207" s="36">
        <v>12.519833568806799</v>
      </c>
      <c r="R207" s="36">
        <v>9.6047859708735501</v>
      </c>
      <c r="S207" s="36">
        <v>10.5834523140726</v>
      </c>
      <c r="T207" s="36">
        <v>9.4619399593058091</v>
      </c>
      <c r="U207" s="36">
        <v>8.3675452197554208</v>
      </c>
      <c r="V207" s="36">
        <v>9.4865605457817708</v>
      </c>
      <c r="W207" s="36">
        <v>6.8122851858761404</v>
      </c>
      <c r="X207" s="37">
        <v>4.7685497594697397</v>
      </c>
      <c r="Y207" s="37">
        <v>10.0903943502126</v>
      </c>
      <c r="Z207" s="37">
        <v>8.0005434826734305</v>
      </c>
      <c r="AA207" s="37">
        <v>9.3120175125993505</v>
      </c>
      <c r="AB207" s="37">
        <v>9.1879256581511406</v>
      </c>
      <c r="AC207" s="37">
        <v>7.8919057038512497</v>
      </c>
      <c r="AD207" s="37">
        <v>19.611020622211502</v>
      </c>
      <c r="AE207" s="37">
        <v>22.839552697119299</v>
      </c>
      <c r="AF207" s="45">
        <v>0.16223767193340599</v>
      </c>
      <c r="AG207" s="45">
        <v>1.1795793949365301</v>
      </c>
      <c r="AH207" s="46">
        <v>0.57978516554583304</v>
      </c>
      <c r="AI207" s="47">
        <v>0.65741741652569796</v>
      </c>
      <c r="AJ207" s="48">
        <v>9.7176491658730804</v>
      </c>
      <c r="AK207" s="49">
        <v>11.462738723286</v>
      </c>
      <c r="AL207" s="31" t="s">
        <v>5874</v>
      </c>
      <c r="AM207" s="31" t="s">
        <v>5832</v>
      </c>
      <c r="AN207" s="31" t="s">
        <v>31347</v>
      </c>
      <c r="AO207" s="31" t="s">
        <v>31348</v>
      </c>
      <c r="AP207" s="31" t="s">
        <v>31349</v>
      </c>
      <c r="AQ207" s="31" t="s">
        <v>31350</v>
      </c>
      <c r="AR207" s="31" t="s">
        <v>31351</v>
      </c>
      <c r="AS207" s="31" t="str">
        <f>"QSOX1"</f>
        <v>QSOX1</v>
      </c>
      <c r="AT207" s="31" t="s">
        <v>31352</v>
      </c>
      <c r="AU207" s="31" t="s">
        <v>13777</v>
      </c>
      <c r="AV207" s="31">
        <v>9606</v>
      </c>
      <c r="AW207" s="50" t="str">
        <f>HYPERLINK("http://www.uniprot.org/uniprot/O00391", "O00391")</f>
        <v>O00391</v>
      </c>
      <c r="AX207" s="31" t="s">
        <v>31353</v>
      </c>
      <c r="AY207" s="31" t="s">
        <v>13772</v>
      </c>
      <c r="AZ207" s="31" t="s">
        <v>23147</v>
      </c>
      <c r="BA207" s="31" t="s">
        <v>13780</v>
      </c>
      <c r="BB207" s="31" t="s">
        <v>13772</v>
      </c>
      <c r="BC207" s="31" t="s">
        <v>13772</v>
      </c>
      <c r="BD207" s="31" t="s">
        <v>13855</v>
      </c>
      <c r="BE207" s="31" t="s">
        <v>15580</v>
      </c>
      <c r="BF207" s="31" t="s">
        <v>13885</v>
      </c>
      <c r="BG207" s="31" t="s">
        <v>13964</v>
      </c>
      <c r="BH207" s="31" t="s">
        <v>13812</v>
      </c>
      <c r="BI207" s="31" t="s">
        <v>31354</v>
      </c>
      <c r="BJ207" s="31" t="s">
        <v>31355</v>
      </c>
      <c r="BK207" s="31" t="s">
        <v>31356</v>
      </c>
      <c r="BL207" s="31" t="s">
        <v>13772</v>
      </c>
      <c r="BM207" s="31" t="s">
        <v>21772</v>
      </c>
    </row>
    <row r="208" spans="1:65">
      <c r="A208">
        <v>2398</v>
      </c>
      <c r="B208">
        <v>1</v>
      </c>
      <c r="C208">
        <v>203</v>
      </c>
      <c r="D208" t="s">
        <v>5588</v>
      </c>
      <c r="E208" t="s">
        <v>73</v>
      </c>
      <c r="F208" t="s">
        <v>73</v>
      </c>
      <c r="G208">
        <v>50</v>
      </c>
      <c r="H208">
        <v>134</v>
      </c>
      <c r="I208">
        <v>14904</v>
      </c>
      <c r="J208" t="s">
        <v>5589</v>
      </c>
      <c r="K208" s="3" t="s">
        <v>73</v>
      </c>
      <c r="L208">
        <v>207</v>
      </c>
      <c r="M208">
        <v>207</v>
      </c>
      <c r="N208">
        <v>1</v>
      </c>
      <c r="O208" s="11">
        <f t="shared" si="3"/>
        <v>11.118943167857745</v>
      </c>
      <c r="P208" s="36">
        <v>7.2698603750083803</v>
      </c>
      <c r="Q208" s="36">
        <v>0.24076603016936199</v>
      </c>
      <c r="R208" s="36">
        <v>0.40019941545306398</v>
      </c>
      <c r="S208" s="36">
        <v>0.37798043978830698</v>
      </c>
      <c r="T208" s="36">
        <v>0.215044089984223</v>
      </c>
      <c r="U208" s="36">
        <v>0.23243181165987301</v>
      </c>
      <c r="V208" s="36">
        <v>0.26351557071616</v>
      </c>
      <c r="W208" s="36">
        <v>0.24329589949557701</v>
      </c>
      <c r="X208" s="37">
        <v>23.842748797348701</v>
      </c>
      <c r="Y208" s="37">
        <v>23.964686581754901</v>
      </c>
      <c r="Z208" s="37">
        <v>12.0008152240101</v>
      </c>
      <c r="AA208" s="37">
        <v>16.084393885398899</v>
      </c>
      <c r="AB208" s="37">
        <v>23.888606711192999</v>
      </c>
      <c r="AC208" s="37">
        <v>15.783811407702499</v>
      </c>
      <c r="AD208" s="37">
        <v>21.119560670073898</v>
      </c>
      <c r="AE208" s="37">
        <v>31.975373775967</v>
      </c>
      <c r="AF208" s="45">
        <v>4.1339348865051804</v>
      </c>
      <c r="AG208" s="45">
        <v>18.2471371343165</v>
      </c>
      <c r="AH208" s="46">
        <v>2.2850404702630001E-14</v>
      </c>
      <c r="AI208" s="47">
        <v>1.0191280497373001E-12</v>
      </c>
      <c r="AJ208" s="48">
        <v>1.1553867040343699</v>
      </c>
      <c r="AK208" s="49">
        <v>21.082499631681099</v>
      </c>
      <c r="AL208" s="31" t="s">
        <v>5874</v>
      </c>
      <c r="AM208" s="31" t="s">
        <v>5876</v>
      </c>
      <c r="AN208" s="31" t="s">
        <v>36551</v>
      </c>
      <c r="AO208" s="31" t="s">
        <v>36552</v>
      </c>
      <c r="AP208" s="31" t="s">
        <v>36553</v>
      </c>
      <c r="AQ208" s="31" t="s">
        <v>36554</v>
      </c>
      <c r="AR208" s="31" t="s">
        <v>36555</v>
      </c>
      <c r="AS208" s="31" t="str">
        <f>"CCL14"</f>
        <v>CCL14</v>
      </c>
      <c r="AT208" s="31" t="s">
        <v>36556</v>
      </c>
      <c r="AU208" s="31" t="s">
        <v>13777</v>
      </c>
      <c r="AV208" s="31">
        <v>9606</v>
      </c>
      <c r="AW208" s="50" t="str">
        <f>HYPERLINK("http://www.uniprot.org/uniprot/Q16627", "Q16627")</f>
        <v>Q16627</v>
      </c>
      <c r="AX208" s="31" t="s">
        <v>36557</v>
      </c>
      <c r="AY208" s="31" t="s">
        <v>13772</v>
      </c>
      <c r="AZ208" s="31" t="s">
        <v>14321</v>
      </c>
      <c r="BA208" s="31" t="s">
        <v>13780</v>
      </c>
      <c r="BB208" s="31" t="s">
        <v>13772</v>
      </c>
      <c r="BC208" s="31" t="s">
        <v>13772</v>
      </c>
      <c r="BD208" s="31" t="s">
        <v>13808</v>
      </c>
      <c r="BE208" s="31" t="s">
        <v>13772</v>
      </c>
      <c r="BF208" s="31" t="s">
        <v>14405</v>
      </c>
      <c r="BG208" s="31" t="s">
        <v>13796</v>
      </c>
      <c r="BH208" s="31" t="s">
        <v>13812</v>
      </c>
      <c r="BI208" s="31" t="s">
        <v>36558</v>
      </c>
      <c r="BJ208" s="31" t="s">
        <v>36415</v>
      </c>
      <c r="BK208" s="31" t="s">
        <v>36425</v>
      </c>
      <c r="BL208" s="31" t="s">
        <v>13772</v>
      </c>
      <c r="BM208" s="31" t="s">
        <v>13772</v>
      </c>
    </row>
    <row r="209" spans="1:65">
      <c r="A209">
        <v>284</v>
      </c>
      <c r="B209">
        <v>1</v>
      </c>
      <c r="C209">
        <v>204</v>
      </c>
      <c r="D209" t="s">
        <v>716</v>
      </c>
      <c r="E209" t="s">
        <v>717</v>
      </c>
      <c r="F209" t="s">
        <v>73</v>
      </c>
      <c r="G209">
        <v>46.1</v>
      </c>
      <c r="H209">
        <v>605</v>
      </c>
      <c r="I209">
        <v>68003</v>
      </c>
      <c r="J209" t="s">
        <v>718</v>
      </c>
      <c r="K209" s="3" t="s">
        <v>73</v>
      </c>
      <c r="L209">
        <v>206</v>
      </c>
      <c r="M209">
        <v>206</v>
      </c>
      <c r="N209">
        <v>1</v>
      </c>
      <c r="O209" s="11">
        <f t="shared" si="3"/>
        <v>9.5667956971082262</v>
      </c>
      <c r="P209" s="36">
        <v>2.4232867916694598</v>
      </c>
      <c r="Q209" s="36">
        <v>9.6306412067744702</v>
      </c>
      <c r="R209" s="36">
        <v>11.2055836326858</v>
      </c>
      <c r="S209" s="36">
        <v>28.726513423911399</v>
      </c>
      <c r="T209" s="36">
        <v>2.5805290798106801</v>
      </c>
      <c r="U209" s="36">
        <v>2.7891817399184702</v>
      </c>
      <c r="V209" s="36">
        <v>1.05406228286464</v>
      </c>
      <c r="W209" s="36">
        <v>6.8122851858761404</v>
      </c>
      <c r="X209" s="37">
        <v>0.79475829324495695</v>
      </c>
      <c r="Y209" s="37">
        <v>5.0451971751062796</v>
      </c>
      <c r="Z209" s="37">
        <v>2.4001630448020301</v>
      </c>
      <c r="AA209" s="37">
        <v>16.930940931998801</v>
      </c>
      <c r="AB209" s="37">
        <v>14.7006810530418</v>
      </c>
      <c r="AC209" s="37">
        <v>5.5243339926958699</v>
      </c>
      <c r="AD209" s="37">
        <v>19.611020622211502</v>
      </c>
      <c r="AE209" s="37">
        <v>22.839552697119299</v>
      </c>
      <c r="AF209" s="45">
        <v>0.431238075850708</v>
      </c>
      <c r="AG209" s="45">
        <v>1.3468850319845</v>
      </c>
      <c r="AH209" s="46">
        <v>0.51855785359276696</v>
      </c>
      <c r="AI209" s="47">
        <v>0.59916270130148697</v>
      </c>
      <c r="AJ209" s="48">
        <v>8.1527604179388806</v>
      </c>
      <c r="AK209" s="49">
        <v>10.9808309762776</v>
      </c>
      <c r="AL209" s="31" t="s">
        <v>5874</v>
      </c>
      <c r="AM209" s="31" t="s">
        <v>5832</v>
      </c>
      <c r="AN209" s="31" t="s">
        <v>16363</v>
      </c>
      <c r="AO209" s="31" t="s">
        <v>16364</v>
      </c>
      <c r="AP209" s="31" t="s">
        <v>16365</v>
      </c>
      <c r="AQ209" s="31" t="s">
        <v>16366</v>
      </c>
      <c r="AR209" s="31" t="s">
        <v>16367</v>
      </c>
      <c r="AS209" s="31" t="str">
        <f>"C8A"</f>
        <v>C8A</v>
      </c>
      <c r="AT209" s="31" t="s">
        <v>13772</v>
      </c>
      <c r="AU209" s="31" t="s">
        <v>13777</v>
      </c>
      <c r="AV209" s="31">
        <v>9606</v>
      </c>
      <c r="AW209" s="50" t="str">
        <f>HYPERLINK("http://www.uniprot.org/uniprot/P07357", "P07357")</f>
        <v>P07357</v>
      </c>
      <c r="AX209" s="31" t="s">
        <v>16368</v>
      </c>
      <c r="AY209" s="31" t="s">
        <v>16369</v>
      </c>
      <c r="AZ209" s="31" t="s">
        <v>16370</v>
      </c>
      <c r="BA209" s="31" t="s">
        <v>13793</v>
      </c>
      <c r="BB209" s="31" t="s">
        <v>13772</v>
      </c>
      <c r="BC209" s="31" t="s">
        <v>13772</v>
      </c>
      <c r="BD209" s="31" t="s">
        <v>16371</v>
      </c>
      <c r="BE209" s="31" t="s">
        <v>13772</v>
      </c>
      <c r="BF209" s="31" t="s">
        <v>13772</v>
      </c>
      <c r="BG209" s="31" t="s">
        <v>14629</v>
      </c>
      <c r="BH209" s="31" t="s">
        <v>13812</v>
      </c>
      <c r="BI209" s="31" t="s">
        <v>16372</v>
      </c>
      <c r="BJ209" s="31" t="s">
        <v>16373</v>
      </c>
      <c r="BK209" s="31" t="s">
        <v>16374</v>
      </c>
      <c r="BL209" s="31" t="s">
        <v>13772</v>
      </c>
      <c r="BM209" s="31" t="s">
        <v>16375</v>
      </c>
    </row>
    <row r="210" spans="1:65">
      <c r="A210">
        <v>514</v>
      </c>
      <c r="B210">
        <v>1</v>
      </c>
      <c r="C210">
        <v>205</v>
      </c>
      <c r="D210" t="s">
        <v>1297</v>
      </c>
      <c r="E210" t="s">
        <v>73</v>
      </c>
      <c r="F210" t="s">
        <v>73</v>
      </c>
      <c r="G210">
        <v>41.6</v>
      </c>
      <c r="H210">
        <v>161</v>
      </c>
      <c r="I210">
        <v>17925</v>
      </c>
      <c r="J210" t="s">
        <v>1298</v>
      </c>
      <c r="K210" s="3" t="s">
        <v>73</v>
      </c>
      <c r="L210">
        <v>205</v>
      </c>
      <c r="M210">
        <v>205</v>
      </c>
      <c r="N210">
        <v>1</v>
      </c>
      <c r="O210" s="11">
        <f t="shared" si="3"/>
        <v>12.371203556649222</v>
      </c>
      <c r="P210" s="36">
        <v>10.9047905625126</v>
      </c>
      <c r="Q210" s="36">
        <v>2.8891923620323401</v>
      </c>
      <c r="R210" s="36">
        <v>19.2095719417471</v>
      </c>
      <c r="S210" s="36">
        <v>3.0238435183064598</v>
      </c>
      <c r="T210" s="36">
        <v>3.4407054397475698</v>
      </c>
      <c r="U210" s="36">
        <v>10.226999713034401</v>
      </c>
      <c r="V210" s="36">
        <v>22.135307940157499</v>
      </c>
      <c r="W210" s="36">
        <v>26.275957145522302</v>
      </c>
      <c r="X210" s="37">
        <v>7.9475829324495697</v>
      </c>
      <c r="Y210" s="37">
        <v>6.9371461157711396</v>
      </c>
      <c r="Z210" s="37">
        <v>14.400978268812199</v>
      </c>
      <c r="AA210" s="37">
        <v>7.6189234193994704</v>
      </c>
      <c r="AB210" s="37">
        <v>10.1067182239663</v>
      </c>
      <c r="AC210" s="37">
        <v>13.4162396965471</v>
      </c>
      <c r="AD210" s="37">
        <v>19.611020622211502</v>
      </c>
      <c r="AE210" s="37">
        <v>19.794279004170001</v>
      </c>
      <c r="AF210" s="45">
        <v>-9.4933340509654996E-4</v>
      </c>
      <c r="AG210" s="45">
        <v>1.01759844630373</v>
      </c>
      <c r="AH210" s="46">
        <v>1</v>
      </c>
      <c r="AI210" s="47">
        <v>1</v>
      </c>
      <c r="AJ210" s="48">
        <v>12.263296077882501</v>
      </c>
      <c r="AK210" s="49">
        <v>12.479111035415899</v>
      </c>
      <c r="AL210" s="31" t="s">
        <v>5874</v>
      </c>
      <c r="AM210" s="31" t="s">
        <v>5832</v>
      </c>
      <c r="AN210" s="31" t="s">
        <v>18851</v>
      </c>
      <c r="AO210" s="31" t="s">
        <v>18852</v>
      </c>
      <c r="AP210" s="31" t="s">
        <v>18853</v>
      </c>
      <c r="AQ210" s="31" t="s">
        <v>18854</v>
      </c>
      <c r="AR210" s="31" t="s">
        <v>18855</v>
      </c>
      <c r="AS210" s="31" t="str">
        <f>"THY1"</f>
        <v>THY1</v>
      </c>
      <c r="AT210" s="31" t="s">
        <v>13772</v>
      </c>
      <c r="AU210" s="31" t="s">
        <v>13777</v>
      </c>
      <c r="AV210" s="31">
        <v>9606</v>
      </c>
      <c r="AW210" s="50" t="str">
        <f>HYPERLINK("http://www.uniprot.org/uniprot/P04216", "P04216")</f>
        <v>P04216</v>
      </c>
      <c r="AX210" s="31" t="s">
        <v>18856</v>
      </c>
      <c r="AY210" s="31" t="s">
        <v>13772</v>
      </c>
      <c r="AZ210" s="31" t="s">
        <v>13792</v>
      </c>
      <c r="BA210" s="31" t="s">
        <v>13772</v>
      </c>
      <c r="BB210" s="31" t="s">
        <v>13772</v>
      </c>
      <c r="BC210" s="31" t="s">
        <v>13772</v>
      </c>
      <c r="BD210" s="31" t="s">
        <v>15698</v>
      </c>
      <c r="BE210" s="31" t="s">
        <v>13772</v>
      </c>
      <c r="BF210" s="31" t="s">
        <v>13772</v>
      </c>
      <c r="BG210" s="31" t="s">
        <v>18857</v>
      </c>
      <c r="BH210" s="31" t="s">
        <v>13772</v>
      </c>
      <c r="BI210" s="31" t="s">
        <v>18858</v>
      </c>
      <c r="BJ210" s="31" t="s">
        <v>18859</v>
      </c>
      <c r="BK210" s="31" t="s">
        <v>18860</v>
      </c>
      <c r="BL210" s="31" t="s">
        <v>13772</v>
      </c>
      <c r="BM210" s="31" t="s">
        <v>16280</v>
      </c>
    </row>
    <row r="211" spans="1:65">
      <c r="A211">
        <v>1780</v>
      </c>
      <c r="B211">
        <v>1</v>
      </c>
      <c r="C211">
        <v>206</v>
      </c>
      <c r="D211" t="s">
        <v>4210</v>
      </c>
      <c r="E211" t="s">
        <v>73</v>
      </c>
      <c r="F211" t="s">
        <v>73</v>
      </c>
      <c r="G211">
        <v>73.2</v>
      </c>
      <c r="H211">
        <v>224</v>
      </c>
      <c r="I211">
        <v>24943</v>
      </c>
      <c r="J211" t="s">
        <v>4211</v>
      </c>
      <c r="K211" s="3" t="s">
        <v>73</v>
      </c>
      <c r="L211">
        <v>205</v>
      </c>
      <c r="M211">
        <v>205</v>
      </c>
      <c r="N211">
        <v>1</v>
      </c>
      <c r="O211" s="11">
        <f t="shared" si="3"/>
        <v>12.035830949268441</v>
      </c>
      <c r="P211" s="36">
        <v>10.9047905625126</v>
      </c>
      <c r="Q211" s="36">
        <v>13.4828976894843</v>
      </c>
      <c r="R211" s="36">
        <v>17.608774279934799</v>
      </c>
      <c r="S211" s="36">
        <v>21.1669046281452</v>
      </c>
      <c r="T211" s="36">
        <v>11.1822926791796</v>
      </c>
      <c r="U211" s="36">
        <v>16.735090439510799</v>
      </c>
      <c r="V211" s="36">
        <v>6.3243736971878404</v>
      </c>
      <c r="W211" s="36">
        <v>25.302773547539999</v>
      </c>
      <c r="X211" s="37">
        <v>19.074199037879001</v>
      </c>
      <c r="Y211" s="37">
        <v>11.982343290877401</v>
      </c>
      <c r="Z211" s="37">
        <v>4.0002717413367099</v>
      </c>
      <c r="AA211" s="37">
        <v>8.4654704659994096</v>
      </c>
      <c r="AB211" s="37">
        <v>14.7006810530418</v>
      </c>
      <c r="AC211" s="37">
        <v>7.1027151334661296</v>
      </c>
      <c r="AD211" s="37">
        <v>3.0170800957248498</v>
      </c>
      <c r="AE211" s="37">
        <v>1.5226368464746201</v>
      </c>
      <c r="AF211" s="45">
        <v>-0.74786364060343202</v>
      </c>
      <c r="AG211" s="45">
        <v>-1.7563472280258501</v>
      </c>
      <c r="AH211" s="46">
        <v>6.9118515700730604E-2</v>
      </c>
      <c r="AI211" s="47">
        <v>0.102756193341753</v>
      </c>
      <c r="AJ211" s="48">
        <v>15.338487190436901</v>
      </c>
      <c r="AK211" s="49">
        <v>8.7331747080999893</v>
      </c>
      <c r="AL211" s="31" t="s">
        <v>5875</v>
      </c>
      <c r="AM211" s="31" t="s">
        <v>5832</v>
      </c>
      <c r="AN211" s="31" t="s">
        <v>30887</v>
      </c>
      <c r="AO211" s="31" t="s">
        <v>30888</v>
      </c>
      <c r="AP211" s="31" t="s">
        <v>30889</v>
      </c>
      <c r="AQ211" s="31" t="s">
        <v>30890</v>
      </c>
      <c r="AR211" s="31" t="s">
        <v>30891</v>
      </c>
      <c r="AS211" s="31" t="str">
        <f>"PRDX6"</f>
        <v>PRDX6</v>
      </c>
      <c r="AT211" s="31" t="s">
        <v>30892</v>
      </c>
      <c r="AU211" s="31" t="s">
        <v>13777</v>
      </c>
      <c r="AV211" s="31">
        <v>9606</v>
      </c>
      <c r="AW211" s="50" t="str">
        <f>HYPERLINK("http://www.uniprot.org/uniprot/P30041", "P30041")</f>
        <v>P30041</v>
      </c>
      <c r="AX211" s="31" t="s">
        <v>30893</v>
      </c>
      <c r="AY211" s="31" t="s">
        <v>17548</v>
      </c>
      <c r="AZ211" s="31" t="s">
        <v>20125</v>
      </c>
      <c r="BA211" s="31" t="s">
        <v>13772</v>
      </c>
      <c r="BB211" s="31" t="s">
        <v>13772</v>
      </c>
      <c r="BC211" s="31" t="s">
        <v>13772</v>
      </c>
      <c r="BD211" s="31" t="s">
        <v>18188</v>
      </c>
      <c r="BE211" s="31" t="s">
        <v>13772</v>
      </c>
      <c r="BF211" s="31" t="s">
        <v>30894</v>
      </c>
      <c r="BG211" s="31" t="s">
        <v>13886</v>
      </c>
      <c r="BH211" s="31" t="s">
        <v>13812</v>
      </c>
      <c r="BI211" s="31" t="s">
        <v>30895</v>
      </c>
      <c r="BJ211" s="31" t="s">
        <v>30896</v>
      </c>
      <c r="BK211" s="31" t="s">
        <v>30897</v>
      </c>
      <c r="BL211" s="31" t="s">
        <v>13772</v>
      </c>
      <c r="BM211" s="31" t="s">
        <v>30898</v>
      </c>
    </row>
    <row r="212" spans="1:65">
      <c r="A212">
        <v>1085</v>
      </c>
      <c r="B212">
        <v>1</v>
      </c>
      <c r="C212">
        <v>207</v>
      </c>
      <c r="D212" t="s">
        <v>2611</v>
      </c>
      <c r="E212" t="s">
        <v>73</v>
      </c>
      <c r="F212" t="s">
        <v>73</v>
      </c>
      <c r="G212">
        <v>62.7</v>
      </c>
      <c r="H212">
        <v>466</v>
      </c>
      <c r="I212">
        <v>53689</v>
      </c>
      <c r="J212" t="s">
        <v>2612</v>
      </c>
      <c r="K212" s="3" t="s">
        <v>73</v>
      </c>
      <c r="L212">
        <v>207</v>
      </c>
      <c r="M212">
        <v>197</v>
      </c>
      <c r="N212">
        <v>0.95199999999999996</v>
      </c>
      <c r="O212" s="11">
        <f t="shared" si="3"/>
        <v>10.921809602252715</v>
      </c>
      <c r="P212" s="36">
        <v>6.0582169791736504</v>
      </c>
      <c r="Q212" s="36">
        <v>0.24076603016936199</v>
      </c>
      <c r="R212" s="36">
        <v>1.6007976618122599</v>
      </c>
      <c r="S212" s="36">
        <v>0.37798043978830698</v>
      </c>
      <c r="T212" s="36">
        <v>2.5805290798106801</v>
      </c>
      <c r="U212" s="36">
        <v>3.7189089865579601</v>
      </c>
      <c r="V212" s="36">
        <v>2.10812456572928</v>
      </c>
      <c r="W212" s="36">
        <v>2.9195507939469199</v>
      </c>
      <c r="X212" s="37">
        <v>22.889038845454799</v>
      </c>
      <c r="Y212" s="37">
        <v>15.324786419385299</v>
      </c>
      <c r="Z212" s="37">
        <v>16.641130443960702</v>
      </c>
      <c r="AA212" s="37">
        <v>32.592061294097697</v>
      </c>
      <c r="AB212" s="37">
        <v>14.5169225398788</v>
      </c>
      <c r="AC212" s="37">
        <v>25.885450708632099</v>
      </c>
      <c r="AD212" s="37">
        <v>12.068320382899399</v>
      </c>
      <c r="AE212" s="37">
        <v>15.2263684647462</v>
      </c>
      <c r="AF212" s="45">
        <v>2.9100671313956399</v>
      </c>
      <c r="AG212" s="45">
        <v>7.9135461339650801</v>
      </c>
      <c r="AH212" s="46">
        <v>6.1938319910693999E-12</v>
      </c>
      <c r="AI212" s="47">
        <v>1.3366689038791699E-10</v>
      </c>
      <c r="AJ212" s="48">
        <v>2.4506093171235501</v>
      </c>
      <c r="AK212" s="49">
        <v>19.393009887381901</v>
      </c>
      <c r="AL212" s="31" t="s">
        <v>5874</v>
      </c>
      <c r="AM212" s="31" t="s">
        <v>5876</v>
      </c>
      <c r="AN212" s="31" t="s">
        <v>24283</v>
      </c>
      <c r="AO212" s="31" t="s">
        <v>13772</v>
      </c>
      <c r="AP212" s="31" t="s">
        <v>24284</v>
      </c>
      <c r="AQ212" s="31" t="s">
        <v>24285</v>
      </c>
      <c r="AR212" s="31" t="s">
        <v>24286</v>
      </c>
      <c r="AS212" s="31" t="str">
        <f>"VIM"</f>
        <v>VIM</v>
      </c>
      <c r="AT212" s="31" t="s">
        <v>13772</v>
      </c>
      <c r="AU212" s="31" t="s">
        <v>13777</v>
      </c>
      <c r="AV212" s="31">
        <v>9606</v>
      </c>
      <c r="AW212" s="50" t="str">
        <f>HYPERLINK("http://www.uniprot.org/uniprot/P08670", "P08670")</f>
        <v>P08670</v>
      </c>
      <c r="AX212" s="31" t="s">
        <v>24287</v>
      </c>
      <c r="AY212" s="31" t="s">
        <v>14563</v>
      </c>
      <c r="AZ212" s="31" t="s">
        <v>24288</v>
      </c>
      <c r="BA212" s="31" t="s">
        <v>13772</v>
      </c>
      <c r="BB212" s="31" t="s">
        <v>13772</v>
      </c>
      <c r="BC212" s="31" t="s">
        <v>14004</v>
      </c>
      <c r="BD212" s="31" t="s">
        <v>14245</v>
      </c>
      <c r="BE212" s="31" t="s">
        <v>13772</v>
      </c>
      <c r="BF212" s="31" t="s">
        <v>13772</v>
      </c>
      <c r="BG212" s="31" t="s">
        <v>24289</v>
      </c>
      <c r="BH212" s="31" t="s">
        <v>13812</v>
      </c>
      <c r="BI212" s="31" t="s">
        <v>24290</v>
      </c>
      <c r="BJ212" s="31" t="s">
        <v>24291</v>
      </c>
      <c r="BK212" s="31" t="s">
        <v>24292</v>
      </c>
      <c r="BL212" s="31" t="s">
        <v>13772</v>
      </c>
      <c r="BM212" s="31" t="s">
        <v>24293</v>
      </c>
    </row>
    <row r="213" spans="1:65">
      <c r="A213">
        <v>1024</v>
      </c>
      <c r="B213">
        <v>1</v>
      </c>
      <c r="C213">
        <v>208</v>
      </c>
      <c r="D213" t="s">
        <v>2478</v>
      </c>
      <c r="E213" t="s">
        <v>73</v>
      </c>
      <c r="F213" t="s">
        <v>73</v>
      </c>
      <c r="G213">
        <v>58.7</v>
      </c>
      <c r="H213">
        <v>254</v>
      </c>
      <c r="I213">
        <v>28866</v>
      </c>
      <c r="J213" t="s">
        <v>2479</v>
      </c>
      <c r="K213" s="3" t="s">
        <v>73</v>
      </c>
      <c r="L213">
        <v>211</v>
      </c>
      <c r="M213">
        <v>147</v>
      </c>
      <c r="N213">
        <v>0.69699999999999995</v>
      </c>
      <c r="O213" s="11">
        <f t="shared" si="3"/>
        <v>11.078888268334403</v>
      </c>
      <c r="P213" s="36">
        <v>9.6931471666778304</v>
      </c>
      <c r="Q213" s="36">
        <v>6.7414488447421297</v>
      </c>
      <c r="R213" s="36">
        <v>3.2015953236245198</v>
      </c>
      <c r="S213" s="36">
        <v>6.0476870366129196</v>
      </c>
      <c r="T213" s="36">
        <v>5.1610581596213496</v>
      </c>
      <c r="U213" s="36">
        <v>13.0161814529529</v>
      </c>
      <c r="V213" s="36">
        <v>9.4865605457817708</v>
      </c>
      <c r="W213" s="36">
        <v>27.1518223837063</v>
      </c>
      <c r="X213" s="37">
        <v>18.279440744634002</v>
      </c>
      <c r="Y213" s="37">
        <v>15.450916348763</v>
      </c>
      <c r="Z213" s="37">
        <v>11.2007608757428</v>
      </c>
      <c r="AA213" s="37">
        <v>14.052680973558999</v>
      </c>
      <c r="AB213" s="37">
        <v>7.80973680942847</v>
      </c>
      <c r="AC213" s="37">
        <v>10.2594774150066</v>
      </c>
      <c r="AD213" s="37">
        <v>9.0512402871745401</v>
      </c>
      <c r="AE213" s="37">
        <v>10.658457925322301</v>
      </c>
      <c r="AF213" s="45">
        <v>0.249425140599488</v>
      </c>
      <c r="AG213" s="45">
        <v>1.20202871174744</v>
      </c>
      <c r="AH213" s="46">
        <v>0.533775912076626</v>
      </c>
      <c r="AI213" s="47">
        <v>0.61462321029133005</v>
      </c>
      <c r="AJ213" s="48">
        <v>10.062437614215</v>
      </c>
      <c r="AK213" s="49">
        <v>12.0953389224538</v>
      </c>
      <c r="AL213" s="31" t="s">
        <v>5874</v>
      </c>
      <c r="AM213" s="31" t="s">
        <v>5832</v>
      </c>
      <c r="AN213" s="31" t="s">
        <v>23825</v>
      </c>
      <c r="AO213" s="31" t="s">
        <v>23826</v>
      </c>
      <c r="AP213" s="31" t="s">
        <v>23827</v>
      </c>
      <c r="AQ213" s="31" t="s">
        <v>23828</v>
      </c>
      <c r="AR213" s="31" t="s">
        <v>23829</v>
      </c>
      <c r="AS213" s="31" t="str">
        <f>"PGAM1"</f>
        <v>PGAM1</v>
      </c>
      <c r="AT213" s="31" t="s">
        <v>23830</v>
      </c>
      <c r="AU213" s="31" t="s">
        <v>13777</v>
      </c>
      <c r="AV213" s="31">
        <v>9606</v>
      </c>
      <c r="AW213" s="50" t="str">
        <f>HYPERLINK("http://www.uniprot.org/uniprot/P18669", "P18669")</f>
        <v>P18669</v>
      </c>
      <c r="AX213" s="31" t="s">
        <v>23831</v>
      </c>
      <c r="AY213" s="31" t="s">
        <v>15772</v>
      </c>
      <c r="AZ213" s="31" t="s">
        <v>13772</v>
      </c>
      <c r="BA213" s="31" t="s">
        <v>13772</v>
      </c>
      <c r="BB213" s="31" t="s">
        <v>13772</v>
      </c>
      <c r="BC213" s="31" t="s">
        <v>13772</v>
      </c>
      <c r="BD213" s="31" t="s">
        <v>13772</v>
      </c>
      <c r="BE213" s="31" t="s">
        <v>13772</v>
      </c>
      <c r="BF213" s="31" t="s">
        <v>16797</v>
      </c>
      <c r="BG213" s="31" t="s">
        <v>13886</v>
      </c>
      <c r="BH213" s="31" t="s">
        <v>13812</v>
      </c>
      <c r="BI213" s="31" t="s">
        <v>23832</v>
      </c>
      <c r="BJ213" s="31" t="s">
        <v>23833</v>
      </c>
      <c r="BK213" s="31" t="s">
        <v>23834</v>
      </c>
      <c r="BL213" s="31" t="s">
        <v>13772</v>
      </c>
      <c r="BM213" s="31" t="s">
        <v>23835</v>
      </c>
    </row>
    <row r="214" spans="1:65">
      <c r="A214">
        <v>247</v>
      </c>
      <c r="B214">
        <v>1</v>
      </c>
      <c r="C214">
        <v>209</v>
      </c>
      <c r="D214" t="s">
        <v>628</v>
      </c>
      <c r="E214" t="s">
        <v>73</v>
      </c>
      <c r="F214" t="s">
        <v>73</v>
      </c>
      <c r="G214">
        <v>60.2</v>
      </c>
      <c r="H214">
        <v>289</v>
      </c>
      <c r="I214">
        <v>32371</v>
      </c>
      <c r="J214" t="s">
        <v>629</v>
      </c>
      <c r="K214" s="3" t="s">
        <v>73</v>
      </c>
      <c r="L214">
        <v>203</v>
      </c>
      <c r="M214">
        <v>203</v>
      </c>
      <c r="N214">
        <v>1</v>
      </c>
      <c r="O214" s="11">
        <f t="shared" si="3"/>
        <v>11.175748934453495</v>
      </c>
      <c r="P214" s="36">
        <v>3.6349301875041902</v>
      </c>
      <c r="Q214" s="36">
        <v>4.8153206033872298</v>
      </c>
      <c r="R214" s="36">
        <v>1.6007976618122599</v>
      </c>
      <c r="S214" s="36">
        <v>3.0238435183064598</v>
      </c>
      <c r="T214" s="36">
        <v>6.0212345195582504</v>
      </c>
      <c r="U214" s="36">
        <v>12.0864542063134</v>
      </c>
      <c r="V214" s="36">
        <v>13.7028096772403</v>
      </c>
      <c r="W214" s="36">
        <v>17.517304763681501</v>
      </c>
      <c r="X214" s="37">
        <v>19.868957331123902</v>
      </c>
      <c r="Y214" s="37">
        <v>16.3968908190954</v>
      </c>
      <c r="Z214" s="37">
        <v>10.400706527475499</v>
      </c>
      <c r="AA214" s="37">
        <v>16.084393885398899</v>
      </c>
      <c r="AB214" s="37">
        <v>22.9698141453778</v>
      </c>
      <c r="AC214" s="37">
        <v>9.4702868446214996</v>
      </c>
      <c r="AD214" s="37">
        <v>10.559780335037001</v>
      </c>
      <c r="AE214" s="37">
        <v>10.658457925322301</v>
      </c>
      <c r="AF214" s="45">
        <v>0.85435038519448403</v>
      </c>
      <c r="AG214" s="45">
        <v>1.8654528871931899</v>
      </c>
      <c r="AH214" s="46">
        <v>3.6658286265982797E-2</v>
      </c>
      <c r="AI214" s="47">
        <v>5.8811495232476099E-2</v>
      </c>
      <c r="AJ214" s="48">
        <v>7.8003368922254497</v>
      </c>
      <c r="AK214" s="49">
        <v>14.5511609766815</v>
      </c>
      <c r="AL214" s="31" t="s">
        <v>5874</v>
      </c>
      <c r="AM214" s="31" t="s">
        <v>5877</v>
      </c>
      <c r="AN214" s="31" t="s">
        <v>15988</v>
      </c>
      <c r="AO214" s="31" t="s">
        <v>15989</v>
      </c>
      <c r="AP214" s="31" t="s">
        <v>15990</v>
      </c>
      <c r="AQ214" s="31" t="s">
        <v>15991</v>
      </c>
      <c r="AR214" s="31" t="s">
        <v>15992</v>
      </c>
      <c r="AS214" s="31" t="str">
        <f>"PNP"</f>
        <v>PNP</v>
      </c>
      <c r="AT214" s="31" t="s">
        <v>15993</v>
      </c>
      <c r="AU214" s="31" t="s">
        <v>13777</v>
      </c>
      <c r="AV214" s="31">
        <v>9606</v>
      </c>
      <c r="AW214" s="50" t="str">
        <f>HYPERLINK("http://www.uniprot.org/uniprot/P00491", "P00491")</f>
        <v>P00491</v>
      </c>
      <c r="AX214" s="31" t="s">
        <v>15994</v>
      </c>
      <c r="AY214" s="31" t="s">
        <v>13772</v>
      </c>
      <c r="AZ214" s="31" t="s">
        <v>13988</v>
      </c>
      <c r="BA214" s="31" t="s">
        <v>13793</v>
      </c>
      <c r="BB214" s="31" t="s">
        <v>13772</v>
      </c>
      <c r="BC214" s="31" t="s">
        <v>13807</v>
      </c>
      <c r="BD214" s="31" t="s">
        <v>13772</v>
      </c>
      <c r="BE214" s="31" t="s">
        <v>13772</v>
      </c>
      <c r="BF214" s="31" t="s">
        <v>15995</v>
      </c>
      <c r="BG214" s="31" t="s">
        <v>13886</v>
      </c>
      <c r="BH214" s="31" t="s">
        <v>13812</v>
      </c>
      <c r="BI214" s="31" t="s">
        <v>15996</v>
      </c>
      <c r="BJ214" s="31" t="s">
        <v>15997</v>
      </c>
      <c r="BK214" s="31" t="s">
        <v>15998</v>
      </c>
      <c r="BL214" s="31" t="s">
        <v>15999</v>
      </c>
      <c r="BM214" s="31" t="s">
        <v>16000</v>
      </c>
    </row>
    <row r="215" spans="1:65">
      <c r="A215">
        <v>1249</v>
      </c>
      <c r="B215">
        <v>1</v>
      </c>
      <c r="C215">
        <v>210</v>
      </c>
      <c r="D215" t="s">
        <v>2996</v>
      </c>
      <c r="E215" t="s">
        <v>73</v>
      </c>
      <c r="F215" t="s">
        <v>73</v>
      </c>
      <c r="G215">
        <v>64.900000000000006</v>
      </c>
      <c r="H215">
        <v>518</v>
      </c>
      <c r="I215">
        <v>56576</v>
      </c>
      <c r="J215" t="s">
        <v>2997</v>
      </c>
      <c r="K215" s="3" t="s">
        <v>73</v>
      </c>
      <c r="L215">
        <v>202</v>
      </c>
      <c r="M215">
        <v>202</v>
      </c>
      <c r="N215">
        <v>1</v>
      </c>
      <c r="O215" s="11">
        <f t="shared" si="3"/>
        <v>14.073661417911879</v>
      </c>
      <c r="P215" s="36">
        <v>33.926015083372398</v>
      </c>
      <c r="Q215" s="36">
        <v>21.1874106549038</v>
      </c>
      <c r="R215" s="36">
        <v>56.027918163429</v>
      </c>
      <c r="S215" s="36">
        <v>25.7026699056049</v>
      </c>
      <c r="T215" s="36">
        <v>21.504408998422299</v>
      </c>
      <c r="U215" s="36">
        <v>14.875635946231901</v>
      </c>
      <c r="V215" s="36">
        <v>12.6487473943757</v>
      </c>
      <c r="W215" s="36">
        <v>3.8927343919292201</v>
      </c>
      <c r="X215" s="37">
        <v>2.3842748797348698</v>
      </c>
      <c r="Y215" s="37">
        <v>1.89194894066486</v>
      </c>
      <c r="Z215" s="37">
        <v>4.8003260896040603</v>
      </c>
      <c r="AA215" s="37">
        <v>3.3861881863997598</v>
      </c>
      <c r="AB215" s="37">
        <v>1.8375851316302301</v>
      </c>
      <c r="AC215" s="37">
        <v>16.5730019780876</v>
      </c>
      <c r="AD215" s="37">
        <v>3.0170800957248498</v>
      </c>
      <c r="AE215" s="37">
        <v>1.5226368464746201</v>
      </c>
      <c r="AF215" s="45">
        <v>-2.33932356347055</v>
      </c>
      <c r="AG215" s="45">
        <v>-5.3586342495928996</v>
      </c>
      <c r="AH215" s="46">
        <v>2.5872502607919299E-5</v>
      </c>
      <c r="AI215" s="47">
        <v>8.3642076234186806E-5</v>
      </c>
      <c r="AJ215" s="48">
        <v>23.720692567283699</v>
      </c>
      <c r="AK215" s="49">
        <v>4.4266302685401104</v>
      </c>
      <c r="AL215" s="31" t="s">
        <v>5875</v>
      </c>
      <c r="AM215" s="31" t="s">
        <v>5876</v>
      </c>
      <c r="AN215" s="31" t="s">
        <v>25838</v>
      </c>
      <c r="AO215" s="31" t="s">
        <v>13772</v>
      </c>
      <c r="AP215" s="31" t="s">
        <v>25839</v>
      </c>
      <c r="AQ215" s="31" t="s">
        <v>25840</v>
      </c>
      <c r="AR215" s="31" t="s">
        <v>25841</v>
      </c>
      <c r="AS215" s="31" t="str">
        <f>"DMP1"</f>
        <v>DMP1</v>
      </c>
      <c r="AT215" s="31" t="s">
        <v>13772</v>
      </c>
      <c r="AU215" s="31" t="s">
        <v>13777</v>
      </c>
      <c r="AV215" s="31">
        <v>9606</v>
      </c>
      <c r="AW215" s="50" t="str">
        <f>HYPERLINK("http://www.uniprot.org/uniprot/Q13316", "Q13316")</f>
        <v>Q13316</v>
      </c>
      <c r="AX215" s="31" t="s">
        <v>25842</v>
      </c>
      <c r="AY215" s="31" t="s">
        <v>16274</v>
      </c>
      <c r="AZ215" s="31" t="s">
        <v>25843</v>
      </c>
      <c r="BA215" s="31" t="s">
        <v>13780</v>
      </c>
      <c r="BB215" s="31" t="s">
        <v>13772</v>
      </c>
      <c r="BC215" s="31" t="s">
        <v>13772</v>
      </c>
      <c r="BD215" s="31" t="s">
        <v>13808</v>
      </c>
      <c r="BE215" s="31" t="s">
        <v>13772</v>
      </c>
      <c r="BF215" s="31" t="s">
        <v>13772</v>
      </c>
      <c r="BG215" s="31" t="s">
        <v>13978</v>
      </c>
      <c r="BH215" s="31" t="s">
        <v>13772</v>
      </c>
      <c r="BI215" s="31" t="s">
        <v>25844</v>
      </c>
      <c r="BJ215" s="31" t="s">
        <v>25845</v>
      </c>
      <c r="BK215" s="31" t="s">
        <v>25846</v>
      </c>
      <c r="BL215" s="31" t="s">
        <v>13772</v>
      </c>
      <c r="BM215" s="31" t="s">
        <v>25847</v>
      </c>
    </row>
    <row r="216" spans="1:65">
      <c r="A216">
        <v>1316</v>
      </c>
      <c r="B216">
        <v>1</v>
      </c>
      <c r="C216">
        <v>211</v>
      </c>
      <c r="D216" t="s">
        <v>3156</v>
      </c>
      <c r="E216" t="s">
        <v>73</v>
      </c>
      <c r="F216" t="s">
        <v>73</v>
      </c>
      <c r="G216">
        <v>44.5</v>
      </c>
      <c r="H216">
        <v>391</v>
      </c>
      <c r="I216">
        <v>43996</v>
      </c>
      <c r="J216" t="s">
        <v>3158</v>
      </c>
      <c r="K216" s="3" t="s">
        <v>73</v>
      </c>
      <c r="L216">
        <v>245</v>
      </c>
      <c r="M216">
        <v>105</v>
      </c>
      <c r="N216">
        <v>0.42899999999999999</v>
      </c>
      <c r="O216" s="11">
        <f t="shared" si="3"/>
        <v>12.59389990664906</v>
      </c>
      <c r="P216" s="36">
        <v>16.7206788625193</v>
      </c>
      <c r="Q216" s="36">
        <v>10.882624563655099</v>
      </c>
      <c r="R216" s="36">
        <v>19.689811240290801</v>
      </c>
      <c r="S216" s="36">
        <v>13.7584880082944</v>
      </c>
      <c r="T216" s="36">
        <v>11.2683103151733</v>
      </c>
      <c r="U216" s="36">
        <v>7.3448452484519802</v>
      </c>
      <c r="V216" s="36">
        <v>24.032620049313799</v>
      </c>
      <c r="W216" s="36">
        <v>36.3970665645382</v>
      </c>
      <c r="X216" s="37">
        <v>4.7685497594697397</v>
      </c>
      <c r="Y216" s="37">
        <v>10.2795892442791</v>
      </c>
      <c r="Z216" s="37">
        <v>11.2007608757428</v>
      </c>
      <c r="AA216" s="37">
        <v>1.6930940931998799</v>
      </c>
      <c r="AB216" s="37">
        <v>10.474235250292301</v>
      </c>
      <c r="AC216" s="37">
        <v>7.1027151334661296</v>
      </c>
      <c r="AD216" s="37">
        <v>10.559780335037001</v>
      </c>
      <c r="AE216" s="37">
        <v>5.3292289626611602</v>
      </c>
      <c r="AF216" s="45">
        <v>-1.1737885541164199</v>
      </c>
      <c r="AG216" s="45">
        <v>-2.2813729576669202</v>
      </c>
      <c r="AH216" s="46">
        <v>4.0766510698610403E-3</v>
      </c>
      <c r="AI216" s="47">
        <v>8.0688744548433004E-3</v>
      </c>
      <c r="AJ216" s="48">
        <v>17.511805606529599</v>
      </c>
      <c r="AK216" s="49">
        <v>7.6759942067685003</v>
      </c>
      <c r="AL216" s="31" t="s">
        <v>5875</v>
      </c>
      <c r="AM216" s="31" t="s">
        <v>5876</v>
      </c>
      <c r="AN216" s="31" t="s">
        <v>26516</v>
      </c>
      <c r="AO216" s="31" t="s">
        <v>26517</v>
      </c>
      <c r="AP216" s="31" t="s">
        <v>26518</v>
      </c>
      <c r="AQ216" s="31" t="s">
        <v>26519</v>
      </c>
      <c r="AR216" s="31" t="s">
        <v>26520</v>
      </c>
      <c r="AS216" s="31" t="str">
        <f>"ART3"</f>
        <v>ART3</v>
      </c>
      <c r="AT216" s="31" t="s">
        <v>26521</v>
      </c>
      <c r="AU216" s="31" t="s">
        <v>13777</v>
      </c>
      <c r="AV216" s="31">
        <v>9606</v>
      </c>
      <c r="AW216" s="50" t="str">
        <f>HYPERLINK("http://www.uniprot.org/uniprot/Q13508", "Q13508")</f>
        <v>Q13508</v>
      </c>
      <c r="AX216" s="31" t="s">
        <v>26522</v>
      </c>
      <c r="AY216" s="31" t="s">
        <v>13772</v>
      </c>
      <c r="AZ216" s="31" t="s">
        <v>13792</v>
      </c>
      <c r="BA216" s="31" t="s">
        <v>13780</v>
      </c>
      <c r="BB216" s="31" t="s">
        <v>13772</v>
      </c>
      <c r="BC216" s="31" t="s">
        <v>13772</v>
      </c>
      <c r="BD216" s="31" t="s">
        <v>14404</v>
      </c>
      <c r="BE216" s="31" t="s">
        <v>26523</v>
      </c>
      <c r="BF216" s="31" t="s">
        <v>15995</v>
      </c>
      <c r="BG216" s="31" t="s">
        <v>15699</v>
      </c>
      <c r="BH216" s="31" t="s">
        <v>13772</v>
      </c>
      <c r="BI216" s="31" t="s">
        <v>26524</v>
      </c>
      <c r="BJ216" s="31" t="s">
        <v>26525</v>
      </c>
      <c r="BK216" s="31" t="s">
        <v>26526</v>
      </c>
      <c r="BL216" s="31" t="s">
        <v>13772</v>
      </c>
      <c r="BM216" s="31" t="s">
        <v>16280</v>
      </c>
    </row>
    <row r="217" spans="1:65">
      <c r="A217">
        <v>1369</v>
      </c>
      <c r="B217">
        <v>1</v>
      </c>
      <c r="C217">
        <v>212</v>
      </c>
      <c r="D217" t="s">
        <v>3271</v>
      </c>
      <c r="E217" t="s">
        <v>73</v>
      </c>
      <c r="F217" t="s">
        <v>73</v>
      </c>
      <c r="G217">
        <v>29.7</v>
      </c>
      <c r="H217">
        <v>3358</v>
      </c>
      <c r="I217">
        <v>361397</v>
      </c>
      <c r="J217" t="s">
        <v>3273</v>
      </c>
      <c r="K217" s="3" t="s">
        <v>73</v>
      </c>
      <c r="L217">
        <v>338</v>
      </c>
      <c r="M217">
        <v>44</v>
      </c>
      <c r="N217">
        <v>0.13</v>
      </c>
      <c r="O217" s="11">
        <f t="shared" si="3"/>
        <v>12.518777494763931</v>
      </c>
      <c r="P217" s="36">
        <v>10.298968864595199</v>
      </c>
      <c r="Q217" s="36">
        <v>11.556769448129399</v>
      </c>
      <c r="R217" s="36">
        <v>12.1660622297732</v>
      </c>
      <c r="S217" s="36">
        <v>37.344467451084803</v>
      </c>
      <c r="T217" s="36">
        <v>25.8052907981068</v>
      </c>
      <c r="U217" s="36">
        <v>17.6648176861503</v>
      </c>
      <c r="V217" s="36">
        <v>0.26351557071616</v>
      </c>
      <c r="W217" s="36">
        <v>0.24329589949557701</v>
      </c>
      <c r="X217" s="37">
        <v>1.19213743986744</v>
      </c>
      <c r="Y217" s="37">
        <v>20.3699835944916</v>
      </c>
      <c r="Z217" s="37">
        <v>14.400978268812199</v>
      </c>
      <c r="AA217" s="37">
        <v>0.21163676164998499</v>
      </c>
      <c r="AB217" s="37">
        <v>10.1067182239663</v>
      </c>
      <c r="AC217" s="37">
        <v>15.152458951394401</v>
      </c>
      <c r="AD217" s="37">
        <v>8.2969702632433204</v>
      </c>
      <c r="AE217" s="37">
        <v>15.2263684647462</v>
      </c>
      <c r="AF217" s="45">
        <v>-0.42885858120349502</v>
      </c>
      <c r="AG217" s="45">
        <v>-1.3576614741642501</v>
      </c>
      <c r="AH217" s="46">
        <v>0.55514894607268594</v>
      </c>
      <c r="AI217" s="47">
        <v>0.63486264089337896</v>
      </c>
      <c r="AJ217" s="48">
        <v>14.417898493506399</v>
      </c>
      <c r="AK217" s="49">
        <v>10.619656496021401</v>
      </c>
      <c r="AL217" s="31" t="s">
        <v>5875</v>
      </c>
      <c r="AM217" s="31" t="s">
        <v>5832</v>
      </c>
      <c r="AN217" s="31" t="s">
        <v>27018</v>
      </c>
      <c r="AO217" s="31" t="s">
        <v>27019</v>
      </c>
      <c r="AP217" s="31" t="s">
        <v>27020</v>
      </c>
      <c r="AQ217" s="31" t="s">
        <v>27021</v>
      </c>
      <c r="AR217" s="31" t="s">
        <v>27022</v>
      </c>
      <c r="AS217" s="31" t="str">
        <f>"TNXB"</f>
        <v>TNXB</v>
      </c>
      <c r="AT217" s="31" t="s">
        <v>13772</v>
      </c>
      <c r="AU217" s="31" t="s">
        <v>13777</v>
      </c>
      <c r="AV217" s="31">
        <v>9606</v>
      </c>
      <c r="AW217" s="50" t="str">
        <f>HYPERLINK("http://www.uniprot.org/uniprot/P22105", "P22105")</f>
        <v>P22105</v>
      </c>
      <c r="AX217" s="31" t="s">
        <v>27023</v>
      </c>
      <c r="AY217" s="31" t="s">
        <v>13949</v>
      </c>
      <c r="AZ217" s="31" t="s">
        <v>13869</v>
      </c>
      <c r="BA217" s="31" t="s">
        <v>13780</v>
      </c>
      <c r="BB217" s="31" t="s">
        <v>13772</v>
      </c>
      <c r="BC217" s="31" t="s">
        <v>15310</v>
      </c>
      <c r="BD217" s="31" t="s">
        <v>27024</v>
      </c>
      <c r="BE217" s="31" t="s">
        <v>13772</v>
      </c>
      <c r="BF217" s="31" t="s">
        <v>13772</v>
      </c>
      <c r="BG217" s="31" t="s">
        <v>13796</v>
      </c>
      <c r="BH217" s="31" t="s">
        <v>13812</v>
      </c>
      <c r="BI217" s="31" t="s">
        <v>27025</v>
      </c>
      <c r="BJ217" s="31" t="s">
        <v>27026</v>
      </c>
      <c r="BK217" s="31" t="s">
        <v>27027</v>
      </c>
      <c r="BL217" s="31" t="s">
        <v>13772</v>
      </c>
      <c r="BM217" s="31" t="s">
        <v>27028</v>
      </c>
    </row>
    <row r="218" spans="1:65">
      <c r="A218">
        <v>844</v>
      </c>
      <c r="B218">
        <v>1</v>
      </c>
      <c r="C218">
        <v>213</v>
      </c>
      <c r="D218" t="s">
        <v>2071</v>
      </c>
      <c r="E218" t="s">
        <v>2072</v>
      </c>
      <c r="F218" t="s">
        <v>73</v>
      </c>
      <c r="G218">
        <v>35.299999999999997</v>
      </c>
      <c r="H218">
        <v>674</v>
      </c>
      <c r="I218">
        <v>71813</v>
      </c>
      <c r="J218" t="s">
        <v>2073</v>
      </c>
      <c r="K218" s="3" t="s">
        <v>73</v>
      </c>
      <c r="L218">
        <v>200</v>
      </c>
      <c r="M218">
        <v>200</v>
      </c>
      <c r="N218">
        <v>1</v>
      </c>
      <c r="O218" s="11">
        <f t="shared" si="3"/>
        <v>10.23687892627334</v>
      </c>
      <c r="P218" s="36">
        <v>0.30291084895868198</v>
      </c>
      <c r="Q218" s="36">
        <v>0.24076603016936199</v>
      </c>
      <c r="R218" s="36">
        <v>0.40019941545306398</v>
      </c>
      <c r="S218" s="36">
        <v>0.37798043978830698</v>
      </c>
      <c r="T218" s="36">
        <v>0.215044089984223</v>
      </c>
      <c r="U218" s="36">
        <v>0.23243181165987301</v>
      </c>
      <c r="V218" s="36">
        <v>0.26351557071616</v>
      </c>
      <c r="W218" s="36">
        <v>0.24329589949557701</v>
      </c>
      <c r="X218" s="37">
        <v>31.7903317297983</v>
      </c>
      <c r="Y218" s="37">
        <v>18.919489406648601</v>
      </c>
      <c r="Z218" s="37">
        <v>0.80005434826734301</v>
      </c>
      <c r="AA218" s="37">
        <v>16.084393885398899</v>
      </c>
      <c r="AB218" s="37">
        <v>50.5335911198313</v>
      </c>
      <c r="AC218" s="37">
        <v>22.097335970783501</v>
      </c>
      <c r="AD218" s="37">
        <v>3.0170800957248498</v>
      </c>
      <c r="AE218" s="37">
        <v>18.2716421576954</v>
      </c>
      <c r="AF218" s="45">
        <v>5.68702220400034</v>
      </c>
      <c r="AG218" s="45">
        <v>70.959443328920997</v>
      </c>
      <c r="AH218" s="46">
        <v>3.8215300221774799E-11</v>
      </c>
      <c r="AI218" s="47">
        <v>7.3045816709620996E-10</v>
      </c>
      <c r="AJ218" s="48">
        <v>0.28451801327815601</v>
      </c>
      <c r="AK218" s="49">
        <v>20.189239839268499</v>
      </c>
      <c r="AL218" s="31" t="s">
        <v>5874</v>
      </c>
      <c r="AM218" s="31" t="s">
        <v>5876</v>
      </c>
      <c r="AN218" s="31" t="s">
        <v>22115</v>
      </c>
      <c r="AO218" s="31" t="s">
        <v>22116</v>
      </c>
      <c r="AP218" s="31" t="s">
        <v>22117</v>
      </c>
      <c r="AQ218" s="31" t="s">
        <v>22118</v>
      </c>
      <c r="AR218" s="31" t="s">
        <v>22119</v>
      </c>
      <c r="AS218" s="31" t="str">
        <f>"LDB3"</f>
        <v>LDB3</v>
      </c>
      <c r="AT218" s="31" t="s">
        <v>13772</v>
      </c>
      <c r="AU218" s="31" t="s">
        <v>13777</v>
      </c>
      <c r="AV218" s="31">
        <v>9606</v>
      </c>
      <c r="AW218" s="50" t="str">
        <f>HYPERLINK("http://www.uniprot.org/uniprot/O75112", "O75112")</f>
        <v>O75112</v>
      </c>
      <c r="AX218" s="31" t="s">
        <v>22120</v>
      </c>
      <c r="AY218" s="31" t="s">
        <v>13772</v>
      </c>
      <c r="AZ218" s="31" t="s">
        <v>14870</v>
      </c>
      <c r="BA218" s="31" t="s">
        <v>13780</v>
      </c>
      <c r="BB218" s="31" t="s">
        <v>13772</v>
      </c>
      <c r="BC218" s="31" t="s">
        <v>17082</v>
      </c>
      <c r="BD218" s="31" t="s">
        <v>15529</v>
      </c>
      <c r="BE218" s="31" t="s">
        <v>13856</v>
      </c>
      <c r="BF218" s="31" t="s">
        <v>13772</v>
      </c>
      <c r="BG218" s="31" t="s">
        <v>14478</v>
      </c>
      <c r="BH218" s="31" t="s">
        <v>13812</v>
      </c>
      <c r="BI218" s="31" t="s">
        <v>22121</v>
      </c>
      <c r="BJ218" s="31" t="s">
        <v>22122</v>
      </c>
      <c r="BK218" s="31" t="s">
        <v>22123</v>
      </c>
      <c r="BL218" s="31" t="s">
        <v>13772</v>
      </c>
      <c r="BM218" s="31" t="s">
        <v>13772</v>
      </c>
    </row>
    <row r="219" spans="1:65">
      <c r="A219">
        <v>1485</v>
      </c>
      <c r="B219">
        <v>1</v>
      </c>
      <c r="C219">
        <v>214</v>
      </c>
      <c r="D219" t="s">
        <v>3534</v>
      </c>
      <c r="E219" t="s">
        <v>73</v>
      </c>
      <c r="F219" t="s">
        <v>73</v>
      </c>
      <c r="G219">
        <v>66</v>
      </c>
      <c r="H219">
        <v>285</v>
      </c>
      <c r="I219">
        <v>29722</v>
      </c>
      <c r="J219" t="s">
        <v>3535</v>
      </c>
      <c r="K219" s="3" t="s">
        <v>73</v>
      </c>
      <c r="L219">
        <v>199</v>
      </c>
      <c r="M219">
        <v>194</v>
      </c>
      <c r="N219">
        <v>0.97499999999999998</v>
      </c>
      <c r="O219" s="11">
        <f t="shared" si="3"/>
        <v>12.010840745548284</v>
      </c>
      <c r="P219" s="36">
        <v>13.328077354182</v>
      </c>
      <c r="Q219" s="36">
        <v>15.4090259308391</v>
      </c>
      <c r="R219" s="36">
        <v>11.2055836326858</v>
      </c>
      <c r="S219" s="36">
        <v>13.6072958323791</v>
      </c>
      <c r="T219" s="36">
        <v>35.267230757412598</v>
      </c>
      <c r="U219" s="36">
        <v>23.150208441323301</v>
      </c>
      <c r="V219" s="36">
        <v>10.5406228286464</v>
      </c>
      <c r="W219" s="36">
        <v>20.3395371978302</v>
      </c>
      <c r="X219" s="37">
        <v>3.9737914662247902</v>
      </c>
      <c r="Y219" s="37">
        <v>6.9371461157711396</v>
      </c>
      <c r="Z219" s="37">
        <v>5.6003804378713999</v>
      </c>
      <c r="AA219" s="37">
        <v>10.1585645591993</v>
      </c>
      <c r="AB219" s="37">
        <v>6.4315479607058004</v>
      </c>
      <c r="AC219" s="37">
        <v>7.1027151334661296</v>
      </c>
      <c r="AD219" s="37">
        <v>1.50854004786242</v>
      </c>
      <c r="AE219" s="37">
        <v>7.6131842323730803</v>
      </c>
      <c r="AF219" s="45">
        <v>-1.5141664466211899</v>
      </c>
      <c r="AG219" s="45">
        <v>-2.89599721424148</v>
      </c>
      <c r="AH219" s="46">
        <v>5.3089765594711697E-5</v>
      </c>
      <c r="AI219" s="47">
        <v>1.60710647886254E-4</v>
      </c>
      <c r="AJ219" s="48">
        <v>17.8559477469123</v>
      </c>
      <c r="AK219" s="49">
        <v>6.1657337441842603</v>
      </c>
      <c r="AL219" s="31" t="s">
        <v>5875</v>
      </c>
      <c r="AM219" s="31" t="s">
        <v>5876</v>
      </c>
      <c r="AN219" s="31" t="s">
        <v>28067</v>
      </c>
      <c r="AO219" s="31" t="s">
        <v>28068</v>
      </c>
      <c r="AP219" s="31" t="s">
        <v>28069</v>
      </c>
      <c r="AQ219" s="31" t="s">
        <v>28070</v>
      </c>
      <c r="AR219" s="31" t="s">
        <v>28071</v>
      </c>
      <c r="AS219" s="31" t="str">
        <f>"DDAH2"</f>
        <v>DDAH2</v>
      </c>
      <c r="AT219" s="31" t="s">
        <v>28072</v>
      </c>
      <c r="AU219" s="31" t="s">
        <v>13777</v>
      </c>
      <c r="AV219" s="31">
        <v>9606</v>
      </c>
      <c r="AW219" s="50" t="str">
        <f>HYPERLINK("http://www.uniprot.org/uniprot/O95865", "O95865")</f>
        <v>O95865</v>
      </c>
      <c r="AX219" s="31" t="s">
        <v>28073</v>
      </c>
      <c r="AY219" s="31" t="s">
        <v>13772</v>
      </c>
      <c r="AZ219" s="31" t="s">
        <v>21204</v>
      </c>
      <c r="BA219" s="31" t="s">
        <v>13772</v>
      </c>
      <c r="BB219" s="31" t="s">
        <v>13772</v>
      </c>
      <c r="BC219" s="31" t="s">
        <v>13772</v>
      </c>
      <c r="BD219" s="31" t="s">
        <v>13772</v>
      </c>
      <c r="BE219" s="31" t="s">
        <v>13772</v>
      </c>
      <c r="BF219" s="31" t="s">
        <v>13857</v>
      </c>
      <c r="BG219" s="31" t="s">
        <v>13772</v>
      </c>
      <c r="BH219" s="31" t="s">
        <v>13772</v>
      </c>
      <c r="BI219" s="31" t="s">
        <v>28074</v>
      </c>
      <c r="BJ219" s="31" t="s">
        <v>28075</v>
      </c>
      <c r="BK219" s="31" t="s">
        <v>28076</v>
      </c>
      <c r="BL219" s="31" t="s">
        <v>13772</v>
      </c>
      <c r="BM219" s="31" t="s">
        <v>16259</v>
      </c>
    </row>
    <row r="220" spans="1:65">
      <c r="A220">
        <v>2076</v>
      </c>
      <c r="B220">
        <v>1</v>
      </c>
      <c r="C220">
        <v>215</v>
      </c>
      <c r="D220" t="s">
        <v>4879</v>
      </c>
      <c r="E220" t="s">
        <v>4880</v>
      </c>
      <c r="F220" t="s">
        <v>73</v>
      </c>
      <c r="G220">
        <v>31.7</v>
      </c>
      <c r="H220">
        <v>713</v>
      </c>
      <c r="I220">
        <v>78326</v>
      </c>
      <c r="J220" t="s">
        <v>4881</v>
      </c>
      <c r="K220" s="3" t="s">
        <v>73</v>
      </c>
      <c r="L220">
        <v>198</v>
      </c>
      <c r="M220">
        <v>198</v>
      </c>
      <c r="N220">
        <v>1</v>
      </c>
      <c r="O220" s="11">
        <f t="shared" si="3"/>
        <v>11.762590902882264</v>
      </c>
      <c r="P220" s="36">
        <v>12.116433958347301</v>
      </c>
      <c r="Q220" s="36">
        <v>6.7414488447421297</v>
      </c>
      <c r="R220" s="36">
        <v>6.4031906472490299</v>
      </c>
      <c r="S220" s="36">
        <v>9.0715305549193808</v>
      </c>
      <c r="T220" s="36">
        <v>11.1822926791796</v>
      </c>
      <c r="U220" s="36">
        <v>21.383726672708299</v>
      </c>
      <c r="V220" s="36">
        <v>20.027183374428201</v>
      </c>
      <c r="W220" s="36">
        <v>18.4904883616638</v>
      </c>
      <c r="X220" s="37">
        <v>7.1528246392046197</v>
      </c>
      <c r="Y220" s="37">
        <v>11.351693643989099</v>
      </c>
      <c r="Z220" s="37">
        <v>8.8005978309407702</v>
      </c>
      <c r="AA220" s="37">
        <v>5.9258293261995796</v>
      </c>
      <c r="AB220" s="37">
        <v>11.944303355596499</v>
      </c>
      <c r="AC220" s="37">
        <v>11.837858555776901</v>
      </c>
      <c r="AD220" s="37">
        <v>12.068320382899399</v>
      </c>
      <c r="AE220" s="37">
        <v>13.7037316182716</v>
      </c>
      <c r="AF220" s="45">
        <v>-0.39129264810489001</v>
      </c>
      <c r="AG220" s="45">
        <v>-1.27337189319033</v>
      </c>
      <c r="AH220" s="46">
        <v>0.31656228747362702</v>
      </c>
      <c r="AI220" s="47">
        <v>0.39585078564459197</v>
      </c>
      <c r="AJ220" s="48">
        <v>13.177036886654699</v>
      </c>
      <c r="AK220" s="49">
        <v>10.348144919109799</v>
      </c>
      <c r="AL220" s="31" t="s">
        <v>5875</v>
      </c>
      <c r="AM220" s="31" t="s">
        <v>5832</v>
      </c>
      <c r="AN220" s="31" t="s">
        <v>33656</v>
      </c>
      <c r="AO220" s="31" t="s">
        <v>33657</v>
      </c>
      <c r="AP220" s="31" t="s">
        <v>33658</v>
      </c>
      <c r="AQ220" s="31" t="s">
        <v>33659</v>
      </c>
      <c r="AR220" s="31" t="s">
        <v>33660</v>
      </c>
      <c r="AS220" s="31" t="str">
        <f>"CDH13"</f>
        <v>CDH13</v>
      </c>
      <c r="AT220" s="31" t="s">
        <v>33661</v>
      </c>
      <c r="AU220" s="31" t="s">
        <v>13777</v>
      </c>
      <c r="AV220" s="31">
        <v>9606</v>
      </c>
      <c r="AW220" s="50" t="str">
        <f>HYPERLINK("http://www.uniprot.org/uniprot/P55290", "P55290")</f>
        <v>P55290</v>
      </c>
      <c r="AX220" s="31" t="s">
        <v>33662</v>
      </c>
      <c r="AY220" s="31" t="s">
        <v>13949</v>
      </c>
      <c r="AZ220" s="31" t="s">
        <v>13792</v>
      </c>
      <c r="BA220" s="31" t="s">
        <v>13780</v>
      </c>
      <c r="BB220" s="31" t="s">
        <v>13772</v>
      </c>
      <c r="BC220" s="31" t="s">
        <v>13772</v>
      </c>
      <c r="BD220" s="31" t="s">
        <v>14404</v>
      </c>
      <c r="BE220" s="31" t="s">
        <v>13873</v>
      </c>
      <c r="BF220" s="31" t="s">
        <v>13772</v>
      </c>
      <c r="BG220" s="31" t="s">
        <v>33663</v>
      </c>
      <c r="BH220" s="31" t="s">
        <v>13812</v>
      </c>
      <c r="BI220" s="31" t="s">
        <v>33664</v>
      </c>
      <c r="BJ220" s="31" t="s">
        <v>33665</v>
      </c>
      <c r="BK220" s="31" t="s">
        <v>33666</v>
      </c>
      <c r="BL220" s="31" t="s">
        <v>13772</v>
      </c>
      <c r="BM220" s="31" t="s">
        <v>15361</v>
      </c>
    </row>
    <row r="221" spans="1:65">
      <c r="A221">
        <v>1377</v>
      </c>
      <c r="B221">
        <v>1</v>
      </c>
      <c r="C221">
        <v>216</v>
      </c>
      <c r="D221" t="s">
        <v>3294</v>
      </c>
      <c r="E221" t="s">
        <v>73</v>
      </c>
      <c r="F221" t="s">
        <v>73</v>
      </c>
      <c r="G221">
        <v>33.299999999999997</v>
      </c>
      <c r="H221">
        <v>982</v>
      </c>
      <c r="I221">
        <v>108501</v>
      </c>
      <c r="J221" t="s">
        <v>3295</v>
      </c>
      <c r="K221" s="3" t="s">
        <v>73</v>
      </c>
      <c r="L221">
        <v>197</v>
      </c>
      <c r="M221">
        <v>197</v>
      </c>
      <c r="N221">
        <v>1</v>
      </c>
      <c r="O221" s="11">
        <f t="shared" si="3"/>
        <v>11.436759612385307</v>
      </c>
      <c r="P221" s="36">
        <v>15.7513641458515</v>
      </c>
      <c r="Q221" s="36">
        <v>16.372090051516601</v>
      </c>
      <c r="R221" s="36">
        <v>6.4031906472490299</v>
      </c>
      <c r="S221" s="36">
        <v>12.0953740732258</v>
      </c>
      <c r="T221" s="36">
        <v>12.9026453990534</v>
      </c>
      <c r="U221" s="36">
        <v>13.0161814529529</v>
      </c>
      <c r="V221" s="36">
        <v>16.8649965258343</v>
      </c>
      <c r="W221" s="36">
        <v>18.4904883616638</v>
      </c>
      <c r="X221" s="37">
        <v>1.5895165864899099</v>
      </c>
      <c r="Y221" s="37">
        <v>11.982343290877401</v>
      </c>
      <c r="Z221" s="37">
        <v>19.201304358416198</v>
      </c>
      <c r="AA221" s="37">
        <v>14.391299792199</v>
      </c>
      <c r="AB221" s="37">
        <v>8.2691330923360304</v>
      </c>
      <c r="AC221" s="37">
        <v>12.627049126161999</v>
      </c>
      <c r="AD221" s="37">
        <v>1.50854004786242</v>
      </c>
      <c r="AE221" s="37">
        <v>1.5226368464746201</v>
      </c>
      <c r="AF221" s="45">
        <v>-0.60561072925200099</v>
      </c>
      <c r="AG221" s="45">
        <v>-1.5739690686466801</v>
      </c>
      <c r="AH221" s="46">
        <v>0.17300891646518601</v>
      </c>
      <c r="AI221" s="47">
        <v>0.23056367552830601</v>
      </c>
      <c r="AJ221" s="48">
        <v>13.987041332168401</v>
      </c>
      <c r="AK221" s="49">
        <v>8.8864778926021994</v>
      </c>
      <c r="AL221" s="31" t="s">
        <v>5875</v>
      </c>
      <c r="AM221" s="31" t="s">
        <v>5832</v>
      </c>
      <c r="AN221" s="31" t="s">
        <v>27089</v>
      </c>
      <c r="AO221" s="31" t="s">
        <v>27090</v>
      </c>
      <c r="AP221" s="31" t="s">
        <v>27091</v>
      </c>
      <c r="AQ221" s="31" t="s">
        <v>27092</v>
      </c>
      <c r="AR221" s="31" t="s">
        <v>27093</v>
      </c>
      <c r="AS221" s="31" t="str">
        <f>"ATP1A1"</f>
        <v>ATP1A1</v>
      </c>
      <c r="AT221" s="31" t="s">
        <v>13772</v>
      </c>
      <c r="AU221" s="31" t="s">
        <v>13777</v>
      </c>
      <c r="AV221" s="31">
        <v>9606</v>
      </c>
      <c r="AW221" s="50" t="str">
        <f>HYPERLINK("http://www.uniprot.org/uniprot/P05023", "P05023")</f>
        <v>P05023</v>
      </c>
      <c r="AX221" s="31" t="s">
        <v>27094</v>
      </c>
      <c r="AY221" s="31" t="s">
        <v>19049</v>
      </c>
      <c r="AZ221" s="31" t="s">
        <v>13792</v>
      </c>
      <c r="BA221" s="31" t="s">
        <v>13780</v>
      </c>
      <c r="BB221" s="31" t="s">
        <v>13772</v>
      </c>
      <c r="BC221" s="31" t="s">
        <v>25952</v>
      </c>
      <c r="BD221" s="31" t="s">
        <v>13925</v>
      </c>
      <c r="BE221" s="31" t="s">
        <v>27095</v>
      </c>
      <c r="BF221" s="31" t="s">
        <v>16605</v>
      </c>
      <c r="BG221" s="31" t="s">
        <v>13886</v>
      </c>
      <c r="BH221" s="31" t="s">
        <v>13772</v>
      </c>
      <c r="BI221" s="31" t="s">
        <v>27096</v>
      </c>
      <c r="BJ221" s="31" t="s">
        <v>27097</v>
      </c>
      <c r="BK221" s="31" t="s">
        <v>27098</v>
      </c>
      <c r="BL221" s="31" t="s">
        <v>13772</v>
      </c>
      <c r="BM221" s="31" t="s">
        <v>19055</v>
      </c>
    </row>
    <row r="222" spans="1:65">
      <c r="A222">
        <v>2225</v>
      </c>
      <c r="B222">
        <v>1</v>
      </c>
      <c r="C222">
        <v>217</v>
      </c>
      <c r="D222" t="s">
        <v>5202</v>
      </c>
      <c r="E222" t="s">
        <v>73</v>
      </c>
      <c r="F222" t="s">
        <v>73</v>
      </c>
      <c r="G222">
        <v>67.7</v>
      </c>
      <c r="H222">
        <v>124</v>
      </c>
      <c r="I222">
        <v>12963</v>
      </c>
      <c r="J222" t="s">
        <v>5203</v>
      </c>
      <c r="K222" s="3" t="s">
        <v>73</v>
      </c>
      <c r="L222">
        <v>197</v>
      </c>
      <c r="M222">
        <v>197</v>
      </c>
      <c r="N222">
        <v>1</v>
      </c>
      <c r="O222" s="11">
        <f t="shared" si="3"/>
        <v>11.776040293816777</v>
      </c>
      <c r="P222" s="36">
        <v>13.328077354182</v>
      </c>
      <c r="Q222" s="36">
        <v>5.7783847240646802</v>
      </c>
      <c r="R222" s="36">
        <v>16.007976618122601</v>
      </c>
      <c r="S222" s="36">
        <v>10.5834523140726</v>
      </c>
      <c r="T222" s="36">
        <v>8.6017635993689208</v>
      </c>
      <c r="U222" s="36">
        <v>6.50809072647644</v>
      </c>
      <c r="V222" s="36">
        <v>13.7028096772403</v>
      </c>
      <c r="W222" s="36">
        <v>7.78546878385845</v>
      </c>
      <c r="X222" s="37">
        <v>7.1528246392046197</v>
      </c>
      <c r="Y222" s="37">
        <v>5.6758468219945701</v>
      </c>
      <c r="Z222" s="37">
        <v>9.6006521792081099</v>
      </c>
      <c r="AA222" s="37">
        <v>9.3120175125993505</v>
      </c>
      <c r="AB222" s="37">
        <v>11.0255107897814</v>
      </c>
      <c r="AC222" s="37">
        <v>11.837858555776901</v>
      </c>
      <c r="AD222" s="37">
        <v>27.153720861523599</v>
      </c>
      <c r="AE222" s="37">
        <v>24.3621895435939</v>
      </c>
      <c r="AF222" s="45">
        <v>0.322579986084367</v>
      </c>
      <c r="AG222" s="45">
        <v>1.28949876320821</v>
      </c>
      <c r="AH222" s="46">
        <v>0.389135272969102</v>
      </c>
      <c r="AI222" s="47">
        <v>0.47247095756139601</v>
      </c>
      <c r="AJ222" s="48">
        <v>10.2870029746733</v>
      </c>
      <c r="AK222" s="49">
        <v>13.265077612960299</v>
      </c>
      <c r="AL222" s="31" t="s">
        <v>5874</v>
      </c>
      <c r="AM222" s="31" t="s">
        <v>5832</v>
      </c>
      <c r="AN222" s="31" t="s">
        <v>35002</v>
      </c>
      <c r="AO222" s="31" t="s">
        <v>35003</v>
      </c>
      <c r="AP222" s="31" t="s">
        <v>35004</v>
      </c>
      <c r="AQ222" s="31" t="s">
        <v>35005</v>
      </c>
      <c r="AR222" s="31" t="s">
        <v>35006</v>
      </c>
      <c r="AS222" s="31" t="str">
        <f>"WFDC2"</f>
        <v>WFDC2</v>
      </c>
      <c r="AT222" s="31" t="s">
        <v>35007</v>
      </c>
      <c r="AU222" s="31" t="s">
        <v>13777</v>
      </c>
      <c r="AV222" s="31">
        <v>9606</v>
      </c>
      <c r="AW222" s="50" t="str">
        <f>HYPERLINK("http://www.uniprot.org/uniprot/Q14508", "Q14508")</f>
        <v>Q14508</v>
      </c>
      <c r="AX222" s="31" t="s">
        <v>35008</v>
      </c>
      <c r="AY222" s="31" t="s">
        <v>13772</v>
      </c>
      <c r="AZ222" s="31" t="s">
        <v>14321</v>
      </c>
      <c r="BA222" s="31" t="s">
        <v>13841</v>
      </c>
      <c r="BB222" s="31" t="s">
        <v>13772</v>
      </c>
      <c r="BC222" s="31" t="s">
        <v>13772</v>
      </c>
      <c r="BD222" s="31" t="s">
        <v>14404</v>
      </c>
      <c r="BE222" s="31" t="s">
        <v>13772</v>
      </c>
      <c r="BF222" s="31" t="s">
        <v>35009</v>
      </c>
      <c r="BG222" s="31" t="s">
        <v>13796</v>
      </c>
      <c r="BH222" s="31" t="s">
        <v>13772</v>
      </c>
      <c r="BI222" s="31" t="s">
        <v>35010</v>
      </c>
      <c r="BJ222" s="31" t="s">
        <v>15733</v>
      </c>
      <c r="BK222" s="31" t="s">
        <v>35011</v>
      </c>
      <c r="BL222" s="31" t="s">
        <v>13772</v>
      </c>
      <c r="BM222" s="31" t="s">
        <v>13772</v>
      </c>
    </row>
    <row r="223" spans="1:65">
      <c r="A223">
        <v>2345</v>
      </c>
      <c r="B223">
        <v>1</v>
      </c>
      <c r="C223">
        <v>218</v>
      </c>
      <c r="D223" t="s">
        <v>5471</v>
      </c>
      <c r="E223" t="s">
        <v>73</v>
      </c>
      <c r="F223" t="s">
        <v>73</v>
      </c>
      <c r="G223">
        <v>30</v>
      </c>
      <c r="H223">
        <v>1940</v>
      </c>
      <c r="I223">
        <v>222645</v>
      </c>
      <c r="J223" t="s">
        <v>5472</v>
      </c>
      <c r="K223" s="3" t="s">
        <v>73</v>
      </c>
      <c r="L223">
        <v>446</v>
      </c>
      <c r="M223">
        <v>53</v>
      </c>
      <c r="N223">
        <v>0.11899999999999999</v>
      </c>
      <c r="O223" s="11">
        <f t="shared" si="3"/>
        <v>10.275580503503777</v>
      </c>
      <c r="P223" s="36">
        <v>0.30291084895868198</v>
      </c>
      <c r="Q223" s="36">
        <v>0.24076603016936199</v>
      </c>
      <c r="R223" s="36">
        <v>0.40019941545306398</v>
      </c>
      <c r="S223" s="36">
        <v>0.37798043978830698</v>
      </c>
      <c r="T223" s="36">
        <v>0.77415872394320295</v>
      </c>
      <c r="U223" s="36">
        <v>0.27891817399184698</v>
      </c>
      <c r="V223" s="36">
        <v>21.924495483584501</v>
      </c>
      <c r="W223" s="36">
        <v>19.852945398839001</v>
      </c>
      <c r="X223" s="37">
        <v>7.3912521271780998</v>
      </c>
      <c r="Y223" s="37">
        <v>17.5951251481832</v>
      </c>
      <c r="Z223" s="37">
        <v>10.4807119623022</v>
      </c>
      <c r="AA223" s="37">
        <v>4.4020446423196899</v>
      </c>
      <c r="AB223" s="37">
        <v>25.909950355986201</v>
      </c>
      <c r="AC223" s="37">
        <v>27.7795080775564</v>
      </c>
      <c r="AD223" s="37">
        <v>10.7106343398232</v>
      </c>
      <c r="AE223" s="37">
        <v>15.9876868879835</v>
      </c>
      <c r="AF223" s="45">
        <v>1.4050579766056399</v>
      </c>
      <c r="AG223" s="45">
        <v>2.7236794139173202</v>
      </c>
      <c r="AH223" s="46">
        <v>7.5446808112021202E-2</v>
      </c>
      <c r="AI223" s="47">
        <v>0.111421445092588</v>
      </c>
      <c r="AJ223" s="48">
        <v>5.5190468143410003</v>
      </c>
      <c r="AK223" s="49">
        <v>15.032114192666601</v>
      </c>
      <c r="AL223" s="31" t="s">
        <v>5874</v>
      </c>
      <c r="AM223" s="31" t="s">
        <v>5832</v>
      </c>
      <c r="AN223" s="31" t="s">
        <v>36105</v>
      </c>
      <c r="AO223" s="31" t="s">
        <v>36106</v>
      </c>
      <c r="AP223" s="31" t="s">
        <v>36107</v>
      </c>
      <c r="AQ223" s="31" t="s">
        <v>36108</v>
      </c>
      <c r="AR223" s="31" t="s">
        <v>36109</v>
      </c>
      <c r="AS223" s="31" t="str">
        <f>"MYH2"</f>
        <v>MYH2</v>
      </c>
      <c r="AT223" s="31" t="s">
        <v>36110</v>
      </c>
      <c r="AU223" s="31" t="s">
        <v>13777</v>
      </c>
      <c r="AV223" s="31">
        <v>9606</v>
      </c>
      <c r="AW223" s="50" t="str">
        <f>HYPERLINK("http://www.uniprot.org/uniprot/Q9UKX2", "Q9UKX2")</f>
        <v>Q9UKX2</v>
      </c>
      <c r="AX223" s="31" t="s">
        <v>36111</v>
      </c>
      <c r="AY223" s="31" t="s">
        <v>13772</v>
      </c>
      <c r="AZ223" s="31" t="s">
        <v>15651</v>
      </c>
      <c r="BA223" s="31" t="s">
        <v>13780</v>
      </c>
      <c r="BB223" s="31" t="s">
        <v>13772</v>
      </c>
      <c r="BC223" s="31" t="s">
        <v>13807</v>
      </c>
      <c r="BD223" s="31" t="s">
        <v>14245</v>
      </c>
      <c r="BE223" s="31" t="s">
        <v>14005</v>
      </c>
      <c r="BF223" s="31" t="s">
        <v>15653</v>
      </c>
      <c r="BG223" s="31" t="s">
        <v>14478</v>
      </c>
      <c r="BH223" s="31" t="s">
        <v>13772</v>
      </c>
      <c r="BI223" s="31" t="s">
        <v>36112</v>
      </c>
      <c r="BJ223" s="31" t="s">
        <v>36113</v>
      </c>
      <c r="BK223" s="31" t="s">
        <v>36006</v>
      </c>
      <c r="BL223" s="31" t="s">
        <v>13772</v>
      </c>
      <c r="BM223" s="31" t="s">
        <v>36114</v>
      </c>
    </row>
    <row r="224" spans="1:65">
      <c r="A224">
        <v>1146</v>
      </c>
      <c r="B224">
        <v>1</v>
      </c>
      <c r="C224">
        <v>219</v>
      </c>
      <c r="D224" t="s">
        <v>2758</v>
      </c>
      <c r="E224" t="s">
        <v>73</v>
      </c>
      <c r="F224" t="s">
        <v>73</v>
      </c>
      <c r="G224">
        <v>55.9</v>
      </c>
      <c r="H224">
        <v>528</v>
      </c>
      <c r="I224">
        <v>56386</v>
      </c>
      <c r="J224" t="s">
        <v>2759</v>
      </c>
      <c r="K224" s="3" t="s">
        <v>73</v>
      </c>
      <c r="L224">
        <v>195</v>
      </c>
      <c r="M224">
        <v>195</v>
      </c>
      <c r="N224">
        <v>1</v>
      </c>
      <c r="O224" s="11">
        <f t="shared" si="3"/>
        <v>10.694661981528116</v>
      </c>
      <c r="P224" s="36">
        <v>14.5397207500168</v>
      </c>
      <c r="Q224" s="36">
        <v>21.1874106549038</v>
      </c>
      <c r="R224" s="36">
        <v>3.2015953236245198</v>
      </c>
      <c r="S224" s="36">
        <v>4.5357652774596904</v>
      </c>
      <c r="T224" s="36">
        <v>14.6229981189272</v>
      </c>
      <c r="U224" s="36">
        <v>10.226999713034401</v>
      </c>
      <c r="V224" s="36">
        <v>6.3243736971878404</v>
      </c>
      <c r="W224" s="36">
        <v>9.7318359798230603</v>
      </c>
      <c r="X224" s="37">
        <v>7.1528246392046197</v>
      </c>
      <c r="Y224" s="37">
        <v>14.5049418784306</v>
      </c>
      <c r="Z224" s="37">
        <v>20.0013587066836</v>
      </c>
      <c r="AA224" s="37">
        <v>14.391299792199</v>
      </c>
      <c r="AB224" s="37">
        <v>12.863095921411601</v>
      </c>
      <c r="AC224" s="37">
        <v>10.2594774150066</v>
      </c>
      <c r="AD224" s="37">
        <v>4.5256201435872701</v>
      </c>
      <c r="AE224" s="37">
        <v>3.0452736929492299</v>
      </c>
      <c r="AF224" s="45">
        <v>4.8199741663737597E-2</v>
      </c>
      <c r="AG224" s="45">
        <v>1.0281281616501701</v>
      </c>
      <c r="AH224" s="46">
        <v>0.96811514869755</v>
      </c>
      <c r="AI224" s="47">
        <v>0.98280581863226302</v>
      </c>
      <c r="AJ224" s="48">
        <v>10.5463374393722</v>
      </c>
      <c r="AK224" s="49">
        <v>10.8429865236841</v>
      </c>
      <c r="AL224" s="31" t="s">
        <v>5874</v>
      </c>
      <c r="AM224" s="31" t="s">
        <v>5832</v>
      </c>
      <c r="AN224" s="31" t="s">
        <v>24830</v>
      </c>
      <c r="AO224" s="31" t="s">
        <v>24831</v>
      </c>
      <c r="AP224" s="31" t="s">
        <v>24832</v>
      </c>
      <c r="AQ224" s="31" t="s">
        <v>24833</v>
      </c>
      <c r="AR224" s="31" t="s">
        <v>24834</v>
      </c>
      <c r="AS224" s="31" t="str">
        <f>"ATP5F1B"</f>
        <v>ATP5F1B</v>
      </c>
      <c r="AT224" s="31" t="s">
        <v>13772</v>
      </c>
      <c r="AU224" s="31" t="s">
        <v>13777</v>
      </c>
      <c r="AV224" s="31">
        <v>9606</v>
      </c>
      <c r="AW224" s="50" t="str">
        <f>HYPERLINK("http://www.uniprot.org/uniprot/P06576", "P06576")</f>
        <v>P06576</v>
      </c>
      <c r="AX224" s="31" t="s">
        <v>24835</v>
      </c>
      <c r="AY224" s="31" t="s">
        <v>17568</v>
      </c>
      <c r="AZ224" s="31" t="s">
        <v>21311</v>
      </c>
      <c r="BA224" s="31" t="s">
        <v>13793</v>
      </c>
      <c r="BB224" s="31" t="s">
        <v>13772</v>
      </c>
      <c r="BC224" s="31" t="s">
        <v>13772</v>
      </c>
      <c r="BD224" s="31" t="s">
        <v>14391</v>
      </c>
      <c r="BE224" s="31" t="s">
        <v>14005</v>
      </c>
      <c r="BF224" s="31" t="s">
        <v>16605</v>
      </c>
      <c r="BG224" s="31" t="s">
        <v>14182</v>
      </c>
      <c r="BH224" s="31" t="s">
        <v>13772</v>
      </c>
      <c r="BI224" s="31" t="s">
        <v>24836</v>
      </c>
      <c r="BJ224" s="31" t="s">
        <v>24837</v>
      </c>
      <c r="BK224" s="31" t="s">
        <v>24838</v>
      </c>
      <c r="BL224" s="31" t="s">
        <v>13772</v>
      </c>
      <c r="BM224" s="31" t="s">
        <v>24839</v>
      </c>
    </row>
    <row r="225" spans="1:65">
      <c r="A225">
        <v>1611</v>
      </c>
      <c r="B225">
        <v>1</v>
      </c>
      <c r="C225">
        <v>220</v>
      </c>
      <c r="D225" t="s">
        <v>3819</v>
      </c>
      <c r="E225" t="s">
        <v>73</v>
      </c>
      <c r="F225" t="s">
        <v>73</v>
      </c>
      <c r="G225">
        <v>58.4</v>
      </c>
      <c r="H225">
        <v>77</v>
      </c>
      <c r="I225">
        <v>8897</v>
      </c>
      <c r="J225" t="s">
        <v>3820</v>
      </c>
      <c r="K225" s="3" t="s">
        <v>73</v>
      </c>
      <c r="L225">
        <v>195</v>
      </c>
      <c r="M225">
        <v>195</v>
      </c>
      <c r="N225">
        <v>1</v>
      </c>
      <c r="O225" s="11">
        <f t="shared" si="3"/>
        <v>12.439175300494867</v>
      </c>
      <c r="P225" s="36">
        <v>10.9047905625126</v>
      </c>
      <c r="Q225" s="36">
        <v>11.556769448129399</v>
      </c>
      <c r="R225" s="36">
        <v>12.806381294498101</v>
      </c>
      <c r="S225" s="36">
        <v>30.238435183064599</v>
      </c>
      <c r="T225" s="36">
        <v>12.042469039116501</v>
      </c>
      <c r="U225" s="36">
        <v>7.43781797311593</v>
      </c>
      <c r="V225" s="36">
        <v>8.4324982629171306</v>
      </c>
      <c r="W225" s="36">
        <v>7.78546878385845</v>
      </c>
      <c r="X225" s="37">
        <v>11.126616105429401</v>
      </c>
      <c r="Y225" s="37">
        <v>5.0451971751062796</v>
      </c>
      <c r="Z225" s="37">
        <v>12.0008152240101</v>
      </c>
      <c r="AA225" s="37">
        <v>12.6982056989991</v>
      </c>
      <c r="AB225" s="37">
        <v>5.5127553948906796</v>
      </c>
      <c r="AC225" s="37">
        <v>16.5730019780876</v>
      </c>
      <c r="AD225" s="37">
        <v>16.593940526486598</v>
      </c>
      <c r="AE225" s="37">
        <v>18.2716421576954</v>
      </c>
      <c r="AF225" s="45">
        <v>-4.64192872807037E-2</v>
      </c>
      <c r="AG225" s="45">
        <v>-1.03457760279886</v>
      </c>
      <c r="AH225" s="46">
        <v>0.93754599971351804</v>
      </c>
      <c r="AI225" s="47">
        <v>0.96156153915847598</v>
      </c>
      <c r="AJ225" s="48">
        <v>12.6505788184016</v>
      </c>
      <c r="AK225" s="49">
        <v>12.227771782588199</v>
      </c>
      <c r="AL225" s="31" t="s">
        <v>5875</v>
      </c>
      <c r="AM225" s="31" t="s">
        <v>5832</v>
      </c>
      <c r="AN225" s="31" t="s">
        <v>29241</v>
      </c>
      <c r="AO225" s="31" t="s">
        <v>13772</v>
      </c>
      <c r="AP225" s="31" t="s">
        <v>29242</v>
      </c>
      <c r="AQ225" s="31" t="s">
        <v>29243</v>
      </c>
      <c r="AR225" s="31" t="s">
        <v>29244</v>
      </c>
      <c r="AS225" s="31" t="str">
        <f>"LEAP2"</f>
        <v>LEAP2</v>
      </c>
      <c r="AT225" s="31" t="s">
        <v>13772</v>
      </c>
      <c r="AU225" s="31" t="s">
        <v>13777</v>
      </c>
      <c r="AV225" s="31">
        <v>9606</v>
      </c>
      <c r="AW225" s="50" t="str">
        <f>HYPERLINK("http://www.uniprot.org/uniprot/Q969E1", "Q969E1")</f>
        <v>Q969E1</v>
      </c>
      <c r="AX225" s="31" t="s">
        <v>21729</v>
      </c>
      <c r="AY225" s="31" t="s">
        <v>13772</v>
      </c>
      <c r="AZ225" s="31" t="s">
        <v>14321</v>
      </c>
      <c r="BA225" s="31" t="s">
        <v>13772</v>
      </c>
      <c r="BB225" s="31" t="s">
        <v>13772</v>
      </c>
      <c r="BC225" s="31" t="s">
        <v>13772</v>
      </c>
      <c r="BD225" s="31" t="s">
        <v>13808</v>
      </c>
      <c r="BE225" s="31" t="s">
        <v>13772</v>
      </c>
      <c r="BF225" s="31" t="s">
        <v>21730</v>
      </c>
      <c r="BG225" s="31" t="s">
        <v>21731</v>
      </c>
      <c r="BH225" s="31" t="s">
        <v>13812</v>
      </c>
      <c r="BI225" s="31" t="s">
        <v>29245</v>
      </c>
      <c r="BJ225" s="31" t="s">
        <v>15346</v>
      </c>
      <c r="BK225" s="31" t="s">
        <v>13772</v>
      </c>
      <c r="BL225" s="31" t="s">
        <v>13772</v>
      </c>
      <c r="BM225" s="31" t="s">
        <v>14470</v>
      </c>
    </row>
    <row r="226" spans="1:65">
      <c r="A226">
        <v>2086</v>
      </c>
      <c r="B226">
        <v>1</v>
      </c>
      <c r="C226">
        <v>221</v>
      </c>
      <c r="D226" t="s">
        <v>4902</v>
      </c>
      <c r="E226" t="s">
        <v>73</v>
      </c>
      <c r="F226" t="s">
        <v>73</v>
      </c>
      <c r="G226">
        <v>40.200000000000003</v>
      </c>
      <c r="H226">
        <v>796</v>
      </c>
      <c r="I226">
        <v>88030</v>
      </c>
      <c r="J226" t="s">
        <v>4903</v>
      </c>
      <c r="K226" s="3" t="s">
        <v>73</v>
      </c>
      <c r="L226">
        <v>195</v>
      </c>
      <c r="M226">
        <v>190</v>
      </c>
      <c r="N226">
        <v>0.97399999999999998</v>
      </c>
      <c r="O226" s="11">
        <f t="shared" si="3"/>
        <v>12.062547235069054</v>
      </c>
      <c r="P226" s="36">
        <v>22.900060181276402</v>
      </c>
      <c r="Q226" s="36">
        <v>1.9261282413548899</v>
      </c>
      <c r="R226" s="36">
        <v>17.608774279934799</v>
      </c>
      <c r="S226" s="36">
        <v>0.37798043978830698</v>
      </c>
      <c r="T226" s="36">
        <v>0.86017635993689201</v>
      </c>
      <c r="U226" s="36">
        <v>26.962090152545201</v>
      </c>
      <c r="V226" s="36">
        <v>23.189370223022099</v>
      </c>
      <c r="W226" s="36">
        <v>33.088242331398398</v>
      </c>
      <c r="X226" s="37">
        <v>11.9213743986744</v>
      </c>
      <c r="Y226" s="37">
        <v>5.6758468219945701</v>
      </c>
      <c r="Z226" s="37">
        <v>10.400706527475499</v>
      </c>
      <c r="AA226" s="37">
        <v>8.4654704659994096</v>
      </c>
      <c r="AB226" s="37">
        <v>2.7563776974453398</v>
      </c>
      <c r="AC226" s="37">
        <v>8.6810962742363706</v>
      </c>
      <c r="AD226" s="37">
        <v>9.0512402871745401</v>
      </c>
      <c r="AE226" s="37">
        <v>9.1358210788476999</v>
      </c>
      <c r="AF226" s="45">
        <v>-0.93830418991336695</v>
      </c>
      <c r="AG226" s="45">
        <v>-1.92036299803035</v>
      </c>
      <c r="AH226" s="46">
        <v>0.121171868556862</v>
      </c>
      <c r="AI226" s="47">
        <v>0.16783432725577799</v>
      </c>
      <c r="AJ226" s="48">
        <v>15.8641027761571</v>
      </c>
      <c r="AK226" s="49">
        <v>8.2609916939809693</v>
      </c>
      <c r="AL226" s="31" t="s">
        <v>5875</v>
      </c>
      <c r="AM226" s="31" t="s">
        <v>5832</v>
      </c>
      <c r="AN226" s="31" t="s">
        <v>33755</v>
      </c>
      <c r="AO226" s="31" t="s">
        <v>33756</v>
      </c>
      <c r="AP226" s="31" t="s">
        <v>33757</v>
      </c>
      <c r="AQ226" s="31" t="s">
        <v>33758</v>
      </c>
      <c r="AR226" s="31" t="s">
        <v>33759</v>
      </c>
      <c r="AS226" s="31" t="str">
        <f>"CDH11"</f>
        <v>CDH11</v>
      </c>
      <c r="AT226" s="31" t="s">
        <v>13772</v>
      </c>
      <c r="AU226" s="31" t="s">
        <v>13777</v>
      </c>
      <c r="AV226" s="31">
        <v>9606</v>
      </c>
      <c r="AW226" s="50" t="str">
        <f>HYPERLINK("http://www.uniprot.org/uniprot/P55287", "P55287")</f>
        <v>P55287</v>
      </c>
      <c r="AX226" s="31" t="s">
        <v>33760</v>
      </c>
      <c r="AY226" s="31" t="s">
        <v>13949</v>
      </c>
      <c r="AZ226" s="31" t="s">
        <v>13792</v>
      </c>
      <c r="BA226" s="31" t="s">
        <v>20333</v>
      </c>
      <c r="BB226" s="31" t="s">
        <v>13772</v>
      </c>
      <c r="BC226" s="31" t="s">
        <v>18514</v>
      </c>
      <c r="BD226" s="31" t="s">
        <v>13826</v>
      </c>
      <c r="BE226" s="31" t="s">
        <v>13873</v>
      </c>
      <c r="BF226" s="31" t="s">
        <v>13772</v>
      </c>
      <c r="BG226" s="31" t="s">
        <v>17425</v>
      </c>
      <c r="BH226" s="31" t="s">
        <v>13772</v>
      </c>
      <c r="BI226" s="31" t="s">
        <v>33761</v>
      </c>
      <c r="BJ226" s="31" t="s">
        <v>33762</v>
      </c>
      <c r="BK226" s="31" t="s">
        <v>17716</v>
      </c>
      <c r="BL226" s="31" t="s">
        <v>13772</v>
      </c>
      <c r="BM226" s="31" t="s">
        <v>15361</v>
      </c>
    </row>
    <row r="227" spans="1:65">
      <c r="A227">
        <v>1163</v>
      </c>
      <c r="B227">
        <v>1</v>
      </c>
      <c r="C227">
        <v>222</v>
      </c>
      <c r="D227" t="s">
        <v>2793</v>
      </c>
      <c r="E227" t="s">
        <v>73</v>
      </c>
      <c r="F227" t="s">
        <v>73</v>
      </c>
      <c r="G227">
        <v>48.8</v>
      </c>
      <c r="H227">
        <v>334</v>
      </c>
      <c r="I227">
        <v>36652</v>
      </c>
      <c r="J227" t="s">
        <v>2795</v>
      </c>
      <c r="K227" s="3" t="s">
        <v>73</v>
      </c>
      <c r="L227">
        <v>200</v>
      </c>
      <c r="M227">
        <v>179</v>
      </c>
      <c r="N227">
        <v>0.89500000000000002</v>
      </c>
      <c r="O227" s="11">
        <f t="shared" si="3"/>
        <v>11.176369771986741</v>
      </c>
      <c r="P227" s="36">
        <v>14.1762277312663</v>
      </c>
      <c r="Q227" s="36">
        <v>20.898491418700601</v>
      </c>
      <c r="R227" s="36">
        <v>5.9229513487053502</v>
      </c>
      <c r="S227" s="36">
        <v>13.1537193046331</v>
      </c>
      <c r="T227" s="36">
        <v>14.106892302965001</v>
      </c>
      <c r="U227" s="36">
        <v>21.383726672708299</v>
      </c>
      <c r="V227" s="36">
        <v>10.224404143787</v>
      </c>
      <c r="W227" s="36">
        <v>14.305798890339901</v>
      </c>
      <c r="X227" s="37">
        <v>13.272463497190801</v>
      </c>
      <c r="Y227" s="37">
        <v>7.3786008685929403</v>
      </c>
      <c r="Z227" s="37">
        <v>4.3202934806436497</v>
      </c>
      <c r="AA227" s="37">
        <v>7.3649593054194797</v>
      </c>
      <c r="AB227" s="37">
        <v>9.8310804542217198</v>
      </c>
      <c r="AC227" s="37">
        <v>8.2075819320053007</v>
      </c>
      <c r="AD227" s="37">
        <v>4.0730581292285404</v>
      </c>
      <c r="AE227" s="37">
        <v>10.201666871379899</v>
      </c>
      <c r="AF227" s="45">
        <v>-0.82756506293282095</v>
      </c>
      <c r="AG227" s="45">
        <v>-1.76601289406964</v>
      </c>
      <c r="AH227" s="46">
        <v>1.6298386386346401E-2</v>
      </c>
      <c r="AI227" s="47">
        <v>2.84689830090489E-2</v>
      </c>
      <c r="AJ227" s="48">
        <v>14.271526476638201</v>
      </c>
      <c r="AK227" s="49">
        <v>8.0812130673352893</v>
      </c>
      <c r="AL227" s="31" t="s">
        <v>5875</v>
      </c>
      <c r="AM227" s="31" t="s">
        <v>5878</v>
      </c>
      <c r="AN227" s="31" t="s">
        <v>24995</v>
      </c>
      <c r="AO227" s="31" t="s">
        <v>24996</v>
      </c>
      <c r="AP227" s="31" t="s">
        <v>24997</v>
      </c>
      <c r="AQ227" s="31" t="s">
        <v>24998</v>
      </c>
      <c r="AR227" s="31" t="s">
        <v>13772</v>
      </c>
      <c r="AS227" s="31" t="str">
        <f>"LDHB"</f>
        <v>LDHB</v>
      </c>
      <c r="AT227" s="31" t="s">
        <v>13772</v>
      </c>
      <c r="AU227" s="31" t="s">
        <v>13777</v>
      </c>
      <c r="AV227" s="31">
        <v>9606</v>
      </c>
      <c r="AW227" s="50" t="str">
        <f>HYPERLINK("http://www.uniprot.org/uniprot/P07195", "P07195")</f>
        <v>P07195</v>
      </c>
      <c r="AX227" s="31" t="s">
        <v>24999</v>
      </c>
      <c r="AY227" s="31" t="s">
        <v>13772</v>
      </c>
      <c r="AZ227" s="31" t="s">
        <v>13899</v>
      </c>
      <c r="BA227" s="31" t="s">
        <v>13793</v>
      </c>
      <c r="BB227" s="31" t="s">
        <v>13772</v>
      </c>
      <c r="BC227" s="31" t="s">
        <v>13807</v>
      </c>
      <c r="BD227" s="31" t="s">
        <v>13772</v>
      </c>
      <c r="BE227" s="31" t="s">
        <v>14492</v>
      </c>
      <c r="BF227" s="31" t="s">
        <v>13885</v>
      </c>
      <c r="BG227" s="31" t="s">
        <v>13886</v>
      </c>
      <c r="BH227" s="31" t="s">
        <v>13812</v>
      </c>
      <c r="BI227" s="31" t="s">
        <v>25000</v>
      </c>
      <c r="BJ227" s="31" t="s">
        <v>25001</v>
      </c>
      <c r="BK227" s="31" t="s">
        <v>25002</v>
      </c>
      <c r="BL227" s="31" t="s">
        <v>19372</v>
      </c>
      <c r="BM227" s="31" t="s">
        <v>19373</v>
      </c>
    </row>
    <row r="228" spans="1:65">
      <c r="A228">
        <v>1645</v>
      </c>
      <c r="B228">
        <v>1</v>
      </c>
      <c r="C228">
        <v>223</v>
      </c>
      <c r="D228" t="s">
        <v>3901</v>
      </c>
      <c r="E228" t="s">
        <v>73</v>
      </c>
      <c r="F228" t="s">
        <v>73</v>
      </c>
      <c r="G228">
        <v>54.8</v>
      </c>
      <c r="H228">
        <v>577</v>
      </c>
      <c r="I228">
        <v>67885</v>
      </c>
      <c r="J228" t="s">
        <v>3902</v>
      </c>
      <c r="K228" s="3" t="s">
        <v>73</v>
      </c>
      <c r="L228">
        <v>327</v>
      </c>
      <c r="M228">
        <v>139</v>
      </c>
      <c r="N228">
        <v>0.42499999999999999</v>
      </c>
      <c r="O228" s="11">
        <f t="shared" si="3"/>
        <v>10.236644201083504</v>
      </c>
      <c r="P228" s="36">
        <v>5.8158883000066997</v>
      </c>
      <c r="Q228" s="36">
        <v>19.839120885955399</v>
      </c>
      <c r="R228" s="36">
        <v>0.40019941545306398</v>
      </c>
      <c r="S228" s="36">
        <v>6.0476870366129196</v>
      </c>
      <c r="T228" s="36">
        <v>16.8594566547631</v>
      </c>
      <c r="U228" s="36">
        <v>17.292926787494501</v>
      </c>
      <c r="V228" s="36">
        <v>5.9027487840419903</v>
      </c>
      <c r="W228" s="36">
        <v>2.6275957145522302</v>
      </c>
      <c r="X228" s="37">
        <v>16.054117523548101</v>
      </c>
      <c r="Y228" s="37">
        <v>8.3876403036141998</v>
      </c>
      <c r="Z228" s="37">
        <v>10.4807119623022</v>
      </c>
      <c r="AA228" s="37">
        <v>23.110734372178399</v>
      </c>
      <c r="AB228" s="37">
        <v>11.3930278161074</v>
      </c>
      <c r="AC228" s="37">
        <v>10.022720243891101</v>
      </c>
      <c r="AD228" s="37">
        <v>4.3747661388010304</v>
      </c>
      <c r="AE228" s="37">
        <v>5.1769652780137001</v>
      </c>
      <c r="AF228" s="45">
        <v>0.23271793005649299</v>
      </c>
      <c r="AG228" s="45">
        <v>1.1900774424189</v>
      </c>
      <c r="AH228" s="46">
        <v>0.64131693425170599</v>
      </c>
      <c r="AI228" s="47">
        <v>0.71323082974702801</v>
      </c>
      <c r="AJ228" s="48">
        <v>9.3482029473599901</v>
      </c>
      <c r="AK228" s="49">
        <v>11.125085454807</v>
      </c>
      <c r="AL228" s="31" t="s">
        <v>5874</v>
      </c>
      <c r="AM228" s="31" t="s">
        <v>5832</v>
      </c>
      <c r="AN228" s="31" t="s">
        <v>29563</v>
      </c>
      <c r="AO228" s="31" t="s">
        <v>29564</v>
      </c>
      <c r="AP228" s="31" t="s">
        <v>29565</v>
      </c>
      <c r="AQ228" s="31" t="s">
        <v>29566</v>
      </c>
      <c r="AR228" s="31" t="s">
        <v>13772</v>
      </c>
      <c r="AS228" s="31" t="str">
        <f>"MSN"</f>
        <v>MSN</v>
      </c>
      <c r="AT228" s="31" t="s">
        <v>13772</v>
      </c>
      <c r="AU228" s="31" t="s">
        <v>13777</v>
      </c>
      <c r="AV228" s="31">
        <v>9606</v>
      </c>
      <c r="AW228" s="50" t="str">
        <f>HYPERLINK("http://www.uniprot.org/uniprot/P26038", "P26038")</f>
        <v>P26038</v>
      </c>
      <c r="AX228" s="31" t="s">
        <v>29567</v>
      </c>
      <c r="AY228" s="31" t="s">
        <v>14563</v>
      </c>
      <c r="AZ228" s="31" t="s">
        <v>14215</v>
      </c>
      <c r="BA228" s="31" t="s">
        <v>13772</v>
      </c>
      <c r="BB228" s="31" t="s">
        <v>13772</v>
      </c>
      <c r="BC228" s="31" t="s">
        <v>13807</v>
      </c>
      <c r="BD228" s="31" t="s">
        <v>13772</v>
      </c>
      <c r="BE228" s="31" t="s">
        <v>13772</v>
      </c>
      <c r="BF228" s="31" t="s">
        <v>13772</v>
      </c>
      <c r="BG228" s="31" t="s">
        <v>26450</v>
      </c>
      <c r="BH228" s="31" t="s">
        <v>13812</v>
      </c>
      <c r="BI228" s="31" t="s">
        <v>29568</v>
      </c>
      <c r="BJ228" s="31" t="s">
        <v>29569</v>
      </c>
      <c r="BK228" s="31" t="s">
        <v>29570</v>
      </c>
      <c r="BL228" s="31" t="s">
        <v>13772</v>
      </c>
      <c r="BM228" s="31" t="s">
        <v>29571</v>
      </c>
    </row>
    <row r="229" spans="1:65">
      <c r="A229">
        <v>2010</v>
      </c>
      <c r="B229">
        <v>1</v>
      </c>
      <c r="C229">
        <v>224</v>
      </c>
      <c r="D229" t="s">
        <v>4728</v>
      </c>
      <c r="E229" t="s">
        <v>73</v>
      </c>
      <c r="F229" t="s">
        <v>73</v>
      </c>
      <c r="G229">
        <v>56</v>
      </c>
      <c r="H229">
        <v>911</v>
      </c>
      <c r="I229">
        <v>104920</v>
      </c>
      <c r="J229" t="s">
        <v>4730</v>
      </c>
      <c r="K229" s="3" t="s">
        <v>73</v>
      </c>
      <c r="L229">
        <v>202</v>
      </c>
      <c r="M229">
        <v>131</v>
      </c>
      <c r="N229">
        <v>0.64900000000000002</v>
      </c>
      <c r="O229" s="11">
        <f t="shared" si="3"/>
        <v>10.347972500725065</v>
      </c>
      <c r="P229" s="36">
        <v>6.0582169791736504</v>
      </c>
      <c r="Q229" s="36">
        <v>7.6082065533518302</v>
      </c>
      <c r="R229" s="36">
        <v>0.40019941545306398</v>
      </c>
      <c r="S229" s="36">
        <v>0.37798043978830698</v>
      </c>
      <c r="T229" s="36">
        <v>18.0637035586747</v>
      </c>
      <c r="U229" s="36">
        <v>18.594544932789798</v>
      </c>
      <c r="V229" s="36">
        <v>10.013591687214101</v>
      </c>
      <c r="W229" s="36">
        <v>9.7318359798230603</v>
      </c>
      <c r="X229" s="37">
        <v>16.372020840846101</v>
      </c>
      <c r="Y229" s="37">
        <v>22.324997499845299</v>
      </c>
      <c r="Z229" s="37">
        <v>16.561125009133999</v>
      </c>
      <c r="AA229" s="37">
        <v>12.6135509943391</v>
      </c>
      <c r="AB229" s="37">
        <v>3.6751702632604601</v>
      </c>
      <c r="AC229" s="37">
        <v>6.55028173419654</v>
      </c>
      <c r="AD229" s="37">
        <v>13.576860430761799</v>
      </c>
      <c r="AE229" s="37">
        <v>3.0452736929492299</v>
      </c>
      <c r="AF229" s="45">
        <v>0.388518432694473</v>
      </c>
      <c r="AG229" s="45">
        <v>1.3369312716122399</v>
      </c>
      <c r="AH229" s="46">
        <v>0.44756091505822898</v>
      </c>
      <c r="AI229" s="47">
        <v>0.53182638041555097</v>
      </c>
      <c r="AJ229" s="48">
        <v>8.8560349432835697</v>
      </c>
      <c r="AK229" s="49">
        <v>11.8399100581666</v>
      </c>
      <c r="AL229" s="31" t="s">
        <v>5874</v>
      </c>
      <c r="AM229" s="31" t="s">
        <v>5832</v>
      </c>
      <c r="AN229" s="31" t="s">
        <v>33039</v>
      </c>
      <c r="AO229" s="31" t="s">
        <v>33040</v>
      </c>
      <c r="AP229" s="31" t="s">
        <v>33041</v>
      </c>
      <c r="AQ229" s="31" t="s">
        <v>33042</v>
      </c>
      <c r="AR229" s="31" t="s">
        <v>33043</v>
      </c>
      <c r="AS229" s="31" t="str">
        <f>"ACTN4"</f>
        <v>ACTN4</v>
      </c>
      <c r="AT229" s="31" t="s">
        <v>13772</v>
      </c>
      <c r="AU229" s="31" t="s">
        <v>13777</v>
      </c>
      <c r="AV229" s="31">
        <v>9606</v>
      </c>
      <c r="AW229" s="50" t="str">
        <f>HYPERLINK("http://www.uniprot.org/uniprot/O43707", "O43707")</f>
        <v>O43707</v>
      </c>
      <c r="AX229" s="31" t="s">
        <v>33044</v>
      </c>
      <c r="AY229" s="31" t="s">
        <v>14347</v>
      </c>
      <c r="AZ229" s="31" t="s">
        <v>16593</v>
      </c>
      <c r="BA229" s="31" t="s">
        <v>13841</v>
      </c>
      <c r="BB229" s="31" t="s">
        <v>13772</v>
      </c>
      <c r="BC229" s="31" t="s">
        <v>13807</v>
      </c>
      <c r="BD229" s="31" t="s">
        <v>14096</v>
      </c>
      <c r="BE229" s="31" t="s">
        <v>13873</v>
      </c>
      <c r="BF229" s="31" t="s">
        <v>13990</v>
      </c>
      <c r="BG229" s="31" t="s">
        <v>13886</v>
      </c>
      <c r="BH229" s="31" t="s">
        <v>13812</v>
      </c>
      <c r="BI229" s="31" t="s">
        <v>33045</v>
      </c>
      <c r="BJ229" s="31" t="s">
        <v>33046</v>
      </c>
      <c r="BK229" s="31" t="s">
        <v>33047</v>
      </c>
      <c r="BL229" s="31" t="s">
        <v>13772</v>
      </c>
      <c r="BM229" s="31" t="s">
        <v>33048</v>
      </c>
    </row>
    <row r="230" spans="1:65">
      <c r="A230">
        <v>912</v>
      </c>
      <c r="B230">
        <v>1</v>
      </c>
      <c r="C230">
        <v>225</v>
      </c>
      <c r="D230" t="s">
        <v>2221</v>
      </c>
      <c r="E230" t="s">
        <v>2222</v>
      </c>
      <c r="F230" t="s">
        <v>73</v>
      </c>
      <c r="G230">
        <v>39.299999999999997</v>
      </c>
      <c r="H230">
        <v>486</v>
      </c>
      <c r="I230">
        <v>53347</v>
      </c>
      <c r="J230" t="s">
        <v>2223</v>
      </c>
      <c r="K230" s="3" t="s">
        <v>73</v>
      </c>
      <c r="L230">
        <v>190</v>
      </c>
      <c r="M230">
        <v>190</v>
      </c>
      <c r="N230">
        <v>1</v>
      </c>
      <c r="O230" s="11">
        <f t="shared" si="3"/>
        <v>10.630736812228044</v>
      </c>
      <c r="P230" s="36">
        <v>14.5397207500168</v>
      </c>
      <c r="Q230" s="36">
        <v>9.6306412067744702</v>
      </c>
      <c r="R230" s="36">
        <v>17.608774279934799</v>
      </c>
      <c r="S230" s="36">
        <v>16.631139350685501</v>
      </c>
      <c r="T230" s="36">
        <v>7.7415872394320298</v>
      </c>
      <c r="U230" s="36">
        <v>5.5783634798369501</v>
      </c>
      <c r="V230" s="36">
        <v>7.3784359800524904</v>
      </c>
      <c r="W230" s="36">
        <v>10.7050195778054</v>
      </c>
      <c r="X230" s="37">
        <v>9.53709951893949</v>
      </c>
      <c r="Y230" s="37">
        <v>7.5677957626594301</v>
      </c>
      <c r="Z230" s="37">
        <v>6.4004347861387396</v>
      </c>
      <c r="AA230" s="37">
        <v>17.777487978598799</v>
      </c>
      <c r="AB230" s="37">
        <v>7.3503405265209096</v>
      </c>
      <c r="AC230" s="37">
        <v>14.994620837317401</v>
      </c>
      <c r="AD230" s="37">
        <v>10.559780335037001</v>
      </c>
      <c r="AE230" s="37">
        <v>6.0905473858984696</v>
      </c>
      <c r="AF230" s="45">
        <v>-0.103526560488332</v>
      </c>
      <c r="AG230" s="45">
        <v>-1.11878175849182</v>
      </c>
      <c r="AH230" s="46">
        <v>0.73134877863561298</v>
      </c>
      <c r="AI230" s="47">
        <v>0.795579319241842</v>
      </c>
      <c r="AJ230" s="48">
        <v>11.226710233067299</v>
      </c>
      <c r="AK230" s="49">
        <v>10.0347633913888</v>
      </c>
      <c r="AL230" s="31" t="s">
        <v>5875</v>
      </c>
      <c r="AM230" s="31" t="s">
        <v>5832</v>
      </c>
      <c r="AN230" s="31" t="s">
        <v>22776</v>
      </c>
      <c r="AO230" s="31" t="s">
        <v>22777</v>
      </c>
      <c r="AP230" s="31" t="s">
        <v>22778</v>
      </c>
      <c r="AQ230" s="31" t="s">
        <v>22779</v>
      </c>
      <c r="AR230" s="31" t="s">
        <v>22780</v>
      </c>
      <c r="AS230" s="31" t="str">
        <f>"F10"</f>
        <v>F10</v>
      </c>
      <c r="AT230" s="31" t="s">
        <v>13772</v>
      </c>
      <c r="AU230" s="31" t="s">
        <v>13777</v>
      </c>
      <c r="AV230" s="31">
        <v>9606</v>
      </c>
      <c r="AW230" s="50" t="str">
        <f>HYPERLINK("http://www.uniprot.org/uniprot/P00742", "P00742")</f>
        <v>P00742</v>
      </c>
      <c r="AX230" s="31" t="s">
        <v>22781</v>
      </c>
      <c r="AY230" s="31" t="s">
        <v>16755</v>
      </c>
      <c r="AZ230" s="31" t="s">
        <v>14321</v>
      </c>
      <c r="BA230" s="31" t="s">
        <v>13793</v>
      </c>
      <c r="BB230" s="31" t="s">
        <v>13772</v>
      </c>
      <c r="BC230" s="31" t="s">
        <v>13807</v>
      </c>
      <c r="BD230" s="31" t="s">
        <v>14768</v>
      </c>
      <c r="BE230" s="31" t="s">
        <v>14465</v>
      </c>
      <c r="BF230" s="31" t="s">
        <v>15176</v>
      </c>
      <c r="BG230" s="31" t="s">
        <v>21176</v>
      </c>
      <c r="BH230" s="31" t="s">
        <v>13812</v>
      </c>
      <c r="BI230" s="31" t="s">
        <v>22782</v>
      </c>
      <c r="BJ230" s="31" t="s">
        <v>22783</v>
      </c>
      <c r="BK230" s="31" t="s">
        <v>22784</v>
      </c>
      <c r="BL230" s="31" t="s">
        <v>13772</v>
      </c>
      <c r="BM230" s="31" t="s">
        <v>22785</v>
      </c>
    </row>
    <row r="231" spans="1:65">
      <c r="A231">
        <v>1127</v>
      </c>
      <c r="B231">
        <v>1</v>
      </c>
      <c r="C231">
        <v>226</v>
      </c>
      <c r="D231" t="s">
        <v>2709</v>
      </c>
      <c r="E231" t="s">
        <v>73</v>
      </c>
      <c r="F231" t="s">
        <v>73</v>
      </c>
      <c r="G231">
        <v>39.1</v>
      </c>
      <c r="H231">
        <v>705</v>
      </c>
      <c r="I231">
        <v>77602</v>
      </c>
      <c r="J231" t="s">
        <v>2711</v>
      </c>
      <c r="K231" s="3" t="s">
        <v>73</v>
      </c>
      <c r="L231">
        <v>288</v>
      </c>
      <c r="M231">
        <v>25</v>
      </c>
      <c r="N231">
        <v>8.6999999999999994E-2</v>
      </c>
      <c r="O231" s="11">
        <f t="shared" si="3"/>
        <v>11.152669118111648</v>
      </c>
      <c r="P231" s="36">
        <v>19.3862943333557</v>
      </c>
      <c r="Q231" s="36">
        <v>12.519833568806799</v>
      </c>
      <c r="R231" s="36">
        <v>16.007976618122601</v>
      </c>
      <c r="S231" s="36">
        <v>12.8513349528025</v>
      </c>
      <c r="T231" s="36">
        <v>0.215044089984223</v>
      </c>
      <c r="U231" s="36">
        <v>26.962090152545201</v>
      </c>
      <c r="V231" s="36">
        <v>16.8649965258343</v>
      </c>
      <c r="W231" s="36">
        <v>8.7586523818407507</v>
      </c>
      <c r="X231" s="37">
        <v>2.7816540263573502</v>
      </c>
      <c r="Y231" s="37">
        <v>3.7838978813297102</v>
      </c>
      <c r="Z231" s="37">
        <v>7.2004891344060802</v>
      </c>
      <c r="AA231" s="37">
        <v>8.1268516473594303</v>
      </c>
      <c r="AB231" s="37">
        <v>6.7071857304503304</v>
      </c>
      <c r="AC231" s="37">
        <v>4.4983862511952104</v>
      </c>
      <c r="AD231" s="37">
        <v>21.119560670073898</v>
      </c>
      <c r="AE231" s="37">
        <v>10.658457925322301</v>
      </c>
      <c r="AF231" s="45">
        <v>-0.85441036794231795</v>
      </c>
      <c r="AG231" s="45">
        <v>-1.75049905459261</v>
      </c>
      <c r="AH231" s="46">
        <v>0.110896049130319</v>
      </c>
      <c r="AI231" s="47">
        <v>0.15553345255384399</v>
      </c>
      <c r="AJ231" s="48">
        <v>14.195777827911501</v>
      </c>
      <c r="AK231" s="49">
        <v>8.1095604083118005</v>
      </c>
      <c r="AL231" s="31" t="s">
        <v>5875</v>
      </c>
      <c r="AM231" s="31" t="s">
        <v>5832</v>
      </c>
      <c r="AN231" s="31" t="s">
        <v>24679</v>
      </c>
      <c r="AO231" s="31" t="s">
        <v>13772</v>
      </c>
      <c r="AP231" s="31" t="s">
        <v>24680</v>
      </c>
      <c r="AQ231" s="31" t="s">
        <v>24681</v>
      </c>
      <c r="AR231" s="31" t="s">
        <v>24682</v>
      </c>
      <c r="AS231" s="31" t="str">
        <f>"FBLN1"</f>
        <v>FBLN1</v>
      </c>
      <c r="AT231" s="31" t="s">
        <v>13772</v>
      </c>
      <c r="AU231" s="31" t="s">
        <v>13777</v>
      </c>
      <c r="AV231" s="31">
        <v>9606</v>
      </c>
      <c r="AW231" s="50" t="str">
        <f>HYPERLINK("http://www.uniprot.org/uniprot/P23142", "P23142")</f>
        <v>P23142</v>
      </c>
      <c r="AX231" s="31" t="s">
        <v>24683</v>
      </c>
      <c r="AY231" s="31" t="s">
        <v>14563</v>
      </c>
      <c r="AZ231" s="31" t="s">
        <v>13869</v>
      </c>
      <c r="BA231" s="31" t="s">
        <v>20333</v>
      </c>
      <c r="BB231" s="31" t="s">
        <v>13772</v>
      </c>
      <c r="BC231" s="31" t="s">
        <v>13772</v>
      </c>
      <c r="BD231" s="31" t="s">
        <v>14768</v>
      </c>
      <c r="BE231" s="31" t="s">
        <v>14465</v>
      </c>
      <c r="BF231" s="31" t="s">
        <v>13772</v>
      </c>
      <c r="BG231" s="31" t="s">
        <v>13796</v>
      </c>
      <c r="BH231" s="31" t="s">
        <v>13772</v>
      </c>
      <c r="BI231" s="31" t="s">
        <v>24684</v>
      </c>
      <c r="BJ231" s="31" t="s">
        <v>24685</v>
      </c>
      <c r="BK231" s="31" t="s">
        <v>24686</v>
      </c>
      <c r="BL231" s="31" t="s">
        <v>13772</v>
      </c>
      <c r="BM231" s="31" t="s">
        <v>14774</v>
      </c>
    </row>
    <row r="232" spans="1:65">
      <c r="A232">
        <v>2177</v>
      </c>
      <c r="B232">
        <v>1</v>
      </c>
      <c r="C232">
        <v>227</v>
      </c>
      <c r="D232" t="s">
        <v>5093</v>
      </c>
      <c r="E232" t="s">
        <v>5094</v>
      </c>
      <c r="F232" t="s">
        <v>73</v>
      </c>
      <c r="G232">
        <v>61.5</v>
      </c>
      <c r="H232">
        <v>317</v>
      </c>
      <c r="I232">
        <v>35411</v>
      </c>
      <c r="J232" t="s">
        <v>5095</v>
      </c>
      <c r="K232" s="3" t="s">
        <v>73</v>
      </c>
      <c r="L232">
        <v>188</v>
      </c>
      <c r="M232">
        <v>188</v>
      </c>
      <c r="N232">
        <v>1</v>
      </c>
      <c r="O232" s="11">
        <f t="shared" si="3"/>
        <v>10.322401121547546</v>
      </c>
      <c r="P232" s="36">
        <v>6.0582169791736504</v>
      </c>
      <c r="Q232" s="36">
        <v>0.24076603016936199</v>
      </c>
      <c r="R232" s="36">
        <v>0.40019941545306398</v>
      </c>
      <c r="S232" s="36">
        <v>0.37798043978830698</v>
      </c>
      <c r="T232" s="36">
        <v>0.215044089984223</v>
      </c>
      <c r="U232" s="36">
        <v>0.23243181165987301</v>
      </c>
      <c r="V232" s="36">
        <v>0.26351557071616</v>
      </c>
      <c r="W232" s="36">
        <v>0.24329589949557701</v>
      </c>
      <c r="X232" s="37">
        <v>39.737914662247903</v>
      </c>
      <c r="Y232" s="37">
        <v>20.811438347313398</v>
      </c>
      <c r="Z232" s="37">
        <v>12.800869572277501</v>
      </c>
      <c r="AA232" s="37">
        <v>16.930940931998801</v>
      </c>
      <c r="AB232" s="37">
        <v>14.7006810530418</v>
      </c>
      <c r="AC232" s="37">
        <v>12.627049126161999</v>
      </c>
      <c r="AD232" s="37">
        <v>7.5427002393121096</v>
      </c>
      <c r="AE232" s="37">
        <v>31.975373775967</v>
      </c>
      <c r="AF232" s="45">
        <v>4.2159620166483602</v>
      </c>
      <c r="AG232" s="45">
        <v>19.563959569270001</v>
      </c>
      <c r="AH232" s="46">
        <v>6.1893030847225E-12</v>
      </c>
      <c r="AI232" s="47">
        <v>1.3366689038791699E-10</v>
      </c>
      <c r="AJ232" s="48">
        <v>1.0039312795550299</v>
      </c>
      <c r="AK232" s="49">
        <v>19.640870963540099</v>
      </c>
      <c r="AL232" s="31" t="s">
        <v>5874</v>
      </c>
      <c r="AM232" s="31" t="s">
        <v>5876</v>
      </c>
      <c r="AN232" s="31" t="s">
        <v>34566</v>
      </c>
      <c r="AO232" s="31" t="s">
        <v>34567</v>
      </c>
      <c r="AP232" s="31" t="s">
        <v>34568</v>
      </c>
      <c r="AQ232" s="31" t="s">
        <v>34569</v>
      </c>
      <c r="AR232" s="31" t="s">
        <v>34570</v>
      </c>
      <c r="AS232" s="31" t="str">
        <f>"CGREF1"</f>
        <v>CGREF1</v>
      </c>
      <c r="AT232" s="31" t="s">
        <v>34571</v>
      </c>
      <c r="AU232" s="31" t="s">
        <v>13777</v>
      </c>
      <c r="AV232" s="31">
        <v>9606</v>
      </c>
      <c r="AW232" s="50" t="str">
        <f>HYPERLINK("http://www.uniprot.org/uniprot/Q99674", "Q99674")</f>
        <v>Q99674</v>
      </c>
      <c r="AX232" s="31" t="s">
        <v>34572</v>
      </c>
      <c r="AY232" s="31" t="s">
        <v>34573</v>
      </c>
      <c r="AZ232" s="31" t="s">
        <v>14321</v>
      </c>
      <c r="BA232" s="31" t="s">
        <v>13780</v>
      </c>
      <c r="BB232" s="31" t="s">
        <v>13772</v>
      </c>
      <c r="BC232" s="31" t="s">
        <v>13772</v>
      </c>
      <c r="BD232" s="31" t="s">
        <v>14404</v>
      </c>
      <c r="BE232" s="31" t="s">
        <v>13873</v>
      </c>
      <c r="BF232" s="31" t="s">
        <v>13772</v>
      </c>
      <c r="BG232" s="31" t="s">
        <v>13772</v>
      </c>
      <c r="BH232" s="31" t="s">
        <v>13772</v>
      </c>
      <c r="BI232" s="31" t="s">
        <v>34574</v>
      </c>
      <c r="BJ232" s="31" t="s">
        <v>15346</v>
      </c>
      <c r="BK232" s="31" t="s">
        <v>15899</v>
      </c>
      <c r="BL232" s="31" t="s">
        <v>13772</v>
      </c>
      <c r="BM232" s="31" t="s">
        <v>13772</v>
      </c>
    </row>
    <row r="233" spans="1:65">
      <c r="A233">
        <v>134</v>
      </c>
      <c r="B233">
        <v>1</v>
      </c>
      <c r="C233">
        <v>228</v>
      </c>
      <c r="D233" t="s">
        <v>351</v>
      </c>
      <c r="E233" t="s">
        <v>73</v>
      </c>
      <c r="F233" t="s">
        <v>73</v>
      </c>
      <c r="G233">
        <v>58</v>
      </c>
      <c r="H233">
        <v>421</v>
      </c>
      <c r="I233">
        <v>46494</v>
      </c>
      <c r="J233" t="s">
        <v>352</v>
      </c>
      <c r="K233" s="3" t="s">
        <v>73</v>
      </c>
      <c r="L233">
        <v>186</v>
      </c>
      <c r="M233">
        <v>186</v>
      </c>
      <c r="N233">
        <v>1</v>
      </c>
      <c r="O233" s="11">
        <f t="shared" si="3"/>
        <v>8.1778206298219054</v>
      </c>
      <c r="P233" s="36">
        <v>9.6931471666778304</v>
      </c>
      <c r="Q233" s="36">
        <v>0.96306412067744696</v>
      </c>
      <c r="R233" s="36">
        <v>0.40019941545306398</v>
      </c>
      <c r="S233" s="36">
        <v>1.5119217591532299</v>
      </c>
      <c r="T233" s="36">
        <v>0.86017635993689201</v>
      </c>
      <c r="U233" s="36">
        <v>0.92972724663949102</v>
      </c>
      <c r="V233" s="36">
        <v>1.05406228286464</v>
      </c>
      <c r="W233" s="36">
        <v>3.8927343919292201</v>
      </c>
      <c r="X233" s="37">
        <v>15.1004075716542</v>
      </c>
      <c r="Y233" s="37">
        <v>8.1984454095477108</v>
      </c>
      <c r="Z233" s="37">
        <v>5.6003804378713999</v>
      </c>
      <c r="AA233" s="37">
        <v>22.856770258198399</v>
      </c>
      <c r="AB233" s="37">
        <v>14.7006810530418</v>
      </c>
      <c r="AC233" s="37">
        <v>8.6810962742363706</v>
      </c>
      <c r="AD233" s="37">
        <v>15.0854004786242</v>
      </c>
      <c r="AE233" s="37">
        <v>21.316915850644602</v>
      </c>
      <c r="AF233" s="45">
        <v>2.4704944008190601</v>
      </c>
      <c r="AG233" s="45">
        <v>5.7777730199575004</v>
      </c>
      <c r="AH233" s="46">
        <v>1.6271838664547099E-6</v>
      </c>
      <c r="AI233" s="47">
        <v>7.4560685387548204E-6</v>
      </c>
      <c r="AJ233" s="48">
        <v>2.4131290929164799</v>
      </c>
      <c r="AK233" s="49">
        <v>13.942512166727299</v>
      </c>
      <c r="AL233" s="31" t="s">
        <v>5874</v>
      </c>
      <c r="AM233" s="31" t="s">
        <v>5876</v>
      </c>
      <c r="AN233" s="31" t="s">
        <v>14696</v>
      </c>
      <c r="AO233" s="31" t="s">
        <v>14697</v>
      </c>
      <c r="AP233" s="31" t="s">
        <v>14698</v>
      </c>
      <c r="AQ233" s="31" t="s">
        <v>14699</v>
      </c>
      <c r="AR233" s="31" t="s">
        <v>14700</v>
      </c>
      <c r="AS233" s="31" t="str">
        <f>"SERPINA3"</f>
        <v>SERPINA3</v>
      </c>
      <c r="AT233" s="31" t="s">
        <v>14701</v>
      </c>
      <c r="AU233" s="31" t="s">
        <v>13777</v>
      </c>
      <c r="AV233" s="31">
        <v>9606</v>
      </c>
      <c r="AW233" s="50" t="str">
        <f>HYPERLINK("http://www.uniprot.org/uniprot/P01011", "P01011")</f>
        <v>P01011</v>
      </c>
      <c r="AX233" s="31" t="s">
        <v>14702</v>
      </c>
      <c r="AY233" s="31" t="s">
        <v>14374</v>
      </c>
      <c r="AZ233" s="31" t="s">
        <v>14321</v>
      </c>
      <c r="BA233" s="31" t="s">
        <v>13780</v>
      </c>
      <c r="BB233" s="31" t="s">
        <v>13772</v>
      </c>
      <c r="BC233" s="31" t="s">
        <v>13807</v>
      </c>
      <c r="BD233" s="31" t="s">
        <v>13808</v>
      </c>
      <c r="BE233" s="31" t="s">
        <v>13772</v>
      </c>
      <c r="BF233" s="31" t="s">
        <v>14375</v>
      </c>
      <c r="BG233" s="31" t="s">
        <v>13858</v>
      </c>
      <c r="BH233" s="31" t="s">
        <v>13812</v>
      </c>
      <c r="BI233" s="31" t="s">
        <v>14703</v>
      </c>
      <c r="BJ233" s="31" t="s">
        <v>14704</v>
      </c>
      <c r="BK233" s="31" t="s">
        <v>14705</v>
      </c>
      <c r="BL233" s="31" t="s">
        <v>13772</v>
      </c>
      <c r="BM233" s="31" t="s">
        <v>14706</v>
      </c>
    </row>
    <row r="234" spans="1:65">
      <c r="A234">
        <v>341</v>
      </c>
      <c r="B234">
        <v>1</v>
      </c>
      <c r="C234">
        <v>229</v>
      </c>
      <c r="D234" t="s">
        <v>857</v>
      </c>
      <c r="E234" t="s">
        <v>73</v>
      </c>
      <c r="F234" t="s">
        <v>73</v>
      </c>
      <c r="G234">
        <v>66.099999999999994</v>
      </c>
      <c r="H234">
        <v>227</v>
      </c>
      <c r="I234">
        <v>24738</v>
      </c>
      <c r="J234" t="s">
        <v>858</v>
      </c>
      <c r="K234" s="3" t="s">
        <v>73</v>
      </c>
      <c r="L234">
        <v>186</v>
      </c>
      <c r="M234">
        <v>186</v>
      </c>
      <c r="N234">
        <v>1</v>
      </c>
      <c r="O234" s="11">
        <f t="shared" si="3"/>
        <v>10.642730606270446</v>
      </c>
      <c r="P234" s="36">
        <v>13.328077354182</v>
      </c>
      <c r="Q234" s="36">
        <v>2.8891923620323401</v>
      </c>
      <c r="R234" s="36">
        <v>8.00398830906129</v>
      </c>
      <c r="S234" s="36">
        <v>0.37798043978830698</v>
      </c>
      <c r="T234" s="36">
        <v>2.5805290798106801</v>
      </c>
      <c r="U234" s="36">
        <v>5.5783634798369501</v>
      </c>
      <c r="V234" s="36">
        <v>10.5406228286464</v>
      </c>
      <c r="W234" s="36">
        <v>14.597753969734599</v>
      </c>
      <c r="X234" s="37">
        <v>9.53709951893949</v>
      </c>
      <c r="Y234" s="37">
        <v>7.5677957626594301</v>
      </c>
      <c r="Z234" s="37">
        <v>14.400978268812199</v>
      </c>
      <c r="AA234" s="37">
        <v>5.9258293261995796</v>
      </c>
      <c r="AB234" s="37">
        <v>11.944303355596499</v>
      </c>
      <c r="AC234" s="37">
        <v>22.097335970783501</v>
      </c>
      <c r="AD234" s="37">
        <v>21.119560670073898</v>
      </c>
      <c r="AE234" s="37">
        <v>19.794279004170001</v>
      </c>
      <c r="AF234" s="45">
        <v>0.91882823773608302</v>
      </c>
      <c r="AG234" s="45">
        <v>1.9411737616479801</v>
      </c>
      <c r="AH234" s="46">
        <v>4.4335675606499002E-2</v>
      </c>
      <c r="AI234" s="47">
        <v>6.9954167407424106E-2</v>
      </c>
      <c r="AJ234" s="48">
        <v>7.2370634778865703</v>
      </c>
      <c r="AK234" s="49">
        <v>14.0483977346543</v>
      </c>
      <c r="AL234" s="31" t="s">
        <v>5874</v>
      </c>
      <c r="AM234" s="31" t="s">
        <v>5877</v>
      </c>
      <c r="AN234" s="31" t="s">
        <v>16975</v>
      </c>
      <c r="AO234" s="31" t="s">
        <v>16976</v>
      </c>
      <c r="AP234" s="31" t="s">
        <v>16977</v>
      </c>
      <c r="AQ234" s="31" t="s">
        <v>16978</v>
      </c>
      <c r="AR234" s="31" t="s">
        <v>16979</v>
      </c>
      <c r="AS234" s="31" t="str">
        <f>"FAM3C"</f>
        <v>FAM3C</v>
      </c>
      <c r="AT234" s="31" t="s">
        <v>16980</v>
      </c>
      <c r="AU234" s="31" t="s">
        <v>13777</v>
      </c>
      <c r="AV234" s="31">
        <v>9606</v>
      </c>
      <c r="AW234" s="50" t="str">
        <f>HYPERLINK("http://www.uniprot.org/uniprot/Q92520", "Q92520")</f>
        <v>Q92520</v>
      </c>
      <c r="AX234" s="31" t="s">
        <v>16981</v>
      </c>
      <c r="AY234" s="31" t="s">
        <v>13772</v>
      </c>
      <c r="AZ234" s="31" t="s">
        <v>16982</v>
      </c>
      <c r="BA234" s="31" t="s">
        <v>13772</v>
      </c>
      <c r="BB234" s="31" t="s">
        <v>13772</v>
      </c>
      <c r="BC234" s="31" t="s">
        <v>16983</v>
      </c>
      <c r="BD234" s="31" t="s">
        <v>13808</v>
      </c>
      <c r="BE234" s="31" t="s">
        <v>13772</v>
      </c>
      <c r="BF234" s="31" t="s">
        <v>14727</v>
      </c>
      <c r="BG234" s="31" t="s">
        <v>14506</v>
      </c>
      <c r="BH234" s="31" t="s">
        <v>13812</v>
      </c>
      <c r="BI234" s="31" t="s">
        <v>16984</v>
      </c>
      <c r="BJ234" s="31" t="s">
        <v>16985</v>
      </c>
      <c r="BK234" s="31" t="s">
        <v>14339</v>
      </c>
      <c r="BL234" s="31" t="s">
        <v>13772</v>
      </c>
      <c r="BM234" s="31" t="s">
        <v>15665</v>
      </c>
    </row>
    <row r="235" spans="1:65">
      <c r="A235">
        <v>1720</v>
      </c>
      <c r="B235">
        <v>1</v>
      </c>
      <c r="C235">
        <v>230</v>
      </c>
      <c r="D235" t="s">
        <v>4069</v>
      </c>
      <c r="E235" t="s">
        <v>73</v>
      </c>
      <c r="F235" t="s">
        <v>73</v>
      </c>
      <c r="G235">
        <v>32.5</v>
      </c>
      <c r="H235">
        <v>311</v>
      </c>
      <c r="I235">
        <v>35410</v>
      </c>
      <c r="J235" t="s">
        <v>4070</v>
      </c>
      <c r="K235" s="3" t="s">
        <v>73</v>
      </c>
      <c r="L235">
        <v>186</v>
      </c>
      <c r="M235">
        <v>186</v>
      </c>
      <c r="N235">
        <v>1</v>
      </c>
      <c r="O235" s="11">
        <f t="shared" si="3"/>
        <v>10.256149463969832</v>
      </c>
      <c r="P235" s="36">
        <v>12.116433958347301</v>
      </c>
      <c r="Q235" s="36">
        <v>0.24076603016936199</v>
      </c>
      <c r="R235" s="36">
        <v>20.810369603559401</v>
      </c>
      <c r="S235" s="36">
        <v>1.5119217591532299</v>
      </c>
      <c r="T235" s="36">
        <v>2.5805290798106801</v>
      </c>
      <c r="U235" s="36">
        <v>15.805363192871299</v>
      </c>
      <c r="V235" s="36">
        <v>9.4865605457817708</v>
      </c>
      <c r="W235" s="36">
        <v>24.3295899495577</v>
      </c>
      <c r="X235" s="37">
        <v>5.5633080527147003</v>
      </c>
      <c r="Y235" s="37">
        <v>3.7838978813297102</v>
      </c>
      <c r="Z235" s="37">
        <v>16.0010869653469</v>
      </c>
      <c r="AA235" s="37">
        <v>9.3120175125993505</v>
      </c>
      <c r="AB235" s="37">
        <v>3.6751702632604601</v>
      </c>
      <c r="AC235" s="37">
        <v>5.5243339926958699</v>
      </c>
      <c r="AD235" s="37">
        <v>15.0854004786242</v>
      </c>
      <c r="AE235" s="37">
        <v>18.2716421576954</v>
      </c>
      <c r="AF235" s="45">
        <v>-0.193537584428913</v>
      </c>
      <c r="AG235" s="45">
        <v>-1.12516278378051</v>
      </c>
      <c r="AH235" s="46">
        <v>0.77831727120997596</v>
      </c>
      <c r="AI235" s="47">
        <v>0.83519703989177596</v>
      </c>
      <c r="AJ235" s="48">
        <v>10.8601917649063</v>
      </c>
      <c r="AK235" s="49">
        <v>9.6521071630333193</v>
      </c>
      <c r="AL235" s="31" t="s">
        <v>5875</v>
      </c>
      <c r="AM235" s="31" t="s">
        <v>5832</v>
      </c>
      <c r="AN235" s="31" t="s">
        <v>30279</v>
      </c>
      <c r="AO235" s="31" t="s">
        <v>13772</v>
      </c>
      <c r="AP235" s="31" t="s">
        <v>30280</v>
      </c>
      <c r="AQ235" s="31" t="s">
        <v>30281</v>
      </c>
      <c r="AR235" s="31" t="s">
        <v>30282</v>
      </c>
      <c r="AS235" s="31" t="str">
        <f>"AZGP1"</f>
        <v>AZGP1</v>
      </c>
      <c r="AT235" s="31" t="s">
        <v>30283</v>
      </c>
      <c r="AU235" s="31" t="s">
        <v>13777</v>
      </c>
      <c r="AV235" s="31">
        <v>9606</v>
      </c>
      <c r="AW235" s="50" t="str">
        <f>HYPERLINK("http://www.uniprot.org/uniprot/P25311", "P25311")</f>
        <v>P25311</v>
      </c>
      <c r="AX235" s="31" t="s">
        <v>30284</v>
      </c>
      <c r="AY235" s="31" t="s">
        <v>13772</v>
      </c>
      <c r="AZ235" s="31" t="s">
        <v>14321</v>
      </c>
      <c r="BA235" s="31" t="s">
        <v>13772</v>
      </c>
      <c r="BB235" s="31" t="s">
        <v>13772</v>
      </c>
      <c r="BC235" s="31" t="s">
        <v>13772</v>
      </c>
      <c r="BD235" s="31" t="s">
        <v>13808</v>
      </c>
      <c r="BE235" s="31" t="s">
        <v>13772</v>
      </c>
      <c r="BF235" s="31" t="s">
        <v>13772</v>
      </c>
      <c r="BG235" s="31" t="s">
        <v>16701</v>
      </c>
      <c r="BH235" s="31" t="s">
        <v>13812</v>
      </c>
      <c r="BI235" s="31" t="s">
        <v>30285</v>
      </c>
      <c r="BJ235" s="31" t="s">
        <v>30286</v>
      </c>
      <c r="BK235" s="31" t="s">
        <v>30287</v>
      </c>
      <c r="BL235" s="31" t="s">
        <v>13772</v>
      </c>
      <c r="BM235" s="31" t="s">
        <v>16705</v>
      </c>
    </row>
    <row r="236" spans="1:65">
      <c r="A236">
        <v>1946</v>
      </c>
      <c r="B236">
        <v>1</v>
      </c>
      <c r="C236">
        <v>231</v>
      </c>
      <c r="D236" t="s">
        <v>4587</v>
      </c>
      <c r="E236" t="s">
        <v>4588</v>
      </c>
      <c r="F236" t="s">
        <v>73</v>
      </c>
      <c r="G236">
        <v>22.9</v>
      </c>
      <c r="H236">
        <v>1432</v>
      </c>
      <c r="I236">
        <v>145544</v>
      </c>
      <c r="J236" t="s">
        <v>4590</v>
      </c>
      <c r="K236" s="3" t="s">
        <v>73</v>
      </c>
      <c r="L236">
        <v>187</v>
      </c>
      <c r="M236">
        <v>183</v>
      </c>
      <c r="N236">
        <v>0.97899999999999998</v>
      </c>
      <c r="O236" s="11">
        <f t="shared" si="3"/>
        <v>11.014828643425128</v>
      </c>
      <c r="P236" s="36">
        <v>8.8449967895935195</v>
      </c>
      <c r="Q236" s="36">
        <v>6.9340616688776198</v>
      </c>
      <c r="R236" s="36">
        <v>14.887418254853999</v>
      </c>
      <c r="S236" s="36">
        <v>15.119217591532299</v>
      </c>
      <c r="T236" s="36">
        <v>6.8814108794951396</v>
      </c>
      <c r="U236" s="36">
        <v>13.8529359749284</v>
      </c>
      <c r="V236" s="36">
        <v>11.594685111511</v>
      </c>
      <c r="W236" s="36">
        <v>10.7050195778054</v>
      </c>
      <c r="X236" s="37">
        <v>7.9475829324495697</v>
      </c>
      <c r="Y236" s="37">
        <v>10.0903943502126</v>
      </c>
      <c r="Z236" s="37">
        <v>8.8005978309407702</v>
      </c>
      <c r="AA236" s="37">
        <v>11.0051116057992</v>
      </c>
      <c r="AB236" s="37">
        <v>8.2691330923360304</v>
      </c>
      <c r="AC236" s="37">
        <v>9.4702868446214996</v>
      </c>
      <c r="AD236" s="37">
        <v>15.0854004786242</v>
      </c>
      <c r="AE236" s="37">
        <v>16.749005311220799</v>
      </c>
      <c r="AF236" s="45">
        <v>-4.2197580378519603E-2</v>
      </c>
      <c r="AG236" s="45">
        <v>-1.0160406463551099</v>
      </c>
      <c r="AH236" s="46">
        <v>0.95654254775757297</v>
      </c>
      <c r="AI236" s="47">
        <v>0.97253338062282102</v>
      </c>
      <c r="AJ236" s="48">
        <v>11.102468231074701</v>
      </c>
      <c r="AK236" s="49">
        <v>10.9271890557756</v>
      </c>
      <c r="AL236" s="31" t="s">
        <v>5875</v>
      </c>
      <c r="AM236" s="31" t="s">
        <v>5832</v>
      </c>
      <c r="AN236" s="31" t="s">
        <v>32442</v>
      </c>
      <c r="AO236" s="31" t="s">
        <v>32443</v>
      </c>
      <c r="AP236" s="31" t="s">
        <v>32444</v>
      </c>
      <c r="AQ236" s="31" t="s">
        <v>32445</v>
      </c>
      <c r="AR236" s="31" t="s">
        <v>32446</v>
      </c>
      <c r="AS236" s="31" t="str">
        <f>"COL15A1"</f>
        <v>COL15A1</v>
      </c>
      <c r="AT236" s="31" t="s">
        <v>13772</v>
      </c>
      <c r="AU236" s="31" t="s">
        <v>13777</v>
      </c>
      <c r="AV236" s="31">
        <v>9606</v>
      </c>
      <c r="AW236" s="50" t="str">
        <f>HYPERLINK("http://www.uniprot.org/uniprot/P39059", "P39059")</f>
        <v>P39059</v>
      </c>
      <c r="AX236" s="31" t="s">
        <v>32447</v>
      </c>
      <c r="AY236" s="31" t="s">
        <v>32448</v>
      </c>
      <c r="AZ236" s="31" t="s">
        <v>13869</v>
      </c>
      <c r="BA236" s="31" t="s">
        <v>13793</v>
      </c>
      <c r="BB236" s="31" t="s">
        <v>13772</v>
      </c>
      <c r="BC236" s="31" t="s">
        <v>13772</v>
      </c>
      <c r="BD236" s="31" t="s">
        <v>13872</v>
      </c>
      <c r="BE236" s="31" t="s">
        <v>13772</v>
      </c>
      <c r="BF236" s="31" t="s">
        <v>14727</v>
      </c>
      <c r="BG236" s="31" t="s">
        <v>22002</v>
      </c>
      <c r="BH236" s="31" t="s">
        <v>13812</v>
      </c>
      <c r="BI236" s="31" t="s">
        <v>32449</v>
      </c>
      <c r="BJ236" s="31" t="s">
        <v>32450</v>
      </c>
      <c r="BK236" s="31" t="s">
        <v>23569</v>
      </c>
      <c r="BL236" s="31" t="s">
        <v>13772</v>
      </c>
      <c r="BM236" s="31" t="s">
        <v>27334</v>
      </c>
    </row>
    <row r="237" spans="1:65">
      <c r="A237">
        <v>557</v>
      </c>
      <c r="B237">
        <v>1</v>
      </c>
      <c r="C237">
        <v>232</v>
      </c>
      <c r="D237" t="s">
        <v>1389</v>
      </c>
      <c r="E237" t="s">
        <v>73</v>
      </c>
      <c r="F237" t="s">
        <v>73</v>
      </c>
      <c r="G237">
        <v>29.3</v>
      </c>
      <c r="H237">
        <v>775</v>
      </c>
      <c r="I237">
        <v>82949</v>
      </c>
      <c r="J237" t="s">
        <v>1390</v>
      </c>
      <c r="K237" s="3" t="s">
        <v>73</v>
      </c>
      <c r="L237">
        <v>184</v>
      </c>
      <c r="M237">
        <v>184</v>
      </c>
      <c r="N237">
        <v>1</v>
      </c>
      <c r="O237" s="11">
        <f t="shared" si="3"/>
        <v>12.484637645864744</v>
      </c>
      <c r="P237" s="36">
        <v>14.5397207500168</v>
      </c>
      <c r="Q237" s="36">
        <v>15.4090259308391</v>
      </c>
      <c r="R237" s="36">
        <v>35.217548559869698</v>
      </c>
      <c r="S237" s="36">
        <v>28.726513423911399</v>
      </c>
      <c r="T237" s="36">
        <v>14.6229981189272</v>
      </c>
      <c r="U237" s="36">
        <v>26.032362905905799</v>
      </c>
      <c r="V237" s="36">
        <v>20.027183374428201</v>
      </c>
      <c r="W237" s="36">
        <v>11.678203175787701</v>
      </c>
      <c r="X237" s="37">
        <v>1.5895165864899099</v>
      </c>
      <c r="Y237" s="37">
        <v>1.89194894066486</v>
      </c>
      <c r="Z237" s="37">
        <v>6.4004347861387396</v>
      </c>
      <c r="AA237" s="37">
        <v>2.5396411397998202</v>
      </c>
      <c r="AB237" s="37">
        <v>1.8375851316302301</v>
      </c>
      <c r="AC237" s="37">
        <v>7.1027151334661296</v>
      </c>
      <c r="AD237" s="37">
        <v>4.5256201435872701</v>
      </c>
      <c r="AE237" s="37">
        <v>7.6131842323730803</v>
      </c>
      <c r="AF237" s="45">
        <v>-2.3145785270302</v>
      </c>
      <c r="AG237" s="45">
        <v>-4.9626970110500999</v>
      </c>
      <c r="AH237" s="46">
        <v>2.7429352370650199E-8</v>
      </c>
      <c r="AI237" s="47">
        <v>2.1588513807017599E-7</v>
      </c>
      <c r="AJ237" s="48">
        <v>20.781694529960699</v>
      </c>
      <c r="AK237" s="49">
        <v>4.1875807617687597</v>
      </c>
      <c r="AL237" s="31" t="s">
        <v>5875</v>
      </c>
      <c r="AM237" s="31" t="s">
        <v>5876</v>
      </c>
      <c r="AN237" s="31" t="s">
        <v>19260</v>
      </c>
      <c r="AO237" s="31" t="s">
        <v>19261</v>
      </c>
      <c r="AP237" s="31" t="s">
        <v>19262</v>
      </c>
      <c r="AQ237" s="31" t="s">
        <v>19263</v>
      </c>
      <c r="AR237" s="31" t="s">
        <v>19264</v>
      </c>
      <c r="AS237" s="31" t="str">
        <f>"CD248"</f>
        <v>CD248</v>
      </c>
      <c r="AT237" s="31" t="s">
        <v>19265</v>
      </c>
      <c r="AU237" s="31" t="s">
        <v>13777</v>
      </c>
      <c r="AV237" s="31">
        <v>9606</v>
      </c>
      <c r="AW237" s="50" t="str">
        <f>HYPERLINK("http://www.uniprot.org/uniprot/Q9HCU0", "Q9HCU0")</f>
        <v>Q9HCU0</v>
      </c>
      <c r="AX237" s="31" t="s">
        <v>19266</v>
      </c>
      <c r="AY237" s="31" t="s">
        <v>13772</v>
      </c>
      <c r="AZ237" s="31" t="s">
        <v>13825</v>
      </c>
      <c r="BA237" s="31" t="s">
        <v>13780</v>
      </c>
      <c r="BB237" s="31" t="s">
        <v>13772</v>
      </c>
      <c r="BC237" s="31" t="s">
        <v>13772</v>
      </c>
      <c r="BD237" s="31" t="s">
        <v>16416</v>
      </c>
      <c r="BE237" s="31" t="s">
        <v>13827</v>
      </c>
      <c r="BF237" s="31" t="s">
        <v>13772</v>
      </c>
      <c r="BG237" s="31" t="s">
        <v>13964</v>
      </c>
      <c r="BH237" s="31" t="s">
        <v>13772</v>
      </c>
      <c r="BI237" s="31" t="s">
        <v>19267</v>
      </c>
      <c r="BJ237" s="31" t="s">
        <v>19268</v>
      </c>
      <c r="BK237" s="31" t="s">
        <v>19269</v>
      </c>
      <c r="BL237" s="31" t="s">
        <v>13772</v>
      </c>
      <c r="BM237" s="31" t="s">
        <v>13772</v>
      </c>
    </row>
    <row r="238" spans="1:65">
      <c r="A238">
        <v>454</v>
      </c>
      <c r="B238">
        <v>1</v>
      </c>
      <c r="C238">
        <v>233</v>
      </c>
      <c r="D238" t="s">
        <v>1136</v>
      </c>
      <c r="E238" t="s">
        <v>1137</v>
      </c>
      <c r="F238" t="s">
        <v>73</v>
      </c>
      <c r="G238">
        <v>19</v>
      </c>
      <c r="H238">
        <v>742</v>
      </c>
      <c r="I238">
        <v>81396</v>
      </c>
      <c r="J238" t="s">
        <v>1138</v>
      </c>
      <c r="K238" s="3" t="s">
        <v>73</v>
      </c>
      <c r="L238">
        <v>182</v>
      </c>
      <c r="M238">
        <v>182</v>
      </c>
      <c r="N238">
        <v>1</v>
      </c>
      <c r="O238" s="11">
        <f t="shared" si="3"/>
        <v>11.904446855749379</v>
      </c>
      <c r="P238" s="36">
        <v>15.7513641458515</v>
      </c>
      <c r="Q238" s="36">
        <v>17.335154172193999</v>
      </c>
      <c r="R238" s="36">
        <v>24.0119649271839</v>
      </c>
      <c r="S238" s="36">
        <v>21.1669046281452</v>
      </c>
      <c r="T238" s="36">
        <v>11.1822926791796</v>
      </c>
      <c r="U238" s="36">
        <v>11.1567269596739</v>
      </c>
      <c r="V238" s="36">
        <v>16.8649965258343</v>
      </c>
      <c r="W238" s="36">
        <v>9.7318359798230603</v>
      </c>
      <c r="X238" s="37">
        <v>5.5633080527147003</v>
      </c>
      <c r="Y238" s="37">
        <v>5.6758468219945701</v>
      </c>
      <c r="Z238" s="37">
        <v>9.6006521792081099</v>
      </c>
      <c r="AA238" s="37">
        <v>5.9258293261995796</v>
      </c>
      <c r="AB238" s="37">
        <v>2.7563776974453398</v>
      </c>
      <c r="AC238" s="37">
        <v>9.4702868446214996</v>
      </c>
      <c r="AD238" s="37">
        <v>9.0512402871745401</v>
      </c>
      <c r="AE238" s="37">
        <v>15.2263684647462</v>
      </c>
      <c r="AF238" s="45">
        <v>-1.02254485125548</v>
      </c>
      <c r="AG238" s="45">
        <v>-2.0104539531205798</v>
      </c>
      <c r="AH238" s="46">
        <v>4.53780382901579E-3</v>
      </c>
      <c r="AI238" s="47">
        <v>8.9551349900046096E-3</v>
      </c>
      <c r="AJ238" s="48">
        <v>15.900155002235699</v>
      </c>
      <c r="AK238" s="49">
        <v>7.9087387092630603</v>
      </c>
      <c r="AL238" s="31" t="s">
        <v>5875</v>
      </c>
      <c r="AM238" s="31" t="s">
        <v>5876</v>
      </c>
      <c r="AN238" s="31" t="s">
        <v>18202</v>
      </c>
      <c r="AO238" s="31" t="s">
        <v>18203</v>
      </c>
      <c r="AP238" s="31" t="s">
        <v>18204</v>
      </c>
      <c r="AQ238" s="31" t="s">
        <v>18205</v>
      </c>
      <c r="AR238" s="31" t="s">
        <v>18206</v>
      </c>
      <c r="AS238" s="31" t="str">
        <f>"COLEC12"</f>
        <v>COLEC12</v>
      </c>
      <c r="AT238" s="31" t="s">
        <v>18207</v>
      </c>
      <c r="AU238" s="31" t="s">
        <v>13777</v>
      </c>
      <c r="AV238" s="31">
        <v>9606</v>
      </c>
      <c r="AW238" s="50" t="str">
        <f>HYPERLINK("http://www.uniprot.org/uniprot/Q5KU26", "Q5KU26")</f>
        <v>Q5KU26</v>
      </c>
      <c r="AX238" s="31" t="s">
        <v>18208</v>
      </c>
      <c r="AY238" s="31" t="s">
        <v>13772</v>
      </c>
      <c r="AZ238" s="31" t="s">
        <v>13825</v>
      </c>
      <c r="BA238" s="31" t="s">
        <v>13793</v>
      </c>
      <c r="BB238" s="31" t="s">
        <v>13772</v>
      </c>
      <c r="BC238" s="31" t="s">
        <v>13772</v>
      </c>
      <c r="BD238" s="31" t="s">
        <v>18209</v>
      </c>
      <c r="BE238" s="31" t="s">
        <v>14519</v>
      </c>
      <c r="BF238" s="31" t="s">
        <v>13795</v>
      </c>
      <c r="BG238" s="31" t="s">
        <v>13796</v>
      </c>
      <c r="BH238" s="31" t="s">
        <v>13812</v>
      </c>
      <c r="BI238" s="31" t="s">
        <v>18210</v>
      </c>
      <c r="BJ238" s="31" t="s">
        <v>18211</v>
      </c>
      <c r="BK238" s="31" t="s">
        <v>18212</v>
      </c>
      <c r="BL238" s="31" t="s">
        <v>13772</v>
      </c>
      <c r="BM238" s="31" t="s">
        <v>18213</v>
      </c>
    </row>
    <row r="239" spans="1:65">
      <c r="A239">
        <v>566</v>
      </c>
      <c r="B239">
        <v>1</v>
      </c>
      <c r="C239">
        <v>234</v>
      </c>
      <c r="D239" t="s">
        <v>1412</v>
      </c>
      <c r="E239" t="s">
        <v>1413</v>
      </c>
      <c r="F239" t="s">
        <v>73</v>
      </c>
      <c r="G239">
        <v>42.4</v>
      </c>
      <c r="H239">
        <v>238</v>
      </c>
      <c r="I239">
        <v>26388</v>
      </c>
      <c r="J239" t="s">
        <v>1414</v>
      </c>
      <c r="K239" s="3" t="s">
        <v>73</v>
      </c>
      <c r="L239">
        <v>181</v>
      </c>
      <c r="M239">
        <v>181</v>
      </c>
      <c r="N239">
        <v>1</v>
      </c>
      <c r="O239" s="11">
        <f t="shared" si="3"/>
        <v>10.736879937741497</v>
      </c>
      <c r="P239" s="36">
        <v>7.2698603750083803</v>
      </c>
      <c r="Q239" s="36">
        <v>7.7045129654195703</v>
      </c>
      <c r="R239" s="36">
        <v>14.4071789563103</v>
      </c>
      <c r="S239" s="36">
        <v>15.119217591532299</v>
      </c>
      <c r="T239" s="36">
        <v>9.4619399593058091</v>
      </c>
      <c r="U239" s="36">
        <v>12.0864542063134</v>
      </c>
      <c r="V239" s="36">
        <v>9.4865605457817708</v>
      </c>
      <c r="W239" s="36">
        <v>5.8391015878938397</v>
      </c>
      <c r="X239" s="37">
        <v>5.5633080527147003</v>
      </c>
      <c r="Y239" s="37">
        <v>5.6758468219945701</v>
      </c>
      <c r="Z239" s="37">
        <v>20.0013587066836</v>
      </c>
      <c r="AA239" s="37">
        <v>9.3120175125993505</v>
      </c>
      <c r="AB239" s="37">
        <v>5.5127553948906796</v>
      </c>
      <c r="AC239" s="37">
        <v>9.4702868446214996</v>
      </c>
      <c r="AD239" s="37">
        <v>15.0854004786242</v>
      </c>
      <c r="AE239" s="37">
        <v>19.794279004170001</v>
      </c>
      <c r="AF239" s="45">
        <v>0.13054354090613901</v>
      </c>
      <c r="AG239" s="45">
        <v>1.11109610984478</v>
      </c>
      <c r="AH239" s="46">
        <v>0.71368740089751503</v>
      </c>
      <c r="AI239" s="47">
        <v>0.78143514108091305</v>
      </c>
      <c r="AJ239" s="48">
        <v>10.1718532734457</v>
      </c>
      <c r="AK239" s="49">
        <v>11.301906602037301</v>
      </c>
      <c r="AL239" s="31" t="s">
        <v>5874</v>
      </c>
      <c r="AM239" s="31" t="s">
        <v>5832</v>
      </c>
      <c r="AN239" s="31" t="s">
        <v>19350</v>
      </c>
      <c r="AO239" s="31" t="s">
        <v>19351</v>
      </c>
      <c r="AP239" s="31" t="s">
        <v>19352</v>
      </c>
      <c r="AQ239" s="31" t="s">
        <v>19353</v>
      </c>
      <c r="AR239" s="31" t="s">
        <v>19354</v>
      </c>
      <c r="AS239" s="31" t="str">
        <f>"IGF2"</f>
        <v>IGF2</v>
      </c>
      <c r="AT239" s="31" t="s">
        <v>13772</v>
      </c>
      <c r="AU239" s="31" t="s">
        <v>13777</v>
      </c>
      <c r="AV239" s="31">
        <v>9606</v>
      </c>
      <c r="AW239" s="50" t="str">
        <f>HYPERLINK("http://www.uniprot.org/uniprot/P01344", "P01344")</f>
        <v>P01344</v>
      </c>
      <c r="AX239" s="31" t="s">
        <v>19355</v>
      </c>
      <c r="AY239" s="31" t="s">
        <v>19356</v>
      </c>
      <c r="AZ239" s="31" t="s">
        <v>14321</v>
      </c>
      <c r="BA239" s="31" t="s">
        <v>13780</v>
      </c>
      <c r="BB239" s="31" t="s">
        <v>13772</v>
      </c>
      <c r="BC239" s="31" t="s">
        <v>19357</v>
      </c>
      <c r="BD239" s="31" t="s">
        <v>13808</v>
      </c>
      <c r="BE239" s="31" t="s">
        <v>13772</v>
      </c>
      <c r="BF239" s="31" t="s">
        <v>19358</v>
      </c>
      <c r="BG239" s="31" t="s">
        <v>14629</v>
      </c>
      <c r="BH239" s="31" t="s">
        <v>13812</v>
      </c>
      <c r="BI239" s="31" t="s">
        <v>19359</v>
      </c>
      <c r="BJ239" s="31" t="s">
        <v>19360</v>
      </c>
      <c r="BK239" s="31" t="s">
        <v>19361</v>
      </c>
      <c r="BL239" s="31" t="s">
        <v>13772</v>
      </c>
      <c r="BM239" s="31" t="s">
        <v>19362</v>
      </c>
    </row>
    <row r="240" spans="1:65">
      <c r="A240">
        <v>1579</v>
      </c>
      <c r="B240">
        <v>1</v>
      </c>
      <c r="C240">
        <v>235</v>
      </c>
      <c r="D240" t="s">
        <v>3743</v>
      </c>
      <c r="E240" t="s">
        <v>73</v>
      </c>
      <c r="F240" t="s">
        <v>73</v>
      </c>
      <c r="G240">
        <v>44.8</v>
      </c>
      <c r="H240">
        <v>415</v>
      </c>
      <c r="I240">
        <v>46849</v>
      </c>
      <c r="J240" t="s">
        <v>3744</v>
      </c>
      <c r="K240" s="3" t="s">
        <v>73</v>
      </c>
      <c r="L240">
        <v>181</v>
      </c>
      <c r="M240">
        <v>181</v>
      </c>
      <c r="N240">
        <v>1</v>
      </c>
      <c r="O240" s="11">
        <f t="shared" si="3"/>
        <v>10.691873876756539</v>
      </c>
      <c r="P240" s="36">
        <v>12.116433958347301</v>
      </c>
      <c r="Q240" s="36">
        <v>3.85225648270979</v>
      </c>
      <c r="R240" s="36">
        <v>17.608774279934799</v>
      </c>
      <c r="S240" s="36">
        <v>15.119217591532299</v>
      </c>
      <c r="T240" s="36">
        <v>10.322116319242699</v>
      </c>
      <c r="U240" s="36">
        <v>17.6648176861503</v>
      </c>
      <c r="V240" s="36">
        <v>3.1621868485939202</v>
      </c>
      <c r="W240" s="36">
        <v>2.9195507939469199</v>
      </c>
      <c r="X240" s="37">
        <v>11.126616105429401</v>
      </c>
      <c r="Y240" s="37">
        <v>12.6129929377657</v>
      </c>
      <c r="Z240" s="37">
        <v>8.8005978309407702</v>
      </c>
      <c r="AA240" s="37">
        <v>11.0051116057992</v>
      </c>
      <c r="AB240" s="37">
        <v>11.0255107897814</v>
      </c>
      <c r="AC240" s="37">
        <v>9.4702868446214996</v>
      </c>
      <c r="AD240" s="37">
        <v>10.559780335037001</v>
      </c>
      <c r="AE240" s="37">
        <v>13.7037316182716</v>
      </c>
      <c r="AF240" s="45">
        <v>0.121363074957426</v>
      </c>
      <c r="AG240" s="45">
        <v>1.06692745022071</v>
      </c>
      <c r="AH240" s="46">
        <v>0.78729259335090795</v>
      </c>
      <c r="AI240" s="47">
        <v>0.84002989625479596</v>
      </c>
      <c r="AJ240" s="48">
        <v>10.3456692450573</v>
      </c>
      <c r="AK240" s="49">
        <v>11.038078508455801</v>
      </c>
      <c r="AL240" s="31" t="s">
        <v>5874</v>
      </c>
      <c r="AM240" s="31" t="s">
        <v>5832</v>
      </c>
      <c r="AN240" s="31" t="s">
        <v>28940</v>
      </c>
      <c r="AO240" s="31" t="s">
        <v>28941</v>
      </c>
      <c r="AP240" s="31" t="s">
        <v>28942</v>
      </c>
      <c r="AQ240" s="31" t="s">
        <v>28943</v>
      </c>
      <c r="AR240" s="31" t="s">
        <v>28944</v>
      </c>
      <c r="AS240" s="31" t="str">
        <f>"LOX"</f>
        <v>LOX</v>
      </c>
      <c r="AT240" s="31" t="s">
        <v>13772</v>
      </c>
      <c r="AU240" s="31" t="s">
        <v>13777</v>
      </c>
      <c r="AV240" s="31">
        <v>9606</v>
      </c>
      <c r="AW240" s="50" t="str">
        <f>HYPERLINK("http://www.uniprot.org/uniprot/P28300", "P28300")</f>
        <v>P28300</v>
      </c>
      <c r="AX240" s="31" t="s">
        <v>28945</v>
      </c>
      <c r="AY240" s="31" t="s">
        <v>13772</v>
      </c>
      <c r="AZ240" s="31" t="s">
        <v>14321</v>
      </c>
      <c r="BA240" s="31" t="s">
        <v>13793</v>
      </c>
      <c r="BB240" s="31" t="s">
        <v>13772</v>
      </c>
      <c r="BC240" s="31" t="s">
        <v>21023</v>
      </c>
      <c r="BD240" s="31" t="s">
        <v>13808</v>
      </c>
      <c r="BE240" s="31" t="s">
        <v>15982</v>
      </c>
      <c r="BF240" s="31" t="s">
        <v>13885</v>
      </c>
      <c r="BG240" s="31" t="s">
        <v>28946</v>
      </c>
      <c r="BH240" s="31" t="s">
        <v>13772</v>
      </c>
      <c r="BI240" s="31" t="s">
        <v>28947</v>
      </c>
      <c r="BJ240" s="31" t="s">
        <v>28948</v>
      </c>
      <c r="BK240" s="31" t="s">
        <v>15986</v>
      </c>
      <c r="BL240" s="31" t="s">
        <v>13772</v>
      </c>
      <c r="BM240" s="31" t="s">
        <v>15987</v>
      </c>
    </row>
    <row r="241" spans="1:65">
      <c r="A241">
        <v>397</v>
      </c>
      <c r="B241">
        <v>1</v>
      </c>
      <c r="C241">
        <v>236</v>
      </c>
      <c r="D241" t="s">
        <v>993</v>
      </c>
      <c r="E241" t="s">
        <v>73</v>
      </c>
      <c r="F241" t="s">
        <v>73</v>
      </c>
      <c r="G241">
        <v>32.5</v>
      </c>
      <c r="H241">
        <v>906</v>
      </c>
      <c r="I241">
        <v>99811</v>
      </c>
      <c r="J241" t="s">
        <v>994</v>
      </c>
      <c r="K241" s="3" t="s">
        <v>73</v>
      </c>
      <c r="L241">
        <v>178</v>
      </c>
      <c r="M241">
        <v>178</v>
      </c>
      <c r="N241">
        <v>1</v>
      </c>
      <c r="O241" s="11">
        <f t="shared" si="3"/>
        <v>11.598446732163096</v>
      </c>
      <c r="P241" s="36">
        <v>14.5397207500168</v>
      </c>
      <c r="Q241" s="36">
        <v>19.261282413548901</v>
      </c>
      <c r="R241" s="36">
        <v>19.2095719417471</v>
      </c>
      <c r="S241" s="36">
        <v>27.2145916647581</v>
      </c>
      <c r="T241" s="36">
        <v>12.9026453990534</v>
      </c>
      <c r="U241" s="36">
        <v>15.805363192871299</v>
      </c>
      <c r="V241" s="36">
        <v>17.9190588086989</v>
      </c>
      <c r="W241" s="36">
        <v>7.78546878385845</v>
      </c>
      <c r="X241" s="37">
        <v>10.331857812184399</v>
      </c>
      <c r="Y241" s="37">
        <v>7.5677957626594301</v>
      </c>
      <c r="Z241" s="37">
        <v>3.2002173930693698</v>
      </c>
      <c r="AA241" s="37">
        <v>5.0792822795996404</v>
      </c>
      <c r="AB241" s="37">
        <v>6.4315479607058004</v>
      </c>
      <c r="AC241" s="37">
        <v>3.1567622815404999</v>
      </c>
      <c r="AD241" s="37">
        <v>6.0341601914496898</v>
      </c>
      <c r="AE241" s="37">
        <v>9.1358210788476999</v>
      </c>
      <c r="AF241" s="45">
        <v>-1.38126283957851</v>
      </c>
      <c r="AG241" s="45">
        <v>-2.6431970348879998</v>
      </c>
      <c r="AH241" s="46">
        <v>8.1865153718071302E-5</v>
      </c>
      <c r="AI241" s="47">
        <v>2.3708999063805101E-4</v>
      </c>
      <c r="AJ241" s="48">
        <v>16.829712869319099</v>
      </c>
      <c r="AK241" s="49">
        <v>6.3671805950070697</v>
      </c>
      <c r="AL241" s="31" t="s">
        <v>5875</v>
      </c>
      <c r="AM241" s="31" t="s">
        <v>5876</v>
      </c>
      <c r="AN241" s="31" t="s">
        <v>17584</v>
      </c>
      <c r="AO241" s="31" t="s">
        <v>17585</v>
      </c>
      <c r="AP241" s="31" t="s">
        <v>17586</v>
      </c>
      <c r="AQ241" s="31" t="s">
        <v>17587</v>
      </c>
      <c r="AR241" s="31" t="s">
        <v>17588</v>
      </c>
      <c r="AS241" s="31" t="str">
        <f>"CDH2"</f>
        <v>CDH2</v>
      </c>
      <c r="AT241" s="31" t="s">
        <v>17589</v>
      </c>
      <c r="AU241" s="31" t="s">
        <v>13777</v>
      </c>
      <c r="AV241" s="31">
        <v>9606</v>
      </c>
      <c r="AW241" s="50" t="str">
        <f>HYPERLINK("http://www.uniprot.org/uniprot/P19022", "P19022")</f>
        <v>P19022</v>
      </c>
      <c r="AX241" s="31" t="s">
        <v>17590</v>
      </c>
      <c r="AY241" s="31" t="s">
        <v>13949</v>
      </c>
      <c r="AZ241" s="31" t="s">
        <v>17424</v>
      </c>
      <c r="BA241" s="31" t="s">
        <v>13780</v>
      </c>
      <c r="BB241" s="31" t="s">
        <v>13772</v>
      </c>
      <c r="BC241" s="31" t="s">
        <v>13772</v>
      </c>
      <c r="BD241" s="31" t="s">
        <v>13826</v>
      </c>
      <c r="BE241" s="31" t="s">
        <v>13873</v>
      </c>
      <c r="BF241" s="31" t="s">
        <v>13772</v>
      </c>
      <c r="BG241" s="31" t="s">
        <v>17425</v>
      </c>
      <c r="BH241" s="31" t="s">
        <v>13772</v>
      </c>
      <c r="BI241" s="31" t="s">
        <v>17591</v>
      </c>
      <c r="BJ241" s="31" t="s">
        <v>17592</v>
      </c>
      <c r="BK241" s="31" t="s">
        <v>17593</v>
      </c>
      <c r="BL241" s="31" t="s">
        <v>13772</v>
      </c>
      <c r="BM241" s="31" t="s">
        <v>17594</v>
      </c>
    </row>
    <row r="242" spans="1:65">
      <c r="A242">
        <v>622</v>
      </c>
      <c r="B242">
        <v>1</v>
      </c>
      <c r="C242">
        <v>237</v>
      </c>
      <c r="D242" t="s">
        <v>1539</v>
      </c>
      <c r="E242" t="s">
        <v>73</v>
      </c>
      <c r="F242" t="s">
        <v>73</v>
      </c>
      <c r="G242">
        <v>64</v>
      </c>
      <c r="H242">
        <v>325</v>
      </c>
      <c r="I242">
        <v>36633</v>
      </c>
      <c r="J242" t="s">
        <v>1541</v>
      </c>
      <c r="K242" s="3" t="s">
        <v>73</v>
      </c>
      <c r="L242">
        <v>179</v>
      </c>
      <c r="M242">
        <v>161</v>
      </c>
      <c r="N242">
        <v>0.89900000000000002</v>
      </c>
      <c r="O242" s="11">
        <f t="shared" si="3"/>
        <v>9.2327483293657409</v>
      </c>
      <c r="P242" s="36">
        <v>9.6931471666778304</v>
      </c>
      <c r="Q242" s="36">
        <v>4.4300949551162496</v>
      </c>
      <c r="R242" s="36">
        <v>0.80039883090612896</v>
      </c>
      <c r="S242" s="36">
        <v>3.0238435183064598</v>
      </c>
      <c r="T242" s="36">
        <v>9.0318517793373694</v>
      </c>
      <c r="U242" s="36">
        <v>9.9480815390425494</v>
      </c>
      <c r="V242" s="36">
        <v>16.8649965258343</v>
      </c>
      <c r="W242" s="36">
        <v>24.134953229961202</v>
      </c>
      <c r="X242" s="37">
        <v>10.888188617455899</v>
      </c>
      <c r="Y242" s="37">
        <v>16.270760889717799</v>
      </c>
      <c r="Z242" s="37">
        <v>7.1204836995793501</v>
      </c>
      <c r="AA242" s="37">
        <v>10.8358021964792</v>
      </c>
      <c r="AB242" s="37">
        <v>6.0640309343797503</v>
      </c>
      <c r="AC242" s="37">
        <v>13.0216444113546</v>
      </c>
      <c r="AD242" s="37">
        <v>4.0730581292285404</v>
      </c>
      <c r="AE242" s="37">
        <v>1.5226368464746201</v>
      </c>
      <c r="AF242" s="45">
        <v>-0.14257882438737601</v>
      </c>
      <c r="AG242" s="45">
        <v>-1.1164922238852999</v>
      </c>
      <c r="AH242" s="46">
        <v>0.78274884316374604</v>
      </c>
      <c r="AI242" s="47">
        <v>0.83651593622451403</v>
      </c>
      <c r="AJ242" s="48">
        <v>9.7409209431477493</v>
      </c>
      <c r="AK242" s="49">
        <v>8.72457571558372</v>
      </c>
      <c r="AL242" s="31" t="s">
        <v>5875</v>
      </c>
      <c r="AM242" s="31" t="s">
        <v>5832</v>
      </c>
      <c r="AN242" s="31" t="s">
        <v>19944</v>
      </c>
      <c r="AO242" s="31" t="s">
        <v>19945</v>
      </c>
      <c r="AP242" s="31" t="s">
        <v>19946</v>
      </c>
      <c r="AQ242" s="31" t="s">
        <v>19947</v>
      </c>
      <c r="AR242" s="31" t="s">
        <v>19948</v>
      </c>
      <c r="AS242" s="31" t="str">
        <f>"AKR1A1"</f>
        <v>AKR1A1</v>
      </c>
      <c r="AT242" s="31" t="s">
        <v>19949</v>
      </c>
      <c r="AU242" s="31" t="s">
        <v>13777</v>
      </c>
      <c r="AV242" s="31">
        <v>9606</v>
      </c>
      <c r="AW242" s="50" t="str">
        <f>HYPERLINK("http://www.uniprot.org/uniprot/P14550", "P14550")</f>
        <v>P14550</v>
      </c>
      <c r="AX242" s="31" t="s">
        <v>19950</v>
      </c>
      <c r="AY242" s="31" t="s">
        <v>13772</v>
      </c>
      <c r="AZ242" s="31" t="s">
        <v>18623</v>
      </c>
      <c r="BA242" s="31" t="s">
        <v>13793</v>
      </c>
      <c r="BB242" s="31" t="s">
        <v>13772</v>
      </c>
      <c r="BC242" s="31" t="s">
        <v>13772</v>
      </c>
      <c r="BD242" s="31" t="s">
        <v>13772</v>
      </c>
      <c r="BE242" s="31" t="s">
        <v>15759</v>
      </c>
      <c r="BF242" s="31" t="s">
        <v>13885</v>
      </c>
      <c r="BG242" s="31" t="s">
        <v>13886</v>
      </c>
      <c r="BH242" s="31" t="s">
        <v>13812</v>
      </c>
      <c r="BI242" s="31" t="s">
        <v>19951</v>
      </c>
      <c r="BJ242" s="31" t="s">
        <v>19952</v>
      </c>
      <c r="BK242" s="31" t="s">
        <v>19953</v>
      </c>
      <c r="BL242" s="31" t="s">
        <v>13772</v>
      </c>
      <c r="BM242" s="31" t="s">
        <v>19954</v>
      </c>
    </row>
    <row r="243" spans="1:65">
      <c r="A243">
        <v>293</v>
      </c>
      <c r="B243">
        <v>1</v>
      </c>
      <c r="C243">
        <v>238</v>
      </c>
      <c r="D243" t="s">
        <v>735</v>
      </c>
      <c r="E243" t="s">
        <v>73</v>
      </c>
      <c r="F243" t="s">
        <v>73</v>
      </c>
      <c r="G243">
        <v>23.8</v>
      </c>
      <c r="H243">
        <v>1367</v>
      </c>
      <c r="I243">
        <v>129360</v>
      </c>
      <c r="J243" t="s">
        <v>736</v>
      </c>
      <c r="K243" s="3" t="s">
        <v>73</v>
      </c>
      <c r="L243">
        <v>175</v>
      </c>
      <c r="M243">
        <v>175</v>
      </c>
      <c r="N243">
        <v>1</v>
      </c>
      <c r="O243" s="11">
        <f t="shared" si="3"/>
        <v>11.993841952242111</v>
      </c>
      <c r="P243" s="36">
        <v>32.7143716875377</v>
      </c>
      <c r="Q243" s="36">
        <v>18.2982182928715</v>
      </c>
      <c r="R243" s="36">
        <v>32.015953236245203</v>
      </c>
      <c r="S243" s="36">
        <v>24.1907481464517</v>
      </c>
      <c r="T243" s="36">
        <v>12.9026453990534</v>
      </c>
      <c r="U243" s="36">
        <v>18.594544932789798</v>
      </c>
      <c r="V243" s="36">
        <v>13.7028096772403</v>
      </c>
      <c r="W243" s="36">
        <v>6.8122851858761404</v>
      </c>
      <c r="X243" s="37">
        <v>0.79475829324495695</v>
      </c>
      <c r="Y243" s="37">
        <v>2.5225985875531398</v>
      </c>
      <c r="Z243" s="37">
        <v>10.400706527475499</v>
      </c>
      <c r="AA243" s="37">
        <v>1.6930940931998799</v>
      </c>
      <c r="AB243" s="37">
        <v>1.8375851316302301</v>
      </c>
      <c r="AC243" s="37">
        <v>6.3135245630809997</v>
      </c>
      <c r="AD243" s="37">
        <v>3.0170800957248498</v>
      </c>
      <c r="AE243" s="37">
        <v>6.0905473858984696</v>
      </c>
      <c r="AF243" s="45">
        <v>-2.2433926837373499</v>
      </c>
      <c r="AG243" s="45">
        <v>-4.87395438915292</v>
      </c>
      <c r="AH243" s="46">
        <v>1.9341773521974299E-6</v>
      </c>
      <c r="AI243" s="47">
        <v>8.5693023087422505E-6</v>
      </c>
      <c r="AJ243" s="48">
        <v>19.9039470697582</v>
      </c>
      <c r="AK243" s="49">
        <v>4.0837368347260004</v>
      </c>
      <c r="AL243" s="31" t="s">
        <v>5875</v>
      </c>
      <c r="AM243" s="31" t="s">
        <v>5876</v>
      </c>
      <c r="AN243" s="31" t="s">
        <v>16455</v>
      </c>
      <c r="AO243" s="31" t="s">
        <v>16456</v>
      </c>
      <c r="AP243" s="31" t="s">
        <v>16457</v>
      </c>
      <c r="AQ243" s="31" t="s">
        <v>16458</v>
      </c>
      <c r="AR243" s="31" t="s">
        <v>16459</v>
      </c>
      <c r="AS243" s="31" t="str">
        <f>"COL1A2"</f>
        <v>COL1A2</v>
      </c>
      <c r="AT243" s="31" t="s">
        <v>13772</v>
      </c>
      <c r="AU243" s="31" t="s">
        <v>13777</v>
      </c>
      <c r="AV243" s="31">
        <v>9606</v>
      </c>
      <c r="AW243" s="50" t="str">
        <f>HYPERLINK("http://www.uniprot.org/uniprot/P08123", "P08123")</f>
        <v>P08123</v>
      </c>
      <c r="AX243" s="31" t="s">
        <v>16460</v>
      </c>
      <c r="AY243" s="31" t="s">
        <v>13772</v>
      </c>
      <c r="AZ243" s="31" t="s">
        <v>13869</v>
      </c>
      <c r="BA243" s="31" t="s">
        <v>13870</v>
      </c>
      <c r="BB243" s="31" t="s">
        <v>13772</v>
      </c>
      <c r="BC243" s="31" t="s">
        <v>13871</v>
      </c>
      <c r="BD243" s="31" t="s">
        <v>13872</v>
      </c>
      <c r="BE243" s="31" t="s">
        <v>13873</v>
      </c>
      <c r="BF243" s="31" t="s">
        <v>13772</v>
      </c>
      <c r="BG243" s="31" t="s">
        <v>16461</v>
      </c>
      <c r="BH243" s="31" t="s">
        <v>13812</v>
      </c>
      <c r="BI243" s="31" t="s">
        <v>16462</v>
      </c>
      <c r="BJ243" s="31" t="s">
        <v>16463</v>
      </c>
      <c r="BK243" s="31" t="s">
        <v>16464</v>
      </c>
      <c r="BL243" s="31" t="s">
        <v>13772</v>
      </c>
      <c r="BM243" s="31" t="s">
        <v>16465</v>
      </c>
    </row>
    <row r="244" spans="1:65">
      <c r="A244">
        <v>1471</v>
      </c>
      <c r="B244">
        <v>1</v>
      </c>
      <c r="C244">
        <v>239</v>
      </c>
      <c r="D244" t="s">
        <v>3498</v>
      </c>
      <c r="E244" t="s">
        <v>73</v>
      </c>
      <c r="F244" t="s">
        <v>73</v>
      </c>
      <c r="G244">
        <v>79.8</v>
      </c>
      <c r="H244">
        <v>501</v>
      </c>
      <c r="I244">
        <v>48513</v>
      </c>
      <c r="J244" t="s">
        <v>3499</v>
      </c>
      <c r="K244" s="3" t="s">
        <v>73</v>
      </c>
      <c r="L244">
        <v>173</v>
      </c>
      <c r="M244">
        <v>173</v>
      </c>
      <c r="N244">
        <v>1</v>
      </c>
      <c r="O244" s="11">
        <f t="shared" si="3"/>
        <v>10.537780112517074</v>
      </c>
      <c r="P244" s="36">
        <v>12.116433958347301</v>
      </c>
      <c r="Q244" s="36">
        <v>9.6306412067744702</v>
      </c>
      <c r="R244" s="36">
        <v>16.007976618122601</v>
      </c>
      <c r="S244" s="36">
        <v>19.654982868992001</v>
      </c>
      <c r="T244" s="36">
        <v>1.72035271987378</v>
      </c>
      <c r="U244" s="36">
        <v>9.2972724663949098</v>
      </c>
      <c r="V244" s="36">
        <v>6.3243736971878404</v>
      </c>
      <c r="W244" s="36">
        <v>5.8391015878938397</v>
      </c>
      <c r="X244" s="37">
        <v>7.9475829324495697</v>
      </c>
      <c r="Y244" s="37">
        <v>16.3968908190954</v>
      </c>
      <c r="Z244" s="37">
        <v>12.0008152240101</v>
      </c>
      <c r="AA244" s="37">
        <v>8.4654704659994096</v>
      </c>
      <c r="AB244" s="37">
        <v>4.5939628290755703</v>
      </c>
      <c r="AC244" s="37">
        <v>17.362192548472699</v>
      </c>
      <c r="AD244" s="37">
        <v>7.5427002393121096</v>
      </c>
      <c r="AE244" s="37">
        <v>13.7037316182716</v>
      </c>
      <c r="AF244" s="45">
        <v>0.18956803943123099</v>
      </c>
      <c r="AG244" s="45">
        <v>1.0920971213734301</v>
      </c>
      <c r="AH244" s="46">
        <v>0.73136215445998898</v>
      </c>
      <c r="AI244" s="47">
        <v>0.795579319241842</v>
      </c>
      <c r="AJ244" s="48">
        <v>10.0738918904483</v>
      </c>
      <c r="AK244" s="49">
        <v>11.0016683345858</v>
      </c>
      <c r="AL244" s="31" t="s">
        <v>5874</v>
      </c>
      <c r="AM244" s="31" t="s">
        <v>5832</v>
      </c>
      <c r="AN244" s="31" t="s">
        <v>27929</v>
      </c>
      <c r="AO244" s="31" t="s">
        <v>27930</v>
      </c>
      <c r="AP244" s="31" t="s">
        <v>27931</v>
      </c>
      <c r="AQ244" s="31" t="s">
        <v>27932</v>
      </c>
      <c r="AR244" s="31" t="s">
        <v>27933</v>
      </c>
      <c r="AS244" s="31" t="str">
        <f>"CDSN"</f>
        <v>CDSN</v>
      </c>
      <c r="AT244" s="31" t="s">
        <v>13772</v>
      </c>
      <c r="AU244" s="31" t="s">
        <v>13777</v>
      </c>
      <c r="AV244" s="31">
        <v>9606</v>
      </c>
      <c r="AW244" s="50" t="str">
        <f>HYPERLINK("http://www.uniprot.org/uniprot/Q15517", "Q15517")</f>
        <v>Q15517</v>
      </c>
      <c r="AX244" s="31" t="s">
        <v>27934</v>
      </c>
      <c r="AY244" s="31" t="s">
        <v>13772</v>
      </c>
      <c r="AZ244" s="31" t="s">
        <v>14321</v>
      </c>
      <c r="BA244" s="31" t="s">
        <v>13793</v>
      </c>
      <c r="BB244" s="31" t="s">
        <v>13772</v>
      </c>
      <c r="BC244" s="31" t="s">
        <v>18310</v>
      </c>
      <c r="BD244" s="31" t="s">
        <v>13808</v>
      </c>
      <c r="BE244" s="31" t="s">
        <v>13772</v>
      </c>
      <c r="BF244" s="31" t="s">
        <v>13772</v>
      </c>
      <c r="BG244" s="31" t="s">
        <v>13858</v>
      </c>
      <c r="BH244" s="31" t="s">
        <v>13772</v>
      </c>
      <c r="BI244" s="31" t="s">
        <v>27935</v>
      </c>
      <c r="BJ244" s="31" t="s">
        <v>27936</v>
      </c>
      <c r="BK244" s="31" t="s">
        <v>20460</v>
      </c>
      <c r="BL244" s="31" t="s">
        <v>13772</v>
      </c>
      <c r="BM244" s="31" t="s">
        <v>16024</v>
      </c>
    </row>
    <row r="245" spans="1:65">
      <c r="A245">
        <v>1974</v>
      </c>
      <c r="B245">
        <v>1</v>
      </c>
      <c r="C245">
        <v>240</v>
      </c>
      <c r="D245" t="s">
        <v>4650</v>
      </c>
      <c r="E245" t="s">
        <v>73</v>
      </c>
      <c r="F245" t="s">
        <v>73</v>
      </c>
      <c r="G245">
        <v>49.5</v>
      </c>
      <c r="H245">
        <v>501</v>
      </c>
      <c r="I245">
        <v>54936</v>
      </c>
      <c r="J245" t="s">
        <v>4651</v>
      </c>
      <c r="K245" s="3" t="s">
        <v>73</v>
      </c>
      <c r="L245">
        <v>174</v>
      </c>
      <c r="M245">
        <v>155</v>
      </c>
      <c r="N245">
        <v>0.89100000000000001</v>
      </c>
      <c r="O245" s="11">
        <f t="shared" si="3"/>
        <v>8.6604934715181781</v>
      </c>
      <c r="P245" s="36">
        <v>0.30291084895868198</v>
      </c>
      <c r="Q245" s="36">
        <v>3.85225648270979</v>
      </c>
      <c r="R245" s="36">
        <v>0.40019941545306398</v>
      </c>
      <c r="S245" s="36">
        <v>0.37798043978830698</v>
      </c>
      <c r="T245" s="36">
        <v>1.11822926791796</v>
      </c>
      <c r="U245" s="36">
        <v>0.23243181165987301</v>
      </c>
      <c r="V245" s="36">
        <v>3.1621868485939202</v>
      </c>
      <c r="W245" s="36">
        <v>3.8927343919292201</v>
      </c>
      <c r="X245" s="37">
        <v>32.505614193718699</v>
      </c>
      <c r="Y245" s="37">
        <v>15.577046278140701</v>
      </c>
      <c r="Z245" s="37">
        <v>17.4411847922281</v>
      </c>
      <c r="AA245" s="37">
        <v>21.7562590976185</v>
      </c>
      <c r="AB245" s="37">
        <v>12.771216664830099</v>
      </c>
      <c r="AC245" s="37">
        <v>5.5243339926958699</v>
      </c>
      <c r="AD245" s="37">
        <v>15.0854004786242</v>
      </c>
      <c r="AE245" s="37">
        <v>4.5679105394238499</v>
      </c>
      <c r="AF245" s="45">
        <v>3.07705112572273</v>
      </c>
      <c r="AG245" s="45">
        <v>9.3882320894987004</v>
      </c>
      <c r="AH245" s="46">
        <v>1.37812691104549E-8</v>
      </c>
      <c r="AI245" s="47">
        <v>1.2459012209316701E-7</v>
      </c>
      <c r="AJ245" s="48">
        <v>1.66736618837635</v>
      </c>
      <c r="AK245" s="49">
        <v>15.65362075466</v>
      </c>
      <c r="AL245" s="31" t="s">
        <v>5874</v>
      </c>
      <c r="AM245" s="31" t="s">
        <v>5876</v>
      </c>
      <c r="AN245" s="31" t="s">
        <v>32701</v>
      </c>
      <c r="AO245" s="31" t="s">
        <v>32702</v>
      </c>
      <c r="AP245" s="31" t="s">
        <v>32703</v>
      </c>
      <c r="AQ245" s="31" t="s">
        <v>32704</v>
      </c>
      <c r="AR245" s="31" t="s">
        <v>32705</v>
      </c>
      <c r="AS245" s="31" t="str">
        <f>"ALDH1A1"</f>
        <v>ALDH1A1</v>
      </c>
      <c r="AT245" s="31" t="s">
        <v>13772</v>
      </c>
      <c r="AU245" s="31" t="s">
        <v>13777</v>
      </c>
      <c r="AV245" s="31">
        <v>9606</v>
      </c>
      <c r="AW245" s="50" t="str">
        <f>HYPERLINK("http://www.uniprot.org/uniprot/P00352", "P00352")</f>
        <v>P00352</v>
      </c>
      <c r="AX245" s="31" t="s">
        <v>32706</v>
      </c>
      <c r="AY245" s="31" t="s">
        <v>13772</v>
      </c>
      <c r="AZ245" s="31" t="s">
        <v>13899</v>
      </c>
      <c r="BA245" s="31" t="s">
        <v>13793</v>
      </c>
      <c r="BB245" s="31" t="s">
        <v>13772</v>
      </c>
      <c r="BC245" s="31" t="s">
        <v>13772</v>
      </c>
      <c r="BD245" s="31" t="s">
        <v>13772</v>
      </c>
      <c r="BE245" s="31" t="s">
        <v>24496</v>
      </c>
      <c r="BF245" s="31" t="s">
        <v>13885</v>
      </c>
      <c r="BG245" s="31" t="s">
        <v>13886</v>
      </c>
      <c r="BH245" s="31" t="s">
        <v>13812</v>
      </c>
      <c r="BI245" s="31" t="s">
        <v>32707</v>
      </c>
      <c r="BJ245" s="31" t="s">
        <v>14194</v>
      </c>
      <c r="BK245" s="31" t="s">
        <v>32708</v>
      </c>
      <c r="BL245" s="31" t="s">
        <v>15763</v>
      </c>
      <c r="BM245" s="31" t="s">
        <v>32709</v>
      </c>
    </row>
    <row r="246" spans="1:65">
      <c r="A246">
        <v>1328</v>
      </c>
      <c r="B246">
        <v>1</v>
      </c>
      <c r="C246">
        <v>241</v>
      </c>
      <c r="D246" t="s">
        <v>3185</v>
      </c>
      <c r="E246" t="s">
        <v>73</v>
      </c>
      <c r="F246" t="s">
        <v>73</v>
      </c>
      <c r="G246">
        <v>31</v>
      </c>
      <c r="H246">
        <v>945</v>
      </c>
      <c r="I246">
        <v>108857</v>
      </c>
      <c r="J246" t="s">
        <v>3186</v>
      </c>
      <c r="K246" s="3" t="s">
        <v>73</v>
      </c>
      <c r="L246">
        <v>170</v>
      </c>
      <c r="M246">
        <v>170</v>
      </c>
      <c r="N246">
        <v>1</v>
      </c>
      <c r="O246" s="11">
        <f t="shared" si="3"/>
        <v>11.519222654431283</v>
      </c>
      <c r="P246" s="36">
        <v>16.963007541686199</v>
      </c>
      <c r="Q246" s="36">
        <v>27.928859499645998</v>
      </c>
      <c r="R246" s="36">
        <v>1.6007976618122599</v>
      </c>
      <c r="S246" s="36">
        <v>22.6788263872984</v>
      </c>
      <c r="T246" s="36">
        <v>24.945114438169899</v>
      </c>
      <c r="U246" s="36">
        <v>24.1729084126268</v>
      </c>
      <c r="V246" s="36">
        <v>22.135307940157499</v>
      </c>
      <c r="W246" s="36">
        <v>10.7050195778054</v>
      </c>
      <c r="X246" s="37">
        <v>0.19868957331123899</v>
      </c>
      <c r="Y246" s="37">
        <v>0.63064964688828595</v>
      </c>
      <c r="Z246" s="37">
        <v>0.200013587066836</v>
      </c>
      <c r="AA246" s="37">
        <v>0.84654704659994096</v>
      </c>
      <c r="AB246" s="37">
        <v>0.22969814145377901</v>
      </c>
      <c r="AC246" s="37">
        <v>2.36757171115537</v>
      </c>
      <c r="AD246" s="37">
        <v>24.136640765798798</v>
      </c>
      <c r="AE246" s="37">
        <v>4.5679105394238499</v>
      </c>
      <c r="AF246" s="45">
        <v>-2.2974112636999999</v>
      </c>
      <c r="AG246" s="45">
        <v>-4.5551604164106303</v>
      </c>
      <c r="AH246" s="46">
        <v>3.6991800296078299E-3</v>
      </c>
      <c r="AI246" s="47">
        <v>7.36533166609416E-3</v>
      </c>
      <c r="AJ246" s="48">
        <v>18.891230182400299</v>
      </c>
      <c r="AK246" s="49">
        <v>4.1472151264622603</v>
      </c>
      <c r="AL246" s="31" t="s">
        <v>5875</v>
      </c>
      <c r="AM246" s="31" t="s">
        <v>5876</v>
      </c>
      <c r="AN246" s="31" t="s">
        <v>26628</v>
      </c>
      <c r="AO246" s="31" t="s">
        <v>26629</v>
      </c>
      <c r="AP246" s="31" t="s">
        <v>26630</v>
      </c>
      <c r="AQ246" s="31" t="s">
        <v>26631</v>
      </c>
      <c r="AR246" s="31" t="s">
        <v>26632</v>
      </c>
      <c r="AS246" s="31" t="str">
        <f>"ENPEP"</f>
        <v>ENPEP</v>
      </c>
      <c r="AT246" s="31" t="s">
        <v>13772</v>
      </c>
      <c r="AU246" s="31" t="s">
        <v>13777</v>
      </c>
      <c r="AV246" s="31">
        <v>9606</v>
      </c>
      <c r="AW246" s="50" t="str">
        <f>HYPERLINK("http://www.uniprot.org/uniprot/Q07075", "Q07075")</f>
        <v>Q07075</v>
      </c>
      <c r="AX246" s="31" t="s">
        <v>26633</v>
      </c>
      <c r="AY246" s="31" t="s">
        <v>13772</v>
      </c>
      <c r="AZ246" s="31" t="s">
        <v>13792</v>
      </c>
      <c r="BA246" s="31" t="s">
        <v>13793</v>
      </c>
      <c r="BB246" s="31" t="s">
        <v>13772</v>
      </c>
      <c r="BC246" s="31" t="s">
        <v>13772</v>
      </c>
      <c r="BD246" s="31" t="s">
        <v>14417</v>
      </c>
      <c r="BE246" s="31" t="s">
        <v>14628</v>
      </c>
      <c r="BF246" s="31" t="s">
        <v>19025</v>
      </c>
      <c r="BG246" s="31" t="s">
        <v>13796</v>
      </c>
      <c r="BH246" s="31" t="s">
        <v>13812</v>
      </c>
      <c r="BI246" s="31" t="s">
        <v>26634</v>
      </c>
      <c r="BJ246" s="31" t="s">
        <v>26635</v>
      </c>
      <c r="BK246" s="31" t="s">
        <v>26636</v>
      </c>
      <c r="BL246" s="31" t="s">
        <v>13772</v>
      </c>
      <c r="BM246" s="31" t="s">
        <v>21168</v>
      </c>
    </row>
    <row r="247" spans="1:65">
      <c r="A247">
        <v>2092</v>
      </c>
      <c r="B247">
        <v>1</v>
      </c>
      <c r="C247">
        <v>242</v>
      </c>
      <c r="D247" t="s">
        <v>4912</v>
      </c>
      <c r="E247" t="s">
        <v>73</v>
      </c>
      <c r="F247" t="s">
        <v>73</v>
      </c>
      <c r="G247">
        <v>89.8</v>
      </c>
      <c r="H247">
        <v>206</v>
      </c>
      <c r="I247">
        <v>22081</v>
      </c>
      <c r="J247" t="s">
        <v>4913</v>
      </c>
      <c r="K247" s="3" t="s">
        <v>73</v>
      </c>
      <c r="L247">
        <v>170</v>
      </c>
      <c r="M247">
        <v>170</v>
      </c>
      <c r="N247">
        <v>1</v>
      </c>
      <c r="O247" s="11">
        <f t="shared" si="3"/>
        <v>8.9595587432170856</v>
      </c>
      <c r="P247" s="36">
        <v>7.2698603750083803</v>
      </c>
      <c r="Q247" s="36">
        <v>0.96306412067744696</v>
      </c>
      <c r="R247" s="36">
        <v>1.6007976618122599</v>
      </c>
      <c r="S247" s="36">
        <v>0.37798043978830698</v>
      </c>
      <c r="T247" s="36">
        <v>2.5805290798106801</v>
      </c>
      <c r="U247" s="36">
        <v>4.6486362331974602</v>
      </c>
      <c r="V247" s="36">
        <v>3.1621868485939202</v>
      </c>
      <c r="W247" s="36">
        <v>16.544121165699199</v>
      </c>
      <c r="X247" s="37">
        <v>21.458473917613802</v>
      </c>
      <c r="Y247" s="37">
        <v>23.334036934866599</v>
      </c>
      <c r="Z247" s="37">
        <v>4.0002717413367099</v>
      </c>
      <c r="AA247" s="37">
        <v>19.470582071798599</v>
      </c>
      <c r="AB247" s="37">
        <v>19.294643882117398</v>
      </c>
      <c r="AC247" s="37">
        <v>11.048667985391701</v>
      </c>
      <c r="AD247" s="37">
        <v>1.50854004786242</v>
      </c>
      <c r="AE247" s="37">
        <v>6.0905473858984696</v>
      </c>
      <c r="AF247" s="45">
        <v>1.48215188762684</v>
      </c>
      <c r="AG247" s="45">
        <v>2.8590535168136002</v>
      </c>
      <c r="AH247" s="46">
        <v>1.25079016465863E-2</v>
      </c>
      <c r="AI247" s="47">
        <v>2.25546797885883E-2</v>
      </c>
      <c r="AJ247" s="48">
        <v>4.6433969905734598</v>
      </c>
      <c r="AK247" s="49">
        <v>13.2757204958607</v>
      </c>
      <c r="AL247" s="31" t="s">
        <v>5874</v>
      </c>
      <c r="AM247" s="31" t="s">
        <v>5878</v>
      </c>
      <c r="AN247" s="31" t="s">
        <v>33806</v>
      </c>
      <c r="AO247" s="31" t="s">
        <v>33807</v>
      </c>
      <c r="AP247" s="31" t="s">
        <v>33808</v>
      </c>
      <c r="AQ247" s="31" t="s">
        <v>33809</v>
      </c>
      <c r="AR247" s="31" t="s">
        <v>33810</v>
      </c>
      <c r="AS247" s="31" t="str">
        <f>"BLVRB"</f>
        <v>BLVRB</v>
      </c>
      <c r="AT247" s="31" t="s">
        <v>33811</v>
      </c>
      <c r="AU247" s="31" t="s">
        <v>13777</v>
      </c>
      <c r="AV247" s="31">
        <v>9606</v>
      </c>
      <c r="AW247" s="50" t="str">
        <f>HYPERLINK("http://www.uniprot.org/uniprot/P30043", "P30043")</f>
        <v>P30043</v>
      </c>
      <c r="AX247" s="31" t="s">
        <v>33812</v>
      </c>
      <c r="AY247" s="31" t="s">
        <v>13772</v>
      </c>
      <c r="AZ247" s="31" t="s">
        <v>13899</v>
      </c>
      <c r="BA247" s="31" t="s">
        <v>13793</v>
      </c>
      <c r="BB247" s="31" t="s">
        <v>13772</v>
      </c>
      <c r="BC247" s="31" t="s">
        <v>13772</v>
      </c>
      <c r="BD247" s="31" t="s">
        <v>13772</v>
      </c>
      <c r="BE247" s="31" t="s">
        <v>15759</v>
      </c>
      <c r="BF247" s="31" t="s">
        <v>13885</v>
      </c>
      <c r="BG247" s="31" t="s">
        <v>13782</v>
      </c>
      <c r="BH247" s="31" t="s">
        <v>13812</v>
      </c>
      <c r="BI247" s="31" t="s">
        <v>33813</v>
      </c>
      <c r="BJ247" s="31" t="s">
        <v>33814</v>
      </c>
      <c r="BK247" s="31" t="s">
        <v>33815</v>
      </c>
      <c r="BL247" s="31" t="s">
        <v>13772</v>
      </c>
      <c r="BM247" s="31" t="s">
        <v>17073</v>
      </c>
    </row>
    <row r="248" spans="1:65">
      <c r="A248">
        <v>775</v>
      </c>
      <c r="B248">
        <v>1</v>
      </c>
      <c r="C248">
        <v>243</v>
      </c>
      <c r="D248" t="s">
        <v>1904</v>
      </c>
      <c r="E248" t="s">
        <v>73</v>
      </c>
      <c r="F248" t="s">
        <v>73</v>
      </c>
      <c r="G248">
        <v>25.8</v>
      </c>
      <c r="H248">
        <v>1827</v>
      </c>
      <c r="I248">
        <v>210287</v>
      </c>
      <c r="J248" t="s">
        <v>1906</v>
      </c>
      <c r="K248" s="3" t="s">
        <v>73</v>
      </c>
      <c r="L248">
        <v>178</v>
      </c>
      <c r="M248">
        <v>167</v>
      </c>
      <c r="N248">
        <v>0.93799999999999994</v>
      </c>
      <c r="O248" s="11">
        <f t="shared" si="3"/>
        <v>11.815361050894213</v>
      </c>
      <c r="P248" s="36">
        <v>15.7513641458515</v>
      </c>
      <c r="Q248" s="36">
        <v>8.9564963223002607</v>
      </c>
      <c r="R248" s="36">
        <v>8.4842276076049696</v>
      </c>
      <c r="S248" s="36">
        <v>20.108559396737999</v>
      </c>
      <c r="T248" s="36">
        <v>28.385819877917399</v>
      </c>
      <c r="U248" s="36">
        <v>28.1707355731766</v>
      </c>
      <c r="V248" s="36">
        <v>34.046211736527901</v>
      </c>
      <c r="W248" s="36">
        <v>12.9433418531647</v>
      </c>
      <c r="X248" s="37">
        <v>0.19868957331123899</v>
      </c>
      <c r="Y248" s="37">
        <v>0.15766241172207099</v>
      </c>
      <c r="Z248" s="37">
        <v>0.200013587066836</v>
      </c>
      <c r="AA248" s="37">
        <v>0.21163676164998499</v>
      </c>
      <c r="AB248" s="37">
        <v>0.22969814145377901</v>
      </c>
      <c r="AC248" s="37">
        <v>0.19729764259628099</v>
      </c>
      <c r="AD248" s="37">
        <v>30.6233629716072</v>
      </c>
      <c r="AE248" s="37">
        <v>0.38065921161865401</v>
      </c>
      <c r="AF248" s="45">
        <v>-2.3697780080246802</v>
      </c>
      <c r="AG248" s="45">
        <v>-4.8711654903451604</v>
      </c>
      <c r="AH248" s="46">
        <v>1.28305243393282E-2</v>
      </c>
      <c r="AI248" s="47">
        <v>2.30742494166951E-2</v>
      </c>
      <c r="AJ248" s="48">
        <v>19.605844564160201</v>
      </c>
      <c r="AK248" s="49">
        <v>4.0248775376282504</v>
      </c>
      <c r="AL248" s="31" t="s">
        <v>5875</v>
      </c>
      <c r="AM248" s="31" t="s">
        <v>5878</v>
      </c>
      <c r="AN248" s="31" t="s">
        <v>21421</v>
      </c>
      <c r="AO248" s="31" t="s">
        <v>13772</v>
      </c>
      <c r="AP248" s="31" t="s">
        <v>21422</v>
      </c>
      <c r="AQ248" s="31" t="s">
        <v>21423</v>
      </c>
      <c r="AR248" s="31" t="s">
        <v>21424</v>
      </c>
      <c r="AS248" s="31" t="str">
        <f>"SI"</f>
        <v>SI</v>
      </c>
      <c r="AT248" s="31" t="s">
        <v>13772</v>
      </c>
      <c r="AU248" s="31" t="s">
        <v>13777</v>
      </c>
      <c r="AV248" s="31">
        <v>9606</v>
      </c>
      <c r="AW248" s="50" t="str">
        <f>HYPERLINK("http://www.uniprot.org/uniprot/P14410", "P14410")</f>
        <v>P14410</v>
      </c>
      <c r="AX248" s="31" t="s">
        <v>21425</v>
      </c>
      <c r="AY248" s="31" t="s">
        <v>13772</v>
      </c>
      <c r="AZ248" s="31" t="s">
        <v>13792</v>
      </c>
      <c r="BA248" s="31" t="s">
        <v>13793</v>
      </c>
      <c r="BB248" s="31" t="s">
        <v>13772</v>
      </c>
      <c r="BC248" s="31" t="s">
        <v>13807</v>
      </c>
      <c r="BD248" s="31" t="s">
        <v>17249</v>
      </c>
      <c r="BE248" s="31" t="s">
        <v>13772</v>
      </c>
      <c r="BF248" s="31" t="s">
        <v>17250</v>
      </c>
      <c r="BG248" s="31" t="s">
        <v>14159</v>
      </c>
      <c r="BH248" s="31" t="s">
        <v>13812</v>
      </c>
      <c r="BI248" s="31" t="s">
        <v>21426</v>
      </c>
      <c r="BJ248" s="31" t="s">
        <v>21427</v>
      </c>
      <c r="BK248" s="31" t="s">
        <v>21428</v>
      </c>
      <c r="BL248" s="31" t="s">
        <v>13772</v>
      </c>
      <c r="BM248" s="31" t="s">
        <v>21429</v>
      </c>
    </row>
    <row r="249" spans="1:65">
      <c r="A249">
        <v>2197</v>
      </c>
      <c r="B249">
        <v>1</v>
      </c>
      <c r="C249">
        <v>244</v>
      </c>
      <c r="D249" t="s">
        <v>5137</v>
      </c>
      <c r="E249" t="s">
        <v>73</v>
      </c>
      <c r="F249" t="s">
        <v>73</v>
      </c>
      <c r="G249">
        <v>58.9</v>
      </c>
      <c r="H249">
        <v>304</v>
      </c>
      <c r="I249">
        <v>33763</v>
      </c>
      <c r="J249" t="s">
        <v>5138</v>
      </c>
      <c r="K249" s="3" t="s">
        <v>73</v>
      </c>
      <c r="L249">
        <v>169</v>
      </c>
      <c r="M249">
        <v>169</v>
      </c>
      <c r="N249">
        <v>1</v>
      </c>
      <c r="O249" s="11">
        <f t="shared" si="3"/>
        <v>9.3765308349418603</v>
      </c>
      <c r="P249" s="36">
        <v>15.7513641458515</v>
      </c>
      <c r="Q249" s="36">
        <v>4.8153206033872298</v>
      </c>
      <c r="R249" s="36">
        <v>4.8023929854367697</v>
      </c>
      <c r="S249" s="36">
        <v>6.0476870366129196</v>
      </c>
      <c r="T249" s="36">
        <v>4.3008817996844604</v>
      </c>
      <c r="U249" s="36">
        <v>3.7189089865579601</v>
      </c>
      <c r="V249" s="36">
        <v>6.3243736971878404</v>
      </c>
      <c r="W249" s="36">
        <v>13.6245703717523</v>
      </c>
      <c r="X249" s="37">
        <v>6.35806634595966</v>
      </c>
      <c r="Y249" s="37">
        <v>17.027540465983702</v>
      </c>
      <c r="Z249" s="37">
        <v>14.400978268812199</v>
      </c>
      <c r="AA249" s="37">
        <v>11.8516586523992</v>
      </c>
      <c r="AB249" s="37">
        <v>9.1879256581511406</v>
      </c>
      <c r="AC249" s="37">
        <v>18.1513831188579</v>
      </c>
      <c r="AD249" s="37">
        <v>4.5256201435872701</v>
      </c>
      <c r="AE249" s="37">
        <v>9.1358210788476999</v>
      </c>
      <c r="AF249" s="45">
        <v>0.639826569875239</v>
      </c>
      <c r="AG249" s="45">
        <v>1.5262815721465499</v>
      </c>
      <c r="AH249" s="46">
        <v>0.131703855115262</v>
      </c>
      <c r="AI249" s="47">
        <v>0.18092377632876899</v>
      </c>
      <c r="AJ249" s="48">
        <v>7.42318745330887</v>
      </c>
      <c r="AK249" s="49">
        <v>11.329874216574799</v>
      </c>
      <c r="AL249" s="31" t="s">
        <v>5874</v>
      </c>
      <c r="AM249" s="31" t="s">
        <v>5832</v>
      </c>
      <c r="AN249" s="31" t="s">
        <v>34759</v>
      </c>
      <c r="AO249" s="31" t="s">
        <v>34760</v>
      </c>
      <c r="AP249" s="31" t="s">
        <v>34761</v>
      </c>
      <c r="AQ249" s="31" t="s">
        <v>34762</v>
      </c>
      <c r="AR249" s="31" t="s">
        <v>34763</v>
      </c>
      <c r="AS249" s="31" t="str">
        <f>"CTSZ"</f>
        <v>CTSZ</v>
      </c>
      <c r="AT249" s="31" t="s">
        <v>13772</v>
      </c>
      <c r="AU249" s="31" t="s">
        <v>13777</v>
      </c>
      <c r="AV249" s="31">
        <v>9606</v>
      </c>
      <c r="AW249" s="50" t="str">
        <f>HYPERLINK("http://www.uniprot.org/uniprot/Q9UBR2", "Q9UBR2")</f>
        <v>Q9UBR2</v>
      </c>
      <c r="AX249" s="31" t="s">
        <v>15517</v>
      </c>
      <c r="AY249" s="31" t="s">
        <v>13772</v>
      </c>
      <c r="AZ249" s="31" t="s">
        <v>13806</v>
      </c>
      <c r="BA249" s="31" t="s">
        <v>13793</v>
      </c>
      <c r="BB249" s="31" t="s">
        <v>13772</v>
      </c>
      <c r="BC249" s="31" t="s">
        <v>13772</v>
      </c>
      <c r="BD249" s="31" t="s">
        <v>13808</v>
      </c>
      <c r="BE249" s="31" t="s">
        <v>13772</v>
      </c>
      <c r="BF249" s="31" t="s">
        <v>14083</v>
      </c>
      <c r="BG249" s="31" t="s">
        <v>15472</v>
      </c>
      <c r="BH249" s="31" t="s">
        <v>13812</v>
      </c>
      <c r="BI249" s="31" t="s">
        <v>34764</v>
      </c>
      <c r="BJ249" s="31" t="s">
        <v>34765</v>
      </c>
      <c r="BK249" s="31" t="s">
        <v>34766</v>
      </c>
      <c r="BL249" s="31" t="s">
        <v>13772</v>
      </c>
      <c r="BM249" s="31" t="s">
        <v>34767</v>
      </c>
    </row>
    <row r="250" spans="1:65">
      <c r="A250">
        <v>2195</v>
      </c>
      <c r="B250">
        <v>1</v>
      </c>
      <c r="C250">
        <v>245</v>
      </c>
      <c r="D250" t="s">
        <v>5132</v>
      </c>
      <c r="E250" t="s">
        <v>73</v>
      </c>
      <c r="F250" t="s">
        <v>73</v>
      </c>
      <c r="G250">
        <v>36.1</v>
      </c>
      <c r="H250">
        <v>704</v>
      </c>
      <c r="I250">
        <v>78127</v>
      </c>
      <c r="J250" t="s">
        <v>5133</v>
      </c>
      <c r="K250" s="3" t="s">
        <v>73</v>
      </c>
      <c r="L250">
        <v>168</v>
      </c>
      <c r="M250">
        <v>163</v>
      </c>
      <c r="N250">
        <v>0.97</v>
      </c>
      <c r="O250" s="11">
        <f t="shared" si="3"/>
        <v>10.397173248629043</v>
      </c>
      <c r="P250" s="36">
        <v>10.9047905625126</v>
      </c>
      <c r="Q250" s="36">
        <v>16.372090051516601</v>
      </c>
      <c r="R250" s="36">
        <v>19.2095719417471</v>
      </c>
      <c r="S250" s="36">
        <v>22.6788263872984</v>
      </c>
      <c r="T250" s="36">
        <v>12.9026453990534</v>
      </c>
      <c r="U250" s="36">
        <v>14.782663221567899</v>
      </c>
      <c r="V250" s="36">
        <v>9.4865605457817708</v>
      </c>
      <c r="W250" s="36">
        <v>1.9463671959646101</v>
      </c>
      <c r="X250" s="37">
        <v>2.3842748797348698</v>
      </c>
      <c r="Y250" s="37">
        <v>7.5677957626594301</v>
      </c>
      <c r="Z250" s="37">
        <v>7.2004891344060802</v>
      </c>
      <c r="AA250" s="37">
        <v>14.391299792199</v>
      </c>
      <c r="AB250" s="37">
        <v>6.4315479607058004</v>
      </c>
      <c r="AC250" s="37">
        <v>14.0475921528552</v>
      </c>
      <c r="AD250" s="37">
        <v>4.5256201435872701</v>
      </c>
      <c r="AE250" s="37">
        <v>1.5226368464746201</v>
      </c>
      <c r="AF250" s="45">
        <v>-0.82843420290049896</v>
      </c>
      <c r="AG250" s="45">
        <v>-1.8646662998166601</v>
      </c>
      <c r="AH250" s="46">
        <v>5.8622269260190402E-2</v>
      </c>
      <c r="AI250" s="47">
        <v>8.8729181301057405E-2</v>
      </c>
      <c r="AJ250" s="48">
        <v>13.535439413180301</v>
      </c>
      <c r="AK250" s="49">
        <v>7.2589070840777898</v>
      </c>
      <c r="AL250" s="31" t="s">
        <v>5875</v>
      </c>
      <c r="AM250" s="31" t="s">
        <v>5877</v>
      </c>
      <c r="AN250" s="31" t="s">
        <v>34736</v>
      </c>
      <c r="AO250" s="31" t="s">
        <v>34737</v>
      </c>
      <c r="AP250" s="31" t="s">
        <v>34738</v>
      </c>
      <c r="AQ250" s="31" t="s">
        <v>34739</v>
      </c>
      <c r="AR250" s="31" t="s">
        <v>34740</v>
      </c>
      <c r="AS250" s="31" t="str">
        <f>"MMP9"</f>
        <v>MMP9</v>
      </c>
      <c r="AT250" s="31" t="s">
        <v>34741</v>
      </c>
      <c r="AU250" s="31" t="s">
        <v>13777</v>
      </c>
      <c r="AV250" s="31">
        <v>9606</v>
      </c>
      <c r="AW250" s="50" t="str">
        <f>HYPERLINK("http://www.uniprot.org/uniprot/P14780", "P14780")</f>
        <v>P14780</v>
      </c>
      <c r="AX250" s="31" t="s">
        <v>19755</v>
      </c>
      <c r="AY250" s="31" t="s">
        <v>19063</v>
      </c>
      <c r="AZ250" s="31" t="s">
        <v>13869</v>
      </c>
      <c r="BA250" s="31" t="s">
        <v>13793</v>
      </c>
      <c r="BB250" s="31" t="s">
        <v>13772</v>
      </c>
      <c r="BC250" s="31" t="s">
        <v>13772</v>
      </c>
      <c r="BD250" s="31" t="s">
        <v>14404</v>
      </c>
      <c r="BE250" s="31" t="s">
        <v>14628</v>
      </c>
      <c r="BF250" s="31" t="s">
        <v>15139</v>
      </c>
      <c r="BG250" s="31" t="s">
        <v>15472</v>
      </c>
      <c r="BH250" s="31" t="s">
        <v>13812</v>
      </c>
      <c r="BI250" s="31" t="s">
        <v>34742</v>
      </c>
      <c r="BJ250" s="31" t="s">
        <v>34743</v>
      </c>
      <c r="BK250" s="31" t="s">
        <v>34744</v>
      </c>
      <c r="BL250" s="31" t="s">
        <v>13772</v>
      </c>
      <c r="BM250" s="31" t="s">
        <v>34745</v>
      </c>
    </row>
    <row r="251" spans="1:65">
      <c r="A251">
        <v>395</v>
      </c>
      <c r="B251">
        <v>1</v>
      </c>
      <c r="C251">
        <v>246</v>
      </c>
      <c r="D251" t="s">
        <v>988</v>
      </c>
      <c r="E251" t="s">
        <v>73</v>
      </c>
      <c r="F251" t="s">
        <v>73</v>
      </c>
      <c r="G251">
        <v>43.4</v>
      </c>
      <c r="H251">
        <v>553</v>
      </c>
      <c r="I251">
        <v>59753</v>
      </c>
      <c r="J251" t="s">
        <v>989</v>
      </c>
      <c r="K251" s="3" t="s">
        <v>73</v>
      </c>
      <c r="L251">
        <v>167</v>
      </c>
      <c r="M251">
        <v>167</v>
      </c>
      <c r="N251">
        <v>1</v>
      </c>
      <c r="O251" s="11">
        <f t="shared" si="3"/>
        <v>9.1150090702637385</v>
      </c>
      <c r="P251" s="36">
        <v>8.4815037708430996</v>
      </c>
      <c r="Q251" s="36">
        <v>20.224346534226399</v>
      </c>
      <c r="R251" s="36">
        <v>3.2015953236245198</v>
      </c>
      <c r="S251" s="36">
        <v>4.5357652774596904</v>
      </c>
      <c r="T251" s="36">
        <v>12.9026453990534</v>
      </c>
      <c r="U251" s="36">
        <v>10.226999713034401</v>
      </c>
      <c r="V251" s="36">
        <v>5.2703114143232002</v>
      </c>
      <c r="W251" s="36">
        <v>12.65138677377</v>
      </c>
      <c r="X251" s="37">
        <v>6.35806634595966</v>
      </c>
      <c r="Y251" s="37">
        <v>13.243642584653999</v>
      </c>
      <c r="Z251" s="37">
        <v>18.4012500101489</v>
      </c>
      <c r="AA251" s="37">
        <v>8.4654704659994096</v>
      </c>
      <c r="AB251" s="37">
        <v>7.3503405265209096</v>
      </c>
      <c r="AC251" s="37">
        <v>12.627049126161999</v>
      </c>
      <c r="AD251" s="37">
        <v>0.377135011965606</v>
      </c>
      <c r="AE251" s="37">
        <v>1.5226368464746201</v>
      </c>
      <c r="AF251" s="45">
        <v>-0.153922373569708</v>
      </c>
      <c r="AG251" s="45">
        <v>-1.13386325534067</v>
      </c>
      <c r="AH251" s="46">
        <v>0.74462169607874695</v>
      </c>
      <c r="AI251" s="47">
        <v>0.80868817317643105</v>
      </c>
      <c r="AJ251" s="48">
        <v>9.6868192757918301</v>
      </c>
      <c r="AK251" s="49">
        <v>8.5431988647356292</v>
      </c>
      <c r="AL251" s="31" t="s">
        <v>5875</v>
      </c>
      <c r="AM251" s="31" t="s">
        <v>5832</v>
      </c>
      <c r="AN251" s="31" t="s">
        <v>17562</v>
      </c>
      <c r="AO251" s="31" t="s">
        <v>17563</v>
      </c>
      <c r="AP251" s="31" t="s">
        <v>17564</v>
      </c>
      <c r="AQ251" s="31" t="s">
        <v>17565</v>
      </c>
      <c r="AR251" s="31" t="s">
        <v>17566</v>
      </c>
      <c r="AS251" s="31" t="str">
        <f>"ATP5F1A"</f>
        <v>ATP5F1A</v>
      </c>
      <c r="AT251" s="31" t="s">
        <v>13772</v>
      </c>
      <c r="AU251" s="31" t="s">
        <v>13777</v>
      </c>
      <c r="AV251" s="31">
        <v>9606</v>
      </c>
      <c r="AW251" s="50" t="str">
        <f>HYPERLINK("http://www.uniprot.org/uniprot/P25705", "P25705")</f>
        <v>P25705</v>
      </c>
      <c r="AX251" s="31" t="s">
        <v>17567</v>
      </c>
      <c r="AY251" s="31" t="s">
        <v>17568</v>
      </c>
      <c r="AZ251" s="31" t="s">
        <v>17569</v>
      </c>
      <c r="BA251" s="31" t="s">
        <v>13780</v>
      </c>
      <c r="BB251" s="31" t="s">
        <v>13772</v>
      </c>
      <c r="BC251" s="31" t="s">
        <v>14390</v>
      </c>
      <c r="BD251" s="31" t="s">
        <v>14391</v>
      </c>
      <c r="BE251" s="31" t="s">
        <v>14005</v>
      </c>
      <c r="BF251" s="31" t="s">
        <v>13772</v>
      </c>
      <c r="BG251" s="31" t="s">
        <v>17570</v>
      </c>
      <c r="BH251" s="31" t="s">
        <v>13772</v>
      </c>
      <c r="BI251" s="31" t="s">
        <v>17571</v>
      </c>
      <c r="BJ251" s="31" t="s">
        <v>17572</v>
      </c>
      <c r="BK251" s="31" t="s">
        <v>17573</v>
      </c>
      <c r="BL251" s="31" t="s">
        <v>13772</v>
      </c>
      <c r="BM251" s="31" t="s">
        <v>17574</v>
      </c>
    </row>
    <row r="252" spans="1:65">
      <c r="A252">
        <v>1296</v>
      </c>
      <c r="B252">
        <v>1</v>
      </c>
      <c r="C252">
        <v>247</v>
      </c>
      <c r="D252" t="s">
        <v>3108</v>
      </c>
      <c r="E252" t="s">
        <v>73</v>
      </c>
      <c r="F252" t="s">
        <v>73</v>
      </c>
      <c r="G252">
        <v>66.5</v>
      </c>
      <c r="H252">
        <v>519</v>
      </c>
      <c r="I252">
        <v>56098</v>
      </c>
      <c r="J252" t="s">
        <v>3109</v>
      </c>
      <c r="K252" s="3" t="s">
        <v>73</v>
      </c>
      <c r="L252">
        <v>167</v>
      </c>
      <c r="M252">
        <v>167</v>
      </c>
      <c r="N252">
        <v>1</v>
      </c>
      <c r="O252" s="11">
        <f t="shared" si="3"/>
        <v>12.13571108522153</v>
      </c>
      <c r="P252" s="36">
        <v>2.4232867916694598</v>
      </c>
      <c r="Q252" s="36">
        <v>4.8153206033872298</v>
      </c>
      <c r="R252" s="36">
        <v>4.8023929854367697</v>
      </c>
      <c r="S252" s="36">
        <v>3.0238435183064598</v>
      </c>
      <c r="T252" s="36">
        <v>10.322116319242699</v>
      </c>
      <c r="U252" s="36">
        <v>12.0864542063134</v>
      </c>
      <c r="V252" s="36">
        <v>5.2703114143232002</v>
      </c>
      <c r="W252" s="36">
        <v>3.8927343919292201</v>
      </c>
      <c r="X252" s="37">
        <v>17.484682451389101</v>
      </c>
      <c r="Y252" s="37">
        <v>10.0903943502126</v>
      </c>
      <c r="Z252" s="37">
        <v>2.4001630448020301</v>
      </c>
      <c r="AA252" s="37">
        <v>3.3861881863997598</v>
      </c>
      <c r="AB252" s="37">
        <v>0.22969814145377901</v>
      </c>
      <c r="AC252" s="37">
        <v>0.78919057038512497</v>
      </c>
      <c r="AD252" s="37">
        <v>111.631963541819</v>
      </c>
      <c r="AE252" s="37">
        <v>1.5226368464746201</v>
      </c>
      <c r="AF252" s="45">
        <v>1.6044266381394201</v>
      </c>
      <c r="AG252" s="45">
        <v>3.1635101893112001</v>
      </c>
      <c r="AH252" s="46">
        <v>5.6436771443313799E-2</v>
      </c>
      <c r="AI252" s="47">
        <v>8.6005011607236698E-2</v>
      </c>
      <c r="AJ252" s="48">
        <v>5.8295575288260597</v>
      </c>
      <c r="AK252" s="49">
        <v>18.441864641616998</v>
      </c>
      <c r="AL252" s="31" t="s">
        <v>5874</v>
      </c>
      <c r="AM252" s="31" t="s">
        <v>5877</v>
      </c>
      <c r="AN252" s="31" t="s">
        <v>26309</v>
      </c>
      <c r="AO252" s="31" t="s">
        <v>26310</v>
      </c>
      <c r="AP252" s="31" t="s">
        <v>26311</v>
      </c>
      <c r="AQ252" s="31" t="s">
        <v>26312</v>
      </c>
      <c r="AR252" s="31" t="s">
        <v>26313</v>
      </c>
      <c r="AS252" s="31" t="str">
        <f>"LAP3"</f>
        <v>LAP3</v>
      </c>
      <c r="AT252" s="31" t="s">
        <v>26314</v>
      </c>
      <c r="AU252" s="31" t="s">
        <v>13777</v>
      </c>
      <c r="AV252" s="31">
        <v>9606</v>
      </c>
      <c r="AW252" s="50" t="str">
        <f>HYPERLINK("http://www.uniprot.org/uniprot/P28838", "P28838")</f>
        <v>P28838</v>
      </c>
      <c r="AX252" s="31" t="s">
        <v>26315</v>
      </c>
      <c r="AY252" s="31" t="s">
        <v>13772</v>
      </c>
      <c r="AZ252" s="31" t="s">
        <v>13899</v>
      </c>
      <c r="BA252" s="31" t="s">
        <v>26316</v>
      </c>
      <c r="BB252" s="31" t="s">
        <v>13772</v>
      </c>
      <c r="BC252" s="31" t="s">
        <v>13772</v>
      </c>
      <c r="BD252" s="31" t="s">
        <v>13772</v>
      </c>
      <c r="BE252" s="31" t="s">
        <v>26317</v>
      </c>
      <c r="BF252" s="31" t="s">
        <v>26318</v>
      </c>
      <c r="BG252" s="31" t="s">
        <v>13886</v>
      </c>
      <c r="BH252" s="31" t="s">
        <v>13772</v>
      </c>
      <c r="BI252" s="31" t="s">
        <v>17126</v>
      </c>
      <c r="BJ252" s="31" t="s">
        <v>26319</v>
      </c>
      <c r="BK252" s="31" t="s">
        <v>26320</v>
      </c>
      <c r="BL252" s="31" t="s">
        <v>13772</v>
      </c>
      <c r="BM252" s="31" t="s">
        <v>13772</v>
      </c>
    </row>
    <row r="253" spans="1:65">
      <c r="A253">
        <v>1619</v>
      </c>
      <c r="B253">
        <v>1</v>
      </c>
      <c r="C253">
        <v>248</v>
      </c>
      <c r="D253" t="s">
        <v>3837</v>
      </c>
      <c r="E253" t="s">
        <v>73</v>
      </c>
      <c r="F253" t="s">
        <v>73</v>
      </c>
      <c r="G253">
        <v>64.7</v>
      </c>
      <c r="H253">
        <v>207</v>
      </c>
      <c r="I253">
        <v>22919</v>
      </c>
      <c r="J253" t="s">
        <v>3838</v>
      </c>
      <c r="K253" s="3" t="s">
        <v>73</v>
      </c>
      <c r="L253">
        <v>167</v>
      </c>
      <c r="M253">
        <v>167</v>
      </c>
      <c r="N253">
        <v>1</v>
      </c>
      <c r="O253" s="11">
        <f t="shared" si="3"/>
        <v>9.1944727607941292</v>
      </c>
      <c r="P253" s="36">
        <v>4.8465735833389196</v>
      </c>
      <c r="Q253" s="36">
        <v>5.7783847240646802</v>
      </c>
      <c r="R253" s="36">
        <v>6.4031906472490299</v>
      </c>
      <c r="S253" s="36">
        <v>10.5834523140726</v>
      </c>
      <c r="T253" s="36">
        <v>6.0212345195582504</v>
      </c>
      <c r="U253" s="36">
        <v>9.2972724663949098</v>
      </c>
      <c r="V253" s="36">
        <v>4.21624913145856</v>
      </c>
      <c r="W253" s="36">
        <v>2.9195507939469199</v>
      </c>
      <c r="X253" s="37">
        <v>7.9475829324495697</v>
      </c>
      <c r="Y253" s="37">
        <v>6.9371461157711396</v>
      </c>
      <c r="Z253" s="37">
        <v>12.800869572277501</v>
      </c>
      <c r="AA253" s="37">
        <v>11.8516586523992</v>
      </c>
      <c r="AB253" s="37">
        <v>18.375851316302299</v>
      </c>
      <c r="AC253" s="37">
        <v>11.837858555776901</v>
      </c>
      <c r="AD253" s="37">
        <v>12.068320382899399</v>
      </c>
      <c r="AE253" s="37">
        <v>15.2263684647462</v>
      </c>
      <c r="AF253" s="45">
        <v>0.93967342380781504</v>
      </c>
      <c r="AG253" s="45">
        <v>1.9383580468280901</v>
      </c>
      <c r="AH253" s="46">
        <v>6.0605274518597497E-3</v>
      </c>
      <c r="AI253" s="47">
        <v>1.1786316468878399E-2</v>
      </c>
      <c r="AJ253" s="48">
        <v>6.2582385225104797</v>
      </c>
      <c r="AK253" s="49">
        <v>12.1307069990778</v>
      </c>
      <c r="AL253" s="31" t="s">
        <v>5874</v>
      </c>
      <c r="AM253" s="31" t="s">
        <v>5878</v>
      </c>
      <c r="AN253" s="31" t="s">
        <v>29314</v>
      </c>
      <c r="AO253" s="31" t="s">
        <v>29315</v>
      </c>
      <c r="AP253" s="31" t="s">
        <v>29316</v>
      </c>
      <c r="AQ253" s="31" t="s">
        <v>29317</v>
      </c>
      <c r="AR253" s="31" t="s">
        <v>29318</v>
      </c>
      <c r="AS253" s="31" t="str">
        <f>"TIMP1"</f>
        <v>TIMP1</v>
      </c>
      <c r="AT253" s="31" t="s">
        <v>29319</v>
      </c>
      <c r="AU253" s="31" t="s">
        <v>13777</v>
      </c>
      <c r="AV253" s="31">
        <v>9606</v>
      </c>
      <c r="AW253" s="50" t="str">
        <f>HYPERLINK("http://www.uniprot.org/uniprot/P01033", "P01033")</f>
        <v>P01033</v>
      </c>
      <c r="AX253" s="31" t="s">
        <v>29320</v>
      </c>
      <c r="AY253" s="31" t="s">
        <v>13772</v>
      </c>
      <c r="AZ253" s="31" t="s">
        <v>14321</v>
      </c>
      <c r="BA253" s="31" t="s">
        <v>13772</v>
      </c>
      <c r="BB253" s="31" t="s">
        <v>13772</v>
      </c>
      <c r="BC253" s="31" t="s">
        <v>13772</v>
      </c>
      <c r="BD253" s="31" t="s">
        <v>13808</v>
      </c>
      <c r="BE253" s="31" t="s">
        <v>13856</v>
      </c>
      <c r="BF253" s="31" t="s">
        <v>29321</v>
      </c>
      <c r="BG253" s="31" t="s">
        <v>13964</v>
      </c>
      <c r="BH253" s="31" t="s">
        <v>13812</v>
      </c>
      <c r="BI253" s="31" t="s">
        <v>29322</v>
      </c>
      <c r="BJ253" s="31" t="s">
        <v>29323</v>
      </c>
      <c r="BK253" s="31" t="s">
        <v>29324</v>
      </c>
      <c r="BL253" s="31" t="s">
        <v>13772</v>
      </c>
      <c r="BM253" s="31" t="s">
        <v>29325</v>
      </c>
    </row>
    <row r="254" spans="1:65">
      <c r="A254">
        <v>1892</v>
      </c>
      <c r="B254">
        <v>1</v>
      </c>
      <c r="C254">
        <v>249</v>
      </c>
      <c r="D254" t="s">
        <v>4464</v>
      </c>
      <c r="E254" t="s">
        <v>4465</v>
      </c>
      <c r="F254" t="s">
        <v>73</v>
      </c>
      <c r="G254">
        <v>43.5</v>
      </c>
      <c r="H254">
        <v>331</v>
      </c>
      <c r="I254">
        <v>36438</v>
      </c>
      <c r="J254" t="s">
        <v>4466</v>
      </c>
      <c r="K254" s="3" t="s">
        <v>73</v>
      </c>
      <c r="L254">
        <v>167</v>
      </c>
      <c r="M254">
        <v>167</v>
      </c>
      <c r="N254">
        <v>1</v>
      </c>
      <c r="O254" s="11">
        <f t="shared" si="3"/>
        <v>11.558273218611658</v>
      </c>
      <c r="P254" s="36">
        <v>23.021224520859899</v>
      </c>
      <c r="Q254" s="36">
        <v>22.150474775581301</v>
      </c>
      <c r="R254" s="36">
        <v>24.0119649271839</v>
      </c>
      <c r="S254" s="36">
        <v>30.238435183064599</v>
      </c>
      <c r="T254" s="36">
        <v>20.644232638485398</v>
      </c>
      <c r="U254" s="36">
        <v>13.945908699592399</v>
      </c>
      <c r="V254" s="36">
        <v>14.756871960105</v>
      </c>
      <c r="W254" s="36">
        <v>6.8122851858761404</v>
      </c>
      <c r="X254" s="37">
        <v>0.19868957331123899</v>
      </c>
      <c r="Y254" s="37">
        <v>3.7838978813297102</v>
      </c>
      <c r="Z254" s="37">
        <v>4.0002717413367099</v>
      </c>
      <c r="AA254" s="37">
        <v>0.84654704659994096</v>
      </c>
      <c r="AB254" s="37">
        <v>3.6751702632604601</v>
      </c>
      <c r="AC254" s="37">
        <v>3.1567622815404999</v>
      </c>
      <c r="AD254" s="37">
        <v>1.50854004786242</v>
      </c>
      <c r="AE254" s="37">
        <v>12.1810947717969</v>
      </c>
      <c r="AF254" s="45">
        <v>-2.45031672672765</v>
      </c>
      <c r="AG254" s="45">
        <v>-5.3007235798625203</v>
      </c>
      <c r="AH254" s="46">
        <v>3.2072923531730602E-7</v>
      </c>
      <c r="AI254" s="47">
        <v>1.77161839752974E-6</v>
      </c>
      <c r="AJ254" s="48">
        <v>19.4476747363436</v>
      </c>
      <c r="AK254" s="49">
        <v>3.6688717008797398</v>
      </c>
      <c r="AL254" s="31" t="s">
        <v>5875</v>
      </c>
      <c r="AM254" s="31" t="s">
        <v>5876</v>
      </c>
      <c r="AN254" s="31" t="s">
        <v>31926</v>
      </c>
      <c r="AO254" s="31" t="s">
        <v>31927</v>
      </c>
      <c r="AP254" s="31" t="s">
        <v>31928</v>
      </c>
      <c r="AQ254" s="31" t="s">
        <v>31929</v>
      </c>
      <c r="AR254" s="31" t="s">
        <v>31930</v>
      </c>
      <c r="AS254" s="31" t="str">
        <f>"DNASE1 DRNI"</f>
        <v>DNASE1 DRNI</v>
      </c>
      <c r="AT254" s="31" t="s">
        <v>13772</v>
      </c>
      <c r="AU254" s="31" t="s">
        <v>13777</v>
      </c>
      <c r="AV254" s="31">
        <v>9606</v>
      </c>
      <c r="AW254" s="50" t="str">
        <f>HYPERLINK("http://www.uniprot.org/uniprot/P24855", "P24855")</f>
        <v>P24855</v>
      </c>
      <c r="AX254" s="31" t="s">
        <v>31931</v>
      </c>
      <c r="AY254" s="31" t="s">
        <v>17109</v>
      </c>
      <c r="AZ254" s="31" t="s">
        <v>22670</v>
      </c>
      <c r="BA254" s="31" t="s">
        <v>13780</v>
      </c>
      <c r="BB254" s="31" t="s">
        <v>13772</v>
      </c>
      <c r="BC254" s="31" t="s">
        <v>27671</v>
      </c>
      <c r="BD254" s="31" t="s">
        <v>13808</v>
      </c>
      <c r="BE254" s="31" t="s">
        <v>14465</v>
      </c>
      <c r="BF254" s="31" t="s">
        <v>31932</v>
      </c>
      <c r="BG254" s="31" t="s">
        <v>13796</v>
      </c>
      <c r="BH254" s="31" t="s">
        <v>14324</v>
      </c>
      <c r="BI254" s="31" t="s">
        <v>31933</v>
      </c>
      <c r="BJ254" s="31" t="s">
        <v>31934</v>
      </c>
      <c r="BK254" s="31" t="s">
        <v>31935</v>
      </c>
      <c r="BL254" s="31" t="s">
        <v>13772</v>
      </c>
      <c r="BM254" s="31" t="s">
        <v>13772</v>
      </c>
    </row>
    <row r="255" spans="1:65">
      <c r="A255">
        <v>2265</v>
      </c>
      <c r="B255">
        <v>1</v>
      </c>
      <c r="C255">
        <v>250</v>
      </c>
      <c r="D255" t="s">
        <v>5292</v>
      </c>
      <c r="E255" t="s">
        <v>73</v>
      </c>
      <c r="F255" t="s">
        <v>73</v>
      </c>
      <c r="G255">
        <v>55</v>
      </c>
      <c r="H255">
        <v>349</v>
      </c>
      <c r="I255">
        <v>38843</v>
      </c>
      <c r="J255" t="s">
        <v>5293</v>
      </c>
      <c r="K255" s="3" t="s">
        <v>73</v>
      </c>
      <c r="L255">
        <v>167</v>
      </c>
      <c r="M255">
        <v>167</v>
      </c>
      <c r="N255">
        <v>1</v>
      </c>
      <c r="O255" s="11">
        <f t="shared" si="3"/>
        <v>8.7688573489004327</v>
      </c>
      <c r="P255" s="36">
        <v>2.4232867916694598</v>
      </c>
      <c r="Q255" s="36">
        <v>3.85225648270979</v>
      </c>
      <c r="R255" s="36">
        <v>0.40019941545306398</v>
      </c>
      <c r="S255" s="36">
        <v>3.0238435183064598</v>
      </c>
      <c r="T255" s="36">
        <v>5.1610581596213496</v>
      </c>
      <c r="U255" s="36">
        <v>5.5783634798369501</v>
      </c>
      <c r="V255" s="36">
        <v>10.5406228286464</v>
      </c>
      <c r="W255" s="36">
        <v>1.9463671959646101</v>
      </c>
      <c r="X255" s="37">
        <v>23.047990504103801</v>
      </c>
      <c r="Y255" s="37">
        <v>18.919489406648601</v>
      </c>
      <c r="Z255" s="37">
        <v>14.400978268812199</v>
      </c>
      <c r="AA255" s="37">
        <v>11.8516586523992</v>
      </c>
      <c r="AB255" s="37">
        <v>13.7818884872267</v>
      </c>
      <c r="AC255" s="37">
        <v>8.6810962742363706</v>
      </c>
      <c r="AD255" s="37">
        <v>6.0341601914496898</v>
      </c>
      <c r="AE255" s="37">
        <v>10.658457925322301</v>
      </c>
      <c r="AF255" s="45">
        <v>1.6489920291875499</v>
      </c>
      <c r="AG255" s="45">
        <v>3.26112271910312</v>
      </c>
      <c r="AH255" s="46">
        <v>6.75430564109623E-5</v>
      </c>
      <c r="AI255" s="47">
        <v>2.0082802106192801E-4</v>
      </c>
      <c r="AJ255" s="48">
        <v>4.1157497340260099</v>
      </c>
      <c r="AK255" s="49">
        <v>13.4219649637748</v>
      </c>
      <c r="AL255" s="31" t="s">
        <v>5874</v>
      </c>
      <c r="AM255" s="31" t="s">
        <v>5876</v>
      </c>
      <c r="AN255" s="31" t="s">
        <v>35397</v>
      </c>
      <c r="AO255" s="31" t="s">
        <v>35398</v>
      </c>
      <c r="AP255" s="31" t="s">
        <v>35399</v>
      </c>
      <c r="AQ255" s="31" t="s">
        <v>35400</v>
      </c>
      <c r="AR255" s="31" t="s">
        <v>35401</v>
      </c>
      <c r="AS255" s="31" t="str">
        <f>"CAPG"</f>
        <v>CAPG</v>
      </c>
      <c r="AT255" s="31" t="s">
        <v>35402</v>
      </c>
      <c r="AU255" s="31" t="s">
        <v>13777</v>
      </c>
      <c r="AV255" s="31">
        <v>9606</v>
      </c>
      <c r="AW255" s="50" t="str">
        <f>HYPERLINK("http://www.uniprot.org/uniprot/P40121", "P40121")</f>
        <v>P40121</v>
      </c>
      <c r="AX255" s="31" t="s">
        <v>35403</v>
      </c>
      <c r="AY255" s="31" t="s">
        <v>13772</v>
      </c>
      <c r="AZ255" s="31" t="s">
        <v>22575</v>
      </c>
      <c r="BA255" s="31" t="s">
        <v>13780</v>
      </c>
      <c r="BB255" s="31" t="s">
        <v>13772</v>
      </c>
      <c r="BC255" s="31" t="s">
        <v>13772</v>
      </c>
      <c r="BD255" s="31" t="s">
        <v>14096</v>
      </c>
      <c r="BE255" s="31" t="s">
        <v>13772</v>
      </c>
      <c r="BF255" s="31" t="s">
        <v>14589</v>
      </c>
      <c r="BG255" s="31" t="s">
        <v>13886</v>
      </c>
      <c r="BH255" s="31" t="s">
        <v>13812</v>
      </c>
      <c r="BI255" s="31" t="s">
        <v>35404</v>
      </c>
      <c r="BJ255" s="31" t="s">
        <v>35405</v>
      </c>
      <c r="BK255" s="31" t="s">
        <v>35406</v>
      </c>
      <c r="BL255" s="31" t="s">
        <v>13772</v>
      </c>
      <c r="BM255" s="31" t="s">
        <v>13772</v>
      </c>
    </row>
    <row r="256" spans="1:65">
      <c r="A256">
        <v>2448</v>
      </c>
      <c r="B256">
        <v>1</v>
      </c>
      <c r="C256">
        <v>251</v>
      </c>
      <c r="D256" t="s">
        <v>5749</v>
      </c>
      <c r="E256" t="s">
        <v>73</v>
      </c>
      <c r="F256" t="s">
        <v>5750</v>
      </c>
      <c r="G256">
        <v>41.2</v>
      </c>
      <c r="H256">
        <v>607</v>
      </c>
      <c r="I256">
        <v>65159</v>
      </c>
      <c r="J256" t="s">
        <v>5751</v>
      </c>
      <c r="K256" s="3" t="s">
        <v>5826</v>
      </c>
      <c r="L256">
        <v>166</v>
      </c>
      <c r="M256">
        <v>166</v>
      </c>
      <c r="N256">
        <v>1</v>
      </c>
      <c r="O256" s="11">
        <f t="shared" si="3"/>
        <v>8.684416631156866</v>
      </c>
      <c r="P256" s="36">
        <v>1.2116433958347299</v>
      </c>
      <c r="Q256" s="36">
        <v>0.24076603016936199</v>
      </c>
      <c r="R256" s="36">
        <v>0.40019941545306398</v>
      </c>
      <c r="S256" s="36">
        <v>0.37798043978830698</v>
      </c>
      <c r="T256" s="36">
        <v>0.215044089984223</v>
      </c>
      <c r="U256" s="36">
        <v>0.23243181165987301</v>
      </c>
      <c r="V256" s="36">
        <v>1.05406228286464</v>
      </c>
      <c r="W256" s="36">
        <v>6.8122851858761404</v>
      </c>
      <c r="X256" s="37">
        <v>23.047990504103801</v>
      </c>
      <c r="Y256" s="37">
        <v>15.766241172207099</v>
      </c>
      <c r="Z256" s="37">
        <v>8.8005978309407702</v>
      </c>
      <c r="AA256" s="37">
        <v>11.0051116057992</v>
      </c>
      <c r="AB256" s="37">
        <v>34.914117500974299</v>
      </c>
      <c r="AC256" s="37">
        <v>18.1513831188579</v>
      </c>
      <c r="AD256" s="37">
        <v>3.0170800957248498</v>
      </c>
      <c r="AE256" s="37">
        <v>13.7037316182716</v>
      </c>
      <c r="AF256" s="45">
        <v>3.4473574350482399</v>
      </c>
      <c r="AG256" s="45">
        <v>12.177658224237399</v>
      </c>
      <c r="AH256" s="46">
        <v>2.4676416427561399E-8</v>
      </c>
      <c r="AI256" s="47">
        <v>2.0132344621998201E-7</v>
      </c>
      <c r="AJ256" s="48">
        <v>1.3180515814537901</v>
      </c>
      <c r="AK256" s="49">
        <v>16.050781680859899</v>
      </c>
      <c r="AL256" s="31" t="s">
        <v>5874</v>
      </c>
      <c r="AM256" s="31" t="s">
        <v>5876</v>
      </c>
      <c r="AN256" s="31" t="s">
        <v>25869</v>
      </c>
      <c r="AO256" s="31" t="s">
        <v>25870</v>
      </c>
      <c r="AP256" s="31" t="s">
        <v>25871</v>
      </c>
      <c r="AQ256" s="31" t="s">
        <v>25872</v>
      </c>
      <c r="AR256" s="31" t="s">
        <v>25873</v>
      </c>
      <c r="AS256" s="31" t="str">
        <f>"PDLIM5"</f>
        <v>PDLIM5</v>
      </c>
      <c r="AT256" s="31" t="s">
        <v>25874</v>
      </c>
      <c r="AU256" s="31" t="s">
        <v>13777</v>
      </c>
      <c r="AV256" s="31">
        <v>9606</v>
      </c>
      <c r="AW256" s="50" t="str">
        <f>HYPERLINK("http://www.uniprot.org/uniprot/Q96HC4", "Q96HC4")</f>
        <v>Q96HC4</v>
      </c>
      <c r="AX256" s="31" t="s">
        <v>25875</v>
      </c>
      <c r="AY256" s="31" t="s">
        <v>13772</v>
      </c>
      <c r="AZ256" s="31" t="s">
        <v>25876</v>
      </c>
      <c r="BA256" s="31" t="s">
        <v>13780</v>
      </c>
      <c r="BB256" s="31" t="s">
        <v>13772</v>
      </c>
      <c r="BC256" s="31" t="s">
        <v>13772</v>
      </c>
      <c r="BD256" s="31" t="s">
        <v>15529</v>
      </c>
      <c r="BE256" s="31" t="s">
        <v>13856</v>
      </c>
      <c r="BF256" s="31" t="s">
        <v>13772</v>
      </c>
      <c r="BG256" s="31" t="s">
        <v>13991</v>
      </c>
      <c r="BH256" s="31" t="s">
        <v>13812</v>
      </c>
      <c r="BI256" s="31" t="s">
        <v>25877</v>
      </c>
      <c r="BJ256" s="31" t="s">
        <v>25878</v>
      </c>
      <c r="BK256" s="31" t="s">
        <v>25879</v>
      </c>
      <c r="BL256" s="31" t="s">
        <v>13772</v>
      </c>
      <c r="BM256" s="31" t="s">
        <v>15945</v>
      </c>
    </row>
    <row r="257" spans="1:65">
      <c r="A257">
        <v>1689</v>
      </c>
      <c r="B257">
        <v>1</v>
      </c>
      <c r="C257">
        <v>252</v>
      </c>
      <c r="D257" t="s">
        <v>4006</v>
      </c>
      <c r="E257" t="s">
        <v>73</v>
      </c>
      <c r="F257" t="s">
        <v>73</v>
      </c>
      <c r="G257">
        <v>41.8</v>
      </c>
      <c r="H257">
        <v>806</v>
      </c>
      <c r="I257">
        <v>92899</v>
      </c>
      <c r="J257" t="s">
        <v>4007</v>
      </c>
      <c r="K257" s="3" t="s">
        <v>73</v>
      </c>
      <c r="L257">
        <v>165</v>
      </c>
      <c r="M257">
        <v>165</v>
      </c>
      <c r="N257">
        <v>1</v>
      </c>
      <c r="O257" s="11">
        <f t="shared" si="3"/>
        <v>10.946885095817436</v>
      </c>
      <c r="P257" s="36">
        <v>10.9047905625126</v>
      </c>
      <c r="Q257" s="36">
        <v>21.1874106549038</v>
      </c>
      <c r="R257" s="36">
        <v>3.2015953236245198</v>
      </c>
      <c r="S257" s="36">
        <v>16.631139350685501</v>
      </c>
      <c r="T257" s="36">
        <v>31.826525317664998</v>
      </c>
      <c r="U257" s="36">
        <v>21.383726672708299</v>
      </c>
      <c r="V257" s="36">
        <v>15.8109342429696</v>
      </c>
      <c r="W257" s="36">
        <v>7.78546878385845</v>
      </c>
      <c r="X257" s="37">
        <v>0.19868957331123899</v>
      </c>
      <c r="Y257" s="37">
        <v>1.2612992937765699</v>
      </c>
      <c r="Z257" s="37">
        <v>4.0002717413367099</v>
      </c>
      <c r="AA257" s="37">
        <v>0.84654704659994096</v>
      </c>
      <c r="AB257" s="37">
        <v>0.22969814145377901</v>
      </c>
      <c r="AC257" s="37">
        <v>6.3135245630809997</v>
      </c>
      <c r="AD257" s="37">
        <v>33.187881052973303</v>
      </c>
      <c r="AE257" s="37">
        <v>0.38065921161865401</v>
      </c>
      <c r="AF257" s="45">
        <v>-1.5360223932294701</v>
      </c>
      <c r="AG257" s="45">
        <v>-2.7732777889965798</v>
      </c>
      <c r="AH257" s="46">
        <v>4.8008028771605003E-2</v>
      </c>
      <c r="AI257" s="47">
        <v>7.4865667245230194E-2</v>
      </c>
      <c r="AJ257" s="48">
        <v>16.091448863616002</v>
      </c>
      <c r="AK257" s="49">
        <v>5.8023213280189001</v>
      </c>
      <c r="AL257" s="31" t="s">
        <v>5875</v>
      </c>
      <c r="AM257" s="31" t="s">
        <v>5877</v>
      </c>
      <c r="AN257" s="31" t="s">
        <v>30010</v>
      </c>
      <c r="AO257" s="31" t="s">
        <v>30011</v>
      </c>
      <c r="AP257" s="31" t="s">
        <v>30012</v>
      </c>
      <c r="AQ257" s="31" t="s">
        <v>30013</v>
      </c>
      <c r="AR257" s="31" t="s">
        <v>30014</v>
      </c>
      <c r="AS257" s="31" t="str">
        <f>"ACE2"</f>
        <v>ACE2</v>
      </c>
      <c r="AT257" s="31" t="s">
        <v>13772</v>
      </c>
      <c r="AU257" s="31" t="s">
        <v>13777</v>
      </c>
      <c r="AV257" s="31">
        <v>9606</v>
      </c>
      <c r="AW257" s="50" t="str">
        <f>HYPERLINK("http://www.uniprot.org/uniprot/Q9BYF1", "Q9BYF1")</f>
        <v>Q9BYF1</v>
      </c>
      <c r="AX257" s="31" t="s">
        <v>30015</v>
      </c>
      <c r="AY257" s="31" t="s">
        <v>14563</v>
      </c>
      <c r="AZ257" s="31" t="s">
        <v>25531</v>
      </c>
      <c r="BA257" s="31" t="s">
        <v>13780</v>
      </c>
      <c r="BB257" s="31" t="s">
        <v>13772</v>
      </c>
      <c r="BC257" s="31" t="s">
        <v>13772</v>
      </c>
      <c r="BD257" s="31" t="s">
        <v>13855</v>
      </c>
      <c r="BE257" s="31" t="s">
        <v>30016</v>
      </c>
      <c r="BF257" s="31" t="s">
        <v>30017</v>
      </c>
      <c r="BG257" s="31" t="s">
        <v>13796</v>
      </c>
      <c r="BH257" s="31" t="s">
        <v>13812</v>
      </c>
      <c r="BI257" s="31" t="s">
        <v>30018</v>
      </c>
      <c r="BJ257" s="31" t="s">
        <v>30019</v>
      </c>
      <c r="BK257" s="31" t="s">
        <v>30020</v>
      </c>
      <c r="BL257" s="31" t="s">
        <v>13772</v>
      </c>
      <c r="BM257" s="31" t="s">
        <v>21168</v>
      </c>
    </row>
    <row r="258" spans="1:65">
      <c r="A258">
        <v>555</v>
      </c>
      <c r="B258">
        <v>1</v>
      </c>
      <c r="C258">
        <v>253</v>
      </c>
      <c r="D258" t="s">
        <v>1384</v>
      </c>
      <c r="E258" t="s">
        <v>73</v>
      </c>
      <c r="F258" t="s">
        <v>73</v>
      </c>
      <c r="G258">
        <v>16.3</v>
      </c>
      <c r="H258">
        <v>386</v>
      </c>
      <c r="I258">
        <v>41795</v>
      </c>
      <c r="J258" t="s">
        <v>1385</v>
      </c>
      <c r="K258" s="3" t="s">
        <v>73</v>
      </c>
      <c r="L258">
        <v>164</v>
      </c>
      <c r="M258">
        <v>164</v>
      </c>
      <c r="N258">
        <v>1</v>
      </c>
      <c r="O258" s="11">
        <f t="shared" si="3"/>
        <v>10.366411803308592</v>
      </c>
      <c r="P258" s="36">
        <v>15.7513641458515</v>
      </c>
      <c r="Q258" s="36">
        <v>17.335154172193999</v>
      </c>
      <c r="R258" s="36">
        <v>12.806381294498101</v>
      </c>
      <c r="S258" s="36">
        <v>22.6788263872984</v>
      </c>
      <c r="T258" s="36">
        <v>9.4619399593058091</v>
      </c>
      <c r="U258" s="36">
        <v>6.50809072647644</v>
      </c>
      <c r="V258" s="36">
        <v>21.081245657292801</v>
      </c>
      <c r="W258" s="36">
        <v>16.544121165699199</v>
      </c>
      <c r="X258" s="37">
        <v>1.5895165864899099</v>
      </c>
      <c r="Y258" s="37">
        <v>2.5225985875531398</v>
      </c>
      <c r="Z258" s="37">
        <v>5.6003804378713999</v>
      </c>
      <c r="AA258" s="37">
        <v>5.0792822795996404</v>
      </c>
      <c r="AB258" s="37">
        <v>7.3503405265209096</v>
      </c>
      <c r="AC258" s="37">
        <v>7.8919057038512497</v>
      </c>
      <c r="AD258" s="37">
        <v>4.5256201435872701</v>
      </c>
      <c r="AE258" s="37">
        <v>9.1358210788476999</v>
      </c>
      <c r="AF258" s="45">
        <v>-1.4949142498501</v>
      </c>
      <c r="AG258" s="45">
        <v>-2.79587647244254</v>
      </c>
      <c r="AH258" s="46">
        <v>9.6824730431794794E-5</v>
      </c>
      <c r="AI258" s="47">
        <v>2.73009254620452E-4</v>
      </c>
      <c r="AJ258" s="48">
        <v>15.270890438577</v>
      </c>
      <c r="AK258" s="49">
        <v>5.4619331680401499</v>
      </c>
      <c r="AL258" s="31" t="s">
        <v>5875</v>
      </c>
      <c r="AM258" s="31" t="s">
        <v>5876</v>
      </c>
      <c r="AN258" s="31" t="s">
        <v>19244</v>
      </c>
      <c r="AO258" s="31" t="s">
        <v>19245</v>
      </c>
      <c r="AP258" s="31" t="s">
        <v>19246</v>
      </c>
      <c r="AQ258" s="31" t="s">
        <v>19247</v>
      </c>
      <c r="AR258" s="31" t="s">
        <v>19248</v>
      </c>
      <c r="AS258" s="31" t="str">
        <f>"PGA4"</f>
        <v>PGA4</v>
      </c>
      <c r="AT258" s="31" t="s">
        <v>13772</v>
      </c>
      <c r="AU258" s="31" t="s">
        <v>13777</v>
      </c>
      <c r="AV258" s="31">
        <v>9606</v>
      </c>
      <c r="AW258" s="50" t="str">
        <f>HYPERLINK("http://www.uniprot.org/uniprot/P0DJD7", "P0DJD7")</f>
        <v>P0DJD7</v>
      </c>
      <c r="AX258" s="31" t="s">
        <v>19249</v>
      </c>
      <c r="AY258" s="31" t="s">
        <v>15385</v>
      </c>
      <c r="AZ258" s="31" t="s">
        <v>14321</v>
      </c>
      <c r="BA258" s="31" t="s">
        <v>13772</v>
      </c>
      <c r="BB258" s="31" t="s">
        <v>13772</v>
      </c>
      <c r="BC258" s="31" t="s">
        <v>13772</v>
      </c>
      <c r="BD258" s="31" t="s">
        <v>13808</v>
      </c>
      <c r="BE258" s="31" t="s">
        <v>13772</v>
      </c>
      <c r="BF258" s="31" t="s">
        <v>15386</v>
      </c>
      <c r="BG258" s="31" t="s">
        <v>19250</v>
      </c>
      <c r="BH258" s="31" t="s">
        <v>13812</v>
      </c>
      <c r="BI258" s="31" t="s">
        <v>15388</v>
      </c>
      <c r="BJ258" s="31" t="s">
        <v>15389</v>
      </c>
      <c r="BK258" s="31" t="s">
        <v>15390</v>
      </c>
      <c r="BL258" s="31" t="s">
        <v>13772</v>
      </c>
      <c r="BM258" s="31" t="s">
        <v>15391</v>
      </c>
    </row>
    <row r="259" spans="1:65">
      <c r="A259">
        <v>795</v>
      </c>
      <c r="B259">
        <v>1</v>
      </c>
      <c r="C259">
        <v>254</v>
      </c>
      <c r="D259" t="s">
        <v>1951</v>
      </c>
      <c r="E259" t="s">
        <v>73</v>
      </c>
      <c r="F259" t="s">
        <v>73</v>
      </c>
      <c r="G259">
        <v>13</v>
      </c>
      <c r="H259">
        <v>952</v>
      </c>
      <c r="I259">
        <v>103793</v>
      </c>
      <c r="J259" t="s">
        <v>1952</v>
      </c>
      <c r="K259" s="3" t="s">
        <v>73</v>
      </c>
      <c r="L259">
        <v>164</v>
      </c>
      <c r="M259">
        <v>164</v>
      </c>
      <c r="N259">
        <v>1</v>
      </c>
      <c r="O259" s="11">
        <f t="shared" si="3"/>
        <v>8.6876812392002627</v>
      </c>
      <c r="P259" s="36">
        <v>0.30291084895868198</v>
      </c>
      <c r="Q259" s="36">
        <v>0.96306412067744696</v>
      </c>
      <c r="R259" s="36">
        <v>0.40019941545306398</v>
      </c>
      <c r="S259" s="36">
        <v>1.5119217591532299</v>
      </c>
      <c r="T259" s="36">
        <v>2.5805290798106801</v>
      </c>
      <c r="U259" s="36">
        <v>1.85945449327898</v>
      </c>
      <c r="V259" s="36">
        <v>0.26351557071616</v>
      </c>
      <c r="W259" s="36">
        <v>0.24329589949557701</v>
      </c>
      <c r="X259" s="37">
        <v>21.458473917613802</v>
      </c>
      <c r="Y259" s="37">
        <v>16.3968908190954</v>
      </c>
      <c r="Z259" s="37">
        <v>21.601467403218301</v>
      </c>
      <c r="AA259" s="37">
        <v>15.2378468387989</v>
      </c>
      <c r="AB259" s="37">
        <v>13.7818884872267</v>
      </c>
      <c r="AC259" s="37">
        <v>16.5730019780876</v>
      </c>
      <c r="AD259" s="37">
        <v>6.0341601914496898</v>
      </c>
      <c r="AE259" s="37">
        <v>19.794279004170001</v>
      </c>
      <c r="AF259" s="45">
        <v>3.7973002523252402</v>
      </c>
      <c r="AG259" s="45">
        <v>16.108278328737299</v>
      </c>
      <c r="AH259" s="46">
        <v>5.0754587489078703E-16</v>
      </c>
      <c r="AI259" s="47">
        <v>4.8506884328848103E-14</v>
      </c>
      <c r="AJ259" s="48">
        <v>1.01561139844298</v>
      </c>
      <c r="AK259" s="49">
        <v>16.359751079957601</v>
      </c>
      <c r="AL259" s="31" t="s">
        <v>5874</v>
      </c>
      <c r="AM259" s="31" t="s">
        <v>5876</v>
      </c>
      <c r="AN259" s="31" t="s">
        <v>21629</v>
      </c>
      <c r="AO259" s="31" t="s">
        <v>21630</v>
      </c>
      <c r="AP259" s="31" t="s">
        <v>21631</v>
      </c>
      <c r="AQ259" s="31" t="s">
        <v>21632</v>
      </c>
      <c r="AR259" s="31" t="s">
        <v>21633</v>
      </c>
      <c r="AS259" s="31" t="str">
        <f>"ADAMTS1"</f>
        <v>ADAMTS1</v>
      </c>
      <c r="AT259" s="31" t="s">
        <v>21634</v>
      </c>
      <c r="AU259" s="31" t="s">
        <v>13777</v>
      </c>
      <c r="AV259" s="31">
        <v>9606</v>
      </c>
      <c r="AW259" s="50" t="str">
        <f>HYPERLINK("http://www.uniprot.org/uniprot/Q9UHI8", "Q9UHI8")</f>
        <v>Q9UHI8</v>
      </c>
      <c r="AX259" s="31" t="s">
        <v>21635</v>
      </c>
      <c r="AY259" s="31" t="s">
        <v>13772</v>
      </c>
      <c r="AZ259" s="31" t="s">
        <v>13869</v>
      </c>
      <c r="BA259" s="31" t="s">
        <v>13793</v>
      </c>
      <c r="BB259" s="31" t="s">
        <v>13772</v>
      </c>
      <c r="BC259" s="31" t="s">
        <v>13772</v>
      </c>
      <c r="BD259" s="31" t="s">
        <v>14404</v>
      </c>
      <c r="BE259" s="31" t="s">
        <v>14628</v>
      </c>
      <c r="BF259" s="31" t="s">
        <v>18965</v>
      </c>
      <c r="BG259" s="31" t="s">
        <v>18956</v>
      </c>
      <c r="BH259" s="31" t="s">
        <v>13812</v>
      </c>
      <c r="BI259" s="31" t="s">
        <v>21636</v>
      </c>
      <c r="BJ259" s="31" t="s">
        <v>21637</v>
      </c>
      <c r="BK259" s="31" t="s">
        <v>21638</v>
      </c>
      <c r="BL259" s="31" t="s">
        <v>13772</v>
      </c>
      <c r="BM259" s="31" t="s">
        <v>18968</v>
      </c>
    </row>
    <row r="260" spans="1:65">
      <c r="A260">
        <v>1486</v>
      </c>
      <c r="B260">
        <v>1</v>
      </c>
      <c r="C260">
        <v>255</v>
      </c>
      <c r="D260" t="s">
        <v>3536</v>
      </c>
      <c r="E260" t="s">
        <v>73</v>
      </c>
      <c r="F260" t="s">
        <v>73</v>
      </c>
      <c r="G260">
        <v>58.3</v>
      </c>
      <c r="H260">
        <v>240</v>
      </c>
      <c r="I260">
        <v>26849</v>
      </c>
      <c r="J260" t="s">
        <v>3537</v>
      </c>
      <c r="K260" s="3" t="s">
        <v>73</v>
      </c>
      <c r="L260">
        <v>165</v>
      </c>
      <c r="M260">
        <v>163</v>
      </c>
      <c r="N260">
        <v>0.98799999999999999</v>
      </c>
      <c r="O260" s="11">
        <f t="shared" si="3"/>
        <v>8.8136454910278221</v>
      </c>
      <c r="P260" s="36">
        <v>12.116433958347301</v>
      </c>
      <c r="Q260" s="36">
        <v>9.6306412067744702</v>
      </c>
      <c r="R260" s="36">
        <v>0.40019941545306398</v>
      </c>
      <c r="S260" s="36">
        <v>6.0476870366129196</v>
      </c>
      <c r="T260" s="36">
        <v>11.1822926791796</v>
      </c>
      <c r="U260" s="36">
        <v>11.1567269596739</v>
      </c>
      <c r="V260" s="36">
        <v>11.594685111511</v>
      </c>
      <c r="W260" s="36">
        <v>14.987027408927499</v>
      </c>
      <c r="X260" s="37">
        <v>12.716132691919301</v>
      </c>
      <c r="Y260" s="37">
        <v>10.3426542089679</v>
      </c>
      <c r="Z260" s="37">
        <v>10.400706527475499</v>
      </c>
      <c r="AA260" s="37">
        <v>12.6982056989991</v>
      </c>
      <c r="AB260" s="37">
        <v>4.5939628290755703</v>
      </c>
      <c r="AC260" s="37">
        <v>7.1027151334661296</v>
      </c>
      <c r="AD260" s="37">
        <v>4.5256201435872701</v>
      </c>
      <c r="AE260" s="37">
        <v>1.5226368464746201</v>
      </c>
      <c r="AF260" s="45">
        <v>-0.25017317266632499</v>
      </c>
      <c r="AG260" s="45">
        <v>-1.20676862365298</v>
      </c>
      <c r="AH260" s="46">
        <v>0.56229535779180295</v>
      </c>
      <c r="AI260" s="47">
        <v>0.64193787433910598</v>
      </c>
      <c r="AJ260" s="48">
        <v>9.6394617220599699</v>
      </c>
      <c r="AK260" s="49">
        <v>7.98782925999567</v>
      </c>
      <c r="AL260" s="31" t="s">
        <v>5875</v>
      </c>
      <c r="AM260" s="31" t="s">
        <v>5832</v>
      </c>
      <c r="AN260" s="31" t="s">
        <v>28077</v>
      </c>
      <c r="AO260" s="31" t="s">
        <v>28078</v>
      </c>
      <c r="AP260" s="31" t="s">
        <v>28079</v>
      </c>
      <c r="AQ260" s="31" t="s">
        <v>28080</v>
      </c>
      <c r="AR260" s="31" t="s">
        <v>28081</v>
      </c>
      <c r="AS260" s="31" t="str">
        <f>"CLIC1"</f>
        <v>CLIC1</v>
      </c>
      <c r="AT260" s="31" t="s">
        <v>28082</v>
      </c>
      <c r="AU260" s="31" t="s">
        <v>13777</v>
      </c>
      <c r="AV260" s="31">
        <v>9606</v>
      </c>
      <c r="AW260" s="50" t="str">
        <f>HYPERLINK("http://www.uniprot.org/uniprot/O00299", "O00299")</f>
        <v>O00299</v>
      </c>
      <c r="AX260" s="31" t="s">
        <v>28083</v>
      </c>
      <c r="AY260" s="31" t="s">
        <v>14288</v>
      </c>
      <c r="AZ260" s="31" t="s">
        <v>14968</v>
      </c>
      <c r="BA260" s="31" t="s">
        <v>13772</v>
      </c>
      <c r="BB260" s="31" t="s">
        <v>13772</v>
      </c>
      <c r="BC260" s="31" t="s">
        <v>13772</v>
      </c>
      <c r="BD260" s="31" t="s">
        <v>13925</v>
      </c>
      <c r="BE260" s="31" t="s">
        <v>18321</v>
      </c>
      <c r="BF260" s="31" t="s">
        <v>18322</v>
      </c>
      <c r="BG260" s="31" t="s">
        <v>27992</v>
      </c>
      <c r="BH260" s="31" t="s">
        <v>13812</v>
      </c>
      <c r="BI260" s="31" t="s">
        <v>28084</v>
      </c>
      <c r="BJ260" s="31" t="s">
        <v>28085</v>
      </c>
      <c r="BK260" s="31" t="s">
        <v>28086</v>
      </c>
      <c r="BL260" s="31" t="s">
        <v>13772</v>
      </c>
      <c r="BM260" s="31" t="s">
        <v>13772</v>
      </c>
    </row>
    <row r="261" spans="1:65">
      <c r="A261">
        <v>504</v>
      </c>
      <c r="B261">
        <v>1</v>
      </c>
      <c r="C261">
        <v>256</v>
      </c>
      <c r="D261" t="s">
        <v>1271</v>
      </c>
      <c r="E261" t="s">
        <v>73</v>
      </c>
      <c r="F261" t="s">
        <v>73</v>
      </c>
      <c r="G261">
        <v>60.8</v>
      </c>
      <c r="H261">
        <v>199</v>
      </c>
      <c r="I261">
        <v>22123</v>
      </c>
      <c r="J261" t="s">
        <v>1273</v>
      </c>
      <c r="K261" s="3" t="s">
        <v>73</v>
      </c>
      <c r="L261">
        <v>169</v>
      </c>
      <c r="M261">
        <v>148</v>
      </c>
      <c r="N261">
        <v>0.876</v>
      </c>
      <c r="O261" s="11">
        <f t="shared" si="3"/>
        <v>8.9522004514462701</v>
      </c>
      <c r="P261" s="36">
        <v>2.7867798104198802</v>
      </c>
      <c r="Q261" s="36">
        <v>7.3192873171485902</v>
      </c>
      <c r="R261" s="36">
        <v>4.3221536868930999</v>
      </c>
      <c r="S261" s="36">
        <v>1.5119217591532299</v>
      </c>
      <c r="T261" s="36">
        <v>8.2576930553941601</v>
      </c>
      <c r="U261" s="36">
        <v>11.714563307657601</v>
      </c>
      <c r="V261" s="36">
        <v>6.0081550123284497</v>
      </c>
      <c r="W261" s="36">
        <v>6.3256933868849901</v>
      </c>
      <c r="X261" s="37">
        <v>38.227873905082397</v>
      </c>
      <c r="Y261" s="37">
        <v>8.0092505154812308</v>
      </c>
      <c r="Z261" s="37">
        <v>5.2003532637377301</v>
      </c>
      <c r="AA261" s="37">
        <v>9.1427081032793591</v>
      </c>
      <c r="AB261" s="37">
        <v>9.7392011976402095</v>
      </c>
      <c r="AC261" s="37">
        <v>6.7870389053120697</v>
      </c>
      <c r="AD261" s="37">
        <v>9.0512402871745401</v>
      </c>
      <c r="AE261" s="37">
        <v>8.8312937095527797</v>
      </c>
      <c r="AF261" s="45">
        <v>0.93137684002057697</v>
      </c>
      <c r="AG261" s="45">
        <v>1.9688362335409799</v>
      </c>
      <c r="AH261" s="46">
        <v>4.68335173108093E-2</v>
      </c>
      <c r="AI261" s="47">
        <v>7.3376166465881604E-2</v>
      </c>
      <c r="AJ261" s="48">
        <v>6.030780916985</v>
      </c>
      <c r="AK261" s="49">
        <v>11.873619985907499</v>
      </c>
      <c r="AL261" s="31" t="s">
        <v>5874</v>
      </c>
      <c r="AM261" s="31" t="s">
        <v>5877</v>
      </c>
      <c r="AN261" s="31" t="s">
        <v>18748</v>
      </c>
      <c r="AO261" s="31" t="s">
        <v>18749</v>
      </c>
      <c r="AP261" s="31" t="s">
        <v>18750</v>
      </c>
      <c r="AQ261" s="31" t="s">
        <v>18751</v>
      </c>
      <c r="AR261" s="31" t="s">
        <v>18752</v>
      </c>
      <c r="AS261" s="31" t="str">
        <f>"PRDX1"</f>
        <v>PRDX1</v>
      </c>
      <c r="AT261" s="31" t="s">
        <v>18753</v>
      </c>
      <c r="AU261" s="31" t="s">
        <v>13777</v>
      </c>
      <c r="AV261" s="31">
        <v>9606</v>
      </c>
      <c r="AW261" s="50" t="str">
        <f>HYPERLINK("http://www.uniprot.org/uniprot/Q06830", "Q06830")</f>
        <v>Q06830</v>
      </c>
      <c r="AX261" s="31" t="s">
        <v>18754</v>
      </c>
      <c r="AY261" s="31" t="s">
        <v>13772</v>
      </c>
      <c r="AZ261" s="31" t="s">
        <v>13899</v>
      </c>
      <c r="BA261" s="31" t="s">
        <v>13793</v>
      </c>
      <c r="BB261" s="31" t="s">
        <v>13772</v>
      </c>
      <c r="BC261" s="31" t="s">
        <v>13772</v>
      </c>
      <c r="BD261" s="31" t="s">
        <v>18188</v>
      </c>
      <c r="BE261" s="31" t="s">
        <v>13772</v>
      </c>
      <c r="BF261" s="31" t="s">
        <v>18755</v>
      </c>
      <c r="BG261" s="31" t="s">
        <v>18756</v>
      </c>
      <c r="BH261" s="31" t="s">
        <v>13812</v>
      </c>
      <c r="BI261" s="31" t="s">
        <v>18757</v>
      </c>
      <c r="BJ261" s="31" t="s">
        <v>18758</v>
      </c>
      <c r="BK261" s="31" t="s">
        <v>18759</v>
      </c>
      <c r="BL261" s="31" t="s">
        <v>13772</v>
      </c>
      <c r="BM261" s="31" t="s">
        <v>18760</v>
      </c>
    </row>
    <row r="262" spans="1:65">
      <c r="A262">
        <v>827</v>
      </c>
      <c r="B262">
        <v>1</v>
      </c>
      <c r="C262">
        <v>257</v>
      </c>
      <c r="D262" t="s">
        <v>2024</v>
      </c>
      <c r="E262" t="s">
        <v>2025</v>
      </c>
      <c r="F262" t="s">
        <v>73</v>
      </c>
      <c r="G262">
        <v>44.2</v>
      </c>
      <c r="H262">
        <v>622</v>
      </c>
      <c r="I262">
        <v>67102</v>
      </c>
      <c r="J262" t="s">
        <v>2026</v>
      </c>
      <c r="K262" s="3" t="s">
        <v>73</v>
      </c>
      <c r="L262">
        <v>163</v>
      </c>
      <c r="M262">
        <v>163</v>
      </c>
      <c r="N262">
        <v>1</v>
      </c>
      <c r="O262" s="11">
        <f t="shared" si="3"/>
        <v>8.8236509839302908</v>
      </c>
      <c r="P262" s="36">
        <v>15.7513641458515</v>
      </c>
      <c r="Q262" s="36">
        <v>11.556769448129399</v>
      </c>
      <c r="R262" s="36">
        <v>9.6047859708735501</v>
      </c>
      <c r="S262" s="36">
        <v>1.5119217591532299</v>
      </c>
      <c r="T262" s="36">
        <v>6.8814108794951396</v>
      </c>
      <c r="U262" s="36">
        <v>14.875635946231901</v>
      </c>
      <c r="V262" s="36">
        <v>21.081245657292801</v>
      </c>
      <c r="W262" s="36">
        <v>15.5709375677169</v>
      </c>
      <c r="X262" s="37">
        <v>2.3842748797348698</v>
      </c>
      <c r="Y262" s="37">
        <v>3.1532482344414299</v>
      </c>
      <c r="Z262" s="37">
        <v>5.6003804378713999</v>
      </c>
      <c r="AA262" s="37">
        <v>6.7723763727995303</v>
      </c>
      <c r="AB262" s="37">
        <v>6.4315479607058004</v>
      </c>
      <c r="AC262" s="37">
        <v>7.8919057038512497</v>
      </c>
      <c r="AD262" s="37">
        <v>7.5427002393121096</v>
      </c>
      <c r="AE262" s="37">
        <v>4.5679105394238499</v>
      </c>
      <c r="AF262" s="45">
        <v>-1.1493142657050801</v>
      </c>
      <c r="AG262" s="45">
        <v>-2.1836848138026799</v>
      </c>
      <c r="AH262" s="46">
        <v>6.5694867714339196E-3</v>
      </c>
      <c r="AI262" s="47">
        <v>1.27022735551714E-2</v>
      </c>
      <c r="AJ262" s="48">
        <v>12.104258921843</v>
      </c>
      <c r="AK262" s="49">
        <v>5.5430430460175302</v>
      </c>
      <c r="AL262" s="31" t="s">
        <v>5875</v>
      </c>
      <c r="AM262" s="31" t="s">
        <v>5878</v>
      </c>
      <c r="AN262" s="31" t="s">
        <v>21943</v>
      </c>
      <c r="AO262" s="31" t="s">
        <v>21944</v>
      </c>
      <c r="AP262" s="31" t="s">
        <v>21945</v>
      </c>
      <c r="AQ262" s="31" t="s">
        <v>21946</v>
      </c>
      <c r="AR262" s="31" t="s">
        <v>21947</v>
      </c>
      <c r="AS262" s="31" t="str">
        <f>"PGLYRP2"</f>
        <v>PGLYRP2</v>
      </c>
      <c r="AT262" s="31" t="s">
        <v>21948</v>
      </c>
      <c r="AU262" s="31" t="s">
        <v>13777</v>
      </c>
      <c r="AV262" s="31">
        <v>9606</v>
      </c>
      <c r="AW262" s="50" t="str">
        <f>HYPERLINK("http://www.uniprot.org/uniprot/Q96PD5", "Q96PD5")</f>
        <v>Q96PD5</v>
      </c>
      <c r="AX262" s="31" t="s">
        <v>21949</v>
      </c>
      <c r="AY262" s="31" t="s">
        <v>13791</v>
      </c>
      <c r="AZ262" s="31" t="s">
        <v>17261</v>
      </c>
      <c r="BA262" s="31" t="s">
        <v>13780</v>
      </c>
      <c r="BB262" s="31" t="s">
        <v>13772</v>
      </c>
      <c r="BC262" s="31" t="s">
        <v>13772</v>
      </c>
      <c r="BD262" s="31" t="s">
        <v>13808</v>
      </c>
      <c r="BE262" s="31" t="s">
        <v>13856</v>
      </c>
      <c r="BF262" s="31" t="s">
        <v>13857</v>
      </c>
      <c r="BG262" s="31" t="s">
        <v>13964</v>
      </c>
      <c r="BH262" s="31" t="s">
        <v>13772</v>
      </c>
      <c r="BI262" s="31" t="s">
        <v>21950</v>
      </c>
      <c r="BJ262" s="31" t="s">
        <v>21951</v>
      </c>
      <c r="BK262" s="31" t="s">
        <v>21952</v>
      </c>
      <c r="BL262" s="31" t="s">
        <v>13772</v>
      </c>
      <c r="BM262" s="31" t="s">
        <v>14470</v>
      </c>
    </row>
    <row r="263" spans="1:65">
      <c r="A263">
        <v>2451</v>
      </c>
      <c r="B263">
        <v>1</v>
      </c>
      <c r="C263">
        <v>258</v>
      </c>
      <c r="D263" t="s">
        <v>5758</v>
      </c>
      <c r="E263" t="s">
        <v>73</v>
      </c>
      <c r="F263" t="s">
        <v>5759</v>
      </c>
      <c r="G263">
        <v>36.6</v>
      </c>
      <c r="H263">
        <v>462</v>
      </c>
      <c r="I263">
        <v>50220</v>
      </c>
      <c r="J263" t="s">
        <v>5761</v>
      </c>
      <c r="K263" s="3" t="s">
        <v>73</v>
      </c>
      <c r="L263">
        <v>177</v>
      </c>
      <c r="M263">
        <v>99</v>
      </c>
      <c r="N263">
        <v>0.55900000000000005</v>
      </c>
      <c r="O263" s="11">
        <f t="shared" ref="O263:O326" si="4">AVERAGE(P263:AE263)</f>
        <v>9.1390781511992571</v>
      </c>
      <c r="P263" s="36">
        <v>6.4217099979240704</v>
      </c>
      <c r="Q263" s="36">
        <v>6.8377552568098698</v>
      </c>
      <c r="R263" s="36">
        <v>8.1640680752425094</v>
      </c>
      <c r="S263" s="36">
        <v>3.4774200460524298</v>
      </c>
      <c r="T263" s="36">
        <v>9.3759223233121194</v>
      </c>
      <c r="U263" s="36">
        <v>8.4605179444193706</v>
      </c>
      <c r="V263" s="36">
        <v>7.6946546649118801</v>
      </c>
      <c r="W263" s="36">
        <v>9.6345176200248304</v>
      </c>
      <c r="X263" s="37">
        <v>27.896016092898002</v>
      </c>
      <c r="Y263" s="37">
        <v>11.162498749922699</v>
      </c>
      <c r="Z263" s="37">
        <v>10.640722831955699</v>
      </c>
      <c r="AA263" s="37">
        <v>6.3491028494995598</v>
      </c>
      <c r="AB263" s="37">
        <v>13.3224922043192</v>
      </c>
      <c r="AC263" s="37">
        <v>4.9719005934262901</v>
      </c>
      <c r="AD263" s="37">
        <v>6.4867222058084204</v>
      </c>
      <c r="AE263" s="37">
        <v>5.3292289626611602</v>
      </c>
      <c r="AF263" s="45">
        <v>0.52657610931170595</v>
      </c>
      <c r="AG263" s="45">
        <v>1.4343867201059399</v>
      </c>
      <c r="AH263" s="46">
        <v>0.21337764866682199</v>
      </c>
      <c r="AI263" s="47">
        <v>0.27880790421504698</v>
      </c>
      <c r="AJ263" s="48">
        <v>7.5083207410871404</v>
      </c>
      <c r="AK263" s="49">
        <v>10.7698355613114</v>
      </c>
      <c r="AL263" s="31" t="s">
        <v>5874</v>
      </c>
      <c r="AM263" s="31" t="s">
        <v>5832</v>
      </c>
      <c r="AN263" s="31" t="s">
        <v>26901</v>
      </c>
      <c r="AO263" s="31" t="s">
        <v>26902</v>
      </c>
      <c r="AP263" s="31" t="s">
        <v>26903</v>
      </c>
      <c r="AQ263" s="31" t="s">
        <v>26904</v>
      </c>
      <c r="AR263" s="31" t="s">
        <v>26905</v>
      </c>
      <c r="AS263" s="31" t="str">
        <f>"EEF1A1"</f>
        <v>EEF1A1</v>
      </c>
      <c r="AT263" s="31" t="s">
        <v>26906</v>
      </c>
      <c r="AU263" s="31" t="s">
        <v>13777</v>
      </c>
      <c r="AV263" s="31">
        <v>9606</v>
      </c>
      <c r="AW263" s="50" t="str">
        <f>HYPERLINK("http://www.uniprot.org/uniprot/P68104", "P68104")</f>
        <v>P68104</v>
      </c>
      <c r="AX263" s="31" t="s">
        <v>26907</v>
      </c>
      <c r="AY263" s="31" t="s">
        <v>17814</v>
      </c>
      <c r="AZ263" s="31" t="s">
        <v>14968</v>
      </c>
      <c r="BA263" s="31" t="s">
        <v>13841</v>
      </c>
      <c r="BB263" s="31" t="s">
        <v>13772</v>
      </c>
      <c r="BC263" s="31" t="s">
        <v>13772</v>
      </c>
      <c r="BD263" s="31" t="s">
        <v>13772</v>
      </c>
      <c r="BE263" s="31" t="s">
        <v>14216</v>
      </c>
      <c r="BF263" s="31" t="s">
        <v>19001</v>
      </c>
      <c r="BG263" s="31" t="s">
        <v>23880</v>
      </c>
      <c r="BH263" s="31" t="s">
        <v>13812</v>
      </c>
      <c r="BI263" s="31" t="s">
        <v>26908</v>
      </c>
      <c r="BJ263" s="31" t="s">
        <v>26909</v>
      </c>
      <c r="BK263" s="31" t="s">
        <v>26910</v>
      </c>
      <c r="BL263" s="31" t="s">
        <v>13772</v>
      </c>
      <c r="BM263" s="31" t="s">
        <v>26911</v>
      </c>
    </row>
    <row r="264" spans="1:65">
      <c r="A264">
        <v>841</v>
      </c>
      <c r="B264">
        <v>1</v>
      </c>
      <c r="C264">
        <v>259</v>
      </c>
      <c r="D264" t="s">
        <v>2062</v>
      </c>
      <c r="E264" t="s">
        <v>2063</v>
      </c>
      <c r="F264" t="s">
        <v>73</v>
      </c>
      <c r="G264">
        <v>35.5</v>
      </c>
      <c r="H264">
        <v>921</v>
      </c>
      <c r="I264">
        <v>102462</v>
      </c>
      <c r="J264" t="s">
        <v>2064</v>
      </c>
      <c r="K264" s="3" t="s">
        <v>73</v>
      </c>
      <c r="L264">
        <v>161</v>
      </c>
      <c r="M264">
        <v>161</v>
      </c>
      <c r="N264">
        <v>1</v>
      </c>
      <c r="O264" s="11">
        <f t="shared" si="4"/>
        <v>7.685337827173826</v>
      </c>
      <c r="P264" s="36">
        <v>1.2116433958347299</v>
      </c>
      <c r="Q264" s="36">
        <v>0.24076603016936199</v>
      </c>
      <c r="R264" s="36">
        <v>1.6007976618122599</v>
      </c>
      <c r="S264" s="36">
        <v>1.5119217591532299</v>
      </c>
      <c r="T264" s="36">
        <v>0.86017635993689201</v>
      </c>
      <c r="U264" s="36">
        <v>0.23243181165987301</v>
      </c>
      <c r="V264" s="36">
        <v>1.05406228286464</v>
      </c>
      <c r="W264" s="36">
        <v>3.8927343919292201</v>
      </c>
      <c r="X264" s="37">
        <v>7.9475829324495697</v>
      </c>
      <c r="Y264" s="37">
        <v>5.0451971751062796</v>
      </c>
      <c r="Z264" s="37">
        <v>12.0008152240101</v>
      </c>
      <c r="AA264" s="37">
        <v>24.549864351398298</v>
      </c>
      <c r="AB264" s="37">
        <v>10.1067182239663</v>
      </c>
      <c r="AC264" s="37">
        <v>8.6810962742363706</v>
      </c>
      <c r="AD264" s="37">
        <v>13.576860430761799</v>
      </c>
      <c r="AE264" s="37">
        <v>30.4527369294923</v>
      </c>
      <c r="AF264" s="45">
        <v>3.2829394975906698</v>
      </c>
      <c r="AG264" s="45">
        <v>10.5955504306402</v>
      </c>
      <c r="AH264" s="46">
        <v>3.88064007145411E-9</v>
      </c>
      <c r="AI264" s="47">
        <v>4.0564815746918798E-8</v>
      </c>
      <c r="AJ264" s="48">
        <v>1.32556671167003</v>
      </c>
      <c r="AK264" s="49">
        <v>14.045108942677601</v>
      </c>
      <c r="AL264" s="31" t="s">
        <v>5874</v>
      </c>
      <c r="AM264" s="31" t="s">
        <v>5876</v>
      </c>
      <c r="AN264" s="31" t="s">
        <v>22085</v>
      </c>
      <c r="AO264" s="31" t="s">
        <v>22086</v>
      </c>
      <c r="AP264" s="31" t="s">
        <v>22087</v>
      </c>
      <c r="AQ264" s="31" t="s">
        <v>22088</v>
      </c>
      <c r="AR264" s="31" t="s">
        <v>22089</v>
      </c>
      <c r="AS264" s="31" t="str">
        <f>"ITIH1"</f>
        <v>ITIH1</v>
      </c>
      <c r="AT264" s="31" t="s">
        <v>22090</v>
      </c>
      <c r="AU264" s="31" t="s">
        <v>13777</v>
      </c>
      <c r="AV264" s="31">
        <v>9606</v>
      </c>
      <c r="AW264" s="50" t="str">
        <f>HYPERLINK("http://www.uniprot.org/uniprot/P19827", "P19827")</f>
        <v>P19827</v>
      </c>
      <c r="AX264" s="31" t="s">
        <v>22091</v>
      </c>
      <c r="AY264" s="31" t="s">
        <v>13772</v>
      </c>
      <c r="AZ264" s="31" t="s">
        <v>14321</v>
      </c>
      <c r="BA264" s="31" t="s">
        <v>13780</v>
      </c>
      <c r="BB264" s="31" t="s">
        <v>13772</v>
      </c>
      <c r="BC264" s="31" t="s">
        <v>13772</v>
      </c>
      <c r="BD264" s="31" t="s">
        <v>13808</v>
      </c>
      <c r="BE264" s="31" t="s">
        <v>13772</v>
      </c>
      <c r="BF264" s="31" t="s">
        <v>14375</v>
      </c>
      <c r="BG264" s="31" t="s">
        <v>15858</v>
      </c>
      <c r="BH264" s="31" t="s">
        <v>13812</v>
      </c>
      <c r="BI264" s="31" t="s">
        <v>22092</v>
      </c>
      <c r="BJ264" s="31" t="s">
        <v>22093</v>
      </c>
      <c r="BK264" s="31" t="s">
        <v>22094</v>
      </c>
      <c r="BL264" s="31" t="s">
        <v>13772</v>
      </c>
      <c r="BM264" s="31" t="s">
        <v>13772</v>
      </c>
    </row>
    <row r="265" spans="1:65">
      <c r="A265">
        <v>1767</v>
      </c>
      <c r="B265">
        <v>1</v>
      </c>
      <c r="C265">
        <v>260</v>
      </c>
      <c r="D265" t="s">
        <v>4182</v>
      </c>
      <c r="E265" t="s">
        <v>73</v>
      </c>
      <c r="F265" t="s">
        <v>73</v>
      </c>
      <c r="G265">
        <v>80.900000000000006</v>
      </c>
      <c r="H265">
        <v>199</v>
      </c>
      <c r="I265">
        <v>22347</v>
      </c>
      <c r="J265" t="s">
        <v>4183</v>
      </c>
      <c r="K265" s="3" t="s">
        <v>73</v>
      </c>
      <c r="L265">
        <v>160</v>
      </c>
      <c r="M265">
        <v>160</v>
      </c>
      <c r="N265">
        <v>1</v>
      </c>
      <c r="O265" s="11">
        <f t="shared" si="4"/>
        <v>8.2544192395519378</v>
      </c>
      <c r="P265" s="36">
        <v>2.4232867916694598</v>
      </c>
      <c r="Q265" s="36">
        <v>0.96306412067744696</v>
      </c>
      <c r="R265" s="36">
        <v>0.40019941545306398</v>
      </c>
      <c r="S265" s="36">
        <v>0.37798043978830698</v>
      </c>
      <c r="T265" s="36">
        <v>3.4407054397475698</v>
      </c>
      <c r="U265" s="36">
        <v>1.85945449327898</v>
      </c>
      <c r="V265" s="36">
        <v>2.10812456572928</v>
      </c>
      <c r="W265" s="36">
        <v>4.8659179899115301</v>
      </c>
      <c r="X265" s="37">
        <v>24.637507090593701</v>
      </c>
      <c r="Y265" s="37">
        <v>20.180788700425101</v>
      </c>
      <c r="Z265" s="37">
        <v>6.4004347861387396</v>
      </c>
      <c r="AA265" s="37">
        <v>9.3120175125993505</v>
      </c>
      <c r="AB265" s="37">
        <v>15.619473618856899</v>
      </c>
      <c r="AC265" s="37">
        <v>19.729764259628102</v>
      </c>
      <c r="AD265" s="37">
        <v>4.5256201435872701</v>
      </c>
      <c r="AE265" s="37">
        <v>15.2263684647462</v>
      </c>
      <c r="AF265" s="45">
        <v>2.67830406013044</v>
      </c>
      <c r="AG265" s="45">
        <v>7.0341170924817202</v>
      </c>
      <c r="AH265" s="46">
        <v>2.2924886760599199E-8</v>
      </c>
      <c r="AI265" s="47">
        <v>1.8934258324494901E-7</v>
      </c>
      <c r="AJ265" s="48">
        <v>2.0548416570319499</v>
      </c>
      <c r="AK265" s="49">
        <v>14.4539968220719</v>
      </c>
      <c r="AL265" s="31" t="s">
        <v>5874</v>
      </c>
      <c r="AM265" s="31" t="s">
        <v>5876</v>
      </c>
      <c r="AN265" s="31" t="s">
        <v>30763</v>
      </c>
      <c r="AO265" s="31" t="s">
        <v>30764</v>
      </c>
      <c r="AP265" s="31" t="s">
        <v>30765</v>
      </c>
      <c r="AQ265" s="31" t="s">
        <v>30766</v>
      </c>
      <c r="AR265" s="31" t="s">
        <v>30767</v>
      </c>
      <c r="AS265" s="31" t="str">
        <f>"TAGLN2"</f>
        <v>TAGLN2</v>
      </c>
      <c r="AT265" s="31" t="s">
        <v>30768</v>
      </c>
      <c r="AU265" s="31" t="s">
        <v>13777</v>
      </c>
      <c r="AV265" s="31">
        <v>9606</v>
      </c>
      <c r="AW265" s="50" t="str">
        <f>HYPERLINK("http://www.uniprot.org/uniprot/P37802", "P37802")</f>
        <v>P37802</v>
      </c>
      <c r="AX265" s="31" t="s">
        <v>30769</v>
      </c>
      <c r="AY265" s="31" t="s">
        <v>13772</v>
      </c>
      <c r="AZ265" s="31" t="s">
        <v>13772</v>
      </c>
      <c r="BA265" s="31" t="s">
        <v>13780</v>
      </c>
      <c r="BB265" s="31" t="s">
        <v>13772</v>
      </c>
      <c r="BC265" s="31" t="s">
        <v>13772</v>
      </c>
      <c r="BD265" s="31" t="s">
        <v>13772</v>
      </c>
      <c r="BE265" s="31" t="s">
        <v>13772</v>
      </c>
      <c r="BF265" s="31" t="s">
        <v>13772</v>
      </c>
      <c r="BG265" s="31" t="s">
        <v>14663</v>
      </c>
      <c r="BH265" s="31" t="s">
        <v>13812</v>
      </c>
      <c r="BI265" s="31" t="s">
        <v>30770</v>
      </c>
      <c r="BJ265" s="31" t="s">
        <v>30771</v>
      </c>
      <c r="BK265" s="31" t="s">
        <v>21896</v>
      </c>
      <c r="BL265" s="31" t="s">
        <v>13772</v>
      </c>
      <c r="BM265" s="31" t="s">
        <v>15665</v>
      </c>
    </row>
    <row r="266" spans="1:65">
      <c r="A266">
        <v>2063</v>
      </c>
      <c r="B266">
        <v>1</v>
      </c>
      <c r="C266">
        <v>261</v>
      </c>
      <c r="D266" t="s">
        <v>4850</v>
      </c>
      <c r="E266" t="s">
        <v>73</v>
      </c>
      <c r="F266" t="s">
        <v>73</v>
      </c>
      <c r="G266">
        <v>48.3</v>
      </c>
      <c r="H266">
        <v>627</v>
      </c>
      <c r="I266">
        <v>67770</v>
      </c>
      <c r="J266" t="s">
        <v>4851</v>
      </c>
      <c r="K266" s="3" t="s">
        <v>73</v>
      </c>
      <c r="L266">
        <v>160</v>
      </c>
      <c r="M266">
        <v>160</v>
      </c>
      <c r="N266">
        <v>1</v>
      </c>
      <c r="O266" s="11">
        <f t="shared" si="4"/>
        <v>10.394569888754942</v>
      </c>
      <c r="P266" s="36">
        <v>12.116433958347301</v>
      </c>
      <c r="Q266" s="36">
        <v>13.4828976894843</v>
      </c>
      <c r="R266" s="36">
        <v>20.810369603559401</v>
      </c>
      <c r="S266" s="36">
        <v>18.143061109838801</v>
      </c>
      <c r="T266" s="36">
        <v>13.762821758990301</v>
      </c>
      <c r="U266" s="36">
        <v>10.226999713034401</v>
      </c>
      <c r="V266" s="36">
        <v>27.405619354480699</v>
      </c>
      <c r="W266" s="36">
        <v>24.3295899495577</v>
      </c>
      <c r="X266" s="37">
        <v>3.17903317297983</v>
      </c>
      <c r="Y266" s="37">
        <v>4.4145475282179998</v>
      </c>
      <c r="Z266" s="37">
        <v>7.2004891344060802</v>
      </c>
      <c r="AA266" s="37">
        <v>1.6930940931998799</v>
      </c>
      <c r="AB266" s="37">
        <v>1.8375851316302301</v>
      </c>
      <c r="AC266" s="37">
        <v>3.1567622815404999</v>
      </c>
      <c r="AD266" s="37">
        <v>1.50854004786242</v>
      </c>
      <c r="AE266" s="37">
        <v>3.0452736929492299</v>
      </c>
      <c r="AF266" s="45">
        <v>-2.3200046545403201</v>
      </c>
      <c r="AG266" s="45">
        <v>-5.3879793200677302</v>
      </c>
      <c r="AH266" s="46">
        <v>1.33019325468102E-9</v>
      </c>
      <c r="AI266" s="47">
        <v>1.6179987043301902E-8</v>
      </c>
      <c r="AJ266" s="48">
        <v>17.5347241421616</v>
      </c>
      <c r="AK266" s="49">
        <v>3.2544156353482698</v>
      </c>
      <c r="AL266" s="31" t="s">
        <v>5875</v>
      </c>
      <c r="AM266" s="31" t="s">
        <v>5876</v>
      </c>
      <c r="AN266" s="31" t="s">
        <v>33531</v>
      </c>
      <c r="AO266" s="31" t="s">
        <v>33532</v>
      </c>
      <c r="AP266" s="31" t="s">
        <v>33533</v>
      </c>
      <c r="AQ266" s="31" t="s">
        <v>33534</v>
      </c>
      <c r="AR266" s="31" t="s">
        <v>33535</v>
      </c>
      <c r="AS266" s="31" t="str">
        <f>"BCAM"</f>
        <v>BCAM</v>
      </c>
      <c r="AT266" s="31" t="s">
        <v>33536</v>
      </c>
      <c r="AU266" s="31" t="s">
        <v>13777</v>
      </c>
      <c r="AV266" s="31">
        <v>9606</v>
      </c>
      <c r="AW266" s="50" t="str">
        <f>HYPERLINK("http://www.uniprot.org/uniprot/P50895", "P50895")</f>
        <v>P50895</v>
      </c>
      <c r="AX266" s="31" t="s">
        <v>33537</v>
      </c>
      <c r="AY266" s="31" t="s">
        <v>13949</v>
      </c>
      <c r="AZ266" s="31" t="s">
        <v>13825</v>
      </c>
      <c r="BA266" s="31" t="s">
        <v>13793</v>
      </c>
      <c r="BB266" s="31" t="s">
        <v>13772</v>
      </c>
      <c r="BC266" s="31" t="s">
        <v>13772</v>
      </c>
      <c r="BD266" s="31" t="s">
        <v>13951</v>
      </c>
      <c r="BE266" s="31" t="s">
        <v>13772</v>
      </c>
      <c r="BF266" s="31" t="s">
        <v>18674</v>
      </c>
      <c r="BG266" s="31" t="s">
        <v>13964</v>
      </c>
      <c r="BH266" s="31" t="s">
        <v>13812</v>
      </c>
      <c r="BI266" s="31" t="s">
        <v>33538</v>
      </c>
      <c r="BJ266" s="31" t="s">
        <v>33539</v>
      </c>
      <c r="BK266" s="31" t="s">
        <v>33540</v>
      </c>
      <c r="BL266" s="31" t="s">
        <v>13772</v>
      </c>
      <c r="BM266" s="31" t="s">
        <v>13772</v>
      </c>
    </row>
    <row r="267" spans="1:65">
      <c r="A267">
        <v>2073</v>
      </c>
      <c r="B267">
        <v>1</v>
      </c>
      <c r="C267">
        <v>262</v>
      </c>
      <c r="D267" t="s">
        <v>4872</v>
      </c>
      <c r="E267" t="s">
        <v>73</v>
      </c>
      <c r="F267" t="s">
        <v>73</v>
      </c>
      <c r="G267">
        <v>58</v>
      </c>
      <c r="H267">
        <v>410</v>
      </c>
      <c r="I267">
        <v>45566</v>
      </c>
      <c r="J267" t="s">
        <v>4873</v>
      </c>
      <c r="K267" s="3" t="s">
        <v>73</v>
      </c>
      <c r="L267">
        <v>160</v>
      </c>
      <c r="M267">
        <v>160</v>
      </c>
      <c r="N267">
        <v>1</v>
      </c>
      <c r="O267" s="11">
        <f t="shared" si="4"/>
        <v>10.417221042217028</v>
      </c>
      <c r="P267" s="36">
        <v>16.963007541686199</v>
      </c>
      <c r="Q267" s="36">
        <v>17.335154172193999</v>
      </c>
      <c r="R267" s="36">
        <v>6.4031906472490299</v>
      </c>
      <c r="S267" s="36">
        <v>12.0953740732258</v>
      </c>
      <c r="T267" s="36">
        <v>22.3645853583592</v>
      </c>
      <c r="U267" s="36">
        <v>17.6648176861503</v>
      </c>
      <c r="V267" s="36">
        <v>25.297494788751401</v>
      </c>
      <c r="W267" s="36">
        <v>17.517304763681501</v>
      </c>
      <c r="X267" s="37">
        <v>0.19868957331123899</v>
      </c>
      <c r="Y267" s="37">
        <v>4.4145475282179998</v>
      </c>
      <c r="Z267" s="37">
        <v>3.2002173930693698</v>
      </c>
      <c r="AA267" s="37">
        <v>0.21163676164998499</v>
      </c>
      <c r="AB267" s="37">
        <v>0.91879256581511404</v>
      </c>
      <c r="AC267" s="37">
        <v>3.94595285192562</v>
      </c>
      <c r="AD267" s="37">
        <v>13.576860430761799</v>
      </c>
      <c r="AE267" s="37">
        <v>4.5679105394238499</v>
      </c>
      <c r="AF267" s="45">
        <v>-2.2357690909262899</v>
      </c>
      <c r="AG267" s="45">
        <v>-4.3706345698479101</v>
      </c>
      <c r="AH267" s="46">
        <v>1.34693686581372E-5</v>
      </c>
      <c r="AI267" s="47">
        <v>4.8187206589806302E-5</v>
      </c>
      <c r="AJ267" s="48">
        <v>16.955116128912199</v>
      </c>
      <c r="AK267" s="49">
        <v>3.8793259555218702</v>
      </c>
      <c r="AL267" s="31" t="s">
        <v>5875</v>
      </c>
      <c r="AM267" s="31" t="s">
        <v>5876</v>
      </c>
      <c r="AN267" s="31" t="s">
        <v>33625</v>
      </c>
      <c r="AO267" s="31" t="s">
        <v>33626</v>
      </c>
      <c r="AP267" s="31" t="s">
        <v>33627</v>
      </c>
      <c r="AQ267" s="31" t="s">
        <v>33628</v>
      </c>
      <c r="AR267" s="31" t="s">
        <v>33629</v>
      </c>
      <c r="AS267" s="31" t="str">
        <f>"DPEP1"</f>
        <v>DPEP1</v>
      </c>
      <c r="AT267" s="31" t="s">
        <v>33630</v>
      </c>
      <c r="AU267" s="31" t="s">
        <v>13777</v>
      </c>
      <c r="AV267" s="31">
        <v>9606</v>
      </c>
      <c r="AW267" s="50" t="str">
        <f>HYPERLINK("http://www.uniprot.org/uniprot/P16444", "P16444")</f>
        <v>P16444</v>
      </c>
      <c r="AX267" s="31" t="s">
        <v>33631</v>
      </c>
      <c r="AY267" s="31" t="s">
        <v>13772</v>
      </c>
      <c r="AZ267" s="31" t="s">
        <v>15856</v>
      </c>
      <c r="BA267" s="31" t="s">
        <v>13793</v>
      </c>
      <c r="BB267" s="31" t="s">
        <v>13772</v>
      </c>
      <c r="BC267" s="31" t="s">
        <v>13772</v>
      </c>
      <c r="BD267" s="31" t="s">
        <v>13808</v>
      </c>
      <c r="BE267" s="31" t="s">
        <v>13856</v>
      </c>
      <c r="BF267" s="31" t="s">
        <v>33562</v>
      </c>
      <c r="BG267" s="31" t="s">
        <v>15699</v>
      </c>
      <c r="BH267" s="31" t="s">
        <v>13812</v>
      </c>
      <c r="BI267" s="31" t="s">
        <v>33632</v>
      </c>
      <c r="BJ267" s="31" t="s">
        <v>33633</v>
      </c>
      <c r="BK267" s="31" t="s">
        <v>33634</v>
      </c>
      <c r="BL267" s="31" t="s">
        <v>13772</v>
      </c>
      <c r="BM267" s="31" t="s">
        <v>33635</v>
      </c>
    </row>
    <row r="268" spans="1:65">
      <c r="A268">
        <v>1976</v>
      </c>
      <c r="B268">
        <v>1</v>
      </c>
      <c r="C268">
        <v>263</v>
      </c>
      <c r="D268" t="s">
        <v>4654</v>
      </c>
      <c r="E268" t="s">
        <v>73</v>
      </c>
      <c r="F268" t="s">
        <v>73</v>
      </c>
      <c r="G268">
        <v>65.900000000000006</v>
      </c>
      <c r="H268">
        <v>364</v>
      </c>
      <c r="I268">
        <v>39585</v>
      </c>
      <c r="J268" t="s">
        <v>4655</v>
      </c>
      <c r="K268" s="3" t="s">
        <v>73</v>
      </c>
      <c r="L268">
        <v>168</v>
      </c>
      <c r="M268">
        <v>152</v>
      </c>
      <c r="N268">
        <v>0.90500000000000003</v>
      </c>
      <c r="O268" s="11">
        <f t="shared" si="4"/>
        <v>9.9363324484813891</v>
      </c>
      <c r="P268" s="36">
        <v>11.631776600013399</v>
      </c>
      <c r="Q268" s="36">
        <v>19.9354272980231</v>
      </c>
      <c r="R268" s="36">
        <v>8.00398830906129</v>
      </c>
      <c r="S268" s="36">
        <v>9.0715305549193808</v>
      </c>
      <c r="T268" s="36">
        <v>34.751124941450399</v>
      </c>
      <c r="U268" s="36">
        <v>19.617244904093301</v>
      </c>
      <c r="V268" s="36">
        <v>16.5487778409749</v>
      </c>
      <c r="W268" s="36">
        <v>18.003896562672701</v>
      </c>
      <c r="X268" s="37">
        <v>0.19868957331123899</v>
      </c>
      <c r="Y268" s="37">
        <v>3.1532482344414299</v>
      </c>
      <c r="Z268" s="37">
        <v>0.200013587066836</v>
      </c>
      <c r="AA268" s="37">
        <v>0.84654704659994096</v>
      </c>
      <c r="AB268" s="37">
        <v>0.22969814145377901</v>
      </c>
      <c r="AC268" s="37">
        <v>9.8648821298140597</v>
      </c>
      <c r="AD268" s="37">
        <v>0.377135011965606</v>
      </c>
      <c r="AE268" s="37">
        <v>6.5473384398408498</v>
      </c>
      <c r="AF268" s="45">
        <v>-2.65634153681285</v>
      </c>
      <c r="AG268" s="45">
        <v>-6.4229453466331803</v>
      </c>
      <c r="AH268" s="46">
        <v>7.03914691462103E-6</v>
      </c>
      <c r="AI268" s="47">
        <v>2.69096530621798E-5</v>
      </c>
      <c r="AJ268" s="48">
        <v>17.1954708764011</v>
      </c>
      <c r="AK268" s="49">
        <v>2.67719402056172</v>
      </c>
      <c r="AL268" s="31" t="s">
        <v>5875</v>
      </c>
      <c r="AM268" s="31" t="s">
        <v>5876</v>
      </c>
      <c r="AN268" s="31" t="s">
        <v>32722</v>
      </c>
      <c r="AO268" s="31" t="s">
        <v>32723</v>
      </c>
      <c r="AP268" s="31" t="s">
        <v>32724</v>
      </c>
      <c r="AQ268" s="31" t="s">
        <v>32725</v>
      </c>
      <c r="AR268" s="31" t="s">
        <v>32726</v>
      </c>
      <c r="AS268" s="31" t="str">
        <f>"ALDOB"</f>
        <v>ALDOB</v>
      </c>
      <c r="AT268" s="31" t="s">
        <v>32727</v>
      </c>
      <c r="AU268" s="31" t="s">
        <v>13777</v>
      </c>
      <c r="AV268" s="31">
        <v>9606</v>
      </c>
      <c r="AW268" s="50" t="str">
        <f>HYPERLINK("http://www.uniprot.org/uniprot/P05062", "P05062")</f>
        <v>P05062</v>
      </c>
      <c r="AX268" s="31" t="s">
        <v>32728</v>
      </c>
      <c r="AY268" s="31" t="s">
        <v>15772</v>
      </c>
      <c r="AZ268" s="31" t="s">
        <v>13988</v>
      </c>
      <c r="BA268" s="31" t="s">
        <v>13793</v>
      </c>
      <c r="BB268" s="31" t="s">
        <v>13772</v>
      </c>
      <c r="BC268" s="31" t="s">
        <v>13807</v>
      </c>
      <c r="BD268" s="31" t="s">
        <v>13772</v>
      </c>
      <c r="BE268" s="31" t="s">
        <v>18902</v>
      </c>
      <c r="BF268" s="31" t="s">
        <v>15788</v>
      </c>
      <c r="BG268" s="31" t="s">
        <v>13886</v>
      </c>
      <c r="BH268" s="31" t="s">
        <v>13812</v>
      </c>
      <c r="BI268" s="31" t="s">
        <v>32729</v>
      </c>
      <c r="BJ268" s="31" t="s">
        <v>32730</v>
      </c>
      <c r="BK268" s="31" t="s">
        <v>32731</v>
      </c>
      <c r="BL268" s="31" t="s">
        <v>30761</v>
      </c>
      <c r="BM268" s="31" t="s">
        <v>32732</v>
      </c>
    </row>
    <row r="269" spans="1:65">
      <c r="A269">
        <v>654</v>
      </c>
      <c r="B269">
        <v>1</v>
      </c>
      <c r="C269">
        <v>264</v>
      </c>
      <c r="D269" t="s">
        <v>1613</v>
      </c>
      <c r="E269" t="s">
        <v>73</v>
      </c>
      <c r="F269" t="s">
        <v>73</v>
      </c>
      <c r="G269">
        <v>81.599999999999994</v>
      </c>
      <c r="H269">
        <v>98</v>
      </c>
      <c r="I269">
        <v>11180</v>
      </c>
      <c r="J269" t="s">
        <v>1614</v>
      </c>
      <c r="K269" s="3" t="s">
        <v>73</v>
      </c>
      <c r="L269">
        <v>159</v>
      </c>
      <c r="M269">
        <v>159</v>
      </c>
      <c r="N269">
        <v>1</v>
      </c>
      <c r="O269" s="11">
        <f t="shared" si="4"/>
        <v>8.6629285589668275</v>
      </c>
      <c r="P269" s="36">
        <v>3.6349301875041902</v>
      </c>
      <c r="Q269" s="36">
        <v>5.7783847240646802</v>
      </c>
      <c r="R269" s="36">
        <v>3.2015953236245198</v>
      </c>
      <c r="S269" s="36">
        <v>3.0238435183064598</v>
      </c>
      <c r="T269" s="36">
        <v>3.4407054397475698</v>
      </c>
      <c r="U269" s="36">
        <v>7.43781797311593</v>
      </c>
      <c r="V269" s="36">
        <v>8.4324982629171306</v>
      </c>
      <c r="W269" s="36">
        <v>12.65138677377</v>
      </c>
      <c r="X269" s="37">
        <v>15.8951658648991</v>
      </c>
      <c r="Y269" s="37">
        <v>8.8290950564359996</v>
      </c>
      <c r="Z269" s="37">
        <v>9.6006521792081099</v>
      </c>
      <c r="AA269" s="37">
        <v>7.6189234193994704</v>
      </c>
      <c r="AB269" s="37">
        <v>12.863095921411601</v>
      </c>
      <c r="AC269" s="37">
        <v>14.994620837317401</v>
      </c>
      <c r="AD269" s="37">
        <v>12.068320382899399</v>
      </c>
      <c r="AE269" s="37">
        <v>9.1358210788476999</v>
      </c>
      <c r="AF269" s="45">
        <v>0.878183971824683</v>
      </c>
      <c r="AG269" s="45">
        <v>1.9118376637994501</v>
      </c>
      <c r="AH269" s="46">
        <v>1.29555492809093E-2</v>
      </c>
      <c r="AI269" s="47">
        <v>2.3236628603025E-2</v>
      </c>
      <c r="AJ269" s="48">
        <v>5.9501452753813098</v>
      </c>
      <c r="AK269" s="49">
        <v>11.375711842552301</v>
      </c>
      <c r="AL269" s="31" t="s">
        <v>5874</v>
      </c>
      <c r="AM269" s="31" t="s">
        <v>5878</v>
      </c>
      <c r="AN269" s="31" t="s">
        <v>20223</v>
      </c>
      <c r="AO269" s="31" t="s">
        <v>20224</v>
      </c>
      <c r="AP269" s="31" t="s">
        <v>20225</v>
      </c>
      <c r="AQ269" s="31" t="s">
        <v>20226</v>
      </c>
      <c r="AR269" s="31" t="s">
        <v>13772</v>
      </c>
      <c r="AS269" s="31" t="str">
        <f>"CSTB"</f>
        <v>CSTB</v>
      </c>
      <c r="AT269" s="31" t="s">
        <v>20227</v>
      </c>
      <c r="AU269" s="31" t="s">
        <v>13777</v>
      </c>
      <c r="AV269" s="31">
        <v>9606</v>
      </c>
      <c r="AW269" s="50" t="str">
        <f>HYPERLINK("http://www.uniprot.org/uniprot/P04080", "P04080")</f>
        <v>P04080</v>
      </c>
      <c r="AX269" s="31" t="s">
        <v>20228</v>
      </c>
      <c r="AY269" s="31" t="s">
        <v>13772</v>
      </c>
      <c r="AZ269" s="31" t="s">
        <v>13912</v>
      </c>
      <c r="BA269" s="31" t="s">
        <v>13772</v>
      </c>
      <c r="BB269" s="31" t="s">
        <v>13772</v>
      </c>
      <c r="BC269" s="31" t="s">
        <v>17649</v>
      </c>
      <c r="BD269" s="31" t="s">
        <v>13772</v>
      </c>
      <c r="BE269" s="31" t="s">
        <v>13772</v>
      </c>
      <c r="BF269" s="31" t="s">
        <v>19559</v>
      </c>
      <c r="BG269" s="31" t="s">
        <v>14020</v>
      </c>
      <c r="BH269" s="31" t="s">
        <v>13812</v>
      </c>
      <c r="BI269" s="31" t="s">
        <v>20229</v>
      </c>
      <c r="BJ269" s="31" t="s">
        <v>20230</v>
      </c>
      <c r="BK269" s="31" t="s">
        <v>20231</v>
      </c>
      <c r="BL269" s="31" t="s">
        <v>13772</v>
      </c>
      <c r="BM269" s="31" t="s">
        <v>13890</v>
      </c>
    </row>
    <row r="270" spans="1:65">
      <c r="A270">
        <v>1592</v>
      </c>
      <c r="B270">
        <v>1</v>
      </c>
      <c r="C270">
        <v>265</v>
      </c>
      <c r="D270" t="s">
        <v>3773</v>
      </c>
      <c r="E270" t="s">
        <v>73</v>
      </c>
      <c r="F270" t="s">
        <v>73</v>
      </c>
      <c r="G270">
        <v>84</v>
      </c>
      <c r="H270">
        <v>106</v>
      </c>
      <c r="I270">
        <v>11862</v>
      </c>
      <c r="J270" t="s">
        <v>3774</v>
      </c>
      <c r="K270" s="3" t="s">
        <v>73</v>
      </c>
      <c r="L270">
        <v>158</v>
      </c>
      <c r="M270">
        <v>158</v>
      </c>
      <c r="N270">
        <v>1</v>
      </c>
      <c r="O270" s="11">
        <f t="shared" si="4"/>
        <v>8.9890837262859797</v>
      </c>
      <c r="P270" s="36">
        <v>2.4232867916694598</v>
      </c>
      <c r="Q270" s="36">
        <v>0.24076603016936199</v>
      </c>
      <c r="R270" s="36">
        <v>0.40019941545306398</v>
      </c>
      <c r="S270" s="36">
        <v>1.5119217591532299</v>
      </c>
      <c r="T270" s="36">
        <v>1.72035271987378</v>
      </c>
      <c r="U270" s="36">
        <v>1.85945449327898</v>
      </c>
      <c r="V270" s="36">
        <v>3.1621868485939202</v>
      </c>
      <c r="W270" s="36">
        <v>17.517304763681501</v>
      </c>
      <c r="X270" s="37">
        <v>14.3056492784092</v>
      </c>
      <c r="Y270" s="37">
        <v>10.7210439971009</v>
      </c>
      <c r="Z270" s="37">
        <v>8.8005978309407702</v>
      </c>
      <c r="AA270" s="37">
        <v>10.1585645591993</v>
      </c>
      <c r="AB270" s="37">
        <v>15.619473618856899</v>
      </c>
      <c r="AC270" s="37">
        <v>20.5189548300133</v>
      </c>
      <c r="AD270" s="37">
        <v>16.593940526486598</v>
      </c>
      <c r="AE270" s="37">
        <v>18.2716421576954</v>
      </c>
      <c r="AF270" s="45">
        <v>1.8992357686936201</v>
      </c>
      <c r="AG270" s="45">
        <v>3.98779196405187</v>
      </c>
      <c r="AH270" s="46">
        <v>3.39295425884382E-4</v>
      </c>
      <c r="AI270" s="47">
        <v>8.5014471878895798E-4</v>
      </c>
      <c r="AJ270" s="48">
        <v>3.6044341027341602</v>
      </c>
      <c r="AK270" s="49">
        <v>14.373733349837799</v>
      </c>
      <c r="AL270" s="31" t="s">
        <v>5874</v>
      </c>
      <c r="AM270" s="31" t="s">
        <v>5876</v>
      </c>
      <c r="AN270" s="31" t="s">
        <v>29074</v>
      </c>
      <c r="AO270" s="31" t="s">
        <v>29075</v>
      </c>
      <c r="AP270" s="31" t="s">
        <v>29076</v>
      </c>
      <c r="AQ270" s="31" t="s">
        <v>29077</v>
      </c>
      <c r="AR270" s="31" t="s">
        <v>29078</v>
      </c>
      <c r="AS270" s="31" t="str">
        <f>"GLRX"</f>
        <v>GLRX</v>
      </c>
      <c r="AT270" s="31" t="s">
        <v>29079</v>
      </c>
      <c r="AU270" s="31" t="s">
        <v>13777</v>
      </c>
      <c r="AV270" s="31">
        <v>9606</v>
      </c>
      <c r="AW270" s="50" t="str">
        <f>HYPERLINK("http://www.uniprot.org/uniprot/P35754", "P35754")</f>
        <v>P35754</v>
      </c>
      <c r="AX270" s="31" t="s">
        <v>29080</v>
      </c>
      <c r="AY270" s="31" t="s">
        <v>16041</v>
      </c>
      <c r="AZ270" s="31" t="s">
        <v>13899</v>
      </c>
      <c r="BA270" s="31" t="s">
        <v>13793</v>
      </c>
      <c r="BB270" s="31" t="s">
        <v>13772</v>
      </c>
      <c r="BC270" s="31" t="s">
        <v>13772</v>
      </c>
      <c r="BD270" s="31" t="s">
        <v>18188</v>
      </c>
      <c r="BE270" s="31" t="s">
        <v>13772</v>
      </c>
      <c r="BF270" s="31" t="s">
        <v>13772</v>
      </c>
      <c r="BG270" s="31" t="s">
        <v>16929</v>
      </c>
      <c r="BH270" s="31" t="s">
        <v>13812</v>
      </c>
      <c r="BI270" s="31" t="s">
        <v>29081</v>
      </c>
      <c r="BJ270" s="31" t="s">
        <v>14135</v>
      </c>
      <c r="BK270" s="31" t="s">
        <v>29082</v>
      </c>
      <c r="BL270" s="31" t="s">
        <v>13772</v>
      </c>
      <c r="BM270" s="31" t="s">
        <v>16974</v>
      </c>
    </row>
    <row r="271" spans="1:65">
      <c r="A271">
        <v>1759</v>
      </c>
      <c r="B271">
        <v>1</v>
      </c>
      <c r="C271">
        <v>266</v>
      </c>
      <c r="D271" t="s">
        <v>4160</v>
      </c>
      <c r="E271" t="s">
        <v>4161</v>
      </c>
      <c r="F271" t="s">
        <v>73</v>
      </c>
      <c r="G271">
        <v>77.8</v>
      </c>
      <c r="H271">
        <v>194</v>
      </c>
      <c r="I271">
        <v>21872</v>
      </c>
      <c r="J271" t="s">
        <v>4162</v>
      </c>
      <c r="K271" s="3" t="s">
        <v>73</v>
      </c>
      <c r="L271">
        <v>158</v>
      </c>
      <c r="M271">
        <v>158</v>
      </c>
      <c r="N271">
        <v>1</v>
      </c>
      <c r="O271" s="11">
        <f t="shared" si="4"/>
        <v>7.9111330747156474</v>
      </c>
      <c r="P271" s="36">
        <v>0.30291084895868198</v>
      </c>
      <c r="Q271" s="36">
        <v>0.24076603016936199</v>
      </c>
      <c r="R271" s="36">
        <v>0.40019941545306398</v>
      </c>
      <c r="S271" s="36">
        <v>0.37798043978830698</v>
      </c>
      <c r="T271" s="36">
        <v>0.215044089984223</v>
      </c>
      <c r="U271" s="36">
        <v>0.23243181165987301</v>
      </c>
      <c r="V271" s="36">
        <v>1.05406228286464</v>
      </c>
      <c r="W271" s="36">
        <v>0.97318359798230603</v>
      </c>
      <c r="X271" s="37">
        <v>19.074199037879001</v>
      </c>
      <c r="Y271" s="37">
        <v>23.964686581754901</v>
      </c>
      <c r="Z271" s="37">
        <v>10.400706527475499</v>
      </c>
      <c r="AA271" s="37">
        <v>3.3861881863997598</v>
      </c>
      <c r="AB271" s="37">
        <v>37.670495198419701</v>
      </c>
      <c r="AC271" s="37">
        <v>25.254098252323999</v>
      </c>
      <c r="AD271" s="37">
        <v>1.50854004786242</v>
      </c>
      <c r="AE271" s="37">
        <v>1.5226368464746201</v>
      </c>
      <c r="AF271" s="45">
        <v>4.71291626375793</v>
      </c>
      <c r="AG271" s="45">
        <v>32.3400530591746</v>
      </c>
      <c r="AH271" s="46">
        <v>4.6135273666302204E-9</v>
      </c>
      <c r="AI271" s="47">
        <v>4.74838432042402E-8</v>
      </c>
      <c r="AJ271" s="48">
        <v>0.474572314607557</v>
      </c>
      <c r="AK271" s="49">
        <v>15.3476938348237</v>
      </c>
      <c r="AL271" s="31" t="s">
        <v>5874</v>
      </c>
      <c r="AM271" s="31" t="s">
        <v>5876</v>
      </c>
      <c r="AN271" s="31" t="s">
        <v>30674</v>
      </c>
      <c r="AO271" s="31" t="s">
        <v>30675</v>
      </c>
      <c r="AP271" s="31" t="s">
        <v>30676</v>
      </c>
      <c r="AQ271" s="31" t="s">
        <v>30677</v>
      </c>
      <c r="AR271" s="31" t="s">
        <v>30678</v>
      </c>
      <c r="AS271" s="31" t="str">
        <f>"MYLPF"</f>
        <v>MYLPF</v>
      </c>
      <c r="AT271" s="31" t="s">
        <v>13772</v>
      </c>
      <c r="AU271" s="31" t="s">
        <v>13777</v>
      </c>
      <c r="AV271" s="31">
        <v>9606</v>
      </c>
      <c r="AW271" s="50" t="str">
        <f>HYPERLINK("http://www.uniprot.org/uniprot/Q96A32", "Q96A32")</f>
        <v>Q96A32</v>
      </c>
      <c r="AX271" s="31" t="s">
        <v>30679</v>
      </c>
      <c r="AY271" s="31" t="s">
        <v>13772</v>
      </c>
      <c r="AZ271" s="31" t="s">
        <v>13772</v>
      </c>
      <c r="BA271" s="31" t="s">
        <v>13772</v>
      </c>
      <c r="BB271" s="31" t="s">
        <v>13772</v>
      </c>
      <c r="BC271" s="31" t="s">
        <v>13772</v>
      </c>
      <c r="BD271" s="31" t="s">
        <v>14096</v>
      </c>
      <c r="BE271" s="31" t="s">
        <v>13873</v>
      </c>
      <c r="BF271" s="31" t="s">
        <v>17523</v>
      </c>
      <c r="BG271" s="31" t="s">
        <v>14478</v>
      </c>
      <c r="BH271" s="31" t="s">
        <v>13772</v>
      </c>
      <c r="BI271" s="31" t="s">
        <v>30680</v>
      </c>
      <c r="BJ271" s="31" t="s">
        <v>30681</v>
      </c>
      <c r="BK271" s="31" t="s">
        <v>22845</v>
      </c>
      <c r="BL271" s="31" t="s">
        <v>13772</v>
      </c>
      <c r="BM271" s="31" t="s">
        <v>17020</v>
      </c>
    </row>
    <row r="272" spans="1:65">
      <c r="A272">
        <v>1370</v>
      </c>
      <c r="B272">
        <v>1</v>
      </c>
      <c r="C272">
        <v>267</v>
      </c>
      <c r="D272" t="s">
        <v>3274</v>
      </c>
      <c r="E272" t="s">
        <v>73</v>
      </c>
      <c r="F272" t="s">
        <v>73</v>
      </c>
      <c r="G272">
        <v>27.7</v>
      </c>
      <c r="H272">
        <v>3064</v>
      </c>
      <c r="I272">
        <v>330796</v>
      </c>
      <c r="J272" t="s">
        <v>3275</v>
      </c>
      <c r="K272" s="3" t="s">
        <v>73</v>
      </c>
      <c r="L272">
        <v>315</v>
      </c>
      <c r="M272">
        <v>21</v>
      </c>
      <c r="N272">
        <v>6.7000000000000004E-2</v>
      </c>
      <c r="O272" s="11">
        <f t="shared" si="4"/>
        <v>10.500602762489642</v>
      </c>
      <c r="P272" s="36">
        <v>10.298968864595199</v>
      </c>
      <c r="Q272" s="36">
        <v>7.7045129654195703</v>
      </c>
      <c r="R272" s="36">
        <v>18.249093344659698</v>
      </c>
      <c r="S272" s="36">
        <v>18.596637637584699</v>
      </c>
      <c r="T272" s="36">
        <v>17.203527198737799</v>
      </c>
      <c r="U272" s="36">
        <v>17.6648176861503</v>
      </c>
      <c r="V272" s="36">
        <v>23.189370223022099</v>
      </c>
      <c r="W272" s="36">
        <v>32.115058733416099</v>
      </c>
      <c r="X272" s="37">
        <v>1.19213743986744</v>
      </c>
      <c r="Y272" s="37">
        <v>1.7027540465983699</v>
      </c>
      <c r="Z272" s="37">
        <v>4.8003260896040603</v>
      </c>
      <c r="AA272" s="37">
        <v>3.3861881863997598</v>
      </c>
      <c r="AB272" s="37">
        <v>0.22969814145377901</v>
      </c>
      <c r="AC272" s="37">
        <v>2.9989241674634699</v>
      </c>
      <c r="AD272" s="37">
        <v>8.2969702632433204</v>
      </c>
      <c r="AE272" s="37">
        <v>0.38065921161865401</v>
      </c>
      <c r="AF272" s="45">
        <v>-2.6697967998362602</v>
      </c>
      <c r="AG272" s="45">
        <v>-6.3086891894842196</v>
      </c>
      <c r="AH272" s="46">
        <v>1.34911389263099E-8</v>
      </c>
      <c r="AI272" s="47">
        <v>1.2363797180412799E-7</v>
      </c>
      <c r="AJ272" s="48">
        <v>18.1277483316982</v>
      </c>
      <c r="AK272" s="49">
        <v>2.8734571932811099</v>
      </c>
      <c r="AL272" s="31" t="s">
        <v>5875</v>
      </c>
      <c r="AM272" s="31" t="s">
        <v>5876</v>
      </c>
      <c r="AN272" s="31" t="s">
        <v>27018</v>
      </c>
      <c r="AO272" s="31" t="s">
        <v>27019</v>
      </c>
      <c r="AP272" s="31" t="s">
        <v>27020</v>
      </c>
      <c r="AQ272" s="31" t="s">
        <v>27021</v>
      </c>
      <c r="AR272" s="31" t="s">
        <v>27022</v>
      </c>
      <c r="AS272" s="31" t="str">
        <f>"TNXB"</f>
        <v>TNXB</v>
      </c>
      <c r="AT272" s="31" t="s">
        <v>13772</v>
      </c>
      <c r="AU272" s="31" t="s">
        <v>13777</v>
      </c>
      <c r="AV272" s="31">
        <v>9606</v>
      </c>
      <c r="AW272" s="50" t="str">
        <f>HYPERLINK("http://www.uniprot.org/uniprot/P22105", "P22105")</f>
        <v>P22105</v>
      </c>
      <c r="AX272" s="31" t="s">
        <v>27023</v>
      </c>
      <c r="AY272" s="31" t="s">
        <v>13949</v>
      </c>
      <c r="AZ272" s="31" t="s">
        <v>13869</v>
      </c>
      <c r="BA272" s="31" t="s">
        <v>13780</v>
      </c>
      <c r="BB272" s="31" t="s">
        <v>13772</v>
      </c>
      <c r="BC272" s="31" t="s">
        <v>15310</v>
      </c>
      <c r="BD272" s="31" t="s">
        <v>27024</v>
      </c>
      <c r="BE272" s="31" t="s">
        <v>13772</v>
      </c>
      <c r="BF272" s="31" t="s">
        <v>13772</v>
      </c>
      <c r="BG272" s="31" t="s">
        <v>13796</v>
      </c>
      <c r="BH272" s="31" t="s">
        <v>13812</v>
      </c>
      <c r="BI272" s="31" t="s">
        <v>27025</v>
      </c>
      <c r="BJ272" s="31" t="s">
        <v>27026</v>
      </c>
      <c r="BK272" s="31" t="s">
        <v>27027</v>
      </c>
      <c r="BL272" s="31" t="s">
        <v>13772</v>
      </c>
      <c r="BM272" s="31" t="s">
        <v>27028</v>
      </c>
    </row>
    <row r="273" spans="1:65">
      <c r="A273">
        <v>576</v>
      </c>
      <c r="B273">
        <v>1</v>
      </c>
      <c r="C273">
        <v>268</v>
      </c>
      <c r="D273" t="s">
        <v>1434</v>
      </c>
      <c r="E273" t="s">
        <v>73</v>
      </c>
      <c r="F273" t="s">
        <v>73</v>
      </c>
      <c r="G273">
        <v>31.6</v>
      </c>
      <c r="H273">
        <v>393</v>
      </c>
      <c r="I273">
        <v>41316</v>
      </c>
      <c r="J273" t="s">
        <v>1435</v>
      </c>
      <c r="K273" s="3" t="s">
        <v>73</v>
      </c>
      <c r="L273">
        <v>154</v>
      </c>
      <c r="M273">
        <v>154</v>
      </c>
      <c r="N273">
        <v>1</v>
      </c>
      <c r="O273" s="11">
        <f t="shared" si="4"/>
        <v>9.9422760408174202</v>
      </c>
      <c r="P273" s="36">
        <v>16.963007541686199</v>
      </c>
      <c r="Q273" s="36">
        <v>11.556769448129399</v>
      </c>
      <c r="R273" s="36">
        <v>16.007976618122601</v>
      </c>
      <c r="S273" s="36">
        <v>16.631139350685501</v>
      </c>
      <c r="T273" s="36">
        <v>14.6229981189272</v>
      </c>
      <c r="U273" s="36">
        <v>18.594544932789798</v>
      </c>
      <c r="V273" s="36">
        <v>14.756871960105</v>
      </c>
      <c r="W273" s="36">
        <v>7.78546878385845</v>
      </c>
      <c r="X273" s="37">
        <v>1.5895165864899099</v>
      </c>
      <c r="Y273" s="37">
        <v>4.4145475282179998</v>
      </c>
      <c r="Z273" s="37">
        <v>4.0002717413367099</v>
      </c>
      <c r="AA273" s="37">
        <v>4.2327352329997003</v>
      </c>
      <c r="AB273" s="37">
        <v>2.7563776974453398</v>
      </c>
      <c r="AC273" s="37">
        <v>3.94595285192562</v>
      </c>
      <c r="AD273" s="37">
        <v>10.559780335037001</v>
      </c>
      <c r="AE273" s="37">
        <v>10.658457925322301</v>
      </c>
      <c r="AF273" s="45">
        <v>-1.57260344966567</v>
      </c>
      <c r="AG273" s="45">
        <v>-2.7733710197022301</v>
      </c>
      <c r="AH273" s="46">
        <v>4.9804563402319203E-5</v>
      </c>
      <c r="AI273" s="47">
        <v>1.5214270737968699E-4</v>
      </c>
      <c r="AJ273" s="48">
        <v>14.614847094288001</v>
      </c>
      <c r="AK273" s="49">
        <v>5.2697049873468202</v>
      </c>
      <c r="AL273" s="31" t="s">
        <v>5875</v>
      </c>
      <c r="AM273" s="31" t="s">
        <v>5876</v>
      </c>
      <c r="AN273" s="31" t="s">
        <v>19454</v>
      </c>
      <c r="AO273" s="31" t="s">
        <v>13772</v>
      </c>
      <c r="AP273" s="31" t="s">
        <v>19455</v>
      </c>
      <c r="AQ273" s="31" t="s">
        <v>19456</v>
      </c>
      <c r="AR273" s="31" t="s">
        <v>19457</v>
      </c>
      <c r="AS273" s="31" t="str">
        <f>"ESAM"</f>
        <v>ESAM</v>
      </c>
      <c r="AT273" s="31" t="s">
        <v>13772</v>
      </c>
      <c r="AU273" s="31" t="s">
        <v>13777</v>
      </c>
      <c r="AV273" s="31">
        <v>9606</v>
      </c>
      <c r="AW273" s="50" t="str">
        <f>HYPERLINK("http://www.uniprot.org/uniprot/Q96AP7", "Q96AP7")</f>
        <v>Q96AP7</v>
      </c>
      <c r="AX273" s="31" t="s">
        <v>19458</v>
      </c>
      <c r="AY273" s="31" t="s">
        <v>13949</v>
      </c>
      <c r="AZ273" s="31" t="s">
        <v>18913</v>
      </c>
      <c r="BA273" s="31" t="s">
        <v>13780</v>
      </c>
      <c r="BB273" s="31" t="s">
        <v>13772</v>
      </c>
      <c r="BC273" s="31" t="s">
        <v>13772</v>
      </c>
      <c r="BD273" s="31" t="s">
        <v>13951</v>
      </c>
      <c r="BE273" s="31" t="s">
        <v>13772</v>
      </c>
      <c r="BF273" s="31" t="s">
        <v>13772</v>
      </c>
      <c r="BG273" s="31" t="s">
        <v>13964</v>
      </c>
      <c r="BH273" s="31" t="s">
        <v>13772</v>
      </c>
      <c r="BI273" s="31" t="s">
        <v>19459</v>
      </c>
      <c r="BJ273" s="31" t="s">
        <v>19460</v>
      </c>
      <c r="BK273" s="31" t="s">
        <v>13772</v>
      </c>
      <c r="BL273" s="31" t="s">
        <v>13772</v>
      </c>
      <c r="BM273" s="31" t="s">
        <v>19461</v>
      </c>
    </row>
    <row r="274" spans="1:65">
      <c r="A274">
        <v>903</v>
      </c>
      <c r="B274">
        <v>1</v>
      </c>
      <c r="C274">
        <v>269</v>
      </c>
      <c r="D274" t="s">
        <v>2201</v>
      </c>
      <c r="E274" t="s">
        <v>2202</v>
      </c>
      <c r="F274" t="s">
        <v>73</v>
      </c>
      <c r="G274">
        <v>66.7</v>
      </c>
      <c r="H274">
        <v>297</v>
      </c>
      <c r="I274">
        <v>31859</v>
      </c>
      <c r="J274" t="s">
        <v>2203</v>
      </c>
      <c r="K274" s="3" t="s">
        <v>73</v>
      </c>
      <c r="L274">
        <v>154</v>
      </c>
      <c r="M274">
        <v>154</v>
      </c>
      <c r="N274">
        <v>1</v>
      </c>
      <c r="O274" s="11">
        <f t="shared" si="4"/>
        <v>8.3921901367408775</v>
      </c>
      <c r="P274" s="36">
        <v>8.4815037708430996</v>
      </c>
      <c r="Q274" s="36">
        <v>2.8891923620323401</v>
      </c>
      <c r="R274" s="36">
        <v>3.2015953236245198</v>
      </c>
      <c r="S274" s="36">
        <v>0.37798043978830698</v>
      </c>
      <c r="T274" s="36">
        <v>9.4619399593058091</v>
      </c>
      <c r="U274" s="36">
        <v>10.226999713034401</v>
      </c>
      <c r="V274" s="36">
        <v>21.081245657292801</v>
      </c>
      <c r="W274" s="36">
        <v>24.3295899495577</v>
      </c>
      <c r="X274" s="37">
        <v>10.331857812184399</v>
      </c>
      <c r="Y274" s="37">
        <v>13.243642584653999</v>
      </c>
      <c r="Z274" s="37">
        <v>8.0005434826734305</v>
      </c>
      <c r="AA274" s="37">
        <v>5.0792822795996404</v>
      </c>
      <c r="AB274" s="37">
        <v>2.7563776974453398</v>
      </c>
      <c r="AC274" s="37">
        <v>10.2594774150066</v>
      </c>
      <c r="AD274" s="37">
        <v>1.50854004786242</v>
      </c>
      <c r="AE274" s="37">
        <v>3.0452736929492299</v>
      </c>
      <c r="AF274" s="45">
        <v>-0.53141177694997999</v>
      </c>
      <c r="AG274" s="45">
        <v>-1.4762573451082901</v>
      </c>
      <c r="AH274" s="46">
        <v>0.340858744043879</v>
      </c>
      <c r="AI274" s="47">
        <v>0.42072785934567303</v>
      </c>
      <c r="AJ274" s="48">
        <v>10.006255896934899</v>
      </c>
      <c r="AK274" s="49">
        <v>6.7781243765468897</v>
      </c>
      <c r="AL274" s="31" t="s">
        <v>5875</v>
      </c>
      <c r="AM274" s="31" t="s">
        <v>5832</v>
      </c>
      <c r="AN274" s="31" t="s">
        <v>22694</v>
      </c>
      <c r="AO274" s="31" t="s">
        <v>13772</v>
      </c>
      <c r="AP274" s="31" t="s">
        <v>22695</v>
      </c>
      <c r="AQ274" s="31" t="s">
        <v>22696</v>
      </c>
      <c r="AR274" s="31" t="s">
        <v>13772</v>
      </c>
      <c r="AS274" s="31" t="str">
        <f>"PGLS"</f>
        <v>PGLS</v>
      </c>
      <c r="AT274" s="31" t="s">
        <v>13772</v>
      </c>
      <c r="AU274" s="31" t="s">
        <v>13777</v>
      </c>
      <c r="AV274" s="31">
        <v>9606</v>
      </c>
      <c r="AW274" s="50" t="str">
        <f>HYPERLINK("http://www.uniprot.org/uniprot/O95336", "O95336")</f>
        <v>O95336</v>
      </c>
      <c r="AX274" s="31" t="s">
        <v>22697</v>
      </c>
      <c r="AY274" s="31" t="s">
        <v>13772</v>
      </c>
      <c r="AZ274" s="31" t="s">
        <v>13899</v>
      </c>
      <c r="BA274" s="31" t="s">
        <v>13772</v>
      </c>
      <c r="BB274" s="31" t="s">
        <v>13772</v>
      </c>
      <c r="BC274" s="31" t="s">
        <v>13772</v>
      </c>
      <c r="BD274" s="31" t="s">
        <v>13772</v>
      </c>
      <c r="BE274" s="31" t="s">
        <v>13772</v>
      </c>
      <c r="BF274" s="31" t="s">
        <v>13857</v>
      </c>
      <c r="BG274" s="31" t="s">
        <v>13886</v>
      </c>
      <c r="BH274" s="31" t="s">
        <v>13772</v>
      </c>
      <c r="BI274" s="31" t="s">
        <v>22698</v>
      </c>
      <c r="BJ274" s="31" t="s">
        <v>15111</v>
      </c>
      <c r="BK274" s="31" t="s">
        <v>22699</v>
      </c>
      <c r="BL274" s="31" t="s">
        <v>22700</v>
      </c>
      <c r="BM274" s="31" t="s">
        <v>22701</v>
      </c>
    </row>
    <row r="275" spans="1:65">
      <c r="A275">
        <v>1612</v>
      </c>
      <c r="B275">
        <v>1</v>
      </c>
      <c r="C275">
        <v>270</v>
      </c>
      <c r="D275" t="s">
        <v>3821</v>
      </c>
      <c r="E275" t="s">
        <v>73</v>
      </c>
      <c r="F275" t="s">
        <v>73</v>
      </c>
      <c r="G275">
        <v>23.2</v>
      </c>
      <c r="H275">
        <v>918</v>
      </c>
      <c r="I275">
        <v>103903</v>
      </c>
      <c r="J275" t="s">
        <v>3822</v>
      </c>
      <c r="K275" s="3" t="s">
        <v>73</v>
      </c>
      <c r="L275">
        <v>154</v>
      </c>
      <c r="M275">
        <v>154</v>
      </c>
      <c r="N275">
        <v>1</v>
      </c>
      <c r="O275" s="11">
        <f t="shared" si="4"/>
        <v>10.689309412118886</v>
      </c>
      <c r="P275" s="36">
        <v>10.9047905625126</v>
      </c>
      <c r="Q275" s="36">
        <v>26.002731258291099</v>
      </c>
      <c r="R275" s="36">
        <v>27.213560250808399</v>
      </c>
      <c r="S275" s="36">
        <v>31.750356942217799</v>
      </c>
      <c r="T275" s="36">
        <v>16.343350838801001</v>
      </c>
      <c r="U275" s="36">
        <v>19.5242721794293</v>
      </c>
      <c r="V275" s="36">
        <v>16.8649965258343</v>
      </c>
      <c r="W275" s="36">
        <v>10.7050195778054</v>
      </c>
      <c r="X275" s="37">
        <v>0.79475829324495695</v>
      </c>
      <c r="Y275" s="37">
        <v>0.63064964688828595</v>
      </c>
      <c r="Z275" s="37">
        <v>3.2002173930693698</v>
      </c>
      <c r="AA275" s="37">
        <v>0.84654704659994096</v>
      </c>
      <c r="AB275" s="37">
        <v>0.91879256581511404</v>
      </c>
      <c r="AC275" s="37">
        <v>0.78919057038512497</v>
      </c>
      <c r="AD275" s="37">
        <v>3.0170800957248498</v>
      </c>
      <c r="AE275" s="37">
        <v>1.5226368464746201</v>
      </c>
      <c r="AF275" s="45">
        <v>-3.7363660106943302</v>
      </c>
      <c r="AG275" s="45">
        <v>-13.5930726809408</v>
      </c>
      <c r="AH275" s="46">
        <v>2.2244610520789499E-15</v>
      </c>
      <c r="AI275" s="47">
        <v>1.6027678446544901E-13</v>
      </c>
      <c r="AJ275" s="48">
        <v>19.913634766962499</v>
      </c>
      <c r="AK275" s="49">
        <v>1.4649840572752799</v>
      </c>
      <c r="AL275" s="31" t="s">
        <v>5875</v>
      </c>
      <c r="AM275" s="31" t="s">
        <v>5876</v>
      </c>
      <c r="AN275" s="31" t="s">
        <v>29246</v>
      </c>
      <c r="AO275" s="31" t="s">
        <v>29247</v>
      </c>
      <c r="AP275" s="31" t="s">
        <v>29248</v>
      </c>
      <c r="AQ275" s="31" t="s">
        <v>29249</v>
      </c>
      <c r="AR275" s="31" t="s">
        <v>29250</v>
      </c>
      <c r="AS275" s="31" t="str">
        <f>"IL6ST"</f>
        <v>IL6ST</v>
      </c>
      <c r="AT275" s="31" t="s">
        <v>13772</v>
      </c>
      <c r="AU275" s="31" t="s">
        <v>13777</v>
      </c>
      <c r="AV275" s="31">
        <v>9606</v>
      </c>
      <c r="AW275" s="50" t="str">
        <f>HYPERLINK("http://www.uniprot.org/uniprot/P40189", "P40189")</f>
        <v>P40189</v>
      </c>
      <c r="AX275" s="31" t="s">
        <v>29251</v>
      </c>
      <c r="AY275" s="31" t="s">
        <v>14563</v>
      </c>
      <c r="AZ275" s="31" t="s">
        <v>14336</v>
      </c>
      <c r="BA275" s="31" t="s">
        <v>13780</v>
      </c>
      <c r="BB275" s="31" t="s">
        <v>13772</v>
      </c>
      <c r="BC275" s="31" t="s">
        <v>13772</v>
      </c>
      <c r="BD275" s="31" t="s">
        <v>13951</v>
      </c>
      <c r="BE275" s="31" t="s">
        <v>13772</v>
      </c>
      <c r="BF275" s="31" t="s">
        <v>13795</v>
      </c>
      <c r="BG275" s="31" t="s">
        <v>13964</v>
      </c>
      <c r="BH275" s="31" t="s">
        <v>13812</v>
      </c>
      <c r="BI275" s="31" t="s">
        <v>29252</v>
      </c>
      <c r="BJ275" s="31" t="s">
        <v>29253</v>
      </c>
      <c r="BK275" s="31" t="s">
        <v>29254</v>
      </c>
      <c r="BL275" s="31" t="s">
        <v>13772</v>
      </c>
      <c r="BM275" s="31" t="s">
        <v>29255</v>
      </c>
    </row>
    <row r="276" spans="1:65">
      <c r="A276">
        <v>1649</v>
      </c>
      <c r="B276">
        <v>1</v>
      </c>
      <c r="C276">
        <v>271</v>
      </c>
      <c r="D276" t="s">
        <v>3910</v>
      </c>
      <c r="E276" t="s">
        <v>73</v>
      </c>
      <c r="F276" t="s">
        <v>73</v>
      </c>
      <c r="G276">
        <v>29.3</v>
      </c>
      <c r="H276">
        <v>464</v>
      </c>
      <c r="I276">
        <v>51338</v>
      </c>
      <c r="J276" t="s">
        <v>3911</v>
      </c>
      <c r="K276" s="3" t="s">
        <v>73</v>
      </c>
      <c r="L276">
        <v>154</v>
      </c>
      <c r="M276">
        <v>154</v>
      </c>
      <c r="N276">
        <v>1</v>
      </c>
      <c r="O276" s="11">
        <f t="shared" si="4"/>
        <v>8.9032502005716481</v>
      </c>
      <c r="P276" s="36">
        <v>15.7513641458515</v>
      </c>
      <c r="Q276" s="36">
        <v>9.6306412067744702</v>
      </c>
      <c r="R276" s="36">
        <v>6.4031906472490299</v>
      </c>
      <c r="S276" s="36">
        <v>6.0476870366129196</v>
      </c>
      <c r="T276" s="36">
        <v>8.6017635993689208</v>
      </c>
      <c r="U276" s="36">
        <v>8.3675452197554208</v>
      </c>
      <c r="V276" s="36">
        <v>7.3784359800524904</v>
      </c>
      <c r="W276" s="36">
        <v>3.8927343919292201</v>
      </c>
      <c r="X276" s="37">
        <v>14.3056492784092</v>
      </c>
      <c r="Y276" s="37">
        <v>11.982343290877401</v>
      </c>
      <c r="Z276" s="37">
        <v>8.8005978309407702</v>
      </c>
      <c r="AA276" s="37">
        <v>4.2327352329997003</v>
      </c>
      <c r="AB276" s="37">
        <v>14.7006810530418</v>
      </c>
      <c r="AC276" s="37">
        <v>8.6810962742363706</v>
      </c>
      <c r="AD276" s="37">
        <v>3.0170800957248498</v>
      </c>
      <c r="AE276" s="37">
        <v>10.658457925322301</v>
      </c>
      <c r="AF276" s="45">
        <v>0.22843890233558301</v>
      </c>
      <c r="AG276" s="45">
        <v>1.1559672219867001</v>
      </c>
      <c r="AH276" s="46">
        <v>0.58188580230879405</v>
      </c>
      <c r="AI276" s="47">
        <v>0.658682913273406</v>
      </c>
      <c r="AJ276" s="48">
        <v>8.2591702784492398</v>
      </c>
      <c r="AK276" s="49">
        <v>9.5473301226940599</v>
      </c>
      <c r="AL276" s="31" t="s">
        <v>5874</v>
      </c>
      <c r="AM276" s="31" t="s">
        <v>5832</v>
      </c>
      <c r="AN276" s="31" t="s">
        <v>29608</v>
      </c>
      <c r="AO276" s="31" t="s">
        <v>29609</v>
      </c>
      <c r="AP276" s="31" t="s">
        <v>29610</v>
      </c>
      <c r="AQ276" s="31" t="s">
        <v>29611</v>
      </c>
      <c r="AR276" s="31" t="s">
        <v>29612</v>
      </c>
      <c r="AS276" s="31" t="str">
        <f>"ATP6AP1"</f>
        <v>ATP6AP1</v>
      </c>
      <c r="AT276" s="31" t="s">
        <v>29613</v>
      </c>
      <c r="AU276" s="31" t="s">
        <v>13777</v>
      </c>
      <c r="AV276" s="31">
        <v>9606</v>
      </c>
      <c r="AW276" s="50" t="str">
        <f>HYPERLINK("http://www.uniprot.org/uniprot/Q15904", "Q15904")</f>
        <v>Q15904</v>
      </c>
      <c r="AX276" s="31" t="s">
        <v>29614</v>
      </c>
      <c r="AY276" s="31" t="s">
        <v>14032</v>
      </c>
      <c r="AZ276" s="31" t="s">
        <v>14714</v>
      </c>
      <c r="BA276" s="31" t="s">
        <v>13772</v>
      </c>
      <c r="BB276" s="31" t="s">
        <v>13772</v>
      </c>
      <c r="BC276" s="31" t="s">
        <v>13807</v>
      </c>
      <c r="BD276" s="31" t="s">
        <v>13855</v>
      </c>
      <c r="BE276" s="31" t="s">
        <v>14005</v>
      </c>
      <c r="BF276" s="31" t="s">
        <v>13772</v>
      </c>
      <c r="BG276" s="31" t="s">
        <v>13978</v>
      </c>
      <c r="BH276" s="31" t="s">
        <v>13772</v>
      </c>
      <c r="BI276" s="31" t="s">
        <v>29615</v>
      </c>
      <c r="BJ276" s="31" t="s">
        <v>29616</v>
      </c>
      <c r="BK276" s="31" t="s">
        <v>29617</v>
      </c>
      <c r="BL276" s="31" t="s">
        <v>13772</v>
      </c>
      <c r="BM276" s="31" t="s">
        <v>29618</v>
      </c>
    </row>
    <row r="277" spans="1:65">
      <c r="A277">
        <v>307</v>
      </c>
      <c r="B277">
        <v>1</v>
      </c>
      <c r="C277">
        <v>272</v>
      </c>
      <c r="D277" t="s">
        <v>772</v>
      </c>
      <c r="E277" t="s">
        <v>73</v>
      </c>
      <c r="F277" t="s">
        <v>73</v>
      </c>
      <c r="G277">
        <v>45.3</v>
      </c>
      <c r="H277">
        <v>137</v>
      </c>
      <c r="I277">
        <v>14692</v>
      </c>
      <c r="J277" t="s">
        <v>773</v>
      </c>
      <c r="K277" s="3" t="s">
        <v>73</v>
      </c>
      <c r="L277">
        <v>153</v>
      </c>
      <c r="M277">
        <v>153</v>
      </c>
      <c r="N277">
        <v>1</v>
      </c>
      <c r="O277" s="11">
        <f t="shared" si="4"/>
        <v>8.7690672675647949</v>
      </c>
      <c r="P277" s="36">
        <v>8.4815037708430996</v>
      </c>
      <c r="Q277" s="36">
        <v>5.7783847240646802</v>
      </c>
      <c r="R277" s="36">
        <v>12.806381294498101</v>
      </c>
      <c r="S277" s="36">
        <v>4.5357652774596904</v>
      </c>
      <c r="T277" s="36">
        <v>4.3008817996844604</v>
      </c>
      <c r="U277" s="36">
        <v>3.7189089865579601</v>
      </c>
      <c r="V277" s="36">
        <v>6.3243736971878404</v>
      </c>
      <c r="W277" s="36">
        <v>6.8122851858761404</v>
      </c>
      <c r="X277" s="37">
        <v>7.9475829324495697</v>
      </c>
      <c r="Y277" s="37">
        <v>8.8290950564359996</v>
      </c>
      <c r="Z277" s="37">
        <v>15.2010326170795</v>
      </c>
      <c r="AA277" s="37">
        <v>10.1585645591993</v>
      </c>
      <c r="AB277" s="37">
        <v>6.4315479607058004</v>
      </c>
      <c r="AC277" s="37">
        <v>8.6810962742363706</v>
      </c>
      <c r="AD277" s="37">
        <v>16.593940526486598</v>
      </c>
      <c r="AE277" s="37">
        <v>13.7037316182716</v>
      </c>
      <c r="AF277" s="45">
        <v>0.73054219442281698</v>
      </c>
      <c r="AG277" s="45">
        <v>1.6593841157997</v>
      </c>
      <c r="AH277" s="46">
        <v>4.7580072763805797E-2</v>
      </c>
      <c r="AI277" s="47">
        <v>7.4371655792023594E-2</v>
      </c>
      <c r="AJ277" s="48">
        <v>6.5948105920214903</v>
      </c>
      <c r="AK277" s="49">
        <v>10.9433239431081</v>
      </c>
      <c r="AL277" s="31" t="s">
        <v>5874</v>
      </c>
      <c r="AM277" s="31" t="s">
        <v>5877</v>
      </c>
      <c r="AN277" s="31" t="s">
        <v>16610</v>
      </c>
      <c r="AO277" s="31" t="s">
        <v>16611</v>
      </c>
      <c r="AP277" s="31" t="s">
        <v>16612</v>
      </c>
      <c r="AQ277" s="31" t="s">
        <v>16613</v>
      </c>
      <c r="AR277" s="31" t="s">
        <v>16614</v>
      </c>
      <c r="AS277" s="31" t="str">
        <f>"LY6E"</f>
        <v>LY6E</v>
      </c>
      <c r="AT277" s="31" t="s">
        <v>16615</v>
      </c>
      <c r="AU277" s="31" t="s">
        <v>13777</v>
      </c>
      <c r="AV277" s="31">
        <v>9606</v>
      </c>
      <c r="AW277" s="50" t="str">
        <f>HYPERLINK("http://www.uniprot.org/uniprot/Q16553", "Q16553")</f>
        <v>Q16553</v>
      </c>
      <c r="AX277" s="31" t="s">
        <v>16616</v>
      </c>
      <c r="AY277" s="31" t="s">
        <v>13772</v>
      </c>
      <c r="AZ277" s="31" t="s">
        <v>13792</v>
      </c>
      <c r="BA277" s="31" t="s">
        <v>13772</v>
      </c>
      <c r="BB277" s="31" t="s">
        <v>13772</v>
      </c>
      <c r="BC277" s="31" t="s">
        <v>13772</v>
      </c>
      <c r="BD277" s="31" t="s">
        <v>13808</v>
      </c>
      <c r="BE277" s="31" t="s">
        <v>13772</v>
      </c>
      <c r="BF277" s="31" t="s">
        <v>13772</v>
      </c>
      <c r="BG277" s="31" t="s">
        <v>15699</v>
      </c>
      <c r="BH277" s="31" t="s">
        <v>13772</v>
      </c>
      <c r="BI277" s="31" t="s">
        <v>16617</v>
      </c>
      <c r="BJ277" s="31" t="s">
        <v>16618</v>
      </c>
      <c r="BK277" s="31" t="s">
        <v>16619</v>
      </c>
      <c r="BL277" s="31" t="s">
        <v>13772</v>
      </c>
      <c r="BM277" s="31" t="s">
        <v>16280</v>
      </c>
    </row>
    <row r="278" spans="1:65">
      <c r="A278">
        <v>961</v>
      </c>
      <c r="B278">
        <v>1</v>
      </c>
      <c r="C278">
        <v>273</v>
      </c>
      <c r="D278" t="s">
        <v>2334</v>
      </c>
      <c r="E278" t="s">
        <v>73</v>
      </c>
      <c r="F278" t="s">
        <v>73</v>
      </c>
      <c r="G278">
        <v>47.3</v>
      </c>
      <c r="H278">
        <v>827</v>
      </c>
      <c r="I278">
        <v>92725</v>
      </c>
      <c r="J278" t="s">
        <v>2335</v>
      </c>
      <c r="K278" s="3" t="s">
        <v>73</v>
      </c>
      <c r="L278">
        <v>153</v>
      </c>
      <c r="M278">
        <v>153</v>
      </c>
      <c r="N278">
        <v>1</v>
      </c>
      <c r="O278" s="11">
        <f t="shared" si="4"/>
        <v>9.5199695412035723</v>
      </c>
      <c r="P278" s="36">
        <v>3.6349301875041902</v>
      </c>
      <c r="Q278" s="36">
        <v>22.150474775581301</v>
      </c>
      <c r="R278" s="36">
        <v>0.40019941545306398</v>
      </c>
      <c r="S278" s="36">
        <v>25.7026699056049</v>
      </c>
      <c r="T278" s="36">
        <v>33.546878037538796</v>
      </c>
      <c r="U278" s="36">
        <v>32.540453632382203</v>
      </c>
      <c r="V278" s="36">
        <v>7.3784359800524904</v>
      </c>
      <c r="W278" s="36">
        <v>15.5709375677169</v>
      </c>
      <c r="X278" s="37">
        <v>0.19868957331123899</v>
      </c>
      <c r="Y278" s="37">
        <v>1.2612992937765699</v>
      </c>
      <c r="Z278" s="37">
        <v>4.0002717413367099</v>
      </c>
      <c r="AA278" s="37">
        <v>0.21163676164998499</v>
      </c>
      <c r="AB278" s="37">
        <v>0.22969814145377901</v>
      </c>
      <c r="AC278" s="37">
        <v>4.7351434223107498</v>
      </c>
      <c r="AD278" s="37">
        <v>0.377135011965606</v>
      </c>
      <c r="AE278" s="37">
        <v>0.38065921161865401</v>
      </c>
      <c r="AF278" s="45">
        <v>-3.4471319095906798</v>
      </c>
      <c r="AG278" s="45">
        <v>-12.367771242126199</v>
      </c>
      <c r="AH278" s="46">
        <v>1.3056703817559799E-6</v>
      </c>
      <c r="AI278" s="47">
        <v>6.2392391813910599E-6</v>
      </c>
      <c r="AJ278" s="48">
        <v>17.615622437729201</v>
      </c>
      <c r="AK278" s="49">
        <v>1.4243166446779101</v>
      </c>
      <c r="AL278" s="31" t="s">
        <v>5875</v>
      </c>
      <c r="AM278" s="31" t="s">
        <v>5876</v>
      </c>
      <c r="AN278" s="31" t="s">
        <v>23243</v>
      </c>
      <c r="AO278" s="31" t="s">
        <v>13772</v>
      </c>
      <c r="AP278" s="31" t="s">
        <v>23244</v>
      </c>
      <c r="AQ278" s="31" t="s">
        <v>23245</v>
      </c>
      <c r="AR278" s="31" t="s">
        <v>23246</v>
      </c>
      <c r="AS278" s="31" t="str">
        <f>"VIL1"</f>
        <v>VIL1</v>
      </c>
      <c r="AT278" s="31" t="s">
        <v>23247</v>
      </c>
      <c r="AU278" s="31" t="s">
        <v>13777</v>
      </c>
      <c r="AV278" s="31">
        <v>9606</v>
      </c>
      <c r="AW278" s="50" t="str">
        <f>HYPERLINK("http://www.uniprot.org/uniprot/P09327", "P09327")</f>
        <v>P09327</v>
      </c>
      <c r="AX278" s="31" t="s">
        <v>23248</v>
      </c>
      <c r="AY278" s="31" t="s">
        <v>17109</v>
      </c>
      <c r="AZ278" s="31" t="s">
        <v>14870</v>
      </c>
      <c r="BA278" s="31" t="s">
        <v>13780</v>
      </c>
      <c r="BB278" s="31" t="s">
        <v>13772</v>
      </c>
      <c r="BC278" s="31" t="s">
        <v>13772</v>
      </c>
      <c r="BD278" s="31" t="s">
        <v>14096</v>
      </c>
      <c r="BE278" s="31" t="s">
        <v>14465</v>
      </c>
      <c r="BF278" s="31" t="s">
        <v>14589</v>
      </c>
      <c r="BG278" s="31" t="s">
        <v>13782</v>
      </c>
      <c r="BH278" s="31" t="s">
        <v>13812</v>
      </c>
      <c r="BI278" s="31" t="s">
        <v>23249</v>
      </c>
      <c r="BJ278" s="31" t="s">
        <v>23250</v>
      </c>
      <c r="BK278" s="31" t="s">
        <v>23251</v>
      </c>
      <c r="BL278" s="31" t="s">
        <v>13772</v>
      </c>
      <c r="BM278" s="31" t="s">
        <v>13772</v>
      </c>
    </row>
    <row r="279" spans="1:65">
      <c r="A279">
        <v>2017</v>
      </c>
      <c r="B279">
        <v>1</v>
      </c>
      <c r="C279">
        <v>274</v>
      </c>
      <c r="D279" t="s">
        <v>4746</v>
      </c>
      <c r="E279" t="s">
        <v>73</v>
      </c>
      <c r="F279" t="s">
        <v>73</v>
      </c>
      <c r="G279">
        <v>71.3</v>
      </c>
      <c r="H279">
        <v>575</v>
      </c>
      <c r="I279">
        <v>58878</v>
      </c>
      <c r="J279" t="s">
        <v>4747</v>
      </c>
      <c r="K279" s="3" t="s">
        <v>73</v>
      </c>
      <c r="L279">
        <v>153</v>
      </c>
      <c r="M279">
        <v>153</v>
      </c>
      <c r="N279">
        <v>1</v>
      </c>
      <c r="O279" s="11">
        <f t="shared" si="4"/>
        <v>8.840923890108181</v>
      </c>
      <c r="P279" s="36">
        <v>3.6349301875041902</v>
      </c>
      <c r="Q279" s="36">
        <v>0.24076603016936199</v>
      </c>
      <c r="R279" s="36">
        <v>3.2015953236245198</v>
      </c>
      <c r="S279" s="36">
        <v>3.0238435183064598</v>
      </c>
      <c r="T279" s="36">
        <v>0.215044089984223</v>
      </c>
      <c r="U279" s="36">
        <v>0.92972724663949102</v>
      </c>
      <c r="V279" s="36">
        <v>0.26351557071616</v>
      </c>
      <c r="W279" s="36">
        <v>0.24329589949557701</v>
      </c>
      <c r="X279" s="37">
        <v>12.716132691919301</v>
      </c>
      <c r="Y279" s="37">
        <v>27.748584463084601</v>
      </c>
      <c r="Z279" s="37">
        <v>9.6006521792081099</v>
      </c>
      <c r="AA279" s="37">
        <v>7.6189234193994704</v>
      </c>
      <c r="AB279" s="37">
        <v>9.1879256581511406</v>
      </c>
      <c r="AC279" s="37">
        <v>17.362192548472699</v>
      </c>
      <c r="AD279" s="37">
        <v>22.628100717936299</v>
      </c>
      <c r="AE279" s="37">
        <v>22.839552697119299</v>
      </c>
      <c r="AF279" s="45">
        <v>3.53732581536091</v>
      </c>
      <c r="AG279" s="45">
        <v>11.0359208694745</v>
      </c>
      <c r="AH279" s="46">
        <v>7.8824988562420794E-11</v>
      </c>
      <c r="AI279" s="47">
        <v>1.42524100941242E-9</v>
      </c>
      <c r="AJ279" s="48">
        <v>1.4690897333049999</v>
      </c>
      <c r="AK279" s="49">
        <v>16.2127580469114</v>
      </c>
      <c r="AL279" s="31" t="s">
        <v>5874</v>
      </c>
      <c r="AM279" s="31" t="s">
        <v>5876</v>
      </c>
      <c r="AN279" s="31" t="s">
        <v>33109</v>
      </c>
      <c r="AO279" s="31" t="s">
        <v>13772</v>
      </c>
      <c r="AP279" s="31" t="s">
        <v>33110</v>
      </c>
      <c r="AQ279" s="31" t="s">
        <v>33111</v>
      </c>
      <c r="AR279" s="31" t="s">
        <v>33112</v>
      </c>
      <c r="AS279" s="31" t="str">
        <f>"SBSN"</f>
        <v>SBSN</v>
      </c>
      <c r="AT279" s="31" t="s">
        <v>13772</v>
      </c>
      <c r="AU279" s="31" t="s">
        <v>13777</v>
      </c>
      <c r="AV279" s="31">
        <v>9606</v>
      </c>
      <c r="AW279" s="50" t="str">
        <f>HYPERLINK("http://www.uniprot.org/uniprot/Q6UWP8", "Q6UWP8")</f>
        <v>Q6UWP8</v>
      </c>
      <c r="AX279" s="31" t="s">
        <v>25652</v>
      </c>
      <c r="AY279" s="31" t="s">
        <v>13772</v>
      </c>
      <c r="AZ279" s="31" t="s">
        <v>14321</v>
      </c>
      <c r="BA279" s="31" t="s">
        <v>13780</v>
      </c>
      <c r="BB279" s="31" t="s">
        <v>13772</v>
      </c>
      <c r="BC279" s="31" t="s">
        <v>13772</v>
      </c>
      <c r="BD279" s="31" t="s">
        <v>13808</v>
      </c>
      <c r="BE279" s="31" t="s">
        <v>13772</v>
      </c>
      <c r="BF279" s="31" t="s">
        <v>13772</v>
      </c>
      <c r="BG279" s="31" t="s">
        <v>13772</v>
      </c>
      <c r="BH279" s="31" t="s">
        <v>13772</v>
      </c>
      <c r="BI279" s="31" t="s">
        <v>13772</v>
      </c>
      <c r="BJ279" s="31" t="s">
        <v>15835</v>
      </c>
      <c r="BK279" s="31" t="s">
        <v>13772</v>
      </c>
      <c r="BL279" s="31" t="s">
        <v>13772</v>
      </c>
      <c r="BM279" s="31" t="s">
        <v>13772</v>
      </c>
    </row>
    <row r="280" spans="1:65">
      <c r="A280">
        <v>1865</v>
      </c>
      <c r="B280">
        <v>1</v>
      </c>
      <c r="C280">
        <v>275</v>
      </c>
      <c r="D280" t="s">
        <v>4403</v>
      </c>
      <c r="E280" t="s">
        <v>73</v>
      </c>
      <c r="F280" t="s">
        <v>73</v>
      </c>
      <c r="G280">
        <v>51.9</v>
      </c>
      <c r="H280">
        <v>308</v>
      </c>
      <c r="I280">
        <v>33450</v>
      </c>
      <c r="J280" t="s">
        <v>4404</v>
      </c>
      <c r="K280" s="3" t="s">
        <v>73</v>
      </c>
      <c r="L280">
        <v>152</v>
      </c>
      <c r="M280">
        <v>152</v>
      </c>
      <c r="N280">
        <v>1</v>
      </c>
      <c r="O280" s="11">
        <f t="shared" si="4"/>
        <v>8.4999063093289706</v>
      </c>
      <c r="P280" s="36">
        <v>4.8465735833389196</v>
      </c>
      <c r="Q280" s="36">
        <v>8.6675770860970207</v>
      </c>
      <c r="R280" s="36">
        <v>4.8023929854367697</v>
      </c>
      <c r="S280" s="36">
        <v>1.5119217591532299</v>
      </c>
      <c r="T280" s="36">
        <v>3.4407054397475698</v>
      </c>
      <c r="U280" s="36">
        <v>7.43781797311593</v>
      </c>
      <c r="V280" s="36">
        <v>9.4865605457817708</v>
      </c>
      <c r="W280" s="36">
        <v>20.436855557628402</v>
      </c>
      <c r="X280" s="37">
        <v>9.53709951893949</v>
      </c>
      <c r="Y280" s="37">
        <v>10.0903943502126</v>
      </c>
      <c r="Z280" s="37">
        <v>18.4012500101489</v>
      </c>
      <c r="AA280" s="37">
        <v>7.6189234193994704</v>
      </c>
      <c r="AB280" s="37">
        <v>7.3503405265209096</v>
      </c>
      <c r="AC280" s="37">
        <v>10.2594774150066</v>
      </c>
      <c r="AD280" s="37">
        <v>7.5427002393121096</v>
      </c>
      <c r="AE280" s="37">
        <v>4.5679105394238499</v>
      </c>
      <c r="AF280" s="45">
        <v>0.301580070476204</v>
      </c>
      <c r="AG280" s="45">
        <v>1.2430742645642301</v>
      </c>
      <c r="AH280" s="46">
        <v>0.48320261351995902</v>
      </c>
      <c r="AI280" s="47">
        <v>0.56219573642582998</v>
      </c>
      <c r="AJ280" s="48">
        <v>7.5788006162874497</v>
      </c>
      <c r="AK280" s="49">
        <v>9.4210120023704906</v>
      </c>
      <c r="AL280" s="31" t="s">
        <v>5874</v>
      </c>
      <c r="AM280" s="31" t="s">
        <v>5832</v>
      </c>
      <c r="AN280" s="31" t="s">
        <v>31700</v>
      </c>
      <c r="AO280" s="31" t="s">
        <v>31701</v>
      </c>
      <c r="AP280" s="31" t="s">
        <v>31702</v>
      </c>
      <c r="AQ280" s="31" t="s">
        <v>31703</v>
      </c>
      <c r="AR280" s="31" t="s">
        <v>31704</v>
      </c>
      <c r="AS280" s="31" t="str">
        <f>"BPNT1"</f>
        <v>BPNT1</v>
      </c>
      <c r="AT280" s="31" t="s">
        <v>13772</v>
      </c>
      <c r="AU280" s="31" t="s">
        <v>13777</v>
      </c>
      <c r="AV280" s="31">
        <v>9606</v>
      </c>
      <c r="AW280" s="50" t="str">
        <f>HYPERLINK("http://www.uniprot.org/uniprot/O95861", "O95861")</f>
        <v>O95861</v>
      </c>
      <c r="AX280" s="31" t="s">
        <v>31705</v>
      </c>
      <c r="AY280" s="31" t="s">
        <v>13772</v>
      </c>
      <c r="AZ280" s="31" t="s">
        <v>13772</v>
      </c>
      <c r="BA280" s="31" t="s">
        <v>13841</v>
      </c>
      <c r="BB280" s="31" t="s">
        <v>13772</v>
      </c>
      <c r="BC280" s="31" t="s">
        <v>13772</v>
      </c>
      <c r="BD280" s="31" t="s">
        <v>13772</v>
      </c>
      <c r="BE280" s="31" t="s">
        <v>18009</v>
      </c>
      <c r="BF280" s="31" t="s">
        <v>13857</v>
      </c>
      <c r="BG280" s="31" t="s">
        <v>13886</v>
      </c>
      <c r="BH280" s="31" t="s">
        <v>13812</v>
      </c>
      <c r="BI280" s="31" t="s">
        <v>31706</v>
      </c>
      <c r="BJ280" s="31" t="s">
        <v>13902</v>
      </c>
      <c r="BK280" s="31" t="s">
        <v>31707</v>
      </c>
      <c r="BL280" s="31" t="s">
        <v>13772</v>
      </c>
      <c r="BM280" s="31" t="s">
        <v>21459</v>
      </c>
    </row>
    <row r="281" spans="1:65">
      <c r="A281">
        <v>347</v>
      </c>
      <c r="B281">
        <v>1</v>
      </c>
      <c r="C281">
        <v>276</v>
      </c>
      <c r="D281" t="s">
        <v>870</v>
      </c>
      <c r="E281" t="s">
        <v>73</v>
      </c>
      <c r="F281" t="s">
        <v>73</v>
      </c>
      <c r="G281">
        <v>50.9</v>
      </c>
      <c r="H281">
        <v>316</v>
      </c>
      <c r="I281">
        <v>35930</v>
      </c>
      <c r="J281" t="s">
        <v>871</v>
      </c>
      <c r="K281" s="3" t="s">
        <v>73</v>
      </c>
      <c r="L281">
        <v>151</v>
      </c>
      <c r="M281">
        <v>151</v>
      </c>
      <c r="N281">
        <v>1</v>
      </c>
      <c r="O281" s="11">
        <f t="shared" si="4"/>
        <v>8.0811945627122252</v>
      </c>
      <c r="P281" s="36">
        <v>4.8465735833389196</v>
      </c>
      <c r="Q281" s="36">
        <v>7.7045129654195703</v>
      </c>
      <c r="R281" s="36">
        <v>4.8023929854367697</v>
      </c>
      <c r="S281" s="36">
        <v>3.0238435183064598</v>
      </c>
      <c r="T281" s="36">
        <v>6.8814108794951396</v>
      </c>
      <c r="U281" s="36">
        <v>4.6486362331974602</v>
      </c>
      <c r="V281" s="36">
        <v>10.5406228286464</v>
      </c>
      <c r="W281" s="36">
        <v>21.410039155610701</v>
      </c>
      <c r="X281" s="37">
        <v>7.1528246392046197</v>
      </c>
      <c r="Y281" s="37">
        <v>6.3064964688828598</v>
      </c>
      <c r="Z281" s="37">
        <v>5.6003804378713999</v>
      </c>
      <c r="AA281" s="37">
        <v>15.2378468387989</v>
      </c>
      <c r="AB281" s="37">
        <v>11.944303355596499</v>
      </c>
      <c r="AC281" s="37">
        <v>7.1027151334661296</v>
      </c>
      <c r="AD281" s="37">
        <v>9.0512402871745401</v>
      </c>
      <c r="AE281" s="37">
        <v>3.0452736929492299</v>
      </c>
      <c r="AF281" s="45">
        <v>1.2673063752261E-2</v>
      </c>
      <c r="AG281" s="45">
        <v>1.02479012664825</v>
      </c>
      <c r="AH281" s="46">
        <v>1</v>
      </c>
      <c r="AI281" s="47">
        <v>1</v>
      </c>
      <c r="AJ281" s="48">
        <v>7.9822540186814299</v>
      </c>
      <c r="AK281" s="49">
        <v>8.1801351067430197</v>
      </c>
      <c r="AL281" s="31" t="s">
        <v>5874</v>
      </c>
      <c r="AM281" s="31" t="s">
        <v>5832</v>
      </c>
      <c r="AN281" s="31" t="s">
        <v>17042</v>
      </c>
      <c r="AO281" s="31" t="s">
        <v>17043</v>
      </c>
      <c r="AP281" s="31" t="s">
        <v>17044</v>
      </c>
      <c r="AQ281" s="31" t="s">
        <v>17045</v>
      </c>
      <c r="AR281" s="31" t="s">
        <v>17046</v>
      </c>
      <c r="AS281" s="31" t="str">
        <f>"AKR1B1"</f>
        <v>AKR1B1</v>
      </c>
      <c r="AT281" s="31" t="s">
        <v>17047</v>
      </c>
      <c r="AU281" s="31" t="s">
        <v>13777</v>
      </c>
      <c r="AV281" s="31">
        <v>9606</v>
      </c>
      <c r="AW281" s="50" t="str">
        <f>HYPERLINK("http://www.uniprot.org/uniprot/P15121", "P15121")</f>
        <v>P15121</v>
      </c>
      <c r="AX281" s="31" t="s">
        <v>17048</v>
      </c>
      <c r="AY281" s="31" t="s">
        <v>13772</v>
      </c>
      <c r="AZ281" s="31" t="s">
        <v>13899</v>
      </c>
      <c r="BA281" s="31" t="s">
        <v>13793</v>
      </c>
      <c r="BB281" s="31" t="s">
        <v>13772</v>
      </c>
      <c r="BC281" s="31" t="s">
        <v>13772</v>
      </c>
      <c r="BD281" s="31" t="s">
        <v>13772</v>
      </c>
      <c r="BE281" s="31" t="s">
        <v>15759</v>
      </c>
      <c r="BF281" s="31" t="s">
        <v>13885</v>
      </c>
      <c r="BG281" s="31" t="s">
        <v>13886</v>
      </c>
      <c r="BH281" s="31" t="s">
        <v>13812</v>
      </c>
      <c r="BI281" s="31" t="s">
        <v>17049</v>
      </c>
      <c r="BJ281" s="31" t="s">
        <v>17050</v>
      </c>
      <c r="BK281" s="31" t="s">
        <v>17051</v>
      </c>
      <c r="BL281" s="31" t="s">
        <v>13772</v>
      </c>
      <c r="BM281" s="31" t="s">
        <v>17052</v>
      </c>
    </row>
    <row r="282" spans="1:65">
      <c r="A282">
        <v>1845</v>
      </c>
      <c r="B282">
        <v>1</v>
      </c>
      <c r="C282">
        <v>277</v>
      </c>
      <c r="D282" t="s">
        <v>4360</v>
      </c>
      <c r="E282" t="s">
        <v>73</v>
      </c>
      <c r="F282" t="s">
        <v>73</v>
      </c>
      <c r="G282">
        <v>39.5</v>
      </c>
      <c r="H282">
        <v>129</v>
      </c>
      <c r="I282">
        <v>13451</v>
      </c>
      <c r="J282" t="s">
        <v>4361</v>
      </c>
      <c r="K282" s="3" t="s">
        <v>73</v>
      </c>
      <c r="L282">
        <v>151</v>
      </c>
      <c r="M282">
        <v>151</v>
      </c>
      <c r="N282">
        <v>1</v>
      </c>
      <c r="O282" s="11">
        <f t="shared" si="4"/>
        <v>9.7582230837932755</v>
      </c>
      <c r="P282" s="36">
        <v>4.8465735833389196</v>
      </c>
      <c r="Q282" s="36">
        <v>6.7414488447421297</v>
      </c>
      <c r="R282" s="36">
        <v>16.007976618122601</v>
      </c>
      <c r="S282" s="36">
        <v>21.1669046281452</v>
      </c>
      <c r="T282" s="36">
        <v>5.1610581596213496</v>
      </c>
      <c r="U282" s="36">
        <v>6.50809072647644</v>
      </c>
      <c r="V282" s="36">
        <v>9.4865605457817708</v>
      </c>
      <c r="W282" s="36">
        <v>1.9463671959646101</v>
      </c>
      <c r="X282" s="37">
        <v>5.5633080527147003</v>
      </c>
      <c r="Y282" s="37">
        <v>8.8290950564359996</v>
      </c>
      <c r="Z282" s="37">
        <v>5.6003804378713999</v>
      </c>
      <c r="AA282" s="37">
        <v>7.6189234193994704</v>
      </c>
      <c r="AB282" s="37">
        <v>14.7006810530418</v>
      </c>
      <c r="AC282" s="37">
        <v>7.1027151334661296</v>
      </c>
      <c r="AD282" s="37">
        <v>18.102480574349102</v>
      </c>
      <c r="AE282" s="37">
        <v>16.749005311220799</v>
      </c>
      <c r="AF282" s="45">
        <v>0.23975822353172699</v>
      </c>
      <c r="AG282" s="45">
        <v>1.17256817832771</v>
      </c>
      <c r="AH282" s="46">
        <v>0.62932357748111201</v>
      </c>
      <c r="AI282" s="47">
        <v>0.70404259754994003</v>
      </c>
      <c r="AJ282" s="48">
        <v>8.9831225377741308</v>
      </c>
      <c r="AK282" s="49">
        <v>10.533323629812401</v>
      </c>
      <c r="AL282" s="31" t="s">
        <v>5874</v>
      </c>
      <c r="AM282" s="31" t="s">
        <v>5832</v>
      </c>
      <c r="AN282" s="31" t="s">
        <v>31517</v>
      </c>
      <c r="AO282" s="31" t="s">
        <v>31518</v>
      </c>
      <c r="AP282" s="31" t="s">
        <v>31519</v>
      </c>
      <c r="AQ282" s="31" t="s">
        <v>31520</v>
      </c>
      <c r="AR282" s="31" t="s">
        <v>31521</v>
      </c>
      <c r="AS282" s="31" t="str">
        <f>"TNFRSF12A"</f>
        <v>TNFRSF12A</v>
      </c>
      <c r="AT282" s="31" t="s">
        <v>31522</v>
      </c>
      <c r="AU282" s="31" t="s">
        <v>13777</v>
      </c>
      <c r="AV282" s="31">
        <v>9606</v>
      </c>
      <c r="AW282" s="50" t="str">
        <f>HYPERLINK("http://www.uniprot.org/uniprot/Q9NP84", "Q9NP84")</f>
        <v>Q9NP84</v>
      </c>
      <c r="AX282" s="31" t="s">
        <v>31523</v>
      </c>
      <c r="AY282" s="31" t="s">
        <v>31524</v>
      </c>
      <c r="AZ282" s="31" t="s">
        <v>13825</v>
      </c>
      <c r="BA282" s="31" t="s">
        <v>13841</v>
      </c>
      <c r="BB282" s="31" t="s">
        <v>13772</v>
      </c>
      <c r="BC282" s="31" t="s">
        <v>13772</v>
      </c>
      <c r="BD282" s="31" t="s">
        <v>13855</v>
      </c>
      <c r="BE282" s="31" t="s">
        <v>13772</v>
      </c>
      <c r="BF282" s="31" t="s">
        <v>15919</v>
      </c>
      <c r="BG282" s="31" t="s">
        <v>14506</v>
      </c>
      <c r="BH282" s="31" t="s">
        <v>13812</v>
      </c>
      <c r="BI282" s="31" t="s">
        <v>31525</v>
      </c>
      <c r="BJ282" s="31" t="s">
        <v>31526</v>
      </c>
      <c r="BK282" s="31" t="s">
        <v>13772</v>
      </c>
      <c r="BL282" s="31" t="s">
        <v>13772</v>
      </c>
      <c r="BM282" s="31" t="s">
        <v>18113</v>
      </c>
    </row>
    <row r="283" spans="1:65">
      <c r="A283">
        <v>2209</v>
      </c>
      <c r="B283">
        <v>1</v>
      </c>
      <c r="C283">
        <v>278</v>
      </c>
      <c r="D283" t="s">
        <v>5167</v>
      </c>
      <c r="E283" t="s">
        <v>73</v>
      </c>
      <c r="F283" t="s">
        <v>73</v>
      </c>
      <c r="G283">
        <v>67.7</v>
      </c>
      <c r="H283">
        <v>319</v>
      </c>
      <c r="I283">
        <v>36050</v>
      </c>
      <c r="J283" t="s">
        <v>5168</v>
      </c>
      <c r="K283" s="3" t="s">
        <v>73</v>
      </c>
      <c r="L283">
        <v>152</v>
      </c>
      <c r="M283">
        <v>150</v>
      </c>
      <c r="N283">
        <v>0.98699999999999999</v>
      </c>
      <c r="O283" s="11">
        <f t="shared" si="4"/>
        <v>8.9405234099072128</v>
      </c>
      <c r="P283" s="36">
        <v>8.4815037708430996</v>
      </c>
      <c r="Q283" s="36">
        <v>9.6306412067744702</v>
      </c>
      <c r="R283" s="36">
        <v>12.806381294498101</v>
      </c>
      <c r="S283" s="36">
        <v>9.0715305549193808</v>
      </c>
      <c r="T283" s="36">
        <v>15.827245022838801</v>
      </c>
      <c r="U283" s="36">
        <v>15.805363192871299</v>
      </c>
      <c r="V283" s="36">
        <v>13.070372307521501</v>
      </c>
      <c r="W283" s="36">
        <v>8.7586523818407507</v>
      </c>
      <c r="X283" s="37">
        <v>4.7685497594697397</v>
      </c>
      <c r="Y283" s="37">
        <v>10.7210439971009</v>
      </c>
      <c r="Z283" s="37">
        <v>9.6006521792081099</v>
      </c>
      <c r="AA283" s="37">
        <v>8.4654704659994096</v>
      </c>
      <c r="AB283" s="37">
        <v>4.5939628290755703</v>
      </c>
      <c r="AC283" s="37">
        <v>2.36757171115537</v>
      </c>
      <c r="AD283" s="37">
        <v>6.0341601914496898</v>
      </c>
      <c r="AE283" s="37">
        <v>3.0452736929492299</v>
      </c>
      <c r="AF283" s="45">
        <v>-0.86363890974942004</v>
      </c>
      <c r="AG283" s="45">
        <v>-1.8842325864963601</v>
      </c>
      <c r="AH283" s="46">
        <v>1.0961456030795E-2</v>
      </c>
      <c r="AI283" s="47">
        <v>2.0036104056289299E-2</v>
      </c>
      <c r="AJ283" s="48">
        <v>11.6814612165134</v>
      </c>
      <c r="AK283" s="49">
        <v>6.1995856033010002</v>
      </c>
      <c r="AL283" s="31" t="s">
        <v>5875</v>
      </c>
      <c r="AM283" s="31" t="s">
        <v>5878</v>
      </c>
      <c r="AN283" s="31" t="s">
        <v>34871</v>
      </c>
      <c r="AO283" s="31" t="s">
        <v>34872</v>
      </c>
      <c r="AP283" s="31" t="s">
        <v>34873</v>
      </c>
      <c r="AQ283" s="31" t="s">
        <v>34874</v>
      </c>
      <c r="AR283" s="31" t="s">
        <v>34875</v>
      </c>
      <c r="AS283" s="31" t="str">
        <f>"ANXA4"</f>
        <v>ANXA4</v>
      </c>
      <c r="AT283" s="31" t="s">
        <v>34876</v>
      </c>
      <c r="AU283" s="31" t="s">
        <v>13777</v>
      </c>
      <c r="AV283" s="31">
        <v>9606</v>
      </c>
      <c r="AW283" s="50" t="str">
        <f>HYPERLINK("http://www.uniprot.org/uniprot/P09525", "P09525")</f>
        <v>P09525</v>
      </c>
      <c r="AX283" s="31" t="s">
        <v>34877</v>
      </c>
      <c r="AY283" s="31" t="s">
        <v>13772</v>
      </c>
      <c r="AZ283" s="31" t="s">
        <v>13772</v>
      </c>
      <c r="BA283" s="31" t="s">
        <v>13780</v>
      </c>
      <c r="BB283" s="31" t="s">
        <v>13772</v>
      </c>
      <c r="BC283" s="31" t="s">
        <v>13772</v>
      </c>
      <c r="BD283" s="31" t="s">
        <v>15322</v>
      </c>
      <c r="BE283" s="31" t="s">
        <v>15323</v>
      </c>
      <c r="BF283" s="31" t="s">
        <v>13772</v>
      </c>
      <c r="BG283" s="31" t="s">
        <v>13886</v>
      </c>
      <c r="BH283" s="31" t="s">
        <v>13812</v>
      </c>
      <c r="BI283" s="31" t="s">
        <v>34878</v>
      </c>
      <c r="BJ283" s="31" t="s">
        <v>34879</v>
      </c>
      <c r="BK283" s="31" t="s">
        <v>34880</v>
      </c>
      <c r="BL283" s="31" t="s">
        <v>13772</v>
      </c>
      <c r="BM283" s="31" t="s">
        <v>13772</v>
      </c>
    </row>
    <row r="284" spans="1:65">
      <c r="A284">
        <v>2036</v>
      </c>
      <c r="B284">
        <v>1</v>
      </c>
      <c r="C284">
        <v>279</v>
      </c>
      <c r="D284" t="s">
        <v>4784</v>
      </c>
      <c r="E284" t="s">
        <v>73</v>
      </c>
      <c r="F284" t="s">
        <v>73</v>
      </c>
      <c r="G284">
        <v>42.3</v>
      </c>
      <c r="H284">
        <v>558</v>
      </c>
      <c r="I284">
        <v>62791</v>
      </c>
      <c r="J284" t="s">
        <v>4785</v>
      </c>
      <c r="K284" s="3" t="s">
        <v>73</v>
      </c>
      <c r="L284">
        <v>150</v>
      </c>
      <c r="M284">
        <v>150</v>
      </c>
      <c r="N284">
        <v>1</v>
      </c>
      <c r="O284" s="11">
        <f t="shared" si="4"/>
        <v>8.7652084116098141</v>
      </c>
      <c r="P284" s="36">
        <v>3.6349301875041902</v>
      </c>
      <c r="Q284" s="36">
        <v>7.7045129654195703</v>
      </c>
      <c r="R284" s="36">
        <v>3.2015953236245198</v>
      </c>
      <c r="S284" s="36">
        <v>0.37798043978830698</v>
      </c>
      <c r="T284" s="36">
        <v>8.6017635993689208</v>
      </c>
      <c r="U284" s="36">
        <v>15.805363192871299</v>
      </c>
      <c r="V284" s="36">
        <v>11.594685111511</v>
      </c>
      <c r="W284" s="36">
        <v>10.7050195778054</v>
      </c>
      <c r="X284" s="37">
        <v>14.3056492784092</v>
      </c>
      <c r="Y284" s="37">
        <v>8.8290950564359996</v>
      </c>
      <c r="Z284" s="37">
        <v>8.0005434826734305</v>
      </c>
      <c r="AA284" s="37">
        <v>10.1585645591993</v>
      </c>
      <c r="AB284" s="37">
        <v>2.7563776974453398</v>
      </c>
      <c r="AC284" s="37">
        <v>5.5243339926958699</v>
      </c>
      <c r="AD284" s="37">
        <v>28.662260909385999</v>
      </c>
      <c r="AE284" s="37">
        <v>0.38065921161865401</v>
      </c>
      <c r="AF284" s="45">
        <v>0.29278366675526601</v>
      </c>
      <c r="AG284" s="45">
        <v>1.27572250411576</v>
      </c>
      <c r="AH284" s="46">
        <v>0.59369473222422298</v>
      </c>
      <c r="AI284" s="47">
        <v>0.66978377041822101</v>
      </c>
      <c r="AJ284" s="48">
        <v>7.7032312997366601</v>
      </c>
      <c r="AK284" s="49">
        <v>9.8271855234829797</v>
      </c>
      <c r="AL284" s="31" t="s">
        <v>5874</v>
      </c>
      <c r="AM284" s="31" t="s">
        <v>5832</v>
      </c>
      <c r="AN284" s="31" t="s">
        <v>33266</v>
      </c>
      <c r="AO284" s="31" t="s">
        <v>33267</v>
      </c>
      <c r="AP284" s="31" t="s">
        <v>33268</v>
      </c>
      <c r="AQ284" s="31" t="s">
        <v>33269</v>
      </c>
      <c r="AR284" s="31" t="s">
        <v>33270</v>
      </c>
      <c r="AS284" s="31" t="str">
        <f>"GPI"</f>
        <v>GPI</v>
      </c>
      <c r="AT284" s="31" t="s">
        <v>13772</v>
      </c>
      <c r="AU284" s="31" t="s">
        <v>13777</v>
      </c>
      <c r="AV284" s="31">
        <v>9606</v>
      </c>
      <c r="AW284" s="50" t="str">
        <f>HYPERLINK("http://www.uniprot.org/uniprot/P06744", "P06744")</f>
        <v>P06744</v>
      </c>
      <c r="AX284" s="31" t="s">
        <v>33271</v>
      </c>
      <c r="AY284" s="31" t="s">
        <v>23843</v>
      </c>
      <c r="AZ284" s="31" t="s">
        <v>16449</v>
      </c>
      <c r="BA284" s="31" t="s">
        <v>13780</v>
      </c>
      <c r="BB284" s="31" t="s">
        <v>13772</v>
      </c>
      <c r="BC284" s="31" t="s">
        <v>17205</v>
      </c>
      <c r="BD284" s="31" t="s">
        <v>13772</v>
      </c>
      <c r="BE284" s="31" t="s">
        <v>13772</v>
      </c>
      <c r="BF284" s="31" t="s">
        <v>33272</v>
      </c>
      <c r="BG284" s="31" t="s">
        <v>19111</v>
      </c>
      <c r="BH284" s="31" t="s">
        <v>13812</v>
      </c>
      <c r="BI284" s="31" t="s">
        <v>33273</v>
      </c>
      <c r="BJ284" s="31" t="s">
        <v>33274</v>
      </c>
      <c r="BK284" s="31" t="s">
        <v>33275</v>
      </c>
      <c r="BL284" s="31" t="s">
        <v>33276</v>
      </c>
      <c r="BM284" s="31" t="s">
        <v>33277</v>
      </c>
    </row>
    <row r="285" spans="1:65">
      <c r="A285">
        <v>350</v>
      </c>
      <c r="B285">
        <v>1</v>
      </c>
      <c r="C285">
        <v>280</v>
      </c>
      <c r="D285" t="s">
        <v>877</v>
      </c>
      <c r="E285" t="s">
        <v>878</v>
      </c>
      <c r="F285" t="s">
        <v>73</v>
      </c>
      <c r="G285">
        <v>25.9</v>
      </c>
      <c r="H285">
        <v>2719</v>
      </c>
      <c r="I285">
        <v>290062</v>
      </c>
      <c r="J285" t="s">
        <v>880</v>
      </c>
      <c r="K285" s="3" t="s">
        <v>73</v>
      </c>
      <c r="L285">
        <v>157</v>
      </c>
      <c r="M285">
        <v>146</v>
      </c>
      <c r="N285">
        <v>0.93</v>
      </c>
      <c r="O285" s="11">
        <f t="shared" si="4"/>
        <v>8.1250167910302391</v>
      </c>
      <c r="P285" s="36">
        <v>0.30291084895868198</v>
      </c>
      <c r="Q285" s="36">
        <v>0.24076603016936199</v>
      </c>
      <c r="R285" s="36">
        <v>0.40019941545306398</v>
      </c>
      <c r="S285" s="36">
        <v>0.37798043978830698</v>
      </c>
      <c r="T285" s="36">
        <v>0.215044089984223</v>
      </c>
      <c r="U285" s="36">
        <v>0.23243181165987301</v>
      </c>
      <c r="V285" s="36">
        <v>2.10812456572928</v>
      </c>
      <c r="W285" s="36">
        <v>9.7318359798230603</v>
      </c>
      <c r="X285" s="37">
        <v>4.92750141811874</v>
      </c>
      <c r="Y285" s="37">
        <v>20.496113523869301</v>
      </c>
      <c r="Z285" s="37">
        <v>10.240695657822</v>
      </c>
      <c r="AA285" s="37">
        <v>7.8728875333794504</v>
      </c>
      <c r="AB285" s="37">
        <v>38.956804790560803</v>
      </c>
      <c r="AC285" s="37">
        <v>17.2043544343957</v>
      </c>
      <c r="AD285" s="37">
        <v>6.0341601914496898</v>
      </c>
      <c r="AE285" s="37">
        <v>10.658457925322301</v>
      </c>
      <c r="AF285" s="45">
        <v>2.9572242485791098</v>
      </c>
      <c r="AG285" s="45">
        <v>8.5523159742471204</v>
      </c>
      <c r="AH285" s="46">
        <v>1.6229920019585601E-5</v>
      </c>
      <c r="AI285" s="47">
        <v>5.5681110221039799E-5</v>
      </c>
      <c r="AJ285" s="48">
        <v>1.7011616476957301</v>
      </c>
      <c r="AK285" s="49">
        <v>14.548871934364801</v>
      </c>
      <c r="AL285" s="31" t="s">
        <v>5874</v>
      </c>
      <c r="AM285" s="31" t="s">
        <v>5876</v>
      </c>
      <c r="AN285" s="31" t="s">
        <v>17074</v>
      </c>
      <c r="AO285" s="31" t="s">
        <v>17075</v>
      </c>
      <c r="AP285" s="31" t="s">
        <v>17076</v>
      </c>
      <c r="AQ285" s="31" t="s">
        <v>17077</v>
      </c>
      <c r="AR285" s="31" t="s">
        <v>17078</v>
      </c>
      <c r="AS285" s="31" t="str">
        <f>"FLNC"</f>
        <v>FLNC</v>
      </c>
      <c r="AT285" s="31" t="s">
        <v>17079</v>
      </c>
      <c r="AU285" s="31" t="s">
        <v>13777</v>
      </c>
      <c r="AV285" s="31">
        <v>9606</v>
      </c>
      <c r="AW285" s="50" t="str">
        <f>HYPERLINK("http://www.uniprot.org/uniprot/Q14315", "Q14315")</f>
        <v>Q14315</v>
      </c>
      <c r="AX285" s="31" t="s">
        <v>17080</v>
      </c>
      <c r="AY285" s="31" t="s">
        <v>13772</v>
      </c>
      <c r="AZ285" s="31" t="s">
        <v>17081</v>
      </c>
      <c r="BA285" s="31" t="s">
        <v>13780</v>
      </c>
      <c r="BB285" s="31" t="s">
        <v>13772</v>
      </c>
      <c r="BC285" s="31" t="s">
        <v>17082</v>
      </c>
      <c r="BD285" s="31" t="s">
        <v>14096</v>
      </c>
      <c r="BE285" s="31" t="s">
        <v>13772</v>
      </c>
      <c r="BF285" s="31" t="s">
        <v>13990</v>
      </c>
      <c r="BG285" s="31" t="s">
        <v>17083</v>
      </c>
      <c r="BH285" s="31" t="s">
        <v>13812</v>
      </c>
      <c r="BI285" s="31" t="s">
        <v>17084</v>
      </c>
      <c r="BJ285" s="31" t="s">
        <v>17085</v>
      </c>
      <c r="BK285" s="31" t="s">
        <v>17086</v>
      </c>
      <c r="BL285" s="31" t="s">
        <v>13772</v>
      </c>
      <c r="BM285" s="31" t="s">
        <v>17087</v>
      </c>
    </row>
    <row r="286" spans="1:65">
      <c r="A286">
        <v>58</v>
      </c>
      <c r="B286">
        <v>1</v>
      </c>
      <c r="C286">
        <v>281</v>
      </c>
      <c r="D286" t="s">
        <v>167</v>
      </c>
      <c r="E286" t="s">
        <v>73</v>
      </c>
      <c r="F286" t="s">
        <v>73</v>
      </c>
      <c r="G286">
        <v>42.1</v>
      </c>
      <c r="H286">
        <v>719</v>
      </c>
      <c r="I286">
        <v>80926</v>
      </c>
      <c r="J286" t="s">
        <v>169</v>
      </c>
      <c r="K286" s="3" t="s">
        <v>73</v>
      </c>
      <c r="L286">
        <v>152</v>
      </c>
      <c r="M286">
        <v>142</v>
      </c>
      <c r="N286">
        <v>0.93400000000000005</v>
      </c>
      <c r="O286" s="11">
        <f t="shared" si="4"/>
        <v>7.6196668366552656</v>
      </c>
      <c r="P286" s="36">
        <v>0.30291084895868198</v>
      </c>
      <c r="Q286" s="36">
        <v>0.24076603016936199</v>
      </c>
      <c r="R286" s="36">
        <v>1.6007976618122599</v>
      </c>
      <c r="S286" s="36">
        <v>1.5119217591532299</v>
      </c>
      <c r="T286" s="36">
        <v>0.215044089984223</v>
      </c>
      <c r="U286" s="36">
        <v>0.23243181165987301</v>
      </c>
      <c r="V286" s="36">
        <v>1.05406228286464</v>
      </c>
      <c r="W286" s="36">
        <v>0.24329589949557701</v>
      </c>
      <c r="X286" s="37">
        <v>17.484682451389101</v>
      </c>
      <c r="Y286" s="37">
        <v>2.5225985875531398</v>
      </c>
      <c r="Z286" s="37">
        <v>17.601195661881501</v>
      </c>
      <c r="AA286" s="37">
        <v>40.634258236797201</v>
      </c>
      <c r="AB286" s="37">
        <v>0.22969814145377901</v>
      </c>
      <c r="AC286" s="37">
        <v>12.627049126161999</v>
      </c>
      <c r="AD286" s="37">
        <v>17.800772564776601</v>
      </c>
      <c r="AE286" s="37">
        <v>7.6131842323730803</v>
      </c>
      <c r="AF286" s="45">
        <v>4.3434858203845002</v>
      </c>
      <c r="AG286" s="45">
        <v>21.5716477018685</v>
      </c>
      <c r="AH286" s="46">
        <v>1.00462285504644E-7</v>
      </c>
      <c r="AI286" s="47">
        <v>6.7888150507683903E-7</v>
      </c>
      <c r="AJ286" s="48">
        <v>0.67515379801223097</v>
      </c>
      <c r="AK286" s="49">
        <v>14.564179875298301</v>
      </c>
      <c r="AL286" s="31" t="s">
        <v>5874</v>
      </c>
      <c r="AM286" s="31" t="s">
        <v>5876</v>
      </c>
      <c r="AN286" s="31" t="s">
        <v>13800</v>
      </c>
      <c r="AO286" s="31" t="s">
        <v>13772</v>
      </c>
      <c r="AP286" s="31" t="s">
        <v>13801</v>
      </c>
      <c r="AQ286" s="31" t="s">
        <v>13802</v>
      </c>
      <c r="AR286" s="31" t="s">
        <v>13803</v>
      </c>
      <c r="AS286" s="31" t="str">
        <f>"MPO"</f>
        <v>MPO</v>
      </c>
      <c r="AT286" s="31" t="s">
        <v>13772</v>
      </c>
      <c r="AU286" s="31" t="s">
        <v>13777</v>
      </c>
      <c r="AV286" s="31">
        <v>9606</v>
      </c>
      <c r="AW286" s="50" t="str">
        <f>HYPERLINK("http://www.uniprot.org/uniprot/P05164", "P05164")</f>
        <v>P05164</v>
      </c>
      <c r="AX286" s="31" t="s">
        <v>13804</v>
      </c>
      <c r="AY286" s="31" t="s">
        <v>13805</v>
      </c>
      <c r="AZ286" s="31" t="s">
        <v>13806</v>
      </c>
      <c r="BA286" s="31" t="s">
        <v>13780</v>
      </c>
      <c r="BB286" s="31" t="s">
        <v>13772</v>
      </c>
      <c r="BC286" s="31" t="s">
        <v>13807</v>
      </c>
      <c r="BD286" s="31" t="s">
        <v>13808</v>
      </c>
      <c r="BE286" s="31" t="s">
        <v>13809</v>
      </c>
      <c r="BF286" s="31" t="s">
        <v>13810</v>
      </c>
      <c r="BG286" s="31" t="s">
        <v>13811</v>
      </c>
      <c r="BH286" s="31" t="s">
        <v>13812</v>
      </c>
      <c r="BI286" s="31" t="s">
        <v>13813</v>
      </c>
      <c r="BJ286" s="31" t="s">
        <v>13814</v>
      </c>
      <c r="BK286" s="31" t="s">
        <v>13815</v>
      </c>
      <c r="BL286" s="31" t="s">
        <v>13772</v>
      </c>
      <c r="BM286" s="31" t="s">
        <v>13816</v>
      </c>
    </row>
    <row r="287" spans="1:65">
      <c r="A287">
        <v>1169</v>
      </c>
      <c r="B287">
        <v>1</v>
      </c>
      <c r="C287">
        <v>282</v>
      </c>
      <c r="D287" t="s">
        <v>2809</v>
      </c>
      <c r="E287" t="s">
        <v>73</v>
      </c>
      <c r="F287" t="s">
        <v>73</v>
      </c>
      <c r="G287">
        <v>58.1</v>
      </c>
      <c r="H287">
        <v>298</v>
      </c>
      <c r="I287">
        <v>32479</v>
      </c>
      <c r="J287" t="s">
        <v>2810</v>
      </c>
      <c r="K287" s="3" t="s">
        <v>73</v>
      </c>
      <c r="L287">
        <v>149</v>
      </c>
      <c r="M287">
        <v>149</v>
      </c>
      <c r="N287">
        <v>1</v>
      </c>
      <c r="O287" s="11">
        <f t="shared" si="4"/>
        <v>9.5038843226809657</v>
      </c>
      <c r="P287" s="36">
        <v>12.116433958347301</v>
      </c>
      <c r="Q287" s="36">
        <v>17.335154172193999</v>
      </c>
      <c r="R287" s="36">
        <v>24.0119649271839</v>
      </c>
      <c r="S287" s="36">
        <v>12.0953740732258</v>
      </c>
      <c r="T287" s="36">
        <v>18.0637035586747</v>
      </c>
      <c r="U287" s="36">
        <v>12.0864542063134</v>
      </c>
      <c r="V287" s="36">
        <v>12.6487473943757</v>
      </c>
      <c r="W287" s="36">
        <v>2.9195507939469199</v>
      </c>
      <c r="X287" s="37">
        <v>5.5633080527147003</v>
      </c>
      <c r="Y287" s="37">
        <v>1.89194894066486</v>
      </c>
      <c r="Z287" s="37">
        <v>4.8003260896040603</v>
      </c>
      <c r="AA287" s="37">
        <v>6.7723763727995303</v>
      </c>
      <c r="AB287" s="37">
        <v>1.8375851316302301</v>
      </c>
      <c r="AC287" s="37">
        <v>4.7351434223107498</v>
      </c>
      <c r="AD287" s="37">
        <v>4.5256201435872701</v>
      </c>
      <c r="AE287" s="37">
        <v>10.658457925322301</v>
      </c>
      <c r="AF287" s="45">
        <v>-1.4743123199332999</v>
      </c>
      <c r="AG287" s="45">
        <v>-2.7284055735349102</v>
      </c>
      <c r="AH287" s="46">
        <v>5.3838308447423503E-4</v>
      </c>
      <c r="AI287" s="47">
        <v>1.30499378084516E-3</v>
      </c>
      <c r="AJ287" s="48">
        <v>13.9096728855327</v>
      </c>
      <c r="AK287" s="49">
        <v>5.09809575982921</v>
      </c>
      <c r="AL287" s="31" t="s">
        <v>5875</v>
      </c>
      <c r="AM287" s="31" t="s">
        <v>5876</v>
      </c>
      <c r="AN287" s="31" t="s">
        <v>25054</v>
      </c>
      <c r="AO287" s="31" t="s">
        <v>25055</v>
      </c>
      <c r="AP287" s="31" t="s">
        <v>25056</v>
      </c>
      <c r="AQ287" s="31" t="s">
        <v>25057</v>
      </c>
      <c r="AR287" s="31" t="s">
        <v>25058</v>
      </c>
      <c r="AS287" s="31" t="str">
        <f>"SDCBP"</f>
        <v>SDCBP</v>
      </c>
      <c r="AT287" s="31" t="s">
        <v>25059</v>
      </c>
      <c r="AU287" s="31" t="s">
        <v>13777</v>
      </c>
      <c r="AV287" s="31">
        <v>9606</v>
      </c>
      <c r="AW287" s="50" t="str">
        <f>HYPERLINK("http://www.uniprot.org/uniprot/O00560", "O00560")</f>
        <v>O00560</v>
      </c>
      <c r="AX287" s="31" t="s">
        <v>25060</v>
      </c>
      <c r="AY287" s="31" t="s">
        <v>13772</v>
      </c>
      <c r="AZ287" s="31" t="s">
        <v>25061</v>
      </c>
      <c r="BA287" s="31" t="s">
        <v>13780</v>
      </c>
      <c r="BB287" s="31" t="s">
        <v>13772</v>
      </c>
      <c r="BC287" s="31" t="s">
        <v>13772</v>
      </c>
      <c r="BD287" s="31" t="s">
        <v>14096</v>
      </c>
      <c r="BE287" s="31" t="s">
        <v>13900</v>
      </c>
      <c r="BF287" s="31" t="s">
        <v>13772</v>
      </c>
      <c r="BG287" s="31" t="s">
        <v>13886</v>
      </c>
      <c r="BH287" s="31" t="s">
        <v>13812</v>
      </c>
      <c r="BI287" s="31" t="s">
        <v>25062</v>
      </c>
      <c r="BJ287" s="31" t="s">
        <v>25063</v>
      </c>
      <c r="BK287" s="31" t="s">
        <v>25064</v>
      </c>
      <c r="BL287" s="31" t="s">
        <v>13772</v>
      </c>
      <c r="BM287" s="31" t="s">
        <v>25065</v>
      </c>
    </row>
    <row r="288" spans="1:65">
      <c r="A288">
        <v>1985</v>
      </c>
      <c r="B288">
        <v>1</v>
      </c>
      <c r="C288">
        <v>283</v>
      </c>
      <c r="D288" t="s">
        <v>4673</v>
      </c>
      <c r="E288" t="s">
        <v>73</v>
      </c>
      <c r="F288" t="s">
        <v>73</v>
      </c>
      <c r="G288">
        <v>52.4</v>
      </c>
      <c r="H288">
        <v>334</v>
      </c>
      <c r="I288">
        <v>37373</v>
      </c>
      <c r="J288" t="s">
        <v>4674</v>
      </c>
      <c r="K288" s="3" t="s">
        <v>73</v>
      </c>
      <c r="L288">
        <v>149</v>
      </c>
      <c r="M288">
        <v>149</v>
      </c>
      <c r="N288">
        <v>1</v>
      </c>
      <c r="O288" s="11">
        <f t="shared" si="4"/>
        <v>8.9632997088594077</v>
      </c>
      <c r="P288" s="36">
        <v>9.6931471666778304</v>
      </c>
      <c r="Q288" s="36">
        <v>9.6306412067744702</v>
      </c>
      <c r="R288" s="36">
        <v>14.4071789563103</v>
      </c>
      <c r="S288" s="36">
        <v>18.143061109838801</v>
      </c>
      <c r="T288" s="36">
        <v>9.4619399593058091</v>
      </c>
      <c r="U288" s="36">
        <v>4.6486362331974602</v>
      </c>
      <c r="V288" s="36">
        <v>7.3784359800524904</v>
      </c>
      <c r="W288" s="36">
        <v>4.8659179899115301</v>
      </c>
      <c r="X288" s="37">
        <v>6.35806634595966</v>
      </c>
      <c r="Y288" s="37">
        <v>8.8290950564359996</v>
      </c>
      <c r="Z288" s="37">
        <v>7.2004891344060802</v>
      </c>
      <c r="AA288" s="37">
        <v>5.0792822795996404</v>
      </c>
      <c r="AB288" s="37">
        <v>13.7818884872267</v>
      </c>
      <c r="AC288" s="37">
        <v>10.2594774150066</v>
      </c>
      <c r="AD288" s="37">
        <v>3.0170800957248498</v>
      </c>
      <c r="AE288" s="37">
        <v>10.658457925322301</v>
      </c>
      <c r="AF288" s="45">
        <v>-0.19914352839809099</v>
      </c>
      <c r="AG288" s="45">
        <v>-1.2001281684980201</v>
      </c>
      <c r="AH288" s="46">
        <v>0.57731299150015603</v>
      </c>
      <c r="AI288" s="47">
        <v>0.65572562192462602</v>
      </c>
      <c r="AJ288" s="48">
        <v>9.7786198252585805</v>
      </c>
      <c r="AK288" s="49">
        <v>8.1479795924602296</v>
      </c>
      <c r="AL288" s="31" t="s">
        <v>5875</v>
      </c>
      <c r="AM288" s="31" t="s">
        <v>5832</v>
      </c>
      <c r="AN288" s="31" t="s">
        <v>32819</v>
      </c>
      <c r="AO288" s="31" t="s">
        <v>32820</v>
      </c>
      <c r="AP288" s="31" t="s">
        <v>32821</v>
      </c>
      <c r="AQ288" s="31" t="s">
        <v>32822</v>
      </c>
      <c r="AR288" s="31" t="s">
        <v>32823</v>
      </c>
      <c r="AS288" s="31" t="str">
        <f>"CTSV"</f>
        <v>CTSV</v>
      </c>
      <c r="AT288" s="31" t="s">
        <v>32824</v>
      </c>
      <c r="AU288" s="31" t="s">
        <v>13777</v>
      </c>
      <c r="AV288" s="31">
        <v>9606</v>
      </c>
      <c r="AW288" s="50" t="str">
        <f>HYPERLINK("http://www.uniprot.org/uniprot/O60911", "O60911")</f>
        <v>O60911</v>
      </c>
      <c r="AX288" s="31" t="s">
        <v>32825</v>
      </c>
      <c r="AY288" s="31" t="s">
        <v>13772</v>
      </c>
      <c r="AZ288" s="31" t="s">
        <v>13806</v>
      </c>
      <c r="BA288" s="31" t="s">
        <v>13772</v>
      </c>
      <c r="BB288" s="31" t="s">
        <v>13772</v>
      </c>
      <c r="BC288" s="31" t="s">
        <v>13772</v>
      </c>
      <c r="BD288" s="31" t="s">
        <v>13808</v>
      </c>
      <c r="BE288" s="31" t="s">
        <v>13772</v>
      </c>
      <c r="BF288" s="31" t="s">
        <v>14083</v>
      </c>
      <c r="BG288" s="31" t="s">
        <v>15472</v>
      </c>
      <c r="BH288" s="31" t="s">
        <v>13812</v>
      </c>
      <c r="BI288" s="31" t="s">
        <v>32826</v>
      </c>
      <c r="BJ288" s="31" t="s">
        <v>32827</v>
      </c>
      <c r="BK288" s="31" t="s">
        <v>32828</v>
      </c>
      <c r="BL288" s="31" t="s">
        <v>13772</v>
      </c>
      <c r="BM288" s="31" t="s">
        <v>32829</v>
      </c>
    </row>
    <row r="289" spans="1:65">
      <c r="A289">
        <v>1995</v>
      </c>
      <c r="B289">
        <v>1</v>
      </c>
      <c r="C289">
        <v>284</v>
      </c>
      <c r="D289" t="s">
        <v>4694</v>
      </c>
      <c r="E289" t="s">
        <v>4695</v>
      </c>
      <c r="F289" t="s">
        <v>73</v>
      </c>
      <c r="G289">
        <v>39.9</v>
      </c>
      <c r="H289">
        <v>878</v>
      </c>
      <c r="I289">
        <v>95081</v>
      </c>
      <c r="J289" t="s">
        <v>4696</v>
      </c>
      <c r="K289" s="3" t="s">
        <v>73</v>
      </c>
      <c r="L289">
        <v>149</v>
      </c>
      <c r="M289">
        <v>149</v>
      </c>
      <c r="N289">
        <v>1</v>
      </c>
      <c r="O289" s="11">
        <f t="shared" si="4"/>
        <v>9.8276627498952287</v>
      </c>
      <c r="P289" s="36">
        <v>16.963007541686199</v>
      </c>
      <c r="Q289" s="36">
        <v>17.335154172193999</v>
      </c>
      <c r="R289" s="36">
        <v>16.007976618122601</v>
      </c>
      <c r="S289" s="36">
        <v>27.2145916647581</v>
      </c>
      <c r="T289" s="36">
        <v>15.4831744788641</v>
      </c>
      <c r="U289" s="36">
        <v>14.875635946231901</v>
      </c>
      <c r="V289" s="36">
        <v>13.7028096772403</v>
      </c>
      <c r="W289" s="36">
        <v>14.597753969734599</v>
      </c>
      <c r="X289" s="37">
        <v>0.79475829324495695</v>
      </c>
      <c r="Y289" s="37">
        <v>5.6758468219945701</v>
      </c>
      <c r="Z289" s="37">
        <v>0.200013587066836</v>
      </c>
      <c r="AA289" s="37">
        <v>3.3861881863997598</v>
      </c>
      <c r="AB289" s="37">
        <v>5.5127553948906796</v>
      </c>
      <c r="AC289" s="37">
        <v>4.7351434223107498</v>
      </c>
      <c r="AD289" s="37">
        <v>0.377135011965606</v>
      </c>
      <c r="AE289" s="37">
        <v>0.38065921161865401</v>
      </c>
      <c r="AF289" s="45">
        <v>-2.4973630917496998</v>
      </c>
      <c r="AG289" s="45">
        <v>-6.4655242504310602</v>
      </c>
      <c r="AH289" s="46">
        <v>1.3821375222946099E-10</v>
      </c>
      <c r="AI289" s="47">
        <v>2.2552439083295001E-9</v>
      </c>
      <c r="AJ289" s="48">
        <v>17.022513008604001</v>
      </c>
      <c r="AK289" s="49">
        <v>2.6328124911864799</v>
      </c>
      <c r="AL289" s="31" t="s">
        <v>5875</v>
      </c>
      <c r="AM289" s="31" t="s">
        <v>5876</v>
      </c>
      <c r="AN289" s="31" t="s">
        <v>32893</v>
      </c>
      <c r="AO289" s="31" t="s">
        <v>32894</v>
      </c>
      <c r="AP289" s="31" t="s">
        <v>32895</v>
      </c>
      <c r="AQ289" s="31" t="s">
        <v>32896</v>
      </c>
      <c r="AR289" s="31" t="s">
        <v>32897</v>
      </c>
      <c r="AS289" s="31" t="str">
        <f>"CDH16"</f>
        <v>CDH16</v>
      </c>
      <c r="AT289" s="31" t="s">
        <v>13772</v>
      </c>
      <c r="AU289" s="31" t="s">
        <v>13777</v>
      </c>
      <c r="AV289" s="31">
        <v>9606</v>
      </c>
      <c r="AW289" s="50" t="str">
        <f>HYPERLINK("http://www.uniprot.org/uniprot/O75309", "O75309")</f>
        <v>O75309</v>
      </c>
      <c r="AX289" s="31" t="s">
        <v>32898</v>
      </c>
      <c r="AY289" s="31" t="s">
        <v>13949</v>
      </c>
      <c r="AZ289" s="31" t="s">
        <v>13792</v>
      </c>
      <c r="BA289" s="31" t="s">
        <v>13780</v>
      </c>
      <c r="BB289" s="31" t="s">
        <v>13772</v>
      </c>
      <c r="BC289" s="31" t="s">
        <v>13772</v>
      </c>
      <c r="BD289" s="31" t="s">
        <v>13826</v>
      </c>
      <c r="BE289" s="31" t="s">
        <v>13873</v>
      </c>
      <c r="BF289" s="31" t="s">
        <v>13772</v>
      </c>
      <c r="BG289" s="31" t="s">
        <v>13978</v>
      </c>
      <c r="BH289" s="31" t="s">
        <v>13772</v>
      </c>
      <c r="BI289" s="31" t="s">
        <v>32899</v>
      </c>
      <c r="BJ289" s="31" t="s">
        <v>32900</v>
      </c>
      <c r="BK289" s="31" t="s">
        <v>15899</v>
      </c>
      <c r="BL289" s="31" t="s">
        <v>13772</v>
      </c>
      <c r="BM289" s="31" t="s">
        <v>13772</v>
      </c>
    </row>
    <row r="290" spans="1:65">
      <c r="A290">
        <v>1841</v>
      </c>
      <c r="B290">
        <v>1</v>
      </c>
      <c r="C290">
        <v>285</v>
      </c>
      <c r="D290" t="s">
        <v>4351</v>
      </c>
      <c r="E290" t="s">
        <v>73</v>
      </c>
      <c r="F290" t="s">
        <v>73</v>
      </c>
      <c r="G290">
        <v>15.5</v>
      </c>
      <c r="H290">
        <v>362</v>
      </c>
      <c r="I290">
        <v>39865</v>
      </c>
      <c r="J290" t="s">
        <v>4352</v>
      </c>
      <c r="K290" s="3" t="s">
        <v>73</v>
      </c>
      <c r="L290">
        <v>148</v>
      </c>
      <c r="M290">
        <v>148</v>
      </c>
      <c r="N290">
        <v>1</v>
      </c>
      <c r="O290" s="11">
        <f t="shared" si="4"/>
        <v>9.5135024350087747</v>
      </c>
      <c r="P290" s="36">
        <v>9.6931471666778304</v>
      </c>
      <c r="Q290" s="36">
        <v>8.6675770860970207</v>
      </c>
      <c r="R290" s="36">
        <v>20.810369603559401</v>
      </c>
      <c r="S290" s="36">
        <v>18.143061109838801</v>
      </c>
      <c r="T290" s="36">
        <v>12.9026453990534</v>
      </c>
      <c r="U290" s="36">
        <v>8.3675452197554208</v>
      </c>
      <c r="V290" s="36">
        <v>9.4865605457817708</v>
      </c>
      <c r="W290" s="36">
        <v>6.8122851858761404</v>
      </c>
      <c r="X290" s="37">
        <v>5.5633080527147003</v>
      </c>
      <c r="Y290" s="37">
        <v>3.1532482344414299</v>
      </c>
      <c r="Z290" s="37">
        <v>6.4004347861387396</v>
      </c>
      <c r="AA290" s="37">
        <v>4.2327352329997003</v>
      </c>
      <c r="AB290" s="37">
        <v>7.3503405265209096</v>
      </c>
      <c r="AC290" s="37">
        <v>7.8919057038512497</v>
      </c>
      <c r="AD290" s="37">
        <v>10.559780335037001</v>
      </c>
      <c r="AE290" s="37">
        <v>12.1810947717969</v>
      </c>
      <c r="AF290" s="45">
        <v>-0.75174859910283898</v>
      </c>
      <c r="AG290" s="45">
        <v>-1.65495340309328</v>
      </c>
      <c r="AH290" s="46">
        <v>5.2151972975119198E-2</v>
      </c>
      <c r="AI290" s="47">
        <v>8.0226297458587004E-2</v>
      </c>
      <c r="AJ290" s="48">
        <v>11.860398914579999</v>
      </c>
      <c r="AK290" s="49">
        <v>7.1666059554375803</v>
      </c>
      <c r="AL290" s="31" t="s">
        <v>5875</v>
      </c>
      <c r="AM290" s="31" t="s">
        <v>5877</v>
      </c>
      <c r="AN290" s="31" t="s">
        <v>31476</v>
      </c>
      <c r="AO290" s="31" t="s">
        <v>31477</v>
      </c>
      <c r="AP290" s="31" t="s">
        <v>31478</v>
      </c>
      <c r="AQ290" s="31" t="s">
        <v>31479</v>
      </c>
      <c r="AR290" s="31" t="s">
        <v>31480</v>
      </c>
      <c r="AS290" s="31" t="str">
        <f>"CD46"</f>
        <v>CD46</v>
      </c>
      <c r="AT290" s="31" t="s">
        <v>31481</v>
      </c>
      <c r="AU290" s="31" t="s">
        <v>13777</v>
      </c>
      <c r="AV290" s="31">
        <v>9606</v>
      </c>
      <c r="AW290" s="50" t="str">
        <f>HYPERLINK("http://www.uniprot.org/uniprot/P15529", "P15529")</f>
        <v>P15529</v>
      </c>
      <c r="AX290" s="31" t="s">
        <v>31482</v>
      </c>
      <c r="AY290" s="31" t="s">
        <v>31483</v>
      </c>
      <c r="AZ290" s="31" t="s">
        <v>14033</v>
      </c>
      <c r="BA290" s="31" t="s">
        <v>13780</v>
      </c>
      <c r="BB290" s="31" t="s">
        <v>13772</v>
      </c>
      <c r="BC290" s="31" t="s">
        <v>28021</v>
      </c>
      <c r="BD290" s="31" t="s">
        <v>31484</v>
      </c>
      <c r="BE290" s="31" t="s">
        <v>13772</v>
      </c>
      <c r="BF290" s="31" t="s">
        <v>18791</v>
      </c>
      <c r="BG290" s="31" t="s">
        <v>13964</v>
      </c>
      <c r="BH290" s="31" t="s">
        <v>13812</v>
      </c>
      <c r="BI290" s="31" t="s">
        <v>31485</v>
      </c>
      <c r="BJ290" s="31" t="s">
        <v>31486</v>
      </c>
      <c r="BK290" s="31" t="s">
        <v>31487</v>
      </c>
      <c r="BL290" s="31" t="s">
        <v>13772</v>
      </c>
      <c r="BM290" s="31" t="s">
        <v>22277</v>
      </c>
    </row>
    <row r="291" spans="1:65">
      <c r="A291">
        <v>294</v>
      </c>
      <c r="B291">
        <v>1</v>
      </c>
      <c r="C291">
        <v>286</v>
      </c>
      <c r="D291" t="s">
        <v>737</v>
      </c>
      <c r="E291" t="s">
        <v>73</v>
      </c>
      <c r="F291" t="s">
        <v>73</v>
      </c>
      <c r="G291">
        <v>65.400000000000006</v>
      </c>
      <c r="H291">
        <v>217</v>
      </c>
      <c r="I291">
        <v>23620</v>
      </c>
      <c r="J291" t="s">
        <v>739</v>
      </c>
      <c r="K291" s="3" t="s">
        <v>73</v>
      </c>
      <c r="L291">
        <v>148</v>
      </c>
      <c r="M291">
        <v>147</v>
      </c>
      <c r="N291">
        <v>0.99299999999999999</v>
      </c>
      <c r="O291" s="11">
        <f t="shared" si="4"/>
        <v>7.7050696264913796</v>
      </c>
      <c r="P291" s="36">
        <v>3.6349301875041902</v>
      </c>
      <c r="Q291" s="36">
        <v>0.24076603016936199</v>
      </c>
      <c r="R291" s="36">
        <v>0.40019941545306398</v>
      </c>
      <c r="S291" s="36">
        <v>0.37798043978830698</v>
      </c>
      <c r="T291" s="36">
        <v>0.215044089984223</v>
      </c>
      <c r="U291" s="36">
        <v>0.23243181165987301</v>
      </c>
      <c r="V291" s="36">
        <v>0.26351557071616</v>
      </c>
      <c r="W291" s="36">
        <v>1.9463671959646101</v>
      </c>
      <c r="X291" s="37">
        <v>4.7685497594697397</v>
      </c>
      <c r="Y291" s="37">
        <v>7.5677957626594301</v>
      </c>
      <c r="Z291" s="37">
        <v>12.0008152240101</v>
      </c>
      <c r="AA291" s="37">
        <v>8.4654704659994096</v>
      </c>
      <c r="AB291" s="37">
        <v>19.294643882117398</v>
      </c>
      <c r="AC291" s="37">
        <v>11.837858555776901</v>
      </c>
      <c r="AD291" s="37">
        <v>36.808377167843098</v>
      </c>
      <c r="AE291" s="37">
        <v>15.2263684647462</v>
      </c>
      <c r="AF291" s="45">
        <v>3.8096019425053802</v>
      </c>
      <c r="AG291" s="45">
        <v>15.8618733205873</v>
      </c>
      <c r="AH291" s="46">
        <v>9.2439402953973397E-10</v>
      </c>
      <c r="AI291" s="47">
        <v>1.18926847261939E-8</v>
      </c>
      <c r="AJ291" s="48">
        <v>0.913904342654974</v>
      </c>
      <c r="AK291" s="49">
        <v>14.4962349103278</v>
      </c>
      <c r="AL291" s="31" t="s">
        <v>5874</v>
      </c>
      <c r="AM291" s="31" t="s">
        <v>5876</v>
      </c>
      <c r="AN291" s="31" t="s">
        <v>16466</v>
      </c>
      <c r="AO291" s="31" t="s">
        <v>16467</v>
      </c>
      <c r="AP291" s="31" t="s">
        <v>16468</v>
      </c>
      <c r="AQ291" s="31" t="s">
        <v>16469</v>
      </c>
      <c r="AR291" s="31" t="s">
        <v>13772</v>
      </c>
      <c r="AS291" s="31" t="str">
        <f>"PRSS2"</f>
        <v>PRSS2</v>
      </c>
      <c r="AT291" s="31" t="s">
        <v>16470</v>
      </c>
      <c r="AU291" s="31" t="s">
        <v>13777</v>
      </c>
      <c r="AV291" s="31">
        <v>9606</v>
      </c>
      <c r="AW291" s="50" t="str">
        <f>HYPERLINK("http://www.uniprot.org/uniprot/P07478", "P07478")</f>
        <v>P07478</v>
      </c>
      <c r="AX291" s="31" t="s">
        <v>16471</v>
      </c>
      <c r="AY291" s="31" t="s">
        <v>15385</v>
      </c>
      <c r="AZ291" s="31" t="s">
        <v>14321</v>
      </c>
      <c r="BA291" s="31" t="s">
        <v>13793</v>
      </c>
      <c r="BB291" s="31" t="s">
        <v>13772</v>
      </c>
      <c r="BC291" s="31" t="s">
        <v>13772</v>
      </c>
      <c r="BD291" s="31" t="s">
        <v>13808</v>
      </c>
      <c r="BE291" s="31" t="s">
        <v>13873</v>
      </c>
      <c r="BF291" s="31" t="s">
        <v>15176</v>
      </c>
      <c r="BG291" s="31" t="s">
        <v>16472</v>
      </c>
      <c r="BH291" s="31" t="s">
        <v>13772</v>
      </c>
      <c r="BI291" s="31" t="s">
        <v>16473</v>
      </c>
      <c r="BJ291" s="31" t="s">
        <v>16474</v>
      </c>
      <c r="BK291" s="31" t="s">
        <v>16475</v>
      </c>
      <c r="BL291" s="31" t="s">
        <v>13772</v>
      </c>
      <c r="BM291" s="31" t="s">
        <v>16476</v>
      </c>
    </row>
    <row r="292" spans="1:65">
      <c r="A292">
        <v>716</v>
      </c>
      <c r="B292">
        <v>1</v>
      </c>
      <c r="C292">
        <v>287</v>
      </c>
      <c r="D292" t="s">
        <v>1759</v>
      </c>
      <c r="E292" t="s">
        <v>1760</v>
      </c>
      <c r="F292" t="s">
        <v>73</v>
      </c>
      <c r="G292">
        <v>11.2</v>
      </c>
      <c r="H292">
        <v>1470</v>
      </c>
      <c r="I292">
        <v>154265</v>
      </c>
      <c r="J292" t="s">
        <v>1761</v>
      </c>
      <c r="K292" s="3" t="s">
        <v>73</v>
      </c>
      <c r="L292">
        <v>147</v>
      </c>
      <c r="M292">
        <v>147</v>
      </c>
      <c r="N292">
        <v>1</v>
      </c>
      <c r="O292" s="11">
        <f t="shared" si="4"/>
        <v>9.7740558860178481</v>
      </c>
      <c r="P292" s="36">
        <v>13.328077354182</v>
      </c>
      <c r="Q292" s="36">
        <v>13.4828976894843</v>
      </c>
      <c r="R292" s="36">
        <v>20.810369603559401</v>
      </c>
      <c r="S292" s="36">
        <v>21.1669046281452</v>
      </c>
      <c r="T292" s="36">
        <v>14.6229981189272</v>
      </c>
      <c r="U292" s="36">
        <v>20.453999426068801</v>
      </c>
      <c r="V292" s="36">
        <v>13.7028096772403</v>
      </c>
      <c r="W292" s="36">
        <v>4.8659179899115301</v>
      </c>
      <c r="X292" s="37">
        <v>2.3842748797348698</v>
      </c>
      <c r="Y292" s="37">
        <v>0.15766241172207099</v>
      </c>
      <c r="Z292" s="37">
        <v>7.2004891344060802</v>
      </c>
      <c r="AA292" s="37">
        <v>2.5396411397998202</v>
      </c>
      <c r="AB292" s="37">
        <v>0.91879256581511404</v>
      </c>
      <c r="AC292" s="37">
        <v>7.1027151334661296</v>
      </c>
      <c r="AD292" s="37">
        <v>6.0341601914496898</v>
      </c>
      <c r="AE292" s="37">
        <v>7.6131842323730803</v>
      </c>
      <c r="AF292" s="45">
        <v>-1.8831870038305301</v>
      </c>
      <c r="AG292" s="45">
        <v>-3.60620494554755</v>
      </c>
      <c r="AH292" s="46">
        <v>3.9705343780281803E-5</v>
      </c>
      <c r="AI292" s="47">
        <v>1.2412558406078801E-4</v>
      </c>
      <c r="AJ292" s="48">
        <v>15.3042468109398</v>
      </c>
      <c r="AK292" s="49">
        <v>4.2438649610958601</v>
      </c>
      <c r="AL292" s="31" t="s">
        <v>5875</v>
      </c>
      <c r="AM292" s="31" t="s">
        <v>5876</v>
      </c>
      <c r="AN292" s="31" t="s">
        <v>20833</v>
      </c>
      <c r="AO292" s="31" t="s">
        <v>13772</v>
      </c>
      <c r="AP292" s="31" t="s">
        <v>20834</v>
      </c>
      <c r="AQ292" s="31" t="s">
        <v>20835</v>
      </c>
      <c r="AR292" s="31" t="s">
        <v>20836</v>
      </c>
      <c r="AS292" s="31" t="str">
        <f>"HEG1"</f>
        <v>HEG1</v>
      </c>
      <c r="AT292" s="31" t="s">
        <v>20837</v>
      </c>
      <c r="AU292" s="31" t="s">
        <v>13777</v>
      </c>
      <c r="AV292" s="31">
        <v>9606</v>
      </c>
      <c r="AW292" s="50" t="str">
        <f>HYPERLINK("http://www.uniprot.org/uniprot/Q9ULI3", "Q9ULI3")</f>
        <v>Q9ULI3</v>
      </c>
      <c r="AX292" s="31" t="s">
        <v>20838</v>
      </c>
      <c r="AY292" s="31" t="s">
        <v>13772</v>
      </c>
      <c r="AZ292" s="31" t="s">
        <v>20839</v>
      </c>
      <c r="BA292" s="31" t="s">
        <v>13780</v>
      </c>
      <c r="BB292" s="31" t="s">
        <v>13772</v>
      </c>
      <c r="BC292" s="31" t="s">
        <v>13772</v>
      </c>
      <c r="BD292" s="31" t="s">
        <v>13963</v>
      </c>
      <c r="BE292" s="31" t="s">
        <v>14465</v>
      </c>
      <c r="BF292" s="31" t="s">
        <v>14727</v>
      </c>
      <c r="BG292" s="31" t="s">
        <v>13964</v>
      </c>
      <c r="BH292" s="31" t="s">
        <v>13812</v>
      </c>
      <c r="BI292" s="31" t="s">
        <v>20840</v>
      </c>
      <c r="BJ292" s="31" t="s">
        <v>20841</v>
      </c>
      <c r="BK292" s="31" t="s">
        <v>15899</v>
      </c>
      <c r="BL292" s="31" t="s">
        <v>13772</v>
      </c>
      <c r="BM292" s="31" t="s">
        <v>13772</v>
      </c>
    </row>
    <row r="293" spans="1:65">
      <c r="A293">
        <v>355</v>
      </c>
      <c r="B293">
        <v>1</v>
      </c>
      <c r="C293">
        <v>288</v>
      </c>
      <c r="D293" t="s">
        <v>888</v>
      </c>
      <c r="E293" t="s">
        <v>73</v>
      </c>
      <c r="F293" t="s">
        <v>73</v>
      </c>
      <c r="G293">
        <v>37.799999999999997</v>
      </c>
      <c r="H293">
        <v>556</v>
      </c>
      <c r="I293">
        <v>61906</v>
      </c>
      <c r="J293" t="s">
        <v>889</v>
      </c>
      <c r="K293" s="3" t="s">
        <v>73</v>
      </c>
      <c r="L293">
        <v>146</v>
      </c>
      <c r="M293">
        <v>146</v>
      </c>
      <c r="N293">
        <v>1</v>
      </c>
      <c r="O293" s="11">
        <f t="shared" si="4"/>
        <v>9.8175804280414365</v>
      </c>
      <c r="P293" s="36">
        <v>15.7513641458515</v>
      </c>
      <c r="Q293" s="36">
        <v>12.519833568806799</v>
      </c>
      <c r="R293" s="36">
        <v>20.810369603559401</v>
      </c>
      <c r="S293" s="36">
        <v>15.119217591532299</v>
      </c>
      <c r="T293" s="36">
        <v>12.9026453990534</v>
      </c>
      <c r="U293" s="36">
        <v>14.875635946231901</v>
      </c>
      <c r="V293" s="36">
        <v>13.7028096772403</v>
      </c>
      <c r="W293" s="36">
        <v>17.517304763681501</v>
      </c>
      <c r="X293" s="37">
        <v>0.19868957331123899</v>
      </c>
      <c r="Y293" s="37">
        <v>0.15766241172207099</v>
      </c>
      <c r="Z293" s="37">
        <v>8.0005434826734305</v>
      </c>
      <c r="AA293" s="37">
        <v>0.21163676164998499</v>
      </c>
      <c r="AB293" s="37">
        <v>8.2691330923360304</v>
      </c>
      <c r="AC293" s="37">
        <v>1.5783811407702499</v>
      </c>
      <c r="AD293" s="37">
        <v>15.0854004786242</v>
      </c>
      <c r="AE293" s="37">
        <v>0.38065921161865401</v>
      </c>
      <c r="AF293" s="45">
        <v>-1.9087278522958</v>
      </c>
      <c r="AG293" s="45">
        <v>-3.63611341457645</v>
      </c>
      <c r="AH293" s="46">
        <v>1.5831627681879199E-3</v>
      </c>
      <c r="AI293" s="47">
        <v>3.4499540453346001E-3</v>
      </c>
      <c r="AJ293" s="48">
        <v>15.3998975869946</v>
      </c>
      <c r="AK293" s="49">
        <v>4.2352632690882404</v>
      </c>
      <c r="AL293" s="31" t="s">
        <v>5875</v>
      </c>
      <c r="AM293" s="31" t="s">
        <v>5876</v>
      </c>
      <c r="AN293" s="31" t="s">
        <v>17121</v>
      </c>
      <c r="AO293" s="31" t="s">
        <v>13772</v>
      </c>
      <c r="AP293" s="31" t="s">
        <v>17122</v>
      </c>
      <c r="AQ293" s="31" t="s">
        <v>17123</v>
      </c>
      <c r="AR293" s="31" t="s">
        <v>17124</v>
      </c>
      <c r="AS293" s="31" t="str">
        <f>"CPA1"</f>
        <v>CPA1</v>
      </c>
      <c r="AT293" s="31" t="s">
        <v>17125</v>
      </c>
      <c r="AU293" s="31" t="s">
        <v>13777</v>
      </c>
      <c r="AV293" s="31">
        <v>9606</v>
      </c>
      <c r="AW293" s="50" t="str">
        <f>HYPERLINK("http://www.uniprot.org/uniprot/P15085", "P15085")</f>
        <v>P15085</v>
      </c>
      <c r="AX293" s="31" t="s">
        <v>16538</v>
      </c>
      <c r="AY293" s="31" t="s">
        <v>13772</v>
      </c>
      <c r="AZ293" s="31" t="s">
        <v>14321</v>
      </c>
      <c r="BA293" s="31" t="s">
        <v>13793</v>
      </c>
      <c r="BB293" s="31" t="s">
        <v>13772</v>
      </c>
      <c r="BC293" s="31" t="s">
        <v>13772</v>
      </c>
      <c r="BD293" s="31" t="s">
        <v>13808</v>
      </c>
      <c r="BE293" s="31" t="s">
        <v>13856</v>
      </c>
      <c r="BF293" s="31" t="s">
        <v>16539</v>
      </c>
      <c r="BG293" s="31" t="s">
        <v>15387</v>
      </c>
      <c r="BH293" s="31" t="s">
        <v>13812</v>
      </c>
      <c r="BI293" s="31" t="s">
        <v>17126</v>
      </c>
      <c r="BJ293" s="31" t="s">
        <v>14508</v>
      </c>
      <c r="BK293" s="31" t="s">
        <v>17127</v>
      </c>
      <c r="BL293" s="31" t="s">
        <v>13772</v>
      </c>
      <c r="BM293" s="31" t="s">
        <v>13772</v>
      </c>
    </row>
    <row r="294" spans="1:65">
      <c r="A294">
        <v>381</v>
      </c>
      <c r="B294">
        <v>1</v>
      </c>
      <c r="C294">
        <v>289</v>
      </c>
      <c r="D294" t="s">
        <v>951</v>
      </c>
      <c r="E294" t="s">
        <v>73</v>
      </c>
      <c r="F294" t="s">
        <v>73</v>
      </c>
      <c r="G294">
        <v>36.799999999999997</v>
      </c>
      <c r="H294">
        <v>288</v>
      </c>
      <c r="I294">
        <v>31456</v>
      </c>
      <c r="J294" t="s">
        <v>952</v>
      </c>
      <c r="K294" s="3" t="s">
        <v>73</v>
      </c>
      <c r="L294">
        <v>146</v>
      </c>
      <c r="M294">
        <v>146</v>
      </c>
      <c r="N294">
        <v>1</v>
      </c>
      <c r="O294" s="11">
        <f t="shared" si="4"/>
        <v>10.046982914302779</v>
      </c>
      <c r="P294" s="36">
        <v>14.5397207500168</v>
      </c>
      <c r="Q294" s="36">
        <v>9.6306412067744702</v>
      </c>
      <c r="R294" s="36">
        <v>24.0119649271839</v>
      </c>
      <c r="S294" s="36">
        <v>31.750356942217799</v>
      </c>
      <c r="T294" s="36">
        <v>18.9238799186116</v>
      </c>
      <c r="U294" s="36">
        <v>16.735090439510799</v>
      </c>
      <c r="V294" s="36">
        <v>12.6487473943757</v>
      </c>
      <c r="W294" s="36">
        <v>7.78546878385845</v>
      </c>
      <c r="X294" s="37">
        <v>1.5895165864899099</v>
      </c>
      <c r="Y294" s="37">
        <v>3.1532482344414299</v>
      </c>
      <c r="Z294" s="37">
        <v>4.0002717413367099</v>
      </c>
      <c r="AA294" s="37">
        <v>0.84654704659994096</v>
      </c>
      <c r="AB294" s="37">
        <v>3.6751702632604601</v>
      </c>
      <c r="AC294" s="37">
        <v>2.36757171115537</v>
      </c>
      <c r="AD294" s="37">
        <v>4.5256201435872701</v>
      </c>
      <c r="AE294" s="37">
        <v>4.5679105394238499</v>
      </c>
      <c r="AF294" s="45">
        <v>-2.4483359716750499</v>
      </c>
      <c r="AG294" s="45">
        <v>-5.5013613642967396</v>
      </c>
      <c r="AH294" s="46">
        <v>1.32392395249699E-8</v>
      </c>
      <c r="AI294" s="47">
        <v>1.2301460058617801E-7</v>
      </c>
      <c r="AJ294" s="48">
        <v>17.0032337953187</v>
      </c>
      <c r="AK294" s="49">
        <v>3.0907320332868702</v>
      </c>
      <c r="AL294" s="31" t="s">
        <v>5875</v>
      </c>
      <c r="AM294" s="31" t="s">
        <v>5876</v>
      </c>
      <c r="AN294" s="31" t="s">
        <v>17407</v>
      </c>
      <c r="AO294" s="31" t="s">
        <v>17408</v>
      </c>
      <c r="AP294" s="31" t="s">
        <v>17409</v>
      </c>
      <c r="AQ294" s="31" t="s">
        <v>17410</v>
      </c>
      <c r="AR294" s="31" t="s">
        <v>17411</v>
      </c>
      <c r="AS294" s="31" t="str">
        <f>"PIK3IP1"</f>
        <v>PIK3IP1</v>
      </c>
      <c r="AT294" s="31" t="s">
        <v>17412</v>
      </c>
      <c r="AU294" s="31" t="s">
        <v>13777</v>
      </c>
      <c r="AV294" s="31">
        <v>9606</v>
      </c>
      <c r="AW294" s="50" t="str">
        <f>HYPERLINK("http://www.uniprot.org/uniprot/Q96FE7", "Q96FE7")</f>
        <v>Q96FE7</v>
      </c>
      <c r="AX294" s="31" t="s">
        <v>17413</v>
      </c>
      <c r="AY294" s="31" t="s">
        <v>13772</v>
      </c>
      <c r="AZ294" s="31" t="s">
        <v>13792</v>
      </c>
      <c r="BA294" s="31" t="s">
        <v>13780</v>
      </c>
      <c r="BB294" s="31" t="s">
        <v>13772</v>
      </c>
      <c r="BC294" s="31" t="s">
        <v>13772</v>
      </c>
      <c r="BD294" s="31" t="s">
        <v>17414</v>
      </c>
      <c r="BE294" s="31" t="s">
        <v>13772</v>
      </c>
      <c r="BF294" s="31" t="s">
        <v>13772</v>
      </c>
      <c r="BG294" s="31" t="s">
        <v>13796</v>
      </c>
      <c r="BH294" s="31" t="s">
        <v>13772</v>
      </c>
      <c r="BI294" s="31" t="s">
        <v>17415</v>
      </c>
      <c r="BJ294" s="31" t="s">
        <v>13798</v>
      </c>
      <c r="BK294" s="31" t="s">
        <v>17416</v>
      </c>
      <c r="BL294" s="31" t="s">
        <v>13772</v>
      </c>
      <c r="BM294" s="31" t="s">
        <v>13772</v>
      </c>
    </row>
    <row r="295" spans="1:65">
      <c r="A295">
        <v>1284</v>
      </c>
      <c r="B295">
        <v>1</v>
      </c>
      <c r="C295">
        <v>290</v>
      </c>
      <c r="D295" t="s">
        <v>3081</v>
      </c>
      <c r="E295" t="s">
        <v>73</v>
      </c>
      <c r="F295" t="s">
        <v>73</v>
      </c>
      <c r="G295">
        <v>47.5</v>
      </c>
      <c r="H295">
        <v>606</v>
      </c>
      <c r="I295">
        <v>66173</v>
      </c>
      <c r="J295" t="s">
        <v>3082</v>
      </c>
      <c r="K295" s="3" t="s">
        <v>73</v>
      </c>
      <c r="L295">
        <v>145</v>
      </c>
      <c r="M295">
        <v>145</v>
      </c>
      <c r="N295">
        <v>1</v>
      </c>
      <c r="O295" s="11">
        <f t="shared" si="4"/>
        <v>8.0632469881720965</v>
      </c>
      <c r="P295" s="36">
        <v>3.6349301875041902</v>
      </c>
      <c r="Q295" s="36">
        <v>9.6306412067744702</v>
      </c>
      <c r="R295" s="36">
        <v>0.40019941545306398</v>
      </c>
      <c r="S295" s="36">
        <v>3.0238435183064598</v>
      </c>
      <c r="T295" s="36">
        <v>10.322116319242699</v>
      </c>
      <c r="U295" s="36">
        <v>9.2972724663949098</v>
      </c>
      <c r="V295" s="36">
        <v>4.21624913145856</v>
      </c>
      <c r="W295" s="36">
        <v>22.383222753593</v>
      </c>
      <c r="X295" s="37">
        <v>15.8951658648991</v>
      </c>
      <c r="Y295" s="37">
        <v>14.5049418784306</v>
      </c>
      <c r="Z295" s="37">
        <v>10.400706527475499</v>
      </c>
      <c r="AA295" s="37">
        <v>10.1585645591993</v>
      </c>
      <c r="AB295" s="37">
        <v>6.4315479607058004</v>
      </c>
      <c r="AC295" s="37">
        <v>0.78919057038512497</v>
      </c>
      <c r="AD295" s="37">
        <v>7.5427002393121096</v>
      </c>
      <c r="AE295" s="37">
        <v>0.38065921161865401</v>
      </c>
      <c r="AF295" s="45">
        <v>6.2276217357136801E-2</v>
      </c>
      <c r="AG295" s="45">
        <v>1.0507880983184399</v>
      </c>
      <c r="AH295" s="46">
        <v>0.907550621026879</v>
      </c>
      <c r="AI295" s="47">
        <v>0.93986279484053004</v>
      </c>
      <c r="AJ295" s="48">
        <v>7.8635593748409196</v>
      </c>
      <c r="AK295" s="49">
        <v>8.2629346015032699</v>
      </c>
      <c r="AL295" s="31" t="s">
        <v>5874</v>
      </c>
      <c r="AM295" s="31" t="s">
        <v>5832</v>
      </c>
      <c r="AN295" s="31" t="s">
        <v>26186</v>
      </c>
      <c r="AO295" s="31" t="s">
        <v>26187</v>
      </c>
      <c r="AP295" s="31" t="s">
        <v>26188</v>
      </c>
      <c r="AQ295" s="31" t="s">
        <v>26189</v>
      </c>
      <c r="AR295" s="31" t="s">
        <v>26190</v>
      </c>
      <c r="AS295" s="31" t="str">
        <f>"WDR1"</f>
        <v>WDR1</v>
      </c>
      <c r="AT295" s="31" t="s">
        <v>13772</v>
      </c>
      <c r="AU295" s="31" t="s">
        <v>13777</v>
      </c>
      <c r="AV295" s="31">
        <v>9606</v>
      </c>
      <c r="AW295" s="50" t="str">
        <f>HYPERLINK("http://www.uniprot.org/uniprot/O75083", "O75083")</f>
        <v>O75083</v>
      </c>
      <c r="AX295" s="31" t="s">
        <v>26191</v>
      </c>
      <c r="AY295" s="31" t="s">
        <v>13772</v>
      </c>
      <c r="AZ295" s="31" t="s">
        <v>26192</v>
      </c>
      <c r="BA295" s="31" t="s">
        <v>13780</v>
      </c>
      <c r="BB295" s="31" t="s">
        <v>13772</v>
      </c>
      <c r="BC295" s="31" t="s">
        <v>13772</v>
      </c>
      <c r="BD295" s="31" t="s">
        <v>23494</v>
      </c>
      <c r="BE295" s="31" t="s">
        <v>13772</v>
      </c>
      <c r="BF295" s="31" t="s">
        <v>13990</v>
      </c>
      <c r="BG295" s="31" t="s">
        <v>13886</v>
      </c>
      <c r="BH295" s="31" t="s">
        <v>13772</v>
      </c>
      <c r="BI295" s="31" t="s">
        <v>26193</v>
      </c>
      <c r="BJ295" s="31" t="s">
        <v>26194</v>
      </c>
      <c r="BK295" s="31" t="s">
        <v>15847</v>
      </c>
      <c r="BL295" s="31" t="s">
        <v>13772</v>
      </c>
      <c r="BM295" s="31" t="s">
        <v>15665</v>
      </c>
    </row>
    <row r="296" spans="1:65">
      <c r="A296">
        <v>553</v>
      </c>
      <c r="B296">
        <v>1</v>
      </c>
      <c r="C296">
        <v>291</v>
      </c>
      <c r="D296" t="s">
        <v>1380</v>
      </c>
      <c r="E296" t="s">
        <v>73</v>
      </c>
      <c r="F296" t="s">
        <v>73</v>
      </c>
      <c r="G296">
        <v>37.9</v>
      </c>
      <c r="H296">
        <v>319</v>
      </c>
      <c r="I296">
        <v>33405</v>
      </c>
      <c r="J296" t="s">
        <v>1381</v>
      </c>
      <c r="K296" s="3" t="s">
        <v>73</v>
      </c>
      <c r="L296">
        <v>144</v>
      </c>
      <c r="M296">
        <v>144</v>
      </c>
      <c r="N296">
        <v>1</v>
      </c>
      <c r="O296" s="11">
        <f t="shared" si="4"/>
        <v>7.8524609819615607</v>
      </c>
      <c r="P296" s="36">
        <v>7.2698603750083803</v>
      </c>
      <c r="Q296" s="36">
        <v>7.7045129654195703</v>
      </c>
      <c r="R296" s="36">
        <v>3.2015953236245198</v>
      </c>
      <c r="S296" s="36">
        <v>1.5119217591532299</v>
      </c>
      <c r="T296" s="36">
        <v>6.0212345195582504</v>
      </c>
      <c r="U296" s="36">
        <v>7.43781797311593</v>
      </c>
      <c r="V296" s="36">
        <v>5.2703114143232002</v>
      </c>
      <c r="W296" s="36">
        <v>9.7318359798230603</v>
      </c>
      <c r="X296" s="37">
        <v>18.279440744634002</v>
      </c>
      <c r="Y296" s="37">
        <v>13.243642584653999</v>
      </c>
      <c r="Z296" s="37">
        <v>8.8005978309407702</v>
      </c>
      <c r="AA296" s="37">
        <v>7.6189234193994704</v>
      </c>
      <c r="AB296" s="37">
        <v>11.0255107897814</v>
      </c>
      <c r="AC296" s="37">
        <v>7.8919057038512497</v>
      </c>
      <c r="AD296" s="37">
        <v>3.0170800957248498</v>
      </c>
      <c r="AE296" s="37">
        <v>7.6131842323730803</v>
      </c>
      <c r="AF296" s="45">
        <v>0.67036238733346398</v>
      </c>
      <c r="AG296" s="45">
        <v>1.6093821275211699</v>
      </c>
      <c r="AH296" s="46">
        <v>7.8445807345675606E-2</v>
      </c>
      <c r="AI296" s="47">
        <v>0.115088256829511</v>
      </c>
      <c r="AJ296" s="48">
        <v>6.0186362887532701</v>
      </c>
      <c r="AK296" s="49">
        <v>9.6862856751698505</v>
      </c>
      <c r="AL296" s="31" t="s">
        <v>5874</v>
      </c>
      <c r="AM296" s="31" t="s">
        <v>5832</v>
      </c>
      <c r="AN296" s="31" t="s">
        <v>19219</v>
      </c>
      <c r="AO296" s="31" t="s">
        <v>19220</v>
      </c>
      <c r="AP296" s="31" t="s">
        <v>19221</v>
      </c>
      <c r="AQ296" s="31" t="s">
        <v>19222</v>
      </c>
      <c r="AR296" s="31" t="s">
        <v>19223</v>
      </c>
      <c r="AS296" s="31" t="str">
        <f>"PRDX5"</f>
        <v>PRDX5</v>
      </c>
      <c r="AT296" s="31" t="s">
        <v>19224</v>
      </c>
      <c r="AU296" s="31" t="s">
        <v>13777</v>
      </c>
      <c r="AV296" s="31">
        <v>9606</v>
      </c>
      <c r="AW296" s="50" t="str">
        <f>HYPERLINK("http://www.uniprot.org/uniprot/P30044", "P30044")</f>
        <v>P30044</v>
      </c>
      <c r="AX296" s="31" t="s">
        <v>19225</v>
      </c>
      <c r="AY296" s="31" t="s">
        <v>13772</v>
      </c>
      <c r="AZ296" s="31" t="s">
        <v>19226</v>
      </c>
      <c r="BA296" s="31" t="s">
        <v>19227</v>
      </c>
      <c r="BB296" s="31" t="s">
        <v>13772</v>
      </c>
      <c r="BC296" s="31" t="s">
        <v>13772</v>
      </c>
      <c r="BD296" s="31" t="s">
        <v>17158</v>
      </c>
      <c r="BE296" s="31" t="s">
        <v>13772</v>
      </c>
      <c r="BF296" s="31" t="s">
        <v>18755</v>
      </c>
      <c r="BG296" s="31" t="s">
        <v>15256</v>
      </c>
      <c r="BH296" s="31" t="s">
        <v>13812</v>
      </c>
      <c r="BI296" s="31" t="s">
        <v>19228</v>
      </c>
      <c r="BJ296" s="31" t="s">
        <v>19229</v>
      </c>
      <c r="BK296" s="31" t="s">
        <v>19230</v>
      </c>
      <c r="BL296" s="31" t="s">
        <v>13772</v>
      </c>
      <c r="BM296" s="31" t="s">
        <v>19231</v>
      </c>
    </row>
    <row r="297" spans="1:65">
      <c r="A297">
        <v>1175</v>
      </c>
      <c r="B297">
        <v>1</v>
      </c>
      <c r="C297">
        <v>292</v>
      </c>
      <c r="D297" t="s">
        <v>2820</v>
      </c>
      <c r="E297" t="s">
        <v>2821</v>
      </c>
      <c r="F297" t="s">
        <v>73</v>
      </c>
      <c r="G297">
        <v>65.900000000000006</v>
      </c>
      <c r="H297">
        <v>208</v>
      </c>
      <c r="I297">
        <v>23836</v>
      </c>
      <c r="J297" t="s">
        <v>2822</v>
      </c>
      <c r="K297" s="3" t="s">
        <v>73</v>
      </c>
      <c r="L297">
        <v>144</v>
      </c>
      <c r="M297">
        <v>144</v>
      </c>
      <c r="N297">
        <v>1</v>
      </c>
      <c r="O297" s="11">
        <f t="shared" si="4"/>
        <v>7.1728118376432572</v>
      </c>
      <c r="P297" s="36">
        <v>0.30291084895868198</v>
      </c>
      <c r="Q297" s="36">
        <v>0.24076603016936199</v>
      </c>
      <c r="R297" s="36">
        <v>0.40019941545306398</v>
      </c>
      <c r="S297" s="36">
        <v>0.37798043978830698</v>
      </c>
      <c r="T297" s="36">
        <v>0.215044089984223</v>
      </c>
      <c r="U297" s="36">
        <v>0.23243181165987301</v>
      </c>
      <c r="V297" s="36">
        <v>0.26351557071616</v>
      </c>
      <c r="W297" s="36">
        <v>2.9195507939469199</v>
      </c>
      <c r="X297" s="37">
        <v>18.279440744634002</v>
      </c>
      <c r="Y297" s="37">
        <v>16.3968908190954</v>
      </c>
      <c r="Z297" s="37">
        <v>9.6006521792081099</v>
      </c>
      <c r="AA297" s="37">
        <v>16.084393885398899</v>
      </c>
      <c r="AB297" s="37">
        <v>17.457058750487199</v>
      </c>
      <c r="AC297" s="37">
        <v>22.8865265411686</v>
      </c>
      <c r="AD297" s="37">
        <v>3.0170800957248498</v>
      </c>
      <c r="AE297" s="37">
        <v>6.0905473858984696</v>
      </c>
      <c r="AF297" s="45">
        <v>4.2128405472655803</v>
      </c>
      <c r="AG297" s="45">
        <v>22.1736153299872</v>
      </c>
      <c r="AH297" s="46">
        <v>5.53021748941033E-12</v>
      </c>
      <c r="AI297" s="47">
        <v>1.27576396566052E-10</v>
      </c>
      <c r="AJ297" s="48">
        <v>0.61904987508457399</v>
      </c>
      <c r="AK297" s="49">
        <v>13.7265738002019</v>
      </c>
      <c r="AL297" s="31" t="s">
        <v>5874</v>
      </c>
      <c r="AM297" s="31" t="s">
        <v>5876</v>
      </c>
      <c r="AN297" s="31" t="s">
        <v>25117</v>
      </c>
      <c r="AO297" s="31" t="s">
        <v>25118</v>
      </c>
      <c r="AP297" s="31" t="s">
        <v>25119</v>
      </c>
      <c r="AQ297" s="31" t="s">
        <v>25120</v>
      </c>
      <c r="AR297" s="31" t="s">
        <v>25121</v>
      </c>
      <c r="AS297" s="31" t="str">
        <f>"ARHGDIB"</f>
        <v>ARHGDIB</v>
      </c>
      <c r="AT297" s="31" t="s">
        <v>25122</v>
      </c>
      <c r="AU297" s="31" t="s">
        <v>13777</v>
      </c>
      <c r="AV297" s="31">
        <v>9606</v>
      </c>
      <c r="AW297" s="50" t="str">
        <f>HYPERLINK("http://www.uniprot.org/uniprot/P52566", "P52566")</f>
        <v>P52566</v>
      </c>
      <c r="AX297" s="31" t="s">
        <v>25123</v>
      </c>
      <c r="AY297" s="31" t="s">
        <v>13772</v>
      </c>
      <c r="AZ297" s="31" t="s">
        <v>13899</v>
      </c>
      <c r="BA297" s="31" t="s">
        <v>13772</v>
      </c>
      <c r="BB297" s="31" t="s">
        <v>13772</v>
      </c>
      <c r="BC297" s="31" t="s">
        <v>13772</v>
      </c>
      <c r="BD297" s="31" t="s">
        <v>13772</v>
      </c>
      <c r="BE297" s="31" t="s">
        <v>13772</v>
      </c>
      <c r="BF297" s="31" t="s">
        <v>14301</v>
      </c>
      <c r="BG297" s="31" t="s">
        <v>13886</v>
      </c>
      <c r="BH297" s="31" t="s">
        <v>13812</v>
      </c>
      <c r="BI297" s="31" t="s">
        <v>25124</v>
      </c>
      <c r="BJ297" s="31" t="s">
        <v>25125</v>
      </c>
      <c r="BK297" s="31" t="s">
        <v>25126</v>
      </c>
      <c r="BL297" s="31" t="s">
        <v>13772</v>
      </c>
      <c r="BM297" s="31" t="s">
        <v>25127</v>
      </c>
    </row>
    <row r="298" spans="1:65">
      <c r="A298">
        <v>2106</v>
      </c>
      <c r="B298">
        <v>1</v>
      </c>
      <c r="C298">
        <v>293</v>
      </c>
      <c r="D298" t="s">
        <v>4944</v>
      </c>
      <c r="E298" t="s">
        <v>73</v>
      </c>
      <c r="F298" t="s">
        <v>73</v>
      </c>
      <c r="G298">
        <v>52.2</v>
      </c>
      <c r="H298">
        <v>408</v>
      </c>
      <c r="I298">
        <v>44401</v>
      </c>
      <c r="J298" t="s">
        <v>4945</v>
      </c>
      <c r="K298" s="3" t="s">
        <v>73</v>
      </c>
      <c r="L298">
        <v>149</v>
      </c>
      <c r="M298">
        <v>137</v>
      </c>
      <c r="N298">
        <v>0.91900000000000004</v>
      </c>
      <c r="O298" s="11">
        <f t="shared" si="4"/>
        <v>9.3005741619058551</v>
      </c>
      <c r="P298" s="36">
        <v>6.0582169791736504</v>
      </c>
      <c r="Q298" s="36">
        <v>12.0383015084681</v>
      </c>
      <c r="R298" s="36">
        <v>24.812363758090001</v>
      </c>
      <c r="S298" s="36">
        <v>18.747829813500001</v>
      </c>
      <c r="T298" s="36">
        <v>25.891308434100502</v>
      </c>
      <c r="U298" s="36">
        <v>16.8280631641748</v>
      </c>
      <c r="V298" s="36">
        <v>15.916340471256101</v>
      </c>
      <c r="W298" s="36">
        <v>6.8122851858761404</v>
      </c>
      <c r="X298" s="37">
        <v>1.5895165864899099</v>
      </c>
      <c r="Y298" s="37">
        <v>3.1532482344414299</v>
      </c>
      <c r="Z298" s="37">
        <v>3.2002173930693698</v>
      </c>
      <c r="AA298" s="37">
        <v>0.21163676164998499</v>
      </c>
      <c r="AB298" s="37">
        <v>1.8375851316302301</v>
      </c>
      <c r="AC298" s="37">
        <v>8.6810962742363706</v>
      </c>
      <c r="AD298" s="37">
        <v>1.50854004786242</v>
      </c>
      <c r="AE298" s="37">
        <v>1.5226368464746201</v>
      </c>
      <c r="AF298" s="45">
        <v>-2.4253783096541102</v>
      </c>
      <c r="AG298" s="45">
        <v>-5.8561515994692899</v>
      </c>
      <c r="AH298" s="46">
        <v>2.9592597513497299E-7</v>
      </c>
      <c r="AI298" s="47">
        <v>1.66365107029661E-6</v>
      </c>
      <c r="AJ298" s="48">
        <v>15.888088664329899</v>
      </c>
      <c r="AK298" s="49">
        <v>2.71305965948179</v>
      </c>
      <c r="AL298" s="31" t="s">
        <v>5875</v>
      </c>
      <c r="AM298" s="31" t="s">
        <v>5876</v>
      </c>
      <c r="AN298" s="31" t="s">
        <v>33937</v>
      </c>
      <c r="AO298" s="31" t="s">
        <v>33938</v>
      </c>
      <c r="AP298" s="31" t="s">
        <v>33939</v>
      </c>
      <c r="AQ298" s="31" t="s">
        <v>33940</v>
      </c>
      <c r="AR298" s="31" t="s">
        <v>33941</v>
      </c>
      <c r="AS298" s="31" t="str">
        <f>"PVR"</f>
        <v>PVR</v>
      </c>
      <c r="AT298" s="31" t="s">
        <v>33942</v>
      </c>
      <c r="AU298" s="31" t="s">
        <v>13777</v>
      </c>
      <c r="AV298" s="31">
        <v>9606</v>
      </c>
      <c r="AW298" s="50" t="str">
        <f>HYPERLINK("http://www.uniprot.org/uniprot/P15151", "P15151")</f>
        <v>P15151</v>
      </c>
      <c r="AX298" s="31" t="s">
        <v>33943</v>
      </c>
      <c r="AY298" s="31" t="s">
        <v>16592</v>
      </c>
      <c r="AZ298" s="31" t="s">
        <v>14336</v>
      </c>
      <c r="BA298" s="31" t="s">
        <v>13780</v>
      </c>
      <c r="BB298" s="31" t="s">
        <v>13772</v>
      </c>
      <c r="BC298" s="31" t="s">
        <v>13772</v>
      </c>
      <c r="BD298" s="31" t="s">
        <v>13951</v>
      </c>
      <c r="BE298" s="31" t="s">
        <v>13772</v>
      </c>
      <c r="BF298" s="31" t="s">
        <v>18791</v>
      </c>
      <c r="BG298" s="31" t="s">
        <v>13964</v>
      </c>
      <c r="BH298" s="31" t="s">
        <v>13812</v>
      </c>
      <c r="BI298" s="31" t="s">
        <v>33944</v>
      </c>
      <c r="BJ298" s="31" t="s">
        <v>33945</v>
      </c>
      <c r="BK298" s="31" t="s">
        <v>33946</v>
      </c>
      <c r="BL298" s="31" t="s">
        <v>13772</v>
      </c>
      <c r="BM298" s="31" t="s">
        <v>33947</v>
      </c>
    </row>
    <row r="299" spans="1:65">
      <c r="A299">
        <v>1902</v>
      </c>
      <c r="B299">
        <v>1</v>
      </c>
      <c r="C299">
        <v>294</v>
      </c>
      <c r="D299" t="s">
        <v>4485</v>
      </c>
      <c r="E299" t="s">
        <v>73</v>
      </c>
      <c r="F299" t="s">
        <v>73</v>
      </c>
      <c r="G299">
        <v>43.8</v>
      </c>
      <c r="H299">
        <v>313</v>
      </c>
      <c r="I299">
        <v>35177</v>
      </c>
      <c r="J299" t="s">
        <v>4486</v>
      </c>
      <c r="K299" s="3" t="s">
        <v>73</v>
      </c>
      <c r="L299">
        <v>143</v>
      </c>
      <c r="M299">
        <v>143</v>
      </c>
      <c r="N299">
        <v>1</v>
      </c>
      <c r="O299" s="11">
        <f t="shared" si="4"/>
        <v>9.0458722319770111</v>
      </c>
      <c r="P299" s="36">
        <v>10.9047905625126</v>
      </c>
      <c r="Q299" s="36">
        <v>11.556769448129399</v>
      </c>
      <c r="R299" s="36">
        <v>16.007976618122601</v>
      </c>
      <c r="S299" s="36">
        <v>13.6072958323791</v>
      </c>
      <c r="T299" s="36">
        <v>18.9238799186116</v>
      </c>
      <c r="U299" s="36">
        <v>15.805363192871299</v>
      </c>
      <c r="V299" s="36">
        <v>15.8109342429696</v>
      </c>
      <c r="W299" s="36">
        <v>15.5709375677169</v>
      </c>
      <c r="X299" s="37">
        <v>0.19868957331123899</v>
      </c>
      <c r="Y299" s="37">
        <v>1.2612992937765699</v>
      </c>
      <c r="Z299" s="37">
        <v>2.4001630448020301</v>
      </c>
      <c r="AA299" s="37">
        <v>2.5396411397998202</v>
      </c>
      <c r="AB299" s="37">
        <v>0.91879256581511404</v>
      </c>
      <c r="AC299" s="37">
        <v>7.1027151334661296</v>
      </c>
      <c r="AD299" s="37">
        <v>6.0341601914496898</v>
      </c>
      <c r="AE299" s="37">
        <v>6.0905473858984696</v>
      </c>
      <c r="AF299" s="45">
        <v>-2.2472133693596201</v>
      </c>
      <c r="AG299" s="45">
        <v>-4.4521928088612501</v>
      </c>
      <c r="AH299" s="46">
        <v>2.6306806153693999E-8</v>
      </c>
      <c r="AI299" s="47">
        <v>2.0951492043834901E-7</v>
      </c>
      <c r="AJ299" s="48">
        <v>14.7734934229141</v>
      </c>
      <c r="AK299" s="49">
        <v>3.31825104103988</v>
      </c>
      <c r="AL299" s="31" t="s">
        <v>5875</v>
      </c>
      <c r="AM299" s="31" t="s">
        <v>5876</v>
      </c>
      <c r="AN299" s="31" t="s">
        <v>32002</v>
      </c>
      <c r="AO299" s="31" t="s">
        <v>32003</v>
      </c>
      <c r="AP299" s="31" t="s">
        <v>32004</v>
      </c>
      <c r="AQ299" s="31" t="s">
        <v>32005</v>
      </c>
      <c r="AR299" s="31" t="s">
        <v>32006</v>
      </c>
      <c r="AS299" s="31" t="str">
        <f>"CA4"</f>
        <v>CA4</v>
      </c>
      <c r="AT299" s="31" t="s">
        <v>13772</v>
      </c>
      <c r="AU299" s="31" t="s">
        <v>13777</v>
      </c>
      <c r="AV299" s="31">
        <v>9606</v>
      </c>
      <c r="AW299" s="50" t="str">
        <f>HYPERLINK("http://www.uniprot.org/uniprot/P22748", "P22748")</f>
        <v>P22748</v>
      </c>
      <c r="AX299" s="31" t="s">
        <v>32007</v>
      </c>
      <c r="AY299" s="31" t="s">
        <v>13772</v>
      </c>
      <c r="AZ299" s="31" t="s">
        <v>13792</v>
      </c>
      <c r="BA299" s="31" t="s">
        <v>13780</v>
      </c>
      <c r="BB299" s="31" t="s">
        <v>13772</v>
      </c>
      <c r="BC299" s="31" t="s">
        <v>26110</v>
      </c>
      <c r="BD299" s="31" t="s">
        <v>13808</v>
      </c>
      <c r="BE299" s="31" t="s">
        <v>13856</v>
      </c>
      <c r="BF299" s="31" t="s">
        <v>15788</v>
      </c>
      <c r="BG299" s="31" t="s">
        <v>15699</v>
      </c>
      <c r="BH299" s="31" t="s">
        <v>13812</v>
      </c>
      <c r="BI299" s="31" t="s">
        <v>32008</v>
      </c>
      <c r="BJ299" s="31" t="s">
        <v>32009</v>
      </c>
      <c r="BK299" s="31" t="s">
        <v>32010</v>
      </c>
      <c r="BL299" s="31" t="s">
        <v>13772</v>
      </c>
      <c r="BM299" s="31" t="s">
        <v>30400</v>
      </c>
    </row>
    <row r="300" spans="1:65">
      <c r="A300">
        <v>2428</v>
      </c>
      <c r="B300">
        <v>1</v>
      </c>
      <c r="C300">
        <v>295</v>
      </c>
      <c r="D300" t="s">
        <v>5680</v>
      </c>
      <c r="E300" t="s">
        <v>73</v>
      </c>
      <c r="F300" t="s">
        <v>5681</v>
      </c>
      <c r="G300">
        <v>43.2</v>
      </c>
      <c r="H300">
        <v>761</v>
      </c>
      <c r="I300">
        <v>87563</v>
      </c>
      <c r="J300" t="s">
        <v>5683</v>
      </c>
      <c r="K300" s="3" t="s">
        <v>73</v>
      </c>
      <c r="L300">
        <v>167</v>
      </c>
      <c r="M300">
        <v>87</v>
      </c>
      <c r="N300">
        <v>0.52100000000000002</v>
      </c>
      <c r="O300" s="11">
        <f t="shared" si="4"/>
        <v>7.7409727834513493</v>
      </c>
      <c r="P300" s="36">
        <v>2.5444511312529299</v>
      </c>
      <c r="Q300" s="36">
        <v>6.1636103723356603</v>
      </c>
      <c r="R300" s="36">
        <v>2.7213560250808402</v>
      </c>
      <c r="S300" s="36">
        <v>2.1166904628145198</v>
      </c>
      <c r="T300" s="36">
        <v>5.5051287035961103</v>
      </c>
      <c r="U300" s="36">
        <v>11.2496996843378</v>
      </c>
      <c r="V300" s="36">
        <v>15.6001217863967</v>
      </c>
      <c r="W300" s="36">
        <v>4.96323634970976</v>
      </c>
      <c r="X300" s="37">
        <v>26.1475478477591</v>
      </c>
      <c r="Y300" s="37">
        <v>14.0004221609199</v>
      </c>
      <c r="Z300" s="37">
        <v>10.4807119623022</v>
      </c>
      <c r="AA300" s="37">
        <v>5.6718652122195996</v>
      </c>
      <c r="AB300" s="37">
        <v>4.3183250593310403</v>
      </c>
      <c r="AC300" s="37">
        <v>4.4983862511952104</v>
      </c>
      <c r="AD300" s="37">
        <v>4.6764741483735097</v>
      </c>
      <c r="AE300" s="37">
        <v>3.1975373775967002</v>
      </c>
      <c r="AF300" s="45">
        <v>0.51516920644964104</v>
      </c>
      <c r="AG300" s="45">
        <v>1.43501980544367</v>
      </c>
      <c r="AH300" s="46">
        <v>0.336880456812856</v>
      </c>
      <c r="AI300" s="47">
        <v>0.41735745482926001</v>
      </c>
      <c r="AJ300" s="48">
        <v>6.3580368144405401</v>
      </c>
      <c r="AK300" s="49">
        <v>9.1239087524621603</v>
      </c>
      <c r="AL300" s="31" t="s">
        <v>5874</v>
      </c>
      <c r="AM300" s="31" t="s">
        <v>5832</v>
      </c>
      <c r="AN300" s="31" t="s">
        <v>15273</v>
      </c>
      <c r="AO300" s="31" t="s">
        <v>15274</v>
      </c>
      <c r="AP300" s="31" t="s">
        <v>15275</v>
      </c>
      <c r="AQ300" s="31" t="s">
        <v>15276</v>
      </c>
      <c r="AR300" s="31" t="s">
        <v>15277</v>
      </c>
      <c r="AS300" s="31" t="str">
        <f>"HSP90AA1"</f>
        <v>HSP90AA1</v>
      </c>
      <c r="AT300" s="31" t="s">
        <v>15278</v>
      </c>
      <c r="AU300" s="31" t="s">
        <v>13777</v>
      </c>
      <c r="AV300" s="31">
        <v>9606</v>
      </c>
      <c r="AW300" s="50" t="str">
        <f>HYPERLINK("http://www.uniprot.org/uniprot/P07900", "P07900")</f>
        <v>P07900</v>
      </c>
      <c r="AX300" s="31" t="s">
        <v>15279</v>
      </c>
      <c r="AY300" s="31" t="s">
        <v>15280</v>
      </c>
      <c r="AZ300" s="31" t="s">
        <v>14968</v>
      </c>
      <c r="BA300" s="31" t="s">
        <v>13841</v>
      </c>
      <c r="BB300" s="31" t="s">
        <v>13772</v>
      </c>
      <c r="BC300" s="31" t="s">
        <v>13772</v>
      </c>
      <c r="BD300" s="31" t="s">
        <v>13772</v>
      </c>
      <c r="BE300" s="31" t="s">
        <v>14005</v>
      </c>
      <c r="BF300" s="31" t="s">
        <v>14477</v>
      </c>
      <c r="BG300" s="31" t="s">
        <v>15281</v>
      </c>
      <c r="BH300" s="31" t="s">
        <v>13812</v>
      </c>
      <c r="BI300" s="31" t="s">
        <v>15282</v>
      </c>
      <c r="BJ300" s="31" t="s">
        <v>15283</v>
      </c>
      <c r="BK300" s="31" t="s">
        <v>15284</v>
      </c>
      <c r="BL300" s="31" t="s">
        <v>13772</v>
      </c>
      <c r="BM300" s="31" t="s">
        <v>15285</v>
      </c>
    </row>
    <row r="301" spans="1:65">
      <c r="A301">
        <v>195</v>
      </c>
      <c r="B301">
        <v>1</v>
      </c>
      <c r="C301">
        <v>296</v>
      </c>
      <c r="D301" t="s">
        <v>492</v>
      </c>
      <c r="E301" t="s">
        <v>493</v>
      </c>
      <c r="F301" t="s">
        <v>73</v>
      </c>
      <c r="G301">
        <v>40.1</v>
      </c>
      <c r="H301">
        <v>935</v>
      </c>
      <c r="I301">
        <v>101151</v>
      </c>
      <c r="J301" t="s">
        <v>494</v>
      </c>
      <c r="K301" s="3" t="s">
        <v>73</v>
      </c>
      <c r="L301">
        <v>141</v>
      </c>
      <c r="M301">
        <v>141</v>
      </c>
      <c r="N301">
        <v>1</v>
      </c>
      <c r="O301" s="11">
        <f t="shared" si="4"/>
        <v>7.8608489023563539</v>
      </c>
      <c r="P301" s="36">
        <v>9.6931471666778304</v>
      </c>
      <c r="Q301" s="36">
        <v>19.261282413548901</v>
      </c>
      <c r="R301" s="36">
        <v>0.40019941545306398</v>
      </c>
      <c r="S301" s="36">
        <v>4.5357652774596904</v>
      </c>
      <c r="T301" s="36">
        <v>18.0637035586747</v>
      </c>
      <c r="U301" s="36">
        <v>13.945908699592399</v>
      </c>
      <c r="V301" s="36">
        <v>11.594685111511</v>
      </c>
      <c r="W301" s="36">
        <v>4.8659179899115301</v>
      </c>
      <c r="X301" s="37">
        <v>7.1528246392046197</v>
      </c>
      <c r="Y301" s="37">
        <v>16.3968908190954</v>
      </c>
      <c r="Z301" s="37">
        <v>7.2004891344060802</v>
      </c>
      <c r="AA301" s="37">
        <v>1.6930940931998799</v>
      </c>
      <c r="AB301" s="37">
        <v>2.7563776974453398</v>
      </c>
      <c r="AC301" s="37">
        <v>6.3135245630809997</v>
      </c>
      <c r="AD301" s="37">
        <v>0.377135011965606</v>
      </c>
      <c r="AE301" s="37">
        <v>1.5226368464746201</v>
      </c>
      <c r="AF301" s="45">
        <v>-0.86534580569465103</v>
      </c>
      <c r="AG301" s="45">
        <v>-1.89714281956718</v>
      </c>
      <c r="AH301" s="46">
        <v>0.11551315501013699</v>
      </c>
      <c r="AI301" s="47">
        <v>0.16099645979537799</v>
      </c>
      <c r="AJ301" s="48">
        <v>10.2950762041036</v>
      </c>
      <c r="AK301" s="49">
        <v>5.42662160060907</v>
      </c>
      <c r="AL301" s="31" t="s">
        <v>5875</v>
      </c>
      <c r="AM301" s="31" t="s">
        <v>5832</v>
      </c>
      <c r="AN301" s="31" t="s">
        <v>15402</v>
      </c>
      <c r="AO301" s="31" t="s">
        <v>13772</v>
      </c>
      <c r="AP301" s="31" t="s">
        <v>15403</v>
      </c>
      <c r="AQ301" s="31" t="s">
        <v>15404</v>
      </c>
      <c r="AR301" s="31" t="s">
        <v>15405</v>
      </c>
      <c r="AS301" s="31" t="str">
        <f>"MTHFD1"</f>
        <v>MTHFD1</v>
      </c>
      <c r="AT301" s="31" t="s">
        <v>15406</v>
      </c>
      <c r="AU301" s="31" t="s">
        <v>13777</v>
      </c>
      <c r="AV301" s="31">
        <v>9606</v>
      </c>
      <c r="AW301" s="50" t="str">
        <f>HYPERLINK("http://www.uniprot.org/uniprot/P11586", "P11586")</f>
        <v>P11586</v>
      </c>
      <c r="AX301" s="31" t="s">
        <v>15407</v>
      </c>
      <c r="AY301" s="31" t="s">
        <v>15408</v>
      </c>
      <c r="AZ301" s="31" t="s">
        <v>13899</v>
      </c>
      <c r="BA301" s="31" t="s">
        <v>13793</v>
      </c>
      <c r="BB301" s="31" t="s">
        <v>13772</v>
      </c>
      <c r="BC301" s="31" t="s">
        <v>13807</v>
      </c>
      <c r="BD301" s="31" t="s">
        <v>13772</v>
      </c>
      <c r="BE301" s="31" t="s">
        <v>15409</v>
      </c>
      <c r="BF301" s="31" t="s">
        <v>15410</v>
      </c>
      <c r="BG301" s="31" t="s">
        <v>13886</v>
      </c>
      <c r="BH301" s="31" t="s">
        <v>13812</v>
      </c>
      <c r="BI301" s="31" t="s">
        <v>15411</v>
      </c>
      <c r="BJ301" s="31" t="s">
        <v>15412</v>
      </c>
      <c r="BK301" s="31" t="s">
        <v>15413</v>
      </c>
      <c r="BL301" s="31" t="s">
        <v>14137</v>
      </c>
      <c r="BM301" s="31" t="s">
        <v>15414</v>
      </c>
    </row>
    <row r="302" spans="1:65">
      <c r="A302">
        <v>673</v>
      </c>
      <c r="B302">
        <v>1</v>
      </c>
      <c r="C302">
        <v>297</v>
      </c>
      <c r="D302" t="s">
        <v>1656</v>
      </c>
      <c r="E302" t="s">
        <v>73</v>
      </c>
      <c r="F302" t="s">
        <v>73</v>
      </c>
      <c r="G302">
        <v>39.1</v>
      </c>
      <c r="H302">
        <v>353</v>
      </c>
      <c r="I302">
        <v>38502</v>
      </c>
      <c r="J302" t="s">
        <v>1657</v>
      </c>
      <c r="K302" s="3" t="s">
        <v>73</v>
      </c>
      <c r="L302">
        <v>141</v>
      </c>
      <c r="M302">
        <v>141</v>
      </c>
      <c r="N302">
        <v>1</v>
      </c>
      <c r="O302" s="11">
        <f t="shared" si="4"/>
        <v>8.9940701914726731</v>
      </c>
      <c r="P302" s="36">
        <v>10.9047905625126</v>
      </c>
      <c r="Q302" s="36">
        <v>11.556769448129399</v>
      </c>
      <c r="R302" s="36">
        <v>22.411167265371599</v>
      </c>
      <c r="S302" s="36">
        <v>12.0953740732258</v>
      </c>
      <c r="T302" s="36">
        <v>12.042469039116501</v>
      </c>
      <c r="U302" s="36">
        <v>24.1729084126268</v>
      </c>
      <c r="V302" s="36">
        <v>8.4324982629171306</v>
      </c>
      <c r="W302" s="36">
        <v>8.7586523818407507</v>
      </c>
      <c r="X302" s="37">
        <v>3.9737914662247902</v>
      </c>
      <c r="Y302" s="37">
        <v>4.4145475282179998</v>
      </c>
      <c r="Z302" s="37">
        <v>8.8005978309407702</v>
      </c>
      <c r="AA302" s="37">
        <v>0.84654704659994096</v>
      </c>
      <c r="AB302" s="37">
        <v>0.91879256581511404</v>
      </c>
      <c r="AC302" s="37">
        <v>3.94595285192562</v>
      </c>
      <c r="AD302" s="37">
        <v>3.0170800957248498</v>
      </c>
      <c r="AE302" s="37">
        <v>7.6131842323730803</v>
      </c>
      <c r="AF302" s="45">
        <v>-1.69690096307984</v>
      </c>
      <c r="AG302" s="45">
        <v>-3.2917687017608999</v>
      </c>
      <c r="AH302" s="46">
        <v>7.9121849537348296E-5</v>
      </c>
      <c r="AI302" s="47">
        <v>2.30758200238686E-4</v>
      </c>
      <c r="AJ302" s="48">
        <v>13.796828680717599</v>
      </c>
      <c r="AK302" s="49">
        <v>4.1913117022277699</v>
      </c>
      <c r="AL302" s="31" t="s">
        <v>5875</v>
      </c>
      <c r="AM302" s="31" t="s">
        <v>5876</v>
      </c>
      <c r="AN302" s="31" t="s">
        <v>20427</v>
      </c>
      <c r="AO302" s="31" t="s">
        <v>20428</v>
      </c>
      <c r="AP302" s="31" t="s">
        <v>20429</v>
      </c>
      <c r="AQ302" s="31" t="s">
        <v>20430</v>
      </c>
      <c r="AR302" s="31" t="s">
        <v>20431</v>
      </c>
      <c r="AS302" s="31" t="str">
        <f>"CCN3 NOVH"</f>
        <v>CCN3 NOVH</v>
      </c>
      <c r="AT302" s="31" t="s">
        <v>13772</v>
      </c>
      <c r="AU302" s="31" t="s">
        <v>13777</v>
      </c>
      <c r="AV302" s="31">
        <v>9606</v>
      </c>
      <c r="AW302" s="50" t="str">
        <f>HYPERLINK("http://www.uniprot.org/uniprot/P48745", "P48745")</f>
        <v>P48745</v>
      </c>
      <c r="AX302" s="31" t="s">
        <v>20432</v>
      </c>
      <c r="AY302" s="31" t="s">
        <v>13772</v>
      </c>
      <c r="AZ302" s="31" t="s">
        <v>20433</v>
      </c>
      <c r="BA302" s="31" t="s">
        <v>13793</v>
      </c>
      <c r="BB302" s="31" t="s">
        <v>13772</v>
      </c>
      <c r="BC302" s="31" t="s">
        <v>13772</v>
      </c>
      <c r="BD302" s="31" t="s">
        <v>13808</v>
      </c>
      <c r="BE302" s="31" t="s">
        <v>13772</v>
      </c>
      <c r="BF302" s="31" t="s">
        <v>15740</v>
      </c>
      <c r="BG302" s="31" t="s">
        <v>19014</v>
      </c>
      <c r="BH302" s="31" t="s">
        <v>13772</v>
      </c>
      <c r="BI302" s="31" t="s">
        <v>20434</v>
      </c>
      <c r="BJ302" s="31" t="s">
        <v>20435</v>
      </c>
      <c r="BK302" s="31" t="s">
        <v>20436</v>
      </c>
      <c r="BL302" s="31" t="s">
        <v>13772</v>
      </c>
      <c r="BM302" s="31" t="s">
        <v>13772</v>
      </c>
    </row>
    <row r="303" spans="1:65">
      <c r="A303">
        <v>689</v>
      </c>
      <c r="B303">
        <v>1</v>
      </c>
      <c r="C303">
        <v>298</v>
      </c>
      <c r="D303" t="s">
        <v>1696</v>
      </c>
      <c r="E303" t="s">
        <v>73</v>
      </c>
      <c r="F303" t="s">
        <v>73</v>
      </c>
      <c r="G303">
        <v>49.3</v>
      </c>
      <c r="H303">
        <v>623</v>
      </c>
      <c r="I303">
        <v>68234</v>
      </c>
      <c r="J303" t="s">
        <v>1697</v>
      </c>
      <c r="K303" s="3" t="s">
        <v>73</v>
      </c>
      <c r="L303">
        <v>141</v>
      </c>
      <c r="M303">
        <v>141</v>
      </c>
      <c r="N303">
        <v>1</v>
      </c>
      <c r="O303" s="11">
        <f t="shared" si="4"/>
        <v>6.8393959431210911</v>
      </c>
      <c r="P303" s="36">
        <v>1.2116433958347299</v>
      </c>
      <c r="Q303" s="36">
        <v>6.7414488447421297</v>
      </c>
      <c r="R303" s="36">
        <v>0.40019941545306398</v>
      </c>
      <c r="S303" s="36">
        <v>0.37798043978830698</v>
      </c>
      <c r="T303" s="36">
        <v>3.4407054397475698</v>
      </c>
      <c r="U303" s="36">
        <v>2.7891817399184702</v>
      </c>
      <c r="V303" s="36">
        <v>1.05406228286464</v>
      </c>
      <c r="W303" s="36">
        <v>2.9195507939469199</v>
      </c>
      <c r="X303" s="37">
        <v>18.279440744634002</v>
      </c>
      <c r="Y303" s="37">
        <v>13.874292231542301</v>
      </c>
      <c r="Z303" s="37">
        <v>17.601195661881501</v>
      </c>
      <c r="AA303" s="37">
        <v>16.084393885398899</v>
      </c>
      <c r="AB303" s="37">
        <v>5.5127553948906796</v>
      </c>
      <c r="AC303" s="37">
        <v>5.5243339926958699</v>
      </c>
      <c r="AD303" s="37">
        <v>9.0512402871745401</v>
      </c>
      <c r="AE303" s="37">
        <v>4.5679105394238499</v>
      </c>
      <c r="AF303" s="45">
        <v>2.1239350099688301</v>
      </c>
      <c r="AG303" s="45">
        <v>4.7793319641716803</v>
      </c>
      <c r="AH303" s="46">
        <v>7.5688415645590704E-6</v>
      </c>
      <c r="AI303" s="47">
        <v>2.8770198901647801E-5</v>
      </c>
      <c r="AJ303" s="48">
        <v>2.3668465440369801</v>
      </c>
      <c r="AK303" s="49">
        <v>11.311945342205201</v>
      </c>
      <c r="AL303" s="31" t="s">
        <v>5874</v>
      </c>
      <c r="AM303" s="31" t="s">
        <v>5876</v>
      </c>
      <c r="AN303" s="31" t="s">
        <v>20584</v>
      </c>
      <c r="AO303" s="31" t="s">
        <v>13772</v>
      </c>
      <c r="AP303" s="31" t="s">
        <v>20585</v>
      </c>
      <c r="AQ303" s="31" t="s">
        <v>20586</v>
      </c>
      <c r="AR303" s="31" t="s">
        <v>20587</v>
      </c>
      <c r="AS303" s="31" t="str">
        <f>"TKT"</f>
        <v>TKT</v>
      </c>
      <c r="AT303" s="31" t="s">
        <v>13772</v>
      </c>
      <c r="AU303" s="31" t="s">
        <v>13777</v>
      </c>
      <c r="AV303" s="31">
        <v>9606</v>
      </c>
      <c r="AW303" s="50" t="str">
        <f>HYPERLINK("http://www.uniprot.org/uniprot/P29401", "P29401")</f>
        <v>P29401</v>
      </c>
      <c r="AX303" s="31" t="s">
        <v>20588</v>
      </c>
      <c r="AY303" s="31" t="s">
        <v>13772</v>
      </c>
      <c r="AZ303" s="31" t="s">
        <v>13772</v>
      </c>
      <c r="BA303" s="31" t="s">
        <v>13780</v>
      </c>
      <c r="BB303" s="31" t="s">
        <v>13772</v>
      </c>
      <c r="BC303" s="31" t="s">
        <v>14517</v>
      </c>
      <c r="BD303" s="31" t="s">
        <v>13772</v>
      </c>
      <c r="BE303" s="31" t="s">
        <v>20589</v>
      </c>
      <c r="BF303" s="31" t="s">
        <v>14111</v>
      </c>
      <c r="BG303" s="31" t="s">
        <v>13991</v>
      </c>
      <c r="BH303" s="31" t="s">
        <v>13812</v>
      </c>
      <c r="BI303" s="31" t="s">
        <v>20590</v>
      </c>
      <c r="BJ303" s="31" t="s">
        <v>20591</v>
      </c>
      <c r="BK303" s="31" t="s">
        <v>20592</v>
      </c>
      <c r="BL303" s="31" t="s">
        <v>13772</v>
      </c>
      <c r="BM303" s="31" t="s">
        <v>20593</v>
      </c>
    </row>
    <row r="304" spans="1:65">
      <c r="A304">
        <v>1198</v>
      </c>
      <c r="B304">
        <v>1</v>
      </c>
      <c r="C304">
        <v>299</v>
      </c>
      <c r="D304" t="s">
        <v>2873</v>
      </c>
      <c r="E304" t="s">
        <v>73</v>
      </c>
      <c r="F304" t="s">
        <v>73</v>
      </c>
      <c r="G304">
        <v>18</v>
      </c>
      <c r="H304">
        <v>1241</v>
      </c>
      <c r="I304">
        <v>135774</v>
      </c>
      <c r="J304" t="s">
        <v>2874</v>
      </c>
      <c r="K304" s="3" t="s">
        <v>73</v>
      </c>
      <c r="L304">
        <v>141</v>
      </c>
      <c r="M304">
        <v>141</v>
      </c>
      <c r="N304">
        <v>1</v>
      </c>
      <c r="O304" s="11">
        <f t="shared" si="4"/>
        <v>8.325391484356869</v>
      </c>
      <c r="P304" s="36">
        <v>8.4815037708430996</v>
      </c>
      <c r="Q304" s="36">
        <v>2.8891923620323401</v>
      </c>
      <c r="R304" s="36">
        <v>1.6007976618122599</v>
      </c>
      <c r="S304" s="36">
        <v>7.5596087957661497</v>
      </c>
      <c r="T304" s="36">
        <v>4.3008817996844604</v>
      </c>
      <c r="U304" s="36">
        <v>6.50809072647644</v>
      </c>
      <c r="V304" s="36">
        <v>6.3243736971878404</v>
      </c>
      <c r="W304" s="36">
        <v>4.8659179899115301</v>
      </c>
      <c r="X304" s="37">
        <v>3.9737914662247902</v>
      </c>
      <c r="Y304" s="37">
        <v>12.6129929377657</v>
      </c>
      <c r="Z304" s="37">
        <v>12.0008152240101</v>
      </c>
      <c r="AA304" s="37">
        <v>13.5447527455991</v>
      </c>
      <c r="AB304" s="37">
        <v>7.3503405265209096</v>
      </c>
      <c r="AC304" s="37">
        <v>6.3135245630809997</v>
      </c>
      <c r="AD304" s="37">
        <v>15.0854004786242</v>
      </c>
      <c r="AE304" s="37">
        <v>19.794279004170001</v>
      </c>
      <c r="AF304" s="45">
        <v>1.03391573437585</v>
      </c>
      <c r="AG304" s="45">
        <v>2.1320271551967198</v>
      </c>
      <c r="AH304" s="46">
        <v>8.1075796176284607E-3</v>
      </c>
      <c r="AI304" s="47">
        <v>1.5150756324562699E-2</v>
      </c>
      <c r="AJ304" s="48">
        <v>5.3162958504642699</v>
      </c>
      <c r="AK304" s="49">
        <v>11.3344871182495</v>
      </c>
      <c r="AL304" s="31" t="s">
        <v>5874</v>
      </c>
      <c r="AM304" s="31" t="s">
        <v>5878</v>
      </c>
      <c r="AN304" s="31" t="s">
        <v>25336</v>
      </c>
      <c r="AO304" s="31" t="s">
        <v>25337</v>
      </c>
      <c r="AP304" s="31" t="s">
        <v>25338</v>
      </c>
      <c r="AQ304" s="31" t="s">
        <v>25339</v>
      </c>
      <c r="AR304" s="31" t="s">
        <v>25340</v>
      </c>
      <c r="AS304" s="31" t="str">
        <f>"NID1"</f>
        <v>NID1</v>
      </c>
      <c r="AT304" s="31" t="s">
        <v>25341</v>
      </c>
      <c r="AU304" s="31" t="s">
        <v>13777</v>
      </c>
      <c r="AV304" s="31">
        <v>9606</v>
      </c>
      <c r="AW304" s="50" t="str">
        <f>HYPERLINK("http://www.uniprot.org/uniprot/P14543", "P14543")</f>
        <v>P14543</v>
      </c>
      <c r="AX304" s="31" t="s">
        <v>25342</v>
      </c>
      <c r="AY304" s="31" t="s">
        <v>13949</v>
      </c>
      <c r="AZ304" s="31" t="s">
        <v>15002</v>
      </c>
      <c r="BA304" s="31" t="s">
        <v>13780</v>
      </c>
      <c r="BB304" s="31" t="s">
        <v>13772</v>
      </c>
      <c r="BC304" s="31" t="s">
        <v>13772</v>
      </c>
      <c r="BD304" s="31" t="s">
        <v>14768</v>
      </c>
      <c r="BE304" s="31" t="s">
        <v>14465</v>
      </c>
      <c r="BF304" s="31" t="s">
        <v>13772</v>
      </c>
      <c r="BG304" s="31" t="s">
        <v>16429</v>
      </c>
      <c r="BH304" s="31" t="s">
        <v>13812</v>
      </c>
      <c r="BI304" s="31" t="s">
        <v>25343</v>
      </c>
      <c r="BJ304" s="31" t="s">
        <v>25344</v>
      </c>
      <c r="BK304" s="31" t="s">
        <v>25345</v>
      </c>
      <c r="BL304" s="31" t="s">
        <v>13772</v>
      </c>
      <c r="BM304" s="31" t="s">
        <v>25346</v>
      </c>
    </row>
    <row r="305" spans="1:65">
      <c r="A305">
        <v>2097</v>
      </c>
      <c r="B305">
        <v>1</v>
      </c>
      <c r="C305">
        <v>300</v>
      </c>
      <c r="D305" t="s">
        <v>4923</v>
      </c>
      <c r="E305" t="s">
        <v>4924</v>
      </c>
      <c r="F305" t="s">
        <v>73</v>
      </c>
      <c r="G305">
        <v>35.700000000000003</v>
      </c>
      <c r="H305">
        <v>540</v>
      </c>
      <c r="I305">
        <v>57692</v>
      </c>
      <c r="J305" t="s">
        <v>4926</v>
      </c>
      <c r="K305" s="3" t="s">
        <v>73</v>
      </c>
      <c r="L305">
        <v>147</v>
      </c>
      <c r="M305">
        <v>135</v>
      </c>
      <c r="N305">
        <v>0.91800000000000004</v>
      </c>
      <c r="O305" s="11">
        <f t="shared" si="4"/>
        <v>9.4252695988208401</v>
      </c>
      <c r="P305" s="36">
        <v>15.7513641458515</v>
      </c>
      <c r="Q305" s="36">
        <v>10.112173267113199</v>
      </c>
      <c r="R305" s="36">
        <v>24.812363758090001</v>
      </c>
      <c r="S305" s="36">
        <v>20.562135924483901</v>
      </c>
      <c r="T305" s="36">
        <v>11.0962750431859</v>
      </c>
      <c r="U305" s="36">
        <v>13.8529359749284</v>
      </c>
      <c r="V305" s="36">
        <v>13.5974034489539</v>
      </c>
      <c r="W305" s="36">
        <v>8.7586523818407507</v>
      </c>
      <c r="X305" s="37">
        <v>4.7685497594697397</v>
      </c>
      <c r="Y305" s="37">
        <v>5.0451971751062796</v>
      </c>
      <c r="Z305" s="37">
        <v>4.0002717413367099</v>
      </c>
      <c r="AA305" s="37">
        <v>2.5396411397998202</v>
      </c>
      <c r="AB305" s="37">
        <v>2.7563776974453398</v>
      </c>
      <c r="AC305" s="37">
        <v>7.1027151334661296</v>
      </c>
      <c r="AD305" s="37">
        <v>4.5256201435872701</v>
      </c>
      <c r="AE305" s="37">
        <v>1.5226368464746201</v>
      </c>
      <c r="AF305" s="45">
        <v>-1.7579077764858999</v>
      </c>
      <c r="AG305" s="45">
        <v>-3.6745069444337801</v>
      </c>
      <c r="AH305" s="46">
        <v>8.5988741027175504E-7</v>
      </c>
      <c r="AI305" s="47">
        <v>4.3252983268556701E-6</v>
      </c>
      <c r="AJ305" s="48">
        <v>14.8179129930559</v>
      </c>
      <c r="AK305" s="49">
        <v>4.0326262045857399</v>
      </c>
      <c r="AL305" s="31" t="s">
        <v>5875</v>
      </c>
      <c r="AM305" s="31" t="s">
        <v>5876</v>
      </c>
      <c r="AN305" s="31" t="s">
        <v>33844</v>
      </c>
      <c r="AO305" s="31" t="s">
        <v>33845</v>
      </c>
      <c r="AP305" s="31" t="s">
        <v>33846</v>
      </c>
      <c r="AQ305" s="31" t="s">
        <v>33847</v>
      </c>
      <c r="AR305" s="31" t="s">
        <v>33848</v>
      </c>
      <c r="AS305" s="31" t="str">
        <f>"NECTIN2 PVRL2"</f>
        <v>NECTIN2 PVRL2</v>
      </c>
      <c r="AT305" s="31" t="s">
        <v>13772</v>
      </c>
      <c r="AU305" s="31" t="s">
        <v>13777</v>
      </c>
      <c r="AV305" s="31">
        <v>9606</v>
      </c>
      <c r="AW305" s="50" t="str">
        <f>HYPERLINK("http://www.uniprot.org/uniprot/Q92692", "Q92692")</f>
        <v>Q92692</v>
      </c>
      <c r="AX305" s="31" t="s">
        <v>33849</v>
      </c>
      <c r="AY305" s="31" t="s">
        <v>16592</v>
      </c>
      <c r="AZ305" s="31" t="s">
        <v>13792</v>
      </c>
      <c r="BA305" s="31" t="s">
        <v>13841</v>
      </c>
      <c r="BB305" s="31" t="s">
        <v>13772</v>
      </c>
      <c r="BC305" s="31" t="s">
        <v>13772</v>
      </c>
      <c r="BD305" s="31" t="s">
        <v>13951</v>
      </c>
      <c r="BE305" s="31" t="s">
        <v>13772</v>
      </c>
      <c r="BF305" s="31" t="s">
        <v>18791</v>
      </c>
      <c r="BG305" s="31" t="s">
        <v>13964</v>
      </c>
      <c r="BH305" s="31" t="s">
        <v>13812</v>
      </c>
      <c r="BI305" s="31" t="s">
        <v>33850</v>
      </c>
      <c r="BJ305" s="31" t="s">
        <v>33851</v>
      </c>
      <c r="BK305" s="31" t="s">
        <v>33852</v>
      </c>
      <c r="BL305" s="31" t="s">
        <v>13772</v>
      </c>
      <c r="BM305" s="31" t="s">
        <v>33853</v>
      </c>
    </row>
    <row r="306" spans="1:65">
      <c r="A306">
        <v>255</v>
      </c>
      <c r="B306">
        <v>1</v>
      </c>
      <c r="C306">
        <v>301</v>
      </c>
      <c r="D306" t="s">
        <v>648</v>
      </c>
      <c r="E306" t="s">
        <v>73</v>
      </c>
      <c r="F306" t="s">
        <v>73</v>
      </c>
      <c r="G306">
        <v>53.9</v>
      </c>
      <c r="H306">
        <v>245</v>
      </c>
      <c r="I306">
        <v>27745</v>
      </c>
      <c r="J306" t="s">
        <v>650</v>
      </c>
      <c r="K306" s="3" t="s">
        <v>73</v>
      </c>
      <c r="L306">
        <v>159</v>
      </c>
      <c r="M306">
        <v>126</v>
      </c>
      <c r="N306">
        <v>0.79200000000000004</v>
      </c>
      <c r="O306" s="11">
        <f t="shared" si="4"/>
        <v>7.8003832985675476</v>
      </c>
      <c r="P306" s="36">
        <v>1.3328077354182</v>
      </c>
      <c r="Q306" s="36">
        <v>7.6082065533518302</v>
      </c>
      <c r="R306" s="36">
        <v>9.44470620469232</v>
      </c>
      <c r="S306" s="36">
        <v>1.8143061109838801</v>
      </c>
      <c r="T306" s="36">
        <v>9.5479575952995006</v>
      </c>
      <c r="U306" s="36">
        <v>8.6464633937472701</v>
      </c>
      <c r="V306" s="36">
        <v>12.016310024656899</v>
      </c>
      <c r="W306" s="36">
        <v>9.0506074612354492</v>
      </c>
      <c r="X306" s="37">
        <v>12.716132691919301</v>
      </c>
      <c r="Y306" s="37">
        <v>7.6939256920370802</v>
      </c>
      <c r="Z306" s="37">
        <v>13.840940225024999</v>
      </c>
      <c r="AA306" s="37">
        <v>8.5501251706594008</v>
      </c>
      <c r="AB306" s="37">
        <v>10.474235250292301</v>
      </c>
      <c r="AC306" s="37">
        <v>4.1827100230411602</v>
      </c>
      <c r="AD306" s="37">
        <v>3.31878810529733</v>
      </c>
      <c r="AE306" s="37">
        <v>4.5679105394238499</v>
      </c>
      <c r="AF306" s="45">
        <v>0.145664074775991</v>
      </c>
      <c r="AG306" s="45">
        <v>1.0989449638509901</v>
      </c>
      <c r="AH306" s="46">
        <v>0.77930074728999799</v>
      </c>
      <c r="AI306" s="47">
        <v>0.83519703989177596</v>
      </c>
      <c r="AJ306" s="48">
        <v>7.4326706349231699</v>
      </c>
      <c r="AK306" s="49">
        <v>8.1680959622119307</v>
      </c>
      <c r="AL306" s="31" t="s">
        <v>5874</v>
      </c>
      <c r="AM306" s="31" t="s">
        <v>5832</v>
      </c>
      <c r="AN306" s="31" t="s">
        <v>16072</v>
      </c>
      <c r="AO306" s="31" t="s">
        <v>16073</v>
      </c>
      <c r="AP306" s="31" t="s">
        <v>16074</v>
      </c>
      <c r="AQ306" s="31" t="s">
        <v>16075</v>
      </c>
      <c r="AR306" s="31" t="s">
        <v>16076</v>
      </c>
      <c r="AS306" s="31" t="str">
        <f>"YWHAZ"</f>
        <v>YWHAZ</v>
      </c>
      <c r="AT306" s="31" t="s">
        <v>13772</v>
      </c>
      <c r="AU306" s="31" t="s">
        <v>13777</v>
      </c>
      <c r="AV306" s="31">
        <v>9606</v>
      </c>
      <c r="AW306" s="50" t="str">
        <f>HYPERLINK("http://www.uniprot.org/uniprot/P63104", "P63104")</f>
        <v>P63104</v>
      </c>
      <c r="AX306" s="31" t="s">
        <v>16077</v>
      </c>
      <c r="AY306" s="31" t="s">
        <v>13772</v>
      </c>
      <c r="AZ306" s="31" t="s">
        <v>13899</v>
      </c>
      <c r="BA306" s="31" t="s">
        <v>13841</v>
      </c>
      <c r="BB306" s="31" t="s">
        <v>13772</v>
      </c>
      <c r="BC306" s="31" t="s">
        <v>13772</v>
      </c>
      <c r="BD306" s="31" t="s">
        <v>13772</v>
      </c>
      <c r="BE306" s="31" t="s">
        <v>13772</v>
      </c>
      <c r="BF306" s="31" t="s">
        <v>13772</v>
      </c>
      <c r="BG306" s="31" t="s">
        <v>13886</v>
      </c>
      <c r="BH306" s="31" t="s">
        <v>13812</v>
      </c>
      <c r="BI306" s="31" t="s">
        <v>16078</v>
      </c>
      <c r="BJ306" s="31" t="s">
        <v>16079</v>
      </c>
      <c r="BK306" s="31" t="s">
        <v>16080</v>
      </c>
      <c r="BL306" s="31" t="s">
        <v>13772</v>
      </c>
      <c r="BM306" s="31" t="s">
        <v>16081</v>
      </c>
    </row>
    <row r="307" spans="1:65">
      <c r="A307">
        <v>1462</v>
      </c>
      <c r="B307">
        <v>1</v>
      </c>
      <c r="C307">
        <v>302</v>
      </c>
      <c r="D307" t="s">
        <v>3479</v>
      </c>
      <c r="E307" t="s">
        <v>73</v>
      </c>
      <c r="F307" t="s">
        <v>73</v>
      </c>
      <c r="G307">
        <v>40.200000000000003</v>
      </c>
      <c r="H307">
        <v>874</v>
      </c>
      <c r="I307">
        <v>99913</v>
      </c>
      <c r="J307" t="s">
        <v>3480</v>
      </c>
      <c r="K307" s="3" t="s">
        <v>73</v>
      </c>
      <c r="L307">
        <v>139</v>
      </c>
      <c r="M307">
        <v>139</v>
      </c>
      <c r="N307">
        <v>1</v>
      </c>
      <c r="O307" s="11">
        <f t="shared" si="4"/>
        <v>9.705624578801082</v>
      </c>
      <c r="P307" s="36">
        <v>7.2698603750083803</v>
      </c>
      <c r="Q307" s="36">
        <v>13.4828976894843</v>
      </c>
      <c r="R307" s="36">
        <v>1.6007976618122599</v>
      </c>
      <c r="S307" s="36">
        <v>7.5596087957661497</v>
      </c>
      <c r="T307" s="36">
        <v>26.6654671580437</v>
      </c>
      <c r="U307" s="36">
        <v>18.594544932789798</v>
      </c>
      <c r="V307" s="36">
        <v>10.5406228286464</v>
      </c>
      <c r="W307" s="36">
        <v>9.7318359798230603</v>
      </c>
      <c r="X307" s="37">
        <v>0.19868957331123899</v>
      </c>
      <c r="Y307" s="37">
        <v>0.15766241172207099</v>
      </c>
      <c r="Z307" s="37">
        <v>0.200013587066836</v>
      </c>
      <c r="AA307" s="37">
        <v>0.84654704659994096</v>
      </c>
      <c r="AB307" s="37">
        <v>0.22969814145377901</v>
      </c>
      <c r="AC307" s="37">
        <v>2.36757171115537</v>
      </c>
      <c r="AD307" s="37">
        <v>52.798901675184801</v>
      </c>
      <c r="AE307" s="37">
        <v>3.0452736929492299</v>
      </c>
      <c r="AF307" s="45">
        <v>-0.734237491565504</v>
      </c>
      <c r="AG307" s="45">
        <v>-1.59489781271353</v>
      </c>
      <c r="AH307" s="46">
        <v>0.461922141714108</v>
      </c>
      <c r="AI307" s="47">
        <v>0.54501924657273004</v>
      </c>
      <c r="AJ307" s="48">
        <v>11.930704427671699</v>
      </c>
      <c r="AK307" s="49">
        <v>7.4805447299304104</v>
      </c>
      <c r="AL307" s="31" t="s">
        <v>5875</v>
      </c>
      <c r="AM307" s="31" t="s">
        <v>5832</v>
      </c>
      <c r="AN307" s="31" t="s">
        <v>27838</v>
      </c>
      <c r="AO307" s="31" t="s">
        <v>27839</v>
      </c>
      <c r="AP307" s="31" t="s">
        <v>27840</v>
      </c>
      <c r="AQ307" s="31" t="s">
        <v>27841</v>
      </c>
      <c r="AR307" s="31" t="s">
        <v>27842</v>
      </c>
      <c r="AS307" s="31" t="str">
        <f>"ENPP3"</f>
        <v>ENPP3</v>
      </c>
      <c r="AT307" s="31" t="s">
        <v>27843</v>
      </c>
      <c r="AU307" s="31" t="s">
        <v>13777</v>
      </c>
      <c r="AV307" s="31">
        <v>9606</v>
      </c>
      <c r="AW307" s="50" t="str">
        <f>HYPERLINK("http://www.uniprot.org/uniprot/O14638", "O14638")</f>
        <v>O14638</v>
      </c>
      <c r="AX307" s="31" t="s">
        <v>27844</v>
      </c>
      <c r="AY307" s="31" t="s">
        <v>13772</v>
      </c>
      <c r="AZ307" s="31" t="s">
        <v>14336</v>
      </c>
      <c r="BA307" s="31" t="s">
        <v>13793</v>
      </c>
      <c r="BB307" s="31" t="s">
        <v>13772</v>
      </c>
      <c r="BC307" s="31" t="s">
        <v>13772</v>
      </c>
      <c r="BD307" s="31" t="s">
        <v>17249</v>
      </c>
      <c r="BE307" s="31" t="s">
        <v>14628</v>
      </c>
      <c r="BF307" s="31" t="s">
        <v>13857</v>
      </c>
      <c r="BG307" s="31" t="s">
        <v>13796</v>
      </c>
      <c r="BH307" s="31" t="s">
        <v>13812</v>
      </c>
      <c r="BI307" s="31" t="s">
        <v>27845</v>
      </c>
      <c r="BJ307" s="31" t="s">
        <v>27846</v>
      </c>
      <c r="BK307" s="31" t="s">
        <v>27847</v>
      </c>
      <c r="BL307" s="31" t="s">
        <v>13772</v>
      </c>
      <c r="BM307" s="31" t="s">
        <v>14633</v>
      </c>
    </row>
    <row r="308" spans="1:65">
      <c r="A308">
        <v>597</v>
      </c>
      <c r="B308">
        <v>1</v>
      </c>
      <c r="C308">
        <v>303</v>
      </c>
      <c r="D308" t="s">
        <v>1479</v>
      </c>
      <c r="E308" t="s">
        <v>73</v>
      </c>
      <c r="F308" t="s">
        <v>73</v>
      </c>
      <c r="G308">
        <v>42</v>
      </c>
      <c r="H308">
        <v>193</v>
      </c>
      <c r="I308">
        <v>20898</v>
      </c>
      <c r="J308" t="s">
        <v>1481</v>
      </c>
      <c r="K308" s="3" t="s">
        <v>73</v>
      </c>
      <c r="L308">
        <v>227</v>
      </c>
      <c r="M308">
        <v>91</v>
      </c>
      <c r="N308">
        <v>0.40100000000000002</v>
      </c>
      <c r="O308" s="11">
        <f t="shared" si="4"/>
        <v>7.2037569157070349</v>
      </c>
      <c r="P308" s="36">
        <v>0.30291084895868198</v>
      </c>
      <c r="Q308" s="36">
        <v>0.24076603016936199</v>
      </c>
      <c r="R308" s="36">
        <v>0.40019941545306398</v>
      </c>
      <c r="S308" s="36">
        <v>0.37798043978830698</v>
      </c>
      <c r="T308" s="36">
        <v>0.215044089984223</v>
      </c>
      <c r="U308" s="36">
        <v>0.23243181165987301</v>
      </c>
      <c r="V308" s="36">
        <v>0.26351557071616</v>
      </c>
      <c r="W308" s="36">
        <v>0.24329589949557701</v>
      </c>
      <c r="X308" s="37">
        <v>40.691624614141801</v>
      </c>
      <c r="Y308" s="37">
        <v>17.027540465983702</v>
      </c>
      <c r="Z308" s="37">
        <v>6.7204565254456803</v>
      </c>
      <c r="AA308" s="37">
        <v>8.5501251706594008</v>
      </c>
      <c r="AB308" s="37">
        <v>8.3610123489175407</v>
      </c>
      <c r="AC308" s="37">
        <v>5.8400102208499298</v>
      </c>
      <c r="AD308" s="37">
        <v>9.8055103111057509</v>
      </c>
      <c r="AE308" s="37">
        <v>15.9876868879835</v>
      </c>
      <c r="AF308" s="45">
        <v>5.1779168213014097</v>
      </c>
      <c r="AG308" s="45">
        <v>49.638318696991298</v>
      </c>
      <c r="AH308" s="46">
        <v>2.7688099727800999E-12</v>
      </c>
      <c r="AI308" s="47">
        <v>7.3546188205128104E-11</v>
      </c>
      <c r="AJ308" s="48">
        <v>0.28451801327815601</v>
      </c>
      <c r="AK308" s="49">
        <v>14.1229958181359</v>
      </c>
      <c r="AL308" s="31" t="s">
        <v>5874</v>
      </c>
      <c r="AM308" s="31" t="s">
        <v>5876</v>
      </c>
      <c r="AN308" s="31" t="s">
        <v>19672</v>
      </c>
      <c r="AO308" s="31" t="s">
        <v>19673</v>
      </c>
      <c r="AP308" s="31" t="s">
        <v>19674</v>
      </c>
      <c r="AQ308" s="31" t="s">
        <v>19675</v>
      </c>
      <c r="AR308" s="31" t="s">
        <v>19676</v>
      </c>
      <c r="AS308" s="31" t="str">
        <f>"SAA1"</f>
        <v>SAA1</v>
      </c>
      <c r="AT308" s="31" t="s">
        <v>13772</v>
      </c>
      <c r="AU308" s="31" t="s">
        <v>13777</v>
      </c>
      <c r="AV308" s="31">
        <v>9606</v>
      </c>
      <c r="AW308" s="50" t="str">
        <f>HYPERLINK("http://www.uniprot.org/uniprot/P0DJI8", "P0DJI8")</f>
        <v>P0DJI8</v>
      </c>
      <c r="AX308" s="31" t="s">
        <v>19677</v>
      </c>
      <c r="AY308" s="31" t="s">
        <v>14374</v>
      </c>
      <c r="AZ308" s="31" t="s">
        <v>19678</v>
      </c>
      <c r="BA308" s="31" t="s">
        <v>13793</v>
      </c>
      <c r="BB308" s="31" t="s">
        <v>13772</v>
      </c>
      <c r="BC308" s="31" t="s">
        <v>19679</v>
      </c>
      <c r="BD308" s="31" t="s">
        <v>13808</v>
      </c>
      <c r="BE308" s="31" t="s">
        <v>13772</v>
      </c>
      <c r="BF308" s="31" t="s">
        <v>14073</v>
      </c>
      <c r="BG308" s="31" t="s">
        <v>17914</v>
      </c>
      <c r="BH308" s="31" t="s">
        <v>13812</v>
      </c>
      <c r="BI308" s="31" t="s">
        <v>19680</v>
      </c>
      <c r="BJ308" s="31" t="s">
        <v>19681</v>
      </c>
      <c r="BK308" s="31" t="s">
        <v>19682</v>
      </c>
      <c r="BL308" s="31" t="s">
        <v>13772</v>
      </c>
      <c r="BM308" s="31" t="s">
        <v>19683</v>
      </c>
    </row>
    <row r="309" spans="1:65">
      <c r="A309">
        <v>153</v>
      </c>
      <c r="B309">
        <v>1</v>
      </c>
      <c r="C309">
        <v>304</v>
      </c>
      <c r="D309" t="s">
        <v>388</v>
      </c>
      <c r="E309" t="s">
        <v>73</v>
      </c>
      <c r="F309" t="s">
        <v>73</v>
      </c>
      <c r="G309">
        <v>57</v>
      </c>
      <c r="H309">
        <v>505</v>
      </c>
      <c r="I309">
        <v>56815</v>
      </c>
      <c r="J309" t="s">
        <v>390</v>
      </c>
      <c r="K309" s="3" t="s">
        <v>73</v>
      </c>
      <c r="L309">
        <v>139</v>
      </c>
      <c r="M309">
        <v>137</v>
      </c>
      <c r="N309">
        <v>0.98599999999999999</v>
      </c>
      <c r="O309" s="11">
        <f t="shared" si="4"/>
        <v>6.8475945478513403</v>
      </c>
      <c r="P309" s="36">
        <v>4.8465735833389196</v>
      </c>
      <c r="Q309" s="36">
        <v>5.7783847240646802</v>
      </c>
      <c r="R309" s="36">
        <v>0.40019941545306398</v>
      </c>
      <c r="S309" s="36">
        <v>0.37798043978830698</v>
      </c>
      <c r="T309" s="36">
        <v>1.72035271987378</v>
      </c>
      <c r="U309" s="36">
        <v>0.92972724663949102</v>
      </c>
      <c r="V309" s="36">
        <v>1.05406228286464</v>
      </c>
      <c r="W309" s="36">
        <v>2.9195507939469199</v>
      </c>
      <c r="X309" s="37">
        <v>10.331857812184399</v>
      </c>
      <c r="Y309" s="37">
        <v>13.0544476905875</v>
      </c>
      <c r="Z309" s="37">
        <v>19.201304358416198</v>
      </c>
      <c r="AA309" s="37">
        <v>11.5976945384192</v>
      </c>
      <c r="AB309" s="37">
        <v>13.7818884872267</v>
      </c>
      <c r="AC309" s="37">
        <v>12.627049126161999</v>
      </c>
      <c r="AD309" s="37">
        <v>10.559780335037001</v>
      </c>
      <c r="AE309" s="37">
        <v>0.38065921161865401</v>
      </c>
      <c r="AF309" s="45">
        <v>2.26002689690181</v>
      </c>
      <c r="AG309" s="45">
        <v>5.0776911656741399</v>
      </c>
      <c r="AH309" s="46">
        <v>8.5897956581834195E-6</v>
      </c>
      <c r="AI309" s="47">
        <v>3.1749023731075702E-5</v>
      </c>
      <c r="AJ309" s="48">
        <v>2.2533539007462302</v>
      </c>
      <c r="AK309" s="49">
        <v>11.4418351949565</v>
      </c>
      <c r="AL309" s="31" t="s">
        <v>5874</v>
      </c>
      <c r="AM309" s="31" t="s">
        <v>5876</v>
      </c>
      <c r="AN309" s="31" t="s">
        <v>14901</v>
      </c>
      <c r="AO309" s="31" t="s">
        <v>14902</v>
      </c>
      <c r="AP309" s="31" t="s">
        <v>14903</v>
      </c>
      <c r="AQ309" s="31" t="s">
        <v>14904</v>
      </c>
      <c r="AR309" s="31" t="s">
        <v>14905</v>
      </c>
      <c r="AS309" s="31" t="str">
        <f>"PDIA3"</f>
        <v>PDIA3</v>
      </c>
      <c r="AT309" s="31" t="s">
        <v>14906</v>
      </c>
      <c r="AU309" s="31" t="s">
        <v>13777</v>
      </c>
      <c r="AV309" s="31">
        <v>9606</v>
      </c>
      <c r="AW309" s="50" t="str">
        <f>HYPERLINK("http://www.uniprot.org/uniprot/P30101", "P30101")</f>
        <v>P30101</v>
      </c>
      <c r="AX309" s="31" t="s">
        <v>14907</v>
      </c>
      <c r="AY309" s="31" t="s">
        <v>13772</v>
      </c>
      <c r="AZ309" s="31" t="s">
        <v>14908</v>
      </c>
      <c r="BA309" s="31" t="s">
        <v>13793</v>
      </c>
      <c r="BB309" s="31" t="s">
        <v>13772</v>
      </c>
      <c r="BC309" s="31" t="s">
        <v>13772</v>
      </c>
      <c r="BD309" s="31" t="s">
        <v>14909</v>
      </c>
      <c r="BE309" s="31" t="s">
        <v>13772</v>
      </c>
      <c r="BF309" s="31" t="s">
        <v>14910</v>
      </c>
      <c r="BG309" s="31" t="s">
        <v>14911</v>
      </c>
      <c r="BH309" s="31" t="s">
        <v>13812</v>
      </c>
      <c r="BI309" s="31" t="s">
        <v>14912</v>
      </c>
      <c r="BJ309" s="31" t="s">
        <v>14913</v>
      </c>
      <c r="BK309" s="31" t="s">
        <v>14914</v>
      </c>
      <c r="BL309" s="31" t="s">
        <v>13772</v>
      </c>
      <c r="BM309" s="31" t="s">
        <v>14915</v>
      </c>
    </row>
    <row r="310" spans="1:65">
      <c r="A310">
        <v>1147</v>
      </c>
      <c r="B310">
        <v>1</v>
      </c>
      <c r="C310">
        <v>305</v>
      </c>
      <c r="D310" t="s">
        <v>2760</v>
      </c>
      <c r="E310" t="s">
        <v>73</v>
      </c>
      <c r="F310" t="s">
        <v>73</v>
      </c>
      <c r="G310">
        <v>63</v>
      </c>
      <c r="H310">
        <v>135</v>
      </c>
      <c r="I310">
        <v>14792</v>
      </c>
      <c r="J310" t="s">
        <v>2761</v>
      </c>
      <c r="K310" s="3" t="s">
        <v>73</v>
      </c>
      <c r="L310">
        <v>138</v>
      </c>
      <c r="M310">
        <v>138</v>
      </c>
      <c r="N310">
        <v>1</v>
      </c>
      <c r="O310" s="11">
        <f t="shared" si="4"/>
        <v>8.1280361600998106</v>
      </c>
      <c r="P310" s="36">
        <v>2.4232867916694598</v>
      </c>
      <c r="Q310" s="36">
        <v>2.8891923620323401</v>
      </c>
      <c r="R310" s="36">
        <v>9.6047859708735501</v>
      </c>
      <c r="S310" s="36">
        <v>3.0238435183064598</v>
      </c>
      <c r="T310" s="36">
        <v>12.9026453990534</v>
      </c>
      <c r="U310" s="36">
        <v>21.383726672708299</v>
      </c>
      <c r="V310" s="36">
        <v>9.4865605457817708</v>
      </c>
      <c r="W310" s="36">
        <v>13.6245703717523</v>
      </c>
      <c r="X310" s="37">
        <v>8.7423412256945294</v>
      </c>
      <c r="Y310" s="37">
        <v>7.5677957626594301</v>
      </c>
      <c r="Z310" s="37">
        <v>6.4004347861387396</v>
      </c>
      <c r="AA310" s="37">
        <v>6.7723763727995303</v>
      </c>
      <c r="AB310" s="37">
        <v>8.2691330923360304</v>
      </c>
      <c r="AC310" s="37">
        <v>6.3135245630809997</v>
      </c>
      <c r="AD310" s="37">
        <v>1.50854004786242</v>
      </c>
      <c r="AE310" s="37">
        <v>9.1358210788476999</v>
      </c>
      <c r="AF310" s="45">
        <v>-0.46746415237640299</v>
      </c>
      <c r="AG310" s="45">
        <v>-1.3770546001128301</v>
      </c>
      <c r="AH310" s="46">
        <v>0.311297338517672</v>
      </c>
      <c r="AI310" s="47">
        <v>0.389996103873263</v>
      </c>
      <c r="AJ310" s="48">
        <v>9.4173264540221897</v>
      </c>
      <c r="AK310" s="49">
        <v>6.8387458661774199</v>
      </c>
      <c r="AL310" s="31" t="s">
        <v>5875</v>
      </c>
      <c r="AM310" s="31" t="s">
        <v>5832</v>
      </c>
      <c r="AN310" s="31" t="s">
        <v>24840</v>
      </c>
      <c r="AO310" s="31" t="s">
        <v>24841</v>
      </c>
      <c r="AP310" s="31" t="s">
        <v>24842</v>
      </c>
      <c r="AQ310" s="31" t="s">
        <v>24843</v>
      </c>
      <c r="AR310" s="31" t="s">
        <v>24844</v>
      </c>
      <c r="AS310" s="31" t="str">
        <f>"LGALS1"</f>
        <v>LGALS1</v>
      </c>
      <c r="AT310" s="31" t="s">
        <v>13772</v>
      </c>
      <c r="AU310" s="31" t="s">
        <v>13777</v>
      </c>
      <c r="AV310" s="31">
        <v>9606</v>
      </c>
      <c r="AW310" s="50" t="str">
        <f>HYPERLINK("http://www.uniprot.org/uniprot/P09382", "P09382")</f>
        <v>P09382</v>
      </c>
      <c r="AX310" s="31" t="s">
        <v>24845</v>
      </c>
      <c r="AY310" s="31" t="s">
        <v>17109</v>
      </c>
      <c r="AZ310" s="31" t="s">
        <v>13869</v>
      </c>
      <c r="BA310" s="31" t="s">
        <v>13772</v>
      </c>
      <c r="BB310" s="31" t="s">
        <v>13772</v>
      </c>
      <c r="BC310" s="31" t="s">
        <v>13772</v>
      </c>
      <c r="BD310" s="31" t="s">
        <v>13772</v>
      </c>
      <c r="BE310" s="31" t="s">
        <v>14277</v>
      </c>
      <c r="BF310" s="31" t="s">
        <v>13772</v>
      </c>
      <c r="BG310" s="31" t="s">
        <v>13886</v>
      </c>
      <c r="BH310" s="31" t="s">
        <v>13812</v>
      </c>
      <c r="BI310" s="31" t="s">
        <v>24846</v>
      </c>
      <c r="BJ310" s="31" t="s">
        <v>24847</v>
      </c>
      <c r="BK310" s="31" t="s">
        <v>24848</v>
      </c>
      <c r="BL310" s="31" t="s">
        <v>13772</v>
      </c>
      <c r="BM310" s="31" t="s">
        <v>17241</v>
      </c>
    </row>
    <row r="311" spans="1:65">
      <c r="A311">
        <v>2069</v>
      </c>
      <c r="B311">
        <v>1</v>
      </c>
      <c r="C311">
        <v>306</v>
      </c>
      <c r="D311" t="s">
        <v>4862</v>
      </c>
      <c r="E311" t="s">
        <v>73</v>
      </c>
      <c r="F311" t="s">
        <v>73</v>
      </c>
      <c r="G311">
        <v>77.400000000000006</v>
      </c>
      <c r="H311">
        <v>248</v>
      </c>
      <c r="I311">
        <v>27861</v>
      </c>
      <c r="J311" t="s">
        <v>4863</v>
      </c>
      <c r="K311" s="3" t="s">
        <v>73</v>
      </c>
      <c r="L311">
        <v>157</v>
      </c>
      <c r="M311">
        <v>132</v>
      </c>
      <c r="N311">
        <v>0.84099999999999997</v>
      </c>
      <c r="O311" s="11">
        <f t="shared" si="4"/>
        <v>7.1917657740840646</v>
      </c>
      <c r="P311" s="36">
        <v>0.30291084895868198</v>
      </c>
      <c r="Q311" s="36">
        <v>1.0593705327451901</v>
      </c>
      <c r="R311" s="36">
        <v>3.3616750898057401</v>
      </c>
      <c r="S311" s="36">
        <v>1.8143061109838801</v>
      </c>
      <c r="T311" s="36">
        <v>1.8923879918611599</v>
      </c>
      <c r="U311" s="36">
        <v>3.9978271605498099</v>
      </c>
      <c r="V311" s="36">
        <v>10.856841513505801</v>
      </c>
      <c r="W311" s="36">
        <v>7.0069219054726002</v>
      </c>
      <c r="X311" s="37">
        <v>33.697751633586201</v>
      </c>
      <c r="Y311" s="37">
        <v>18.541099618515599</v>
      </c>
      <c r="Z311" s="37">
        <v>12.2408315284903</v>
      </c>
      <c r="AA311" s="37">
        <v>2.7089505491198098</v>
      </c>
      <c r="AB311" s="37">
        <v>3.8589287764234799</v>
      </c>
      <c r="AC311" s="37">
        <v>5.0508196504648</v>
      </c>
      <c r="AD311" s="37">
        <v>8.2969702632433204</v>
      </c>
      <c r="AE311" s="37">
        <v>0.38065921161865401</v>
      </c>
      <c r="AF311" s="45">
        <v>1.4638475567414699</v>
      </c>
      <c r="AG311" s="45">
        <v>2.7986047912666798</v>
      </c>
      <c r="AH311" s="46">
        <v>2.7779896578798102E-2</v>
      </c>
      <c r="AI311" s="47">
        <v>4.5775248303487497E-2</v>
      </c>
      <c r="AJ311" s="48">
        <v>3.7865301442353601</v>
      </c>
      <c r="AK311" s="49">
        <v>10.597001403932801</v>
      </c>
      <c r="AL311" s="31" t="s">
        <v>5874</v>
      </c>
      <c r="AM311" s="31" t="s">
        <v>5878</v>
      </c>
      <c r="AN311" s="31" t="s">
        <v>33584</v>
      </c>
      <c r="AO311" s="31" t="s">
        <v>33585</v>
      </c>
      <c r="AP311" s="31" t="s">
        <v>33586</v>
      </c>
      <c r="AQ311" s="31" t="s">
        <v>33587</v>
      </c>
      <c r="AR311" s="31" t="s">
        <v>33588</v>
      </c>
      <c r="AS311" s="31" t="str">
        <f>"SFN"</f>
        <v>SFN</v>
      </c>
      <c r="AT311" s="31" t="s">
        <v>33589</v>
      </c>
      <c r="AU311" s="31" t="s">
        <v>13777</v>
      </c>
      <c r="AV311" s="31">
        <v>9606</v>
      </c>
      <c r="AW311" s="50" t="str">
        <f>HYPERLINK("http://www.uniprot.org/uniprot/P31947", "P31947")</f>
        <v>P31947</v>
      </c>
      <c r="AX311" s="31" t="s">
        <v>33590</v>
      </c>
      <c r="AY311" s="31" t="s">
        <v>13772</v>
      </c>
      <c r="AZ311" s="31" t="s">
        <v>14276</v>
      </c>
      <c r="BA311" s="31" t="s">
        <v>13780</v>
      </c>
      <c r="BB311" s="31" t="s">
        <v>13772</v>
      </c>
      <c r="BC311" s="31" t="s">
        <v>13772</v>
      </c>
      <c r="BD311" s="31" t="s">
        <v>13772</v>
      </c>
      <c r="BE311" s="31" t="s">
        <v>13772</v>
      </c>
      <c r="BF311" s="31" t="s">
        <v>13772</v>
      </c>
      <c r="BG311" s="31" t="s">
        <v>18636</v>
      </c>
      <c r="BH311" s="31" t="s">
        <v>13812</v>
      </c>
      <c r="BI311" s="31" t="s">
        <v>33591</v>
      </c>
      <c r="BJ311" s="31" t="s">
        <v>33592</v>
      </c>
      <c r="BK311" s="31" t="s">
        <v>33593</v>
      </c>
      <c r="BL311" s="31" t="s">
        <v>13772</v>
      </c>
      <c r="BM311" s="31" t="s">
        <v>33594</v>
      </c>
    </row>
    <row r="312" spans="1:65">
      <c r="A312">
        <v>583</v>
      </c>
      <c r="B312">
        <v>1</v>
      </c>
      <c r="C312">
        <v>307</v>
      </c>
      <c r="D312" t="s">
        <v>1448</v>
      </c>
      <c r="E312" t="s">
        <v>73</v>
      </c>
      <c r="F312" t="s">
        <v>73</v>
      </c>
      <c r="G312">
        <v>65.2</v>
      </c>
      <c r="H312">
        <v>201</v>
      </c>
      <c r="I312">
        <v>22625</v>
      </c>
      <c r="J312" t="s">
        <v>1449</v>
      </c>
      <c r="K312" s="3" t="s">
        <v>73</v>
      </c>
      <c r="L312">
        <v>137</v>
      </c>
      <c r="M312">
        <v>137</v>
      </c>
      <c r="N312">
        <v>1</v>
      </c>
      <c r="O312" s="11">
        <f t="shared" si="4"/>
        <v>8.0067789534829181</v>
      </c>
      <c r="P312" s="36">
        <v>1.2116433958347299</v>
      </c>
      <c r="Q312" s="36">
        <v>0.24076603016936199</v>
      </c>
      <c r="R312" s="36">
        <v>0.40019941545306398</v>
      </c>
      <c r="S312" s="36">
        <v>0.37798043978830698</v>
      </c>
      <c r="T312" s="36">
        <v>0.215044089984223</v>
      </c>
      <c r="U312" s="36">
        <v>0.23243181165987301</v>
      </c>
      <c r="V312" s="36">
        <v>0.26351557071616</v>
      </c>
      <c r="W312" s="36">
        <v>0.24329589949557701</v>
      </c>
      <c r="X312" s="37">
        <v>19.074199037879001</v>
      </c>
      <c r="Y312" s="37">
        <v>15.135591525318899</v>
      </c>
      <c r="Z312" s="37">
        <v>5.6003804378713999</v>
      </c>
      <c r="AA312" s="37">
        <v>11.8516586523992</v>
      </c>
      <c r="AB312" s="37">
        <v>25.726191842823201</v>
      </c>
      <c r="AC312" s="37">
        <v>11.048667985391701</v>
      </c>
      <c r="AD312" s="37">
        <v>6.0341601914496898</v>
      </c>
      <c r="AE312" s="37">
        <v>30.4527369294923</v>
      </c>
      <c r="AF312" s="45">
        <v>4.9687997256875098</v>
      </c>
      <c r="AG312" s="45">
        <v>39.223995215318702</v>
      </c>
      <c r="AH312" s="46">
        <v>6.0871767340252799E-14</v>
      </c>
      <c r="AI312" s="47">
        <v>2.54520077191432E-12</v>
      </c>
      <c r="AJ312" s="48">
        <v>0.39810958163766202</v>
      </c>
      <c r="AK312" s="49">
        <v>15.615448325328201</v>
      </c>
      <c r="AL312" s="31" t="s">
        <v>5874</v>
      </c>
      <c r="AM312" s="31" t="s">
        <v>5876</v>
      </c>
      <c r="AN312" s="31" t="s">
        <v>19523</v>
      </c>
      <c r="AO312" s="31" t="s">
        <v>19524</v>
      </c>
      <c r="AP312" s="31" t="s">
        <v>19525</v>
      </c>
      <c r="AQ312" s="31" t="s">
        <v>19526</v>
      </c>
      <c r="AR312" s="31" t="s">
        <v>19527</v>
      </c>
      <c r="AS312" s="31" t="str">
        <f>"TAGLN"</f>
        <v>TAGLN</v>
      </c>
      <c r="AT312" s="31" t="s">
        <v>19528</v>
      </c>
      <c r="AU312" s="31" t="s">
        <v>13777</v>
      </c>
      <c r="AV312" s="31">
        <v>9606</v>
      </c>
      <c r="AW312" s="50" t="str">
        <f>HYPERLINK("http://www.uniprot.org/uniprot/Q01995", "Q01995")</f>
        <v>Q01995</v>
      </c>
      <c r="AX312" s="31" t="s">
        <v>19529</v>
      </c>
      <c r="AY312" s="31" t="s">
        <v>13772</v>
      </c>
      <c r="AZ312" s="31" t="s">
        <v>13899</v>
      </c>
      <c r="BA312" s="31" t="s">
        <v>13793</v>
      </c>
      <c r="BB312" s="31" t="s">
        <v>13772</v>
      </c>
      <c r="BC312" s="31" t="s">
        <v>13772</v>
      </c>
      <c r="BD312" s="31" t="s">
        <v>13772</v>
      </c>
      <c r="BE312" s="31" t="s">
        <v>13772</v>
      </c>
      <c r="BF312" s="31" t="s">
        <v>14849</v>
      </c>
      <c r="BG312" s="31" t="s">
        <v>14098</v>
      </c>
      <c r="BH312" s="31" t="s">
        <v>13772</v>
      </c>
      <c r="BI312" s="31" t="s">
        <v>19530</v>
      </c>
      <c r="BJ312" s="31" t="s">
        <v>14579</v>
      </c>
      <c r="BK312" s="31" t="s">
        <v>15847</v>
      </c>
      <c r="BL312" s="31" t="s">
        <v>13772</v>
      </c>
      <c r="BM312" s="31" t="s">
        <v>13772</v>
      </c>
    </row>
    <row r="313" spans="1:65">
      <c r="A313">
        <v>907</v>
      </c>
      <c r="B313">
        <v>1</v>
      </c>
      <c r="C313">
        <v>308</v>
      </c>
      <c r="D313" t="s">
        <v>2211</v>
      </c>
      <c r="E313" t="s">
        <v>73</v>
      </c>
      <c r="F313" t="s">
        <v>73</v>
      </c>
      <c r="G313">
        <v>23.3</v>
      </c>
      <c r="H313">
        <v>1157</v>
      </c>
      <c r="I313">
        <v>125871</v>
      </c>
      <c r="J313" t="s">
        <v>2212</v>
      </c>
      <c r="K313" s="3" t="s">
        <v>73</v>
      </c>
      <c r="L313">
        <v>137</v>
      </c>
      <c r="M313">
        <v>137</v>
      </c>
      <c r="N313">
        <v>1</v>
      </c>
      <c r="O313" s="11">
        <f t="shared" si="4"/>
        <v>9.4740846435000297</v>
      </c>
      <c r="P313" s="36">
        <v>9.6931471666778304</v>
      </c>
      <c r="Q313" s="36">
        <v>14.4459618101617</v>
      </c>
      <c r="R313" s="36">
        <v>30.415155574432902</v>
      </c>
      <c r="S313" s="36">
        <v>22.6788263872984</v>
      </c>
      <c r="T313" s="36">
        <v>13.762821758990301</v>
      </c>
      <c r="U313" s="36">
        <v>18.594544932789798</v>
      </c>
      <c r="V313" s="36">
        <v>10.5406228286464</v>
      </c>
      <c r="W313" s="36">
        <v>19.463671959646099</v>
      </c>
      <c r="X313" s="37">
        <v>0.79475829324495695</v>
      </c>
      <c r="Y313" s="37">
        <v>1.2612992937765699</v>
      </c>
      <c r="Z313" s="37">
        <v>4.0002717413367099</v>
      </c>
      <c r="AA313" s="37">
        <v>0.21163676164998499</v>
      </c>
      <c r="AB313" s="37">
        <v>0.22969814145377901</v>
      </c>
      <c r="AC313" s="37">
        <v>4.7351434223107498</v>
      </c>
      <c r="AD313" s="37">
        <v>0.377135011965606</v>
      </c>
      <c r="AE313" s="37">
        <v>0.38065921161865401</v>
      </c>
      <c r="AF313" s="45">
        <v>-3.30140333390298</v>
      </c>
      <c r="AG313" s="45">
        <v>-11.6420137910052</v>
      </c>
      <c r="AH313" s="46">
        <v>1.60679600465374E-12</v>
      </c>
      <c r="AI313" s="47">
        <v>4.6736805526667397E-11</v>
      </c>
      <c r="AJ313" s="48">
        <v>17.4493440523304</v>
      </c>
      <c r="AK313" s="49">
        <v>1.49882523466963</v>
      </c>
      <c r="AL313" s="31" t="s">
        <v>5875</v>
      </c>
      <c r="AM313" s="31" t="s">
        <v>5876</v>
      </c>
      <c r="AN313" s="31" t="s">
        <v>22733</v>
      </c>
      <c r="AO313" s="31" t="s">
        <v>13772</v>
      </c>
      <c r="AP313" s="31" t="s">
        <v>22734</v>
      </c>
      <c r="AQ313" s="31" t="s">
        <v>22735</v>
      </c>
      <c r="AR313" s="31" t="s">
        <v>22736</v>
      </c>
      <c r="AS313" s="31" t="str">
        <f>"CILP2"</f>
        <v>CILP2</v>
      </c>
      <c r="AT313" s="31" t="s">
        <v>13772</v>
      </c>
      <c r="AU313" s="31" t="s">
        <v>13777</v>
      </c>
      <c r="AV313" s="31">
        <v>9606</v>
      </c>
      <c r="AW313" s="50" t="str">
        <f>HYPERLINK("http://www.uniprot.org/uniprot/Q8IUL8", "Q8IUL8")</f>
        <v>Q8IUL8</v>
      </c>
      <c r="AX313" s="31" t="s">
        <v>22737</v>
      </c>
      <c r="AY313" s="31" t="s">
        <v>13772</v>
      </c>
      <c r="AZ313" s="31" t="s">
        <v>13869</v>
      </c>
      <c r="BA313" s="31" t="s">
        <v>13772</v>
      </c>
      <c r="BB313" s="31" t="s">
        <v>13772</v>
      </c>
      <c r="BC313" s="31" t="s">
        <v>13772</v>
      </c>
      <c r="BD313" s="31" t="s">
        <v>15698</v>
      </c>
      <c r="BE313" s="31" t="s">
        <v>13772</v>
      </c>
      <c r="BF313" s="31" t="s">
        <v>13772</v>
      </c>
      <c r="BG313" s="31" t="s">
        <v>14629</v>
      </c>
      <c r="BH313" s="31" t="s">
        <v>13772</v>
      </c>
      <c r="BI313" s="31" t="s">
        <v>22738</v>
      </c>
      <c r="BJ313" s="31" t="s">
        <v>15835</v>
      </c>
      <c r="BK313" s="31" t="s">
        <v>13772</v>
      </c>
      <c r="BL313" s="31" t="s">
        <v>13772</v>
      </c>
      <c r="BM313" s="31" t="s">
        <v>13772</v>
      </c>
    </row>
    <row r="314" spans="1:65">
      <c r="A314">
        <v>2382</v>
      </c>
      <c r="B314">
        <v>1</v>
      </c>
      <c r="C314">
        <v>309</v>
      </c>
      <c r="D314" t="s">
        <v>5551</v>
      </c>
      <c r="E314" t="s">
        <v>73</v>
      </c>
      <c r="F314" t="s">
        <v>73</v>
      </c>
      <c r="G314">
        <v>50.5</v>
      </c>
      <c r="H314">
        <v>107</v>
      </c>
      <c r="I314">
        <v>11909</v>
      </c>
      <c r="J314" t="s">
        <v>5552</v>
      </c>
      <c r="K314" s="3" t="s">
        <v>73</v>
      </c>
      <c r="L314">
        <v>137</v>
      </c>
      <c r="M314">
        <v>137</v>
      </c>
      <c r="N314">
        <v>1</v>
      </c>
      <c r="O314" s="11">
        <f t="shared" si="4"/>
        <v>6.5752148156206225</v>
      </c>
      <c r="P314" s="36">
        <v>1.2116433958347299</v>
      </c>
      <c r="Q314" s="36">
        <v>0.96306412067744696</v>
      </c>
      <c r="R314" s="36">
        <v>0.40019941545306398</v>
      </c>
      <c r="S314" s="36">
        <v>1.5119217591532299</v>
      </c>
      <c r="T314" s="36">
        <v>0.215044089984223</v>
      </c>
      <c r="U314" s="36">
        <v>1.85945449327898</v>
      </c>
      <c r="V314" s="36">
        <v>2.10812456572928</v>
      </c>
      <c r="W314" s="36">
        <v>1.9463671959646101</v>
      </c>
      <c r="X314" s="37">
        <v>24.637507090593701</v>
      </c>
      <c r="Y314" s="37">
        <v>18.2888397597603</v>
      </c>
      <c r="Z314" s="37">
        <v>6.4004347861387396</v>
      </c>
      <c r="AA314" s="37">
        <v>6.7723763727995303</v>
      </c>
      <c r="AB314" s="37">
        <v>8.2691330923360304</v>
      </c>
      <c r="AC314" s="37">
        <v>6.3135245630809997</v>
      </c>
      <c r="AD314" s="37">
        <v>6.0341601914496898</v>
      </c>
      <c r="AE314" s="37">
        <v>18.2716421576954</v>
      </c>
      <c r="AF314" s="45">
        <v>3.0921443899477201</v>
      </c>
      <c r="AG314" s="45">
        <v>9.2980912914001692</v>
      </c>
      <c r="AH314" s="46">
        <v>1.64844355572472E-8</v>
      </c>
      <c r="AI314" s="47">
        <v>1.4510641299734701E-7</v>
      </c>
      <c r="AJ314" s="48">
        <v>1.2769773795094499</v>
      </c>
      <c r="AK314" s="49">
        <v>11.8734522517318</v>
      </c>
      <c r="AL314" s="31" t="s">
        <v>5874</v>
      </c>
      <c r="AM314" s="31" t="s">
        <v>5876</v>
      </c>
      <c r="AN314" s="31" t="s">
        <v>36417</v>
      </c>
      <c r="AO314" s="31" t="s">
        <v>36418</v>
      </c>
      <c r="AP314" s="31" t="s">
        <v>36419</v>
      </c>
      <c r="AQ314" s="31" t="s">
        <v>36420</v>
      </c>
      <c r="AR314" s="31" t="s">
        <v>36421</v>
      </c>
      <c r="AS314" s="31" t="str">
        <f>"CCL3L1"</f>
        <v>CCL3L1</v>
      </c>
      <c r="AT314" s="31" t="s">
        <v>36422</v>
      </c>
      <c r="AU314" s="31" t="s">
        <v>13777</v>
      </c>
      <c r="AV314" s="31">
        <v>9606</v>
      </c>
      <c r="AW314" s="50" t="str">
        <f>HYPERLINK("http://www.uniprot.org/uniprot/P16619", "P16619")</f>
        <v>P16619</v>
      </c>
      <c r="AX314" s="31" t="s">
        <v>36423</v>
      </c>
      <c r="AY314" s="31" t="s">
        <v>35939</v>
      </c>
      <c r="AZ314" s="31" t="s">
        <v>14321</v>
      </c>
      <c r="BA314" s="31" t="s">
        <v>13772</v>
      </c>
      <c r="BB314" s="31" t="s">
        <v>13772</v>
      </c>
      <c r="BC314" s="31" t="s">
        <v>13772</v>
      </c>
      <c r="BD314" s="31" t="s">
        <v>13808</v>
      </c>
      <c r="BE314" s="31" t="s">
        <v>13772</v>
      </c>
      <c r="BF314" s="31" t="s">
        <v>14405</v>
      </c>
      <c r="BG314" s="31" t="s">
        <v>14506</v>
      </c>
      <c r="BH314" s="31" t="s">
        <v>13772</v>
      </c>
      <c r="BI314" s="31" t="s">
        <v>36424</v>
      </c>
      <c r="BJ314" s="31" t="s">
        <v>22023</v>
      </c>
      <c r="BK314" s="31" t="s">
        <v>36425</v>
      </c>
      <c r="BL314" s="31" t="s">
        <v>13772</v>
      </c>
      <c r="BM314" s="31" t="s">
        <v>36426</v>
      </c>
    </row>
    <row r="315" spans="1:65">
      <c r="A315">
        <v>525</v>
      </c>
      <c r="B315">
        <v>1</v>
      </c>
      <c r="C315">
        <v>310</v>
      </c>
      <c r="D315" t="s">
        <v>1322</v>
      </c>
      <c r="E315" t="s">
        <v>73</v>
      </c>
      <c r="F315" t="s">
        <v>73</v>
      </c>
      <c r="G315">
        <v>28.6</v>
      </c>
      <c r="H315">
        <v>763</v>
      </c>
      <c r="I315">
        <v>86783</v>
      </c>
      <c r="J315" t="s">
        <v>1324</v>
      </c>
      <c r="K315" s="3" t="s">
        <v>73</v>
      </c>
      <c r="L315">
        <v>138</v>
      </c>
      <c r="M315">
        <v>136</v>
      </c>
      <c r="N315">
        <v>0.98599999999999999</v>
      </c>
      <c r="O315" s="11">
        <f t="shared" si="4"/>
        <v>8.5076440075305886</v>
      </c>
      <c r="P315" s="36">
        <v>8.4815037708430996</v>
      </c>
      <c r="Q315" s="36">
        <v>11.075237387790599</v>
      </c>
      <c r="R315" s="36">
        <v>15.207577787216399</v>
      </c>
      <c r="S315" s="36">
        <v>19.654982868992001</v>
      </c>
      <c r="T315" s="36">
        <v>9.4619399593058091</v>
      </c>
      <c r="U315" s="36">
        <v>12.0864542063134</v>
      </c>
      <c r="V315" s="36">
        <v>6.3243736971878404</v>
      </c>
      <c r="W315" s="36">
        <v>2.9195507939469199</v>
      </c>
      <c r="X315" s="37">
        <v>3.17903317297983</v>
      </c>
      <c r="Y315" s="37">
        <v>7.5677957626594301</v>
      </c>
      <c r="Z315" s="37">
        <v>4.0002717413367099</v>
      </c>
      <c r="AA315" s="37">
        <v>4.2327352329997003</v>
      </c>
      <c r="AB315" s="37">
        <v>6.4315479607058004</v>
      </c>
      <c r="AC315" s="37">
        <v>11.837858555776901</v>
      </c>
      <c r="AD315" s="37">
        <v>4.5256201435872701</v>
      </c>
      <c r="AE315" s="37">
        <v>9.1358210788476999</v>
      </c>
      <c r="AF315" s="45">
        <v>-0.69850279767394596</v>
      </c>
      <c r="AG315" s="45">
        <v>-1.67374732304245</v>
      </c>
      <c r="AH315" s="46">
        <v>8.2517629532072201E-2</v>
      </c>
      <c r="AI315" s="47">
        <v>0.12000933512381801</v>
      </c>
      <c r="AJ315" s="48">
        <v>10.651452558949501</v>
      </c>
      <c r="AK315" s="49">
        <v>6.3638354561116603</v>
      </c>
      <c r="AL315" s="31" t="s">
        <v>5875</v>
      </c>
      <c r="AM315" s="31" t="s">
        <v>5832</v>
      </c>
      <c r="AN315" s="31" t="s">
        <v>18969</v>
      </c>
      <c r="AO315" s="31" t="s">
        <v>18970</v>
      </c>
      <c r="AP315" s="31" t="s">
        <v>18971</v>
      </c>
      <c r="AQ315" s="31" t="s">
        <v>18972</v>
      </c>
      <c r="AR315" s="31" t="s">
        <v>18973</v>
      </c>
      <c r="AS315" s="31" t="str">
        <f>"APLP2"</f>
        <v>APLP2</v>
      </c>
      <c r="AT315" s="31" t="s">
        <v>18974</v>
      </c>
      <c r="AU315" s="31" t="s">
        <v>13777</v>
      </c>
      <c r="AV315" s="31">
        <v>9606</v>
      </c>
      <c r="AW315" s="50" t="str">
        <f>HYPERLINK("http://www.uniprot.org/uniprot/Q06481", "Q06481")</f>
        <v>Q06481</v>
      </c>
      <c r="AX315" s="31" t="s">
        <v>18975</v>
      </c>
      <c r="AY315" s="31" t="s">
        <v>13772</v>
      </c>
      <c r="AZ315" s="31" t="s">
        <v>18976</v>
      </c>
      <c r="BA315" s="31" t="s">
        <v>13780</v>
      </c>
      <c r="BB315" s="31" t="s">
        <v>13772</v>
      </c>
      <c r="BC315" s="31" t="s">
        <v>13772</v>
      </c>
      <c r="BD315" s="31" t="s">
        <v>13855</v>
      </c>
      <c r="BE315" s="31" t="s">
        <v>15982</v>
      </c>
      <c r="BF315" s="31" t="s">
        <v>18977</v>
      </c>
      <c r="BG315" s="31" t="s">
        <v>13964</v>
      </c>
      <c r="BH315" s="31" t="s">
        <v>13812</v>
      </c>
      <c r="BI315" s="31" t="s">
        <v>18978</v>
      </c>
      <c r="BJ315" s="31" t="s">
        <v>18979</v>
      </c>
      <c r="BK315" s="31" t="s">
        <v>18980</v>
      </c>
      <c r="BL315" s="31" t="s">
        <v>13772</v>
      </c>
      <c r="BM315" s="31" t="s">
        <v>18981</v>
      </c>
    </row>
    <row r="316" spans="1:65">
      <c r="A316">
        <v>2037</v>
      </c>
      <c r="B316">
        <v>1</v>
      </c>
      <c r="C316">
        <v>311</v>
      </c>
      <c r="D316" t="s">
        <v>4786</v>
      </c>
      <c r="E316" t="s">
        <v>73</v>
      </c>
      <c r="F316" t="s">
        <v>73</v>
      </c>
      <c r="G316">
        <v>74.8</v>
      </c>
      <c r="H316">
        <v>127</v>
      </c>
      <c r="I316">
        <v>14478</v>
      </c>
      <c r="J316" t="s">
        <v>4787</v>
      </c>
      <c r="K316" s="3" t="s">
        <v>73</v>
      </c>
      <c r="L316">
        <v>136</v>
      </c>
      <c r="M316">
        <v>136</v>
      </c>
      <c r="N316">
        <v>1</v>
      </c>
      <c r="O316" s="11">
        <f t="shared" si="4"/>
        <v>8.1980495712461234</v>
      </c>
      <c r="P316" s="36">
        <v>9.6931471666778304</v>
      </c>
      <c r="Q316" s="36">
        <v>4.8153206033872298</v>
      </c>
      <c r="R316" s="36">
        <v>4.8023929854367697</v>
      </c>
      <c r="S316" s="36">
        <v>9.0715305549193808</v>
      </c>
      <c r="T316" s="36">
        <v>15.4831744788641</v>
      </c>
      <c r="U316" s="36">
        <v>19.5242721794293</v>
      </c>
      <c r="V316" s="36">
        <v>11.594685111511</v>
      </c>
      <c r="W316" s="36">
        <v>21.410039155610701</v>
      </c>
      <c r="X316" s="37">
        <v>0.79475829324495695</v>
      </c>
      <c r="Y316" s="37">
        <v>3.7838978813297102</v>
      </c>
      <c r="Z316" s="37">
        <v>4.8003260896040603</v>
      </c>
      <c r="AA316" s="37">
        <v>5.0792822795996404</v>
      </c>
      <c r="AB316" s="37">
        <v>6.4315479607058004</v>
      </c>
      <c r="AC316" s="37">
        <v>6.3135245630809997</v>
      </c>
      <c r="AD316" s="37">
        <v>4.5256201435872701</v>
      </c>
      <c r="AE316" s="37">
        <v>3.0452736929492299</v>
      </c>
      <c r="AF316" s="45">
        <v>-1.4699342561873201</v>
      </c>
      <c r="AG316" s="45">
        <v>-2.7720113351080999</v>
      </c>
      <c r="AH316" s="46">
        <v>4.85768606081328E-4</v>
      </c>
      <c r="AI316" s="47">
        <v>1.18346873583779E-3</v>
      </c>
      <c r="AJ316" s="48">
        <v>12.049320279479501</v>
      </c>
      <c r="AK316" s="49">
        <v>4.3467788630127098</v>
      </c>
      <c r="AL316" s="31" t="s">
        <v>5875</v>
      </c>
      <c r="AM316" s="31" t="s">
        <v>5876</v>
      </c>
      <c r="AN316" s="31" t="s">
        <v>33278</v>
      </c>
      <c r="AO316" s="31" t="s">
        <v>33279</v>
      </c>
      <c r="AP316" s="31" t="s">
        <v>33280</v>
      </c>
      <c r="AQ316" s="31" t="s">
        <v>33281</v>
      </c>
      <c r="AR316" s="31" t="s">
        <v>33282</v>
      </c>
      <c r="AS316" s="31" t="str">
        <f>"NUTF2"</f>
        <v>NUTF2</v>
      </c>
      <c r="AT316" s="31" t="s">
        <v>13772</v>
      </c>
      <c r="AU316" s="31" t="s">
        <v>13777</v>
      </c>
      <c r="AV316" s="31">
        <v>9606</v>
      </c>
      <c r="AW316" s="50" t="str">
        <f>HYPERLINK("http://www.uniprot.org/uniprot/P61970", "P61970")</f>
        <v>P61970</v>
      </c>
      <c r="AX316" s="31" t="s">
        <v>33283</v>
      </c>
      <c r="AY316" s="31" t="s">
        <v>14094</v>
      </c>
      <c r="AZ316" s="31" t="s">
        <v>33284</v>
      </c>
      <c r="BA316" s="31" t="s">
        <v>13772</v>
      </c>
      <c r="BB316" s="31" t="s">
        <v>13772</v>
      </c>
      <c r="BC316" s="31" t="s">
        <v>13772</v>
      </c>
      <c r="BD316" s="31" t="s">
        <v>13772</v>
      </c>
      <c r="BE316" s="31" t="s">
        <v>13772</v>
      </c>
      <c r="BF316" s="31" t="s">
        <v>13772</v>
      </c>
      <c r="BG316" s="31" t="s">
        <v>14020</v>
      </c>
      <c r="BH316" s="31" t="s">
        <v>13812</v>
      </c>
      <c r="BI316" s="31" t="s">
        <v>33285</v>
      </c>
      <c r="BJ316" s="31" t="s">
        <v>33286</v>
      </c>
      <c r="BK316" s="31" t="s">
        <v>33287</v>
      </c>
      <c r="BL316" s="31" t="s">
        <v>13772</v>
      </c>
      <c r="BM316" s="31" t="s">
        <v>13772</v>
      </c>
    </row>
    <row r="317" spans="1:65">
      <c r="A317">
        <v>2157</v>
      </c>
      <c r="B317">
        <v>1</v>
      </c>
      <c r="C317">
        <v>312</v>
      </c>
      <c r="D317" t="s">
        <v>5055</v>
      </c>
      <c r="E317" t="s">
        <v>5056</v>
      </c>
      <c r="F317" t="s">
        <v>73</v>
      </c>
      <c r="G317">
        <v>21.8</v>
      </c>
      <c r="H317">
        <v>1420</v>
      </c>
      <c r="I317">
        <v>157327</v>
      </c>
      <c r="J317" t="s">
        <v>5057</v>
      </c>
      <c r="K317" s="3" t="s">
        <v>73</v>
      </c>
      <c r="L317">
        <v>136</v>
      </c>
      <c r="M317">
        <v>136</v>
      </c>
      <c r="N317">
        <v>1</v>
      </c>
      <c r="O317" s="11">
        <f t="shared" si="4"/>
        <v>8.0518510601351245</v>
      </c>
      <c r="P317" s="36">
        <v>8.4815037708430996</v>
      </c>
      <c r="Q317" s="36">
        <v>16.372090051516601</v>
      </c>
      <c r="R317" s="36">
        <v>22.411167265371599</v>
      </c>
      <c r="S317" s="36">
        <v>24.1907481464517</v>
      </c>
      <c r="T317" s="36">
        <v>12.9026453990534</v>
      </c>
      <c r="U317" s="36">
        <v>6.50809072647644</v>
      </c>
      <c r="V317" s="36">
        <v>12.6487473943757</v>
      </c>
      <c r="W317" s="36">
        <v>2.9195507939469199</v>
      </c>
      <c r="X317" s="37">
        <v>0.79475829324495695</v>
      </c>
      <c r="Y317" s="37">
        <v>0.15766241172207099</v>
      </c>
      <c r="Z317" s="37">
        <v>1.60010869653469</v>
      </c>
      <c r="AA317" s="37">
        <v>2.5396411397998202</v>
      </c>
      <c r="AB317" s="37">
        <v>7.3503405265209096</v>
      </c>
      <c r="AC317" s="37">
        <v>2.36757171115537</v>
      </c>
      <c r="AD317" s="37">
        <v>3.0170800957248498</v>
      </c>
      <c r="AE317" s="37">
        <v>4.5679105394238499</v>
      </c>
      <c r="AF317" s="45">
        <v>-2.2570716085768101</v>
      </c>
      <c r="AG317" s="45">
        <v>-4.7525873918724404</v>
      </c>
      <c r="AH317" s="46">
        <v>2.5880283677842501E-5</v>
      </c>
      <c r="AI317" s="47">
        <v>8.3642076234186806E-5</v>
      </c>
      <c r="AJ317" s="48">
        <v>13.304317943504399</v>
      </c>
      <c r="AK317" s="49">
        <v>2.7993841767658099</v>
      </c>
      <c r="AL317" s="31" t="s">
        <v>5875</v>
      </c>
      <c r="AM317" s="31" t="s">
        <v>5876</v>
      </c>
      <c r="AN317" s="31" t="s">
        <v>34388</v>
      </c>
      <c r="AO317" s="31" t="s">
        <v>34389</v>
      </c>
      <c r="AP317" s="31" t="s">
        <v>34390</v>
      </c>
      <c r="AQ317" s="31" t="s">
        <v>34391</v>
      </c>
      <c r="AR317" s="31" t="s">
        <v>34392</v>
      </c>
      <c r="AS317" s="31" t="str">
        <f>"ATRN"</f>
        <v>ATRN</v>
      </c>
      <c r="AT317" s="31" t="s">
        <v>34393</v>
      </c>
      <c r="AU317" s="31" t="s">
        <v>13777</v>
      </c>
      <c r="AV317" s="31">
        <v>9606</v>
      </c>
      <c r="AW317" s="50" t="str">
        <f>HYPERLINK("http://www.uniprot.org/uniprot/O75882", "O75882")</f>
        <v>O75882</v>
      </c>
      <c r="AX317" s="31" t="s">
        <v>34394</v>
      </c>
      <c r="AY317" s="31" t="s">
        <v>17346</v>
      </c>
      <c r="AZ317" s="31" t="s">
        <v>14336</v>
      </c>
      <c r="BA317" s="31" t="s">
        <v>13780</v>
      </c>
      <c r="BB317" s="31" t="s">
        <v>13772</v>
      </c>
      <c r="BC317" s="31" t="s">
        <v>13772</v>
      </c>
      <c r="BD317" s="31" t="s">
        <v>34395</v>
      </c>
      <c r="BE317" s="31" t="s">
        <v>14277</v>
      </c>
      <c r="BF317" s="31" t="s">
        <v>13795</v>
      </c>
      <c r="BG317" s="31" t="s">
        <v>13796</v>
      </c>
      <c r="BH317" s="31" t="s">
        <v>13772</v>
      </c>
      <c r="BI317" s="31" t="s">
        <v>34396</v>
      </c>
      <c r="BJ317" s="31" t="s">
        <v>34397</v>
      </c>
      <c r="BK317" s="31" t="s">
        <v>34398</v>
      </c>
      <c r="BL317" s="31" t="s">
        <v>13772</v>
      </c>
      <c r="BM317" s="31" t="s">
        <v>13772</v>
      </c>
    </row>
    <row r="318" spans="1:65">
      <c r="A318">
        <v>709</v>
      </c>
      <c r="B318">
        <v>1</v>
      </c>
      <c r="C318">
        <v>313</v>
      </c>
      <c r="D318" t="s">
        <v>1747</v>
      </c>
      <c r="E318" t="s">
        <v>73</v>
      </c>
      <c r="F318" t="s">
        <v>73</v>
      </c>
      <c r="G318">
        <v>49.4</v>
      </c>
      <c r="H318">
        <v>869</v>
      </c>
      <c r="I318">
        <v>96214</v>
      </c>
      <c r="J318" t="s">
        <v>1748</v>
      </c>
      <c r="K318" s="3" t="s">
        <v>73</v>
      </c>
      <c r="L318">
        <v>133</v>
      </c>
      <c r="M318">
        <v>133</v>
      </c>
      <c r="N318">
        <v>1</v>
      </c>
      <c r="O318" s="11">
        <f t="shared" si="4"/>
        <v>8.3385722819880659</v>
      </c>
      <c r="P318" s="36">
        <v>4.8465735833389196</v>
      </c>
      <c r="Q318" s="36">
        <v>18.2982182928715</v>
      </c>
      <c r="R318" s="36">
        <v>16.007976618122601</v>
      </c>
      <c r="S318" s="36">
        <v>18.143061109838801</v>
      </c>
      <c r="T318" s="36">
        <v>19.784056278548501</v>
      </c>
      <c r="U318" s="36">
        <v>13.0161814529529</v>
      </c>
      <c r="V318" s="36">
        <v>10.5406228286464</v>
      </c>
      <c r="W318" s="36">
        <v>2.9195507939469199</v>
      </c>
      <c r="X318" s="37">
        <v>8.7423412256945294</v>
      </c>
      <c r="Y318" s="37">
        <v>3.1532482344414299</v>
      </c>
      <c r="Z318" s="37">
        <v>2.4001630448020301</v>
      </c>
      <c r="AA318" s="37">
        <v>4.2327352329997003</v>
      </c>
      <c r="AB318" s="37">
        <v>0.91879256581511404</v>
      </c>
      <c r="AC318" s="37">
        <v>3.94595285192562</v>
      </c>
      <c r="AD318" s="37">
        <v>0.377135011965606</v>
      </c>
      <c r="AE318" s="37">
        <v>6.0905473858984696</v>
      </c>
      <c r="AF318" s="45">
        <v>-1.73809356806032</v>
      </c>
      <c r="AG318" s="45">
        <v>-3.4679526410562902</v>
      </c>
      <c r="AH318" s="46">
        <v>2.4783890256466001E-4</v>
      </c>
      <c r="AI318" s="47">
        <v>6.3770856082983598E-4</v>
      </c>
      <c r="AJ318" s="48">
        <v>12.9445301197833</v>
      </c>
      <c r="AK318" s="49">
        <v>3.73261444419281</v>
      </c>
      <c r="AL318" s="31" t="s">
        <v>5875</v>
      </c>
      <c r="AM318" s="31" t="s">
        <v>5876</v>
      </c>
      <c r="AN318" s="31" t="s">
        <v>20791</v>
      </c>
      <c r="AO318" s="31" t="s">
        <v>20792</v>
      </c>
      <c r="AP318" s="31" t="s">
        <v>20793</v>
      </c>
      <c r="AQ318" s="31" t="s">
        <v>20794</v>
      </c>
      <c r="AR318" s="31" t="s">
        <v>20795</v>
      </c>
      <c r="AS318" s="31" t="str">
        <f>"PDCD6IP"</f>
        <v>PDCD6IP</v>
      </c>
      <c r="AT318" s="31" t="s">
        <v>20796</v>
      </c>
      <c r="AU318" s="31" t="s">
        <v>13777</v>
      </c>
      <c r="AV318" s="31">
        <v>9606</v>
      </c>
      <c r="AW318" s="50" t="str">
        <f>HYPERLINK("http://www.uniprot.org/uniprot/Q8WUM4", "Q8WUM4")</f>
        <v>Q8WUM4</v>
      </c>
      <c r="AX318" s="31" t="s">
        <v>20797</v>
      </c>
      <c r="AY318" s="31" t="s">
        <v>20798</v>
      </c>
      <c r="AZ318" s="31" t="s">
        <v>20799</v>
      </c>
      <c r="BA318" s="31" t="s">
        <v>13780</v>
      </c>
      <c r="BB318" s="31" t="s">
        <v>13772</v>
      </c>
      <c r="BC318" s="31" t="s">
        <v>13772</v>
      </c>
      <c r="BD318" s="31" t="s">
        <v>13772</v>
      </c>
      <c r="BE318" s="31" t="s">
        <v>13772</v>
      </c>
      <c r="BF318" s="31" t="s">
        <v>13772</v>
      </c>
      <c r="BG318" s="31" t="s">
        <v>14098</v>
      </c>
      <c r="BH318" s="31" t="s">
        <v>13812</v>
      </c>
      <c r="BI318" s="31" t="s">
        <v>20800</v>
      </c>
      <c r="BJ318" s="31" t="s">
        <v>20801</v>
      </c>
      <c r="BK318" s="31" t="s">
        <v>20802</v>
      </c>
      <c r="BL318" s="31" t="s">
        <v>13772</v>
      </c>
      <c r="BM318" s="31" t="s">
        <v>20803</v>
      </c>
    </row>
    <row r="319" spans="1:65">
      <c r="A319">
        <v>784</v>
      </c>
      <c r="B319">
        <v>1</v>
      </c>
      <c r="C319">
        <v>314</v>
      </c>
      <c r="D319" t="s">
        <v>1927</v>
      </c>
      <c r="E319" t="s">
        <v>73</v>
      </c>
      <c r="F319" t="s">
        <v>73</v>
      </c>
      <c r="G319">
        <v>27.7</v>
      </c>
      <c r="H319">
        <v>892</v>
      </c>
      <c r="I319">
        <v>96847</v>
      </c>
      <c r="J319" t="s">
        <v>1928</v>
      </c>
      <c r="K319" s="3" t="s">
        <v>73</v>
      </c>
      <c r="L319">
        <v>133</v>
      </c>
      <c r="M319">
        <v>133</v>
      </c>
      <c r="N319">
        <v>1</v>
      </c>
      <c r="O319" s="11">
        <f t="shared" si="4"/>
        <v>7.3887675454297401</v>
      </c>
      <c r="P319" s="36">
        <v>7.2698603750083803</v>
      </c>
      <c r="Q319" s="36">
        <v>0.24076603016936199</v>
      </c>
      <c r="R319" s="36">
        <v>11.2055836326858</v>
      </c>
      <c r="S319" s="36">
        <v>7.5596087957661497</v>
      </c>
      <c r="T319" s="36">
        <v>5.1610581596213496</v>
      </c>
      <c r="U319" s="36">
        <v>4.6486362331974602</v>
      </c>
      <c r="V319" s="36">
        <v>3.1621868485939202</v>
      </c>
      <c r="W319" s="36">
        <v>0.24329589949557701</v>
      </c>
      <c r="X319" s="37">
        <v>15.8951658648991</v>
      </c>
      <c r="Y319" s="37">
        <v>9.4597447033242794</v>
      </c>
      <c r="Z319" s="37">
        <v>11.2007608757428</v>
      </c>
      <c r="AA319" s="37">
        <v>9.3120175125993505</v>
      </c>
      <c r="AB319" s="37">
        <v>11.944303355596499</v>
      </c>
      <c r="AC319" s="37">
        <v>11.837858555776901</v>
      </c>
      <c r="AD319" s="37">
        <v>6.0341601914496898</v>
      </c>
      <c r="AE319" s="37">
        <v>3.0452736929492299</v>
      </c>
      <c r="AF319" s="45">
        <v>1.0951852588995701</v>
      </c>
      <c r="AG319" s="45">
        <v>1.9936008907726399</v>
      </c>
      <c r="AH319" s="46">
        <v>2.44037864833197E-2</v>
      </c>
      <c r="AI319" s="47">
        <v>4.1123761101614302E-2</v>
      </c>
      <c r="AJ319" s="48">
        <v>4.9363744968172503</v>
      </c>
      <c r="AK319" s="49">
        <v>9.8411605940422309</v>
      </c>
      <c r="AL319" s="31" t="s">
        <v>5874</v>
      </c>
      <c r="AM319" s="31" t="s">
        <v>5878</v>
      </c>
      <c r="AN319" s="31" t="s">
        <v>21513</v>
      </c>
      <c r="AO319" s="31" t="s">
        <v>21514</v>
      </c>
      <c r="AP319" s="31" t="s">
        <v>21515</v>
      </c>
      <c r="AQ319" s="31" t="s">
        <v>21516</v>
      </c>
      <c r="AR319" s="31" t="s">
        <v>21517</v>
      </c>
      <c r="AS319" s="31" t="str">
        <f>"DAG1"</f>
        <v>DAG1</v>
      </c>
      <c r="AT319" s="31" t="s">
        <v>13772</v>
      </c>
      <c r="AU319" s="31" t="s">
        <v>13777</v>
      </c>
      <c r="AV319" s="31">
        <v>9606</v>
      </c>
      <c r="AW319" s="50" t="str">
        <f>HYPERLINK("http://www.uniprot.org/uniprot/Q14118", "Q14118")</f>
        <v>Q14118</v>
      </c>
      <c r="AX319" s="31" t="s">
        <v>21518</v>
      </c>
      <c r="AY319" s="31" t="s">
        <v>14563</v>
      </c>
      <c r="AZ319" s="31" t="s">
        <v>21519</v>
      </c>
      <c r="BA319" s="31" t="s">
        <v>13793</v>
      </c>
      <c r="BB319" s="31" t="s">
        <v>13772</v>
      </c>
      <c r="BC319" s="31" t="s">
        <v>21520</v>
      </c>
      <c r="BD319" s="31" t="s">
        <v>13855</v>
      </c>
      <c r="BE319" s="31" t="s">
        <v>13772</v>
      </c>
      <c r="BF319" s="31" t="s">
        <v>18791</v>
      </c>
      <c r="BG319" s="31" t="s">
        <v>19637</v>
      </c>
      <c r="BH319" s="31" t="s">
        <v>13812</v>
      </c>
      <c r="BI319" s="31" t="s">
        <v>21521</v>
      </c>
      <c r="BJ319" s="31" t="s">
        <v>21522</v>
      </c>
      <c r="BK319" s="31" t="s">
        <v>21523</v>
      </c>
      <c r="BL319" s="31" t="s">
        <v>13772</v>
      </c>
      <c r="BM319" s="31" t="s">
        <v>21524</v>
      </c>
    </row>
    <row r="320" spans="1:65">
      <c r="A320">
        <v>833</v>
      </c>
      <c r="B320">
        <v>1</v>
      </c>
      <c r="C320">
        <v>315</v>
      </c>
      <c r="D320" t="s">
        <v>2040</v>
      </c>
      <c r="E320" t="s">
        <v>73</v>
      </c>
      <c r="F320" t="s">
        <v>73</v>
      </c>
      <c r="G320">
        <v>43.2</v>
      </c>
      <c r="H320">
        <v>132</v>
      </c>
      <c r="I320">
        <v>14324</v>
      </c>
      <c r="J320" t="s">
        <v>2041</v>
      </c>
      <c r="K320" s="3" t="s">
        <v>73</v>
      </c>
      <c r="L320">
        <v>131</v>
      </c>
      <c r="M320">
        <v>131</v>
      </c>
      <c r="N320">
        <v>1</v>
      </c>
      <c r="O320" s="11">
        <f t="shared" si="4"/>
        <v>8.5573944731899942</v>
      </c>
      <c r="P320" s="36">
        <v>8.4815037708430996</v>
      </c>
      <c r="Q320" s="36">
        <v>8.6675770860970207</v>
      </c>
      <c r="R320" s="36">
        <v>14.4071789563103</v>
      </c>
      <c r="S320" s="36">
        <v>25.7026699056049</v>
      </c>
      <c r="T320" s="36">
        <v>8.6017635993689208</v>
      </c>
      <c r="U320" s="36">
        <v>5.5783634798369501</v>
      </c>
      <c r="V320" s="36">
        <v>10.5406228286464</v>
      </c>
      <c r="W320" s="36">
        <v>5.8391015878938397</v>
      </c>
      <c r="X320" s="37">
        <v>3.9737914662247902</v>
      </c>
      <c r="Y320" s="37">
        <v>3.1532482344414299</v>
      </c>
      <c r="Z320" s="37">
        <v>8.8005978309407702</v>
      </c>
      <c r="AA320" s="37">
        <v>3.3861881863997598</v>
      </c>
      <c r="AB320" s="37">
        <v>4.5939628290755703</v>
      </c>
      <c r="AC320" s="37">
        <v>5.5243339926958699</v>
      </c>
      <c r="AD320" s="37">
        <v>13.576860430761799</v>
      </c>
      <c r="AE320" s="37">
        <v>6.0905473858984696</v>
      </c>
      <c r="AF320" s="45">
        <v>-0.84435104189275201</v>
      </c>
      <c r="AG320" s="45">
        <v>-1.78858699008077</v>
      </c>
      <c r="AH320" s="46">
        <v>5.1084727464355599E-2</v>
      </c>
      <c r="AI320" s="47">
        <v>7.9110376559383994E-2</v>
      </c>
      <c r="AJ320" s="48">
        <v>10.9773476518252</v>
      </c>
      <c r="AK320" s="49">
        <v>6.1374412945548098</v>
      </c>
      <c r="AL320" s="31" t="s">
        <v>5875</v>
      </c>
      <c r="AM320" s="31" t="s">
        <v>5877</v>
      </c>
      <c r="AN320" s="31" t="s">
        <v>22007</v>
      </c>
      <c r="AO320" s="31" t="s">
        <v>22008</v>
      </c>
      <c r="AP320" s="31" t="s">
        <v>22009</v>
      </c>
      <c r="AQ320" s="31" t="s">
        <v>22010</v>
      </c>
      <c r="AR320" s="31" t="s">
        <v>22011</v>
      </c>
      <c r="AS320" s="31" t="str">
        <f>"TFF2"</f>
        <v>TFF2</v>
      </c>
      <c r="AT320" s="31" t="s">
        <v>22012</v>
      </c>
      <c r="AU320" s="31" t="s">
        <v>13777</v>
      </c>
      <c r="AV320" s="31">
        <v>9606</v>
      </c>
      <c r="AW320" s="50" t="str">
        <f>HYPERLINK("http://www.uniprot.org/uniprot/Q03403", "Q03403")</f>
        <v>Q03403</v>
      </c>
      <c r="AX320" s="31" t="s">
        <v>22013</v>
      </c>
      <c r="AY320" s="31" t="s">
        <v>13772</v>
      </c>
      <c r="AZ320" s="31" t="s">
        <v>14321</v>
      </c>
      <c r="BA320" s="31" t="s">
        <v>13793</v>
      </c>
      <c r="BB320" s="31" t="s">
        <v>13772</v>
      </c>
      <c r="BC320" s="31" t="s">
        <v>13772</v>
      </c>
      <c r="BD320" s="31" t="s">
        <v>14404</v>
      </c>
      <c r="BE320" s="31" t="s">
        <v>13772</v>
      </c>
      <c r="BF320" s="31" t="s">
        <v>13772</v>
      </c>
      <c r="BG320" s="31" t="s">
        <v>14506</v>
      </c>
      <c r="BH320" s="31" t="s">
        <v>13772</v>
      </c>
      <c r="BI320" s="31" t="s">
        <v>22014</v>
      </c>
      <c r="BJ320" s="31" t="s">
        <v>14508</v>
      </c>
      <c r="BK320" s="31" t="s">
        <v>22015</v>
      </c>
      <c r="BL320" s="31" t="s">
        <v>13772</v>
      </c>
      <c r="BM320" s="31" t="s">
        <v>13772</v>
      </c>
    </row>
    <row r="321" spans="1:65">
      <c r="A321">
        <v>315</v>
      </c>
      <c r="B321">
        <v>1</v>
      </c>
      <c r="C321">
        <v>316</v>
      </c>
      <c r="D321" t="s">
        <v>790</v>
      </c>
      <c r="E321" t="s">
        <v>73</v>
      </c>
      <c r="F321" t="s">
        <v>73</v>
      </c>
      <c r="G321">
        <v>59.3</v>
      </c>
      <c r="H321">
        <v>145</v>
      </c>
      <c r="I321">
        <v>16544</v>
      </c>
      <c r="J321" t="s">
        <v>791</v>
      </c>
      <c r="K321" s="3" t="s">
        <v>73</v>
      </c>
      <c r="L321">
        <v>130</v>
      </c>
      <c r="M321">
        <v>130</v>
      </c>
      <c r="N321">
        <v>1</v>
      </c>
      <c r="O321" s="11">
        <f t="shared" si="4"/>
        <v>9.6760810200415079</v>
      </c>
      <c r="P321" s="36">
        <v>19.3862943333557</v>
      </c>
      <c r="Q321" s="36">
        <v>12.519833568806799</v>
      </c>
      <c r="R321" s="36">
        <v>35.217548559869698</v>
      </c>
      <c r="S321" s="36">
        <v>27.2145916647581</v>
      </c>
      <c r="T321" s="36">
        <v>6.8814108794951396</v>
      </c>
      <c r="U321" s="36">
        <v>9.2972724663949098</v>
      </c>
      <c r="V321" s="36">
        <v>11.594685111511</v>
      </c>
      <c r="W321" s="36">
        <v>6.8122851858761404</v>
      </c>
      <c r="X321" s="37">
        <v>0.19868957331123899</v>
      </c>
      <c r="Y321" s="37">
        <v>3.1532482344414299</v>
      </c>
      <c r="Z321" s="37">
        <v>1.60010869653469</v>
      </c>
      <c r="AA321" s="37">
        <v>0.21163676164998499</v>
      </c>
      <c r="AB321" s="37">
        <v>2.7563776974453398</v>
      </c>
      <c r="AC321" s="37">
        <v>5.5243339926958699</v>
      </c>
      <c r="AD321" s="37">
        <v>12.068320382899399</v>
      </c>
      <c r="AE321" s="37">
        <v>0.38065921161865401</v>
      </c>
      <c r="AF321" s="45">
        <v>-2.3262979018614298</v>
      </c>
      <c r="AG321" s="45">
        <v>-4.9790312776013597</v>
      </c>
      <c r="AH321" s="46">
        <v>9.3421615854954096E-5</v>
      </c>
      <c r="AI321" s="47">
        <v>2.6709000430326601E-4</v>
      </c>
      <c r="AJ321" s="48">
        <v>16.115490221258401</v>
      </c>
      <c r="AK321" s="49">
        <v>3.2366718188245698</v>
      </c>
      <c r="AL321" s="31" t="s">
        <v>5875</v>
      </c>
      <c r="AM321" s="31" t="s">
        <v>5876</v>
      </c>
      <c r="AN321" s="31" t="s">
        <v>16694</v>
      </c>
      <c r="AO321" s="31" t="s">
        <v>16695</v>
      </c>
      <c r="AP321" s="31" t="s">
        <v>16696</v>
      </c>
      <c r="AQ321" s="31" t="s">
        <v>16697</v>
      </c>
      <c r="AR321" s="31" t="s">
        <v>16698</v>
      </c>
      <c r="AS321" s="31" t="str">
        <f>"PIP"</f>
        <v>PIP</v>
      </c>
      <c r="AT321" s="31" t="s">
        <v>16699</v>
      </c>
      <c r="AU321" s="31" t="s">
        <v>13777</v>
      </c>
      <c r="AV321" s="31">
        <v>9606</v>
      </c>
      <c r="AW321" s="50" t="str">
        <f>HYPERLINK("http://www.uniprot.org/uniprot/P12273", "P12273")</f>
        <v>P12273</v>
      </c>
      <c r="AX321" s="31" t="s">
        <v>16700</v>
      </c>
      <c r="AY321" s="31" t="s">
        <v>13772</v>
      </c>
      <c r="AZ321" s="31" t="s">
        <v>14321</v>
      </c>
      <c r="BA321" s="31" t="s">
        <v>13772</v>
      </c>
      <c r="BB321" s="31" t="s">
        <v>13772</v>
      </c>
      <c r="BC321" s="31" t="s">
        <v>13772</v>
      </c>
      <c r="BD321" s="31" t="s">
        <v>13808</v>
      </c>
      <c r="BE321" s="31" t="s">
        <v>13772</v>
      </c>
      <c r="BF321" s="31" t="s">
        <v>13990</v>
      </c>
      <c r="BG321" s="31" t="s">
        <v>16701</v>
      </c>
      <c r="BH321" s="31" t="s">
        <v>13812</v>
      </c>
      <c r="BI321" s="31" t="s">
        <v>16702</v>
      </c>
      <c r="BJ321" s="31" t="s">
        <v>16703</v>
      </c>
      <c r="BK321" s="31" t="s">
        <v>16704</v>
      </c>
      <c r="BL321" s="31" t="s">
        <v>13772</v>
      </c>
      <c r="BM321" s="31" t="s">
        <v>16705</v>
      </c>
    </row>
    <row r="322" spans="1:65">
      <c r="A322">
        <v>777</v>
      </c>
      <c r="B322">
        <v>1</v>
      </c>
      <c r="C322">
        <v>317</v>
      </c>
      <c r="D322" t="s">
        <v>1909</v>
      </c>
      <c r="E322" t="s">
        <v>1910</v>
      </c>
      <c r="F322" t="s">
        <v>73</v>
      </c>
      <c r="G322">
        <v>59.5</v>
      </c>
      <c r="H322">
        <v>442</v>
      </c>
      <c r="I322">
        <v>48935</v>
      </c>
      <c r="J322" t="s">
        <v>1911</v>
      </c>
      <c r="K322" s="3" t="s">
        <v>73</v>
      </c>
      <c r="L322">
        <v>130</v>
      </c>
      <c r="M322">
        <v>130</v>
      </c>
      <c r="N322">
        <v>1</v>
      </c>
      <c r="O322" s="11">
        <f t="shared" si="4"/>
        <v>8.0007374954088277</v>
      </c>
      <c r="P322" s="36">
        <v>13.328077354182</v>
      </c>
      <c r="Q322" s="36">
        <v>20.224346534226399</v>
      </c>
      <c r="R322" s="36">
        <v>3.2015953236245198</v>
      </c>
      <c r="S322" s="36">
        <v>12.0953740732258</v>
      </c>
      <c r="T322" s="36">
        <v>24.945114438169899</v>
      </c>
      <c r="U322" s="36">
        <v>24.1729084126268</v>
      </c>
      <c r="V322" s="36">
        <v>8.4324982629171306</v>
      </c>
      <c r="W322" s="36">
        <v>8.7586523818407507</v>
      </c>
      <c r="X322" s="37">
        <v>2.3842748797348698</v>
      </c>
      <c r="Y322" s="37">
        <v>4.4145475282179998</v>
      </c>
      <c r="Z322" s="37">
        <v>1.60010869653469</v>
      </c>
      <c r="AA322" s="37">
        <v>0.84654704659994096</v>
      </c>
      <c r="AB322" s="37">
        <v>0.91879256581511404</v>
      </c>
      <c r="AC322" s="37">
        <v>0.78919057038512497</v>
      </c>
      <c r="AD322" s="37">
        <v>0.377135011965606</v>
      </c>
      <c r="AE322" s="37">
        <v>1.5226368464746201</v>
      </c>
      <c r="AF322" s="45">
        <v>-2.9883533702527498</v>
      </c>
      <c r="AG322" s="45">
        <v>-8.9595018992624897</v>
      </c>
      <c r="AH322" s="46">
        <v>2.5213405050380701E-9</v>
      </c>
      <c r="AI322" s="47">
        <v>2.8589437252041799E-8</v>
      </c>
      <c r="AJ322" s="48">
        <v>14.3948208476017</v>
      </c>
      <c r="AK322" s="49">
        <v>1.60665414321599</v>
      </c>
      <c r="AL322" s="31" t="s">
        <v>5875</v>
      </c>
      <c r="AM322" s="31" t="s">
        <v>5876</v>
      </c>
      <c r="AN322" s="31" t="s">
        <v>21442</v>
      </c>
      <c r="AO322" s="31" t="s">
        <v>21443</v>
      </c>
      <c r="AP322" s="31" t="s">
        <v>21444</v>
      </c>
      <c r="AQ322" s="31" t="s">
        <v>21445</v>
      </c>
      <c r="AR322" s="31" t="s">
        <v>21446</v>
      </c>
      <c r="AS322" s="31" t="str">
        <f>"ACY1"</f>
        <v>ACY1</v>
      </c>
      <c r="AT322" s="31" t="s">
        <v>13772</v>
      </c>
      <c r="AU322" s="31" t="s">
        <v>13777</v>
      </c>
      <c r="AV322" s="31">
        <v>9606</v>
      </c>
      <c r="AW322" s="50" t="str">
        <f>HYPERLINK("http://www.uniprot.org/uniprot/Q03154", "Q03154")</f>
        <v>Q03154</v>
      </c>
      <c r="AX322" s="31" t="s">
        <v>21447</v>
      </c>
      <c r="AY322" s="31" t="s">
        <v>13772</v>
      </c>
      <c r="AZ322" s="31" t="s">
        <v>13899</v>
      </c>
      <c r="BA322" s="31" t="s">
        <v>13780</v>
      </c>
      <c r="BB322" s="31" t="s">
        <v>13772</v>
      </c>
      <c r="BC322" s="31" t="s">
        <v>13807</v>
      </c>
      <c r="BD322" s="31" t="s">
        <v>13772</v>
      </c>
      <c r="BE322" s="31" t="s">
        <v>13856</v>
      </c>
      <c r="BF322" s="31" t="s">
        <v>13857</v>
      </c>
      <c r="BG322" s="31" t="s">
        <v>13772</v>
      </c>
      <c r="BH322" s="31" t="s">
        <v>13812</v>
      </c>
      <c r="BI322" s="31" t="s">
        <v>21448</v>
      </c>
      <c r="BJ322" s="31" t="s">
        <v>15111</v>
      </c>
      <c r="BK322" s="31" t="s">
        <v>21449</v>
      </c>
      <c r="BL322" s="31" t="s">
        <v>13772</v>
      </c>
      <c r="BM322" s="31" t="s">
        <v>21450</v>
      </c>
    </row>
    <row r="323" spans="1:65">
      <c r="A323">
        <v>1808</v>
      </c>
      <c r="B323">
        <v>1</v>
      </c>
      <c r="C323">
        <v>318</v>
      </c>
      <c r="D323" t="s">
        <v>4275</v>
      </c>
      <c r="E323" t="s">
        <v>73</v>
      </c>
      <c r="F323" t="s">
        <v>73</v>
      </c>
      <c r="G323">
        <v>46.9</v>
      </c>
      <c r="H323">
        <v>350</v>
      </c>
      <c r="I323">
        <v>37350</v>
      </c>
      <c r="J323" t="s">
        <v>4276</v>
      </c>
      <c r="K323" s="3" t="s">
        <v>73</v>
      </c>
      <c r="L323">
        <v>128</v>
      </c>
      <c r="M323">
        <v>128</v>
      </c>
      <c r="N323">
        <v>1</v>
      </c>
      <c r="O323" s="11">
        <f t="shared" si="4"/>
        <v>7.4769449868619482</v>
      </c>
      <c r="P323" s="36">
        <v>4.8465735833389196</v>
      </c>
      <c r="Q323" s="36">
        <v>11.556769448129399</v>
      </c>
      <c r="R323" s="36">
        <v>17.608774279934799</v>
      </c>
      <c r="S323" s="36">
        <v>21.1669046281452</v>
      </c>
      <c r="T323" s="36">
        <v>16.343350838801001</v>
      </c>
      <c r="U323" s="36">
        <v>3.7189089865579601</v>
      </c>
      <c r="V323" s="36">
        <v>4.21624913145856</v>
      </c>
      <c r="W323" s="36">
        <v>0.97318359798230603</v>
      </c>
      <c r="X323" s="37">
        <v>3.17903317297983</v>
      </c>
      <c r="Y323" s="37">
        <v>3.1532482344414299</v>
      </c>
      <c r="Z323" s="37">
        <v>8.0005434826734305</v>
      </c>
      <c r="AA323" s="37">
        <v>7.6189234193994704</v>
      </c>
      <c r="AB323" s="37">
        <v>2.7563776974453398</v>
      </c>
      <c r="AC323" s="37">
        <v>2.36757171115537</v>
      </c>
      <c r="AD323" s="37">
        <v>6.0341601914496898</v>
      </c>
      <c r="AE323" s="37">
        <v>6.0905473858984696</v>
      </c>
      <c r="AF323" s="45">
        <v>-1.01104290987139</v>
      </c>
      <c r="AG323" s="45">
        <v>-2.05178272745303</v>
      </c>
      <c r="AH323" s="46">
        <v>4.8952834600685599E-2</v>
      </c>
      <c r="AI323" s="47">
        <v>7.6161503134554998E-2</v>
      </c>
      <c r="AJ323" s="48">
        <v>10.053839311793499</v>
      </c>
      <c r="AK323" s="49">
        <v>4.9000506619303801</v>
      </c>
      <c r="AL323" s="31" t="s">
        <v>5875</v>
      </c>
      <c r="AM323" s="31" t="s">
        <v>5877</v>
      </c>
      <c r="AN323" s="31" t="s">
        <v>31161</v>
      </c>
      <c r="AO323" s="31" t="s">
        <v>31162</v>
      </c>
      <c r="AP323" s="31" t="s">
        <v>31163</v>
      </c>
      <c r="AQ323" s="31" t="s">
        <v>31164</v>
      </c>
      <c r="AR323" s="31" t="s">
        <v>31165</v>
      </c>
      <c r="AS323" s="31" t="str">
        <f>"MUC1"</f>
        <v>MUC1</v>
      </c>
      <c r="AT323" s="31" t="s">
        <v>31166</v>
      </c>
      <c r="AU323" s="31" t="s">
        <v>13777</v>
      </c>
      <c r="AV323" s="31">
        <v>9606</v>
      </c>
      <c r="AW323" s="50" t="str">
        <f>HYPERLINK("http://www.uniprot.org/uniprot/P15941", "P15941")</f>
        <v>P15941</v>
      </c>
      <c r="AX323" s="31" t="s">
        <v>31167</v>
      </c>
      <c r="AY323" s="31" t="s">
        <v>13772</v>
      </c>
      <c r="AZ323" s="31" t="s">
        <v>27208</v>
      </c>
      <c r="BA323" s="31" t="s">
        <v>13780</v>
      </c>
      <c r="BB323" s="31" t="s">
        <v>13772</v>
      </c>
      <c r="BC323" s="31" t="s">
        <v>14505</v>
      </c>
      <c r="BD323" s="31" t="s">
        <v>13826</v>
      </c>
      <c r="BE323" s="31" t="s">
        <v>13772</v>
      </c>
      <c r="BF323" s="31" t="s">
        <v>13772</v>
      </c>
      <c r="BG323" s="31" t="s">
        <v>31168</v>
      </c>
      <c r="BH323" s="31" t="s">
        <v>13812</v>
      </c>
      <c r="BI323" s="31" t="s">
        <v>31169</v>
      </c>
      <c r="BJ323" s="31" t="s">
        <v>31170</v>
      </c>
      <c r="BK323" s="31" t="s">
        <v>31171</v>
      </c>
      <c r="BL323" s="31" t="s">
        <v>13772</v>
      </c>
      <c r="BM323" s="31" t="s">
        <v>31172</v>
      </c>
    </row>
    <row r="324" spans="1:65">
      <c r="A324">
        <v>2438</v>
      </c>
      <c r="B324">
        <v>1</v>
      </c>
      <c r="C324">
        <v>319</v>
      </c>
      <c r="D324" t="s">
        <v>5718</v>
      </c>
      <c r="E324" t="s">
        <v>73</v>
      </c>
      <c r="F324" t="s">
        <v>5719</v>
      </c>
      <c r="G324">
        <v>28.1</v>
      </c>
      <c r="H324">
        <v>221</v>
      </c>
      <c r="I324">
        <v>22249</v>
      </c>
      <c r="J324" t="s">
        <v>5720</v>
      </c>
      <c r="K324" s="3" t="s">
        <v>73</v>
      </c>
      <c r="L324">
        <v>127</v>
      </c>
      <c r="M324">
        <v>127</v>
      </c>
      <c r="N324">
        <v>1</v>
      </c>
      <c r="O324" s="11">
        <f t="shared" si="4"/>
        <v>6.1432318440942941</v>
      </c>
      <c r="P324" s="36">
        <v>0.30291084895868198</v>
      </c>
      <c r="Q324" s="36">
        <v>0.96306412067744696</v>
      </c>
      <c r="R324" s="36">
        <v>0.40019941545306398</v>
      </c>
      <c r="S324" s="36">
        <v>1.5119217591532299</v>
      </c>
      <c r="T324" s="36">
        <v>0.86017635993689201</v>
      </c>
      <c r="U324" s="36">
        <v>2.7891817399184702</v>
      </c>
      <c r="V324" s="36">
        <v>2.10812456572928</v>
      </c>
      <c r="W324" s="36">
        <v>6.8122851858761404</v>
      </c>
      <c r="X324" s="37">
        <v>12.716132691919301</v>
      </c>
      <c r="Y324" s="37">
        <v>10.0903943502126</v>
      </c>
      <c r="Z324" s="37">
        <v>12.800869572277501</v>
      </c>
      <c r="AA324" s="37">
        <v>14.391299792199</v>
      </c>
      <c r="AB324" s="37">
        <v>14.7006810530418</v>
      </c>
      <c r="AC324" s="37">
        <v>10.2594774150066</v>
      </c>
      <c r="AD324" s="37">
        <v>3.0170800957248498</v>
      </c>
      <c r="AE324" s="37">
        <v>4.5679105394238499</v>
      </c>
      <c r="AF324" s="45">
        <v>2.2904852007145999</v>
      </c>
      <c r="AG324" s="45">
        <v>5.2415899408534097</v>
      </c>
      <c r="AH324" s="46">
        <v>2.5313489848940899E-6</v>
      </c>
      <c r="AI324" s="47">
        <v>1.0786448859198401E-5</v>
      </c>
      <c r="AJ324" s="48">
        <v>1.9684829994629001</v>
      </c>
      <c r="AK324" s="49">
        <v>10.317980688725701</v>
      </c>
      <c r="AL324" s="31" t="s">
        <v>5874</v>
      </c>
      <c r="AM324" s="31" t="s">
        <v>5876</v>
      </c>
      <c r="AN324" s="31" t="s">
        <v>20202</v>
      </c>
      <c r="AO324" s="31" t="s">
        <v>20203</v>
      </c>
      <c r="AP324" s="31" t="s">
        <v>20204</v>
      </c>
      <c r="AQ324" s="31" t="s">
        <v>20205</v>
      </c>
      <c r="AR324" s="31" t="s">
        <v>20206</v>
      </c>
      <c r="AS324" s="31" t="str">
        <f>"HIST1H1D"</f>
        <v>HIST1H1D</v>
      </c>
      <c r="AT324" s="31" t="s">
        <v>20207</v>
      </c>
      <c r="AU324" s="31" t="s">
        <v>13777</v>
      </c>
      <c r="AV324" s="31">
        <v>9606</v>
      </c>
      <c r="AW324" s="50" t="str">
        <f>HYPERLINK("http://www.uniprot.org/uniprot/P16402", "P16402")</f>
        <v>P16402</v>
      </c>
      <c r="AX324" s="31" t="s">
        <v>20208</v>
      </c>
      <c r="AY324" s="31" t="s">
        <v>13772</v>
      </c>
      <c r="AZ324" s="31" t="s">
        <v>19917</v>
      </c>
      <c r="BA324" s="31" t="s">
        <v>13793</v>
      </c>
      <c r="BB324" s="31" t="s">
        <v>13772</v>
      </c>
      <c r="BC324" s="31" t="s">
        <v>13772</v>
      </c>
      <c r="BD324" s="31" t="s">
        <v>13772</v>
      </c>
      <c r="BE324" s="31" t="s">
        <v>13772</v>
      </c>
      <c r="BF324" s="31" t="s">
        <v>15871</v>
      </c>
      <c r="BG324" s="31" t="s">
        <v>20209</v>
      </c>
      <c r="BH324" s="31" t="s">
        <v>13772</v>
      </c>
      <c r="BI324" s="31" t="s">
        <v>20210</v>
      </c>
      <c r="BJ324" s="31" t="s">
        <v>20211</v>
      </c>
      <c r="BK324" s="31" t="s">
        <v>20212</v>
      </c>
      <c r="BL324" s="31" t="s">
        <v>13772</v>
      </c>
      <c r="BM324" s="31" t="s">
        <v>20213</v>
      </c>
    </row>
    <row r="325" spans="1:65">
      <c r="A325">
        <v>308</v>
      </c>
      <c r="B325">
        <v>1</v>
      </c>
      <c r="C325">
        <v>320</v>
      </c>
      <c r="D325" t="s">
        <v>774</v>
      </c>
      <c r="E325" t="s">
        <v>73</v>
      </c>
      <c r="F325" t="s">
        <v>73</v>
      </c>
      <c r="G325">
        <v>42.2</v>
      </c>
      <c r="H325">
        <v>128</v>
      </c>
      <c r="I325">
        <v>13176</v>
      </c>
      <c r="J325" t="s">
        <v>775</v>
      </c>
      <c r="K325" s="3" t="s">
        <v>73</v>
      </c>
      <c r="L325">
        <v>126</v>
      </c>
      <c r="M325">
        <v>126</v>
      </c>
      <c r="N325">
        <v>1</v>
      </c>
      <c r="O325" s="11">
        <f t="shared" si="4"/>
        <v>9.1059666486812425</v>
      </c>
      <c r="P325" s="36">
        <v>6.0582169791736504</v>
      </c>
      <c r="Q325" s="36">
        <v>21.1874106549038</v>
      </c>
      <c r="R325" s="36">
        <v>41.620739207118703</v>
      </c>
      <c r="S325" s="36">
        <v>30.238435183064599</v>
      </c>
      <c r="T325" s="36">
        <v>11.1822926791796</v>
      </c>
      <c r="U325" s="36">
        <v>5.5783634798369501</v>
      </c>
      <c r="V325" s="36">
        <v>8.4324982629171306</v>
      </c>
      <c r="W325" s="36">
        <v>1.9463671959646101</v>
      </c>
      <c r="X325" s="37">
        <v>2.3842748797348698</v>
      </c>
      <c r="Y325" s="37">
        <v>1.89194894066486</v>
      </c>
      <c r="Z325" s="37">
        <v>3.2002173930693698</v>
      </c>
      <c r="AA325" s="37">
        <v>1.6930940931998799</v>
      </c>
      <c r="AB325" s="37">
        <v>1.8375851316302301</v>
      </c>
      <c r="AC325" s="37">
        <v>2.36757171115537</v>
      </c>
      <c r="AD325" s="37">
        <v>1.50854004786242</v>
      </c>
      <c r="AE325" s="37">
        <v>4.5679105394238499</v>
      </c>
      <c r="AF325" s="45">
        <v>-2.6328707395378999</v>
      </c>
      <c r="AG325" s="45">
        <v>-6.4903294038194899</v>
      </c>
      <c r="AH325" s="46">
        <v>6.7864244054500001E-6</v>
      </c>
      <c r="AI325" s="47">
        <v>2.64703884671654E-5</v>
      </c>
      <c r="AJ325" s="48">
        <v>15.7805404552699</v>
      </c>
      <c r="AK325" s="49">
        <v>2.4313928420926101</v>
      </c>
      <c r="AL325" s="31" t="s">
        <v>5875</v>
      </c>
      <c r="AM325" s="31" t="s">
        <v>5876</v>
      </c>
      <c r="AN325" s="31" t="s">
        <v>16620</v>
      </c>
      <c r="AO325" s="31" t="s">
        <v>16621</v>
      </c>
      <c r="AP325" s="31" t="s">
        <v>16622</v>
      </c>
      <c r="AQ325" s="31" t="s">
        <v>16623</v>
      </c>
      <c r="AR325" s="31" t="s">
        <v>16624</v>
      </c>
      <c r="AS325" s="31" t="str">
        <f>"LY6D"</f>
        <v>LY6D</v>
      </c>
      <c r="AT325" s="31" t="s">
        <v>16625</v>
      </c>
      <c r="AU325" s="31" t="s">
        <v>13777</v>
      </c>
      <c r="AV325" s="31">
        <v>9606</v>
      </c>
      <c r="AW325" s="50" t="str">
        <f>HYPERLINK("http://www.uniprot.org/uniprot/Q14210", "Q14210")</f>
        <v>Q14210</v>
      </c>
      <c r="AX325" s="31" t="s">
        <v>16626</v>
      </c>
      <c r="AY325" s="31" t="s">
        <v>13949</v>
      </c>
      <c r="AZ325" s="31" t="s">
        <v>13792</v>
      </c>
      <c r="BA325" s="31" t="s">
        <v>13793</v>
      </c>
      <c r="BB325" s="31" t="s">
        <v>13772</v>
      </c>
      <c r="BC325" s="31" t="s">
        <v>13772</v>
      </c>
      <c r="BD325" s="31" t="s">
        <v>13808</v>
      </c>
      <c r="BE325" s="31" t="s">
        <v>13772</v>
      </c>
      <c r="BF325" s="31" t="s">
        <v>13772</v>
      </c>
      <c r="BG325" s="31" t="s">
        <v>15699</v>
      </c>
      <c r="BH325" s="31" t="s">
        <v>13772</v>
      </c>
      <c r="BI325" s="31" t="s">
        <v>16627</v>
      </c>
      <c r="BJ325" s="31" t="s">
        <v>16628</v>
      </c>
      <c r="BK325" s="31" t="s">
        <v>13772</v>
      </c>
      <c r="BL325" s="31" t="s">
        <v>13772</v>
      </c>
      <c r="BM325" s="31" t="s">
        <v>16280</v>
      </c>
    </row>
    <row r="326" spans="1:65">
      <c r="A326">
        <v>1434</v>
      </c>
      <c r="B326">
        <v>1</v>
      </c>
      <c r="C326">
        <v>321</v>
      </c>
      <c r="D326" t="s">
        <v>3415</v>
      </c>
      <c r="E326" t="s">
        <v>73</v>
      </c>
      <c r="F326" t="s">
        <v>73</v>
      </c>
      <c r="G326">
        <v>31.3</v>
      </c>
      <c r="H326">
        <v>753</v>
      </c>
      <c r="I326">
        <v>85423</v>
      </c>
      <c r="J326" t="s">
        <v>3416</v>
      </c>
      <c r="K326" s="3" t="s">
        <v>73</v>
      </c>
      <c r="L326">
        <v>126</v>
      </c>
      <c r="M326">
        <v>126</v>
      </c>
      <c r="N326">
        <v>1</v>
      </c>
      <c r="O326" s="11">
        <f t="shared" si="4"/>
        <v>8.8437336126052148</v>
      </c>
      <c r="P326" s="36">
        <v>7.2698603750083803</v>
      </c>
      <c r="Q326" s="36">
        <v>6.7414488447421297</v>
      </c>
      <c r="R326" s="36">
        <v>9.6047859708735501</v>
      </c>
      <c r="S326" s="36">
        <v>9.0715305549193808</v>
      </c>
      <c r="T326" s="36">
        <v>0.86017635993689201</v>
      </c>
      <c r="U326" s="36">
        <v>2.7891817399184702</v>
      </c>
      <c r="V326" s="36">
        <v>2.10812456572928</v>
      </c>
      <c r="W326" s="36">
        <v>2.9195507939469199</v>
      </c>
      <c r="X326" s="37">
        <v>4.7685497594697397</v>
      </c>
      <c r="Y326" s="37">
        <v>9.4597447033242794</v>
      </c>
      <c r="Z326" s="37">
        <v>8.8005978309407702</v>
      </c>
      <c r="AA326" s="37">
        <v>3.3861881863997598</v>
      </c>
      <c r="AB326" s="37">
        <v>5.5127553948906796</v>
      </c>
      <c r="AC326" s="37">
        <v>3.1567622815404999</v>
      </c>
      <c r="AD326" s="37">
        <v>45.256201435872697</v>
      </c>
      <c r="AE326" s="37">
        <v>19.794279004170001</v>
      </c>
      <c r="AF326" s="45">
        <v>1.2527954743977101</v>
      </c>
      <c r="AG326" s="45">
        <v>2.42078819264932</v>
      </c>
      <c r="AH326" s="46">
        <v>4.1743871336830198E-2</v>
      </c>
      <c r="AI326" s="47">
        <v>6.6020448993710207E-2</v>
      </c>
      <c r="AJ326" s="48">
        <v>5.1705824006343697</v>
      </c>
      <c r="AK326" s="49">
        <v>12.516884824576101</v>
      </c>
      <c r="AL326" s="31" t="s">
        <v>5874</v>
      </c>
      <c r="AM326" s="31" t="s">
        <v>5877</v>
      </c>
      <c r="AN326" s="31" t="s">
        <v>27564</v>
      </c>
      <c r="AO326" s="31" t="s">
        <v>27565</v>
      </c>
      <c r="AP326" s="31" t="s">
        <v>27566</v>
      </c>
      <c r="AQ326" s="31" t="s">
        <v>27567</v>
      </c>
      <c r="AR326" s="31" t="s">
        <v>27568</v>
      </c>
      <c r="AS326" s="31" t="str">
        <f>"MEP1A"</f>
        <v>MEP1A</v>
      </c>
      <c r="AT326" s="31" t="s">
        <v>13772</v>
      </c>
      <c r="AU326" s="31" t="s">
        <v>13777</v>
      </c>
      <c r="AV326" s="31">
        <v>9606</v>
      </c>
      <c r="AW326" s="50" t="str">
        <f>HYPERLINK("http://www.uniprot.org/uniprot/Q16819", "Q16819")</f>
        <v>Q16819</v>
      </c>
      <c r="AX326" s="31" t="s">
        <v>27569</v>
      </c>
      <c r="AY326" s="31" t="s">
        <v>13772</v>
      </c>
      <c r="AZ326" s="31" t="s">
        <v>13825</v>
      </c>
      <c r="BA326" s="31" t="s">
        <v>13793</v>
      </c>
      <c r="BB326" s="31" t="s">
        <v>13772</v>
      </c>
      <c r="BC326" s="31" t="s">
        <v>13772</v>
      </c>
      <c r="BD326" s="31" t="s">
        <v>16416</v>
      </c>
      <c r="BE326" s="31" t="s">
        <v>13856</v>
      </c>
      <c r="BF326" s="31" t="s">
        <v>15139</v>
      </c>
      <c r="BG326" s="31" t="s">
        <v>15472</v>
      </c>
      <c r="BH326" s="31" t="s">
        <v>13772</v>
      </c>
      <c r="BI326" s="31" t="s">
        <v>13772</v>
      </c>
      <c r="BJ326" s="31" t="s">
        <v>27570</v>
      </c>
      <c r="BK326" s="31" t="s">
        <v>26415</v>
      </c>
      <c r="BL326" s="31" t="s">
        <v>13772</v>
      </c>
      <c r="BM326" s="31" t="s">
        <v>13772</v>
      </c>
    </row>
    <row r="327" spans="1:65">
      <c r="A327">
        <v>1783</v>
      </c>
      <c r="B327">
        <v>1</v>
      </c>
      <c r="C327">
        <v>322</v>
      </c>
      <c r="D327" t="s">
        <v>4217</v>
      </c>
      <c r="E327" t="s">
        <v>73</v>
      </c>
      <c r="F327" t="s">
        <v>73</v>
      </c>
      <c r="G327">
        <v>32.5</v>
      </c>
      <c r="H327">
        <v>200</v>
      </c>
      <c r="I327">
        <v>21971</v>
      </c>
      <c r="J327" t="s">
        <v>4218</v>
      </c>
      <c r="K327" s="3" t="s">
        <v>73</v>
      </c>
      <c r="L327">
        <v>126</v>
      </c>
      <c r="M327">
        <v>126</v>
      </c>
      <c r="N327">
        <v>1</v>
      </c>
      <c r="O327" s="11">
        <f t="shared" ref="O327:O390" si="5">AVERAGE(P327:AE327)</f>
        <v>7.4860146322282191</v>
      </c>
      <c r="P327" s="36">
        <v>6.0582169791736504</v>
      </c>
      <c r="Q327" s="36">
        <v>4.8153206033872298</v>
      </c>
      <c r="R327" s="36">
        <v>9.6047859708735501</v>
      </c>
      <c r="S327" s="36">
        <v>1.5119217591532299</v>
      </c>
      <c r="T327" s="36">
        <v>2.5805290798106801</v>
      </c>
      <c r="U327" s="36">
        <v>4.6486362331974602</v>
      </c>
      <c r="V327" s="36">
        <v>4.21624913145856</v>
      </c>
      <c r="W327" s="36">
        <v>3.8927343919292201</v>
      </c>
      <c r="X327" s="37">
        <v>5.5633080527147003</v>
      </c>
      <c r="Y327" s="37">
        <v>8.1984454095477108</v>
      </c>
      <c r="Z327" s="37">
        <v>7.2004891344060802</v>
      </c>
      <c r="AA327" s="37">
        <v>8.4654704659994096</v>
      </c>
      <c r="AB327" s="37">
        <v>5.5127553948906796</v>
      </c>
      <c r="AC327" s="37">
        <v>11.048667985391701</v>
      </c>
      <c r="AD327" s="37">
        <v>9.0512402871745401</v>
      </c>
      <c r="AE327" s="37">
        <v>27.407463236543101</v>
      </c>
      <c r="AF327" s="45">
        <v>1.0965252893711499</v>
      </c>
      <c r="AG327" s="45">
        <v>2.2087164970881301</v>
      </c>
      <c r="AH327" s="46">
        <v>1.34255711622016E-2</v>
      </c>
      <c r="AI327" s="47">
        <v>2.38875189029597E-2</v>
      </c>
      <c r="AJ327" s="48">
        <v>4.6660492686229498</v>
      </c>
      <c r="AK327" s="49">
        <v>10.3059799958335</v>
      </c>
      <c r="AL327" s="31" t="s">
        <v>5874</v>
      </c>
      <c r="AM327" s="31" t="s">
        <v>5878</v>
      </c>
      <c r="AN327" s="31" t="s">
        <v>30918</v>
      </c>
      <c r="AO327" s="31" t="s">
        <v>30919</v>
      </c>
      <c r="AP327" s="31" t="s">
        <v>30920</v>
      </c>
      <c r="AQ327" s="31" t="s">
        <v>30921</v>
      </c>
      <c r="AR327" s="31" t="s">
        <v>30922</v>
      </c>
      <c r="AS327" s="31" t="str">
        <f>"EFNA1"</f>
        <v>EFNA1</v>
      </c>
      <c r="AT327" s="31" t="s">
        <v>30923</v>
      </c>
      <c r="AU327" s="31" t="s">
        <v>13777</v>
      </c>
      <c r="AV327" s="31">
        <v>9606</v>
      </c>
      <c r="AW327" s="50" t="str">
        <f>HYPERLINK("http://www.uniprot.org/uniprot/P20827", "P20827")</f>
        <v>P20827</v>
      </c>
      <c r="AX327" s="31" t="s">
        <v>30924</v>
      </c>
      <c r="AY327" s="31" t="s">
        <v>22082</v>
      </c>
      <c r="AZ327" s="31" t="s">
        <v>14336</v>
      </c>
      <c r="BA327" s="31" t="s">
        <v>13780</v>
      </c>
      <c r="BB327" s="31" t="s">
        <v>13772</v>
      </c>
      <c r="BC327" s="31" t="s">
        <v>14505</v>
      </c>
      <c r="BD327" s="31" t="s">
        <v>13808</v>
      </c>
      <c r="BE327" s="31" t="s">
        <v>13772</v>
      </c>
      <c r="BF327" s="31" t="s">
        <v>13772</v>
      </c>
      <c r="BG327" s="31" t="s">
        <v>15699</v>
      </c>
      <c r="BH327" s="31" t="s">
        <v>13812</v>
      </c>
      <c r="BI327" s="31" t="s">
        <v>30925</v>
      </c>
      <c r="BJ327" s="31" t="s">
        <v>15701</v>
      </c>
      <c r="BK327" s="31" t="s">
        <v>30926</v>
      </c>
      <c r="BL327" s="31" t="s">
        <v>13772</v>
      </c>
      <c r="BM327" s="31" t="s">
        <v>20392</v>
      </c>
    </row>
    <row r="328" spans="1:65">
      <c r="A328">
        <v>2400</v>
      </c>
      <c r="B328">
        <v>1</v>
      </c>
      <c r="C328">
        <v>323</v>
      </c>
      <c r="D328" t="s">
        <v>5592</v>
      </c>
      <c r="E328" t="s">
        <v>73</v>
      </c>
      <c r="F328" t="s">
        <v>73</v>
      </c>
      <c r="G328">
        <v>47.1</v>
      </c>
      <c r="H328">
        <v>459</v>
      </c>
      <c r="I328">
        <v>50880</v>
      </c>
      <c r="J328" t="s">
        <v>5593</v>
      </c>
      <c r="K328" s="3" t="s">
        <v>73</v>
      </c>
      <c r="L328">
        <v>126</v>
      </c>
      <c r="M328">
        <v>126</v>
      </c>
      <c r="N328">
        <v>1</v>
      </c>
      <c r="O328" s="11">
        <f t="shared" si="5"/>
        <v>8.3778369121154412</v>
      </c>
      <c r="P328" s="36">
        <v>8.4815037708430996</v>
      </c>
      <c r="Q328" s="36">
        <v>11.556769448129399</v>
      </c>
      <c r="R328" s="36">
        <v>19.2095719417471</v>
      </c>
      <c r="S328" s="36">
        <v>12.0953740732258</v>
      </c>
      <c r="T328" s="36">
        <v>13.762821758990301</v>
      </c>
      <c r="U328" s="36">
        <v>16.735090439510799</v>
      </c>
      <c r="V328" s="36">
        <v>6.3243736971878404</v>
      </c>
      <c r="W328" s="36">
        <v>7.78546878385845</v>
      </c>
      <c r="X328" s="37">
        <v>2.3842748797348698</v>
      </c>
      <c r="Y328" s="37">
        <v>3.7838978813297102</v>
      </c>
      <c r="Z328" s="37">
        <v>5.6003804378713999</v>
      </c>
      <c r="AA328" s="37">
        <v>3.3861881863997598</v>
      </c>
      <c r="AB328" s="37">
        <v>0.91879256581511404</v>
      </c>
      <c r="AC328" s="37">
        <v>2.36757171115537</v>
      </c>
      <c r="AD328" s="37">
        <v>15.0854004786242</v>
      </c>
      <c r="AE328" s="37">
        <v>4.5679105394238499</v>
      </c>
      <c r="AF328" s="45">
        <v>-1.4143064292913801</v>
      </c>
      <c r="AG328" s="45">
        <v>-2.5187673752457198</v>
      </c>
      <c r="AH328" s="46">
        <v>2.0475182047221601E-3</v>
      </c>
      <c r="AI328" s="47">
        <v>4.32110308819913E-3</v>
      </c>
      <c r="AJ328" s="48">
        <v>11.9938717391866</v>
      </c>
      <c r="AK328" s="49">
        <v>4.7618020850442901</v>
      </c>
      <c r="AL328" s="31" t="s">
        <v>5875</v>
      </c>
      <c r="AM328" s="31" t="s">
        <v>5876</v>
      </c>
      <c r="AN328" s="31" t="s">
        <v>36568</v>
      </c>
      <c r="AO328" s="31" t="s">
        <v>13772</v>
      </c>
      <c r="AP328" s="31" t="s">
        <v>36569</v>
      </c>
      <c r="AQ328" s="31" t="s">
        <v>36570</v>
      </c>
      <c r="AR328" s="31" t="s">
        <v>36571</v>
      </c>
      <c r="AS328" s="31" t="str">
        <f>"SMPDL3B"</f>
        <v>SMPDL3B</v>
      </c>
      <c r="AT328" s="31" t="s">
        <v>36572</v>
      </c>
      <c r="AU328" s="31" t="s">
        <v>13777</v>
      </c>
      <c r="AV328" s="31">
        <v>9606</v>
      </c>
      <c r="AW328" s="50" t="str">
        <f>HYPERLINK("http://www.uniprot.org/uniprot/Q92485", "Q92485")</f>
        <v>Q92485</v>
      </c>
      <c r="AX328" s="31" t="s">
        <v>36573</v>
      </c>
      <c r="AY328" s="31" t="s">
        <v>36574</v>
      </c>
      <c r="AZ328" s="31" t="s">
        <v>14336</v>
      </c>
      <c r="BA328" s="31" t="s">
        <v>13780</v>
      </c>
      <c r="BB328" s="31" t="s">
        <v>13772</v>
      </c>
      <c r="BC328" s="31" t="s">
        <v>13772</v>
      </c>
      <c r="BD328" s="31" t="s">
        <v>13808</v>
      </c>
      <c r="BE328" s="31" t="s">
        <v>13856</v>
      </c>
      <c r="BF328" s="31" t="s">
        <v>15471</v>
      </c>
      <c r="BG328" s="31" t="s">
        <v>15699</v>
      </c>
      <c r="BH328" s="31" t="s">
        <v>13772</v>
      </c>
      <c r="BI328" s="31" t="s">
        <v>36575</v>
      </c>
      <c r="BJ328" s="31" t="s">
        <v>36576</v>
      </c>
      <c r="BK328" s="31" t="s">
        <v>36577</v>
      </c>
      <c r="BL328" s="31" t="s">
        <v>13772</v>
      </c>
      <c r="BM328" s="31" t="s">
        <v>13772</v>
      </c>
    </row>
    <row r="329" spans="1:65">
      <c r="A329">
        <v>1118</v>
      </c>
      <c r="B329">
        <v>1</v>
      </c>
      <c r="C329">
        <v>324</v>
      </c>
      <c r="D329" t="s">
        <v>2690</v>
      </c>
      <c r="E329" t="s">
        <v>73</v>
      </c>
      <c r="F329" t="s">
        <v>73</v>
      </c>
      <c r="G329">
        <v>30.5</v>
      </c>
      <c r="H329">
        <v>1478</v>
      </c>
      <c r="I329">
        <v>165296</v>
      </c>
      <c r="J329" t="s">
        <v>2692</v>
      </c>
      <c r="K329" s="3" t="s">
        <v>73</v>
      </c>
      <c r="L329">
        <v>132</v>
      </c>
      <c r="M329">
        <v>125</v>
      </c>
      <c r="N329">
        <v>0.94699999999999995</v>
      </c>
      <c r="O329" s="11">
        <f t="shared" si="5"/>
        <v>4.1665283942267397</v>
      </c>
      <c r="P329" s="36">
        <v>1.2116433958347299</v>
      </c>
      <c r="Q329" s="36">
        <v>6.7414488447421297</v>
      </c>
      <c r="R329" s="36">
        <v>0.40019941545306398</v>
      </c>
      <c r="S329" s="36">
        <v>0.37798043978830698</v>
      </c>
      <c r="T329" s="36">
        <v>0.215044089984223</v>
      </c>
      <c r="U329" s="36">
        <v>1.85945449327898</v>
      </c>
      <c r="V329" s="36">
        <v>0.26351557071616</v>
      </c>
      <c r="W329" s="36">
        <v>0.24329589949557701</v>
      </c>
      <c r="X329" s="37">
        <v>3.17903317297983</v>
      </c>
      <c r="Y329" s="37">
        <v>0.15766241172207099</v>
      </c>
      <c r="Z329" s="37">
        <v>4.0002717413367099</v>
      </c>
      <c r="AA329" s="37">
        <v>8.4654704659994096</v>
      </c>
      <c r="AB329" s="37">
        <v>0.22969814145377901</v>
      </c>
      <c r="AC329" s="37">
        <v>2.36757171115537</v>
      </c>
      <c r="AD329" s="37">
        <v>21.421268679646399</v>
      </c>
      <c r="AE329" s="37">
        <v>15.5308958340411</v>
      </c>
      <c r="AF329" s="45">
        <v>2.0902874969226399</v>
      </c>
      <c r="AG329" s="45">
        <v>4.8929476425320901</v>
      </c>
      <c r="AH329" s="46">
        <v>1.2021220485131601E-2</v>
      </c>
      <c r="AI329" s="47">
        <v>2.1794570473043399E-2</v>
      </c>
      <c r="AJ329" s="48">
        <v>1.4140727686616501</v>
      </c>
      <c r="AK329" s="49">
        <v>6.9189840197918304</v>
      </c>
      <c r="AL329" s="31" t="s">
        <v>5874</v>
      </c>
      <c r="AM329" s="31" t="s">
        <v>5878</v>
      </c>
      <c r="AN329" s="31" t="s">
        <v>24621</v>
      </c>
      <c r="AO329" s="31" t="s">
        <v>24622</v>
      </c>
      <c r="AP329" s="31" t="s">
        <v>24623</v>
      </c>
      <c r="AQ329" s="31" t="s">
        <v>24624</v>
      </c>
      <c r="AR329" s="31" t="s">
        <v>24625</v>
      </c>
      <c r="AS329" s="31" t="str">
        <f>"A2M"</f>
        <v>A2M</v>
      </c>
      <c r="AT329" s="31" t="s">
        <v>24626</v>
      </c>
      <c r="AU329" s="31" t="s">
        <v>13777</v>
      </c>
      <c r="AV329" s="31">
        <v>9606</v>
      </c>
      <c r="AW329" s="50" t="str">
        <f>HYPERLINK("http://www.uniprot.org/uniprot/P01023", "P01023")</f>
        <v>P01023</v>
      </c>
      <c r="AX329" s="31" t="s">
        <v>24627</v>
      </c>
      <c r="AY329" s="31" t="s">
        <v>13772</v>
      </c>
      <c r="AZ329" s="31" t="s">
        <v>14321</v>
      </c>
      <c r="BA329" s="31" t="s">
        <v>13793</v>
      </c>
      <c r="BB329" s="31" t="s">
        <v>13772</v>
      </c>
      <c r="BC329" s="31" t="s">
        <v>13772</v>
      </c>
      <c r="BD329" s="31" t="s">
        <v>24628</v>
      </c>
      <c r="BE329" s="31" t="s">
        <v>13772</v>
      </c>
      <c r="BF329" s="31" t="s">
        <v>14375</v>
      </c>
      <c r="BG329" s="31" t="s">
        <v>24629</v>
      </c>
      <c r="BH329" s="31" t="s">
        <v>13812</v>
      </c>
      <c r="BI329" s="31" t="s">
        <v>24630</v>
      </c>
      <c r="BJ329" s="31" t="s">
        <v>24631</v>
      </c>
      <c r="BK329" s="31" t="s">
        <v>24632</v>
      </c>
      <c r="BL329" s="31" t="s">
        <v>13772</v>
      </c>
      <c r="BM329" s="31" t="s">
        <v>24633</v>
      </c>
    </row>
    <row r="330" spans="1:65">
      <c r="A330">
        <v>1595</v>
      </c>
      <c r="B330">
        <v>1</v>
      </c>
      <c r="C330">
        <v>325</v>
      </c>
      <c r="D330" t="s">
        <v>3780</v>
      </c>
      <c r="E330" t="s">
        <v>73</v>
      </c>
      <c r="F330" t="s">
        <v>73</v>
      </c>
      <c r="G330">
        <v>39.9</v>
      </c>
      <c r="H330">
        <v>193</v>
      </c>
      <c r="I330">
        <v>20938</v>
      </c>
      <c r="J330" t="s">
        <v>3781</v>
      </c>
      <c r="K330" s="3" t="s">
        <v>73</v>
      </c>
      <c r="L330">
        <v>125</v>
      </c>
      <c r="M330">
        <v>125</v>
      </c>
      <c r="N330">
        <v>1</v>
      </c>
      <c r="O330" s="11">
        <f t="shared" si="5"/>
        <v>6.8677192927471591</v>
      </c>
      <c r="P330" s="36">
        <v>2.4232867916694598</v>
      </c>
      <c r="Q330" s="36">
        <v>1.9261282413548899</v>
      </c>
      <c r="R330" s="36">
        <v>1.6007976618122599</v>
      </c>
      <c r="S330" s="36">
        <v>1.5119217591532299</v>
      </c>
      <c r="T330" s="36">
        <v>1.72035271987378</v>
      </c>
      <c r="U330" s="36">
        <v>1.85945449327898</v>
      </c>
      <c r="V330" s="36">
        <v>1.05406228286464</v>
      </c>
      <c r="W330" s="36">
        <v>11.678203175787701</v>
      </c>
      <c r="X330" s="37">
        <v>7.9475829324495697</v>
      </c>
      <c r="Y330" s="37">
        <v>11.351693643989099</v>
      </c>
      <c r="Z330" s="37">
        <v>8.8005978309407702</v>
      </c>
      <c r="AA330" s="37">
        <v>5.9258293261995796</v>
      </c>
      <c r="AB330" s="37">
        <v>13.7818884872267</v>
      </c>
      <c r="AC330" s="37">
        <v>9.4702868446214996</v>
      </c>
      <c r="AD330" s="37">
        <v>10.559780335037001</v>
      </c>
      <c r="AE330" s="37">
        <v>18.2716421576954</v>
      </c>
      <c r="AF330" s="45">
        <v>1.74269255774823</v>
      </c>
      <c r="AG330" s="45">
        <v>3.6219631259429601</v>
      </c>
      <c r="AH330" s="46">
        <v>1.3018899450847101E-4</v>
      </c>
      <c r="AI330" s="47">
        <v>3.5405055823645198E-4</v>
      </c>
      <c r="AJ330" s="48">
        <v>2.9717758907243601</v>
      </c>
      <c r="AK330" s="49">
        <v>10.76366269477</v>
      </c>
      <c r="AL330" s="31" t="s">
        <v>5874</v>
      </c>
      <c r="AM330" s="31" t="s">
        <v>5876</v>
      </c>
      <c r="AN330" s="31" t="s">
        <v>29094</v>
      </c>
      <c r="AO330" s="31" t="s">
        <v>29095</v>
      </c>
      <c r="AP330" s="31" t="s">
        <v>29096</v>
      </c>
      <c r="AQ330" s="31" t="s">
        <v>29097</v>
      </c>
      <c r="AR330" s="31" t="s">
        <v>29098</v>
      </c>
      <c r="AS330" s="31" t="str">
        <f>"GM2A"</f>
        <v>GM2A</v>
      </c>
      <c r="AT330" s="31" t="s">
        <v>13772</v>
      </c>
      <c r="AU330" s="31" t="s">
        <v>13777</v>
      </c>
      <c r="AV330" s="31">
        <v>9606</v>
      </c>
      <c r="AW330" s="50" t="str">
        <f>HYPERLINK("http://www.uniprot.org/uniprot/P17900", "P17900")</f>
        <v>P17900</v>
      </c>
      <c r="AX330" s="31" t="s">
        <v>29099</v>
      </c>
      <c r="AY330" s="31" t="s">
        <v>18297</v>
      </c>
      <c r="AZ330" s="31" t="s">
        <v>13806</v>
      </c>
      <c r="BA330" s="31" t="s">
        <v>13793</v>
      </c>
      <c r="BB330" s="31" t="s">
        <v>13772</v>
      </c>
      <c r="BC330" s="31" t="s">
        <v>29100</v>
      </c>
      <c r="BD330" s="31" t="s">
        <v>13808</v>
      </c>
      <c r="BE330" s="31" t="s">
        <v>13772</v>
      </c>
      <c r="BF330" s="31" t="s">
        <v>13857</v>
      </c>
      <c r="BG330" s="31" t="s">
        <v>13796</v>
      </c>
      <c r="BH330" s="31" t="s">
        <v>13812</v>
      </c>
      <c r="BI330" s="31" t="s">
        <v>29101</v>
      </c>
      <c r="BJ330" s="31" t="s">
        <v>29102</v>
      </c>
      <c r="BK330" s="31" t="s">
        <v>29103</v>
      </c>
      <c r="BL330" s="31" t="s">
        <v>13772</v>
      </c>
      <c r="BM330" s="31" t="s">
        <v>26606</v>
      </c>
    </row>
    <row r="331" spans="1:65">
      <c r="A331">
        <v>2284</v>
      </c>
      <c r="B331">
        <v>1</v>
      </c>
      <c r="C331">
        <v>326</v>
      </c>
      <c r="D331" t="s">
        <v>5336</v>
      </c>
      <c r="E331" t="s">
        <v>5337</v>
      </c>
      <c r="F331" t="s">
        <v>73</v>
      </c>
      <c r="G331">
        <v>45.5</v>
      </c>
      <c r="H331">
        <v>670</v>
      </c>
      <c r="I331">
        <v>77429</v>
      </c>
      <c r="J331" t="s">
        <v>5338</v>
      </c>
      <c r="K331" s="3" t="s">
        <v>73</v>
      </c>
      <c r="L331">
        <v>125</v>
      </c>
      <c r="M331">
        <v>125</v>
      </c>
      <c r="N331">
        <v>1</v>
      </c>
      <c r="O331" s="11">
        <f t="shared" si="5"/>
        <v>7.5595501205925482</v>
      </c>
      <c r="P331" s="36">
        <v>10.9047905625126</v>
      </c>
      <c r="Q331" s="36">
        <v>10.5937053274519</v>
      </c>
      <c r="R331" s="36">
        <v>12.806381294498101</v>
      </c>
      <c r="S331" s="36">
        <v>7.5596087957661497</v>
      </c>
      <c r="T331" s="36">
        <v>6.8814108794951396</v>
      </c>
      <c r="U331" s="36">
        <v>2.7891817399184702</v>
      </c>
      <c r="V331" s="36">
        <v>5.2703114143232002</v>
      </c>
      <c r="W331" s="36">
        <v>0.97318359798230603</v>
      </c>
      <c r="X331" s="37">
        <v>9.53709951893949</v>
      </c>
      <c r="Y331" s="37">
        <v>8.8290950564359996</v>
      </c>
      <c r="Z331" s="37">
        <v>8.0005434826734305</v>
      </c>
      <c r="AA331" s="37">
        <v>7.6189234193994704</v>
      </c>
      <c r="AB331" s="37">
        <v>3.6751702632604601</v>
      </c>
      <c r="AC331" s="37">
        <v>11.837858555776901</v>
      </c>
      <c r="AD331" s="37">
        <v>3.0170800957248498</v>
      </c>
      <c r="AE331" s="37">
        <v>10.658457925322301</v>
      </c>
      <c r="AF331" s="45">
        <v>0.18800612677783601</v>
      </c>
      <c r="AG331" s="45">
        <v>1.09338504515226</v>
      </c>
      <c r="AH331" s="46">
        <v>0.723879855049678</v>
      </c>
      <c r="AI331" s="47">
        <v>0.79000917296612505</v>
      </c>
      <c r="AJ331" s="48">
        <v>7.2223217014934802</v>
      </c>
      <c r="AK331" s="49">
        <v>7.8967785396916099</v>
      </c>
      <c r="AL331" s="31" t="s">
        <v>5874</v>
      </c>
      <c r="AM331" s="31" t="s">
        <v>5832</v>
      </c>
      <c r="AN331" s="31" t="s">
        <v>35570</v>
      </c>
      <c r="AO331" s="31" t="s">
        <v>35571</v>
      </c>
      <c r="AP331" s="31" t="s">
        <v>35572</v>
      </c>
      <c r="AQ331" s="31" t="s">
        <v>35573</v>
      </c>
      <c r="AR331" s="31" t="s">
        <v>35574</v>
      </c>
      <c r="AS331" s="31" t="str">
        <f>"CHGB"</f>
        <v>CHGB</v>
      </c>
      <c r="AT331" s="31" t="s">
        <v>35575</v>
      </c>
      <c r="AU331" s="31" t="s">
        <v>13777</v>
      </c>
      <c r="AV331" s="31">
        <v>9606</v>
      </c>
      <c r="AW331" s="50" t="str">
        <f>HYPERLINK("http://www.uniprot.org/uniprot/P05060", "P05060")</f>
        <v>P05060</v>
      </c>
      <c r="AX331" s="31" t="s">
        <v>35576</v>
      </c>
      <c r="AY331" s="31" t="s">
        <v>13772</v>
      </c>
      <c r="AZ331" s="31" t="s">
        <v>14321</v>
      </c>
      <c r="BA331" s="31" t="s">
        <v>13793</v>
      </c>
      <c r="BB331" s="31" t="s">
        <v>13772</v>
      </c>
      <c r="BC331" s="31" t="s">
        <v>13772</v>
      </c>
      <c r="BD331" s="31" t="s">
        <v>13808</v>
      </c>
      <c r="BE331" s="31" t="s">
        <v>13772</v>
      </c>
      <c r="BF331" s="31" t="s">
        <v>13772</v>
      </c>
      <c r="BG331" s="31" t="s">
        <v>28626</v>
      </c>
      <c r="BH331" s="31" t="s">
        <v>13772</v>
      </c>
      <c r="BI331" s="31" t="s">
        <v>19339</v>
      </c>
      <c r="BJ331" s="31" t="s">
        <v>35577</v>
      </c>
      <c r="BK331" s="31" t="s">
        <v>21355</v>
      </c>
      <c r="BL331" s="31" t="s">
        <v>13772</v>
      </c>
      <c r="BM331" s="31" t="s">
        <v>17241</v>
      </c>
    </row>
    <row r="332" spans="1:65">
      <c r="A332">
        <v>2308</v>
      </c>
      <c r="B332">
        <v>1</v>
      </c>
      <c r="C332">
        <v>327</v>
      </c>
      <c r="D332" t="s">
        <v>5389</v>
      </c>
      <c r="E332" t="s">
        <v>73</v>
      </c>
      <c r="F332" t="s">
        <v>73</v>
      </c>
      <c r="G332">
        <v>29.8</v>
      </c>
      <c r="H332">
        <v>1311</v>
      </c>
      <c r="I332">
        <v>151119</v>
      </c>
      <c r="J332" t="s">
        <v>5390</v>
      </c>
      <c r="K332" s="3" t="s">
        <v>73</v>
      </c>
      <c r="L332">
        <v>125</v>
      </c>
      <c r="M332">
        <v>125</v>
      </c>
      <c r="N332">
        <v>1</v>
      </c>
      <c r="O332" s="11">
        <f t="shared" si="5"/>
        <v>8.3346919479505814</v>
      </c>
      <c r="P332" s="36">
        <v>2.4232867916694598</v>
      </c>
      <c r="Q332" s="36">
        <v>10.5937053274519</v>
      </c>
      <c r="R332" s="36">
        <v>0.40019941545306398</v>
      </c>
      <c r="S332" s="36">
        <v>9.0715305549193808</v>
      </c>
      <c r="T332" s="36">
        <v>27.525643517980502</v>
      </c>
      <c r="U332" s="36">
        <v>25.102635659266301</v>
      </c>
      <c r="V332" s="36">
        <v>14.756871960105</v>
      </c>
      <c r="W332" s="36">
        <v>12.65138677377</v>
      </c>
      <c r="X332" s="37">
        <v>0.19868957331123899</v>
      </c>
      <c r="Y332" s="37">
        <v>0.15766241172207099</v>
      </c>
      <c r="Z332" s="37">
        <v>0.200013587066836</v>
      </c>
      <c r="AA332" s="37">
        <v>0.21163676164998499</v>
      </c>
      <c r="AB332" s="37">
        <v>0.22969814145377901</v>
      </c>
      <c r="AC332" s="37">
        <v>0.78919057038512497</v>
      </c>
      <c r="AD332" s="37">
        <v>28.662260909385999</v>
      </c>
      <c r="AE332" s="37">
        <v>0.38065921161865401</v>
      </c>
      <c r="AF332" s="45">
        <v>-1.81795956793219</v>
      </c>
      <c r="AG332" s="45">
        <v>-3.3255234502282298</v>
      </c>
      <c r="AH332" s="46">
        <v>7.3599429370706307E-2</v>
      </c>
      <c r="AI332" s="47">
        <v>0.108933668692483</v>
      </c>
      <c r="AJ332" s="48">
        <v>12.815657500076901</v>
      </c>
      <c r="AK332" s="49">
        <v>3.8537263958242201</v>
      </c>
      <c r="AL332" s="31" t="s">
        <v>5875</v>
      </c>
      <c r="AM332" s="31" t="s">
        <v>5832</v>
      </c>
      <c r="AN332" s="31" t="s">
        <v>35794</v>
      </c>
      <c r="AO332" s="31" t="s">
        <v>35795</v>
      </c>
      <c r="AP332" s="31" t="s">
        <v>35796</v>
      </c>
      <c r="AQ332" s="31" t="s">
        <v>35797</v>
      </c>
      <c r="AR332" s="31" t="s">
        <v>35798</v>
      </c>
      <c r="AS332" s="31" t="str">
        <f>"ACE"</f>
        <v>ACE</v>
      </c>
      <c r="AT332" s="31" t="s">
        <v>35799</v>
      </c>
      <c r="AU332" s="31" t="s">
        <v>13777</v>
      </c>
      <c r="AV332" s="31">
        <v>9606</v>
      </c>
      <c r="AW332" s="50" t="str">
        <f>HYPERLINK("http://www.uniprot.org/uniprot/P12821", "P12821")</f>
        <v>P12821</v>
      </c>
      <c r="AX332" s="31" t="s">
        <v>35800</v>
      </c>
      <c r="AY332" s="31" t="s">
        <v>13772</v>
      </c>
      <c r="AZ332" s="31" t="s">
        <v>25531</v>
      </c>
      <c r="BA332" s="31" t="s">
        <v>13780</v>
      </c>
      <c r="BB332" s="31" t="s">
        <v>13772</v>
      </c>
      <c r="BC332" s="31" t="s">
        <v>13772</v>
      </c>
      <c r="BD332" s="31" t="s">
        <v>13826</v>
      </c>
      <c r="BE332" s="31" t="s">
        <v>13856</v>
      </c>
      <c r="BF332" s="31" t="s">
        <v>16539</v>
      </c>
      <c r="BG332" s="31" t="s">
        <v>13964</v>
      </c>
      <c r="BH332" s="31" t="s">
        <v>13812</v>
      </c>
      <c r="BI332" s="31" t="s">
        <v>35801</v>
      </c>
      <c r="BJ332" s="31" t="s">
        <v>35802</v>
      </c>
      <c r="BK332" s="31" t="s">
        <v>35803</v>
      </c>
      <c r="BL332" s="31" t="s">
        <v>13772</v>
      </c>
      <c r="BM332" s="31" t="s">
        <v>21168</v>
      </c>
    </row>
    <row r="333" spans="1:65">
      <c r="A333">
        <v>2424</v>
      </c>
      <c r="B333">
        <v>1</v>
      </c>
      <c r="C333">
        <v>328</v>
      </c>
      <c r="D333" t="s">
        <v>5667</v>
      </c>
      <c r="E333" t="s">
        <v>73</v>
      </c>
      <c r="F333" t="s">
        <v>5668</v>
      </c>
      <c r="G333">
        <v>67.7</v>
      </c>
      <c r="H333">
        <v>248</v>
      </c>
      <c r="I333">
        <v>29032</v>
      </c>
      <c r="J333" t="s">
        <v>5670</v>
      </c>
      <c r="K333" s="3" t="s">
        <v>73</v>
      </c>
      <c r="L333">
        <v>175</v>
      </c>
      <c r="M333">
        <v>48</v>
      </c>
      <c r="N333">
        <v>0.27400000000000002</v>
      </c>
      <c r="O333" s="11">
        <f t="shared" si="5"/>
        <v>6.0717081427801887</v>
      </c>
      <c r="P333" s="36">
        <v>0.36349301875041901</v>
      </c>
      <c r="Q333" s="36">
        <v>1.15567694481294</v>
      </c>
      <c r="R333" s="36">
        <v>0.40019941545306398</v>
      </c>
      <c r="S333" s="36">
        <v>0.90715305549193803</v>
      </c>
      <c r="T333" s="36">
        <v>1.6343350838800901</v>
      </c>
      <c r="U333" s="36">
        <v>1.1156726959673899</v>
      </c>
      <c r="V333" s="36">
        <v>0.26351557071616</v>
      </c>
      <c r="W333" s="36">
        <v>3.7954160321309902</v>
      </c>
      <c r="X333" s="37">
        <v>26.7038786530306</v>
      </c>
      <c r="Y333" s="37">
        <v>8.3876403036141998</v>
      </c>
      <c r="Z333" s="37">
        <v>8.0005434826734305</v>
      </c>
      <c r="AA333" s="37">
        <v>12.5288962896791</v>
      </c>
      <c r="AB333" s="37">
        <v>14.057526256971199</v>
      </c>
      <c r="AC333" s="37">
        <v>9.7859630727755498</v>
      </c>
      <c r="AD333" s="37">
        <v>2.41366407657988</v>
      </c>
      <c r="AE333" s="37">
        <v>5.6337563319560804</v>
      </c>
      <c r="AF333" s="45">
        <v>3.0117286390961699</v>
      </c>
      <c r="AG333" s="45">
        <v>9.0822702769718706</v>
      </c>
      <c r="AH333" s="46">
        <v>8.3804719650327599E-8</v>
      </c>
      <c r="AI333" s="47">
        <v>5.8401414006322104E-7</v>
      </c>
      <c r="AJ333" s="48">
        <v>1.2044327271503701</v>
      </c>
      <c r="AK333" s="49">
        <v>10.938983558409999</v>
      </c>
      <c r="AL333" s="31" t="s">
        <v>5874</v>
      </c>
      <c r="AM333" s="31" t="s">
        <v>5876</v>
      </c>
      <c r="AN333" s="31" t="s">
        <v>14854</v>
      </c>
      <c r="AO333" s="31" t="s">
        <v>14855</v>
      </c>
      <c r="AP333" s="31" t="s">
        <v>14856</v>
      </c>
      <c r="AQ333" s="31" t="s">
        <v>14857</v>
      </c>
      <c r="AR333" s="31" t="s">
        <v>14858</v>
      </c>
      <c r="AS333" s="31" t="str">
        <f>"TPM4"</f>
        <v>TPM4</v>
      </c>
      <c r="AT333" s="31" t="s">
        <v>13772</v>
      </c>
      <c r="AU333" s="31" t="s">
        <v>13777</v>
      </c>
      <c r="AV333" s="31">
        <v>9606</v>
      </c>
      <c r="AW333" s="50" t="str">
        <f>HYPERLINK("http://www.uniprot.org/uniprot/P67936", "P67936")</f>
        <v>P67936</v>
      </c>
      <c r="AX333" s="31" t="s">
        <v>14859</v>
      </c>
      <c r="AY333" s="31" t="s">
        <v>13772</v>
      </c>
      <c r="AZ333" s="31" t="s">
        <v>13988</v>
      </c>
      <c r="BA333" s="31" t="s">
        <v>13780</v>
      </c>
      <c r="BB333" s="31" t="s">
        <v>13772</v>
      </c>
      <c r="BC333" s="31" t="s">
        <v>13772</v>
      </c>
      <c r="BD333" s="31" t="s">
        <v>14245</v>
      </c>
      <c r="BE333" s="31" t="s">
        <v>13873</v>
      </c>
      <c r="BF333" s="31" t="s">
        <v>14849</v>
      </c>
      <c r="BG333" s="31" t="s">
        <v>13886</v>
      </c>
      <c r="BH333" s="31" t="s">
        <v>13772</v>
      </c>
      <c r="BI333" s="31" t="s">
        <v>14860</v>
      </c>
      <c r="BJ333" s="31" t="s">
        <v>14861</v>
      </c>
      <c r="BK333" s="31" t="s">
        <v>14862</v>
      </c>
      <c r="BL333" s="31" t="s">
        <v>13772</v>
      </c>
      <c r="BM333" s="31" t="s">
        <v>14853</v>
      </c>
    </row>
    <row r="334" spans="1:65">
      <c r="A334">
        <v>2437</v>
      </c>
      <c r="B334">
        <v>1</v>
      </c>
      <c r="C334">
        <v>329</v>
      </c>
      <c r="D334" t="s">
        <v>5714</v>
      </c>
      <c r="E334" t="s">
        <v>73</v>
      </c>
      <c r="F334" t="s">
        <v>5715</v>
      </c>
      <c r="G334">
        <v>55.3</v>
      </c>
      <c r="H334">
        <v>445</v>
      </c>
      <c r="I334">
        <v>49830</v>
      </c>
      <c r="J334" t="s">
        <v>5717</v>
      </c>
      <c r="K334" s="3" t="s">
        <v>73</v>
      </c>
      <c r="L334">
        <v>160</v>
      </c>
      <c r="M334">
        <v>24</v>
      </c>
      <c r="N334">
        <v>0.15</v>
      </c>
      <c r="O334" s="11">
        <f t="shared" si="5"/>
        <v>6.5056296606040407</v>
      </c>
      <c r="P334" s="36">
        <v>2.4232867916694598</v>
      </c>
      <c r="Q334" s="36">
        <v>9.3417219705712302</v>
      </c>
      <c r="R334" s="36">
        <v>2.4011964927183902</v>
      </c>
      <c r="S334" s="36">
        <v>2.2678826387298399</v>
      </c>
      <c r="T334" s="36">
        <v>5.7631816115771803</v>
      </c>
      <c r="U334" s="36">
        <v>1.9524272179429301</v>
      </c>
      <c r="V334" s="36">
        <v>3.7946242183127099</v>
      </c>
      <c r="W334" s="36">
        <v>4.8659179899115301</v>
      </c>
      <c r="X334" s="37">
        <v>16.610448328819601</v>
      </c>
      <c r="Y334" s="37">
        <v>16.838345571917198</v>
      </c>
      <c r="Z334" s="37">
        <v>16.801141313614199</v>
      </c>
      <c r="AA334" s="37">
        <v>6.6030669634795398</v>
      </c>
      <c r="AB334" s="37">
        <v>2.7563776974453398</v>
      </c>
      <c r="AC334" s="37">
        <v>4.1037909660026504</v>
      </c>
      <c r="AD334" s="37">
        <v>4.9781821579459899</v>
      </c>
      <c r="AE334" s="37">
        <v>2.5884826390068501</v>
      </c>
      <c r="AF334" s="45">
        <v>1.1008218788550801</v>
      </c>
      <c r="AG334" s="45">
        <v>2.1724875514375799</v>
      </c>
      <c r="AH334" s="46">
        <v>3.0726715133034401E-2</v>
      </c>
      <c r="AI334" s="47">
        <v>5.0015018063260301E-2</v>
      </c>
      <c r="AJ334" s="48">
        <v>4.1012798664291603</v>
      </c>
      <c r="AK334" s="49">
        <v>8.9099794547789308</v>
      </c>
      <c r="AL334" s="31" t="s">
        <v>5874</v>
      </c>
      <c r="AM334" s="31" t="s">
        <v>5877</v>
      </c>
      <c r="AN334" s="31" t="s">
        <v>32563</v>
      </c>
      <c r="AO334" s="31" t="s">
        <v>32564</v>
      </c>
      <c r="AP334" s="31" t="s">
        <v>32565</v>
      </c>
      <c r="AQ334" s="31" t="s">
        <v>32566</v>
      </c>
      <c r="AR334" s="31" t="s">
        <v>32567</v>
      </c>
      <c r="AS334" s="31" t="str">
        <f>"TUBB4B"</f>
        <v>TUBB4B</v>
      </c>
      <c r="AT334" s="31" t="s">
        <v>32568</v>
      </c>
      <c r="AU334" s="31" t="s">
        <v>13777</v>
      </c>
      <c r="AV334" s="31">
        <v>9606</v>
      </c>
      <c r="AW334" s="50" t="str">
        <f>HYPERLINK("http://www.uniprot.org/uniprot/P68371", "P68371")</f>
        <v>P68371</v>
      </c>
      <c r="AX334" s="31" t="s">
        <v>32569</v>
      </c>
      <c r="AY334" s="31" t="s">
        <v>13772</v>
      </c>
      <c r="AZ334" s="31" t="s">
        <v>20183</v>
      </c>
      <c r="BA334" s="31" t="s">
        <v>13772</v>
      </c>
      <c r="BB334" s="31" t="s">
        <v>13772</v>
      </c>
      <c r="BC334" s="31" t="s">
        <v>32570</v>
      </c>
      <c r="BD334" s="31" t="s">
        <v>13772</v>
      </c>
      <c r="BE334" s="31" t="s">
        <v>14216</v>
      </c>
      <c r="BF334" s="31" t="s">
        <v>13772</v>
      </c>
      <c r="BG334" s="31" t="s">
        <v>32571</v>
      </c>
      <c r="BH334" s="31" t="s">
        <v>13772</v>
      </c>
      <c r="BI334" s="31" t="s">
        <v>32572</v>
      </c>
      <c r="BJ334" s="31" t="s">
        <v>32573</v>
      </c>
      <c r="BK334" s="31" t="s">
        <v>32574</v>
      </c>
      <c r="BL334" s="31" t="s">
        <v>13772</v>
      </c>
      <c r="BM334" s="31" t="s">
        <v>32575</v>
      </c>
    </row>
    <row r="335" spans="1:65">
      <c r="A335">
        <v>1993</v>
      </c>
      <c r="B335">
        <v>1</v>
      </c>
      <c r="C335">
        <v>330</v>
      </c>
      <c r="D335" t="s">
        <v>4692</v>
      </c>
      <c r="E335" t="s">
        <v>73</v>
      </c>
      <c r="F335" t="s">
        <v>73</v>
      </c>
      <c r="G335">
        <v>82.2</v>
      </c>
      <c r="H335">
        <v>129</v>
      </c>
      <c r="I335">
        <v>14346</v>
      </c>
      <c r="J335" t="s">
        <v>4693</v>
      </c>
      <c r="K335" s="3" t="s">
        <v>73</v>
      </c>
      <c r="L335">
        <v>492</v>
      </c>
      <c r="M335">
        <v>9</v>
      </c>
      <c r="N335">
        <v>1.7999999999999999E-2</v>
      </c>
      <c r="O335" s="11">
        <f t="shared" si="5"/>
        <v>3.8953729304650846</v>
      </c>
      <c r="P335" s="36">
        <v>2.4232867916694598</v>
      </c>
      <c r="Q335" s="36">
        <v>0.24076603016936199</v>
      </c>
      <c r="R335" s="36">
        <v>0.48023929854367697</v>
      </c>
      <c r="S335" s="36">
        <v>0.37798043978830698</v>
      </c>
      <c r="T335" s="36">
        <v>0.215044089984223</v>
      </c>
      <c r="U335" s="36">
        <v>0.23243181165987301</v>
      </c>
      <c r="V335" s="36">
        <v>0.21081245657292799</v>
      </c>
      <c r="W335" s="36">
        <v>0.24329589949557701</v>
      </c>
      <c r="X335" s="37">
        <v>48.798159205240403</v>
      </c>
      <c r="Y335" s="37">
        <v>3.1532482344414299</v>
      </c>
      <c r="Z335" s="37">
        <v>0.400027174133671</v>
      </c>
      <c r="AA335" s="37">
        <v>0.25396411397998198</v>
      </c>
      <c r="AB335" s="37">
        <v>0.64315479607058001</v>
      </c>
      <c r="AC335" s="37">
        <v>0.86810962742363795</v>
      </c>
      <c r="AD335" s="37">
        <v>2.2628100717936301</v>
      </c>
      <c r="AE335" s="37">
        <v>1.5226368464746201</v>
      </c>
      <c r="AF335" s="45">
        <v>3.5079866536669102</v>
      </c>
      <c r="AG335" s="45">
        <v>13.088604006234799</v>
      </c>
      <c r="AH335" s="46">
        <v>3.0727223608499801E-3</v>
      </c>
      <c r="AI335" s="47">
        <v>6.26722944941657E-3</v>
      </c>
      <c r="AJ335" s="48">
        <v>0.55298210223542599</v>
      </c>
      <c r="AK335" s="49">
        <v>7.2377637586947401</v>
      </c>
      <c r="AL335" s="31" t="s">
        <v>5874</v>
      </c>
      <c r="AM335" s="31" t="s">
        <v>5876</v>
      </c>
      <c r="AN335" s="31" t="s">
        <v>19672</v>
      </c>
      <c r="AO335" s="31" t="s">
        <v>19673</v>
      </c>
      <c r="AP335" s="31" t="s">
        <v>19674</v>
      </c>
      <c r="AQ335" s="31" t="s">
        <v>19675</v>
      </c>
      <c r="AR335" s="31" t="s">
        <v>19676</v>
      </c>
      <c r="AS335" s="31" t="str">
        <f>"SAA1"</f>
        <v>SAA1</v>
      </c>
      <c r="AT335" s="31" t="s">
        <v>13772</v>
      </c>
      <c r="AU335" s="31" t="s">
        <v>13777</v>
      </c>
      <c r="AV335" s="31">
        <v>9606</v>
      </c>
      <c r="AW335" s="50" t="str">
        <f>HYPERLINK("http://www.uniprot.org/uniprot/P0DJI8", "P0DJI8")</f>
        <v>P0DJI8</v>
      </c>
      <c r="AX335" s="31" t="s">
        <v>19677</v>
      </c>
      <c r="AY335" s="31" t="s">
        <v>14374</v>
      </c>
      <c r="AZ335" s="31" t="s">
        <v>19678</v>
      </c>
      <c r="BA335" s="31" t="s">
        <v>13793</v>
      </c>
      <c r="BB335" s="31" t="s">
        <v>13772</v>
      </c>
      <c r="BC335" s="31" t="s">
        <v>19679</v>
      </c>
      <c r="BD335" s="31" t="s">
        <v>13808</v>
      </c>
      <c r="BE335" s="31" t="s">
        <v>13772</v>
      </c>
      <c r="BF335" s="31" t="s">
        <v>14073</v>
      </c>
      <c r="BG335" s="31" t="s">
        <v>17914</v>
      </c>
      <c r="BH335" s="31" t="s">
        <v>13812</v>
      </c>
      <c r="BI335" s="31" t="s">
        <v>19680</v>
      </c>
      <c r="BJ335" s="31" t="s">
        <v>19681</v>
      </c>
      <c r="BK335" s="31" t="s">
        <v>19682</v>
      </c>
      <c r="BL335" s="31" t="s">
        <v>13772</v>
      </c>
      <c r="BM335" s="31" t="s">
        <v>19683</v>
      </c>
    </row>
    <row r="336" spans="1:65">
      <c r="A336">
        <v>1090</v>
      </c>
      <c r="B336">
        <v>1</v>
      </c>
      <c r="C336">
        <v>331</v>
      </c>
      <c r="D336" t="s">
        <v>2621</v>
      </c>
      <c r="E336" t="s">
        <v>73</v>
      </c>
      <c r="F336" t="s">
        <v>73</v>
      </c>
      <c r="G336">
        <v>49.1</v>
      </c>
      <c r="H336">
        <v>338</v>
      </c>
      <c r="I336">
        <v>38304</v>
      </c>
      <c r="J336" t="s">
        <v>2622</v>
      </c>
      <c r="K336" s="3" t="s">
        <v>73</v>
      </c>
      <c r="L336">
        <v>121</v>
      </c>
      <c r="M336">
        <v>121</v>
      </c>
      <c r="N336">
        <v>1</v>
      </c>
      <c r="O336" s="11">
        <f t="shared" si="5"/>
        <v>7.1154763451524508</v>
      </c>
      <c r="P336" s="36">
        <v>10.9047905625126</v>
      </c>
      <c r="Q336" s="36">
        <v>4.8153206033872298</v>
      </c>
      <c r="R336" s="36">
        <v>8.00398830906129</v>
      </c>
      <c r="S336" s="36">
        <v>4.5357652774596904</v>
      </c>
      <c r="T336" s="36">
        <v>0.215044089984223</v>
      </c>
      <c r="U336" s="36">
        <v>4.6486362331974602</v>
      </c>
      <c r="V336" s="36">
        <v>8.4324982629171306</v>
      </c>
      <c r="W336" s="36">
        <v>10.7050195778054</v>
      </c>
      <c r="X336" s="37">
        <v>6.35806634595966</v>
      </c>
      <c r="Y336" s="37">
        <v>7.5677957626594301</v>
      </c>
      <c r="Z336" s="37">
        <v>5.6003804378713999</v>
      </c>
      <c r="AA336" s="37">
        <v>5.0792822795996404</v>
      </c>
      <c r="AB336" s="37">
        <v>6.4315479607058004</v>
      </c>
      <c r="AC336" s="37">
        <v>4.7351434223107498</v>
      </c>
      <c r="AD336" s="37">
        <v>7.5427002393121096</v>
      </c>
      <c r="AE336" s="37">
        <v>18.2716421576954</v>
      </c>
      <c r="AF336" s="45">
        <v>0.196292649841211</v>
      </c>
      <c r="AG336" s="45">
        <v>1.17844060509677</v>
      </c>
      <c r="AH336" s="46">
        <v>0.66896047346974596</v>
      </c>
      <c r="AI336" s="47">
        <v>0.74095125289943697</v>
      </c>
      <c r="AJ336" s="48">
        <v>6.53263286454062</v>
      </c>
      <c r="AK336" s="49">
        <v>7.69831982576427</v>
      </c>
      <c r="AL336" s="31" t="s">
        <v>5874</v>
      </c>
      <c r="AM336" s="31" t="s">
        <v>5832</v>
      </c>
      <c r="AN336" s="31" t="s">
        <v>24335</v>
      </c>
      <c r="AO336" s="31" t="s">
        <v>24336</v>
      </c>
      <c r="AP336" s="31" t="s">
        <v>24337</v>
      </c>
      <c r="AQ336" s="31" t="s">
        <v>24338</v>
      </c>
      <c r="AR336" s="31" t="s">
        <v>24339</v>
      </c>
      <c r="AS336" s="31" t="str">
        <f>"LUM"</f>
        <v>LUM</v>
      </c>
      <c r="AT336" s="31" t="s">
        <v>24340</v>
      </c>
      <c r="AU336" s="31" t="s">
        <v>13777</v>
      </c>
      <c r="AV336" s="31">
        <v>9606</v>
      </c>
      <c r="AW336" s="50" t="str">
        <f>HYPERLINK("http://www.uniprot.org/uniprot/P51884", "P51884")</f>
        <v>P51884</v>
      </c>
      <c r="AX336" s="31" t="s">
        <v>24341</v>
      </c>
      <c r="AY336" s="31" t="s">
        <v>13772</v>
      </c>
      <c r="AZ336" s="31" t="s">
        <v>13869</v>
      </c>
      <c r="BA336" s="31" t="s">
        <v>13793</v>
      </c>
      <c r="BB336" s="31" t="s">
        <v>13772</v>
      </c>
      <c r="BC336" s="31" t="s">
        <v>13772</v>
      </c>
      <c r="BD336" s="31" t="s">
        <v>19328</v>
      </c>
      <c r="BE336" s="31" t="s">
        <v>13772</v>
      </c>
      <c r="BF336" s="31" t="s">
        <v>13772</v>
      </c>
      <c r="BG336" s="31" t="s">
        <v>24342</v>
      </c>
      <c r="BH336" s="31" t="s">
        <v>13772</v>
      </c>
      <c r="BI336" s="31" t="s">
        <v>24343</v>
      </c>
      <c r="BJ336" s="31" t="s">
        <v>24344</v>
      </c>
      <c r="BK336" s="31" t="s">
        <v>24345</v>
      </c>
      <c r="BL336" s="31" t="s">
        <v>13772</v>
      </c>
      <c r="BM336" s="31" t="s">
        <v>24346</v>
      </c>
    </row>
    <row r="337" spans="1:65">
      <c r="A337">
        <v>1011</v>
      </c>
      <c r="B337">
        <v>1</v>
      </c>
      <c r="C337">
        <v>332</v>
      </c>
      <c r="D337" t="s">
        <v>2443</v>
      </c>
      <c r="E337" t="s">
        <v>2444</v>
      </c>
      <c r="F337" t="s">
        <v>73</v>
      </c>
      <c r="G337">
        <v>42.9</v>
      </c>
      <c r="H337">
        <v>487</v>
      </c>
      <c r="I337">
        <v>54038</v>
      </c>
      <c r="J337" t="s">
        <v>2446</v>
      </c>
      <c r="K337" s="3" t="s">
        <v>73</v>
      </c>
      <c r="L337">
        <v>130</v>
      </c>
      <c r="M337">
        <v>35</v>
      </c>
      <c r="N337">
        <v>0.26900000000000002</v>
      </c>
      <c r="O337" s="11">
        <f t="shared" si="5"/>
        <v>6.3261880139482658</v>
      </c>
      <c r="P337" s="36">
        <v>2.9079441500033498</v>
      </c>
      <c r="Q337" s="36">
        <v>7.4155937292163401</v>
      </c>
      <c r="R337" s="36">
        <v>1.44071789563103</v>
      </c>
      <c r="S337" s="36">
        <v>5.59411050886695</v>
      </c>
      <c r="T337" s="36">
        <v>9.2899046873184297</v>
      </c>
      <c r="U337" s="36">
        <v>7.1588997991240797</v>
      </c>
      <c r="V337" s="36">
        <v>5.0594989577502796</v>
      </c>
      <c r="W337" s="36">
        <v>8.3693789426478293</v>
      </c>
      <c r="X337" s="37">
        <v>12.636656862594799</v>
      </c>
      <c r="Y337" s="37">
        <v>8.3245753389253707</v>
      </c>
      <c r="Z337" s="37">
        <v>10.800733701609101</v>
      </c>
      <c r="AA337" s="37">
        <v>7.2803046007594903</v>
      </c>
      <c r="AB337" s="37">
        <v>4.4102043159125497</v>
      </c>
      <c r="AC337" s="37">
        <v>6.0767673919654603</v>
      </c>
      <c r="AD337" s="37">
        <v>4.0730581292285404</v>
      </c>
      <c r="AE337" s="37">
        <v>0.38065921161865401</v>
      </c>
      <c r="AF337" s="45">
        <v>0.20648175384603101</v>
      </c>
      <c r="AG337" s="45">
        <v>1.1428339387384201</v>
      </c>
      <c r="AH337" s="46">
        <v>0.689729706405807</v>
      </c>
      <c r="AI337" s="47">
        <v>0.75768337206155201</v>
      </c>
      <c r="AJ337" s="48">
        <v>5.9045060838197898</v>
      </c>
      <c r="AK337" s="49">
        <v>6.7478699440767498</v>
      </c>
      <c r="AL337" s="31" t="s">
        <v>5874</v>
      </c>
      <c r="AM337" s="31" t="s">
        <v>5832</v>
      </c>
      <c r="AN337" s="31" t="s">
        <v>23690</v>
      </c>
      <c r="AO337" s="31" t="s">
        <v>23691</v>
      </c>
      <c r="AP337" s="31" t="s">
        <v>23692</v>
      </c>
      <c r="AQ337" s="31" t="s">
        <v>23693</v>
      </c>
      <c r="AR337" s="31" t="s">
        <v>23694</v>
      </c>
      <c r="AS337" s="31" t="str">
        <f>"TUBA4A"</f>
        <v>TUBA4A</v>
      </c>
      <c r="AT337" s="31" t="s">
        <v>23695</v>
      </c>
      <c r="AU337" s="31" t="s">
        <v>13777</v>
      </c>
      <c r="AV337" s="31">
        <v>9606</v>
      </c>
      <c r="AW337" s="50" t="str">
        <f>HYPERLINK("http://www.uniprot.org/uniprot/P68366", "P68366")</f>
        <v>P68366</v>
      </c>
      <c r="AX337" s="31" t="s">
        <v>23696</v>
      </c>
      <c r="AY337" s="31" t="s">
        <v>13772</v>
      </c>
      <c r="AZ337" s="31" t="s">
        <v>20183</v>
      </c>
      <c r="BA337" s="31" t="s">
        <v>13841</v>
      </c>
      <c r="BB337" s="31" t="s">
        <v>13772</v>
      </c>
      <c r="BC337" s="31" t="s">
        <v>23697</v>
      </c>
      <c r="BD337" s="31" t="s">
        <v>13772</v>
      </c>
      <c r="BE337" s="31" t="s">
        <v>14216</v>
      </c>
      <c r="BF337" s="31" t="s">
        <v>13772</v>
      </c>
      <c r="BG337" s="31" t="s">
        <v>23698</v>
      </c>
      <c r="BH337" s="31" t="s">
        <v>13772</v>
      </c>
      <c r="BI337" s="31" t="s">
        <v>23699</v>
      </c>
      <c r="BJ337" s="31" t="s">
        <v>23700</v>
      </c>
      <c r="BK337" s="31" t="s">
        <v>23701</v>
      </c>
      <c r="BL337" s="31" t="s">
        <v>13772</v>
      </c>
      <c r="BM337" s="31" t="s">
        <v>23702</v>
      </c>
    </row>
    <row r="338" spans="1:65">
      <c r="A338">
        <v>271</v>
      </c>
      <c r="B338">
        <v>1</v>
      </c>
      <c r="C338">
        <v>333</v>
      </c>
      <c r="D338" t="s">
        <v>686</v>
      </c>
      <c r="E338" t="s">
        <v>73</v>
      </c>
      <c r="F338" t="s">
        <v>73</v>
      </c>
      <c r="G338">
        <v>28.6</v>
      </c>
      <c r="H338">
        <v>430</v>
      </c>
      <c r="I338">
        <v>47543</v>
      </c>
      <c r="J338" t="s">
        <v>687</v>
      </c>
      <c r="K338" s="3" t="s">
        <v>73</v>
      </c>
      <c r="L338">
        <v>120</v>
      </c>
      <c r="M338">
        <v>120</v>
      </c>
      <c r="N338">
        <v>1</v>
      </c>
      <c r="O338" s="11">
        <f t="shared" si="5"/>
        <v>6.9181689027670128</v>
      </c>
      <c r="P338" s="36">
        <v>7.2698603750083803</v>
      </c>
      <c r="Q338" s="36">
        <v>10.5937053274519</v>
      </c>
      <c r="R338" s="36">
        <v>9.6047859708735501</v>
      </c>
      <c r="S338" s="36">
        <v>9.0715305549193808</v>
      </c>
      <c r="T338" s="36">
        <v>7.7415872394320298</v>
      </c>
      <c r="U338" s="36">
        <v>13.0161814529529</v>
      </c>
      <c r="V338" s="36">
        <v>7.3784359800524904</v>
      </c>
      <c r="W338" s="36">
        <v>6.8122851858761404</v>
      </c>
      <c r="X338" s="37">
        <v>4.7685497594697397</v>
      </c>
      <c r="Y338" s="37">
        <v>5.0451971751062796</v>
      </c>
      <c r="Z338" s="37">
        <v>5.6003804378713999</v>
      </c>
      <c r="AA338" s="37">
        <v>8.4654704659994096</v>
      </c>
      <c r="AB338" s="37">
        <v>0.22969814145377901</v>
      </c>
      <c r="AC338" s="37">
        <v>7.1027151334661296</v>
      </c>
      <c r="AD338" s="37">
        <v>0.377135011965606</v>
      </c>
      <c r="AE338" s="37">
        <v>7.6131842323730803</v>
      </c>
      <c r="AF338" s="45">
        <v>-0.81938910017649302</v>
      </c>
      <c r="AG338" s="45">
        <v>-1.8235745537131101</v>
      </c>
      <c r="AH338" s="46">
        <v>2.7709767921510298E-2</v>
      </c>
      <c r="AI338" s="47">
        <v>4.5772431455531899E-2</v>
      </c>
      <c r="AJ338" s="48">
        <v>8.9360465108208391</v>
      </c>
      <c r="AK338" s="49">
        <v>4.9002912947131803</v>
      </c>
      <c r="AL338" s="31" t="s">
        <v>5875</v>
      </c>
      <c r="AM338" s="31" t="s">
        <v>5878</v>
      </c>
      <c r="AN338" s="31" t="s">
        <v>16237</v>
      </c>
      <c r="AO338" s="31" t="s">
        <v>16238</v>
      </c>
      <c r="AP338" s="31" t="s">
        <v>16239</v>
      </c>
      <c r="AQ338" s="31" t="s">
        <v>16240</v>
      </c>
      <c r="AR338" s="31" t="s">
        <v>16241</v>
      </c>
      <c r="AS338" s="31" t="str">
        <f>"MFGE8"</f>
        <v>MFGE8</v>
      </c>
      <c r="AT338" s="31" t="s">
        <v>13772</v>
      </c>
      <c r="AU338" s="31" t="s">
        <v>13777</v>
      </c>
      <c r="AV338" s="31">
        <v>9606</v>
      </c>
      <c r="AW338" s="50" t="str">
        <f>HYPERLINK("http://www.uniprot.org/uniprot/Q08431", "Q08431")</f>
        <v>Q08431</v>
      </c>
      <c r="AX338" s="31" t="s">
        <v>16242</v>
      </c>
      <c r="AY338" s="31" t="s">
        <v>16243</v>
      </c>
      <c r="AZ338" s="31" t="s">
        <v>16244</v>
      </c>
      <c r="BA338" s="31" t="s">
        <v>13780</v>
      </c>
      <c r="BB338" s="31" t="s">
        <v>13772</v>
      </c>
      <c r="BC338" s="31" t="s">
        <v>13772</v>
      </c>
      <c r="BD338" s="31" t="s">
        <v>14768</v>
      </c>
      <c r="BE338" s="31" t="s">
        <v>13772</v>
      </c>
      <c r="BF338" s="31" t="s">
        <v>13772</v>
      </c>
      <c r="BG338" s="31" t="s">
        <v>13964</v>
      </c>
      <c r="BH338" s="31" t="s">
        <v>13772</v>
      </c>
      <c r="BI338" s="31" t="s">
        <v>16245</v>
      </c>
      <c r="BJ338" s="31" t="s">
        <v>16246</v>
      </c>
      <c r="BK338" s="31" t="s">
        <v>16247</v>
      </c>
      <c r="BL338" s="31" t="s">
        <v>13772</v>
      </c>
      <c r="BM338" s="31" t="s">
        <v>16248</v>
      </c>
    </row>
    <row r="339" spans="1:65">
      <c r="A339">
        <v>2431</v>
      </c>
      <c r="B339">
        <v>1</v>
      </c>
      <c r="C339">
        <v>334</v>
      </c>
      <c r="D339" t="s">
        <v>5692</v>
      </c>
      <c r="E339" t="s">
        <v>73</v>
      </c>
      <c r="F339" t="s">
        <v>5693</v>
      </c>
      <c r="G339">
        <v>35.5</v>
      </c>
      <c r="H339">
        <v>2150</v>
      </c>
      <c r="I339">
        <v>232301</v>
      </c>
      <c r="J339" t="s">
        <v>5694</v>
      </c>
      <c r="K339" s="3" t="s">
        <v>73</v>
      </c>
      <c r="L339">
        <v>120</v>
      </c>
      <c r="M339">
        <v>120</v>
      </c>
      <c r="N339">
        <v>1</v>
      </c>
      <c r="O339" s="11">
        <f t="shared" si="5"/>
        <v>9.531190427441512</v>
      </c>
      <c r="P339" s="36">
        <v>0.30291084895868198</v>
      </c>
      <c r="Q339" s="36">
        <v>5.7783847240646802</v>
      </c>
      <c r="R339" s="36">
        <v>9.6047859708735501</v>
      </c>
      <c r="S339" s="36">
        <v>15.119217591532299</v>
      </c>
      <c r="T339" s="36">
        <v>4.3008817996844604</v>
      </c>
      <c r="U339" s="36">
        <v>1.85945449327898</v>
      </c>
      <c r="V339" s="36">
        <v>4.21624913145856</v>
      </c>
      <c r="W339" s="36">
        <v>0.24329589949557701</v>
      </c>
      <c r="X339" s="37">
        <v>0.79475829324495695</v>
      </c>
      <c r="Y339" s="37">
        <v>1.89194894066486</v>
      </c>
      <c r="Z339" s="37">
        <v>5.6003804378713999</v>
      </c>
      <c r="AA339" s="37">
        <v>0.84654704659994096</v>
      </c>
      <c r="AB339" s="37">
        <v>4.5939628290755703</v>
      </c>
      <c r="AC339" s="37">
        <v>9.4702868446214996</v>
      </c>
      <c r="AD339" s="37">
        <v>87.495322776020501</v>
      </c>
      <c r="AE339" s="37">
        <v>0.38065921161865401</v>
      </c>
      <c r="AF339" s="45">
        <v>1.40289839461219</v>
      </c>
      <c r="AG339" s="45">
        <v>2.6813127944903301</v>
      </c>
      <c r="AH339" s="46">
        <v>0.13541257135353399</v>
      </c>
      <c r="AI339" s="47">
        <v>0.18563731605638101</v>
      </c>
      <c r="AJ339" s="48">
        <v>5.1781475574183498</v>
      </c>
      <c r="AK339" s="49">
        <v>13.8842332974647</v>
      </c>
      <c r="AL339" s="31" t="s">
        <v>5874</v>
      </c>
      <c r="AM339" s="31" t="s">
        <v>5832</v>
      </c>
      <c r="AN339" s="31" t="s">
        <v>25636</v>
      </c>
      <c r="AO339" s="31" t="s">
        <v>25637</v>
      </c>
      <c r="AP339" s="31" t="s">
        <v>25638</v>
      </c>
      <c r="AQ339" s="31" t="s">
        <v>25639</v>
      </c>
      <c r="AR339" s="31" t="s">
        <v>25640</v>
      </c>
      <c r="AS339" s="31" t="str">
        <f>"DMBT1"</f>
        <v>DMBT1</v>
      </c>
      <c r="AT339" s="31" t="s">
        <v>13772</v>
      </c>
      <c r="AU339" s="31" t="s">
        <v>13777</v>
      </c>
      <c r="AV339" s="31">
        <v>9606</v>
      </c>
      <c r="AW339" s="50" t="str">
        <f>HYPERLINK("http://www.uniprot.org/uniprot/Q9UGM3", "Q9UGM3")</f>
        <v>Q9UGM3</v>
      </c>
      <c r="AX339" s="31" t="s">
        <v>25641</v>
      </c>
      <c r="AY339" s="31" t="s">
        <v>25642</v>
      </c>
      <c r="AZ339" s="31" t="s">
        <v>14321</v>
      </c>
      <c r="BA339" s="31" t="s">
        <v>13780</v>
      </c>
      <c r="BB339" s="31" t="s">
        <v>13772</v>
      </c>
      <c r="BC339" s="31" t="s">
        <v>14505</v>
      </c>
      <c r="BD339" s="31" t="s">
        <v>14404</v>
      </c>
      <c r="BE339" s="31" t="s">
        <v>13772</v>
      </c>
      <c r="BF339" s="31" t="s">
        <v>14727</v>
      </c>
      <c r="BG339" s="31" t="s">
        <v>13796</v>
      </c>
      <c r="BH339" s="31" t="s">
        <v>13772</v>
      </c>
      <c r="BI339" s="31" t="s">
        <v>25643</v>
      </c>
      <c r="BJ339" s="31" t="s">
        <v>25644</v>
      </c>
      <c r="BK339" s="31" t="s">
        <v>25645</v>
      </c>
      <c r="BL339" s="31" t="s">
        <v>13772</v>
      </c>
      <c r="BM339" s="31" t="s">
        <v>15391</v>
      </c>
    </row>
    <row r="340" spans="1:65">
      <c r="A340">
        <v>392</v>
      </c>
      <c r="B340">
        <v>1</v>
      </c>
      <c r="C340">
        <v>335</v>
      </c>
      <c r="D340" t="s">
        <v>981</v>
      </c>
      <c r="E340" t="s">
        <v>73</v>
      </c>
      <c r="F340" t="s">
        <v>73</v>
      </c>
      <c r="G340">
        <v>23.9</v>
      </c>
      <c r="H340">
        <v>569</v>
      </c>
      <c r="I340">
        <v>61349</v>
      </c>
      <c r="J340" t="s">
        <v>982</v>
      </c>
      <c r="K340" s="3" t="s">
        <v>73</v>
      </c>
      <c r="L340">
        <v>119</v>
      </c>
      <c r="M340">
        <v>119</v>
      </c>
      <c r="N340">
        <v>1</v>
      </c>
      <c r="O340" s="11">
        <f t="shared" si="5"/>
        <v>8.0361656838448479</v>
      </c>
      <c r="P340" s="36">
        <v>10.9047905625126</v>
      </c>
      <c r="Q340" s="36">
        <v>14.4459618101617</v>
      </c>
      <c r="R340" s="36">
        <v>8.00398830906129</v>
      </c>
      <c r="S340" s="36">
        <v>18.143061109838801</v>
      </c>
      <c r="T340" s="36">
        <v>18.0637035586747</v>
      </c>
      <c r="U340" s="36">
        <v>9.2972724663949098</v>
      </c>
      <c r="V340" s="36">
        <v>9.4865605457817708</v>
      </c>
      <c r="W340" s="36">
        <v>9.7318359798230603</v>
      </c>
      <c r="X340" s="37">
        <v>1.5895165864899099</v>
      </c>
      <c r="Y340" s="37">
        <v>2.5225985875531398</v>
      </c>
      <c r="Z340" s="37">
        <v>1.60010869653469</v>
      </c>
      <c r="AA340" s="37">
        <v>1.6930940931998799</v>
      </c>
      <c r="AB340" s="37">
        <v>0.22969814145377901</v>
      </c>
      <c r="AC340" s="37">
        <v>3.1567622815404999</v>
      </c>
      <c r="AD340" s="37">
        <v>9.0512402871745401</v>
      </c>
      <c r="AE340" s="37">
        <v>10.658457925322301</v>
      </c>
      <c r="AF340" s="45">
        <v>-1.84986489357436</v>
      </c>
      <c r="AG340" s="45">
        <v>-3.21548938862193</v>
      </c>
      <c r="AH340" s="46">
        <v>1.7365975544327E-4</v>
      </c>
      <c r="AI340" s="47">
        <v>4.6192174192673702E-4</v>
      </c>
      <c r="AJ340" s="48">
        <v>12.259646792781099</v>
      </c>
      <c r="AK340" s="49">
        <v>3.81268457490859</v>
      </c>
      <c r="AL340" s="31" t="s">
        <v>5875</v>
      </c>
      <c r="AM340" s="31" t="s">
        <v>5876</v>
      </c>
      <c r="AN340" s="31" t="s">
        <v>17526</v>
      </c>
      <c r="AO340" s="31" t="s">
        <v>17527</v>
      </c>
      <c r="AP340" s="31" t="s">
        <v>17528</v>
      </c>
      <c r="AQ340" s="31" t="s">
        <v>17529</v>
      </c>
      <c r="AR340" s="31" t="s">
        <v>17530</v>
      </c>
      <c r="AS340" s="31" t="str">
        <f>"GGT1"</f>
        <v>GGT1</v>
      </c>
      <c r="AT340" s="31" t="s">
        <v>17531</v>
      </c>
      <c r="AU340" s="31" t="s">
        <v>13777</v>
      </c>
      <c r="AV340" s="31">
        <v>9606</v>
      </c>
      <c r="AW340" s="50" t="str">
        <f>HYPERLINK("http://www.uniprot.org/uniprot/P19440", "P19440")</f>
        <v>P19440</v>
      </c>
      <c r="AX340" s="31" t="s">
        <v>17532</v>
      </c>
      <c r="AY340" s="31" t="s">
        <v>17533</v>
      </c>
      <c r="AZ340" s="31" t="s">
        <v>13792</v>
      </c>
      <c r="BA340" s="31" t="s">
        <v>14942</v>
      </c>
      <c r="BB340" s="31" t="s">
        <v>13772</v>
      </c>
      <c r="BC340" s="31" t="s">
        <v>17534</v>
      </c>
      <c r="BD340" s="31" t="s">
        <v>14417</v>
      </c>
      <c r="BE340" s="31" t="s">
        <v>17535</v>
      </c>
      <c r="BF340" s="31" t="s">
        <v>17536</v>
      </c>
      <c r="BG340" s="31" t="s">
        <v>15472</v>
      </c>
      <c r="BH340" s="31" t="s">
        <v>13812</v>
      </c>
      <c r="BI340" s="31" t="s">
        <v>17537</v>
      </c>
      <c r="BJ340" s="31" t="s">
        <v>17538</v>
      </c>
      <c r="BK340" s="31" t="s">
        <v>17539</v>
      </c>
      <c r="BL340" s="31" t="s">
        <v>17540</v>
      </c>
      <c r="BM340" s="31" t="s">
        <v>17541</v>
      </c>
    </row>
    <row r="341" spans="1:65">
      <c r="A341">
        <v>2088</v>
      </c>
      <c r="B341">
        <v>1</v>
      </c>
      <c r="C341">
        <v>336</v>
      </c>
      <c r="D341" t="s">
        <v>4906</v>
      </c>
      <c r="E341" t="s">
        <v>4907</v>
      </c>
      <c r="F341" t="s">
        <v>73</v>
      </c>
      <c r="G341">
        <v>22</v>
      </c>
      <c r="H341">
        <v>887</v>
      </c>
      <c r="I341">
        <v>97441</v>
      </c>
      <c r="J341" t="s">
        <v>4908</v>
      </c>
      <c r="K341" s="3" t="s">
        <v>73</v>
      </c>
      <c r="L341">
        <v>119</v>
      </c>
      <c r="M341">
        <v>119</v>
      </c>
      <c r="N341">
        <v>1</v>
      </c>
      <c r="O341" s="11">
        <f t="shared" si="5"/>
        <v>8.3206099762134169</v>
      </c>
      <c r="P341" s="36">
        <v>7.2698603750083803</v>
      </c>
      <c r="Q341" s="36">
        <v>15.4090259308391</v>
      </c>
      <c r="R341" s="36">
        <v>17.608774279934799</v>
      </c>
      <c r="S341" s="36">
        <v>28.726513423911399</v>
      </c>
      <c r="T341" s="36">
        <v>16.343350838801001</v>
      </c>
      <c r="U341" s="36">
        <v>18.594544932789798</v>
      </c>
      <c r="V341" s="36">
        <v>15.8109342429696</v>
      </c>
      <c r="W341" s="36">
        <v>6.8122851858761404</v>
      </c>
      <c r="X341" s="37">
        <v>0.19868957331123899</v>
      </c>
      <c r="Y341" s="37">
        <v>0.15766241172207099</v>
      </c>
      <c r="Z341" s="37">
        <v>1.60010869653469</v>
      </c>
      <c r="AA341" s="37">
        <v>0.21163676164998499</v>
      </c>
      <c r="AB341" s="37">
        <v>0.91879256581511404</v>
      </c>
      <c r="AC341" s="37">
        <v>1.5783811407702499</v>
      </c>
      <c r="AD341" s="37">
        <v>1.50854004786242</v>
      </c>
      <c r="AE341" s="37">
        <v>0.38065921161865401</v>
      </c>
      <c r="AF341" s="45">
        <v>-4.1140325965709703</v>
      </c>
      <c r="AG341" s="45">
        <v>-19.3112915775523</v>
      </c>
      <c r="AH341" s="46">
        <v>4.6300522610600499E-15</v>
      </c>
      <c r="AI341" s="47">
        <v>2.5812541355409801E-13</v>
      </c>
      <c r="AJ341" s="48">
        <v>15.821911151266301</v>
      </c>
      <c r="AK341" s="49">
        <v>0.81930880116055305</v>
      </c>
      <c r="AL341" s="31" t="s">
        <v>5875</v>
      </c>
      <c r="AM341" s="31" t="s">
        <v>5876</v>
      </c>
      <c r="AN341" s="31" t="s">
        <v>33772</v>
      </c>
      <c r="AO341" s="31" t="s">
        <v>33773</v>
      </c>
      <c r="AP341" s="31" t="s">
        <v>33774</v>
      </c>
      <c r="AQ341" s="31" t="s">
        <v>33775</v>
      </c>
      <c r="AR341" s="31" t="s">
        <v>33776</v>
      </c>
      <c r="AS341" s="31" t="str">
        <f>"AXL"</f>
        <v>AXL</v>
      </c>
      <c r="AT341" s="31" t="s">
        <v>33777</v>
      </c>
      <c r="AU341" s="31" t="s">
        <v>13777</v>
      </c>
      <c r="AV341" s="31">
        <v>9606</v>
      </c>
      <c r="AW341" s="50" t="str">
        <f>HYPERLINK("http://www.uniprot.org/uniprot/P30530", "P30530")</f>
        <v>P30530</v>
      </c>
      <c r="AX341" s="31" t="s">
        <v>33778</v>
      </c>
      <c r="AY341" s="31" t="s">
        <v>33779</v>
      </c>
      <c r="AZ341" s="31" t="s">
        <v>13792</v>
      </c>
      <c r="BA341" s="31" t="s">
        <v>13780</v>
      </c>
      <c r="BB341" s="31" t="s">
        <v>13772</v>
      </c>
      <c r="BC341" s="31" t="s">
        <v>33780</v>
      </c>
      <c r="BD341" s="31" t="s">
        <v>13951</v>
      </c>
      <c r="BE341" s="31" t="s">
        <v>14005</v>
      </c>
      <c r="BF341" s="31" t="s">
        <v>33781</v>
      </c>
      <c r="BG341" s="31" t="s">
        <v>14640</v>
      </c>
      <c r="BH341" s="31" t="s">
        <v>13812</v>
      </c>
      <c r="BI341" s="31" t="s">
        <v>33782</v>
      </c>
      <c r="BJ341" s="31" t="s">
        <v>33783</v>
      </c>
      <c r="BK341" s="31" t="s">
        <v>33784</v>
      </c>
      <c r="BL341" s="31" t="s">
        <v>13772</v>
      </c>
      <c r="BM341" s="31" t="s">
        <v>33785</v>
      </c>
    </row>
    <row r="342" spans="1:65">
      <c r="A342">
        <v>101</v>
      </c>
      <c r="B342">
        <v>1</v>
      </c>
      <c r="C342">
        <v>337</v>
      </c>
      <c r="D342" t="s">
        <v>274</v>
      </c>
      <c r="E342" t="s">
        <v>73</v>
      </c>
      <c r="F342" t="s">
        <v>73</v>
      </c>
      <c r="G342">
        <v>72.5</v>
      </c>
      <c r="H342">
        <v>204</v>
      </c>
      <c r="I342">
        <v>23366</v>
      </c>
      <c r="J342" t="s">
        <v>275</v>
      </c>
      <c r="K342" s="3" t="s">
        <v>73</v>
      </c>
      <c r="L342">
        <v>118</v>
      </c>
      <c r="M342">
        <v>118</v>
      </c>
      <c r="N342">
        <v>1</v>
      </c>
      <c r="O342" s="11">
        <f t="shared" si="5"/>
        <v>6.5072936137240172</v>
      </c>
      <c r="P342" s="36">
        <v>2.4232867916694598</v>
      </c>
      <c r="Q342" s="36">
        <v>5.7783847240646802</v>
      </c>
      <c r="R342" s="36">
        <v>3.2015953236245198</v>
      </c>
      <c r="S342" s="36">
        <v>7.5596087957661497</v>
      </c>
      <c r="T342" s="36">
        <v>6.0212345195582504</v>
      </c>
      <c r="U342" s="36">
        <v>5.5783634798369501</v>
      </c>
      <c r="V342" s="36">
        <v>7.3784359800524904</v>
      </c>
      <c r="W342" s="36">
        <v>3.8927343919292201</v>
      </c>
      <c r="X342" s="37">
        <v>12.716132691919301</v>
      </c>
      <c r="Y342" s="37">
        <v>15.135591525318899</v>
      </c>
      <c r="Z342" s="37">
        <v>4.8003260896040603</v>
      </c>
      <c r="AA342" s="37">
        <v>4.2327352329997003</v>
      </c>
      <c r="AB342" s="37">
        <v>9.1879256581511406</v>
      </c>
      <c r="AC342" s="37">
        <v>7.1027151334661296</v>
      </c>
      <c r="AD342" s="37">
        <v>3.0170800957248498</v>
      </c>
      <c r="AE342" s="37">
        <v>6.0905473858984696</v>
      </c>
      <c r="AF342" s="45">
        <v>0.60973824131139898</v>
      </c>
      <c r="AG342" s="45">
        <v>1.4888268830561999</v>
      </c>
      <c r="AH342" s="46">
        <v>0.16168386419713199</v>
      </c>
      <c r="AI342" s="47">
        <v>0.217638843355898</v>
      </c>
      <c r="AJ342" s="48">
        <v>5.2292055008127099</v>
      </c>
      <c r="AK342" s="49">
        <v>7.7853817266353103</v>
      </c>
      <c r="AL342" s="31" t="s">
        <v>5874</v>
      </c>
      <c r="AM342" s="31" t="s">
        <v>5832</v>
      </c>
      <c r="AN342" s="31" t="s">
        <v>14294</v>
      </c>
      <c r="AO342" s="31" t="s">
        <v>14295</v>
      </c>
      <c r="AP342" s="31" t="s">
        <v>14296</v>
      </c>
      <c r="AQ342" s="31" t="s">
        <v>14297</v>
      </c>
      <c r="AR342" s="31" t="s">
        <v>14298</v>
      </c>
      <c r="AS342" s="31" t="str">
        <f>"ARHGDIA"</f>
        <v>ARHGDIA</v>
      </c>
      <c r="AT342" s="31" t="s">
        <v>14299</v>
      </c>
      <c r="AU342" s="31" t="s">
        <v>13777</v>
      </c>
      <c r="AV342" s="31">
        <v>9606</v>
      </c>
      <c r="AW342" s="50" t="str">
        <f>HYPERLINK("http://www.uniprot.org/uniprot/P52565", "P52565")</f>
        <v>P52565</v>
      </c>
      <c r="AX342" s="31" t="s">
        <v>14300</v>
      </c>
      <c r="AY342" s="31" t="s">
        <v>13772</v>
      </c>
      <c r="AZ342" s="31" t="s">
        <v>13899</v>
      </c>
      <c r="BA342" s="31" t="s">
        <v>13841</v>
      </c>
      <c r="BB342" s="31" t="s">
        <v>13772</v>
      </c>
      <c r="BC342" s="31" t="s">
        <v>13807</v>
      </c>
      <c r="BD342" s="31" t="s">
        <v>13772</v>
      </c>
      <c r="BE342" s="31" t="s">
        <v>13772</v>
      </c>
      <c r="BF342" s="31" t="s">
        <v>14301</v>
      </c>
      <c r="BG342" s="31" t="s">
        <v>13991</v>
      </c>
      <c r="BH342" s="31" t="s">
        <v>13812</v>
      </c>
      <c r="BI342" s="31" t="s">
        <v>14302</v>
      </c>
      <c r="BJ342" s="31" t="s">
        <v>14303</v>
      </c>
      <c r="BK342" s="31" t="s">
        <v>14304</v>
      </c>
      <c r="BL342" s="31" t="s">
        <v>13772</v>
      </c>
      <c r="BM342" s="31" t="s">
        <v>14305</v>
      </c>
    </row>
    <row r="343" spans="1:65">
      <c r="A343">
        <v>304</v>
      </c>
      <c r="B343">
        <v>1</v>
      </c>
      <c r="C343">
        <v>338</v>
      </c>
      <c r="D343" t="s">
        <v>763</v>
      </c>
      <c r="E343" t="s">
        <v>764</v>
      </c>
      <c r="F343" t="s">
        <v>73</v>
      </c>
      <c r="G343">
        <v>29.7</v>
      </c>
      <c r="H343">
        <v>172</v>
      </c>
      <c r="I343">
        <v>18629</v>
      </c>
      <c r="J343" t="s">
        <v>765</v>
      </c>
      <c r="K343" s="3" t="s">
        <v>73</v>
      </c>
      <c r="L343">
        <v>118</v>
      </c>
      <c r="M343">
        <v>118</v>
      </c>
      <c r="N343">
        <v>1</v>
      </c>
      <c r="O343" s="11">
        <f t="shared" si="5"/>
        <v>7.7424382298608592</v>
      </c>
      <c r="P343" s="36">
        <v>10.9047905625126</v>
      </c>
      <c r="Q343" s="36">
        <v>11.556769448129399</v>
      </c>
      <c r="R343" s="36">
        <v>19.2095719417471</v>
      </c>
      <c r="S343" s="36">
        <v>9.0715305549193808</v>
      </c>
      <c r="T343" s="36">
        <v>6.8814108794951396</v>
      </c>
      <c r="U343" s="36">
        <v>3.7189089865579601</v>
      </c>
      <c r="V343" s="36">
        <v>9.4865605457817708</v>
      </c>
      <c r="W343" s="36">
        <v>11.678203175787701</v>
      </c>
      <c r="X343" s="37">
        <v>4.7685497594697397</v>
      </c>
      <c r="Y343" s="37">
        <v>3.7838978813297102</v>
      </c>
      <c r="Z343" s="37">
        <v>6.4004347861387396</v>
      </c>
      <c r="AA343" s="37">
        <v>3.3861881863997598</v>
      </c>
      <c r="AB343" s="37">
        <v>4.5939628290755703</v>
      </c>
      <c r="AC343" s="37">
        <v>6.3135245630809997</v>
      </c>
      <c r="AD343" s="37">
        <v>6.0341601914496898</v>
      </c>
      <c r="AE343" s="37">
        <v>6.0905473858984696</v>
      </c>
      <c r="AF343" s="45">
        <v>-0.96416603805038303</v>
      </c>
      <c r="AG343" s="45">
        <v>-1.99432492413643</v>
      </c>
      <c r="AH343" s="46">
        <v>8.0695928771874204E-3</v>
      </c>
      <c r="AI343" s="47">
        <v>1.5122010181620099E-2</v>
      </c>
      <c r="AJ343" s="48">
        <v>10.313468261866401</v>
      </c>
      <c r="AK343" s="49">
        <v>5.1714081978553397</v>
      </c>
      <c r="AL343" s="31" t="s">
        <v>5875</v>
      </c>
      <c r="AM343" s="31" t="s">
        <v>5878</v>
      </c>
      <c r="AN343" s="31" t="s">
        <v>16576</v>
      </c>
      <c r="AO343" s="31" t="s">
        <v>16577</v>
      </c>
      <c r="AP343" s="31" t="s">
        <v>16578</v>
      </c>
      <c r="AQ343" s="31" t="s">
        <v>16579</v>
      </c>
      <c r="AR343" s="31" t="s">
        <v>16580</v>
      </c>
      <c r="AS343" s="31" t="str">
        <f>"LYNX1"</f>
        <v>LYNX1</v>
      </c>
      <c r="AT343" s="31" t="s">
        <v>13772</v>
      </c>
      <c r="AU343" s="31" t="s">
        <v>13777</v>
      </c>
      <c r="AV343" s="31">
        <v>9606</v>
      </c>
      <c r="AW343" s="50" t="str">
        <f>HYPERLINK("http://www.uniprot.org/uniprot/P0DP58", "P0DP58")</f>
        <v>P0DP58</v>
      </c>
      <c r="AX343" s="31" t="s">
        <v>16581</v>
      </c>
      <c r="AY343" s="31" t="s">
        <v>13772</v>
      </c>
      <c r="AZ343" s="31" t="s">
        <v>16582</v>
      </c>
      <c r="BA343" s="31" t="s">
        <v>13841</v>
      </c>
      <c r="BB343" s="31" t="s">
        <v>13772</v>
      </c>
      <c r="BC343" s="31" t="s">
        <v>13772</v>
      </c>
      <c r="BD343" s="31" t="s">
        <v>13808</v>
      </c>
      <c r="BE343" s="31" t="s">
        <v>13772</v>
      </c>
      <c r="BF343" s="31" t="s">
        <v>13772</v>
      </c>
      <c r="BG343" s="31" t="s">
        <v>15699</v>
      </c>
      <c r="BH343" s="31" t="s">
        <v>13812</v>
      </c>
      <c r="BI343" s="31" t="s">
        <v>16583</v>
      </c>
      <c r="BJ343" s="31" t="s">
        <v>16584</v>
      </c>
      <c r="BK343" s="31" t="s">
        <v>16585</v>
      </c>
      <c r="BL343" s="31" t="s">
        <v>13772</v>
      </c>
      <c r="BM343" s="31" t="s">
        <v>13772</v>
      </c>
    </row>
    <row r="344" spans="1:65">
      <c r="A344">
        <v>626</v>
      </c>
      <c r="B344">
        <v>1</v>
      </c>
      <c r="C344">
        <v>339</v>
      </c>
      <c r="D344" t="s">
        <v>1549</v>
      </c>
      <c r="E344" t="s">
        <v>73</v>
      </c>
      <c r="F344" t="s">
        <v>73</v>
      </c>
      <c r="G344">
        <v>36.200000000000003</v>
      </c>
      <c r="H344">
        <v>572</v>
      </c>
      <c r="I344">
        <v>62321</v>
      </c>
      <c r="J344" t="s">
        <v>1550</v>
      </c>
      <c r="K344" s="3" t="s">
        <v>73</v>
      </c>
      <c r="L344">
        <v>118</v>
      </c>
      <c r="M344">
        <v>118</v>
      </c>
      <c r="N344">
        <v>1</v>
      </c>
      <c r="O344" s="11">
        <f t="shared" si="5"/>
        <v>7.6144795153882798</v>
      </c>
      <c r="P344" s="36">
        <v>8.4815037708430996</v>
      </c>
      <c r="Q344" s="36">
        <v>12.519833568806799</v>
      </c>
      <c r="R344" s="36">
        <v>11.2055836326858</v>
      </c>
      <c r="S344" s="36">
        <v>21.1669046281452</v>
      </c>
      <c r="T344" s="36">
        <v>6.8814108794951396</v>
      </c>
      <c r="U344" s="36">
        <v>9.2972724663949098</v>
      </c>
      <c r="V344" s="36">
        <v>10.5406228286464</v>
      </c>
      <c r="W344" s="36">
        <v>11.678203175787701</v>
      </c>
      <c r="X344" s="37">
        <v>3.17903317297983</v>
      </c>
      <c r="Y344" s="37">
        <v>2.5225985875531398</v>
      </c>
      <c r="Z344" s="37">
        <v>4.0002717413367099</v>
      </c>
      <c r="AA344" s="37">
        <v>2.5396411397998202</v>
      </c>
      <c r="AB344" s="37">
        <v>5.5127553948906796</v>
      </c>
      <c r="AC344" s="37">
        <v>4.7351434223107498</v>
      </c>
      <c r="AD344" s="37">
        <v>4.5256201435872701</v>
      </c>
      <c r="AE344" s="37">
        <v>3.0452736929492299</v>
      </c>
      <c r="AF344" s="45">
        <v>-1.5637658161371899</v>
      </c>
      <c r="AG344" s="45">
        <v>-3.0529043652755599</v>
      </c>
      <c r="AH344" s="46">
        <v>1.6430141370822499E-5</v>
      </c>
      <c r="AI344" s="47">
        <v>5.6080431515715601E-5</v>
      </c>
      <c r="AJ344" s="48">
        <v>11.4714168688506</v>
      </c>
      <c r="AK344" s="49">
        <v>3.7575421619259299</v>
      </c>
      <c r="AL344" s="31" t="s">
        <v>5875</v>
      </c>
      <c r="AM344" s="31" t="s">
        <v>5876</v>
      </c>
      <c r="AN344" s="31" t="s">
        <v>19974</v>
      </c>
      <c r="AO344" s="31" t="s">
        <v>19975</v>
      </c>
      <c r="AP344" s="31" t="s">
        <v>19976</v>
      </c>
      <c r="AQ344" s="31" t="s">
        <v>19977</v>
      </c>
      <c r="AR344" s="31" t="s">
        <v>19978</v>
      </c>
      <c r="AS344" s="31" t="str">
        <f>"TPP1"</f>
        <v>TPP1</v>
      </c>
      <c r="AT344" s="31" t="s">
        <v>19979</v>
      </c>
      <c r="AU344" s="31" t="s">
        <v>13777</v>
      </c>
      <c r="AV344" s="31">
        <v>9606</v>
      </c>
      <c r="AW344" s="50" t="str">
        <f>HYPERLINK("http://www.uniprot.org/uniprot/O14773", "O14773")</f>
        <v>O14773</v>
      </c>
      <c r="AX344" s="31" t="s">
        <v>19980</v>
      </c>
      <c r="AY344" s="31" t="s">
        <v>13772</v>
      </c>
      <c r="AZ344" s="31" t="s">
        <v>13806</v>
      </c>
      <c r="BA344" s="31" t="s">
        <v>13780</v>
      </c>
      <c r="BB344" s="31" t="s">
        <v>13772</v>
      </c>
      <c r="BC344" s="31" t="s">
        <v>19981</v>
      </c>
      <c r="BD344" s="31" t="s">
        <v>13808</v>
      </c>
      <c r="BE344" s="31" t="s">
        <v>13873</v>
      </c>
      <c r="BF344" s="31" t="s">
        <v>15176</v>
      </c>
      <c r="BG344" s="31" t="s">
        <v>19982</v>
      </c>
      <c r="BH344" s="31" t="s">
        <v>13812</v>
      </c>
      <c r="BI344" s="31" t="s">
        <v>19983</v>
      </c>
      <c r="BJ344" s="31" t="s">
        <v>19984</v>
      </c>
      <c r="BK344" s="31" t="s">
        <v>19985</v>
      </c>
      <c r="BL344" s="31" t="s">
        <v>13772</v>
      </c>
      <c r="BM344" s="31" t="s">
        <v>19986</v>
      </c>
    </row>
    <row r="345" spans="1:65">
      <c r="A345">
        <v>778</v>
      </c>
      <c r="B345">
        <v>1</v>
      </c>
      <c r="C345">
        <v>340</v>
      </c>
      <c r="D345" t="s">
        <v>1912</v>
      </c>
      <c r="E345" t="s">
        <v>73</v>
      </c>
      <c r="F345" t="s">
        <v>73</v>
      </c>
      <c r="G345">
        <v>57.6</v>
      </c>
      <c r="H345">
        <v>210</v>
      </c>
      <c r="I345">
        <v>22484</v>
      </c>
      <c r="J345" t="s">
        <v>1913</v>
      </c>
      <c r="K345" s="3" t="s">
        <v>73</v>
      </c>
      <c r="L345">
        <v>118</v>
      </c>
      <c r="M345">
        <v>118</v>
      </c>
      <c r="N345">
        <v>1</v>
      </c>
      <c r="O345" s="11">
        <f t="shared" si="5"/>
        <v>6.9776933352952168</v>
      </c>
      <c r="P345" s="36">
        <v>6.0582169791736504</v>
      </c>
      <c r="Q345" s="36">
        <v>2.8891923620323401</v>
      </c>
      <c r="R345" s="36">
        <v>4.8023929854367697</v>
      </c>
      <c r="S345" s="36">
        <v>1.5119217591532299</v>
      </c>
      <c r="T345" s="36">
        <v>4.3008817996844604</v>
      </c>
      <c r="U345" s="36">
        <v>8.3675452197554208</v>
      </c>
      <c r="V345" s="36">
        <v>9.4865605457817708</v>
      </c>
      <c r="W345" s="36">
        <v>12.65138677377</v>
      </c>
      <c r="X345" s="37">
        <v>6.35806634595966</v>
      </c>
      <c r="Y345" s="37">
        <v>9.4597447033242794</v>
      </c>
      <c r="Z345" s="37">
        <v>6.4004347861387396</v>
      </c>
      <c r="AA345" s="37">
        <v>6.7723763727995303</v>
      </c>
      <c r="AB345" s="37">
        <v>7.3503405265209096</v>
      </c>
      <c r="AC345" s="37">
        <v>5.5243339926958699</v>
      </c>
      <c r="AD345" s="37">
        <v>9.0512402871745401</v>
      </c>
      <c r="AE345" s="37">
        <v>10.658457925322301</v>
      </c>
      <c r="AF345" s="45">
        <v>0.22835540182651201</v>
      </c>
      <c r="AG345" s="45">
        <v>1.2298249160078201</v>
      </c>
      <c r="AH345" s="46">
        <v>0.52439785284651197</v>
      </c>
      <c r="AI345" s="47">
        <v>0.60486579923158001</v>
      </c>
      <c r="AJ345" s="48">
        <v>6.25851230309845</v>
      </c>
      <c r="AK345" s="49">
        <v>7.6968743674919802</v>
      </c>
      <c r="AL345" s="31" t="s">
        <v>5874</v>
      </c>
      <c r="AM345" s="31" t="s">
        <v>5832</v>
      </c>
      <c r="AN345" s="31" t="s">
        <v>21451</v>
      </c>
      <c r="AO345" s="31" t="s">
        <v>21452</v>
      </c>
      <c r="AP345" s="31" t="s">
        <v>21453</v>
      </c>
      <c r="AQ345" s="31" t="s">
        <v>21454</v>
      </c>
      <c r="AR345" s="31" t="s">
        <v>21455</v>
      </c>
      <c r="AS345" s="31" t="str">
        <f>"ABHD14B"</f>
        <v>ABHD14B</v>
      </c>
      <c r="AT345" s="31" t="s">
        <v>21456</v>
      </c>
      <c r="AU345" s="31" t="s">
        <v>13777</v>
      </c>
      <c r="AV345" s="31">
        <v>9606</v>
      </c>
      <c r="AW345" s="50" t="str">
        <f>HYPERLINK("http://www.uniprot.org/uniprot/Q96IU4", "Q96IU4")</f>
        <v>Q96IU4</v>
      </c>
      <c r="AX345" s="31" t="s">
        <v>21457</v>
      </c>
      <c r="AY345" s="31" t="s">
        <v>13772</v>
      </c>
      <c r="AZ345" s="31" t="s">
        <v>13912</v>
      </c>
      <c r="BA345" s="31" t="s">
        <v>13841</v>
      </c>
      <c r="BB345" s="31" t="s">
        <v>13772</v>
      </c>
      <c r="BC345" s="31" t="s">
        <v>13772</v>
      </c>
      <c r="BD345" s="31" t="s">
        <v>13772</v>
      </c>
      <c r="BE345" s="31" t="s">
        <v>13772</v>
      </c>
      <c r="BF345" s="31" t="s">
        <v>13857</v>
      </c>
      <c r="BG345" s="31" t="s">
        <v>13886</v>
      </c>
      <c r="BH345" s="31" t="s">
        <v>13812</v>
      </c>
      <c r="BI345" s="31" t="s">
        <v>21458</v>
      </c>
      <c r="BJ345" s="31" t="s">
        <v>16972</v>
      </c>
      <c r="BK345" s="31" t="s">
        <v>16563</v>
      </c>
      <c r="BL345" s="31" t="s">
        <v>13772</v>
      </c>
      <c r="BM345" s="31" t="s">
        <v>21459</v>
      </c>
    </row>
    <row r="346" spans="1:65">
      <c r="A346">
        <v>1685</v>
      </c>
      <c r="B346">
        <v>1</v>
      </c>
      <c r="C346">
        <v>341</v>
      </c>
      <c r="D346" t="s">
        <v>3997</v>
      </c>
      <c r="E346" t="s">
        <v>73</v>
      </c>
      <c r="F346" t="s">
        <v>73</v>
      </c>
      <c r="G346">
        <v>85.1</v>
      </c>
      <c r="H346">
        <v>114</v>
      </c>
      <c r="I346">
        <v>12773</v>
      </c>
      <c r="J346" t="s">
        <v>3998</v>
      </c>
      <c r="K346" s="3" t="s">
        <v>73</v>
      </c>
      <c r="L346">
        <v>118</v>
      </c>
      <c r="M346">
        <v>118</v>
      </c>
      <c r="N346">
        <v>1</v>
      </c>
      <c r="O346" s="11">
        <f t="shared" si="5"/>
        <v>6.767518591867554</v>
      </c>
      <c r="P346" s="36">
        <v>2.4232867916694598</v>
      </c>
      <c r="Q346" s="36">
        <v>0.24076603016936199</v>
      </c>
      <c r="R346" s="36">
        <v>3.2015953236245198</v>
      </c>
      <c r="S346" s="36">
        <v>0.37798043978830698</v>
      </c>
      <c r="T346" s="36">
        <v>0.86017635993689201</v>
      </c>
      <c r="U346" s="36">
        <v>4.6486362331974602</v>
      </c>
      <c r="V346" s="36">
        <v>4.21624913145856</v>
      </c>
      <c r="W346" s="36">
        <v>16.544121165699199</v>
      </c>
      <c r="X346" s="37">
        <v>10.331857812184399</v>
      </c>
      <c r="Y346" s="37">
        <v>9.4597447033242794</v>
      </c>
      <c r="Z346" s="37">
        <v>7.2004891344060802</v>
      </c>
      <c r="AA346" s="37">
        <v>3.3861881863997598</v>
      </c>
      <c r="AB346" s="37">
        <v>14.7006810530418</v>
      </c>
      <c r="AC346" s="37">
        <v>9.4702868446214996</v>
      </c>
      <c r="AD346" s="37">
        <v>10.559780335037001</v>
      </c>
      <c r="AE346" s="37">
        <v>10.658457925322301</v>
      </c>
      <c r="AF346" s="45">
        <v>1.15327020424836</v>
      </c>
      <c r="AG346" s="45">
        <v>2.33038862392229</v>
      </c>
      <c r="AH346" s="46">
        <v>3.5071264713469302E-2</v>
      </c>
      <c r="AI346" s="47">
        <v>5.6673130660171503E-2</v>
      </c>
      <c r="AJ346" s="48">
        <v>4.0641014344429696</v>
      </c>
      <c r="AK346" s="49">
        <v>9.4709357492921509</v>
      </c>
      <c r="AL346" s="31" t="s">
        <v>5874</v>
      </c>
      <c r="AM346" s="31" t="s">
        <v>5877</v>
      </c>
      <c r="AN346" s="31" t="s">
        <v>29971</v>
      </c>
      <c r="AO346" s="31" t="s">
        <v>13772</v>
      </c>
      <c r="AP346" s="31" t="s">
        <v>29972</v>
      </c>
      <c r="AQ346" s="31" t="s">
        <v>29973</v>
      </c>
      <c r="AR346" s="31" t="s">
        <v>29974</v>
      </c>
      <c r="AS346" s="31" t="str">
        <f>"SH3BGRL"</f>
        <v>SH3BGRL</v>
      </c>
      <c r="AT346" s="31" t="s">
        <v>13772</v>
      </c>
      <c r="AU346" s="31" t="s">
        <v>13777</v>
      </c>
      <c r="AV346" s="31">
        <v>9606</v>
      </c>
      <c r="AW346" s="50" t="str">
        <f>HYPERLINK("http://www.uniprot.org/uniprot/O75368", "O75368")</f>
        <v>O75368</v>
      </c>
      <c r="AX346" s="31" t="s">
        <v>29975</v>
      </c>
      <c r="AY346" s="31" t="s">
        <v>13772</v>
      </c>
      <c r="AZ346" s="31" t="s">
        <v>13772</v>
      </c>
      <c r="BA346" s="31" t="s">
        <v>13772</v>
      </c>
      <c r="BB346" s="31" t="s">
        <v>13772</v>
      </c>
      <c r="BC346" s="31" t="s">
        <v>13772</v>
      </c>
      <c r="BD346" s="31" t="s">
        <v>14871</v>
      </c>
      <c r="BE346" s="31" t="s">
        <v>13772</v>
      </c>
      <c r="BF346" s="31" t="s">
        <v>13772</v>
      </c>
      <c r="BG346" s="31" t="s">
        <v>13772</v>
      </c>
      <c r="BH346" s="31" t="s">
        <v>13812</v>
      </c>
      <c r="BI346" s="31" t="s">
        <v>13772</v>
      </c>
      <c r="BJ346" s="31" t="s">
        <v>29976</v>
      </c>
      <c r="BK346" s="31" t="s">
        <v>22139</v>
      </c>
      <c r="BL346" s="31" t="s">
        <v>13772</v>
      </c>
      <c r="BM346" s="31" t="s">
        <v>13772</v>
      </c>
    </row>
    <row r="347" spans="1:65">
      <c r="A347">
        <v>2153</v>
      </c>
      <c r="B347">
        <v>1</v>
      </c>
      <c r="C347">
        <v>342</v>
      </c>
      <c r="D347" t="s">
        <v>5048</v>
      </c>
      <c r="E347" t="s">
        <v>73</v>
      </c>
      <c r="F347" t="s">
        <v>73</v>
      </c>
      <c r="G347">
        <v>24.4</v>
      </c>
      <c r="H347">
        <v>459</v>
      </c>
      <c r="I347">
        <v>53686</v>
      </c>
      <c r="J347" t="s">
        <v>5049</v>
      </c>
      <c r="K347" s="3" t="s">
        <v>73</v>
      </c>
      <c r="L347">
        <v>118</v>
      </c>
      <c r="M347">
        <v>118</v>
      </c>
      <c r="N347">
        <v>1</v>
      </c>
      <c r="O347" s="11">
        <f t="shared" si="5"/>
        <v>6.8163052938879058</v>
      </c>
      <c r="P347" s="36">
        <v>6.0582169791736504</v>
      </c>
      <c r="Q347" s="36">
        <v>0.24076603016936199</v>
      </c>
      <c r="R347" s="36">
        <v>0.40019941545306398</v>
      </c>
      <c r="S347" s="36">
        <v>0.37798043978830698</v>
      </c>
      <c r="T347" s="36">
        <v>0.215044089984223</v>
      </c>
      <c r="U347" s="36">
        <v>1.85945449327898</v>
      </c>
      <c r="V347" s="36">
        <v>1.05406228286464</v>
      </c>
      <c r="W347" s="36">
        <v>0.24329589949557701</v>
      </c>
      <c r="X347" s="37">
        <v>9.53709951893949</v>
      </c>
      <c r="Y347" s="37">
        <v>6.9371461157711396</v>
      </c>
      <c r="Z347" s="37">
        <v>19.201304358416198</v>
      </c>
      <c r="AA347" s="37">
        <v>10.1585645591993</v>
      </c>
      <c r="AB347" s="37">
        <v>4.5939628290755703</v>
      </c>
      <c r="AC347" s="37">
        <v>11.837858555776901</v>
      </c>
      <c r="AD347" s="37">
        <v>21.119560670073898</v>
      </c>
      <c r="AE347" s="37">
        <v>15.2263684647462</v>
      </c>
      <c r="AF347" s="45">
        <v>3.1296574263780998</v>
      </c>
      <c r="AG347" s="45">
        <v>9.4374274871601092</v>
      </c>
      <c r="AH347" s="46">
        <v>1.98045182519297E-8</v>
      </c>
      <c r="AI347" s="47">
        <v>1.67711679880265E-7</v>
      </c>
      <c r="AJ347" s="48">
        <v>1.3061274537759799</v>
      </c>
      <c r="AK347" s="49">
        <v>12.326483133999799</v>
      </c>
      <c r="AL347" s="31" t="s">
        <v>5874</v>
      </c>
      <c r="AM347" s="31" t="s">
        <v>5876</v>
      </c>
      <c r="AN347" s="31" t="s">
        <v>34356</v>
      </c>
      <c r="AO347" s="31" t="s">
        <v>34357</v>
      </c>
      <c r="AP347" s="31" t="s">
        <v>34358</v>
      </c>
      <c r="AQ347" s="31" t="s">
        <v>34359</v>
      </c>
      <c r="AR347" s="31" t="s">
        <v>34360</v>
      </c>
      <c r="AS347" s="31" t="str">
        <f>"ANGPTL3"</f>
        <v>ANGPTL3</v>
      </c>
      <c r="AT347" s="31" t="s">
        <v>34361</v>
      </c>
      <c r="AU347" s="31" t="s">
        <v>13777</v>
      </c>
      <c r="AV347" s="31">
        <v>9606</v>
      </c>
      <c r="AW347" s="50" t="str">
        <f>HYPERLINK("http://www.uniprot.org/uniprot/Q9Y5C1", "Q9Y5C1")</f>
        <v>Q9Y5C1</v>
      </c>
      <c r="AX347" s="31" t="s">
        <v>34362</v>
      </c>
      <c r="AY347" s="31" t="s">
        <v>34363</v>
      </c>
      <c r="AZ347" s="31" t="s">
        <v>34364</v>
      </c>
      <c r="BA347" s="31" t="s">
        <v>13793</v>
      </c>
      <c r="BB347" s="31" t="s">
        <v>13772</v>
      </c>
      <c r="BC347" s="31" t="s">
        <v>13772</v>
      </c>
      <c r="BD347" s="31" t="s">
        <v>16820</v>
      </c>
      <c r="BE347" s="31" t="s">
        <v>13772</v>
      </c>
      <c r="BF347" s="31" t="s">
        <v>14073</v>
      </c>
      <c r="BG347" s="31" t="s">
        <v>13796</v>
      </c>
      <c r="BH347" s="31" t="s">
        <v>13812</v>
      </c>
      <c r="BI347" s="31" t="s">
        <v>34365</v>
      </c>
      <c r="BJ347" s="31" t="s">
        <v>34366</v>
      </c>
      <c r="BK347" s="31" t="s">
        <v>34367</v>
      </c>
      <c r="BL347" s="31" t="s">
        <v>13772</v>
      </c>
      <c r="BM347" s="31" t="s">
        <v>34368</v>
      </c>
    </row>
    <row r="348" spans="1:65">
      <c r="A348">
        <v>792</v>
      </c>
      <c r="B348">
        <v>1</v>
      </c>
      <c r="C348">
        <v>343</v>
      </c>
      <c r="D348" t="s">
        <v>1944</v>
      </c>
      <c r="E348" t="s">
        <v>73</v>
      </c>
      <c r="F348" t="s">
        <v>73</v>
      </c>
      <c r="G348">
        <v>55</v>
      </c>
      <c r="H348">
        <v>202</v>
      </c>
      <c r="I348">
        <v>22323</v>
      </c>
      <c r="J348" t="s">
        <v>1945</v>
      </c>
      <c r="K348" s="3" t="s">
        <v>73</v>
      </c>
      <c r="L348">
        <v>117</v>
      </c>
      <c r="M348">
        <v>117</v>
      </c>
      <c r="N348">
        <v>1</v>
      </c>
      <c r="O348" s="11">
        <f t="shared" si="5"/>
        <v>5.9574419813720549</v>
      </c>
      <c r="P348" s="36">
        <v>6.0582169791736504</v>
      </c>
      <c r="Q348" s="36">
        <v>7.7045129654195703</v>
      </c>
      <c r="R348" s="36">
        <v>4.8023929854367697</v>
      </c>
      <c r="S348" s="36">
        <v>4.5357652774596904</v>
      </c>
      <c r="T348" s="36">
        <v>4.3008817996844604</v>
      </c>
      <c r="U348" s="36">
        <v>3.7189089865579601</v>
      </c>
      <c r="V348" s="36">
        <v>1.05406228286464</v>
      </c>
      <c r="W348" s="36">
        <v>6.8122851858761404</v>
      </c>
      <c r="X348" s="37">
        <v>5.5633080527147003</v>
      </c>
      <c r="Y348" s="37">
        <v>4.4145475282179998</v>
      </c>
      <c r="Z348" s="37">
        <v>4.8003260896040603</v>
      </c>
      <c r="AA348" s="37">
        <v>5.0792822795996404</v>
      </c>
      <c r="AB348" s="37">
        <v>7.3503405265209096</v>
      </c>
      <c r="AC348" s="37">
        <v>7.8919057038512497</v>
      </c>
      <c r="AD348" s="37">
        <v>9.0512402871745401</v>
      </c>
      <c r="AE348" s="37">
        <v>12.1810947717969</v>
      </c>
      <c r="AF348" s="45">
        <v>0.44017915324659901</v>
      </c>
      <c r="AG348" s="45">
        <v>1.4448920666905101</v>
      </c>
      <c r="AH348" s="46">
        <v>0.23947691700100901</v>
      </c>
      <c r="AI348" s="47">
        <v>0.309420544556815</v>
      </c>
      <c r="AJ348" s="48">
        <v>4.8733783078091104</v>
      </c>
      <c r="AK348" s="49">
        <v>7.0415056549350004</v>
      </c>
      <c r="AL348" s="31" t="s">
        <v>5874</v>
      </c>
      <c r="AM348" s="31" t="s">
        <v>5832</v>
      </c>
      <c r="AN348" s="31" t="s">
        <v>21598</v>
      </c>
      <c r="AO348" s="31" t="s">
        <v>21599</v>
      </c>
      <c r="AP348" s="31" t="s">
        <v>21600</v>
      </c>
      <c r="AQ348" s="31" t="s">
        <v>21601</v>
      </c>
      <c r="AR348" s="31" t="s">
        <v>21602</v>
      </c>
      <c r="AS348" s="31" t="str">
        <f>"CLEC3B"</f>
        <v>CLEC3B</v>
      </c>
      <c r="AT348" s="31" t="s">
        <v>21603</v>
      </c>
      <c r="AU348" s="31" t="s">
        <v>13777</v>
      </c>
      <c r="AV348" s="31">
        <v>9606</v>
      </c>
      <c r="AW348" s="50" t="str">
        <f>HYPERLINK("http://www.uniprot.org/uniprot/P05452", "P05452")</f>
        <v>P05452</v>
      </c>
      <c r="AX348" s="31" t="s">
        <v>21604</v>
      </c>
      <c r="AY348" s="31" t="s">
        <v>13772</v>
      </c>
      <c r="AZ348" s="31" t="s">
        <v>14321</v>
      </c>
      <c r="BA348" s="31" t="s">
        <v>13793</v>
      </c>
      <c r="BB348" s="31" t="s">
        <v>13772</v>
      </c>
      <c r="BC348" s="31" t="s">
        <v>13772</v>
      </c>
      <c r="BD348" s="31" t="s">
        <v>13808</v>
      </c>
      <c r="BE348" s="31" t="s">
        <v>14277</v>
      </c>
      <c r="BF348" s="31" t="s">
        <v>13772</v>
      </c>
      <c r="BG348" s="31" t="s">
        <v>13796</v>
      </c>
      <c r="BH348" s="31" t="s">
        <v>13812</v>
      </c>
      <c r="BI348" s="31" t="s">
        <v>21605</v>
      </c>
      <c r="BJ348" s="31" t="s">
        <v>21606</v>
      </c>
      <c r="BK348" s="31" t="s">
        <v>21607</v>
      </c>
      <c r="BL348" s="31" t="s">
        <v>13772</v>
      </c>
      <c r="BM348" s="31" t="s">
        <v>15665</v>
      </c>
    </row>
    <row r="349" spans="1:65">
      <c r="A349">
        <v>1380</v>
      </c>
      <c r="B349">
        <v>1</v>
      </c>
      <c r="C349">
        <v>344</v>
      </c>
      <c r="D349" t="s">
        <v>3300</v>
      </c>
      <c r="E349" t="s">
        <v>73</v>
      </c>
      <c r="F349" t="s">
        <v>73</v>
      </c>
      <c r="G349">
        <v>18.7</v>
      </c>
      <c r="H349">
        <v>659</v>
      </c>
      <c r="I349">
        <v>73294</v>
      </c>
      <c r="J349" t="s">
        <v>3301</v>
      </c>
      <c r="K349" s="3" t="s">
        <v>73</v>
      </c>
      <c r="L349">
        <v>117</v>
      </c>
      <c r="M349">
        <v>117</v>
      </c>
      <c r="N349">
        <v>1</v>
      </c>
      <c r="O349" s="11">
        <f t="shared" si="5"/>
        <v>6.5182887261072775</v>
      </c>
      <c r="P349" s="36">
        <v>8.4815037708430996</v>
      </c>
      <c r="Q349" s="36">
        <v>6.7414488447421297</v>
      </c>
      <c r="R349" s="36">
        <v>4.8023929854367697</v>
      </c>
      <c r="S349" s="36">
        <v>9.0715305549193808</v>
      </c>
      <c r="T349" s="36">
        <v>6.0212345195582504</v>
      </c>
      <c r="U349" s="36">
        <v>1.85945449327898</v>
      </c>
      <c r="V349" s="36">
        <v>3.1621868485939202</v>
      </c>
      <c r="W349" s="36">
        <v>2.9195507939469199</v>
      </c>
      <c r="X349" s="37">
        <v>6.35806634595966</v>
      </c>
      <c r="Y349" s="37">
        <v>8.1984454095477108</v>
      </c>
      <c r="Z349" s="37">
        <v>5.6003804378713999</v>
      </c>
      <c r="AA349" s="37">
        <v>7.6189234193994704</v>
      </c>
      <c r="AB349" s="37">
        <v>7.3503405265209096</v>
      </c>
      <c r="AC349" s="37">
        <v>7.8919057038512497</v>
      </c>
      <c r="AD349" s="37">
        <v>6.0341601914496898</v>
      </c>
      <c r="AE349" s="37">
        <v>12.1810947717969</v>
      </c>
      <c r="AF349" s="45">
        <v>0.51982686496947095</v>
      </c>
      <c r="AG349" s="45">
        <v>1.42206939751704</v>
      </c>
      <c r="AH349" s="46">
        <v>0.17288511331664599</v>
      </c>
      <c r="AI349" s="47">
        <v>0.23056367552830601</v>
      </c>
      <c r="AJ349" s="48">
        <v>5.3824128514149301</v>
      </c>
      <c r="AK349" s="49">
        <v>7.6541646007996302</v>
      </c>
      <c r="AL349" s="31" t="s">
        <v>5874</v>
      </c>
      <c r="AM349" s="31" t="s">
        <v>5832</v>
      </c>
      <c r="AN349" s="31" t="s">
        <v>27116</v>
      </c>
      <c r="AO349" s="31" t="s">
        <v>27117</v>
      </c>
      <c r="AP349" s="31" t="s">
        <v>27118</v>
      </c>
      <c r="AQ349" s="31" t="s">
        <v>27119</v>
      </c>
      <c r="AR349" s="31" t="s">
        <v>27120</v>
      </c>
      <c r="AS349" s="31" t="str">
        <f>"MAN1A1"</f>
        <v>MAN1A1</v>
      </c>
      <c r="AT349" s="31" t="s">
        <v>13772</v>
      </c>
      <c r="AU349" s="31" t="s">
        <v>13777</v>
      </c>
      <c r="AV349" s="31">
        <v>9606</v>
      </c>
      <c r="AW349" s="50" t="str">
        <f>HYPERLINK("http://www.uniprot.org/uniprot/P33908", "P33908")</f>
        <v>P33908</v>
      </c>
      <c r="AX349" s="31" t="s">
        <v>27121</v>
      </c>
      <c r="AY349" s="31" t="s">
        <v>13772</v>
      </c>
      <c r="AZ349" s="31" t="s">
        <v>18298</v>
      </c>
      <c r="BA349" s="31" t="s">
        <v>13780</v>
      </c>
      <c r="BB349" s="31" t="s">
        <v>13772</v>
      </c>
      <c r="BC349" s="31" t="s">
        <v>13772</v>
      </c>
      <c r="BD349" s="31" t="s">
        <v>14417</v>
      </c>
      <c r="BE349" s="31" t="s">
        <v>14465</v>
      </c>
      <c r="BF349" s="31" t="s">
        <v>15471</v>
      </c>
      <c r="BG349" s="31" t="s">
        <v>13796</v>
      </c>
      <c r="BH349" s="31" t="s">
        <v>13772</v>
      </c>
      <c r="BI349" s="31" t="s">
        <v>27122</v>
      </c>
      <c r="BJ349" s="31" t="s">
        <v>27123</v>
      </c>
      <c r="BK349" s="31" t="s">
        <v>27124</v>
      </c>
      <c r="BL349" s="31" t="s">
        <v>22195</v>
      </c>
      <c r="BM349" s="31" t="s">
        <v>25404</v>
      </c>
    </row>
    <row r="350" spans="1:65">
      <c r="A350">
        <v>2268</v>
      </c>
      <c r="B350">
        <v>1</v>
      </c>
      <c r="C350">
        <v>345</v>
      </c>
      <c r="D350" t="s">
        <v>5300</v>
      </c>
      <c r="E350" t="s">
        <v>73</v>
      </c>
      <c r="F350" t="s">
        <v>73</v>
      </c>
      <c r="G350">
        <v>31</v>
      </c>
      <c r="H350">
        <v>623</v>
      </c>
      <c r="I350">
        <v>67054</v>
      </c>
      <c r="J350" t="s">
        <v>5301</v>
      </c>
      <c r="K350" s="3" t="s">
        <v>73</v>
      </c>
      <c r="L350">
        <v>117</v>
      </c>
      <c r="M350">
        <v>117</v>
      </c>
      <c r="N350">
        <v>1</v>
      </c>
      <c r="O350" s="11">
        <f t="shared" si="5"/>
        <v>8.5793847012445212</v>
      </c>
      <c r="P350" s="36">
        <v>21.809581125025101</v>
      </c>
      <c r="Q350" s="36">
        <v>18.2982182928715</v>
      </c>
      <c r="R350" s="36">
        <v>38.419143883494201</v>
      </c>
      <c r="S350" s="36">
        <v>16.631139350685501</v>
      </c>
      <c r="T350" s="36">
        <v>11.1822926791796</v>
      </c>
      <c r="U350" s="36">
        <v>12.0864542063134</v>
      </c>
      <c r="V350" s="36">
        <v>8.4324982629171306</v>
      </c>
      <c r="W350" s="36">
        <v>4.8659179899115301</v>
      </c>
      <c r="X350" s="37">
        <v>0.79475829324495695</v>
      </c>
      <c r="Y350" s="37">
        <v>0.63064964688828595</v>
      </c>
      <c r="Z350" s="37">
        <v>0.200013587066836</v>
      </c>
      <c r="AA350" s="37">
        <v>0.21163676164998499</v>
      </c>
      <c r="AB350" s="37">
        <v>0.22969814145377901</v>
      </c>
      <c r="AC350" s="37">
        <v>1.5783811407702499</v>
      </c>
      <c r="AD350" s="37">
        <v>0.377135011965606</v>
      </c>
      <c r="AE350" s="37">
        <v>1.5226368464746201</v>
      </c>
      <c r="AF350" s="45">
        <v>-4.3538478069097799</v>
      </c>
      <c r="AG350" s="45">
        <v>-23.7560680593364</v>
      </c>
      <c r="AH350" s="46">
        <v>2.94082927124756E-13</v>
      </c>
      <c r="AI350" s="47">
        <v>9.8370739123230904E-12</v>
      </c>
      <c r="AJ350" s="48">
        <v>16.465655723799699</v>
      </c>
      <c r="AK350" s="49">
        <v>0.69311367868928897</v>
      </c>
      <c r="AL350" s="31" t="s">
        <v>5875</v>
      </c>
      <c r="AM350" s="31" t="s">
        <v>5876</v>
      </c>
      <c r="AN350" s="31" t="s">
        <v>35424</v>
      </c>
      <c r="AO350" s="31" t="s">
        <v>13772</v>
      </c>
      <c r="AP350" s="31" t="s">
        <v>35425</v>
      </c>
      <c r="AQ350" s="31" t="s">
        <v>35426</v>
      </c>
      <c r="AR350" s="31" t="s">
        <v>35427</v>
      </c>
      <c r="AS350" s="31" t="str">
        <f>"MATN3"</f>
        <v>MATN3</v>
      </c>
      <c r="AT350" s="31" t="s">
        <v>13772</v>
      </c>
      <c r="AU350" s="31" t="s">
        <v>13777</v>
      </c>
      <c r="AV350" s="31">
        <v>9606</v>
      </c>
      <c r="AW350" s="50" t="str">
        <f>HYPERLINK("http://www.uniprot.org/uniprot/O15232", "O15232")</f>
        <v>O15232</v>
      </c>
      <c r="AX350" s="31" t="s">
        <v>35428</v>
      </c>
      <c r="AY350" s="31" t="s">
        <v>13772</v>
      </c>
      <c r="AZ350" s="31" t="s">
        <v>14321</v>
      </c>
      <c r="BA350" s="31" t="s">
        <v>13780</v>
      </c>
      <c r="BB350" s="31" t="s">
        <v>13772</v>
      </c>
      <c r="BC350" s="31" t="s">
        <v>14517</v>
      </c>
      <c r="BD350" s="31" t="s">
        <v>27024</v>
      </c>
      <c r="BE350" s="31" t="s">
        <v>13772</v>
      </c>
      <c r="BF350" s="31" t="s">
        <v>13772</v>
      </c>
      <c r="BG350" s="31" t="s">
        <v>35429</v>
      </c>
      <c r="BH350" s="31" t="s">
        <v>13772</v>
      </c>
      <c r="BI350" s="31" t="s">
        <v>35430</v>
      </c>
      <c r="BJ350" s="31" t="s">
        <v>21189</v>
      </c>
      <c r="BK350" s="31" t="s">
        <v>19209</v>
      </c>
      <c r="BL350" s="31" t="s">
        <v>13772</v>
      </c>
      <c r="BM350" s="31" t="s">
        <v>25847</v>
      </c>
    </row>
    <row r="351" spans="1:65">
      <c r="A351">
        <v>1299</v>
      </c>
      <c r="B351">
        <v>1</v>
      </c>
      <c r="C351">
        <v>346</v>
      </c>
      <c r="D351" t="s">
        <v>3114</v>
      </c>
      <c r="E351" t="s">
        <v>73</v>
      </c>
      <c r="F351" t="s">
        <v>73</v>
      </c>
      <c r="G351">
        <v>73.099999999999994</v>
      </c>
      <c r="H351">
        <v>364</v>
      </c>
      <c r="I351">
        <v>39329</v>
      </c>
      <c r="J351" t="s">
        <v>3115</v>
      </c>
      <c r="K351" s="3" t="s">
        <v>73</v>
      </c>
      <c r="L351">
        <v>116</v>
      </c>
      <c r="M351">
        <v>116</v>
      </c>
      <c r="N351">
        <v>1</v>
      </c>
      <c r="O351" s="11">
        <f t="shared" si="5"/>
        <v>6.1862703034453919</v>
      </c>
      <c r="P351" s="36">
        <v>0.30291084895868198</v>
      </c>
      <c r="Q351" s="36">
        <v>0.24076603016936199</v>
      </c>
      <c r="R351" s="36">
        <v>0.40019941545306398</v>
      </c>
      <c r="S351" s="36">
        <v>0.37798043978830698</v>
      </c>
      <c r="T351" s="36">
        <v>0.215044089984223</v>
      </c>
      <c r="U351" s="36">
        <v>0.23243181165987301</v>
      </c>
      <c r="V351" s="36">
        <v>0.26351557071616</v>
      </c>
      <c r="W351" s="36">
        <v>0.97318359798230603</v>
      </c>
      <c r="X351" s="37">
        <v>14.3056492784092</v>
      </c>
      <c r="Y351" s="37">
        <v>15.135591525318899</v>
      </c>
      <c r="Z351" s="37">
        <v>0.80005434826734301</v>
      </c>
      <c r="AA351" s="37">
        <v>6.7723763727995303</v>
      </c>
      <c r="AB351" s="37">
        <v>34.914117500974299</v>
      </c>
      <c r="AC351" s="37">
        <v>13.4162396965471</v>
      </c>
      <c r="AD351" s="37">
        <v>3.0170800957248498</v>
      </c>
      <c r="AE351" s="37">
        <v>7.6131842323730803</v>
      </c>
      <c r="AF351" s="45">
        <v>4.6240042420730498</v>
      </c>
      <c r="AG351" s="45">
        <v>31.9272380618109</v>
      </c>
      <c r="AH351" s="46">
        <v>3.2246386369704302E-9</v>
      </c>
      <c r="AI351" s="47">
        <v>3.4794891098922903E-8</v>
      </c>
      <c r="AJ351" s="48">
        <v>0.37575397558899698</v>
      </c>
      <c r="AK351" s="49">
        <v>11.9967866313018</v>
      </c>
      <c r="AL351" s="31" t="s">
        <v>5874</v>
      </c>
      <c r="AM351" s="31" t="s">
        <v>5876</v>
      </c>
      <c r="AN351" s="31" t="s">
        <v>26343</v>
      </c>
      <c r="AO351" s="31" t="s">
        <v>26344</v>
      </c>
      <c r="AP351" s="31" t="s">
        <v>26345</v>
      </c>
      <c r="AQ351" s="31" t="s">
        <v>26346</v>
      </c>
      <c r="AR351" s="31" t="s">
        <v>26347</v>
      </c>
      <c r="AS351" s="31" t="str">
        <f>"PDLIM3"</f>
        <v>PDLIM3</v>
      </c>
      <c r="AT351" s="31" t="s">
        <v>26348</v>
      </c>
      <c r="AU351" s="31" t="s">
        <v>13777</v>
      </c>
      <c r="AV351" s="31">
        <v>9606</v>
      </c>
      <c r="AW351" s="50" t="str">
        <f>HYPERLINK("http://www.uniprot.org/uniprot/Q53GG5", "Q53GG5")</f>
        <v>Q53GG5</v>
      </c>
      <c r="AX351" s="31" t="s">
        <v>26349</v>
      </c>
      <c r="AY351" s="31" t="s">
        <v>13772</v>
      </c>
      <c r="AZ351" s="31" t="s">
        <v>13899</v>
      </c>
      <c r="BA351" s="31" t="s">
        <v>13780</v>
      </c>
      <c r="BB351" s="31" t="s">
        <v>13772</v>
      </c>
      <c r="BC351" s="31" t="s">
        <v>13772</v>
      </c>
      <c r="BD351" s="31" t="s">
        <v>14576</v>
      </c>
      <c r="BE351" s="31" t="s">
        <v>13856</v>
      </c>
      <c r="BF351" s="31" t="s">
        <v>13772</v>
      </c>
      <c r="BG351" s="31" t="s">
        <v>13782</v>
      </c>
      <c r="BH351" s="31" t="s">
        <v>13772</v>
      </c>
      <c r="BI351" s="31" t="s">
        <v>26350</v>
      </c>
      <c r="BJ351" s="31" t="s">
        <v>26351</v>
      </c>
      <c r="BK351" s="31" t="s">
        <v>26352</v>
      </c>
      <c r="BL351" s="31" t="s">
        <v>13772</v>
      </c>
      <c r="BM351" s="31" t="s">
        <v>13772</v>
      </c>
    </row>
    <row r="352" spans="1:65">
      <c r="A352">
        <v>1661</v>
      </c>
      <c r="B352">
        <v>1</v>
      </c>
      <c r="C352">
        <v>347</v>
      </c>
      <c r="D352" t="s">
        <v>3939</v>
      </c>
      <c r="E352" t="s">
        <v>3940</v>
      </c>
      <c r="F352" t="s">
        <v>73</v>
      </c>
      <c r="G352">
        <v>49.4</v>
      </c>
      <c r="H352">
        <v>474</v>
      </c>
      <c r="I352">
        <v>51448</v>
      </c>
      <c r="J352" t="s">
        <v>3941</v>
      </c>
      <c r="K352" s="3" t="s">
        <v>73</v>
      </c>
      <c r="L352">
        <v>116</v>
      </c>
      <c r="M352">
        <v>116</v>
      </c>
      <c r="N352">
        <v>1</v>
      </c>
      <c r="O352" s="11">
        <f t="shared" si="5"/>
        <v>6.2944739649712584</v>
      </c>
      <c r="P352" s="36">
        <v>2.4232867916694598</v>
      </c>
      <c r="Q352" s="36">
        <v>0.24076603016936199</v>
      </c>
      <c r="R352" s="36">
        <v>1.6007976618122599</v>
      </c>
      <c r="S352" s="36">
        <v>3.0238435183064598</v>
      </c>
      <c r="T352" s="36">
        <v>4.3008817996844604</v>
      </c>
      <c r="U352" s="36">
        <v>0.23243181165987301</v>
      </c>
      <c r="V352" s="36">
        <v>5.2703114143232002</v>
      </c>
      <c r="W352" s="36">
        <v>5.8391015878938397</v>
      </c>
      <c r="X352" s="37">
        <v>14.3056492784092</v>
      </c>
      <c r="Y352" s="37">
        <v>10.0903943502126</v>
      </c>
      <c r="Z352" s="37">
        <v>10.400706527475499</v>
      </c>
      <c r="AA352" s="37">
        <v>14.391299792199</v>
      </c>
      <c r="AB352" s="37">
        <v>6.4315479607058004</v>
      </c>
      <c r="AC352" s="37">
        <v>5.5243339926958699</v>
      </c>
      <c r="AD352" s="37">
        <v>12.068320382899399</v>
      </c>
      <c r="AE352" s="37">
        <v>4.5679105394238499</v>
      </c>
      <c r="AF352" s="45">
        <v>1.71465026711491</v>
      </c>
      <c r="AG352" s="45">
        <v>3.3918597599393001</v>
      </c>
      <c r="AH352" s="46">
        <v>1.21037408028576E-4</v>
      </c>
      <c r="AI352" s="47">
        <v>3.34603413103792E-4</v>
      </c>
      <c r="AJ352" s="48">
        <v>2.8664275769398602</v>
      </c>
      <c r="AK352" s="49">
        <v>9.7225203530026398</v>
      </c>
      <c r="AL352" s="31" t="s">
        <v>5874</v>
      </c>
      <c r="AM352" s="31" t="s">
        <v>5876</v>
      </c>
      <c r="AN352" s="31" t="s">
        <v>29739</v>
      </c>
      <c r="AO352" s="31" t="s">
        <v>13772</v>
      </c>
      <c r="AP352" s="31" t="s">
        <v>29740</v>
      </c>
      <c r="AQ352" s="31" t="s">
        <v>29741</v>
      </c>
      <c r="AR352" s="31" t="s">
        <v>29742</v>
      </c>
      <c r="AS352" s="31" t="str">
        <f>"CAP1"</f>
        <v>CAP1</v>
      </c>
      <c r="AT352" s="31" t="s">
        <v>29743</v>
      </c>
      <c r="AU352" s="31" t="s">
        <v>13777</v>
      </c>
      <c r="AV352" s="31">
        <v>9606</v>
      </c>
      <c r="AW352" s="50" t="str">
        <f>HYPERLINK("http://www.uniprot.org/uniprot/Q01518", "Q01518")</f>
        <v>Q01518</v>
      </c>
      <c r="AX352" s="31" t="s">
        <v>29744</v>
      </c>
      <c r="AY352" s="31" t="s">
        <v>13772</v>
      </c>
      <c r="AZ352" s="31" t="s">
        <v>13792</v>
      </c>
      <c r="BA352" s="31" t="s">
        <v>13780</v>
      </c>
      <c r="BB352" s="31" t="s">
        <v>13772</v>
      </c>
      <c r="BC352" s="31" t="s">
        <v>13772</v>
      </c>
      <c r="BD352" s="31" t="s">
        <v>13772</v>
      </c>
      <c r="BE352" s="31" t="s">
        <v>13772</v>
      </c>
      <c r="BF352" s="31" t="s">
        <v>13990</v>
      </c>
      <c r="BG352" s="31" t="s">
        <v>14663</v>
      </c>
      <c r="BH352" s="31" t="s">
        <v>13812</v>
      </c>
      <c r="BI352" s="31" t="s">
        <v>29745</v>
      </c>
      <c r="BJ352" s="31" t="s">
        <v>29746</v>
      </c>
      <c r="BK352" s="31" t="s">
        <v>29747</v>
      </c>
      <c r="BL352" s="31" t="s">
        <v>13772</v>
      </c>
      <c r="BM352" s="31" t="s">
        <v>29748</v>
      </c>
    </row>
    <row r="353" spans="1:65">
      <c r="A353">
        <v>1900</v>
      </c>
      <c r="B353">
        <v>1</v>
      </c>
      <c r="C353">
        <v>348</v>
      </c>
      <c r="D353" t="s">
        <v>4481</v>
      </c>
      <c r="E353" t="s">
        <v>73</v>
      </c>
      <c r="F353" t="s">
        <v>73</v>
      </c>
      <c r="G353">
        <v>29.8</v>
      </c>
      <c r="H353">
        <v>493</v>
      </c>
      <c r="I353">
        <v>56931</v>
      </c>
      <c r="J353" t="s">
        <v>4482</v>
      </c>
      <c r="K353" s="3" t="s">
        <v>73</v>
      </c>
      <c r="L353">
        <v>116</v>
      </c>
      <c r="M353">
        <v>112</v>
      </c>
      <c r="N353">
        <v>0.96599999999999997</v>
      </c>
      <c r="O353" s="11">
        <f t="shared" si="5"/>
        <v>7.585573393426448</v>
      </c>
      <c r="P353" s="36">
        <v>4.8465735833389196</v>
      </c>
      <c r="Q353" s="36">
        <v>13.4828976894843</v>
      </c>
      <c r="R353" s="36">
        <v>20.810369603559401</v>
      </c>
      <c r="S353" s="36">
        <v>15.119217591532299</v>
      </c>
      <c r="T353" s="36">
        <v>5.1610581596213496</v>
      </c>
      <c r="U353" s="36">
        <v>15.712390468207399</v>
      </c>
      <c r="V353" s="36">
        <v>12.6487473943757</v>
      </c>
      <c r="W353" s="36">
        <v>9.7318359798230603</v>
      </c>
      <c r="X353" s="37">
        <v>0.79475829324495695</v>
      </c>
      <c r="Y353" s="37">
        <v>3.7838978813297102</v>
      </c>
      <c r="Z353" s="37">
        <v>6.4004347861387396</v>
      </c>
      <c r="AA353" s="37">
        <v>2.5396411397998202</v>
      </c>
      <c r="AB353" s="37">
        <v>1.8375851316302301</v>
      </c>
      <c r="AC353" s="37">
        <v>3.94595285192562</v>
      </c>
      <c r="AD353" s="37">
        <v>1.50854004786242</v>
      </c>
      <c r="AE353" s="37">
        <v>3.0452736929492299</v>
      </c>
      <c r="AF353" s="45">
        <v>-1.91898293903163</v>
      </c>
      <c r="AG353" s="45">
        <v>-4.0875564986169604</v>
      </c>
      <c r="AH353" s="46">
        <v>5.0247992054547001E-6</v>
      </c>
      <c r="AI353" s="47">
        <v>2.0373276778480001E-5</v>
      </c>
      <c r="AJ353" s="48">
        <v>12.1891363087428</v>
      </c>
      <c r="AK353" s="49">
        <v>2.98201047811009</v>
      </c>
      <c r="AL353" s="31" t="s">
        <v>5875</v>
      </c>
      <c r="AM353" s="31" t="s">
        <v>5876</v>
      </c>
      <c r="AN353" s="31" t="s">
        <v>31986</v>
      </c>
      <c r="AO353" s="31" t="s">
        <v>31987</v>
      </c>
      <c r="AP353" s="31" t="s">
        <v>31988</v>
      </c>
      <c r="AQ353" s="31" t="s">
        <v>31989</v>
      </c>
      <c r="AR353" s="31" t="s">
        <v>31990</v>
      </c>
      <c r="AS353" s="31" t="str">
        <f>"ANGPTL2"</f>
        <v>ANGPTL2</v>
      </c>
      <c r="AT353" s="31" t="s">
        <v>31991</v>
      </c>
      <c r="AU353" s="31" t="s">
        <v>13777</v>
      </c>
      <c r="AV353" s="31">
        <v>9606</v>
      </c>
      <c r="AW353" s="50" t="str">
        <f>HYPERLINK("http://www.uniprot.org/uniprot/Q9UKU9", "Q9UKU9")</f>
        <v>Q9UKU9</v>
      </c>
      <c r="AX353" s="31" t="s">
        <v>31992</v>
      </c>
      <c r="AY353" s="31" t="s">
        <v>13772</v>
      </c>
      <c r="AZ353" s="31" t="s">
        <v>14321</v>
      </c>
      <c r="BA353" s="31" t="s">
        <v>13841</v>
      </c>
      <c r="BB353" s="31" t="s">
        <v>13772</v>
      </c>
      <c r="BC353" s="31" t="s">
        <v>13772</v>
      </c>
      <c r="BD353" s="31" t="s">
        <v>16820</v>
      </c>
      <c r="BE353" s="31" t="s">
        <v>13772</v>
      </c>
      <c r="BF353" s="31" t="s">
        <v>13772</v>
      </c>
      <c r="BG353" s="31" t="s">
        <v>13796</v>
      </c>
      <c r="BH353" s="31" t="s">
        <v>13772</v>
      </c>
      <c r="BI353" s="31" t="s">
        <v>19133</v>
      </c>
      <c r="BJ353" s="31" t="s">
        <v>15797</v>
      </c>
      <c r="BK353" s="31" t="s">
        <v>14749</v>
      </c>
      <c r="BL353" s="31" t="s">
        <v>13772</v>
      </c>
      <c r="BM353" s="31" t="s">
        <v>13772</v>
      </c>
    </row>
    <row r="354" spans="1:65">
      <c r="A354">
        <v>1128</v>
      </c>
      <c r="B354">
        <v>1</v>
      </c>
      <c r="C354">
        <v>349</v>
      </c>
      <c r="D354" t="s">
        <v>2712</v>
      </c>
      <c r="E354" t="s">
        <v>73</v>
      </c>
      <c r="F354" t="s">
        <v>73</v>
      </c>
      <c r="G354">
        <v>34.5</v>
      </c>
      <c r="H354">
        <v>685</v>
      </c>
      <c r="I354">
        <v>74841</v>
      </c>
      <c r="J354" t="s">
        <v>2713</v>
      </c>
      <c r="K354" s="3" t="s">
        <v>73</v>
      </c>
      <c r="L354">
        <v>279</v>
      </c>
      <c r="M354">
        <v>16</v>
      </c>
      <c r="N354">
        <v>5.7000000000000002E-2</v>
      </c>
      <c r="O354" s="11">
        <f t="shared" si="5"/>
        <v>6.6646390941415028</v>
      </c>
      <c r="P354" s="36">
        <v>0.30291084895868198</v>
      </c>
      <c r="Q354" s="36">
        <v>12.519833568806799</v>
      </c>
      <c r="R354" s="36">
        <v>16.007976618122601</v>
      </c>
      <c r="S354" s="36">
        <v>12.8513349528025</v>
      </c>
      <c r="T354" s="36">
        <v>19.784056278548501</v>
      </c>
      <c r="U354" s="36">
        <v>0.23243181165987301</v>
      </c>
      <c r="V354" s="36">
        <v>0.26351557071616</v>
      </c>
      <c r="W354" s="36">
        <v>0.24329589949557701</v>
      </c>
      <c r="X354" s="37">
        <v>2.7816540263573502</v>
      </c>
      <c r="Y354" s="37">
        <v>5.6758468219945701</v>
      </c>
      <c r="Z354" s="37">
        <v>7.2004891344060802</v>
      </c>
      <c r="AA354" s="37">
        <v>5.4179010982396196</v>
      </c>
      <c r="AB354" s="37">
        <v>3.3995324935159199</v>
      </c>
      <c r="AC354" s="37">
        <v>8.9178534453519092</v>
      </c>
      <c r="AD354" s="37">
        <v>0.377135011965606</v>
      </c>
      <c r="AE354" s="37">
        <v>10.658457925322301</v>
      </c>
      <c r="AF354" s="45">
        <v>-0.46315402708035602</v>
      </c>
      <c r="AG354" s="45">
        <v>-1.4001111351493001</v>
      </c>
      <c r="AH354" s="46">
        <v>0.54900840923902094</v>
      </c>
      <c r="AI354" s="47">
        <v>0.62891545510429003</v>
      </c>
      <c r="AJ354" s="48">
        <v>7.7756694436388303</v>
      </c>
      <c r="AK354" s="49">
        <v>5.55360874464417</v>
      </c>
      <c r="AL354" s="31" t="s">
        <v>5875</v>
      </c>
      <c r="AM354" s="31" t="s">
        <v>5832</v>
      </c>
      <c r="AN354" s="31" t="s">
        <v>24679</v>
      </c>
      <c r="AO354" s="31" t="s">
        <v>13772</v>
      </c>
      <c r="AP354" s="31" t="s">
        <v>24680</v>
      </c>
      <c r="AQ354" s="31" t="s">
        <v>24681</v>
      </c>
      <c r="AR354" s="31" t="s">
        <v>24682</v>
      </c>
      <c r="AS354" s="31" t="str">
        <f>"FBLN1"</f>
        <v>FBLN1</v>
      </c>
      <c r="AT354" s="31" t="s">
        <v>13772</v>
      </c>
      <c r="AU354" s="31" t="s">
        <v>13777</v>
      </c>
      <c r="AV354" s="31">
        <v>9606</v>
      </c>
      <c r="AW354" s="50" t="str">
        <f>HYPERLINK("http://www.uniprot.org/uniprot/P23142", "P23142")</f>
        <v>P23142</v>
      </c>
      <c r="AX354" s="31" t="s">
        <v>24683</v>
      </c>
      <c r="AY354" s="31" t="s">
        <v>14563</v>
      </c>
      <c r="AZ354" s="31" t="s">
        <v>13869</v>
      </c>
      <c r="BA354" s="31" t="s">
        <v>20333</v>
      </c>
      <c r="BB354" s="31" t="s">
        <v>13772</v>
      </c>
      <c r="BC354" s="31" t="s">
        <v>13772</v>
      </c>
      <c r="BD354" s="31" t="s">
        <v>14768</v>
      </c>
      <c r="BE354" s="31" t="s">
        <v>14465</v>
      </c>
      <c r="BF354" s="31" t="s">
        <v>13772</v>
      </c>
      <c r="BG354" s="31" t="s">
        <v>13796</v>
      </c>
      <c r="BH354" s="31" t="s">
        <v>13772</v>
      </c>
      <c r="BI354" s="31" t="s">
        <v>24684</v>
      </c>
      <c r="BJ354" s="31" t="s">
        <v>24685</v>
      </c>
      <c r="BK354" s="31" t="s">
        <v>24686</v>
      </c>
      <c r="BL354" s="31" t="s">
        <v>13772</v>
      </c>
      <c r="BM354" s="31" t="s">
        <v>14774</v>
      </c>
    </row>
    <row r="355" spans="1:65">
      <c r="A355">
        <v>384</v>
      </c>
      <c r="B355">
        <v>1</v>
      </c>
      <c r="C355">
        <v>350</v>
      </c>
      <c r="D355" t="s">
        <v>958</v>
      </c>
      <c r="E355" t="s">
        <v>73</v>
      </c>
      <c r="F355" t="s">
        <v>73</v>
      </c>
      <c r="G355">
        <v>33.5</v>
      </c>
      <c r="H355">
        <v>496</v>
      </c>
      <c r="I355">
        <v>56592</v>
      </c>
      <c r="J355" t="s">
        <v>959</v>
      </c>
      <c r="K355" s="3" t="s">
        <v>73</v>
      </c>
      <c r="L355">
        <v>115</v>
      </c>
      <c r="M355">
        <v>115</v>
      </c>
      <c r="N355">
        <v>1</v>
      </c>
      <c r="O355" s="11">
        <f t="shared" si="5"/>
        <v>5.2178858681432505</v>
      </c>
      <c r="P355" s="36">
        <v>2.4232867916694598</v>
      </c>
      <c r="Q355" s="36">
        <v>0.96306412067744696</v>
      </c>
      <c r="R355" s="36">
        <v>0.40019941545306398</v>
      </c>
      <c r="S355" s="36">
        <v>0.37798043978830698</v>
      </c>
      <c r="T355" s="36">
        <v>0.215044089984223</v>
      </c>
      <c r="U355" s="36">
        <v>0.23243181165987301</v>
      </c>
      <c r="V355" s="36">
        <v>2.10812456572928</v>
      </c>
      <c r="W355" s="36">
        <v>5.8391015878938397</v>
      </c>
      <c r="X355" s="37">
        <v>3.9737914662247902</v>
      </c>
      <c r="Y355" s="37">
        <v>8.1984454095477108</v>
      </c>
      <c r="Z355" s="37">
        <v>5.6003804378713999</v>
      </c>
      <c r="AA355" s="37">
        <v>12.6982056989991</v>
      </c>
      <c r="AB355" s="37">
        <v>9.1879256581511406</v>
      </c>
      <c r="AC355" s="37">
        <v>5.5243339926958699</v>
      </c>
      <c r="AD355" s="37">
        <v>15.0854004786242</v>
      </c>
      <c r="AE355" s="37">
        <v>10.658457925322301</v>
      </c>
      <c r="AF355" s="45">
        <v>2.32670556073526</v>
      </c>
      <c r="AG355" s="45">
        <v>5.6473943964445503</v>
      </c>
      <c r="AH355" s="46">
        <v>6.8636866364167803E-6</v>
      </c>
      <c r="AI355" s="47">
        <v>2.64703884671654E-5</v>
      </c>
      <c r="AJ355" s="48">
        <v>1.56990410285694</v>
      </c>
      <c r="AK355" s="49">
        <v>8.8658676334295698</v>
      </c>
      <c r="AL355" s="31" t="s">
        <v>5874</v>
      </c>
      <c r="AM355" s="31" t="s">
        <v>5876</v>
      </c>
      <c r="AN355" s="31" t="s">
        <v>17437</v>
      </c>
      <c r="AO355" s="31" t="s">
        <v>17438</v>
      </c>
      <c r="AP355" s="31" t="s">
        <v>17439</v>
      </c>
      <c r="AQ355" s="31" t="s">
        <v>17440</v>
      </c>
      <c r="AR355" s="31" t="s">
        <v>17441</v>
      </c>
      <c r="AS355" s="31" t="str">
        <f>"SERPIND1"</f>
        <v>SERPIND1</v>
      </c>
      <c r="AT355" s="31" t="s">
        <v>17442</v>
      </c>
      <c r="AU355" s="31" t="s">
        <v>13777</v>
      </c>
      <c r="AV355" s="31">
        <v>9606</v>
      </c>
      <c r="AW355" s="50" t="str">
        <f>HYPERLINK("http://www.uniprot.org/uniprot/P05546", "P05546")</f>
        <v>P05546</v>
      </c>
      <c r="AX355" s="31" t="s">
        <v>17443</v>
      </c>
      <c r="AY355" s="31" t="s">
        <v>17444</v>
      </c>
      <c r="AZ355" s="31" t="s">
        <v>13772</v>
      </c>
      <c r="BA355" s="31" t="s">
        <v>13793</v>
      </c>
      <c r="BB355" s="31" t="s">
        <v>13772</v>
      </c>
      <c r="BC355" s="31" t="s">
        <v>17445</v>
      </c>
      <c r="BD355" s="31" t="s">
        <v>14404</v>
      </c>
      <c r="BE355" s="31" t="s">
        <v>13772</v>
      </c>
      <c r="BF355" s="31" t="s">
        <v>14691</v>
      </c>
      <c r="BG355" s="31" t="s">
        <v>17446</v>
      </c>
      <c r="BH355" s="31" t="s">
        <v>13812</v>
      </c>
      <c r="BI355" s="31" t="s">
        <v>17447</v>
      </c>
      <c r="BJ355" s="31" t="s">
        <v>17448</v>
      </c>
      <c r="BK355" s="31" t="s">
        <v>17449</v>
      </c>
      <c r="BL355" s="31" t="s">
        <v>13772</v>
      </c>
      <c r="BM355" s="31" t="s">
        <v>17450</v>
      </c>
    </row>
    <row r="356" spans="1:65">
      <c r="A356">
        <v>1832</v>
      </c>
      <c r="B356">
        <v>1</v>
      </c>
      <c r="C356">
        <v>351</v>
      </c>
      <c r="D356" t="s">
        <v>4330</v>
      </c>
      <c r="E356" t="s">
        <v>73</v>
      </c>
      <c r="F356" t="s">
        <v>73</v>
      </c>
      <c r="G356">
        <v>62.9</v>
      </c>
      <c r="H356">
        <v>89</v>
      </c>
      <c r="I356">
        <v>10508</v>
      </c>
      <c r="J356" t="s">
        <v>4331</v>
      </c>
      <c r="K356" s="3" t="s">
        <v>73</v>
      </c>
      <c r="L356">
        <v>115</v>
      </c>
      <c r="M356">
        <v>115</v>
      </c>
      <c r="N356">
        <v>1</v>
      </c>
      <c r="O356" s="11">
        <f t="shared" si="5"/>
        <v>6.0850733648490314</v>
      </c>
      <c r="P356" s="36">
        <v>0.30291084895868198</v>
      </c>
      <c r="Q356" s="36">
        <v>0.24076603016936199</v>
      </c>
      <c r="R356" s="36">
        <v>0.40019941545306398</v>
      </c>
      <c r="S356" s="36">
        <v>0.37798043978830698</v>
      </c>
      <c r="T356" s="36">
        <v>0.215044089984223</v>
      </c>
      <c r="U356" s="36">
        <v>0.23243181165987301</v>
      </c>
      <c r="V356" s="36">
        <v>1.05406228286464</v>
      </c>
      <c r="W356" s="36">
        <v>0.24329589949557701</v>
      </c>
      <c r="X356" s="37">
        <v>16.689924158144098</v>
      </c>
      <c r="Y356" s="37">
        <v>4.4145475282179998</v>
      </c>
      <c r="Z356" s="37">
        <v>12.0008152240101</v>
      </c>
      <c r="AA356" s="37">
        <v>22.856770258198399</v>
      </c>
      <c r="AB356" s="37">
        <v>1.8375851316302301</v>
      </c>
      <c r="AC356" s="37">
        <v>14.994620837317401</v>
      </c>
      <c r="AD356" s="37">
        <v>21.119560670073898</v>
      </c>
      <c r="AE356" s="37">
        <v>0.38065921161865401</v>
      </c>
      <c r="AF356" s="45">
        <v>4.5811897398426797</v>
      </c>
      <c r="AG356" s="45">
        <v>30.7479588272336</v>
      </c>
      <c r="AH356" s="46">
        <v>6.4688006125103698E-9</v>
      </c>
      <c r="AI356" s="47">
        <v>6.4591456862230398E-8</v>
      </c>
      <c r="AJ356" s="48">
        <v>0.38333635229671598</v>
      </c>
      <c r="AK356" s="49">
        <v>11.7868103774014</v>
      </c>
      <c r="AL356" s="31" t="s">
        <v>5874</v>
      </c>
      <c r="AM356" s="31" t="s">
        <v>5876</v>
      </c>
      <c r="AN356" s="31" t="s">
        <v>31399</v>
      </c>
      <c r="AO356" s="31" t="s">
        <v>31400</v>
      </c>
      <c r="AP356" s="31" t="s">
        <v>31401</v>
      </c>
      <c r="AQ356" s="31" t="s">
        <v>31402</v>
      </c>
      <c r="AR356" s="31" t="s">
        <v>31403</v>
      </c>
      <c r="AS356" s="31" t="str">
        <f>"S100A8"</f>
        <v>S100A8</v>
      </c>
      <c r="AT356" s="31" t="s">
        <v>31404</v>
      </c>
      <c r="AU356" s="31" t="s">
        <v>13777</v>
      </c>
      <c r="AV356" s="31">
        <v>9606</v>
      </c>
      <c r="AW356" s="50" t="str">
        <f>HYPERLINK("http://www.uniprot.org/uniprot/P05109", "P05109")</f>
        <v>P05109</v>
      </c>
      <c r="AX356" s="31" t="s">
        <v>31405</v>
      </c>
      <c r="AY356" s="31" t="s">
        <v>31022</v>
      </c>
      <c r="AZ356" s="31" t="s">
        <v>31023</v>
      </c>
      <c r="BA356" s="31" t="s">
        <v>13772</v>
      </c>
      <c r="BB356" s="31" t="s">
        <v>13772</v>
      </c>
      <c r="BC356" s="31" t="s">
        <v>13772</v>
      </c>
      <c r="BD356" s="31" t="s">
        <v>14096</v>
      </c>
      <c r="BE356" s="31" t="s">
        <v>14628</v>
      </c>
      <c r="BF356" s="31" t="s">
        <v>31406</v>
      </c>
      <c r="BG356" s="31" t="s">
        <v>30867</v>
      </c>
      <c r="BH356" s="31" t="s">
        <v>13812</v>
      </c>
      <c r="BI356" s="31" t="s">
        <v>31407</v>
      </c>
      <c r="BJ356" s="31" t="s">
        <v>31408</v>
      </c>
      <c r="BK356" s="31" t="s">
        <v>31409</v>
      </c>
      <c r="BL356" s="31" t="s">
        <v>13772</v>
      </c>
      <c r="BM356" s="31" t="s">
        <v>31029</v>
      </c>
    </row>
    <row r="357" spans="1:65">
      <c r="A357">
        <v>477</v>
      </c>
      <c r="B357">
        <v>1</v>
      </c>
      <c r="C357">
        <v>352</v>
      </c>
      <c r="D357" t="s">
        <v>1198</v>
      </c>
      <c r="E357" t="s">
        <v>73</v>
      </c>
      <c r="F357" t="s">
        <v>73</v>
      </c>
      <c r="G357">
        <v>77.5</v>
      </c>
      <c r="H357">
        <v>253</v>
      </c>
      <c r="I357">
        <v>27701</v>
      </c>
      <c r="J357" t="s">
        <v>1200</v>
      </c>
      <c r="K357" s="3" t="s">
        <v>73</v>
      </c>
      <c r="L357">
        <v>196</v>
      </c>
      <c r="M357">
        <v>43</v>
      </c>
      <c r="N357">
        <v>0.219</v>
      </c>
      <c r="O357" s="11">
        <f t="shared" si="5"/>
        <v>6.6530686490527815</v>
      </c>
      <c r="P357" s="36">
        <v>6.9063673562579604</v>
      </c>
      <c r="Q357" s="36">
        <v>6.5488360206066396</v>
      </c>
      <c r="R357" s="36">
        <v>8.4842276076049696</v>
      </c>
      <c r="S357" s="36">
        <v>0.37798043978830698</v>
      </c>
      <c r="T357" s="36">
        <v>8.0856577834067895</v>
      </c>
      <c r="U357" s="36">
        <v>9.7621360897146605</v>
      </c>
      <c r="V357" s="36">
        <v>9.6973730023546896</v>
      </c>
      <c r="W357" s="36">
        <v>4.5739629105168396</v>
      </c>
      <c r="X357" s="37">
        <v>9.0602445429925105</v>
      </c>
      <c r="Y357" s="37">
        <v>2.4595336228643099</v>
      </c>
      <c r="Z357" s="37">
        <v>10.9607445712626</v>
      </c>
      <c r="AA357" s="37">
        <v>8.0421969426994409</v>
      </c>
      <c r="AB357" s="37">
        <v>7.2584612699394002</v>
      </c>
      <c r="AC357" s="37">
        <v>4.2616290800796799</v>
      </c>
      <c r="AD357" s="37">
        <v>0.377135011965606</v>
      </c>
      <c r="AE357" s="37">
        <v>9.5926121327900908</v>
      </c>
      <c r="AF357" s="45">
        <v>-7.7257286532202096E-2</v>
      </c>
      <c r="AG357" s="45">
        <v>-1.04660382352516</v>
      </c>
      <c r="AH357" s="46">
        <v>0.90219502826190001</v>
      </c>
      <c r="AI357" s="47">
        <v>0.93576507582513402</v>
      </c>
      <c r="AJ357" s="48">
        <v>6.80456765128136</v>
      </c>
      <c r="AK357" s="49">
        <v>6.5015696468242004</v>
      </c>
      <c r="AL357" s="31" t="s">
        <v>5875</v>
      </c>
      <c r="AM357" s="31" t="s">
        <v>5832</v>
      </c>
      <c r="AN357" s="31" t="s">
        <v>18454</v>
      </c>
      <c r="AO357" s="31" t="s">
        <v>18455</v>
      </c>
      <c r="AP357" s="31" t="s">
        <v>18456</v>
      </c>
      <c r="AQ357" s="31" t="s">
        <v>18457</v>
      </c>
      <c r="AR357" s="31" t="s">
        <v>18458</v>
      </c>
      <c r="AS357" s="31" t="str">
        <f>"HSPA8"</f>
        <v>HSPA8</v>
      </c>
      <c r="AT357" s="31" t="s">
        <v>18459</v>
      </c>
      <c r="AU357" s="31" t="s">
        <v>13777</v>
      </c>
      <c r="AV357" s="31">
        <v>9606</v>
      </c>
      <c r="AW357" s="50" t="str">
        <f>HYPERLINK("http://www.uniprot.org/uniprot/P11142", "P11142")</f>
        <v>P11142</v>
      </c>
      <c r="AX357" s="31" t="s">
        <v>18460</v>
      </c>
      <c r="AY357" s="31" t="s">
        <v>18461</v>
      </c>
      <c r="AZ357" s="31" t="s">
        <v>18462</v>
      </c>
      <c r="BA357" s="31" t="s">
        <v>13780</v>
      </c>
      <c r="BB357" s="31" t="s">
        <v>13772</v>
      </c>
      <c r="BC357" s="31" t="s">
        <v>13772</v>
      </c>
      <c r="BD357" s="31" t="s">
        <v>13772</v>
      </c>
      <c r="BE357" s="31" t="s">
        <v>14005</v>
      </c>
      <c r="BF357" s="31" t="s">
        <v>18463</v>
      </c>
      <c r="BG357" s="31" t="s">
        <v>14663</v>
      </c>
      <c r="BH357" s="31" t="s">
        <v>13812</v>
      </c>
      <c r="BI357" s="31" t="s">
        <v>18464</v>
      </c>
      <c r="BJ357" s="31" t="s">
        <v>18465</v>
      </c>
      <c r="BK357" s="31" t="s">
        <v>18466</v>
      </c>
      <c r="BL357" s="31" t="s">
        <v>13772</v>
      </c>
      <c r="BM357" s="31" t="s">
        <v>18467</v>
      </c>
    </row>
    <row r="358" spans="1:65">
      <c r="A358">
        <v>181</v>
      </c>
      <c r="B358">
        <v>1</v>
      </c>
      <c r="C358">
        <v>353</v>
      </c>
      <c r="D358" t="s">
        <v>459</v>
      </c>
      <c r="E358" t="s">
        <v>73</v>
      </c>
      <c r="F358" t="s">
        <v>73</v>
      </c>
      <c r="G358">
        <v>40.5</v>
      </c>
      <c r="H358">
        <v>294</v>
      </c>
      <c r="I358">
        <v>30202</v>
      </c>
      <c r="J358" t="s">
        <v>460</v>
      </c>
      <c r="K358" s="3" t="s">
        <v>73</v>
      </c>
      <c r="L358">
        <v>114</v>
      </c>
      <c r="M358">
        <v>114</v>
      </c>
      <c r="N358">
        <v>1</v>
      </c>
      <c r="O358" s="11">
        <f t="shared" si="5"/>
        <v>5.8857403830383248</v>
      </c>
      <c r="P358" s="36">
        <v>2.4232867916694598</v>
      </c>
      <c r="Q358" s="36">
        <v>2.8891923620323401</v>
      </c>
      <c r="R358" s="36">
        <v>4.8023929854367697</v>
      </c>
      <c r="S358" s="36">
        <v>1.5119217591532299</v>
      </c>
      <c r="T358" s="36">
        <v>2.5805290798106801</v>
      </c>
      <c r="U358" s="36">
        <v>2.7891817399184702</v>
      </c>
      <c r="V358" s="36">
        <v>4.21624913145856</v>
      </c>
      <c r="W358" s="36">
        <v>3.8927343919292201</v>
      </c>
      <c r="X358" s="37">
        <v>20.663715624368901</v>
      </c>
      <c r="Y358" s="37">
        <v>10.0903943502126</v>
      </c>
      <c r="Z358" s="37">
        <v>9.6006521792081099</v>
      </c>
      <c r="AA358" s="37">
        <v>8.4654704659994096</v>
      </c>
      <c r="AB358" s="37">
        <v>6.4315479607058004</v>
      </c>
      <c r="AC358" s="37">
        <v>4.7351434223107498</v>
      </c>
      <c r="AD358" s="37">
        <v>6.0341601914496898</v>
      </c>
      <c r="AE358" s="37">
        <v>3.0452736929492299</v>
      </c>
      <c r="AF358" s="45">
        <v>1.47553580812952</v>
      </c>
      <c r="AG358" s="45">
        <v>2.7510461944845601</v>
      </c>
      <c r="AH358" s="46">
        <v>1.06357596112426E-3</v>
      </c>
      <c r="AI358" s="47">
        <v>2.37659282993736E-3</v>
      </c>
      <c r="AJ358" s="48">
        <v>3.1381860301760902</v>
      </c>
      <c r="AK358" s="49">
        <v>8.6332947359005594</v>
      </c>
      <c r="AL358" s="31" t="s">
        <v>5874</v>
      </c>
      <c r="AM358" s="31" t="s">
        <v>5876</v>
      </c>
      <c r="AN358" s="31" t="s">
        <v>15246</v>
      </c>
      <c r="AO358" s="31" t="s">
        <v>15247</v>
      </c>
      <c r="AP358" s="31" t="s">
        <v>15248</v>
      </c>
      <c r="AQ358" s="31" t="s">
        <v>15249</v>
      </c>
      <c r="AR358" s="31" t="s">
        <v>15250</v>
      </c>
      <c r="AS358" s="31" t="str">
        <f>"LGALS3"</f>
        <v>LGALS3</v>
      </c>
      <c r="AT358" s="31" t="s">
        <v>15251</v>
      </c>
      <c r="AU358" s="31" t="s">
        <v>13777</v>
      </c>
      <c r="AV358" s="31">
        <v>9606</v>
      </c>
      <c r="AW358" s="50" t="str">
        <f>HYPERLINK("http://www.uniprot.org/uniprot/P17931", "P17931")</f>
        <v>P17931</v>
      </c>
      <c r="AX358" s="31" t="s">
        <v>15252</v>
      </c>
      <c r="AY358" s="31" t="s">
        <v>15253</v>
      </c>
      <c r="AZ358" s="31" t="s">
        <v>15254</v>
      </c>
      <c r="BA358" s="31" t="s">
        <v>13793</v>
      </c>
      <c r="BB358" s="31" t="s">
        <v>13772</v>
      </c>
      <c r="BC358" s="31" t="s">
        <v>13772</v>
      </c>
      <c r="BD358" s="31" t="s">
        <v>14096</v>
      </c>
      <c r="BE358" s="31" t="s">
        <v>14277</v>
      </c>
      <c r="BF358" s="31" t="s">
        <v>15255</v>
      </c>
      <c r="BG358" s="31" t="s">
        <v>15256</v>
      </c>
      <c r="BH358" s="31" t="s">
        <v>13812</v>
      </c>
      <c r="BI358" s="31" t="s">
        <v>15257</v>
      </c>
      <c r="BJ358" s="31" t="s">
        <v>15258</v>
      </c>
      <c r="BK358" s="31" t="s">
        <v>15259</v>
      </c>
      <c r="BL358" s="31" t="s">
        <v>13772</v>
      </c>
      <c r="BM358" s="31" t="s">
        <v>15260</v>
      </c>
    </row>
    <row r="359" spans="1:65">
      <c r="A359">
        <v>1823</v>
      </c>
      <c r="B359">
        <v>1</v>
      </c>
      <c r="C359">
        <v>354</v>
      </c>
      <c r="D359" t="s">
        <v>4310</v>
      </c>
      <c r="E359" t="s">
        <v>73</v>
      </c>
      <c r="F359" t="s">
        <v>73</v>
      </c>
      <c r="G359">
        <v>61.2</v>
      </c>
      <c r="H359">
        <v>338</v>
      </c>
      <c r="I359">
        <v>35560</v>
      </c>
      <c r="J359" t="s">
        <v>4311</v>
      </c>
      <c r="K359" s="3" t="s">
        <v>73</v>
      </c>
      <c r="L359">
        <v>114</v>
      </c>
      <c r="M359">
        <v>114</v>
      </c>
      <c r="N359">
        <v>1</v>
      </c>
      <c r="O359" s="11">
        <f t="shared" si="5"/>
        <v>6.4166149368206309</v>
      </c>
      <c r="P359" s="36">
        <v>2.4232867916694598</v>
      </c>
      <c r="Q359" s="36">
        <v>11.556769448129399</v>
      </c>
      <c r="R359" s="36">
        <v>4.8023929854367697</v>
      </c>
      <c r="S359" s="36">
        <v>1.5119217591532299</v>
      </c>
      <c r="T359" s="36">
        <v>5.1610581596213496</v>
      </c>
      <c r="U359" s="36">
        <v>5.5783634798369501</v>
      </c>
      <c r="V359" s="36">
        <v>2.10812456572928</v>
      </c>
      <c r="W359" s="36">
        <v>8.7586523818407507</v>
      </c>
      <c r="X359" s="37">
        <v>4.7685497594697397</v>
      </c>
      <c r="Y359" s="37">
        <v>7.5677957626594301</v>
      </c>
      <c r="Z359" s="37">
        <v>10.400706527475499</v>
      </c>
      <c r="AA359" s="37">
        <v>9.3120175125993505</v>
      </c>
      <c r="AB359" s="37">
        <v>11.0255107897814</v>
      </c>
      <c r="AC359" s="37">
        <v>7.1027151334661296</v>
      </c>
      <c r="AD359" s="37">
        <v>7.5427002393121096</v>
      </c>
      <c r="AE359" s="37">
        <v>3.0452736929492299</v>
      </c>
      <c r="AF359" s="45">
        <v>0.498681928355377</v>
      </c>
      <c r="AG359" s="45">
        <v>1.4502253797324101</v>
      </c>
      <c r="AH359" s="46">
        <v>0.23319298854909701</v>
      </c>
      <c r="AI359" s="47">
        <v>0.30292448415406997</v>
      </c>
      <c r="AJ359" s="48">
        <v>5.2375711964271403</v>
      </c>
      <c r="AK359" s="49">
        <v>7.5956586772141002</v>
      </c>
      <c r="AL359" s="31" t="s">
        <v>5874</v>
      </c>
      <c r="AM359" s="31" t="s">
        <v>5832</v>
      </c>
      <c r="AN359" s="31" t="s">
        <v>31306</v>
      </c>
      <c r="AO359" s="31" t="s">
        <v>13772</v>
      </c>
      <c r="AP359" s="31" t="s">
        <v>31307</v>
      </c>
      <c r="AQ359" s="31" t="s">
        <v>31308</v>
      </c>
      <c r="AR359" s="31" t="s">
        <v>31309</v>
      </c>
      <c r="AS359" s="31" t="str">
        <f>"MDH2"</f>
        <v>MDH2</v>
      </c>
      <c r="AT359" s="31" t="s">
        <v>13772</v>
      </c>
      <c r="AU359" s="31" t="s">
        <v>13777</v>
      </c>
      <c r="AV359" s="31">
        <v>9606</v>
      </c>
      <c r="AW359" s="50" t="str">
        <f>HYPERLINK("http://www.uniprot.org/uniprot/P40926", "P40926")</f>
        <v>P40926</v>
      </c>
      <c r="AX359" s="31" t="s">
        <v>31310</v>
      </c>
      <c r="AY359" s="31" t="s">
        <v>15224</v>
      </c>
      <c r="AZ359" s="31" t="s">
        <v>14491</v>
      </c>
      <c r="BA359" s="31" t="s">
        <v>13780</v>
      </c>
      <c r="BB359" s="31" t="s">
        <v>13772</v>
      </c>
      <c r="BC359" s="31" t="s">
        <v>17649</v>
      </c>
      <c r="BD359" s="31" t="s">
        <v>14391</v>
      </c>
      <c r="BE359" s="31" t="s">
        <v>14492</v>
      </c>
      <c r="BF359" s="31" t="s">
        <v>13885</v>
      </c>
      <c r="BG359" s="31" t="s">
        <v>14182</v>
      </c>
      <c r="BH359" s="31" t="s">
        <v>13812</v>
      </c>
      <c r="BI359" s="31" t="s">
        <v>31311</v>
      </c>
      <c r="BJ359" s="31" t="s">
        <v>31312</v>
      </c>
      <c r="BK359" s="31" t="s">
        <v>31313</v>
      </c>
      <c r="BL359" s="31" t="s">
        <v>13772</v>
      </c>
      <c r="BM359" s="31" t="s">
        <v>31314</v>
      </c>
    </row>
    <row r="360" spans="1:65">
      <c r="A360">
        <v>2061</v>
      </c>
      <c r="B360">
        <v>1</v>
      </c>
      <c r="C360">
        <v>355</v>
      </c>
      <c r="D360" t="s">
        <v>4845</v>
      </c>
      <c r="E360" t="s">
        <v>4846</v>
      </c>
      <c r="F360" t="s">
        <v>73</v>
      </c>
      <c r="G360">
        <v>35.6</v>
      </c>
      <c r="H360">
        <v>388</v>
      </c>
      <c r="I360">
        <v>42739</v>
      </c>
      <c r="J360" t="s">
        <v>4847</v>
      </c>
      <c r="K360" s="3" t="s">
        <v>73</v>
      </c>
      <c r="L360">
        <v>114</v>
      </c>
      <c r="M360">
        <v>114</v>
      </c>
      <c r="N360">
        <v>1</v>
      </c>
      <c r="O360" s="11">
        <f t="shared" si="5"/>
        <v>7.972643406153022</v>
      </c>
      <c r="P360" s="36">
        <v>12.116433958347301</v>
      </c>
      <c r="Q360" s="36">
        <v>12.519833568806799</v>
      </c>
      <c r="R360" s="36">
        <v>25.612762588996102</v>
      </c>
      <c r="S360" s="36">
        <v>22.6788263872984</v>
      </c>
      <c r="T360" s="36">
        <v>15.4831744788641</v>
      </c>
      <c r="U360" s="36">
        <v>11.1567269596739</v>
      </c>
      <c r="V360" s="36">
        <v>7.3784359800524904</v>
      </c>
      <c r="W360" s="36">
        <v>4.8659179899115301</v>
      </c>
      <c r="X360" s="37">
        <v>0.79475829324495695</v>
      </c>
      <c r="Y360" s="37">
        <v>1.2612992937765699</v>
      </c>
      <c r="Z360" s="37">
        <v>6.4004347861387396</v>
      </c>
      <c r="AA360" s="37">
        <v>0.84654704659994096</v>
      </c>
      <c r="AB360" s="37">
        <v>1.8375851316302301</v>
      </c>
      <c r="AC360" s="37">
        <v>1.5783811407702499</v>
      </c>
      <c r="AD360" s="37">
        <v>1.50854004786242</v>
      </c>
      <c r="AE360" s="37">
        <v>1.5226368464746201</v>
      </c>
      <c r="AF360" s="45">
        <v>-2.6985330408343602</v>
      </c>
      <c r="AG360" s="45">
        <v>-7.0990994103017302</v>
      </c>
      <c r="AH360" s="46">
        <v>2.8895633414627199E-8</v>
      </c>
      <c r="AI360" s="47">
        <v>2.2478114830680901E-7</v>
      </c>
      <c r="AJ360" s="48">
        <v>13.976513988993799</v>
      </c>
      <c r="AK360" s="49">
        <v>1.9687728233122199</v>
      </c>
      <c r="AL360" s="31" t="s">
        <v>5875</v>
      </c>
      <c r="AM360" s="31" t="s">
        <v>5876</v>
      </c>
      <c r="AN360" s="31" t="s">
        <v>33511</v>
      </c>
      <c r="AO360" s="31" t="s">
        <v>33512</v>
      </c>
      <c r="AP360" s="31" t="s">
        <v>33513</v>
      </c>
      <c r="AQ360" s="31" t="s">
        <v>33514</v>
      </c>
      <c r="AR360" s="31" t="s">
        <v>33515</v>
      </c>
      <c r="AS360" s="31" t="str">
        <f>"CADM4"</f>
        <v>CADM4</v>
      </c>
      <c r="AT360" s="31" t="s">
        <v>33516</v>
      </c>
      <c r="AU360" s="31" t="s">
        <v>13777</v>
      </c>
      <c r="AV360" s="31">
        <v>9606</v>
      </c>
      <c r="AW360" s="50" t="str">
        <f>HYPERLINK("http://www.uniprot.org/uniprot/Q8NFZ8", "Q8NFZ8")</f>
        <v>Q8NFZ8</v>
      </c>
      <c r="AX360" s="31" t="s">
        <v>33517</v>
      </c>
      <c r="AY360" s="31" t="s">
        <v>13949</v>
      </c>
      <c r="AZ360" s="31" t="s">
        <v>13825</v>
      </c>
      <c r="BA360" s="31" t="s">
        <v>13793</v>
      </c>
      <c r="BB360" s="31" t="s">
        <v>13772</v>
      </c>
      <c r="BC360" s="31" t="s">
        <v>14505</v>
      </c>
      <c r="BD360" s="31" t="s">
        <v>13951</v>
      </c>
      <c r="BE360" s="31" t="s">
        <v>13772</v>
      </c>
      <c r="BF360" s="31" t="s">
        <v>13772</v>
      </c>
      <c r="BG360" s="31" t="s">
        <v>13964</v>
      </c>
      <c r="BH360" s="31" t="s">
        <v>13772</v>
      </c>
      <c r="BI360" s="31" t="s">
        <v>33518</v>
      </c>
      <c r="BJ360" s="31" t="s">
        <v>33519</v>
      </c>
      <c r="BK360" s="31" t="s">
        <v>33520</v>
      </c>
      <c r="BL360" s="31" t="s">
        <v>13772</v>
      </c>
      <c r="BM360" s="31" t="s">
        <v>13772</v>
      </c>
    </row>
    <row r="361" spans="1:65">
      <c r="A361">
        <v>1638</v>
      </c>
      <c r="B361">
        <v>1</v>
      </c>
      <c r="C361">
        <v>356</v>
      </c>
      <c r="D361" t="s">
        <v>3883</v>
      </c>
      <c r="E361" t="s">
        <v>73</v>
      </c>
      <c r="F361" t="s">
        <v>73</v>
      </c>
      <c r="G361">
        <v>63.4</v>
      </c>
      <c r="H361">
        <v>186</v>
      </c>
      <c r="I361">
        <v>18790</v>
      </c>
      <c r="J361" t="s">
        <v>3885</v>
      </c>
      <c r="K361" s="3" t="s">
        <v>73</v>
      </c>
      <c r="L361">
        <v>134</v>
      </c>
      <c r="M361">
        <v>54</v>
      </c>
      <c r="N361">
        <v>0.40300000000000002</v>
      </c>
      <c r="O361" s="11">
        <f t="shared" si="5"/>
        <v>7.5409067035182664</v>
      </c>
      <c r="P361" s="36">
        <v>4.8465735833389196</v>
      </c>
      <c r="Q361" s="36">
        <v>5.7783847240646802</v>
      </c>
      <c r="R361" s="36">
        <v>4.8023929854367697</v>
      </c>
      <c r="S361" s="36">
        <v>5.2917261570363001</v>
      </c>
      <c r="T361" s="36">
        <v>1.72035271987378</v>
      </c>
      <c r="U361" s="36">
        <v>11.621590582993599</v>
      </c>
      <c r="V361" s="36">
        <v>13.808215905526801</v>
      </c>
      <c r="W361" s="36">
        <v>11.0942930169983</v>
      </c>
      <c r="X361" s="37">
        <v>3.17903317297983</v>
      </c>
      <c r="Y361" s="37">
        <v>4.4145475282179998</v>
      </c>
      <c r="Z361" s="37">
        <v>3.2002173930693698</v>
      </c>
      <c r="AA361" s="37">
        <v>6.7723763727995303</v>
      </c>
      <c r="AB361" s="37">
        <v>3.6751702632604601</v>
      </c>
      <c r="AC361" s="37">
        <v>7.7340675897742299</v>
      </c>
      <c r="AD361" s="37">
        <v>18.555042588707799</v>
      </c>
      <c r="AE361" s="37">
        <v>14.160522672213901</v>
      </c>
      <c r="AF361" s="45">
        <v>-3.6469405736108997E-2</v>
      </c>
      <c r="AG361" s="45">
        <v>1.04625652366429</v>
      </c>
      <c r="AH361" s="46">
        <v>1</v>
      </c>
      <c r="AI361" s="47">
        <v>1</v>
      </c>
      <c r="AJ361" s="48">
        <v>7.37044120940865</v>
      </c>
      <c r="AK361" s="49">
        <v>7.7113721976278899</v>
      </c>
      <c r="AL361" s="31" t="s">
        <v>5874</v>
      </c>
      <c r="AM361" s="31" t="s">
        <v>5832</v>
      </c>
      <c r="AN361" s="31" t="s">
        <v>29498</v>
      </c>
      <c r="AO361" s="31" t="s">
        <v>29499</v>
      </c>
      <c r="AP361" s="31" t="s">
        <v>29500</v>
      </c>
      <c r="AQ361" s="31" t="s">
        <v>29501</v>
      </c>
      <c r="AR361" s="31" t="s">
        <v>29502</v>
      </c>
      <c r="AS361" s="31" t="str">
        <f>"CD99"</f>
        <v>CD99</v>
      </c>
      <c r="AT361" s="31" t="s">
        <v>29503</v>
      </c>
      <c r="AU361" s="31" t="s">
        <v>13777</v>
      </c>
      <c r="AV361" s="31">
        <v>9606</v>
      </c>
      <c r="AW361" s="50" t="str">
        <f>HYPERLINK("http://www.uniprot.org/uniprot/P14209", "P14209")</f>
        <v>P14209</v>
      </c>
      <c r="AX361" s="31" t="s">
        <v>29504</v>
      </c>
      <c r="AY361" s="31" t="s">
        <v>13949</v>
      </c>
      <c r="AZ361" s="31" t="s">
        <v>13825</v>
      </c>
      <c r="BA361" s="31" t="s">
        <v>13780</v>
      </c>
      <c r="BB361" s="31" t="s">
        <v>13772</v>
      </c>
      <c r="BC361" s="31" t="s">
        <v>13772</v>
      </c>
      <c r="BD361" s="31" t="s">
        <v>13855</v>
      </c>
      <c r="BE361" s="31" t="s">
        <v>13772</v>
      </c>
      <c r="BF361" s="31" t="s">
        <v>13772</v>
      </c>
      <c r="BG361" s="31" t="s">
        <v>13978</v>
      </c>
      <c r="BH361" s="31" t="s">
        <v>13772</v>
      </c>
      <c r="BI361" s="31" t="s">
        <v>29505</v>
      </c>
      <c r="BJ361" s="31" t="s">
        <v>29506</v>
      </c>
      <c r="BK361" s="31" t="s">
        <v>13772</v>
      </c>
      <c r="BL361" s="31" t="s">
        <v>13772</v>
      </c>
      <c r="BM361" s="31" t="s">
        <v>18850</v>
      </c>
    </row>
    <row r="362" spans="1:65">
      <c r="A362">
        <v>1910</v>
      </c>
      <c r="B362">
        <v>1</v>
      </c>
      <c r="C362">
        <v>357</v>
      </c>
      <c r="D362" t="s">
        <v>4499</v>
      </c>
      <c r="E362" t="s">
        <v>4500</v>
      </c>
      <c r="F362" t="s">
        <v>73</v>
      </c>
      <c r="G362">
        <v>69.400000000000006</v>
      </c>
      <c r="H362">
        <v>284</v>
      </c>
      <c r="I362">
        <v>32800</v>
      </c>
      <c r="J362" t="s">
        <v>4501</v>
      </c>
      <c r="K362" s="3" t="s">
        <v>73</v>
      </c>
      <c r="L362">
        <v>148</v>
      </c>
      <c r="M362">
        <v>60</v>
      </c>
      <c r="N362">
        <v>0.40500000000000003</v>
      </c>
      <c r="O362" s="11">
        <f t="shared" si="5"/>
        <v>5.7274020365740093</v>
      </c>
      <c r="P362" s="36">
        <v>0.48465735833389201</v>
      </c>
      <c r="Q362" s="36">
        <v>0.38522564827097899</v>
      </c>
      <c r="R362" s="36">
        <v>0.40019941545306398</v>
      </c>
      <c r="S362" s="36">
        <v>1.20953740732258</v>
      </c>
      <c r="T362" s="36">
        <v>0.344070543974757</v>
      </c>
      <c r="U362" s="36">
        <v>0.371890898655796</v>
      </c>
      <c r="V362" s="36">
        <v>5.5865300991825997</v>
      </c>
      <c r="W362" s="36">
        <v>2.9195507939469199</v>
      </c>
      <c r="X362" s="37">
        <v>12.0008502279989</v>
      </c>
      <c r="Y362" s="37">
        <v>9.2705498092577994</v>
      </c>
      <c r="Z362" s="37">
        <v>6.5604456557922104</v>
      </c>
      <c r="AA362" s="37">
        <v>1.60843938853989</v>
      </c>
      <c r="AB362" s="37">
        <v>29.401362106083599</v>
      </c>
      <c r="AC362" s="37">
        <v>11.364344213545801</v>
      </c>
      <c r="AD362" s="37">
        <v>1.50854004786242</v>
      </c>
      <c r="AE362" s="37">
        <v>8.2222389709629304</v>
      </c>
      <c r="AF362" s="45">
        <v>2.6675429021002599</v>
      </c>
      <c r="AG362" s="45">
        <v>6.83123211830336</v>
      </c>
      <c r="AH362" s="46">
        <v>9.4836854056913703E-5</v>
      </c>
      <c r="AI362" s="47">
        <v>2.6998236325138399E-4</v>
      </c>
      <c r="AJ362" s="48">
        <v>1.46270777064257</v>
      </c>
      <c r="AK362" s="49">
        <v>9.9920963025054395</v>
      </c>
      <c r="AL362" s="31" t="s">
        <v>5874</v>
      </c>
      <c r="AM362" s="31" t="s">
        <v>5876</v>
      </c>
      <c r="AN362" s="31" t="s">
        <v>32073</v>
      </c>
      <c r="AO362" s="31" t="s">
        <v>32074</v>
      </c>
      <c r="AP362" s="31" t="s">
        <v>32075</v>
      </c>
      <c r="AQ362" s="31" t="s">
        <v>32076</v>
      </c>
      <c r="AR362" s="31" t="s">
        <v>32077</v>
      </c>
      <c r="AS362" s="31" t="str">
        <f>"TPM2"</f>
        <v>TPM2</v>
      </c>
      <c r="AT362" s="31" t="s">
        <v>32078</v>
      </c>
      <c r="AU362" s="31" t="s">
        <v>13777</v>
      </c>
      <c r="AV362" s="31">
        <v>9606</v>
      </c>
      <c r="AW362" s="50" t="str">
        <f>HYPERLINK("http://www.uniprot.org/uniprot/P07951", "P07951")</f>
        <v>P07951</v>
      </c>
      <c r="AX362" s="31" t="s">
        <v>32079</v>
      </c>
      <c r="AY362" s="31" t="s">
        <v>13772</v>
      </c>
      <c r="AZ362" s="31" t="s">
        <v>13988</v>
      </c>
      <c r="BA362" s="31" t="s">
        <v>13780</v>
      </c>
      <c r="BB362" s="31" t="s">
        <v>13772</v>
      </c>
      <c r="BC362" s="31" t="s">
        <v>15844</v>
      </c>
      <c r="BD362" s="31" t="s">
        <v>14245</v>
      </c>
      <c r="BE362" s="31" t="s">
        <v>13772</v>
      </c>
      <c r="BF362" s="31" t="s">
        <v>14849</v>
      </c>
      <c r="BG362" s="31" t="s">
        <v>13886</v>
      </c>
      <c r="BH362" s="31" t="s">
        <v>13772</v>
      </c>
      <c r="BI362" s="31" t="s">
        <v>32080</v>
      </c>
      <c r="BJ362" s="31" t="s">
        <v>32081</v>
      </c>
      <c r="BK362" s="31" t="s">
        <v>32082</v>
      </c>
      <c r="BL362" s="31" t="s">
        <v>13772</v>
      </c>
      <c r="BM362" s="31" t="s">
        <v>14853</v>
      </c>
    </row>
    <row r="363" spans="1:65">
      <c r="A363">
        <v>484</v>
      </c>
      <c r="B363">
        <v>1</v>
      </c>
      <c r="C363">
        <v>358</v>
      </c>
      <c r="D363" t="s">
        <v>1215</v>
      </c>
      <c r="E363" t="s">
        <v>1216</v>
      </c>
      <c r="F363" t="s">
        <v>73</v>
      </c>
      <c r="G363">
        <v>39.299999999999997</v>
      </c>
      <c r="H363">
        <v>267</v>
      </c>
      <c r="I363">
        <v>28729</v>
      </c>
      <c r="J363" t="s">
        <v>1217</v>
      </c>
      <c r="K363" s="3" t="s">
        <v>73</v>
      </c>
      <c r="L363">
        <v>119</v>
      </c>
      <c r="M363">
        <v>103</v>
      </c>
      <c r="N363">
        <v>0.86599999999999999</v>
      </c>
      <c r="O363" s="11">
        <f t="shared" si="5"/>
        <v>5.9523367947046362</v>
      </c>
      <c r="P363" s="36">
        <v>1.2116433958347299</v>
      </c>
      <c r="Q363" s="36">
        <v>6.5488360206066396</v>
      </c>
      <c r="R363" s="36">
        <v>3.2015953236245198</v>
      </c>
      <c r="S363" s="36">
        <v>3.0238435183064598</v>
      </c>
      <c r="T363" s="36">
        <v>4.9890228876339702</v>
      </c>
      <c r="U363" s="36">
        <v>2.7891817399184702</v>
      </c>
      <c r="V363" s="36">
        <v>0.26351557071616</v>
      </c>
      <c r="W363" s="36">
        <v>7.78546878385845</v>
      </c>
      <c r="X363" s="37">
        <v>19.312626525852501</v>
      </c>
      <c r="Y363" s="37">
        <v>5.3605219985504302</v>
      </c>
      <c r="Z363" s="37">
        <v>9.3606358747279099</v>
      </c>
      <c r="AA363" s="37">
        <v>7.1956498960994999</v>
      </c>
      <c r="AB363" s="37">
        <v>9.7392011976402095</v>
      </c>
      <c r="AC363" s="37">
        <v>9.1546106164674494</v>
      </c>
      <c r="AD363" s="37">
        <v>3.0170800957248498</v>
      </c>
      <c r="AE363" s="37">
        <v>2.2839552697119201</v>
      </c>
      <c r="AF363" s="45">
        <v>1.11465662448425</v>
      </c>
      <c r="AG363" s="45">
        <v>2.19448046615884</v>
      </c>
      <c r="AH363" s="46">
        <v>2.5095934330208802E-2</v>
      </c>
      <c r="AI363" s="47">
        <v>4.2078145531101903E-2</v>
      </c>
      <c r="AJ363" s="48">
        <v>3.7266384050624199</v>
      </c>
      <c r="AK363" s="49">
        <v>8.1780351843468395</v>
      </c>
      <c r="AL363" s="31" t="s">
        <v>5874</v>
      </c>
      <c r="AM363" s="31" t="s">
        <v>5878</v>
      </c>
      <c r="AN363" s="31" t="s">
        <v>18526</v>
      </c>
      <c r="AO363" s="31" t="s">
        <v>18527</v>
      </c>
      <c r="AP363" s="31" t="s">
        <v>18528</v>
      </c>
      <c r="AQ363" s="31" t="s">
        <v>18529</v>
      </c>
      <c r="AR363" s="31" t="s">
        <v>18530</v>
      </c>
      <c r="AS363" s="31" t="str">
        <f>"CFL1"</f>
        <v>CFL1</v>
      </c>
      <c r="AT363" s="31" t="s">
        <v>18531</v>
      </c>
      <c r="AU363" s="31" t="s">
        <v>13777</v>
      </c>
      <c r="AV363" s="31">
        <v>9606</v>
      </c>
      <c r="AW363" s="50" t="str">
        <f>HYPERLINK("http://www.uniprot.org/uniprot/P23528", "P23528")</f>
        <v>P23528</v>
      </c>
      <c r="AX363" s="31" t="s">
        <v>18532</v>
      </c>
      <c r="AY363" s="31" t="s">
        <v>13772</v>
      </c>
      <c r="AZ363" s="31" t="s">
        <v>18533</v>
      </c>
      <c r="BA363" s="31" t="s">
        <v>13772</v>
      </c>
      <c r="BB363" s="31" t="s">
        <v>13772</v>
      </c>
      <c r="BC363" s="31" t="s">
        <v>13772</v>
      </c>
      <c r="BD363" s="31" t="s">
        <v>13772</v>
      </c>
      <c r="BE363" s="31" t="s">
        <v>13772</v>
      </c>
      <c r="BF363" s="31" t="s">
        <v>13990</v>
      </c>
      <c r="BG363" s="31" t="s">
        <v>13991</v>
      </c>
      <c r="BH363" s="31" t="s">
        <v>13812</v>
      </c>
      <c r="BI363" s="31" t="s">
        <v>18534</v>
      </c>
      <c r="BJ363" s="31" t="s">
        <v>18535</v>
      </c>
      <c r="BK363" s="31" t="s">
        <v>18536</v>
      </c>
      <c r="BL363" s="31" t="s">
        <v>13772</v>
      </c>
      <c r="BM363" s="31" t="s">
        <v>18537</v>
      </c>
    </row>
    <row r="364" spans="1:65">
      <c r="A364">
        <v>2064</v>
      </c>
      <c r="B364">
        <v>1</v>
      </c>
      <c r="C364">
        <v>359</v>
      </c>
      <c r="D364" t="s">
        <v>4852</v>
      </c>
      <c r="E364" t="s">
        <v>73</v>
      </c>
      <c r="F364" t="s">
        <v>73</v>
      </c>
      <c r="G364">
        <v>56.7</v>
      </c>
      <c r="H364">
        <v>263</v>
      </c>
      <c r="I364">
        <v>28053</v>
      </c>
      <c r="J364" t="s">
        <v>4853</v>
      </c>
      <c r="K364" s="3" t="s">
        <v>73</v>
      </c>
      <c r="L364">
        <v>113</v>
      </c>
      <c r="M364">
        <v>113</v>
      </c>
      <c r="N364">
        <v>1</v>
      </c>
      <c r="O364" s="11">
        <f t="shared" si="5"/>
        <v>5.7108544775251868</v>
      </c>
      <c r="P364" s="36">
        <v>0.30291084895868198</v>
      </c>
      <c r="Q364" s="36">
        <v>0.24076603016936199</v>
      </c>
      <c r="R364" s="36">
        <v>0.40019941545306398</v>
      </c>
      <c r="S364" s="36">
        <v>0.37798043978830698</v>
      </c>
      <c r="T364" s="36">
        <v>0.215044089984223</v>
      </c>
      <c r="U364" s="36">
        <v>0.23243181165987301</v>
      </c>
      <c r="V364" s="36">
        <v>1.05406228286464</v>
      </c>
      <c r="W364" s="36">
        <v>4.8659179899115301</v>
      </c>
      <c r="X364" s="37">
        <v>0.79475829324495695</v>
      </c>
      <c r="Y364" s="37">
        <v>10.0903943502126</v>
      </c>
      <c r="Z364" s="37">
        <v>7.2004891344060802</v>
      </c>
      <c r="AA364" s="37">
        <v>5.9258293261995796</v>
      </c>
      <c r="AB364" s="37">
        <v>26.644984408638301</v>
      </c>
      <c r="AC364" s="37">
        <v>11.837858555776901</v>
      </c>
      <c r="AD364" s="37">
        <v>13.576860430761799</v>
      </c>
      <c r="AE364" s="37">
        <v>7.6131842323730803</v>
      </c>
      <c r="AF364" s="45">
        <v>3.22563106904098</v>
      </c>
      <c r="AG364" s="45">
        <v>10.8832037041897</v>
      </c>
      <c r="AH364" s="46">
        <v>2.3555489570911202E-6</v>
      </c>
      <c r="AI364" s="47">
        <v>1.01016811044485E-5</v>
      </c>
      <c r="AJ364" s="48">
        <v>0.96116411359871001</v>
      </c>
      <c r="AK364" s="49">
        <v>10.4605448414517</v>
      </c>
      <c r="AL364" s="31" t="s">
        <v>5874</v>
      </c>
      <c r="AM364" s="31" t="s">
        <v>5876</v>
      </c>
      <c r="AN364" s="31" t="s">
        <v>33541</v>
      </c>
      <c r="AO364" s="31" t="s">
        <v>13772</v>
      </c>
      <c r="AP364" s="31" t="s">
        <v>33542</v>
      </c>
      <c r="AQ364" s="31" t="s">
        <v>33543</v>
      </c>
      <c r="AR364" s="31" t="s">
        <v>13772</v>
      </c>
      <c r="AS364" s="31" t="str">
        <f>"CTRB1"</f>
        <v>CTRB1</v>
      </c>
      <c r="AT364" s="31" t="s">
        <v>13772</v>
      </c>
      <c r="AU364" s="31" t="s">
        <v>13777</v>
      </c>
      <c r="AV364" s="31">
        <v>9606</v>
      </c>
      <c r="AW364" s="50" t="str">
        <f>HYPERLINK("http://www.uniprot.org/uniprot/P17538", "P17538")</f>
        <v>P17538</v>
      </c>
      <c r="AX364" s="31" t="s">
        <v>33544</v>
      </c>
      <c r="AY364" s="31" t="s">
        <v>15385</v>
      </c>
      <c r="AZ364" s="31" t="s">
        <v>14321</v>
      </c>
      <c r="BA364" s="31" t="s">
        <v>13793</v>
      </c>
      <c r="BB364" s="31" t="s">
        <v>13772</v>
      </c>
      <c r="BC364" s="31" t="s">
        <v>13772</v>
      </c>
      <c r="BD364" s="31" t="s">
        <v>13808</v>
      </c>
      <c r="BE364" s="31" t="s">
        <v>13772</v>
      </c>
      <c r="BF364" s="31" t="s">
        <v>15176</v>
      </c>
      <c r="BG364" s="31" t="s">
        <v>19250</v>
      </c>
      <c r="BH364" s="31" t="s">
        <v>13772</v>
      </c>
      <c r="BI364" s="31" t="s">
        <v>33545</v>
      </c>
      <c r="BJ364" s="31" t="s">
        <v>22023</v>
      </c>
      <c r="BK364" s="31" t="s">
        <v>25219</v>
      </c>
      <c r="BL364" s="31" t="s">
        <v>13772</v>
      </c>
      <c r="BM364" s="31" t="s">
        <v>16639</v>
      </c>
    </row>
    <row r="365" spans="1:65">
      <c r="A365">
        <v>615</v>
      </c>
      <c r="B365">
        <v>1</v>
      </c>
      <c r="C365">
        <v>360</v>
      </c>
      <c r="D365" t="s">
        <v>1523</v>
      </c>
      <c r="E365" t="s">
        <v>1524</v>
      </c>
      <c r="F365" t="s">
        <v>73</v>
      </c>
      <c r="G365">
        <v>42</v>
      </c>
      <c r="H365">
        <v>188</v>
      </c>
      <c r="I365">
        <v>20740</v>
      </c>
      <c r="J365" t="s">
        <v>1525</v>
      </c>
      <c r="K365" s="3" t="s">
        <v>73</v>
      </c>
      <c r="L365">
        <v>112</v>
      </c>
      <c r="M365">
        <v>112</v>
      </c>
      <c r="N365">
        <v>1</v>
      </c>
      <c r="O365" s="11">
        <f t="shared" si="5"/>
        <v>6.8256637122727692</v>
      </c>
      <c r="P365" s="36">
        <v>10.9047905625126</v>
      </c>
      <c r="Q365" s="36">
        <v>3.85225648270979</v>
      </c>
      <c r="R365" s="36">
        <v>8.00398830906129</v>
      </c>
      <c r="S365" s="36">
        <v>13.6072958323791</v>
      </c>
      <c r="T365" s="36">
        <v>4.3008817996844604</v>
      </c>
      <c r="U365" s="36">
        <v>5.5783634798369501</v>
      </c>
      <c r="V365" s="36">
        <v>8.4324982629171306</v>
      </c>
      <c r="W365" s="36">
        <v>4.8659179899115301</v>
      </c>
      <c r="X365" s="37">
        <v>2.3842748797348698</v>
      </c>
      <c r="Y365" s="37">
        <v>8.1984454095477108</v>
      </c>
      <c r="Z365" s="37">
        <v>5.6003804378713999</v>
      </c>
      <c r="AA365" s="37">
        <v>0.84654704659994096</v>
      </c>
      <c r="AB365" s="37">
        <v>21.132229013747601</v>
      </c>
      <c r="AC365" s="37">
        <v>3.94595285192562</v>
      </c>
      <c r="AD365" s="37">
        <v>6.0341601914496898</v>
      </c>
      <c r="AE365" s="37">
        <v>1.5226368464746201</v>
      </c>
      <c r="AF365" s="45">
        <v>-0.209296405496572</v>
      </c>
      <c r="AG365" s="45">
        <v>-1.1989618507727</v>
      </c>
      <c r="AH365" s="46">
        <v>0.67530083808422103</v>
      </c>
      <c r="AI365" s="47">
        <v>0.74673762095594098</v>
      </c>
      <c r="AJ365" s="48">
        <v>7.4432490898766002</v>
      </c>
      <c r="AK365" s="49">
        <v>6.2080783346689303</v>
      </c>
      <c r="AL365" s="31" t="s">
        <v>5875</v>
      </c>
      <c r="AM365" s="31" t="s">
        <v>5832</v>
      </c>
      <c r="AN365" s="31" t="s">
        <v>19865</v>
      </c>
      <c r="AO365" s="31" t="s">
        <v>19866</v>
      </c>
      <c r="AP365" s="31" t="s">
        <v>19867</v>
      </c>
      <c r="AQ365" s="31" t="s">
        <v>19868</v>
      </c>
      <c r="AR365" s="31" t="s">
        <v>19869</v>
      </c>
      <c r="AS365" s="31" t="str">
        <f>"IL18BP"</f>
        <v>IL18BP</v>
      </c>
      <c r="AT365" s="31" t="s">
        <v>13772</v>
      </c>
      <c r="AU365" s="31" t="s">
        <v>13777</v>
      </c>
      <c r="AV365" s="31">
        <v>9606</v>
      </c>
      <c r="AW365" s="50" t="str">
        <f>HYPERLINK("http://www.uniprot.org/uniprot/O95998", "O95998")</f>
        <v>O95998</v>
      </c>
      <c r="AX365" s="31" t="s">
        <v>19870</v>
      </c>
      <c r="AY365" s="31" t="s">
        <v>13772</v>
      </c>
      <c r="AZ365" s="31" t="s">
        <v>14321</v>
      </c>
      <c r="BA365" s="31" t="s">
        <v>13780</v>
      </c>
      <c r="BB365" s="31" t="s">
        <v>13772</v>
      </c>
      <c r="BC365" s="31" t="s">
        <v>13772</v>
      </c>
      <c r="BD365" s="31" t="s">
        <v>15698</v>
      </c>
      <c r="BE365" s="31" t="s">
        <v>13772</v>
      </c>
      <c r="BF365" s="31" t="s">
        <v>13772</v>
      </c>
      <c r="BG365" s="31" t="s">
        <v>13796</v>
      </c>
      <c r="BH365" s="31" t="s">
        <v>13772</v>
      </c>
      <c r="BI365" s="31" t="s">
        <v>19871</v>
      </c>
      <c r="BJ365" s="31" t="s">
        <v>16659</v>
      </c>
      <c r="BK365" s="31" t="s">
        <v>19872</v>
      </c>
      <c r="BL365" s="31" t="s">
        <v>13772</v>
      </c>
      <c r="BM365" s="31" t="s">
        <v>19873</v>
      </c>
    </row>
    <row r="366" spans="1:65">
      <c r="A366">
        <v>1650</v>
      </c>
      <c r="B366">
        <v>1</v>
      </c>
      <c r="C366">
        <v>361</v>
      </c>
      <c r="D366" t="s">
        <v>3912</v>
      </c>
      <c r="E366" t="s">
        <v>3913</v>
      </c>
      <c r="F366" t="s">
        <v>73</v>
      </c>
      <c r="G366">
        <v>29.6</v>
      </c>
      <c r="H366">
        <v>459</v>
      </c>
      <c r="I366">
        <v>51621</v>
      </c>
      <c r="J366" t="s">
        <v>3914</v>
      </c>
      <c r="K366" s="3" t="s">
        <v>73</v>
      </c>
      <c r="L366">
        <v>111</v>
      </c>
      <c r="M366">
        <v>111</v>
      </c>
      <c r="N366">
        <v>1</v>
      </c>
      <c r="O366" s="11">
        <f t="shared" si="5"/>
        <v>6.2722295422027052</v>
      </c>
      <c r="P366" s="36">
        <v>7.2698603750083803</v>
      </c>
      <c r="Q366" s="36">
        <v>5.7783847240646802</v>
      </c>
      <c r="R366" s="36">
        <v>8.00398830906129</v>
      </c>
      <c r="S366" s="36">
        <v>7.5596087957661497</v>
      </c>
      <c r="T366" s="36">
        <v>0.86017635993689201</v>
      </c>
      <c r="U366" s="36">
        <v>3.7189089865579601</v>
      </c>
      <c r="V366" s="36">
        <v>3.1621868485939202</v>
      </c>
      <c r="W366" s="36">
        <v>11.678203175787701</v>
      </c>
      <c r="X366" s="37">
        <v>5.5633080527147003</v>
      </c>
      <c r="Y366" s="37">
        <v>5.0451971751062796</v>
      </c>
      <c r="Z366" s="37">
        <v>7.2004891344060802</v>
      </c>
      <c r="AA366" s="37">
        <v>4.2327352329997003</v>
      </c>
      <c r="AB366" s="37">
        <v>6.4315479607058004</v>
      </c>
      <c r="AC366" s="37">
        <v>8.6810962742363706</v>
      </c>
      <c r="AD366" s="37">
        <v>6.0341601914496898</v>
      </c>
      <c r="AE366" s="37">
        <v>9.1358210788476999</v>
      </c>
      <c r="AF366" s="45">
        <v>0.14318264817121801</v>
      </c>
      <c r="AG366" s="45">
        <v>1.08937996587343</v>
      </c>
      <c r="AH366" s="46">
        <v>0.81968080479765904</v>
      </c>
      <c r="AI366" s="47">
        <v>0.87042294985656199</v>
      </c>
      <c r="AJ366" s="48">
        <v>6.0039146968471204</v>
      </c>
      <c r="AK366" s="49">
        <v>6.54054438755829</v>
      </c>
      <c r="AL366" s="31" t="s">
        <v>5874</v>
      </c>
      <c r="AM366" s="31" t="s">
        <v>5832</v>
      </c>
      <c r="AN366" s="31" t="s">
        <v>29619</v>
      </c>
      <c r="AO366" s="31" t="s">
        <v>29620</v>
      </c>
      <c r="AP366" s="31" t="s">
        <v>29621</v>
      </c>
      <c r="AQ366" s="31" t="s">
        <v>29622</v>
      </c>
      <c r="AR366" s="31" t="s">
        <v>29623</v>
      </c>
      <c r="AS366" s="31" t="str">
        <f>"F9"</f>
        <v>F9</v>
      </c>
      <c r="AT366" s="31" t="s">
        <v>13772</v>
      </c>
      <c r="AU366" s="31" t="s">
        <v>13777</v>
      </c>
      <c r="AV366" s="31">
        <v>9606</v>
      </c>
      <c r="AW366" s="50" t="str">
        <f>HYPERLINK("http://www.uniprot.org/uniprot/P00740", "P00740")</f>
        <v>P00740</v>
      </c>
      <c r="AX366" s="31" t="s">
        <v>29624</v>
      </c>
      <c r="AY366" s="31" t="s">
        <v>16755</v>
      </c>
      <c r="AZ366" s="31" t="s">
        <v>14321</v>
      </c>
      <c r="BA366" s="31" t="s">
        <v>13780</v>
      </c>
      <c r="BB366" s="31" t="s">
        <v>13772</v>
      </c>
      <c r="BC366" s="31" t="s">
        <v>29625</v>
      </c>
      <c r="BD366" s="31" t="s">
        <v>14768</v>
      </c>
      <c r="BE366" s="31" t="s">
        <v>15709</v>
      </c>
      <c r="BF366" s="31" t="s">
        <v>15176</v>
      </c>
      <c r="BG366" s="31" t="s">
        <v>29626</v>
      </c>
      <c r="BH366" s="31" t="s">
        <v>14324</v>
      </c>
      <c r="BI366" s="31" t="s">
        <v>29627</v>
      </c>
      <c r="BJ366" s="31" t="s">
        <v>29628</v>
      </c>
      <c r="BK366" s="31" t="s">
        <v>29629</v>
      </c>
      <c r="BL366" s="31" t="s">
        <v>13772</v>
      </c>
      <c r="BM366" s="31" t="s">
        <v>29630</v>
      </c>
    </row>
    <row r="367" spans="1:65">
      <c r="A367">
        <v>2015</v>
      </c>
      <c r="B367">
        <v>1</v>
      </c>
      <c r="C367">
        <v>362</v>
      </c>
      <c r="D367" t="s">
        <v>4741</v>
      </c>
      <c r="E367" t="s">
        <v>73</v>
      </c>
      <c r="F367" t="s">
        <v>73</v>
      </c>
      <c r="G367">
        <v>26.9</v>
      </c>
      <c r="H367">
        <v>1180</v>
      </c>
      <c r="I367">
        <v>134192</v>
      </c>
      <c r="J367" t="s">
        <v>4742</v>
      </c>
      <c r="K367" s="3" t="s">
        <v>73</v>
      </c>
      <c r="L367">
        <v>111</v>
      </c>
      <c r="M367">
        <v>111</v>
      </c>
      <c r="N367">
        <v>1</v>
      </c>
      <c r="O367" s="11">
        <f t="shared" si="5"/>
        <v>7.9299200158335292</v>
      </c>
      <c r="P367" s="36">
        <v>9.6931471666778304</v>
      </c>
      <c r="Q367" s="36">
        <v>13.4828976894843</v>
      </c>
      <c r="R367" s="36">
        <v>33.616750898057397</v>
      </c>
      <c r="S367" s="36">
        <v>18.143061109838801</v>
      </c>
      <c r="T367" s="36">
        <v>15.4831744788641</v>
      </c>
      <c r="U367" s="36">
        <v>15.805363192871299</v>
      </c>
      <c r="V367" s="36">
        <v>8.4324982629171306</v>
      </c>
      <c r="W367" s="36">
        <v>2.9195507939469199</v>
      </c>
      <c r="X367" s="37">
        <v>0.19868957331123899</v>
      </c>
      <c r="Y367" s="37">
        <v>1.2612992937765699</v>
      </c>
      <c r="Z367" s="37">
        <v>2.4001630448020301</v>
      </c>
      <c r="AA367" s="37">
        <v>0.21163676164998499</v>
      </c>
      <c r="AB367" s="37">
        <v>0.22969814145377901</v>
      </c>
      <c r="AC367" s="37">
        <v>1.5783811407702499</v>
      </c>
      <c r="AD367" s="37">
        <v>0.377135011965606</v>
      </c>
      <c r="AE367" s="37">
        <v>3.0452736929492299</v>
      </c>
      <c r="AF367" s="45">
        <v>-3.54622619841378</v>
      </c>
      <c r="AG367" s="45">
        <v>-12.639534157230599</v>
      </c>
      <c r="AH367" s="46">
        <v>6.4208368000604801E-10</v>
      </c>
      <c r="AI367" s="47">
        <v>9.0545536185222008E-9</v>
      </c>
      <c r="AJ367" s="48">
        <v>14.6970554490822</v>
      </c>
      <c r="AK367" s="49">
        <v>1.16278458258484</v>
      </c>
      <c r="AL367" s="31" t="s">
        <v>5875</v>
      </c>
      <c r="AM367" s="31" t="s">
        <v>5876</v>
      </c>
      <c r="AN367" s="31" t="s">
        <v>33089</v>
      </c>
      <c r="AO367" s="31" t="s">
        <v>33090</v>
      </c>
      <c r="AP367" s="31" t="s">
        <v>33091</v>
      </c>
      <c r="AQ367" s="31" t="s">
        <v>33092</v>
      </c>
      <c r="AR367" s="31" t="s">
        <v>33093</v>
      </c>
      <c r="AS367" s="31" t="str">
        <f>"GLG1"</f>
        <v>GLG1</v>
      </c>
      <c r="AT367" s="31" t="s">
        <v>33094</v>
      </c>
      <c r="AU367" s="31" t="s">
        <v>13777</v>
      </c>
      <c r="AV367" s="31">
        <v>9606</v>
      </c>
      <c r="AW367" s="50" t="str">
        <f>HYPERLINK("http://www.uniprot.org/uniprot/Q92896", "Q92896")</f>
        <v>Q92896</v>
      </c>
      <c r="AX367" s="31" t="s">
        <v>33095</v>
      </c>
      <c r="AY367" s="31" t="s">
        <v>13772</v>
      </c>
      <c r="AZ367" s="31" t="s">
        <v>18298</v>
      </c>
      <c r="BA367" s="31" t="s">
        <v>13841</v>
      </c>
      <c r="BB367" s="31" t="s">
        <v>13772</v>
      </c>
      <c r="BC367" s="31" t="s">
        <v>13772</v>
      </c>
      <c r="BD367" s="31" t="s">
        <v>13826</v>
      </c>
      <c r="BE367" s="31" t="s">
        <v>17535</v>
      </c>
      <c r="BF367" s="31" t="s">
        <v>13772</v>
      </c>
      <c r="BG367" s="31" t="s">
        <v>13978</v>
      </c>
      <c r="BH367" s="31" t="s">
        <v>13772</v>
      </c>
      <c r="BI367" s="31" t="s">
        <v>33096</v>
      </c>
      <c r="BJ367" s="31" t="s">
        <v>33097</v>
      </c>
      <c r="BK367" s="31" t="s">
        <v>33098</v>
      </c>
      <c r="BL367" s="31" t="s">
        <v>13772</v>
      </c>
      <c r="BM367" s="31" t="s">
        <v>19461</v>
      </c>
    </row>
    <row r="368" spans="1:65">
      <c r="A368">
        <v>180</v>
      </c>
      <c r="B368">
        <v>1</v>
      </c>
      <c r="C368">
        <v>363</v>
      </c>
      <c r="D368" t="s">
        <v>455</v>
      </c>
      <c r="E368" t="s">
        <v>456</v>
      </c>
      <c r="F368" t="s">
        <v>73</v>
      </c>
      <c r="G368">
        <v>25.3</v>
      </c>
      <c r="H368">
        <v>1100</v>
      </c>
      <c r="I368">
        <v>121434</v>
      </c>
      <c r="J368" t="s">
        <v>458</v>
      </c>
      <c r="K368" s="3" t="s">
        <v>73</v>
      </c>
      <c r="L368">
        <v>111</v>
      </c>
      <c r="M368">
        <v>109</v>
      </c>
      <c r="N368">
        <v>0.98199999999999998</v>
      </c>
      <c r="O368" s="11">
        <f t="shared" si="5"/>
        <v>8.1323675865244134</v>
      </c>
      <c r="P368" s="36">
        <v>16.963007541686199</v>
      </c>
      <c r="Q368" s="36">
        <v>5.7783847240646802</v>
      </c>
      <c r="R368" s="36">
        <v>35.217548559869698</v>
      </c>
      <c r="S368" s="36">
        <v>18.143061109838801</v>
      </c>
      <c r="T368" s="36">
        <v>13.762821758990301</v>
      </c>
      <c r="U368" s="36">
        <v>17.571844961486399</v>
      </c>
      <c r="V368" s="36">
        <v>10.5406228286464</v>
      </c>
      <c r="W368" s="36">
        <v>5.8391015878938397</v>
      </c>
      <c r="X368" s="37">
        <v>0.19868957331123899</v>
      </c>
      <c r="Y368" s="37">
        <v>0.15766241172207099</v>
      </c>
      <c r="Z368" s="37">
        <v>0.80005434826734301</v>
      </c>
      <c r="AA368" s="37">
        <v>0.21163676164998499</v>
      </c>
      <c r="AB368" s="37">
        <v>0.22969814145377901</v>
      </c>
      <c r="AC368" s="37">
        <v>3.94595285192562</v>
      </c>
      <c r="AD368" s="37">
        <v>0.377135011965606</v>
      </c>
      <c r="AE368" s="37">
        <v>0.38065921161865401</v>
      </c>
      <c r="AF368" s="45">
        <v>-4.0062358775161799</v>
      </c>
      <c r="AG368" s="45">
        <v>-19.648753904434798</v>
      </c>
      <c r="AH368" s="46">
        <v>2.6125801370398399E-11</v>
      </c>
      <c r="AI368" s="47">
        <v>5.1406356225872204E-10</v>
      </c>
      <c r="AJ368" s="48">
        <v>15.4770491340595</v>
      </c>
      <c r="AK368" s="49">
        <v>0.78768603898928802</v>
      </c>
      <c r="AL368" s="31" t="s">
        <v>5875</v>
      </c>
      <c r="AM368" s="31" t="s">
        <v>5876</v>
      </c>
      <c r="AN368" s="31" t="s">
        <v>15232</v>
      </c>
      <c r="AO368" s="31" t="s">
        <v>15233</v>
      </c>
      <c r="AP368" s="31" t="s">
        <v>15234</v>
      </c>
      <c r="AQ368" s="31" t="s">
        <v>15235</v>
      </c>
      <c r="AR368" s="31" t="s">
        <v>15236</v>
      </c>
      <c r="AS368" s="31" t="str">
        <f>"SLC12A1"</f>
        <v>SLC12A1</v>
      </c>
      <c r="AT368" s="31" t="s">
        <v>15237</v>
      </c>
      <c r="AU368" s="31" t="s">
        <v>13777</v>
      </c>
      <c r="AV368" s="31">
        <v>9606</v>
      </c>
      <c r="AW368" s="50" t="str">
        <f>HYPERLINK("http://www.uniprot.org/uniprot/Q13621", "Q13621")</f>
        <v>Q13621</v>
      </c>
      <c r="AX368" s="31" t="s">
        <v>15238</v>
      </c>
      <c r="AY368" s="31" t="s">
        <v>15239</v>
      </c>
      <c r="AZ368" s="31" t="s">
        <v>13825</v>
      </c>
      <c r="BA368" s="31" t="s">
        <v>13841</v>
      </c>
      <c r="BB368" s="31" t="s">
        <v>13772</v>
      </c>
      <c r="BC368" s="31" t="s">
        <v>15240</v>
      </c>
      <c r="BD368" s="31" t="s">
        <v>13925</v>
      </c>
      <c r="BE368" s="31" t="s">
        <v>15241</v>
      </c>
      <c r="BF368" s="31" t="s">
        <v>13772</v>
      </c>
      <c r="BG368" s="31" t="s">
        <v>13978</v>
      </c>
      <c r="BH368" s="31" t="s">
        <v>13772</v>
      </c>
      <c r="BI368" s="31" t="s">
        <v>15242</v>
      </c>
      <c r="BJ368" s="31" t="s">
        <v>15243</v>
      </c>
      <c r="BK368" s="31" t="s">
        <v>15244</v>
      </c>
      <c r="BL368" s="31" t="s">
        <v>13772</v>
      </c>
      <c r="BM368" s="31" t="s">
        <v>15245</v>
      </c>
    </row>
    <row r="369" spans="1:65">
      <c r="A369">
        <v>946</v>
      </c>
      <c r="B369">
        <v>1</v>
      </c>
      <c r="C369">
        <v>364</v>
      </c>
      <c r="D369" t="s">
        <v>2304</v>
      </c>
      <c r="E369" t="s">
        <v>73</v>
      </c>
      <c r="F369" t="s">
        <v>73</v>
      </c>
      <c r="G369">
        <v>53.9</v>
      </c>
      <c r="H369">
        <v>627</v>
      </c>
      <c r="I369">
        <v>70204</v>
      </c>
      <c r="J369" t="s">
        <v>2305</v>
      </c>
      <c r="K369" s="3" t="s">
        <v>73</v>
      </c>
      <c r="L369">
        <v>116</v>
      </c>
      <c r="M369">
        <v>97</v>
      </c>
      <c r="N369">
        <v>0.83599999999999997</v>
      </c>
      <c r="O369" s="11">
        <f t="shared" si="5"/>
        <v>5.463200138022545</v>
      </c>
      <c r="P369" s="36">
        <v>0.30291084895868198</v>
      </c>
      <c r="Q369" s="36">
        <v>0.24076603016936199</v>
      </c>
      <c r="R369" s="36">
        <v>0.40019941545306398</v>
      </c>
      <c r="S369" s="36">
        <v>0.75596087957661495</v>
      </c>
      <c r="T369" s="36">
        <v>0.215044089984223</v>
      </c>
      <c r="U369" s="36">
        <v>0.23243181165987301</v>
      </c>
      <c r="V369" s="36">
        <v>0.26351557071616</v>
      </c>
      <c r="W369" s="36">
        <v>1.4597753969734599</v>
      </c>
      <c r="X369" s="37">
        <v>6.0401630286616799</v>
      </c>
      <c r="Y369" s="37">
        <v>7.5047307979706002</v>
      </c>
      <c r="Z369" s="37">
        <v>4.8003260896040603</v>
      </c>
      <c r="AA369" s="37">
        <v>23.703317304798301</v>
      </c>
      <c r="AB369" s="37">
        <v>10.1067182239663</v>
      </c>
      <c r="AC369" s="37">
        <v>8.6021772171978608</v>
      </c>
      <c r="AD369" s="37">
        <v>6.0341601914496898</v>
      </c>
      <c r="AE369" s="37">
        <v>16.749005311220799</v>
      </c>
      <c r="AF369" s="45">
        <v>4.1285820382001299</v>
      </c>
      <c r="AG369" s="45">
        <v>21.583349065463299</v>
      </c>
      <c r="AH369" s="46">
        <v>7.5970755876946306E-11</v>
      </c>
      <c r="AI369" s="47">
        <v>1.41178988004658E-9</v>
      </c>
      <c r="AJ369" s="48">
        <v>0.48382550543642999</v>
      </c>
      <c r="AK369" s="49">
        <v>10.442574770608701</v>
      </c>
      <c r="AL369" s="31" t="s">
        <v>5874</v>
      </c>
      <c r="AM369" s="31" t="s">
        <v>5876</v>
      </c>
      <c r="AN369" s="31" t="s">
        <v>23120</v>
      </c>
      <c r="AO369" s="31" t="s">
        <v>23121</v>
      </c>
      <c r="AP369" s="31" t="s">
        <v>23122</v>
      </c>
      <c r="AQ369" s="31" t="s">
        <v>23123</v>
      </c>
      <c r="AR369" s="31" t="s">
        <v>23124</v>
      </c>
      <c r="AS369" s="31" t="str">
        <f>"LCP1"</f>
        <v>LCP1</v>
      </c>
      <c r="AT369" s="31" t="s">
        <v>23125</v>
      </c>
      <c r="AU369" s="31" t="s">
        <v>13777</v>
      </c>
      <c r="AV369" s="31">
        <v>9606</v>
      </c>
      <c r="AW369" s="50" t="str">
        <f>HYPERLINK("http://www.uniprot.org/uniprot/P13796", "P13796")</f>
        <v>P13796</v>
      </c>
      <c r="AX369" s="31" t="s">
        <v>23126</v>
      </c>
      <c r="AY369" s="31" t="s">
        <v>13772</v>
      </c>
      <c r="AZ369" s="31" t="s">
        <v>15639</v>
      </c>
      <c r="BA369" s="31" t="s">
        <v>20333</v>
      </c>
      <c r="BB369" s="31" t="s">
        <v>13772</v>
      </c>
      <c r="BC369" s="31" t="s">
        <v>13807</v>
      </c>
      <c r="BD369" s="31" t="s">
        <v>14096</v>
      </c>
      <c r="BE369" s="31" t="s">
        <v>13873</v>
      </c>
      <c r="BF369" s="31" t="s">
        <v>13990</v>
      </c>
      <c r="BG369" s="31" t="s">
        <v>13886</v>
      </c>
      <c r="BH369" s="31" t="s">
        <v>13812</v>
      </c>
      <c r="BI369" s="31" t="s">
        <v>23127</v>
      </c>
      <c r="BJ369" s="31" t="s">
        <v>23128</v>
      </c>
      <c r="BK369" s="31" t="s">
        <v>23129</v>
      </c>
      <c r="BL369" s="31" t="s">
        <v>13772</v>
      </c>
      <c r="BM369" s="31" t="s">
        <v>23130</v>
      </c>
    </row>
    <row r="370" spans="1:65">
      <c r="A370">
        <v>2222</v>
      </c>
      <c r="B370">
        <v>1</v>
      </c>
      <c r="C370">
        <v>365</v>
      </c>
      <c r="D370" t="s">
        <v>5197</v>
      </c>
      <c r="E370" t="s">
        <v>73</v>
      </c>
      <c r="F370" t="s">
        <v>73</v>
      </c>
      <c r="G370">
        <v>37.1</v>
      </c>
      <c r="H370">
        <v>334</v>
      </c>
      <c r="I370">
        <v>36374</v>
      </c>
      <c r="J370" t="s">
        <v>5198</v>
      </c>
      <c r="K370" s="3" t="s">
        <v>73</v>
      </c>
      <c r="L370">
        <v>110</v>
      </c>
      <c r="M370">
        <v>110</v>
      </c>
      <c r="N370">
        <v>1</v>
      </c>
      <c r="O370" s="11">
        <f t="shared" si="5"/>
        <v>6.4187616781578685</v>
      </c>
      <c r="P370" s="36">
        <v>7.2698603750083803</v>
      </c>
      <c r="Q370" s="36">
        <v>10.5937053274519</v>
      </c>
      <c r="R370" s="36">
        <v>4.8023929854367697</v>
      </c>
      <c r="S370" s="36">
        <v>7.5596087957661497</v>
      </c>
      <c r="T370" s="36">
        <v>10.322116319242699</v>
      </c>
      <c r="U370" s="36">
        <v>9.2972724663949098</v>
      </c>
      <c r="V370" s="36">
        <v>7.3784359800524904</v>
      </c>
      <c r="W370" s="36">
        <v>9.7318359798230603</v>
      </c>
      <c r="X370" s="37">
        <v>9.53709951893949</v>
      </c>
      <c r="Y370" s="37">
        <v>4.4145475282179998</v>
      </c>
      <c r="Z370" s="37">
        <v>3.2002173930693698</v>
      </c>
      <c r="AA370" s="37">
        <v>1.6930940931998799</v>
      </c>
      <c r="AB370" s="37">
        <v>4.5939628290755703</v>
      </c>
      <c r="AC370" s="37">
        <v>4.7351434223107498</v>
      </c>
      <c r="AD370" s="37">
        <v>4.5256201435872701</v>
      </c>
      <c r="AE370" s="37">
        <v>3.0452736929492299</v>
      </c>
      <c r="AF370" s="45">
        <v>-0.89561031342378306</v>
      </c>
      <c r="AG370" s="45">
        <v>-1.87313766224884</v>
      </c>
      <c r="AH370" s="46">
        <v>1.30372210747202E-2</v>
      </c>
      <c r="AI370" s="47">
        <v>2.33057082864561E-2</v>
      </c>
      <c r="AJ370" s="48">
        <v>8.3694035286470498</v>
      </c>
      <c r="AK370" s="49">
        <v>4.4681198276687004</v>
      </c>
      <c r="AL370" s="31" t="s">
        <v>5875</v>
      </c>
      <c r="AM370" s="31" t="s">
        <v>5878</v>
      </c>
      <c r="AN370" s="31" t="s">
        <v>34983</v>
      </c>
      <c r="AO370" s="31" t="s">
        <v>34984</v>
      </c>
      <c r="AP370" s="31" t="s">
        <v>34985</v>
      </c>
      <c r="AQ370" s="31" t="s">
        <v>34986</v>
      </c>
      <c r="AR370" s="31" t="s">
        <v>34987</v>
      </c>
      <c r="AS370" s="31" t="str">
        <f>"MDH1"</f>
        <v>MDH1</v>
      </c>
      <c r="AT370" s="31" t="s">
        <v>34988</v>
      </c>
      <c r="AU370" s="31" t="s">
        <v>13777</v>
      </c>
      <c r="AV370" s="31">
        <v>9606</v>
      </c>
      <c r="AW370" s="50" t="str">
        <f>HYPERLINK("http://www.uniprot.org/uniprot/P40925", "P40925")</f>
        <v>P40925</v>
      </c>
      <c r="AX370" s="31" t="s">
        <v>34989</v>
      </c>
      <c r="AY370" s="31" t="s">
        <v>15224</v>
      </c>
      <c r="AZ370" s="31" t="s">
        <v>13899</v>
      </c>
      <c r="BA370" s="31" t="s">
        <v>13841</v>
      </c>
      <c r="BB370" s="31" t="s">
        <v>13772</v>
      </c>
      <c r="BC370" s="31" t="s">
        <v>13772</v>
      </c>
      <c r="BD370" s="31" t="s">
        <v>13772</v>
      </c>
      <c r="BE370" s="31" t="s">
        <v>14492</v>
      </c>
      <c r="BF370" s="31" t="s">
        <v>13885</v>
      </c>
      <c r="BG370" s="31" t="s">
        <v>23880</v>
      </c>
      <c r="BH370" s="31" t="s">
        <v>13772</v>
      </c>
      <c r="BI370" s="31" t="s">
        <v>34990</v>
      </c>
      <c r="BJ370" s="31" t="s">
        <v>34991</v>
      </c>
      <c r="BK370" s="31" t="s">
        <v>34992</v>
      </c>
      <c r="BL370" s="31" t="s">
        <v>13772</v>
      </c>
      <c r="BM370" s="31" t="s">
        <v>14960</v>
      </c>
    </row>
    <row r="371" spans="1:65">
      <c r="A371">
        <v>1981</v>
      </c>
      <c r="B371">
        <v>1</v>
      </c>
      <c r="C371">
        <v>366</v>
      </c>
      <c r="D371" t="s">
        <v>4664</v>
      </c>
      <c r="E371" t="s">
        <v>73</v>
      </c>
      <c r="F371" t="s">
        <v>73</v>
      </c>
      <c r="G371">
        <v>58</v>
      </c>
      <c r="H371">
        <v>338</v>
      </c>
      <c r="I371">
        <v>36766</v>
      </c>
      <c r="J371" t="s">
        <v>4666</v>
      </c>
      <c r="K371" s="3" t="s">
        <v>73</v>
      </c>
      <c r="L371">
        <v>112</v>
      </c>
      <c r="M371">
        <v>101</v>
      </c>
      <c r="N371">
        <v>0.90200000000000002</v>
      </c>
      <c r="O371" s="11">
        <f t="shared" si="5"/>
        <v>6.4786349804682946</v>
      </c>
      <c r="P371" s="36">
        <v>7.2698603750083803</v>
      </c>
      <c r="Q371" s="36">
        <v>14.349655398094001</v>
      </c>
      <c r="R371" s="36">
        <v>1.6007976618122599</v>
      </c>
      <c r="S371" s="36">
        <v>9.0715305549193808</v>
      </c>
      <c r="T371" s="36">
        <v>21.332373726434898</v>
      </c>
      <c r="U371" s="36">
        <v>16.270226816191101</v>
      </c>
      <c r="V371" s="36">
        <v>6.3243736971878404</v>
      </c>
      <c r="W371" s="36">
        <v>6.8122851858761404</v>
      </c>
      <c r="X371" s="37">
        <v>3.0200815143308399</v>
      </c>
      <c r="Y371" s="37">
        <v>8.7660300917471705</v>
      </c>
      <c r="Z371" s="37">
        <v>0.80005434826734301</v>
      </c>
      <c r="AA371" s="37">
        <v>1.6930940931998799</v>
      </c>
      <c r="AB371" s="37">
        <v>0.22969814145377901</v>
      </c>
      <c r="AC371" s="37">
        <v>1.5783811407702499</v>
      </c>
      <c r="AD371" s="37">
        <v>3.0170800957248498</v>
      </c>
      <c r="AE371" s="37">
        <v>1.5226368464746201</v>
      </c>
      <c r="AF371" s="45">
        <v>-1.9204599083962599</v>
      </c>
      <c r="AG371" s="45">
        <v>-4.0253491492317099</v>
      </c>
      <c r="AH371" s="46">
        <v>3.7540627276321398E-4</v>
      </c>
      <c r="AI371" s="47">
        <v>9.3363121367505701E-4</v>
      </c>
      <c r="AJ371" s="48">
        <v>10.3788879269405</v>
      </c>
      <c r="AK371" s="49">
        <v>2.5783820339960899</v>
      </c>
      <c r="AL371" s="31" t="s">
        <v>5875</v>
      </c>
      <c r="AM371" s="31" t="s">
        <v>5876</v>
      </c>
      <c r="AN371" s="31" t="s">
        <v>32783</v>
      </c>
      <c r="AO371" s="31" t="s">
        <v>32784</v>
      </c>
      <c r="AP371" s="31" t="s">
        <v>32785</v>
      </c>
      <c r="AQ371" s="31" t="s">
        <v>32786</v>
      </c>
      <c r="AR371" s="31" t="s">
        <v>32787</v>
      </c>
      <c r="AS371" s="31" t="str">
        <f>"FBP1"</f>
        <v>FBP1</v>
      </c>
      <c r="AT371" s="31" t="s">
        <v>32788</v>
      </c>
      <c r="AU371" s="31" t="s">
        <v>13777</v>
      </c>
      <c r="AV371" s="31">
        <v>9606</v>
      </c>
      <c r="AW371" s="50" t="str">
        <f>HYPERLINK("http://www.uniprot.org/uniprot/P09467", "P09467")</f>
        <v>P09467</v>
      </c>
      <c r="AX371" s="31" t="s">
        <v>32789</v>
      </c>
      <c r="AY371" s="31" t="s">
        <v>32790</v>
      </c>
      <c r="AZ371" s="31" t="s">
        <v>13772</v>
      </c>
      <c r="BA371" s="31" t="s">
        <v>13793</v>
      </c>
      <c r="BB371" s="31" t="s">
        <v>13772</v>
      </c>
      <c r="BC371" s="31" t="s">
        <v>13807</v>
      </c>
      <c r="BD371" s="31" t="s">
        <v>13772</v>
      </c>
      <c r="BE371" s="31" t="s">
        <v>14784</v>
      </c>
      <c r="BF371" s="31" t="s">
        <v>32791</v>
      </c>
      <c r="BG371" s="31" t="s">
        <v>13886</v>
      </c>
      <c r="BH371" s="31" t="s">
        <v>13812</v>
      </c>
      <c r="BI371" s="31" t="s">
        <v>32792</v>
      </c>
      <c r="BJ371" s="31" t="s">
        <v>14085</v>
      </c>
      <c r="BK371" s="31" t="s">
        <v>32793</v>
      </c>
      <c r="BL371" s="31" t="s">
        <v>14959</v>
      </c>
      <c r="BM371" s="31" t="s">
        <v>14960</v>
      </c>
    </row>
    <row r="372" spans="1:65">
      <c r="A372">
        <v>490</v>
      </c>
      <c r="B372">
        <v>1</v>
      </c>
      <c r="C372">
        <v>367</v>
      </c>
      <c r="D372" t="s">
        <v>1231</v>
      </c>
      <c r="E372" t="s">
        <v>73</v>
      </c>
      <c r="F372" t="s">
        <v>73</v>
      </c>
      <c r="G372">
        <v>67.3</v>
      </c>
      <c r="H372">
        <v>226</v>
      </c>
      <c r="I372">
        <v>26809</v>
      </c>
      <c r="J372" t="s">
        <v>1232</v>
      </c>
      <c r="K372" s="3" t="s">
        <v>73</v>
      </c>
      <c r="L372">
        <v>109</v>
      </c>
      <c r="M372">
        <v>109</v>
      </c>
      <c r="N372">
        <v>1</v>
      </c>
      <c r="O372" s="11">
        <f t="shared" si="5"/>
        <v>5.7792654894748789</v>
      </c>
      <c r="P372" s="36">
        <v>0.30291084895868198</v>
      </c>
      <c r="Q372" s="36">
        <v>1.9261282413548899</v>
      </c>
      <c r="R372" s="36">
        <v>0.40019941545306398</v>
      </c>
      <c r="S372" s="36">
        <v>0.37798043978830698</v>
      </c>
      <c r="T372" s="36">
        <v>4.3008817996844604</v>
      </c>
      <c r="U372" s="36">
        <v>4.6486362331974602</v>
      </c>
      <c r="V372" s="36">
        <v>11.594685111511</v>
      </c>
      <c r="W372" s="36">
        <v>10.7050195778054</v>
      </c>
      <c r="X372" s="37">
        <v>17.484682451389101</v>
      </c>
      <c r="Y372" s="37">
        <v>11.351693643989099</v>
      </c>
      <c r="Z372" s="37">
        <v>15.2010326170795</v>
      </c>
      <c r="AA372" s="37">
        <v>1.6930940931998799</v>
      </c>
      <c r="AB372" s="37">
        <v>1.8375851316302301</v>
      </c>
      <c r="AC372" s="37">
        <v>1.5783811407702499</v>
      </c>
      <c r="AD372" s="37">
        <v>7.5427002393121096</v>
      </c>
      <c r="AE372" s="37">
        <v>1.5226368464746201</v>
      </c>
      <c r="AF372" s="45">
        <v>0.72635296561839602</v>
      </c>
      <c r="AG372" s="45">
        <v>1.6992951786537001</v>
      </c>
      <c r="AH372" s="46">
        <v>0.28631303698839899</v>
      </c>
      <c r="AI372" s="47">
        <v>0.36415099191110101</v>
      </c>
      <c r="AJ372" s="48">
        <v>4.2820552084691599</v>
      </c>
      <c r="AK372" s="49">
        <v>7.2764757704805998</v>
      </c>
      <c r="AL372" s="31" t="s">
        <v>5874</v>
      </c>
      <c r="AM372" s="31" t="s">
        <v>5832</v>
      </c>
      <c r="AN372" s="31" t="s">
        <v>18585</v>
      </c>
      <c r="AO372" s="31" t="s">
        <v>18586</v>
      </c>
      <c r="AP372" s="31" t="s">
        <v>18587</v>
      </c>
      <c r="AQ372" s="31" t="s">
        <v>18588</v>
      </c>
      <c r="AR372" s="31" t="s">
        <v>18589</v>
      </c>
      <c r="AS372" s="31" t="str">
        <f>"GSTM3"</f>
        <v>GSTM3</v>
      </c>
      <c r="AT372" s="31" t="s">
        <v>18590</v>
      </c>
      <c r="AU372" s="31" t="s">
        <v>13777</v>
      </c>
      <c r="AV372" s="31">
        <v>9606</v>
      </c>
      <c r="AW372" s="50" t="str">
        <f>HYPERLINK("http://www.uniprot.org/uniprot/P21266", "P21266")</f>
        <v>P21266</v>
      </c>
      <c r="AX372" s="31" t="s">
        <v>18591</v>
      </c>
      <c r="AY372" s="31" t="s">
        <v>13772</v>
      </c>
      <c r="AZ372" s="31" t="s">
        <v>13899</v>
      </c>
      <c r="BA372" s="31" t="s">
        <v>13793</v>
      </c>
      <c r="BB372" s="31" t="s">
        <v>13772</v>
      </c>
      <c r="BC372" s="31" t="s">
        <v>13772</v>
      </c>
      <c r="BD372" s="31" t="s">
        <v>13772</v>
      </c>
      <c r="BE372" s="31" t="s">
        <v>13772</v>
      </c>
      <c r="BF372" s="31" t="s">
        <v>14111</v>
      </c>
      <c r="BG372" s="31" t="s">
        <v>18592</v>
      </c>
      <c r="BH372" s="31" t="s">
        <v>13812</v>
      </c>
      <c r="BI372" s="31" t="s">
        <v>18593</v>
      </c>
      <c r="BJ372" s="31" t="s">
        <v>18594</v>
      </c>
      <c r="BK372" s="31" t="s">
        <v>18595</v>
      </c>
      <c r="BL372" s="31" t="s">
        <v>13772</v>
      </c>
      <c r="BM372" s="31" t="s">
        <v>18170</v>
      </c>
    </row>
    <row r="373" spans="1:65">
      <c r="A373">
        <v>1648</v>
      </c>
      <c r="B373">
        <v>1</v>
      </c>
      <c r="C373">
        <v>368</v>
      </c>
      <c r="D373" t="s">
        <v>3908</v>
      </c>
      <c r="E373" t="s">
        <v>73</v>
      </c>
      <c r="F373" t="s">
        <v>73</v>
      </c>
      <c r="G373">
        <v>24.3</v>
      </c>
      <c r="H373">
        <v>580</v>
      </c>
      <c r="I373">
        <v>65322</v>
      </c>
      <c r="J373" t="s">
        <v>3909</v>
      </c>
      <c r="K373" s="3" t="s">
        <v>73</v>
      </c>
      <c r="L373">
        <v>109</v>
      </c>
      <c r="M373">
        <v>109</v>
      </c>
      <c r="N373">
        <v>1</v>
      </c>
      <c r="O373" s="11">
        <f t="shared" si="5"/>
        <v>7.8908191760844071</v>
      </c>
      <c r="P373" s="36">
        <v>9.6931471666778304</v>
      </c>
      <c r="Q373" s="36">
        <v>17.335154172193999</v>
      </c>
      <c r="R373" s="36">
        <v>24.0119649271839</v>
      </c>
      <c r="S373" s="36">
        <v>28.726513423911399</v>
      </c>
      <c r="T373" s="36">
        <v>12.042469039116501</v>
      </c>
      <c r="U373" s="36">
        <v>11.1567269596739</v>
      </c>
      <c r="V373" s="36">
        <v>14.756871960105</v>
      </c>
      <c r="W373" s="36">
        <v>2.9195507939469199</v>
      </c>
      <c r="X373" s="37">
        <v>0.19868957331123899</v>
      </c>
      <c r="Y373" s="37">
        <v>0.15766241172207099</v>
      </c>
      <c r="Z373" s="37">
        <v>0.80005434826734301</v>
      </c>
      <c r="AA373" s="37">
        <v>0.84654704659994096</v>
      </c>
      <c r="AB373" s="37">
        <v>0.91879256581511404</v>
      </c>
      <c r="AC373" s="37">
        <v>0.78919057038512497</v>
      </c>
      <c r="AD373" s="37">
        <v>0.377135011965606</v>
      </c>
      <c r="AE373" s="37">
        <v>1.5226368464746201</v>
      </c>
      <c r="AF373" s="45">
        <v>-4.2656341266768596</v>
      </c>
      <c r="AG373" s="45">
        <v>-21.502168779655701</v>
      </c>
      <c r="AH373" s="46">
        <v>5.0343114270690501E-13</v>
      </c>
      <c r="AI373" s="47">
        <v>1.60378778319485E-11</v>
      </c>
      <c r="AJ373" s="48">
        <v>15.080299805351199</v>
      </c>
      <c r="AK373" s="49">
        <v>0.70133854681763197</v>
      </c>
      <c r="AL373" s="31" t="s">
        <v>5875</v>
      </c>
      <c r="AM373" s="31" t="s">
        <v>5876</v>
      </c>
      <c r="AN373" s="31" t="s">
        <v>29596</v>
      </c>
      <c r="AO373" s="31" t="s">
        <v>29597</v>
      </c>
      <c r="AP373" s="31" t="s">
        <v>29598</v>
      </c>
      <c r="AQ373" s="31" t="s">
        <v>29599</v>
      </c>
      <c r="AR373" s="31" t="s">
        <v>29600</v>
      </c>
      <c r="AS373" s="31" t="str">
        <f>"GPC3"</f>
        <v>GPC3</v>
      </c>
      <c r="AT373" s="31" t="s">
        <v>29601</v>
      </c>
      <c r="AU373" s="31" t="s">
        <v>13777</v>
      </c>
      <c r="AV373" s="31">
        <v>9606</v>
      </c>
      <c r="AW373" s="50" t="str">
        <f>HYPERLINK("http://www.uniprot.org/uniprot/P51654", "P51654")</f>
        <v>P51654</v>
      </c>
      <c r="AX373" s="31" t="s">
        <v>29602</v>
      </c>
      <c r="AY373" s="31" t="s">
        <v>13772</v>
      </c>
      <c r="AZ373" s="31" t="s">
        <v>13792</v>
      </c>
      <c r="BA373" s="31" t="s">
        <v>13841</v>
      </c>
      <c r="BB373" s="31" t="s">
        <v>13772</v>
      </c>
      <c r="BC373" s="31" t="s">
        <v>13807</v>
      </c>
      <c r="BD373" s="31" t="s">
        <v>13808</v>
      </c>
      <c r="BE373" s="31" t="s">
        <v>13772</v>
      </c>
      <c r="BF373" s="31" t="s">
        <v>27556</v>
      </c>
      <c r="BG373" s="31" t="s">
        <v>29603</v>
      </c>
      <c r="BH373" s="31" t="s">
        <v>13772</v>
      </c>
      <c r="BI373" s="31" t="s">
        <v>29604</v>
      </c>
      <c r="BJ373" s="31" t="s">
        <v>29605</v>
      </c>
      <c r="BK373" s="31" t="s">
        <v>29606</v>
      </c>
      <c r="BL373" s="31" t="s">
        <v>13772</v>
      </c>
      <c r="BM373" s="31" t="s">
        <v>29607</v>
      </c>
    </row>
    <row r="374" spans="1:65">
      <c r="A374">
        <v>1727</v>
      </c>
      <c r="B374">
        <v>1</v>
      </c>
      <c r="C374">
        <v>369</v>
      </c>
      <c r="D374" t="s">
        <v>4085</v>
      </c>
      <c r="E374" t="s">
        <v>73</v>
      </c>
      <c r="F374" t="s">
        <v>73</v>
      </c>
      <c r="G374">
        <v>7.8</v>
      </c>
      <c r="H374">
        <v>1337</v>
      </c>
      <c r="I374">
        <v>143284</v>
      </c>
      <c r="J374" t="s">
        <v>4086</v>
      </c>
      <c r="K374" s="3" t="s">
        <v>73</v>
      </c>
      <c r="L374">
        <v>109</v>
      </c>
      <c r="M374">
        <v>109</v>
      </c>
      <c r="N374">
        <v>1</v>
      </c>
      <c r="O374" s="11">
        <f t="shared" si="5"/>
        <v>7.4766394883273231</v>
      </c>
      <c r="P374" s="36">
        <v>10.9047905625126</v>
      </c>
      <c r="Q374" s="36">
        <v>12.519833568806799</v>
      </c>
      <c r="R374" s="36">
        <v>19.2095719417471</v>
      </c>
      <c r="S374" s="36">
        <v>18.143061109838801</v>
      </c>
      <c r="T374" s="36">
        <v>10.322116319242699</v>
      </c>
      <c r="U374" s="36">
        <v>6.50809072647644</v>
      </c>
      <c r="V374" s="36">
        <v>14.756871960105</v>
      </c>
      <c r="W374" s="36">
        <v>6.8122851858761404</v>
      </c>
      <c r="X374" s="37">
        <v>1.5895165864899099</v>
      </c>
      <c r="Y374" s="37">
        <v>0.63064964688828595</v>
      </c>
      <c r="Z374" s="37">
        <v>4.0002717413367099</v>
      </c>
      <c r="AA374" s="37">
        <v>0.84654704659994096</v>
      </c>
      <c r="AB374" s="37">
        <v>1.8375851316302301</v>
      </c>
      <c r="AC374" s="37">
        <v>3.94595285192562</v>
      </c>
      <c r="AD374" s="37">
        <v>1.50854004786242</v>
      </c>
      <c r="AE374" s="37">
        <v>6.0905473858984696</v>
      </c>
      <c r="AF374" s="45">
        <v>-2.2755147876399202</v>
      </c>
      <c r="AG374" s="45">
        <v>-4.8498049227994002</v>
      </c>
      <c r="AH374" s="46">
        <v>1.59326980561439E-7</v>
      </c>
      <c r="AI374" s="47">
        <v>1.0055636792038E-6</v>
      </c>
      <c r="AJ374" s="48">
        <v>12.3970776718257</v>
      </c>
      <c r="AK374" s="49">
        <v>2.5562013048289498</v>
      </c>
      <c r="AL374" s="31" t="s">
        <v>5875</v>
      </c>
      <c r="AM374" s="31" t="s">
        <v>5876</v>
      </c>
      <c r="AN374" s="31" t="s">
        <v>30348</v>
      </c>
      <c r="AO374" s="31" t="s">
        <v>30349</v>
      </c>
      <c r="AP374" s="31" t="s">
        <v>30350</v>
      </c>
      <c r="AQ374" s="31" t="s">
        <v>30351</v>
      </c>
      <c r="AR374" s="31" t="s">
        <v>30352</v>
      </c>
      <c r="AS374" s="31" t="str">
        <f>"PRSS36"</f>
        <v>PRSS36</v>
      </c>
      <c r="AT374" s="31" t="s">
        <v>13772</v>
      </c>
      <c r="AU374" s="31" t="s">
        <v>13777</v>
      </c>
      <c r="AV374" s="31">
        <v>9606</v>
      </c>
      <c r="AW374" s="50" t="str">
        <f>HYPERLINK("http://www.uniprot.org/uniprot/Q5K4E3", "Q5K4E3")</f>
        <v>Q5K4E3</v>
      </c>
      <c r="AX374" s="31" t="s">
        <v>30353</v>
      </c>
      <c r="AY374" s="31" t="s">
        <v>13772</v>
      </c>
      <c r="AZ374" s="31" t="s">
        <v>13869</v>
      </c>
      <c r="BA374" s="31" t="s">
        <v>13841</v>
      </c>
      <c r="BB374" s="31" t="s">
        <v>13772</v>
      </c>
      <c r="BC374" s="31" t="s">
        <v>13772</v>
      </c>
      <c r="BD374" s="31" t="s">
        <v>14404</v>
      </c>
      <c r="BE374" s="31" t="s">
        <v>13772</v>
      </c>
      <c r="BF374" s="31" t="s">
        <v>15176</v>
      </c>
      <c r="BG374" s="31" t="s">
        <v>15472</v>
      </c>
      <c r="BH374" s="31" t="s">
        <v>13772</v>
      </c>
      <c r="BI374" s="31" t="s">
        <v>13772</v>
      </c>
      <c r="BJ374" s="31" t="s">
        <v>30354</v>
      </c>
      <c r="BK374" s="31" t="s">
        <v>21852</v>
      </c>
      <c r="BL374" s="31" t="s">
        <v>13772</v>
      </c>
      <c r="BM374" s="31" t="s">
        <v>13772</v>
      </c>
    </row>
    <row r="375" spans="1:65">
      <c r="A375">
        <v>981</v>
      </c>
      <c r="B375">
        <v>1</v>
      </c>
      <c r="C375">
        <v>370</v>
      </c>
      <c r="D375" t="s">
        <v>2381</v>
      </c>
      <c r="E375" t="s">
        <v>73</v>
      </c>
      <c r="F375" t="s">
        <v>73</v>
      </c>
      <c r="G375">
        <v>43.2</v>
      </c>
      <c r="H375">
        <v>414</v>
      </c>
      <c r="I375">
        <v>46856</v>
      </c>
      <c r="J375" t="s">
        <v>2382</v>
      </c>
      <c r="K375" s="3" t="s">
        <v>73</v>
      </c>
      <c r="L375">
        <v>110</v>
      </c>
      <c r="M375">
        <v>104</v>
      </c>
      <c r="N375">
        <v>0.94499999999999995</v>
      </c>
      <c r="O375" s="11">
        <f t="shared" si="5"/>
        <v>6.0123521620901634</v>
      </c>
      <c r="P375" s="36">
        <v>6.0582169791736504</v>
      </c>
      <c r="Q375" s="36">
        <v>15.216413106703699</v>
      </c>
      <c r="R375" s="36">
        <v>0.40019941545306398</v>
      </c>
      <c r="S375" s="36">
        <v>1.5119217591532299</v>
      </c>
      <c r="T375" s="36">
        <v>16.1713155668136</v>
      </c>
      <c r="U375" s="36">
        <v>12.9232087282889</v>
      </c>
      <c r="V375" s="36">
        <v>5.2703114143232002</v>
      </c>
      <c r="W375" s="36">
        <v>5.3525097889026796</v>
      </c>
      <c r="X375" s="37">
        <v>3.17903317297983</v>
      </c>
      <c r="Y375" s="37">
        <v>8.7029651270583397</v>
      </c>
      <c r="Z375" s="37">
        <v>8.0005434826734305</v>
      </c>
      <c r="AA375" s="37">
        <v>2.5396411397998202</v>
      </c>
      <c r="AB375" s="37">
        <v>0.91879256581511404</v>
      </c>
      <c r="AC375" s="37">
        <v>2.36757171115537</v>
      </c>
      <c r="AD375" s="37">
        <v>3.0170800957248498</v>
      </c>
      <c r="AE375" s="37">
        <v>4.5679105394238499</v>
      </c>
      <c r="AF375" s="45">
        <v>-0.91857302482968495</v>
      </c>
      <c r="AG375" s="45">
        <v>-1.8893785656320901</v>
      </c>
      <c r="AH375" s="46">
        <v>0.102034788618539</v>
      </c>
      <c r="AI375" s="47">
        <v>0.14523675231021799</v>
      </c>
      <c r="AJ375" s="48">
        <v>7.8630120948515003</v>
      </c>
      <c r="AK375" s="49">
        <v>4.1616922293288301</v>
      </c>
      <c r="AL375" s="31" t="s">
        <v>5875</v>
      </c>
      <c r="AM375" s="31" t="s">
        <v>5832</v>
      </c>
      <c r="AN375" s="31" t="s">
        <v>23450</v>
      </c>
      <c r="AO375" s="31" t="s">
        <v>23451</v>
      </c>
      <c r="AP375" s="31" t="s">
        <v>23452</v>
      </c>
      <c r="AQ375" s="31" t="s">
        <v>23453</v>
      </c>
      <c r="AR375" s="31" t="s">
        <v>23454</v>
      </c>
      <c r="AS375" s="31" t="str">
        <f>"IDH1"</f>
        <v>IDH1</v>
      </c>
      <c r="AT375" s="31" t="s">
        <v>23455</v>
      </c>
      <c r="AU375" s="31" t="s">
        <v>13777</v>
      </c>
      <c r="AV375" s="31">
        <v>9606</v>
      </c>
      <c r="AW375" s="50" t="str">
        <f>HYPERLINK("http://www.uniprot.org/uniprot/O75874", "O75874")</f>
        <v>O75874</v>
      </c>
      <c r="AX375" s="31" t="s">
        <v>23456</v>
      </c>
      <c r="AY375" s="31" t="s">
        <v>15614</v>
      </c>
      <c r="AZ375" s="31" t="s">
        <v>23457</v>
      </c>
      <c r="BA375" s="31" t="s">
        <v>13793</v>
      </c>
      <c r="BB375" s="31" t="s">
        <v>13772</v>
      </c>
      <c r="BC375" s="31" t="s">
        <v>13772</v>
      </c>
      <c r="BD375" s="31" t="s">
        <v>13772</v>
      </c>
      <c r="BE375" s="31" t="s">
        <v>15615</v>
      </c>
      <c r="BF375" s="31" t="s">
        <v>13885</v>
      </c>
      <c r="BG375" s="31" t="s">
        <v>13886</v>
      </c>
      <c r="BH375" s="31" t="s">
        <v>13812</v>
      </c>
      <c r="BI375" s="31" t="s">
        <v>23458</v>
      </c>
      <c r="BJ375" s="31" t="s">
        <v>23459</v>
      </c>
      <c r="BK375" s="31" t="s">
        <v>23460</v>
      </c>
      <c r="BL375" s="31" t="s">
        <v>13772</v>
      </c>
      <c r="BM375" s="31" t="s">
        <v>23461</v>
      </c>
    </row>
    <row r="376" spans="1:65">
      <c r="A376">
        <v>1072</v>
      </c>
      <c r="B376">
        <v>1</v>
      </c>
      <c r="C376">
        <v>371</v>
      </c>
      <c r="D376" t="s">
        <v>2577</v>
      </c>
      <c r="E376" t="s">
        <v>73</v>
      </c>
      <c r="F376" t="s">
        <v>73</v>
      </c>
      <c r="G376">
        <v>65.599999999999994</v>
      </c>
      <c r="H376">
        <v>320</v>
      </c>
      <c r="I376">
        <v>35395</v>
      </c>
      <c r="J376" t="s">
        <v>2578</v>
      </c>
      <c r="K376" s="3" t="s">
        <v>73</v>
      </c>
      <c r="L376">
        <v>108</v>
      </c>
      <c r="M376">
        <v>108</v>
      </c>
      <c r="N376">
        <v>1</v>
      </c>
      <c r="O376" s="11">
        <f t="shared" si="5"/>
        <v>6.1442200498795865</v>
      </c>
      <c r="P376" s="36">
        <v>3.6349301875041902</v>
      </c>
      <c r="Q376" s="36">
        <v>3.85225648270979</v>
      </c>
      <c r="R376" s="36">
        <v>0.40019941545306398</v>
      </c>
      <c r="S376" s="36">
        <v>0.37798043978830698</v>
      </c>
      <c r="T376" s="36">
        <v>7.7415872394320298</v>
      </c>
      <c r="U376" s="36">
        <v>9.2972724663949098</v>
      </c>
      <c r="V376" s="36">
        <v>12.6487473943757</v>
      </c>
      <c r="W376" s="36">
        <v>19.463671959646099</v>
      </c>
      <c r="X376" s="37">
        <v>3.9737914662247902</v>
      </c>
      <c r="Y376" s="37">
        <v>8.1984454095477108</v>
      </c>
      <c r="Z376" s="37">
        <v>4.0002717413367099</v>
      </c>
      <c r="AA376" s="37">
        <v>7.6189234193994704</v>
      </c>
      <c r="AB376" s="37">
        <v>5.5127553948906796</v>
      </c>
      <c r="AC376" s="37">
        <v>5.5243339926958699</v>
      </c>
      <c r="AD376" s="37">
        <v>3.0170800957248498</v>
      </c>
      <c r="AE376" s="37">
        <v>3.0452736929492299</v>
      </c>
      <c r="AF376" s="45">
        <v>-0.493929619206465</v>
      </c>
      <c r="AG376" s="45">
        <v>-1.40414322967032</v>
      </c>
      <c r="AH376" s="46">
        <v>0.39669295301871099</v>
      </c>
      <c r="AI376" s="47">
        <v>0.479038963121872</v>
      </c>
      <c r="AJ376" s="48">
        <v>7.1770806981630102</v>
      </c>
      <c r="AK376" s="49">
        <v>5.1113594015961601</v>
      </c>
      <c r="AL376" s="31" t="s">
        <v>5875</v>
      </c>
      <c r="AM376" s="31" t="s">
        <v>5832</v>
      </c>
      <c r="AN376" s="31" t="s">
        <v>24149</v>
      </c>
      <c r="AO376" s="31" t="s">
        <v>13772</v>
      </c>
      <c r="AP376" s="31" t="s">
        <v>24150</v>
      </c>
      <c r="AQ376" s="31" t="s">
        <v>24151</v>
      </c>
      <c r="AR376" s="31" t="s">
        <v>24152</v>
      </c>
      <c r="AS376" s="31" t="str">
        <f>"MPST"</f>
        <v>MPST</v>
      </c>
      <c r="AT376" s="31" t="s">
        <v>24153</v>
      </c>
      <c r="AU376" s="31" t="s">
        <v>13777</v>
      </c>
      <c r="AV376" s="31">
        <v>9606</v>
      </c>
      <c r="AW376" s="50" t="str">
        <f>HYPERLINK("http://www.uniprot.org/uniprot/P25325", "P25325")</f>
        <v>P25325</v>
      </c>
      <c r="AX376" s="31" t="s">
        <v>24154</v>
      </c>
      <c r="AY376" s="31" t="s">
        <v>13772</v>
      </c>
      <c r="AZ376" s="31" t="s">
        <v>24155</v>
      </c>
      <c r="BA376" s="31" t="s">
        <v>13841</v>
      </c>
      <c r="BB376" s="31" t="s">
        <v>13772</v>
      </c>
      <c r="BC376" s="31" t="s">
        <v>13772</v>
      </c>
      <c r="BD376" s="31" t="s">
        <v>24156</v>
      </c>
      <c r="BE376" s="31" t="s">
        <v>13772</v>
      </c>
      <c r="BF376" s="31" t="s">
        <v>14111</v>
      </c>
      <c r="BG376" s="31" t="s">
        <v>15256</v>
      </c>
      <c r="BH376" s="31" t="s">
        <v>13812</v>
      </c>
      <c r="BI376" s="31" t="s">
        <v>24157</v>
      </c>
      <c r="BJ376" s="31" t="s">
        <v>24158</v>
      </c>
      <c r="BK376" s="31" t="s">
        <v>24159</v>
      </c>
      <c r="BL376" s="31" t="s">
        <v>13772</v>
      </c>
      <c r="BM376" s="31" t="s">
        <v>23803</v>
      </c>
    </row>
    <row r="377" spans="1:65">
      <c r="A377">
        <v>1115</v>
      </c>
      <c r="B377">
        <v>1</v>
      </c>
      <c r="C377">
        <v>372</v>
      </c>
      <c r="D377" t="s">
        <v>2682</v>
      </c>
      <c r="E377" t="s">
        <v>73</v>
      </c>
      <c r="F377" t="s">
        <v>73</v>
      </c>
      <c r="G377">
        <v>32.799999999999997</v>
      </c>
      <c r="H377">
        <v>551</v>
      </c>
      <c r="I377">
        <v>61842</v>
      </c>
      <c r="J377" t="s">
        <v>2683</v>
      </c>
      <c r="K377" s="3" t="s">
        <v>73</v>
      </c>
      <c r="L377">
        <v>108</v>
      </c>
      <c r="M377">
        <v>108</v>
      </c>
      <c r="N377">
        <v>1</v>
      </c>
      <c r="O377" s="11">
        <f t="shared" si="5"/>
        <v>7.0318319080147154</v>
      </c>
      <c r="P377" s="36">
        <v>8.4815037708430996</v>
      </c>
      <c r="Q377" s="36">
        <v>9.6306412067744702</v>
      </c>
      <c r="R377" s="36">
        <v>9.6047859708735501</v>
      </c>
      <c r="S377" s="36">
        <v>18.143061109838801</v>
      </c>
      <c r="T377" s="36">
        <v>8.6017635993689208</v>
      </c>
      <c r="U377" s="36">
        <v>6.50809072647644</v>
      </c>
      <c r="V377" s="36">
        <v>6.3243736971878404</v>
      </c>
      <c r="W377" s="36">
        <v>11.678203175787701</v>
      </c>
      <c r="X377" s="37">
        <v>2.3842748797348698</v>
      </c>
      <c r="Y377" s="37">
        <v>3.1532482344414299</v>
      </c>
      <c r="Z377" s="37">
        <v>3.2002173930693698</v>
      </c>
      <c r="AA377" s="37">
        <v>1.6930940931998799</v>
      </c>
      <c r="AB377" s="37">
        <v>5.5127553948906796</v>
      </c>
      <c r="AC377" s="37">
        <v>3.94595285192562</v>
      </c>
      <c r="AD377" s="37">
        <v>6.0341601914496898</v>
      </c>
      <c r="AE377" s="37">
        <v>7.6131842323730803</v>
      </c>
      <c r="AF377" s="45">
        <v>-1.28361979054803</v>
      </c>
      <c r="AG377" s="45">
        <v>-2.3547928768344701</v>
      </c>
      <c r="AH377" s="46">
        <v>1.1828575761366499E-3</v>
      </c>
      <c r="AI377" s="47">
        <v>2.6116558364205301E-3</v>
      </c>
      <c r="AJ377" s="48">
        <v>9.8715529071438404</v>
      </c>
      <c r="AK377" s="49">
        <v>4.1921109088855797</v>
      </c>
      <c r="AL377" s="31" t="s">
        <v>5875</v>
      </c>
      <c r="AM377" s="31" t="s">
        <v>5876</v>
      </c>
      <c r="AN377" s="31" t="s">
        <v>24594</v>
      </c>
      <c r="AO377" s="31" t="s">
        <v>24595</v>
      </c>
      <c r="AP377" s="31" t="s">
        <v>24596</v>
      </c>
      <c r="AQ377" s="31" t="s">
        <v>24597</v>
      </c>
      <c r="AR377" s="31" t="s">
        <v>24598</v>
      </c>
      <c r="AS377" s="31" t="str">
        <f>"GNS"</f>
        <v>GNS</v>
      </c>
      <c r="AT377" s="31" t="s">
        <v>13772</v>
      </c>
      <c r="AU377" s="31" t="s">
        <v>13777</v>
      </c>
      <c r="AV377" s="31">
        <v>9606</v>
      </c>
      <c r="AW377" s="50" t="str">
        <f>HYPERLINK("http://www.uniprot.org/uniprot/P15586", "P15586")</f>
        <v>P15586</v>
      </c>
      <c r="AX377" s="31" t="s">
        <v>24599</v>
      </c>
      <c r="AY377" s="31" t="s">
        <v>13772</v>
      </c>
      <c r="AZ377" s="31" t="s">
        <v>13806</v>
      </c>
      <c r="BA377" s="31" t="s">
        <v>13780</v>
      </c>
      <c r="BB377" s="31" t="s">
        <v>13772</v>
      </c>
      <c r="BC377" s="31" t="s">
        <v>21982</v>
      </c>
      <c r="BD377" s="31" t="s">
        <v>13808</v>
      </c>
      <c r="BE377" s="31" t="s">
        <v>13873</v>
      </c>
      <c r="BF377" s="31" t="s">
        <v>13857</v>
      </c>
      <c r="BG377" s="31" t="s">
        <v>13978</v>
      </c>
      <c r="BH377" s="31" t="s">
        <v>13772</v>
      </c>
      <c r="BI377" s="31" t="s">
        <v>24600</v>
      </c>
      <c r="BJ377" s="31" t="s">
        <v>24601</v>
      </c>
      <c r="BK377" s="31" t="s">
        <v>24602</v>
      </c>
      <c r="BL377" s="31" t="s">
        <v>13772</v>
      </c>
      <c r="BM377" s="31" t="s">
        <v>24603</v>
      </c>
    </row>
    <row r="378" spans="1:65">
      <c r="A378">
        <v>1424</v>
      </c>
      <c r="B378">
        <v>1</v>
      </c>
      <c r="C378">
        <v>373</v>
      </c>
      <c r="D378" t="s">
        <v>3395</v>
      </c>
      <c r="E378" t="s">
        <v>73</v>
      </c>
      <c r="F378" t="s">
        <v>73</v>
      </c>
      <c r="G378">
        <v>10</v>
      </c>
      <c r="H378">
        <v>732</v>
      </c>
      <c r="I378">
        <v>83429</v>
      </c>
      <c r="J378" t="s">
        <v>3396</v>
      </c>
      <c r="K378" s="3" t="s">
        <v>73</v>
      </c>
      <c r="L378">
        <v>108</v>
      </c>
      <c r="M378">
        <v>108</v>
      </c>
      <c r="N378">
        <v>1</v>
      </c>
      <c r="O378" s="11">
        <f t="shared" si="5"/>
        <v>6.3152815081603073</v>
      </c>
      <c r="P378" s="36">
        <v>9.6931471666778304</v>
      </c>
      <c r="Q378" s="36">
        <v>3.85225648270979</v>
      </c>
      <c r="R378" s="36">
        <v>11.2055836326858</v>
      </c>
      <c r="S378" s="36">
        <v>6.0476870366129196</v>
      </c>
      <c r="T378" s="36">
        <v>17.203527198737799</v>
      </c>
      <c r="U378" s="36">
        <v>19.5242721794293</v>
      </c>
      <c r="V378" s="36">
        <v>9.4865605457817708</v>
      </c>
      <c r="W378" s="36">
        <v>4.8659179899115301</v>
      </c>
      <c r="X378" s="37">
        <v>2.3842748797348698</v>
      </c>
      <c r="Y378" s="37">
        <v>1.89194894066486</v>
      </c>
      <c r="Z378" s="37">
        <v>1.60010869653469</v>
      </c>
      <c r="AA378" s="37">
        <v>2.5396411397998202</v>
      </c>
      <c r="AB378" s="37">
        <v>2.7563776974453398</v>
      </c>
      <c r="AC378" s="37">
        <v>1.5783811407702499</v>
      </c>
      <c r="AD378" s="37">
        <v>6.0341601914496898</v>
      </c>
      <c r="AE378" s="37">
        <v>0.38065921161865401</v>
      </c>
      <c r="AF378" s="45">
        <v>-2.1102307734327801</v>
      </c>
      <c r="AG378" s="45">
        <v>-4.2721938125357903</v>
      </c>
      <c r="AH378" s="46">
        <v>1.0242917656289399E-5</v>
      </c>
      <c r="AI378" s="47">
        <v>3.7241912565530403E-5</v>
      </c>
      <c r="AJ378" s="48">
        <v>10.2348690290683</v>
      </c>
      <c r="AK378" s="49">
        <v>2.3956939872522698</v>
      </c>
      <c r="AL378" s="31" t="s">
        <v>5875</v>
      </c>
      <c r="AM378" s="31" t="s">
        <v>5876</v>
      </c>
      <c r="AN378" s="31" t="s">
        <v>27485</v>
      </c>
      <c r="AO378" s="31" t="s">
        <v>27486</v>
      </c>
      <c r="AP378" s="31" t="s">
        <v>27487</v>
      </c>
      <c r="AQ378" s="31" t="s">
        <v>27488</v>
      </c>
      <c r="AR378" s="31" t="s">
        <v>27489</v>
      </c>
      <c r="AS378" s="31" t="str">
        <f>"F13A1"</f>
        <v>F13A1</v>
      </c>
      <c r="AT378" s="31" t="s">
        <v>27490</v>
      </c>
      <c r="AU378" s="31" t="s">
        <v>13777</v>
      </c>
      <c r="AV378" s="31">
        <v>9606</v>
      </c>
      <c r="AW378" s="50" t="str">
        <f>HYPERLINK("http://www.uniprot.org/uniprot/P00488", "P00488")</f>
        <v>P00488</v>
      </c>
      <c r="AX378" s="31" t="s">
        <v>27491</v>
      </c>
      <c r="AY378" s="31" t="s">
        <v>16755</v>
      </c>
      <c r="AZ378" s="31" t="s">
        <v>16449</v>
      </c>
      <c r="BA378" s="31" t="s">
        <v>13793</v>
      </c>
      <c r="BB378" s="31" t="s">
        <v>13772</v>
      </c>
      <c r="BC378" s="31" t="s">
        <v>13807</v>
      </c>
      <c r="BD378" s="31" t="s">
        <v>13772</v>
      </c>
      <c r="BE378" s="31" t="s">
        <v>13873</v>
      </c>
      <c r="BF378" s="31" t="s">
        <v>15096</v>
      </c>
      <c r="BG378" s="31" t="s">
        <v>27492</v>
      </c>
      <c r="BH378" s="31" t="s">
        <v>13812</v>
      </c>
      <c r="BI378" s="31" t="s">
        <v>27493</v>
      </c>
      <c r="BJ378" s="31" t="s">
        <v>27494</v>
      </c>
      <c r="BK378" s="31" t="s">
        <v>16023</v>
      </c>
      <c r="BL378" s="31" t="s">
        <v>13772</v>
      </c>
      <c r="BM378" s="31" t="s">
        <v>27495</v>
      </c>
    </row>
    <row r="379" spans="1:65">
      <c r="A379">
        <v>1779</v>
      </c>
      <c r="B379">
        <v>1</v>
      </c>
      <c r="C379">
        <v>374</v>
      </c>
      <c r="D379" t="s">
        <v>4208</v>
      </c>
      <c r="E379" t="s">
        <v>73</v>
      </c>
      <c r="F379" t="s">
        <v>73</v>
      </c>
      <c r="G379">
        <v>23.3</v>
      </c>
      <c r="H379">
        <v>270</v>
      </c>
      <c r="I379">
        <v>29289</v>
      </c>
      <c r="J379" t="s">
        <v>4209</v>
      </c>
      <c r="K379" s="3" t="s">
        <v>73</v>
      </c>
      <c r="L379">
        <v>108</v>
      </c>
      <c r="M379">
        <v>108</v>
      </c>
      <c r="N379">
        <v>1</v>
      </c>
      <c r="O379" s="11">
        <f t="shared" si="5"/>
        <v>7.1441917416107916</v>
      </c>
      <c r="P379" s="36">
        <v>8.4815037708430996</v>
      </c>
      <c r="Q379" s="36">
        <v>13.4828976894843</v>
      </c>
      <c r="R379" s="36">
        <v>14.4071789563103</v>
      </c>
      <c r="S379" s="36">
        <v>16.631139350685501</v>
      </c>
      <c r="T379" s="36">
        <v>10.322116319242699</v>
      </c>
      <c r="U379" s="36">
        <v>9.2972724663949098</v>
      </c>
      <c r="V379" s="36">
        <v>9.4865605457817708</v>
      </c>
      <c r="W379" s="36">
        <v>6.8122851858761404</v>
      </c>
      <c r="X379" s="37">
        <v>0.79475829324495695</v>
      </c>
      <c r="Y379" s="37">
        <v>3.7838978813297102</v>
      </c>
      <c r="Z379" s="37">
        <v>0.200013587066836</v>
      </c>
      <c r="AA379" s="37">
        <v>1.6930940931998799</v>
      </c>
      <c r="AB379" s="37">
        <v>3.6751702632604601</v>
      </c>
      <c r="AC379" s="37">
        <v>3.1567622815404999</v>
      </c>
      <c r="AD379" s="37">
        <v>10.559780335037001</v>
      </c>
      <c r="AE379" s="37">
        <v>1.5226368464746201</v>
      </c>
      <c r="AF379" s="45">
        <v>-1.8665100415045801</v>
      </c>
      <c r="AG379" s="45">
        <v>-3.5027399527051499</v>
      </c>
      <c r="AH379" s="46">
        <v>3.5004180418868002E-5</v>
      </c>
      <c r="AI379" s="47">
        <v>1.1046130518973E-4</v>
      </c>
      <c r="AJ379" s="48">
        <v>11.1151192855773</v>
      </c>
      <c r="AK379" s="49">
        <v>3.1732641976442402</v>
      </c>
      <c r="AL379" s="31" t="s">
        <v>5875</v>
      </c>
      <c r="AM379" s="31" t="s">
        <v>5876</v>
      </c>
      <c r="AN379" s="31" t="s">
        <v>30881</v>
      </c>
      <c r="AO379" s="31" t="s">
        <v>13772</v>
      </c>
      <c r="AP379" s="31" t="s">
        <v>30882</v>
      </c>
      <c r="AQ379" s="31" t="s">
        <v>30883</v>
      </c>
      <c r="AR379" s="31" t="s">
        <v>30884</v>
      </c>
      <c r="AS379" s="31" t="str">
        <f>"ZG16B"</f>
        <v>ZG16B</v>
      </c>
      <c r="AT379" s="31" t="s">
        <v>13772</v>
      </c>
      <c r="AU379" s="31" t="s">
        <v>13777</v>
      </c>
      <c r="AV379" s="31">
        <v>9606</v>
      </c>
      <c r="AW379" s="50" t="str">
        <f>HYPERLINK("http://www.uniprot.org/uniprot/Q96DA0", "Q96DA0")</f>
        <v>Q96DA0</v>
      </c>
      <c r="AX379" s="31" t="s">
        <v>30885</v>
      </c>
      <c r="AY379" s="31" t="s">
        <v>13772</v>
      </c>
      <c r="AZ379" s="31" t="s">
        <v>14321</v>
      </c>
      <c r="BA379" s="31" t="s">
        <v>13793</v>
      </c>
      <c r="BB379" s="31" t="s">
        <v>13772</v>
      </c>
      <c r="BC379" s="31" t="s">
        <v>13772</v>
      </c>
      <c r="BD379" s="31" t="s">
        <v>13808</v>
      </c>
      <c r="BE379" s="31" t="s">
        <v>14277</v>
      </c>
      <c r="BF379" s="31" t="s">
        <v>13772</v>
      </c>
      <c r="BG379" s="31" t="s">
        <v>13858</v>
      </c>
      <c r="BH379" s="31" t="s">
        <v>13812</v>
      </c>
      <c r="BI379" s="31" t="s">
        <v>30886</v>
      </c>
      <c r="BJ379" s="31" t="s">
        <v>15733</v>
      </c>
      <c r="BK379" s="31" t="s">
        <v>20728</v>
      </c>
      <c r="BL379" s="31" t="s">
        <v>13772</v>
      </c>
      <c r="BM379" s="31" t="s">
        <v>13772</v>
      </c>
    </row>
    <row r="380" spans="1:65">
      <c r="A380">
        <v>2242</v>
      </c>
      <c r="B380">
        <v>1</v>
      </c>
      <c r="C380">
        <v>375</v>
      </c>
      <c r="D380" t="s">
        <v>5244</v>
      </c>
      <c r="E380" t="s">
        <v>73</v>
      </c>
      <c r="F380" t="s">
        <v>73</v>
      </c>
      <c r="G380">
        <v>73.099999999999994</v>
      </c>
      <c r="H380">
        <v>108</v>
      </c>
      <c r="I380">
        <v>11928</v>
      </c>
      <c r="J380" t="s">
        <v>5245</v>
      </c>
      <c r="K380" s="3" t="s">
        <v>73</v>
      </c>
      <c r="L380">
        <v>108</v>
      </c>
      <c r="M380">
        <v>108</v>
      </c>
      <c r="N380">
        <v>1</v>
      </c>
      <c r="O380" s="11">
        <f t="shared" si="5"/>
        <v>5.906992698915996</v>
      </c>
      <c r="P380" s="36">
        <v>3.6349301875041902</v>
      </c>
      <c r="Q380" s="36">
        <v>0.24076603016936199</v>
      </c>
      <c r="R380" s="36">
        <v>0.40019941545306398</v>
      </c>
      <c r="S380" s="36">
        <v>0.37798043978830698</v>
      </c>
      <c r="T380" s="36">
        <v>1.72035271987378</v>
      </c>
      <c r="U380" s="36">
        <v>1.85945449327898</v>
      </c>
      <c r="V380" s="36">
        <v>0.26351557071616</v>
      </c>
      <c r="W380" s="36">
        <v>10.7050195778054</v>
      </c>
      <c r="X380" s="37">
        <v>14.3056492784092</v>
      </c>
      <c r="Y380" s="37">
        <v>10.7210439971009</v>
      </c>
      <c r="Z380" s="37">
        <v>4.0002717413367099</v>
      </c>
      <c r="AA380" s="37">
        <v>6.7723763727995303</v>
      </c>
      <c r="AB380" s="37">
        <v>10.1067182239663</v>
      </c>
      <c r="AC380" s="37">
        <v>14.2054302669323</v>
      </c>
      <c r="AD380" s="37">
        <v>3.0170800957248498</v>
      </c>
      <c r="AE380" s="37">
        <v>12.1810947717969</v>
      </c>
      <c r="AF380" s="45">
        <v>1.8699179963141499</v>
      </c>
      <c r="AG380" s="45">
        <v>3.9219252194533101</v>
      </c>
      <c r="AH380" s="46">
        <v>8.7927850146579602E-4</v>
      </c>
      <c r="AI380" s="47">
        <v>1.9940248050190402E-3</v>
      </c>
      <c r="AJ380" s="48">
        <v>2.4002773043236498</v>
      </c>
      <c r="AK380" s="49">
        <v>9.4137080935083297</v>
      </c>
      <c r="AL380" s="31" t="s">
        <v>5874</v>
      </c>
      <c r="AM380" s="31" t="s">
        <v>5876</v>
      </c>
      <c r="AN380" s="31" t="s">
        <v>35168</v>
      </c>
      <c r="AO380" s="31" t="s">
        <v>35169</v>
      </c>
      <c r="AP380" s="31" t="s">
        <v>35170</v>
      </c>
      <c r="AQ380" s="31" t="s">
        <v>35171</v>
      </c>
      <c r="AR380" s="31" t="s">
        <v>35172</v>
      </c>
      <c r="AS380" s="31" t="str">
        <f>"FKBP1A"</f>
        <v>FKBP1A</v>
      </c>
      <c r="AT380" s="31" t="s">
        <v>35173</v>
      </c>
      <c r="AU380" s="31" t="s">
        <v>13777</v>
      </c>
      <c r="AV380" s="31">
        <v>9606</v>
      </c>
      <c r="AW380" s="50" t="str">
        <f>HYPERLINK("http://www.uniprot.org/uniprot/P62942", "P62942")</f>
        <v>P62942</v>
      </c>
      <c r="AX380" s="31" t="s">
        <v>35174</v>
      </c>
      <c r="AY380" s="31" t="s">
        <v>13772</v>
      </c>
      <c r="AZ380" s="31" t="s">
        <v>17027</v>
      </c>
      <c r="BA380" s="31" t="s">
        <v>13772</v>
      </c>
      <c r="BB380" s="31" t="s">
        <v>13772</v>
      </c>
      <c r="BC380" s="31" t="s">
        <v>13772</v>
      </c>
      <c r="BD380" s="31" t="s">
        <v>13772</v>
      </c>
      <c r="BE380" s="31" t="s">
        <v>13772</v>
      </c>
      <c r="BF380" s="31" t="s">
        <v>15050</v>
      </c>
      <c r="BG380" s="31" t="s">
        <v>14020</v>
      </c>
      <c r="BH380" s="31" t="s">
        <v>13812</v>
      </c>
      <c r="BI380" s="31" t="s">
        <v>35175</v>
      </c>
      <c r="BJ380" s="31" t="s">
        <v>35176</v>
      </c>
      <c r="BK380" s="31" t="s">
        <v>35177</v>
      </c>
      <c r="BL380" s="31" t="s">
        <v>13772</v>
      </c>
      <c r="BM380" s="31" t="s">
        <v>35178</v>
      </c>
    </row>
    <row r="381" spans="1:65">
      <c r="A381">
        <v>2062</v>
      </c>
      <c r="B381">
        <v>1</v>
      </c>
      <c r="C381">
        <v>376</v>
      </c>
      <c r="D381" t="s">
        <v>4848</v>
      </c>
      <c r="E381" t="s">
        <v>73</v>
      </c>
      <c r="F381" t="s">
        <v>73</v>
      </c>
      <c r="G381">
        <v>13</v>
      </c>
      <c r="H381">
        <v>828</v>
      </c>
      <c r="I381">
        <v>91028</v>
      </c>
      <c r="J381" t="s">
        <v>4849</v>
      </c>
      <c r="K381" s="3" t="s">
        <v>73</v>
      </c>
      <c r="L381">
        <v>115</v>
      </c>
      <c r="M381">
        <v>105</v>
      </c>
      <c r="N381">
        <v>0.91300000000000003</v>
      </c>
      <c r="O381" s="11">
        <f t="shared" si="5"/>
        <v>6.2636786734025129</v>
      </c>
      <c r="P381" s="36">
        <v>11.025954902096</v>
      </c>
      <c r="Q381" s="36">
        <v>6.9340616688776198</v>
      </c>
      <c r="R381" s="36">
        <v>8.4842276076049696</v>
      </c>
      <c r="S381" s="36">
        <v>6.0476870366129196</v>
      </c>
      <c r="T381" s="36">
        <v>4.3008817996844604</v>
      </c>
      <c r="U381" s="36">
        <v>3.8118817112219099</v>
      </c>
      <c r="V381" s="36">
        <v>2.10812456572928</v>
      </c>
      <c r="W381" s="36">
        <v>0.97318359798230603</v>
      </c>
      <c r="X381" s="37">
        <v>5.5633080527147003</v>
      </c>
      <c r="Y381" s="37">
        <v>5.6758468219945701</v>
      </c>
      <c r="Z381" s="37">
        <v>11.440777180223</v>
      </c>
      <c r="AA381" s="37">
        <v>5.0792822795996404</v>
      </c>
      <c r="AB381" s="37">
        <v>1.8375851316302301</v>
      </c>
      <c r="AC381" s="37">
        <v>8.1286628749667909</v>
      </c>
      <c r="AD381" s="37">
        <v>7.8444082488845996</v>
      </c>
      <c r="AE381" s="37">
        <v>10.9629852946172</v>
      </c>
      <c r="AF381" s="45">
        <v>0.38764168900342999</v>
      </c>
      <c r="AG381" s="45">
        <v>1.2940725208306501</v>
      </c>
      <c r="AH381" s="46">
        <v>0.40893701564319901</v>
      </c>
      <c r="AI381" s="47">
        <v>0.492048315585072</v>
      </c>
      <c r="AJ381" s="48">
        <v>5.4607503612261903</v>
      </c>
      <c r="AK381" s="49">
        <v>7.0666069855788498</v>
      </c>
      <c r="AL381" s="31" t="s">
        <v>5874</v>
      </c>
      <c r="AM381" s="31" t="s">
        <v>5832</v>
      </c>
      <c r="AN381" s="31" t="s">
        <v>33521</v>
      </c>
      <c r="AO381" s="31" t="s">
        <v>33522</v>
      </c>
      <c r="AP381" s="31" t="s">
        <v>33523</v>
      </c>
      <c r="AQ381" s="31" t="s">
        <v>33524</v>
      </c>
      <c r="AR381" s="31" t="s">
        <v>33525</v>
      </c>
      <c r="AS381" s="31" t="str">
        <f>"CDH3"</f>
        <v>CDH3</v>
      </c>
      <c r="AT381" s="31" t="s">
        <v>33526</v>
      </c>
      <c r="AU381" s="31" t="s">
        <v>13777</v>
      </c>
      <c r="AV381" s="31">
        <v>9606</v>
      </c>
      <c r="AW381" s="50" t="str">
        <f>HYPERLINK("http://www.uniprot.org/uniprot/P22223", "P22223")</f>
        <v>P22223</v>
      </c>
      <c r="AX381" s="31" t="s">
        <v>33527</v>
      </c>
      <c r="AY381" s="31" t="s">
        <v>29153</v>
      </c>
      <c r="AZ381" s="31" t="s">
        <v>13792</v>
      </c>
      <c r="BA381" s="31" t="s">
        <v>13780</v>
      </c>
      <c r="BB381" s="31" t="s">
        <v>13772</v>
      </c>
      <c r="BC381" s="31" t="s">
        <v>33528</v>
      </c>
      <c r="BD381" s="31" t="s">
        <v>13826</v>
      </c>
      <c r="BE381" s="31" t="s">
        <v>13873</v>
      </c>
      <c r="BF381" s="31" t="s">
        <v>13772</v>
      </c>
      <c r="BG381" s="31" t="s">
        <v>17713</v>
      </c>
      <c r="BH381" s="31" t="s">
        <v>13812</v>
      </c>
      <c r="BI381" s="31" t="s">
        <v>33529</v>
      </c>
      <c r="BJ381" s="31" t="s">
        <v>33530</v>
      </c>
      <c r="BK381" s="31" t="s">
        <v>17716</v>
      </c>
      <c r="BL381" s="31" t="s">
        <v>13772</v>
      </c>
      <c r="BM381" s="31" t="s">
        <v>15361</v>
      </c>
    </row>
    <row r="382" spans="1:65">
      <c r="A382">
        <v>2356</v>
      </c>
      <c r="B382">
        <v>1</v>
      </c>
      <c r="C382">
        <v>377</v>
      </c>
      <c r="D382" t="s">
        <v>5492</v>
      </c>
      <c r="E382" t="s">
        <v>73</v>
      </c>
      <c r="F382" t="s">
        <v>73</v>
      </c>
      <c r="G382">
        <v>65.5</v>
      </c>
      <c r="H382">
        <v>255</v>
      </c>
      <c r="I382">
        <v>29174</v>
      </c>
      <c r="J382" t="s">
        <v>5493</v>
      </c>
      <c r="K382" s="3" t="s">
        <v>73</v>
      </c>
      <c r="L382">
        <v>127</v>
      </c>
      <c r="M382">
        <v>102</v>
      </c>
      <c r="N382">
        <v>0.80300000000000005</v>
      </c>
      <c r="O382" s="11">
        <f t="shared" si="5"/>
        <v>5.9703953484974814</v>
      </c>
      <c r="P382" s="36">
        <v>5.5735596208397498</v>
      </c>
      <c r="Q382" s="36">
        <v>3.0818051861678302</v>
      </c>
      <c r="R382" s="36">
        <v>3.3616750898057401</v>
      </c>
      <c r="S382" s="36">
        <v>3.6286122219677499</v>
      </c>
      <c r="T382" s="36">
        <v>7.65556960343834</v>
      </c>
      <c r="U382" s="36">
        <v>9.0183542924030604</v>
      </c>
      <c r="V382" s="36">
        <v>5.4811238708961296</v>
      </c>
      <c r="W382" s="36">
        <v>7.9801055034549098</v>
      </c>
      <c r="X382" s="37">
        <v>11.5239952520519</v>
      </c>
      <c r="Y382" s="37">
        <v>10.2165242795902</v>
      </c>
      <c r="Z382" s="37">
        <v>9.7606630488615806</v>
      </c>
      <c r="AA382" s="37">
        <v>9.8199457405593105</v>
      </c>
      <c r="AB382" s="37">
        <v>3.8589287764234799</v>
      </c>
      <c r="AC382" s="37">
        <v>2.5254098252324</v>
      </c>
      <c r="AD382" s="37">
        <v>1.6593940526486699</v>
      </c>
      <c r="AE382" s="37">
        <v>0.38065921161865401</v>
      </c>
      <c r="AF382" s="45">
        <v>0.16255909661228199</v>
      </c>
      <c r="AG382" s="45">
        <v>1.08660211991307</v>
      </c>
      <c r="AH382" s="46">
        <v>0.84727034410031599</v>
      </c>
      <c r="AI382" s="47">
        <v>0.89263600031986101</v>
      </c>
      <c r="AJ382" s="48">
        <v>5.7226006736216899</v>
      </c>
      <c r="AK382" s="49">
        <v>6.2181900233732703</v>
      </c>
      <c r="AL382" s="31" t="s">
        <v>5874</v>
      </c>
      <c r="AM382" s="31" t="s">
        <v>5832</v>
      </c>
      <c r="AN382" s="31" t="s">
        <v>36201</v>
      </c>
      <c r="AO382" s="31" t="s">
        <v>13772</v>
      </c>
      <c r="AP382" s="31" t="s">
        <v>36202</v>
      </c>
      <c r="AQ382" s="31" t="s">
        <v>36203</v>
      </c>
      <c r="AR382" s="31" t="s">
        <v>36204</v>
      </c>
      <c r="AS382" s="31" t="str">
        <f>"YWHAE"</f>
        <v>YWHAE</v>
      </c>
      <c r="AT382" s="31" t="s">
        <v>13772</v>
      </c>
      <c r="AU382" s="31" t="s">
        <v>13777</v>
      </c>
      <c r="AV382" s="31">
        <v>9606</v>
      </c>
      <c r="AW382" s="50" t="str">
        <f>HYPERLINK("http://www.uniprot.org/uniprot/P62258", "P62258")</f>
        <v>P62258</v>
      </c>
      <c r="AX382" s="31" t="s">
        <v>36205</v>
      </c>
      <c r="AY382" s="31" t="s">
        <v>14563</v>
      </c>
      <c r="AZ382" s="31" t="s">
        <v>13912</v>
      </c>
      <c r="BA382" s="31" t="s">
        <v>13841</v>
      </c>
      <c r="BB382" s="31" t="s">
        <v>13772</v>
      </c>
      <c r="BC382" s="31" t="s">
        <v>13772</v>
      </c>
      <c r="BD382" s="31" t="s">
        <v>13772</v>
      </c>
      <c r="BE382" s="31" t="s">
        <v>13772</v>
      </c>
      <c r="BF382" s="31" t="s">
        <v>13772</v>
      </c>
      <c r="BG382" s="31" t="s">
        <v>13991</v>
      </c>
      <c r="BH382" s="31" t="s">
        <v>13812</v>
      </c>
      <c r="BI382" s="31" t="s">
        <v>36206</v>
      </c>
      <c r="BJ382" s="31" t="s">
        <v>36207</v>
      </c>
      <c r="BK382" s="31" t="s">
        <v>36208</v>
      </c>
      <c r="BL382" s="31" t="s">
        <v>13772</v>
      </c>
      <c r="BM382" s="31" t="s">
        <v>36209</v>
      </c>
    </row>
    <row r="383" spans="1:65">
      <c r="A383">
        <v>782</v>
      </c>
      <c r="B383">
        <v>1</v>
      </c>
      <c r="C383">
        <v>378</v>
      </c>
      <c r="D383" t="s">
        <v>1922</v>
      </c>
      <c r="E383" t="s">
        <v>1923</v>
      </c>
      <c r="F383" t="s">
        <v>73</v>
      </c>
      <c r="G383">
        <v>34.6</v>
      </c>
      <c r="H383">
        <v>381</v>
      </c>
      <c r="I383">
        <v>40797</v>
      </c>
      <c r="J383" t="s">
        <v>1924</v>
      </c>
      <c r="K383" s="3" t="s">
        <v>73</v>
      </c>
      <c r="L383">
        <v>107</v>
      </c>
      <c r="M383">
        <v>107</v>
      </c>
      <c r="N383">
        <v>1</v>
      </c>
      <c r="O383" s="11">
        <f t="shared" si="5"/>
        <v>7.7812576264516844</v>
      </c>
      <c r="P383" s="36">
        <v>8.4815037708430996</v>
      </c>
      <c r="Q383" s="36">
        <v>15.4090259308391</v>
      </c>
      <c r="R383" s="36">
        <v>30.415155574432902</v>
      </c>
      <c r="S383" s="36">
        <v>19.654982868992001</v>
      </c>
      <c r="T383" s="36">
        <v>14.6229981189272</v>
      </c>
      <c r="U383" s="36">
        <v>17.6648176861503</v>
      </c>
      <c r="V383" s="36">
        <v>9.4865605457817708</v>
      </c>
      <c r="W383" s="36">
        <v>6.8122851858761404</v>
      </c>
      <c r="X383" s="37">
        <v>0.19868957331123899</v>
      </c>
      <c r="Y383" s="37">
        <v>0.15766241172207099</v>
      </c>
      <c r="Z383" s="37">
        <v>0.200013587066836</v>
      </c>
      <c r="AA383" s="37">
        <v>0.21163676164998499</v>
      </c>
      <c r="AB383" s="37">
        <v>0.22969814145377901</v>
      </c>
      <c r="AC383" s="37">
        <v>0.19729764259628099</v>
      </c>
      <c r="AD383" s="37">
        <v>0.377135011965606</v>
      </c>
      <c r="AE383" s="37">
        <v>0.38065921161865401</v>
      </c>
      <c r="AF383" s="45">
        <v>-5.4497599282537603</v>
      </c>
      <c r="AG383" s="45">
        <v>-62.754921291304001</v>
      </c>
      <c r="AH383" s="46">
        <v>3.8650517940539098E-17</v>
      </c>
      <c r="AI383" s="47">
        <v>4.3095327503701098E-15</v>
      </c>
      <c r="AJ383" s="48">
        <v>15.3184162102303</v>
      </c>
      <c r="AK383" s="49">
        <v>0.24409904267305599</v>
      </c>
      <c r="AL383" s="31" t="s">
        <v>5875</v>
      </c>
      <c r="AM383" s="31" t="s">
        <v>5876</v>
      </c>
      <c r="AN383" s="31" t="s">
        <v>21492</v>
      </c>
      <c r="AO383" s="31" t="s">
        <v>13772</v>
      </c>
      <c r="AP383" s="31" t="s">
        <v>21493</v>
      </c>
      <c r="AQ383" s="31" t="s">
        <v>21494</v>
      </c>
      <c r="AR383" s="31" t="s">
        <v>21495</v>
      </c>
      <c r="AS383" s="31" t="str">
        <f>"MADCAM1"</f>
        <v>MADCAM1</v>
      </c>
      <c r="AT383" s="31" t="s">
        <v>13772</v>
      </c>
      <c r="AU383" s="31" t="s">
        <v>13777</v>
      </c>
      <c r="AV383" s="31">
        <v>9606</v>
      </c>
      <c r="AW383" s="50" t="str">
        <f>HYPERLINK("http://www.uniprot.org/uniprot/Q13477", "Q13477")</f>
        <v>Q13477</v>
      </c>
      <c r="AX383" s="31" t="s">
        <v>21496</v>
      </c>
      <c r="AY383" s="31" t="s">
        <v>13949</v>
      </c>
      <c r="AZ383" s="31" t="s">
        <v>13825</v>
      </c>
      <c r="BA383" s="31" t="s">
        <v>13780</v>
      </c>
      <c r="BB383" s="31" t="s">
        <v>13772</v>
      </c>
      <c r="BC383" s="31" t="s">
        <v>13772</v>
      </c>
      <c r="BD383" s="31" t="s">
        <v>13951</v>
      </c>
      <c r="BE383" s="31" t="s">
        <v>13772</v>
      </c>
      <c r="BF383" s="31" t="s">
        <v>13772</v>
      </c>
      <c r="BG383" s="31" t="s">
        <v>13796</v>
      </c>
      <c r="BH383" s="31" t="s">
        <v>13812</v>
      </c>
      <c r="BI383" s="31" t="s">
        <v>21497</v>
      </c>
      <c r="BJ383" s="31" t="s">
        <v>21498</v>
      </c>
      <c r="BK383" s="31" t="s">
        <v>21499</v>
      </c>
      <c r="BL383" s="31" t="s">
        <v>13772</v>
      </c>
      <c r="BM383" s="31" t="s">
        <v>21500</v>
      </c>
    </row>
    <row r="384" spans="1:65">
      <c r="A384">
        <v>1814</v>
      </c>
      <c r="B384">
        <v>1</v>
      </c>
      <c r="C384">
        <v>379</v>
      </c>
      <c r="D384" t="s">
        <v>4289</v>
      </c>
      <c r="E384" t="s">
        <v>73</v>
      </c>
      <c r="F384" t="s">
        <v>73</v>
      </c>
      <c r="G384">
        <v>9.6999999999999993</v>
      </c>
      <c r="H384">
        <v>1140</v>
      </c>
      <c r="I384">
        <v>124361</v>
      </c>
      <c r="J384" t="s">
        <v>4290</v>
      </c>
      <c r="K384" s="3" t="s">
        <v>73</v>
      </c>
      <c r="L384">
        <v>107</v>
      </c>
      <c r="M384">
        <v>107</v>
      </c>
      <c r="N384">
        <v>1</v>
      </c>
      <c r="O384" s="11">
        <f t="shared" si="5"/>
        <v>5.8743455660557977</v>
      </c>
      <c r="P384" s="36">
        <v>0.30291084895868198</v>
      </c>
      <c r="Q384" s="36">
        <v>0.24076603016936199</v>
      </c>
      <c r="R384" s="36">
        <v>0.40019941545306398</v>
      </c>
      <c r="S384" s="36">
        <v>0.37798043978830698</v>
      </c>
      <c r="T384" s="36">
        <v>1.72035271987378</v>
      </c>
      <c r="U384" s="36">
        <v>0.23243181165987301</v>
      </c>
      <c r="V384" s="36">
        <v>1.05406228286464</v>
      </c>
      <c r="W384" s="36">
        <v>1.9463671959646101</v>
      </c>
      <c r="X384" s="37">
        <v>10.331857812184399</v>
      </c>
      <c r="Y384" s="37">
        <v>10.0903943502126</v>
      </c>
      <c r="Z384" s="37">
        <v>8.8005978309407702</v>
      </c>
      <c r="AA384" s="37">
        <v>5.9258293261995796</v>
      </c>
      <c r="AB384" s="37">
        <v>15.619473618856899</v>
      </c>
      <c r="AC384" s="37">
        <v>14.2054302669323</v>
      </c>
      <c r="AD384" s="37">
        <v>10.559780335037001</v>
      </c>
      <c r="AE384" s="37">
        <v>12.1810947717969</v>
      </c>
      <c r="AF384" s="45">
        <v>3.5104196781227501</v>
      </c>
      <c r="AG384" s="45">
        <v>13.978242139468</v>
      </c>
      <c r="AH384" s="46">
        <v>9.0586022958191204E-14</v>
      </c>
      <c r="AI384" s="47">
        <v>3.3667805199460999E-12</v>
      </c>
      <c r="AJ384" s="48">
        <v>0.78438384309154097</v>
      </c>
      <c r="AK384" s="49">
        <v>10.9643072890201</v>
      </c>
      <c r="AL384" s="31" t="s">
        <v>5874</v>
      </c>
      <c r="AM384" s="31" t="s">
        <v>5876</v>
      </c>
      <c r="AN384" s="31" t="s">
        <v>31218</v>
      </c>
      <c r="AO384" s="31" t="s">
        <v>31219</v>
      </c>
      <c r="AP384" s="31" t="s">
        <v>31220</v>
      </c>
      <c r="AQ384" s="31" t="s">
        <v>31221</v>
      </c>
      <c r="AR384" s="31" t="s">
        <v>31222</v>
      </c>
      <c r="AS384" s="31" t="str">
        <f>"PRG4"</f>
        <v>PRG4</v>
      </c>
      <c r="AT384" s="31" t="s">
        <v>31223</v>
      </c>
      <c r="AU384" s="31" t="s">
        <v>13777</v>
      </c>
      <c r="AV384" s="31">
        <v>9606</v>
      </c>
      <c r="AW384" s="50" t="str">
        <f>HYPERLINK("http://www.uniprot.org/uniprot/Q92954", "Q92954")</f>
        <v>Q92954</v>
      </c>
      <c r="AX384" s="31" t="s">
        <v>31224</v>
      </c>
      <c r="AY384" s="31" t="s">
        <v>13772</v>
      </c>
      <c r="AZ384" s="31" t="s">
        <v>14321</v>
      </c>
      <c r="BA384" s="31" t="s">
        <v>13780</v>
      </c>
      <c r="BB384" s="31" t="s">
        <v>13772</v>
      </c>
      <c r="BC384" s="31" t="s">
        <v>13772</v>
      </c>
      <c r="BD384" s="31" t="s">
        <v>14404</v>
      </c>
      <c r="BE384" s="31" t="s">
        <v>13772</v>
      </c>
      <c r="BF384" s="31" t="s">
        <v>13772</v>
      </c>
      <c r="BG384" s="31" t="s">
        <v>14520</v>
      </c>
      <c r="BH384" s="31" t="s">
        <v>13772</v>
      </c>
      <c r="BI384" s="31" t="s">
        <v>31225</v>
      </c>
      <c r="BJ384" s="31" t="s">
        <v>18966</v>
      </c>
      <c r="BK384" s="31" t="s">
        <v>17330</v>
      </c>
      <c r="BL384" s="31" t="s">
        <v>13772</v>
      </c>
      <c r="BM384" s="31" t="s">
        <v>13772</v>
      </c>
    </row>
    <row r="385" spans="1:65">
      <c r="A385">
        <v>1202</v>
      </c>
      <c r="B385">
        <v>1</v>
      </c>
      <c r="C385">
        <v>380</v>
      </c>
      <c r="D385" t="s">
        <v>2884</v>
      </c>
      <c r="E385" t="s">
        <v>73</v>
      </c>
      <c r="F385" t="s">
        <v>73</v>
      </c>
      <c r="G385">
        <v>50.3</v>
      </c>
      <c r="H385">
        <v>294</v>
      </c>
      <c r="I385">
        <v>31576</v>
      </c>
      <c r="J385" t="s">
        <v>2885</v>
      </c>
      <c r="K385" s="3" t="s">
        <v>73</v>
      </c>
      <c r="L385">
        <v>106</v>
      </c>
      <c r="M385">
        <v>106</v>
      </c>
      <c r="N385">
        <v>1</v>
      </c>
      <c r="O385" s="11">
        <f t="shared" si="5"/>
        <v>7.0563752865947986</v>
      </c>
      <c r="P385" s="36">
        <v>7.2698603750083803</v>
      </c>
      <c r="Q385" s="36">
        <v>5.7783847240646802</v>
      </c>
      <c r="R385" s="36">
        <v>6.4031906472490299</v>
      </c>
      <c r="S385" s="36">
        <v>18.143061109838801</v>
      </c>
      <c r="T385" s="36">
        <v>12.9026453990534</v>
      </c>
      <c r="U385" s="36">
        <v>10.226999713034401</v>
      </c>
      <c r="V385" s="36">
        <v>9.4865605457817708</v>
      </c>
      <c r="W385" s="36">
        <v>5.8391015878938397</v>
      </c>
      <c r="X385" s="37">
        <v>0.19868957331123899</v>
      </c>
      <c r="Y385" s="37">
        <v>5.0451971751062796</v>
      </c>
      <c r="Z385" s="37">
        <v>10.400706527475499</v>
      </c>
      <c r="AA385" s="37">
        <v>0.84654704659994096</v>
      </c>
      <c r="AB385" s="37">
        <v>0.22969814145377901</v>
      </c>
      <c r="AC385" s="37">
        <v>3.1567622815404999</v>
      </c>
      <c r="AD385" s="37">
        <v>16.593940526486598</v>
      </c>
      <c r="AE385" s="37">
        <v>0.38065921161865401</v>
      </c>
      <c r="AF385" s="45">
        <v>-1.06858843275601</v>
      </c>
      <c r="AG385" s="45">
        <v>-2.0636435030734002</v>
      </c>
      <c r="AH385" s="46">
        <v>9.3080520917624601E-2</v>
      </c>
      <c r="AI385" s="47">
        <v>0.132773706810002</v>
      </c>
      <c r="AJ385" s="48">
        <v>9.5062255127405297</v>
      </c>
      <c r="AK385" s="49">
        <v>4.6065250604490604</v>
      </c>
      <c r="AL385" s="31" t="s">
        <v>5875</v>
      </c>
      <c r="AM385" s="31" t="s">
        <v>5832</v>
      </c>
      <c r="AN385" s="31" t="s">
        <v>25376</v>
      </c>
      <c r="AO385" s="31" t="s">
        <v>25377</v>
      </c>
      <c r="AP385" s="31" t="s">
        <v>25378</v>
      </c>
      <c r="AQ385" s="31" t="s">
        <v>25379</v>
      </c>
      <c r="AR385" s="31" t="s">
        <v>25380</v>
      </c>
      <c r="AS385" s="31" t="str">
        <f>"VDAC2"</f>
        <v>VDAC2</v>
      </c>
      <c r="AT385" s="31" t="s">
        <v>13772</v>
      </c>
      <c r="AU385" s="31" t="s">
        <v>13777</v>
      </c>
      <c r="AV385" s="31">
        <v>9606</v>
      </c>
      <c r="AW385" s="50" t="str">
        <f>HYPERLINK("http://www.uniprot.org/uniprot/P45880", "P45880")</f>
        <v>P45880</v>
      </c>
      <c r="AX385" s="31" t="s">
        <v>25381</v>
      </c>
      <c r="AY385" s="31" t="s">
        <v>14288</v>
      </c>
      <c r="AZ385" s="31" t="s">
        <v>24495</v>
      </c>
      <c r="BA385" s="31" t="s">
        <v>13780</v>
      </c>
      <c r="BB385" s="31" t="s">
        <v>13772</v>
      </c>
      <c r="BC385" s="31" t="s">
        <v>13772</v>
      </c>
      <c r="BD385" s="31" t="s">
        <v>24415</v>
      </c>
      <c r="BE385" s="31" t="s">
        <v>24496</v>
      </c>
      <c r="BF385" s="31" t="s">
        <v>24497</v>
      </c>
      <c r="BG385" s="31" t="s">
        <v>13991</v>
      </c>
      <c r="BH385" s="31" t="s">
        <v>13772</v>
      </c>
      <c r="BI385" s="31" t="s">
        <v>25382</v>
      </c>
      <c r="BJ385" s="31" t="s">
        <v>25383</v>
      </c>
      <c r="BK385" s="31" t="s">
        <v>24500</v>
      </c>
      <c r="BL385" s="31" t="s">
        <v>13772</v>
      </c>
      <c r="BM385" s="31" t="s">
        <v>24501</v>
      </c>
    </row>
    <row r="386" spans="1:65">
      <c r="A386">
        <v>1989</v>
      </c>
      <c r="B386">
        <v>1</v>
      </c>
      <c r="C386">
        <v>381</v>
      </c>
      <c r="D386" t="s">
        <v>4682</v>
      </c>
      <c r="E386" t="s">
        <v>73</v>
      </c>
      <c r="F386" t="s">
        <v>73</v>
      </c>
      <c r="G386">
        <v>6.7</v>
      </c>
      <c r="H386">
        <v>5070</v>
      </c>
      <c r="I386">
        <v>543449</v>
      </c>
      <c r="J386" t="s">
        <v>4683</v>
      </c>
      <c r="K386" s="3" t="s">
        <v>73</v>
      </c>
      <c r="L386">
        <v>106</v>
      </c>
      <c r="M386">
        <v>106</v>
      </c>
      <c r="N386">
        <v>1</v>
      </c>
      <c r="O386" s="11">
        <f t="shared" si="5"/>
        <v>7.5323198738112431</v>
      </c>
      <c r="P386" s="36">
        <v>6.0582169791736504</v>
      </c>
      <c r="Q386" s="36">
        <v>5.7783847240646802</v>
      </c>
      <c r="R386" s="36">
        <v>27.213560250808399</v>
      </c>
      <c r="S386" s="36">
        <v>24.1907481464517</v>
      </c>
      <c r="T386" s="36">
        <v>18.9238799186116</v>
      </c>
      <c r="U386" s="36">
        <v>23.243181165987298</v>
      </c>
      <c r="V386" s="36">
        <v>5.2703114143232002</v>
      </c>
      <c r="W386" s="36">
        <v>2.9195507939469199</v>
      </c>
      <c r="X386" s="37">
        <v>0.79475829324495695</v>
      </c>
      <c r="Y386" s="37">
        <v>0.15766241172207099</v>
      </c>
      <c r="Z386" s="37">
        <v>2.4001630448020301</v>
      </c>
      <c r="AA386" s="37">
        <v>0.21163676164998499</v>
      </c>
      <c r="AB386" s="37">
        <v>0.22969814145377901</v>
      </c>
      <c r="AC386" s="37">
        <v>2.36757171115537</v>
      </c>
      <c r="AD386" s="37">
        <v>0.377135011965606</v>
      </c>
      <c r="AE386" s="37">
        <v>0.38065921161865401</v>
      </c>
      <c r="AF386" s="45">
        <v>-3.77586826811749</v>
      </c>
      <c r="AG386" s="45">
        <v>-16.4175691800191</v>
      </c>
      <c r="AH386" s="46">
        <v>9.7992731662203807E-9</v>
      </c>
      <c r="AI386" s="47">
        <v>9.50103441768324E-8</v>
      </c>
      <c r="AJ386" s="48">
        <v>14.1997291741709</v>
      </c>
      <c r="AK386" s="49">
        <v>0.86491057345155697</v>
      </c>
      <c r="AL386" s="31" t="s">
        <v>5875</v>
      </c>
      <c r="AM386" s="31" t="s">
        <v>5876</v>
      </c>
      <c r="AN386" s="31" t="s">
        <v>32857</v>
      </c>
      <c r="AO386" s="31" t="s">
        <v>13772</v>
      </c>
      <c r="AP386" s="31" t="s">
        <v>32858</v>
      </c>
      <c r="AQ386" s="31" t="s">
        <v>32859</v>
      </c>
      <c r="AR386" s="31" t="s">
        <v>32860</v>
      </c>
      <c r="AS386" s="31" t="str">
        <f>"HMCN2"</f>
        <v>HMCN2</v>
      </c>
      <c r="AT386" s="31" t="s">
        <v>13772</v>
      </c>
      <c r="AU386" s="31" t="s">
        <v>13777</v>
      </c>
      <c r="AV386" s="31">
        <v>9606</v>
      </c>
      <c r="AW386" s="50" t="str">
        <f>HYPERLINK("http://www.uniprot.org/uniprot/Q8NDA2", "Q8NDA2")</f>
        <v>Q8NDA2</v>
      </c>
      <c r="AX386" s="31" t="s">
        <v>32861</v>
      </c>
      <c r="AY386" s="31" t="s">
        <v>32862</v>
      </c>
      <c r="AZ386" s="31" t="s">
        <v>13869</v>
      </c>
      <c r="BA386" s="31" t="s">
        <v>13841</v>
      </c>
      <c r="BB386" s="31" t="s">
        <v>13772</v>
      </c>
      <c r="BC386" s="31" t="s">
        <v>13772</v>
      </c>
      <c r="BD386" s="31" t="s">
        <v>30660</v>
      </c>
      <c r="BE386" s="31" t="s">
        <v>14465</v>
      </c>
      <c r="BF386" s="31" t="s">
        <v>13772</v>
      </c>
      <c r="BG386" s="31" t="s">
        <v>15003</v>
      </c>
      <c r="BH386" s="31" t="s">
        <v>13772</v>
      </c>
      <c r="BI386" s="31" t="s">
        <v>32863</v>
      </c>
      <c r="BJ386" s="31" t="s">
        <v>32864</v>
      </c>
      <c r="BK386" s="31" t="s">
        <v>15899</v>
      </c>
      <c r="BL386" s="31" t="s">
        <v>13772</v>
      </c>
      <c r="BM386" s="31" t="s">
        <v>13772</v>
      </c>
    </row>
    <row r="387" spans="1:65">
      <c r="A387">
        <v>1219</v>
      </c>
      <c r="B387">
        <v>1</v>
      </c>
      <c r="C387">
        <v>382</v>
      </c>
      <c r="D387" t="s">
        <v>2928</v>
      </c>
      <c r="E387" t="s">
        <v>73</v>
      </c>
      <c r="F387" t="s">
        <v>73</v>
      </c>
      <c r="G387">
        <v>32.9</v>
      </c>
      <c r="H387">
        <v>504</v>
      </c>
      <c r="I387">
        <v>54350</v>
      </c>
      <c r="J387" t="s">
        <v>2930</v>
      </c>
      <c r="K387" s="3" t="s">
        <v>73</v>
      </c>
      <c r="L387">
        <v>112</v>
      </c>
      <c r="M387">
        <v>97</v>
      </c>
      <c r="N387">
        <v>0.86599999999999999</v>
      </c>
      <c r="O387" s="11">
        <f t="shared" si="5"/>
        <v>5.974805621421142</v>
      </c>
      <c r="P387" s="36">
        <v>3.6349301875041902</v>
      </c>
      <c r="Q387" s="36">
        <v>2.4076603016936202</v>
      </c>
      <c r="R387" s="36">
        <v>4.8023929854367697</v>
      </c>
      <c r="S387" s="36">
        <v>0.37798043978830698</v>
      </c>
      <c r="T387" s="36">
        <v>10.322116319242699</v>
      </c>
      <c r="U387" s="36">
        <v>11.063754235009901</v>
      </c>
      <c r="V387" s="36">
        <v>16.759590297547799</v>
      </c>
      <c r="W387" s="36">
        <v>6.3256933868849901</v>
      </c>
      <c r="X387" s="37">
        <v>4.2122189541982697</v>
      </c>
      <c r="Y387" s="37">
        <v>5.2974570338616003</v>
      </c>
      <c r="Z387" s="37">
        <v>9.8406684836883205</v>
      </c>
      <c r="AA387" s="37">
        <v>10.7511474918192</v>
      </c>
      <c r="AB387" s="37">
        <v>0.22969814145377901</v>
      </c>
      <c r="AC387" s="37">
        <v>3.1567622815404999</v>
      </c>
      <c r="AD387" s="37">
        <v>6.0341601914496898</v>
      </c>
      <c r="AE387" s="37">
        <v>0.38065921161865401</v>
      </c>
      <c r="AF387" s="45">
        <v>-0.47277664042465201</v>
      </c>
      <c r="AG387" s="45">
        <v>-1.3957455999982</v>
      </c>
      <c r="AH387" s="46">
        <v>0.42468591057055799</v>
      </c>
      <c r="AI387" s="47">
        <v>0.50825558885814603</v>
      </c>
      <c r="AJ387" s="48">
        <v>6.96176476913854</v>
      </c>
      <c r="AK387" s="49">
        <v>4.98784647370376</v>
      </c>
      <c r="AL387" s="31" t="s">
        <v>5875</v>
      </c>
      <c r="AM387" s="31" t="s">
        <v>5832</v>
      </c>
      <c r="AN387" s="31" t="s">
        <v>25537</v>
      </c>
      <c r="AO387" s="31" t="s">
        <v>25538</v>
      </c>
      <c r="AP387" s="31" t="s">
        <v>25539</v>
      </c>
      <c r="AQ387" s="31" t="s">
        <v>25540</v>
      </c>
      <c r="AR387" s="31" t="s">
        <v>25541</v>
      </c>
      <c r="AS387" s="31" t="str">
        <f>"ANXA11"</f>
        <v>ANXA11</v>
      </c>
      <c r="AT387" s="31" t="s">
        <v>25542</v>
      </c>
      <c r="AU387" s="31" t="s">
        <v>13777</v>
      </c>
      <c r="AV387" s="31">
        <v>9606</v>
      </c>
      <c r="AW387" s="50" t="str">
        <f>HYPERLINK("http://www.uniprot.org/uniprot/P50995", "P50995")</f>
        <v>P50995</v>
      </c>
      <c r="AX387" s="31" t="s">
        <v>25543</v>
      </c>
      <c r="AY387" s="31" t="s">
        <v>21625</v>
      </c>
      <c r="AZ387" s="31" t="s">
        <v>15843</v>
      </c>
      <c r="BA387" s="31" t="s">
        <v>13780</v>
      </c>
      <c r="BB387" s="31" t="s">
        <v>13772</v>
      </c>
      <c r="BC387" s="31" t="s">
        <v>13989</v>
      </c>
      <c r="BD387" s="31" t="s">
        <v>15322</v>
      </c>
      <c r="BE387" s="31" t="s">
        <v>15323</v>
      </c>
      <c r="BF387" s="31" t="s">
        <v>13772</v>
      </c>
      <c r="BG387" s="31" t="s">
        <v>14020</v>
      </c>
      <c r="BH387" s="31" t="s">
        <v>13772</v>
      </c>
      <c r="BI387" s="31" t="s">
        <v>25544</v>
      </c>
      <c r="BJ387" s="31" t="s">
        <v>25545</v>
      </c>
      <c r="BK387" s="31" t="s">
        <v>25546</v>
      </c>
      <c r="BL387" s="31" t="s">
        <v>13772</v>
      </c>
      <c r="BM387" s="31" t="s">
        <v>13772</v>
      </c>
    </row>
    <row r="388" spans="1:65">
      <c r="A388">
        <v>1626</v>
      </c>
      <c r="B388">
        <v>1</v>
      </c>
      <c r="C388">
        <v>383</v>
      </c>
      <c r="D388" t="s">
        <v>3852</v>
      </c>
      <c r="E388" t="s">
        <v>3853</v>
      </c>
      <c r="F388" t="s">
        <v>73</v>
      </c>
      <c r="G388">
        <v>11.9</v>
      </c>
      <c r="H388">
        <v>412</v>
      </c>
      <c r="I388">
        <v>45192</v>
      </c>
      <c r="J388" t="s">
        <v>3854</v>
      </c>
      <c r="K388" s="3" t="s">
        <v>73</v>
      </c>
      <c r="L388">
        <v>105</v>
      </c>
      <c r="M388">
        <v>105</v>
      </c>
      <c r="N388">
        <v>1</v>
      </c>
      <c r="O388" s="11">
        <f t="shared" si="5"/>
        <v>6.4994875473304159</v>
      </c>
      <c r="P388" s="36">
        <v>10.9047905625126</v>
      </c>
      <c r="Q388" s="36">
        <v>8.6675770860970207</v>
      </c>
      <c r="R388" s="36">
        <v>11.2055836326858</v>
      </c>
      <c r="S388" s="36">
        <v>12.0953740732258</v>
      </c>
      <c r="T388" s="36">
        <v>7.7415872394320298</v>
      </c>
      <c r="U388" s="36">
        <v>6.50809072647644</v>
      </c>
      <c r="V388" s="36">
        <v>7.3784359800524904</v>
      </c>
      <c r="W388" s="36">
        <v>7.78546878385845</v>
      </c>
      <c r="X388" s="37">
        <v>2.3842748797348698</v>
      </c>
      <c r="Y388" s="37">
        <v>2.5225985875531398</v>
      </c>
      <c r="Z388" s="37">
        <v>2.4001630448020301</v>
      </c>
      <c r="AA388" s="37">
        <v>2.5396411397998202</v>
      </c>
      <c r="AB388" s="37">
        <v>2.7563776974453398</v>
      </c>
      <c r="AC388" s="37">
        <v>3.94595285192562</v>
      </c>
      <c r="AD388" s="37">
        <v>7.5427002393121096</v>
      </c>
      <c r="AE388" s="37">
        <v>7.6131842323730803</v>
      </c>
      <c r="AF388" s="45">
        <v>-1.2819598567210799</v>
      </c>
      <c r="AG388" s="45">
        <v>-2.2799922027814801</v>
      </c>
      <c r="AH388" s="46">
        <v>8.4482624078271497E-4</v>
      </c>
      <c r="AI388" s="47">
        <v>1.93557792836862E-3</v>
      </c>
      <c r="AJ388" s="48">
        <v>9.0358635105425797</v>
      </c>
      <c r="AK388" s="49">
        <v>3.9631115841182498</v>
      </c>
      <c r="AL388" s="31" t="s">
        <v>5875</v>
      </c>
      <c r="AM388" s="31" t="s">
        <v>5876</v>
      </c>
      <c r="AN388" s="31" t="s">
        <v>29391</v>
      </c>
      <c r="AO388" s="31" t="s">
        <v>29392</v>
      </c>
      <c r="AP388" s="31" t="s">
        <v>29393</v>
      </c>
      <c r="AQ388" s="31" t="s">
        <v>29394</v>
      </c>
      <c r="AR388" s="31" t="s">
        <v>29395</v>
      </c>
      <c r="AS388" s="31" t="str">
        <f>"LAMP2"</f>
        <v>LAMP2</v>
      </c>
      <c r="AT388" s="31" t="s">
        <v>13772</v>
      </c>
      <c r="AU388" s="31" t="s">
        <v>13777</v>
      </c>
      <c r="AV388" s="31">
        <v>9606</v>
      </c>
      <c r="AW388" s="50" t="str">
        <f>HYPERLINK("http://www.uniprot.org/uniprot/P13473", "P13473")</f>
        <v>P13473</v>
      </c>
      <c r="AX388" s="31" t="s">
        <v>29396</v>
      </c>
      <c r="AY388" s="31" t="s">
        <v>29397</v>
      </c>
      <c r="AZ388" s="31" t="s">
        <v>29398</v>
      </c>
      <c r="BA388" s="31" t="s">
        <v>13780</v>
      </c>
      <c r="BB388" s="31" t="s">
        <v>13772</v>
      </c>
      <c r="BC388" s="31" t="s">
        <v>16230</v>
      </c>
      <c r="BD388" s="31" t="s">
        <v>13855</v>
      </c>
      <c r="BE388" s="31" t="s">
        <v>13772</v>
      </c>
      <c r="BF388" s="31" t="s">
        <v>13772</v>
      </c>
      <c r="BG388" s="31" t="s">
        <v>13796</v>
      </c>
      <c r="BH388" s="31" t="s">
        <v>13812</v>
      </c>
      <c r="BI388" s="31" t="s">
        <v>29399</v>
      </c>
      <c r="BJ388" s="31" t="s">
        <v>29400</v>
      </c>
      <c r="BK388" s="31" t="s">
        <v>29401</v>
      </c>
      <c r="BL388" s="31" t="s">
        <v>13772</v>
      </c>
      <c r="BM388" s="31" t="s">
        <v>14706</v>
      </c>
    </row>
    <row r="389" spans="1:65">
      <c r="A389">
        <v>1908</v>
      </c>
      <c r="B389">
        <v>1</v>
      </c>
      <c r="C389">
        <v>384</v>
      </c>
      <c r="D389" t="s">
        <v>4494</v>
      </c>
      <c r="E389" t="s">
        <v>4495</v>
      </c>
      <c r="F389" t="s">
        <v>73</v>
      </c>
      <c r="G389">
        <v>23.7</v>
      </c>
      <c r="H389">
        <v>2558</v>
      </c>
      <c r="I389">
        <v>271317</v>
      </c>
      <c r="J389" t="s">
        <v>4496</v>
      </c>
      <c r="K389" s="3" t="s">
        <v>73</v>
      </c>
      <c r="L389">
        <v>105</v>
      </c>
      <c r="M389">
        <v>105</v>
      </c>
      <c r="N389">
        <v>1</v>
      </c>
      <c r="O389" s="11">
        <f t="shared" si="5"/>
        <v>5.1486310148662771</v>
      </c>
      <c r="P389" s="36">
        <v>0.30291084895868198</v>
      </c>
      <c r="Q389" s="36">
        <v>0.96306412067744696</v>
      </c>
      <c r="R389" s="36">
        <v>0.40019941545306398</v>
      </c>
      <c r="S389" s="36">
        <v>0.37798043978830698</v>
      </c>
      <c r="T389" s="36">
        <v>0.86017635993689201</v>
      </c>
      <c r="U389" s="36">
        <v>1.85945449327898</v>
      </c>
      <c r="V389" s="36">
        <v>0.26351557071616</v>
      </c>
      <c r="W389" s="36">
        <v>0.97318359798230603</v>
      </c>
      <c r="X389" s="37">
        <v>19.868957331123902</v>
      </c>
      <c r="Y389" s="37">
        <v>18.2888397597603</v>
      </c>
      <c r="Z389" s="37">
        <v>8.0005434826734305</v>
      </c>
      <c r="AA389" s="37">
        <v>11.8516586523992</v>
      </c>
      <c r="AB389" s="37">
        <v>7.3503405265209096</v>
      </c>
      <c r="AC389" s="37">
        <v>10.2594774150066</v>
      </c>
      <c r="AD389" s="37">
        <v>0.377135011965606</v>
      </c>
      <c r="AE389" s="37">
        <v>0.38065921161865401</v>
      </c>
      <c r="AF389" s="45">
        <v>3.4393826270662502</v>
      </c>
      <c r="AG389" s="45">
        <v>12.728573330520801</v>
      </c>
      <c r="AH389" s="46">
        <v>8.2680180884458498E-7</v>
      </c>
      <c r="AI389" s="47">
        <v>4.2223695428780702E-6</v>
      </c>
      <c r="AJ389" s="48">
        <v>0.75006060584898004</v>
      </c>
      <c r="AK389" s="49">
        <v>9.5472014238835801</v>
      </c>
      <c r="AL389" s="31" t="s">
        <v>5874</v>
      </c>
      <c r="AM389" s="31" t="s">
        <v>5876</v>
      </c>
      <c r="AN389" s="31" t="s">
        <v>32052</v>
      </c>
      <c r="AO389" s="31" t="s">
        <v>13772</v>
      </c>
      <c r="AP389" s="31" t="s">
        <v>32053</v>
      </c>
      <c r="AQ389" s="31" t="s">
        <v>32054</v>
      </c>
      <c r="AR389" s="31" t="s">
        <v>32055</v>
      </c>
      <c r="AS389" s="31" t="str">
        <f>"TLN1"</f>
        <v>TLN1</v>
      </c>
      <c r="AT389" s="31" t="s">
        <v>32056</v>
      </c>
      <c r="AU389" s="31" t="s">
        <v>13777</v>
      </c>
      <c r="AV389" s="31">
        <v>9606</v>
      </c>
      <c r="AW389" s="50" t="str">
        <f>HYPERLINK("http://www.uniprot.org/uniprot/Q9Y490", "Q9Y490")</f>
        <v>Q9Y490</v>
      </c>
      <c r="AX389" s="31" t="s">
        <v>32057</v>
      </c>
      <c r="AY389" s="31" t="s">
        <v>14563</v>
      </c>
      <c r="AZ389" s="31" t="s">
        <v>15639</v>
      </c>
      <c r="BA389" s="31" t="s">
        <v>13793</v>
      </c>
      <c r="BB389" s="31" t="s">
        <v>13772</v>
      </c>
      <c r="BC389" s="31" t="s">
        <v>13772</v>
      </c>
      <c r="BD389" s="31" t="s">
        <v>13772</v>
      </c>
      <c r="BE389" s="31" t="s">
        <v>13772</v>
      </c>
      <c r="BF389" s="31" t="s">
        <v>13772</v>
      </c>
      <c r="BG389" s="31" t="s">
        <v>13886</v>
      </c>
      <c r="BH389" s="31" t="s">
        <v>13812</v>
      </c>
      <c r="BI389" s="31" t="s">
        <v>32058</v>
      </c>
      <c r="BJ389" s="31" t="s">
        <v>32059</v>
      </c>
      <c r="BK389" s="31" t="s">
        <v>32060</v>
      </c>
      <c r="BL389" s="31" t="s">
        <v>13772</v>
      </c>
      <c r="BM389" s="31" t="s">
        <v>32061</v>
      </c>
    </row>
    <row r="390" spans="1:65">
      <c r="A390">
        <v>124</v>
      </c>
      <c r="B390">
        <v>1</v>
      </c>
      <c r="C390">
        <v>385</v>
      </c>
      <c r="D390" t="s">
        <v>321</v>
      </c>
      <c r="E390" t="s">
        <v>73</v>
      </c>
      <c r="F390" t="s">
        <v>73</v>
      </c>
      <c r="G390">
        <v>68.8</v>
      </c>
      <c r="H390">
        <v>77</v>
      </c>
      <c r="I390">
        <v>8550</v>
      </c>
      <c r="J390" t="s">
        <v>323</v>
      </c>
      <c r="K390" s="3" t="s">
        <v>73</v>
      </c>
      <c r="L390">
        <v>104</v>
      </c>
      <c r="M390">
        <v>103</v>
      </c>
      <c r="N390">
        <v>0.99</v>
      </c>
      <c r="O390" s="11">
        <f t="shared" si="5"/>
        <v>5.6354925266763018</v>
      </c>
      <c r="P390" s="36">
        <v>9.6931471666778304</v>
      </c>
      <c r="Q390" s="36">
        <v>0.96306412067744696</v>
      </c>
      <c r="R390" s="36">
        <v>1.6007976618122599</v>
      </c>
      <c r="S390" s="36">
        <v>0.37798043978830698</v>
      </c>
      <c r="T390" s="36">
        <v>1.72035271987378</v>
      </c>
      <c r="U390" s="36">
        <v>2.7891817399184702</v>
      </c>
      <c r="V390" s="36">
        <v>2.10812456572928</v>
      </c>
      <c r="W390" s="36">
        <v>4.8659179899115301</v>
      </c>
      <c r="X390" s="37">
        <v>8.7423412256945294</v>
      </c>
      <c r="Y390" s="37">
        <v>9.4597447033242794</v>
      </c>
      <c r="Z390" s="37">
        <v>17.601195661881501</v>
      </c>
      <c r="AA390" s="37">
        <v>6.7723763727995303</v>
      </c>
      <c r="AB390" s="37">
        <v>8.2691330923360304</v>
      </c>
      <c r="AC390" s="37">
        <v>10.2594774150066</v>
      </c>
      <c r="AD390" s="37">
        <v>0.377135011965606</v>
      </c>
      <c r="AE390" s="37">
        <v>4.5679105394238499</v>
      </c>
      <c r="AF390" s="45">
        <v>1.45238998844391</v>
      </c>
      <c r="AG390" s="45">
        <v>2.7385257031866099</v>
      </c>
      <c r="AH390" s="46">
        <v>8.59392523923087E-3</v>
      </c>
      <c r="AI390" s="47">
        <v>1.60148634680932E-2</v>
      </c>
      <c r="AJ390" s="48">
        <v>3.0148208005486099</v>
      </c>
      <c r="AK390" s="49">
        <v>8.256164252804</v>
      </c>
      <c r="AL390" s="31" t="s">
        <v>5874</v>
      </c>
      <c r="AM390" s="31" t="s">
        <v>5878</v>
      </c>
      <c r="AN390" s="31" t="s">
        <v>14569</v>
      </c>
      <c r="AO390" s="31" t="s">
        <v>14570</v>
      </c>
      <c r="AP390" s="31" t="s">
        <v>14571</v>
      </c>
      <c r="AQ390" s="31" t="s">
        <v>14572</v>
      </c>
      <c r="AR390" s="31" t="s">
        <v>14573</v>
      </c>
      <c r="AS390" s="31" t="str">
        <f>"CRIP1"</f>
        <v>CRIP1</v>
      </c>
      <c r="AT390" s="31" t="s">
        <v>14574</v>
      </c>
      <c r="AU390" s="31" t="s">
        <v>13777</v>
      </c>
      <c r="AV390" s="31">
        <v>9606</v>
      </c>
      <c r="AW390" s="50" t="str">
        <f>HYPERLINK("http://www.uniprot.org/uniprot/P50238", "P50238")</f>
        <v>P50238</v>
      </c>
      <c r="AX390" s="31" t="s">
        <v>14575</v>
      </c>
      <c r="AY390" s="31" t="s">
        <v>13772</v>
      </c>
      <c r="AZ390" s="31" t="s">
        <v>13772</v>
      </c>
      <c r="BA390" s="31" t="s">
        <v>13772</v>
      </c>
      <c r="BB390" s="31" t="s">
        <v>13772</v>
      </c>
      <c r="BC390" s="31" t="s">
        <v>13772</v>
      </c>
      <c r="BD390" s="31" t="s">
        <v>14576</v>
      </c>
      <c r="BE390" s="31" t="s">
        <v>13856</v>
      </c>
      <c r="BF390" s="31" t="s">
        <v>13772</v>
      </c>
      <c r="BG390" s="31" t="s">
        <v>14577</v>
      </c>
      <c r="BH390" s="31" t="s">
        <v>13772</v>
      </c>
      <c r="BI390" s="31" t="s">
        <v>14578</v>
      </c>
      <c r="BJ390" s="31" t="s">
        <v>14579</v>
      </c>
      <c r="BK390" s="31" t="s">
        <v>14580</v>
      </c>
      <c r="BL390" s="31" t="s">
        <v>13772</v>
      </c>
      <c r="BM390" s="31" t="s">
        <v>13772</v>
      </c>
    </row>
    <row r="391" spans="1:65">
      <c r="A391">
        <v>352</v>
      </c>
      <c r="B391">
        <v>1</v>
      </c>
      <c r="C391">
        <v>386</v>
      </c>
      <c r="D391" t="s">
        <v>884</v>
      </c>
      <c r="E391" t="s">
        <v>73</v>
      </c>
      <c r="F391" t="s">
        <v>73</v>
      </c>
      <c r="G391">
        <v>30.7</v>
      </c>
      <c r="H391">
        <v>293</v>
      </c>
      <c r="I391">
        <v>31479</v>
      </c>
      <c r="J391" t="s">
        <v>885</v>
      </c>
      <c r="K391" s="3" t="s">
        <v>73</v>
      </c>
      <c r="L391">
        <v>104</v>
      </c>
      <c r="M391">
        <v>104</v>
      </c>
      <c r="N391">
        <v>1</v>
      </c>
      <c r="O391" s="11">
        <f t="shared" ref="O391:O454" si="6">AVERAGE(P391:AE391)</f>
        <v>5.5542737899248307</v>
      </c>
      <c r="P391" s="36">
        <v>4.8465735833389196</v>
      </c>
      <c r="Q391" s="36">
        <v>7.7045129654195703</v>
      </c>
      <c r="R391" s="36">
        <v>3.2015953236245198</v>
      </c>
      <c r="S391" s="36">
        <v>7.5596087957661497</v>
      </c>
      <c r="T391" s="36">
        <v>4.3008817996844604</v>
      </c>
      <c r="U391" s="36">
        <v>4.6486362331974602</v>
      </c>
      <c r="V391" s="36">
        <v>7.3784359800524904</v>
      </c>
      <c r="W391" s="36">
        <v>3.8927343919292201</v>
      </c>
      <c r="X391" s="37">
        <v>3.9737914662247902</v>
      </c>
      <c r="Y391" s="37">
        <v>3.7838978813297102</v>
      </c>
      <c r="Z391" s="37">
        <v>5.6003804378713999</v>
      </c>
      <c r="AA391" s="37">
        <v>2.5396411397998202</v>
      </c>
      <c r="AB391" s="37">
        <v>6.4315479607058004</v>
      </c>
      <c r="AC391" s="37">
        <v>6.3135245630809997</v>
      </c>
      <c r="AD391" s="37">
        <v>6.0341601914496898</v>
      </c>
      <c r="AE391" s="37">
        <v>10.658457925322301</v>
      </c>
      <c r="AF391" s="45">
        <v>-2.0404393828006601E-2</v>
      </c>
      <c r="AG391" s="45">
        <v>1.0414036101170301</v>
      </c>
      <c r="AH391" s="46">
        <v>1</v>
      </c>
      <c r="AI391" s="47">
        <v>1</v>
      </c>
      <c r="AJ391" s="48">
        <v>5.4416223841265996</v>
      </c>
      <c r="AK391" s="49">
        <v>5.6669251957230697</v>
      </c>
      <c r="AL391" s="31" t="s">
        <v>5874</v>
      </c>
      <c r="AM391" s="31" t="s">
        <v>5832</v>
      </c>
      <c r="AN391" s="31" t="s">
        <v>17103</v>
      </c>
      <c r="AO391" s="31" t="s">
        <v>13772</v>
      </c>
      <c r="AP391" s="31" t="s">
        <v>17104</v>
      </c>
      <c r="AQ391" s="31" t="s">
        <v>17105</v>
      </c>
      <c r="AR391" s="31" t="s">
        <v>17106</v>
      </c>
      <c r="AS391" s="31" t="str">
        <f>"IGFBP3"</f>
        <v>IGFBP3</v>
      </c>
      <c r="AT391" s="31" t="s">
        <v>17107</v>
      </c>
      <c r="AU391" s="31" t="s">
        <v>13777</v>
      </c>
      <c r="AV391" s="31">
        <v>9606</v>
      </c>
      <c r="AW391" s="50" t="str">
        <f>HYPERLINK("http://www.uniprot.org/uniprot/P17936", "P17936")</f>
        <v>P17936</v>
      </c>
      <c r="AX391" s="31" t="s">
        <v>17108</v>
      </c>
      <c r="AY391" s="31" t="s">
        <v>17109</v>
      </c>
      <c r="AZ391" s="31" t="s">
        <v>14321</v>
      </c>
      <c r="BA391" s="31" t="s">
        <v>13780</v>
      </c>
      <c r="BB391" s="31" t="s">
        <v>13772</v>
      </c>
      <c r="BC391" s="31" t="s">
        <v>13772</v>
      </c>
      <c r="BD391" s="31" t="s">
        <v>13808</v>
      </c>
      <c r="BE391" s="31" t="s">
        <v>13772</v>
      </c>
      <c r="BF391" s="31" t="s">
        <v>16896</v>
      </c>
      <c r="BG391" s="31" t="s">
        <v>13964</v>
      </c>
      <c r="BH391" s="31" t="s">
        <v>13772</v>
      </c>
      <c r="BI391" s="31" t="s">
        <v>17110</v>
      </c>
      <c r="BJ391" s="31" t="s">
        <v>17111</v>
      </c>
      <c r="BK391" s="31" t="s">
        <v>17112</v>
      </c>
      <c r="BL391" s="31" t="s">
        <v>13772</v>
      </c>
      <c r="BM391" s="31" t="s">
        <v>17113</v>
      </c>
    </row>
    <row r="392" spans="1:65">
      <c r="A392">
        <v>1032</v>
      </c>
      <c r="B392">
        <v>1</v>
      </c>
      <c r="C392">
        <v>387</v>
      </c>
      <c r="D392" t="s">
        <v>2498</v>
      </c>
      <c r="E392" t="s">
        <v>73</v>
      </c>
      <c r="F392" t="s">
        <v>73</v>
      </c>
      <c r="G392">
        <v>47.1</v>
      </c>
      <c r="H392">
        <v>558</v>
      </c>
      <c r="I392">
        <v>62726</v>
      </c>
      <c r="J392" t="s">
        <v>2499</v>
      </c>
      <c r="K392" s="3" t="s">
        <v>73</v>
      </c>
      <c r="L392">
        <v>104</v>
      </c>
      <c r="M392">
        <v>104</v>
      </c>
      <c r="N392">
        <v>1</v>
      </c>
      <c r="O392" s="11">
        <f t="shared" si="6"/>
        <v>4.2830257223879071</v>
      </c>
      <c r="P392" s="36">
        <v>1.2116433958347299</v>
      </c>
      <c r="Q392" s="36">
        <v>1.9261282413548899</v>
      </c>
      <c r="R392" s="36">
        <v>0.40019941545306398</v>
      </c>
      <c r="S392" s="36">
        <v>4.5357652774596904</v>
      </c>
      <c r="T392" s="36">
        <v>0.86017635993689201</v>
      </c>
      <c r="U392" s="36">
        <v>2.7891817399184702</v>
      </c>
      <c r="V392" s="36">
        <v>0.26351557071616</v>
      </c>
      <c r="W392" s="36">
        <v>1.9463671959646101</v>
      </c>
      <c r="X392" s="37">
        <v>7.1528246392046197</v>
      </c>
      <c r="Y392" s="37">
        <v>0.15766241172207099</v>
      </c>
      <c r="Z392" s="37">
        <v>0.200013587066836</v>
      </c>
      <c r="AA392" s="37">
        <v>17.777487978598799</v>
      </c>
      <c r="AB392" s="37">
        <v>5.5127553948906796</v>
      </c>
      <c r="AC392" s="37">
        <v>8.6810962742363706</v>
      </c>
      <c r="AD392" s="37">
        <v>12.068320382899399</v>
      </c>
      <c r="AE392" s="37">
        <v>3.0452736929492299</v>
      </c>
      <c r="AF392" s="45">
        <v>1.9037700172540899</v>
      </c>
      <c r="AG392" s="45">
        <v>3.9184327650187898</v>
      </c>
      <c r="AH392" s="46">
        <v>7.7712949864297901E-3</v>
      </c>
      <c r="AI392" s="47">
        <v>1.4603922320004299E-2</v>
      </c>
      <c r="AJ392" s="48">
        <v>1.7416221495798101</v>
      </c>
      <c r="AK392" s="49">
        <v>6.8244292951959897</v>
      </c>
      <c r="AL392" s="31" t="s">
        <v>5874</v>
      </c>
      <c r="AM392" s="31" t="s">
        <v>5878</v>
      </c>
      <c r="AN392" s="31" t="s">
        <v>23921</v>
      </c>
      <c r="AO392" s="31" t="s">
        <v>23922</v>
      </c>
      <c r="AP392" s="31" t="s">
        <v>23923</v>
      </c>
      <c r="AQ392" s="31" t="s">
        <v>23924</v>
      </c>
      <c r="AR392" s="31" t="s">
        <v>23925</v>
      </c>
      <c r="AS392" s="31" t="str">
        <f>"HABP2"</f>
        <v>HABP2</v>
      </c>
      <c r="AT392" s="31" t="s">
        <v>23926</v>
      </c>
      <c r="AU392" s="31" t="s">
        <v>13777</v>
      </c>
      <c r="AV392" s="31">
        <v>9606</v>
      </c>
      <c r="AW392" s="50" t="str">
        <f>HYPERLINK("http://www.uniprot.org/uniprot/Q14520", "Q14520")</f>
        <v>Q14520</v>
      </c>
      <c r="AX392" s="31" t="s">
        <v>23927</v>
      </c>
      <c r="AY392" s="31" t="s">
        <v>13772</v>
      </c>
      <c r="AZ392" s="31" t="s">
        <v>14321</v>
      </c>
      <c r="BA392" s="31" t="s">
        <v>13780</v>
      </c>
      <c r="BB392" s="31" t="s">
        <v>13772</v>
      </c>
      <c r="BC392" s="31" t="s">
        <v>13772</v>
      </c>
      <c r="BD392" s="31" t="s">
        <v>23928</v>
      </c>
      <c r="BE392" s="31" t="s">
        <v>13772</v>
      </c>
      <c r="BF392" s="31" t="s">
        <v>15176</v>
      </c>
      <c r="BG392" s="31" t="s">
        <v>14629</v>
      </c>
      <c r="BH392" s="31" t="s">
        <v>13772</v>
      </c>
      <c r="BI392" s="31" t="s">
        <v>23929</v>
      </c>
      <c r="BJ392" s="31" t="s">
        <v>22023</v>
      </c>
      <c r="BK392" s="31" t="s">
        <v>23930</v>
      </c>
      <c r="BL392" s="31" t="s">
        <v>13772</v>
      </c>
      <c r="BM392" s="31" t="s">
        <v>13772</v>
      </c>
    </row>
    <row r="393" spans="1:65">
      <c r="A393">
        <v>1747</v>
      </c>
      <c r="B393">
        <v>1</v>
      </c>
      <c r="C393">
        <v>388</v>
      </c>
      <c r="D393" t="s">
        <v>4132</v>
      </c>
      <c r="E393" t="s">
        <v>4133</v>
      </c>
      <c r="F393" t="s">
        <v>73</v>
      </c>
      <c r="G393">
        <v>25.7</v>
      </c>
      <c r="H393">
        <v>627</v>
      </c>
      <c r="I393">
        <v>67917</v>
      </c>
      <c r="J393" t="s">
        <v>4134</v>
      </c>
      <c r="K393" s="3" t="s">
        <v>73</v>
      </c>
      <c r="L393">
        <v>104</v>
      </c>
      <c r="M393">
        <v>104</v>
      </c>
      <c r="N393">
        <v>1</v>
      </c>
      <c r="O393" s="11">
        <f t="shared" si="6"/>
        <v>7.3439089684714052</v>
      </c>
      <c r="P393" s="36">
        <v>6.0582169791736504</v>
      </c>
      <c r="Q393" s="36">
        <v>11.556769448129399</v>
      </c>
      <c r="R393" s="36">
        <v>24.0119649271839</v>
      </c>
      <c r="S393" s="36">
        <v>22.6788263872984</v>
      </c>
      <c r="T393" s="36">
        <v>14.6229981189272</v>
      </c>
      <c r="U393" s="36">
        <v>8.3675452197554208</v>
      </c>
      <c r="V393" s="36">
        <v>8.4324982629171306</v>
      </c>
      <c r="W393" s="36">
        <v>10.7050195778054</v>
      </c>
      <c r="X393" s="37">
        <v>0.19868957331123899</v>
      </c>
      <c r="Y393" s="37">
        <v>0.63064964688828595</v>
      </c>
      <c r="Z393" s="37">
        <v>2.4001630448020301</v>
      </c>
      <c r="AA393" s="37">
        <v>0.21163676164998499</v>
      </c>
      <c r="AB393" s="37">
        <v>1.8375851316302301</v>
      </c>
      <c r="AC393" s="37">
        <v>2.36757171115537</v>
      </c>
      <c r="AD393" s="37">
        <v>0.377135011965606</v>
      </c>
      <c r="AE393" s="37">
        <v>3.0452736929492299</v>
      </c>
      <c r="AF393" s="45">
        <v>-3.1770571849664</v>
      </c>
      <c r="AG393" s="45">
        <v>-9.6157448422478708</v>
      </c>
      <c r="AH393" s="46">
        <v>1.63696107628405E-10</v>
      </c>
      <c r="AI393" s="47">
        <v>2.6074451429381699E-9</v>
      </c>
      <c r="AJ393" s="48">
        <v>13.3042298651488</v>
      </c>
      <c r="AK393" s="49">
        <v>1.3835880717939999</v>
      </c>
      <c r="AL393" s="31" t="s">
        <v>5875</v>
      </c>
      <c r="AM393" s="31" t="s">
        <v>5876</v>
      </c>
      <c r="AN393" s="31" t="s">
        <v>30547</v>
      </c>
      <c r="AO393" s="31" t="s">
        <v>30548</v>
      </c>
      <c r="AP393" s="31" t="s">
        <v>30549</v>
      </c>
      <c r="AQ393" s="31" t="s">
        <v>30550</v>
      </c>
      <c r="AR393" s="31" t="s">
        <v>30551</v>
      </c>
      <c r="AS393" s="31" t="str">
        <f>"CD55"</f>
        <v>CD55</v>
      </c>
      <c r="AT393" s="31" t="s">
        <v>30552</v>
      </c>
      <c r="AU393" s="31" t="s">
        <v>13777</v>
      </c>
      <c r="AV393" s="31">
        <v>9606</v>
      </c>
      <c r="AW393" s="50" t="str">
        <f>HYPERLINK("http://www.uniprot.org/uniprot/P08174", "P08174")</f>
        <v>P08174</v>
      </c>
      <c r="AX393" s="31" t="s">
        <v>30553</v>
      </c>
      <c r="AY393" s="31" t="s">
        <v>25999</v>
      </c>
      <c r="AZ393" s="31" t="s">
        <v>14336</v>
      </c>
      <c r="BA393" s="31" t="s">
        <v>13780</v>
      </c>
      <c r="BB393" s="31" t="s">
        <v>13772</v>
      </c>
      <c r="BC393" s="31" t="s">
        <v>13807</v>
      </c>
      <c r="BD393" s="31" t="s">
        <v>28012</v>
      </c>
      <c r="BE393" s="31" t="s">
        <v>13772</v>
      </c>
      <c r="BF393" s="31" t="s">
        <v>30554</v>
      </c>
      <c r="BG393" s="31" t="s">
        <v>15699</v>
      </c>
      <c r="BH393" s="31" t="s">
        <v>13812</v>
      </c>
      <c r="BI393" s="31" t="s">
        <v>30555</v>
      </c>
      <c r="BJ393" s="31" t="s">
        <v>30556</v>
      </c>
      <c r="BK393" s="31" t="s">
        <v>30557</v>
      </c>
      <c r="BL393" s="31" t="s">
        <v>13772</v>
      </c>
      <c r="BM393" s="31" t="s">
        <v>30558</v>
      </c>
    </row>
    <row r="394" spans="1:65">
      <c r="A394">
        <v>893</v>
      </c>
      <c r="B394">
        <v>1</v>
      </c>
      <c r="C394">
        <v>389</v>
      </c>
      <c r="D394" t="s">
        <v>2182</v>
      </c>
      <c r="E394" t="s">
        <v>73</v>
      </c>
      <c r="F394" t="s">
        <v>73</v>
      </c>
      <c r="G394">
        <v>50</v>
      </c>
      <c r="H394">
        <v>134</v>
      </c>
      <c r="I394">
        <v>15718</v>
      </c>
      <c r="J394" t="s">
        <v>2183</v>
      </c>
      <c r="K394" s="3" t="s">
        <v>73</v>
      </c>
      <c r="L394">
        <v>103</v>
      </c>
      <c r="M394">
        <v>103</v>
      </c>
      <c r="N394">
        <v>1</v>
      </c>
      <c r="O394" s="11">
        <f t="shared" si="6"/>
        <v>5.6030590758429835</v>
      </c>
      <c r="P394" s="36">
        <v>3.6349301875041902</v>
      </c>
      <c r="Q394" s="36">
        <v>0.24076603016936199</v>
      </c>
      <c r="R394" s="36">
        <v>4.8023929854367697</v>
      </c>
      <c r="S394" s="36">
        <v>1.5119217591532299</v>
      </c>
      <c r="T394" s="36">
        <v>0.86017635993689201</v>
      </c>
      <c r="U394" s="36">
        <v>0.23243181165987301</v>
      </c>
      <c r="V394" s="36">
        <v>0.26351557071616</v>
      </c>
      <c r="W394" s="36">
        <v>8.7586523818407507</v>
      </c>
      <c r="X394" s="37">
        <v>3.9737914662247902</v>
      </c>
      <c r="Y394" s="37">
        <v>5.0451971751062796</v>
      </c>
      <c r="Z394" s="37">
        <v>10.400706527475499</v>
      </c>
      <c r="AA394" s="37">
        <v>4.2327352329997003</v>
      </c>
      <c r="AB394" s="37">
        <v>3.6751702632604601</v>
      </c>
      <c r="AC394" s="37">
        <v>26.8324793930942</v>
      </c>
      <c r="AD394" s="37">
        <v>4.5256201435872701</v>
      </c>
      <c r="AE394" s="37">
        <v>10.658457925322301</v>
      </c>
      <c r="AF394" s="45">
        <v>1.7626084779328199</v>
      </c>
      <c r="AG394" s="45">
        <v>3.4151630269227402</v>
      </c>
      <c r="AH394" s="46">
        <v>7.37807534258632E-3</v>
      </c>
      <c r="AI394" s="47">
        <v>1.39828113433151E-2</v>
      </c>
      <c r="AJ394" s="48">
        <v>2.53809838580215</v>
      </c>
      <c r="AK394" s="49">
        <v>8.6680197658838107</v>
      </c>
      <c r="AL394" s="31" t="s">
        <v>5874</v>
      </c>
      <c r="AM394" s="31" t="s">
        <v>5878</v>
      </c>
      <c r="AN394" s="31" t="s">
        <v>22594</v>
      </c>
      <c r="AO394" s="31" t="s">
        <v>22595</v>
      </c>
      <c r="AP394" s="31" t="s">
        <v>22596</v>
      </c>
      <c r="AQ394" s="31" t="s">
        <v>22597</v>
      </c>
      <c r="AR394" s="31" t="s">
        <v>22598</v>
      </c>
      <c r="AS394" s="31" t="str">
        <f>"RBP2"</f>
        <v>RBP2</v>
      </c>
      <c r="AT394" s="31" t="s">
        <v>22599</v>
      </c>
      <c r="AU394" s="31" t="s">
        <v>13777</v>
      </c>
      <c r="AV394" s="31">
        <v>9606</v>
      </c>
      <c r="AW394" s="50" t="str">
        <f>HYPERLINK("http://www.uniprot.org/uniprot/P50120", "P50120")</f>
        <v>P50120</v>
      </c>
      <c r="AX394" s="31" t="s">
        <v>18428</v>
      </c>
      <c r="AY394" s="31" t="s">
        <v>14192</v>
      </c>
      <c r="AZ394" s="31" t="s">
        <v>13899</v>
      </c>
      <c r="BA394" s="31" t="s">
        <v>13772</v>
      </c>
      <c r="BB394" s="31" t="s">
        <v>13772</v>
      </c>
      <c r="BC394" s="31" t="s">
        <v>13772</v>
      </c>
      <c r="BD394" s="31" t="s">
        <v>13772</v>
      </c>
      <c r="BE394" s="31" t="s">
        <v>15687</v>
      </c>
      <c r="BF394" s="31" t="s">
        <v>13772</v>
      </c>
      <c r="BG394" s="31" t="s">
        <v>13772</v>
      </c>
      <c r="BH394" s="31" t="s">
        <v>13812</v>
      </c>
      <c r="BI394" s="31" t="s">
        <v>22600</v>
      </c>
      <c r="BJ394" s="31" t="s">
        <v>13902</v>
      </c>
      <c r="BK394" s="31" t="s">
        <v>22601</v>
      </c>
      <c r="BL394" s="31" t="s">
        <v>13772</v>
      </c>
      <c r="BM394" s="31" t="s">
        <v>22602</v>
      </c>
    </row>
    <row r="395" spans="1:65">
      <c r="A395">
        <v>1978</v>
      </c>
      <c r="B395">
        <v>1</v>
      </c>
      <c r="C395">
        <v>390</v>
      </c>
      <c r="D395" t="s">
        <v>4658</v>
      </c>
      <c r="E395" t="s">
        <v>73</v>
      </c>
      <c r="F395" t="s">
        <v>73</v>
      </c>
      <c r="G395">
        <v>60</v>
      </c>
      <c r="H395">
        <v>105</v>
      </c>
      <c r="I395">
        <v>11784</v>
      </c>
      <c r="J395" t="s">
        <v>4659</v>
      </c>
      <c r="K395" s="3" t="s">
        <v>73</v>
      </c>
      <c r="L395">
        <v>103</v>
      </c>
      <c r="M395">
        <v>103</v>
      </c>
      <c r="N395">
        <v>1</v>
      </c>
      <c r="O395" s="11">
        <f t="shared" si="6"/>
        <v>5.4660102108283573</v>
      </c>
      <c r="P395" s="36">
        <v>1.2116433958347299</v>
      </c>
      <c r="Q395" s="36">
        <v>0.24076603016936199</v>
      </c>
      <c r="R395" s="36">
        <v>0.40019941545306398</v>
      </c>
      <c r="S395" s="36">
        <v>0.37798043978830698</v>
      </c>
      <c r="T395" s="36">
        <v>0.215044089984223</v>
      </c>
      <c r="U395" s="36">
        <v>2.7891817399184702</v>
      </c>
      <c r="V395" s="36">
        <v>3.1621868485939202</v>
      </c>
      <c r="W395" s="36">
        <v>9.7318359798230603</v>
      </c>
      <c r="X395" s="37">
        <v>11.9213743986744</v>
      </c>
      <c r="Y395" s="37">
        <v>5.6758468219945701</v>
      </c>
      <c r="Z395" s="37">
        <v>6.4004347861387396</v>
      </c>
      <c r="AA395" s="37">
        <v>7.6189234193994704</v>
      </c>
      <c r="AB395" s="37">
        <v>17.457058750487199</v>
      </c>
      <c r="AC395" s="37">
        <v>14.2054302669323</v>
      </c>
      <c r="AD395" s="37">
        <v>4.5256201435872701</v>
      </c>
      <c r="AE395" s="37">
        <v>1.5226368464746201</v>
      </c>
      <c r="AF395" s="45">
        <v>1.84297721894781</v>
      </c>
      <c r="AG395" s="45">
        <v>3.8241461292113801</v>
      </c>
      <c r="AH395" s="46">
        <v>2.2436475542641902E-3</v>
      </c>
      <c r="AI395" s="47">
        <v>4.6470594854574098E-3</v>
      </c>
      <c r="AJ395" s="48">
        <v>2.26610474244564</v>
      </c>
      <c r="AK395" s="49">
        <v>8.6659156792110608</v>
      </c>
      <c r="AL395" s="31" t="s">
        <v>5874</v>
      </c>
      <c r="AM395" s="31" t="s">
        <v>5876</v>
      </c>
      <c r="AN395" s="31" t="s">
        <v>32746</v>
      </c>
      <c r="AO395" s="31" t="s">
        <v>32747</v>
      </c>
      <c r="AP395" s="31" t="s">
        <v>32748</v>
      </c>
      <c r="AQ395" s="31" t="s">
        <v>32749</v>
      </c>
      <c r="AR395" s="31" t="s">
        <v>32750</v>
      </c>
      <c r="AS395" s="31" t="str">
        <f>"TXN"</f>
        <v>TXN</v>
      </c>
      <c r="AT395" s="31" t="s">
        <v>32751</v>
      </c>
      <c r="AU395" s="31" t="s">
        <v>13777</v>
      </c>
      <c r="AV395" s="31">
        <v>9606</v>
      </c>
      <c r="AW395" s="50" t="str">
        <f>HYPERLINK("http://www.uniprot.org/uniprot/P10599", "P10599")</f>
        <v>P10599</v>
      </c>
      <c r="AX395" s="31" t="s">
        <v>32752</v>
      </c>
      <c r="AY395" s="31" t="s">
        <v>32753</v>
      </c>
      <c r="AZ395" s="31" t="s">
        <v>14276</v>
      </c>
      <c r="BA395" s="31" t="s">
        <v>13841</v>
      </c>
      <c r="BB395" s="31" t="s">
        <v>13772</v>
      </c>
      <c r="BC395" s="31" t="s">
        <v>13772</v>
      </c>
      <c r="BD395" s="31" t="s">
        <v>18188</v>
      </c>
      <c r="BE395" s="31" t="s">
        <v>13772</v>
      </c>
      <c r="BF395" s="31" t="s">
        <v>21754</v>
      </c>
      <c r="BG395" s="31" t="s">
        <v>32754</v>
      </c>
      <c r="BH395" s="31" t="s">
        <v>13812</v>
      </c>
      <c r="BI395" s="31" t="s">
        <v>32755</v>
      </c>
      <c r="BJ395" s="31" t="s">
        <v>18925</v>
      </c>
      <c r="BK395" s="31" t="s">
        <v>32756</v>
      </c>
      <c r="BL395" s="31" t="s">
        <v>13772</v>
      </c>
      <c r="BM395" s="31" t="s">
        <v>32757</v>
      </c>
    </row>
    <row r="396" spans="1:65">
      <c r="A396">
        <v>2244</v>
      </c>
      <c r="B396">
        <v>1</v>
      </c>
      <c r="C396">
        <v>391</v>
      </c>
      <c r="D396" t="s">
        <v>5249</v>
      </c>
      <c r="E396" t="s">
        <v>73</v>
      </c>
      <c r="F396" t="s">
        <v>73</v>
      </c>
      <c r="G396">
        <v>52.3</v>
      </c>
      <c r="H396">
        <v>130</v>
      </c>
      <c r="I396">
        <v>14162</v>
      </c>
      <c r="J396" t="s">
        <v>5250</v>
      </c>
      <c r="K396" s="3" t="s">
        <v>73</v>
      </c>
      <c r="L396">
        <v>103</v>
      </c>
      <c r="M396">
        <v>103</v>
      </c>
      <c r="N396">
        <v>1</v>
      </c>
      <c r="O396" s="11">
        <f t="shared" si="6"/>
        <v>6.7454786881199844</v>
      </c>
      <c r="P396" s="36">
        <v>9.6931471666778304</v>
      </c>
      <c r="Q396" s="36">
        <v>16.372090051516601</v>
      </c>
      <c r="R396" s="36">
        <v>8.00398830906129</v>
      </c>
      <c r="S396" s="36">
        <v>10.5834523140726</v>
      </c>
      <c r="T396" s="36">
        <v>2.5805290798106801</v>
      </c>
      <c r="U396" s="36">
        <v>8.3675452197554208</v>
      </c>
      <c r="V396" s="36">
        <v>3.1621868485939202</v>
      </c>
      <c r="W396" s="36">
        <v>5.8391015878938397</v>
      </c>
      <c r="X396" s="37">
        <v>3.9737914662247902</v>
      </c>
      <c r="Y396" s="37">
        <v>3.1532482344414299</v>
      </c>
      <c r="Z396" s="37">
        <v>2.4001630448020301</v>
      </c>
      <c r="AA396" s="37">
        <v>3.3861881863997598</v>
      </c>
      <c r="AB396" s="37">
        <v>7.3503405265209096</v>
      </c>
      <c r="AC396" s="37">
        <v>7.8919057038512497</v>
      </c>
      <c r="AD396" s="37">
        <v>6.0341601914496898</v>
      </c>
      <c r="AE396" s="37">
        <v>9.1358210788476999</v>
      </c>
      <c r="AF396" s="45">
        <v>-0.605838083322636</v>
      </c>
      <c r="AG396" s="45">
        <v>-1.4910817875104101</v>
      </c>
      <c r="AH396" s="46">
        <v>0.18739473591424699</v>
      </c>
      <c r="AI396" s="47">
        <v>0.248251640250755</v>
      </c>
      <c r="AJ396" s="48">
        <v>8.0752550721727694</v>
      </c>
      <c r="AK396" s="49">
        <v>5.4157023040671897</v>
      </c>
      <c r="AL396" s="31" t="s">
        <v>5875</v>
      </c>
      <c r="AM396" s="31" t="s">
        <v>5832</v>
      </c>
      <c r="AN396" s="31" t="s">
        <v>35188</v>
      </c>
      <c r="AO396" s="31" t="s">
        <v>35189</v>
      </c>
      <c r="AP396" s="31" t="s">
        <v>35190</v>
      </c>
      <c r="AQ396" s="31" t="s">
        <v>35191</v>
      </c>
      <c r="AR396" s="31" t="s">
        <v>35192</v>
      </c>
      <c r="AS396" s="31" t="str">
        <f>"SLPI"</f>
        <v>SLPI</v>
      </c>
      <c r="AT396" s="31" t="s">
        <v>35193</v>
      </c>
      <c r="AU396" s="31" t="s">
        <v>13777</v>
      </c>
      <c r="AV396" s="31">
        <v>9606</v>
      </c>
      <c r="AW396" s="50" t="str">
        <f>HYPERLINK("http://www.uniprot.org/uniprot/P03973", "P03973")</f>
        <v>P03973</v>
      </c>
      <c r="AX396" s="31" t="s">
        <v>35194</v>
      </c>
      <c r="AY396" s="31" t="s">
        <v>22793</v>
      </c>
      <c r="AZ396" s="31" t="s">
        <v>14321</v>
      </c>
      <c r="BA396" s="31" t="s">
        <v>13772</v>
      </c>
      <c r="BB396" s="31" t="s">
        <v>13772</v>
      </c>
      <c r="BC396" s="31" t="s">
        <v>13772</v>
      </c>
      <c r="BD396" s="31" t="s">
        <v>14404</v>
      </c>
      <c r="BE396" s="31" t="s">
        <v>13772</v>
      </c>
      <c r="BF396" s="31" t="s">
        <v>35195</v>
      </c>
      <c r="BG396" s="31" t="s">
        <v>14506</v>
      </c>
      <c r="BH396" s="31" t="s">
        <v>13812</v>
      </c>
      <c r="BI396" s="31" t="s">
        <v>35196</v>
      </c>
      <c r="BJ396" s="31" t="s">
        <v>35197</v>
      </c>
      <c r="BK396" s="31" t="s">
        <v>35198</v>
      </c>
      <c r="BL396" s="31" t="s">
        <v>13772</v>
      </c>
      <c r="BM396" s="31" t="s">
        <v>13890</v>
      </c>
    </row>
    <row r="397" spans="1:65">
      <c r="A397">
        <v>734</v>
      </c>
      <c r="B397">
        <v>1</v>
      </c>
      <c r="C397">
        <v>392</v>
      </c>
      <c r="D397" t="s">
        <v>1800</v>
      </c>
      <c r="E397" t="s">
        <v>73</v>
      </c>
      <c r="F397" t="s">
        <v>73</v>
      </c>
      <c r="G397">
        <v>35.4</v>
      </c>
      <c r="H397">
        <v>793</v>
      </c>
      <c r="I397">
        <v>89052</v>
      </c>
      <c r="J397" t="s">
        <v>1801</v>
      </c>
      <c r="K397" s="3" t="s">
        <v>73</v>
      </c>
      <c r="L397">
        <v>102</v>
      </c>
      <c r="M397">
        <v>102</v>
      </c>
      <c r="N397">
        <v>1</v>
      </c>
      <c r="O397" s="11">
        <f t="shared" si="6"/>
        <v>6.1251292381498574</v>
      </c>
      <c r="P397" s="36">
        <v>13.328077354182</v>
      </c>
      <c r="Q397" s="36">
        <v>8.6675770860970207</v>
      </c>
      <c r="R397" s="36">
        <v>16.007976618122601</v>
      </c>
      <c r="S397" s="36">
        <v>16.631139350685501</v>
      </c>
      <c r="T397" s="36">
        <v>9.4619399593058091</v>
      </c>
      <c r="U397" s="36">
        <v>6.50809072647644</v>
      </c>
      <c r="V397" s="36">
        <v>10.5406228286464</v>
      </c>
      <c r="W397" s="36">
        <v>0.97318359798230603</v>
      </c>
      <c r="X397" s="37">
        <v>0.19868957331123899</v>
      </c>
      <c r="Y397" s="37">
        <v>0.15766241172207099</v>
      </c>
      <c r="Z397" s="37">
        <v>1.60010869653469</v>
      </c>
      <c r="AA397" s="37">
        <v>3.3861881863997598</v>
      </c>
      <c r="AB397" s="37">
        <v>3.6751702632604601</v>
      </c>
      <c r="AC397" s="37">
        <v>0.78919057038512497</v>
      </c>
      <c r="AD397" s="37">
        <v>1.50854004786242</v>
      </c>
      <c r="AE397" s="37">
        <v>4.5679105394238499</v>
      </c>
      <c r="AF397" s="45">
        <v>-2.38324683064431</v>
      </c>
      <c r="AG397" s="45">
        <v>-5.1700703768490497</v>
      </c>
      <c r="AH397" s="46">
        <v>1.52202915364473E-5</v>
      </c>
      <c r="AI397" s="47">
        <v>5.30332033223086E-5</v>
      </c>
      <c r="AJ397" s="48">
        <v>10.264825940187301</v>
      </c>
      <c r="AK397" s="49">
        <v>1.9854325361124501</v>
      </c>
      <c r="AL397" s="31" t="s">
        <v>5875</v>
      </c>
      <c r="AM397" s="31" t="s">
        <v>5876</v>
      </c>
      <c r="AN397" s="31" t="s">
        <v>20989</v>
      </c>
      <c r="AO397" s="31" t="s">
        <v>20990</v>
      </c>
      <c r="AP397" s="31" t="s">
        <v>20991</v>
      </c>
      <c r="AQ397" s="31" t="s">
        <v>20992</v>
      </c>
      <c r="AR397" s="31" t="s">
        <v>20993</v>
      </c>
      <c r="AS397" s="31" t="str">
        <f>"MST1"</f>
        <v>MST1</v>
      </c>
      <c r="AT397" s="31" t="s">
        <v>20994</v>
      </c>
      <c r="AU397" s="31" t="s">
        <v>13777</v>
      </c>
      <c r="AV397" s="31">
        <v>9606</v>
      </c>
      <c r="AW397" s="50" t="str">
        <f>HYPERLINK("http://www.uniprot.org/uniprot/P26927", "P26927")</f>
        <v>P26927</v>
      </c>
      <c r="AX397" s="31" t="s">
        <v>20995</v>
      </c>
      <c r="AY397" s="31" t="s">
        <v>13772</v>
      </c>
      <c r="AZ397" s="31" t="s">
        <v>14321</v>
      </c>
      <c r="BA397" s="31" t="s">
        <v>13793</v>
      </c>
      <c r="BB397" s="31" t="s">
        <v>13772</v>
      </c>
      <c r="BC397" s="31" t="s">
        <v>13772</v>
      </c>
      <c r="BD397" s="31" t="s">
        <v>20047</v>
      </c>
      <c r="BE397" s="31" t="s">
        <v>13772</v>
      </c>
      <c r="BF397" s="31" t="s">
        <v>20996</v>
      </c>
      <c r="BG397" s="31" t="s">
        <v>13796</v>
      </c>
      <c r="BH397" s="31" t="s">
        <v>13812</v>
      </c>
      <c r="BI397" s="31" t="s">
        <v>20997</v>
      </c>
      <c r="BJ397" s="31" t="s">
        <v>20998</v>
      </c>
      <c r="BK397" s="31" t="s">
        <v>20999</v>
      </c>
      <c r="BL397" s="31" t="s">
        <v>13772</v>
      </c>
      <c r="BM397" s="31" t="s">
        <v>21000</v>
      </c>
    </row>
    <row r="398" spans="1:65">
      <c r="A398">
        <v>2080</v>
      </c>
      <c r="B398">
        <v>1</v>
      </c>
      <c r="C398">
        <v>393</v>
      </c>
      <c r="D398" t="s">
        <v>4889</v>
      </c>
      <c r="E398" t="s">
        <v>73</v>
      </c>
      <c r="F398" t="s">
        <v>73</v>
      </c>
      <c r="G398">
        <v>78.2</v>
      </c>
      <c r="H398">
        <v>101</v>
      </c>
      <c r="I398">
        <v>11360</v>
      </c>
      <c r="J398" t="s">
        <v>4890</v>
      </c>
      <c r="K398" s="3" t="s">
        <v>73</v>
      </c>
      <c r="L398">
        <v>102</v>
      </c>
      <c r="M398">
        <v>102</v>
      </c>
      <c r="N398">
        <v>1</v>
      </c>
      <c r="O398" s="11">
        <f t="shared" si="6"/>
        <v>3.2609428500071025</v>
      </c>
      <c r="P398" s="36">
        <v>2.4232867916694598</v>
      </c>
      <c r="Q398" s="36">
        <v>8.6675770860970207</v>
      </c>
      <c r="R398" s="36">
        <v>0.40019941545306398</v>
      </c>
      <c r="S398" s="36">
        <v>1.5119217591532299</v>
      </c>
      <c r="T398" s="36">
        <v>0.215044089984223</v>
      </c>
      <c r="U398" s="36">
        <v>0.92972724663949102</v>
      </c>
      <c r="V398" s="36">
        <v>3.1621868485939202</v>
      </c>
      <c r="W398" s="36">
        <v>2.9195507939469199</v>
      </c>
      <c r="X398" s="37">
        <v>0.79475829324495695</v>
      </c>
      <c r="Y398" s="37">
        <v>2.5225985875531398</v>
      </c>
      <c r="Z398" s="37">
        <v>2.4001630448020301</v>
      </c>
      <c r="AA398" s="37">
        <v>5.9258293261995796</v>
      </c>
      <c r="AB398" s="37">
        <v>11.0255107897814</v>
      </c>
      <c r="AC398" s="37">
        <v>0.19729764259628099</v>
      </c>
      <c r="AD398" s="37">
        <v>6.0341601914496898</v>
      </c>
      <c r="AE398" s="37">
        <v>3.0452736929492299</v>
      </c>
      <c r="AF398" s="45">
        <v>0.57049981618771795</v>
      </c>
      <c r="AG398" s="45">
        <v>1.5791591978906601</v>
      </c>
      <c r="AH398" s="46">
        <v>0.39535590622523198</v>
      </c>
      <c r="AI398" s="47">
        <v>0.47828770572274798</v>
      </c>
      <c r="AJ398" s="48">
        <v>2.52868675394217</v>
      </c>
      <c r="AK398" s="49">
        <v>3.9931989460720398</v>
      </c>
      <c r="AL398" s="31" t="s">
        <v>5874</v>
      </c>
      <c r="AM398" s="31" t="s">
        <v>5832</v>
      </c>
      <c r="AN398" s="31" t="s">
        <v>33696</v>
      </c>
      <c r="AO398" s="31" t="s">
        <v>33697</v>
      </c>
      <c r="AP398" s="31" t="s">
        <v>33698</v>
      </c>
      <c r="AQ398" s="31" t="s">
        <v>33699</v>
      </c>
      <c r="AR398" s="31" t="s">
        <v>33700</v>
      </c>
      <c r="AS398" s="31" t="str">
        <f>"APOC2"</f>
        <v>APOC2</v>
      </c>
      <c r="AT398" s="31" t="s">
        <v>33701</v>
      </c>
      <c r="AU398" s="31" t="s">
        <v>13777</v>
      </c>
      <c r="AV398" s="31">
        <v>9606</v>
      </c>
      <c r="AW398" s="50" t="str">
        <f>HYPERLINK("http://www.uniprot.org/uniprot/P02655", "P02655")</f>
        <v>P02655</v>
      </c>
      <c r="AX398" s="31" t="s">
        <v>33702</v>
      </c>
      <c r="AY398" s="31" t="s">
        <v>19238</v>
      </c>
      <c r="AZ398" s="31" t="s">
        <v>33703</v>
      </c>
      <c r="BA398" s="31" t="s">
        <v>13793</v>
      </c>
      <c r="BB398" s="31" t="s">
        <v>13772</v>
      </c>
      <c r="BC398" s="31" t="s">
        <v>26132</v>
      </c>
      <c r="BD398" s="31" t="s">
        <v>13808</v>
      </c>
      <c r="BE398" s="31" t="s">
        <v>17535</v>
      </c>
      <c r="BF398" s="31" t="s">
        <v>13772</v>
      </c>
      <c r="BG398" s="31" t="s">
        <v>13858</v>
      </c>
      <c r="BH398" s="31" t="s">
        <v>13812</v>
      </c>
      <c r="BI398" s="31" t="s">
        <v>33704</v>
      </c>
      <c r="BJ398" s="31" t="s">
        <v>33705</v>
      </c>
      <c r="BK398" s="31" t="s">
        <v>33706</v>
      </c>
      <c r="BL398" s="31" t="s">
        <v>13772</v>
      </c>
      <c r="BM398" s="31" t="s">
        <v>33707</v>
      </c>
    </row>
    <row r="399" spans="1:65">
      <c r="A399">
        <v>63</v>
      </c>
      <c r="B399">
        <v>1</v>
      </c>
      <c r="C399">
        <v>394</v>
      </c>
      <c r="D399" t="s">
        <v>181</v>
      </c>
      <c r="E399" t="s">
        <v>73</v>
      </c>
      <c r="F399" t="s">
        <v>73</v>
      </c>
      <c r="G399">
        <v>44.8</v>
      </c>
      <c r="H399">
        <v>400</v>
      </c>
      <c r="I399">
        <v>42614</v>
      </c>
      <c r="J399" t="s">
        <v>182</v>
      </c>
      <c r="K399" s="3" t="s">
        <v>73</v>
      </c>
      <c r="L399">
        <v>101</v>
      </c>
      <c r="M399">
        <v>101</v>
      </c>
      <c r="N399">
        <v>1</v>
      </c>
      <c r="O399" s="11">
        <f t="shared" si="6"/>
        <v>5.7162592364391989</v>
      </c>
      <c r="P399" s="36">
        <v>0.30291084895868198</v>
      </c>
      <c r="Q399" s="36">
        <v>4.8153206033872298</v>
      </c>
      <c r="R399" s="36">
        <v>4.8023929854367697</v>
      </c>
      <c r="S399" s="36">
        <v>7.5596087957661497</v>
      </c>
      <c r="T399" s="36">
        <v>11.1822926791796</v>
      </c>
      <c r="U399" s="36">
        <v>7.43781797311593</v>
      </c>
      <c r="V399" s="36">
        <v>9.4865605457817708</v>
      </c>
      <c r="W399" s="36">
        <v>0.97318359798230603</v>
      </c>
      <c r="X399" s="37">
        <v>11.9213743986744</v>
      </c>
      <c r="Y399" s="37">
        <v>6.9371461157711396</v>
      </c>
      <c r="Z399" s="37">
        <v>4.0002717413367099</v>
      </c>
      <c r="AA399" s="37">
        <v>8.4654704659994096</v>
      </c>
      <c r="AB399" s="37">
        <v>5.5127553948906796</v>
      </c>
      <c r="AC399" s="37">
        <v>3.1567622815404999</v>
      </c>
      <c r="AD399" s="37">
        <v>4.5256201435872701</v>
      </c>
      <c r="AE399" s="37">
        <v>0.38065921161865401</v>
      </c>
      <c r="AF399" s="45">
        <v>-2.14444364515151E-2</v>
      </c>
      <c r="AG399" s="45">
        <v>-1.03697162732759</v>
      </c>
      <c r="AH399" s="46">
        <v>1</v>
      </c>
      <c r="AI399" s="47">
        <v>1</v>
      </c>
      <c r="AJ399" s="48">
        <v>5.8200110037010502</v>
      </c>
      <c r="AK399" s="49">
        <v>5.6125074691773396</v>
      </c>
      <c r="AL399" s="31" t="s">
        <v>5875</v>
      </c>
      <c r="AM399" s="31" t="s">
        <v>5832</v>
      </c>
      <c r="AN399" s="31" t="s">
        <v>13879</v>
      </c>
      <c r="AO399" s="31" t="s">
        <v>13772</v>
      </c>
      <c r="AP399" s="31" t="s">
        <v>13880</v>
      </c>
      <c r="AQ399" s="31" t="s">
        <v>13881</v>
      </c>
      <c r="AR399" s="31" t="s">
        <v>13882</v>
      </c>
      <c r="AS399" s="31" t="str">
        <f>"VAT1"</f>
        <v>VAT1</v>
      </c>
      <c r="AT399" s="31" t="s">
        <v>13772</v>
      </c>
      <c r="AU399" s="31" t="s">
        <v>13777</v>
      </c>
      <c r="AV399" s="31">
        <v>9606</v>
      </c>
      <c r="AW399" s="50" t="str">
        <f>HYPERLINK("http://www.uniprot.org/uniprot/Q99536", "Q99536")</f>
        <v>Q99536</v>
      </c>
      <c r="AX399" s="31" t="s">
        <v>13883</v>
      </c>
      <c r="AY399" s="31" t="s">
        <v>13772</v>
      </c>
      <c r="AZ399" s="31" t="s">
        <v>13884</v>
      </c>
      <c r="BA399" s="31" t="s">
        <v>13841</v>
      </c>
      <c r="BB399" s="31" t="s">
        <v>13772</v>
      </c>
      <c r="BC399" s="31" t="s">
        <v>13772</v>
      </c>
      <c r="BD399" s="31" t="s">
        <v>13772</v>
      </c>
      <c r="BE399" s="31" t="s">
        <v>13772</v>
      </c>
      <c r="BF399" s="31" t="s">
        <v>13885</v>
      </c>
      <c r="BG399" s="31" t="s">
        <v>13886</v>
      </c>
      <c r="BH399" s="31" t="s">
        <v>13772</v>
      </c>
      <c r="BI399" s="31" t="s">
        <v>13887</v>
      </c>
      <c r="BJ399" s="31" t="s">
        <v>13888</v>
      </c>
      <c r="BK399" s="31" t="s">
        <v>13889</v>
      </c>
      <c r="BL399" s="31" t="s">
        <v>13772</v>
      </c>
      <c r="BM399" s="31" t="s">
        <v>13890</v>
      </c>
    </row>
    <row r="400" spans="1:65">
      <c r="A400">
        <v>550</v>
      </c>
      <c r="B400">
        <v>1</v>
      </c>
      <c r="C400">
        <v>395</v>
      </c>
      <c r="D400" t="s">
        <v>1372</v>
      </c>
      <c r="E400" t="s">
        <v>1373</v>
      </c>
      <c r="F400" t="s">
        <v>73</v>
      </c>
      <c r="G400">
        <v>31</v>
      </c>
      <c r="H400">
        <v>378</v>
      </c>
      <c r="I400">
        <v>40709</v>
      </c>
      <c r="J400" t="s">
        <v>1374</v>
      </c>
      <c r="K400" s="3" t="s">
        <v>73</v>
      </c>
      <c r="L400">
        <v>101</v>
      </c>
      <c r="M400">
        <v>101</v>
      </c>
      <c r="N400">
        <v>1</v>
      </c>
      <c r="O400" s="11">
        <f t="shared" si="6"/>
        <v>6.111446433849947</v>
      </c>
      <c r="P400" s="36">
        <v>7.2698603750083803</v>
      </c>
      <c r="Q400" s="36">
        <v>7.7045129654195703</v>
      </c>
      <c r="R400" s="36">
        <v>6.4031906472490299</v>
      </c>
      <c r="S400" s="36">
        <v>9.0715305549193808</v>
      </c>
      <c r="T400" s="36">
        <v>4.3008817996844604</v>
      </c>
      <c r="U400" s="36">
        <v>2.7891817399184702</v>
      </c>
      <c r="V400" s="36">
        <v>7.3784359800524904</v>
      </c>
      <c r="W400" s="36">
        <v>0.24329589949557701</v>
      </c>
      <c r="X400" s="37">
        <v>7.1528246392046197</v>
      </c>
      <c r="Y400" s="37">
        <v>6.3064964688828598</v>
      </c>
      <c r="Z400" s="37">
        <v>7.2004891344060802</v>
      </c>
      <c r="AA400" s="37">
        <v>4.2327352329997003</v>
      </c>
      <c r="AB400" s="37">
        <v>5.5127553948906796</v>
      </c>
      <c r="AC400" s="37">
        <v>5.5243339926958699</v>
      </c>
      <c r="AD400" s="37">
        <v>6.0341601914496898</v>
      </c>
      <c r="AE400" s="37">
        <v>10.658457925322301</v>
      </c>
      <c r="AF400" s="45">
        <v>0.23906987007982899</v>
      </c>
      <c r="AG400" s="45">
        <v>1.16521736007471</v>
      </c>
      <c r="AH400" s="46">
        <v>0.63448415985828899</v>
      </c>
      <c r="AI400" s="47">
        <v>0.70744983824199204</v>
      </c>
      <c r="AJ400" s="48">
        <v>5.6451112452184198</v>
      </c>
      <c r="AK400" s="49">
        <v>6.5777816224814796</v>
      </c>
      <c r="AL400" s="31" t="s">
        <v>5874</v>
      </c>
      <c r="AM400" s="31" t="s">
        <v>5832</v>
      </c>
      <c r="AN400" s="31" t="s">
        <v>19194</v>
      </c>
      <c r="AO400" s="31" t="s">
        <v>19195</v>
      </c>
      <c r="AP400" s="31" t="s">
        <v>19196</v>
      </c>
      <c r="AQ400" s="31" t="s">
        <v>19197</v>
      </c>
      <c r="AR400" s="31" t="s">
        <v>13772</v>
      </c>
      <c r="AS400" s="31" t="str">
        <f>"OAF"</f>
        <v>OAF</v>
      </c>
      <c r="AT400" s="31" t="s">
        <v>19198</v>
      </c>
      <c r="AU400" s="31" t="s">
        <v>13777</v>
      </c>
      <c r="AV400" s="31">
        <v>9606</v>
      </c>
      <c r="AW400" s="50" t="str">
        <f>HYPERLINK("http://www.uniprot.org/uniprot/Q86UD1", "Q86UD1")</f>
        <v>Q86UD1</v>
      </c>
      <c r="AX400" s="31" t="s">
        <v>19199</v>
      </c>
      <c r="AY400" s="31" t="s">
        <v>13772</v>
      </c>
      <c r="AZ400" s="31" t="s">
        <v>13772</v>
      </c>
      <c r="BA400" s="31" t="s">
        <v>13793</v>
      </c>
      <c r="BB400" s="31" t="s">
        <v>13772</v>
      </c>
      <c r="BC400" s="31" t="s">
        <v>13772</v>
      </c>
      <c r="BD400" s="31" t="s">
        <v>13808</v>
      </c>
      <c r="BE400" s="31" t="s">
        <v>13772</v>
      </c>
      <c r="BF400" s="31" t="s">
        <v>13772</v>
      </c>
      <c r="BG400" s="31" t="s">
        <v>13772</v>
      </c>
      <c r="BH400" s="31" t="s">
        <v>13772</v>
      </c>
      <c r="BI400" s="31" t="s">
        <v>13772</v>
      </c>
      <c r="BJ400" s="31" t="s">
        <v>13772</v>
      </c>
      <c r="BK400" s="31" t="s">
        <v>13772</v>
      </c>
      <c r="BL400" s="31" t="s">
        <v>13772</v>
      </c>
      <c r="BM400" s="31" t="s">
        <v>13772</v>
      </c>
    </row>
    <row r="401" spans="1:65">
      <c r="A401">
        <v>1193</v>
      </c>
      <c r="B401">
        <v>1</v>
      </c>
      <c r="C401">
        <v>396</v>
      </c>
      <c r="D401" t="s">
        <v>2863</v>
      </c>
      <c r="E401" t="s">
        <v>73</v>
      </c>
      <c r="F401" t="s">
        <v>73</v>
      </c>
      <c r="G401">
        <v>68.2</v>
      </c>
      <c r="H401">
        <v>110</v>
      </c>
      <c r="I401">
        <v>12109</v>
      </c>
      <c r="J401" t="s">
        <v>2864</v>
      </c>
      <c r="K401" s="3" t="s">
        <v>73</v>
      </c>
      <c r="L401">
        <v>101</v>
      </c>
      <c r="M401">
        <v>101</v>
      </c>
      <c r="N401">
        <v>1</v>
      </c>
      <c r="O401" s="11">
        <f t="shared" si="6"/>
        <v>5.7926678104343186</v>
      </c>
      <c r="P401" s="36">
        <v>0.30291084895868198</v>
      </c>
      <c r="Q401" s="36">
        <v>0.24076603016936199</v>
      </c>
      <c r="R401" s="36">
        <v>0.40019941545306398</v>
      </c>
      <c r="S401" s="36">
        <v>0.37798043978830698</v>
      </c>
      <c r="T401" s="36">
        <v>0.215044089984223</v>
      </c>
      <c r="U401" s="36">
        <v>0.23243181165987301</v>
      </c>
      <c r="V401" s="36">
        <v>8.4324982629171306</v>
      </c>
      <c r="W401" s="36">
        <v>33.088242331398398</v>
      </c>
      <c r="X401" s="37">
        <v>5.5633080527147003</v>
      </c>
      <c r="Y401" s="37">
        <v>8.1984454095477108</v>
      </c>
      <c r="Z401" s="37">
        <v>3.2002173930693698</v>
      </c>
      <c r="AA401" s="37">
        <v>5.0792822795996404</v>
      </c>
      <c r="AB401" s="37">
        <v>11.944303355596499</v>
      </c>
      <c r="AC401" s="37">
        <v>6.3135245630809997</v>
      </c>
      <c r="AD401" s="37">
        <v>4.5256201435872701</v>
      </c>
      <c r="AE401" s="37">
        <v>4.5679105394238499</v>
      </c>
      <c r="AF401" s="45">
        <v>0.16815128836180401</v>
      </c>
      <c r="AG401" s="45">
        <v>1.14096854199857</v>
      </c>
      <c r="AH401" s="46">
        <v>0.85014625698801605</v>
      </c>
      <c r="AI401" s="47">
        <v>0.89425761937890302</v>
      </c>
      <c r="AJ401" s="48">
        <v>5.4112591537911303</v>
      </c>
      <c r="AK401" s="49">
        <v>6.1740764670774997</v>
      </c>
      <c r="AL401" s="31" t="s">
        <v>5874</v>
      </c>
      <c r="AM401" s="31" t="s">
        <v>5832</v>
      </c>
      <c r="AN401" s="31" t="s">
        <v>25286</v>
      </c>
      <c r="AO401" s="31" t="s">
        <v>13772</v>
      </c>
      <c r="AP401" s="31" t="s">
        <v>25287</v>
      </c>
      <c r="AQ401" s="31" t="s">
        <v>25288</v>
      </c>
      <c r="AR401" s="31" t="s">
        <v>25289</v>
      </c>
      <c r="AS401" s="31" t="str">
        <f>"PVALB"</f>
        <v>PVALB</v>
      </c>
      <c r="AT401" s="31" t="s">
        <v>13772</v>
      </c>
      <c r="AU401" s="31" t="s">
        <v>13777</v>
      </c>
      <c r="AV401" s="31">
        <v>9606</v>
      </c>
      <c r="AW401" s="50" t="str">
        <f>HYPERLINK("http://www.uniprot.org/uniprot/P20472", "P20472")</f>
        <v>P20472</v>
      </c>
      <c r="AX401" s="31" t="s">
        <v>25290</v>
      </c>
      <c r="AY401" s="31" t="s">
        <v>13772</v>
      </c>
      <c r="AZ401" s="31" t="s">
        <v>13772</v>
      </c>
      <c r="BA401" s="31" t="s">
        <v>13772</v>
      </c>
      <c r="BB401" s="31" t="s">
        <v>13772</v>
      </c>
      <c r="BC401" s="31" t="s">
        <v>13772</v>
      </c>
      <c r="BD401" s="31" t="s">
        <v>14096</v>
      </c>
      <c r="BE401" s="31" t="s">
        <v>13873</v>
      </c>
      <c r="BF401" s="31" t="s">
        <v>17512</v>
      </c>
      <c r="BG401" s="31" t="s">
        <v>13886</v>
      </c>
      <c r="BH401" s="31" t="s">
        <v>13812</v>
      </c>
      <c r="BI401" s="31" t="s">
        <v>25291</v>
      </c>
      <c r="BJ401" s="31" t="s">
        <v>25292</v>
      </c>
      <c r="BK401" s="31" t="s">
        <v>25293</v>
      </c>
      <c r="BL401" s="31" t="s">
        <v>13772</v>
      </c>
      <c r="BM401" s="31" t="s">
        <v>25294</v>
      </c>
    </row>
    <row r="402" spans="1:65">
      <c r="A402">
        <v>1289</v>
      </c>
      <c r="B402">
        <v>1</v>
      </c>
      <c r="C402">
        <v>397</v>
      </c>
      <c r="D402" t="s">
        <v>3094</v>
      </c>
      <c r="E402" t="s">
        <v>73</v>
      </c>
      <c r="F402" t="s">
        <v>73</v>
      </c>
      <c r="G402">
        <v>44.2</v>
      </c>
      <c r="H402">
        <v>95</v>
      </c>
      <c r="I402">
        <v>10571</v>
      </c>
      <c r="J402" t="s">
        <v>3095</v>
      </c>
      <c r="K402" s="3" t="s">
        <v>73</v>
      </c>
      <c r="L402">
        <v>101</v>
      </c>
      <c r="M402">
        <v>101</v>
      </c>
      <c r="N402">
        <v>1</v>
      </c>
      <c r="O402" s="11">
        <f t="shared" si="6"/>
        <v>5.2951624506319845</v>
      </c>
      <c r="P402" s="36">
        <v>1.2116433958347299</v>
      </c>
      <c r="Q402" s="36">
        <v>4.8153206033872298</v>
      </c>
      <c r="R402" s="36">
        <v>4.8023929854367697</v>
      </c>
      <c r="S402" s="36">
        <v>3.0238435183064598</v>
      </c>
      <c r="T402" s="36">
        <v>0.86017635993689201</v>
      </c>
      <c r="U402" s="36">
        <v>0.92972724663949102</v>
      </c>
      <c r="V402" s="36">
        <v>2.10812456572928</v>
      </c>
      <c r="W402" s="36">
        <v>6.8122851858761404</v>
      </c>
      <c r="X402" s="37">
        <v>28.6112985568185</v>
      </c>
      <c r="Y402" s="37">
        <v>6.3064964688828598</v>
      </c>
      <c r="Z402" s="37">
        <v>4.8003260896040603</v>
      </c>
      <c r="AA402" s="37">
        <v>8.4654704659994096</v>
      </c>
      <c r="AB402" s="37">
        <v>2.7563776974453398</v>
      </c>
      <c r="AC402" s="37">
        <v>3.1567622815404999</v>
      </c>
      <c r="AD402" s="37">
        <v>3.0170800957248498</v>
      </c>
      <c r="AE402" s="37">
        <v>3.0452736929492299</v>
      </c>
      <c r="AF402" s="45">
        <v>1.30841099970779</v>
      </c>
      <c r="AG402" s="45">
        <v>2.44912375684655</v>
      </c>
      <c r="AH402" s="46">
        <v>3.4762542326012801E-2</v>
      </c>
      <c r="AI402" s="47">
        <v>5.6310268319861002E-2</v>
      </c>
      <c r="AJ402" s="48">
        <v>3.07043923264338</v>
      </c>
      <c r="AK402" s="49">
        <v>7.5198856686205904</v>
      </c>
      <c r="AL402" s="31" t="s">
        <v>5874</v>
      </c>
      <c r="AM402" s="31" t="s">
        <v>5877</v>
      </c>
      <c r="AN402" s="31" t="s">
        <v>26241</v>
      </c>
      <c r="AO402" s="31" t="s">
        <v>26242</v>
      </c>
      <c r="AP402" s="31" t="s">
        <v>26243</v>
      </c>
      <c r="AQ402" s="31" t="s">
        <v>26244</v>
      </c>
      <c r="AR402" s="31" t="s">
        <v>26245</v>
      </c>
      <c r="AS402" s="31" t="str">
        <f>"S100P"</f>
        <v>S100P</v>
      </c>
      <c r="AT402" s="31" t="s">
        <v>26246</v>
      </c>
      <c r="AU402" s="31" t="s">
        <v>13777</v>
      </c>
      <c r="AV402" s="31">
        <v>9606</v>
      </c>
      <c r="AW402" s="50" t="str">
        <f>HYPERLINK("http://www.uniprot.org/uniprot/P25815", "P25815")</f>
        <v>P25815</v>
      </c>
      <c r="AX402" s="31" t="s">
        <v>26247</v>
      </c>
      <c r="AY402" s="31" t="s">
        <v>13772</v>
      </c>
      <c r="AZ402" s="31" t="s">
        <v>26248</v>
      </c>
      <c r="BA402" s="31" t="s">
        <v>13772</v>
      </c>
      <c r="BB402" s="31" t="s">
        <v>13772</v>
      </c>
      <c r="BC402" s="31" t="s">
        <v>13772</v>
      </c>
      <c r="BD402" s="31" t="s">
        <v>14096</v>
      </c>
      <c r="BE402" s="31" t="s">
        <v>13873</v>
      </c>
      <c r="BF402" s="31" t="s">
        <v>13772</v>
      </c>
      <c r="BG402" s="31" t="s">
        <v>13772</v>
      </c>
      <c r="BH402" s="31" t="s">
        <v>13812</v>
      </c>
      <c r="BI402" s="31" t="s">
        <v>26249</v>
      </c>
      <c r="BJ402" s="31" t="s">
        <v>26250</v>
      </c>
      <c r="BK402" s="31" t="s">
        <v>26251</v>
      </c>
      <c r="BL402" s="31" t="s">
        <v>13772</v>
      </c>
      <c r="BM402" s="31" t="s">
        <v>13890</v>
      </c>
    </row>
    <row r="403" spans="1:65">
      <c r="A403">
        <v>1652</v>
      </c>
      <c r="B403">
        <v>1</v>
      </c>
      <c r="C403">
        <v>398</v>
      </c>
      <c r="D403" t="s">
        <v>3917</v>
      </c>
      <c r="E403" t="s">
        <v>73</v>
      </c>
      <c r="F403" t="s">
        <v>73</v>
      </c>
      <c r="G403">
        <v>49.5</v>
      </c>
      <c r="H403">
        <v>913</v>
      </c>
      <c r="I403">
        <v>100098</v>
      </c>
      <c r="J403" t="s">
        <v>3918</v>
      </c>
      <c r="K403" s="3" t="s">
        <v>73</v>
      </c>
      <c r="L403">
        <v>101</v>
      </c>
      <c r="M403">
        <v>101</v>
      </c>
      <c r="N403">
        <v>1</v>
      </c>
      <c r="O403" s="11">
        <f t="shared" si="6"/>
        <v>9.4472564573737579</v>
      </c>
      <c r="P403" s="36">
        <v>0.30291084895868198</v>
      </c>
      <c r="Q403" s="36">
        <v>0.24076603016936199</v>
      </c>
      <c r="R403" s="36">
        <v>0.40019941545306398</v>
      </c>
      <c r="S403" s="36">
        <v>0.37798043978830698</v>
      </c>
      <c r="T403" s="36">
        <v>0.215044089984223</v>
      </c>
      <c r="U403" s="36">
        <v>0.23243181165987301</v>
      </c>
      <c r="V403" s="36">
        <v>0.26351557071616</v>
      </c>
      <c r="W403" s="36">
        <v>0.24329589949557701</v>
      </c>
      <c r="X403" s="37">
        <v>0.19868957331123899</v>
      </c>
      <c r="Y403" s="37">
        <v>0.15766241172207099</v>
      </c>
      <c r="Z403" s="37">
        <v>1.60010869653469</v>
      </c>
      <c r="AA403" s="37">
        <v>0.21163676164998499</v>
      </c>
      <c r="AB403" s="37">
        <v>0.22969814145377901</v>
      </c>
      <c r="AC403" s="37">
        <v>3.1567622815404999</v>
      </c>
      <c r="AD403" s="37">
        <v>141.80276449906799</v>
      </c>
      <c r="AE403" s="37">
        <v>1.5226368464746201</v>
      </c>
      <c r="AF403" s="45">
        <v>5.5346542387105702</v>
      </c>
      <c r="AG403" s="45">
        <v>65.408845953368399</v>
      </c>
      <c r="AH403" s="46">
        <v>1.5987221239018799E-4</v>
      </c>
      <c r="AI403" s="47">
        <v>4.2781804035614302E-4</v>
      </c>
      <c r="AJ403" s="48">
        <v>0.28451801327815601</v>
      </c>
      <c r="AK403" s="49">
        <v>18.6099949014693</v>
      </c>
      <c r="AL403" s="31" t="s">
        <v>5874</v>
      </c>
      <c r="AM403" s="31" t="s">
        <v>5876</v>
      </c>
      <c r="AN403" s="31" t="s">
        <v>29644</v>
      </c>
      <c r="AO403" s="31" t="s">
        <v>29645</v>
      </c>
      <c r="AP403" s="31" t="s">
        <v>29646</v>
      </c>
      <c r="AQ403" s="31" t="s">
        <v>29647</v>
      </c>
      <c r="AR403" s="31" t="s">
        <v>29648</v>
      </c>
      <c r="AS403" s="31" t="str">
        <f>"CLCA1"</f>
        <v>CLCA1</v>
      </c>
      <c r="AT403" s="31" t="s">
        <v>29649</v>
      </c>
      <c r="AU403" s="31" t="s">
        <v>13777</v>
      </c>
      <c r="AV403" s="31">
        <v>9606</v>
      </c>
      <c r="AW403" s="50" t="str">
        <f>HYPERLINK("http://www.uniprot.org/uniprot/A8K7I4", "A8K7I4")</f>
        <v>A8K7I4</v>
      </c>
      <c r="AX403" s="31" t="s">
        <v>29650</v>
      </c>
      <c r="AY403" s="31" t="s">
        <v>16775</v>
      </c>
      <c r="AZ403" s="31" t="s">
        <v>14336</v>
      </c>
      <c r="BA403" s="31" t="s">
        <v>13793</v>
      </c>
      <c r="BB403" s="31" t="s">
        <v>13772</v>
      </c>
      <c r="BC403" s="31" t="s">
        <v>13772</v>
      </c>
      <c r="BD403" s="31" t="s">
        <v>13808</v>
      </c>
      <c r="BE403" s="31" t="s">
        <v>29651</v>
      </c>
      <c r="BF403" s="31" t="s">
        <v>15139</v>
      </c>
      <c r="BG403" s="31" t="s">
        <v>29652</v>
      </c>
      <c r="BH403" s="31" t="s">
        <v>13772</v>
      </c>
      <c r="BI403" s="31" t="s">
        <v>29653</v>
      </c>
      <c r="BJ403" s="31" t="s">
        <v>29654</v>
      </c>
      <c r="BK403" s="31" t="s">
        <v>29655</v>
      </c>
      <c r="BL403" s="31" t="s">
        <v>13772</v>
      </c>
      <c r="BM403" s="31" t="s">
        <v>14293</v>
      </c>
    </row>
    <row r="404" spans="1:65">
      <c r="A404">
        <v>866</v>
      </c>
      <c r="B404">
        <v>1</v>
      </c>
      <c r="C404">
        <v>399</v>
      </c>
      <c r="D404" t="s">
        <v>2117</v>
      </c>
      <c r="E404" t="s">
        <v>73</v>
      </c>
      <c r="F404" t="s">
        <v>73</v>
      </c>
      <c r="G404">
        <v>39</v>
      </c>
      <c r="H404">
        <v>362</v>
      </c>
      <c r="I404">
        <v>40658</v>
      </c>
      <c r="J404" t="s">
        <v>2118</v>
      </c>
      <c r="K404" s="3" t="s">
        <v>73</v>
      </c>
      <c r="L404">
        <v>100</v>
      </c>
      <c r="M404">
        <v>100</v>
      </c>
      <c r="N404">
        <v>1</v>
      </c>
      <c r="O404" s="11">
        <f t="shared" si="6"/>
        <v>6.7942914371470087</v>
      </c>
      <c r="P404" s="36">
        <v>6.0582169791736504</v>
      </c>
      <c r="Q404" s="36">
        <v>8.6675770860970207</v>
      </c>
      <c r="R404" s="36">
        <v>16.007976618122601</v>
      </c>
      <c r="S404" s="36">
        <v>19.654982868992001</v>
      </c>
      <c r="T404" s="36">
        <v>12.042469039116501</v>
      </c>
      <c r="U404" s="36">
        <v>9.2972724663949098</v>
      </c>
      <c r="V404" s="36">
        <v>8.4324982629171306</v>
      </c>
      <c r="W404" s="36">
        <v>5.8391015878938397</v>
      </c>
      <c r="X404" s="37">
        <v>2.3842748797348698</v>
      </c>
      <c r="Y404" s="37">
        <v>2.5225985875531398</v>
      </c>
      <c r="Z404" s="37">
        <v>3.2002173930693698</v>
      </c>
      <c r="AA404" s="37">
        <v>1.6930940931998799</v>
      </c>
      <c r="AB404" s="37">
        <v>3.6751702632604601</v>
      </c>
      <c r="AC404" s="37">
        <v>3.1567622815404999</v>
      </c>
      <c r="AD404" s="37">
        <v>1.50854004786242</v>
      </c>
      <c r="AE404" s="37">
        <v>4.5679105394238499</v>
      </c>
      <c r="AF404" s="45">
        <v>-1.85171330334217</v>
      </c>
      <c r="AG404" s="45">
        <v>-3.7871209925857698</v>
      </c>
      <c r="AH404" s="46">
        <v>5.4957372925243904E-6</v>
      </c>
      <c r="AI404" s="47">
        <v>2.18848110041596E-5</v>
      </c>
      <c r="AJ404" s="48">
        <v>10.7500118635884</v>
      </c>
      <c r="AK404" s="49">
        <v>2.8385710107055599</v>
      </c>
      <c r="AL404" s="31" t="s">
        <v>5875</v>
      </c>
      <c r="AM404" s="31" t="s">
        <v>5876</v>
      </c>
      <c r="AN404" s="31" t="s">
        <v>22315</v>
      </c>
      <c r="AO404" s="31" t="s">
        <v>22316</v>
      </c>
      <c r="AP404" s="31" t="s">
        <v>22317</v>
      </c>
      <c r="AQ404" s="31" t="s">
        <v>22318</v>
      </c>
      <c r="AR404" s="31" t="s">
        <v>22319</v>
      </c>
      <c r="AS404" s="31" t="str">
        <f>"FSTL1"</f>
        <v>FSTL1</v>
      </c>
      <c r="AT404" s="31" t="s">
        <v>22320</v>
      </c>
      <c r="AU404" s="31" t="s">
        <v>13777</v>
      </c>
      <c r="AV404" s="31">
        <v>9606</v>
      </c>
      <c r="AW404" s="50" t="str">
        <f>HYPERLINK("http://www.uniprot.org/uniprot/Q12841", "Q12841")</f>
        <v>Q12841</v>
      </c>
      <c r="AX404" s="31" t="s">
        <v>22321</v>
      </c>
      <c r="AY404" s="31" t="s">
        <v>13772</v>
      </c>
      <c r="AZ404" s="31" t="s">
        <v>14321</v>
      </c>
      <c r="BA404" s="31" t="s">
        <v>13841</v>
      </c>
      <c r="BB404" s="31" t="s">
        <v>13772</v>
      </c>
      <c r="BC404" s="31" t="s">
        <v>13772</v>
      </c>
      <c r="BD404" s="31" t="s">
        <v>14404</v>
      </c>
      <c r="BE404" s="31" t="s">
        <v>13772</v>
      </c>
      <c r="BF404" s="31" t="s">
        <v>14073</v>
      </c>
      <c r="BG404" s="31" t="s">
        <v>13964</v>
      </c>
      <c r="BH404" s="31" t="s">
        <v>13772</v>
      </c>
      <c r="BI404" s="31" t="s">
        <v>22322</v>
      </c>
      <c r="BJ404" s="31" t="s">
        <v>17448</v>
      </c>
      <c r="BK404" s="31" t="s">
        <v>22323</v>
      </c>
      <c r="BL404" s="31" t="s">
        <v>13772</v>
      </c>
      <c r="BM404" s="31" t="s">
        <v>22324</v>
      </c>
    </row>
    <row r="405" spans="1:65">
      <c r="A405">
        <v>2454</v>
      </c>
      <c r="B405">
        <v>1</v>
      </c>
      <c r="C405">
        <v>400</v>
      </c>
      <c r="D405" t="s">
        <v>5769</v>
      </c>
      <c r="E405" t="s">
        <v>73</v>
      </c>
      <c r="F405" t="s">
        <v>5770</v>
      </c>
      <c r="G405">
        <v>48.1</v>
      </c>
      <c r="H405">
        <v>800</v>
      </c>
      <c r="I405">
        <v>85948</v>
      </c>
      <c r="J405" t="s">
        <v>5771</v>
      </c>
      <c r="K405" s="3" t="s">
        <v>73</v>
      </c>
      <c r="L405">
        <v>99</v>
      </c>
      <c r="M405">
        <v>99</v>
      </c>
      <c r="N405">
        <v>1</v>
      </c>
      <c r="O405" s="11">
        <f t="shared" si="6"/>
        <v>5.0594061841546507</v>
      </c>
      <c r="P405" s="36">
        <v>1.2116433958347299</v>
      </c>
      <c r="Q405" s="36">
        <v>0.24076603016936199</v>
      </c>
      <c r="R405" s="36">
        <v>1.6007976618122599</v>
      </c>
      <c r="S405" s="36">
        <v>0.37798043978830698</v>
      </c>
      <c r="T405" s="36">
        <v>0.215044089984223</v>
      </c>
      <c r="U405" s="36">
        <v>0.23243181165987301</v>
      </c>
      <c r="V405" s="36">
        <v>0.26351557071616</v>
      </c>
      <c r="W405" s="36">
        <v>0.24329589949557701</v>
      </c>
      <c r="X405" s="37">
        <v>25.432265383838601</v>
      </c>
      <c r="Y405" s="37">
        <v>18.2888397597603</v>
      </c>
      <c r="Z405" s="37">
        <v>2.4001630448020301</v>
      </c>
      <c r="AA405" s="37">
        <v>8.4654704659994096</v>
      </c>
      <c r="AB405" s="37">
        <v>6.4315479607058004</v>
      </c>
      <c r="AC405" s="37">
        <v>9.4702868446214996</v>
      </c>
      <c r="AD405" s="37">
        <v>1.50854004786242</v>
      </c>
      <c r="AE405" s="37">
        <v>4.5679105394238499</v>
      </c>
      <c r="AF405" s="45">
        <v>4.0247905961584101</v>
      </c>
      <c r="AG405" s="45">
        <v>17.458776028209201</v>
      </c>
      <c r="AH405" s="46">
        <v>2.11708224255166E-7</v>
      </c>
      <c r="AI405" s="47">
        <v>1.28757092751551E-6</v>
      </c>
      <c r="AJ405" s="48">
        <v>0.54818436243256097</v>
      </c>
      <c r="AK405" s="49">
        <v>9.5706280058767401</v>
      </c>
      <c r="AL405" s="31" t="s">
        <v>5874</v>
      </c>
      <c r="AM405" s="31" t="s">
        <v>5876</v>
      </c>
      <c r="AN405" s="31" t="s">
        <v>28478</v>
      </c>
      <c r="AO405" s="31" t="s">
        <v>28479</v>
      </c>
      <c r="AP405" s="31" t="s">
        <v>28480</v>
      </c>
      <c r="AQ405" s="31" t="s">
        <v>28481</v>
      </c>
      <c r="AR405" s="31" t="s">
        <v>28482</v>
      </c>
      <c r="AS405" s="31" t="str">
        <f>"CAST"</f>
        <v>CAST</v>
      </c>
      <c r="AT405" s="31" t="s">
        <v>13772</v>
      </c>
      <c r="AU405" s="31" t="s">
        <v>13777</v>
      </c>
      <c r="AV405" s="31">
        <v>9606</v>
      </c>
      <c r="AW405" s="50" t="str">
        <f>HYPERLINK("http://www.uniprot.org/uniprot/P20810", "P20810")</f>
        <v>P20810</v>
      </c>
      <c r="AX405" s="31" t="s">
        <v>28483</v>
      </c>
      <c r="AY405" s="31" t="s">
        <v>13772</v>
      </c>
      <c r="AZ405" s="31" t="s">
        <v>13772</v>
      </c>
      <c r="BA405" s="31" t="s">
        <v>13780</v>
      </c>
      <c r="BB405" s="31" t="s">
        <v>13772</v>
      </c>
      <c r="BC405" s="31" t="s">
        <v>28484</v>
      </c>
      <c r="BD405" s="31" t="s">
        <v>14096</v>
      </c>
      <c r="BE405" s="31" t="s">
        <v>13772</v>
      </c>
      <c r="BF405" s="31" t="s">
        <v>19559</v>
      </c>
      <c r="BG405" s="31" t="s">
        <v>13991</v>
      </c>
      <c r="BH405" s="31" t="s">
        <v>13772</v>
      </c>
      <c r="BI405" s="31" t="s">
        <v>28485</v>
      </c>
      <c r="BJ405" s="31" t="s">
        <v>28486</v>
      </c>
      <c r="BK405" s="31" t="s">
        <v>28487</v>
      </c>
      <c r="BL405" s="31" t="s">
        <v>13772</v>
      </c>
      <c r="BM405" s="31" t="s">
        <v>28488</v>
      </c>
    </row>
    <row r="406" spans="1:65">
      <c r="A406">
        <v>1912</v>
      </c>
      <c r="B406">
        <v>1</v>
      </c>
      <c r="C406">
        <v>401</v>
      </c>
      <c r="D406" t="s">
        <v>4504</v>
      </c>
      <c r="E406" t="s">
        <v>73</v>
      </c>
      <c r="F406" t="s">
        <v>73</v>
      </c>
      <c r="G406">
        <v>44.6</v>
      </c>
      <c r="H406">
        <v>280</v>
      </c>
      <c r="I406">
        <v>31837</v>
      </c>
      <c r="J406" t="s">
        <v>4505</v>
      </c>
      <c r="K406" s="3" t="s">
        <v>73</v>
      </c>
      <c r="L406">
        <v>99</v>
      </c>
      <c r="M406">
        <v>99</v>
      </c>
      <c r="N406">
        <v>1</v>
      </c>
      <c r="O406" s="11">
        <f t="shared" si="6"/>
        <v>5.5584378951285451</v>
      </c>
      <c r="P406" s="36">
        <v>4.8465735833389196</v>
      </c>
      <c r="Q406" s="36">
        <v>4.8153206033872298</v>
      </c>
      <c r="R406" s="36">
        <v>4.8023929854367697</v>
      </c>
      <c r="S406" s="36">
        <v>0.37798043978830698</v>
      </c>
      <c r="T406" s="36">
        <v>0.86017635993689201</v>
      </c>
      <c r="U406" s="36">
        <v>0.92972724663949102</v>
      </c>
      <c r="V406" s="36">
        <v>3.1621868485939202</v>
      </c>
      <c r="W406" s="36">
        <v>4.8659179899115301</v>
      </c>
      <c r="X406" s="37">
        <v>4.7685497594697397</v>
      </c>
      <c r="Y406" s="37">
        <v>8.8290950564359996</v>
      </c>
      <c r="Z406" s="37">
        <v>8.8005978309407702</v>
      </c>
      <c r="AA406" s="37">
        <v>5.9258293261995796</v>
      </c>
      <c r="AB406" s="37">
        <v>7.3503405265209096</v>
      </c>
      <c r="AC406" s="37">
        <v>13.4162396965471</v>
      </c>
      <c r="AD406" s="37">
        <v>4.5256201435872701</v>
      </c>
      <c r="AE406" s="37">
        <v>10.658457925322301</v>
      </c>
      <c r="AF406" s="45">
        <v>1.37575758872029</v>
      </c>
      <c r="AG406" s="45">
        <v>2.6064075729068201</v>
      </c>
      <c r="AH406" s="46">
        <v>1.7842225068227999E-3</v>
      </c>
      <c r="AI406" s="47">
        <v>3.8380863571204401E-3</v>
      </c>
      <c r="AJ406" s="48">
        <v>3.0825345071291301</v>
      </c>
      <c r="AK406" s="49">
        <v>8.0343412831279704</v>
      </c>
      <c r="AL406" s="31" t="s">
        <v>5874</v>
      </c>
      <c r="AM406" s="31" t="s">
        <v>5876</v>
      </c>
      <c r="AN406" s="31" t="s">
        <v>32093</v>
      </c>
      <c r="AO406" s="31" t="s">
        <v>32094</v>
      </c>
      <c r="AP406" s="31" t="s">
        <v>32095</v>
      </c>
      <c r="AQ406" s="31" t="s">
        <v>32096</v>
      </c>
      <c r="AR406" s="31" t="s">
        <v>32097</v>
      </c>
      <c r="AS406" s="31" t="str">
        <f>"PENK"</f>
        <v>PENK</v>
      </c>
      <c r="AT406" s="31" t="s">
        <v>13772</v>
      </c>
      <c r="AU406" s="31" t="s">
        <v>13777</v>
      </c>
      <c r="AV406" s="31">
        <v>9606</v>
      </c>
      <c r="AW406" s="50" t="str">
        <f>HYPERLINK("http://www.uniprot.org/uniprot/P01210", "P01210")</f>
        <v>P01210</v>
      </c>
      <c r="AX406" s="31" t="s">
        <v>32098</v>
      </c>
      <c r="AY406" s="31" t="s">
        <v>13772</v>
      </c>
      <c r="AZ406" s="31" t="s">
        <v>14321</v>
      </c>
      <c r="BA406" s="31" t="s">
        <v>13793</v>
      </c>
      <c r="BB406" s="31" t="s">
        <v>13772</v>
      </c>
      <c r="BC406" s="31" t="s">
        <v>13772</v>
      </c>
      <c r="BD406" s="31" t="s">
        <v>13808</v>
      </c>
      <c r="BE406" s="31" t="s">
        <v>13772</v>
      </c>
      <c r="BF406" s="31" t="s">
        <v>32099</v>
      </c>
      <c r="BG406" s="31" t="s">
        <v>32100</v>
      </c>
      <c r="BH406" s="31" t="s">
        <v>13812</v>
      </c>
      <c r="BI406" s="31" t="s">
        <v>32101</v>
      </c>
      <c r="BJ406" s="31" t="s">
        <v>32102</v>
      </c>
      <c r="BK406" s="31" t="s">
        <v>32103</v>
      </c>
      <c r="BL406" s="31" t="s">
        <v>13772</v>
      </c>
      <c r="BM406" s="31" t="s">
        <v>32104</v>
      </c>
    </row>
    <row r="407" spans="1:65">
      <c r="A407">
        <v>1317</v>
      </c>
      <c r="B407">
        <v>1</v>
      </c>
      <c r="C407">
        <v>402</v>
      </c>
      <c r="D407" t="s">
        <v>3159</v>
      </c>
      <c r="E407" t="s">
        <v>73</v>
      </c>
      <c r="F407" t="s">
        <v>73</v>
      </c>
      <c r="G407">
        <v>42.9</v>
      </c>
      <c r="H407">
        <v>380</v>
      </c>
      <c r="I407">
        <v>42799</v>
      </c>
      <c r="J407" t="s">
        <v>3160</v>
      </c>
      <c r="K407" s="3" t="s">
        <v>73</v>
      </c>
      <c r="L407">
        <v>195</v>
      </c>
      <c r="M407">
        <v>55</v>
      </c>
      <c r="N407">
        <v>0.28199999999999997</v>
      </c>
      <c r="O407" s="11">
        <f t="shared" si="6"/>
        <v>6.321484867812023</v>
      </c>
      <c r="P407" s="36">
        <v>7.5121890541753196</v>
      </c>
      <c r="Q407" s="36">
        <v>6.5488360206066396</v>
      </c>
      <c r="R407" s="36">
        <v>12.3261419959544</v>
      </c>
      <c r="S407" s="36">
        <v>11.9441818973105</v>
      </c>
      <c r="T407" s="36">
        <v>5.0750405236276599</v>
      </c>
      <c r="U407" s="36">
        <v>2.88215446458242</v>
      </c>
      <c r="V407" s="36">
        <v>6.5351861537607698</v>
      </c>
      <c r="W407" s="36">
        <v>16.154847726506301</v>
      </c>
      <c r="X407" s="37">
        <v>3.17903317297983</v>
      </c>
      <c r="Y407" s="37">
        <v>2.9640533403749401</v>
      </c>
      <c r="Z407" s="37">
        <v>5.6003804378713999</v>
      </c>
      <c r="AA407" s="37">
        <v>3.3861881863997598</v>
      </c>
      <c r="AB407" s="37">
        <v>4.2264458027495202</v>
      </c>
      <c r="AC407" s="37">
        <v>7.1027151334661296</v>
      </c>
      <c r="AD407" s="37">
        <v>0.377135011965606</v>
      </c>
      <c r="AE407" s="37">
        <v>5.3292289626611602</v>
      </c>
      <c r="AF407" s="45">
        <v>-1.01600268800185</v>
      </c>
      <c r="AG407" s="45">
        <v>-2.1445108571624099</v>
      </c>
      <c r="AH407" s="46">
        <v>1.4164689125400301E-2</v>
      </c>
      <c r="AI407" s="47">
        <v>2.5135748076638698E-2</v>
      </c>
      <c r="AJ407" s="48">
        <v>8.6223222295654995</v>
      </c>
      <c r="AK407" s="49">
        <v>4.0206475060585403</v>
      </c>
      <c r="AL407" s="31" t="s">
        <v>5875</v>
      </c>
      <c r="AM407" s="31" t="s">
        <v>5878</v>
      </c>
      <c r="AN407" s="31" t="s">
        <v>26516</v>
      </c>
      <c r="AO407" s="31" t="s">
        <v>26517</v>
      </c>
      <c r="AP407" s="31" t="s">
        <v>26518</v>
      </c>
      <c r="AQ407" s="31" t="s">
        <v>26519</v>
      </c>
      <c r="AR407" s="31" t="s">
        <v>26520</v>
      </c>
      <c r="AS407" s="31" t="str">
        <f>"ART3"</f>
        <v>ART3</v>
      </c>
      <c r="AT407" s="31" t="s">
        <v>26521</v>
      </c>
      <c r="AU407" s="31" t="s">
        <v>13777</v>
      </c>
      <c r="AV407" s="31">
        <v>9606</v>
      </c>
      <c r="AW407" s="50" t="str">
        <f>HYPERLINK("http://www.uniprot.org/uniprot/Q13508", "Q13508")</f>
        <v>Q13508</v>
      </c>
      <c r="AX407" s="31" t="s">
        <v>26522</v>
      </c>
      <c r="AY407" s="31" t="s">
        <v>13772</v>
      </c>
      <c r="AZ407" s="31" t="s">
        <v>13792</v>
      </c>
      <c r="BA407" s="31" t="s">
        <v>13780</v>
      </c>
      <c r="BB407" s="31" t="s">
        <v>13772</v>
      </c>
      <c r="BC407" s="31" t="s">
        <v>13772</v>
      </c>
      <c r="BD407" s="31" t="s">
        <v>14404</v>
      </c>
      <c r="BE407" s="31" t="s">
        <v>26523</v>
      </c>
      <c r="BF407" s="31" t="s">
        <v>15995</v>
      </c>
      <c r="BG407" s="31" t="s">
        <v>15699</v>
      </c>
      <c r="BH407" s="31" t="s">
        <v>13772</v>
      </c>
      <c r="BI407" s="31" t="s">
        <v>26524</v>
      </c>
      <c r="BJ407" s="31" t="s">
        <v>26525</v>
      </c>
      <c r="BK407" s="31" t="s">
        <v>26526</v>
      </c>
      <c r="BL407" s="31" t="s">
        <v>13772</v>
      </c>
      <c r="BM407" s="31" t="s">
        <v>16280</v>
      </c>
    </row>
    <row r="408" spans="1:65">
      <c r="A408">
        <v>1354</v>
      </c>
      <c r="B408">
        <v>1</v>
      </c>
      <c r="C408">
        <v>403</v>
      </c>
      <c r="D408" t="s">
        <v>3236</v>
      </c>
      <c r="E408" t="s">
        <v>73</v>
      </c>
      <c r="F408" t="s">
        <v>73</v>
      </c>
      <c r="G408">
        <v>66.900000000000006</v>
      </c>
      <c r="H408">
        <v>242</v>
      </c>
      <c r="I408">
        <v>25659</v>
      </c>
      <c r="J408" t="s">
        <v>3237</v>
      </c>
      <c r="K408" s="3" t="s">
        <v>73</v>
      </c>
      <c r="L408">
        <v>98</v>
      </c>
      <c r="M408">
        <v>98</v>
      </c>
      <c r="N408">
        <v>1</v>
      </c>
      <c r="O408" s="11">
        <f t="shared" si="6"/>
        <v>5.4394957207402745</v>
      </c>
      <c r="P408" s="36">
        <v>6.0582169791736504</v>
      </c>
      <c r="Q408" s="36">
        <v>11.556769448129399</v>
      </c>
      <c r="R408" s="36">
        <v>0.40019941545306398</v>
      </c>
      <c r="S408" s="36">
        <v>1.5119217591532299</v>
      </c>
      <c r="T408" s="36">
        <v>11.1822926791796</v>
      </c>
      <c r="U408" s="36">
        <v>12.0864542063134</v>
      </c>
      <c r="V408" s="36">
        <v>5.2703114143232002</v>
      </c>
      <c r="W408" s="36">
        <v>7.78546878385845</v>
      </c>
      <c r="X408" s="37">
        <v>13.5108909851643</v>
      </c>
      <c r="Y408" s="37">
        <v>9.4597447033242794</v>
      </c>
      <c r="Z408" s="37">
        <v>2.4001630448020301</v>
      </c>
      <c r="AA408" s="37">
        <v>0.84654704659994096</v>
      </c>
      <c r="AB408" s="37">
        <v>1.8375851316302301</v>
      </c>
      <c r="AC408" s="37">
        <v>2.36757171115537</v>
      </c>
      <c r="AD408" s="37">
        <v>0.377135011965606</v>
      </c>
      <c r="AE408" s="37">
        <v>0.38065921161865401</v>
      </c>
      <c r="AF408" s="45">
        <v>-0.78115919325239602</v>
      </c>
      <c r="AG408" s="45">
        <v>-1.7912476895575999</v>
      </c>
      <c r="AH408" s="46">
        <v>0.206041394233071</v>
      </c>
      <c r="AI408" s="47">
        <v>0.27073472261001802</v>
      </c>
      <c r="AJ408" s="48">
        <v>6.9814543356979897</v>
      </c>
      <c r="AK408" s="49">
        <v>3.8975371057825501</v>
      </c>
      <c r="AL408" s="31" t="s">
        <v>5875</v>
      </c>
      <c r="AM408" s="31" t="s">
        <v>5832</v>
      </c>
      <c r="AN408" s="31" t="s">
        <v>26869</v>
      </c>
      <c r="AO408" s="31" t="s">
        <v>26870</v>
      </c>
      <c r="AP408" s="31" t="s">
        <v>26871</v>
      </c>
      <c r="AQ408" s="31" t="s">
        <v>26872</v>
      </c>
      <c r="AR408" s="31" t="s">
        <v>26873</v>
      </c>
      <c r="AS408" s="31" t="str">
        <f>"QDPR"</f>
        <v>QDPR</v>
      </c>
      <c r="AT408" s="31" t="s">
        <v>26874</v>
      </c>
      <c r="AU408" s="31" t="s">
        <v>13777</v>
      </c>
      <c r="AV408" s="31">
        <v>9606</v>
      </c>
      <c r="AW408" s="50" t="str">
        <f>HYPERLINK("http://www.uniprot.org/uniprot/P09417", "P09417")</f>
        <v>P09417</v>
      </c>
      <c r="AX408" s="31" t="s">
        <v>26875</v>
      </c>
      <c r="AY408" s="31" t="s">
        <v>26876</v>
      </c>
      <c r="AZ408" s="31" t="s">
        <v>13772</v>
      </c>
      <c r="BA408" s="31" t="s">
        <v>13780</v>
      </c>
      <c r="BB408" s="31" t="s">
        <v>13772</v>
      </c>
      <c r="BC408" s="31" t="s">
        <v>26877</v>
      </c>
      <c r="BD408" s="31" t="s">
        <v>13772</v>
      </c>
      <c r="BE408" s="31" t="s">
        <v>15759</v>
      </c>
      <c r="BF408" s="31" t="s">
        <v>13885</v>
      </c>
      <c r="BG408" s="31" t="s">
        <v>14020</v>
      </c>
      <c r="BH408" s="31" t="s">
        <v>13812</v>
      </c>
      <c r="BI408" s="31" t="s">
        <v>26878</v>
      </c>
      <c r="BJ408" s="31" t="s">
        <v>26879</v>
      </c>
      <c r="BK408" s="31" t="s">
        <v>26880</v>
      </c>
      <c r="BL408" s="31" t="s">
        <v>13772</v>
      </c>
      <c r="BM408" s="31" t="s">
        <v>15713</v>
      </c>
    </row>
    <row r="409" spans="1:65">
      <c r="A409">
        <v>1790</v>
      </c>
      <c r="B409">
        <v>1</v>
      </c>
      <c r="C409">
        <v>404</v>
      </c>
      <c r="D409" t="s">
        <v>4233</v>
      </c>
      <c r="E409" t="s">
        <v>73</v>
      </c>
      <c r="F409" t="s">
        <v>73</v>
      </c>
      <c r="G409">
        <v>47.5</v>
      </c>
      <c r="H409">
        <v>322</v>
      </c>
      <c r="I409">
        <v>34635</v>
      </c>
      <c r="J409" t="s">
        <v>4234</v>
      </c>
      <c r="K409" s="3" t="s">
        <v>73</v>
      </c>
      <c r="L409">
        <v>98</v>
      </c>
      <c r="M409">
        <v>98</v>
      </c>
      <c r="N409">
        <v>1</v>
      </c>
      <c r="O409" s="11">
        <f t="shared" si="6"/>
        <v>6.7068616882162493</v>
      </c>
      <c r="P409" s="36">
        <v>10.9047905625126</v>
      </c>
      <c r="Q409" s="36">
        <v>11.556769448129399</v>
      </c>
      <c r="R409" s="36">
        <v>19.2095719417471</v>
      </c>
      <c r="S409" s="36">
        <v>15.119217591532299</v>
      </c>
      <c r="T409" s="36">
        <v>11.1822926791796</v>
      </c>
      <c r="U409" s="36">
        <v>13.0161814529529</v>
      </c>
      <c r="V409" s="36">
        <v>9.4865605457817708</v>
      </c>
      <c r="W409" s="36">
        <v>5.8391015878938397</v>
      </c>
      <c r="X409" s="37">
        <v>0.19868957331123899</v>
      </c>
      <c r="Y409" s="37">
        <v>1.89194894066486</v>
      </c>
      <c r="Z409" s="37">
        <v>2.4001630448020301</v>
      </c>
      <c r="AA409" s="37">
        <v>0.84654704659994096</v>
      </c>
      <c r="AB409" s="37">
        <v>1.8375851316302301</v>
      </c>
      <c r="AC409" s="37">
        <v>0.78919057038512497</v>
      </c>
      <c r="AD409" s="37">
        <v>1.50854004786242</v>
      </c>
      <c r="AE409" s="37">
        <v>1.5226368464746201</v>
      </c>
      <c r="AF409" s="45">
        <v>-2.9954006307486001</v>
      </c>
      <c r="AG409" s="45">
        <v>-8.7596041293140097</v>
      </c>
      <c r="AH409" s="46">
        <v>2.8582972994519102E-12</v>
      </c>
      <c r="AI409" s="47">
        <v>7.3546188205128104E-11</v>
      </c>
      <c r="AJ409" s="48">
        <v>12.0393107262162</v>
      </c>
      <c r="AK409" s="49">
        <v>1.3744126502163101</v>
      </c>
      <c r="AL409" s="31" t="s">
        <v>5875</v>
      </c>
      <c r="AM409" s="31" t="s">
        <v>5876</v>
      </c>
      <c r="AN409" s="31" t="s">
        <v>30979</v>
      </c>
      <c r="AO409" s="31" t="s">
        <v>30980</v>
      </c>
      <c r="AP409" s="31" t="s">
        <v>30981</v>
      </c>
      <c r="AQ409" s="31" t="s">
        <v>30982</v>
      </c>
      <c r="AR409" s="31" t="s">
        <v>30983</v>
      </c>
      <c r="AS409" s="31" t="str">
        <f>"PRSS22"</f>
        <v>PRSS22</v>
      </c>
      <c r="AT409" s="31" t="s">
        <v>30984</v>
      </c>
      <c r="AU409" s="31" t="s">
        <v>13777</v>
      </c>
      <c r="AV409" s="31">
        <v>9606</v>
      </c>
      <c r="AW409" s="50" t="str">
        <f>HYPERLINK("http://www.uniprot.org/uniprot/Q9GZN4", "Q9GZN4")</f>
        <v>Q9GZN4</v>
      </c>
      <c r="AX409" s="31" t="s">
        <v>30985</v>
      </c>
      <c r="AY409" s="31" t="s">
        <v>13772</v>
      </c>
      <c r="AZ409" s="31" t="s">
        <v>14321</v>
      </c>
      <c r="BA409" s="31" t="s">
        <v>13772</v>
      </c>
      <c r="BB409" s="31" t="s">
        <v>13772</v>
      </c>
      <c r="BC409" s="31" t="s">
        <v>13772</v>
      </c>
      <c r="BD409" s="31" t="s">
        <v>13808</v>
      </c>
      <c r="BE409" s="31" t="s">
        <v>13772</v>
      </c>
      <c r="BF409" s="31" t="s">
        <v>15176</v>
      </c>
      <c r="BG409" s="31" t="s">
        <v>13796</v>
      </c>
      <c r="BH409" s="31" t="s">
        <v>13772</v>
      </c>
      <c r="BI409" s="31" t="s">
        <v>13772</v>
      </c>
      <c r="BJ409" s="31" t="s">
        <v>30986</v>
      </c>
      <c r="BK409" s="31" t="s">
        <v>25219</v>
      </c>
      <c r="BL409" s="31" t="s">
        <v>13772</v>
      </c>
      <c r="BM409" s="31" t="s">
        <v>13772</v>
      </c>
    </row>
    <row r="410" spans="1:65">
      <c r="A410">
        <v>1111</v>
      </c>
      <c r="B410">
        <v>1</v>
      </c>
      <c r="C410">
        <v>405</v>
      </c>
      <c r="D410" t="s">
        <v>2672</v>
      </c>
      <c r="E410" t="s">
        <v>73</v>
      </c>
      <c r="F410" t="s">
        <v>73</v>
      </c>
      <c r="G410">
        <v>25.7</v>
      </c>
      <c r="H410">
        <v>261</v>
      </c>
      <c r="I410">
        <v>29093</v>
      </c>
      <c r="J410" t="s">
        <v>2673</v>
      </c>
      <c r="K410" s="3" t="s">
        <v>73</v>
      </c>
      <c r="L410">
        <v>97</v>
      </c>
      <c r="M410">
        <v>97</v>
      </c>
      <c r="N410">
        <v>1</v>
      </c>
      <c r="O410" s="11">
        <f t="shared" si="6"/>
        <v>6.4549886728977315</v>
      </c>
      <c r="P410" s="36">
        <v>7.2698603750083803</v>
      </c>
      <c r="Q410" s="36">
        <v>8.6675770860970207</v>
      </c>
      <c r="R410" s="36">
        <v>11.2055836326858</v>
      </c>
      <c r="S410" s="36">
        <v>15.119217591532299</v>
      </c>
      <c r="T410" s="36">
        <v>12.9026453990534</v>
      </c>
      <c r="U410" s="36">
        <v>8.3675452197554208</v>
      </c>
      <c r="V410" s="36">
        <v>10.5406228286464</v>
      </c>
      <c r="W410" s="36">
        <v>4.8659179899115301</v>
      </c>
      <c r="X410" s="37">
        <v>2.3842748797348698</v>
      </c>
      <c r="Y410" s="37">
        <v>3.7838978813297102</v>
      </c>
      <c r="Z410" s="37">
        <v>1.60010869653469</v>
      </c>
      <c r="AA410" s="37">
        <v>0.84654704659994096</v>
      </c>
      <c r="AB410" s="37">
        <v>2.7563776974453398</v>
      </c>
      <c r="AC410" s="37">
        <v>2.36757171115537</v>
      </c>
      <c r="AD410" s="37">
        <v>6.0341601914496898</v>
      </c>
      <c r="AE410" s="37">
        <v>4.5679105394238499</v>
      </c>
      <c r="AF410" s="45">
        <v>-1.73778602452542</v>
      </c>
      <c r="AG410" s="45">
        <v>-3.2430656497758399</v>
      </c>
      <c r="AH410" s="46">
        <v>1.78496565020323E-5</v>
      </c>
      <c r="AI410" s="47">
        <v>6.06163461921807E-5</v>
      </c>
      <c r="AJ410" s="48">
        <v>9.8673712653362795</v>
      </c>
      <c r="AK410" s="49">
        <v>3.0426060804591799</v>
      </c>
      <c r="AL410" s="31" t="s">
        <v>5875</v>
      </c>
      <c r="AM410" s="31" t="s">
        <v>5876</v>
      </c>
      <c r="AN410" s="31" t="s">
        <v>24555</v>
      </c>
      <c r="AO410" s="31" t="s">
        <v>24556</v>
      </c>
      <c r="AP410" s="31" t="s">
        <v>24557</v>
      </c>
      <c r="AQ410" s="31" t="s">
        <v>24558</v>
      </c>
      <c r="AR410" s="31" t="s">
        <v>24559</v>
      </c>
      <c r="AS410" s="31" t="str">
        <f>"CD27"</f>
        <v>CD27</v>
      </c>
      <c r="AT410" s="31" t="s">
        <v>24560</v>
      </c>
      <c r="AU410" s="31" t="s">
        <v>13777</v>
      </c>
      <c r="AV410" s="31">
        <v>9606</v>
      </c>
      <c r="AW410" s="50" t="str">
        <f>HYPERLINK("http://www.uniprot.org/uniprot/P26842", "P26842")</f>
        <v>P26842</v>
      </c>
      <c r="AX410" s="31" t="s">
        <v>24561</v>
      </c>
      <c r="AY410" s="31" t="s">
        <v>17109</v>
      </c>
      <c r="AZ410" s="31" t="s">
        <v>13825</v>
      </c>
      <c r="BA410" s="31" t="s">
        <v>13793</v>
      </c>
      <c r="BB410" s="31" t="s">
        <v>13772</v>
      </c>
      <c r="BC410" s="31" t="s">
        <v>13807</v>
      </c>
      <c r="BD410" s="31" t="s">
        <v>13826</v>
      </c>
      <c r="BE410" s="31" t="s">
        <v>13772</v>
      </c>
      <c r="BF410" s="31" t="s">
        <v>13795</v>
      </c>
      <c r="BG410" s="31" t="s">
        <v>13964</v>
      </c>
      <c r="BH410" s="31" t="s">
        <v>13812</v>
      </c>
      <c r="BI410" s="31" t="s">
        <v>24562</v>
      </c>
      <c r="BJ410" s="31" t="s">
        <v>24563</v>
      </c>
      <c r="BK410" s="31" t="s">
        <v>24564</v>
      </c>
      <c r="BL410" s="31" t="s">
        <v>13772</v>
      </c>
      <c r="BM410" s="31" t="s">
        <v>24565</v>
      </c>
    </row>
    <row r="411" spans="1:65">
      <c r="A411">
        <v>1886</v>
      </c>
      <c r="B411">
        <v>1</v>
      </c>
      <c r="C411">
        <v>406</v>
      </c>
      <c r="D411" t="s">
        <v>4451</v>
      </c>
      <c r="E411" t="s">
        <v>4452</v>
      </c>
      <c r="F411" t="s">
        <v>73</v>
      </c>
      <c r="G411">
        <v>34.9</v>
      </c>
      <c r="H411">
        <v>315</v>
      </c>
      <c r="I411">
        <v>35419</v>
      </c>
      <c r="J411" t="s">
        <v>4453</v>
      </c>
      <c r="K411" s="3" t="s">
        <v>73</v>
      </c>
      <c r="L411">
        <v>97</v>
      </c>
      <c r="M411">
        <v>97</v>
      </c>
      <c r="N411">
        <v>1</v>
      </c>
      <c r="O411" s="11">
        <f t="shared" si="6"/>
        <v>6.1256684866843321</v>
      </c>
      <c r="P411" s="36">
        <v>3.6349301875041902</v>
      </c>
      <c r="Q411" s="36">
        <v>4.8153206033872298</v>
      </c>
      <c r="R411" s="36">
        <v>9.6047859708735501</v>
      </c>
      <c r="S411" s="36">
        <v>1.5119217591532299</v>
      </c>
      <c r="T411" s="36">
        <v>2.5805290798106801</v>
      </c>
      <c r="U411" s="36">
        <v>3.7189089865579601</v>
      </c>
      <c r="V411" s="36">
        <v>8.4324982629171306</v>
      </c>
      <c r="W411" s="36">
        <v>4.8659179899115301</v>
      </c>
      <c r="X411" s="37">
        <v>7.9475829324495697</v>
      </c>
      <c r="Y411" s="37">
        <v>5.0451971751062796</v>
      </c>
      <c r="Z411" s="37">
        <v>4.8003260896040603</v>
      </c>
      <c r="AA411" s="37">
        <v>6.7723763727995303</v>
      </c>
      <c r="AB411" s="37">
        <v>3.6751702632604601</v>
      </c>
      <c r="AC411" s="37">
        <v>6.3135245630809997</v>
      </c>
      <c r="AD411" s="37">
        <v>7.5427002393121096</v>
      </c>
      <c r="AE411" s="37">
        <v>16.749005311220799</v>
      </c>
      <c r="AF411" s="45">
        <v>0.53189370047719997</v>
      </c>
      <c r="AG411" s="45">
        <v>1.50251919208866</v>
      </c>
      <c r="AH411" s="46">
        <v>0.207411522732148</v>
      </c>
      <c r="AI411" s="47">
        <v>0.27154267848885899</v>
      </c>
      <c r="AJ411" s="48">
        <v>4.8956016050144404</v>
      </c>
      <c r="AK411" s="49">
        <v>7.3557353683542201</v>
      </c>
      <c r="AL411" s="31" t="s">
        <v>5874</v>
      </c>
      <c r="AM411" s="31" t="s">
        <v>5832</v>
      </c>
      <c r="AN411" s="31" t="s">
        <v>31881</v>
      </c>
      <c r="AO411" s="31" t="s">
        <v>31882</v>
      </c>
      <c r="AP411" s="31" t="s">
        <v>31883</v>
      </c>
      <c r="AQ411" s="31" t="s">
        <v>31884</v>
      </c>
      <c r="AR411" s="31" t="s">
        <v>31885</v>
      </c>
      <c r="AS411" s="31" t="str">
        <f>"SUMF2"</f>
        <v>SUMF2</v>
      </c>
      <c r="AT411" s="31" t="s">
        <v>13772</v>
      </c>
      <c r="AU411" s="31" t="s">
        <v>13777</v>
      </c>
      <c r="AV411" s="31">
        <v>9606</v>
      </c>
      <c r="AW411" s="50" t="str">
        <f>HYPERLINK("http://www.uniprot.org/uniprot/Q8NBJ7", "Q8NBJ7")</f>
        <v>Q8NBJ7</v>
      </c>
      <c r="AX411" s="31" t="s">
        <v>31886</v>
      </c>
      <c r="AY411" s="31" t="s">
        <v>13772</v>
      </c>
      <c r="AZ411" s="31" t="s">
        <v>14908</v>
      </c>
      <c r="BA411" s="31" t="s">
        <v>13780</v>
      </c>
      <c r="BB411" s="31" t="s">
        <v>13772</v>
      </c>
      <c r="BC411" s="31" t="s">
        <v>13772</v>
      </c>
      <c r="BD411" s="31" t="s">
        <v>13808</v>
      </c>
      <c r="BE411" s="31" t="s">
        <v>13873</v>
      </c>
      <c r="BF411" s="31" t="s">
        <v>13772</v>
      </c>
      <c r="BG411" s="31" t="s">
        <v>13796</v>
      </c>
      <c r="BH411" s="31" t="s">
        <v>13812</v>
      </c>
      <c r="BI411" s="31" t="s">
        <v>31887</v>
      </c>
      <c r="BJ411" s="31" t="s">
        <v>22071</v>
      </c>
      <c r="BK411" s="31" t="s">
        <v>14023</v>
      </c>
      <c r="BL411" s="31" t="s">
        <v>13772</v>
      </c>
      <c r="BM411" s="31" t="s">
        <v>22074</v>
      </c>
    </row>
    <row r="412" spans="1:65">
      <c r="A412">
        <v>1627</v>
      </c>
      <c r="B412">
        <v>1</v>
      </c>
      <c r="C412">
        <v>407</v>
      </c>
      <c r="D412" t="s">
        <v>3855</v>
      </c>
      <c r="E412" t="s">
        <v>73</v>
      </c>
      <c r="F412" t="s">
        <v>73</v>
      </c>
      <c r="G412">
        <v>40.1</v>
      </c>
      <c r="H412">
        <v>646</v>
      </c>
      <c r="I412">
        <v>70582</v>
      </c>
      <c r="J412" t="s">
        <v>3857</v>
      </c>
      <c r="K412" s="3" t="s">
        <v>73</v>
      </c>
      <c r="L412">
        <v>208</v>
      </c>
      <c r="M412">
        <v>28</v>
      </c>
      <c r="N412">
        <v>0.13500000000000001</v>
      </c>
      <c r="O412" s="11">
        <f t="shared" si="6"/>
        <v>5.1125104148242349</v>
      </c>
      <c r="P412" s="36">
        <v>2.1809581125025099</v>
      </c>
      <c r="Q412" s="36">
        <v>4.2374821309807702</v>
      </c>
      <c r="R412" s="36">
        <v>0.40019941545306398</v>
      </c>
      <c r="S412" s="36">
        <v>8.3155696753427595</v>
      </c>
      <c r="T412" s="36">
        <v>6.1932697915456201</v>
      </c>
      <c r="U412" s="36">
        <v>4.2767453345416602</v>
      </c>
      <c r="V412" s="36">
        <v>0.26351557071616</v>
      </c>
      <c r="W412" s="36">
        <v>7.3961953446655304</v>
      </c>
      <c r="X412" s="37">
        <v>12.080326057323401</v>
      </c>
      <c r="Y412" s="37">
        <v>11.856213361499799</v>
      </c>
      <c r="Z412" s="37">
        <v>7.8405326130199597</v>
      </c>
      <c r="AA412" s="37">
        <v>8.2115063520194305</v>
      </c>
      <c r="AB412" s="37">
        <v>0.22969814145377901</v>
      </c>
      <c r="AC412" s="37">
        <v>0.39459528519256198</v>
      </c>
      <c r="AD412" s="37">
        <v>7.5427002393121096</v>
      </c>
      <c r="AE412" s="37">
        <v>0.38065921161865401</v>
      </c>
      <c r="AF412" s="45">
        <v>0.54594771126269404</v>
      </c>
      <c r="AG412" s="45">
        <v>1.4591247461605601</v>
      </c>
      <c r="AH412" s="46">
        <v>0.44940821706942602</v>
      </c>
      <c r="AI412" s="47">
        <v>0.53232317082432601</v>
      </c>
      <c r="AJ412" s="48">
        <v>4.1579919219685104</v>
      </c>
      <c r="AK412" s="49">
        <v>6.0670289076799504</v>
      </c>
      <c r="AL412" s="31" t="s">
        <v>5874</v>
      </c>
      <c r="AM412" s="31" t="s">
        <v>5832</v>
      </c>
      <c r="AN412" s="31" t="s">
        <v>18454</v>
      </c>
      <c r="AO412" s="31" t="s">
        <v>18455</v>
      </c>
      <c r="AP412" s="31" t="s">
        <v>18456</v>
      </c>
      <c r="AQ412" s="31" t="s">
        <v>18457</v>
      </c>
      <c r="AR412" s="31" t="s">
        <v>18458</v>
      </c>
      <c r="AS412" s="31" t="str">
        <f>"HSPA8"</f>
        <v>HSPA8</v>
      </c>
      <c r="AT412" s="31" t="s">
        <v>18459</v>
      </c>
      <c r="AU412" s="31" t="s">
        <v>13777</v>
      </c>
      <c r="AV412" s="31">
        <v>9606</v>
      </c>
      <c r="AW412" s="50" t="str">
        <f>HYPERLINK("http://www.uniprot.org/uniprot/P11142", "P11142")</f>
        <v>P11142</v>
      </c>
      <c r="AX412" s="31" t="s">
        <v>18460</v>
      </c>
      <c r="AY412" s="31" t="s">
        <v>18461</v>
      </c>
      <c r="AZ412" s="31" t="s">
        <v>18462</v>
      </c>
      <c r="BA412" s="31" t="s">
        <v>13780</v>
      </c>
      <c r="BB412" s="31" t="s">
        <v>13772</v>
      </c>
      <c r="BC412" s="31" t="s">
        <v>13772</v>
      </c>
      <c r="BD412" s="31" t="s">
        <v>13772</v>
      </c>
      <c r="BE412" s="31" t="s">
        <v>14005</v>
      </c>
      <c r="BF412" s="31" t="s">
        <v>18463</v>
      </c>
      <c r="BG412" s="31" t="s">
        <v>14663</v>
      </c>
      <c r="BH412" s="31" t="s">
        <v>13812</v>
      </c>
      <c r="BI412" s="31" t="s">
        <v>18464</v>
      </c>
      <c r="BJ412" s="31" t="s">
        <v>18465</v>
      </c>
      <c r="BK412" s="31" t="s">
        <v>18466</v>
      </c>
      <c r="BL412" s="31" t="s">
        <v>13772</v>
      </c>
      <c r="BM412" s="31" t="s">
        <v>18467</v>
      </c>
    </row>
    <row r="413" spans="1:65">
      <c r="A413">
        <v>544</v>
      </c>
      <c r="B413">
        <v>1</v>
      </c>
      <c r="C413">
        <v>408</v>
      </c>
      <c r="D413" t="s">
        <v>1357</v>
      </c>
      <c r="E413" t="s">
        <v>73</v>
      </c>
      <c r="F413" t="s">
        <v>73</v>
      </c>
      <c r="G413">
        <v>9</v>
      </c>
      <c r="H413">
        <v>1025</v>
      </c>
      <c r="I413">
        <v>112645</v>
      </c>
      <c r="J413" t="s">
        <v>1358</v>
      </c>
      <c r="K413" s="3" t="s">
        <v>73</v>
      </c>
      <c r="L413">
        <v>96</v>
      </c>
      <c r="M413">
        <v>96</v>
      </c>
      <c r="N413">
        <v>1</v>
      </c>
      <c r="O413" s="11">
        <f t="shared" si="6"/>
        <v>6.2191916681697572</v>
      </c>
      <c r="P413" s="36">
        <v>3.6349301875041902</v>
      </c>
      <c r="Q413" s="36">
        <v>5.7783847240646802</v>
      </c>
      <c r="R413" s="36">
        <v>9.6047859708735501</v>
      </c>
      <c r="S413" s="36">
        <v>7.5596087957661497</v>
      </c>
      <c r="T413" s="36">
        <v>6.0212345195582504</v>
      </c>
      <c r="U413" s="36">
        <v>13.0161814529529</v>
      </c>
      <c r="V413" s="36">
        <v>10.5406228286464</v>
      </c>
      <c r="W413" s="36">
        <v>7.78546878385845</v>
      </c>
      <c r="X413" s="37">
        <v>1.5895165864899099</v>
      </c>
      <c r="Y413" s="37">
        <v>3.7838978813297102</v>
      </c>
      <c r="Z413" s="37">
        <v>0.80005434826734301</v>
      </c>
      <c r="AA413" s="37">
        <v>5.0792822795996404</v>
      </c>
      <c r="AB413" s="37">
        <v>3.6751702632604601</v>
      </c>
      <c r="AC413" s="37">
        <v>5.5243339926958699</v>
      </c>
      <c r="AD413" s="37">
        <v>12.068320382899399</v>
      </c>
      <c r="AE413" s="37">
        <v>3.0452736929492299</v>
      </c>
      <c r="AF413" s="45">
        <v>-0.91782197935180898</v>
      </c>
      <c r="AG413" s="45">
        <v>-1.7978262375985701</v>
      </c>
      <c r="AH413" s="46">
        <v>4.5059839789661299E-2</v>
      </c>
      <c r="AI413" s="47">
        <v>7.0762987838693503E-2</v>
      </c>
      <c r="AJ413" s="48">
        <v>7.9926521579030698</v>
      </c>
      <c r="AK413" s="49">
        <v>4.4457311784364402</v>
      </c>
      <c r="AL413" s="31" t="s">
        <v>5875</v>
      </c>
      <c r="AM413" s="31" t="s">
        <v>5877</v>
      </c>
      <c r="AN413" s="31" t="s">
        <v>19125</v>
      </c>
      <c r="AO413" s="31" t="s">
        <v>19126</v>
      </c>
      <c r="AP413" s="31" t="s">
        <v>19127</v>
      </c>
      <c r="AQ413" s="31" t="s">
        <v>19128</v>
      </c>
      <c r="AR413" s="31" t="s">
        <v>19129</v>
      </c>
      <c r="AS413" s="31" t="str">
        <f>"SCUBE2"</f>
        <v>SCUBE2</v>
      </c>
      <c r="AT413" s="31" t="s">
        <v>19130</v>
      </c>
      <c r="AU413" s="31" t="s">
        <v>13777</v>
      </c>
      <c r="AV413" s="31">
        <v>9606</v>
      </c>
      <c r="AW413" s="50" t="str">
        <f>HYPERLINK("http://www.uniprot.org/uniprot/Q9NQ36", "Q9NQ36")</f>
        <v>Q9NQ36</v>
      </c>
      <c r="AX413" s="31" t="s">
        <v>19131</v>
      </c>
      <c r="AY413" s="31" t="s">
        <v>13772</v>
      </c>
      <c r="AZ413" s="31" t="s">
        <v>14321</v>
      </c>
      <c r="BA413" s="31" t="s">
        <v>13780</v>
      </c>
      <c r="BB413" s="31" t="s">
        <v>13772</v>
      </c>
      <c r="BC413" s="31" t="s">
        <v>13772</v>
      </c>
      <c r="BD413" s="31" t="s">
        <v>14768</v>
      </c>
      <c r="BE413" s="31" t="s">
        <v>19132</v>
      </c>
      <c r="BF413" s="31" t="s">
        <v>14727</v>
      </c>
      <c r="BG413" s="31" t="s">
        <v>13796</v>
      </c>
      <c r="BH413" s="31" t="s">
        <v>13772</v>
      </c>
      <c r="BI413" s="31" t="s">
        <v>19133</v>
      </c>
      <c r="BJ413" s="31" t="s">
        <v>19134</v>
      </c>
      <c r="BK413" s="31" t="s">
        <v>16575</v>
      </c>
      <c r="BL413" s="31" t="s">
        <v>13772</v>
      </c>
      <c r="BM413" s="31" t="s">
        <v>19135</v>
      </c>
    </row>
    <row r="414" spans="1:65">
      <c r="A414">
        <v>905</v>
      </c>
      <c r="B414">
        <v>1</v>
      </c>
      <c r="C414">
        <v>409</v>
      </c>
      <c r="D414" t="s">
        <v>2206</v>
      </c>
      <c r="E414" t="s">
        <v>73</v>
      </c>
      <c r="F414" t="s">
        <v>73</v>
      </c>
      <c r="G414">
        <v>43.2</v>
      </c>
      <c r="H414">
        <v>618</v>
      </c>
      <c r="I414">
        <v>68404</v>
      </c>
      <c r="J414" t="s">
        <v>2207</v>
      </c>
      <c r="K414" s="3" t="s">
        <v>73</v>
      </c>
      <c r="L414">
        <v>96</v>
      </c>
      <c r="M414">
        <v>96</v>
      </c>
      <c r="N414">
        <v>1</v>
      </c>
      <c r="O414" s="11">
        <f t="shared" si="6"/>
        <v>5.8026416353588921</v>
      </c>
      <c r="P414" s="36">
        <v>9.6931471666778304</v>
      </c>
      <c r="Q414" s="36">
        <v>6.7414488447421297</v>
      </c>
      <c r="R414" s="36">
        <v>8.00398830906129</v>
      </c>
      <c r="S414" s="36">
        <v>0.37798043978830698</v>
      </c>
      <c r="T414" s="36">
        <v>17.203527198737799</v>
      </c>
      <c r="U414" s="36">
        <v>14.875635946231901</v>
      </c>
      <c r="V414" s="36">
        <v>6.3243736971878404</v>
      </c>
      <c r="W414" s="36">
        <v>13.6245703717523</v>
      </c>
      <c r="X414" s="37">
        <v>2.3842748797348698</v>
      </c>
      <c r="Y414" s="37">
        <v>4.4145475282179998</v>
      </c>
      <c r="Z414" s="37">
        <v>2.4001630448020301</v>
      </c>
      <c r="AA414" s="37">
        <v>4.2327352329997003</v>
      </c>
      <c r="AB414" s="37">
        <v>0.22969814145377901</v>
      </c>
      <c r="AC414" s="37">
        <v>1.5783811407702499</v>
      </c>
      <c r="AD414" s="37">
        <v>0.377135011965606</v>
      </c>
      <c r="AE414" s="37">
        <v>0.38065921161865401</v>
      </c>
      <c r="AF414" s="45">
        <v>-2.1036959604024501</v>
      </c>
      <c r="AG414" s="45">
        <v>-4.8035142693335198</v>
      </c>
      <c r="AH414" s="46">
        <v>6.6052635581428807E-5</v>
      </c>
      <c r="AI414" s="47">
        <v>1.9727327323203501E-4</v>
      </c>
      <c r="AJ414" s="48">
        <v>9.6055839967724204</v>
      </c>
      <c r="AK414" s="49">
        <v>1.9996992739453601</v>
      </c>
      <c r="AL414" s="31" t="s">
        <v>5875</v>
      </c>
      <c r="AM414" s="31" t="s">
        <v>5876</v>
      </c>
      <c r="AN414" s="31" t="s">
        <v>22711</v>
      </c>
      <c r="AO414" s="31" t="s">
        <v>22712</v>
      </c>
      <c r="AP414" s="31" t="s">
        <v>22713</v>
      </c>
      <c r="AQ414" s="31" t="s">
        <v>22714</v>
      </c>
      <c r="AR414" s="31" t="s">
        <v>22715</v>
      </c>
      <c r="AS414" s="31" t="str">
        <f>"ATP6V1A"</f>
        <v>ATP6V1A</v>
      </c>
      <c r="AT414" s="31" t="s">
        <v>22716</v>
      </c>
      <c r="AU414" s="31" t="s">
        <v>13777</v>
      </c>
      <c r="AV414" s="31">
        <v>9606</v>
      </c>
      <c r="AW414" s="50" t="str">
        <f>HYPERLINK("http://www.uniprot.org/uniprot/P38606", "P38606")</f>
        <v>P38606</v>
      </c>
      <c r="AX414" s="31" t="s">
        <v>22717</v>
      </c>
      <c r="AY414" s="31" t="s">
        <v>14032</v>
      </c>
      <c r="AZ414" s="31" t="s">
        <v>13899</v>
      </c>
      <c r="BA414" s="31" t="s">
        <v>13780</v>
      </c>
      <c r="BB414" s="31" t="s">
        <v>13772</v>
      </c>
      <c r="BC414" s="31" t="s">
        <v>17649</v>
      </c>
      <c r="BD414" s="31" t="s">
        <v>13772</v>
      </c>
      <c r="BE414" s="31" t="s">
        <v>14005</v>
      </c>
      <c r="BF414" s="31" t="s">
        <v>16605</v>
      </c>
      <c r="BG414" s="31" t="s">
        <v>13886</v>
      </c>
      <c r="BH414" s="31" t="s">
        <v>13772</v>
      </c>
      <c r="BI414" s="31" t="s">
        <v>22718</v>
      </c>
      <c r="BJ414" s="31" t="s">
        <v>22719</v>
      </c>
      <c r="BK414" s="31" t="s">
        <v>22720</v>
      </c>
      <c r="BL414" s="31" t="s">
        <v>13772</v>
      </c>
      <c r="BM414" s="31" t="s">
        <v>17137</v>
      </c>
    </row>
    <row r="415" spans="1:65">
      <c r="A415">
        <v>1927</v>
      </c>
      <c r="B415">
        <v>1</v>
      </c>
      <c r="C415">
        <v>410</v>
      </c>
      <c r="D415" t="s">
        <v>4538</v>
      </c>
      <c r="E415" t="s">
        <v>73</v>
      </c>
      <c r="F415" t="s">
        <v>73</v>
      </c>
      <c r="G415">
        <v>45.8</v>
      </c>
      <c r="H415">
        <v>454</v>
      </c>
      <c r="I415">
        <v>50745</v>
      </c>
      <c r="J415" t="s">
        <v>4539</v>
      </c>
      <c r="K415" s="3" t="s">
        <v>73</v>
      </c>
      <c r="L415">
        <v>96</v>
      </c>
      <c r="M415">
        <v>96</v>
      </c>
      <c r="N415">
        <v>1</v>
      </c>
      <c r="O415" s="11">
        <f t="shared" si="6"/>
        <v>4.8009159336263041</v>
      </c>
      <c r="P415" s="36">
        <v>2.4232867916694598</v>
      </c>
      <c r="Q415" s="36">
        <v>3.85225648270979</v>
      </c>
      <c r="R415" s="36">
        <v>0.40019941545306398</v>
      </c>
      <c r="S415" s="36">
        <v>1.5119217591532299</v>
      </c>
      <c r="T415" s="36">
        <v>6.0212345195582504</v>
      </c>
      <c r="U415" s="36">
        <v>4.6486362331974602</v>
      </c>
      <c r="V415" s="36">
        <v>8.4324982629171306</v>
      </c>
      <c r="W415" s="36">
        <v>0.97318359798230603</v>
      </c>
      <c r="X415" s="37">
        <v>12.716132691919301</v>
      </c>
      <c r="Y415" s="37">
        <v>8.8290950564359996</v>
      </c>
      <c r="Z415" s="37">
        <v>6.4004347861387396</v>
      </c>
      <c r="AA415" s="37">
        <v>5.0792822795996404</v>
      </c>
      <c r="AB415" s="37">
        <v>0.22969814145377901</v>
      </c>
      <c r="AC415" s="37">
        <v>0.19729764259628099</v>
      </c>
      <c r="AD415" s="37">
        <v>13.576860430761799</v>
      </c>
      <c r="AE415" s="37">
        <v>1.5226368464746201</v>
      </c>
      <c r="AF415" s="45">
        <v>0.71173819576620301</v>
      </c>
      <c r="AG415" s="45">
        <v>1.7178312634324</v>
      </c>
      <c r="AH415" s="46">
        <v>0.26016886836333097</v>
      </c>
      <c r="AI415" s="47">
        <v>0.33356243822745701</v>
      </c>
      <c r="AJ415" s="48">
        <v>3.5329021328300798</v>
      </c>
      <c r="AK415" s="49">
        <v>6.0689297344225199</v>
      </c>
      <c r="AL415" s="31" t="s">
        <v>5874</v>
      </c>
      <c r="AM415" s="31" t="s">
        <v>5832</v>
      </c>
      <c r="AN415" s="31" t="s">
        <v>32244</v>
      </c>
      <c r="AO415" s="31" t="s">
        <v>32245</v>
      </c>
      <c r="AP415" s="31" t="s">
        <v>32246</v>
      </c>
      <c r="AQ415" s="31" t="s">
        <v>32247</v>
      </c>
      <c r="AR415" s="31" t="s">
        <v>32248</v>
      </c>
      <c r="AS415" s="31" t="str">
        <f>"GDA"</f>
        <v>GDA</v>
      </c>
      <c r="AT415" s="31" t="s">
        <v>32249</v>
      </c>
      <c r="AU415" s="31" t="s">
        <v>13777</v>
      </c>
      <c r="AV415" s="31">
        <v>9606</v>
      </c>
      <c r="AW415" s="50" t="str">
        <f>HYPERLINK("http://www.uniprot.org/uniprot/Q9Y2T3", "Q9Y2T3")</f>
        <v>Q9Y2T3</v>
      </c>
      <c r="AX415" s="31" t="s">
        <v>32250</v>
      </c>
      <c r="AY415" s="31" t="s">
        <v>13772</v>
      </c>
      <c r="AZ415" s="31" t="s">
        <v>13772</v>
      </c>
      <c r="BA415" s="31" t="s">
        <v>13841</v>
      </c>
      <c r="BB415" s="31" t="s">
        <v>13772</v>
      </c>
      <c r="BC415" s="31" t="s">
        <v>13772</v>
      </c>
      <c r="BD415" s="31" t="s">
        <v>13772</v>
      </c>
      <c r="BE415" s="31" t="s">
        <v>13856</v>
      </c>
      <c r="BF415" s="31" t="s">
        <v>13857</v>
      </c>
      <c r="BG415" s="31" t="s">
        <v>13782</v>
      </c>
      <c r="BH415" s="31" t="s">
        <v>13812</v>
      </c>
      <c r="BI415" s="31" t="s">
        <v>32251</v>
      </c>
      <c r="BJ415" s="31" t="s">
        <v>32252</v>
      </c>
      <c r="BK415" s="31" t="s">
        <v>32253</v>
      </c>
      <c r="BL415" s="31" t="s">
        <v>32254</v>
      </c>
      <c r="BM415" s="31" t="s">
        <v>27232</v>
      </c>
    </row>
    <row r="416" spans="1:65">
      <c r="A416">
        <v>2433</v>
      </c>
      <c r="B416">
        <v>1</v>
      </c>
      <c r="C416">
        <v>411</v>
      </c>
      <c r="D416" t="s">
        <v>5699</v>
      </c>
      <c r="E416" t="s">
        <v>73</v>
      </c>
      <c r="F416" t="s">
        <v>5700</v>
      </c>
      <c r="G416">
        <v>80.900000000000006</v>
      </c>
      <c r="H416">
        <v>204</v>
      </c>
      <c r="I416">
        <v>22923</v>
      </c>
      <c r="J416" t="s">
        <v>5702</v>
      </c>
      <c r="K416" s="3" t="s">
        <v>73</v>
      </c>
      <c r="L416">
        <v>97</v>
      </c>
      <c r="M416">
        <v>90</v>
      </c>
      <c r="N416">
        <v>0.92800000000000005</v>
      </c>
      <c r="O416" s="11">
        <f t="shared" si="6"/>
        <v>5.4944849185651261</v>
      </c>
      <c r="P416" s="36">
        <v>3.3926015083372398</v>
      </c>
      <c r="Q416" s="36">
        <v>5.7783847240646802</v>
      </c>
      <c r="R416" s="36">
        <v>4.8023929854367697</v>
      </c>
      <c r="S416" s="36">
        <v>3.0238435183064598</v>
      </c>
      <c r="T416" s="36">
        <v>9.2899046873184297</v>
      </c>
      <c r="U416" s="36">
        <v>13.7599632502645</v>
      </c>
      <c r="V416" s="36">
        <v>4.21624913145856</v>
      </c>
      <c r="W416" s="36">
        <v>6.6176484662796797</v>
      </c>
      <c r="X416" s="37">
        <v>13.5108909851643</v>
      </c>
      <c r="Y416" s="37">
        <v>4.2884175988403399</v>
      </c>
      <c r="Z416" s="37">
        <v>4.6403152199505904</v>
      </c>
      <c r="AA416" s="37">
        <v>1.6930940931998799</v>
      </c>
      <c r="AB416" s="37">
        <v>6.4315479607058004</v>
      </c>
      <c r="AC416" s="37">
        <v>4.5773053082337203</v>
      </c>
      <c r="AD416" s="37">
        <v>1.50854004786242</v>
      </c>
      <c r="AE416" s="37">
        <v>0.38065921161865401</v>
      </c>
      <c r="AF416" s="45">
        <v>-0.41738188474256399</v>
      </c>
      <c r="AG416" s="45">
        <v>-1.3740191653243301</v>
      </c>
      <c r="AH416" s="46">
        <v>0.39027586804333197</v>
      </c>
      <c r="AI416" s="47">
        <v>0.47299738355251603</v>
      </c>
      <c r="AJ416" s="48">
        <v>6.3601235339332902</v>
      </c>
      <c r="AK416" s="49">
        <v>4.6288463031969602</v>
      </c>
      <c r="AL416" s="31" t="s">
        <v>5875</v>
      </c>
      <c r="AM416" s="31" t="s">
        <v>5832</v>
      </c>
      <c r="AN416" s="31" t="s">
        <v>36191</v>
      </c>
      <c r="AO416" s="31" t="s">
        <v>36192</v>
      </c>
      <c r="AP416" s="31" t="s">
        <v>36193</v>
      </c>
      <c r="AQ416" s="31" t="s">
        <v>36194</v>
      </c>
      <c r="AR416" s="31" t="s">
        <v>36195</v>
      </c>
      <c r="AS416" s="31" t="str">
        <f>"CRK"</f>
        <v>CRK</v>
      </c>
      <c r="AT416" s="31" t="s">
        <v>13772</v>
      </c>
      <c r="AU416" s="31" t="s">
        <v>13777</v>
      </c>
      <c r="AV416" s="31">
        <v>9606</v>
      </c>
      <c r="AW416" s="50" t="str">
        <f>HYPERLINK("http://www.uniprot.org/uniprot/P46108", "P46108")</f>
        <v>P46108</v>
      </c>
      <c r="AX416" s="31" t="s">
        <v>36196</v>
      </c>
      <c r="AY416" s="31" t="s">
        <v>13772</v>
      </c>
      <c r="AZ416" s="31" t="s">
        <v>18623</v>
      </c>
      <c r="BA416" s="31" t="s">
        <v>13841</v>
      </c>
      <c r="BB416" s="31" t="s">
        <v>13772</v>
      </c>
      <c r="BC416" s="31" t="s">
        <v>14244</v>
      </c>
      <c r="BD416" s="31" t="s">
        <v>17789</v>
      </c>
      <c r="BE416" s="31" t="s">
        <v>13772</v>
      </c>
      <c r="BF416" s="31" t="s">
        <v>13772</v>
      </c>
      <c r="BG416" s="31" t="s">
        <v>13886</v>
      </c>
      <c r="BH416" s="31" t="s">
        <v>13812</v>
      </c>
      <c r="BI416" s="31" t="s">
        <v>36197</v>
      </c>
      <c r="BJ416" s="31" t="s">
        <v>36198</v>
      </c>
      <c r="BK416" s="31" t="s">
        <v>36199</v>
      </c>
      <c r="BL416" s="31" t="s">
        <v>13772</v>
      </c>
      <c r="BM416" s="31" t="s">
        <v>36200</v>
      </c>
    </row>
    <row r="417" spans="1:65">
      <c r="A417">
        <v>1140</v>
      </c>
      <c r="B417">
        <v>1</v>
      </c>
      <c r="C417">
        <v>412</v>
      </c>
      <c r="D417" t="s">
        <v>2745</v>
      </c>
      <c r="E417" t="s">
        <v>73</v>
      </c>
      <c r="F417" t="s">
        <v>73</v>
      </c>
      <c r="G417">
        <v>43.8</v>
      </c>
      <c r="H417">
        <v>281</v>
      </c>
      <c r="I417">
        <v>30690</v>
      </c>
      <c r="J417" t="s">
        <v>2746</v>
      </c>
      <c r="K417" s="3" t="s">
        <v>73</v>
      </c>
      <c r="L417">
        <v>95</v>
      </c>
      <c r="M417">
        <v>95</v>
      </c>
      <c r="N417">
        <v>1</v>
      </c>
      <c r="O417" s="11">
        <f t="shared" si="6"/>
        <v>4.7812697679303788</v>
      </c>
      <c r="P417" s="36">
        <v>4.8465735833389196</v>
      </c>
      <c r="Q417" s="36">
        <v>0.24076603016936199</v>
      </c>
      <c r="R417" s="36">
        <v>3.2015953236245198</v>
      </c>
      <c r="S417" s="36">
        <v>1.5119217591532299</v>
      </c>
      <c r="T417" s="36">
        <v>0.215044089984223</v>
      </c>
      <c r="U417" s="36">
        <v>1.85945449327898</v>
      </c>
      <c r="V417" s="36">
        <v>3.1621868485939202</v>
      </c>
      <c r="W417" s="36">
        <v>2.9195507939469199</v>
      </c>
      <c r="X417" s="37">
        <v>9.53709951893949</v>
      </c>
      <c r="Y417" s="37">
        <v>6.3064964688828598</v>
      </c>
      <c r="Z417" s="37">
        <v>13.600923920544799</v>
      </c>
      <c r="AA417" s="37">
        <v>11.0051116057992</v>
      </c>
      <c r="AB417" s="37">
        <v>2.7563776974453398</v>
      </c>
      <c r="AC417" s="37">
        <v>4.7351434223107498</v>
      </c>
      <c r="AD417" s="37">
        <v>6.0341601914496898</v>
      </c>
      <c r="AE417" s="37">
        <v>4.5679105394238499</v>
      </c>
      <c r="AF417" s="45">
        <v>1.73921080805638</v>
      </c>
      <c r="AG417" s="45">
        <v>3.2601726581688801</v>
      </c>
      <c r="AH417" s="46">
        <v>6.8000598859932297E-4</v>
      </c>
      <c r="AI417" s="47">
        <v>1.602203993155E-3</v>
      </c>
      <c r="AJ417" s="48">
        <v>2.24463661526126</v>
      </c>
      <c r="AK417" s="49">
        <v>7.3179029205994999</v>
      </c>
      <c r="AL417" s="31" t="s">
        <v>5874</v>
      </c>
      <c r="AM417" s="31" t="s">
        <v>5876</v>
      </c>
      <c r="AN417" s="31" t="s">
        <v>24768</v>
      </c>
      <c r="AO417" s="31" t="s">
        <v>24769</v>
      </c>
      <c r="AP417" s="31" t="s">
        <v>24770</v>
      </c>
      <c r="AQ417" s="31" t="s">
        <v>24771</v>
      </c>
      <c r="AR417" s="31" t="s">
        <v>24772</v>
      </c>
      <c r="AS417" s="31" t="str">
        <f>"APOF"</f>
        <v>APOF</v>
      </c>
      <c r="AT417" s="31" t="s">
        <v>13772</v>
      </c>
      <c r="AU417" s="31" t="s">
        <v>13777</v>
      </c>
      <c r="AV417" s="31">
        <v>9606</v>
      </c>
      <c r="AW417" s="50" t="str">
        <f>HYPERLINK("http://www.uniprot.org/uniprot/Q13790", "Q13790")</f>
        <v>Q13790</v>
      </c>
      <c r="AX417" s="31" t="s">
        <v>24773</v>
      </c>
      <c r="AY417" s="31" t="s">
        <v>16169</v>
      </c>
      <c r="AZ417" s="31" t="s">
        <v>24774</v>
      </c>
      <c r="BA417" s="31" t="s">
        <v>13793</v>
      </c>
      <c r="BB417" s="31" t="s">
        <v>13772</v>
      </c>
      <c r="BC417" s="31" t="s">
        <v>13772</v>
      </c>
      <c r="BD417" s="31" t="s">
        <v>13808</v>
      </c>
      <c r="BE417" s="31" t="s">
        <v>13772</v>
      </c>
      <c r="BF417" s="31" t="s">
        <v>13772</v>
      </c>
      <c r="BG417" s="31" t="s">
        <v>13978</v>
      </c>
      <c r="BH417" s="31" t="s">
        <v>13772</v>
      </c>
      <c r="BI417" s="31" t="s">
        <v>24775</v>
      </c>
      <c r="BJ417" s="31" t="s">
        <v>24776</v>
      </c>
      <c r="BK417" s="31" t="s">
        <v>24777</v>
      </c>
      <c r="BL417" s="31" t="s">
        <v>13772</v>
      </c>
      <c r="BM417" s="31" t="s">
        <v>24778</v>
      </c>
    </row>
    <row r="418" spans="1:65">
      <c r="A418">
        <v>1774</v>
      </c>
      <c r="B418">
        <v>1</v>
      </c>
      <c r="C418">
        <v>413</v>
      </c>
      <c r="D418" t="s">
        <v>4197</v>
      </c>
      <c r="E418" t="s">
        <v>73</v>
      </c>
      <c r="F418" t="s">
        <v>73</v>
      </c>
      <c r="G418">
        <v>28.1</v>
      </c>
      <c r="H418">
        <v>455</v>
      </c>
      <c r="I418">
        <v>48253</v>
      </c>
      <c r="J418" t="s">
        <v>4198</v>
      </c>
      <c r="K418" s="3" t="s">
        <v>73</v>
      </c>
      <c r="L418">
        <v>95</v>
      </c>
      <c r="M418">
        <v>95</v>
      </c>
      <c r="N418">
        <v>1</v>
      </c>
      <c r="O418" s="11">
        <f t="shared" si="6"/>
        <v>5.8485938677373026</v>
      </c>
      <c r="P418" s="36">
        <v>7.2698603750083803</v>
      </c>
      <c r="Q418" s="36">
        <v>3.85225648270979</v>
      </c>
      <c r="R418" s="36">
        <v>14.4071789563103</v>
      </c>
      <c r="S418" s="36">
        <v>12.0953740732258</v>
      </c>
      <c r="T418" s="36">
        <v>7.7415872394320298</v>
      </c>
      <c r="U418" s="36">
        <v>12.0864542063134</v>
      </c>
      <c r="V418" s="36">
        <v>7.3784359800524904</v>
      </c>
      <c r="W418" s="36">
        <v>10.7050195778054</v>
      </c>
      <c r="X418" s="37">
        <v>0.79475829324495695</v>
      </c>
      <c r="Y418" s="37">
        <v>1.89194894066486</v>
      </c>
      <c r="Z418" s="37">
        <v>4.0002717413367099</v>
      </c>
      <c r="AA418" s="37">
        <v>2.5396411397998202</v>
      </c>
      <c r="AB418" s="37">
        <v>1.8375851316302301</v>
      </c>
      <c r="AC418" s="37">
        <v>3.94595285192562</v>
      </c>
      <c r="AD418" s="37">
        <v>1.50854004786242</v>
      </c>
      <c r="AE418" s="37">
        <v>1.5226368464746201</v>
      </c>
      <c r="AF418" s="45">
        <v>-1.92960310992138</v>
      </c>
      <c r="AG418" s="45">
        <v>-4.1868391069962296</v>
      </c>
      <c r="AH418" s="46">
        <v>1.56716423447725E-6</v>
      </c>
      <c r="AI418" s="47">
        <v>7.23057153700194E-6</v>
      </c>
      <c r="AJ418" s="48">
        <v>9.4420208613572001</v>
      </c>
      <c r="AK418" s="49">
        <v>2.25516687411741</v>
      </c>
      <c r="AL418" s="31" t="s">
        <v>5875</v>
      </c>
      <c r="AM418" s="31" t="s">
        <v>5876</v>
      </c>
      <c r="AN418" s="31" t="s">
        <v>30832</v>
      </c>
      <c r="AO418" s="31" t="s">
        <v>30833</v>
      </c>
      <c r="AP418" s="31" t="s">
        <v>30834</v>
      </c>
      <c r="AQ418" s="31" t="s">
        <v>30835</v>
      </c>
      <c r="AR418" s="31" t="s">
        <v>30836</v>
      </c>
      <c r="AS418" s="31" t="str">
        <f>"PCOLCE"</f>
        <v>PCOLCE</v>
      </c>
      <c r="AT418" s="31" t="s">
        <v>30837</v>
      </c>
      <c r="AU418" s="31" t="s">
        <v>13777</v>
      </c>
      <c r="AV418" s="31">
        <v>9606</v>
      </c>
      <c r="AW418" s="50" t="str">
        <f>HYPERLINK("http://www.uniprot.org/uniprot/Q15113", "Q15113")</f>
        <v>Q15113</v>
      </c>
      <c r="AX418" s="31" t="s">
        <v>30838</v>
      </c>
      <c r="AY418" s="31" t="s">
        <v>13772</v>
      </c>
      <c r="AZ418" s="31" t="s">
        <v>14321</v>
      </c>
      <c r="BA418" s="31" t="s">
        <v>13772</v>
      </c>
      <c r="BB418" s="31" t="s">
        <v>13772</v>
      </c>
      <c r="BC418" s="31" t="s">
        <v>13772</v>
      </c>
      <c r="BD418" s="31" t="s">
        <v>14404</v>
      </c>
      <c r="BE418" s="31" t="s">
        <v>13772</v>
      </c>
      <c r="BF418" s="31" t="s">
        <v>13772</v>
      </c>
      <c r="BG418" s="31" t="s">
        <v>13964</v>
      </c>
      <c r="BH418" s="31" t="s">
        <v>13812</v>
      </c>
      <c r="BI418" s="31" t="s">
        <v>30839</v>
      </c>
      <c r="BJ418" s="31" t="s">
        <v>16659</v>
      </c>
      <c r="BK418" s="31" t="s">
        <v>22710</v>
      </c>
      <c r="BL418" s="31" t="s">
        <v>13772</v>
      </c>
      <c r="BM418" s="31" t="s">
        <v>30840</v>
      </c>
    </row>
    <row r="419" spans="1:65">
      <c r="A419">
        <v>2167</v>
      </c>
      <c r="B419">
        <v>1</v>
      </c>
      <c r="C419">
        <v>414</v>
      </c>
      <c r="D419" t="s">
        <v>5076</v>
      </c>
      <c r="E419" t="s">
        <v>73</v>
      </c>
      <c r="F419" t="s">
        <v>73</v>
      </c>
      <c r="G419">
        <v>35.6</v>
      </c>
      <c r="H419">
        <v>497</v>
      </c>
      <c r="I419">
        <v>55974</v>
      </c>
      <c r="J419" t="s">
        <v>5077</v>
      </c>
      <c r="K419" s="3" t="s">
        <v>73</v>
      </c>
      <c r="L419">
        <v>95</v>
      </c>
      <c r="M419">
        <v>95</v>
      </c>
      <c r="N419">
        <v>1</v>
      </c>
      <c r="O419" s="11">
        <f t="shared" si="6"/>
        <v>6.1718255112159799</v>
      </c>
      <c r="P419" s="36">
        <v>8.4815037708430996</v>
      </c>
      <c r="Q419" s="36">
        <v>3.85225648270979</v>
      </c>
      <c r="R419" s="36">
        <v>6.4031906472490299</v>
      </c>
      <c r="S419" s="36">
        <v>16.631139350685501</v>
      </c>
      <c r="T419" s="36">
        <v>9.4619399593058091</v>
      </c>
      <c r="U419" s="36">
        <v>7.43781797311593</v>
      </c>
      <c r="V419" s="36">
        <v>4.21624913145856</v>
      </c>
      <c r="W419" s="36">
        <v>19.463671959646099</v>
      </c>
      <c r="X419" s="37">
        <v>0.79475829324495695</v>
      </c>
      <c r="Y419" s="37">
        <v>3.7838978813297102</v>
      </c>
      <c r="Z419" s="37">
        <v>2.4001630448020301</v>
      </c>
      <c r="AA419" s="37">
        <v>1.6930940931998799</v>
      </c>
      <c r="AB419" s="37">
        <v>1.8375851316302301</v>
      </c>
      <c r="AC419" s="37">
        <v>4.7351434223107498</v>
      </c>
      <c r="AD419" s="37">
        <v>6.0341601914496898</v>
      </c>
      <c r="AE419" s="37">
        <v>1.5226368464746201</v>
      </c>
      <c r="AF419" s="45">
        <v>-1.7101234496359901</v>
      </c>
      <c r="AG419" s="45">
        <v>-3.33083230375513</v>
      </c>
      <c r="AH419" s="46">
        <v>3.42583204526623E-4</v>
      </c>
      <c r="AI419" s="47">
        <v>8.5517971577727899E-4</v>
      </c>
      <c r="AJ419" s="48">
        <v>9.49347115937673</v>
      </c>
      <c r="AK419" s="49">
        <v>2.8501798630552302</v>
      </c>
      <c r="AL419" s="31" t="s">
        <v>5875</v>
      </c>
      <c r="AM419" s="31" t="s">
        <v>5876</v>
      </c>
      <c r="AN419" s="31" t="s">
        <v>34473</v>
      </c>
      <c r="AO419" s="31" t="s">
        <v>34474</v>
      </c>
      <c r="AP419" s="31" t="s">
        <v>34475</v>
      </c>
      <c r="AQ419" s="31" t="s">
        <v>34476</v>
      </c>
      <c r="AR419" s="31" t="s">
        <v>34477</v>
      </c>
      <c r="AS419" s="31" t="str">
        <f>"CTSA"</f>
        <v>CTSA</v>
      </c>
      <c r="AT419" s="31" t="s">
        <v>34478</v>
      </c>
      <c r="AU419" s="31" t="s">
        <v>13777</v>
      </c>
      <c r="AV419" s="31">
        <v>9606</v>
      </c>
      <c r="AW419" s="50" t="str">
        <f>HYPERLINK("http://www.uniprot.org/uniprot/P10619", "P10619")</f>
        <v>P10619</v>
      </c>
      <c r="AX419" s="31" t="s">
        <v>34479</v>
      </c>
      <c r="AY419" s="31" t="s">
        <v>13772</v>
      </c>
      <c r="AZ419" s="31" t="s">
        <v>13806</v>
      </c>
      <c r="BA419" s="31" t="s">
        <v>13841</v>
      </c>
      <c r="BB419" s="31" t="s">
        <v>13772</v>
      </c>
      <c r="BC419" s="31" t="s">
        <v>13807</v>
      </c>
      <c r="BD419" s="31" t="s">
        <v>13808</v>
      </c>
      <c r="BE419" s="31" t="s">
        <v>13772</v>
      </c>
      <c r="BF419" s="31" t="s">
        <v>34480</v>
      </c>
      <c r="BG419" s="31" t="s">
        <v>15472</v>
      </c>
      <c r="BH419" s="31" t="s">
        <v>13812</v>
      </c>
      <c r="BI419" s="31" t="s">
        <v>34481</v>
      </c>
      <c r="BJ419" s="31" t="s">
        <v>34482</v>
      </c>
      <c r="BK419" s="31" t="s">
        <v>34483</v>
      </c>
      <c r="BL419" s="31" t="s">
        <v>13772</v>
      </c>
      <c r="BM419" s="31" t="s">
        <v>34484</v>
      </c>
    </row>
    <row r="420" spans="1:65">
      <c r="A420">
        <v>1098</v>
      </c>
      <c r="B420">
        <v>1</v>
      </c>
      <c r="C420">
        <v>415</v>
      </c>
      <c r="D420" t="s">
        <v>2641</v>
      </c>
      <c r="E420" t="s">
        <v>73</v>
      </c>
      <c r="F420" t="s">
        <v>73</v>
      </c>
      <c r="G420">
        <v>38.9</v>
      </c>
      <c r="H420">
        <v>803</v>
      </c>
      <c r="I420">
        <v>92370</v>
      </c>
      <c r="J420" t="s">
        <v>2643</v>
      </c>
      <c r="K420" s="3" t="s">
        <v>73</v>
      </c>
      <c r="L420">
        <v>98</v>
      </c>
      <c r="M420">
        <v>87</v>
      </c>
      <c r="N420">
        <v>0.88800000000000001</v>
      </c>
      <c r="O420" s="11">
        <f t="shared" si="6"/>
        <v>5.0904482843913712</v>
      </c>
      <c r="P420" s="36">
        <v>4.8465735833389196</v>
      </c>
      <c r="Q420" s="36">
        <v>3.56333724650655</v>
      </c>
      <c r="R420" s="36">
        <v>6.4031906472490299</v>
      </c>
      <c r="S420" s="36">
        <v>6.0476870366129196</v>
      </c>
      <c r="T420" s="36">
        <v>3.1826525317665002</v>
      </c>
      <c r="U420" s="36">
        <v>2.5102635659266301</v>
      </c>
      <c r="V420" s="36">
        <v>1.05406228286464</v>
      </c>
      <c r="W420" s="36">
        <v>0.24329589949557701</v>
      </c>
      <c r="X420" s="37">
        <v>3.2585090023043199</v>
      </c>
      <c r="Y420" s="37">
        <v>8.8921600211248304</v>
      </c>
      <c r="Z420" s="37">
        <v>25.121706535594601</v>
      </c>
      <c r="AA420" s="37">
        <v>4.2327352329997003</v>
      </c>
      <c r="AB420" s="37">
        <v>3.6751702632604601</v>
      </c>
      <c r="AC420" s="37">
        <v>2.36757171115537</v>
      </c>
      <c r="AD420" s="37">
        <v>4.5256201435872701</v>
      </c>
      <c r="AE420" s="37">
        <v>1.5226368464746201</v>
      </c>
      <c r="AF420" s="45">
        <v>1.0137453537172101</v>
      </c>
      <c r="AG420" s="45">
        <v>1.92438292762414</v>
      </c>
      <c r="AH420" s="46">
        <v>0.111794135538084</v>
      </c>
      <c r="AI420" s="47">
        <v>0.15646501396439</v>
      </c>
      <c r="AJ420" s="48">
        <v>3.4813828492201</v>
      </c>
      <c r="AK420" s="49">
        <v>6.6995137195626402</v>
      </c>
      <c r="AL420" s="31" t="s">
        <v>5874</v>
      </c>
      <c r="AM420" s="31" t="s">
        <v>5832</v>
      </c>
      <c r="AN420" s="31" t="s">
        <v>24419</v>
      </c>
      <c r="AO420" s="31" t="s">
        <v>24420</v>
      </c>
      <c r="AP420" s="31" t="s">
        <v>24421</v>
      </c>
      <c r="AQ420" s="31" t="s">
        <v>24422</v>
      </c>
      <c r="AR420" s="31" t="s">
        <v>24423</v>
      </c>
      <c r="AS420" s="31" t="str">
        <f>"HSP90B1"</f>
        <v>HSP90B1</v>
      </c>
      <c r="AT420" s="31" t="s">
        <v>24424</v>
      </c>
      <c r="AU420" s="31" t="s">
        <v>13777</v>
      </c>
      <c r="AV420" s="31">
        <v>9606</v>
      </c>
      <c r="AW420" s="50" t="str">
        <f>HYPERLINK("http://www.uniprot.org/uniprot/P14625", "P14625")</f>
        <v>P14625</v>
      </c>
      <c r="AX420" s="31" t="s">
        <v>24425</v>
      </c>
      <c r="AY420" s="31" t="s">
        <v>13772</v>
      </c>
      <c r="AZ420" s="31" t="s">
        <v>24426</v>
      </c>
      <c r="BA420" s="31" t="s">
        <v>13772</v>
      </c>
      <c r="BB420" s="31" t="s">
        <v>13772</v>
      </c>
      <c r="BC420" s="31" t="s">
        <v>13772</v>
      </c>
      <c r="BD420" s="31" t="s">
        <v>13808</v>
      </c>
      <c r="BE420" s="31" t="s">
        <v>24427</v>
      </c>
      <c r="BF420" s="31" t="s">
        <v>14477</v>
      </c>
      <c r="BG420" s="31" t="s">
        <v>23893</v>
      </c>
      <c r="BH420" s="31" t="s">
        <v>13812</v>
      </c>
      <c r="BI420" s="31" t="s">
        <v>24428</v>
      </c>
      <c r="BJ420" s="31" t="s">
        <v>24429</v>
      </c>
      <c r="BK420" s="31" t="s">
        <v>24430</v>
      </c>
      <c r="BL420" s="31" t="s">
        <v>13772</v>
      </c>
      <c r="BM420" s="31" t="s">
        <v>24431</v>
      </c>
    </row>
    <row r="421" spans="1:65">
      <c r="A421">
        <v>1850</v>
      </c>
      <c r="B421">
        <v>1</v>
      </c>
      <c r="C421">
        <v>416</v>
      </c>
      <c r="D421" t="s">
        <v>4372</v>
      </c>
      <c r="E421" t="s">
        <v>73</v>
      </c>
      <c r="F421" t="s">
        <v>73</v>
      </c>
      <c r="G421">
        <v>53</v>
      </c>
      <c r="H421">
        <v>283</v>
      </c>
      <c r="I421">
        <v>30712</v>
      </c>
      <c r="J421" t="s">
        <v>4373</v>
      </c>
      <c r="K421" s="3" t="s">
        <v>73</v>
      </c>
      <c r="L421">
        <v>97</v>
      </c>
      <c r="M421">
        <v>84</v>
      </c>
      <c r="N421">
        <v>0.86599999999999999</v>
      </c>
      <c r="O421" s="11">
        <f t="shared" si="6"/>
        <v>6.2681589004499063</v>
      </c>
      <c r="P421" s="36">
        <v>3.6349301875041902</v>
      </c>
      <c r="Q421" s="36">
        <v>2.8891923620323401</v>
      </c>
      <c r="R421" s="36">
        <v>6.4031906472490299</v>
      </c>
      <c r="S421" s="36">
        <v>12.0953740732258</v>
      </c>
      <c r="T421" s="36">
        <v>9.2899046873184297</v>
      </c>
      <c r="U421" s="36">
        <v>13.1091541776168</v>
      </c>
      <c r="V421" s="36">
        <v>10.329810372073499</v>
      </c>
      <c r="W421" s="36">
        <v>8.7586523818407507</v>
      </c>
      <c r="X421" s="37">
        <v>0.19868957331123899</v>
      </c>
      <c r="Y421" s="37">
        <v>4.8560022810397996</v>
      </c>
      <c r="Z421" s="37">
        <v>7.2004891344060802</v>
      </c>
      <c r="AA421" s="37">
        <v>0.84654704659994096</v>
      </c>
      <c r="AB421" s="37">
        <v>0.91879256581511404</v>
      </c>
      <c r="AC421" s="37">
        <v>1.5783811407702499</v>
      </c>
      <c r="AD421" s="37">
        <v>17.800772564776601</v>
      </c>
      <c r="AE421" s="37">
        <v>0.38065921161865401</v>
      </c>
      <c r="AF421" s="45">
        <v>-1.0328895396683</v>
      </c>
      <c r="AG421" s="45">
        <v>-1.9689032629815699</v>
      </c>
      <c r="AH421" s="46">
        <v>0.10817934581779599</v>
      </c>
      <c r="AI421" s="47">
        <v>0.15266546479389501</v>
      </c>
      <c r="AJ421" s="48">
        <v>8.3137761111076092</v>
      </c>
      <c r="AK421" s="49">
        <v>4.2225416897922097</v>
      </c>
      <c r="AL421" s="31" t="s">
        <v>5875</v>
      </c>
      <c r="AM421" s="31" t="s">
        <v>5832</v>
      </c>
      <c r="AN421" s="31" t="s">
        <v>31570</v>
      </c>
      <c r="AO421" s="31" t="s">
        <v>31571</v>
      </c>
      <c r="AP421" s="31" t="s">
        <v>31572</v>
      </c>
      <c r="AQ421" s="31" t="s">
        <v>31573</v>
      </c>
      <c r="AR421" s="31" t="s">
        <v>31574</v>
      </c>
      <c r="AS421" s="31" t="str">
        <f>"VDAC1"</f>
        <v>VDAC1</v>
      </c>
      <c r="AT421" s="31" t="s">
        <v>31575</v>
      </c>
      <c r="AU421" s="31" t="s">
        <v>13777</v>
      </c>
      <c r="AV421" s="31">
        <v>9606</v>
      </c>
      <c r="AW421" s="50" t="str">
        <f>HYPERLINK("http://www.uniprot.org/uniprot/P21796", "P21796")</f>
        <v>P21796</v>
      </c>
      <c r="AX421" s="31" t="s">
        <v>31576</v>
      </c>
      <c r="AY421" s="31" t="s">
        <v>31577</v>
      </c>
      <c r="AZ421" s="31" t="s">
        <v>31578</v>
      </c>
      <c r="BA421" s="31" t="s">
        <v>13772</v>
      </c>
      <c r="BB421" s="31" t="s">
        <v>13772</v>
      </c>
      <c r="BC421" s="31" t="s">
        <v>13772</v>
      </c>
      <c r="BD421" s="31" t="s">
        <v>24415</v>
      </c>
      <c r="BE421" s="31" t="s">
        <v>13772</v>
      </c>
      <c r="BF421" s="31" t="s">
        <v>24497</v>
      </c>
      <c r="BG421" s="31" t="s">
        <v>13991</v>
      </c>
      <c r="BH421" s="31" t="s">
        <v>13812</v>
      </c>
      <c r="BI421" s="31" t="s">
        <v>31579</v>
      </c>
      <c r="BJ421" s="31" t="s">
        <v>31580</v>
      </c>
      <c r="BK421" s="31" t="s">
        <v>31581</v>
      </c>
      <c r="BL421" s="31" t="s">
        <v>13772</v>
      </c>
      <c r="BM421" s="31" t="s">
        <v>31582</v>
      </c>
    </row>
    <row r="422" spans="1:65">
      <c r="A422">
        <v>224</v>
      </c>
      <c r="B422">
        <v>1</v>
      </c>
      <c r="C422">
        <v>417</v>
      </c>
      <c r="D422" t="s">
        <v>569</v>
      </c>
      <c r="E422" t="s">
        <v>73</v>
      </c>
      <c r="F422" t="s">
        <v>73</v>
      </c>
      <c r="G422">
        <v>46.9</v>
      </c>
      <c r="H422">
        <v>405</v>
      </c>
      <c r="I422">
        <v>45755</v>
      </c>
      <c r="J422" t="s">
        <v>570</v>
      </c>
      <c r="K422" s="3" t="s">
        <v>73</v>
      </c>
      <c r="L422">
        <v>94</v>
      </c>
      <c r="M422">
        <v>94</v>
      </c>
      <c r="N422">
        <v>1</v>
      </c>
      <c r="O422" s="11">
        <f t="shared" si="6"/>
        <v>5.0355461637168153</v>
      </c>
      <c r="P422" s="36">
        <v>8.4815037708430996</v>
      </c>
      <c r="Q422" s="36">
        <v>0.96306412067744696</v>
      </c>
      <c r="R422" s="36">
        <v>4.8023929854367697</v>
      </c>
      <c r="S422" s="36">
        <v>0.37798043978830698</v>
      </c>
      <c r="T422" s="36">
        <v>0.215044089984223</v>
      </c>
      <c r="U422" s="36">
        <v>2.7891817399184702</v>
      </c>
      <c r="V422" s="36">
        <v>16.8649965258343</v>
      </c>
      <c r="W422" s="36">
        <v>9.7318359798230603</v>
      </c>
      <c r="X422" s="37">
        <v>0.79475829324495695</v>
      </c>
      <c r="Y422" s="37">
        <v>1.89194894066486</v>
      </c>
      <c r="Z422" s="37">
        <v>2.4001630448020301</v>
      </c>
      <c r="AA422" s="37">
        <v>6.7723763727995303</v>
      </c>
      <c r="AB422" s="37">
        <v>9.1879256581511406</v>
      </c>
      <c r="AC422" s="37">
        <v>3.1567622815404999</v>
      </c>
      <c r="AD422" s="37">
        <v>4.5256201435872701</v>
      </c>
      <c r="AE422" s="37">
        <v>7.6131842323730803</v>
      </c>
      <c r="AF422" s="45">
        <v>-0.31456451312459699</v>
      </c>
      <c r="AG422" s="45">
        <v>-1.21691432481919</v>
      </c>
      <c r="AH422" s="46">
        <v>0.65422362659724498</v>
      </c>
      <c r="AI422" s="47">
        <v>0.72583019269246596</v>
      </c>
      <c r="AJ422" s="48">
        <v>5.5282499565382004</v>
      </c>
      <c r="AK422" s="49">
        <v>4.5428423708954204</v>
      </c>
      <c r="AL422" s="31" t="s">
        <v>5875</v>
      </c>
      <c r="AM422" s="31" t="s">
        <v>5832</v>
      </c>
      <c r="AN422" s="31" t="s">
        <v>15724</v>
      </c>
      <c r="AO422" s="31" t="s">
        <v>15725</v>
      </c>
      <c r="AP422" s="31" t="s">
        <v>15726</v>
      </c>
      <c r="AQ422" s="31" t="s">
        <v>15727</v>
      </c>
      <c r="AR422" s="31" t="s">
        <v>15728</v>
      </c>
      <c r="AS422" s="31" t="str">
        <f>"SERPINA6"</f>
        <v>SERPINA6</v>
      </c>
      <c r="AT422" s="31" t="s">
        <v>15729</v>
      </c>
      <c r="AU422" s="31" t="s">
        <v>13777</v>
      </c>
      <c r="AV422" s="31">
        <v>9606</v>
      </c>
      <c r="AW422" s="50" t="str">
        <f>HYPERLINK("http://www.uniprot.org/uniprot/P08185", "P08185")</f>
        <v>P08185</v>
      </c>
      <c r="AX422" s="31" t="s">
        <v>15730</v>
      </c>
      <c r="AY422" s="31" t="s">
        <v>14192</v>
      </c>
      <c r="AZ422" s="31" t="s">
        <v>14321</v>
      </c>
      <c r="BA422" s="31" t="s">
        <v>13793</v>
      </c>
      <c r="BB422" s="31" t="s">
        <v>13772</v>
      </c>
      <c r="BC422" s="31" t="s">
        <v>13807</v>
      </c>
      <c r="BD422" s="31" t="s">
        <v>13808</v>
      </c>
      <c r="BE422" s="31" t="s">
        <v>15731</v>
      </c>
      <c r="BF422" s="31" t="s">
        <v>13772</v>
      </c>
      <c r="BG422" s="31" t="s">
        <v>13858</v>
      </c>
      <c r="BH422" s="31" t="s">
        <v>13812</v>
      </c>
      <c r="BI422" s="31" t="s">
        <v>15732</v>
      </c>
      <c r="BJ422" s="31" t="s">
        <v>15733</v>
      </c>
      <c r="BK422" s="31" t="s">
        <v>15734</v>
      </c>
      <c r="BL422" s="31" t="s">
        <v>13772</v>
      </c>
      <c r="BM422" s="31" t="s">
        <v>13772</v>
      </c>
    </row>
    <row r="423" spans="1:65">
      <c r="A423">
        <v>328</v>
      </c>
      <c r="B423">
        <v>1</v>
      </c>
      <c r="C423">
        <v>418</v>
      </c>
      <c r="D423" t="s">
        <v>824</v>
      </c>
      <c r="E423" t="s">
        <v>73</v>
      </c>
      <c r="F423" t="s">
        <v>73</v>
      </c>
      <c r="G423">
        <v>67.8</v>
      </c>
      <c r="H423">
        <v>118</v>
      </c>
      <c r="I423">
        <v>12895</v>
      </c>
      <c r="J423" t="s">
        <v>825</v>
      </c>
      <c r="K423" s="3" t="s">
        <v>73</v>
      </c>
      <c r="L423">
        <v>94</v>
      </c>
      <c r="M423">
        <v>94</v>
      </c>
      <c r="N423">
        <v>1</v>
      </c>
      <c r="O423" s="11">
        <f t="shared" si="6"/>
        <v>5.1964637447368602</v>
      </c>
      <c r="P423" s="36">
        <v>4.8465735833389196</v>
      </c>
      <c r="Q423" s="36">
        <v>0.96306412067744696</v>
      </c>
      <c r="R423" s="36">
        <v>1.6007976618122599</v>
      </c>
      <c r="S423" s="36">
        <v>0.37798043978830698</v>
      </c>
      <c r="T423" s="36">
        <v>0.215044089984223</v>
      </c>
      <c r="U423" s="36">
        <v>1.85945449327898</v>
      </c>
      <c r="V423" s="36">
        <v>5.2703114143232002</v>
      </c>
      <c r="W423" s="36">
        <v>9.7318359798230603</v>
      </c>
      <c r="X423" s="37">
        <v>9.53709951893949</v>
      </c>
      <c r="Y423" s="37">
        <v>6.9371461157711396</v>
      </c>
      <c r="Z423" s="37">
        <v>5.6003804378713999</v>
      </c>
      <c r="AA423" s="37">
        <v>4.2327352329997003</v>
      </c>
      <c r="AB423" s="37">
        <v>11.0255107897814</v>
      </c>
      <c r="AC423" s="37">
        <v>11.837858555776901</v>
      </c>
      <c r="AD423" s="37">
        <v>3.0170800957248498</v>
      </c>
      <c r="AE423" s="37">
        <v>6.0905473858984696</v>
      </c>
      <c r="AF423" s="45">
        <v>1.19357675695334</v>
      </c>
      <c r="AG423" s="45">
        <v>2.3437849719137098</v>
      </c>
      <c r="AH423" s="46">
        <v>2.3778329449293499E-2</v>
      </c>
      <c r="AI423" s="47">
        <v>4.0170965660548903E-2</v>
      </c>
      <c r="AJ423" s="48">
        <v>3.1081327228782998</v>
      </c>
      <c r="AK423" s="49">
        <v>7.28479476659541</v>
      </c>
      <c r="AL423" s="31" t="s">
        <v>5874</v>
      </c>
      <c r="AM423" s="31" t="s">
        <v>5878</v>
      </c>
      <c r="AN423" s="31" t="s">
        <v>16835</v>
      </c>
      <c r="AO423" s="31" t="s">
        <v>16836</v>
      </c>
      <c r="AP423" s="31" t="s">
        <v>16837</v>
      </c>
      <c r="AQ423" s="31" t="s">
        <v>16838</v>
      </c>
      <c r="AR423" s="31" t="s">
        <v>13772</v>
      </c>
      <c r="AS423" s="31" t="str">
        <f>"MTPN"</f>
        <v>MTPN</v>
      </c>
      <c r="AT423" s="31" t="s">
        <v>13772</v>
      </c>
      <c r="AU423" s="31" t="s">
        <v>13777</v>
      </c>
      <c r="AV423" s="31">
        <v>9606</v>
      </c>
      <c r="AW423" s="50" t="str">
        <f>HYPERLINK("http://www.uniprot.org/uniprot/P58546", "P58546")</f>
        <v>P58546</v>
      </c>
      <c r="AX423" s="31" t="s">
        <v>16839</v>
      </c>
      <c r="AY423" s="31" t="s">
        <v>13772</v>
      </c>
      <c r="AZ423" s="31" t="s">
        <v>13912</v>
      </c>
      <c r="BA423" s="31" t="s">
        <v>13772</v>
      </c>
      <c r="BB423" s="31" t="s">
        <v>13772</v>
      </c>
      <c r="BC423" s="31" t="s">
        <v>13772</v>
      </c>
      <c r="BD423" s="31" t="s">
        <v>16840</v>
      </c>
      <c r="BE423" s="31" t="s">
        <v>13772</v>
      </c>
      <c r="BF423" s="31" t="s">
        <v>13772</v>
      </c>
      <c r="BG423" s="31" t="s">
        <v>13886</v>
      </c>
      <c r="BH423" s="31" t="s">
        <v>13812</v>
      </c>
      <c r="BI423" s="31" t="s">
        <v>16841</v>
      </c>
      <c r="BJ423" s="31" t="s">
        <v>16842</v>
      </c>
      <c r="BK423" s="31" t="s">
        <v>16843</v>
      </c>
      <c r="BL423" s="31" t="s">
        <v>13772</v>
      </c>
      <c r="BM423" s="31" t="s">
        <v>13772</v>
      </c>
    </row>
    <row r="424" spans="1:65">
      <c r="A424">
        <v>549</v>
      </c>
      <c r="B424">
        <v>1</v>
      </c>
      <c r="C424">
        <v>419</v>
      </c>
      <c r="D424" t="s">
        <v>1370</v>
      </c>
      <c r="E424" t="s">
        <v>73</v>
      </c>
      <c r="F424" t="s">
        <v>73</v>
      </c>
      <c r="G424">
        <v>21.2</v>
      </c>
      <c r="H424">
        <v>325</v>
      </c>
      <c r="I424">
        <v>35892</v>
      </c>
      <c r="J424" t="s">
        <v>1371</v>
      </c>
      <c r="K424" s="3" t="s">
        <v>73</v>
      </c>
      <c r="L424">
        <v>94</v>
      </c>
      <c r="M424">
        <v>94</v>
      </c>
      <c r="N424">
        <v>1</v>
      </c>
      <c r="O424" s="11">
        <f t="shared" si="6"/>
        <v>5.4087878071017297</v>
      </c>
      <c r="P424" s="36">
        <v>3.6349301875041902</v>
      </c>
      <c r="Q424" s="36">
        <v>3.85225648270979</v>
      </c>
      <c r="R424" s="36">
        <v>8.00398830906129</v>
      </c>
      <c r="S424" s="36">
        <v>1.5119217591532299</v>
      </c>
      <c r="T424" s="36">
        <v>3.4407054397475698</v>
      </c>
      <c r="U424" s="36">
        <v>4.6486362331974602</v>
      </c>
      <c r="V424" s="36">
        <v>2.10812456572928</v>
      </c>
      <c r="W424" s="36">
        <v>8.7586523818407507</v>
      </c>
      <c r="X424" s="37">
        <v>3.17903317297983</v>
      </c>
      <c r="Y424" s="37">
        <v>5.6758468219945701</v>
      </c>
      <c r="Z424" s="37">
        <v>5.6003804378713999</v>
      </c>
      <c r="AA424" s="37">
        <v>6.7723763727995303</v>
      </c>
      <c r="AB424" s="37">
        <v>6.4315479607058004</v>
      </c>
      <c r="AC424" s="37">
        <v>4.7351434223107498</v>
      </c>
      <c r="AD424" s="37">
        <v>9.0512402871745401</v>
      </c>
      <c r="AE424" s="37">
        <v>9.1358210788476999</v>
      </c>
      <c r="AF424" s="45">
        <v>0.42394246826655002</v>
      </c>
      <c r="AG424" s="45">
        <v>1.4066321817587699</v>
      </c>
      <c r="AH424" s="46">
        <v>0.25326165495752601</v>
      </c>
      <c r="AI424" s="47">
        <v>0.32583085993574101</v>
      </c>
      <c r="AJ424" s="48">
        <v>4.4949019198679396</v>
      </c>
      <c r="AK424" s="49">
        <v>6.32267369433551</v>
      </c>
      <c r="AL424" s="31" t="s">
        <v>5874</v>
      </c>
      <c r="AM424" s="31" t="s">
        <v>5832</v>
      </c>
      <c r="AN424" s="31" t="s">
        <v>19183</v>
      </c>
      <c r="AO424" s="31" t="s">
        <v>19184</v>
      </c>
      <c r="AP424" s="31" t="s">
        <v>19185</v>
      </c>
      <c r="AQ424" s="31" t="s">
        <v>19186</v>
      </c>
      <c r="AR424" s="31" t="s">
        <v>19187</v>
      </c>
      <c r="AS424" s="31" t="str">
        <f>"LYVE1"</f>
        <v>LYVE1</v>
      </c>
      <c r="AT424" s="31" t="s">
        <v>19188</v>
      </c>
      <c r="AU424" s="31" t="s">
        <v>13777</v>
      </c>
      <c r="AV424" s="31">
        <v>9606</v>
      </c>
      <c r="AW424" s="50" t="str">
        <f>HYPERLINK("http://www.uniprot.org/uniprot/Q9Y5Y7", "Q9Y5Y7")</f>
        <v>Q9Y5Y7</v>
      </c>
      <c r="AX424" s="31" t="s">
        <v>19189</v>
      </c>
      <c r="AY424" s="31" t="s">
        <v>14192</v>
      </c>
      <c r="AZ424" s="31" t="s">
        <v>13825</v>
      </c>
      <c r="BA424" s="31" t="s">
        <v>13793</v>
      </c>
      <c r="BB424" s="31" t="s">
        <v>13772</v>
      </c>
      <c r="BC424" s="31" t="s">
        <v>13772</v>
      </c>
      <c r="BD424" s="31" t="s">
        <v>13855</v>
      </c>
      <c r="BE424" s="31" t="s">
        <v>13772</v>
      </c>
      <c r="BF424" s="31" t="s">
        <v>13795</v>
      </c>
      <c r="BG424" s="31" t="s">
        <v>13796</v>
      </c>
      <c r="BH424" s="31" t="s">
        <v>13772</v>
      </c>
      <c r="BI424" s="31" t="s">
        <v>19190</v>
      </c>
      <c r="BJ424" s="31" t="s">
        <v>19191</v>
      </c>
      <c r="BK424" s="31" t="s">
        <v>19192</v>
      </c>
      <c r="BL424" s="31" t="s">
        <v>13772</v>
      </c>
      <c r="BM424" s="31" t="s">
        <v>19193</v>
      </c>
    </row>
    <row r="425" spans="1:65">
      <c r="A425">
        <v>751</v>
      </c>
      <c r="B425">
        <v>1</v>
      </c>
      <c r="C425">
        <v>420</v>
      </c>
      <c r="D425" t="s">
        <v>1845</v>
      </c>
      <c r="E425" t="s">
        <v>73</v>
      </c>
      <c r="F425" t="s">
        <v>73</v>
      </c>
      <c r="G425">
        <v>33.299999999999997</v>
      </c>
      <c r="H425">
        <v>675</v>
      </c>
      <c r="I425">
        <v>75152</v>
      </c>
      <c r="J425" t="s">
        <v>1846</v>
      </c>
      <c r="K425" s="3" t="s">
        <v>73</v>
      </c>
      <c r="L425">
        <v>94</v>
      </c>
      <c r="M425">
        <v>94</v>
      </c>
      <c r="N425">
        <v>1</v>
      </c>
      <c r="O425" s="11">
        <f t="shared" si="6"/>
        <v>4.1514614001153962</v>
      </c>
      <c r="P425" s="36">
        <v>4.8465735833389196</v>
      </c>
      <c r="Q425" s="36">
        <v>1.9261282413548899</v>
      </c>
      <c r="R425" s="36">
        <v>6.4031906472490299</v>
      </c>
      <c r="S425" s="36">
        <v>4.5357652774596904</v>
      </c>
      <c r="T425" s="36">
        <v>0.86017635993689201</v>
      </c>
      <c r="U425" s="36">
        <v>2.7891817399184702</v>
      </c>
      <c r="V425" s="36">
        <v>3.1621868485939202</v>
      </c>
      <c r="W425" s="36">
        <v>4.8659179899115301</v>
      </c>
      <c r="X425" s="37">
        <v>3.17903317297983</v>
      </c>
      <c r="Y425" s="37">
        <v>2.5225985875531398</v>
      </c>
      <c r="Z425" s="37">
        <v>4.8003260896040603</v>
      </c>
      <c r="AA425" s="37">
        <v>6.7723763727995303</v>
      </c>
      <c r="AB425" s="37">
        <v>3.6751702632604601</v>
      </c>
      <c r="AC425" s="37">
        <v>3.94595285192562</v>
      </c>
      <c r="AD425" s="37">
        <v>4.5256201435872701</v>
      </c>
      <c r="AE425" s="37">
        <v>7.6131842323730803</v>
      </c>
      <c r="AF425" s="45">
        <v>0.34959633973728699</v>
      </c>
      <c r="AG425" s="45">
        <v>1.2601350720065201</v>
      </c>
      <c r="AH425" s="46">
        <v>0.45743096860367299</v>
      </c>
      <c r="AI425" s="47">
        <v>0.54067370670646198</v>
      </c>
      <c r="AJ425" s="48">
        <v>3.6736400859704199</v>
      </c>
      <c r="AK425" s="49">
        <v>4.6292827142603699</v>
      </c>
      <c r="AL425" s="31" t="s">
        <v>5874</v>
      </c>
      <c r="AM425" s="31" t="s">
        <v>5832</v>
      </c>
      <c r="AN425" s="31" t="s">
        <v>21169</v>
      </c>
      <c r="AO425" s="31" t="s">
        <v>13772</v>
      </c>
      <c r="AP425" s="31" t="s">
        <v>21170</v>
      </c>
      <c r="AQ425" s="31" t="s">
        <v>21171</v>
      </c>
      <c r="AR425" s="31" t="s">
        <v>21172</v>
      </c>
      <c r="AS425" s="31" t="str">
        <f>"PROS1"</f>
        <v>PROS1</v>
      </c>
      <c r="AT425" s="31" t="s">
        <v>21173</v>
      </c>
      <c r="AU425" s="31" t="s">
        <v>13777</v>
      </c>
      <c r="AV425" s="31">
        <v>9606</v>
      </c>
      <c r="AW425" s="50" t="str">
        <f>HYPERLINK("http://www.uniprot.org/uniprot/P07225", "P07225")</f>
        <v>P07225</v>
      </c>
      <c r="AX425" s="31" t="s">
        <v>21174</v>
      </c>
      <c r="AY425" s="31" t="s">
        <v>21175</v>
      </c>
      <c r="AZ425" s="31" t="s">
        <v>14321</v>
      </c>
      <c r="BA425" s="31" t="s">
        <v>13793</v>
      </c>
      <c r="BB425" s="31" t="s">
        <v>13772</v>
      </c>
      <c r="BC425" s="31" t="s">
        <v>17445</v>
      </c>
      <c r="BD425" s="31" t="s">
        <v>14768</v>
      </c>
      <c r="BE425" s="31" t="s">
        <v>14465</v>
      </c>
      <c r="BF425" s="31" t="s">
        <v>13772</v>
      </c>
      <c r="BG425" s="31" t="s">
        <v>21176</v>
      </c>
      <c r="BH425" s="31" t="s">
        <v>13812</v>
      </c>
      <c r="BI425" s="31" t="s">
        <v>21177</v>
      </c>
      <c r="BJ425" s="31" t="s">
        <v>21178</v>
      </c>
      <c r="BK425" s="31" t="s">
        <v>21179</v>
      </c>
      <c r="BL425" s="31" t="s">
        <v>13772</v>
      </c>
      <c r="BM425" s="31" t="s">
        <v>21180</v>
      </c>
    </row>
    <row r="426" spans="1:65">
      <c r="A426">
        <v>1401</v>
      </c>
      <c r="B426">
        <v>1</v>
      </c>
      <c r="C426">
        <v>421</v>
      </c>
      <c r="D426" t="s">
        <v>3345</v>
      </c>
      <c r="E426" t="s">
        <v>73</v>
      </c>
      <c r="F426" t="s">
        <v>73</v>
      </c>
      <c r="G426">
        <v>46.1</v>
      </c>
      <c r="H426">
        <v>440</v>
      </c>
      <c r="I426">
        <v>49498</v>
      </c>
      <c r="J426" t="s">
        <v>3346</v>
      </c>
      <c r="K426" s="3" t="s">
        <v>73</v>
      </c>
      <c r="L426">
        <v>94</v>
      </c>
      <c r="M426">
        <v>94</v>
      </c>
      <c r="N426">
        <v>1</v>
      </c>
      <c r="O426" s="11">
        <f t="shared" si="6"/>
        <v>5.2008742137124022</v>
      </c>
      <c r="P426" s="36">
        <v>12.116433958347301</v>
      </c>
      <c r="Q426" s="36">
        <v>10.5937053274519</v>
      </c>
      <c r="R426" s="36">
        <v>0.40019941545306398</v>
      </c>
      <c r="S426" s="36">
        <v>3.0238435183064598</v>
      </c>
      <c r="T426" s="36">
        <v>5.1610581596213496</v>
      </c>
      <c r="U426" s="36">
        <v>5.5783634798369501</v>
      </c>
      <c r="V426" s="36">
        <v>7.3784359800524904</v>
      </c>
      <c r="W426" s="36">
        <v>11.678203175787701</v>
      </c>
      <c r="X426" s="37">
        <v>4.7685497594697397</v>
      </c>
      <c r="Y426" s="37">
        <v>1.89194894066486</v>
      </c>
      <c r="Z426" s="37">
        <v>4.8003260896040603</v>
      </c>
      <c r="AA426" s="37">
        <v>2.5396411397998202</v>
      </c>
      <c r="AB426" s="37">
        <v>0.22969814145377901</v>
      </c>
      <c r="AC426" s="37">
        <v>3.94595285192562</v>
      </c>
      <c r="AD426" s="37">
        <v>3.0170800957248498</v>
      </c>
      <c r="AE426" s="37">
        <v>6.0905473858984696</v>
      </c>
      <c r="AF426" s="45">
        <v>-1.0802962796669799</v>
      </c>
      <c r="AG426" s="45">
        <v>-2.0499474773538799</v>
      </c>
      <c r="AH426" s="46">
        <v>3.5291493885969298E-2</v>
      </c>
      <c r="AI426" s="47">
        <v>5.6891588939068503E-2</v>
      </c>
      <c r="AJ426" s="48">
        <v>6.9912803768571496</v>
      </c>
      <c r="AK426" s="49">
        <v>3.4104680505676499</v>
      </c>
      <c r="AL426" s="31" t="s">
        <v>5875</v>
      </c>
      <c r="AM426" s="31" t="s">
        <v>5877</v>
      </c>
      <c r="AN426" s="31" t="s">
        <v>27306</v>
      </c>
      <c r="AO426" s="31" t="s">
        <v>27307</v>
      </c>
      <c r="AP426" s="31" t="s">
        <v>27308</v>
      </c>
      <c r="AQ426" s="31" t="s">
        <v>27309</v>
      </c>
      <c r="AR426" s="31" t="s">
        <v>27310</v>
      </c>
      <c r="AS426" s="31" t="str">
        <f>"PLA2G7"</f>
        <v>PLA2G7</v>
      </c>
      <c r="AT426" s="31" t="s">
        <v>27311</v>
      </c>
      <c r="AU426" s="31" t="s">
        <v>13777</v>
      </c>
      <c r="AV426" s="31">
        <v>9606</v>
      </c>
      <c r="AW426" s="50" t="str">
        <f>HYPERLINK("http://www.uniprot.org/uniprot/Q13093", "Q13093")</f>
        <v>Q13093</v>
      </c>
      <c r="AX426" s="31" t="s">
        <v>27312</v>
      </c>
      <c r="AY426" s="31" t="s">
        <v>17548</v>
      </c>
      <c r="AZ426" s="31" t="s">
        <v>14321</v>
      </c>
      <c r="BA426" s="31" t="s">
        <v>13793</v>
      </c>
      <c r="BB426" s="31" t="s">
        <v>13772</v>
      </c>
      <c r="BC426" s="31" t="s">
        <v>27313</v>
      </c>
      <c r="BD426" s="31" t="s">
        <v>13808</v>
      </c>
      <c r="BE426" s="31" t="s">
        <v>13772</v>
      </c>
      <c r="BF426" s="31" t="s">
        <v>13857</v>
      </c>
      <c r="BG426" s="31" t="s">
        <v>13858</v>
      </c>
      <c r="BH426" s="31" t="s">
        <v>13812</v>
      </c>
      <c r="BI426" s="31" t="s">
        <v>27314</v>
      </c>
      <c r="BJ426" s="31" t="s">
        <v>27315</v>
      </c>
      <c r="BK426" s="31" t="s">
        <v>27316</v>
      </c>
      <c r="BL426" s="31" t="s">
        <v>13772</v>
      </c>
      <c r="BM426" s="31" t="s">
        <v>27317</v>
      </c>
    </row>
    <row r="427" spans="1:65">
      <c r="A427">
        <v>1700</v>
      </c>
      <c r="B427">
        <v>1</v>
      </c>
      <c r="C427">
        <v>422</v>
      </c>
      <c r="D427" t="s">
        <v>4031</v>
      </c>
      <c r="E427" t="s">
        <v>4032</v>
      </c>
      <c r="F427" t="s">
        <v>73</v>
      </c>
      <c r="G427">
        <v>35.1</v>
      </c>
      <c r="H427">
        <v>228</v>
      </c>
      <c r="I427">
        <v>26057</v>
      </c>
      <c r="J427" t="s">
        <v>4033</v>
      </c>
      <c r="K427" s="3" t="s">
        <v>73</v>
      </c>
      <c r="L427">
        <v>94</v>
      </c>
      <c r="M427">
        <v>94</v>
      </c>
      <c r="N427">
        <v>1</v>
      </c>
      <c r="O427" s="11">
        <f t="shared" si="6"/>
        <v>5.1051055797152598</v>
      </c>
      <c r="P427" s="36">
        <v>0.30291084895868198</v>
      </c>
      <c r="Q427" s="36">
        <v>0.24076603016936199</v>
      </c>
      <c r="R427" s="36">
        <v>0.40019941545306398</v>
      </c>
      <c r="S427" s="36">
        <v>0.37798043978830698</v>
      </c>
      <c r="T427" s="36">
        <v>0.215044089984223</v>
      </c>
      <c r="U427" s="36">
        <v>0.23243181165987301</v>
      </c>
      <c r="V427" s="36">
        <v>0.26351557071616</v>
      </c>
      <c r="W427" s="36">
        <v>0.24329589949557701</v>
      </c>
      <c r="X427" s="37">
        <v>4.7685497594697397</v>
      </c>
      <c r="Y427" s="37">
        <v>5.0451971751062796</v>
      </c>
      <c r="Z427" s="37">
        <v>4.0002717413367099</v>
      </c>
      <c r="AA427" s="37">
        <v>3.3861881863997598</v>
      </c>
      <c r="AB427" s="37">
        <v>35.832910066789402</v>
      </c>
      <c r="AC427" s="37">
        <v>14.2054302669323</v>
      </c>
      <c r="AD427" s="37">
        <v>1.50854004786242</v>
      </c>
      <c r="AE427" s="37">
        <v>10.658457925322301</v>
      </c>
      <c r="AF427" s="45">
        <v>4.6687877593354301</v>
      </c>
      <c r="AG427" s="45">
        <v>34.885992038924499</v>
      </c>
      <c r="AH427" s="46">
        <v>1.0493107098353201E-7</v>
      </c>
      <c r="AI427" s="47">
        <v>6.95038480079035E-7</v>
      </c>
      <c r="AJ427" s="48">
        <v>0.28451801327815601</v>
      </c>
      <c r="AK427" s="49">
        <v>9.9256931461523692</v>
      </c>
      <c r="AL427" s="31" t="s">
        <v>5874</v>
      </c>
      <c r="AM427" s="31" t="s">
        <v>5876</v>
      </c>
      <c r="AN427" s="31" t="s">
        <v>30111</v>
      </c>
      <c r="AO427" s="31" t="s">
        <v>30112</v>
      </c>
      <c r="AP427" s="31" t="s">
        <v>30113</v>
      </c>
      <c r="AQ427" s="31" t="s">
        <v>30114</v>
      </c>
      <c r="AR427" s="31" t="s">
        <v>30115</v>
      </c>
      <c r="AS427" s="31" t="str">
        <f>"TNNI1"</f>
        <v>TNNI1</v>
      </c>
      <c r="AT427" s="31" t="s">
        <v>13772</v>
      </c>
      <c r="AU427" s="31" t="s">
        <v>13777</v>
      </c>
      <c r="AV427" s="31">
        <v>9606</v>
      </c>
      <c r="AW427" s="50" t="str">
        <f>HYPERLINK("http://www.uniprot.org/uniprot/P19237", "P19237")</f>
        <v>P19237</v>
      </c>
      <c r="AX427" s="31" t="s">
        <v>30116</v>
      </c>
      <c r="AY427" s="31" t="s">
        <v>13772</v>
      </c>
      <c r="AZ427" s="31" t="s">
        <v>13772</v>
      </c>
      <c r="BA427" s="31" t="s">
        <v>13793</v>
      </c>
      <c r="BB427" s="31" t="s">
        <v>13772</v>
      </c>
      <c r="BC427" s="31" t="s">
        <v>13772</v>
      </c>
      <c r="BD427" s="31" t="s">
        <v>13772</v>
      </c>
      <c r="BE427" s="31" t="s">
        <v>13873</v>
      </c>
      <c r="BF427" s="31" t="s">
        <v>14849</v>
      </c>
      <c r="BG427" s="31" t="s">
        <v>13886</v>
      </c>
      <c r="BH427" s="31" t="s">
        <v>13772</v>
      </c>
      <c r="BI427" s="31" t="s">
        <v>30117</v>
      </c>
      <c r="BJ427" s="31" t="s">
        <v>18826</v>
      </c>
      <c r="BK427" s="31" t="s">
        <v>30118</v>
      </c>
      <c r="BL427" s="31" t="s">
        <v>13772</v>
      </c>
      <c r="BM427" s="31" t="s">
        <v>15657</v>
      </c>
    </row>
    <row r="428" spans="1:65">
      <c r="A428">
        <v>1905</v>
      </c>
      <c r="B428">
        <v>1</v>
      </c>
      <c r="C428">
        <v>423</v>
      </c>
      <c r="D428" t="s">
        <v>4492</v>
      </c>
      <c r="E428" t="s">
        <v>73</v>
      </c>
      <c r="F428" t="s">
        <v>73</v>
      </c>
      <c r="G428">
        <v>41.6</v>
      </c>
      <c r="H428">
        <v>889</v>
      </c>
      <c r="I428">
        <v>98385</v>
      </c>
      <c r="J428" t="s">
        <v>4493</v>
      </c>
      <c r="K428" s="3" t="s">
        <v>73</v>
      </c>
      <c r="L428">
        <v>94</v>
      </c>
      <c r="M428">
        <v>94</v>
      </c>
      <c r="N428">
        <v>1</v>
      </c>
      <c r="O428" s="11">
        <f t="shared" si="6"/>
        <v>4.7321207555117297</v>
      </c>
      <c r="P428" s="36">
        <v>0.30291084895868198</v>
      </c>
      <c r="Q428" s="36">
        <v>4.8153206033872298</v>
      </c>
      <c r="R428" s="36">
        <v>0.40019941545306398</v>
      </c>
      <c r="S428" s="36">
        <v>0.37798043978830698</v>
      </c>
      <c r="T428" s="36">
        <v>5.1610581596213496</v>
      </c>
      <c r="U428" s="36">
        <v>6.50809072647644</v>
      </c>
      <c r="V428" s="36">
        <v>10.5406228286464</v>
      </c>
      <c r="W428" s="36">
        <v>0.97318359798230603</v>
      </c>
      <c r="X428" s="37">
        <v>23.047990504103801</v>
      </c>
      <c r="Y428" s="37">
        <v>17.027540465983702</v>
      </c>
      <c r="Z428" s="37">
        <v>2.4001630448020301</v>
      </c>
      <c r="AA428" s="37">
        <v>1.6930940931998799</v>
      </c>
      <c r="AB428" s="37">
        <v>0.91879256581511404</v>
      </c>
      <c r="AC428" s="37">
        <v>0.78919057038512497</v>
      </c>
      <c r="AD428" s="37">
        <v>0.377135011965606</v>
      </c>
      <c r="AE428" s="37">
        <v>0.38065921161865401</v>
      </c>
      <c r="AF428" s="45">
        <v>0.66678279963529696</v>
      </c>
      <c r="AG428" s="45">
        <v>1.6036994916972001</v>
      </c>
      <c r="AH428" s="46">
        <v>0.43914317105936201</v>
      </c>
      <c r="AI428" s="47">
        <v>0.52275228014005903</v>
      </c>
      <c r="AJ428" s="48">
        <v>3.63492082753922</v>
      </c>
      <c r="AK428" s="49">
        <v>5.8293206834842399</v>
      </c>
      <c r="AL428" s="31" t="s">
        <v>5874</v>
      </c>
      <c r="AM428" s="31" t="s">
        <v>5832</v>
      </c>
      <c r="AN428" s="31" t="s">
        <v>32031</v>
      </c>
      <c r="AO428" s="31" t="s">
        <v>32032</v>
      </c>
      <c r="AP428" s="31" t="s">
        <v>32033</v>
      </c>
      <c r="AQ428" s="31" t="s">
        <v>32034</v>
      </c>
      <c r="AR428" s="31" t="s">
        <v>32035</v>
      </c>
      <c r="AS428" s="31" t="str">
        <f>"ACO1"</f>
        <v>ACO1</v>
      </c>
      <c r="AT428" s="31" t="s">
        <v>32036</v>
      </c>
      <c r="AU428" s="31" t="s">
        <v>13777</v>
      </c>
      <c r="AV428" s="31">
        <v>9606</v>
      </c>
      <c r="AW428" s="50" t="str">
        <f>HYPERLINK("http://www.uniprot.org/uniprot/P21399", "P21399")</f>
        <v>P21399</v>
      </c>
      <c r="AX428" s="31" t="s">
        <v>32037</v>
      </c>
      <c r="AY428" s="31" t="s">
        <v>15224</v>
      </c>
      <c r="AZ428" s="31" t="s">
        <v>13899</v>
      </c>
      <c r="BA428" s="31" t="s">
        <v>13793</v>
      </c>
      <c r="BB428" s="31" t="s">
        <v>13772</v>
      </c>
      <c r="BC428" s="31" t="s">
        <v>13772</v>
      </c>
      <c r="BD428" s="31" t="s">
        <v>13772</v>
      </c>
      <c r="BE428" s="31" t="s">
        <v>24817</v>
      </c>
      <c r="BF428" s="31" t="s">
        <v>32038</v>
      </c>
      <c r="BG428" s="31" t="s">
        <v>13782</v>
      </c>
      <c r="BH428" s="31" t="s">
        <v>13812</v>
      </c>
      <c r="BI428" s="31" t="s">
        <v>32039</v>
      </c>
      <c r="BJ428" s="31" t="s">
        <v>32040</v>
      </c>
      <c r="BK428" s="31" t="s">
        <v>32041</v>
      </c>
      <c r="BL428" s="31" t="s">
        <v>13772</v>
      </c>
      <c r="BM428" s="31" t="s">
        <v>25484</v>
      </c>
    </row>
    <row r="429" spans="1:65">
      <c r="A429">
        <v>2304</v>
      </c>
      <c r="B429">
        <v>1</v>
      </c>
      <c r="C429">
        <v>424</v>
      </c>
      <c r="D429" t="s">
        <v>5380</v>
      </c>
      <c r="E429" t="s">
        <v>73</v>
      </c>
      <c r="F429" t="s">
        <v>73</v>
      </c>
      <c r="G429">
        <v>19.8</v>
      </c>
      <c r="H429">
        <v>581</v>
      </c>
      <c r="I429">
        <v>61227</v>
      </c>
      <c r="J429" t="s">
        <v>5381</v>
      </c>
      <c r="K429" s="3" t="s">
        <v>73</v>
      </c>
      <c r="L429">
        <v>94</v>
      </c>
      <c r="M429">
        <v>94</v>
      </c>
      <c r="N429">
        <v>1</v>
      </c>
      <c r="O429" s="11">
        <f t="shared" si="6"/>
        <v>6.5204582520910073</v>
      </c>
      <c r="P429" s="36">
        <v>7.2698603750083803</v>
      </c>
      <c r="Q429" s="36">
        <v>6.7414488447421297</v>
      </c>
      <c r="R429" s="36">
        <v>12.806381294498101</v>
      </c>
      <c r="S429" s="36">
        <v>21.1669046281452</v>
      </c>
      <c r="T429" s="36">
        <v>9.4619399593058091</v>
      </c>
      <c r="U429" s="36">
        <v>6.50809072647644</v>
      </c>
      <c r="V429" s="36">
        <v>8.4324982629171306</v>
      </c>
      <c r="W429" s="36">
        <v>6.8122851858761404</v>
      </c>
      <c r="X429" s="37">
        <v>0.79475829324495695</v>
      </c>
      <c r="Y429" s="37">
        <v>3.1532482344414299</v>
      </c>
      <c r="Z429" s="37">
        <v>3.2002173930693698</v>
      </c>
      <c r="AA429" s="37">
        <v>0.84654704659994096</v>
      </c>
      <c r="AB429" s="37">
        <v>1.8375851316302301</v>
      </c>
      <c r="AC429" s="37">
        <v>3.1567622815404999</v>
      </c>
      <c r="AD429" s="37">
        <v>4.5256201435872701</v>
      </c>
      <c r="AE429" s="37">
        <v>7.6131842323730803</v>
      </c>
      <c r="AF429" s="45">
        <v>-1.69336011739623</v>
      </c>
      <c r="AG429" s="45">
        <v>-3.15184864441387</v>
      </c>
      <c r="AH429" s="46">
        <v>2.6169219502721302E-4</v>
      </c>
      <c r="AI429" s="47">
        <v>6.6821403997406798E-4</v>
      </c>
      <c r="AJ429" s="48">
        <v>9.8999261596211596</v>
      </c>
      <c r="AK429" s="49">
        <v>3.14099034456085</v>
      </c>
      <c r="AL429" s="31" t="s">
        <v>5875</v>
      </c>
      <c r="AM429" s="31" t="s">
        <v>5876</v>
      </c>
      <c r="AN429" s="31" t="s">
        <v>35751</v>
      </c>
      <c r="AO429" s="31" t="s">
        <v>35752</v>
      </c>
      <c r="AP429" s="31" t="s">
        <v>35753</v>
      </c>
      <c r="AQ429" s="31" t="s">
        <v>35754</v>
      </c>
      <c r="AR429" s="31" t="s">
        <v>35755</v>
      </c>
      <c r="AS429" s="31" t="str">
        <f>"NGFR"</f>
        <v>NGFR</v>
      </c>
      <c r="AT429" s="31" t="s">
        <v>35756</v>
      </c>
      <c r="AU429" s="31" t="s">
        <v>13777</v>
      </c>
      <c r="AV429" s="31">
        <v>9606</v>
      </c>
      <c r="AW429" s="50" t="str">
        <f>HYPERLINK("http://www.uniprot.org/uniprot/P08138", "P08138")</f>
        <v>P08138</v>
      </c>
      <c r="AX429" s="31" t="s">
        <v>35757</v>
      </c>
      <c r="AY429" s="31" t="s">
        <v>35758</v>
      </c>
      <c r="AZ429" s="31" t="s">
        <v>13825</v>
      </c>
      <c r="BA429" s="31" t="s">
        <v>13780</v>
      </c>
      <c r="BB429" s="31" t="s">
        <v>13772</v>
      </c>
      <c r="BC429" s="31" t="s">
        <v>13772</v>
      </c>
      <c r="BD429" s="31" t="s">
        <v>13826</v>
      </c>
      <c r="BE429" s="31" t="s">
        <v>13772</v>
      </c>
      <c r="BF429" s="31" t="s">
        <v>15919</v>
      </c>
      <c r="BG429" s="31" t="s">
        <v>13964</v>
      </c>
      <c r="BH429" s="31" t="s">
        <v>13812</v>
      </c>
      <c r="BI429" s="31" t="s">
        <v>35759</v>
      </c>
      <c r="BJ429" s="31" t="s">
        <v>35760</v>
      </c>
      <c r="BK429" s="31" t="s">
        <v>35761</v>
      </c>
      <c r="BL429" s="31" t="s">
        <v>13772</v>
      </c>
      <c r="BM429" s="31" t="s">
        <v>35762</v>
      </c>
    </row>
    <row r="430" spans="1:65">
      <c r="A430">
        <v>988</v>
      </c>
      <c r="B430">
        <v>1</v>
      </c>
      <c r="C430">
        <v>425</v>
      </c>
      <c r="D430" t="s">
        <v>2397</v>
      </c>
      <c r="E430" t="s">
        <v>2398</v>
      </c>
      <c r="F430" t="s">
        <v>73</v>
      </c>
      <c r="G430">
        <v>19.100000000000001</v>
      </c>
      <c r="H430">
        <v>1499</v>
      </c>
      <c r="I430">
        <v>145215</v>
      </c>
      <c r="J430" t="s">
        <v>2399</v>
      </c>
      <c r="K430" s="3" t="s">
        <v>73</v>
      </c>
      <c r="L430">
        <v>94</v>
      </c>
      <c r="M430">
        <v>93</v>
      </c>
      <c r="N430">
        <v>0.98899999999999999</v>
      </c>
      <c r="O430" s="11">
        <f t="shared" si="6"/>
        <v>6.6331811678633272</v>
      </c>
      <c r="P430" s="36">
        <v>9.6931471666778304</v>
      </c>
      <c r="Q430" s="36">
        <v>9.6306412067744702</v>
      </c>
      <c r="R430" s="36">
        <v>24.0119649271839</v>
      </c>
      <c r="S430" s="36">
        <v>16.631139350685501</v>
      </c>
      <c r="T430" s="36">
        <v>9.4619399593058091</v>
      </c>
      <c r="U430" s="36">
        <v>15.0615813955598</v>
      </c>
      <c r="V430" s="36">
        <v>7.3784359800524904</v>
      </c>
      <c r="W430" s="36">
        <v>4.8659179899115301</v>
      </c>
      <c r="X430" s="37">
        <v>0.79475829324495695</v>
      </c>
      <c r="Y430" s="37">
        <v>0.15766241172207099</v>
      </c>
      <c r="Z430" s="37">
        <v>3.2002173930693698</v>
      </c>
      <c r="AA430" s="37">
        <v>0.84654704659994096</v>
      </c>
      <c r="AB430" s="37">
        <v>0.91879256581511404</v>
      </c>
      <c r="AC430" s="37">
        <v>1.5783811407702499</v>
      </c>
      <c r="AD430" s="37">
        <v>0.377135011965606</v>
      </c>
      <c r="AE430" s="37">
        <v>1.5226368464746201</v>
      </c>
      <c r="AF430" s="45">
        <v>-3.1943169458793399</v>
      </c>
      <c r="AG430" s="45">
        <v>-10.2951705297884</v>
      </c>
      <c r="AH430" s="46">
        <v>3.9657632895787198E-10</v>
      </c>
      <c r="AI430" s="47">
        <v>6.1699898621585203E-9</v>
      </c>
      <c r="AJ430" s="48">
        <v>12.091845997018901</v>
      </c>
      <c r="AK430" s="49">
        <v>1.17451633870774</v>
      </c>
      <c r="AL430" s="31" t="s">
        <v>5875</v>
      </c>
      <c r="AM430" s="31" t="s">
        <v>5876</v>
      </c>
      <c r="AN430" s="31" t="s">
        <v>23522</v>
      </c>
      <c r="AO430" s="31" t="s">
        <v>13772</v>
      </c>
      <c r="AP430" s="31" t="s">
        <v>23523</v>
      </c>
      <c r="AQ430" s="31" t="s">
        <v>23524</v>
      </c>
      <c r="AR430" s="31" t="s">
        <v>23525</v>
      </c>
      <c r="AS430" s="31" t="str">
        <f>"COL5A2"</f>
        <v>COL5A2</v>
      </c>
      <c r="AT430" s="31" t="s">
        <v>13772</v>
      </c>
      <c r="AU430" s="31" t="s">
        <v>13777</v>
      </c>
      <c r="AV430" s="31">
        <v>9606</v>
      </c>
      <c r="AW430" s="50" t="str">
        <f>HYPERLINK("http://www.uniprot.org/uniprot/P05997", "P05997")</f>
        <v>P05997</v>
      </c>
      <c r="AX430" s="31" t="s">
        <v>23526</v>
      </c>
      <c r="AY430" s="31" t="s">
        <v>13772</v>
      </c>
      <c r="AZ430" s="31" t="s">
        <v>13869</v>
      </c>
      <c r="BA430" s="31" t="s">
        <v>13793</v>
      </c>
      <c r="BB430" s="31" t="s">
        <v>13772</v>
      </c>
      <c r="BC430" s="31" t="s">
        <v>15310</v>
      </c>
      <c r="BD430" s="31" t="s">
        <v>13872</v>
      </c>
      <c r="BE430" s="31" t="s">
        <v>13873</v>
      </c>
      <c r="BF430" s="31" t="s">
        <v>13772</v>
      </c>
      <c r="BG430" s="31" t="s">
        <v>22002</v>
      </c>
      <c r="BH430" s="31" t="s">
        <v>13812</v>
      </c>
      <c r="BI430" s="31" t="s">
        <v>23527</v>
      </c>
      <c r="BJ430" s="31" t="s">
        <v>23528</v>
      </c>
      <c r="BK430" s="31" t="s">
        <v>23529</v>
      </c>
      <c r="BL430" s="31" t="s">
        <v>13772</v>
      </c>
      <c r="BM430" s="31" t="s">
        <v>22006</v>
      </c>
    </row>
    <row r="431" spans="1:65">
      <c r="A431">
        <v>730</v>
      </c>
      <c r="B431">
        <v>1</v>
      </c>
      <c r="C431">
        <v>426</v>
      </c>
      <c r="D431" t="s">
        <v>1789</v>
      </c>
      <c r="E431" t="s">
        <v>1790</v>
      </c>
      <c r="F431" t="s">
        <v>73</v>
      </c>
      <c r="G431">
        <v>28.3</v>
      </c>
      <c r="H431">
        <v>770</v>
      </c>
      <c r="I431">
        <v>86697</v>
      </c>
      <c r="J431" t="s">
        <v>1791</v>
      </c>
      <c r="K431" s="3" t="s">
        <v>73</v>
      </c>
      <c r="L431">
        <v>94</v>
      </c>
      <c r="M431">
        <v>92</v>
      </c>
      <c r="N431">
        <v>0.97899999999999998</v>
      </c>
      <c r="O431" s="11">
        <f t="shared" si="6"/>
        <v>6.1784437665253122</v>
      </c>
      <c r="P431" s="36">
        <v>10.9047905625126</v>
      </c>
      <c r="Q431" s="36">
        <v>10.112173267113199</v>
      </c>
      <c r="R431" s="36">
        <v>18.569252877022201</v>
      </c>
      <c r="S431" s="36">
        <v>13.6072958323791</v>
      </c>
      <c r="T431" s="36">
        <v>9.4619399593058091</v>
      </c>
      <c r="U431" s="36">
        <v>10.226999713034401</v>
      </c>
      <c r="V431" s="36">
        <v>7.3784359800524904</v>
      </c>
      <c r="W431" s="36">
        <v>0.97318359798230603</v>
      </c>
      <c r="X431" s="37">
        <v>0.79475829324495695</v>
      </c>
      <c r="Y431" s="37">
        <v>3.1532482344414299</v>
      </c>
      <c r="Z431" s="37">
        <v>1.60010869653469</v>
      </c>
      <c r="AA431" s="37">
        <v>4.2327352329997003</v>
      </c>
      <c r="AB431" s="37">
        <v>0.91879256581511404</v>
      </c>
      <c r="AC431" s="37">
        <v>2.36757171115537</v>
      </c>
      <c r="AD431" s="37">
        <v>1.50854004786242</v>
      </c>
      <c r="AE431" s="37">
        <v>3.0452736929492299</v>
      </c>
      <c r="AF431" s="45">
        <v>-2.0968202419044299</v>
      </c>
      <c r="AG431" s="45">
        <v>-4.6100641574151098</v>
      </c>
      <c r="AH431" s="46">
        <v>9.6463885378188707E-6</v>
      </c>
      <c r="AI431" s="47">
        <v>3.5458428196707799E-5</v>
      </c>
      <c r="AJ431" s="48">
        <v>10.154258973675301</v>
      </c>
      <c r="AK431" s="49">
        <v>2.2026285593753601</v>
      </c>
      <c r="AL431" s="31" t="s">
        <v>5875</v>
      </c>
      <c r="AM431" s="31" t="s">
        <v>5876</v>
      </c>
      <c r="AN431" s="31" t="s">
        <v>20949</v>
      </c>
      <c r="AO431" s="31" t="s">
        <v>20950</v>
      </c>
      <c r="AP431" s="31" t="s">
        <v>20951</v>
      </c>
      <c r="AQ431" s="31" t="s">
        <v>20952</v>
      </c>
      <c r="AR431" s="31" t="s">
        <v>20953</v>
      </c>
      <c r="AS431" s="31" t="str">
        <f>"APP AD1"</f>
        <v>APP AD1</v>
      </c>
      <c r="AT431" s="31" t="s">
        <v>13772</v>
      </c>
      <c r="AU431" s="31" t="s">
        <v>13777</v>
      </c>
      <c r="AV431" s="31">
        <v>9606</v>
      </c>
      <c r="AW431" s="50" t="str">
        <f>HYPERLINK("http://www.uniprot.org/uniprot/P05067", "P05067")</f>
        <v>P05067</v>
      </c>
      <c r="AX431" s="31" t="s">
        <v>20954</v>
      </c>
      <c r="AY431" s="31" t="s">
        <v>20955</v>
      </c>
      <c r="AZ431" s="31" t="s">
        <v>20956</v>
      </c>
      <c r="BA431" s="31" t="s">
        <v>13780</v>
      </c>
      <c r="BB431" s="31" t="s">
        <v>13772</v>
      </c>
      <c r="BC431" s="31" t="s">
        <v>15137</v>
      </c>
      <c r="BD431" s="31" t="s">
        <v>13855</v>
      </c>
      <c r="BE431" s="31" t="s">
        <v>20957</v>
      </c>
      <c r="BF431" s="31" t="s">
        <v>14691</v>
      </c>
      <c r="BG431" s="31" t="s">
        <v>20958</v>
      </c>
      <c r="BH431" s="31" t="s">
        <v>13812</v>
      </c>
      <c r="BI431" s="31" t="s">
        <v>20959</v>
      </c>
      <c r="BJ431" s="31" t="s">
        <v>20960</v>
      </c>
      <c r="BK431" s="31" t="s">
        <v>20961</v>
      </c>
      <c r="BL431" s="31" t="s">
        <v>13772</v>
      </c>
      <c r="BM431" s="31" t="s">
        <v>20962</v>
      </c>
    </row>
    <row r="432" spans="1:65">
      <c r="A432">
        <v>497</v>
      </c>
      <c r="B432">
        <v>1</v>
      </c>
      <c r="C432">
        <v>427</v>
      </c>
      <c r="D432" t="s">
        <v>1251</v>
      </c>
      <c r="E432" t="s">
        <v>1252</v>
      </c>
      <c r="F432" t="s">
        <v>73</v>
      </c>
      <c r="G432">
        <v>18.600000000000001</v>
      </c>
      <c r="H432">
        <v>742</v>
      </c>
      <c r="I432">
        <v>81405</v>
      </c>
      <c r="J432" t="s">
        <v>1253</v>
      </c>
      <c r="K432" s="3" t="s">
        <v>73</v>
      </c>
      <c r="L432">
        <v>92</v>
      </c>
      <c r="M432">
        <v>92</v>
      </c>
      <c r="N432">
        <v>1</v>
      </c>
      <c r="O432" s="11">
        <f t="shared" si="6"/>
        <v>6.3475869506167193</v>
      </c>
      <c r="P432" s="36">
        <v>10.9047905625126</v>
      </c>
      <c r="Q432" s="36">
        <v>7.7045129654195703</v>
      </c>
      <c r="R432" s="36">
        <v>14.4071789563103</v>
      </c>
      <c r="S432" s="36">
        <v>22.6788263872984</v>
      </c>
      <c r="T432" s="36">
        <v>9.4619399593058091</v>
      </c>
      <c r="U432" s="36">
        <v>7.43781797311593</v>
      </c>
      <c r="V432" s="36">
        <v>12.6487473943757</v>
      </c>
      <c r="W432" s="36">
        <v>3.8927343919292201</v>
      </c>
      <c r="X432" s="37">
        <v>1.5895165864899099</v>
      </c>
      <c r="Y432" s="37">
        <v>1.89194894066486</v>
      </c>
      <c r="Z432" s="37">
        <v>3.2002173930693698</v>
      </c>
      <c r="AA432" s="37">
        <v>1.6930940931998799</v>
      </c>
      <c r="AB432" s="37">
        <v>0.22969814145377901</v>
      </c>
      <c r="AC432" s="37">
        <v>0.78919057038512497</v>
      </c>
      <c r="AD432" s="37">
        <v>1.50854004786242</v>
      </c>
      <c r="AE432" s="37">
        <v>1.5226368464746201</v>
      </c>
      <c r="AF432" s="45">
        <v>-2.6805779435660999</v>
      </c>
      <c r="AG432" s="45">
        <v>-7.1740585630965104</v>
      </c>
      <c r="AH432" s="46">
        <v>1.82239230631888E-8</v>
      </c>
      <c r="AI432" s="47">
        <v>1.58335123756796E-7</v>
      </c>
      <c r="AJ432" s="48">
        <v>11.1420685737834</v>
      </c>
      <c r="AK432" s="49">
        <v>1.55310532745</v>
      </c>
      <c r="AL432" s="31" t="s">
        <v>5875</v>
      </c>
      <c r="AM432" s="31" t="s">
        <v>5876</v>
      </c>
      <c r="AN432" s="31" t="s">
        <v>18667</v>
      </c>
      <c r="AO432" s="31" t="s">
        <v>18668</v>
      </c>
      <c r="AP432" s="31" t="s">
        <v>18669</v>
      </c>
      <c r="AQ432" s="31" t="s">
        <v>18670</v>
      </c>
      <c r="AR432" s="31" t="s">
        <v>18671</v>
      </c>
      <c r="AS432" s="31" t="str">
        <f>"CD44"</f>
        <v>CD44</v>
      </c>
      <c r="AT432" s="31" t="s">
        <v>18672</v>
      </c>
      <c r="AU432" s="31" t="s">
        <v>13777</v>
      </c>
      <c r="AV432" s="31">
        <v>9606</v>
      </c>
      <c r="AW432" s="50" t="str">
        <f>HYPERLINK("http://www.uniprot.org/uniprot/P16070", "P16070")</f>
        <v>P16070</v>
      </c>
      <c r="AX432" s="31" t="s">
        <v>18673</v>
      </c>
      <c r="AY432" s="31" t="s">
        <v>13949</v>
      </c>
      <c r="AZ432" s="31" t="s">
        <v>15856</v>
      </c>
      <c r="BA432" s="31" t="s">
        <v>13780</v>
      </c>
      <c r="BB432" s="31" t="s">
        <v>13772</v>
      </c>
      <c r="BC432" s="31" t="s">
        <v>13772</v>
      </c>
      <c r="BD432" s="31" t="s">
        <v>13855</v>
      </c>
      <c r="BE432" s="31" t="s">
        <v>13772</v>
      </c>
      <c r="BF432" s="31" t="s">
        <v>18674</v>
      </c>
      <c r="BG432" s="31" t="s">
        <v>15858</v>
      </c>
      <c r="BH432" s="31" t="s">
        <v>13812</v>
      </c>
      <c r="BI432" s="31" t="s">
        <v>18675</v>
      </c>
      <c r="BJ432" s="31" t="s">
        <v>18676</v>
      </c>
      <c r="BK432" s="31" t="s">
        <v>18677</v>
      </c>
      <c r="BL432" s="31" t="s">
        <v>13772</v>
      </c>
      <c r="BM432" s="31" t="s">
        <v>18678</v>
      </c>
    </row>
    <row r="433" spans="1:65">
      <c r="A433">
        <v>1224</v>
      </c>
      <c r="B433">
        <v>1</v>
      </c>
      <c r="C433">
        <v>428</v>
      </c>
      <c r="D433" t="s">
        <v>2941</v>
      </c>
      <c r="E433" t="s">
        <v>73</v>
      </c>
      <c r="F433" t="s">
        <v>73</v>
      </c>
      <c r="G433">
        <v>50.1</v>
      </c>
      <c r="H433">
        <v>413</v>
      </c>
      <c r="I433">
        <v>46313</v>
      </c>
      <c r="J433" t="s">
        <v>2942</v>
      </c>
      <c r="K433" s="3" t="s">
        <v>73</v>
      </c>
      <c r="L433">
        <v>92</v>
      </c>
      <c r="M433">
        <v>92</v>
      </c>
      <c r="N433">
        <v>1</v>
      </c>
      <c r="O433" s="11">
        <f t="shared" si="6"/>
        <v>5.5227257921333841</v>
      </c>
      <c r="P433" s="36">
        <v>6.0582169791736504</v>
      </c>
      <c r="Q433" s="36">
        <v>13.4828976894843</v>
      </c>
      <c r="R433" s="36">
        <v>0.40019941545306398</v>
      </c>
      <c r="S433" s="36">
        <v>0.37798043978830698</v>
      </c>
      <c r="T433" s="36">
        <v>13.762821758990301</v>
      </c>
      <c r="U433" s="36">
        <v>15.805363192871299</v>
      </c>
      <c r="V433" s="36">
        <v>4.21624913145856</v>
      </c>
      <c r="W433" s="36">
        <v>11.678203175787701</v>
      </c>
      <c r="X433" s="37">
        <v>6.35806634595966</v>
      </c>
      <c r="Y433" s="37">
        <v>3.1532482344414299</v>
      </c>
      <c r="Z433" s="37">
        <v>0.80005434826734301</v>
      </c>
      <c r="AA433" s="37">
        <v>0.21163676164998499</v>
      </c>
      <c r="AB433" s="37">
        <v>1.8375851316302301</v>
      </c>
      <c r="AC433" s="37">
        <v>0.78919057038512497</v>
      </c>
      <c r="AD433" s="37">
        <v>9.0512402871745401</v>
      </c>
      <c r="AE433" s="37">
        <v>0.38065921161865401</v>
      </c>
      <c r="AF433" s="45">
        <v>-1.5825674701813599</v>
      </c>
      <c r="AG433" s="45">
        <v>-2.9130662194794801</v>
      </c>
      <c r="AH433" s="46">
        <v>2.6407779596113699E-2</v>
      </c>
      <c r="AI433" s="47">
        <v>4.3782676970293498E-2</v>
      </c>
      <c r="AJ433" s="48">
        <v>8.2227414728758905</v>
      </c>
      <c r="AK433" s="49">
        <v>2.8227101113908701</v>
      </c>
      <c r="AL433" s="31" t="s">
        <v>5875</v>
      </c>
      <c r="AM433" s="31" t="s">
        <v>5878</v>
      </c>
      <c r="AN433" s="31" t="s">
        <v>25586</v>
      </c>
      <c r="AO433" s="31" t="s">
        <v>25587</v>
      </c>
      <c r="AP433" s="31" t="s">
        <v>25588</v>
      </c>
      <c r="AQ433" s="31" t="s">
        <v>25589</v>
      </c>
      <c r="AR433" s="31" t="s">
        <v>25590</v>
      </c>
      <c r="AS433" s="31" t="str">
        <f>"GOT1"</f>
        <v>GOT1</v>
      </c>
      <c r="AT433" s="31" t="s">
        <v>13772</v>
      </c>
      <c r="AU433" s="31" t="s">
        <v>13777</v>
      </c>
      <c r="AV433" s="31">
        <v>9606</v>
      </c>
      <c r="AW433" s="50" t="str">
        <f>HYPERLINK("http://www.uniprot.org/uniprot/P17174", "P17174")</f>
        <v>P17174</v>
      </c>
      <c r="AX433" s="31" t="s">
        <v>25591</v>
      </c>
      <c r="AY433" s="31" t="s">
        <v>25592</v>
      </c>
      <c r="AZ433" s="31" t="s">
        <v>13899</v>
      </c>
      <c r="BA433" s="31" t="s">
        <v>13780</v>
      </c>
      <c r="BB433" s="31" t="s">
        <v>13772</v>
      </c>
      <c r="BC433" s="31" t="s">
        <v>13772</v>
      </c>
      <c r="BD433" s="31" t="s">
        <v>13772</v>
      </c>
      <c r="BE433" s="31" t="s">
        <v>14133</v>
      </c>
      <c r="BF433" s="31" t="s">
        <v>25593</v>
      </c>
      <c r="BG433" s="31" t="s">
        <v>13782</v>
      </c>
      <c r="BH433" s="31" t="s">
        <v>13812</v>
      </c>
      <c r="BI433" s="31" t="s">
        <v>25594</v>
      </c>
      <c r="BJ433" s="31" t="s">
        <v>25595</v>
      </c>
      <c r="BK433" s="31" t="s">
        <v>25596</v>
      </c>
      <c r="BL433" s="31" t="s">
        <v>13772</v>
      </c>
      <c r="BM433" s="31" t="s">
        <v>25597</v>
      </c>
    </row>
    <row r="434" spans="1:65">
      <c r="A434">
        <v>1833</v>
      </c>
      <c r="B434">
        <v>1</v>
      </c>
      <c r="C434">
        <v>429</v>
      </c>
      <c r="D434" t="s">
        <v>4332</v>
      </c>
      <c r="E434" t="s">
        <v>4333</v>
      </c>
      <c r="F434" t="s">
        <v>73</v>
      </c>
      <c r="G434">
        <v>37.200000000000003</v>
      </c>
      <c r="H434">
        <v>752</v>
      </c>
      <c r="I434">
        <v>64438</v>
      </c>
      <c r="J434" t="s">
        <v>4334</v>
      </c>
      <c r="K434" s="3" t="s">
        <v>73</v>
      </c>
      <c r="L434">
        <v>92</v>
      </c>
      <c r="M434">
        <v>92</v>
      </c>
      <c r="N434">
        <v>1</v>
      </c>
      <c r="O434" s="11">
        <f t="shared" si="6"/>
        <v>4.8542487857170551</v>
      </c>
      <c r="P434" s="36">
        <v>1.2116433958347299</v>
      </c>
      <c r="Q434" s="36">
        <v>0.96306412067744696</v>
      </c>
      <c r="R434" s="36">
        <v>1.6007976618122599</v>
      </c>
      <c r="S434" s="36">
        <v>0.37798043978830698</v>
      </c>
      <c r="T434" s="36">
        <v>1.72035271987378</v>
      </c>
      <c r="U434" s="36">
        <v>5.5783634798369501</v>
      </c>
      <c r="V434" s="36">
        <v>0.26351557071616</v>
      </c>
      <c r="W434" s="36">
        <v>0.24329589949557701</v>
      </c>
      <c r="X434" s="37">
        <v>10.331857812184399</v>
      </c>
      <c r="Y434" s="37">
        <v>15.766241172207099</v>
      </c>
      <c r="Z434" s="37">
        <v>2.4001630448020301</v>
      </c>
      <c r="AA434" s="37">
        <v>11.8516586523992</v>
      </c>
      <c r="AB434" s="37">
        <v>6.4315479607058004</v>
      </c>
      <c r="AC434" s="37">
        <v>7.8919057038512497</v>
      </c>
      <c r="AD434" s="37">
        <v>0.377135011965606</v>
      </c>
      <c r="AE434" s="37">
        <v>10.658457925322301</v>
      </c>
      <c r="AF434" s="45">
        <v>2.3353839395456002</v>
      </c>
      <c r="AG434" s="45">
        <v>5.4945141125629897</v>
      </c>
      <c r="AH434" s="46">
        <v>1.2951705516223001E-4</v>
      </c>
      <c r="AI434" s="47">
        <v>3.53660856749111E-4</v>
      </c>
      <c r="AJ434" s="48">
        <v>1.4948766610044</v>
      </c>
      <c r="AK434" s="49">
        <v>8.2136209104297198</v>
      </c>
      <c r="AL434" s="31" t="s">
        <v>5874</v>
      </c>
      <c r="AM434" s="31" t="s">
        <v>5876</v>
      </c>
      <c r="AN434" s="31" t="s">
        <v>31410</v>
      </c>
      <c r="AO434" s="31" t="s">
        <v>31411</v>
      </c>
      <c r="AP434" s="31" t="s">
        <v>31412</v>
      </c>
      <c r="AQ434" s="31" t="s">
        <v>31413</v>
      </c>
      <c r="AR434" s="31" t="s">
        <v>31414</v>
      </c>
      <c r="AS434" s="31" t="str">
        <f>"ELN"</f>
        <v>ELN</v>
      </c>
      <c r="AT434" s="31" t="s">
        <v>13772</v>
      </c>
      <c r="AU434" s="31" t="s">
        <v>13777</v>
      </c>
      <c r="AV434" s="31">
        <v>9606</v>
      </c>
      <c r="AW434" s="50" t="str">
        <f>HYPERLINK("http://www.uniprot.org/uniprot/P15502", "P15502")</f>
        <v>P15502</v>
      </c>
      <c r="AX434" s="31" t="s">
        <v>31415</v>
      </c>
      <c r="AY434" s="31" t="s">
        <v>13772</v>
      </c>
      <c r="AZ434" s="31" t="s">
        <v>13869</v>
      </c>
      <c r="BA434" s="31" t="s">
        <v>13780</v>
      </c>
      <c r="BB434" s="31" t="s">
        <v>13772</v>
      </c>
      <c r="BC434" s="31" t="s">
        <v>30779</v>
      </c>
      <c r="BD434" s="31" t="s">
        <v>14404</v>
      </c>
      <c r="BE434" s="31" t="s">
        <v>13772</v>
      </c>
      <c r="BF434" s="31" t="s">
        <v>13772</v>
      </c>
      <c r="BG434" s="31" t="s">
        <v>31416</v>
      </c>
      <c r="BH434" s="31" t="s">
        <v>13772</v>
      </c>
      <c r="BI434" s="31" t="s">
        <v>31417</v>
      </c>
      <c r="BJ434" s="31" t="s">
        <v>31418</v>
      </c>
      <c r="BK434" s="31" t="s">
        <v>31419</v>
      </c>
      <c r="BL434" s="31" t="s">
        <v>13772</v>
      </c>
      <c r="BM434" s="31" t="s">
        <v>31420</v>
      </c>
    </row>
    <row r="435" spans="1:65">
      <c r="A435">
        <v>161</v>
      </c>
      <c r="B435">
        <v>1</v>
      </c>
      <c r="C435">
        <v>430</v>
      </c>
      <c r="D435" t="s">
        <v>408</v>
      </c>
      <c r="E435" t="s">
        <v>409</v>
      </c>
      <c r="F435" t="s">
        <v>73</v>
      </c>
      <c r="G435">
        <v>16.899999999999999</v>
      </c>
      <c r="H435">
        <v>1468</v>
      </c>
      <c r="I435">
        <v>160614</v>
      </c>
      <c r="J435" t="s">
        <v>410</v>
      </c>
      <c r="K435" s="3" t="s">
        <v>73</v>
      </c>
      <c r="L435">
        <v>91</v>
      </c>
      <c r="M435">
        <v>91</v>
      </c>
      <c r="N435">
        <v>1</v>
      </c>
      <c r="O435" s="11">
        <f t="shared" si="6"/>
        <v>5.7814941896813332</v>
      </c>
      <c r="P435" s="36">
        <v>4.8465735833389196</v>
      </c>
      <c r="Q435" s="36">
        <v>5.7783847240646802</v>
      </c>
      <c r="R435" s="36">
        <v>9.6047859708735501</v>
      </c>
      <c r="S435" s="36">
        <v>12.0953740732258</v>
      </c>
      <c r="T435" s="36">
        <v>6.8814108794951396</v>
      </c>
      <c r="U435" s="36">
        <v>10.226999713034401</v>
      </c>
      <c r="V435" s="36">
        <v>2.10812456572928</v>
      </c>
      <c r="W435" s="36">
        <v>3.8927343919292201</v>
      </c>
      <c r="X435" s="37">
        <v>2.3842748797348698</v>
      </c>
      <c r="Y435" s="37">
        <v>8.1984454095477108</v>
      </c>
      <c r="Z435" s="37">
        <v>4.0002717413367099</v>
      </c>
      <c r="AA435" s="37">
        <v>3.3861881863997598</v>
      </c>
      <c r="AB435" s="37">
        <v>4.5939628290755703</v>
      </c>
      <c r="AC435" s="37">
        <v>2.36757171115537</v>
      </c>
      <c r="AD435" s="37">
        <v>4.5256201435872701</v>
      </c>
      <c r="AE435" s="37">
        <v>7.6131842323730803</v>
      </c>
      <c r="AF435" s="45">
        <v>-0.55217245452601504</v>
      </c>
      <c r="AG435" s="45">
        <v>-1.4954169678458999</v>
      </c>
      <c r="AH435" s="46">
        <v>0.206389698850687</v>
      </c>
      <c r="AI435" s="47">
        <v>0.27073472261001802</v>
      </c>
      <c r="AJ435" s="48">
        <v>6.9292984877113799</v>
      </c>
      <c r="AK435" s="49">
        <v>4.6336898916512901</v>
      </c>
      <c r="AL435" s="31" t="s">
        <v>5875</v>
      </c>
      <c r="AM435" s="31" t="s">
        <v>5832</v>
      </c>
      <c r="AN435" s="31" t="s">
        <v>14996</v>
      </c>
      <c r="AO435" s="31" t="s">
        <v>14997</v>
      </c>
      <c r="AP435" s="31" t="s">
        <v>14998</v>
      </c>
      <c r="AQ435" s="31" t="s">
        <v>14999</v>
      </c>
      <c r="AR435" s="31" t="s">
        <v>15000</v>
      </c>
      <c r="AS435" s="31" t="str">
        <f>"NID2"</f>
        <v>NID2</v>
      </c>
      <c r="AT435" s="31" t="s">
        <v>13772</v>
      </c>
      <c r="AU435" s="31" t="s">
        <v>13777</v>
      </c>
      <c r="AV435" s="31">
        <v>9606</v>
      </c>
      <c r="AW435" s="50" t="str">
        <f>HYPERLINK("http://www.uniprot.org/uniprot/Q14112", "Q14112")</f>
        <v>Q14112</v>
      </c>
      <c r="AX435" s="31" t="s">
        <v>15001</v>
      </c>
      <c r="AY435" s="31" t="s">
        <v>13949</v>
      </c>
      <c r="AZ435" s="31" t="s">
        <v>15002</v>
      </c>
      <c r="BA435" s="31" t="s">
        <v>13780</v>
      </c>
      <c r="BB435" s="31" t="s">
        <v>13772</v>
      </c>
      <c r="BC435" s="31" t="s">
        <v>13772</v>
      </c>
      <c r="BD435" s="31" t="s">
        <v>14768</v>
      </c>
      <c r="BE435" s="31" t="s">
        <v>14465</v>
      </c>
      <c r="BF435" s="31" t="s">
        <v>13772</v>
      </c>
      <c r="BG435" s="31" t="s">
        <v>15003</v>
      </c>
      <c r="BH435" s="31" t="s">
        <v>13772</v>
      </c>
      <c r="BI435" s="31" t="s">
        <v>15004</v>
      </c>
      <c r="BJ435" s="31" t="s">
        <v>15005</v>
      </c>
      <c r="BK435" s="31" t="s">
        <v>15006</v>
      </c>
      <c r="BL435" s="31" t="s">
        <v>13772</v>
      </c>
      <c r="BM435" s="31" t="s">
        <v>15007</v>
      </c>
    </row>
    <row r="436" spans="1:65">
      <c r="A436">
        <v>456</v>
      </c>
      <c r="B436">
        <v>1</v>
      </c>
      <c r="C436">
        <v>431</v>
      </c>
      <c r="D436" t="s">
        <v>1142</v>
      </c>
      <c r="E436" t="s">
        <v>1143</v>
      </c>
      <c r="F436" t="s">
        <v>73</v>
      </c>
      <c r="G436">
        <v>63.6</v>
      </c>
      <c r="H436">
        <v>77</v>
      </c>
      <c r="I436">
        <v>8664</v>
      </c>
      <c r="J436" t="s">
        <v>1144</v>
      </c>
      <c r="K436" s="3" t="s">
        <v>73</v>
      </c>
      <c r="L436">
        <v>91</v>
      </c>
      <c r="M436">
        <v>91</v>
      </c>
      <c r="N436">
        <v>1</v>
      </c>
      <c r="O436" s="11">
        <f t="shared" si="6"/>
        <v>5.778950168486543</v>
      </c>
      <c r="P436" s="36">
        <v>6.0582169791736504</v>
      </c>
      <c r="Q436" s="36">
        <v>2.8891923620323401</v>
      </c>
      <c r="R436" s="36">
        <v>9.6047859708735501</v>
      </c>
      <c r="S436" s="36">
        <v>9.0715305549193808</v>
      </c>
      <c r="T436" s="36">
        <v>5.1610581596213496</v>
      </c>
      <c r="U436" s="36">
        <v>5.5783634798369501</v>
      </c>
      <c r="V436" s="36">
        <v>7.3784359800524904</v>
      </c>
      <c r="W436" s="36">
        <v>5.8391015878938397</v>
      </c>
      <c r="X436" s="37">
        <v>0.79475829324495695</v>
      </c>
      <c r="Y436" s="37">
        <v>3.1532482344414299</v>
      </c>
      <c r="Z436" s="37">
        <v>5.6003804378713999</v>
      </c>
      <c r="AA436" s="37">
        <v>0.84654704659994096</v>
      </c>
      <c r="AB436" s="37">
        <v>3.6751702632604601</v>
      </c>
      <c r="AC436" s="37">
        <v>7.1027151334661296</v>
      </c>
      <c r="AD436" s="37">
        <v>9.0512402871745401</v>
      </c>
      <c r="AE436" s="37">
        <v>10.658457925322301</v>
      </c>
      <c r="AF436" s="45">
        <v>-0.39618595721031502</v>
      </c>
      <c r="AG436" s="45">
        <v>-1.26168073972595</v>
      </c>
      <c r="AH436" s="46">
        <v>0.46305406671053401</v>
      </c>
      <c r="AI436" s="47">
        <v>0.54539290603758295</v>
      </c>
      <c r="AJ436" s="48">
        <v>6.4475856343004398</v>
      </c>
      <c r="AK436" s="49">
        <v>5.1103147026726496</v>
      </c>
      <c r="AL436" s="31" t="s">
        <v>5875</v>
      </c>
      <c r="AM436" s="31" t="s">
        <v>5832</v>
      </c>
      <c r="AN436" s="31" t="s">
        <v>18227</v>
      </c>
      <c r="AO436" s="31" t="s">
        <v>18228</v>
      </c>
      <c r="AP436" s="31" t="s">
        <v>18229</v>
      </c>
      <c r="AQ436" s="31" t="s">
        <v>18230</v>
      </c>
      <c r="AR436" s="31" t="s">
        <v>18231</v>
      </c>
      <c r="AS436" s="31" t="str">
        <f>"UBA52"</f>
        <v>UBA52</v>
      </c>
      <c r="AT436" s="31" t="s">
        <v>18232</v>
      </c>
      <c r="AU436" s="31" t="s">
        <v>13777</v>
      </c>
      <c r="AV436" s="31">
        <v>9606</v>
      </c>
      <c r="AW436" s="50" t="str">
        <f>HYPERLINK("http://www.uniprot.org/uniprot/P62987", "P62987")</f>
        <v>P62987</v>
      </c>
      <c r="AX436" s="31" t="s">
        <v>18233</v>
      </c>
      <c r="AY436" s="31" t="s">
        <v>13772</v>
      </c>
      <c r="AZ436" s="31" t="s">
        <v>13912</v>
      </c>
      <c r="BA436" s="31" t="s">
        <v>13772</v>
      </c>
      <c r="BB436" s="31" t="s">
        <v>13772</v>
      </c>
      <c r="BC436" s="31" t="s">
        <v>13772</v>
      </c>
      <c r="BD436" s="31" t="s">
        <v>13772</v>
      </c>
      <c r="BE436" s="31" t="s">
        <v>13772</v>
      </c>
      <c r="BF436" s="31" t="s">
        <v>13937</v>
      </c>
      <c r="BG436" s="31" t="s">
        <v>18234</v>
      </c>
      <c r="BH436" s="31" t="s">
        <v>13812</v>
      </c>
      <c r="BI436" s="31" t="s">
        <v>18235</v>
      </c>
      <c r="BJ436" s="31" t="s">
        <v>18236</v>
      </c>
      <c r="BK436" s="31" t="s">
        <v>18237</v>
      </c>
      <c r="BL436" s="31" t="s">
        <v>13772</v>
      </c>
      <c r="BM436" s="31" t="s">
        <v>18238</v>
      </c>
    </row>
    <row r="437" spans="1:65">
      <c r="A437">
        <v>1345</v>
      </c>
      <c r="B437">
        <v>1</v>
      </c>
      <c r="C437">
        <v>432</v>
      </c>
      <c r="D437" t="s">
        <v>3218</v>
      </c>
      <c r="E437" t="s">
        <v>73</v>
      </c>
      <c r="F437" t="s">
        <v>73</v>
      </c>
      <c r="G437">
        <v>56.7</v>
      </c>
      <c r="H437">
        <v>321</v>
      </c>
      <c r="I437">
        <v>35915</v>
      </c>
      <c r="J437" t="s">
        <v>3219</v>
      </c>
      <c r="K437" s="3" t="s">
        <v>73</v>
      </c>
      <c r="L437">
        <v>91</v>
      </c>
      <c r="M437">
        <v>91</v>
      </c>
      <c r="N437">
        <v>1</v>
      </c>
      <c r="O437" s="11">
        <f t="shared" si="6"/>
        <v>5.7189716642835968</v>
      </c>
      <c r="P437" s="36">
        <v>6.0582169791736504</v>
      </c>
      <c r="Q437" s="36">
        <v>10.5937053274519</v>
      </c>
      <c r="R437" s="36">
        <v>4.8023929854367697</v>
      </c>
      <c r="S437" s="36">
        <v>13.6072958323791</v>
      </c>
      <c r="T437" s="36">
        <v>10.322116319242699</v>
      </c>
      <c r="U437" s="36">
        <v>12.0864542063134</v>
      </c>
      <c r="V437" s="36">
        <v>9.4865605457817708</v>
      </c>
      <c r="W437" s="36">
        <v>6.8122851858761404</v>
      </c>
      <c r="X437" s="37">
        <v>0.79475829324495695</v>
      </c>
      <c r="Y437" s="37">
        <v>3.1532482344414299</v>
      </c>
      <c r="Z437" s="37">
        <v>3.2002173930693698</v>
      </c>
      <c r="AA437" s="37">
        <v>4.2327352329997003</v>
      </c>
      <c r="AB437" s="37">
        <v>3.6751702632604601</v>
      </c>
      <c r="AC437" s="37">
        <v>0.78919057038512497</v>
      </c>
      <c r="AD437" s="37">
        <v>1.50854004786242</v>
      </c>
      <c r="AE437" s="37">
        <v>0.38065921161865401</v>
      </c>
      <c r="AF437" s="45">
        <v>-1.93100585235753</v>
      </c>
      <c r="AG437" s="45">
        <v>-4.1596293846321597</v>
      </c>
      <c r="AH437" s="46">
        <v>1.42799551473458E-6</v>
      </c>
      <c r="AI437" s="47">
        <v>6.7276690095593802E-6</v>
      </c>
      <c r="AJ437" s="48">
        <v>9.2211284227069292</v>
      </c>
      <c r="AK437" s="49">
        <v>2.21681490586026</v>
      </c>
      <c r="AL437" s="31" t="s">
        <v>5875</v>
      </c>
      <c r="AM437" s="31" t="s">
        <v>5876</v>
      </c>
      <c r="AN437" s="31" t="s">
        <v>26782</v>
      </c>
      <c r="AO437" s="31" t="s">
        <v>26783</v>
      </c>
      <c r="AP437" s="31" t="s">
        <v>26784</v>
      </c>
      <c r="AQ437" s="31" t="s">
        <v>26785</v>
      </c>
      <c r="AR437" s="31" t="s">
        <v>26786</v>
      </c>
      <c r="AS437" s="31" t="str">
        <f>"ANXA5"</f>
        <v>ANXA5</v>
      </c>
      <c r="AT437" s="31" t="s">
        <v>26787</v>
      </c>
      <c r="AU437" s="31" t="s">
        <v>13777</v>
      </c>
      <c r="AV437" s="31">
        <v>9606</v>
      </c>
      <c r="AW437" s="50" t="str">
        <f>HYPERLINK("http://www.uniprot.org/uniprot/P08758", "P08758")</f>
        <v>P08758</v>
      </c>
      <c r="AX437" s="31" t="s">
        <v>26788</v>
      </c>
      <c r="AY437" s="31" t="s">
        <v>16755</v>
      </c>
      <c r="AZ437" s="31" t="s">
        <v>13772</v>
      </c>
      <c r="BA437" s="31" t="s">
        <v>13772</v>
      </c>
      <c r="BB437" s="31" t="s">
        <v>13772</v>
      </c>
      <c r="BC437" s="31" t="s">
        <v>13772</v>
      </c>
      <c r="BD437" s="31" t="s">
        <v>15322</v>
      </c>
      <c r="BE437" s="31" t="s">
        <v>15323</v>
      </c>
      <c r="BF437" s="31" t="s">
        <v>13772</v>
      </c>
      <c r="BG437" s="31" t="s">
        <v>26789</v>
      </c>
      <c r="BH437" s="31" t="s">
        <v>13812</v>
      </c>
      <c r="BI437" s="31" t="s">
        <v>26790</v>
      </c>
      <c r="BJ437" s="31" t="s">
        <v>26791</v>
      </c>
      <c r="BK437" s="31" t="s">
        <v>26792</v>
      </c>
      <c r="BL437" s="31" t="s">
        <v>13772</v>
      </c>
      <c r="BM437" s="31" t="s">
        <v>15665</v>
      </c>
    </row>
    <row r="438" spans="1:65">
      <c r="A438">
        <v>2364</v>
      </c>
      <c r="B438">
        <v>1</v>
      </c>
      <c r="C438">
        <v>433</v>
      </c>
      <c r="D438" t="s">
        <v>5508</v>
      </c>
      <c r="E438" t="s">
        <v>73</v>
      </c>
      <c r="F438" t="s">
        <v>73</v>
      </c>
      <c r="G438">
        <v>61.3</v>
      </c>
      <c r="H438">
        <v>253</v>
      </c>
      <c r="I438">
        <v>28704</v>
      </c>
      <c r="J438" t="s">
        <v>5509</v>
      </c>
      <c r="K438" s="3" t="s">
        <v>73</v>
      </c>
      <c r="L438">
        <v>91</v>
      </c>
      <c r="M438">
        <v>90</v>
      </c>
      <c r="N438">
        <v>0.98899999999999999</v>
      </c>
      <c r="O438" s="11">
        <f t="shared" si="6"/>
        <v>5.0099047705707838</v>
      </c>
      <c r="P438" s="36">
        <v>2.4232867916694598</v>
      </c>
      <c r="Q438" s="36">
        <v>4.8153206033872298</v>
      </c>
      <c r="R438" s="36">
        <v>3.2015953236245198</v>
      </c>
      <c r="S438" s="36">
        <v>6.0476870366129196</v>
      </c>
      <c r="T438" s="36">
        <v>6.0212345195582504</v>
      </c>
      <c r="U438" s="36">
        <v>11.1567269596739</v>
      </c>
      <c r="V438" s="36">
        <v>4.21624913145856</v>
      </c>
      <c r="W438" s="36">
        <v>3.8927343919292201</v>
      </c>
      <c r="X438" s="37">
        <v>11.126616105429401</v>
      </c>
      <c r="Y438" s="37">
        <v>8.1984454095477108</v>
      </c>
      <c r="Z438" s="37">
        <v>5.6003804378713999</v>
      </c>
      <c r="AA438" s="37">
        <v>5.0792822795996404</v>
      </c>
      <c r="AB438" s="37">
        <v>3.6751702632604601</v>
      </c>
      <c r="AC438" s="37">
        <v>3.94595285192562</v>
      </c>
      <c r="AD438" s="37">
        <v>0.377135011965606</v>
      </c>
      <c r="AE438" s="37">
        <v>0.38065921161865401</v>
      </c>
      <c r="AF438" s="45">
        <v>-4.7323052660373399E-2</v>
      </c>
      <c r="AG438" s="45">
        <v>-1.0883499597192601</v>
      </c>
      <c r="AH438" s="46">
        <v>0.94106791691661595</v>
      </c>
      <c r="AI438" s="47">
        <v>0.96156153915847598</v>
      </c>
      <c r="AJ438" s="48">
        <v>5.2218543447392598</v>
      </c>
      <c r="AK438" s="49">
        <v>4.7979551964023104</v>
      </c>
      <c r="AL438" s="31" t="s">
        <v>5875</v>
      </c>
      <c r="AM438" s="31" t="s">
        <v>5832</v>
      </c>
      <c r="AN438" s="31" t="s">
        <v>36276</v>
      </c>
      <c r="AO438" s="31" t="s">
        <v>36277</v>
      </c>
      <c r="AP438" s="31" t="s">
        <v>36278</v>
      </c>
      <c r="AQ438" s="31" t="s">
        <v>36279</v>
      </c>
      <c r="AR438" s="31" t="s">
        <v>36280</v>
      </c>
      <c r="AS438" s="31" t="str">
        <f>"LASP1"</f>
        <v>LASP1</v>
      </c>
      <c r="AT438" s="31" t="s">
        <v>36281</v>
      </c>
      <c r="AU438" s="31" t="s">
        <v>13777</v>
      </c>
      <c r="AV438" s="31">
        <v>9606</v>
      </c>
      <c r="AW438" s="50" t="str">
        <f>HYPERLINK("http://www.uniprot.org/uniprot/Q14847", "Q14847")</f>
        <v>Q14847</v>
      </c>
      <c r="AX438" s="31" t="s">
        <v>36282</v>
      </c>
      <c r="AY438" s="31" t="s">
        <v>14288</v>
      </c>
      <c r="AZ438" s="31" t="s">
        <v>13988</v>
      </c>
      <c r="BA438" s="31" t="s">
        <v>13841</v>
      </c>
      <c r="BB438" s="31" t="s">
        <v>13772</v>
      </c>
      <c r="BC438" s="31" t="s">
        <v>13772</v>
      </c>
      <c r="BD438" s="31" t="s">
        <v>36283</v>
      </c>
      <c r="BE438" s="31" t="s">
        <v>13856</v>
      </c>
      <c r="BF438" s="31" t="s">
        <v>13990</v>
      </c>
      <c r="BG438" s="31" t="s">
        <v>14098</v>
      </c>
      <c r="BH438" s="31" t="s">
        <v>13812</v>
      </c>
      <c r="BI438" s="31" t="s">
        <v>19487</v>
      </c>
      <c r="BJ438" s="31" t="s">
        <v>36284</v>
      </c>
      <c r="BK438" s="31" t="s">
        <v>36285</v>
      </c>
      <c r="BL438" s="31" t="s">
        <v>13772</v>
      </c>
      <c r="BM438" s="31" t="s">
        <v>13772</v>
      </c>
    </row>
    <row r="439" spans="1:65">
      <c r="A439">
        <v>2237</v>
      </c>
      <c r="B439">
        <v>1</v>
      </c>
      <c r="C439">
        <v>434</v>
      </c>
      <c r="D439" t="s">
        <v>5232</v>
      </c>
      <c r="E439" t="s">
        <v>73</v>
      </c>
      <c r="F439" t="s">
        <v>73</v>
      </c>
      <c r="G439">
        <v>74.400000000000006</v>
      </c>
      <c r="H439">
        <v>125</v>
      </c>
      <c r="I439">
        <v>12646</v>
      </c>
      <c r="J439" t="s">
        <v>5233</v>
      </c>
      <c r="K439" s="3" t="s">
        <v>73</v>
      </c>
      <c r="L439">
        <v>103</v>
      </c>
      <c r="M439">
        <v>36</v>
      </c>
      <c r="N439">
        <v>0.35</v>
      </c>
      <c r="O439" s="11">
        <f t="shared" si="6"/>
        <v>5.4016096388679751</v>
      </c>
      <c r="P439" s="36">
        <v>7.2698603750083803</v>
      </c>
      <c r="Q439" s="36">
        <v>6.7414488447421297</v>
      </c>
      <c r="R439" s="36">
        <v>5.2826322839804503</v>
      </c>
      <c r="S439" s="36">
        <v>9.0715305549193808</v>
      </c>
      <c r="T439" s="36">
        <v>0.86017635993689201</v>
      </c>
      <c r="U439" s="36">
        <v>2.7891817399184702</v>
      </c>
      <c r="V439" s="36">
        <v>4.21624913145856</v>
      </c>
      <c r="W439" s="36">
        <v>1.9463671959646101</v>
      </c>
      <c r="X439" s="37">
        <v>2.1458473917613801</v>
      </c>
      <c r="Y439" s="37">
        <v>5.4235869632392602</v>
      </c>
      <c r="Z439" s="37">
        <v>8.8806032657674994</v>
      </c>
      <c r="AA439" s="37">
        <v>2.2856770258198398</v>
      </c>
      <c r="AB439" s="37">
        <v>5.5127553948906796</v>
      </c>
      <c r="AC439" s="37">
        <v>10.338396472045099</v>
      </c>
      <c r="AD439" s="37">
        <v>4.5256201435872701</v>
      </c>
      <c r="AE439" s="37">
        <v>9.1358210788476999</v>
      </c>
      <c r="AF439" s="45">
        <v>0.38284012024495401</v>
      </c>
      <c r="AG439" s="45">
        <v>1.2637908549945001</v>
      </c>
      <c r="AH439" s="46">
        <v>0.49855602699569102</v>
      </c>
      <c r="AI439" s="47">
        <v>0.57804849577143402</v>
      </c>
      <c r="AJ439" s="48">
        <v>4.7721808107411103</v>
      </c>
      <c r="AK439" s="49">
        <v>6.0310384669948496</v>
      </c>
      <c r="AL439" s="31" t="s">
        <v>5874</v>
      </c>
      <c r="AM439" s="31" t="s">
        <v>5832</v>
      </c>
      <c r="AN439" s="31" t="s">
        <v>35118</v>
      </c>
      <c r="AO439" s="31" t="s">
        <v>35119</v>
      </c>
      <c r="AP439" s="31" t="s">
        <v>35120</v>
      </c>
      <c r="AQ439" s="31" t="s">
        <v>35121</v>
      </c>
      <c r="AR439" s="31" t="s">
        <v>35122</v>
      </c>
      <c r="AS439" s="31" t="str">
        <f>"OXT"</f>
        <v>OXT</v>
      </c>
      <c r="AT439" s="31" t="s">
        <v>35123</v>
      </c>
      <c r="AU439" s="31" t="s">
        <v>13777</v>
      </c>
      <c r="AV439" s="31">
        <v>9606</v>
      </c>
      <c r="AW439" s="50" t="str">
        <f>HYPERLINK("http://www.uniprot.org/uniprot/P01178", "P01178")</f>
        <v>P01178</v>
      </c>
      <c r="AX439" s="31" t="s">
        <v>35124</v>
      </c>
      <c r="AY439" s="31" t="s">
        <v>13772</v>
      </c>
      <c r="AZ439" s="31" t="s">
        <v>14321</v>
      </c>
      <c r="BA439" s="31" t="s">
        <v>13772</v>
      </c>
      <c r="BB439" s="31" t="s">
        <v>13772</v>
      </c>
      <c r="BC439" s="31" t="s">
        <v>13772</v>
      </c>
      <c r="BD439" s="31" t="s">
        <v>13808</v>
      </c>
      <c r="BE439" s="31" t="s">
        <v>13772</v>
      </c>
      <c r="BF439" s="31" t="s">
        <v>14322</v>
      </c>
      <c r="BG439" s="31" t="s">
        <v>18947</v>
      </c>
      <c r="BH439" s="31" t="s">
        <v>35125</v>
      </c>
      <c r="BI439" s="31" t="s">
        <v>35126</v>
      </c>
      <c r="BJ439" s="31" t="s">
        <v>35127</v>
      </c>
      <c r="BK439" s="31" t="s">
        <v>35128</v>
      </c>
      <c r="BL439" s="31" t="s">
        <v>13772</v>
      </c>
      <c r="BM439" s="31" t="s">
        <v>35129</v>
      </c>
    </row>
    <row r="440" spans="1:65">
      <c r="A440">
        <v>697</v>
      </c>
      <c r="B440">
        <v>1</v>
      </c>
      <c r="C440">
        <v>435</v>
      </c>
      <c r="D440" t="s">
        <v>1716</v>
      </c>
      <c r="E440" t="s">
        <v>73</v>
      </c>
      <c r="F440" t="s">
        <v>73</v>
      </c>
      <c r="G440">
        <v>29.3</v>
      </c>
      <c r="H440">
        <v>858</v>
      </c>
      <c r="I440">
        <v>95339</v>
      </c>
      <c r="J440" t="s">
        <v>1717</v>
      </c>
      <c r="K440" s="3" t="s">
        <v>73</v>
      </c>
      <c r="L440">
        <v>90</v>
      </c>
      <c r="M440">
        <v>90</v>
      </c>
      <c r="N440">
        <v>1</v>
      </c>
      <c r="O440" s="11">
        <f t="shared" si="6"/>
        <v>4.6297300395818528</v>
      </c>
      <c r="P440" s="36">
        <v>1.2116433958347299</v>
      </c>
      <c r="Q440" s="36">
        <v>0.96306412067744696</v>
      </c>
      <c r="R440" s="36">
        <v>0.40019941545306398</v>
      </c>
      <c r="S440" s="36">
        <v>0.37798043978830698</v>
      </c>
      <c r="T440" s="36">
        <v>3.4407054397475698</v>
      </c>
      <c r="U440" s="36">
        <v>3.7189089865579601</v>
      </c>
      <c r="V440" s="36">
        <v>4.21624913145856</v>
      </c>
      <c r="W440" s="36">
        <v>2.9195507939469199</v>
      </c>
      <c r="X440" s="37">
        <v>6.35806634595966</v>
      </c>
      <c r="Y440" s="37">
        <v>18.2888397597603</v>
      </c>
      <c r="Z440" s="37">
        <v>6.4004347861387396</v>
      </c>
      <c r="AA440" s="37">
        <v>5.0792822795996404</v>
      </c>
      <c r="AB440" s="37">
        <v>8.2691330923360304</v>
      </c>
      <c r="AC440" s="37">
        <v>7.8919057038512497</v>
      </c>
      <c r="AD440" s="37">
        <v>3.0170800957248498</v>
      </c>
      <c r="AE440" s="37">
        <v>1.5226368464746201</v>
      </c>
      <c r="AF440" s="45">
        <v>1.6422942010557999</v>
      </c>
      <c r="AG440" s="45">
        <v>3.2946651688344</v>
      </c>
      <c r="AH440" s="46">
        <v>2.2896834913929799E-3</v>
      </c>
      <c r="AI440" s="47">
        <v>4.7277723942651404E-3</v>
      </c>
      <c r="AJ440" s="48">
        <v>2.1560377154330701</v>
      </c>
      <c r="AK440" s="49">
        <v>7.1034223637306297</v>
      </c>
      <c r="AL440" s="31" t="s">
        <v>5874</v>
      </c>
      <c r="AM440" s="31" t="s">
        <v>5876</v>
      </c>
      <c r="AN440" s="31" t="s">
        <v>20668</v>
      </c>
      <c r="AO440" s="31" t="s">
        <v>13772</v>
      </c>
      <c r="AP440" s="31" t="s">
        <v>20669</v>
      </c>
      <c r="AQ440" s="31" t="s">
        <v>20670</v>
      </c>
      <c r="AR440" s="31" t="s">
        <v>20671</v>
      </c>
      <c r="AS440" s="31" t="str">
        <f>"EEF2"</f>
        <v>EEF2</v>
      </c>
      <c r="AT440" s="31" t="s">
        <v>20672</v>
      </c>
      <c r="AU440" s="31" t="s">
        <v>13777</v>
      </c>
      <c r="AV440" s="31">
        <v>9606</v>
      </c>
      <c r="AW440" s="50" t="str">
        <f>HYPERLINK("http://www.uniprot.org/uniprot/P13639", "P13639")</f>
        <v>P13639</v>
      </c>
      <c r="AX440" s="31" t="s">
        <v>20673</v>
      </c>
      <c r="AY440" s="31" t="s">
        <v>17925</v>
      </c>
      <c r="AZ440" s="31" t="s">
        <v>13912</v>
      </c>
      <c r="BA440" s="31" t="s">
        <v>13772</v>
      </c>
      <c r="BB440" s="31" t="s">
        <v>13772</v>
      </c>
      <c r="BC440" s="31" t="s">
        <v>20674</v>
      </c>
      <c r="BD440" s="31" t="s">
        <v>13772</v>
      </c>
      <c r="BE440" s="31" t="s">
        <v>14216</v>
      </c>
      <c r="BF440" s="31" t="s">
        <v>19001</v>
      </c>
      <c r="BG440" s="31" t="s">
        <v>20675</v>
      </c>
      <c r="BH440" s="31" t="s">
        <v>13812</v>
      </c>
      <c r="BI440" s="31" t="s">
        <v>20676</v>
      </c>
      <c r="BJ440" s="31" t="s">
        <v>20677</v>
      </c>
      <c r="BK440" s="31" t="s">
        <v>20678</v>
      </c>
      <c r="BL440" s="31" t="s">
        <v>13772</v>
      </c>
      <c r="BM440" s="31" t="s">
        <v>20679</v>
      </c>
    </row>
    <row r="441" spans="1:65">
      <c r="A441">
        <v>947</v>
      </c>
      <c r="B441">
        <v>1</v>
      </c>
      <c r="C441">
        <v>436</v>
      </c>
      <c r="D441" t="s">
        <v>2306</v>
      </c>
      <c r="E441" t="s">
        <v>73</v>
      </c>
      <c r="F441" t="s">
        <v>73</v>
      </c>
      <c r="G441">
        <v>72.2</v>
      </c>
      <c r="H441">
        <v>230</v>
      </c>
      <c r="I441">
        <v>26182</v>
      </c>
      <c r="J441" t="s">
        <v>2307</v>
      </c>
      <c r="K441" s="3" t="s">
        <v>73</v>
      </c>
      <c r="L441">
        <v>89</v>
      </c>
      <c r="M441">
        <v>89</v>
      </c>
      <c r="N441">
        <v>1</v>
      </c>
      <c r="O441" s="11">
        <f t="shared" si="6"/>
        <v>4.5125761917798473</v>
      </c>
      <c r="P441" s="36">
        <v>0.30291084895868198</v>
      </c>
      <c r="Q441" s="36">
        <v>0.24076603016936199</v>
      </c>
      <c r="R441" s="36">
        <v>0.40019941545306398</v>
      </c>
      <c r="S441" s="36">
        <v>0.37798043978830698</v>
      </c>
      <c r="T441" s="36">
        <v>0.215044089984223</v>
      </c>
      <c r="U441" s="36">
        <v>0.92972724663949102</v>
      </c>
      <c r="V441" s="36">
        <v>1.05406228286464</v>
      </c>
      <c r="W441" s="36">
        <v>4.8659179899115301</v>
      </c>
      <c r="X441" s="37">
        <v>7.9475829324495697</v>
      </c>
      <c r="Y441" s="37">
        <v>14.5049418784306</v>
      </c>
      <c r="Z441" s="37">
        <v>4.8003260896040603</v>
      </c>
      <c r="AA441" s="37">
        <v>9.3120175125993505</v>
      </c>
      <c r="AB441" s="37">
        <v>11.944303355596499</v>
      </c>
      <c r="AC441" s="37">
        <v>13.4162396965471</v>
      </c>
      <c r="AD441" s="37">
        <v>1.50854004786242</v>
      </c>
      <c r="AE441" s="37">
        <v>0.38065921161865401</v>
      </c>
      <c r="AF441" s="45">
        <v>2.77259566833321</v>
      </c>
      <c r="AG441" s="45">
        <v>7.6091082484039303</v>
      </c>
      <c r="AH441" s="46">
        <v>6.2826051558629597E-5</v>
      </c>
      <c r="AI441" s="47">
        <v>1.8847815467588899E-4</v>
      </c>
      <c r="AJ441" s="48">
        <v>1.0483260429711601</v>
      </c>
      <c r="AK441" s="49">
        <v>7.9768263405885298</v>
      </c>
      <c r="AL441" s="31" t="s">
        <v>5874</v>
      </c>
      <c r="AM441" s="31" t="s">
        <v>5876</v>
      </c>
      <c r="AN441" s="31" t="s">
        <v>23131</v>
      </c>
      <c r="AO441" s="31" t="s">
        <v>23132</v>
      </c>
      <c r="AP441" s="31" t="s">
        <v>23133</v>
      </c>
      <c r="AQ441" s="31" t="s">
        <v>23134</v>
      </c>
      <c r="AR441" s="31" t="s">
        <v>23135</v>
      </c>
      <c r="AS441" s="31" t="str">
        <f>"UCHL3"</f>
        <v>UCHL3</v>
      </c>
      <c r="AT441" s="31" t="s">
        <v>13772</v>
      </c>
      <c r="AU441" s="31" t="s">
        <v>13777</v>
      </c>
      <c r="AV441" s="31">
        <v>9606</v>
      </c>
      <c r="AW441" s="50" t="str">
        <f>HYPERLINK("http://www.uniprot.org/uniprot/P15374", "P15374")</f>
        <v>P15374</v>
      </c>
      <c r="AX441" s="31" t="s">
        <v>23136</v>
      </c>
      <c r="AY441" s="31" t="s">
        <v>14109</v>
      </c>
      <c r="AZ441" s="31" t="s">
        <v>13899</v>
      </c>
      <c r="BA441" s="31" t="s">
        <v>13772</v>
      </c>
      <c r="BB441" s="31" t="s">
        <v>13772</v>
      </c>
      <c r="BC441" s="31" t="s">
        <v>13772</v>
      </c>
      <c r="BD441" s="31" t="s">
        <v>13772</v>
      </c>
      <c r="BE441" s="31" t="s">
        <v>13772</v>
      </c>
      <c r="BF441" s="31" t="s">
        <v>14083</v>
      </c>
      <c r="BG441" s="31" t="s">
        <v>13782</v>
      </c>
      <c r="BH441" s="31" t="s">
        <v>13812</v>
      </c>
      <c r="BI441" s="31" t="s">
        <v>23137</v>
      </c>
      <c r="BJ441" s="31" t="s">
        <v>13914</v>
      </c>
      <c r="BK441" s="31" t="s">
        <v>23138</v>
      </c>
      <c r="BL441" s="31" t="s">
        <v>13772</v>
      </c>
      <c r="BM441" s="31" t="s">
        <v>23139</v>
      </c>
    </row>
    <row r="442" spans="1:65">
      <c r="A442">
        <v>968</v>
      </c>
      <c r="B442">
        <v>1</v>
      </c>
      <c r="C442">
        <v>437</v>
      </c>
      <c r="D442" t="s">
        <v>2350</v>
      </c>
      <c r="E442" t="s">
        <v>73</v>
      </c>
      <c r="F442" t="s">
        <v>73</v>
      </c>
      <c r="G442">
        <v>36.9</v>
      </c>
      <c r="H442">
        <v>333</v>
      </c>
      <c r="I442">
        <v>36901</v>
      </c>
      <c r="J442" t="s">
        <v>2351</v>
      </c>
      <c r="K442" s="3" t="s">
        <v>73</v>
      </c>
      <c r="L442">
        <v>89</v>
      </c>
      <c r="M442">
        <v>89</v>
      </c>
      <c r="N442">
        <v>1</v>
      </c>
      <c r="O442" s="11">
        <f t="shared" si="6"/>
        <v>5.461365167864324</v>
      </c>
      <c r="P442" s="36">
        <v>9.6931471666778304</v>
      </c>
      <c r="Q442" s="36">
        <v>6.7414488447421297</v>
      </c>
      <c r="R442" s="36">
        <v>8.00398830906129</v>
      </c>
      <c r="S442" s="36">
        <v>3.0238435183064598</v>
      </c>
      <c r="T442" s="36">
        <v>6.0212345195582504</v>
      </c>
      <c r="U442" s="36">
        <v>5.5783634798369501</v>
      </c>
      <c r="V442" s="36">
        <v>9.4865605457817708</v>
      </c>
      <c r="W442" s="36">
        <v>8.7586523818407507</v>
      </c>
      <c r="X442" s="37">
        <v>2.3842748797348698</v>
      </c>
      <c r="Y442" s="37">
        <v>5.6758468219945701</v>
      </c>
      <c r="Z442" s="37">
        <v>4.8003260896040603</v>
      </c>
      <c r="AA442" s="37">
        <v>1.6930940931998799</v>
      </c>
      <c r="AB442" s="37">
        <v>5.5127553948906796</v>
      </c>
      <c r="AC442" s="37">
        <v>3.94595285192562</v>
      </c>
      <c r="AD442" s="37">
        <v>3.0170800957248498</v>
      </c>
      <c r="AE442" s="37">
        <v>3.0452736929492299</v>
      </c>
      <c r="AF442" s="45">
        <v>-0.871820460772737</v>
      </c>
      <c r="AG442" s="45">
        <v>-1.90550269317595</v>
      </c>
      <c r="AH442" s="46">
        <v>1.98159344270947E-2</v>
      </c>
      <c r="AI442" s="47">
        <v>3.4079331958165399E-2</v>
      </c>
      <c r="AJ442" s="48">
        <v>7.1634048457256796</v>
      </c>
      <c r="AK442" s="49">
        <v>3.7593254900029698</v>
      </c>
      <c r="AL442" s="31" t="s">
        <v>5875</v>
      </c>
      <c r="AM442" s="31" t="s">
        <v>5878</v>
      </c>
      <c r="AN442" s="31" t="s">
        <v>23318</v>
      </c>
      <c r="AO442" s="31" t="s">
        <v>23319</v>
      </c>
      <c r="AP442" s="31" t="s">
        <v>23320</v>
      </c>
      <c r="AQ442" s="31" t="s">
        <v>23321</v>
      </c>
      <c r="AR442" s="31" t="s">
        <v>23322</v>
      </c>
      <c r="AS442" s="31" t="str">
        <f>"EFNB2"</f>
        <v>EFNB2</v>
      </c>
      <c r="AT442" s="31" t="s">
        <v>23323</v>
      </c>
      <c r="AU442" s="31" t="s">
        <v>13777</v>
      </c>
      <c r="AV442" s="31">
        <v>9606</v>
      </c>
      <c r="AW442" s="50" t="str">
        <f>HYPERLINK("http://www.uniprot.org/uniprot/P52799", "P52799")</f>
        <v>P52799</v>
      </c>
      <c r="AX442" s="31" t="s">
        <v>23324</v>
      </c>
      <c r="AY442" s="31" t="s">
        <v>23325</v>
      </c>
      <c r="AZ442" s="31" t="s">
        <v>13792</v>
      </c>
      <c r="BA442" s="31" t="s">
        <v>13772</v>
      </c>
      <c r="BB442" s="31" t="s">
        <v>13772</v>
      </c>
      <c r="BC442" s="31" t="s">
        <v>13772</v>
      </c>
      <c r="BD442" s="31" t="s">
        <v>13855</v>
      </c>
      <c r="BE442" s="31" t="s">
        <v>13772</v>
      </c>
      <c r="BF442" s="31" t="s">
        <v>23326</v>
      </c>
      <c r="BG442" s="31" t="s">
        <v>20926</v>
      </c>
      <c r="BH442" s="31" t="s">
        <v>13812</v>
      </c>
      <c r="BI442" s="31" t="s">
        <v>23327</v>
      </c>
      <c r="BJ442" s="31" t="s">
        <v>23328</v>
      </c>
      <c r="BK442" s="31" t="s">
        <v>23329</v>
      </c>
      <c r="BL442" s="31" t="s">
        <v>13772</v>
      </c>
      <c r="BM442" s="31" t="s">
        <v>17265</v>
      </c>
    </row>
    <row r="443" spans="1:65">
      <c r="A443">
        <v>1940</v>
      </c>
      <c r="B443">
        <v>1</v>
      </c>
      <c r="C443">
        <v>438</v>
      </c>
      <c r="D443" t="s">
        <v>4569</v>
      </c>
      <c r="E443" t="s">
        <v>4570</v>
      </c>
      <c r="F443" t="s">
        <v>73</v>
      </c>
      <c r="G443">
        <v>20.7</v>
      </c>
      <c r="H443">
        <v>464</v>
      </c>
      <c r="I443">
        <v>48104</v>
      </c>
      <c r="J443" t="s">
        <v>4571</v>
      </c>
      <c r="K443" s="3" t="s">
        <v>73</v>
      </c>
      <c r="L443">
        <v>89</v>
      </c>
      <c r="M443">
        <v>89</v>
      </c>
      <c r="N443">
        <v>1</v>
      </c>
      <c r="O443" s="11">
        <f t="shared" si="6"/>
        <v>6.3195869342983189</v>
      </c>
      <c r="P443" s="36">
        <v>7.2698603750083803</v>
      </c>
      <c r="Q443" s="36">
        <v>9.6306412067744702</v>
      </c>
      <c r="R443" s="36">
        <v>16.007976618122601</v>
      </c>
      <c r="S443" s="36">
        <v>25.7026699056049</v>
      </c>
      <c r="T443" s="36">
        <v>11.1822926791796</v>
      </c>
      <c r="U443" s="36">
        <v>8.3675452197554208</v>
      </c>
      <c r="V443" s="36">
        <v>11.594685111511</v>
      </c>
      <c r="W443" s="36">
        <v>3.8927343919292201</v>
      </c>
      <c r="X443" s="37">
        <v>0.79475829324495695</v>
      </c>
      <c r="Y443" s="37">
        <v>1.2612992937765699</v>
      </c>
      <c r="Z443" s="37">
        <v>1.60010869653469</v>
      </c>
      <c r="AA443" s="37">
        <v>0.21163676164998499</v>
      </c>
      <c r="AB443" s="37">
        <v>0.91879256581511404</v>
      </c>
      <c r="AC443" s="37">
        <v>0.78919057038512497</v>
      </c>
      <c r="AD443" s="37">
        <v>1.50854004786242</v>
      </c>
      <c r="AE443" s="37">
        <v>0.38065921161865401</v>
      </c>
      <c r="AF443" s="45">
        <v>-3.4300021142139201</v>
      </c>
      <c r="AG443" s="45">
        <v>-12.545021855628899</v>
      </c>
      <c r="AH443" s="46">
        <v>1.3058736641625001E-10</v>
      </c>
      <c r="AI443" s="47">
        <v>2.2400755931402898E-9</v>
      </c>
      <c r="AJ443" s="48">
        <v>11.7060506884857</v>
      </c>
      <c r="AK443" s="49">
        <v>0.93312318011093898</v>
      </c>
      <c r="AL443" s="31" t="s">
        <v>5875</v>
      </c>
      <c r="AM443" s="31" t="s">
        <v>5876</v>
      </c>
      <c r="AN443" s="31" t="s">
        <v>32377</v>
      </c>
      <c r="AO443" s="31" t="s">
        <v>32378</v>
      </c>
      <c r="AP443" s="31" t="s">
        <v>32379</v>
      </c>
      <c r="AQ443" s="31" t="s">
        <v>32380</v>
      </c>
      <c r="AR443" s="31" t="s">
        <v>32381</v>
      </c>
      <c r="AS443" s="31" t="str">
        <f>"TNFRSF1B"</f>
        <v>TNFRSF1B</v>
      </c>
      <c r="AT443" s="31" t="s">
        <v>32382</v>
      </c>
      <c r="AU443" s="31" t="s">
        <v>13777</v>
      </c>
      <c r="AV443" s="31">
        <v>9606</v>
      </c>
      <c r="AW443" s="50" t="str">
        <f>HYPERLINK("http://www.uniprot.org/uniprot/P20333", "P20333")</f>
        <v>P20333</v>
      </c>
      <c r="AX443" s="31" t="s">
        <v>32383</v>
      </c>
      <c r="AY443" s="31" t="s">
        <v>17109</v>
      </c>
      <c r="AZ443" s="31" t="s">
        <v>14336</v>
      </c>
      <c r="BA443" s="31" t="s">
        <v>13780</v>
      </c>
      <c r="BB443" s="31" t="s">
        <v>13772</v>
      </c>
      <c r="BC443" s="31" t="s">
        <v>13772</v>
      </c>
      <c r="BD443" s="31" t="s">
        <v>13826</v>
      </c>
      <c r="BE443" s="31" t="s">
        <v>13772</v>
      </c>
      <c r="BF443" s="31" t="s">
        <v>13795</v>
      </c>
      <c r="BG443" s="31" t="s">
        <v>13964</v>
      </c>
      <c r="BH443" s="31" t="s">
        <v>14324</v>
      </c>
      <c r="BI443" s="31" t="s">
        <v>32384</v>
      </c>
      <c r="BJ443" s="31" t="s">
        <v>32385</v>
      </c>
      <c r="BK443" s="31" t="s">
        <v>32386</v>
      </c>
      <c r="BL443" s="31" t="s">
        <v>13772</v>
      </c>
      <c r="BM443" s="31" t="s">
        <v>32387</v>
      </c>
    </row>
    <row r="444" spans="1:65">
      <c r="A444">
        <v>1589</v>
      </c>
      <c r="B444">
        <v>1</v>
      </c>
      <c r="C444">
        <v>439</v>
      </c>
      <c r="D444" t="s">
        <v>3766</v>
      </c>
      <c r="E444" t="s">
        <v>73</v>
      </c>
      <c r="F444" t="s">
        <v>73</v>
      </c>
      <c r="G444">
        <v>13.3</v>
      </c>
      <c r="H444">
        <v>684</v>
      </c>
      <c r="I444">
        <v>74737</v>
      </c>
      <c r="J444" t="s">
        <v>3767</v>
      </c>
      <c r="K444" s="3" t="s">
        <v>73</v>
      </c>
      <c r="L444">
        <v>89</v>
      </c>
      <c r="M444">
        <v>88</v>
      </c>
      <c r="N444">
        <v>0.98899999999999999</v>
      </c>
      <c r="O444" s="11">
        <f t="shared" si="6"/>
        <v>5.6118768195037889</v>
      </c>
      <c r="P444" s="36">
        <v>13.328077354182</v>
      </c>
      <c r="Q444" s="36">
        <v>14.349655398094001</v>
      </c>
      <c r="R444" s="36">
        <v>3.2015953236245198</v>
      </c>
      <c r="S444" s="36">
        <v>10.5834523140726</v>
      </c>
      <c r="T444" s="36">
        <v>6.0212345195582504</v>
      </c>
      <c r="U444" s="36">
        <v>6.50809072647644</v>
      </c>
      <c r="V444" s="36">
        <v>5.2703114143232002</v>
      </c>
      <c r="W444" s="36">
        <v>9.7318359798230603</v>
      </c>
      <c r="X444" s="37">
        <v>3.9737914662247902</v>
      </c>
      <c r="Y444" s="37">
        <v>2.5225985875531398</v>
      </c>
      <c r="Z444" s="37">
        <v>3.2002173930693698</v>
      </c>
      <c r="AA444" s="37">
        <v>2.5396411397998202</v>
      </c>
      <c r="AB444" s="37">
        <v>0.91879256581511404</v>
      </c>
      <c r="AC444" s="37">
        <v>1.5783811407702499</v>
      </c>
      <c r="AD444" s="37">
        <v>3.0170800957248498</v>
      </c>
      <c r="AE444" s="37">
        <v>3.0452736929492299</v>
      </c>
      <c r="AF444" s="45">
        <v>-1.7051016678337001</v>
      </c>
      <c r="AG444" s="45">
        <v>-3.3177051319658499</v>
      </c>
      <c r="AH444" s="46">
        <v>7.9333910395960896E-5</v>
      </c>
      <c r="AI444" s="47">
        <v>2.30758200238686E-4</v>
      </c>
      <c r="AJ444" s="48">
        <v>8.6242816287692605</v>
      </c>
      <c r="AK444" s="49">
        <v>2.59947201023832</v>
      </c>
      <c r="AL444" s="31" t="s">
        <v>5875</v>
      </c>
      <c r="AM444" s="31" t="s">
        <v>5876</v>
      </c>
      <c r="AN444" s="31" t="s">
        <v>29041</v>
      </c>
      <c r="AO444" s="31" t="s">
        <v>29042</v>
      </c>
      <c r="AP444" s="31" t="s">
        <v>29043</v>
      </c>
      <c r="AQ444" s="31" t="s">
        <v>29044</v>
      </c>
      <c r="AR444" s="31" t="s">
        <v>29045</v>
      </c>
      <c r="AS444" s="31" t="str">
        <f>"MASP2"</f>
        <v>MASP2</v>
      </c>
      <c r="AT444" s="31" t="s">
        <v>13772</v>
      </c>
      <c r="AU444" s="31" t="s">
        <v>13777</v>
      </c>
      <c r="AV444" s="31">
        <v>9606</v>
      </c>
      <c r="AW444" s="50" t="str">
        <f>HYPERLINK("http://www.uniprot.org/uniprot/O00187", "O00187")</f>
        <v>O00187</v>
      </c>
      <c r="AX444" s="31" t="s">
        <v>29046</v>
      </c>
      <c r="AY444" s="31" t="s">
        <v>20457</v>
      </c>
      <c r="AZ444" s="31" t="s">
        <v>14321</v>
      </c>
      <c r="BA444" s="31" t="s">
        <v>13780</v>
      </c>
      <c r="BB444" s="31" t="s">
        <v>13772</v>
      </c>
      <c r="BC444" s="31" t="s">
        <v>13807</v>
      </c>
      <c r="BD444" s="31" t="s">
        <v>21282</v>
      </c>
      <c r="BE444" s="31" t="s">
        <v>13873</v>
      </c>
      <c r="BF444" s="31" t="s">
        <v>15176</v>
      </c>
      <c r="BG444" s="31" t="s">
        <v>29047</v>
      </c>
      <c r="BH444" s="31" t="s">
        <v>13812</v>
      </c>
      <c r="BI444" s="31" t="s">
        <v>29048</v>
      </c>
      <c r="BJ444" s="31" t="s">
        <v>16659</v>
      </c>
      <c r="BK444" s="31" t="s">
        <v>29049</v>
      </c>
      <c r="BL444" s="31" t="s">
        <v>13772</v>
      </c>
      <c r="BM444" s="31" t="s">
        <v>29050</v>
      </c>
    </row>
    <row r="445" spans="1:65">
      <c r="A445">
        <v>179</v>
      </c>
      <c r="B445">
        <v>1</v>
      </c>
      <c r="C445">
        <v>440</v>
      </c>
      <c r="D445" t="s">
        <v>452</v>
      </c>
      <c r="E445" t="s">
        <v>453</v>
      </c>
      <c r="F445" t="s">
        <v>73</v>
      </c>
      <c r="G445">
        <v>20.7</v>
      </c>
      <c r="H445">
        <v>455</v>
      </c>
      <c r="I445">
        <v>48888</v>
      </c>
      <c r="J445" t="s">
        <v>454</v>
      </c>
      <c r="K445" s="3" t="s">
        <v>73</v>
      </c>
      <c r="L445">
        <v>88</v>
      </c>
      <c r="M445">
        <v>88</v>
      </c>
      <c r="N445">
        <v>1</v>
      </c>
      <c r="O445" s="11">
        <f t="shared" si="6"/>
        <v>5.9169001680092572</v>
      </c>
      <c r="P445" s="36">
        <v>6.0582169791736504</v>
      </c>
      <c r="Q445" s="36">
        <v>5.7783847240646802</v>
      </c>
      <c r="R445" s="36">
        <v>16.007976618122601</v>
      </c>
      <c r="S445" s="36">
        <v>10.5834523140726</v>
      </c>
      <c r="T445" s="36">
        <v>5.1610581596213496</v>
      </c>
      <c r="U445" s="36">
        <v>7.43781797311593</v>
      </c>
      <c r="V445" s="36">
        <v>6.3243736971878404</v>
      </c>
      <c r="W445" s="36">
        <v>1.9463671959646101</v>
      </c>
      <c r="X445" s="37">
        <v>0.79475829324495695</v>
      </c>
      <c r="Y445" s="37">
        <v>2.5225985875531398</v>
      </c>
      <c r="Z445" s="37">
        <v>3.2002173930693698</v>
      </c>
      <c r="AA445" s="37">
        <v>7.6189234193994704</v>
      </c>
      <c r="AB445" s="37">
        <v>2.7563776974453398</v>
      </c>
      <c r="AC445" s="37">
        <v>7.8919057038512497</v>
      </c>
      <c r="AD445" s="37">
        <v>7.5427002393121096</v>
      </c>
      <c r="AE445" s="37">
        <v>3.0452736929492299</v>
      </c>
      <c r="AF445" s="45">
        <v>-0.70117830657739699</v>
      </c>
      <c r="AG445" s="45">
        <v>-1.6763649768403699</v>
      </c>
      <c r="AH445" s="46">
        <v>0.122298944179025</v>
      </c>
      <c r="AI445" s="47">
        <v>0.169045441437537</v>
      </c>
      <c r="AJ445" s="48">
        <v>7.4122059576654102</v>
      </c>
      <c r="AK445" s="49">
        <v>4.4215943783531104</v>
      </c>
      <c r="AL445" s="31" t="s">
        <v>5875</v>
      </c>
      <c r="AM445" s="31" t="s">
        <v>5832</v>
      </c>
      <c r="AN445" s="31" t="s">
        <v>15217</v>
      </c>
      <c r="AO445" s="31" t="s">
        <v>15218</v>
      </c>
      <c r="AP445" s="31" t="s">
        <v>15219</v>
      </c>
      <c r="AQ445" s="31" t="s">
        <v>15220</v>
      </c>
      <c r="AR445" s="31" t="s">
        <v>15221</v>
      </c>
      <c r="AS445" s="31" t="str">
        <f>"DLST"</f>
        <v>DLST</v>
      </c>
      <c r="AT445" s="31" t="s">
        <v>15222</v>
      </c>
      <c r="AU445" s="31" t="s">
        <v>13777</v>
      </c>
      <c r="AV445" s="31">
        <v>9606</v>
      </c>
      <c r="AW445" s="50" t="str">
        <f>HYPERLINK("http://www.uniprot.org/uniprot/P36957", "P36957")</f>
        <v>P36957</v>
      </c>
      <c r="AX445" s="31" t="s">
        <v>15223</v>
      </c>
      <c r="AY445" s="31" t="s">
        <v>15224</v>
      </c>
      <c r="AZ445" s="31" t="s">
        <v>15225</v>
      </c>
      <c r="BA445" s="31" t="s">
        <v>13780</v>
      </c>
      <c r="BB445" s="31" t="s">
        <v>13772</v>
      </c>
      <c r="BC445" s="31" t="s">
        <v>13772</v>
      </c>
      <c r="BD445" s="31" t="s">
        <v>15226</v>
      </c>
      <c r="BE445" s="31" t="s">
        <v>13772</v>
      </c>
      <c r="BF445" s="31" t="s">
        <v>15096</v>
      </c>
      <c r="BG445" s="31" t="s">
        <v>13886</v>
      </c>
      <c r="BH445" s="31" t="s">
        <v>13772</v>
      </c>
      <c r="BI445" s="31" t="s">
        <v>15227</v>
      </c>
      <c r="BJ445" s="31" t="s">
        <v>15228</v>
      </c>
      <c r="BK445" s="31" t="s">
        <v>15229</v>
      </c>
      <c r="BL445" s="31" t="s">
        <v>15230</v>
      </c>
      <c r="BM445" s="31" t="s">
        <v>15231</v>
      </c>
    </row>
    <row r="446" spans="1:65">
      <c r="A446">
        <v>1794</v>
      </c>
      <c r="B446">
        <v>1</v>
      </c>
      <c r="C446">
        <v>441</v>
      </c>
      <c r="D446" t="s">
        <v>4243</v>
      </c>
      <c r="E446" t="s">
        <v>73</v>
      </c>
      <c r="F446" t="s">
        <v>73</v>
      </c>
      <c r="G446">
        <v>38</v>
      </c>
      <c r="H446">
        <v>137</v>
      </c>
      <c r="I446">
        <v>15269</v>
      </c>
      <c r="J446" t="s">
        <v>4244</v>
      </c>
      <c r="K446" s="3" t="s">
        <v>73</v>
      </c>
      <c r="L446">
        <v>88</v>
      </c>
      <c r="M446">
        <v>88</v>
      </c>
      <c r="N446">
        <v>1</v>
      </c>
      <c r="O446" s="11">
        <f t="shared" si="6"/>
        <v>4.554959426150706</v>
      </c>
      <c r="P446" s="36">
        <v>0.30291084895868198</v>
      </c>
      <c r="Q446" s="36">
        <v>0.96306412067744696</v>
      </c>
      <c r="R446" s="36">
        <v>0.40019941545306398</v>
      </c>
      <c r="S446" s="36">
        <v>0.37798043978830698</v>
      </c>
      <c r="T446" s="36">
        <v>0.86017635993689201</v>
      </c>
      <c r="U446" s="36">
        <v>0.23243181165987301</v>
      </c>
      <c r="V446" s="36">
        <v>1.05406228286464</v>
      </c>
      <c r="W446" s="36">
        <v>0.97318359798230603</v>
      </c>
      <c r="X446" s="37">
        <v>11.9213743986744</v>
      </c>
      <c r="Y446" s="37">
        <v>5.0451971751062796</v>
      </c>
      <c r="Z446" s="37">
        <v>9.6006521792081099</v>
      </c>
      <c r="AA446" s="37">
        <v>12.6982056989991</v>
      </c>
      <c r="AB446" s="37">
        <v>0.91879256581511404</v>
      </c>
      <c r="AC446" s="37">
        <v>7.8919057038512497</v>
      </c>
      <c r="AD446" s="37">
        <v>16.593940526486598</v>
      </c>
      <c r="AE446" s="37">
        <v>3.0452736929492299</v>
      </c>
      <c r="AF446" s="45">
        <v>3.4214852609745798</v>
      </c>
      <c r="AG446" s="45">
        <v>13.1129406532347</v>
      </c>
      <c r="AH446" s="46">
        <v>2.16358830847579E-7</v>
      </c>
      <c r="AI446" s="47">
        <v>1.30400052105433E-6</v>
      </c>
      <c r="AJ446" s="48">
        <v>0.64550110966515195</v>
      </c>
      <c r="AK446" s="49">
        <v>8.4644177426362592</v>
      </c>
      <c r="AL446" s="31" t="s">
        <v>5874</v>
      </c>
      <c r="AM446" s="31" t="s">
        <v>5876</v>
      </c>
      <c r="AN446" s="31" t="s">
        <v>31015</v>
      </c>
      <c r="AO446" s="31" t="s">
        <v>31016</v>
      </c>
      <c r="AP446" s="31" t="s">
        <v>31017</v>
      </c>
      <c r="AQ446" s="31" t="s">
        <v>31018</v>
      </c>
      <c r="AR446" s="31" t="s">
        <v>31019</v>
      </c>
      <c r="AS446" s="31" t="str">
        <f>"S100A9"</f>
        <v>S100A9</v>
      </c>
      <c r="AT446" s="31" t="s">
        <v>31020</v>
      </c>
      <c r="AU446" s="31" t="s">
        <v>13777</v>
      </c>
      <c r="AV446" s="31">
        <v>9606</v>
      </c>
      <c r="AW446" s="50" t="str">
        <f>HYPERLINK("http://www.uniprot.org/uniprot/P06702", "P06702")</f>
        <v>P06702</v>
      </c>
      <c r="AX446" s="31" t="s">
        <v>31021</v>
      </c>
      <c r="AY446" s="31" t="s">
        <v>31022</v>
      </c>
      <c r="AZ446" s="31" t="s">
        <v>31023</v>
      </c>
      <c r="BA446" s="31" t="s">
        <v>13793</v>
      </c>
      <c r="BB446" s="31" t="s">
        <v>13772</v>
      </c>
      <c r="BC446" s="31" t="s">
        <v>13772</v>
      </c>
      <c r="BD446" s="31" t="s">
        <v>14096</v>
      </c>
      <c r="BE446" s="31" t="s">
        <v>14628</v>
      </c>
      <c r="BF446" s="31" t="s">
        <v>31024</v>
      </c>
      <c r="BG446" s="31" t="s">
        <v>31025</v>
      </c>
      <c r="BH446" s="31" t="s">
        <v>13812</v>
      </c>
      <c r="BI446" s="31" t="s">
        <v>31026</v>
      </c>
      <c r="BJ446" s="31" t="s">
        <v>31027</v>
      </c>
      <c r="BK446" s="31" t="s">
        <v>31028</v>
      </c>
      <c r="BL446" s="31" t="s">
        <v>13772</v>
      </c>
      <c r="BM446" s="31" t="s">
        <v>31029</v>
      </c>
    </row>
    <row r="447" spans="1:65">
      <c r="A447">
        <v>2436</v>
      </c>
      <c r="B447">
        <v>1</v>
      </c>
      <c r="C447">
        <v>442</v>
      </c>
      <c r="D447" t="s">
        <v>5710</v>
      </c>
      <c r="E447" t="s">
        <v>73</v>
      </c>
      <c r="F447" t="s">
        <v>5711</v>
      </c>
      <c r="G447">
        <v>55.7</v>
      </c>
      <c r="H447">
        <v>332</v>
      </c>
      <c r="I447">
        <v>36578</v>
      </c>
      <c r="J447" t="s">
        <v>5713</v>
      </c>
      <c r="K447" s="3" t="s">
        <v>73</v>
      </c>
      <c r="L447">
        <v>102</v>
      </c>
      <c r="M447">
        <v>81</v>
      </c>
      <c r="N447">
        <v>0.79400000000000004</v>
      </c>
      <c r="O447" s="11">
        <f t="shared" si="6"/>
        <v>4.5643837336153572</v>
      </c>
      <c r="P447" s="36">
        <v>1.5751364145851501</v>
      </c>
      <c r="Q447" s="36">
        <v>5.1042398395904698</v>
      </c>
      <c r="R447" s="36">
        <v>0.48023929854367697</v>
      </c>
      <c r="S447" s="36">
        <v>0.45357652774596902</v>
      </c>
      <c r="T447" s="36">
        <v>5.6771639755834897</v>
      </c>
      <c r="U447" s="36">
        <v>3.7189089865579601</v>
      </c>
      <c r="V447" s="36">
        <v>0.31621868485939197</v>
      </c>
      <c r="W447" s="36">
        <v>3.21150587334161</v>
      </c>
      <c r="X447" s="37">
        <v>8.9807687136680201</v>
      </c>
      <c r="Y447" s="37">
        <v>12.1715381849439</v>
      </c>
      <c r="Z447" s="37">
        <v>10.880739136435899</v>
      </c>
      <c r="AA447" s="37">
        <v>8.7194345799793904</v>
      </c>
      <c r="AB447" s="37">
        <v>1.1944303355596499</v>
      </c>
      <c r="AC447" s="37">
        <v>2.0518954830013301</v>
      </c>
      <c r="AD447" s="37">
        <v>3.4696421100835702</v>
      </c>
      <c r="AE447" s="37">
        <v>5.0247015933662302</v>
      </c>
      <c r="AF447" s="45">
        <v>1.2545084943737199</v>
      </c>
      <c r="AG447" s="45">
        <v>2.5560294452782601</v>
      </c>
      <c r="AH447" s="46">
        <v>2.2897267618790001E-2</v>
      </c>
      <c r="AI447" s="47">
        <v>3.8903785247306401E-2</v>
      </c>
      <c r="AJ447" s="48">
        <v>2.5671237001009599</v>
      </c>
      <c r="AK447" s="49">
        <v>6.5616437671297501</v>
      </c>
      <c r="AL447" s="31" t="s">
        <v>5874</v>
      </c>
      <c r="AM447" s="31" t="s">
        <v>5878</v>
      </c>
      <c r="AN447" s="31" t="s">
        <v>19363</v>
      </c>
      <c r="AO447" s="31" t="s">
        <v>19364</v>
      </c>
      <c r="AP447" s="31" t="s">
        <v>19365</v>
      </c>
      <c r="AQ447" s="31" t="s">
        <v>19366</v>
      </c>
      <c r="AR447" s="31" t="s">
        <v>19367</v>
      </c>
      <c r="AS447" s="31" t="str">
        <f>"LDHA"</f>
        <v>LDHA</v>
      </c>
      <c r="AT447" s="31" t="s">
        <v>13772</v>
      </c>
      <c r="AU447" s="31" t="s">
        <v>13777</v>
      </c>
      <c r="AV447" s="31">
        <v>9606</v>
      </c>
      <c r="AW447" s="50" t="str">
        <f>HYPERLINK("http://www.uniprot.org/uniprot/P00338", "P00338")</f>
        <v>P00338</v>
      </c>
      <c r="AX447" s="31" t="s">
        <v>19368</v>
      </c>
      <c r="AY447" s="31" t="s">
        <v>13772</v>
      </c>
      <c r="AZ447" s="31" t="s">
        <v>13899</v>
      </c>
      <c r="BA447" s="31" t="s">
        <v>13780</v>
      </c>
      <c r="BB447" s="31" t="s">
        <v>13772</v>
      </c>
      <c r="BC447" s="31" t="s">
        <v>16230</v>
      </c>
      <c r="BD447" s="31" t="s">
        <v>13772</v>
      </c>
      <c r="BE447" s="31" t="s">
        <v>14492</v>
      </c>
      <c r="BF447" s="31" t="s">
        <v>13885</v>
      </c>
      <c r="BG447" s="31" t="s">
        <v>13991</v>
      </c>
      <c r="BH447" s="31" t="s">
        <v>13812</v>
      </c>
      <c r="BI447" s="31" t="s">
        <v>19369</v>
      </c>
      <c r="BJ447" s="31" t="s">
        <v>19370</v>
      </c>
      <c r="BK447" s="31" t="s">
        <v>19371</v>
      </c>
      <c r="BL447" s="31" t="s">
        <v>19372</v>
      </c>
      <c r="BM447" s="31" t="s">
        <v>19373</v>
      </c>
    </row>
    <row r="448" spans="1:65">
      <c r="A448">
        <v>200</v>
      </c>
      <c r="B448">
        <v>1</v>
      </c>
      <c r="C448">
        <v>443</v>
      </c>
      <c r="D448" t="s">
        <v>504</v>
      </c>
      <c r="E448" t="s">
        <v>73</v>
      </c>
      <c r="F448" t="s">
        <v>73</v>
      </c>
      <c r="G448">
        <v>65.8</v>
      </c>
      <c r="H448">
        <v>111</v>
      </c>
      <c r="I448">
        <v>12151</v>
      </c>
      <c r="J448" t="s">
        <v>505</v>
      </c>
      <c r="K448" s="3" t="s">
        <v>73</v>
      </c>
      <c r="L448">
        <v>87</v>
      </c>
      <c r="M448">
        <v>87</v>
      </c>
      <c r="N448">
        <v>1</v>
      </c>
      <c r="O448" s="11">
        <f t="shared" si="6"/>
        <v>4.9384384854591605</v>
      </c>
      <c r="P448" s="36">
        <v>3.6349301875041902</v>
      </c>
      <c r="Q448" s="36">
        <v>0.24076603016936199</v>
      </c>
      <c r="R448" s="36">
        <v>3.2015953236245198</v>
      </c>
      <c r="S448" s="36">
        <v>0.37798043978830698</v>
      </c>
      <c r="T448" s="36">
        <v>0.86017635993689201</v>
      </c>
      <c r="U448" s="36">
        <v>1.85945449327898</v>
      </c>
      <c r="V448" s="36">
        <v>1.05406228286464</v>
      </c>
      <c r="W448" s="36">
        <v>0.24329589949557701</v>
      </c>
      <c r="X448" s="37">
        <v>9.53709951893949</v>
      </c>
      <c r="Y448" s="37">
        <v>5.6758468219945701</v>
      </c>
      <c r="Z448" s="37">
        <v>10.400706527475499</v>
      </c>
      <c r="AA448" s="37">
        <v>4.2327352329997003</v>
      </c>
      <c r="AB448" s="37">
        <v>5.5127553948906796</v>
      </c>
      <c r="AC448" s="37">
        <v>7.8919057038512497</v>
      </c>
      <c r="AD448" s="37">
        <v>7.5427002393121096</v>
      </c>
      <c r="AE448" s="37">
        <v>16.749005311220799</v>
      </c>
      <c r="AF448" s="45">
        <v>2.50605091441557</v>
      </c>
      <c r="AG448" s="45">
        <v>5.8874841369616702</v>
      </c>
      <c r="AH448" s="46">
        <v>1.7387779208848999E-6</v>
      </c>
      <c r="AI448" s="47">
        <v>7.9132138032108503E-6</v>
      </c>
      <c r="AJ448" s="48">
        <v>1.4340326270828101</v>
      </c>
      <c r="AK448" s="49">
        <v>8.4428443438355103</v>
      </c>
      <c r="AL448" s="31" t="s">
        <v>5874</v>
      </c>
      <c r="AM448" s="31" t="s">
        <v>5876</v>
      </c>
      <c r="AN448" s="31" t="s">
        <v>15457</v>
      </c>
      <c r="AO448" s="31" t="s">
        <v>15458</v>
      </c>
      <c r="AP448" s="31" t="s">
        <v>15459</v>
      </c>
      <c r="AQ448" s="31" t="s">
        <v>15460</v>
      </c>
      <c r="AR448" s="31" t="s">
        <v>13772</v>
      </c>
      <c r="AS448" s="31" t="str">
        <f>"GUCA2A"</f>
        <v>GUCA2A</v>
      </c>
      <c r="AT448" s="31" t="s">
        <v>15461</v>
      </c>
      <c r="AU448" s="31" t="s">
        <v>13777</v>
      </c>
      <c r="AV448" s="31">
        <v>9606</v>
      </c>
      <c r="AW448" s="50" t="str">
        <f>HYPERLINK("http://www.uniprot.org/uniprot/Q02747", "Q02747")</f>
        <v>Q02747</v>
      </c>
      <c r="AX448" s="31" t="s">
        <v>15163</v>
      </c>
      <c r="AY448" s="31" t="s">
        <v>13772</v>
      </c>
      <c r="AZ448" s="31" t="s">
        <v>14321</v>
      </c>
      <c r="BA448" s="31" t="s">
        <v>13793</v>
      </c>
      <c r="BB448" s="31" t="s">
        <v>13772</v>
      </c>
      <c r="BC448" s="31" t="s">
        <v>13772</v>
      </c>
      <c r="BD448" s="31" t="s">
        <v>13808</v>
      </c>
      <c r="BE448" s="31" t="s">
        <v>13772</v>
      </c>
      <c r="BF448" s="31" t="s">
        <v>13772</v>
      </c>
      <c r="BG448" s="31" t="s">
        <v>14506</v>
      </c>
      <c r="BH448" s="31" t="s">
        <v>13812</v>
      </c>
      <c r="BI448" s="31" t="s">
        <v>15462</v>
      </c>
      <c r="BJ448" s="31" t="s">
        <v>15346</v>
      </c>
      <c r="BK448" s="31" t="s">
        <v>15463</v>
      </c>
      <c r="BL448" s="31" t="s">
        <v>13772</v>
      </c>
      <c r="BM448" s="31" t="s">
        <v>15167</v>
      </c>
    </row>
    <row r="449" spans="1:65">
      <c r="A449">
        <v>1909</v>
      </c>
      <c r="B449">
        <v>1</v>
      </c>
      <c r="C449">
        <v>444</v>
      </c>
      <c r="D449" t="s">
        <v>4497</v>
      </c>
      <c r="E449" t="s">
        <v>73</v>
      </c>
      <c r="F449" t="s">
        <v>73</v>
      </c>
      <c r="G449">
        <v>46.7</v>
      </c>
      <c r="H449">
        <v>261</v>
      </c>
      <c r="I449">
        <v>29918</v>
      </c>
      <c r="J449" t="s">
        <v>4498</v>
      </c>
      <c r="K449" s="3" t="s">
        <v>73</v>
      </c>
      <c r="L449">
        <v>87</v>
      </c>
      <c r="M449">
        <v>87</v>
      </c>
      <c r="N449">
        <v>1</v>
      </c>
      <c r="O449" s="11">
        <f t="shared" si="6"/>
        <v>4.5390451391232576</v>
      </c>
      <c r="P449" s="36">
        <v>0.30291084895868198</v>
      </c>
      <c r="Q449" s="36">
        <v>0.24076603016936199</v>
      </c>
      <c r="R449" s="36">
        <v>0.40019941545306398</v>
      </c>
      <c r="S449" s="36">
        <v>0.37798043978830698</v>
      </c>
      <c r="T449" s="36">
        <v>0.215044089984223</v>
      </c>
      <c r="U449" s="36">
        <v>1.85945449327898</v>
      </c>
      <c r="V449" s="36">
        <v>2.10812456572928</v>
      </c>
      <c r="W449" s="36">
        <v>13.6245703717523</v>
      </c>
      <c r="X449" s="37">
        <v>30.9955734365533</v>
      </c>
      <c r="Y449" s="37">
        <v>6.9371461157711396</v>
      </c>
      <c r="Z449" s="37">
        <v>0.80005434826734301</v>
      </c>
      <c r="AA449" s="37">
        <v>0.21163676164998499</v>
      </c>
      <c r="AB449" s="37">
        <v>8.2691330923360304</v>
      </c>
      <c r="AC449" s="37">
        <v>5.5243339926958699</v>
      </c>
      <c r="AD449" s="37">
        <v>0.377135011965606</v>
      </c>
      <c r="AE449" s="37">
        <v>0.38065921161865401</v>
      </c>
      <c r="AF449" s="45">
        <v>1.4237457746580899</v>
      </c>
      <c r="AG449" s="45">
        <v>2.79656706723094</v>
      </c>
      <c r="AH449" s="46">
        <v>0.13926843076360701</v>
      </c>
      <c r="AI449" s="47">
        <v>0.18975678244572899</v>
      </c>
      <c r="AJ449" s="48">
        <v>2.3911312818892698</v>
      </c>
      <c r="AK449" s="49">
        <v>6.6869589963572498</v>
      </c>
      <c r="AL449" s="31" t="s">
        <v>5874</v>
      </c>
      <c r="AM449" s="31" t="s">
        <v>5832</v>
      </c>
      <c r="AN449" s="31" t="s">
        <v>32062</v>
      </c>
      <c r="AO449" s="31" t="s">
        <v>32063</v>
      </c>
      <c r="AP449" s="31" t="s">
        <v>32064</v>
      </c>
      <c r="AQ449" s="31" t="s">
        <v>32065</v>
      </c>
      <c r="AR449" s="31" t="s">
        <v>32066</v>
      </c>
      <c r="AS449" s="31" t="str">
        <f>"CALB1"</f>
        <v>CALB1</v>
      </c>
      <c r="AT449" s="31" t="s">
        <v>32067</v>
      </c>
      <c r="AU449" s="31" t="s">
        <v>13777</v>
      </c>
      <c r="AV449" s="31">
        <v>9606</v>
      </c>
      <c r="AW449" s="50" t="str">
        <f>HYPERLINK("http://www.uniprot.org/uniprot/P05937", "P05937")</f>
        <v>P05937</v>
      </c>
      <c r="AX449" s="31" t="s">
        <v>32068</v>
      </c>
      <c r="AY449" s="31" t="s">
        <v>13772</v>
      </c>
      <c r="AZ449" s="31" t="s">
        <v>13772</v>
      </c>
      <c r="BA449" s="31" t="s">
        <v>13841</v>
      </c>
      <c r="BB449" s="31" t="s">
        <v>13772</v>
      </c>
      <c r="BC449" s="31" t="s">
        <v>13772</v>
      </c>
      <c r="BD449" s="31" t="s">
        <v>14096</v>
      </c>
      <c r="BE449" s="31" t="s">
        <v>32069</v>
      </c>
      <c r="BF449" s="31" t="s">
        <v>13772</v>
      </c>
      <c r="BG449" s="31" t="s">
        <v>14020</v>
      </c>
      <c r="BH449" s="31" t="s">
        <v>13812</v>
      </c>
      <c r="BI449" s="31" t="s">
        <v>32070</v>
      </c>
      <c r="BJ449" s="31" t="s">
        <v>32071</v>
      </c>
      <c r="BK449" s="31" t="s">
        <v>32072</v>
      </c>
      <c r="BL449" s="31" t="s">
        <v>13772</v>
      </c>
      <c r="BM449" s="31" t="s">
        <v>18773</v>
      </c>
    </row>
    <row r="450" spans="1:65">
      <c r="A450">
        <v>1996</v>
      </c>
      <c r="B450">
        <v>1</v>
      </c>
      <c r="C450">
        <v>445</v>
      </c>
      <c r="D450" t="s">
        <v>4697</v>
      </c>
      <c r="E450" t="s">
        <v>73</v>
      </c>
      <c r="F450" t="s">
        <v>73</v>
      </c>
      <c r="G450">
        <v>36.6</v>
      </c>
      <c r="H450">
        <v>785</v>
      </c>
      <c r="I450">
        <v>85377</v>
      </c>
      <c r="J450" t="s">
        <v>4698</v>
      </c>
      <c r="K450" s="3" t="s">
        <v>73</v>
      </c>
      <c r="L450">
        <v>87</v>
      </c>
      <c r="M450">
        <v>87</v>
      </c>
      <c r="N450">
        <v>1</v>
      </c>
      <c r="O450" s="11">
        <f t="shared" si="6"/>
        <v>5.9124993471082101</v>
      </c>
      <c r="P450" s="36">
        <v>4.8465735833389196</v>
      </c>
      <c r="Q450" s="36">
        <v>8.6675770860970207</v>
      </c>
      <c r="R450" s="36">
        <v>16.007976618122601</v>
      </c>
      <c r="S450" s="36">
        <v>6.0476870366129196</v>
      </c>
      <c r="T450" s="36">
        <v>12.9026453990534</v>
      </c>
      <c r="U450" s="36">
        <v>19.5242721794293</v>
      </c>
      <c r="V450" s="36">
        <v>16.8649965258343</v>
      </c>
      <c r="W450" s="36">
        <v>7.78546878385845</v>
      </c>
      <c r="X450" s="37">
        <v>0.19868957331123899</v>
      </c>
      <c r="Y450" s="37">
        <v>0.15766241172207099</v>
      </c>
      <c r="Z450" s="37">
        <v>0.200013587066836</v>
      </c>
      <c r="AA450" s="37">
        <v>0.21163676164998499</v>
      </c>
      <c r="AB450" s="37">
        <v>0.22969814145377901</v>
      </c>
      <c r="AC450" s="37">
        <v>0.19729764259628099</v>
      </c>
      <c r="AD450" s="37">
        <v>0.377135011965606</v>
      </c>
      <c r="AE450" s="37">
        <v>0.38065921161865401</v>
      </c>
      <c r="AF450" s="45">
        <v>-5.0843348894523004</v>
      </c>
      <c r="AG450" s="45">
        <v>-47.443445597837403</v>
      </c>
      <c r="AH450" s="46">
        <v>1.18075063488082E-14</v>
      </c>
      <c r="AI450" s="47">
        <v>5.6423012481090399E-13</v>
      </c>
      <c r="AJ450" s="48">
        <v>11.580899651543399</v>
      </c>
      <c r="AK450" s="49">
        <v>0.24409904267305599</v>
      </c>
      <c r="AL450" s="31" t="s">
        <v>5875</v>
      </c>
      <c r="AM450" s="31" t="s">
        <v>5876</v>
      </c>
      <c r="AN450" s="31" t="s">
        <v>32901</v>
      </c>
      <c r="AO450" s="31" t="s">
        <v>32902</v>
      </c>
      <c r="AP450" s="31" t="s">
        <v>32903</v>
      </c>
      <c r="AQ450" s="31" t="s">
        <v>32904</v>
      </c>
      <c r="AR450" s="31" t="s">
        <v>13772</v>
      </c>
      <c r="AS450" s="31" t="str">
        <f>"CDH15"</f>
        <v>CDH15</v>
      </c>
      <c r="AT450" s="31" t="s">
        <v>32905</v>
      </c>
      <c r="AU450" s="31" t="s">
        <v>13777</v>
      </c>
      <c r="AV450" s="31">
        <v>9606</v>
      </c>
      <c r="AW450" s="50" t="str">
        <f>HYPERLINK("http://www.uniprot.org/uniprot/P55291", "P55291")</f>
        <v>P55291</v>
      </c>
      <c r="AX450" s="31" t="s">
        <v>32906</v>
      </c>
      <c r="AY450" s="31" t="s">
        <v>13949</v>
      </c>
      <c r="AZ450" s="31" t="s">
        <v>13792</v>
      </c>
      <c r="BA450" s="31" t="s">
        <v>32506</v>
      </c>
      <c r="BB450" s="31" t="s">
        <v>13772</v>
      </c>
      <c r="BC450" s="31" t="s">
        <v>17801</v>
      </c>
      <c r="BD450" s="31" t="s">
        <v>13826</v>
      </c>
      <c r="BE450" s="31" t="s">
        <v>13873</v>
      </c>
      <c r="BF450" s="31" t="s">
        <v>13772</v>
      </c>
      <c r="BG450" s="31" t="s">
        <v>17713</v>
      </c>
      <c r="BH450" s="31" t="s">
        <v>13772</v>
      </c>
      <c r="BI450" s="31" t="s">
        <v>32907</v>
      </c>
      <c r="BJ450" s="31" t="s">
        <v>32908</v>
      </c>
      <c r="BK450" s="31" t="s">
        <v>17716</v>
      </c>
      <c r="BL450" s="31" t="s">
        <v>13772</v>
      </c>
      <c r="BM450" s="31" t="s">
        <v>32909</v>
      </c>
    </row>
    <row r="451" spans="1:65">
      <c r="A451">
        <v>1539</v>
      </c>
      <c r="B451">
        <v>1</v>
      </c>
      <c r="C451">
        <v>446</v>
      </c>
      <c r="D451" t="s">
        <v>3654</v>
      </c>
      <c r="E451" t="s">
        <v>73</v>
      </c>
      <c r="F451" t="s">
        <v>73</v>
      </c>
      <c r="G451">
        <v>49.6</v>
      </c>
      <c r="H451">
        <v>673</v>
      </c>
      <c r="I451">
        <v>75803</v>
      </c>
      <c r="J451" t="s">
        <v>3656</v>
      </c>
      <c r="K451" s="3" t="s">
        <v>73</v>
      </c>
      <c r="L451">
        <v>87</v>
      </c>
      <c r="M451">
        <v>85</v>
      </c>
      <c r="N451">
        <v>0.97699999999999998</v>
      </c>
      <c r="O451" s="11">
        <f t="shared" si="6"/>
        <v>5.0948631439509739</v>
      </c>
      <c r="P451" s="36">
        <v>0.30291084895868198</v>
      </c>
      <c r="Q451" s="36">
        <v>3.85225648270979</v>
      </c>
      <c r="R451" s="36">
        <v>0.40019941545306398</v>
      </c>
      <c r="S451" s="36">
        <v>0.37798043978830698</v>
      </c>
      <c r="T451" s="36">
        <v>20.3001620945107</v>
      </c>
      <c r="U451" s="36">
        <v>21.383726672708299</v>
      </c>
      <c r="V451" s="36">
        <v>16.443371612688399</v>
      </c>
      <c r="W451" s="36">
        <v>4.8659179899115301</v>
      </c>
      <c r="X451" s="37">
        <v>0.79475829324495695</v>
      </c>
      <c r="Y451" s="37">
        <v>1.2612992937765699</v>
      </c>
      <c r="Z451" s="37">
        <v>1.60010869653469</v>
      </c>
      <c r="AA451" s="37">
        <v>7.6189234193994704</v>
      </c>
      <c r="AB451" s="37">
        <v>0.22969814145377901</v>
      </c>
      <c r="AC451" s="37">
        <v>0.19729764259628099</v>
      </c>
      <c r="AD451" s="37">
        <v>1.50854004786242</v>
      </c>
      <c r="AE451" s="37">
        <v>0.38065921161865401</v>
      </c>
      <c r="AF451" s="45">
        <v>-2.2424493782929198</v>
      </c>
      <c r="AG451" s="45">
        <v>-4.9978001950321103</v>
      </c>
      <c r="AH451" s="46">
        <v>6.9396482031514701E-3</v>
      </c>
      <c r="AI451" s="47">
        <v>1.3302649420940799E-2</v>
      </c>
      <c r="AJ451" s="48">
        <v>8.49081569459109</v>
      </c>
      <c r="AK451" s="49">
        <v>1.6989105933108499</v>
      </c>
      <c r="AL451" s="31" t="s">
        <v>5875</v>
      </c>
      <c r="AM451" s="31" t="s">
        <v>5878</v>
      </c>
      <c r="AN451" s="31" t="s">
        <v>28562</v>
      </c>
      <c r="AO451" s="31" t="s">
        <v>28563</v>
      </c>
      <c r="AP451" s="31" t="s">
        <v>28564</v>
      </c>
      <c r="AQ451" s="31" t="s">
        <v>28565</v>
      </c>
      <c r="AR451" s="31" t="s">
        <v>28566</v>
      </c>
      <c r="AS451" s="31" t="str">
        <f>"ANXA6"</f>
        <v>ANXA6</v>
      </c>
      <c r="AT451" s="31" t="s">
        <v>28567</v>
      </c>
      <c r="AU451" s="31" t="s">
        <v>13777</v>
      </c>
      <c r="AV451" s="31">
        <v>9606</v>
      </c>
      <c r="AW451" s="50" t="str">
        <f>HYPERLINK("http://www.uniprot.org/uniprot/P08133", "P08133")</f>
        <v>P08133</v>
      </c>
      <c r="AX451" s="31" t="s">
        <v>28568</v>
      </c>
      <c r="AY451" s="31" t="s">
        <v>13772</v>
      </c>
      <c r="AZ451" s="31" t="s">
        <v>13899</v>
      </c>
      <c r="BA451" s="31" t="s">
        <v>13841</v>
      </c>
      <c r="BB451" s="31" t="s">
        <v>13772</v>
      </c>
      <c r="BC451" s="31" t="s">
        <v>13772</v>
      </c>
      <c r="BD451" s="31" t="s">
        <v>15322</v>
      </c>
      <c r="BE451" s="31" t="s">
        <v>15323</v>
      </c>
      <c r="BF451" s="31" t="s">
        <v>13772</v>
      </c>
      <c r="BG451" s="31" t="s">
        <v>13886</v>
      </c>
      <c r="BH451" s="31" t="s">
        <v>13812</v>
      </c>
      <c r="BI451" s="31" t="s">
        <v>28569</v>
      </c>
      <c r="BJ451" s="31" t="s">
        <v>28570</v>
      </c>
      <c r="BK451" s="31" t="s">
        <v>28571</v>
      </c>
      <c r="BL451" s="31" t="s">
        <v>13772</v>
      </c>
      <c r="BM451" s="31" t="s">
        <v>17020</v>
      </c>
    </row>
    <row r="452" spans="1:65">
      <c r="A452">
        <v>1871</v>
      </c>
      <c r="B452">
        <v>1</v>
      </c>
      <c r="C452">
        <v>447</v>
      </c>
      <c r="D452" t="s">
        <v>4417</v>
      </c>
      <c r="E452" t="s">
        <v>73</v>
      </c>
      <c r="F452" t="s">
        <v>73</v>
      </c>
      <c r="G452">
        <v>48.3</v>
      </c>
      <c r="H452">
        <v>350</v>
      </c>
      <c r="I452">
        <v>38367</v>
      </c>
      <c r="J452" t="s">
        <v>4418</v>
      </c>
      <c r="K452" s="3" t="s">
        <v>73</v>
      </c>
      <c r="L452">
        <v>87</v>
      </c>
      <c r="M452">
        <v>86</v>
      </c>
      <c r="N452">
        <v>0.98899999999999999</v>
      </c>
      <c r="O452" s="11">
        <f t="shared" si="6"/>
        <v>3.5187816287529743</v>
      </c>
      <c r="P452" s="36">
        <v>1.2116433958347299</v>
      </c>
      <c r="Q452" s="36">
        <v>2.8891923620323401</v>
      </c>
      <c r="R452" s="36">
        <v>1.6007976618122599</v>
      </c>
      <c r="S452" s="36">
        <v>0.37798043978830698</v>
      </c>
      <c r="T452" s="36">
        <v>0.215044089984223</v>
      </c>
      <c r="U452" s="36">
        <v>0.23243181165987301</v>
      </c>
      <c r="V452" s="36">
        <v>0.26351557071616</v>
      </c>
      <c r="W452" s="36">
        <v>0.97318359798230603</v>
      </c>
      <c r="X452" s="37">
        <v>11.9213743986744</v>
      </c>
      <c r="Y452" s="37">
        <v>4.4145475282179998</v>
      </c>
      <c r="Z452" s="37">
        <v>3.2002173930693698</v>
      </c>
      <c r="AA452" s="37">
        <v>5.0792822795996404</v>
      </c>
      <c r="AB452" s="37">
        <v>10.1067182239663</v>
      </c>
      <c r="AC452" s="37">
        <v>4.7351434223107498</v>
      </c>
      <c r="AD452" s="37">
        <v>6.0341601914496898</v>
      </c>
      <c r="AE452" s="37">
        <v>3.0452736929492299</v>
      </c>
      <c r="AF452" s="45">
        <v>2.5380263839303101</v>
      </c>
      <c r="AG452" s="45">
        <v>6.2516791181524196</v>
      </c>
      <c r="AH452" s="46">
        <v>1.00347156255118E-5</v>
      </c>
      <c r="AI452" s="47">
        <v>3.6684288270313798E-5</v>
      </c>
      <c r="AJ452" s="48">
        <v>0.97047361622627504</v>
      </c>
      <c r="AK452" s="49">
        <v>6.0670896412796598</v>
      </c>
      <c r="AL452" s="31" t="s">
        <v>5874</v>
      </c>
      <c r="AM452" s="31" t="s">
        <v>5876</v>
      </c>
      <c r="AN452" s="31" t="s">
        <v>31757</v>
      </c>
      <c r="AO452" s="31" t="s">
        <v>31758</v>
      </c>
      <c r="AP452" s="31" t="s">
        <v>31759</v>
      </c>
      <c r="AQ452" s="31" t="s">
        <v>31760</v>
      </c>
      <c r="AR452" s="31" t="s">
        <v>31761</v>
      </c>
      <c r="AS452" s="31" t="str">
        <f>"CD5L"</f>
        <v>CD5L</v>
      </c>
      <c r="AT452" s="31" t="s">
        <v>31762</v>
      </c>
      <c r="AU452" s="31" t="s">
        <v>13777</v>
      </c>
      <c r="AV452" s="31">
        <v>9606</v>
      </c>
      <c r="AW452" s="50" t="str">
        <f>HYPERLINK("http://www.uniprot.org/uniprot/O43866", "O43866")</f>
        <v>O43866</v>
      </c>
      <c r="AX452" s="31" t="s">
        <v>31763</v>
      </c>
      <c r="AY452" s="31" t="s">
        <v>31764</v>
      </c>
      <c r="AZ452" s="31" t="s">
        <v>16449</v>
      </c>
      <c r="BA452" s="31" t="s">
        <v>13793</v>
      </c>
      <c r="BB452" s="31" t="s">
        <v>13772</v>
      </c>
      <c r="BC452" s="31" t="s">
        <v>13772</v>
      </c>
      <c r="BD452" s="31" t="s">
        <v>14404</v>
      </c>
      <c r="BE452" s="31" t="s">
        <v>13772</v>
      </c>
      <c r="BF452" s="31" t="s">
        <v>13772</v>
      </c>
      <c r="BG452" s="31" t="s">
        <v>13796</v>
      </c>
      <c r="BH452" s="31" t="s">
        <v>13772</v>
      </c>
      <c r="BI452" s="31" t="s">
        <v>31765</v>
      </c>
      <c r="BJ452" s="31" t="s">
        <v>31766</v>
      </c>
      <c r="BK452" s="31" t="s">
        <v>24576</v>
      </c>
      <c r="BL452" s="31" t="s">
        <v>13772</v>
      </c>
      <c r="BM452" s="31" t="s">
        <v>13772</v>
      </c>
    </row>
    <row r="453" spans="1:65">
      <c r="A453">
        <v>282</v>
      </c>
      <c r="B453">
        <v>1</v>
      </c>
      <c r="C453">
        <v>448</v>
      </c>
      <c r="D453" t="s">
        <v>714</v>
      </c>
      <c r="E453" t="s">
        <v>73</v>
      </c>
      <c r="F453" t="s">
        <v>73</v>
      </c>
      <c r="G453">
        <v>41.2</v>
      </c>
      <c r="H453">
        <v>427</v>
      </c>
      <c r="I453">
        <v>48477</v>
      </c>
      <c r="J453" t="s">
        <v>715</v>
      </c>
      <c r="K453" s="3" t="s">
        <v>73</v>
      </c>
      <c r="L453">
        <v>86</v>
      </c>
      <c r="M453">
        <v>86</v>
      </c>
      <c r="N453">
        <v>1</v>
      </c>
      <c r="O453" s="11">
        <f t="shared" si="6"/>
        <v>3.9362747947532615</v>
      </c>
      <c r="P453" s="36">
        <v>2.4232867916694598</v>
      </c>
      <c r="Q453" s="36">
        <v>0.96306412067744696</v>
      </c>
      <c r="R453" s="36">
        <v>0.40019941545306398</v>
      </c>
      <c r="S453" s="36">
        <v>0.37798043978830698</v>
      </c>
      <c r="T453" s="36">
        <v>0.215044089984223</v>
      </c>
      <c r="U453" s="36">
        <v>0.23243181165987301</v>
      </c>
      <c r="V453" s="36">
        <v>0.26351557071616</v>
      </c>
      <c r="W453" s="36">
        <v>2.9195507939469199</v>
      </c>
      <c r="X453" s="37">
        <v>3.9737914662247902</v>
      </c>
      <c r="Y453" s="37">
        <v>6.3064964688828598</v>
      </c>
      <c r="Z453" s="37">
        <v>6.4004347861387396</v>
      </c>
      <c r="AA453" s="37">
        <v>9.3120175125993505</v>
      </c>
      <c r="AB453" s="37">
        <v>4.5939628290755703</v>
      </c>
      <c r="AC453" s="37">
        <v>7.8919057038512497</v>
      </c>
      <c r="AD453" s="37">
        <v>4.5256201435872701</v>
      </c>
      <c r="AE453" s="37">
        <v>12.1810947717969</v>
      </c>
      <c r="AF453" s="45">
        <v>2.6402988009116202</v>
      </c>
      <c r="AG453" s="45">
        <v>7.0795133595533297</v>
      </c>
      <c r="AH453" s="46">
        <v>5.9747768331108496E-7</v>
      </c>
      <c r="AI453" s="47">
        <v>3.1723219851993298E-6</v>
      </c>
      <c r="AJ453" s="48">
        <v>0.97438412923693096</v>
      </c>
      <c r="AK453" s="49">
        <v>6.8981654602695901</v>
      </c>
      <c r="AL453" s="31" t="s">
        <v>5874</v>
      </c>
      <c r="AM453" s="31" t="s">
        <v>5876</v>
      </c>
      <c r="AN453" s="31" t="s">
        <v>16353</v>
      </c>
      <c r="AO453" s="31" t="s">
        <v>16354</v>
      </c>
      <c r="AP453" s="31" t="s">
        <v>16355</v>
      </c>
      <c r="AQ453" s="31" t="s">
        <v>16356</v>
      </c>
      <c r="AR453" s="31" t="s">
        <v>16357</v>
      </c>
      <c r="AS453" s="31" t="str">
        <f>"SERPINA4"</f>
        <v>SERPINA4</v>
      </c>
      <c r="AT453" s="31" t="s">
        <v>16358</v>
      </c>
      <c r="AU453" s="31" t="s">
        <v>13777</v>
      </c>
      <c r="AV453" s="31">
        <v>9606</v>
      </c>
      <c r="AW453" s="50" t="str">
        <f>HYPERLINK("http://www.uniprot.org/uniprot/P29622", "P29622")</f>
        <v>P29622</v>
      </c>
      <c r="AX453" s="31" t="s">
        <v>16359</v>
      </c>
      <c r="AY453" s="31" t="s">
        <v>13772</v>
      </c>
      <c r="AZ453" s="31" t="s">
        <v>14321</v>
      </c>
      <c r="BA453" s="31" t="s">
        <v>13772</v>
      </c>
      <c r="BB453" s="31" t="s">
        <v>13772</v>
      </c>
      <c r="BC453" s="31" t="s">
        <v>13772</v>
      </c>
      <c r="BD453" s="31" t="s">
        <v>13808</v>
      </c>
      <c r="BE453" s="31" t="s">
        <v>13772</v>
      </c>
      <c r="BF453" s="31" t="s">
        <v>14375</v>
      </c>
      <c r="BG453" s="31" t="s">
        <v>13858</v>
      </c>
      <c r="BH453" s="31" t="s">
        <v>13812</v>
      </c>
      <c r="BI453" s="31" t="s">
        <v>16360</v>
      </c>
      <c r="BJ453" s="31" t="s">
        <v>16361</v>
      </c>
      <c r="BK453" s="31" t="s">
        <v>16362</v>
      </c>
      <c r="BL453" s="31" t="s">
        <v>13772</v>
      </c>
      <c r="BM453" s="31" t="s">
        <v>15665</v>
      </c>
    </row>
    <row r="454" spans="1:65">
      <c r="A454">
        <v>1877</v>
      </c>
      <c r="B454">
        <v>1</v>
      </c>
      <c r="C454">
        <v>449</v>
      </c>
      <c r="D454" t="s">
        <v>4432</v>
      </c>
      <c r="E454" t="s">
        <v>73</v>
      </c>
      <c r="F454" t="s">
        <v>73</v>
      </c>
      <c r="G454">
        <v>30.7</v>
      </c>
      <c r="H454">
        <v>648</v>
      </c>
      <c r="I454">
        <v>74084</v>
      </c>
      <c r="J454" t="s">
        <v>4433</v>
      </c>
      <c r="K454" s="3" t="s">
        <v>73</v>
      </c>
      <c r="L454">
        <v>86</v>
      </c>
      <c r="M454">
        <v>86</v>
      </c>
      <c r="N454">
        <v>1</v>
      </c>
      <c r="O454" s="11">
        <f t="shared" si="6"/>
        <v>6.2941554249933871</v>
      </c>
      <c r="P454" s="36">
        <v>3.6349301875041902</v>
      </c>
      <c r="Q454" s="36">
        <v>3.85225648270979</v>
      </c>
      <c r="R454" s="36">
        <v>17.608774279934799</v>
      </c>
      <c r="S454" s="36">
        <v>22.6788263872984</v>
      </c>
      <c r="T454" s="36">
        <v>7.7415872394320298</v>
      </c>
      <c r="U454" s="36">
        <v>11.1567269596739</v>
      </c>
      <c r="V454" s="36">
        <v>8.4324982629171306</v>
      </c>
      <c r="W454" s="36">
        <v>7.78546878385845</v>
      </c>
      <c r="X454" s="37">
        <v>0.19868957331123899</v>
      </c>
      <c r="Y454" s="37">
        <v>2.5225985875531398</v>
      </c>
      <c r="Z454" s="37">
        <v>2.4001630448020301</v>
      </c>
      <c r="AA454" s="37">
        <v>1.6930940931998799</v>
      </c>
      <c r="AB454" s="37">
        <v>0.22969814145377901</v>
      </c>
      <c r="AC454" s="37">
        <v>0.19729764259628099</v>
      </c>
      <c r="AD454" s="37">
        <v>9.0512402871745401</v>
      </c>
      <c r="AE454" s="37">
        <v>1.5226368464746201</v>
      </c>
      <c r="AF454" s="45">
        <v>-2.2744662728596099</v>
      </c>
      <c r="AG454" s="45">
        <v>-4.65277141269988</v>
      </c>
      <c r="AH454" s="46">
        <v>1.95726204090455E-4</v>
      </c>
      <c r="AI454" s="47">
        <v>5.1755268986764598E-4</v>
      </c>
      <c r="AJ454" s="48">
        <v>10.3613835729161</v>
      </c>
      <c r="AK454" s="49">
        <v>2.2269272770706898</v>
      </c>
      <c r="AL454" s="31" t="s">
        <v>5875</v>
      </c>
      <c r="AM454" s="31" t="s">
        <v>5876</v>
      </c>
      <c r="AN454" s="31" t="s">
        <v>31803</v>
      </c>
      <c r="AO454" s="31" t="s">
        <v>31804</v>
      </c>
      <c r="AP454" s="31" t="s">
        <v>31805</v>
      </c>
      <c r="AQ454" s="31" t="s">
        <v>31806</v>
      </c>
      <c r="AR454" s="31" t="s">
        <v>31807</v>
      </c>
      <c r="AS454" s="31" t="str">
        <f>"GUSB"</f>
        <v>GUSB</v>
      </c>
      <c r="AT454" s="31" t="s">
        <v>13772</v>
      </c>
      <c r="AU454" s="31" t="s">
        <v>13777</v>
      </c>
      <c r="AV454" s="31">
        <v>9606</v>
      </c>
      <c r="AW454" s="50" t="str">
        <f>HYPERLINK("http://www.uniprot.org/uniprot/P08236", "P08236")</f>
        <v>P08236</v>
      </c>
      <c r="AX454" s="31" t="s">
        <v>31808</v>
      </c>
      <c r="AY454" s="31" t="s">
        <v>13772</v>
      </c>
      <c r="AZ454" s="31" t="s">
        <v>13806</v>
      </c>
      <c r="BA454" s="31" t="s">
        <v>13780</v>
      </c>
      <c r="BB454" s="31" t="s">
        <v>13772</v>
      </c>
      <c r="BC454" s="31" t="s">
        <v>21982</v>
      </c>
      <c r="BD454" s="31" t="s">
        <v>13808</v>
      </c>
      <c r="BE454" s="31" t="s">
        <v>13772</v>
      </c>
      <c r="BF454" s="31" t="s">
        <v>15471</v>
      </c>
      <c r="BG454" s="31" t="s">
        <v>13858</v>
      </c>
      <c r="BH454" s="31" t="s">
        <v>13812</v>
      </c>
      <c r="BI454" s="31" t="s">
        <v>31809</v>
      </c>
      <c r="BJ454" s="31" t="s">
        <v>31810</v>
      </c>
      <c r="BK454" s="31" t="s">
        <v>31811</v>
      </c>
      <c r="BL454" s="31" t="s">
        <v>13772</v>
      </c>
      <c r="BM454" s="31" t="s">
        <v>31812</v>
      </c>
    </row>
    <row r="455" spans="1:65">
      <c r="A455">
        <v>1144</v>
      </c>
      <c r="B455">
        <v>1</v>
      </c>
      <c r="C455">
        <v>450</v>
      </c>
      <c r="D455" t="s">
        <v>2754</v>
      </c>
      <c r="E455" t="s">
        <v>73</v>
      </c>
      <c r="F455" t="s">
        <v>73</v>
      </c>
      <c r="G455">
        <v>34.4</v>
      </c>
      <c r="H455">
        <v>781</v>
      </c>
      <c r="I455">
        <v>85745</v>
      </c>
      <c r="J455" t="s">
        <v>2755</v>
      </c>
      <c r="K455" s="3" t="s">
        <v>73</v>
      </c>
      <c r="L455">
        <v>85</v>
      </c>
      <c r="M455">
        <v>85</v>
      </c>
      <c r="N455">
        <v>1</v>
      </c>
      <c r="O455" s="11">
        <f t="shared" ref="O455:O518" si="7">AVERAGE(P455:AE455)</f>
        <v>4.6768940930954672</v>
      </c>
      <c r="P455" s="36">
        <v>2.4232867916694598</v>
      </c>
      <c r="Q455" s="36">
        <v>8.6675770860970207</v>
      </c>
      <c r="R455" s="36">
        <v>0.40019941545306398</v>
      </c>
      <c r="S455" s="36">
        <v>3.0238435183064598</v>
      </c>
      <c r="T455" s="36">
        <v>5.1610581596213496</v>
      </c>
      <c r="U455" s="36">
        <v>1.85945449327898</v>
      </c>
      <c r="V455" s="36">
        <v>2.10812456572928</v>
      </c>
      <c r="W455" s="36">
        <v>13.6245703717523</v>
      </c>
      <c r="X455" s="37">
        <v>0.79475829324495695</v>
      </c>
      <c r="Y455" s="37">
        <v>9.4597447033242794</v>
      </c>
      <c r="Z455" s="37">
        <v>6.4004347861387396</v>
      </c>
      <c r="AA455" s="37">
        <v>2.5396411397998202</v>
      </c>
      <c r="AB455" s="37">
        <v>7.3503405265209096</v>
      </c>
      <c r="AC455" s="37">
        <v>10.2594774150066</v>
      </c>
      <c r="AD455" s="37">
        <v>0.377135011965606</v>
      </c>
      <c r="AE455" s="37">
        <v>0.38065921161865401</v>
      </c>
      <c r="AF455" s="45">
        <v>3.3417587121067897E-2</v>
      </c>
      <c r="AG455" s="45">
        <v>1.0078908388693999</v>
      </c>
      <c r="AH455" s="46">
        <v>0.999999999999997</v>
      </c>
      <c r="AI455" s="47">
        <v>1</v>
      </c>
      <c r="AJ455" s="48">
        <v>4.6585143002384903</v>
      </c>
      <c r="AK455" s="49">
        <v>4.6952738859524503</v>
      </c>
      <c r="AL455" s="31" t="s">
        <v>5874</v>
      </c>
      <c r="AM455" s="31" t="s">
        <v>5832</v>
      </c>
      <c r="AN455" s="31" t="s">
        <v>24811</v>
      </c>
      <c r="AO455" s="31" t="s">
        <v>24812</v>
      </c>
      <c r="AP455" s="31" t="s">
        <v>24813</v>
      </c>
      <c r="AQ455" s="31" t="s">
        <v>24814</v>
      </c>
      <c r="AR455" s="31" t="s">
        <v>24815</v>
      </c>
      <c r="AS455" s="31" t="str">
        <f>"ACO2"</f>
        <v>ACO2</v>
      </c>
      <c r="AT455" s="31" t="s">
        <v>13772</v>
      </c>
      <c r="AU455" s="31" t="s">
        <v>13777</v>
      </c>
      <c r="AV455" s="31">
        <v>9606</v>
      </c>
      <c r="AW455" s="50" t="str">
        <f>HYPERLINK("http://www.uniprot.org/uniprot/Q99798", "Q99798")</f>
        <v>Q99798</v>
      </c>
      <c r="AX455" s="31" t="s">
        <v>24816</v>
      </c>
      <c r="AY455" s="31" t="s">
        <v>15224</v>
      </c>
      <c r="AZ455" s="31" t="s">
        <v>14491</v>
      </c>
      <c r="BA455" s="31" t="s">
        <v>13793</v>
      </c>
      <c r="BB455" s="31" t="s">
        <v>13772</v>
      </c>
      <c r="BC455" s="31" t="s">
        <v>22610</v>
      </c>
      <c r="BD455" s="31" t="s">
        <v>14391</v>
      </c>
      <c r="BE455" s="31" t="s">
        <v>24817</v>
      </c>
      <c r="BF455" s="31" t="s">
        <v>15788</v>
      </c>
      <c r="BG455" s="31" t="s">
        <v>13886</v>
      </c>
      <c r="BH455" s="31" t="s">
        <v>13772</v>
      </c>
      <c r="BI455" s="31" t="s">
        <v>24818</v>
      </c>
      <c r="BJ455" s="31" t="s">
        <v>14957</v>
      </c>
      <c r="BK455" s="31" t="s">
        <v>24819</v>
      </c>
      <c r="BL455" s="31" t="s">
        <v>24820</v>
      </c>
      <c r="BM455" s="31" t="s">
        <v>24665</v>
      </c>
    </row>
    <row r="456" spans="1:65">
      <c r="A456">
        <v>668</v>
      </c>
      <c r="B456">
        <v>1</v>
      </c>
      <c r="C456">
        <v>451</v>
      </c>
      <c r="D456" t="s">
        <v>1646</v>
      </c>
      <c r="E456" t="s">
        <v>73</v>
      </c>
      <c r="F456" t="s">
        <v>73</v>
      </c>
      <c r="G456">
        <v>34</v>
      </c>
      <c r="H456">
        <v>265</v>
      </c>
      <c r="I456">
        <v>28200</v>
      </c>
      <c r="J456" t="s">
        <v>1647</v>
      </c>
      <c r="K456" s="3" t="s">
        <v>73</v>
      </c>
      <c r="L456">
        <v>84</v>
      </c>
      <c r="M456">
        <v>84</v>
      </c>
      <c r="N456">
        <v>1</v>
      </c>
      <c r="O456" s="11">
        <f t="shared" si="7"/>
        <v>4.4832494482572454</v>
      </c>
      <c r="P456" s="36">
        <v>4.8465735833389196</v>
      </c>
      <c r="Q456" s="36">
        <v>0.24076603016936199</v>
      </c>
      <c r="R456" s="36">
        <v>0.40019941545306398</v>
      </c>
      <c r="S456" s="36">
        <v>0.37798043978830698</v>
      </c>
      <c r="T456" s="36">
        <v>0.215044089984223</v>
      </c>
      <c r="U456" s="36">
        <v>0.23243181165987301</v>
      </c>
      <c r="V456" s="36">
        <v>0.26351557071616</v>
      </c>
      <c r="W456" s="36">
        <v>0.24329589949557701</v>
      </c>
      <c r="X456" s="37">
        <v>11.9213743986744</v>
      </c>
      <c r="Y456" s="37">
        <v>4.4145475282179998</v>
      </c>
      <c r="Z456" s="37">
        <v>10.400706527475499</v>
      </c>
      <c r="AA456" s="37">
        <v>9.3120175125993505</v>
      </c>
      <c r="AB456" s="37">
        <v>2.7563776974453398</v>
      </c>
      <c r="AC456" s="37">
        <v>7.8919057038512497</v>
      </c>
      <c r="AD456" s="37">
        <v>6.0341601914496898</v>
      </c>
      <c r="AE456" s="37">
        <v>12.1810947717969</v>
      </c>
      <c r="AF456" s="45">
        <v>3.1558653489597601</v>
      </c>
      <c r="AG456" s="45">
        <v>9.5181851698525897</v>
      </c>
      <c r="AH456" s="46">
        <v>2.5325536543746901E-7</v>
      </c>
      <c r="AI456" s="47">
        <v>1.4950778815146001E-6</v>
      </c>
      <c r="AJ456" s="48">
        <v>0.85247585507568502</v>
      </c>
      <c r="AK456" s="49">
        <v>8.1140230414388004</v>
      </c>
      <c r="AL456" s="31" t="s">
        <v>5874</v>
      </c>
      <c r="AM456" s="31" t="s">
        <v>5876</v>
      </c>
      <c r="AN456" s="31" t="s">
        <v>20370</v>
      </c>
      <c r="AO456" s="31" t="s">
        <v>20371</v>
      </c>
      <c r="AP456" s="31" t="s">
        <v>20372</v>
      </c>
      <c r="AQ456" s="31" t="s">
        <v>20373</v>
      </c>
      <c r="AR456" s="31" t="s">
        <v>20374</v>
      </c>
      <c r="AS456" s="31" t="str">
        <f>"ELANE"</f>
        <v>ELANE</v>
      </c>
      <c r="AT456" s="31" t="s">
        <v>20375</v>
      </c>
      <c r="AU456" s="31" t="s">
        <v>13777</v>
      </c>
      <c r="AV456" s="31">
        <v>9606</v>
      </c>
      <c r="AW456" s="50" t="str">
        <f>HYPERLINK("http://www.uniprot.org/uniprot/P08246", "P08246")</f>
        <v>P08246</v>
      </c>
      <c r="AX456" s="31" t="s">
        <v>20376</v>
      </c>
      <c r="AY456" s="31" t="s">
        <v>13772</v>
      </c>
      <c r="AZ456" s="31" t="s">
        <v>20377</v>
      </c>
      <c r="BA456" s="31" t="s">
        <v>13793</v>
      </c>
      <c r="BB456" s="31" t="s">
        <v>13772</v>
      </c>
      <c r="BC456" s="31" t="s">
        <v>13807</v>
      </c>
      <c r="BD456" s="31" t="s">
        <v>13808</v>
      </c>
      <c r="BE456" s="31" t="s">
        <v>13772</v>
      </c>
      <c r="BF456" s="31" t="s">
        <v>15176</v>
      </c>
      <c r="BG456" s="31" t="s">
        <v>15472</v>
      </c>
      <c r="BH456" s="31" t="s">
        <v>13812</v>
      </c>
      <c r="BI456" s="31" t="s">
        <v>20378</v>
      </c>
      <c r="BJ456" s="31" t="s">
        <v>20379</v>
      </c>
      <c r="BK456" s="31" t="s">
        <v>20380</v>
      </c>
      <c r="BL456" s="31" t="s">
        <v>13772</v>
      </c>
      <c r="BM456" s="31" t="s">
        <v>20381</v>
      </c>
    </row>
    <row r="457" spans="1:65">
      <c r="A457">
        <v>1895</v>
      </c>
      <c r="B457">
        <v>1</v>
      </c>
      <c r="C457">
        <v>452</v>
      </c>
      <c r="D457" t="s">
        <v>4471</v>
      </c>
      <c r="E457" t="s">
        <v>73</v>
      </c>
      <c r="F457" t="s">
        <v>73</v>
      </c>
      <c r="G457">
        <v>17.100000000000001</v>
      </c>
      <c r="H457">
        <v>451</v>
      </c>
      <c r="I457">
        <v>42494</v>
      </c>
      <c r="J457" t="s">
        <v>4472</v>
      </c>
      <c r="K457" s="3" t="s">
        <v>73</v>
      </c>
      <c r="L457">
        <v>83</v>
      </c>
      <c r="M457">
        <v>83</v>
      </c>
      <c r="N457">
        <v>1</v>
      </c>
      <c r="O457" s="11">
        <f t="shared" si="7"/>
        <v>5.5866520278223746</v>
      </c>
      <c r="P457" s="36">
        <v>6.0582169791736504</v>
      </c>
      <c r="Q457" s="36">
        <v>8.6675770860970207</v>
      </c>
      <c r="R457" s="36">
        <v>12.806381294498101</v>
      </c>
      <c r="S457" s="36">
        <v>18.143061109838801</v>
      </c>
      <c r="T457" s="36">
        <v>11.1822926791796</v>
      </c>
      <c r="U457" s="36">
        <v>5.5783634798369501</v>
      </c>
      <c r="V457" s="36">
        <v>9.4865605457817708</v>
      </c>
      <c r="W457" s="36">
        <v>2.9195507939469199</v>
      </c>
      <c r="X457" s="37">
        <v>0.79475829324495695</v>
      </c>
      <c r="Y457" s="37">
        <v>2.5225985875531398</v>
      </c>
      <c r="Z457" s="37">
        <v>2.4001630448020301</v>
      </c>
      <c r="AA457" s="37">
        <v>0.21163676164998499</v>
      </c>
      <c r="AB457" s="37">
        <v>0.91879256581511404</v>
      </c>
      <c r="AC457" s="37">
        <v>3.1567622815404999</v>
      </c>
      <c r="AD457" s="37">
        <v>3.0170800957248498</v>
      </c>
      <c r="AE457" s="37">
        <v>1.5226368464746201</v>
      </c>
      <c r="AF457" s="45">
        <v>-2.2570857423433202</v>
      </c>
      <c r="AG457" s="45">
        <v>-5.1457507655049799</v>
      </c>
      <c r="AH457" s="46">
        <v>3.4224142119025399E-6</v>
      </c>
      <c r="AI457" s="47">
        <v>1.4309969423517501E-5</v>
      </c>
      <c r="AJ457" s="48">
        <v>9.3552504960440892</v>
      </c>
      <c r="AK457" s="49">
        <v>1.81805355960065</v>
      </c>
      <c r="AL457" s="31" t="s">
        <v>5875</v>
      </c>
      <c r="AM457" s="31" t="s">
        <v>5876</v>
      </c>
      <c r="AN457" s="31" t="s">
        <v>31955</v>
      </c>
      <c r="AO457" s="31" t="s">
        <v>31956</v>
      </c>
      <c r="AP457" s="31" t="s">
        <v>31957</v>
      </c>
      <c r="AQ457" s="31" t="s">
        <v>31958</v>
      </c>
      <c r="AR457" s="31" t="s">
        <v>31959</v>
      </c>
      <c r="AS457" s="31" t="str">
        <f>"SPN"</f>
        <v>SPN</v>
      </c>
      <c r="AT457" s="31" t="s">
        <v>31960</v>
      </c>
      <c r="AU457" s="31" t="s">
        <v>13777</v>
      </c>
      <c r="AV457" s="31">
        <v>9606</v>
      </c>
      <c r="AW457" s="50" t="str">
        <f>HYPERLINK("http://www.uniprot.org/uniprot/P16150", "P16150")</f>
        <v>P16150</v>
      </c>
      <c r="AX457" s="31" t="s">
        <v>31961</v>
      </c>
      <c r="AY457" s="31" t="s">
        <v>13772</v>
      </c>
      <c r="AZ457" s="31" t="s">
        <v>31962</v>
      </c>
      <c r="BA457" s="31" t="s">
        <v>13793</v>
      </c>
      <c r="BB457" s="31" t="s">
        <v>13772</v>
      </c>
      <c r="BC457" s="31" t="s">
        <v>13772</v>
      </c>
      <c r="BD457" s="31" t="s">
        <v>13855</v>
      </c>
      <c r="BE457" s="31" t="s">
        <v>13772</v>
      </c>
      <c r="BF457" s="31" t="s">
        <v>13772</v>
      </c>
      <c r="BG457" s="31" t="s">
        <v>16810</v>
      </c>
      <c r="BH457" s="31" t="s">
        <v>13772</v>
      </c>
      <c r="BI457" s="31" t="s">
        <v>31963</v>
      </c>
      <c r="BJ457" s="31" t="s">
        <v>31964</v>
      </c>
      <c r="BK457" s="31" t="s">
        <v>31965</v>
      </c>
      <c r="BL457" s="31" t="s">
        <v>13772</v>
      </c>
      <c r="BM457" s="31" t="s">
        <v>31966</v>
      </c>
    </row>
    <row r="458" spans="1:65">
      <c r="A458">
        <v>2126</v>
      </c>
      <c r="B458">
        <v>1</v>
      </c>
      <c r="C458">
        <v>453</v>
      </c>
      <c r="D458" t="s">
        <v>4986</v>
      </c>
      <c r="E458" t="s">
        <v>73</v>
      </c>
      <c r="F458" t="s">
        <v>73</v>
      </c>
      <c r="G458">
        <v>29</v>
      </c>
      <c r="H458">
        <v>335</v>
      </c>
      <c r="I458">
        <v>36363</v>
      </c>
      <c r="J458" t="s">
        <v>4987</v>
      </c>
      <c r="K458" s="3" t="s">
        <v>73</v>
      </c>
      <c r="L458">
        <v>83</v>
      </c>
      <c r="M458">
        <v>83</v>
      </c>
      <c r="N458">
        <v>1</v>
      </c>
      <c r="O458" s="11">
        <f t="shared" si="7"/>
        <v>5.6311802570155551</v>
      </c>
      <c r="P458" s="36">
        <v>4.8465735833389196</v>
      </c>
      <c r="Q458" s="36">
        <v>9.6306412067744702</v>
      </c>
      <c r="R458" s="36">
        <v>9.6047859708735501</v>
      </c>
      <c r="S458" s="36">
        <v>12.0953740732258</v>
      </c>
      <c r="T458" s="36">
        <v>7.7415872394320298</v>
      </c>
      <c r="U458" s="36">
        <v>4.6486362331974602</v>
      </c>
      <c r="V458" s="36">
        <v>8.4324982629171306</v>
      </c>
      <c r="W458" s="36">
        <v>6.8122851858761404</v>
      </c>
      <c r="X458" s="37">
        <v>0.79475829324495695</v>
      </c>
      <c r="Y458" s="37">
        <v>1.89194894066486</v>
      </c>
      <c r="Z458" s="37">
        <v>1.60010869653469</v>
      </c>
      <c r="AA458" s="37">
        <v>3.3861881863997598</v>
      </c>
      <c r="AB458" s="37">
        <v>1.8375851316302301</v>
      </c>
      <c r="AC458" s="37">
        <v>3.1567622815404999</v>
      </c>
      <c r="AD458" s="37">
        <v>9.0512402871745401</v>
      </c>
      <c r="AE458" s="37">
        <v>4.5679105394238499</v>
      </c>
      <c r="AF458" s="45">
        <v>-1.3935727732196901</v>
      </c>
      <c r="AG458" s="45">
        <v>-2.42757217715506</v>
      </c>
      <c r="AH458" s="46">
        <v>2.0309869071483198E-3</v>
      </c>
      <c r="AI458" s="47">
        <v>4.2997792432981803E-3</v>
      </c>
      <c r="AJ458" s="48">
        <v>7.9765477194544401</v>
      </c>
      <c r="AK458" s="49">
        <v>3.2858127945766702</v>
      </c>
      <c r="AL458" s="31" t="s">
        <v>5875</v>
      </c>
      <c r="AM458" s="31" t="s">
        <v>5876</v>
      </c>
      <c r="AN458" s="31" t="s">
        <v>34101</v>
      </c>
      <c r="AO458" s="31" t="s">
        <v>34102</v>
      </c>
      <c r="AP458" s="31" t="s">
        <v>34103</v>
      </c>
      <c r="AQ458" s="31" t="s">
        <v>34104</v>
      </c>
      <c r="AR458" s="31" t="s">
        <v>34105</v>
      </c>
      <c r="AS458" s="31" t="str">
        <f>"PLAUR"</f>
        <v>PLAUR</v>
      </c>
      <c r="AT458" s="31" t="s">
        <v>34106</v>
      </c>
      <c r="AU458" s="31" t="s">
        <v>13777</v>
      </c>
      <c r="AV458" s="31">
        <v>9606</v>
      </c>
      <c r="AW458" s="50" t="str">
        <f>HYPERLINK("http://www.uniprot.org/uniprot/Q03405", "Q03405")</f>
        <v>Q03405</v>
      </c>
      <c r="AX458" s="31" t="s">
        <v>34107</v>
      </c>
      <c r="AY458" s="31" t="s">
        <v>13772</v>
      </c>
      <c r="AZ458" s="31" t="s">
        <v>23642</v>
      </c>
      <c r="BA458" s="31" t="s">
        <v>13780</v>
      </c>
      <c r="BB458" s="31" t="s">
        <v>13772</v>
      </c>
      <c r="BC458" s="31" t="s">
        <v>13772</v>
      </c>
      <c r="BD458" s="31" t="s">
        <v>14404</v>
      </c>
      <c r="BE458" s="31" t="s">
        <v>13772</v>
      </c>
      <c r="BF458" s="31" t="s">
        <v>13795</v>
      </c>
      <c r="BG458" s="31" t="s">
        <v>15699</v>
      </c>
      <c r="BH458" s="31" t="s">
        <v>13812</v>
      </c>
      <c r="BI458" s="31" t="s">
        <v>34108</v>
      </c>
      <c r="BJ458" s="31" t="s">
        <v>34109</v>
      </c>
      <c r="BK458" s="31" t="s">
        <v>34110</v>
      </c>
      <c r="BL458" s="31" t="s">
        <v>13772</v>
      </c>
      <c r="BM458" s="31" t="s">
        <v>34111</v>
      </c>
    </row>
    <row r="459" spans="1:65">
      <c r="A459">
        <v>2403</v>
      </c>
      <c r="B459">
        <v>1</v>
      </c>
      <c r="C459">
        <v>454</v>
      </c>
      <c r="D459" t="s">
        <v>5598</v>
      </c>
      <c r="E459" t="s">
        <v>73</v>
      </c>
      <c r="F459" t="s">
        <v>73</v>
      </c>
      <c r="G459">
        <v>51.4</v>
      </c>
      <c r="H459">
        <v>510</v>
      </c>
      <c r="I459">
        <v>57462</v>
      </c>
      <c r="J459" t="s">
        <v>5599</v>
      </c>
      <c r="K459" s="3" t="s">
        <v>73</v>
      </c>
      <c r="L459">
        <v>83</v>
      </c>
      <c r="M459">
        <v>83</v>
      </c>
      <c r="N459">
        <v>1</v>
      </c>
      <c r="O459" s="11">
        <f t="shared" si="7"/>
        <v>4.459929491649838</v>
      </c>
      <c r="P459" s="36">
        <v>0.30291084895868198</v>
      </c>
      <c r="Q459" s="36">
        <v>3.85225648270979</v>
      </c>
      <c r="R459" s="36">
        <v>1.6007976618122599</v>
      </c>
      <c r="S459" s="36">
        <v>4.5357652774596904</v>
      </c>
      <c r="T459" s="36">
        <v>1.72035271987378</v>
      </c>
      <c r="U459" s="36">
        <v>1.85945449327898</v>
      </c>
      <c r="V459" s="36">
        <v>0.26351557071616</v>
      </c>
      <c r="W459" s="36">
        <v>1.9463671959646101</v>
      </c>
      <c r="X459" s="37">
        <v>1.5895165864899099</v>
      </c>
      <c r="Y459" s="37">
        <v>6.9371461157711396</v>
      </c>
      <c r="Z459" s="37">
        <v>21.601467403218301</v>
      </c>
      <c r="AA459" s="37">
        <v>2.5396411397998202</v>
      </c>
      <c r="AB459" s="37">
        <v>5.5127553948906796</v>
      </c>
      <c r="AC459" s="37">
        <v>11.048667985391701</v>
      </c>
      <c r="AD459" s="37">
        <v>4.5256201435872701</v>
      </c>
      <c r="AE459" s="37">
        <v>1.5226368464746201</v>
      </c>
      <c r="AF459" s="45">
        <v>1.7730927652869799</v>
      </c>
      <c r="AG459" s="45">
        <v>3.43734886307465</v>
      </c>
      <c r="AH459" s="46">
        <v>5.5845520447843997E-3</v>
      </c>
      <c r="AI459" s="47">
        <v>1.0892318711255899E-2</v>
      </c>
      <c r="AJ459" s="48">
        <v>2.01017753134674</v>
      </c>
      <c r="AK459" s="49">
        <v>6.9096814519529302</v>
      </c>
      <c r="AL459" s="31" t="s">
        <v>5874</v>
      </c>
      <c r="AM459" s="31" t="s">
        <v>5878</v>
      </c>
      <c r="AN459" s="31" t="s">
        <v>36598</v>
      </c>
      <c r="AO459" s="31" t="s">
        <v>36599</v>
      </c>
      <c r="AP459" s="31" t="s">
        <v>36600</v>
      </c>
      <c r="AQ459" s="31" t="s">
        <v>36601</v>
      </c>
      <c r="AR459" s="31" t="s">
        <v>36602</v>
      </c>
      <c r="AS459" s="31" t="str">
        <f>"P4HB"</f>
        <v>P4HB</v>
      </c>
      <c r="AT459" s="31" t="s">
        <v>36603</v>
      </c>
      <c r="AU459" s="31" t="s">
        <v>13777</v>
      </c>
      <c r="AV459" s="31">
        <v>9606</v>
      </c>
      <c r="AW459" s="50" t="str">
        <f>HYPERLINK("http://www.uniprot.org/uniprot/P07237", "P07237")</f>
        <v>P07237</v>
      </c>
      <c r="AX459" s="31" t="s">
        <v>36604</v>
      </c>
      <c r="AY459" s="31" t="s">
        <v>13772</v>
      </c>
      <c r="AZ459" s="31" t="s">
        <v>24225</v>
      </c>
      <c r="BA459" s="31" t="s">
        <v>13772</v>
      </c>
      <c r="BB459" s="31" t="s">
        <v>13772</v>
      </c>
      <c r="BC459" s="31" t="s">
        <v>36605</v>
      </c>
      <c r="BD459" s="31" t="s">
        <v>14909</v>
      </c>
      <c r="BE459" s="31" t="s">
        <v>13772</v>
      </c>
      <c r="BF459" s="31" t="s">
        <v>23747</v>
      </c>
      <c r="BG459" s="31" t="s">
        <v>15256</v>
      </c>
      <c r="BH459" s="31" t="s">
        <v>13812</v>
      </c>
      <c r="BI459" s="31" t="s">
        <v>36606</v>
      </c>
      <c r="BJ459" s="31" t="s">
        <v>36607</v>
      </c>
      <c r="BK459" s="31" t="s">
        <v>36608</v>
      </c>
      <c r="BL459" s="31" t="s">
        <v>13772</v>
      </c>
      <c r="BM459" s="31" t="s">
        <v>36609</v>
      </c>
    </row>
    <row r="460" spans="1:65">
      <c r="A460">
        <v>1483</v>
      </c>
      <c r="B460">
        <v>1</v>
      </c>
      <c r="C460">
        <v>455</v>
      </c>
      <c r="D460" t="s">
        <v>3530</v>
      </c>
      <c r="E460" t="s">
        <v>73</v>
      </c>
      <c r="F460" t="s">
        <v>73</v>
      </c>
      <c r="G460">
        <v>38.5</v>
      </c>
      <c r="H460">
        <v>641</v>
      </c>
      <c r="I460">
        <v>70097</v>
      </c>
      <c r="J460" t="s">
        <v>3531</v>
      </c>
      <c r="K460" s="3" t="s">
        <v>73</v>
      </c>
      <c r="L460">
        <v>107</v>
      </c>
      <c r="M460">
        <v>52</v>
      </c>
      <c r="N460">
        <v>0.48599999999999999</v>
      </c>
      <c r="O460" s="11">
        <f t="shared" si="7"/>
        <v>4.160673979866262</v>
      </c>
      <c r="P460" s="36">
        <v>0.60582169791736495</v>
      </c>
      <c r="Q460" s="36">
        <v>7.6082065533518302</v>
      </c>
      <c r="R460" s="36">
        <v>0.80039883090612896</v>
      </c>
      <c r="S460" s="36">
        <v>0.37798043978830698</v>
      </c>
      <c r="T460" s="36">
        <v>2.9245996237854301</v>
      </c>
      <c r="U460" s="36">
        <v>4.2767453345416602</v>
      </c>
      <c r="V460" s="36">
        <v>3.58381176173978</v>
      </c>
      <c r="W460" s="36">
        <v>0.48659179899115301</v>
      </c>
      <c r="X460" s="37">
        <v>5.0864530767677296</v>
      </c>
      <c r="Y460" s="37">
        <v>9.7120045620795992</v>
      </c>
      <c r="Z460" s="37">
        <v>8.0805489175001597</v>
      </c>
      <c r="AA460" s="37">
        <v>10.8358021964792</v>
      </c>
      <c r="AB460" s="37">
        <v>6.8909442436133599</v>
      </c>
      <c r="AC460" s="37">
        <v>0.39459528519256198</v>
      </c>
      <c r="AD460" s="37">
        <v>4.5256201435872701</v>
      </c>
      <c r="AE460" s="37">
        <v>0.38065921161865401</v>
      </c>
      <c r="AF460" s="45">
        <v>1.0817736517938901</v>
      </c>
      <c r="AG460" s="45">
        <v>2.2215583131344201</v>
      </c>
      <c r="AH460" s="46">
        <v>8.5982942668806905E-2</v>
      </c>
      <c r="AI460" s="47">
        <v>0.124390721337007</v>
      </c>
      <c r="AJ460" s="48">
        <v>2.5830195051277101</v>
      </c>
      <c r="AK460" s="49">
        <v>5.7383284546048197</v>
      </c>
      <c r="AL460" s="31" t="s">
        <v>5874</v>
      </c>
      <c r="AM460" s="31" t="s">
        <v>5832</v>
      </c>
      <c r="AN460" s="31" t="s">
        <v>28046</v>
      </c>
      <c r="AO460" s="31" t="s">
        <v>28047</v>
      </c>
      <c r="AP460" s="31" t="s">
        <v>28048</v>
      </c>
      <c r="AQ460" s="31" t="s">
        <v>28049</v>
      </c>
      <c r="AR460" s="31" t="s">
        <v>28050</v>
      </c>
      <c r="AS460" s="31" t="str">
        <f>"HSPA1B"</f>
        <v>HSPA1B</v>
      </c>
      <c r="AT460" s="31" t="s">
        <v>13772</v>
      </c>
      <c r="AU460" s="31" t="s">
        <v>13777</v>
      </c>
      <c r="AV460" s="31">
        <v>9606</v>
      </c>
      <c r="AW460" s="50" t="str">
        <f>HYPERLINK("http://www.uniprot.org/uniprot/P0DMV9", "P0DMV9")</f>
        <v>P0DMV9</v>
      </c>
      <c r="AX460" s="31" t="s">
        <v>28051</v>
      </c>
      <c r="AY460" s="31" t="s">
        <v>15280</v>
      </c>
      <c r="AZ460" s="31" t="s">
        <v>13988</v>
      </c>
      <c r="BA460" s="31" t="s">
        <v>13793</v>
      </c>
      <c r="BB460" s="31" t="s">
        <v>13772</v>
      </c>
      <c r="BC460" s="31" t="s">
        <v>13772</v>
      </c>
      <c r="BD460" s="31" t="s">
        <v>13772</v>
      </c>
      <c r="BE460" s="31" t="s">
        <v>14005</v>
      </c>
      <c r="BF460" s="31" t="s">
        <v>28052</v>
      </c>
      <c r="BG460" s="31" t="s">
        <v>14098</v>
      </c>
      <c r="BH460" s="31" t="s">
        <v>13812</v>
      </c>
      <c r="BI460" s="31" t="s">
        <v>28053</v>
      </c>
      <c r="BJ460" s="31" t="s">
        <v>28054</v>
      </c>
      <c r="BK460" s="31" t="s">
        <v>28055</v>
      </c>
      <c r="BL460" s="31" t="s">
        <v>13772</v>
      </c>
      <c r="BM460" s="31" t="s">
        <v>28056</v>
      </c>
    </row>
    <row r="461" spans="1:65">
      <c r="A461">
        <v>119</v>
      </c>
      <c r="B461">
        <v>1</v>
      </c>
      <c r="C461">
        <v>456</v>
      </c>
      <c r="D461" t="s">
        <v>310</v>
      </c>
      <c r="E461" t="s">
        <v>73</v>
      </c>
      <c r="F461" t="s">
        <v>73</v>
      </c>
      <c r="G461">
        <v>10.8</v>
      </c>
      <c r="H461">
        <v>2244</v>
      </c>
      <c r="I461">
        <v>230915</v>
      </c>
      <c r="J461" t="s">
        <v>311</v>
      </c>
      <c r="K461" s="3" t="s">
        <v>73</v>
      </c>
      <c r="L461">
        <v>82</v>
      </c>
      <c r="M461">
        <v>82</v>
      </c>
      <c r="N461">
        <v>1</v>
      </c>
      <c r="O461" s="11">
        <f t="shared" si="7"/>
        <v>6.0952086045632416</v>
      </c>
      <c r="P461" s="36">
        <v>4.8465735833389196</v>
      </c>
      <c r="Q461" s="36">
        <v>7.7045129654195703</v>
      </c>
      <c r="R461" s="36">
        <v>28.814357912620601</v>
      </c>
      <c r="S461" s="36">
        <v>18.143061109838801</v>
      </c>
      <c r="T461" s="36">
        <v>9.4619399593058091</v>
      </c>
      <c r="U461" s="36">
        <v>15.805363192871299</v>
      </c>
      <c r="V461" s="36">
        <v>9.4865605457817708</v>
      </c>
      <c r="W461" s="36">
        <v>0.24329589949557701</v>
      </c>
      <c r="X461" s="37">
        <v>0.19868957331123899</v>
      </c>
      <c r="Y461" s="37">
        <v>0.63064964688828595</v>
      </c>
      <c r="Z461" s="37">
        <v>0.200013587066836</v>
      </c>
      <c r="AA461" s="37">
        <v>0.21163676164998499</v>
      </c>
      <c r="AB461" s="37">
        <v>0.22969814145377901</v>
      </c>
      <c r="AC461" s="37">
        <v>0.78919057038512497</v>
      </c>
      <c r="AD461" s="37">
        <v>0.377135011965606</v>
      </c>
      <c r="AE461" s="37">
        <v>0.38065921161865401</v>
      </c>
      <c r="AF461" s="45">
        <v>-4.5201959540282504</v>
      </c>
      <c r="AG461" s="45">
        <v>-31.3174027442574</v>
      </c>
      <c r="AH461" s="46">
        <v>2.0636846216492099E-9</v>
      </c>
      <c r="AI461" s="47">
        <v>2.3803534687643501E-8</v>
      </c>
      <c r="AJ461" s="48">
        <v>11.813208146083999</v>
      </c>
      <c r="AK461" s="49">
        <v>0.37720906304243901</v>
      </c>
      <c r="AL461" s="31" t="s">
        <v>5875</v>
      </c>
      <c r="AM461" s="31" t="s">
        <v>5876</v>
      </c>
      <c r="AN461" s="31" t="s">
        <v>14510</v>
      </c>
      <c r="AO461" s="31" t="s">
        <v>14511</v>
      </c>
      <c r="AP461" s="31" t="s">
        <v>14512</v>
      </c>
      <c r="AQ461" s="31" t="s">
        <v>14513</v>
      </c>
      <c r="AR461" s="31" t="s">
        <v>14514</v>
      </c>
      <c r="AS461" s="31" t="str">
        <f>"ACAN"</f>
        <v>ACAN</v>
      </c>
      <c r="AT461" s="31" t="s">
        <v>14515</v>
      </c>
      <c r="AU461" s="31" t="s">
        <v>13777</v>
      </c>
      <c r="AV461" s="31">
        <v>9606</v>
      </c>
      <c r="AW461" s="50" t="str">
        <f>HYPERLINK("http://www.uniprot.org/uniprot/P16112", "P16112")</f>
        <v>P16112</v>
      </c>
      <c r="AX461" s="31" t="s">
        <v>14516</v>
      </c>
      <c r="AY461" s="31" t="s">
        <v>13772</v>
      </c>
      <c r="AZ461" s="31" t="s">
        <v>13869</v>
      </c>
      <c r="BA461" s="31" t="s">
        <v>13780</v>
      </c>
      <c r="BB461" s="31" t="s">
        <v>13772</v>
      </c>
      <c r="BC461" s="31" t="s">
        <v>14517</v>
      </c>
      <c r="BD461" s="31" t="s">
        <v>14518</v>
      </c>
      <c r="BE461" s="31" t="s">
        <v>14519</v>
      </c>
      <c r="BF461" s="31" t="s">
        <v>13772</v>
      </c>
      <c r="BG461" s="31" t="s">
        <v>14520</v>
      </c>
      <c r="BH461" s="31" t="s">
        <v>13812</v>
      </c>
      <c r="BI461" s="31" t="s">
        <v>14521</v>
      </c>
      <c r="BJ461" s="31" t="s">
        <v>14522</v>
      </c>
      <c r="BK461" s="31" t="s">
        <v>14523</v>
      </c>
      <c r="BL461" s="31" t="s">
        <v>13772</v>
      </c>
      <c r="BM461" s="31" t="s">
        <v>14524</v>
      </c>
    </row>
    <row r="462" spans="1:65">
      <c r="A462">
        <v>317</v>
      </c>
      <c r="B462">
        <v>1</v>
      </c>
      <c r="C462">
        <v>457</v>
      </c>
      <c r="D462" t="s">
        <v>794</v>
      </c>
      <c r="E462" t="s">
        <v>73</v>
      </c>
      <c r="F462" t="s">
        <v>73</v>
      </c>
      <c r="G462">
        <v>64</v>
      </c>
      <c r="H462">
        <v>353</v>
      </c>
      <c r="I462">
        <v>37429</v>
      </c>
      <c r="J462" t="s">
        <v>796</v>
      </c>
      <c r="K462" s="3" t="s">
        <v>73</v>
      </c>
      <c r="L462">
        <v>82</v>
      </c>
      <c r="M462">
        <v>71</v>
      </c>
      <c r="N462">
        <v>0.86599999999999999</v>
      </c>
      <c r="O462" s="11">
        <f t="shared" si="7"/>
        <v>4.2794274676303354</v>
      </c>
      <c r="P462" s="36">
        <v>0.30291084895868198</v>
      </c>
      <c r="Q462" s="36">
        <v>5.7783847240646802</v>
      </c>
      <c r="R462" s="36">
        <v>0.40019941545306398</v>
      </c>
      <c r="S462" s="36">
        <v>0.37798043978830698</v>
      </c>
      <c r="T462" s="36">
        <v>0.86017635993689201</v>
      </c>
      <c r="U462" s="36">
        <v>0.92972724663949102</v>
      </c>
      <c r="V462" s="36">
        <v>1.05406228286464</v>
      </c>
      <c r="W462" s="36">
        <v>3.8927343919292201</v>
      </c>
      <c r="X462" s="37">
        <v>6.35806634595966</v>
      </c>
      <c r="Y462" s="37">
        <v>10.7210439971009</v>
      </c>
      <c r="Z462" s="37">
        <v>12.800869572277501</v>
      </c>
      <c r="AA462" s="37">
        <v>9.3120175125993505</v>
      </c>
      <c r="AB462" s="37">
        <v>8.2691330923360304</v>
      </c>
      <c r="AC462" s="37">
        <v>5.5243339926958699</v>
      </c>
      <c r="AD462" s="37">
        <v>1.50854004786242</v>
      </c>
      <c r="AE462" s="37">
        <v>0.38065921161865401</v>
      </c>
      <c r="AF462" s="45">
        <v>1.90873818304986</v>
      </c>
      <c r="AG462" s="45">
        <v>4.0360366726919503</v>
      </c>
      <c r="AH462" s="46">
        <v>2.1744019360694601E-3</v>
      </c>
      <c r="AI462" s="47">
        <v>4.5458590475952196E-3</v>
      </c>
      <c r="AJ462" s="48">
        <v>1.6995219637043699</v>
      </c>
      <c r="AK462" s="49">
        <v>6.8593329715562898</v>
      </c>
      <c r="AL462" s="31" t="s">
        <v>5874</v>
      </c>
      <c r="AM462" s="31" t="s">
        <v>5876</v>
      </c>
      <c r="AN462" s="31" t="s">
        <v>16717</v>
      </c>
      <c r="AO462" s="31" t="s">
        <v>13772</v>
      </c>
      <c r="AP462" s="31" t="s">
        <v>16718</v>
      </c>
      <c r="AQ462" s="31" t="s">
        <v>16719</v>
      </c>
      <c r="AR462" s="31" t="s">
        <v>16720</v>
      </c>
      <c r="AS462" s="31" t="str">
        <f>"HNRNPA2B1"</f>
        <v>HNRNPA2B1</v>
      </c>
      <c r="AT462" s="31" t="s">
        <v>16721</v>
      </c>
      <c r="AU462" s="31" t="s">
        <v>13777</v>
      </c>
      <c r="AV462" s="31">
        <v>9606</v>
      </c>
      <c r="AW462" s="50" t="str">
        <f>HYPERLINK("http://www.uniprot.org/uniprot/P22626", "P22626")</f>
        <v>P22626</v>
      </c>
      <c r="AX462" s="31" t="s">
        <v>16722</v>
      </c>
      <c r="AY462" s="31" t="s">
        <v>16723</v>
      </c>
      <c r="AZ462" s="31" t="s">
        <v>15254</v>
      </c>
      <c r="BA462" s="31" t="s">
        <v>13841</v>
      </c>
      <c r="BB462" s="31" t="s">
        <v>13772</v>
      </c>
      <c r="BC462" s="31" t="s">
        <v>13807</v>
      </c>
      <c r="BD462" s="31" t="s">
        <v>14096</v>
      </c>
      <c r="BE462" s="31" t="s">
        <v>13772</v>
      </c>
      <c r="BF462" s="31" t="s">
        <v>16089</v>
      </c>
      <c r="BG462" s="31" t="s">
        <v>14663</v>
      </c>
      <c r="BH462" s="31" t="s">
        <v>13812</v>
      </c>
      <c r="BI462" s="31" t="s">
        <v>16724</v>
      </c>
      <c r="BJ462" s="31" t="s">
        <v>16725</v>
      </c>
      <c r="BK462" s="31" t="s">
        <v>16726</v>
      </c>
      <c r="BL462" s="31" t="s">
        <v>13772</v>
      </c>
      <c r="BM462" s="31" t="s">
        <v>16727</v>
      </c>
    </row>
    <row r="463" spans="1:65">
      <c r="A463">
        <v>1804</v>
      </c>
      <c r="B463">
        <v>1</v>
      </c>
      <c r="C463">
        <v>458</v>
      </c>
      <c r="D463" t="s">
        <v>4265</v>
      </c>
      <c r="E463" t="s">
        <v>73</v>
      </c>
      <c r="F463" t="s">
        <v>73</v>
      </c>
      <c r="G463">
        <v>42.7</v>
      </c>
      <c r="H463">
        <v>490</v>
      </c>
      <c r="I463">
        <v>54805</v>
      </c>
      <c r="J463" t="s">
        <v>4266</v>
      </c>
      <c r="K463" s="3" t="s">
        <v>73</v>
      </c>
      <c r="L463">
        <v>82</v>
      </c>
      <c r="M463">
        <v>82</v>
      </c>
      <c r="N463">
        <v>1</v>
      </c>
      <c r="O463" s="11">
        <f t="shared" si="7"/>
        <v>4.6559578057176454</v>
      </c>
      <c r="P463" s="36">
        <v>3.6349301875041902</v>
      </c>
      <c r="Q463" s="36">
        <v>0.24076603016936199</v>
      </c>
      <c r="R463" s="36">
        <v>0.40019941545306398</v>
      </c>
      <c r="S463" s="36">
        <v>0.37798043978830698</v>
      </c>
      <c r="T463" s="36">
        <v>0.215044089984223</v>
      </c>
      <c r="U463" s="36">
        <v>0.23243181165987301</v>
      </c>
      <c r="V463" s="36">
        <v>0.26351557071616</v>
      </c>
      <c r="W463" s="36">
        <v>2.9195507939469199</v>
      </c>
      <c r="X463" s="37">
        <v>6.35806634595966</v>
      </c>
      <c r="Y463" s="37">
        <v>15.135591525318899</v>
      </c>
      <c r="Z463" s="37">
        <v>7.2004891344060802</v>
      </c>
      <c r="AA463" s="37">
        <v>7.6189234193994704</v>
      </c>
      <c r="AB463" s="37">
        <v>4.5939628290755703</v>
      </c>
      <c r="AC463" s="37">
        <v>7.1027151334661296</v>
      </c>
      <c r="AD463" s="37">
        <v>7.5427002393121096</v>
      </c>
      <c r="AE463" s="37">
        <v>10.658457925322301</v>
      </c>
      <c r="AF463" s="45">
        <v>2.8817682446388901</v>
      </c>
      <c r="AG463" s="45">
        <v>7.9922215225163704</v>
      </c>
      <c r="AH463" s="46">
        <v>1.0243492858090901E-7</v>
      </c>
      <c r="AI463" s="47">
        <v>6.8528967220627999E-7</v>
      </c>
      <c r="AJ463" s="48">
        <v>1.03555229240276</v>
      </c>
      <c r="AK463" s="49">
        <v>8.2763633190325194</v>
      </c>
      <c r="AL463" s="31" t="s">
        <v>5874</v>
      </c>
      <c r="AM463" s="31" t="s">
        <v>5876</v>
      </c>
      <c r="AN463" s="31" t="s">
        <v>31120</v>
      </c>
      <c r="AO463" s="31" t="s">
        <v>31121</v>
      </c>
      <c r="AP463" s="31" t="s">
        <v>31122</v>
      </c>
      <c r="AQ463" s="31" t="s">
        <v>31123</v>
      </c>
      <c r="AR463" s="31" t="s">
        <v>31124</v>
      </c>
      <c r="AS463" s="31" t="str">
        <f>"MYOC"</f>
        <v>MYOC</v>
      </c>
      <c r="AT463" s="31" t="s">
        <v>31125</v>
      </c>
      <c r="AU463" s="31" t="s">
        <v>13777</v>
      </c>
      <c r="AV463" s="31">
        <v>9606</v>
      </c>
      <c r="AW463" s="50" t="str">
        <f>HYPERLINK("http://www.uniprot.org/uniprot/Q99972", "Q99972")</f>
        <v>Q99972</v>
      </c>
      <c r="AX463" s="31" t="s">
        <v>31126</v>
      </c>
      <c r="AY463" s="31" t="s">
        <v>13772</v>
      </c>
      <c r="AZ463" s="31" t="s">
        <v>31127</v>
      </c>
      <c r="BA463" s="31" t="s">
        <v>13793</v>
      </c>
      <c r="BB463" s="31" t="s">
        <v>13772</v>
      </c>
      <c r="BC463" s="31" t="s">
        <v>31128</v>
      </c>
      <c r="BD463" s="31" t="s">
        <v>16820</v>
      </c>
      <c r="BE463" s="31" t="s">
        <v>13873</v>
      </c>
      <c r="BF463" s="31" t="s">
        <v>13772</v>
      </c>
      <c r="BG463" s="31" t="s">
        <v>19014</v>
      </c>
      <c r="BH463" s="31" t="s">
        <v>13812</v>
      </c>
      <c r="BI463" s="31" t="s">
        <v>31129</v>
      </c>
      <c r="BJ463" s="31" t="s">
        <v>31130</v>
      </c>
      <c r="BK463" s="31" t="s">
        <v>31131</v>
      </c>
      <c r="BL463" s="31" t="s">
        <v>13772</v>
      </c>
      <c r="BM463" s="31" t="s">
        <v>13772</v>
      </c>
    </row>
    <row r="464" spans="1:65">
      <c r="A464">
        <v>1988</v>
      </c>
      <c r="B464">
        <v>1</v>
      </c>
      <c r="C464">
        <v>459</v>
      </c>
      <c r="D464" t="s">
        <v>4680</v>
      </c>
      <c r="E464" t="s">
        <v>73</v>
      </c>
      <c r="F464" t="s">
        <v>73</v>
      </c>
      <c r="G464">
        <v>43.9</v>
      </c>
      <c r="H464">
        <v>346</v>
      </c>
      <c r="I464">
        <v>35659</v>
      </c>
      <c r="J464" t="s">
        <v>4681</v>
      </c>
      <c r="K464" s="3" t="s">
        <v>73</v>
      </c>
      <c r="L464">
        <v>82</v>
      </c>
      <c r="M464">
        <v>82</v>
      </c>
      <c r="N464">
        <v>1</v>
      </c>
      <c r="O464" s="11">
        <f t="shared" si="7"/>
        <v>5.3090549071120181</v>
      </c>
      <c r="P464" s="36">
        <v>1.2116433958347299</v>
      </c>
      <c r="Q464" s="36">
        <v>9.6306412067744702</v>
      </c>
      <c r="R464" s="36">
        <v>8.00398830906129</v>
      </c>
      <c r="S464" s="36">
        <v>13.6072958323791</v>
      </c>
      <c r="T464" s="36">
        <v>6.0212345195582504</v>
      </c>
      <c r="U464" s="36">
        <v>6.50809072647644</v>
      </c>
      <c r="V464" s="36">
        <v>10.5406228286464</v>
      </c>
      <c r="W464" s="36">
        <v>2.9195507939469199</v>
      </c>
      <c r="X464" s="37">
        <v>2.3842748797348698</v>
      </c>
      <c r="Y464" s="37">
        <v>4.4145475282179998</v>
      </c>
      <c r="Z464" s="37">
        <v>1.60010869653469</v>
      </c>
      <c r="AA464" s="37">
        <v>1.6930940931998799</v>
      </c>
      <c r="AB464" s="37">
        <v>0.91879256581511404</v>
      </c>
      <c r="AC464" s="37">
        <v>7.8919057038512497</v>
      </c>
      <c r="AD464" s="37">
        <v>1.50854004786242</v>
      </c>
      <c r="AE464" s="37">
        <v>6.0905473858984696</v>
      </c>
      <c r="AF464" s="45">
        <v>-1.0897611166399399</v>
      </c>
      <c r="AG464" s="45">
        <v>-2.2052480802441798</v>
      </c>
      <c r="AH464" s="46">
        <v>3.0470596623439698E-2</v>
      </c>
      <c r="AI464" s="47">
        <v>4.9719095466051598E-2</v>
      </c>
      <c r="AJ464" s="48">
        <v>7.3053834515846896</v>
      </c>
      <c r="AK464" s="49">
        <v>3.3127263626393399</v>
      </c>
      <c r="AL464" s="31" t="s">
        <v>5875</v>
      </c>
      <c r="AM464" s="31" t="s">
        <v>5878</v>
      </c>
      <c r="AN464" s="31" t="s">
        <v>32848</v>
      </c>
      <c r="AO464" s="31" t="s">
        <v>13772</v>
      </c>
      <c r="AP464" s="31" t="s">
        <v>32849</v>
      </c>
      <c r="AQ464" s="31" t="s">
        <v>32850</v>
      </c>
      <c r="AR464" s="31" t="s">
        <v>32851</v>
      </c>
      <c r="AS464" s="31" t="str">
        <f>"GAS1"</f>
        <v>GAS1</v>
      </c>
      <c r="AT464" s="31" t="s">
        <v>13772</v>
      </c>
      <c r="AU464" s="31" t="s">
        <v>13777</v>
      </c>
      <c r="AV464" s="31">
        <v>9606</v>
      </c>
      <c r="AW464" s="50" t="str">
        <f>HYPERLINK("http://www.uniprot.org/uniprot/P54826", "P54826")</f>
        <v>P54826</v>
      </c>
      <c r="AX464" s="31" t="s">
        <v>32852</v>
      </c>
      <c r="AY464" s="31" t="s">
        <v>32853</v>
      </c>
      <c r="AZ464" s="31" t="s">
        <v>13792</v>
      </c>
      <c r="BA464" s="31" t="s">
        <v>13772</v>
      </c>
      <c r="BB464" s="31" t="s">
        <v>13772</v>
      </c>
      <c r="BC464" s="31" t="s">
        <v>13772</v>
      </c>
      <c r="BD464" s="31" t="s">
        <v>13808</v>
      </c>
      <c r="BE464" s="31" t="s">
        <v>13772</v>
      </c>
      <c r="BF464" s="31" t="s">
        <v>13772</v>
      </c>
      <c r="BG464" s="31" t="s">
        <v>27905</v>
      </c>
      <c r="BH464" s="31" t="s">
        <v>13772</v>
      </c>
      <c r="BI464" s="31" t="s">
        <v>32854</v>
      </c>
      <c r="BJ464" s="31" t="s">
        <v>32855</v>
      </c>
      <c r="BK464" s="31" t="s">
        <v>13772</v>
      </c>
      <c r="BL464" s="31" t="s">
        <v>13772</v>
      </c>
      <c r="BM464" s="31" t="s">
        <v>32856</v>
      </c>
    </row>
    <row r="465" spans="1:65">
      <c r="A465">
        <v>810</v>
      </c>
      <c r="B465">
        <v>1</v>
      </c>
      <c r="C465">
        <v>460</v>
      </c>
      <c r="D465" t="s">
        <v>1986</v>
      </c>
      <c r="E465" t="s">
        <v>73</v>
      </c>
      <c r="F465" t="s">
        <v>73</v>
      </c>
      <c r="G465">
        <v>64.099999999999994</v>
      </c>
      <c r="H465">
        <v>198</v>
      </c>
      <c r="I465">
        <v>22230</v>
      </c>
      <c r="J465" t="s">
        <v>1988</v>
      </c>
      <c r="K465" s="3" t="s">
        <v>73</v>
      </c>
      <c r="L465">
        <v>100</v>
      </c>
      <c r="M465">
        <v>73</v>
      </c>
      <c r="N465">
        <v>0.73</v>
      </c>
      <c r="O465" s="11">
        <f t="shared" si="7"/>
        <v>4.4604823604605395</v>
      </c>
      <c r="P465" s="36">
        <v>0.30291084895868198</v>
      </c>
      <c r="Q465" s="36">
        <v>0.24076603016936199</v>
      </c>
      <c r="R465" s="36">
        <v>0.40019941545306398</v>
      </c>
      <c r="S465" s="36">
        <v>0.37798043978830698</v>
      </c>
      <c r="T465" s="36">
        <v>0.86017635993689201</v>
      </c>
      <c r="U465" s="36">
        <v>0.23243181165987301</v>
      </c>
      <c r="V465" s="36">
        <v>9.8027792306411605</v>
      </c>
      <c r="W465" s="36">
        <v>1.9463671959646101</v>
      </c>
      <c r="X465" s="37">
        <v>6.5964938339331498</v>
      </c>
      <c r="Y465" s="37">
        <v>3.9730927753962</v>
      </c>
      <c r="Z465" s="37">
        <v>5.68038587269813</v>
      </c>
      <c r="AA465" s="37">
        <v>1.77774879785988</v>
      </c>
      <c r="AB465" s="37">
        <v>27.7475354876164</v>
      </c>
      <c r="AC465" s="37">
        <v>5.3664958786188501</v>
      </c>
      <c r="AD465" s="37">
        <v>3.0170800957248498</v>
      </c>
      <c r="AE465" s="37">
        <v>3.0452736929492299</v>
      </c>
      <c r="AF465" s="45">
        <v>1.9195647307078201</v>
      </c>
      <c r="AG465" s="45">
        <v>4.0388079771184398</v>
      </c>
      <c r="AH465" s="46">
        <v>1.06503319672218E-2</v>
      </c>
      <c r="AI465" s="47">
        <v>1.9520745441291499E-2</v>
      </c>
      <c r="AJ465" s="48">
        <v>1.77045141657149</v>
      </c>
      <c r="AK465" s="49">
        <v>7.1505133043495901</v>
      </c>
      <c r="AL465" s="31" t="s">
        <v>5874</v>
      </c>
      <c r="AM465" s="31" t="s">
        <v>5878</v>
      </c>
      <c r="AN465" s="31" t="s">
        <v>21783</v>
      </c>
      <c r="AO465" s="31" t="s">
        <v>21784</v>
      </c>
      <c r="AP465" s="31" t="s">
        <v>21785</v>
      </c>
      <c r="AQ465" s="31" t="s">
        <v>21786</v>
      </c>
      <c r="AR465" s="31" t="s">
        <v>21787</v>
      </c>
      <c r="AS465" s="31" t="str">
        <f>"MYL3"</f>
        <v>MYL3</v>
      </c>
      <c r="AT465" s="31" t="s">
        <v>13772</v>
      </c>
      <c r="AU465" s="31" t="s">
        <v>13777</v>
      </c>
      <c r="AV465" s="31">
        <v>9606</v>
      </c>
      <c r="AW465" s="50" t="str">
        <f>HYPERLINK("http://www.uniprot.org/uniprot/P08590", "P08590")</f>
        <v>P08590</v>
      </c>
      <c r="AX465" s="31" t="s">
        <v>21788</v>
      </c>
      <c r="AY465" s="31" t="s">
        <v>13772</v>
      </c>
      <c r="AZ465" s="31" t="s">
        <v>13772</v>
      </c>
      <c r="BA465" s="31" t="s">
        <v>13772</v>
      </c>
      <c r="BB465" s="31" t="s">
        <v>13772</v>
      </c>
      <c r="BC465" s="31" t="s">
        <v>14848</v>
      </c>
      <c r="BD465" s="31" t="s">
        <v>14096</v>
      </c>
      <c r="BE465" s="31" t="s">
        <v>13772</v>
      </c>
      <c r="BF465" s="31" t="s">
        <v>17523</v>
      </c>
      <c r="BG465" s="31" t="s">
        <v>14478</v>
      </c>
      <c r="BH465" s="31" t="s">
        <v>13812</v>
      </c>
      <c r="BI465" s="31" t="s">
        <v>21789</v>
      </c>
      <c r="BJ465" s="31" t="s">
        <v>21790</v>
      </c>
      <c r="BK465" s="31" t="s">
        <v>21791</v>
      </c>
      <c r="BL465" s="31" t="s">
        <v>13772</v>
      </c>
      <c r="BM465" s="31" t="s">
        <v>15657</v>
      </c>
    </row>
    <row r="466" spans="1:65">
      <c r="A466">
        <v>407</v>
      </c>
      <c r="B466">
        <v>1</v>
      </c>
      <c r="C466">
        <v>461</v>
      </c>
      <c r="D466" t="s">
        <v>1021</v>
      </c>
      <c r="E466" t="s">
        <v>73</v>
      </c>
      <c r="F466" t="s">
        <v>73</v>
      </c>
      <c r="G466">
        <v>84.7</v>
      </c>
      <c r="H466">
        <v>118</v>
      </c>
      <c r="I466">
        <v>12779</v>
      </c>
      <c r="J466" t="s">
        <v>1022</v>
      </c>
      <c r="K466" s="3" t="s">
        <v>73</v>
      </c>
      <c r="L466">
        <v>81</v>
      </c>
      <c r="M466">
        <v>81</v>
      </c>
      <c r="N466">
        <v>1</v>
      </c>
      <c r="O466" s="11">
        <f t="shared" si="7"/>
        <v>4.3854601204645371</v>
      </c>
      <c r="P466" s="36">
        <v>3.6349301875041902</v>
      </c>
      <c r="Q466" s="36">
        <v>4.8153206033872298</v>
      </c>
      <c r="R466" s="36">
        <v>0.40019941545306398</v>
      </c>
      <c r="S466" s="36">
        <v>1.5119217591532299</v>
      </c>
      <c r="T466" s="36">
        <v>6.8814108794951396</v>
      </c>
      <c r="U466" s="36">
        <v>2.7891817399184702</v>
      </c>
      <c r="V466" s="36">
        <v>4.21624913145856</v>
      </c>
      <c r="W466" s="36">
        <v>9.7318359798230603</v>
      </c>
      <c r="X466" s="37">
        <v>9.53709951893949</v>
      </c>
      <c r="Y466" s="37">
        <v>4.4145475282179998</v>
      </c>
      <c r="Z466" s="37">
        <v>3.2002173930693698</v>
      </c>
      <c r="AA466" s="37">
        <v>4.2327352329997003</v>
      </c>
      <c r="AB466" s="37">
        <v>5.5127553948906796</v>
      </c>
      <c r="AC466" s="37">
        <v>4.7351434223107498</v>
      </c>
      <c r="AD466" s="37">
        <v>1.50854004786242</v>
      </c>
      <c r="AE466" s="37">
        <v>3.0452736929492299</v>
      </c>
      <c r="AF466" s="45">
        <v>6.3313126791936694E-2</v>
      </c>
      <c r="AG466" s="45">
        <v>1.0648968338165801</v>
      </c>
      <c r="AH466" s="46">
        <v>0.93113057402228705</v>
      </c>
      <c r="AI466" s="47">
        <v>0.95687611984778798</v>
      </c>
      <c r="AJ466" s="48">
        <v>4.2476312120241202</v>
      </c>
      <c r="AK466" s="49">
        <v>4.5232890289049603</v>
      </c>
      <c r="AL466" s="31" t="s">
        <v>5874</v>
      </c>
      <c r="AM466" s="31" t="s">
        <v>5832</v>
      </c>
      <c r="AN466" s="31" t="s">
        <v>17697</v>
      </c>
      <c r="AO466" s="31" t="s">
        <v>17698</v>
      </c>
      <c r="AP466" s="31" t="s">
        <v>17699</v>
      </c>
      <c r="AQ466" s="31" t="s">
        <v>17700</v>
      </c>
      <c r="AR466" s="31" t="s">
        <v>17701</v>
      </c>
      <c r="AS466" s="31" t="str">
        <f>"DDT"</f>
        <v>DDT</v>
      </c>
      <c r="AT466" s="31" t="s">
        <v>13772</v>
      </c>
      <c r="AU466" s="31" t="s">
        <v>13777</v>
      </c>
      <c r="AV466" s="31">
        <v>9606</v>
      </c>
      <c r="AW466" s="50" t="str">
        <f>HYPERLINK("http://www.uniprot.org/uniprot/P30046", "P30046")</f>
        <v>P30046</v>
      </c>
      <c r="AX466" s="31" t="s">
        <v>17702</v>
      </c>
      <c r="AY466" s="31" t="s">
        <v>17703</v>
      </c>
      <c r="AZ466" s="31" t="s">
        <v>13899</v>
      </c>
      <c r="BA466" s="31" t="s">
        <v>13841</v>
      </c>
      <c r="BB466" s="31" t="s">
        <v>13772</v>
      </c>
      <c r="BC466" s="31" t="s">
        <v>13772</v>
      </c>
      <c r="BD466" s="31" t="s">
        <v>13772</v>
      </c>
      <c r="BE466" s="31" t="s">
        <v>13772</v>
      </c>
      <c r="BF466" s="31" t="s">
        <v>15788</v>
      </c>
      <c r="BG466" s="31" t="s">
        <v>14020</v>
      </c>
      <c r="BH466" s="31" t="s">
        <v>13812</v>
      </c>
      <c r="BI466" s="31" t="s">
        <v>17704</v>
      </c>
      <c r="BJ466" s="31" t="s">
        <v>17705</v>
      </c>
      <c r="BK466" s="31" t="s">
        <v>17706</v>
      </c>
      <c r="BL466" s="31" t="s">
        <v>13772</v>
      </c>
      <c r="BM466" s="31" t="s">
        <v>13772</v>
      </c>
    </row>
    <row r="467" spans="1:65">
      <c r="A467">
        <v>766</v>
      </c>
      <c r="B467">
        <v>1</v>
      </c>
      <c r="C467">
        <v>462</v>
      </c>
      <c r="D467" t="s">
        <v>1883</v>
      </c>
      <c r="E467" t="s">
        <v>73</v>
      </c>
      <c r="F467" t="s">
        <v>73</v>
      </c>
      <c r="G467">
        <v>37.4</v>
      </c>
      <c r="H467">
        <v>756</v>
      </c>
      <c r="I467">
        <v>82448</v>
      </c>
      <c r="J467" t="s">
        <v>1884</v>
      </c>
      <c r="K467" s="3" t="s">
        <v>73</v>
      </c>
      <c r="L467">
        <v>81</v>
      </c>
      <c r="M467">
        <v>81</v>
      </c>
      <c r="N467">
        <v>1</v>
      </c>
      <c r="O467" s="11">
        <f t="shared" si="7"/>
        <v>5.7648526461537868</v>
      </c>
      <c r="P467" s="36">
        <v>9.6931471666778304</v>
      </c>
      <c r="Q467" s="36">
        <v>4.8153206033872298</v>
      </c>
      <c r="R467" s="36">
        <v>24.0119649271839</v>
      </c>
      <c r="S467" s="36">
        <v>10.5834523140726</v>
      </c>
      <c r="T467" s="36">
        <v>6.8814108794951396</v>
      </c>
      <c r="U467" s="36">
        <v>7.43781797311593</v>
      </c>
      <c r="V467" s="36">
        <v>7.3784359800524904</v>
      </c>
      <c r="W467" s="36">
        <v>8.7586523818407507</v>
      </c>
      <c r="X467" s="37">
        <v>0.79475829324495695</v>
      </c>
      <c r="Y467" s="37">
        <v>0.63064964688828595</v>
      </c>
      <c r="Z467" s="37">
        <v>3.2002173930693698</v>
      </c>
      <c r="AA467" s="37">
        <v>0.21163676164998499</v>
      </c>
      <c r="AB467" s="37">
        <v>0.91879256581511404</v>
      </c>
      <c r="AC467" s="37">
        <v>2.36757171115537</v>
      </c>
      <c r="AD467" s="37">
        <v>1.50854004786242</v>
      </c>
      <c r="AE467" s="37">
        <v>3.0452736929492299</v>
      </c>
      <c r="AF467" s="45">
        <v>-2.5782404716782499</v>
      </c>
      <c r="AG467" s="45">
        <v>-6.2757308667176099</v>
      </c>
      <c r="AH467" s="46">
        <v>4.27239206611335E-7</v>
      </c>
      <c r="AI467" s="47">
        <v>2.3050244292176002E-6</v>
      </c>
      <c r="AJ467" s="48">
        <v>9.9450252782282291</v>
      </c>
      <c r="AK467" s="49">
        <v>1.58468001407934</v>
      </c>
      <c r="AL467" s="31" t="s">
        <v>5875</v>
      </c>
      <c r="AM467" s="31" t="s">
        <v>5876</v>
      </c>
      <c r="AN467" s="31" t="s">
        <v>21324</v>
      </c>
      <c r="AO467" s="31" t="s">
        <v>21325</v>
      </c>
      <c r="AP467" s="31" t="s">
        <v>21326</v>
      </c>
      <c r="AQ467" s="31" t="s">
        <v>21327</v>
      </c>
      <c r="AR467" s="31" t="s">
        <v>21328</v>
      </c>
      <c r="AS467" s="31" t="str">
        <f>"COMP"</f>
        <v>COMP</v>
      </c>
      <c r="AT467" s="31" t="s">
        <v>13772</v>
      </c>
      <c r="AU467" s="31" t="s">
        <v>13777</v>
      </c>
      <c r="AV467" s="31">
        <v>9606</v>
      </c>
      <c r="AW467" s="50" t="str">
        <f>HYPERLINK("http://www.uniprot.org/uniprot/P49747", "P49747")</f>
        <v>P49747</v>
      </c>
      <c r="AX467" s="31" t="s">
        <v>21329</v>
      </c>
      <c r="AY467" s="31" t="s">
        <v>21330</v>
      </c>
      <c r="AZ467" s="31" t="s">
        <v>13869</v>
      </c>
      <c r="BA467" s="31" t="s">
        <v>13780</v>
      </c>
      <c r="BB467" s="31" t="s">
        <v>13772</v>
      </c>
      <c r="BC467" s="31" t="s">
        <v>14517</v>
      </c>
      <c r="BD467" s="31" t="s">
        <v>14768</v>
      </c>
      <c r="BE467" s="31" t="s">
        <v>14465</v>
      </c>
      <c r="BF467" s="31" t="s">
        <v>14073</v>
      </c>
      <c r="BG467" s="31" t="s">
        <v>13796</v>
      </c>
      <c r="BH467" s="31" t="s">
        <v>13812</v>
      </c>
      <c r="BI467" s="31" t="s">
        <v>21331</v>
      </c>
      <c r="BJ467" s="31" t="s">
        <v>21332</v>
      </c>
      <c r="BK467" s="31" t="s">
        <v>21333</v>
      </c>
      <c r="BL467" s="31" t="s">
        <v>13772</v>
      </c>
      <c r="BM467" s="31" t="s">
        <v>21334</v>
      </c>
    </row>
    <row r="468" spans="1:65">
      <c r="A468">
        <v>2149</v>
      </c>
      <c r="B468">
        <v>1</v>
      </c>
      <c r="C468">
        <v>463</v>
      </c>
      <c r="D468" t="s">
        <v>5038</v>
      </c>
      <c r="E468" t="s">
        <v>73</v>
      </c>
      <c r="F468" t="s">
        <v>73</v>
      </c>
      <c r="G468">
        <v>27.4</v>
      </c>
      <c r="H468">
        <v>1333</v>
      </c>
      <c r="I468">
        <v>146873</v>
      </c>
      <c r="J468" t="s">
        <v>5039</v>
      </c>
      <c r="K468" s="3" t="s">
        <v>73</v>
      </c>
      <c r="L468">
        <v>81</v>
      </c>
      <c r="M468">
        <v>81</v>
      </c>
      <c r="N468">
        <v>1</v>
      </c>
      <c r="O468" s="11">
        <f t="shared" si="7"/>
        <v>3.2918613491064765</v>
      </c>
      <c r="P468" s="36">
        <v>0.30291084895868198</v>
      </c>
      <c r="Q468" s="36">
        <v>1.9261282413548899</v>
      </c>
      <c r="R468" s="36">
        <v>0.40019941545306398</v>
      </c>
      <c r="S468" s="36">
        <v>0.37798043978830698</v>
      </c>
      <c r="T468" s="36">
        <v>0.86017635993689201</v>
      </c>
      <c r="U468" s="36">
        <v>2.7891817399184702</v>
      </c>
      <c r="V468" s="36">
        <v>0.26351557071616</v>
      </c>
      <c r="W468" s="36">
        <v>0.24329589949557701</v>
      </c>
      <c r="X468" s="37">
        <v>0.79475829324495695</v>
      </c>
      <c r="Y468" s="37">
        <v>7.5677957626594301</v>
      </c>
      <c r="Z468" s="37">
        <v>0.80005434826734301</v>
      </c>
      <c r="AA468" s="37">
        <v>6.7723763727995303</v>
      </c>
      <c r="AB468" s="37">
        <v>2.7563776974453398</v>
      </c>
      <c r="AC468" s="37">
        <v>0.78919057038512497</v>
      </c>
      <c r="AD468" s="37">
        <v>25.645180813661199</v>
      </c>
      <c r="AE468" s="37">
        <v>0.38065921161865401</v>
      </c>
      <c r="AF468" s="45">
        <v>2.3940968986801598</v>
      </c>
      <c r="AG468" s="45">
        <v>6.3526350652125601</v>
      </c>
      <c r="AH468" s="46">
        <v>4.6094578903164204E-3</v>
      </c>
      <c r="AI468" s="47">
        <v>9.0697862606520102E-3</v>
      </c>
      <c r="AJ468" s="48">
        <v>0.89542356445275595</v>
      </c>
      <c r="AK468" s="49">
        <v>5.6882991337601903</v>
      </c>
      <c r="AL468" s="31" t="s">
        <v>5874</v>
      </c>
      <c r="AM468" s="31" t="s">
        <v>5876</v>
      </c>
      <c r="AN468" s="31" t="s">
        <v>34316</v>
      </c>
      <c r="AO468" s="31" t="s">
        <v>34317</v>
      </c>
      <c r="AP468" s="31" t="s">
        <v>34318</v>
      </c>
      <c r="AQ468" s="31" t="s">
        <v>34319</v>
      </c>
      <c r="AR468" s="31" t="s">
        <v>34320</v>
      </c>
      <c r="AS468" s="31" t="str">
        <f>"XDH"</f>
        <v>XDH</v>
      </c>
      <c r="AT468" s="31" t="s">
        <v>34321</v>
      </c>
      <c r="AU468" s="31" t="s">
        <v>13777</v>
      </c>
      <c r="AV468" s="31">
        <v>9606</v>
      </c>
      <c r="AW468" s="50" t="str">
        <f>HYPERLINK("http://www.uniprot.org/uniprot/P47989", "P47989")</f>
        <v>P47989</v>
      </c>
      <c r="AX468" s="31" t="s">
        <v>34322</v>
      </c>
      <c r="AY468" s="31" t="s">
        <v>13772</v>
      </c>
      <c r="AZ468" s="31" t="s">
        <v>34323</v>
      </c>
      <c r="BA468" s="31" t="s">
        <v>13793</v>
      </c>
      <c r="BB468" s="31" t="s">
        <v>13772</v>
      </c>
      <c r="BC468" s="31" t="s">
        <v>13807</v>
      </c>
      <c r="BD468" s="31" t="s">
        <v>13772</v>
      </c>
      <c r="BE468" s="31" t="s">
        <v>34324</v>
      </c>
      <c r="BF468" s="31" t="s">
        <v>13885</v>
      </c>
      <c r="BG468" s="31" t="s">
        <v>14506</v>
      </c>
      <c r="BH468" s="31" t="s">
        <v>13812</v>
      </c>
      <c r="BI468" s="31" t="s">
        <v>34325</v>
      </c>
      <c r="BJ468" s="31" t="s">
        <v>34326</v>
      </c>
      <c r="BK468" s="31" t="s">
        <v>34327</v>
      </c>
      <c r="BL468" s="31" t="s">
        <v>13772</v>
      </c>
      <c r="BM468" s="31" t="s">
        <v>34328</v>
      </c>
    </row>
    <row r="469" spans="1:65">
      <c r="A469">
        <v>2320</v>
      </c>
      <c r="B469">
        <v>1</v>
      </c>
      <c r="C469">
        <v>464</v>
      </c>
      <c r="D469" t="s">
        <v>5413</v>
      </c>
      <c r="E469" t="s">
        <v>5414</v>
      </c>
      <c r="F469" t="s">
        <v>73</v>
      </c>
      <c r="G469">
        <v>23.9</v>
      </c>
      <c r="H469">
        <v>1682</v>
      </c>
      <c r="I469">
        <v>192412</v>
      </c>
      <c r="J469" t="s">
        <v>5415</v>
      </c>
      <c r="K469" s="3" t="s">
        <v>73</v>
      </c>
      <c r="L469">
        <v>81</v>
      </c>
      <c r="M469">
        <v>81</v>
      </c>
      <c r="N469">
        <v>1</v>
      </c>
      <c r="O469" s="11">
        <f t="shared" si="7"/>
        <v>4.0563721704361271</v>
      </c>
      <c r="P469" s="36">
        <v>1.2116433958347299</v>
      </c>
      <c r="Q469" s="36">
        <v>1.9261282413548899</v>
      </c>
      <c r="R469" s="36">
        <v>0.40019941545306398</v>
      </c>
      <c r="S469" s="36">
        <v>0.37798043978830698</v>
      </c>
      <c r="T469" s="36">
        <v>3.4407054397475698</v>
      </c>
      <c r="U469" s="36">
        <v>3.7189089865579601</v>
      </c>
      <c r="V469" s="36">
        <v>4.21624913145856</v>
      </c>
      <c r="W469" s="36">
        <v>0.97318359798230603</v>
      </c>
      <c r="X469" s="37">
        <v>0.19868957331123899</v>
      </c>
      <c r="Y469" s="37">
        <v>13.874292231542301</v>
      </c>
      <c r="Z469" s="37">
        <v>26.4017934928223</v>
      </c>
      <c r="AA469" s="37">
        <v>2.5396411397998202</v>
      </c>
      <c r="AB469" s="37">
        <v>0.91879256581511404</v>
      </c>
      <c r="AC469" s="37">
        <v>3.94595285192562</v>
      </c>
      <c r="AD469" s="37">
        <v>0.377135011965606</v>
      </c>
      <c r="AE469" s="37">
        <v>0.38065921161865401</v>
      </c>
      <c r="AF469" s="45">
        <v>1.51335916851458</v>
      </c>
      <c r="AG469" s="45">
        <v>2.9902834381268599</v>
      </c>
      <c r="AH469" s="46">
        <v>6.2674451782859797E-2</v>
      </c>
      <c r="AI469" s="47">
        <v>9.4011677674289598E-2</v>
      </c>
      <c r="AJ469" s="48">
        <v>2.0331248310221701</v>
      </c>
      <c r="AK469" s="49">
        <v>6.0796195098500796</v>
      </c>
      <c r="AL469" s="31" t="s">
        <v>5874</v>
      </c>
      <c r="AM469" s="31" t="s">
        <v>5877</v>
      </c>
      <c r="AN469" s="31" t="s">
        <v>35875</v>
      </c>
      <c r="AO469" s="31" t="s">
        <v>35876</v>
      </c>
      <c r="AP469" s="31" t="s">
        <v>35877</v>
      </c>
      <c r="AQ469" s="31" t="s">
        <v>35878</v>
      </c>
      <c r="AR469" s="31" t="s">
        <v>35879</v>
      </c>
      <c r="AS469" s="31" t="str">
        <f>"CLTC"</f>
        <v>CLTC</v>
      </c>
      <c r="AT469" s="31" t="s">
        <v>13772</v>
      </c>
      <c r="AU469" s="31" t="s">
        <v>13777</v>
      </c>
      <c r="AV469" s="31">
        <v>9606</v>
      </c>
      <c r="AW469" s="50" t="str">
        <f>HYPERLINK("http://www.uniprot.org/uniprot/Q00610", "Q00610")</f>
        <v>Q00610</v>
      </c>
      <c r="AX469" s="31" t="s">
        <v>35880</v>
      </c>
      <c r="AY469" s="31" t="s">
        <v>35881</v>
      </c>
      <c r="AZ469" s="31" t="s">
        <v>32362</v>
      </c>
      <c r="BA469" s="31" t="s">
        <v>13841</v>
      </c>
      <c r="BB469" s="31" t="s">
        <v>13772</v>
      </c>
      <c r="BC469" s="31" t="s">
        <v>17801</v>
      </c>
      <c r="BD469" s="31" t="s">
        <v>14096</v>
      </c>
      <c r="BE469" s="31" t="s">
        <v>13772</v>
      </c>
      <c r="BF469" s="31" t="s">
        <v>13772</v>
      </c>
      <c r="BG469" s="31" t="s">
        <v>13886</v>
      </c>
      <c r="BH469" s="31" t="s">
        <v>13812</v>
      </c>
      <c r="BI469" s="31" t="s">
        <v>35882</v>
      </c>
      <c r="BJ469" s="31" t="s">
        <v>35883</v>
      </c>
      <c r="BK469" s="31" t="s">
        <v>35884</v>
      </c>
      <c r="BL469" s="31" t="s">
        <v>13772</v>
      </c>
      <c r="BM469" s="31" t="s">
        <v>32366</v>
      </c>
    </row>
    <row r="470" spans="1:65">
      <c r="A470">
        <v>1416</v>
      </c>
      <c r="B470">
        <v>1</v>
      </c>
      <c r="C470">
        <v>465</v>
      </c>
      <c r="D470" t="s">
        <v>3378</v>
      </c>
      <c r="E470" t="s">
        <v>3379</v>
      </c>
      <c r="F470" t="s">
        <v>73</v>
      </c>
      <c r="G470">
        <v>46.2</v>
      </c>
      <c r="H470">
        <v>130</v>
      </c>
      <c r="I470">
        <v>14135</v>
      </c>
      <c r="J470" t="s">
        <v>3380</v>
      </c>
      <c r="K470" s="3" t="s">
        <v>73</v>
      </c>
      <c r="L470">
        <v>123</v>
      </c>
      <c r="M470">
        <v>32</v>
      </c>
      <c r="N470">
        <v>0.26</v>
      </c>
      <c r="O470" s="11">
        <f t="shared" si="7"/>
        <v>3.9589608387444986</v>
      </c>
      <c r="P470" s="36">
        <v>0.84815037708430996</v>
      </c>
      <c r="Q470" s="36">
        <v>4.5264013671840004</v>
      </c>
      <c r="R470" s="36">
        <v>0.48023929854367697</v>
      </c>
      <c r="S470" s="36">
        <v>2.5702669905604898</v>
      </c>
      <c r="T470" s="36">
        <v>0.60212345195582395</v>
      </c>
      <c r="U470" s="36">
        <v>1.20864542063134</v>
      </c>
      <c r="V470" s="36">
        <v>0.84324982629171297</v>
      </c>
      <c r="W470" s="36">
        <v>0.24329589949557701</v>
      </c>
      <c r="X470" s="37">
        <v>14.5440767663827</v>
      </c>
      <c r="Y470" s="37">
        <v>2.4595336228643099</v>
      </c>
      <c r="Z470" s="37">
        <v>7.6005163085397598</v>
      </c>
      <c r="AA470" s="37">
        <v>11.7670039477392</v>
      </c>
      <c r="AB470" s="37">
        <v>6.0640309343797503</v>
      </c>
      <c r="AC470" s="37">
        <v>2.7621669963479398</v>
      </c>
      <c r="AD470" s="37">
        <v>3.0170800957248498</v>
      </c>
      <c r="AE470" s="37">
        <v>3.8065921161865401</v>
      </c>
      <c r="AF470" s="45">
        <v>2.1286238887012101</v>
      </c>
      <c r="AG470" s="45">
        <v>4.5945317717509804</v>
      </c>
      <c r="AH470" s="46">
        <v>6.5297594662850505E-4</v>
      </c>
      <c r="AI470" s="47">
        <v>1.5601461010516799E-3</v>
      </c>
      <c r="AJ470" s="48">
        <v>1.41529657896837</v>
      </c>
      <c r="AK470" s="49">
        <v>6.50262509852063</v>
      </c>
      <c r="AL470" s="31" t="s">
        <v>5874</v>
      </c>
      <c r="AM470" s="31" t="s">
        <v>5876</v>
      </c>
      <c r="AN470" s="31" t="s">
        <v>27421</v>
      </c>
      <c r="AO470" s="31" t="s">
        <v>27422</v>
      </c>
      <c r="AP470" s="31" t="s">
        <v>27423</v>
      </c>
      <c r="AQ470" s="31" t="s">
        <v>27424</v>
      </c>
      <c r="AR470" s="31" t="s">
        <v>27425</v>
      </c>
      <c r="AS470" s="31" t="str">
        <f>"HIST1H2AB"</f>
        <v>HIST1H2AB</v>
      </c>
      <c r="AT470" s="31" t="s">
        <v>27426</v>
      </c>
      <c r="AU470" s="31" t="s">
        <v>13777</v>
      </c>
      <c r="AV470" s="31">
        <v>9606</v>
      </c>
      <c r="AW470" s="50" t="str">
        <f>HYPERLINK("http://www.uniprot.org/uniprot/P04908", "P04908")</f>
        <v>P04908</v>
      </c>
      <c r="AX470" s="31" t="s">
        <v>27427</v>
      </c>
      <c r="AY470" s="31" t="s">
        <v>13772</v>
      </c>
      <c r="AZ470" s="31" t="s">
        <v>15870</v>
      </c>
      <c r="BA470" s="31" t="s">
        <v>13772</v>
      </c>
      <c r="BB470" s="31" t="s">
        <v>13772</v>
      </c>
      <c r="BC470" s="31" t="s">
        <v>13772</v>
      </c>
      <c r="BD470" s="31" t="s">
        <v>13772</v>
      </c>
      <c r="BE470" s="31" t="s">
        <v>13772</v>
      </c>
      <c r="BF470" s="31" t="s">
        <v>15871</v>
      </c>
      <c r="BG470" s="31" t="s">
        <v>15872</v>
      </c>
      <c r="BH470" s="31" t="s">
        <v>13812</v>
      </c>
      <c r="BI470" s="31" t="s">
        <v>27428</v>
      </c>
      <c r="BJ470" s="31" t="s">
        <v>15874</v>
      </c>
      <c r="BK470" s="31" t="s">
        <v>15875</v>
      </c>
      <c r="BL470" s="31" t="s">
        <v>13772</v>
      </c>
      <c r="BM470" s="31" t="s">
        <v>15876</v>
      </c>
    </row>
    <row r="471" spans="1:65">
      <c r="A471">
        <v>120</v>
      </c>
      <c r="B471">
        <v>1</v>
      </c>
      <c r="C471">
        <v>466</v>
      </c>
      <c r="D471" t="s">
        <v>312</v>
      </c>
      <c r="E471" t="s">
        <v>313</v>
      </c>
      <c r="F471" t="s">
        <v>73</v>
      </c>
      <c r="G471">
        <v>54.4</v>
      </c>
      <c r="H471">
        <v>472</v>
      </c>
      <c r="I471">
        <v>52348</v>
      </c>
      <c r="J471" t="s">
        <v>314</v>
      </c>
      <c r="K471" s="3" t="s">
        <v>73</v>
      </c>
      <c r="L471">
        <v>80</v>
      </c>
      <c r="M471">
        <v>80</v>
      </c>
      <c r="N471">
        <v>1</v>
      </c>
      <c r="O471" s="11">
        <f t="shared" si="7"/>
        <v>5.7362930370143834</v>
      </c>
      <c r="P471" s="36">
        <v>2.4232867916694598</v>
      </c>
      <c r="Q471" s="36">
        <v>8.6675770860970207</v>
      </c>
      <c r="R471" s="36">
        <v>0.40019941545306398</v>
      </c>
      <c r="S471" s="36">
        <v>6.0476870366129196</v>
      </c>
      <c r="T471" s="36">
        <v>15.4831744788641</v>
      </c>
      <c r="U471" s="36">
        <v>15.805363192871299</v>
      </c>
      <c r="V471" s="36">
        <v>5.2703114143232002</v>
      </c>
      <c r="W471" s="36">
        <v>2.9195507939469199</v>
      </c>
      <c r="X471" s="37">
        <v>0.19868957331123899</v>
      </c>
      <c r="Y471" s="37">
        <v>0.15766241172207099</v>
      </c>
      <c r="Z471" s="37">
        <v>0.200013587066836</v>
      </c>
      <c r="AA471" s="37">
        <v>0.21163676164998499</v>
      </c>
      <c r="AB471" s="37">
        <v>0.22969814145377901</v>
      </c>
      <c r="AC471" s="37">
        <v>0.19729764259628099</v>
      </c>
      <c r="AD471" s="37">
        <v>33.187881052973303</v>
      </c>
      <c r="AE471" s="37">
        <v>0.38065921161865401</v>
      </c>
      <c r="AF471" s="45">
        <v>-0.79884341665997105</v>
      </c>
      <c r="AG471" s="45">
        <v>-1.6401423118285701</v>
      </c>
      <c r="AH471" s="46">
        <v>0.47543379832434102</v>
      </c>
      <c r="AI471" s="47">
        <v>0.55508762841009396</v>
      </c>
      <c r="AJ471" s="48">
        <v>7.12714377622975</v>
      </c>
      <c r="AK471" s="49">
        <v>4.3454422977990204</v>
      </c>
      <c r="AL471" s="31" t="s">
        <v>5875</v>
      </c>
      <c r="AM471" s="31" t="s">
        <v>5832</v>
      </c>
      <c r="AN471" s="31" t="s">
        <v>14525</v>
      </c>
      <c r="AO471" s="31" t="s">
        <v>14526</v>
      </c>
      <c r="AP471" s="31" t="s">
        <v>14527</v>
      </c>
      <c r="AQ471" s="31" t="s">
        <v>14528</v>
      </c>
      <c r="AR471" s="31" t="s">
        <v>14529</v>
      </c>
      <c r="AS471" s="31" t="str">
        <f>"SELENBP1"</f>
        <v>SELENBP1</v>
      </c>
      <c r="AT471" s="31" t="s">
        <v>14530</v>
      </c>
      <c r="AU471" s="31" t="s">
        <v>13777</v>
      </c>
      <c r="AV471" s="31">
        <v>9606</v>
      </c>
      <c r="AW471" s="50" t="str">
        <f>HYPERLINK("http://www.uniprot.org/uniprot/Q13228", "Q13228")</f>
        <v>Q13228</v>
      </c>
      <c r="AX471" s="31" t="s">
        <v>14531</v>
      </c>
      <c r="AY471" s="31" t="s">
        <v>14347</v>
      </c>
      <c r="AZ471" s="31" t="s">
        <v>14532</v>
      </c>
      <c r="BA471" s="31" t="s">
        <v>13841</v>
      </c>
      <c r="BB471" s="31" t="s">
        <v>13772</v>
      </c>
      <c r="BC471" s="31" t="s">
        <v>13807</v>
      </c>
      <c r="BD471" s="31" t="s">
        <v>13772</v>
      </c>
      <c r="BE471" s="31" t="s">
        <v>14533</v>
      </c>
      <c r="BF471" s="31" t="s">
        <v>13885</v>
      </c>
      <c r="BG471" s="31" t="s">
        <v>13886</v>
      </c>
      <c r="BH471" s="31" t="s">
        <v>13772</v>
      </c>
      <c r="BI471" s="31" t="s">
        <v>14534</v>
      </c>
      <c r="BJ471" s="31" t="s">
        <v>14535</v>
      </c>
      <c r="BK471" s="31" t="s">
        <v>14536</v>
      </c>
      <c r="BL471" s="31" t="s">
        <v>14537</v>
      </c>
      <c r="BM471" s="31" t="s">
        <v>13772</v>
      </c>
    </row>
    <row r="472" spans="1:65">
      <c r="A472">
        <v>175</v>
      </c>
      <c r="B472">
        <v>1</v>
      </c>
      <c r="C472">
        <v>467</v>
      </c>
      <c r="D472" t="s">
        <v>444</v>
      </c>
      <c r="E472" t="s">
        <v>73</v>
      </c>
      <c r="F472" t="s">
        <v>73</v>
      </c>
      <c r="G472">
        <v>16.399999999999999</v>
      </c>
      <c r="H472">
        <v>792</v>
      </c>
      <c r="I472">
        <v>86640</v>
      </c>
      <c r="J472" t="s">
        <v>445</v>
      </c>
      <c r="K472" s="3" t="s">
        <v>73</v>
      </c>
      <c r="L472">
        <v>80</v>
      </c>
      <c r="M472">
        <v>80</v>
      </c>
      <c r="N472">
        <v>1</v>
      </c>
      <c r="O472" s="11">
        <f t="shared" si="7"/>
        <v>5.5013646934263889</v>
      </c>
      <c r="P472" s="36">
        <v>10.9047905625126</v>
      </c>
      <c r="Q472" s="36">
        <v>9.6306412067744702</v>
      </c>
      <c r="R472" s="36">
        <v>11.2055836326858</v>
      </c>
      <c r="S472" s="36">
        <v>18.143061109838801</v>
      </c>
      <c r="T472" s="36">
        <v>7.7415872394320298</v>
      </c>
      <c r="U472" s="36">
        <v>6.50809072647644</v>
      </c>
      <c r="V472" s="36">
        <v>7.3784359800524904</v>
      </c>
      <c r="W472" s="36">
        <v>2.9195507939469199</v>
      </c>
      <c r="X472" s="37">
        <v>0.79475829324495695</v>
      </c>
      <c r="Y472" s="37">
        <v>2.5225985875531398</v>
      </c>
      <c r="Z472" s="37">
        <v>1.60010869653469</v>
      </c>
      <c r="AA472" s="37">
        <v>0.84654704659994096</v>
      </c>
      <c r="AB472" s="37">
        <v>0.91879256581511404</v>
      </c>
      <c r="AC472" s="37">
        <v>2.36757171115537</v>
      </c>
      <c r="AD472" s="37">
        <v>3.0170800957248498</v>
      </c>
      <c r="AE472" s="37">
        <v>1.5226368464746201</v>
      </c>
      <c r="AF472" s="45">
        <v>-2.3451396793986699</v>
      </c>
      <c r="AG472" s="45">
        <v>-5.4769114997315098</v>
      </c>
      <c r="AH472" s="46">
        <v>5.9547551905532796E-7</v>
      </c>
      <c r="AI472" s="47">
        <v>3.1723219851993298E-6</v>
      </c>
      <c r="AJ472" s="48">
        <v>9.3039676564649305</v>
      </c>
      <c r="AK472" s="49">
        <v>1.69876173038783</v>
      </c>
      <c r="AL472" s="31" t="s">
        <v>5875</v>
      </c>
      <c r="AM472" s="31" t="s">
        <v>5876</v>
      </c>
      <c r="AN472" s="31" t="s">
        <v>15168</v>
      </c>
      <c r="AO472" s="31" t="s">
        <v>15169</v>
      </c>
      <c r="AP472" s="31" t="s">
        <v>15170</v>
      </c>
      <c r="AQ472" s="31" t="s">
        <v>15171</v>
      </c>
      <c r="AR472" s="31" t="s">
        <v>15172</v>
      </c>
      <c r="AS472" s="31" t="str">
        <f>"FURIN"</f>
        <v>FURIN</v>
      </c>
      <c r="AT472" s="31" t="s">
        <v>15173</v>
      </c>
      <c r="AU472" s="31" t="s">
        <v>13777</v>
      </c>
      <c r="AV472" s="31">
        <v>9606</v>
      </c>
      <c r="AW472" s="50" t="str">
        <f>HYPERLINK("http://www.uniprot.org/uniprot/P09958", "P09958")</f>
        <v>P09958</v>
      </c>
      <c r="AX472" s="31" t="s">
        <v>15174</v>
      </c>
      <c r="AY472" s="31" t="s">
        <v>13772</v>
      </c>
      <c r="AZ472" s="31" t="s">
        <v>15175</v>
      </c>
      <c r="BA472" s="31" t="s">
        <v>13793</v>
      </c>
      <c r="BB472" s="31" t="s">
        <v>13772</v>
      </c>
      <c r="BC472" s="31" t="s">
        <v>13772</v>
      </c>
      <c r="BD472" s="31" t="s">
        <v>13826</v>
      </c>
      <c r="BE472" s="31" t="s">
        <v>13873</v>
      </c>
      <c r="BF472" s="31" t="s">
        <v>15176</v>
      </c>
      <c r="BG472" s="31" t="s">
        <v>15177</v>
      </c>
      <c r="BH472" s="31" t="s">
        <v>13812</v>
      </c>
      <c r="BI472" s="31" t="s">
        <v>15178</v>
      </c>
      <c r="BJ472" s="31" t="s">
        <v>15179</v>
      </c>
      <c r="BK472" s="31" t="s">
        <v>15180</v>
      </c>
      <c r="BL472" s="31" t="s">
        <v>13772</v>
      </c>
      <c r="BM472" s="31" t="s">
        <v>15181</v>
      </c>
    </row>
    <row r="473" spans="1:65">
      <c r="A473">
        <v>218</v>
      </c>
      <c r="B473">
        <v>1</v>
      </c>
      <c r="C473">
        <v>468</v>
      </c>
      <c r="D473" t="s">
        <v>554</v>
      </c>
      <c r="E473" t="s">
        <v>555</v>
      </c>
      <c r="F473" t="s">
        <v>73</v>
      </c>
      <c r="G473">
        <v>27.4</v>
      </c>
      <c r="H473">
        <v>434</v>
      </c>
      <c r="I473">
        <v>45991</v>
      </c>
      <c r="J473" t="s">
        <v>556</v>
      </c>
      <c r="K473" s="3" t="s">
        <v>73</v>
      </c>
      <c r="L473">
        <v>80</v>
      </c>
      <c r="M473">
        <v>80</v>
      </c>
      <c r="N473">
        <v>1</v>
      </c>
      <c r="O473" s="11">
        <f t="shared" si="7"/>
        <v>5.6926960472375416</v>
      </c>
      <c r="P473" s="36">
        <v>4.8465735833389196</v>
      </c>
      <c r="Q473" s="36">
        <v>7.7045129654195703</v>
      </c>
      <c r="R473" s="36">
        <v>17.608774279934799</v>
      </c>
      <c r="S473" s="36">
        <v>15.119217591532299</v>
      </c>
      <c r="T473" s="36">
        <v>9.4619399593058091</v>
      </c>
      <c r="U473" s="36">
        <v>14.875635946231901</v>
      </c>
      <c r="V473" s="36">
        <v>10.5406228286464</v>
      </c>
      <c r="W473" s="36">
        <v>5.8391015878938397</v>
      </c>
      <c r="X473" s="37">
        <v>0.19868957331123899</v>
      </c>
      <c r="Y473" s="37">
        <v>0.15766241172207099</v>
      </c>
      <c r="Z473" s="37">
        <v>1.60010869653469</v>
      </c>
      <c r="AA473" s="37">
        <v>0.21163676164998499</v>
      </c>
      <c r="AB473" s="37">
        <v>0.22969814145377901</v>
      </c>
      <c r="AC473" s="37">
        <v>0.78919057038512497</v>
      </c>
      <c r="AD473" s="37">
        <v>0.377135011965606</v>
      </c>
      <c r="AE473" s="37">
        <v>1.5226368464746201</v>
      </c>
      <c r="AF473" s="45">
        <v>-3.9014938247862498</v>
      </c>
      <c r="AG473" s="45">
        <v>-16.905930754740499</v>
      </c>
      <c r="AH473" s="46">
        <v>5.3902069516234399E-12</v>
      </c>
      <c r="AI473" s="47">
        <v>1.27576396566052E-10</v>
      </c>
      <c r="AJ473" s="48">
        <v>10.749547342787899</v>
      </c>
      <c r="AK473" s="49">
        <v>0.63584475168713805</v>
      </c>
      <c r="AL473" s="31" t="s">
        <v>5875</v>
      </c>
      <c r="AM473" s="31" t="s">
        <v>5876</v>
      </c>
      <c r="AN473" s="31" t="s">
        <v>15658</v>
      </c>
      <c r="AO473" s="31" t="s">
        <v>13772</v>
      </c>
      <c r="AP473" s="31" t="s">
        <v>15659</v>
      </c>
      <c r="AQ473" s="31" t="s">
        <v>15660</v>
      </c>
      <c r="AR473" s="31" t="s">
        <v>13772</v>
      </c>
      <c r="AS473" s="31" t="str">
        <f>"ISLR"</f>
        <v>ISLR</v>
      </c>
      <c r="AT473" s="31" t="s">
        <v>13772</v>
      </c>
      <c r="AU473" s="31" t="s">
        <v>13777</v>
      </c>
      <c r="AV473" s="31">
        <v>9606</v>
      </c>
      <c r="AW473" s="50" t="str">
        <f>HYPERLINK("http://www.uniprot.org/uniprot/O14498", "O14498")</f>
        <v>O14498</v>
      </c>
      <c r="AX473" s="31" t="s">
        <v>15661</v>
      </c>
      <c r="AY473" s="31" t="s">
        <v>13772</v>
      </c>
      <c r="AZ473" s="31" t="s">
        <v>14321</v>
      </c>
      <c r="BA473" s="31" t="s">
        <v>13793</v>
      </c>
      <c r="BB473" s="31" t="s">
        <v>13772</v>
      </c>
      <c r="BC473" s="31" t="s">
        <v>13772</v>
      </c>
      <c r="BD473" s="31" t="s">
        <v>15662</v>
      </c>
      <c r="BE473" s="31" t="s">
        <v>13772</v>
      </c>
      <c r="BF473" s="31" t="s">
        <v>13772</v>
      </c>
      <c r="BG473" s="31" t="s">
        <v>13796</v>
      </c>
      <c r="BH473" s="31" t="s">
        <v>13772</v>
      </c>
      <c r="BI473" s="31" t="s">
        <v>15663</v>
      </c>
      <c r="BJ473" s="31" t="s">
        <v>15664</v>
      </c>
      <c r="BK473" s="31" t="s">
        <v>13772</v>
      </c>
      <c r="BL473" s="31" t="s">
        <v>13772</v>
      </c>
      <c r="BM473" s="31" t="s">
        <v>15665</v>
      </c>
    </row>
    <row r="474" spans="1:65">
      <c r="A474">
        <v>507</v>
      </c>
      <c r="B474">
        <v>1</v>
      </c>
      <c r="C474">
        <v>469</v>
      </c>
      <c r="D474" t="s">
        <v>1278</v>
      </c>
      <c r="E474" t="s">
        <v>1279</v>
      </c>
      <c r="F474" t="s">
        <v>73</v>
      </c>
      <c r="G474">
        <v>20.7</v>
      </c>
      <c r="H474">
        <v>1157</v>
      </c>
      <c r="I474">
        <v>123513</v>
      </c>
      <c r="J474" t="s">
        <v>1280</v>
      </c>
      <c r="K474" s="3" t="s">
        <v>73</v>
      </c>
      <c r="L474">
        <v>80</v>
      </c>
      <c r="M474">
        <v>80</v>
      </c>
      <c r="N474">
        <v>1</v>
      </c>
      <c r="O474" s="11">
        <f t="shared" si="7"/>
        <v>5.0157467916778158</v>
      </c>
      <c r="P474" s="36">
        <v>8.4815037708430996</v>
      </c>
      <c r="Q474" s="36">
        <v>8.6675770860970207</v>
      </c>
      <c r="R474" s="36">
        <v>3.2015953236245198</v>
      </c>
      <c r="S474" s="36">
        <v>9.0715305549193808</v>
      </c>
      <c r="T474" s="36">
        <v>6.0212345195582504</v>
      </c>
      <c r="U474" s="36">
        <v>13.0161814529529</v>
      </c>
      <c r="V474" s="36">
        <v>16.8649965258343</v>
      </c>
      <c r="W474" s="36">
        <v>5.8391015878938397</v>
      </c>
      <c r="X474" s="37">
        <v>0.19868957331123899</v>
      </c>
      <c r="Y474" s="37">
        <v>0.63064964688828595</v>
      </c>
      <c r="Z474" s="37">
        <v>1.60010869653469</v>
      </c>
      <c r="AA474" s="37">
        <v>0.21163676164998499</v>
      </c>
      <c r="AB474" s="37">
        <v>1.8375851316302301</v>
      </c>
      <c r="AC474" s="37">
        <v>1.5783811407702499</v>
      </c>
      <c r="AD474" s="37">
        <v>1.50854004786242</v>
      </c>
      <c r="AE474" s="37">
        <v>1.5226368464746201</v>
      </c>
      <c r="AF474" s="45">
        <v>-2.9325355530989898</v>
      </c>
      <c r="AG474" s="45">
        <v>-7.8303187413948701</v>
      </c>
      <c r="AH474" s="46">
        <v>1.15610013580934E-8</v>
      </c>
      <c r="AI474" s="47">
        <v>1.0893394237414799E-7</v>
      </c>
      <c r="AJ474" s="48">
        <v>8.8954651027154004</v>
      </c>
      <c r="AK474" s="49">
        <v>1.1360284806402099</v>
      </c>
      <c r="AL474" s="31" t="s">
        <v>5875</v>
      </c>
      <c r="AM474" s="31" t="s">
        <v>5876</v>
      </c>
      <c r="AN474" s="31" t="s">
        <v>18784</v>
      </c>
      <c r="AO474" s="31" t="s">
        <v>18785</v>
      </c>
      <c r="AP474" s="31" t="s">
        <v>18786</v>
      </c>
      <c r="AQ474" s="31" t="s">
        <v>18787</v>
      </c>
      <c r="AR474" s="31" t="s">
        <v>18788</v>
      </c>
      <c r="AS474" s="31" t="str">
        <f>"NCAM1"</f>
        <v>NCAM1</v>
      </c>
      <c r="AT474" s="31" t="s">
        <v>18789</v>
      </c>
      <c r="AU474" s="31" t="s">
        <v>13777</v>
      </c>
      <c r="AV474" s="31">
        <v>9606</v>
      </c>
      <c r="AW474" s="50" t="str">
        <f>HYPERLINK("http://www.uniprot.org/uniprot/P13591", "P13591")</f>
        <v>P13591</v>
      </c>
      <c r="AX474" s="31" t="s">
        <v>18790</v>
      </c>
      <c r="AY474" s="31" t="s">
        <v>16592</v>
      </c>
      <c r="AZ474" s="31" t="s">
        <v>14336</v>
      </c>
      <c r="BA474" s="31" t="s">
        <v>13780</v>
      </c>
      <c r="BB474" s="31" t="s">
        <v>13772</v>
      </c>
      <c r="BC474" s="31" t="s">
        <v>13772</v>
      </c>
      <c r="BD474" s="31" t="s">
        <v>13951</v>
      </c>
      <c r="BE474" s="31" t="s">
        <v>13772</v>
      </c>
      <c r="BF474" s="31" t="s">
        <v>18791</v>
      </c>
      <c r="BG474" s="31" t="s">
        <v>16276</v>
      </c>
      <c r="BH474" s="31" t="s">
        <v>13812</v>
      </c>
      <c r="BI474" s="31" t="s">
        <v>18792</v>
      </c>
      <c r="BJ474" s="31" t="s">
        <v>18793</v>
      </c>
      <c r="BK474" s="31" t="s">
        <v>18794</v>
      </c>
      <c r="BL474" s="31" t="s">
        <v>13772</v>
      </c>
      <c r="BM474" s="31" t="s">
        <v>18795</v>
      </c>
    </row>
    <row r="475" spans="1:65">
      <c r="A475">
        <v>793</v>
      </c>
      <c r="B475">
        <v>1</v>
      </c>
      <c r="C475">
        <v>470</v>
      </c>
      <c r="D475" t="s">
        <v>1946</v>
      </c>
      <c r="E475" t="s">
        <v>1947</v>
      </c>
      <c r="F475" t="s">
        <v>73</v>
      </c>
      <c r="G475">
        <v>28.5</v>
      </c>
      <c r="H475">
        <v>583</v>
      </c>
      <c r="I475">
        <v>64947</v>
      </c>
      <c r="J475" t="s">
        <v>1948</v>
      </c>
      <c r="K475" s="3" t="s">
        <v>73</v>
      </c>
      <c r="L475">
        <v>80</v>
      </c>
      <c r="M475">
        <v>80</v>
      </c>
      <c r="N475">
        <v>1</v>
      </c>
      <c r="O475" s="11">
        <f t="shared" si="7"/>
        <v>4.8215906711373515</v>
      </c>
      <c r="P475" s="36">
        <v>8.4815037708430996</v>
      </c>
      <c r="Q475" s="36">
        <v>6.7414488447421297</v>
      </c>
      <c r="R475" s="36">
        <v>6.4031906472490299</v>
      </c>
      <c r="S475" s="36">
        <v>1.5119217591532299</v>
      </c>
      <c r="T475" s="36">
        <v>6.8814108794951396</v>
      </c>
      <c r="U475" s="36">
        <v>3.7189089865579601</v>
      </c>
      <c r="V475" s="36">
        <v>13.7028096772403</v>
      </c>
      <c r="W475" s="36">
        <v>10.7050195778054</v>
      </c>
      <c r="X475" s="37">
        <v>0.19868957331123899</v>
      </c>
      <c r="Y475" s="37">
        <v>5.6758468219945701</v>
      </c>
      <c r="Z475" s="37">
        <v>7.2004891344060802</v>
      </c>
      <c r="AA475" s="37">
        <v>2.5396411397998202</v>
      </c>
      <c r="AB475" s="37">
        <v>1.8375851316302301</v>
      </c>
      <c r="AC475" s="37">
        <v>0.78919057038512497</v>
      </c>
      <c r="AD475" s="37">
        <v>0.377135011965606</v>
      </c>
      <c r="AE475" s="37">
        <v>0.38065921161865401</v>
      </c>
      <c r="AF475" s="45">
        <v>-1.4669441677824</v>
      </c>
      <c r="AG475" s="45">
        <v>-3.0604500266104302</v>
      </c>
      <c r="AH475" s="46">
        <v>7.0928627039265699E-3</v>
      </c>
      <c r="AI475" s="47">
        <v>1.35188750681677E-2</v>
      </c>
      <c r="AJ475" s="48">
        <v>7.2682767678857898</v>
      </c>
      <c r="AK475" s="49">
        <v>2.3749045743889199</v>
      </c>
      <c r="AL475" s="31" t="s">
        <v>5875</v>
      </c>
      <c r="AM475" s="31" t="s">
        <v>5878</v>
      </c>
      <c r="AN475" s="31" t="s">
        <v>21608</v>
      </c>
      <c r="AO475" s="31" t="s">
        <v>21609</v>
      </c>
      <c r="AP475" s="31" t="s">
        <v>21610</v>
      </c>
      <c r="AQ475" s="31" t="s">
        <v>21611</v>
      </c>
      <c r="AR475" s="31" t="s">
        <v>21612</v>
      </c>
      <c r="AS475" s="31" t="str">
        <f>"ALCAM"</f>
        <v>ALCAM</v>
      </c>
      <c r="AT475" s="31" t="s">
        <v>21613</v>
      </c>
      <c r="AU475" s="31" t="s">
        <v>13777</v>
      </c>
      <c r="AV475" s="31">
        <v>9606</v>
      </c>
      <c r="AW475" s="50" t="str">
        <f>HYPERLINK("http://www.uniprot.org/uniprot/Q13740", "Q13740")</f>
        <v>Q13740</v>
      </c>
      <c r="AX475" s="31" t="s">
        <v>21614</v>
      </c>
      <c r="AY475" s="31" t="s">
        <v>21615</v>
      </c>
      <c r="AZ475" s="31" t="s">
        <v>21616</v>
      </c>
      <c r="BA475" s="31" t="s">
        <v>13780</v>
      </c>
      <c r="BB475" s="31" t="s">
        <v>13772</v>
      </c>
      <c r="BC475" s="31" t="s">
        <v>13772</v>
      </c>
      <c r="BD475" s="31" t="s">
        <v>13951</v>
      </c>
      <c r="BE475" s="31" t="s">
        <v>13772</v>
      </c>
      <c r="BF475" s="31" t="s">
        <v>13772</v>
      </c>
      <c r="BG475" s="31" t="s">
        <v>13796</v>
      </c>
      <c r="BH475" s="31" t="s">
        <v>13812</v>
      </c>
      <c r="BI475" s="31" t="s">
        <v>21617</v>
      </c>
      <c r="BJ475" s="31" t="s">
        <v>21618</v>
      </c>
      <c r="BK475" s="31" t="s">
        <v>21409</v>
      </c>
      <c r="BL475" s="31" t="s">
        <v>13772</v>
      </c>
      <c r="BM475" s="31" t="s">
        <v>18478</v>
      </c>
    </row>
    <row r="476" spans="1:65">
      <c r="A476">
        <v>1099</v>
      </c>
      <c r="B476">
        <v>1</v>
      </c>
      <c r="C476">
        <v>471</v>
      </c>
      <c r="D476" t="s">
        <v>2644</v>
      </c>
      <c r="E476" t="s">
        <v>73</v>
      </c>
      <c r="F476" t="s">
        <v>73</v>
      </c>
      <c r="G476">
        <v>16.899999999999999</v>
      </c>
      <c r="H476">
        <v>946</v>
      </c>
      <c r="I476">
        <v>106535</v>
      </c>
      <c r="J476" t="s">
        <v>2645</v>
      </c>
      <c r="K476" s="3" t="s">
        <v>73</v>
      </c>
      <c r="L476">
        <v>80</v>
      </c>
      <c r="M476">
        <v>80</v>
      </c>
      <c r="N476">
        <v>1</v>
      </c>
      <c r="O476" s="11">
        <f t="shared" si="7"/>
        <v>3.5145910272334513</v>
      </c>
      <c r="P476" s="36">
        <v>4.8465735833389196</v>
      </c>
      <c r="Q476" s="36">
        <v>2.8891923620323401</v>
      </c>
      <c r="R476" s="36">
        <v>1.6007976618122599</v>
      </c>
      <c r="S476" s="36">
        <v>3.0238435183064598</v>
      </c>
      <c r="T476" s="36">
        <v>2.5805290798106801</v>
      </c>
      <c r="U476" s="36">
        <v>6.50809072647644</v>
      </c>
      <c r="V476" s="36">
        <v>2.10812456572928</v>
      </c>
      <c r="W476" s="36">
        <v>2.9195507939469199</v>
      </c>
      <c r="X476" s="37">
        <v>1.5895165864899099</v>
      </c>
      <c r="Y476" s="37">
        <v>1.89194894066486</v>
      </c>
      <c r="Z476" s="37">
        <v>5.6003804378713999</v>
      </c>
      <c r="AA476" s="37">
        <v>6.7723763727995303</v>
      </c>
      <c r="AB476" s="37">
        <v>0.91879256581511404</v>
      </c>
      <c r="AC476" s="37">
        <v>2.36757171115537</v>
      </c>
      <c r="AD476" s="37">
        <v>4.5256201435872701</v>
      </c>
      <c r="AE476" s="37">
        <v>6.0905473858984696</v>
      </c>
      <c r="AF476" s="45">
        <v>7.1518009282619893E-2</v>
      </c>
      <c r="AG476" s="45">
        <v>1.1238844557272301</v>
      </c>
      <c r="AH476" s="46">
        <v>0.82799250038392902</v>
      </c>
      <c r="AI476" s="47">
        <v>0.87646674486843101</v>
      </c>
      <c r="AJ476" s="48">
        <v>3.3095877864316599</v>
      </c>
      <c r="AK476" s="49">
        <v>3.7195942680352401</v>
      </c>
      <c r="AL476" s="31" t="s">
        <v>5874</v>
      </c>
      <c r="AM476" s="31" t="s">
        <v>5832</v>
      </c>
      <c r="AN476" s="31" t="s">
        <v>24432</v>
      </c>
      <c r="AO476" s="31" t="s">
        <v>24433</v>
      </c>
      <c r="AP476" s="31" t="s">
        <v>24434</v>
      </c>
      <c r="AQ476" s="31" t="s">
        <v>24435</v>
      </c>
      <c r="AR476" s="31" t="s">
        <v>24436</v>
      </c>
      <c r="AS476" s="31" t="str">
        <f>"ITIH2"</f>
        <v>ITIH2</v>
      </c>
      <c r="AT476" s="31" t="s">
        <v>24437</v>
      </c>
      <c r="AU476" s="31" t="s">
        <v>13777</v>
      </c>
      <c r="AV476" s="31">
        <v>9606</v>
      </c>
      <c r="AW476" s="50" t="str">
        <f>HYPERLINK("http://www.uniprot.org/uniprot/P19823", "P19823")</f>
        <v>P19823</v>
      </c>
      <c r="AX476" s="31" t="s">
        <v>24438</v>
      </c>
      <c r="AY476" s="31" t="s">
        <v>13772</v>
      </c>
      <c r="AZ476" s="31" t="s">
        <v>14321</v>
      </c>
      <c r="BA476" s="31" t="s">
        <v>13793</v>
      </c>
      <c r="BB476" s="31" t="s">
        <v>13772</v>
      </c>
      <c r="BC476" s="31" t="s">
        <v>13772</v>
      </c>
      <c r="BD476" s="31" t="s">
        <v>13808</v>
      </c>
      <c r="BE476" s="31" t="s">
        <v>13772</v>
      </c>
      <c r="BF476" s="31" t="s">
        <v>14375</v>
      </c>
      <c r="BG476" s="31" t="s">
        <v>24439</v>
      </c>
      <c r="BH476" s="31" t="s">
        <v>13772</v>
      </c>
      <c r="BI476" s="31" t="s">
        <v>24440</v>
      </c>
      <c r="BJ476" s="31" t="s">
        <v>24441</v>
      </c>
      <c r="BK476" s="31" t="s">
        <v>20851</v>
      </c>
      <c r="BL476" s="31" t="s">
        <v>13772</v>
      </c>
      <c r="BM476" s="31" t="s">
        <v>17241</v>
      </c>
    </row>
    <row r="477" spans="1:65">
      <c r="A477">
        <v>2234</v>
      </c>
      <c r="B477">
        <v>1</v>
      </c>
      <c r="C477">
        <v>472</v>
      </c>
      <c r="D477" t="s">
        <v>5225</v>
      </c>
      <c r="E477" t="s">
        <v>73</v>
      </c>
      <c r="F477" t="s">
        <v>73</v>
      </c>
      <c r="G477">
        <v>31</v>
      </c>
      <c r="H477">
        <v>481</v>
      </c>
      <c r="I477">
        <v>53659</v>
      </c>
      <c r="J477" t="s">
        <v>5226</v>
      </c>
      <c r="K477" s="3" t="s">
        <v>73</v>
      </c>
      <c r="L477">
        <v>80</v>
      </c>
      <c r="M477">
        <v>80</v>
      </c>
      <c r="N477">
        <v>1</v>
      </c>
      <c r="O477" s="11">
        <f t="shared" si="7"/>
        <v>3.0830586393638506</v>
      </c>
      <c r="P477" s="36">
        <v>0.30291084895868198</v>
      </c>
      <c r="Q477" s="36">
        <v>0.24076603016936199</v>
      </c>
      <c r="R477" s="36">
        <v>0.40019941545306398</v>
      </c>
      <c r="S477" s="36">
        <v>0.37798043978830698</v>
      </c>
      <c r="T477" s="36">
        <v>0.215044089984223</v>
      </c>
      <c r="U477" s="36">
        <v>1.85945449327898</v>
      </c>
      <c r="V477" s="36">
        <v>1.05406228286464</v>
      </c>
      <c r="W477" s="36">
        <v>0.97318359798230603</v>
      </c>
      <c r="X477" s="37">
        <v>4.7685497594697397</v>
      </c>
      <c r="Y477" s="37">
        <v>1.2612992937765699</v>
      </c>
      <c r="Z477" s="37">
        <v>0.80005434826734301</v>
      </c>
      <c r="AA477" s="37">
        <v>9.3120175125993505</v>
      </c>
      <c r="AB477" s="37">
        <v>1.8375851316302301</v>
      </c>
      <c r="AC477" s="37">
        <v>3.1567622815404999</v>
      </c>
      <c r="AD477" s="37">
        <v>7.5427002393121096</v>
      </c>
      <c r="AE477" s="37">
        <v>15.2263684647462</v>
      </c>
      <c r="AF477" s="45">
        <v>2.6793770006702</v>
      </c>
      <c r="AG477" s="45">
        <v>8.0952369882303099</v>
      </c>
      <c r="AH477" s="46">
        <v>2.95571641809076E-4</v>
      </c>
      <c r="AI477" s="47">
        <v>7.4900541049345397E-4</v>
      </c>
      <c r="AJ477" s="48">
        <v>0.67795014980994595</v>
      </c>
      <c r="AK477" s="49">
        <v>5.48816712891775</v>
      </c>
      <c r="AL477" s="31" t="s">
        <v>5874</v>
      </c>
      <c r="AM477" s="31" t="s">
        <v>5876</v>
      </c>
      <c r="AN477" s="31" t="s">
        <v>35087</v>
      </c>
      <c r="AO477" s="31" t="s">
        <v>13772</v>
      </c>
      <c r="AP477" s="31" t="s">
        <v>35088</v>
      </c>
      <c r="AQ477" s="31" t="s">
        <v>35089</v>
      </c>
      <c r="AR477" s="31" t="s">
        <v>35090</v>
      </c>
      <c r="AS477" s="31" t="str">
        <f>"LBP"</f>
        <v>LBP</v>
      </c>
      <c r="AT477" s="31" t="s">
        <v>13772</v>
      </c>
      <c r="AU477" s="31" t="s">
        <v>13777</v>
      </c>
      <c r="AV477" s="31">
        <v>9606</v>
      </c>
      <c r="AW477" s="50" t="str">
        <f>HYPERLINK("http://www.uniprot.org/uniprot/P18428", "P18428")</f>
        <v>P18428</v>
      </c>
      <c r="AX477" s="31" t="s">
        <v>35091</v>
      </c>
      <c r="AY477" s="31" t="s">
        <v>35092</v>
      </c>
      <c r="AZ477" s="31" t="s">
        <v>17261</v>
      </c>
      <c r="BA477" s="31" t="s">
        <v>13793</v>
      </c>
      <c r="BB477" s="31" t="s">
        <v>13772</v>
      </c>
      <c r="BC477" s="31" t="s">
        <v>13772</v>
      </c>
      <c r="BD477" s="31" t="s">
        <v>13808</v>
      </c>
      <c r="BE477" s="31" t="s">
        <v>13772</v>
      </c>
      <c r="BF477" s="31" t="s">
        <v>21730</v>
      </c>
      <c r="BG477" s="31" t="s">
        <v>13796</v>
      </c>
      <c r="BH477" s="31" t="s">
        <v>13772</v>
      </c>
      <c r="BI477" s="31" t="s">
        <v>35093</v>
      </c>
      <c r="BJ477" s="31" t="s">
        <v>35094</v>
      </c>
      <c r="BK477" s="31" t="s">
        <v>35095</v>
      </c>
      <c r="BL477" s="31" t="s">
        <v>13772</v>
      </c>
      <c r="BM477" s="31" t="s">
        <v>35096</v>
      </c>
    </row>
    <row r="478" spans="1:65">
      <c r="A478">
        <v>137</v>
      </c>
      <c r="B478">
        <v>1</v>
      </c>
      <c r="C478">
        <v>473</v>
      </c>
      <c r="D478" t="s">
        <v>358</v>
      </c>
      <c r="E478" t="s">
        <v>73</v>
      </c>
      <c r="F478" t="s">
        <v>73</v>
      </c>
      <c r="G478">
        <v>51.7</v>
      </c>
      <c r="H478">
        <v>149</v>
      </c>
      <c r="I478">
        <v>16837</v>
      </c>
      <c r="J478" t="s">
        <v>360</v>
      </c>
      <c r="K478" s="3" t="s">
        <v>73</v>
      </c>
      <c r="L478">
        <v>80</v>
      </c>
      <c r="M478">
        <v>77</v>
      </c>
      <c r="N478">
        <v>0.96299999999999997</v>
      </c>
      <c r="O478" s="11">
        <f t="shared" si="7"/>
        <v>4.5788768846302448</v>
      </c>
      <c r="P478" s="36">
        <v>2.4232867916694598</v>
      </c>
      <c r="Q478" s="36">
        <v>4.8153206033872298</v>
      </c>
      <c r="R478" s="36">
        <v>3.2015953236245198</v>
      </c>
      <c r="S478" s="36">
        <v>0.37798043978830698</v>
      </c>
      <c r="T478" s="36">
        <v>3.4407054397475698</v>
      </c>
      <c r="U478" s="36">
        <v>6.50809072647644</v>
      </c>
      <c r="V478" s="36">
        <v>5.2703114143232002</v>
      </c>
      <c r="W478" s="36">
        <v>9.5371992602266005</v>
      </c>
      <c r="X478" s="37">
        <v>5.5633080527147003</v>
      </c>
      <c r="Y478" s="37">
        <v>4.4145475282179998</v>
      </c>
      <c r="Z478" s="37">
        <v>2.4001630448020301</v>
      </c>
      <c r="AA478" s="37">
        <v>1.6930940931998799</v>
      </c>
      <c r="AB478" s="37">
        <v>7.3503405265209096</v>
      </c>
      <c r="AC478" s="37">
        <v>8.6810962742363706</v>
      </c>
      <c r="AD478" s="37">
        <v>3.0170800957248498</v>
      </c>
      <c r="AE478" s="37">
        <v>4.5679105394238499</v>
      </c>
      <c r="AF478" s="45">
        <v>4.0843106548632997E-2</v>
      </c>
      <c r="AG478" s="45">
        <v>1.05939790438717</v>
      </c>
      <c r="AH478" s="46">
        <v>1</v>
      </c>
      <c r="AI478" s="47">
        <v>1</v>
      </c>
      <c r="AJ478" s="48">
        <v>4.4468112499054202</v>
      </c>
      <c r="AK478" s="49">
        <v>4.7109425193550702</v>
      </c>
      <c r="AL478" s="31" t="s">
        <v>5874</v>
      </c>
      <c r="AM478" s="31" t="s">
        <v>5832</v>
      </c>
      <c r="AN478" s="31" t="s">
        <v>14731</v>
      </c>
      <c r="AO478" s="31" t="s">
        <v>13772</v>
      </c>
      <c r="AP478" s="31" t="s">
        <v>14732</v>
      </c>
      <c r="AQ478" s="31" t="s">
        <v>14733</v>
      </c>
      <c r="AR478" s="31" t="s">
        <v>14734</v>
      </c>
      <c r="AS478" s="31" t="str">
        <f>"CALM3"</f>
        <v>CALM3</v>
      </c>
      <c r="AT478" s="31" t="s">
        <v>13772</v>
      </c>
      <c r="AU478" s="31" t="s">
        <v>13777</v>
      </c>
      <c r="AV478" s="31">
        <v>9606</v>
      </c>
      <c r="AW478" s="50" t="str">
        <f>HYPERLINK("http://www.uniprot.org/uniprot/P0DP25", "P0DP25")</f>
        <v>P0DP25</v>
      </c>
      <c r="AX478" s="31" t="s">
        <v>14735</v>
      </c>
      <c r="AY478" s="31" t="s">
        <v>13772</v>
      </c>
      <c r="AZ478" s="31" t="s">
        <v>13988</v>
      </c>
      <c r="BA478" s="31" t="s">
        <v>13793</v>
      </c>
      <c r="BB478" s="31" t="s">
        <v>13772</v>
      </c>
      <c r="BC478" s="31" t="s">
        <v>14736</v>
      </c>
      <c r="BD478" s="31" t="s">
        <v>14096</v>
      </c>
      <c r="BE478" s="31" t="s">
        <v>13873</v>
      </c>
      <c r="BF478" s="31" t="s">
        <v>13772</v>
      </c>
      <c r="BG478" s="31" t="s">
        <v>14663</v>
      </c>
      <c r="BH478" s="31" t="s">
        <v>13812</v>
      </c>
      <c r="BI478" s="31" t="s">
        <v>14737</v>
      </c>
      <c r="BJ478" s="31" t="s">
        <v>14738</v>
      </c>
      <c r="BK478" s="31" t="s">
        <v>14739</v>
      </c>
      <c r="BL478" s="31" t="s">
        <v>13772</v>
      </c>
      <c r="BM478" s="31" t="s">
        <v>13772</v>
      </c>
    </row>
    <row r="479" spans="1:65">
      <c r="A479">
        <v>849</v>
      </c>
      <c r="B479">
        <v>1</v>
      </c>
      <c r="C479">
        <v>474</v>
      </c>
      <c r="D479" t="s">
        <v>2083</v>
      </c>
      <c r="E479" t="s">
        <v>73</v>
      </c>
      <c r="F479" t="s">
        <v>73</v>
      </c>
      <c r="G479">
        <v>51.5</v>
      </c>
      <c r="H479">
        <v>198</v>
      </c>
      <c r="I479">
        <v>21935</v>
      </c>
      <c r="J479" t="s">
        <v>2084</v>
      </c>
      <c r="K479" s="3" t="s">
        <v>73</v>
      </c>
      <c r="L479">
        <v>93</v>
      </c>
      <c r="M479">
        <v>73</v>
      </c>
      <c r="N479">
        <v>0.78500000000000003</v>
      </c>
      <c r="O479" s="11">
        <f t="shared" si="7"/>
        <v>4.5174301864769815</v>
      </c>
      <c r="P479" s="36">
        <v>5.6947239604232296</v>
      </c>
      <c r="Q479" s="36">
        <v>4.2374821309807702</v>
      </c>
      <c r="R479" s="36">
        <v>2.08103696035593</v>
      </c>
      <c r="S479" s="36">
        <v>0.37798043978830698</v>
      </c>
      <c r="T479" s="36">
        <v>6.3653050635330004</v>
      </c>
      <c r="U479" s="36">
        <v>6.8799816251322303</v>
      </c>
      <c r="V479" s="36">
        <v>2.4243432505886702</v>
      </c>
      <c r="W479" s="36">
        <v>6.3256933868849901</v>
      </c>
      <c r="X479" s="37">
        <v>17.4052066220646</v>
      </c>
      <c r="Y479" s="37">
        <v>2.7117934816196301</v>
      </c>
      <c r="Z479" s="37">
        <v>2.7201847841089699</v>
      </c>
      <c r="AA479" s="37">
        <v>2.7089505491198098</v>
      </c>
      <c r="AB479" s="37">
        <v>5.8802724212167297</v>
      </c>
      <c r="AC479" s="37">
        <v>4.2616290800796799</v>
      </c>
      <c r="AD479" s="37">
        <v>0.377135011965606</v>
      </c>
      <c r="AE479" s="37">
        <v>1.82716421576954</v>
      </c>
      <c r="AF479" s="45">
        <v>0.141216599959686</v>
      </c>
      <c r="AG479" s="45">
        <v>1.10195235266992</v>
      </c>
      <c r="AH479" s="46">
        <v>0.83563440459276594</v>
      </c>
      <c r="AI479" s="47">
        <v>0.88315863613358703</v>
      </c>
      <c r="AJ479" s="48">
        <v>4.2983183522108899</v>
      </c>
      <c r="AK479" s="49">
        <v>4.7365420207430704</v>
      </c>
      <c r="AL479" s="31" t="s">
        <v>5874</v>
      </c>
      <c r="AM479" s="31" t="s">
        <v>5832</v>
      </c>
      <c r="AN479" s="31" t="s">
        <v>22159</v>
      </c>
      <c r="AO479" s="31" t="s">
        <v>22160</v>
      </c>
      <c r="AP479" s="31" t="s">
        <v>22161</v>
      </c>
      <c r="AQ479" s="31" t="s">
        <v>22162</v>
      </c>
      <c r="AR479" s="31" t="s">
        <v>22163</v>
      </c>
      <c r="AS479" s="31" t="str">
        <f>"PRDX2"</f>
        <v>PRDX2</v>
      </c>
      <c r="AT479" s="31" t="s">
        <v>22164</v>
      </c>
      <c r="AU479" s="31" t="s">
        <v>13777</v>
      </c>
      <c r="AV479" s="31">
        <v>9606</v>
      </c>
      <c r="AW479" s="50" t="str">
        <f>HYPERLINK("http://www.uniprot.org/uniprot/P32119", "P32119")</f>
        <v>P32119</v>
      </c>
      <c r="AX479" s="31" t="s">
        <v>22165</v>
      </c>
      <c r="AY479" s="31" t="s">
        <v>13772</v>
      </c>
      <c r="AZ479" s="31" t="s">
        <v>13899</v>
      </c>
      <c r="BA479" s="31" t="s">
        <v>13780</v>
      </c>
      <c r="BB479" s="31" t="s">
        <v>13772</v>
      </c>
      <c r="BC479" s="31" t="s">
        <v>13772</v>
      </c>
      <c r="BD479" s="31" t="s">
        <v>18188</v>
      </c>
      <c r="BE479" s="31" t="s">
        <v>13772</v>
      </c>
      <c r="BF479" s="31" t="s">
        <v>18755</v>
      </c>
      <c r="BG479" s="31" t="s">
        <v>15256</v>
      </c>
      <c r="BH479" s="31" t="s">
        <v>13812</v>
      </c>
      <c r="BI479" s="31" t="s">
        <v>22166</v>
      </c>
      <c r="BJ479" s="31" t="s">
        <v>14194</v>
      </c>
      <c r="BK479" s="31" t="s">
        <v>22167</v>
      </c>
      <c r="BL479" s="31" t="s">
        <v>13772</v>
      </c>
      <c r="BM479" s="31" t="s">
        <v>18760</v>
      </c>
    </row>
    <row r="480" spans="1:65">
      <c r="A480">
        <v>60</v>
      </c>
      <c r="B480">
        <v>1</v>
      </c>
      <c r="C480">
        <v>475</v>
      </c>
      <c r="D480" t="s">
        <v>173</v>
      </c>
      <c r="E480" t="s">
        <v>174</v>
      </c>
      <c r="F480" t="s">
        <v>73</v>
      </c>
      <c r="G480">
        <v>40.200000000000003</v>
      </c>
      <c r="H480">
        <v>184</v>
      </c>
      <c r="I480">
        <v>20150</v>
      </c>
      <c r="J480" t="s">
        <v>175</v>
      </c>
      <c r="K480" s="3" t="s">
        <v>73</v>
      </c>
      <c r="L480">
        <v>79</v>
      </c>
      <c r="M480">
        <v>79</v>
      </c>
      <c r="N480">
        <v>1</v>
      </c>
      <c r="O480" s="11">
        <f t="shared" si="7"/>
        <v>4.3196802679741877</v>
      </c>
      <c r="P480" s="36">
        <v>0.30291084895868198</v>
      </c>
      <c r="Q480" s="36">
        <v>2.8891923620323401</v>
      </c>
      <c r="R480" s="36">
        <v>0.40019941545306398</v>
      </c>
      <c r="S480" s="36">
        <v>0.37798043978830698</v>
      </c>
      <c r="T480" s="36">
        <v>2.5805290798106801</v>
      </c>
      <c r="U480" s="36">
        <v>0.23243181165987301</v>
      </c>
      <c r="V480" s="36">
        <v>0.26351557071616</v>
      </c>
      <c r="W480" s="36">
        <v>0.24329589949557701</v>
      </c>
      <c r="X480" s="37">
        <v>12.716132691919301</v>
      </c>
      <c r="Y480" s="37">
        <v>7.5677957626594301</v>
      </c>
      <c r="Z480" s="37">
        <v>4.0002717413367099</v>
      </c>
      <c r="AA480" s="37">
        <v>6.7723763727995303</v>
      </c>
      <c r="AB480" s="37">
        <v>15.619473618856899</v>
      </c>
      <c r="AC480" s="37">
        <v>8.6810962742363706</v>
      </c>
      <c r="AD480" s="37">
        <v>0.377135011965606</v>
      </c>
      <c r="AE480" s="37">
        <v>6.0905473858984696</v>
      </c>
      <c r="AF480" s="45">
        <v>2.8473409568101999</v>
      </c>
      <c r="AG480" s="45">
        <v>8.4807076531868493</v>
      </c>
      <c r="AH480" s="46">
        <v>8.1240539053332904E-6</v>
      </c>
      <c r="AI480" s="47">
        <v>3.0533663273415602E-5</v>
      </c>
      <c r="AJ480" s="48">
        <v>0.91125692848933504</v>
      </c>
      <c r="AK480" s="49">
        <v>7.7281036074590501</v>
      </c>
      <c r="AL480" s="31" t="s">
        <v>5874</v>
      </c>
      <c r="AM480" s="31" t="s">
        <v>5876</v>
      </c>
      <c r="AN480" s="31" t="s">
        <v>13833</v>
      </c>
      <c r="AO480" s="31" t="s">
        <v>13834</v>
      </c>
      <c r="AP480" s="31" t="s">
        <v>13835</v>
      </c>
      <c r="AQ480" s="31" t="s">
        <v>13836</v>
      </c>
      <c r="AR480" s="31" t="s">
        <v>13837</v>
      </c>
      <c r="AS480" s="31" t="str">
        <f>"EIF5A"</f>
        <v>EIF5A</v>
      </c>
      <c r="AT480" s="31" t="s">
        <v>13772</v>
      </c>
      <c r="AU480" s="31" t="s">
        <v>13777</v>
      </c>
      <c r="AV480" s="31">
        <v>9606</v>
      </c>
      <c r="AW480" s="50" t="str">
        <f>HYPERLINK("http://www.uniprot.org/uniprot/P63241", "P63241")</f>
        <v>P63241</v>
      </c>
      <c r="AX480" s="31" t="s">
        <v>13838</v>
      </c>
      <c r="AY480" s="31" t="s">
        <v>13839</v>
      </c>
      <c r="AZ480" s="31" t="s">
        <v>13840</v>
      </c>
      <c r="BA480" s="31" t="s">
        <v>13841</v>
      </c>
      <c r="BB480" s="31" t="s">
        <v>13772</v>
      </c>
      <c r="BC480" s="31" t="s">
        <v>13772</v>
      </c>
      <c r="BD480" s="31" t="s">
        <v>13772</v>
      </c>
      <c r="BE480" s="31" t="s">
        <v>13772</v>
      </c>
      <c r="BF480" s="31" t="s">
        <v>13842</v>
      </c>
      <c r="BG480" s="31" t="s">
        <v>13843</v>
      </c>
      <c r="BH480" s="31" t="s">
        <v>13812</v>
      </c>
      <c r="BI480" s="31" t="s">
        <v>13844</v>
      </c>
      <c r="BJ480" s="31" t="s">
        <v>13845</v>
      </c>
      <c r="BK480" s="31" t="s">
        <v>13846</v>
      </c>
      <c r="BL480" s="31" t="s">
        <v>13772</v>
      </c>
      <c r="BM480" s="31" t="s">
        <v>13847</v>
      </c>
    </row>
    <row r="481" spans="1:65">
      <c r="A481">
        <v>517</v>
      </c>
      <c r="B481">
        <v>1</v>
      </c>
      <c r="C481">
        <v>476</v>
      </c>
      <c r="D481" t="s">
        <v>1304</v>
      </c>
      <c r="E481" t="s">
        <v>73</v>
      </c>
      <c r="F481" t="s">
        <v>73</v>
      </c>
      <c r="G481">
        <v>35.1</v>
      </c>
      <c r="H481">
        <v>461</v>
      </c>
      <c r="I481">
        <v>51895</v>
      </c>
      <c r="J481" t="s">
        <v>1305</v>
      </c>
      <c r="K481" s="3" t="s">
        <v>73</v>
      </c>
      <c r="L481">
        <v>79</v>
      </c>
      <c r="M481">
        <v>79</v>
      </c>
      <c r="N481">
        <v>1</v>
      </c>
      <c r="O481" s="11">
        <f t="shared" si="7"/>
        <v>4.8923049240673109</v>
      </c>
      <c r="P481" s="36">
        <v>8.4815037708430996</v>
      </c>
      <c r="Q481" s="36">
        <v>3.85225648270979</v>
      </c>
      <c r="R481" s="36">
        <v>4.8023929854367697</v>
      </c>
      <c r="S481" s="36">
        <v>4.5357652774596904</v>
      </c>
      <c r="T481" s="36">
        <v>4.3008817996844604</v>
      </c>
      <c r="U481" s="36">
        <v>2.7891817399184702</v>
      </c>
      <c r="V481" s="36">
        <v>7.3784359800524904</v>
      </c>
      <c r="W481" s="36">
        <v>8.7586523818407507</v>
      </c>
      <c r="X481" s="37">
        <v>0.19868957331123899</v>
      </c>
      <c r="Y481" s="37">
        <v>3.7838978813297102</v>
      </c>
      <c r="Z481" s="37">
        <v>4.8003260896040603</v>
      </c>
      <c r="AA481" s="37">
        <v>3.3861881863997598</v>
      </c>
      <c r="AB481" s="37">
        <v>2.7563776974453398</v>
      </c>
      <c r="AC481" s="37">
        <v>6.3135245630809997</v>
      </c>
      <c r="AD481" s="37">
        <v>4.5256201435872701</v>
      </c>
      <c r="AE481" s="37">
        <v>7.6131842323730803</v>
      </c>
      <c r="AF481" s="45">
        <v>-0.47043144729419301</v>
      </c>
      <c r="AG481" s="45">
        <v>-1.3451773083507601</v>
      </c>
      <c r="AH481" s="46">
        <v>0.323125362162341</v>
      </c>
      <c r="AI481" s="47">
        <v>0.40330385687799603</v>
      </c>
      <c r="AJ481" s="48">
        <v>5.6123838022431896</v>
      </c>
      <c r="AK481" s="49">
        <v>4.1722260458914304</v>
      </c>
      <c r="AL481" s="31" t="s">
        <v>5875</v>
      </c>
      <c r="AM481" s="31" t="s">
        <v>5832</v>
      </c>
      <c r="AN481" s="31" t="s">
        <v>18884</v>
      </c>
      <c r="AO481" s="31" t="s">
        <v>18885</v>
      </c>
      <c r="AP481" s="31" t="s">
        <v>18886</v>
      </c>
      <c r="AQ481" s="31" t="s">
        <v>18887</v>
      </c>
      <c r="AR481" s="31" t="s">
        <v>18888</v>
      </c>
      <c r="AS481" s="31" t="str">
        <f>"CTSC"</f>
        <v>CTSC</v>
      </c>
      <c r="AT481" s="31" t="s">
        <v>18889</v>
      </c>
      <c r="AU481" s="31" t="s">
        <v>13777</v>
      </c>
      <c r="AV481" s="31">
        <v>9606</v>
      </c>
      <c r="AW481" s="50" t="str">
        <f>HYPERLINK("http://www.uniprot.org/uniprot/P53634", "P53634")</f>
        <v>P53634</v>
      </c>
      <c r="AX481" s="31" t="s">
        <v>18890</v>
      </c>
      <c r="AY481" s="31" t="s">
        <v>13772</v>
      </c>
      <c r="AZ481" s="31" t="s">
        <v>13806</v>
      </c>
      <c r="BA481" s="31" t="s">
        <v>13780</v>
      </c>
      <c r="BB481" s="31" t="s">
        <v>13772</v>
      </c>
      <c r="BC481" s="31" t="s">
        <v>16657</v>
      </c>
      <c r="BD481" s="31" t="s">
        <v>13808</v>
      </c>
      <c r="BE481" s="31" t="s">
        <v>18321</v>
      </c>
      <c r="BF481" s="31" t="s">
        <v>14083</v>
      </c>
      <c r="BG481" s="31" t="s">
        <v>15472</v>
      </c>
      <c r="BH481" s="31" t="s">
        <v>13812</v>
      </c>
      <c r="BI481" s="31" t="s">
        <v>18891</v>
      </c>
      <c r="BJ481" s="31" t="s">
        <v>18892</v>
      </c>
      <c r="BK481" s="31" t="s">
        <v>18893</v>
      </c>
      <c r="BL481" s="31" t="s">
        <v>13772</v>
      </c>
      <c r="BM481" s="31" t="s">
        <v>18894</v>
      </c>
    </row>
    <row r="482" spans="1:65">
      <c r="A482">
        <v>607</v>
      </c>
      <c r="B482">
        <v>1</v>
      </c>
      <c r="C482">
        <v>477</v>
      </c>
      <c r="D482" t="s">
        <v>1502</v>
      </c>
      <c r="E482" t="s">
        <v>1503</v>
      </c>
      <c r="F482" t="s">
        <v>73</v>
      </c>
      <c r="G482">
        <v>15.9</v>
      </c>
      <c r="H482">
        <v>1003</v>
      </c>
      <c r="I482">
        <v>106706</v>
      </c>
      <c r="J482" t="s">
        <v>1504</v>
      </c>
      <c r="K482" s="3" t="s">
        <v>73</v>
      </c>
      <c r="L482">
        <v>79</v>
      </c>
      <c r="M482">
        <v>79</v>
      </c>
      <c r="N482">
        <v>1</v>
      </c>
      <c r="O482" s="11">
        <f t="shared" si="7"/>
        <v>5.0941315203984061</v>
      </c>
      <c r="P482" s="36">
        <v>7.2698603750083803</v>
      </c>
      <c r="Q482" s="36">
        <v>0.96306412067744696</v>
      </c>
      <c r="R482" s="36">
        <v>9.6047859708735501</v>
      </c>
      <c r="S482" s="36">
        <v>3.0238435183064598</v>
      </c>
      <c r="T482" s="36">
        <v>6.0212345195582504</v>
      </c>
      <c r="U482" s="36">
        <v>9.2972724663949098</v>
      </c>
      <c r="V482" s="36">
        <v>12.6487473943757</v>
      </c>
      <c r="W482" s="36">
        <v>10.7050195778054</v>
      </c>
      <c r="X482" s="37">
        <v>2.3842748797348698</v>
      </c>
      <c r="Y482" s="37">
        <v>0.63064964688828595</v>
      </c>
      <c r="Z482" s="37">
        <v>5.6003804378713999</v>
      </c>
      <c r="AA482" s="37">
        <v>0.84654704659994096</v>
      </c>
      <c r="AB482" s="37">
        <v>3.6751702632604601</v>
      </c>
      <c r="AC482" s="37">
        <v>2.36757171115537</v>
      </c>
      <c r="AD482" s="37">
        <v>0.377135011965606</v>
      </c>
      <c r="AE482" s="37">
        <v>6.0905473858984696</v>
      </c>
      <c r="AF482" s="45">
        <v>-1.44127676268954</v>
      </c>
      <c r="AG482" s="45">
        <v>-2.70949750058884</v>
      </c>
      <c r="AH482" s="46">
        <v>7.2422691789608201E-3</v>
      </c>
      <c r="AI482" s="47">
        <v>1.3764426365695401E-2</v>
      </c>
      <c r="AJ482" s="48">
        <v>7.4417284928750096</v>
      </c>
      <c r="AK482" s="49">
        <v>2.7465345479218</v>
      </c>
      <c r="AL482" s="31" t="s">
        <v>5875</v>
      </c>
      <c r="AM482" s="31" t="s">
        <v>5878</v>
      </c>
      <c r="AN482" s="31" t="s">
        <v>19781</v>
      </c>
      <c r="AO482" s="31" t="s">
        <v>19782</v>
      </c>
      <c r="AP482" s="31" t="s">
        <v>19783</v>
      </c>
      <c r="AQ482" s="31" t="s">
        <v>19784</v>
      </c>
      <c r="AR482" s="31" t="s">
        <v>19785</v>
      </c>
      <c r="AS482" s="31" t="str">
        <f>"ROBO4"</f>
        <v>ROBO4</v>
      </c>
      <c r="AT482" s="31" t="s">
        <v>13772</v>
      </c>
      <c r="AU482" s="31" t="s">
        <v>13777</v>
      </c>
      <c r="AV482" s="31">
        <v>9606</v>
      </c>
      <c r="AW482" s="50" t="str">
        <f>HYPERLINK("http://www.uniprot.org/uniprot/Q8WZ75", "Q8WZ75")</f>
        <v>Q8WZ75</v>
      </c>
      <c r="AX482" s="31" t="s">
        <v>19786</v>
      </c>
      <c r="AY482" s="31" t="s">
        <v>19787</v>
      </c>
      <c r="AZ482" s="31" t="s">
        <v>13772</v>
      </c>
      <c r="BA482" s="31" t="s">
        <v>13780</v>
      </c>
      <c r="BB482" s="31" t="s">
        <v>13772</v>
      </c>
      <c r="BC482" s="31" t="s">
        <v>13772</v>
      </c>
      <c r="BD482" s="31" t="s">
        <v>16182</v>
      </c>
      <c r="BE482" s="31" t="s">
        <v>13772</v>
      </c>
      <c r="BF482" s="31" t="s">
        <v>15919</v>
      </c>
      <c r="BG482" s="31" t="s">
        <v>13964</v>
      </c>
      <c r="BH482" s="31" t="s">
        <v>13772</v>
      </c>
      <c r="BI482" s="31" t="s">
        <v>19788</v>
      </c>
      <c r="BJ482" s="31" t="s">
        <v>19789</v>
      </c>
      <c r="BK482" s="31" t="s">
        <v>19790</v>
      </c>
      <c r="BL482" s="31" t="s">
        <v>13772</v>
      </c>
      <c r="BM482" s="31" t="s">
        <v>13772</v>
      </c>
    </row>
    <row r="483" spans="1:65">
      <c r="A483">
        <v>901</v>
      </c>
      <c r="B483">
        <v>1</v>
      </c>
      <c r="C483">
        <v>478</v>
      </c>
      <c r="D483" t="s">
        <v>2197</v>
      </c>
      <c r="E483" t="s">
        <v>73</v>
      </c>
      <c r="F483" t="s">
        <v>73</v>
      </c>
      <c r="G483">
        <v>21.7</v>
      </c>
      <c r="H483">
        <v>1177</v>
      </c>
      <c r="I483">
        <v>133172</v>
      </c>
      <c r="J483" t="s">
        <v>2198</v>
      </c>
      <c r="K483" s="3" t="s">
        <v>73</v>
      </c>
      <c r="L483">
        <v>79</v>
      </c>
      <c r="M483">
        <v>79</v>
      </c>
      <c r="N483">
        <v>1</v>
      </c>
      <c r="O483" s="11">
        <f t="shared" si="7"/>
        <v>3.2648586161919799</v>
      </c>
      <c r="P483" s="36">
        <v>0.30291084895868198</v>
      </c>
      <c r="Q483" s="36">
        <v>9.6306412067744702</v>
      </c>
      <c r="R483" s="36">
        <v>1.6007976618122599</v>
      </c>
      <c r="S483" s="36">
        <v>7.5596087957661497</v>
      </c>
      <c r="T483" s="36">
        <v>6.0212345195582504</v>
      </c>
      <c r="U483" s="36">
        <v>0.23243181165987301</v>
      </c>
      <c r="V483" s="36">
        <v>2.10812456572928</v>
      </c>
      <c r="W483" s="36">
        <v>0.24329589949557701</v>
      </c>
      <c r="X483" s="37">
        <v>0.19868957331123899</v>
      </c>
      <c r="Y483" s="37">
        <v>3.1532482344414299</v>
      </c>
      <c r="Z483" s="37">
        <v>4.8003260896040603</v>
      </c>
      <c r="AA483" s="37">
        <v>2.5396411397998202</v>
      </c>
      <c r="AB483" s="37">
        <v>0.91879256581511404</v>
      </c>
      <c r="AC483" s="37">
        <v>0.78919057038512497</v>
      </c>
      <c r="AD483" s="37">
        <v>4.5256201435872701</v>
      </c>
      <c r="AE483" s="37">
        <v>7.6131842323730803</v>
      </c>
      <c r="AF483" s="45">
        <v>-0.24108993218784899</v>
      </c>
      <c r="AG483" s="45">
        <v>-1.12879059281931</v>
      </c>
      <c r="AH483" s="46">
        <v>0.87348392231536898</v>
      </c>
      <c r="AI483" s="47">
        <v>0.91163922625426197</v>
      </c>
      <c r="AJ483" s="48">
        <v>3.46238066371932</v>
      </c>
      <c r="AK483" s="49">
        <v>3.0673365686646399</v>
      </c>
      <c r="AL483" s="31" t="s">
        <v>5875</v>
      </c>
      <c r="AM483" s="31" t="s">
        <v>5832</v>
      </c>
      <c r="AN483" s="31" t="s">
        <v>22676</v>
      </c>
      <c r="AO483" s="31" t="s">
        <v>22677</v>
      </c>
      <c r="AP483" s="31" t="s">
        <v>22678</v>
      </c>
      <c r="AQ483" s="31" t="s">
        <v>22679</v>
      </c>
      <c r="AR483" s="31" t="s">
        <v>22680</v>
      </c>
      <c r="AS483" s="31" t="str">
        <f>"MUC4"</f>
        <v>MUC4</v>
      </c>
      <c r="AT483" s="31" t="s">
        <v>13772</v>
      </c>
      <c r="AU483" s="31" t="s">
        <v>13777</v>
      </c>
      <c r="AV483" s="31">
        <v>9606</v>
      </c>
      <c r="AW483" s="50" t="str">
        <f>HYPERLINK("http://www.uniprot.org/uniprot/Q99102", "Q99102")</f>
        <v>Q99102</v>
      </c>
      <c r="AX483" s="31" t="s">
        <v>22681</v>
      </c>
      <c r="AY483" s="31" t="s">
        <v>13949</v>
      </c>
      <c r="AZ483" s="31" t="s">
        <v>14336</v>
      </c>
      <c r="BA483" s="31" t="s">
        <v>13780</v>
      </c>
      <c r="BB483" s="31" t="s">
        <v>13772</v>
      </c>
      <c r="BC483" s="31" t="s">
        <v>13772</v>
      </c>
      <c r="BD483" s="31" t="s">
        <v>13963</v>
      </c>
      <c r="BE483" s="31" t="s">
        <v>13772</v>
      </c>
      <c r="BF483" s="31" t="s">
        <v>13772</v>
      </c>
      <c r="BG483" s="31" t="s">
        <v>13796</v>
      </c>
      <c r="BH483" s="31" t="s">
        <v>13772</v>
      </c>
      <c r="BI483" s="31" t="s">
        <v>22682</v>
      </c>
      <c r="BJ483" s="31" t="s">
        <v>22683</v>
      </c>
      <c r="BK483" s="31" t="s">
        <v>22684</v>
      </c>
      <c r="BL483" s="31" t="s">
        <v>13772</v>
      </c>
      <c r="BM483" s="31" t="s">
        <v>19090</v>
      </c>
    </row>
    <row r="484" spans="1:65">
      <c r="A484">
        <v>975</v>
      </c>
      <c r="B484">
        <v>1</v>
      </c>
      <c r="C484">
        <v>479</v>
      </c>
      <c r="D484" t="s">
        <v>2366</v>
      </c>
      <c r="E484" t="s">
        <v>73</v>
      </c>
      <c r="F484" t="s">
        <v>73</v>
      </c>
      <c r="G484">
        <v>44.3</v>
      </c>
      <c r="H484">
        <v>183</v>
      </c>
      <c r="I484">
        <v>21044</v>
      </c>
      <c r="J484" t="s">
        <v>2367</v>
      </c>
      <c r="K484" s="3" t="s">
        <v>73</v>
      </c>
      <c r="L484">
        <v>79</v>
      </c>
      <c r="M484">
        <v>79</v>
      </c>
      <c r="N484">
        <v>1</v>
      </c>
      <c r="O484" s="11">
        <f t="shared" si="7"/>
        <v>4.485464769962153</v>
      </c>
      <c r="P484" s="36">
        <v>4.8465735833389196</v>
      </c>
      <c r="Q484" s="36">
        <v>2.8891923620323401</v>
      </c>
      <c r="R484" s="36">
        <v>4.8023929854367697</v>
      </c>
      <c r="S484" s="36">
        <v>3.0238435183064598</v>
      </c>
      <c r="T484" s="36">
        <v>0.215044089984223</v>
      </c>
      <c r="U484" s="36">
        <v>2.7891817399184702</v>
      </c>
      <c r="V484" s="36">
        <v>6.3243736971878404</v>
      </c>
      <c r="W484" s="36">
        <v>3.8927343919292201</v>
      </c>
      <c r="X484" s="37">
        <v>3.17903317297983</v>
      </c>
      <c r="Y484" s="37">
        <v>2.5225985875531398</v>
      </c>
      <c r="Z484" s="37">
        <v>9.6006521792081099</v>
      </c>
      <c r="AA484" s="37">
        <v>3.3861881863997598</v>
      </c>
      <c r="AB484" s="37">
        <v>2.7563776974453398</v>
      </c>
      <c r="AC484" s="37">
        <v>7.8919057038512497</v>
      </c>
      <c r="AD484" s="37">
        <v>6.0341601914496898</v>
      </c>
      <c r="AE484" s="37">
        <v>7.6131842323730803</v>
      </c>
      <c r="AF484" s="45">
        <v>0.570579943060044</v>
      </c>
      <c r="AG484" s="45">
        <v>1.4933675304870999</v>
      </c>
      <c r="AH484" s="46">
        <v>0.239581228819776</v>
      </c>
      <c r="AI484" s="47">
        <v>0.309420544556815</v>
      </c>
      <c r="AJ484" s="48">
        <v>3.59791704601678</v>
      </c>
      <c r="AK484" s="49">
        <v>5.3730124939075301</v>
      </c>
      <c r="AL484" s="31" t="s">
        <v>5874</v>
      </c>
      <c r="AM484" s="31" t="s">
        <v>5832</v>
      </c>
      <c r="AN484" s="31" t="s">
        <v>23392</v>
      </c>
      <c r="AO484" s="31" t="s">
        <v>23393</v>
      </c>
      <c r="AP484" s="31" t="s">
        <v>23394</v>
      </c>
      <c r="AQ484" s="31" t="s">
        <v>23395</v>
      </c>
      <c r="AR484" s="31" t="s">
        <v>23396</v>
      </c>
      <c r="AS484" s="31" t="str">
        <f>"SPP2"</f>
        <v>SPP2</v>
      </c>
      <c r="AT484" s="31" t="s">
        <v>23397</v>
      </c>
      <c r="AU484" s="31" t="s">
        <v>13777</v>
      </c>
      <c r="AV484" s="31">
        <v>9606</v>
      </c>
      <c r="AW484" s="50" t="str">
        <f>HYPERLINK("http://www.uniprot.org/uniprot/Q13103", "Q13103")</f>
        <v>Q13103</v>
      </c>
      <c r="AX484" s="31" t="s">
        <v>23398</v>
      </c>
      <c r="AY484" s="31" t="s">
        <v>13772</v>
      </c>
      <c r="AZ484" s="31" t="s">
        <v>14321</v>
      </c>
      <c r="BA484" s="31" t="s">
        <v>13793</v>
      </c>
      <c r="BB484" s="31" t="s">
        <v>13772</v>
      </c>
      <c r="BC484" s="31" t="s">
        <v>13772</v>
      </c>
      <c r="BD484" s="31" t="s">
        <v>13808</v>
      </c>
      <c r="BE484" s="31" t="s">
        <v>13772</v>
      </c>
      <c r="BF484" s="31" t="s">
        <v>13772</v>
      </c>
      <c r="BG484" s="31" t="s">
        <v>15554</v>
      </c>
      <c r="BH484" s="31" t="s">
        <v>13772</v>
      </c>
      <c r="BI484" s="31" t="s">
        <v>23399</v>
      </c>
      <c r="BJ484" s="31" t="s">
        <v>23400</v>
      </c>
      <c r="BK484" s="31" t="s">
        <v>23401</v>
      </c>
      <c r="BL484" s="31" t="s">
        <v>13772</v>
      </c>
      <c r="BM484" s="31" t="s">
        <v>18981</v>
      </c>
    </row>
    <row r="485" spans="1:65">
      <c r="A485">
        <v>158</v>
      </c>
      <c r="B485">
        <v>1</v>
      </c>
      <c r="C485">
        <v>480</v>
      </c>
      <c r="D485" t="s">
        <v>401</v>
      </c>
      <c r="E485" t="s">
        <v>73</v>
      </c>
      <c r="F485" t="s">
        <v>73</v>
      </c>
      <c r="G485">
        <v>24.9</v>
      </c>
      <c r="H485">
        <v>1657</v>
      </c>
      <c r="I485">
        <v>188805</v>
      </c>
      <c r="J485" t="s">
        <v>402</v>
      </c>
      <c r="K485" s="3" t="s">
        <v>73</v>
      </c>
      <c r="L485">
        <v>78</v>
      </c>
      <c r="M485">
        <v>78</v>
      </c>
      <c r="N485">
        <v>1</v>
      </c>
      <c r="O485" s="11">
        <f t="shared" si="7"/>
        <v>3.9088610601333436</v>
      </c>
      <c r="P485" s="36">
        <v>0.30291084895868198</v>
      </c>
      <c r="Q485" s="36">
        <v>0.24076603016936199</v>
      </c>
      <c r="R485" s="36">
        <v>0.40019941545306398</v>
      </c>
      <c r="S485" s="36">
        <v>0.37798043978830698</v>
      </c>
      <c r="T485" s="36">
        <v>1.72035271987378</v>
      </c>
      <c r="U485" s="36">
        <v>3.7189089865579601</v>
      </c>
      <c r="V485" s="36">
        <v>1.05406228286464</v>
      </c>
      <c r="W485" s="36">
        <v>0.97318359798230603</v>
      </c>
      <c r="X485" s="37">
        <v>7.1528246392046197</v>
      </c>
      <c r="Y485" s="37">
        <v>13.243642584653999</v>
      </c>
      <c r="Z485" s="37">
        <v>13.600923920544799</v>
      </c>
      <c r="AA485" s="37">
        <v>7.6189234193994704</v>
      </c>
      <c r="AB485" s="37">
        <v>5.5127553948906796</v>
      </c>
      <c r="AC485" s="37">
        <v>4.7351434223107498</v>
      </c>
      <c r="AD485" s="37">
        <v>1.50854004786242</v>
      </c>
      <c r="AE485" s="37">
        <v>0.38065921161865401</v>
      </c>
      <c r="AF485" s="45">
        <v>2.4486080673339301</v>
      </c>
      <c r="AG485" s="45">
        <v>6.1164297101425698</v>
      </c>
      <c r="AH485" s="46">
        <v>1.1246885850169901E-4</v>
      </c>
      <c r="AI485" s="47">
        <v>3.1220608438853298E-4</v>
      </c>
      <c r="AJ485" s="48">
        <v>1.09854554020601</v>
      </c>
      <c r="AK485" s="49">
        <v>6.7191765800606804</v>
      </c>
      <c r="AL485" s="31" t="s">
        <v>5874</v>
      </c>
      <c r="AM485" s="31" t="s">
        <v>5876</v>
      </c>
      <c r="AN485" s="31" t="s">
        <v>14961</v>
      </c>
      <c r="AO485" s="31" t="s">
        <v>14962</v>
      </c>
      <c r="AP485" s="31" t="s">
        <v>14963</v>
      </c>
      <c r="AQ485" s="31" t="s">
        <v>14964</v>
      </c>
      <c r="AR485" s="31" t="s">
        <v>14965</v>
      </c>
      <c r="AS485" s="31" t="str">
        <f>"IQGAP1"</f>
        <v>IQGAP1</v>
      </c>
      <c r="AT485" s="31" t="s">
        <v>14966</v>
      </c>
      <c r="AU485" s="31" t="s">
        <v>13777</v>
      </c>
      <c r="AV485" s="31">
        <v>9606</v>
      </c>
      <c r="AW485" s="50" t="str">
        <f>HYPERLINK("http://www.uniprot.org/uniprot/P46940", "P46940")</f>
        <v>P46940</v>
      </c>
      <c r="AX485" s="31" t="s">
        <v>14967</v>
      </c>
      <c r="AY485" s="31" t="s">
        <v>14563</v>
      </c>
      <c r="AZ485" s="31" t="s">
        <v>14968</v>
      </c>
      <c r="BA485" s="31" t="s">
        <v>13793</v>
      </c>
      <c r="BB485" s="31" t="s">
        <v>13772</v>
      </c>
      <c r="BC485" s="31" t="s">
        <v>13772</v>
      </c>
      <c r="BD485" s="31" t="s">
        <v>14096</v>
      </c>
      <c r="BE485" s="31" t="s">
        <v>13772</v>
      </c>
      <c r="BF485" s="31" t="s">
        <v>14969</v>
      </c>
      <c r="BG485" s="31" t="s">
        <v>13886</v>
      </c>
      <c r="BH485" s="31" t="s">
        <v>13812</v>
      </c>
      <c r="BI485" s="31" t="s">
        <v>14970</v>
      </c>
      <c r="BJ485" s="31" t="s">
        <v>14971</v>
      </c>
      <c r="BK485" s="31" t="s">
        <v>14972</v>
      </c>
      <c r="BL485" s="31" t="s">
        <v>13772</v>
      </c>
      <c r="BM485" s="31" t="s">
        <v>14973</v>
      </c>
    </row>
    <row r="486" spans="1:65">
      <c r="A486">
        <v>756</v>
      </c>
      <c r="B486">
        <v>1</v>
      </c>
      <c r="C486">
        <v>481</v>
      </c>
      <c r="D486" t="s">
        <v>1857</v>
      </c>
      <c r="E486" t="s">
        <v>1858</v>
      </c>
      <c r="F486" t="s">
        <v>73</v>
      </c>
      <c r="G486">
        <v>12.3</v>
      </c>
      <c r="H486">
        <v>481</v>
      </c>
      <c r="I486">
        <v>51323</v>
      </c>
      <c r="J486" t="s">
        <v>1859</v>
      </c>
      <c r="K486" s="3" t="s">
        <v>73</v>
      </c>
      <c r="L486">
        <v>78</v>
      </c>
      <c r="M486">
        <v>78</v>
      </c>
      <c r="N486">
        <v>1</v>
      </c>
      <c r="O486" s="11">
        <f t="shared" si="7"/>
        <v>5.0037945007600708</v>
      </c>
      <c r="P486" s="36">
        <v>4.8465735833389196</v>
      </c>
      <c r="Q486" s="36">
        <v>7.7045129654195703</v>
      </c>
      <c r="R486" s="36">
        <v>11.2055836326858</v>
      </c>
      <c r="S486" s="36">
        <v>9.0715305549193808</v>
      </c>
      <c r="T486" s="36">
        <v>6.0212345195582504</v>
      </c>
      <c r="U486" s="36">
        <v>4.6486362331974602</v>
      </c>
      <c r="V486" s="36">
        <v>7.3784359800524904</v>
      </c>
      <c r="W486" s="36">
        <v>2.9195507939469199</v>
      </c>
      <c r="X486" s="37">
        <v>2.3842748797348698</v>
      </c>
      <c r="Y486" s="37">
        <v>1.89194894066486</v>
      </c>
      <c r="Z486" s="37">
        <v>4.8003260896040603</v>
      </c>
      <c r="AA486" s="37">
        <v>1.6930940931998799</v>
      </c>
      <c r="AB486" s="37">
        <v>0.91879256581511404</v>
      </c>
      <c r="AC486" s="37">
        <v>3.94595285192562</v>
      </c>
      <c r="AD486" s="37">
        <v>3.0170800957248498</v>
      </c>
      <c r="AE486" s="37">
        <v>7.6131842323730803</v>
      </c>
      <c r="AF486" s="45">
        <v>-1.0499960701111699</v>
      </c>
      <c r="AG486" s="45">
        <v>-2.0482302480412602</v>
      </c>
      <c r="AH486" s="46">
        <v>2.3145480386853001E-2</v>
      </c>
      <c r="AI486" s="47">
        <v>3.9200826275454903E-2</v>
      </c>
      <c r="AJ486" s="48">
        <v>6.7245072828898502</v>
      </c>
      <c r="AK486" s="49">
        <v>3.2830817186302901</v>
      </c>
      <c r="AL486" s="31" t="s">
        <v>5875</v>
      </c>
      <c r="AM486" s="31" t="s">
        <v>5878</v>
      </c>
      <c r="AN486" s="31" t="s">
        <v>21219</v>
      </c>
      <c r="AO486" s="31" t="s">
        <v>21220</v>
      </c>
      <c r="AP486" s="31" t="s">
        <v>21221</v>
      </c>
      <c r="AQ486" s="31" t="s">
        <v>21222</v>
      </c>
      <c r="AR486" s="31" t="s">
        <v>21223</v>
      </c>
      <c r="AS486" s="31" t="str">
        <f>"CREB3L3"</f>
        <v>CREB3L3</v>
      </c>
      <c r="AT486" s="31" t="s">
        <v>21224</v>
      </c>
      <c r="AU486" s="31" t="s">
        <v>13777</v>
      </c>
      <c r="AV486" s="31">
        <v>9606</v>
      </c>
      <c r="AW486" s="50" t="str">
        <f>HYPERLINK("http://www.uniprot.org/uniprot/Q68CJ9", "Q68CJ9")</f>
        <v>Q68CJ9</v>
      </c>
      <c r="AX486" s="31" t="s">
        <v>21225</v>
      </c>
      <c r="AY486" s="31" t="s">
        <v>21226</v>
      </c>
      <c r="AZ486" s="31" t="s">
        <v>20410</v>
      </c>
      <c r="BA486" s="31" t="s">
        <v>13841</v>
      </c>
      <c r="BB486" s="31" t="s">
        <v>13772</v>
      </c>
      <c r="BC486" s="31" t="s">
        <v>13772</v>
      </c>
      <c r="BD486" s="31" t="s">
        <v>14417</v>
      </c>
      <c r="BE486" s="31" t="s">
        <v>13772</v>
      </c>
      <c r="BF486" s="31" t="s">
        <v>21227</v>
      </c>
      <c r="BG486" s="31" t="s">
        <v>13978</v>
      </c>
      <c r="BH486" s="31" t="s">
        <v>13772</v>
      </c>
      <c r="BI486" s="31" t="s">
        <v>21228</v>
      </c>
      <c r="BJ486" s="31" t="s">
        <v>21229</v>
      </c>
      <c r="BK486" s="31" t="s">
        <v>21230</v>
      </c>
      <c r="BL486" s="31" t="s">
        <v>13772</v>
      </c>
      <c r="BM486" s="31" t="s">
        <v>21231</v>
      </c>
    </row>
    <row r="487" spans="1:65">
      <c r="A487">
        <v>1082</v>
      </c>
      <c r="B487">
        <v>1</v>
      </c>
      <c r="C487">
        <v>482</v>
      </c>
      <c r="D487" t="s">
        <v>2603</v>
      </c>
      <c r="E487" t="s">
        <v>73</v>
      </c>
      <c r="F487" t="s">
        <v>73</v>
      </c>
      <c r="G487">
        <v>45.4</v>
      </c>
      <c r="H487">
        <v>559</v>
      </c>
      <c r="I487">
        <v>61358</v>
      </c>
      <c r="J487" t="s">
        <v>2604</v>
      </c>
      <c r="K487" s="3" t="s">
        <v>73</v>
      </c>
      <c r="L487">
        <v>78</v>
      </c>
      <c r="M487">
        <v>78</v>
      </c>
      <c r="N487">
        <v>1</v>
      </c>
      <c r="O487" s="11">
        <f t="shared" si="7"/>
        <v>4.6035153919815572</v>
      </c>
      <c r="P487" s="36">
        <v>6.0582169791736504</v>
      </c>
      <c r="Q487" s="36">
        <v>15.4090259308391</v>
      </c>
      <c r="R487" s="36">
        <v>1.6007976618122599</v>
      </c>
      <c r="S487" s="36">
        <v>0.37798043978830698</v>
      </c>
      <c r="T487" s="36">
        <v>10.322116319242699</v>
      </c>
      <c r="U487" s="36">
        <v>15.805363192871299</v>
      </c>
      <c r="V487" s="36">
        <v>3.1621868485939202</v>
      </c>
      <c r="W487" s="36">
        <v>3.8927343919292201</v>
      </c>
      <c r="X487" s="37">
        <v>0.19868957331123899</v>
      </c>
      <c r="Y487" s="37">
        <v>2.5225985875531398</v>
      </c>
      <c r="Z487" s="37">
        <v>8.0005434826734305</v>
      </c>
      <c r="AA487" s="37">
        <v>0.21163676164998499</v>
      </c>
      <c r="AB487" s="37">
        <v>1.8375851316302301</v>
      </c>
      <c r="AC487" s="37">
        <v>2.36757171115537</v>
      </c>
      <c r="AD487" s="37">
        <v>1.50854004786242</v>
      </c>
      <c r="AE487" s="37">
        <v>0.38065921161865401</v>
      </c>
      <c r="AF487" s="45">
        <v>-1.6584425863538901</v>
      </c>
      <c r="AG487" s="45">
        <v>-3.32564043865144</v>
      </c>
      <c r="AH487" s="46">
        <v>1.56613986975324E-2</v>
      </c>
      <c r="AI487" s="47">
        <v>2.7499936295667101E-2</v>
      </c>
      <c r="AJ487" s="48">
        <v>7.0785527205313201</v>
      </c>
      <c r="AK487" s="49">
        <v>2.1284780634318099</v>
      </c>
      <c r="AL487" s="31" t="s">
        <v>5875</v>
      </c>
      <c r="AM487" s="31" t="s">
        <v>5878</v>
      </c>
      <c r="AN487" s="31" t="s">
        <v>24250</v>
      </c>
      <c r="AO487" s="31" t="s">
        <v>13772</v>
      </c>
      <c r="AP487" s="31" t="s">
        <v>24251</v>
      </c>
      <c r="AQ487" s="31" t="s">
        <v>24252</v>
      </c>
      <c r="AR487" s="31" t="s">
        <v>24253</v>
      </c>
      <c r="AS487" s="31" t="str">
        <f>"GLUD1"</f>
        <v>GLUD1</v>
      </c>
      <c r="AT487" s="31" t="s">
        <v>24254</v>
      </c>
      <c r="AU487" s="31" t="s">
        <v>13777</v>
      </c>
      <c r="AV487" s="31">
        <v>9606</v>
      </c>
      <c r="AW487" s="50" t="str">
        <f>HYPERLINK("http://www.uniprot.org/uniprot/P00367", "P00367")</f>
        <v>P00367</v>
      </c>
      <c r="AX487" s="31" t="s">
        <v>24255</v>
      </c>
      <c r="AY487" s="31" t="s">
        <v>13772</v>
      </c>
      <c r="AZ487" s="31" t="s">
        <v>14491</v>
      </c>
      <c r="BA487" s="31" t="s">
        <v>13841</v>
      </c>
      <c r="BB487" s="31" t="s">
        <v>13772</v>
      </c>
      <c r="BC487" s="31" t="s">
        <v>13807</v>
      </c>
      <c r="BD487" s="31" t="s">
        <v>14391</v>
      </c>
      <c r="BE487" s="31" t="s">
        <v>24256</v>
      </c>
      <c r="BF487" s="31" t="s">
        <v>13885</v>
      </c>
      <c r="BG487" s="31" t="s">
        <v>24257</v>
      </c>
      <c r="BH487" s="31" t="s">
        <v>13812</v>
      </c>
      <c r="BI487" s="31" t="s">
        <v>24258</v>
      </c>
      <c r="BJ487" s="31" t="s">
        <v>16960</v>
      </c>
      <c r="BK487" s="31" t="s">
        <v>24259</v>
      </c>
      <c r="BL487" s="31" t="s">
        <v>13772</v>
      </c>
      <c r="BM487" s="31" t="s">
        <v>24260</v>
      </c>
    </row>
    <row r="488" spans="1:65">
      <c r="A488">
        <v>1677</v>
      </c>
      <c r="B488">
        <v>1</v>
      </c>
      <c r="C488">
        <v>483</v>
      </c>
      <c r="D488" t="s">
        <v>3975</v>
      </c>
      <c r="E488" t="s">
        <v>73</v>
      </c>
      <c r="F488" t="s">
        <v>73</v>
      </c>
      <c r="G488">
        <v>37</v>
      </c>
      <c r="H488">
        <v>346</v>
      </c>
      <c r="I488">
        <v>37959</v>
      </c>
      <c r="J488" t="s">
        <v>3976</v>
      </c>
      <c r="K488" s="3" t="s">
        <v>73</v>
      </c>
      <c r="L488">
        <v>78</v>
      </c>
      <c r="M488">
        <v>78</v>
      </c>
      <c r="N488">
        <v>1</v>
      </c>
      <c r="O488" s="11">
        <f t="shared" si="7"/>
        <v>4.5567866249635296</v>
      </c>
      <c r="P488" s="36">
        <v>3.6349301875041902</v>
      </c>
      <c r="Q488" s="36">
        <v>3.85225648270979</v>
      </c>
      <c r="R488" s="36">
        <v>1.6007976618122599</v>
      </c>
      <c r="S488" s="36">
        <v>3.0238435183064598</v>
      </c>
      <c r="T488" s="36">
        <v>3.4407054397475698</v>
      </c>
      <c r="U488" s="36">
        <v>4.6486362331974602</v>
      </c>
      <c r="V488" s="36">
        <v>3.1621868485939202</v>
      </c>
      <c r="W488" s="36">
        <v>8.7586523818407507</v>
      </c>
      <c r="X488" s="37">
        <v>2.3842748797348698</v>
      </c>
      <c r="Y488" s="37">
        <v>10.0903943502126</v>
      </c>
      <c r="Z488" s="37">
        <v>3.2002173930693698</v>
      </c>
      <c r="AA488" s="37">
        <v>2.5396411397998202</v>
      </c>
      <c r="AB488" s="37">
        <v>6.4315479607058004</v>
      </c>
      <c r="AC488" s="37">
        <v>5.5243339926958699</v>
      </c>
      <c r="AD488" s="37">
        <v>4.5256201435872701</v>
      </c>
      <c r="AE488" s="37">
        <v>6.0905473858984696</v>
      </c>
      <c r="AF488" s="45">
        <v>0.305644345523781</v>
      </c>
      <c r="AG488" s="45">
        <v>1.26973931046545</v>
      </c>
      <c r="AH488" s="46">
        <v>0.46731944224708</v>
      </c>
      <c r="AI488" s="47">
        <v>0.54752488067127203</v>
      </c>
      <c r="AJ488" s="48">
        <v>4.01525109421405</v>
      </c>
      <c r="AK488" s="49">
        <v>5.0983221557130101</v>
      </c>
      <c r="AL488" s="31" t="s">
        <v>5874</v>
      </c>
      <c r="AM488" s="31" t="s">
        <v>5832</v>
      </c>
      <c r="AN488" s="31" t="s">
        <v>29886</v>
      </c>
      <c r="AO488" s="31" t="s">
        <v>29887</v>
      </c>
      <c r="AP488" s="31" t="s">
        <v>29888</v>
      </c>
      <c r="AQ488" s="31" t="s">
        <v>29889</v>
      </c>
      <c r="AR488" s="31" t="s">
        <v>29890</v>
      </c>
      <c r="AS488" s="31" t="str">
        <f>"EFNB1"</f>
        <v>EFNB1</v>
      </c>
      <c r="AT488" s="31" t="s">
        <v>29891</v>
      </c>
      <c r="AU488" s="31" t="s">
        <v>13777</v>
      </c>
      <c r="AV488" s="31">
        <v>9606</v>
      </c>
      <c r="AW488" s="50" t="str">
        <f>HYPERLINK("http://www.uniprot.org/uniprot/P98172", "P98172")</f>
        <v>P98172</v>
      </c>
      <c r="AX488" s="31" t="s">
        <v>29892</v>
      </c>
      <c r="AY488" s="31" t="s">
        <v>14726</v>
      </c>
      <c r="AZ488" s="31" t="s">
        <v>18976</v>
      </c>
      <c r="BA488" s="31" t="s">
        <v>13793</v>
      </c>
      <c r="BB488" s="31" t="s">
        <v>13772</v>
      </c>
      <c r="BC488" s="31" t="s">
        <v>29893</v>
      </c>
      <c r="BD488" s="31" t="s">
        <v>13855</v>
      </c>
      <c r="BE488" s="31" t="s">
        <v>13772</v>
      </c>
      <c r="BF488" s="31" t="s">
        <v>14727</v>
      </c>
      <c r="BG488" s="31" t="s">
        <v>13964</v>
      </c>
      <c r="BH488" s="31" t="s">
        <v>13772</v>
      </c>
      <c r="BI488" s="31" t="s">
        <v>29894</v>
      </c>
      <c r="BJ488" s="31" t="s">
        <v>29895</v>
      </c>
      <c r="BK488" s="31" t="s">
        <v>20391</v>
      </c>
      <c r="BL488" s="31" t="s">
        <v>13772</v>
      </c>
      <c r="BM488" s="31" t="s">
        <v>17265</v>
      </c>
    </row>
    <row r="489" spans="1:65">
      <c r="A489">
        <v>1771</v>
      </c>
      <c r="B489">
        <v>1</v>
      </c>
      <c r="C489">
        <v>484</v>
      </c>
      <c r="D489" t="s">
        <v>4191</v>
      </c>
      <c r="E489" t="s">
        <v>73</v>
      </c>
      <c r="F489" t="s">
        <v>73</v>
      </c>
      <c r="G489">
        <v>61.8</v>
      </c>
      <c r="H489">
        <v>207</v>
      </c>
      <c r="I489">
        <v>22917</v>
      </c>
      <c r="J489" t="s">
        <v>4192</v>
      </c>
      <c r="K489" s="3" t="s">
        <v>73</v>
      </c>
      <c r="L489">
        <v>78</v>
      </c>
      <c r="M489">
        <v>78</v>
      </c>
      <c r="N489">
        <v>1</v>
      </c>
      <c r="O489" s="11">
        <f t="shared" si="7"/>
        <v>4.1418550592652554</v>
      </c>
      <c r="P489" s="36">
        <v>2.4232867916694598</v>
      </c>
      <c r="Q489" s="36">
        <v>0.96306412067744696</v>
      </c>
      <c r="R489" s="36">
        <v>0.40019941545306398</v>
      </c>
      <c r="S489" s="36">
        <v>0.37798043978830698</v>
      </c>
      <c r="T489" s="36">
        <v>0.215044089984223</v>
      </c>
      <c r="U489" s="36">
        <v>0.92972724663949102</v>
      </c>
      <c r="V489" s="36">
        <v>5.2703114143232002</v>
      </c>
      <c r="W489" s="36">
        <v>1.9463671959646101</v>
      </c>
      <c r="X489" s="37">
        <v>3.9737914662247902</v>
      </c>
      <c r="Y489" s="37">
        <v>11.351693643989099</v>
      </c>
      <c r="Z489" s="37">
        <v>5.6003804378713999</v>
      </c>
      <c r="AA489" s="37">
        <v>4.2327352329997003</v>
      </c>
      <c r="AB489" s="37">
        <v>14.7006810530418</v>
      </c>
      <c r="AC489" s="37">
        <v>6.3135245630809997</v>
      </c>
      <c r="AD489" s="37">
        <v>4.5256201435872701</v>
      </c>
      <c r="AE489" s="37">
        <v>3.0452736929492299</v>
      </c>
      <c r="AF489" s="45">
        <v>2.0275789652029599</v>
      </c>
      <c r="AG489" s="45">
        <v>4.2905782356452002</v>
      </c>
      <c r="AH489" s="46">
        <v>3.8342676659251898E-4</v>
      </c>
      <c r="AI489" s="47">
        <v>9.5004632166813198E-4</v>
      </c>
      <c r="AJ489" s="48">
        <v>1.5657475893124799</v>
      </c>
      <c r="AK489" s="49">
        <v>6.71796252921804</v>
      </c>
      <c r="AL489" s="31" t="s">
        <v>5874</v>
      </c>
      <c r="AM489" s="31" t="s">
        <v>5876</v>
      </c>
      <c r="AN489" s="31" t="s">
        <v>30802</v>
      </c>
      <c r="AO489" s="31" t="s">
        <v>30803</v>
      </c>
      <c r="AP489" s="31" t="s">
        <v>30804</v>
      </c>
      <c r="AQ489" s="31" t="s">
        <v>30805</v>
      </c>
      <c r="AR489" s="31" t="s">
        <v>30806</v>
      </c>
      <c r="AS489" s="31" t="str">
        <f>"HSPB1"</f>
        <v>HSPB1</v>
      </c>
      <c r="AT489" s="31" t="s">
        <v>30807</v>
      </c>
      <c r="AU489" s="31" t="s">
        <v>13777</v>
      </c>
      <c r="AV489" s="31">
        <v>9606</v>
      </c>
      <c r="AW489" s="50" t="str">
        <f>HYPERLINK("http://www.uniprot.org/uniprot/P04792", "P04792")</f>
        <v>P04792</v>
      </c>
      <c r="AX489" s="31" t="s">
        <v>30808</v>
      </c>
      <c r="AY489" s="31" t="s">
        <v>15280</v>
      </c>
      <c r="AZ489" s="31" t="s">
        <v>15843</v>
      </c>
      <c r="BA489" s="31" t="s">
        <v>13772</v>
      </c>
      <c r="BB489" s="31" t="s">
        <v>13772</v>
      </c>
      <c r="BC489" s="31" t="s">
        <v>21970</v>
      </c>
      <c r="BD489" s="31" t="s">
        <v>13772</v>
      </c>
      <c r="BE489" s="31" t="s">
        <v>13772</v>
      </c>
      <c r="BF489" s="31" t="s">
        <v>14477</v>
      </c>
      <c r="BG489" s="31" t="s">
        <v>14098</v>
      </c>
      <c r="BH489" s="31" t="s">
        <v>13812</v>
      </c>
      <c r="BI489" s="31" t="s">
        <v>30809</v>
      </c>
      <c r="BJ489" s="31" t="s">
        <v>30810</v>
      </c>
      <c r="BK489" s="31" t="s">
        <v>30811</v>
      </c>
      <c r="BL489" s="31" t="s">
        <v>13772</v>
      </c>
      <c r="BM489" s="31" t="s">
        <v>30812</v>
      </c>
    </row>
    <row r="490" spans="1:65">
      <c r="A490">
        <v>2181</v>
      </c>
      <c r="B490">
        <v>1</v>
      </c>
      <c r="C490">
        <v>485</v>
      </c>
      <c r="D490" t="s">
        <v>5102</v>
      </c>
      <c r="E490" t="s">
        <v>73</v>
      </c>
      <c r="F490" t="s">
        <v>73</v>
      </c>
      <c r="G490">
        <v>62.7</v>
      </c>
      <c r="H490">
        <v>244</v>
      </c>
      <c r="I490">
        <v>27850</v>
      </c>
      <c r="J490" t="s">
        <v>5103</v>
      </c>
      <c r="K490" s="3" t="s">
        <v>73</v>
      </c>
      <c r="L490">
        <v>114</v>
      </c>
      <c r="M490">
        <v>58</v>
      </c>
      <c r="N490">
        <v>0.50900000000000001</v>
      </c>
      <c r="O490" s="11">
        <f t="shared" si="7"/>
        <v>4.2000777148744755</v>
      </c>
      <c r="P490" s="36">
        <v>0.30291084895868198</v>
      </c>
      <c r="Q490" s="36">
        <v>5.3931590757937</v>
      </c>
      <c r="R490" s="36">
        <v>3.8419143883494198</v>
      </c>
      <c r="S490" s="36">
        <v>0.37798043978830698</v>
      </c>
      <c r="T490" s="36">
        <v>6.5373403355203799</v>
      </c>
      <c r="U490" s="36">
        <v>2.5102635659266301</v>
      </c>
      <c r="V490" s="36">
        <v>5.5865300991825997</v>
      </c>
      <c r="W490" s="36">
        <v>6.6176484662796797</v>
      </c>
      <c r="X490" s="37">
        <v>8.8218170550190305</v>
      </c>
      <c r="Y490" s="37">
        <v>6.3695614335716799</v>
      </c>
      <c r="Z490" s="37">
        <v>5.7603913075248698</v>
      </c>
      <c r="AA490" s="37">
        <v>7.1956498960994999</v>
      </c>
      <c r="AB490" s="37">
        <v>3.3995324935159199</v>
      </c>
      <c r="AC490" s="37">
        <v>2.4464907681938901</v>
      </c>
      <c r="AD490" s="37">
        <v>1.6593940526486699</v>
      </c>
      <c r="AE490" s="37">
        <v>0.38065921161865401</v>
      </c>
      <c r="AF490" s="45">
        <v>0.22521390989248299</v>
      </c>
      <c r="AG490" s="45">
        <v>1.15611487619169</v>
      </c>
      <c r="AH490" s="46">
        <v>0.74624739923665495</v>
      </c>
      <c r="AI490" s="47">
        <v>0.80914021084168897</v>
      </c>
      <c r="AJ490" s="48">
        <v>3.8959684024749199</v>
      </c>
      <c r="AK490" s="49">
        <v>4.5041870272740301</v>
      </c>
      <c r="AL490" s="31" t="s">
        <v>5874</v>
      </c>
      <c r="AM490" s="31" t="s">
        <v>5832</v>
      </c>
      <c r="AN490" s="31" t="s">
        <v>34603</v>
      </c>
      <c r="AO490" s="31" t="s">
        <v>34604</v>
      </c>
      <c r="AP490" s="31" t="s">
        <v>34605</v>
      </c>
      <c r="AQ490" s="31" t="s">
        <v>34606</v>
      </c>
      <c r="AR490" s="31" t="s">
        <v>34607</v>
      </c>
      <c r="AS490" s="31" t="str">
        <f>"YWHAB"</f>
        <v>YWHAB</v>
      </c>
      <c r="AT490" s="31" t="s">
        <v>13772</v>
      </c>
      <c r="AU490" s="31" t="s">
        <v>13777</v>
      </c>
      <c r="AV490" s="31">
        <v>9606</v>
      </c>
      <c r="AW490" s="50" t="str">
        <f>HYPERLINK("http://www.uniprot.org/uniprot/P31946", "P31946")</f>
        <v>P31946</v>
      </c>
      <c r="AX490" s="31" t="s">
        <v>34608</v>
      </c>
      <c r="AY490" s="31" t="s">
        <v>14563</v>
      </c>
      <c r="AZ490" s="31" t="s">
        <v>34609</v>
      </c>
      <c r="BA490" s="31" t="s">
        <v>29290</v>
      </c>
      <c r="BB490" s="31" t="s">
        <v>13772</v>
      </c>
      <c r="BC490" s="31" t="s">
        <v>13772</v>
      </c>
      <c r="BD490" s="31" t="s">
        <v>13772</v>
      </c>
      <c r="BE490" s="31" t="s">
        <v>13772</v>
      </c>
      <c r="BF490" s="31" t="s">
        <v>13772</v>
      </c>
      <c r="BG490" s="31" t="s">
        <v>34551</v>
      </c>
      <c r="BH490" s="31" t="s">
        <v>13812</v>
      </c>
      <c r="BI490" s="31" t="s">
        <v>34610</v>
      </c>
      <c r="BJ490" s="31" t="s">
        <v>34611</v>
      </c>
      <c r="BK490" s="31" t="s">
        <v>34612</v>
      </c>
      <c r="BL490" s="31" t="s">
        <v>13772</v>
      </c>
      <c r="BM490" s="31" t="s">
        <v>34613</v>
      </c>
    </row>
    <row r="491" spans="1:65">
      <c r="A491">
        <v>433</v>
      </c>
      <c r="B491">
        <v>1</v>
      </c>
      <c r="C491">
        <v>486</v>
      </c>
      <c r="D491" t="s">
        <v>1086</v>
      </c>
      <c r="E491" t="s">
        <v>73</v>
      </c>
      <c r="F491" t="s">
        <v>73</v>
      </c>
      <c r="G491">
        <v>22</v>
      </c>
      <c r="H491">
        <v>1063</v>
      </c>
      <c r="I491">
        <v>114589</v>
      </c>
      <c r="J491" t="s">
        <v>1087</v>
      </c>
      <c r="K491" s="3" t="s">
        <v>73</v>
      </c>
      <c r="L491">
        <v>77</v>
      </c>
      <c r="M491">
        <v>77</v>
      </c>
      <c r="N491">
        <v>1</v>
      </c>
      <c r="O491" s="11">
        <f t="shared" si="7"/>
        <v>4.8252477280410391</v>
      </c>
      <c r="P491" s="36">
        <v>16.963007541686199</v>
      </c>
      <c r="Q491" s="36">
        <v>2.8891923620323401</v>
      </c>
      <c r="R491" s="36">
        <v>3.2015953236245198</v>
      </c>
      <c r="S491" s="36">
        <v>0.37798043978830698</v>
      </c>
      <c r="T491" s="36">
        <v>2.5805290798106801</v>
      </c>
      <c r="U491" s="36">
        <v>13.0161814529529</v>
      </c>
      <c r="V491" s="36">
        <v>3.1621868485939202</v>
      </c>
      <c r="W491" s="36">
        <v>5.8391015878938397</v>
      </c>
      <c r="X491" s="37">
        <v>0.19868957331123899</v>
      </c>
      <c r="Y491" s="37">
        <v>5.0451971751062796</v>
      </c>
      <c r="Z491" s="37">
        <v>2.4001630448020301</v>
      </c>
      <c r="AA491" s="37">
        <v>0.84654704659994096</v>
      </c>
      <c r="AB491" s="37">
        <v>0.91879256581511404</v>
      </c>
      <c r="AC491" s="37">
        <v>3.1567622815404999</v>
      </c>
      <c r="AD491" s="37">
        <v>15.0854004786242</v>
      </c>
      <c r="AE491" s="37">
        <v>1.5226368464746201</v>
      </c>
      <c r="AF491" s="45">
        <v>-0.78750361461009499</v>
      </c>
      <c r="AG491" s="45">
        <v>-1.6463105321</v>
      </c>
      <c r="AH491" s="46">
        <v>0.307790856725703</v>
      </c>
      <c r="AI491" s="47">
        <v>0.38705278787499098</v>
      </c>
      <c r="AJ491" s="48">
        <v>6.0037218295478398</v>
      </c>
      <c r="AK491" s="49">
        <v>3.6467736265342401</v>
      </c>
      <c r="AL491" s="31" t="s">
        <v>5875</v>
      </c>
      <c r="AM491" s="31" t="s">
        <v>5832</v>
      </c>
      <c r="AN491" s="31" t="s">
        <v>17978</v>
      </c>
      <c r="AO491" s="31" t="s">
        <v>17979</v>
      </c>
      <c r="AP491" s="31" t="s">
        <v>17980</v>
      </c>
      <c r="AQ491" s="31" t="s">
        <v>17981</v>
      </c>
      <c r="AR491" s="31" t="s">
        <v>17982</v>
      </c>
      <c r="AS491" s="31" t="str">
        <f>"DSG1"</f>
        <v>DSG1</v>
      </c>
      <c r="AT491" s="31" t="s">
        <v>17983</v>
      </c>
      <c r="AU491" s="31" t="s">
        <v>13777</v>
      </c>
      <c r="AV491" s="31">
        <v>9606</v>
      </c>
      <c r="AW491" s="50" t="str">
        <f>HYPERLINK("http://www.uniprot.org/uniprot/Q02413", "Q02413")</f>
        <v>Q02413</v>
      </c>
      <c r="AX491" s="31" t="s">
        <v>17984</v>
      </c>
      <c r="AY491" s="31" t="s">
        <v>13949</v>
      </c>
      <c r="AZ491" s="31" t="s">
        <v>17424</v>
      </c>
      <c r="BA491" s="31" t="s">
        <v>13780</v>
      </c>
      <c r="BB491" s="31" t="s">
        <v>13772</v>
      </c>
      <c r="BC491" s="31" t="s">
        <v>17985</v>
      </c>
      <c r="BD491" s="31" t="s">
        <v>13826</v>
      </c>
      <c r="BE491" s="31" t="s">
        <v>13873</v>
      </c>
      <c r="BF491" s="31" t="s">
        <v>13772</v>
      </c>
      <c r="BG491" s="31" t="s">
        <v>17425</v>
      </c>
      <c r="BH491" s="31" t="s">
        <v>13772</v>
      </c>
      <c r="BI491" s="31" t="s">
        <v>17986</v>
      </c>
      <c r="BJ491" s="31" t="s">
        <v>17987</v>
      </c>
      <c r="BK491" s="31" t="s">
        <v>17988</v>
      </c>
      <c r="BL491" s="31" t="s">
        <v>13772</v>
      </c>
      <c r="BM491" s="31" t="s">
        <v>17989</v>
      </c>
    </row>
    <row r="492" spans="1:65">
      <c r="A492">
        <v>933</v>
      </c>
      <c r="B492">
        <v>1</v>
      </c>
      <c r="C492">
        <v>487</v>
      </c>
      <c r="D492" t="s">
        <v>2270</v>
      </c>
      <c r="E492" t="s">
        <v>73</v>
      </c>
      <c r="F492" t="s">
        <v>73</v>
      </c>
      <c r="G492">
        <v>72.400000000000006</v>
      </c>
      <c r="H492">
        <v>330</v>
      </c>
      <c r="I492">
        <v>36065</v>
      </c>
      <c r="J492" t="s">
        <v>2271</v>
      </c>
      <c r="K492" s="3" t="s">
        <v>73</v>
      </c>
      <c r="L492">
        <v>77</v>
      </c>
      <c r="M492">
        <v>77</v>
      </c>
      <c r="N492">
        <v>1</v>
      </c>
      <c r="O492" s="11">
        <f t="shared" si="7"/>
        <v>3.9498629005976071</v>
      </c>
      <c r="P492" s="36">
        <v>0.30291084895868198</v>
      </c>
      <c r="Q492" s="36">
        <v>0.24076603016936199</v>
      </c>
      <c r="R492" s="36">
        <v>0.40019941545306398</v>
      </c>
      <c r="S492" s="36">
        <v>0.37798043978830698</v>
      </c>
      <c r="T492" s="36">
        <v>0.215044089984223</v>
      </c>
      <c r="U492" s="36">
        <v>0.23243181165987301</v>
      </c>
      <c r="V492" s="36">
        <v>0.26351557071616</v>
      </c>
      <c r="W492" s="36">
        <v>0.24329589949557701</v>
      </c>
      <c r="X492" s="37">
        <v>15.1004075716542</v>
      </c>
      <c r="Y492" s="37">
        <v>12.6129929377657</v>
      </c>
      <c r="Z492" s="37">
        <v>3.2002173930693698</v>
      </c>
      <c r="AA492" s="37">
        <v>5.0792822795996404</v>
      </c>
      <c r="AB492" s="37">
        <v>14.7006810530418</v>
      </c>
      <c r="AC492" s="37">
        <v>9.4702868446214996</v>
      </c>
      <c r="AD492" s="37">
        <v>0.377135011965606</v>
      </c>
      <c r="AE492" s="37">
        <v>0.38065921161865401</v>
      </c>
      <c r="AF492" s="45">
        <v>4.3316239798708596</v>
      </c>
      <c r="AG492" s="45">
        <v>26.765292292661002</v>
      </c>
      <c r="AH492" s="46">
        <v>8.3531655710619601E-7</v>
      </c>
      <c r="AI492" s="47">
        <v>4.2335361871518597E-6</v>
      </c>
      <c r="AJ492" s="48">
        <v>0.28451801327815601</v>
      </c>
      <c r="AK492" s="49">
        <v>7.6152077879170603</v>
      </c>
      <c r="AL492" s="31" t="s">
        <v>5874</v>
      </c>
      <c r="AM492" s="31" t="s">
        <v>5876</v>
      </c>
      <c r="AN492" s="31" t="s">
        <v>22980</v>
      </c>
      <c r="AO492" s="31" t="s">
        <v>22981</v>
      </c>
      <c r="AP492" s="31" t="s">
        <v>22982</v>
      </c>
      <c r="AQ492" s="31" t="s">
        <v>22983</v>
      </c>
      <c r="AR492" s="31" t="s">
        <v>22984</v>
      </c>
      <c r="AS492" s="31" t="str">
        <f>"PDLIM1"</f>
        <v>PDLIM1</v>
      </c>
      <c r="AT492" s="31" t="s">
        <v>22985</v>
      </c>
      <c r="AU492" s="31" t="s">
        <v>13777</v>
      </c>
      <c r="AV492" s="31">
        <v>9606</v>
      </c>
      <c r="AW492" s="50" t="str">
        <f>HYPERLINK("http://www.uniprot.org/uniprot/O00151", "O00151")</f>
        <v>O00151</v>
      </c>
      <c r="AX492" s="31" t="s">
        <v>22986</v>
      </c>
      <c r="AY492" s="31" t="s">
        <v>13772</v>
      </c>
      <c r="AZ492" s="31" t="s">
        <v>13988</v>
      </c>
      <c r="BA492" s="31" t="s">
        <v>13793</v>
      </c>
      <c r="BB492" s="31" t="s">
        <v>13772</v>
      </c>
      <c r="BC492" s="31" t="s">
        <v>13772</v>
      </c>
      <c r="BD492" s="31" t="s">
        <v>14576</v>
      </c>
      <c r="BE492" s="31" t="s">
        <v>13856</v>
      </c>
      <c r="BF492" s="31" t="s">
        <v>13772</v>
      </c>
      <c r="BG492" s="31" t="s">
        <v>13886</v>
      </c>
      <c r="BH492" s="31" t="s">
        <v>13812</v>
      </c>
      <c r="BI492" s="31" t="s">
        <v>22987</v>
      </c>
      <c r="BJ492" s="31" t="s">
        <v>22988</v>
      </c>
      <c r="BK492" s="31" t="s">
        <v>22989</v>
      </c>
      <c r="BL492" s="31" t="s">
        <v>13772</v>
      </c>
      <c r="BM492" s="31" t="s">
        <v>13772</v>
      </c>
    </row>
    <row r="493" spans="1:65">
      <c r="A493">
        <v>1259</v>
      </c>
      <c r="B493">
        <v>1</v>
      </c>
      <c r="C493">
        <v>488</v>
      </c>
      <c r="D493" t="s">
        <v>3015</v>
      </c>
      <c r="E493" t="s">
        <v>3016</v>
      </c>
      <c r="F493" t="s">
        <v>73</v>
      </c>
      <c r="G493">
        <v>25.7</v>
      </c>
      <c r="H493">
        <v>1264</v>
      </c>
      <c r="I493">
        <v>135611</v>
      </c>
      <c r="J493" t="s">
        <v>3017</v>
      </c>
      <c r="K493" s="3" t="s">
        <v>73</v>
      </c>
      <c r="L493">
        <v>77</v>
      </c>
      <c r="M493">
        <v>77</v>
      </c>
      <c r="N493">
        <v>1</v>
      </c>
      <c r="O493" s="11">
        <f t="shared" si="7"/>
        <v>4.2939075938860576</v>
      </c>
      <c r="P493" s="36">
        <v>0.30291084895868198</v>
      </c>
      <c r="Q493" s="36">
        <v>0.24076603016936199</v>
      </c>
      <c r="R493" s="36">
        <v>0.40019941545306398</v>
      </c>
      <c r="S493" s="36">
        <v>0.37798043978830698</v>
      </c>
      <c r="T493" s="36">
        <v>0.215044089984223</v>
      </c>
      <c r="U493" s="36">
        <v>0.23243181165987301</v>
      </c>
      <c r="V493" s="36">
        <v>0.26351557071616</v>
      </c>
      <c r="W493" s="36">
        <v>0.97318359798230603</v>
      </c>
      <c r="X493" s="37">
        <v>4.7685497594697397</v>
      </c>
      <c r="Y493" s="37">
        <v>6.3064964688828598</v>
      </c>
      <c r="Z493" s="37">
        <v>0.80005434826734301</v>
      </c>
      <c r="AA493" s="37">
        <v>4.2327352329997003</v>
      </c>
      <c r="AB493" s="37">
        <v>36.751702632604598</v>
      </c>
      <c r="AC493" s="37">
        <v>7.8919057038512497</v>
      </c>
      <c r="AD493" s="37">
        <v>0.377135011965606</v>
      </c>
      <c r="AE493" s="37">
        <v>4.5679105394238499</v>
      </c>
      <c r="AF493" s="45">
        <v>4.0805068458269602</v>
      </c>
      <c r="AG493" s="45">
        <v>21.854888426158801</v>
      </c>
      <c r="AH493" s="46">
        <v>6.8846750273344904E-6</v>
      </c>
      <c r="AI493" s="47">
        <v>2.64703884671654E-5</v>
      </c>
      <c r="AJ493" s="48">
        <v>0.37575397558899698</v>
      </c>
      <c r="AK493" s="49">
        <v>8.2120612121831105</v>
      </c>
      <c r="AL493" s="31" t="s">
        <v>5874</v>
      </c>
      <c r="AM493" s="31" t="s">
        <v>5876</v>
      </c>
      <c r="AN493" s="31" t="s">
        <v>25926</v>
      </c>
      <c r="AO493" s="31" t="s">
        <v>25927</v>
      </c>
      <c r="AP493" s="31" t="s">
        <v>25928</v>
      </c>
      <c r="AQ493" s="31" t="s">
        <v>25929</v>
      </c>
      <c r="AR493" s="31" t="s">
        <v>25930</v>
      </c>
      <c r="AS493" s="31" t="str">
        <f>"SYNPO2"</f>
        <v>SYNPO2</v>
      </c>
      <c r="AT493" s="31" t="s">
        <v>13772</v>
      </c>
      <c r="AU493" s="31" t="s">
        <v>13777</v>
      </c>
      <c r="AV493" s="31">
        <v>9606</v>
      </c>
      <c r="AW493" s="50" t="str">
        <f>HYPERLINK("http://www.uniprot.org/uniprot/Q9UMS6", "Q9UMS6")</f>
        <v>Q9UMS6</v>
      </c>
      <c r="AX493" s="31" t="s">
        <v>25931</v>
      </c>
      <c r="AY493" s="31" t="s">
        <v>13772</v>
      </c>
      <c r="AZ493" s="31" t="s">
        <v>16593</v>
      </c>
      <c r="BA493" s="31" t="s">
        <v>14942</v>
      </c>
      <c r="BB493" s="31" t="s">
        <v>13772</v>
      </c>
      <c r="BC493" s="31" t="s">
        <v>14505</v>
      </c>
      <c r="BD493" s="31" t="s">
        <v>13772</v>
      </c>
      <c r="BE493" s="31" t="s">
        <v>13772</v>
      </c>
      <c r="BF493" s="31" t="s">
        <v>14849</v>
      </c>
      <c r="BG493" s="31" t="s">
        <v>13782</v>
      </c>
      <c r="BH493" s="31" t="s">
        <v>13772</v>
      </c>
      <c r="BI493" s="31" t="s">
        <v>25932</v>
      </c>
      <c r="BJ493" s="31" t="s">
        <v>25933</v>
      </c>
      <c r="BK493" s="31" t="s">
        <v>25934</v>
      </c>
      <c r="BL493" s="31" t="s">
        <v>13772</v>
      </c>
      <c r="BM493" s="31" t="s">
        <v>13772</v>
      </c>
    </row>
    <row r="494" spans="1:65">
      <c r="A494">
        <v>1807</v>
      </c>
      <c r="B494">
        <v>1</v>
      </c>
      <c r="C494">
        <v>489</v>
      </c>
      <c r="D494" t="s">
        <v>4272</v>
      </c>
      <c r="E494" t="s">
        <v>4273</v>
      </c>
      <c r="F494" t="s">
        <v>73</v>
      </c>
      <c r="G494">
        <v>31.2</v>
      </c>
      <c r="H494">
        <v>509</v>
      </c>
      <c r="I494">
        <v>55213</v>
      </c>
      <c r="J494" t="s">
        <v>4274</v>
      </c>
      <c r="K494" s="3" t="s">
        <v>73</v>
      </c>
      <c r="L494">
        <v>77</v>
      </c>
      <c r="M494">
        <v>77</v>
      </c>
      <c r="N494">
        <v>1</v>
      </c>
      <c r="O494" s="11">
        <f t="shared" si="7"/>
        <v>5.247867418996087</v>
      </c>
      <c r="P494" s="36">
        <v>6.0582169791736504</v>
      </c>
      <c r="Q494" s="36">
        <v>6.7414488447421297</v>
      </c>
      <c r="R494" s="36">
        <v>16.007976618122601</v>
      </c>
      <c r="S494" s="36">
        <v>15.119217591532299</v>
      </c>
      <c r="T494" s="36">
        <v>6.8814108794951396</v>
      </c>
      <c r="U494" s="36">
        <v>9.2972724663949098</v>
      </c>
      <c r="V494" s="36">
        <v>10.5406228286464</v>
      </c>
      <c r="W494" s="36">
        <v>0.97318359798230603</v>
      </c>
      <c r="X494" s="37">
        <v>0.19868957331123899</v>
      </c>
      <c r="Y494" s="37">
        <v>3.7838978813297102</v>
      </c>
      <c r="Z494" s="37">
        <v>2.4001630448020301</v>
      </c>
      <c r="AA494" s="37">
        <v>0.21163676164998499</v>
      </c>
      <c r="AB494" s="37">
        <v>1.8375851316302301</v>
      </c>
      <c r="AC494" s="37">
        <v>3.1567622815404999</v>
      </c>
      <c r="AD494" s="37">
        <v>0.377135011965606</v>
      </c>
      <c r="AE494" s="37">
        <v>0.38065921161865401</v>
      </c>
      <c r="AF494" s="45">
        <v>-2.2779461371678802</v>
      </c>
      <c r="AG494" s="45">
        <v>-5.8007680052142403</v>
      </c>
      <c r="AH494" s="46">
        <v>2.1718101404393601E-5</v>
      </c>
      <c r="AI494" s="47">
        <v>7.1927771482867896E-5</v>
      </c>
      <c r="AJ494" s="48">
        <v>8.9524187257611807</v>
      </c>
      <c r="AK494" s="49">
        <v>1.54331611223099</v>
      </c>
      <c r="AL494" s="31" t="s">
        <v>5875</v>
      </c>
      <c r="AM494" s="31" t="s">
        <v>5876</v>
      </c>
      <c r="AN494" s="31" t="s">
        <v>31152</v>
      </c>
      <c r="AO494" s="31" t="s">
        <v>31153</v>
      </c>
      <c r="AP494" s="31" t="s">
        <v>31154</v>
      </c>
      <c r="AQ494" s="31" t="s">
        <v>31155</v>
      </c>
      <c r="AR494" s="31" t="s">
        <v>31156</v>
      </c>
      <c r="AS494" s="31" t="str">
        <f>"NECTIN4"</f>
        <v>NECTIN4</v>
      </c>
      <c r="AT494" s="31" t="s">
        <v>13772</v>
      </c>
      <c r="AU494" s="31" t="s">
        <v>13777</v>
      </c>
      <c r="AV494" s="31">
        <v>9606</v>
      </c>
      <c r="AW494" s="50" t="str">
        <f>HYPERLINK("http://www.uniprot.org/uniprot/Q96NY8", "Q96NY8")</f>
        <v>Q96NY8</v>
      </c>
      <c r="AX494" s="31" t="s">
        <v>31157</v>
      </c>
      <c r="AY494" s="31" t="s">
        <v>16592</v>
      </c>
      <c r="AZ494" s="31" t="s">
        <v>20839</v>
      </c>
      <c r="BA494" s="31" t="s">
        <v>13780</v>
      </c>
      <c r="BB494" s="31" t="s">
        <v>13772</v>
      </c>
      <c r="BC494" s="31" t="s">
        <v>19583</v>
      </c>
      <c r="BD494" s="31" t="s">
        <v>13951</v>
      </c>
      <c r="BE494" s="31" t="s">
        <v>13772</v>
      </c>
      <c r="BF494" s="31" t="s">
        <v>18791</v>
      </c>
      <c r="BG494" s="31" t="s">
        <v>13796</v>
      </c>
      <c r="BH494" s="31" t="s">
        <v>13812</v>
      </c>
      <c r="BI494" s="31" t="s">
        <v>31158</v>
      </c>
      <c r="BJ494" s="31" t="s">
        <v>31159</v>
      </c>
      <c r="BK494" s="31" t="s">
        <v>31160</v>
      </c>
      <c r="BL494" s="31" t="s">
        <v>13772</v>
      </c>
      <c r="BM494" s="31" t="s">
        <v>18872</v>
      </c>
    </row>
    <row r="495" spans="1:65">
      <c r="A495">
        <v>518</v>
      </c>
      <c r="B495">
        <v>1</v>
      </c>
      <c r="C495">
        <v>490</v>
      </c>
      <c r="D495" t="s">
        <v>1306</v>
      </c>
      <c r="E495" t="s">
        <v>73</v>
      </c>
      <c r="F495" t="s">
        <v>73</v>
      </c>
      <c r="G495">
        <v>35.6</v>
      </c>
      <c r="H495">
        <v>337</v>
      </c>
      <c r="I495">
        <v>37654</v>
      </c>
      <c r="J495" t="s">
        <v>1307</v>
      </c>
      <c r="K495" s="3" t="s">
        <v>73</v>
      </c>
      <c r="L495">
        <v>76</v>
      </c>
      <c r="M495">
        <v>76</v>
      </c>
      <c r="N495">
        <v>1</v>
      </c>
      <c r="O495" s="11">
        <f t="shared" si="7"/>
        <v>4.0350338439349969</v>
      </c>
      <c r="P495" s="36">
        <v>0.30291084895868198</v>
      </c>
      <c r="Q495" s="36">
        <v>0.96306412067744696</v>
      </c>
      <c r="R495" s="36">
        <v>0.40019941545306398</v>
      </c>
      <c r="S495" s="36">
        <v>0.37798043978830698</v>
      </c>
      <c r="T495" s="36">
        <v>1.72035271987378</v>
      </c>
      <c r="U495" s="36">
        <v>0.23243181165987301</v>
      </c>
      <c r="V495" s="36">
        <v>0.26351557071616</v>
      </c>
      <c r="W495" s="36">
        <v>4.8659179899115301</v>
      </c>
      <c r="X495" s="37">
        <v>7.1528246392046197</v>
      </c>
      <c r="Y495" s="37">
        <v>6.3064964688828598</v>
      </c>
      <c r="Z495" s="37">
        <v>9.6006521792081099</v>
      </c>
      <c r="AA495" s="37">
        <v>12.6982056989991</v>
      </c>
      <c r="AB495" s="37">
        <v>3.6751702632604601</v>
      </c>
      <c r="AC495" s="37">
        <v>2.36757171115537</v>
      </c>
      <c r="AD495" s="37">
        <v>7.5427002393121096</v>
      </c>
      <c r="AE495" s="37">
        <v>6.0905473858984696</v>
      </c>
      <c r="AF495" s="45">
        <v>2.3802311903382201</v>
      </c>
      <c r="AG495" s="45">
        <v>6.0740634959619104</v>
      </c>
      <c r="AH495" s="46">
        <v>2.7078020561338999E-5</v>
      </c>
      <c r="AI495" s="47">
        <v>8.7092287286229703E-5</v>
      </c>
      <c r="AJ495" s="48">
        <v>1.14079661462986</v>
      </c>
      <c r="AK495" s="49">
        <v>6.9292710732401401</v>
      </c>
      <c r="AL495" s="31" t="s">
        <v>5874</v>
      </c>
      <c r="AM495" s="31" t="s">
        <v>5876</v>
      </c>
      <c r="AN495" s="31" t="s">
        <v>18895</v>
      </c>
      <c r="AO495" s="31" t="s">
        <v>13772</v>
      </c>
      <c r="AP495" s="31" t="s">
        <v>18896</v>
      </c>
      <c r="AQ495" s="31" t="s">
        <v>18897</v>
      </c>
      <c r="AR495" s="31" t="s">
        <v>18898</v>
      </c>
      <c r="AS495" s="31" t="str">
        <f>"TALDO1"</f>
        <v>TALDO1</v>
      </c>
      <c r="AT495" s="31" t="s">
        <v>18899</v>
      </c>
      <c r="AU495" s="31" t="s">
        <v>13777</v>
      </c>
      <c r="AV495" s="31">
        <v>9606</v>
      </c>
      <c r="AW495" s="50" t="str">
        <f>HYPERLINK("http://www.uniprot.org/uniprot/P37837", "P37837")</f>
        <v>P37837</v>
      </c>
      <c r="AX495" s="31" t="s">
        <v>18900</v>
      </c>
      <c r="AY495" s="31" t="s">
        <v>18901</v>
      </c>
      <c r="AZ495" s="31" t="s">
        <v>13899</v>
      </c>
      <c r="BA495" s="31" t="s">
        <v>13772</v>
      </c>
      <c r="BB495" s="31" t="s">
        <v>13772</v>
      </c>
      <c r="BC495" s="31" t="s">
        <v>13807</v>
      </c>
      <c r="BD495" s="31" t="s">
        <v>13772</v>
      </c>
      <c r="BE495" s="31" t="s">
        <v>18902</v>
      </c>
      <c r="BF495" s="31" t="s">
        <v>14111</v>
      </c>
      <c r="BG495" s="31" t="s">
        <v>13886</v>
      </c>
      <c r="BH495" s="31" t="s">
        <v>13812</v>
      </c>
      <c r="BI495" s="31" t="s">
        <v>18903</v>
      </c>
      <c r="BJ495" s="31" t="s">
        <v>16331</v>
      </c>
      <c r="BK495" s="31" t="s">
        <v>18904</v>
      </c>
      <c r="BL495" s="31" t="s">
        <v>18905</v>
      </c>
      <c r="BM495" s="31" t="s">
        <v>18906</v>
      </c>
    </row>
    <row r="496" spans="1:65">
      <c r="A496">
        <v>1240</v>
      </c>
      <c r="B496">
        <v>1</v>
      </c>
      <c r="C496">
        <v>491</v>
      </c>
      <c r="D496" t="s">
        <v>2974</v>
      </c>
      <c r="E496" t="s">
        <v>2975</v>
      </c>
      <c r="F496" t="s">
        <v>73</v>
      </c>
      <c r="G496">
        <v>45</v>
      </c>
      <c r="H496">
        <v>262</v>
      </c>
      <c r="I496">
        <v>28756</v>
      </c>
      <c r="J496" t="s">
        <v>2976</v>
      </c>
      <c r="K496" s="3" t="s">
        <v>73</v>
      </c>
      <c r="L496">
        <v>76</v>
      </c>
      <c r="M496">
        <v>76</v>
      </c>
      <c r="N496">
        <v>1</v>
      </c>
      <c r="O496" s="11">
        <f t="shared" si="7"/>
        <v>4.5659155292045455</v>
      </c>
      <c r="P496" s="36">
        <v>6.0582169791736504</v>
      </c>
      <c r="Q496" s="36">
        <v>0.24076603016936199</v>
      </c>
      <c r="R496" s="36">
        <v>3.2015953236245198</v>
      </c>
      <c r="S496" s="36">
        <v>0.37798043978830698</v>
      </c>
      <c r="T496" s="36">
        <v>4.3008817996844604</v>
      </c>
      <c r="U496" s="36">
        <v>3.7189089865579601</v>
      </c>
      <c r="V496" s="36">
        <v>15.8109342429696</v>
      </c>
      <c r="W496" s="36">
        <v>15.5709375677169</v>
      </c>
      <c r="X496" s="37">
        <v>6.35806634595966</v>
      </c>
      <c r="Y496" s="37">
        <v>2.5225985875531398</v>
      </c>
      <c r="Z496" s="37">
        <v>3.2002173930693698</v>
      </c>
      <c r="AA496" s="37">
        <v>5.0792822795996404</v>
      </c>
      <c r="AB496" s="37">
        <v>0.91879256581511404</v>
      </c>
      <c r="AC496" s="37">
        <v>0.78919057038512497</v>
      </c>
      <c r="AD496" s="37">
        <v>4.5256201435872701</v>
      </c>
      <c r="AE496" s="37">
        <v>0.38065921161865401</v>
      </c>
      <c r="AF496" s="45">
        <v>-1.0272869939123701</v>
      </c>
      <c r="AG496" s="45">
        <v>-2.0728247695476298</v>
      </c>
      <c r="AH496" s="46">
        <v>0.116139299981509</v>
      </c>
      <c r="AI496" s="47">
        <v>0.161532623051205</v>
      </c>
      <c r="AJ496" s="48">
        <v>6.1600276712106004</v>
      </c>
      <c r="AK496" s="49">
        <v>2.9718033871984999</v>
      </c>
      <c r="AL496" s="31" t="s">
        <v>5875</v>
      </c>
      <c r="AM496" s="31" t="s">
        <v>5832</v>
      </c>
      <c r="AN496" s="31" t="s">
        <v>25748</v>
      </c>
      <c r="AO496" s="31" t="s">
        <v>25749</v>
      </c>
      <c r="AP496" s="31" t="s">
        <v>25750</v>
      </c>
      <c r="AQ496" s="31" t="s">
        <v>25751</v>
      </c>
      <c r="AR496" s="31" t="s">
        <v>25752</v>
      </c>
      <c r="AS496" s="31" t="str">
        <f>"PRDX3"</f>
        <v>PRDX3</v>
      </c>
      <c r="AT496" s="31" t="s">
        <v>25753</v>
      </c>
      <c r="AU496" s="31" t="s">
        <v>13777</v>
      </c>
      <c r="AV496" s="31">
        <v>9606</v>
      </c>
      <c r="AW496" s="50" t="str">
        <f>HYPERLINK("http://www.uniprot.org/uniprot/P30048", "P30048")</f>
        <v>P30048</v>
      </c>
      <c r="AX496" s="31" t="s">
        <v>25754</v>
      </c>
      <c r="AY496" s="31" t="s">
        <v>13772</v>
      </c>
      <c r="AZ496" s="31" t="s">
        <v>25755</v>
      </c>
      <c r="BA496" s="31" t="s">
        <v>13780</v>
      </c>
      <c r="BB496" s="31" t="s">
        <v>13772</v>
      </c>
      <c r="BC496" s="31" t="s">
        <v>13772</v>
      </c>
      <c r="BD496" s="31" t="s">
        <v>17158</v>
      </c>
      <c r="BE496" s="31" t="s">
        <v>13772</v>
      </c>
      <c r="BF496" s="31" t="s">
        <v>18755</v>
      </c>
      <c r="BG496" s="31" t="s">
        <v>15256</v>
      </c>
      <c r="BH496" s="31" t="s">
        <v>13812</v>
      </c>
      <c r="BI496" s="31" t="s">
        <v>25756</v>
      </c>
      <c r="BJ496" s="31" t="s">
        <v>25757</v>
      </c>
      <c r="BK496" s="31" t="s">
        <v>25758</v>
      </c>
      <c r="BL496" s="31" t="s">
        <v>13772</v>
      </c>
      <c r="BM496" s="31" t="s">
        <v>17385</v>
      </c>
    </row>
    <row r="497" spans="1:65">
      <c r="A497">
        <v>1137</v>
      </c>
      <c r="B497">
        <v>1</v>
      </c>
      <c r="C497">
        <v>492</v>
      </c>
      <c r="D497" t="s">
        <v>2738</v>
      </c>
      <c r="E497" t="s">
        <v>73</v>
      </c>
      <c r="F497" t="s">
        <v>73</v>
      </c>
      <c r="G497">
        <v>24.5</v>
      </c>
      <c r="H497">
        <v>1202</v>
      </c>
      <c r="I497">
        <v>135119</v>
      </c>
      <c r="J497" t="s">
        <v>2740</v>
      </c>
      <c r="K497" s="3" t="s">
        <v>73</v>
      </c>
      <c r="L497">
        <v>79</v>
      </c>
      <c r="M497">
        <v>70</v>
      </c>
      <c r="N497">
        <v>0.88600000000000001</v>
      </c>
      <c r="O497" s="11">
        <f t="shared" si="7"/>
        <v>4.1994907625266054</v>
      </c>
      <c r="P497" s="36">
        <v>0.30291084895868198</v>
      </c>
      <c r="Q497" s="36">
        <v>0.24076603016936199</v>
      </c>
      <c r="R497" s="36">
        <v>0.40019941545306398</v>
      </c>
      <c r="S497" s="36">
        <v>0.37798043978830698</v>
      </c>
      <c r="T497" s="36">
        <v>0.215044089984223</v>
      </c>
      <c r="U497" s="36">
        <v>0.23243181165987301</v>
      </c>
      <c r="V497" s="36">
        <v>2.5297494788751398</v>
      </c>
      <c r="W497" s="36">
        <v>0.24329589949557701</v>
      </c>
      <c r="X497" s="37">
        <v>5.4043563940657098</v>
      </c>
      <c r="Y497" s="37">
        <v>6.8110161863934904</v>
      </c>
      <c r="Z497" s="37">
        <v>2.4001630448020301</v>
      </c>
      <c r="AA497" s="37">
        <v>3.3861881863997598</v>
      </c>
      <c r="AB497" s="37">
        <v>36.567944119441499</v>
      </c>
      <c r="AC497" s="37">
        <v>6.9448770193891001</v>
      </c>
      <c r="AD497" s="37">
        <v>0.75427002393121101</v>
      </c>
      <c r="AE497" s="37">
        <v>0.38065921161865401</v>
      </c>
      <c r="AF497" s="45">
        <v>3.5461745400761502</v>
      </c>
      <c r="AG497" s="45">
        <v>13.792219403063999</v>
      </c>
      <c r="AH497" s="46">
        <v>1.10713159402346E-4</v>
      </c>
      <c r="AI497" s="47">
        <v>3.0861293183403999E-4</v>
      </c>
      <c r="AJ497" s="48">
        <v>0.56779725179802798</v>
      </c>
      <c r="AK497" s="49">
        <v>7.8311842732551904</v>
      </c>
      <c r="AL497" s="31" t="s">
        <v>5874</v>
      </c>
      <c r="AM497" s="31" t="s">
        <v>5876</v>
      </c>
      <c r="AN497" s="31" t="s">
        <v>24747</v>
      </c>
      <c r="AO497" s="31" t="s">
        <v>24748</v>
      </c>
      <c r="AP497" s="31" t="s">
        <v>24749</v>
      </c>
      <c r="AQ497" s="31" t="s">
        <v>24750</v>
      </c>
      <c r="AR497" s="31" t="s">
        <v>24751</v>
      </c>
      <c r="AS497" s="31" t="str">
        <f>"MYBPC1"</f>
        <v>MYBPC1</v>
      </c>
      <c r="AT497" s="31" t="s">
        <v>24752</v>
      </c>
      <c r="AU497" s="31" t="s">
        <v>13777</v>
      </c>
      <c r="AV497" s="31">
        <v>9606</v>
      </c>
      <c r="AW497" s="50" t="str">
        <f>HYPERLINK("http://www.uniprot.org/uniprot/Q00872", "Q00872")</f>
        <v>Q00872</v>
      </c>
      <c r="AX497" s="31" t="s">
        <v>24753</v>
      </c>
      <c r="AY497" s="31" t="s">
        <v>13949</v>
      </c>
      <c r="AZ497" s="31" t="s">
        <v>24754</v>
      </c>
      <c r="BA497" s="31" t="s">
        <v>13780</v>
      </c>
      <c r="BB497" s="31" t="s">
        <v>13772</v>
      </c>
      <c r="BC497" s="31" t="s">
        <v>13807</v>
      </c>
      <c r="BD497" s="31" t="s">
        <v>15552</v>
      </c>
      <c r="BE497" s="31" t="s">
        <v>13772</v>
      </c>
      <c r="BF497" s="31" t="s">
        <v>14849</v>
      </c>
      <c r="BG497" s="31" t="s">
        <v>13782</v>
      </c>
      <c r="BH497" s="31" t="s">
        <v>13812</v>
      </c>
      <c r="BI497" s="31" t="s">
        <v>24755</v>
      </c>
      <c r="BJ497" s="31" t="s">
        <v>24756</v>
      </c>
      <c r="BK497" s="31" t="s">
        <v>24757</v>
      </c>
      <c r="BL497" s="31" t="s">
        <v>13772</v>
      </c>
      <c r="BM497" s="31" t="s">
        <v>15657</v>
      </c>
    </row>
    <row r="498" spans="1:65">
      <c r="A498">
        <v>118</v>
      </c>
      <c r="B498">
        <v>1</v>
      </c>
      <c r="C498">
        <v>493</v>
      </c>
      <c r="D498" t="s">
        <v>308</v>
      </c>
      <c r="E498" t="s">
        <v>73</v>
      </c>
      <c r="F498" t="s">
        <v>73</v>
      </c>
      <c r="G498">
        <v>43.4</v>
      </c>
      <c r="H498">
        <v>175</v>
      </c>
      <c r="I498">
        <v>18760</v>
      </c>
      <c r="J498" t="s">
        <v>309</v>
      </c>
      <c r="K498" s="3" t="s">
        <v>73</v>
      </c>
      <c r="L498">
        <v>75</v>
      </c>
      <c r="M498">
        <v>75</v>
      </c>
      <c r="N498">
        <v>1</v>
      </c>
      <c r="O498" s="11">
        <f t="shared" si="7"/>
        <v>4.5448389394611981</v>
      </c>
      <c r="P498" s="36">
        <v>3.6349301875041902</v>
      </c>
      <c r="Q498" s="36">
        <v>5.7783847240646802</v>
      </c>
      <c r="R498" s="36">
        <v>3.2015953236245198</v>
      </c>
      <c r="S498" s="36">
        <v>3.0238435183064598</v>
      </c>
      <c r="T498" s="36">
        <v>2.5805290798106801</v>
      </c>
      <c r="U498" s="36">
        <v>5.5783634798369501</v>
      </c>
      <c r="V498" s="36">
        <v>5.2703114143232002</v>
      </c>
      <c r="W498" s="36">
        <v>0.24329589949557701</v>
      </c>
      <c r="X498" s="37">
        <v>4.7685497594697397</v>
      </c>
      <c r="Y498" s="37">
        <v>3.7838978813297102</v>
      </c>
      <c r="Z498" s="37">
        <v>5.6003804378713999</v>
      </c>
      <c r="AA498" s="37">
        <v>5.0792822795996404</v>
      </c>
      <c r="AB498" s="37">
        <v>3.6751702632604601</v>
      </c>
      <c r="AC498" s="37">
        <v>0.78919057038512497</v>
      </c>
      <c r="AD498" s="37">
        <v>9.0512402871745401</v>
      </c>
      <c r="AE498" s="37">
        <v>10.658457925322301</v>
      </c>
      <c r="AF498" s="45">
        <v>0.44827802146088103</v>
      </c>
      <c r="AG498" s="45">
        <v>1.4808704519031399</v>
      </c>
      <c r="AH498" s="46">
        <v>0.33490791708369999</v>
      </c>
      <c r="AI498" s="47">
        <v>0.41580079310399698</v>
      </c>
      <c r="AJ498" s="48">
        <v>3.6639067033707802</v>
      </c>
      <c r="AK498" s="49">
        <v>5.4257711755516196</v>
      </c>
      <c r="AL498" s="31" t="s">
        <v>5874</v>
      </c>
      <c r="AM498" s="31" t="s">
        <v>5832</v>
      </c>
      <c r="AN498" s="31" t="s">
        <v>14498</v>
      </c>
      <c r="AO498" s="31" t="s">
        <v>14499</v>
      </c>
      <c r="AP498" s="31" t="s">
        <v>14500</v>
      </c>
      <c r="AQ498" s="31" t="s">
        <v>14501</v>
      </c>
      <c r="AR498" s="31" t="s">
        <v>14502</v>
      </c>
      <c r="AS498" s="31" t="str">
        <f>"NBL1"</f>
        <v>NBL1</v>
      </c>
      <c r="AT498" s="31" t="s">
        <v>14503</v>
      </c>
      <c r="AU498" s="31" t="s">
        <v>13777</v>
      </c>
      <c r="AV498" s="31">
        <v>9606</v>
      </c>
      <c r="AW498" s="50" t="str">
        <f>HYPERLINK("http://www.uniprot.org/uniprot/P41271", "P41271")</f>
        <v>P41271</v>
      </c>
      <c r="AX498" s="31" t="s">
        <v>14504</v>
      </c>
      <c r="AY498" s="31" t="s">
        <v>13772</v>
      </c>
      <c r="AZ498" s="31" t="s">
        <v>14321</v>
      </c>
      <c r="BA498" s="31" t="s">
        <v>13841</v>
      </c>
      <c r="BB498" s="31" t="s">
        <v>13772</v>
      </c>
      <c r="BC498" s="31" t="s">
        <v>14505</v>
      </c>
      <c r="BD498" s="31" t="s">
        <v>13808</v>
      </c>
      <c r="BE498" s="31" t="s">
        <v>13772</v>
      </c>
      <c r="BF498" s="31" t="s">
        <v>13772</v>
      </c>
      <c r="BG498" s="31" t="s">
        <v>14506</v>
      </c>
      <c r="BH498" s="31" t="s">
        <v>13812</v>
      </c>
      <c r="BI498" s="31" t="s">
        <v>14507</v>
      </c>
      <c r="BJ498" s="31" t="s">
        <v>14508</v>
      </c>
      <c r="BK498" s="31" t="s">
        <v>14509</v>
      </c>
      <c r="BL498" s="31" t="s">
        <v>13772</v>
      </c>
      <c r="BM498" s="31" t="s">
        <v>13772</v>
      </c>
    </row>
    <row r="499" spans="1:65">
      <c r="A499">
        <v>786</v>
      </c>
      <c r="B499">
        <v>1</v>
      </c>
      <c r="C499">
        <v>494</v>
      </c>
      <c r="D499" t="s">
        <v>1931</v>
      </c>
      <c r="E499" t="s">
        <v>1932</v>
      </c>
      <c r="F499" t="s">
        <v>73</v>
      </c>
      <c r="G499">
        <v>28.9</v>
      </c>
      <c r="H499">
        <v>249</v>
      </c>
      <c r="I499">
        <v>28954</v>
      </c>
      <c r="J499" t="s">
        <v>1933</v>
      </c>
      <c r="K499" s="3" t="s">
        <v>73</v>
      </c>
      <c r="L499">
        <v>75</v>
      </c>
      <c r="M499">
        <v>75</v>
      </c>
      <c r="N499">
        <v>1</v>
      </c>
      <c r="O499" s="11">
        <f t="shared" si="7"/>
        <v>4.5859083577754776</v>
      </c>
      <c r="P499" s="36">
        <v>6.0582169791736504</v>
      </c>
      <c r="Q499" s="36">
        <v>7.7045129654195703</v>
      </c>
      <c r="R499" s="36">
        <v>8.00398830906129</v>
      </c>
      <c r="S499" s="36">
        <v>6.0476870366129196</v>
      </c>
      <c r="T499" s="36">
        <v>4.3008817996844604</v>
      </c>
      <c r="U499" s="36">
        <v>6.50809072647644</v>
      </c>
      <c r="V499" s="36">
        <v>9.4865605457817708</v>
      </c>
      <c r="W499" s="36">
        <v>3.8927343919292201</v>
      </c>
      <c r="X499" s="37">
        <v>2.3842748797348698</v>
      </c>
      <c r="Y499" s="37">
        <v>3.7838978813297102</v>
      </c>
      <c r="Z499" s="37">
        <v>4.0002717413367099</v>
      </c>
      <c r="AA499" s="37">
        <v>1.6930940931998799</v>
      </c>
      <c r="AB499" s="37">
        <v>3.6751702632604601</v>
      </c>
      <c r="AC499" s="37">
        <v>3.94595285192562</v>
      </c>
      <c r="AD499" s="37">
        <v>1.50854004786242</v>
      </c>
      <c r="AE499" s="37">
        <v>0.38065921161865401</v>
      </c>
      <c r="AF499" s="45">
        <v>-1.1175259920709499</v>
      </c>
      <c r="AG499" s="45">
        <v>-2.43323091173405</v>
      </c>
      <c r="AH499" s="46">
        <v>3.3659411527267999E-3</v>
      </c>
      <c r="AI499" s="47">
        <v>6.8030653509795497E-3</v>
      </c>
      <c r="AJ499" s="48">
        <v>6.5003340942674104</v>
      </c>
      <c r="AK499" s="49">
        <v>2.6714826212835399</v>
      </c>
      <c r="AL499" s="31" t="s">
        <v>5875</v>
      </c>
      <c r="AM499" s="31" t="s">
        <v>5876</v>
      </c>
      <c r="AN499" s="31" t="s">
        <v>21536</v>
      </c>
      <c r="AO499" s="31" t="s">
        <v>21537</v>
      </c>
      <c r="AP499" s="31" t="s">
        <v>21538</v>
      </c>
      <c r="AQ499" s="31" t="s">
        <v>21539</v>
      </c>
      <c r="AR499" s="31" t="s">
        <v>21540</v>
      </c>
      <c r="AS499" s="31" t="str">
        <f>"CD209"</f>
        <v>CD209</v>
      </c>
      <c r="AT499" s="31" t="s">
        <v>21541</v>
      </c>
      <c r="AU499" s="31" t="s">
        <v>13777</v>
      </c>
      <c r="AV499" s="31">
        <v>9606</v>
      </c>
      <c r="AW499" s="50" t="str">
        <f>HYPERLINK("http://www.uniprot.org/uniprot/Q9NNX6", "Q9NNX6")</f>
        <v>Q9NNX6</v>
      </c>
      <c r="AX499" s="31" t="s">
        <v>21542</v>
      </c>
      <c r="AY499" s="31" t="s">
        <v>21543</v>
      </c>
      <c r="AZ499" s="31" t="s">
        <v>14336</v>
      </c>
      <c r="BA499" s="31" t="s">
        <v>13780</v>
      </c>
      <c r="BB499" s="31" t="s">
        <v>13772</v>
      </c>
      <c r="BC499" s="31" t="s">
        <v>13772</v>
      </c>
      <c r="BD499" s="31" t="s">
        <v>17249</v>
      </c>
      <c r="BE499" s="31" t="s">
        <v>21544</v>
      </c>
      <c r="BF499" s="31" t="s">
        <v>18791</v>
      </c>
      <c r="BG499" s="31" t="s">
        <v>13796</v>
      </c>
      <c r="BH499" s="31" t="s">
        <v>13812</v>
      </c>
      <c r="BI499" s="31" t="s">
        <v>21545</v>
      </c>
      <c r="BJ499" s="31" t="s">
        <v>21546</v>
      </c>
      <c r="BK499" s="31" t="s">
        <v>21547</v>
      </c>
      <c r="BL499" s="31" t="s">
        <v>13772</v>
      </c>
      <c r="BM499" s="31" t="s">
        <v>21548</v>
      </c>
    </row>
    <row r="500" spans="1:65">
      <c r="A500">
        <v>1396</v>
      </c>
      <c r="B500">
        <v>1</v>
      </c>
      <c r="C500">
        <v>495</v>
      </c>
      <c r="D500" t="s">
        <v>3335</v>
      </c>
      <c r="E500" t="s">
        <v>73</v>
      </c>
      <c r="F500" t="s">
        <v>73</v>
      </c>
      <c r="G500">
        <v>57.4</v>
      </c>
      <c r="H500">
        <v>230</v>
      </c>
      <c r="I500">
        <v>26191</v>
      </c>
      <c r="J500" t="s">
        <v>3336</v>
      </c>
      <c r="K500" s="3" t="s">
        <v>73</v>
      </c>
      <c r="L500">
        <v>75</v>
      </c>
      <c r="M500">
        <v>75</v>
      </c>
      <c r="N500">
        <v>1</v>
      </c>
      <c r="O500" s="11">
        <f t="shared" si="7"/>
        <v>4.050395305257199</v>
      </c>
      <c r="P500" s="36">
        <v>0.30291084895868198</v>
      </c>
      <c r="Q500" s="36">
        <v>0.24076603016936199</v>
      </c>
      <c r="R500" s="36">
        <v>0.40019941545306398</v>
      </c>
      <c r="S500" s="36">
        <v>0.37798043978830698</v>
      </c>
      <c r="T500" s="36">
        <v>0.215044089984223</v>
      </c>
      <c r="U500" s="36">
        <v>0.23243181165987301</v>
      </c>
      <c r="V500" s="36">
        <v>2.10812456572928</v>
      </c>
      <c r="W500" s="36">
        <v>0.24329589949557701</v>
      </c>
      <c r="X500" s="37">
        <v>4.7685497594697397</v>
      </c>
      <c r="Y500" s="37">
        <v>8.1984454095477108</v>
      </c>
      <c r="Z500" s="37">
        <v>4.8003260896040603</v>
      </c>
      <c r="AA500" s="37">
        <v>15.2378468387989</v>
      </c>
      <c r="AB500" s="37">
        <v>13.7818884872267</v>
      </c>
      <c r="AC500" s="37">
        <v>6.3135245630809997</v>
      </c>
      <c r="AD500" s="37">
        <v>3.0170800957248498</v>
      </c>
      <c r="AE500" s="37">
        <v>4.5679105394238499</v>
      </c>
      <c r="AF500" s="45">
        <v>3.63507383383021</v>
      </c>
      <c r="AG500" s="45">
        <v>14.726815776620899</v>
      </c>
      <c r="AH500" s="46">
        <v>5.2078726424428501E-8</v>
      </c>
      <c r="AI500" s="47">
        <v>3.8286448327409498E-7</v>
      </c>
      <c r="AJ500" s="48">
        <v>0.51509413765479595</v>
      </c>
      <c r="AK500" s="49">
        <v>7.5856964728596097</v>
      </c>
      <c r="AL500" s="31" t="s">
        <v>5874</v>
      </c>
      <c r="AM500" s="31" t="s">
        <v>5876</v>
      </c>
      <c r="AN500" s="31" t="s">
        <v>27256</v>
      </c>
      <c r="AO500" s="31" t="s">
        <v>27257</v>
      </c>
      <c r="AP500" s="31" t="s">
        <v>27258</v>
      </c>
      <c r="AQ500" s="31" t="s">
        <v>27259</v>
      </c>
      <c r="AR500" s="31" t="s">
        <v>27260</v>
      </c>
      <c r="AS500" s="31" t="str">
        <f>"APOBEC2"</f>
        <v>APOBEC2</v>
      </c>
      <c r="AT500" s="31" t="s">
        <v>13772</v>
      </c>
      <c r="AU500" s="31" t="s">
        <v>13777</v>
      </c>
      <c r="AV500" s="31">
        <v>9606</v>
      </c>
      <c r="AW500" s="50" t="str">
        <f>HYPERLINK("http://www.uniprot.org/uniprot/Q9Y235", "Q9Y235")</f>
        <v>Q9Y235</v>
      </c>
      <c r="AX500" s="31" t="s">
        <v>27261</v>
      </c>
      <c r="AY500" s="31" t="s">
        <v>25660</v>
      </c>
      <c r="AZ500" s="31" t="s">
        <v>13772</v>
      </c>
      <c r="BA500" s="31" t="s">
        <v>13793</v>
      </c>
      <c r="BB500" s="31" t="s">
        <v>13772</v>
      </c>
      <c r="BC500" s="31" t="s">
        <v>13772</v>
      </c>
      <c r="BD500" s="31" t="s">
        <v>13772</v>
      </c>
      <c r="BE500" s="31" t="s">
        <v>13856</v>
      </c>
      <c r="BF500" s="31" t="s">
        <v>13857</v>
      </c>
      <c r="BG500" s="31" t="s">
        <v>13772</v>
      </c>
      <c r="BH500" s="31" t="s">
        <v>13812</v>
      </c>
      <c r="BI500" s="31" t="s">
        <v>27262</v>
      </c>
      <c r="BJ500" s="31" t="s">
        <v>23727</v>
      </c>
      <c r="BK500" s="31" t="s">
        <v>27263</v>
      </c>
      <c r="BL500" s="31" t="s">
        <v>13772</v>
      </c>
      <c r="BM500" s="31" t="s">
        <v>27264</v>
      </c>
    </row>
    <row r="501" spans="1:65">
      <c r="A501">
        <v>1708</v>
      </c>
      <c r="B501">
        <v>1</v>
      </c>
      <c r="C501">
        <v>496</v>
      </c>
      <c r="D501" t="s">
        <v>4052</v>
      </c>
      <c r="E501" t="s">
        <v>73</v>
      </c>
      <c r="F501" t="s">
        <v>73</v>
      </c>
      <c r="G501">
        <v>22.2</v>
      </c>
      <c r="H501">
        <v>676</v>
      </c>
      <c r="I501">
        <v>71914</v>
      </c>
      <c r="J501" t="s">
        <v>4053</v>
      </c>
      <c r="K501" s="3" t="s">
        <v>73</v>
      </c>
      <c r="L501">
        <v>75</v>
      </c>
      <c r="M501">
        <v>75</v>
      </c>
      <c r="N501">
        <v>1</v>
      </c>
      <c r="O501" s="11">
        <f t="shared" si="7"/>
        <v>5.0450592076922254</v>
      </c>
      <c r="P501" s="36">
        <v>6.0582169791736504</v>
      </c>
      <c r="Q501" s="36">
        <v>9.6306412067744702</v>
      </c>
      <c r="R501" s="36">
        <v>9.6047859708735501</v>
      </c>
      <c r="S501" s="36">
        <v>12.0953740732258</v>
      </c>
      <c r="T501" s="36">
        <v>10.322116319242699</v>
      </c>
      <c r="U501" s="36">
        <v>13.0161814529529</v>
      </c>
      <c r="V501" s="36">
        <v>8.4324982629171306</v>
      </c>
      <c r="W501" s="36">
        <v>7.78546878385845</v>
      </c>
      <c r="X501" s="37">
        <v>0.79475829324495695</v>
      </c>
      <c r="Y501" s="37">
        <v>0.15766241172207099</v>
      </c>
      <c r="Z501" s="37">
        <v>0.200013587066836</v>
      </c>
      <c r="AA501" s="37">
        <v>0.84654704659994096</v>
      </c>
      <c r="AB501" s="37">
        <v>0.22969814145377901</v>
      </c>
      <c r="AC501" s="37">
        <v>0.78919057038512497</v>
      </c>
      <c r="AD501" s="37">
        <v>0.377135011965606</v>
      </c>
      <c r="AE501" s="37">
        <v>0.38065921161865401</v>
      </c>
      <c r="AF501" s="45">
        <v>-4.0275733635509203</v>
      </c>
      <c r="AG501" s="45">
        <v>-20.3792703651431</v>
      </c>
      <c r="AH501" s="46">
        <v>1.49271122064565E-15</v>
      </c>
      <c r="AI501" s="47">
        <v>1.24827975826492E-13</v>
      </c>
      <c r="AJ501" s="48">
        <v>9.6181603811273302</v>
      </c>
      <c r="AK501" s="49">
        <v>0.47195803425712102</v>
      </c>
      <c r="AL501" s="31" t="s">
        <v>5875</v>
      </c>
      <c r="AM501" s="31" t="s">
        <v>5876</v>
      </c>
      <c r="AN501" s="31" t="s">
        <v>30187</v>
      </c>
      <c r="AO501" s="31" t="s">
        <v>30188</v>
      </c>
      <c r="AP501" s="31" t="s">
        <v>30189</v>
      </c>
      <c r="AQ501" s="31" t="s">
        <v>30190</v>
      </c>
      <c r="AR501" s="31" t="s">
        <v>30191</v>
      </c>
      <c r="AS501" s="31" t="str">
        <f>"VASN"</f>
        <v>VASN</v>
      </c>
      <c r="AT501" s="31" t="s">
        <v>30192</v>
      </c>
      <c r="AU501" s="31" t="s">
        <v>13777</v>
      </c>
      <c r="AV501" s="31">
        <v>9606</v>
      </c>
      <c r="AW501" s="50" t="str">
        <f>HYPERLINK("http://www.uniprot.org/uniprot/Q6EMK4", "Q6EMK4")</f>
        <v>Q6EMK4</v>
      </c>
      <c r="AX501" s="31" t="s">
        <v>30193</v>
      </c>
      <c r="AY501" s="31" t="s">
        <v>13772</v>
      </c>
      <c r="AZ501" s="31" t="s">
        <v>17261</v>
      </c>
      <c r="BA501" s="31" t="s">
        <v>13793</v>
      </c>
      <c r="BB501" s="31" t="s">
        <v>13772</v>
      </c>
      <c r="BC501" s="31" t="s">
        <v>13772</v>
      </c>
      <c r="BD501" s="31" t="s">
        <v>30194</v>
      </c>
      <c r="BE501" s="31" t="s">
        <v>13772</v>
      </c>
      <c r="BF501" s="31" t="s">
        <v>13772</v>
      </c>
      <c r="BG501" s="31" t="s">
        <v>13796</v>
      </c>
      <c r="BH501" s="31" t="s">
        <v>13772</v>
      </c>
      <c r="BI501" s="31" t="s">
        <v>30195</v>
      </c>
      <c r="BJ501" s="31" t="s">
        <v>30196</v>
      </c>
      <c r="BK501" s="31" t="s">
        <v>30197</v>
      </c>
      <c r="BL501" s="31" t="s">
        <v>13772</v>
      </c>
      <c r="BM501" s="31" t="s">
        <v>13772</v>
      </c>
    </row>
    <row r="502" spans="1:65">
      <c r="A502">
        <v>2180</v>
      </c>
      <c r="B502">
        <v>1</v>
      </c>
      <c r="C502">
        <v>497</v>
      </c>
      <c r="D502" t="s">
        <v>5100</v>
      </c>
      <c r="E502" t="s">
        <v>73</v>
      </c>
      <c r="F502" t="s">
        <v>73</v>
      </c>
      <c r="G502">
        <v>57.6</v>
      </c>
      <c r="H502">
        <v>118</v>
      </c>
      <c r="I502">
        <v>12484</v>
      </c>
      <c r="J502" t="s">
        <v>5101</v>
      </c>
      <c r="K502" s="3" t="s">
        <v>73</v>
      </c>
      <c r="L502">
        <v>75</v>
      </c>
      <c r="M502">
        <v>75</v>
      </c>
      <c r="N502">
        <v>1</v>
      </c>
      <c r="O502" s="11">
        <f t="shared" si="7"/>
        <v>4.9160426939892972</v>
      </c>
      <c r="P502" s="36">
        <v>10.9047905625126</v>
      </c>
      <c r="Q502" s="36">
        <v>7.7045129654195703</v>
      </c>
      <c r="R502" s="36">
        <v>12.806381294498101</v>
      </c>
      <c r="S502" s="36">
        <v>10.5834523140726</v>
      </c>
      <c r="T502" s="36">
        <v>9.4619399593058091</v>
      </c>
      <c r="U502" s="36">
        <v>5.5783634798369501</v>
      </c>
      <c r="V502" s="36">
        <v>3.1621868485939202</v>
      </c>
      <c r="W502" s="36">
        <v>1.9463671959646101</v>
      </c>
      <c r="X502" s="37">
        <v>1.5895165864899099</v>
      </c>
      <c r="Y502" s="37">
        <v>0.63064964688828595</v>
      </c>
      <c r="Z502" s="37">
        <v>2.4001630448020301</v>
      </c>
      <c r="AA502" s="37">
        <v>2.5396411397998202</v>
      </c>
      <c r="AB502" s="37">
        <v>0.91879256581511404</v>
      </c>
      <c r="AC502" s="37">
        <v>2.36757171115537</v>
      </c>
      <c r="AD502" s="37">
        <v>3.0170800957248498</v>
      </c>
      <c r="AE502" s="37">
        <v>3.0452736929492299</v>
      </c>
      <c r="AF502" s="45">
        <v>-1.8933331978029799</v>
      </c>
      <c r="AG502" s="45">
        <v>-3.7645628047225101</v>
      </c>
      <c r="AH502" s="46">
        <v>1.7399742745222399E-4</v>
      </c>
      <c r="AI502" s="47">
        <v>4.6192174192673702E-4</v>
      </c>
      <c r="AJ502" s="48">
        <v>7.7684993275255101</v>
      </c>
      <c r="AK502" s="49">
        <v>2.0635860604530798</v>
      </c>
      <c r="AL502" s="31" t="s">
        <v>5875</v>
      </c>
      <c r="AM502" s="31" t="s">
        <v>5876</v>
      </c>
      <c r="AN502" s="31" t="s">
        <v>34595</v>
      </c>
      <c r="AO502" s="31" t="s">
        <v>34596</v>
      </c>
      <c r="AP502" s="31" t="s">
        <v>34597</v>
      </c>
      <c r="AQ502" s="31" t="s">
        <v>34598</v>
      </c>
      <c r="AR502" s="31" t="s">
        <v>34599</v>
      </c>
      <c r="AS502" s="31" t="str">
        <f>"SLURP2"</f>
        <v>SLURP2</v>
      </c>
      <c r="AT502" s="31" t="s">
        <v>13772</v>
      </c>
      <c r="AU502" s="31" t="s">
        <v>13777</v>
      </c>
      <c r="AV502" s="31">
        <v>9606</v>
      </c>
      <c r="AW502" s="50" t="str">
        <f>HYPERLINK("http://www.uniprot.org/uniprot/P0DP57", "P0DP57")</f>
        <v>P0DP57</v>
      </c>
      <c r="AX502" s="31" t="s">
        <v>34600</v>
      </c>
      <c r="AY502" s="31" t="s">
        <v>13772</v>
      </c>
      <c r="AZ502" s="31" t="s">
        <v>14321</v>
      </c>
      <c r="BA502" s="31" t="s">
        <v>13772</v>
      </c>
      <c r="BB502" s="31" t="s">
        <v>13772</v>
      </c>
      <c r="BC502" s="31" t="s">
        <v>13772</v>
      </c>
      <c r="BD502" s="31" t="s">
        <v>13808</v>
      </c>
      <c r="BE502" s="31" t="s">
        <v>13772</v>
      </c>
      <c r="BF502" s="31" t="s">
        <v>13772</v>
      </c>
      <c r="BG502" s="31" t="s">
        <v>14506</v>
      </c>
      <c r="BH502" s="31" t="s">
        <v>13812</v>
      </c>
      <c r="BI502" s="31" t="s">
        <v>34601</v>
      </c>
      <c r="BJ502" s="31" t="s">
        <v>14508</v>
      </c>
      <c r="BK502" s="31" t="s">
        <v>34602</v>
      </c>
      <c r="BL502" s="31" t="s">
        <v>13772</v>
      </c>
      <c r="BM502" s="31" t="s">
        <v>13772</v>
      </c>
    </row>
    <row r="503" spans="1:65">
      <c r="A503">
        <v>1177</v>
      </c>
      <c r="B503">
        <v>1</v>
      </c>
      <c r="C503">
        <v>498</v>
      </c>
      <c r="D503" t="s">
        <v>2825</v>
      </c>
      <c r="E503" t="s">
        <v>73</v>
      </c>
      <c r="F503" t="s">
        <v>73</v>
      </c>
      <c r="G503">
        <v>62</v>
      </c>
      <c r="H503">
        <v>445</v>
      </c>
      <c r="I503">
        <v>50398</v>
      </c>
      <c r="J503" t="s">
        <v>2827</v>
      </c>
      <c r="K503" s="3" t="s">
        <v>73</v>
      </c>
      <c r="L503">
        <v>85</v>
      </c>
      <c r="M503">
        <v>60</v>
      </c>
      <c r="N503">
        <v>0.70599999999999996</v>
      </c>
      <c r="O503" s="11">
        <f t="shared" si="7"/>
        <v>3.9020962519020297</v>
      </c>
      <c r="P503" s="36">
        <v>0.60582169791736495</v>
      </c>
      <c r="Q503" s="36">
        <v>2.8891923620323401</v>
      </c>
      <c r="R503" s="36">
        <v>0.40019941545306398</v>
      </c>
      <c r="S503" s="36">
        <v>0.37798043978830698</v>
      </c>
      <c r="T503" s="36">
        <v>9.0318517793373694</v>
      </c>
      <c r="U503" s="36">
        <v>9.1113270170670102</v>
      </c>
      <c r="V503" s="36">
        <v>6.3243736971878404</v>
      </c>
      <c r="W503" s="36">
        <v>2.7249140743504601</v>
      </c>
      <c r="X503" s="37">
        <v>8.4244379083965502</v>
      </c>
      <c r="Y503" s="37">
        <v>7.5047307979706002</v>
      </c>
      <c r="Z503" s="37">
        <v>4.4002989154703904</v>
      </c>
      <c r="AA503" s="37">
        <v>5.3332463935796302</v>
      </c>
      <c r="AB503" s="37">
        <v>1.8375851316302301</v>
      </c>
      <c r="AC503" s="37">
        <v>1.5783811407702499</v>
      </c>
      <c r="AD503" s="37">
        <v>1.50854004786242</v>
      </c>
      <c r="AE503" s="37">
        <v>0.38065921161865401</v>
      </c>
      <c r="AF503" s="45">
        <v>-2.6177903156326499E-2</v>
      </c>
      <c r="AG503" s="45">
        <v>-1.0160741046242701</v>
      </c>
      <c r="AH503" s="46">
        <v>1</v>
      </c>
      <c r="AI503" s="47">
        <v>1</v>
      </c>
      <c r="AJ503" s="48">
        <v>3.93320756039172</v>
      </c>
      <c r="AK503" s="49">
        <v>3.8709849434123398</v>
      </c>
      <c r="AL503" s="31" t="s">
        <v>5875</v>
      </c>
      <c r="AM503" s="31" t="s">
        <v>5832</v>
      </c>
      <c r="AN503" s="31" t="s">
        <v>25135</v>
      </c>
      <c r="AO503" s="31" t="s">
        <v>25136</v>
      </c>
      <c r="AP503" s="31" t="s">
        <v>25137</v>
      </c>
      <c r="AQ503" s="31" t="s">
        <v>25138</v>
      </c>
      <c r="AR503" s="31" t="s">
        <v>25139</v>
      </c>
      <c r="AS503" s="31" t="str">
        <f>"GDI2"</f>
        <v>GDI2</v>
      </c>
      <c r="AT503" s="31" t="s">
        <v>25140</v>
      </c>
      <c r="AU503" s="31" t="s">
        <v>13777</v>
      </c>
      <c r="AV503" s="31">
        <v>9606</v>
      </c>
      <c r="AW503" s="50" t="str">
        <f>HYPERLINK("http://www.uniprot.org/uniprot/P50395", "P50395")</f>
        <v>P50395</v>
      </c>
      <c r="AX503" s="31" t="s">
        <v>25141</v>
      </c>
      <c r="AY503" s="31" t="s">
        <v>13772</v>
      </c>
      <c r="AZ503" s="31" t="s">
        <v>15896</v>
      </c>
      <c r="BA503" s="31" t="s">
        <v>13841</v>
      </c>
      <c r="BB503" s="31" t="s">
        <v>13772</v>
      </c>
      <c r="BC503" s="31" t="s">
        <v>13772</v>
      </c>
      <c r="BD503" s="31" t="s">
        <v>13772</v>
      </c>
      <c r="BE503" s="31" t="s">
        <v>13772</v>
      </c>
      <c r="BF503" s="31" t="s">
        <v>14301</v>
      </c>
      <c r="BG503" s="31" t="s">
        <v>13886</v>
      </c>
      <c r="BH503" s="31" t="s">
        <v>13772</v>
      </c>
      <c r="BI503" s="31" t="s">
        <v>25142</v>
      </c>
      <c r="BJ503" s="31" t="s">
        <v>25143</v>
      </c>
      <c r="BK503" s="31" t="s">
        <v>25144</v>
      </c>
      <c r="BL503" s="31" t="s">
        <v>13772</v>
      </c>
      <c r="BM503" s="31" t="s">
        <v>25145</v>
      </c>
    </row>
    <row r="504" spans="1:65">
      <c r="A504">
        <v>196</v>
      </c>
      <c r="B504">
        <v>1</v>
      </c>
      <c r="C504">
        <v>499</v>
      </c>
      <c r="D504" t="s">
        <v>495</v>
      </c>
      <c r="E504" t="s">
        <v>73</v>
      </c>
      <c r="F504" t="s">
        <v>73</v>
      </c>
      <c r="G504">
        <v>31.7</v>
      </c>
      <c r="H504">
        <v>319</v>
      </c>
      <c r="I504">
        <v>35837</v>
      </c>
      <c r="J504" t="s">
        <v>496</v>
      </c>
      <c r="K504" s="3" t="s">
        <v>73</v>
      </c>
      <c r="L504">
        <v>74</v>
      </c>
      <c r="M504">
        <v>74</v>
      </c>
      <c r="N504">
        <v>1</v>
      </c>
      <c r="O504" s="11">
        <f t="shared" si="7"/>
        <v>5.0183482188958628</v>
      </c>
      <c r="P504" s="36">
        <v>6.0582169791736504</v>
      </c>
      <c r="Q504" s="36">
        <v>4.8153206033872298</v>
      </c>
      <c r="R504" s="36">
        <v>9.6047859708735501</v>
      </c>
      <c r="S504" s="36">
        <v>13.6072958323791</v>
      </c>
      <c r="T504" s="36">
        <v>8.6017635993689208</v>
      </c>
      <c r="U504" s="36">
        <v>4.6486362331974602</v>
      </c>
      <c r="V504" s="36">
        <v>3.1621868485939202</v>
      </c>
      <c r="W504" s="36">
        <v>8.7586523818407507</v>
      </c>
      <c r="X504" s="37">
        <v>1.5895165864899099</v>
      </c>
      <c r="Y504" s="37">
        <v>0.63064964688828595</v>
      </c>
      <c r="Z504" s="37">
        <v>2.4001630448020301</v>
      </c>
      <c r="AA504" s="37">
        <v>1.6930940931998799</v>
      </c>
      <c r="AB504" s="37">
        <v>1.8375851316302301</v>
      </c>
      <c r="AC504" s="37">
        <v>0.78919057038512497</v>
      </c>
      <c r="AD504" s="37">
        <v>9.0512402871745401</v>
      </c>
      <c r="AE504" s="37">
        <v>3.0452736929492299</v>
      </c>
      <c r="AF504" s="45">
        <v>-1.6189294707335999</v>
      </c>
      <c r="AG504" s="45">
        <v>-2.8168306663716902</v>
      </c>
      <c r="AH504" s="46">
        <v>2.0742916610842202E-3</v>
      </c>
      <c r="AI504" s="47">
        <v>4.3638400039790696E-3</v>
      </c>
      <c r="AJ504" s="48">
        <v>7.4071073061018202</v>
      </c>
      <c r="AK504" s="49">
        <v>2.6295891316899001</v>
      </c>
      <c r="AL504" s="31" t="s">
        <v>5875</v>
      </c>
      <c r="AM504" s="31" t="s">
        <v>5876</v>
      </c>
      <c r="AN504" s="31" t="s">
        <v>15415</v>
      </c>
      <c r="AO504" s="31" t="s">
        <v>15416</v>
      </c>
      <c r="AP504" s="31" t="s">
        <v>15417</v>
      </c>
      <c r="AQ504" s="31" t="s">
        <v>15418</v>
      </c>
      <c r="AR504" s="31" t="s">
        <v>13772</v>
      </c>
      <c r="AS504" s="31" t="str">
        <f>"GGH"</f>
        <v>GGH</v>
      </c>
      <c r="AT504" s="31" t="s">
        <v>13772</v>
      </c>
      <c r="AU504" s="31" t="s">
        <v>13777</v>
      </c>
      <c r="AV504" s="31">
        <v>9606</v>
      </c>
      <c r="AW504" s="50" t="str">
        <f>HYPERLINK("http://www.uniprot.org/uniprot/Q92820", "Q92820")</f>
        <v>Q92820</v>
      </c>
      <c r="AX504" s="31" t="s">
        <v>15419</v>
      </c>
      <c r="AY504" s="31" t="s">
        <v>13772</v>
      </c>
      <c r="AZ504" s="31" t="s">
        <v>14402</v>
      </c>
      <c r="BA504" s="31" t="s">
        <v>13793</v>
      </c>
      <c r="BB504" s="31" t="s">
        <v>13772</v>
      </c>
      <c r="BC504" s="31" t="s">
        <v>13772</v>
      </c>
      <c r="BD504" s="31" t="s">
        <v>13808</v>
      </c>
      <c r="BE504" s="31" t="s">
        <v>13772</v>
      </c>
      <c r="BF504" s="31" t="s">
        <v>13857</v>
      </c>
      <c r="BG504" s="31" t="s">
        <v>13858</v>
      </c>
      <c r="BH504" s="31" t="s">
        <v>13812</v>
      </c>
      <c r="BI504" s="31" t="s">
        <v>15420</v>
      </c>
      <c r="BJ504" s="31" t="s">
        <v>15421</v>
      </c>
      <c r="BK504" s="31" t="s">
        <v>15422</v>
      </c>
      <c r="BL504" s="31" t="s">
        <v>13772</v>
      </c>
      <c r="BM504" s="31" t="s">
        <v>13890</v>
      </c>
    </row>
    <row r="505" spans="1:65">
      <c r="A505">
        <v>695</v>
      </c>
      <c r="B505">
        <v>1</v>
      </c>
      <c r="C505">
        <v>500</v>
      </c>
      <c r="D505" t="s">
        <v>1711</v>
      </c>
      <c r="E505" t="s">
        <v>1712</v>
      </c>
      <c r="F505" t="s">
        <v>73</v>
      </c>
      <c r="G505">
        <v>11.5</v>
      </c>
      <c r="H505">
        <v>1474</v>
      </c>
      <c r="I505">
        <v>162466</v>
      </c>
      <c r="J505" t="s">
        <v>1713</v>
      </c>
      <c r="K505" s="3" t="s">
        <v>73</v>
      </c>
      <c r="L505">
        <v>74</v>
      </c>
      <c r="M505">
        <v>74</v>
      </c>
      <c r="N505">
        <v>1</v>
      </c>
      <c r="O505" s="11">
        <f t="shared" si="7"/>
        <v>5.1601818403261968</v>
      </c>
      <c r="P505" s="36">
        <v>6.0582169791736504</v>
      </c>
      <c r="Q505" s="36">
        <v>9.6306412067744702</v>
      </c>
      <c r="R505" s="36">
        <v>16.007976618122601</v>
      </c>
      <c r="S505" s="36">
        <v>10.5834523140726</v>
      </c>
      <c r="T505" s="36">
        <v>10.322116319242699</v>
      </c>
      <c r="U505" s="36">
        <v>9.2972724663949098</v>
      </c>
      <c r="V505" s="36">
        <v>8.4324982629171306</v>
      </c>
      <c r="W505" s="36">
        <v>4.8659179899115301</v>
      </c>
      <c r="X505" s="37">
        <v>0.19868957331123899</v>
      </c>
      <c r="Y505" s="37">
        <v>1.2612992937765699</v>
      </c>
      <c r="Z505" s="37">
        <v>1.60010869653469</v>
      </c>
      <c r="AA505" s="37">
        <v>0.84654704659994096</v>
      </c>
      <c r="AB505" s="37">
        <v>0.22969814145377901</v>
      </c>
      <c r="AC505" s="37">
        <v>0.19729764259628099</v>
      </c>
      <c r="AD505" s="37">
        <v>1.50854004786242</v>
      </c>
      <c r="AE505" s="37">
        <v>1.5226368464746201</v>
      </c>
      <c r="AF505" s="45">
        <v>-3.23560966207187</v>
      </c>
      <c r="AG505" s="45">
        <v>-10.2104491136408</v>
      </c>
      <c r="AH505" s="46">
        <v>9.1493178214547695E-11</v>
      </c>
      <c r="AI505" s="47">
        <v>1.61076147961927E-9</v>
      </c>
      <c r="AJ505" s="48">
        <v>9.3997615195762005</v>
      </c>
      <c r="AK505" s="49">
        <v>0.92060216107619197</v>
      </c>
      <c r="AL505" s="31" t="s">
        <v>5875</v>
      </c>
      <c r="AM505" s="31" t="s">
        <v>5876</v>
      </c>
      <c r="AN505" s="31" t="s">
        <v>20647</v>
      </c>
      <c r="AO505" s="31" t="s">
        <v>20648</v>
      </c>
      <c r="AP505" s="31" t="s">
        <v>20649</v>
      </c>
      <c r="AQ505" s="31" t="s">
        <v>20650</v>
      </c>
      <c r="AR505" s="31" t="s">
        <v>20651</v>
      </c>
      <c r="AS505" s="31" t="str">
        <f>"ADGRL1"</f>
        <v>ADGRL1</v>
      </c>
      <c r="AT505" s="31" t="s">
        <v>13772</v>
      </c>
      <c r="AU505" s="31" t="s">
        <v>13777</v>
      </c>
      <c r="AV505" s="31">
        <v>9606</v>
      </c>
      <c r="AW505" s="50" t="str">
        <f>HYPERLINK("http://www.uniprot.org/uniprot/O94910", "O94910")</f>
        <v>O94910</v>
      </c>
      <c r="AX505" s="31" t="s">
        <v>20652</v>
      </c>
      <c r="AY505" s="31" t="s">
        <v>13772</v>
      </c>
      <c r="AZ505" s="31" t="s">
        <v>20653</v>
      </c>
      <c r="BA505" s="31" t="s">
        <v>13780</v>
      </c>
      <c r="BB505" s="31" t="s">
        <v>13772</v>
      </c>
      <c r="BC505" s="31" t="s">
        <v>13772</v>
      </c>
      <c r="BD505" s="31" t="s">
        <v>13855</v>
      </c>
      <c r="BE505" s="31" t="s">
        <v>14277</v>
      </c>
      <c r="BF505" s="31" t="s">
        <v>13977</v>
      </c>
      <c r="BG505" s="31" t="s">
        <v>20654</v>
      </c>
      <c r="BH505" s="31" t="s">
        <v>13772</v>
      </c>
      <c r="BI505" s="31" t="s">
        <v>20655</v>
      </c>
      <c r="BJ505" s="31" t="s">
        <v>20656</v>
      </c>
      <c r="BK505" s="31" t="s">
        <v>20657</v>
      </c>
      <c r="BL505" s="31" t="s">
        <v>13772</v>
      </c>
      <c r="BM505" s="31" t="s">
        <v>13772</v>
      </c>
    </row>
    <row r="506" spans="1:65">
      <c r="A506">
        <v>1016</v>
      </c>
      <c r="B506">
        <v>1</v>
      </c>
      <c r="C506">
        <v>501</v>
      </c>
      <c r="D506" t="s">
        <v>2457</v>
      </c>
      <c r="E506" t="s">
        <v>73</v>
      </c>
      <c r="F506" t="s">
        <v>73</v>
      </c>
      <c r="G506">
        <v>34.4</v>
      </c>
      <c r="H506">
        <v>573</v>
      </c>
      <c r="I506">
        <v>60968</v>
      </c>
      <c r="J506" t="s">
        <v>2458</v>
      </c>
      <c r="K506" s="3" t="s">
        <v>73</v>
      </c>
      <c r="L506">
        <v>74</v>
      </c>
      <c r="M506">
        <v>74</v>
      </c>
      <c r="N506">
        <v>1</v>
      </c>
      <c r="O506" s="11">
        <f t="shared" si="7"/>
        <v>4.0618264443599887</v>
      </c>
      <c r="P506" s="36">
        <v>2.4232867916694598</v>
      </c>
      <c r="Q506" s="36">
        <v>12.519833568806799</v>
      </c>
      <c r="R506" s="36">
        <v>0.40019941545306398</v>
      </c>
      <c r="S506" s="36">
        <v>0.37798043978830698</v>
      </c>
      <c r="T506" s="36">
        <v>6.0212345195582504</v>
      </c>
      <c r="U506" s="36">
        <v>4.6486362331974602</v>
      </c>
      <c r="V506" s="36">
        <v>0.26351557071616</v>
      </c>
      <c r="W506" s="36">
        <v>4.8659179899115301</v>
      </c>
      <c r="X506" s="37">
        <v>2.3842748797348698</v>
      </c>
      <c r="Y506" s="37">
        <v>5.6758468219945701</v>
      </c>
      <c r="Z506" s="37">
        <v>13.600923920544799</v>
      </c>
      <c r="AA506" s="37">
        <v>5.9258293261995796</v>
      </c>
      <c r="AB506" s="37">
        <v>2.7563776974453398</v>
      </c>
      <c r="AC506" s="37">
        <v>2.36757171115537</v>
      </c>
      <c r="AD506" s="37">
        <v>0.377135011965606</v>
      </c>
      <c r="AE506" s="37">
        <v>0.38065921161865401</v>
      </c>
      <c r="AF506" s="45">
        <v>8.4618040538562797E-2</v>
      </c>
      <c r="AG506" s="45">
        <v>1.06180129095428</v>
      </c>
      <c r="AH506" s="46">
        <v>0.94793476680615296</v>
      </c>
      <c r="AI506" s="47">
        <v>0.96672005944103001</v>
      </c>
      <c r="AJ506" s="48">
        <v>3.9400755661376299</v>
      </c>
      <c r="AK506" s="49">
        <v>4.1835773225823498</v>
      </c>
      <c r="AL506" s="31" t="s">
        <v>5874</v>
      </c>
      <c r="AM506" s="31" t="s">
        <v>5832</v>
      </c>
      <c r="AN506" s="31" t="s">
        <v>23739</v>
      </c>
      <c r="AO506" s="31" t="s">
        <v>23740</v>
      </c>
      <c r="AP506" s="31" t="s">
        <v>23741</v>
      </c>
      <c r="AQ506" s="31" t="s">
        <v>23742</v>
      </c>
      <c r="AR506" s="31" t="s">
        <v>23743</v>
      </c>
      <c r="AS506" s="31" t="str">
        <f>"HSPD1"</f>
        <v>HSPD1</v>
      </c>
      <c r="AT506" s="31" t="s">
        <v>23744</v>
      </c>
      <c r="AU506" s="31" t="s">
        <v>13777</v>
      </c>
      <c r="AV506" s="31">
        <v>9606</v>
      </c>
      <c r="AW506" s="50" t="str">
        <f>HYPERLINK("http://www.uniprot.org/uniprot/P10809", "P10809")</f>
        <v>P10809</v>
      </c>
      <c r="AX506" s="31" t="s">
        <v>23745</v>
      </c>
      <c r="AY506" s="31" t="s">
        <v>14563</v>
      </c>
      <c r="AZ506" s="31" t="s">
        <v>14491</v>
      </c>
      <c r="BA506" s="31" t="s">
        <v>13841</v>
      </c>
      <c r="BB506" s="31" t="s">
        <v>13772</v>
      </c>
      <c r="BC506" s="31" t="s">
        <v>23746</v>
      </c>
      <c r="BD506" s="31" t="s">
        <v>14391</v>
      </c>
      <c r="BE506" s="31" t="s">
        <v>14005</v>
      </c>
      <c r="BF506" s="31" t="s">
        <v>23747</v>
      </c>
      <c r="BG506" s="31" t="s">
        <v>13991</v>
      </c>
      <c r="BH506" s="31" t="s">
        <v>13812</v>
      </c>
      <c r="BI506" s="31" t="s">
        <v>23748</v>
      </c>
      <c r="BJ506" s="31" t="s">
        <v>23749</v>
      </c>
      <c r="BK506" s="31" t="s">
        <v>23750</v>
      </c>
      <c r="BL506" s="31" t="s">
        <v>13772</v>
      </c>
      <c r="BM506" s="31" t="s">
        <v>23751</v>
      </c>
    </row>
    <row r="507" spans="1:65">
      <c r="A507">
        <v>1534</v>
      </c>
      <c r="B507">
        <v>1</v>
      </c>
      <c r="C507">
        <v>502</v>
      </c>
      <c r="D507" t="s">
        <v>3643</v>
      </c>
      <c r="E507" t="s">
        <v>73</v>
      </c>
      <c r="F507" t="s">
        <v>73</v>
      </c>
      <c r="G507">
        <v>44.5</v>
      </c>
      <c r="H507">
        <v>539</v>
      </c>
      <c r="I507">
        <v>58526</v>
      </c>
      <c r="J507" t="s">
        <v>3644</v>
      </c>
      <c r="K507" s="3" t="s">
        <v>73</v>
      </c>
      <c r="L507">
        <v>74</v>
      </c>
      <c r="M507">
        <v>74</v>
      </c>
      <c r="N507">
        <v>1</v>
      </c>
      <c r="O507" s="11">
        <f t="shared" si="7"/>
        <v>4.1137344273051966</v>
      </c>
      <c r="P507" s="36">
        <v>2.4232867916694598</v>
      </c>
      <c r="Q507" s="36">
        <v>5.7783847240646802</v>
      </c>
      <c r="R507" s="36">
        <v>0.40019941545306398</v>
      </c>
      <c r="S507" s="36">
        <v>3.0238435183064598</v>
      </c>
      <c r="T507" s="36">
        <v>14.6229981189272</v>
      </c>
      <c r="U507" s="36">
        <v>6.50809072647644</v>
      </c>
      <c r="V507" s="36">
        <v>2.10812456572928</v>
      </c>
      <c r="W507" s="36">
        <v>6.8122851858761404</v>
      </c>
      <c r="X507" s="37">
        <v>0.19868957331123899</v>
      </c>
      <c r="Y507" s="37">
        <v>6.9371461157711396</v>
      </c>
      <c r="Z507" s="37">
        <v>9.6006521792081099</v>
      </c>
      <c r="AA507" s="37">
        <v>5.0792822795996404</v>
      </c>
      <c r="AB507" s="37">
        <v>0.22969814145377901</v>
      </c>
      <c r="AC507" s="37">
        <v>0.19729764259628099</v>
      </c>
      <c r="AD507" s="37">
        <v>0.377135011965606</v>
      </c>
      <c r="AE507" s="37">
        <v>1.5226368464746201</v>
      </c>
      <c r="AF507" s="45">
        <v>-0.74293351045220102</v>
      </c>
      <c r="AG507" s="45">
        <v>-1.7262979314092199</v>
      </c>
      <c r="AH507" s="46">
        <v>0.29437544416447797</v>
      </c>
      <c r="AI507" s="47">
        <v>0.37298706845840102</v>
      </c>
      <c r="AJ507" s="48">
        <v>5.2096516308128402</v>
      </c>
      <c r="AK507" s="49">
        <v>3.0178172237975498</v>
      </c>
      <c r="AL507" s="31" t="s">
        <v>5875</v>
      </c>
      <c r="AM507" s="31" t="s">
        <v>5832</v>
      </c>
      <c r="AN507" s="31" t="s">
        <v>28511</v>
      </c>
      <c r="AO507" s="31" t="s">
        <v>28512</v>
      </c>
      <c r="AP507" s="31" t="s">
        <v>28513</v>
      </c>
      <c r="AQ507" s="31" t="s">
        <v>28514</v>
      </c>
      <c r="AR507" s="31" t="s">
        <v>28515</v>
      </c>
      <c r="AS507" s="31" t="str">
        <f>"ALDH7A1"</f>
        <v>ALDH7A1</v>
      </c>
      <c r="AT507" s="31" t="s">
        <v>28516</v>
      </c>
      <c r="AU507" s="31" t="s">
        <v>13777</v>
      </c>
      <c r="AV507" s="31">
        <v>9606</v>
      </c>
      <c r="AW507" s="50" t="str">
        <f>HYPERLINK("http://www.uniprot.org/uniprot/P49419", "P49419")</f>
        <v>P49419</v>
      </c>
      <c r="AX507" s="31" t="s">
        <v>28517</v>
      </c>
      <c r="AY507" s="31" t="s">
        <v>13772</v>
      </c>
      <c r="AZ507" s="31" t="s">
        <v>19098</v>
      </c>
      <c r="BA507" s="31" t="s">
        <v>13780</v>
      </c>
      <c r="BB507" s="31" t="s">
        <v>13772</v>
      </c>
      <c r="BC507" s="31" t="s">
        <v>17649</v>
      </c>
      <c r="BD507" s="31" t="s">
        <v>14391</v>
      </c>
      <c r="BE507" s="31" t="s">
        <v>14492</v>
      </c>
      <c r="BF507" s="31" t="s">
        <v>13885</v>
      </c>
      <c r="BG507" s="31" t="s">
        <v>14020</v>
      </c>
      <c r="BH507" s="31" t="s">
        <v>13812</v>
      </c>
      <c r="BI507" s="31" t="s">
        <v>28518</v>
      </c>
      <c r="BJ507" s="31" t="s">
        <v>28519</v>
      </c>
      <c r="BK507" s="31" t="s">
        <v>28520</v>
      </c>
      <c r="BL507" s="31" t="s">
        <v>28521</v>
      </c>
      <c r="BM507" s="31" t="s">
        <v>28522</v>
      </c>
    </row>
    <row r="508" spans="1:65">
      <c r="A508">
        <v>2191</v>
      </c>
      <c r="B508">
        <v>1</v>
      </c>
      <c r="C508">
        <v>503</v>
      </c>
      <c r="D508" t="s">
        <v>5124</v>
      </c>
      <c r="E508" t="s">
        <v>5125</v>
      </c>
      <c r="F508" t="s">
        <v>73</v>
      </c>
      <c r="G508">
        <v>54</v>
      </c>
      <c r="H508">
        <v>372</v>
      </c>
      <c r="I508">
        <v>40814</v>
      </c>
      <c r="J508" t="s">
        <v>5126</v>
      </c>
      <c r="K508" s="3" t="s">
        <v>73</v>
      </c>
      <c r="L508">
        <v>74</v>
      </c>
      <c r="M508">
        <v>74</v>
      </c>
      <c r="N508">
        <v>1</v>
      </c>
      <c r="O508" s="11">
        <f t="shared" si="7"/>
        <v>3.8659958415319653</v>
      </c>
      <c r="P508" s="36">
        <v>0.30291084895868198</v>
      </c>
      <c r="Q508" s="36">
        <v>0.96306412067744696</v>
      </c>
      <c r="R508" s="36">
        <v>0.40019941545306398</v>
      </c>
      <c r="S508" s="36">
        <v>0.37798043978830698</v>
      </c>
      <c r="T508" s="36">
        <v>4.3008817996844604</v>
      </c>
      <c r="U508" s="36">
        <v>0.92972724663949102</v>
      </c>
      <c r="V508" s="36">
        <v>2.10812456572928</v>
      </c>
      <c r="W508" s="36">
        <v>0.97318359798230603</v>
      </c>
      <c r="X508" s="37">
        <v>13.5108909851643</v>
      </c>
      <c r="Y508" s="37">
        <v>10.0903943502126</v>
      </c>
      <c r="Z508" s="37">
        <v>1.60010869653469</v>
      </c>
      <c r="AA508" s="37">
        <v>5.9258293261995796</v>
      </c>
      <c r="AB508" s="37">
        <v>8.2691330923360304</v>
      </c>
      <c r="AC508" s="37">
        <v>8.6810962742363706</v>
      </c>
      <c r="AD508" s="37">
        <v>0.377135011965606</v>
      </c>
      <c r="AE508" s="37">
        <v>3.0452736929492299</v>
      </c>
      <c r="AF508" s="45">
        <v>2.1543267387039999</v>
      </c>
      <c r="AG508" s="45">
        <v>4.9729145621987598</v>
      </c>
      <c r="AH508" s="46">
        <v>7.0824912903730101E-4</v>
      </c>
      <c r="AI508" s="47">
        <v>1.65670862701383E-3</v>
      </c>
      <c r="AJ508" s="48">
        <v>1.2945090043641301</v>
      </c>
      <c r="AK508" s="49">
        <v>6.4374826786997899</v>
      </c>
      <c r="AL508" s="31" t="s">
        <v>5874</v>
      </c>
      <c r="AM508" s="31" t="s">
        <v>5876</v>
      </c>
      <c r="AN508" s="31" t="s">
        <v>34704</v>
      </c>
      <c r="AO508" s="31" t="s">
        <v>34705</v>
      </c>
      <c r="AP508" s="31" t="s">
        <v>34706</v>
      </c>
      <c r="AQ508" s="31" t="s">
        <v>34707</v>
      </c>
      <c r="AR508" s="31" t="s">
        <v>34708</v>
      </c>
      <c r="AS508" s="31" t="str">
        <f>"NSFL1C"</f>
        <v>NSFL1C</v>
      </c>
      <c r="AT508" s="31" t="s">
        <v>34709</v>
      </c>
      <c r="AU508" s="31" t="s">
        <v>13777</v>
      </c>
      <c r="AV508" s="31">
        <v>9606</v>
      </c>
      <c r="AW508" s="50" t="str">
        <f>HYPERLINK("http://www.uniprot.org/uniprot/Q9UNZ2", "Q9UNZ2")</f>
        <v>Q9UNZ2</v>
      </c>
      <c r="AX508" s="31" t="s">
        <v>34710</v>
      </c>
      <c r="AY508" s="31" t="s">
        <v>13772</v>
      </c>
      <c r="AZ508" s="31" t="s">
        <v>34711</v>
      </c>
      <c r="BA508" s="31" t="s">
        <v>13780</v>
      </c>
      <c r="BB508" s="31" t="s">
        <v>13772</v>
      </c>
      <c r="BC508" s="31" t="s">
        <v>13772</v>
      </c>
      <c r="BD508" s="31" t="s">
        <v>13772</v>
      </c>
      <c r="BE508" s="31" t="s">
        <v>13900</v>
      </c>
      <c r="BF508" s="31" t="s">
        <v>13772</v>
      </c>
      <c r="BG508" s="31" t="s">
        <v>13782</v>
      </c>
      <c r="BH508" s="31" t="s">
        <v>13812</v>
      </c>
      <c r="BI508" s="31" t="s">
        <v>34712</v>
      </c>
      <c r="BJ508" s="31" t="s">
        <v>34713</v>
      </c>
      <c r="BK508" s="31" t="s">
        <v>34714</v>
      </c>
      <c r="BL508" s="31" t="s">
        <v>13772</v>
      </c>
      <c r="BM508" s="31" t="s">
        <v>13772</v>
      </c>
    </row>
    <row r="509" spans="1:65">
      <c r="A509">
        <v>275</v>
      </c>
      <c r="B509">
        <v>1</v>
      </c>
      <c r="C509">
        <v>504</v>
      </c>
      <c r="D509" t="s">
        <v>698</v>
      </c>
      <c r="E509" t="s">
        <v>73</v>
      </c>
      <c r="F509" t="s">
        <v>73</v>
      </c>
      <c r="G509">
        <v>52.5</v>
      </c>
      <c r="H509">
        <v>356</v>
      </c>
      <c r="I509">
        <v>38260</v>
      </c>
      <c r="J509" t="s">
        <v>699</v>
      </c>
      <c r="K509" s="3" t="s">
        <v>73</v>
      </c>
      <c r="L509">
        <v>73</v>
      </c>
      <c r="M509">
        <v>73</v>
      </c>
      <c r="N509">
        <v>1</v>
      </c>
      <c r="O509" s="11">
        <f t="shared" si="7"/>
        <v>4.5391678052073621</v>
      </c>
      <c r="P509" s="36">
        <v>3.6349301875041902</v>
      </c>
      <c r="Q509" s="36">
        <v>13.4828976894843</v>
      </c>
      <c r="R509" s="36">
        <v>3.2015953236245198</v>
      </c>
      <c r="S509" s="36">
        <v>1.5119217591532299</v>
      </c>
      <c r="T509" s="36">
        <v>14.6229981189272</v>
      </c>
      <c r="U509" s="36">
        <v>17.6648176861503</v>
      </c>
      <c r="V509" s="36">
        <v>7.3784359800524904</v>
      </c>
      <c r="W509" s="36">
        <v>7.78546878385845</v>
      </c>
      <c r="X509" s="37">
        <v>1.5895165864899099</v>
      </c>
      <c r="Y509" s="37">
        <v>0.15766241172207099</v>
      </c>
      <c r="Z509" s="37">
        <v>0.200013587066836</v>
      </c>
      <c r="AA509" s="37">
        <v>0.21163676164998499</v>
      </c>
      <c r="AB509" s="37">
        <v>0.22969814145377901</v>
      </c>
      <c r="AC509" s="37">
        <v>0.19729764259628099</v>
      </c>
      <c r="AD509" s="37">
        <v>0.377135011965606</v>
      </c>
      <c r="AE509" s="37">
        <v>0.38065921161865401</v>
      </c>
      <c r="AF509" s="45">
        <v>-4.0613042541284603</v>
      </c>
      <c r="AG509" s="45">
        <v>-20.7209787304892</v>
      </c>
      <c r="AH509" s="46">
        <v>8.8794673643734002E-9</v>
      </c>
      <c r="AI509" s="47">
        <v>8.7358289217144198E-8</v>
      </c>
      <c r="AJ509" s="48">
        <v>8.6603831910943292</v>
      </c>
      <c r="AK509" s="49">
        <v>0.41795241932039101</v>
      </c>
      <c r="AL509" s="31" t="s">
        <v>5875</v>
      </c>
      <c r="AM509" s="31" t="s">
        <v>5876</v>
      </c>
      <c r="AN509" s="31" t="s">
        <v>16281</v>
      </c>
      <c r="AO509" s="31" t="s">
        <v>16282</v>
      </c>
      <c r="AP509" s="31" t="s">
        <v>16283</v>
      </c>
      <c r="AQ509" s="31" t="s">
        <v>16284</v>
      </c>
      <c r="AR509" s="31" t="s">
        <v>16285</v>
      </c>
      <c r="AS509" s="31" t="str">
        <f>"SORD"</f>
        <v>SORD</v>
      </c>
      <c r="AT509" s="31" t="s">
        <v>13772</v>
      </c>
      <c r="AU509" s="31" t="s">
        <v>13777</v>
      </c>
      <c r="AV509" s="31">
        <v>9606</v>
      </c>
      <c r="AW509" s="50" t="str">
        <f>HYPERLINK("http://www.uniprot.org/uniprot/Q00796", "Q00796")</f>
        <v>Q00796</v>
      </c>
      <c r="AX509" s="31" t="s">
        <v>16286</v>
      </c>
      <c r="AY509" s="31" t="s">
        <v>13772</v>
      </c>
      <c r="AZ509" s="31" t="s">
        <v>16287</v>
      </c>
      <c r="BA509" s="31" t="s">
        <v>13780</v>
      </c>
      <c r="BB509" s="31" t="s">
        <v>13772</v>
      </c>
      <c r="BC509" s="31" t="s">
        <v>13772</v>
      </c>
      <c r="BD509" s="31" t="s">
        <v>13772</v>
      </c>
      <c r="BE509" s="31" t="s">
        <v>16288</v>
      </c>
      <c r="BF509" s="31" t="s">
        <v>13885</v>
      </c>
      <c r="BG509" s="31" t="s">
        <v>13886</v>
      </c>
      <c r="BH509" s="31" t="s">
        <v>13812</v>
      </c>
      <c r="BI509" s="31" t="s">
        <v>16289</v>
      </c>
      <c r="BJ509" s="31" t="s">
        <v>16290</v>
      </c>
      <c r="BK509" s="31" t="s">
        <v>16291</v>
      </c>
      <c r="BL509" s="31" t="s">
        <v>13772</v>
      </c>
      <c r="BM509" s="31" t="s">
        <v>16292</v>
      </c>
    </row>
    <row r="510" spans="1:65">
      <c r="A510">
        <v>860</v>
      </c>
      <c r="B510">
        <v>1</v>
      </c>
      <c r="C510">
        <v>505</v>
      </c>
      <c r="D510" t="s">
        <v>2108</v>
      </c>
      <c r="E510" t="s">
        <v>73</v>
      </c>
      <c r="F510" t="s">
        <v>73</v>
      </c>
      <c r="G510">
        <v>19.600000000000001</v>
      </c>
      <c r="H510">
        <v>547</v>
      </c>
      <c r="I510">
        <v>59595</v>
      </c>
      <c r="J510" t="s">
        <v>2109</v>
      </c>
      <c r="K510" s="3" t="s">
        <v>73</v>
      </c>
      <c r="L510">
        <v>73</v>
      </c>
      <c r="M510">
        <v>73</v>
      </c>
      <c r="N510">
        <v>1</v>
      </c>
      <c r="O510" s="11">
        <f t="shared" si="7"/>
        <v>2.9475498781187772</v>
      </c>
      <c r="P510" s="36">
        <v>2.4232867916694598</v>
      </c>
      <c r="Q510" s="36">
        <v>0.96306412067744696</v>
      </c>
      <c r="R510" s="36">
        <v>1.6007976618122599</v>
      </c>
      <c r="S510" s="36">
        <v>0.37798043978830698</v>
      </c>
      <c r="T510" s="36">
        <v>2.5805290798106801</v>
      </c>
      <c r="U510" s="36">
        <v>0.92972724663949102</v>
      </c>
      <c r="V510" s="36">
        <v>3.1621868485939202</v>
      </c>
      <c r="W510" s="36">
        <v>0.97318359798230603</v>
      </c>
      <c r="X510" s="37">
        <v>2.3842748797348698</v>
      </c>
      <c r="Y510" s="37">
        <v>1.2612992937765699</v>
      </c>
      <c r="Z510" s="37">
        <v>4.0002717413367099</v>
      </c>
      <c r="AA510" s="37">
        <v>3.3861881863997598</v>
      </c>
      <c r="AB510" s="37">
        <v>10.1067182239663</v>
      </c>
      <c r="AC510" s="37">
        <v>3.94595285192562</v>
      </c>
      <c r="AD510" s="37">
        <v>7.5427002393121096</v>
      </c>
      <c r="AE510" s="37">
        <v>1.5226368464746201</v>
      </c>
      <c r="AF510" s="45">
        <v>1.2677814071450799</v>
      </c>
      <c r="AG510" s="45">
        <v>2.6247546892792299</v>
      </c>
      <c r="AH510" s="46">
        <v>2.59732025123325E-2</v>
      </c>
      <c r="AI510" s="47">
        <v>4.3331851572943697E-2</v>
      </c>
      <c r="AJ510" s="48">
        <v>1.62634447337173</v>
      </c>
      <c r="AK510" s="49">
        <v>4.2687552828658202</v>
      </c>
      <c r="AL510" s="31" t="s">
        <v>5874</v>
      </c>
      <c r="AM510" s="31" t="s">
        <v>5878</v>
      </c>
      <c r="AN510" s="31" t="s">
        <v>22269</v>
      </c>
      <c r="AO510" s="31" t="s">
        <v>22270</v>
      </c>
      <c r="AP510" s="31" t="s">
        <v>22271</v>
      </c>
      <c r="AQ510" s="31" t="s">
        <v>22272</v>
      </c>
      <c r="AR510" s="31" t="s">
        <v>22273</v>
      </c>
      <c r="AS510" s="31" t="str">
        <f>"CPN2"</f>
        <v>CPN2</v>
      </c>
      <c r="AT510" s="31" t="s">
        <v>22274</v>
      </c>
      <c r="AU510" s="31" t="s">
        <v>13777</v>
      </c>
      <c r="AV510" s="31">
        <v>9606</v>
      </c>
      <c r="AW510" s="50" t="str">
        <f>HYPERLINK("http://www.uniprot.org/uniprot/P22792", "P22792")</f>
        <v>P22792</v>
      </c>
      <c r="AX510" s="31" t="s">
        <v>21385</v>
      </c>
      <c r="AY510" s="31" t="s">
        <v>13772</v>
      </c>
      <c r="AZ510" s="31" t="s">
        <v>14321</v>
      </c>
      <c r="BA510" s="31" t="s">
        <v>13793</v>
      </c>
      <c r="BB510" s="31" t="s">
        <v>13772</v>
      </c>
      <c r="BC510" s="31" t="s">
        <v>13772</v>
      </c>
      <c r="BD510" s="31" t="s">
        <v>19328</v>
      </c>
      <c r="BE510" s="31" t="s">
        <v>13772</v>
      </c>
      <c r="BF510" s="31" t="s">
        <v>13772</v>
      </c>
      <c r="BG510" s="31" t="s">
        <v>13796</v>
      </c>
      <c r="BH510" s="31" t="s">
        <v>13772</v>
      </c>
      <c r="BI510" s="31" t="s">
        <v>22275</v>
      </c>
      <c r="BJ510" s="31" t="s">
        <v>22276</v>
      </c>
      <c r="BK510" s="31" t="s">
        <v>14148</v>
      </c>
      <c r="BL510" s="31" t="s">
        <v>13772</v>
      </c>
      <c r="BM510" s="31" t="s">
        <v>22277</v>
      </c>
    </row>
    <row r="511" spans="1:65">
      <c r="A511">
        <v>1883</v>
      </c>
      <c r="B511">
        <v>1</v>
      </c>
      <c r="C511">
        <v>506</v>
      </c>
      <c r="D511" t="s">
        <v>4445</v>
      </c>
      <c r="E511" t="s">
        <v>4446</v>
      </c>
      <c r="F511" t="s">
        <v>73</v>
      </c>
      <c r="G511">
        <v>24.5</v>
      </c>
      <c r="H511">
        <v>474</v>
      </c>
      <c r="I511">
        <v>52476</v>
      </c>
      <c r="J511" t="s">
        <v>4447</v>
      </c>
      <c r="K511" s="3" t="s">
        <v>73</v>
      </c>
      <c r="L511">
        <v>73</v>
      </c>
      <c r="M511">
        <v>73</v>
      </c>
      <c r="N511">
        <v>1</v>
      </c>
      <c r="O511" s="11">
        <f t="shared" si="7"/>
        <v>3.9179344794856479</v>
      </c>
      <c r="P511" s="36">
        <v>2.4232867916694598</v>
      </c>
      <c r="Q511" s="36">
        <v>0.24076603016936199</v>
      </c>
      <c r="R511" s="36">
        <v>0.40019941545306398</v>
      </c>
      <c r="S511" s="36">
        <v>0.37798043978830698</v>
      </c>
      <c r="T511" s="36">
        <v>0.215044089984223</v>
      </c>
      <c r="U511" s="36">
        <v>0.23243181165987301</v>
      </c>
      <c r="V511" s="36">
        <v>0.26351557071616</v>
      </c>
      <c r="W511" s="36">
        <v>0.24329589949557701</v>
      </c>
      <c r="X511" s="37">
        <v>5.5633080527147003</v>
      </c>
      <c r="Y511" s="37">
        <v>9.4597447033242794</v>
      </c>
      <c r="Z511" s="37">
        <v>4.8003260896040603</v>
      </c>
      <c r="AA511" s="37">
        <v>11.8516586523992</v>
      </c>
      <c r="AB511" s="37">
        <v>6.4315479607058004</v>
      </c>
      <c r="AC511" s="37">
        <v>12.627049126161999</v>
      </c>
      <c r="AD511" s="37">
        <v>6.0341601914496898</v>
      </c>
      <c r="AE511" s="37">
        <v>1.5226368464746201</v>
      </c>
      <c r="AF511" s="45">
        <v>3.58383307371097</v>
      </c>
      <c r="AG511" s="45">
        <v>13.258311340338601</v>
      </c>
      <c r="AH511" s="46">
        <v>4.37878587634807E-8</v>
      </c>
      <c r="AI511" s="47">
        <v>3.2548975014187302E-7</v>
      </c>
      <c r="AJ511" s="48">
        <v>0.54956500611700299</v>
      </c>
      <c r="AK511" s="49">
        <v>7.2863039528542899</v>
      </c>
      <c r="AL511" s="31" t="s">
        <v>5874</v>
      </c>
      <c r="AM511" s="31" t="s">
        <v>5876</v>
      </c>
      <c r="AN511" s="31" t="s">
        <v>31847</v>
      </c>
      <c r="AO511" s="31" t="s">
        <v>31848</v>
      </c>
      <c r="AP511" s="31" t="s">
        <v>31849</v>
      </c>
      <c r="AQ511" s="31" t="s">
        <v>31850</v>
      </c>
      <c r="AR511" s="31" t="s">
        <v>31851</v>
      </c>
      <c r="AS511" s="31" t="str">
        <f>"CORO1A"</f>
        <v>CORO1A</v>
      </c>
      <c r="AT511" s="31" t="s">
        <v>31852</v>
      </c>
      <c r="AU511" s="31" t="s">
        <v>13777</v>
      </c>
      <c r="AV511" s="31">
        <v>9606</v>
      </c>
      <c r="AW511" s="50" t="str">
        <f>HYPERLINK("http://www.uniprot.org/uniprot/P31146", "P31146")</f>
        <v>P31146</v>
      </c>
      <c r="AX511" s="31" t="s">
        <v>31853</v>
      </c>
      <c r="AY511" s="31" t="s">
        <v>13772</v>
      </c>
      <c r="AZ511" s="31" t="s">
        <v>31854</v>
      </c>
      <c r="BA511" s="31" t="s">
        <v>13793</v>
      </c>
      <c r="BB511" s="31" t="s">
        <v>13772</v>
      </c>
      <c r="BC511" s="31" t="s">
        <v>13807</v>
      </c>
      <c r="BD511" s="31" t="s">
        <v>13781</v>
      </c>
      <c r="BE511" s="31" t="s">
        <v>13772</v>
      </c>
      <c r="BF511" s="31" t="s">
        <v>13990</v>
      </c>
      <c r="BG511" s="31" t="s">
        <v>19111</v>
      </c>
      <c r="BH511" s="31" t="s">
        <v>13772</v>
      </c>
      <c r="BI511" s="31" t="s">
        <v>31855</v>
      </c>
      <c r="BJ511" s="31" t="s">
        <v>31856</v>
      </c>
      <c r="BK511" s="31" t="s">
        <v>31857</v>
      </c>
      <c r="BL511" s="31" t="s">
        <v>13772</v>
      </c>
      <c r="BM511" s="31" t="s">
        <v>13772</v>
      </c>
    </row>
    <row r="512" spans="1:65">
      <c r="A512">
        <v>2230</v>
      </c>
      <c r="B512">
        <v>1</v>
      </c>
      <c r="C512">
        <v>507</v>
      </c>
      <c r="D512" t="s">
        <v>5214</v>
      </c>
      <c r="E512" t="s">
        <v>5215</v>
      </c>
      <c r="F512" t="s">
        <v>73</v>
      </c>
      <c r="G512">
        <v>10.5</v>
      </c>
      <c r="H512">
        <v>1036</v>
      </c>
      <c r="I512">
        <v>113979</v>
      </c>
      <c r="J512" t="s">
        <v>5216</v>
      </c>
      <c r="K512" s="3" t="s">
        <v>73</v>
      </c>
      <c r="L512">
        <v>73</v>
      </c>
      <c r="M512">
        <v>73</v>
      </c>
      <c r="N512">
        <v>1</v>
      </c>
      <c r="O512" s="11">
        <f t="shared" si="7"/>
        <v>4.427405592556112</v>
      </c>
      <c r="P512" s="36">
        <v>7.2698603750083803</v>
      </c>
      <c r="Q512" s="36">
        <v>5.7783847240646802</v>
      </c>
      <c r="R512" s="36">
        <v>6.4031906472490299</v>
      </c>
      <c r="S512" s="36">
        <v>4.5357652774596904</v>
      </c>
      <c r="T512" s="36">
        <v>8.6017635993689208</v>
      </c>
      <c r="U512" s="36">
        <v>4.6486362331974602</v>
      </c>
      <c r="V512" s="36">
        <v>7.3784359800524904</v>
      </c>
      <c r="W512" s="36">
        <v>1.9463671959646101</v>
      </c>
      <c r="X512" s="37">
        <v>2.3842748797348698</v>
      </c>
      <c r="Y512" s="37">
        <v>2.5225985875531398</v>
      </c>
      <c r="Z512" s="37">
        <v>2.4001630448020301</v>
      </c>
      <c r="AA512" s="37">
        <v>1.6930940931998799</v>
      </c>
      <c r="AB512" s="37">
        <v>3.6751702632604601</v>
      </c>
      <c r="AC512" s="37">
        <v>5.5243339926958699</v>
      </c>
      <c r="AD512" s="37">
        <v>1.50854004786242</v>
      </c>
      <c r="AE512" s="37">
        <v>4.5679105394238499</v>
      </c>
      <c r="AF512" s="45">
        <v>-0.92088536700312296</v>
      </c>
      <c r="AG512" s="45">
        <v>-1.9180359259766899</v>
      </c>
      <c r="AH512" s="46">
        <v>3.2487035177109901E-2</v>
      </c>
      <c r="AI512" s="47">
        <v>5.2752006149239097E-2</v>
      </c>
      <c r="AJ512" s="48">
        <v>5.8203005040456599</v>
      </c>
      <c r="AK512" s="49">
        <v>3.0345106810665698</v>
      </c>
      <c r="AL512" s="31" t="s">
        <v>5875</v>
      </c>
      <c r="AM512" s="31" t="s">
        <v>5877</v>
      </c>
      <c r="AN512" s="31" t="s">
        <v>35051</v>
      </c>
      <c r="AO512" s="31" t="s">
        <v>35052</v>
      </c>
      <c r="AP512" s="31" t="s">
        <v>35053</v>
      </c>
      <c r="AQ512" s="31" t="s">
        <v>35054</v>
      </c>
      <c r="AR512" s="31" t="s">
        <v>35055</v>
      </c>
      <c r="AS512" s="31" t="str">
        <f>"CRIM1"</f>
        <v>CRIM1</v>
      </c>
      <c r="AT512" s="31" t="s">
        <v>35056</v>
      </c>
      <c r="AU512" s="31" t="s">
        <v>13777</v>
      </c>
      <c r="AV512" s="31">
        <v>9606</v>
      </c>
      <c r="AW512" s="50" t="str">
        <f>HYPERLINK("http://www.uniprot.org/uniprot/Q9NZV1", "Q9NZV1")</f>
        <v>Q9NZV1</v>
      </c>
      <c r="AX512" s="31" t="s">
        <v>35057</v>
      </c>
      <c r="AY512" s="31" t="s">
        <v>13772</v>
      </c>
      <c r="AZ512" s="31" t="s">
        <v>14336</v>
      </c>
      <c r="BA512" s="31" t="s">
        <v>13793</v>
      </c>
      <c r="BB512" s="31" t="s">
        <v>13772</v>
      </c>
      <c r="BC512" s="31" t="s">
        <v>13772</v>
      </c>
      <c r="BD512" s="31" t="s">
        <v>13826</v>
      </c>
      <c r="BE512" s="31" t="s">
        <v>13772</v>
      </c>
      <c r="BF512" s="31" t="s">
        <v>13772</v>
      </c>
      <c r="BG512" s="31" t="s">
        <v>13978</v>
      </c>
      <c r="BH512" s="31" t="s">
        <v>13772</v>
      </c>
      <c r="BI512" s="31" t="s">
        <v>26471</v>
      </c>
      <c r="BJ512" s="31" t="s">
        <v>34956</v>
      </c>
      <c r="BK512" s="31" t="s">
        <v>35058</v>
      </c>
      <c r="BL512" s="31" t="s">
        <v>13772</v>
      </c>
      <c r="BM512" s="31" t="s">
        <v>13772</v>
      </c>
    </row>
    <row r="513" spans="1:65">
      <c r="A513">
        <v>1594</v>
      </c>
      <c r="B513">
        <v>1</v>
      </c>
      <c r="C513">
        <v>508</v>
      </c>
      <c r="D513" t="s">
        <v>3778</v>
      </c>
      <c r="E513" t="s">
        <v>73</v>
      </c>
      <c r="F513" t="s">
        <v>73</v>
      </c>
      <c r="G513">
        <v>60.4</v>
      </c>
      <c r="H513">
        <v>498</v>
      </c>
      <c r="I513">
        <v>55562</v>
      </c>
      <c r="J513" t="s">
        <v>3779</v>
      </c>
      <c r="K513" s="3" t="s">
        <v>73</v>
      </c>
      <c r="L513">
        <v>97</v>
      </c>
      <c r="M513">
        <v>24</v>
      </c>
      <c r="N513">
        <v>0.247</v>
      </c>
      <c r="O513" s="11">
        <f t="shared" si="7"/>
        <v>4.0730825589429474</v>
      </c>
      <c r="P513" s="36">
        <v>0.30291084895868198</v>
      </c>
      <c r="Q513" s="36">
        <v>0.24076603016936199</v>
      </c>
      <c r="R513" s="36">
        <v>0.40019941545306398</v>
      </c>
      <c r="S513" s="36">
        <v>0.37798043978830698</v>
      </c>
      <c r="T513" s="36">
        <v>0.215044089984223</v>
      </c>
      <c r="U513" s="36">
        <v>0.23243181165987301</v>
      </c>
      <c r="V513" s="36">
        <v>7.0622172951930899</v>
      </c>
      <c r="W513" s="36">
        <v>4.6712812703150703</v>
      </c>
      <c r="X513" s="37">
        <v>1.19213743986744</v>
      </c>
      <c r="Y513" s="37">
        <v>3.7838978813297102</v>
      </c>
      <c r="Z513" s="37">
        <v>0.200013587066836</v>
      </c>
      <c r="AA513" s="37">
        <v>2.1163676164998502</v>
      </c>
      <c r="AB513" s="37">
        <v>31.147067981132398</v>
      </c>
      <c r="AC513" s="37">
        <v>12.469211012084999</v>
      </c>
      <c r="AD513" s="37">
        <v>0.377135011965606</v>
      </c>
      <c r="AE513" s="37">
        <v>0.38065921161865401</v>
      </c>
      <c r="AF513" s="45">
        <v>1.84869982842613</v>
      </c>
      <c r="AG513" s="45">
        <v>3.8263449324422401</v>
      </c>
      <c r="AH513" s="46">
        <v>5.6007035166598301E-2</v>
      </c>
      <c r="AI513" s="47">
        <v>8.5544992069530201E-2</v>
      </c>
      <c r="AJ513" s="48">
        <v>1.68785390019021</v>
      </c>
      <c r="AK513" s="49">
        <v>6.4583112176956803</v>
      </c>
      <c r="AL513" s="31" t="s">
        <v>5874</v>
      </c>
      <c r="AM513" s="31" t="s">
        <v>5877</v>
      </c>
      <c r="AN513" s="31" t="s">
        <v>29083</v>
      </c>
      <c r="AO513" s="31" t="s">
        <v>29084</v>
      </c>
      <c r="AP513" s="31" t="s">
        <v>29085</v>
      </c>
      <c r="AQ513" s="31" t="s">
        <v>29086</v>
      </c>
      <c r="AR513" s="31" t="s">
        <v>29087</v>
      </c>
      <c r="AS513" s="31" t="str">
        <f>"MYOT"</f>
        <v>MYOT</v>
      </c>
      <c r="AT513" s="31" t="s">
        <v>29088</v>
      </c>
      <c r="AU513" s="31" t="s">
        <v>13777</v>
      </c>
      <c r="AV513" s="31">
        <v>9606</v>
      </c>
      <c r="AW513" s="50" t="str">
        <f>HYPERLINK("http://www.uniprot.org/uniprot/Q9UBF9", "Q9UBF9")</f>
        <v>Q9UBF9</v>
      </c>
      <c r="AX513" s="31" t="s">
        <v>29089</v>
      </c>
      <c r="AY513" s="31" t="s">
        <v>13772</v>
      </c>
      <c r="AZ513" s="31" t="s">
        <v>17663</v>
      </c>
      <c r="BA513" s="31" t="s">
        <v>13780</v>
      </c>
      <c r="BB513" s="31" t="s">
        <v>13772</v>
      </c>
      <c r="BC513" s="31" t="s">
        <v>29090</v>
      </c>
      <c r="BD513" s="31" t="s">
        <v>15552</v>
      </c>
      <c r="BE513" s="31" t="s">
        <v>13772</v>
      </c>
      <c r="BF513" s="31" t="s">
        <v>14849</v>
      </c>
      <c r="BG513" s="31" t="s">
        <v>17914</v>
      </c>
      <c r="BH513" s="31" t="s">
        <v>13812</v>
      </c>
      <c r="BI513" s="31" t="s">
        <v>29091</v>
      </c>
      <c r="BJ513" s="31" t="s">
        <v>29092</v>
      </c>
      <c r="BK513" s="31" t="s">
        <v>29093</v>
      </c>
      <c r="BL513" s="31" t="s">
        <v>13772</v>
      </c>
      <c r="BM513" s="31" t="s">
        <v>13772</v>
      </c>
    </row>
    <row r="514" spans="1:65">
      <c r="A514">
        <v>540</v>
      </c>
      <c r="B514">
        <v>1</v>
      </c>
      <c r="C514">
        <v>509</v>
      </c>
      <c r="D514" t="s">
        <v>1348</v>
      </c>
      <c r="E514" t="s">
        <v>73</v>
      </c>
      <c r="F514" t="s">
        <v>73</v>
      </c>
      <c r="G514">
        <v>14.9</v>
      </c>
      <c r="H514">
        <v>3320</v>
      </c>
      <c r="I514">
        <v>352399</v>
      </c>
      <c r="J514" t="s">
        <v>1350</v>
      </c>
      <c r="K514" s="3" t="s">
        <v>73</v>
      </c>
      <c r="L514">
        <v>72</v>
      </c>
      <c r="M514">
        <v>65</v>
      </c>
      <c r="N514">
        <v>0.90300000000000002</v>
      </c>
      <c r="O514" s="11">
        <f t="shared" si="7"/>
        <v>2.2865210073331332</v>
      </c>
      <c r="P514" s="36">
        <v>0.30291084895868198</v>
      </c>
      <c r="Q514" s="36">
        <v>3.85225648270979</v>
      </c>
      <c r="R514" s="36">
        <v>1.6007976618122599</v>
      </c>
      <c r="S514" s="36">
        <v>3.0238435183064598</v>
      </c>
      <c r="T514" s="36">
        <v>0.215044089984223</v>
      </c>
      <c r="U514" s="36">
        <v>0.23243181165987301</v>
      </c>
      <c r="V514" s="36">
        <v>0.26351557071616</v>
      </c>
      <c r="W514" s="36">
        <v>0.24329589949557701</v>
      </c>
      <c r="X514" s="37">
        <v>1.5895165864899099</v>
      </c>
      <c r="Y514" s="37">
        <v>0.15766241172207099</v>
      </c>
      <c r="Z514" s="37">
        <v>0.80005434826734301</v>
      </c>
      <c r="AA514" s="37">
        <v>12.6982056989991</v>
      </c>
      <c r="AB514" s="37">
        <v>0.91879256581511404</v>
      </c>
      <c r="AC514" s="37">
        <v>1.5783811407702499</v>
      </c>
      <c r="AD514" s="37">
        <v>3.0170800957248498</v>
      </c>
      <c r="AE514" s="37">
        <v>6.0905473858984696</v>
      </c>
      <c r="AF514" s="45">
        <v>1.40323275216148</v>
      </c>
      <c r="AG514" s="45">
        <v>2.7583702230430802</v>
      </c>
      <c r="AH514" s="46">
        <v>0.119723018516943</v>
      </c>
      <c r="AI514" s="47">
        <v>0.166171575493433</v>
      </c>
      <c r="AJ514" s="48">
        <v>1.2167619854553799</v>
      </c>
      <c r="AK514" s="49">
        <v>3.3562800292108901</v>
      </c>
      <c r="AL514" s="31" t="s">
        <v>5874</v>
      </c>
      <c r="AM514" s="31" t="s">
        <v>5832</v>
      </c>
      <c r="AN514" s="31" t="s">
        <v>19081</v>
      </c>
      <c r="AO514" s="31" t="s">
        <v>19082</v>
      </c>
      <c r="AP514" s="31" t="s">
        <v>19083</v>
      </c>
      <c r="AQ514" s="31" t="s">
        <v>19084</v>
      </c>
      <c r="AR514" s="31" t="s">
        <v>19085</v>
      </c>
      <c r="AS514" s="31" t="str">
        <f>"MUC5B"</f>
        <v>MUC5B</v>
      </c>
      <c r="AT514" s="31" t="s">
        <v>19086</v>
      </c>
      <c r="AU514" s="31" t="s">
        <v>13777</v>
      </c>
      <c r="AV514" s="31">
        <v>9606</v>
      </c>
      <c r="AW514" s="50" t="str">
        <f>HYPERLINK("http://www.uniprot.org/uniprot/Q9HC84", "Q9HC84")</f>
        <v>Q9HC84</v>
      </c>
      <c r="AX514" s="31" t="s">
        <v>19087</v>
      </c>
      <c r="AY514" s="31" t="s">
        <v>13772</v>
      </c>
      <c r="AZ514" s="31" t="s">
        <v>14321</v>
      </c>
      <c r="BA514" s="31" t="s">
        <v>13793</v>
      </c>
      <c r="BB514" s="31" t="s">
        <v>13772</v>
      </c>
      <c r="BC514" s="31" t="s">
        <v>13772</v>
      </c>
      <c r="BD514" s="31" t="s">
        <v>14404</v>
      </c>
      <c r="BE514" s="31" t="s">
        <v>13772</v>
      </c>
      <c r="BF514" s="31" t="s">
        <v>13772</v>
      </c>
      <c r="BG514" s="31" t="s">
        <v>13796</v>
      </c>
      <c r="BH514" s="31" t="s">
        <v>13772</v>
      </c>
      <c r="BI514" s="31" t="s">
        <v>19088</v>
      </c>
      <c r="BJ514" s="31" t="s">
        <v>19089</v>
      </c>
      <c r="BK514" s="31" t="s">
        <v>13772</v>
      </c>
      <c r="BL514" s="31" t="s">
        <v>13772</v>
      </c>
      <c r="BM514" s="31" t="s">
        <v>19090</v>
      </c>
    </row>
    <row r="515" spans="1:65">
      <c r="A515">
        <v>1363</v>
      </c>
      <c r="B515">
        <v>1</v>
      </c>
      <c r="C515">
        <v>510</v>
      </c>
      <c r="D515" t="s">
        <v>3259</v>
      </c>
      <c r="E515" t="s">
        <v>73</v>
      </c>
      <c r="F515" t="s">
        <v>73</v>
      </c>
      <c r="G515">
        <v>63.1</v>
      </c>
      <c r="H515">
        <v>233</v>
      </c>
      <c r="I515">
        <v>26205</v>
      </c>
      <c r="J515" t="s">
        <v>3260</v>
      </c>
      <c r="K515" s="3" t="s">
        <v>73</v>
      </c>
      <c r="L515">
        <v>72</v>
      </c>
      <c r="M515">
        <v>72</v>
      </c>
      <c r="N515">
        <v>1</v>
      </c>
      <c r="O515" s="11">
        <f t="shared" si="7"/>
        <v>3.8018279335277279</v>
      </c>
      <c r="P515" s="36">
        <v>0.30291084895868198</v>
      </c>
      <c r="Q515" s="36">
        <v>0.96306412067744696</v>
      </c>
      <c r="R515" s="36">
        <v>0.40019941545306398</v>
      </c>
      <c r="S515" s="36">
        <v>0.37798043978830698</v>
      </c>
      <c r="T515" s="36">
        <v>0.86017635993689201</v>
      </c>
      <c r="U515" s="36">
        <v>2.7891817399184702</v>
      </c>
      <c r="V515" s="36">
        <v>1.05406228286464</v>
      </c>
      <c r="W515" s="36">
        <v>0.24329589949557701</v>
      </c>
      <c r="X515" s="37">
        <v>4.7685497594697397</v>
      </c>
      <c r="Y515" s="37">
        <v>8.8290950564359996</v>
      </c>
      <c r="Z515" s="37">
        <v>5.6003804378713999</v>
      </c>
      <c r="AA515" s="37">
        <v>10.1585645591993</v>
      </c>
      <c r="AB515" s="37">
        <v>14.7006810530418</v>
      </c>
      <c r="AC515" s="37">
        <v>7.8919057038512497</v>
      </c>
      <c r="AD515" s="37">
        <v>1.50854004786242</v>
      </c>
      <c r="AE515" s="37">
        <v>0.38065921161865401</v>
      </c>
      <c r="AF515" s="45">
        <v>2.7490778430180001</v>
      </c>
      <c r="AG515" s="45">
        <v>7.7012399462958303</v>
      </c>
      <c r="AH515" s="46">
        <v>1.42577098616139E-5</v>
      </c>
      <c r="AI515" s="47">
        <v>5.0467766653014201E-5</v>
      </c>
      <c r="AJ515" s="48">
        <v>0.87385888838663495</v>
      </c>
      <c r="AK515" s="49">
        <v>6.7297969786688201</v>
      </c>
      <c r="AL515" s="31" t="s">
        <v>5874</v>
      </c>
      <c r="AM515" s="31" t="s">
        <v>5876</v>
      </c>
      <c r="AN515" s="31" t="s">
        <v>26962</v>
      </c>
      <c r="AO515" s="31" t="s">
        <v>26963</v>
      </c>
      <c r="AP515" s="31" t="s">
        <v>26964</v>
      </c>
      <c r="AQ515" s="31" t="s">
        <v>26965</v>
      </c>
      <c r="AR515" s="31" t="s">
        <v>26966</v>
      </c>
      <c r="AS515" s="31" t="str">
        <f>"MSRA"</f>
        <v>MSRA</v>
      </c>
      <c r="AT515" s="31" t="s">
        <v>13772</v>
      </c>
      <c r="AU515" s="31" t="s">
        <v>13777</v>
      </c>
      <c r="AV515" s="31">
        <v>9606</v>
      </c>
      <c r="AW515" s="50" t="str">
        <f>HYPERLINK("http://www.uniprot.org/uniprot/Q9UJ68", "Q9UJ68")</f>
        <v>Q9UJ68</v>
      </c>
      <c r="AX515" s="31" t="s">
        <v>26967</v>
      </c>
      <c r="AY515" s="31" t="s">
        <v>13772</v>
      </c>
      <c r="AZ515" s="31" t="s">
        <v>26968</v>
      </c>
      <c r="BA515" s="31" t="s">
        <v>26969</v>
      </c>
      <c r="BB515" s="31" t="s">
        <v>13772</v>
      </c>
      <c r="BC515" s="31" t="s">
        <v>13772</v>
      </c>
      <c r="BD515" s="31" t="s">
        <v>14391</v>
      </c>
      <c r="BE515" s="31" t="s">
        <v>13772</v>
      </c>
      <c r="BF515" s="31" t="s">
        <v>13885</v>
      </c>
      <c r="BG515" s="31" t="s">
        <v>26970</v>
      </c>
      <c r="BH515" s="31" t="s">
        <v>13772</v>
      </c>
      <c r="BI515" s="31" t="s">
        <v>26971</v>
      </c>
      <c r="BJ515" s="31" t="s">
        <v>26972</v>
      </c>
      <c r="BK515" s="31" t="s">
        <v>26973</v>
      </c>
      <c r="BL515" s="31" t="s">
        <v>13772</v>
      </c>
      <c r="BM515" s="31" t="s">
        <v>26974</v>
      </c>
    </row>
    <row r="516" spans="1:65">
      <c r="A516">
        <v>1711</v>
      </c>
      <c r="B516">
        <v>1</v>
      </c>
      <c r="C516">
        <v>511</v>
      </c>
      <c r="D516" t="s">
        <v>4058</v>
      </c>
      <c r="E516" t="s">
        <v>73</v>
      </c>
      <c r="F516" t="s">
        <v>73</v>
      </c>
      <c r="G516">
        <v>29</v>
      </c>
      <c r="H516">
        <v>303</v>
      </c>
      <c r="I516">
        <v>35110</v>
      </c>
      <c r="J516" t="s">
        <v>4059</v>
      </c>
      <c r="K516" s="3" t="s">
        <v>73</v>
      </c>
      <c r="L516">
        <v>72</v>
      </c>
      <c r="M516">
        <v>72</v>
      </c>
      <c r="N516">
        <v>1</v>
      </c>
      <c r="O516" s="11">
        <f t="shared" si="7"/>
        <v>4.1678408275528351</v>
      </c>
      <c r="P516" s="36">
        <v>6.0582169791736504</v>
      </c>
      <c r="Q516" s="36">
        <v>5.7783847240646802</v>
      </c>
      <c r="R516" s="36">
        <v>1.6007976618122599</v>
      </c>
      <c r="S516" s="36">
        <v>4.5357652774596904</v>
      </c>
      <c r="T516" s="36">
        <v>4.3008817996844604</v>
      </c>
      <c r="U516" s="36">
        <v>5.5783634798369501</v>
      </c>
      <c r="V516" s="36">
        <v>4.21624913145856</v>
      </c>
      <c r="W516" s="36">
        <v>8.7586523818407507</v>
      </c>
      <c r="X516" s="37">
        <v>1.5895165864899099</v>
      </c>
      <c r="Y516" s="37">
        <v>2.5225985875531398</v>
      </c>
      <c r="Z516" s="37">
        <v>4.0002717413367099</v>
      </c>
      <c r="AA516" s="37">
        <v>2.5396411397998202</v>
      </c>
      <c r="AB516" s="37">
        <v>3.6751702632604601</v>
      </c>
      <c r="AC516" s="37">
        <v>3.94595285192562</v>
      </c>
      <c r="AD516" s="37">
        <v>3.0170800957248498</v>
      </c>
      <c r="AE516" s="37">
        <v>4.5679105394238499</v>
      </c>
      <c r="AF516" s="45">
        <v>-0.718641293089336</v>
      </c>
      <c r="AG516" s="45">
        <v>-1.5788957977879301</v>
      </c>
      <c r="AH516" s="46">
        <v>0.10264874557676799</v>
      </c>
      <c r="AI516" s="47">
        <v>0.145800447538977</v>
      </c>
      <c r="AJ516" s="48">
        <v>5.1034139294163703</v>
      </c>
      <c r="AK516" s="49">
        <v>3.2322677256893</v>
      </c>
      <c r="AL516" s="31" t="s">
        <v>5875</v>
      </c>
      <c r="AM516" s="31" t="s">
        <v>5832</v>
      </c>
      <c r="AN516" s="31" t="s">
        <v>30216</v>
      </c>
      <c r="AO516" s="31" t="s">
        <v>30217</v>
      </c>
      <c r="AP516" s="31" t="s">
        <v>30218</v>
      </c>
      <c r="AQ516" s="31" t="s">
        <v>30219</v>
      </c>
      <c r="AR516" s="31" t="s">
        <v>30220</v>
      </c>
      <c r="AS516" s="31" t="str">
        <f>"ATP1B1"</f>
        <v>ATP1B1</v>
      </c>
      <c r="AT516" s="31" t="s">
        <v>30221</v>
      </c>
      <c r="AU516" s="31" t="s">
        <v>13777</v>
      </c>
      <c r="AV516" s="31">
        <v>9606</v>
      </c>
      <c r="AW516" s="50" t="str">
        <f>HYPERLINK("http://www.uniprot.org/uniprot/P05026", "P05026")</f>
        <v>P05026</v>
      </c>
      <c r="AX516" s="31" t="s">
        <v>30222</v>
      </c>
      <c r="AY516" s="31" t="s">
        <v>30223</v>
      </c>
      <c r="AZ516" s="31" t="s">
        <v>13792</v>
      </c>
      <c r="BA516" s="31" t="s">
        <v>13841</v>
      </c>
      <c r="BB516" s="31" t="s">
        <v>13772</v>
      </c>
      <c r="BC516" s="31" t="s">
        <v>13772</v>
      </c>
      <c r="BD516" s="31" t="s">
        <v>14417</v>
      </c>
      <c r="BE516" s="31" t="s">
        <v>19051</v>
      </c>
      <c r="BF516" s="31" t="s">
        <v>13772</v>
      </c>
      <c r="BG516" s="31" t="s">
        <v>30224</v>
      </c>
      <c r="BH516" s="31" t="s">
        <v>13772</v>
      </c>
      <c r="BI516" s="31" t="s">
        <v>30225</v>
      </c>
      <c r="BJ516" s="31" t="s">
        <v>30226</v>
      </c>
      <c r="BK516" s="31" t="s">
        <v>30227</v>
      </c>
      <c r="BL516" s="31" t="s">
        <v>13772</v>
      </c>
      <c r="BM516" s="31" t="s">
        <v>30228</v>
      </c>
    </row>
    <row r="517" spans="1:65">
      <c r="A517">
        <v>2098</v>
      </c>
      <c r="B517">
        <v>1</v>
      </c>
      <c r="C517">
        <v>512</v>
      </c>
      <c r="D517" t="s">
        <v>4927</v>
      </c>
      <c r="E517" t="s">
        <v>73</v>
      </c>
      <c r="F517" t="s">
        <v>73</v>
      </c>
      <c r="G517">
        <v>31.9</v>
      </c>
      <c r="H517">
        <v>273</v>
      </c>
      <c r="I517">
        <v>30866</v>
      </c>
      <c r="J517" t="s">
        <v>4928</v>
      </c>
      <c r="K517" s="3" t="s">
        <v>73</v>
      </c>
      <c r="L517">
        <v>72</v>
      </c>
      <c r="M517">
        <v>72</v>
      </c>
      <c r="N517">
        <v>1</v>
      </c>
      <c r="O517" s="11">
        <f t="shared" si="7"/>
        <v>3.8504670376431789</v>
      </c>
      <c r="P517" s="36">
        <v>0.30291084895868198</v>
      </c>
      <c r="Q517" s="36">
        <v>0.24076603016936199</v>
      </c>
      <c r="R517" s="36">
        <v>0.40019941545306398</v>
      </c>
      <c r="S517" s="36">
        <v>0.37798043978830698</v>
      </c>
      <c r="T517" s="36">
        <v>1.72035271987378</v>
      </c>
      <c r="U517" s="36">
        <v>0.23243181165987301</v>
      </c>
      <c r="V517" s="36">
        <v>0.26351557071616</v>
      </c>
      <c r="W517" s="36">
        <v>2.9195507939469199</v>
      </c>
      <c r="X517" s="37">
        <v>11.9213743986744</v>
      </c>
      <c r="Y517" s="37">
        <v>10.0903943502126</v>
      </c>
      <c r="Z517" s="37">
        <v>5.6003804378713999</v>
      </c>
      <c r="AA517" s="37">
        <v>8.4654704659994096</v>
      </c>
      <c r="AB517" s="37">
        <v>4.5939628290755703</v>
      </c>
      <c r="AC517" s="37">
        <v>2.36757171115537</v>
      </c>
      <c r="AD517" s="37">
        <v>7.5427002393121096</v>
      </c>
      <c r="AE517" s="37">
        <v>4.5679105394238499</v>
      </c>
      <c r="AF517" s="45">
        <v>2.83930943306108</v>
      </c>
      <c r="AG517" s="45">
        <v>8.5401458422622394</v>
      </c>
      <c r="AH517" s="46">
        <v>6.9462224233435703E-7</v>
      </c>
      <c r="AI517" s="47">
        <v>3.5746329240129601E-6</v>
      </c>
      <c r="AJ517" s="48">
        <v>0.80721345382076903</v>
      </c>
      <c r="AK517" s="49">
        <v>6.8937206214655804</v>
      </c>
      <c r="AL517" s="31" t="s">
        <v>5874</v>
      </c>
      <c r="AM517" s="31" t="s">
        <v>5876</v>
      </c>
      <c r="AN517" s="31" t="s">
        <v>33854</v>
      </c>
      <c r="AO517" s="31" t="s">
        <v>33855</v>
      </c>
      <c r="AP517" s="31" t="s">
        <v>33856</v>
      </c>
      <c r="AQ517" s="31" t="s">
        <v>33857</v>
      </c>
      <c r="AR517" s="31" t="s">
        <v>33858</v>
      </c>
      <c r="AS517" s="31" t="str">
        <f>"NQO1"</f>
        <v>NQO1</v>
      </c>
      <c r="AT517" s="31" t="s">
        <v>33859</v>
      </c>
      <c r="AU517" s="31" t="s">
        <v>13777</v>
      </c>
      <c r="AV517" s="31">
        <v>9606</v>
      </c>
      <c r="AW517" s="50" t="str">
        <f>HYPERLINK("http://www.uniprot.org/uniprot/P15559", "P15559")</f>
        <v>P15559</v>
      </c>
      <c r="AX517" s="31" t="s">
        <v>33860</v>
      </c>
      <c r="AY517" s="31" t="s">
        <v>13772</v>
      </c>
      <c r="AZ517" s="31" t="s">
        <v>13899</v>
      </c>
      <c r="BA517" s="31" t="s">
        <v>13780</v>
      </c>
      <c r="BB517" s="31" t="s">
        <v>13772</v>
      </c>
      <c r="BC517" s="31" t="s">
        <v>13772</v>
      </c>
      <c r="BD517" s="31" t="s">
        <v>13772</v>
      </c>
      <c r="BE517" s="31" t="s">
        <v>33861</v>
      </c>
      <c r="BF517" s="31" t="s">
        <v>13885</v>
      </c>
      <c r="BG517" s="31" t="s">
        <v>13938</v>
      </c>
      <c r="BH517" s="31" t="s">
        <v>13812</v>
      </c>
      <c r="BI517" s="31" t="s">
        <v>33862</v>
      </c>
      <c r="BJ517" s="31" t="s">
        <v>33863</v>
      </c>
      <c r="BK517" s="31" t="s">
        <v>33864</v>
      </c>
      <c r="BL517" s="31" t="s">
        <v>13772</v>
      </c>
      <c r="BM517" s="31" t="s">
        <v>33865</v>
      </c>
    </row>
    <row r="518" spans="1:65">
      <c r="A518">
        <v>2245</v>
      </c>
      <c r="B518">
        <v>1</v>
      </c>
      <c r="C518">
        <v>513</v>
      </c>
      <c r="D518" t="s">
        <v>5251</v>
      </c>
      <c r="E518" t="s">
        <v>73</v>
      </c>
      <c r="F518" t="s">
        <v>73</v>
      </c>
      <c r="G518">
        <v>33.299999999999997</v>
      </c>
      <c r="H518">
        <v>667</v>
      </c>
      <c r="I518">
        <v>70547</v>
      </c>
      <c r="J518" t="s">
        <v>5252</v>
      </c>
      <c r="K518" s="3" t="s">
        <v>73</v>
      </c>
      <c r="L518">
        <v>72</v>
      </c>
      <c r="M518">
        <v>72</v>
      </c>
      <c r="N518">
        <v>1</v>
      </c>
      <c r="O518" s="11">
        <f t="shared" si="7"/>
        <v>5.3324350917115826</v>
      </c>
      <c r="P518" s="36">
        <v>6.0582169791736504</v>
      </c>
      <c r="Q518" s="36">
        <v>12.519833568806799</v>
      </c>
      <c r="R518" s="36">
        <v>22.411167265371599</v>
      </c>
      <c r="S518" s="36">
        <v>16.631139350685501</v>
      </c>
      <c r="T518" s="36">
        <v>6.0212345195582504</v>
      </c>
      <c r="U518" s="36">
        <v>3.7189089865579601</v>
      </c>
      <c r="V518" s="36">
        <v>8.4324982629171306</v>
      </c>
      <c r="W518" s="36">
        <v>0.97318359798230603</v>
      </c>
      <c r="X518" s="37">
        <v>0.79475829324495695</v>
      </c>
      <c r="Y518" s="37">
        <v>1.2612992937765699</v>
      </c>
      <c r="Z518" s="37">
        <v>1.60010869653469</v>
      </c>
      <c r="AA518" s="37">
        <v>0.84654704659994096</v>
      </c>
      <c r="AB518" s="37">
        <v>0.22969814145377901</v>
      </c>
      <c r="AC518" s="37">
        <v>0.78919057038512497</v>
      </c>
      <c r="AD518" s="37">
        <v>1.50854004786242</v>
      </c>
      <c r="AE518" s="37">
        <v>1.5226368464746201</v>
      </c>
      <c r="AF518" s="45">
        <v>-3.0186088127348998</v>
      </c>
      <c r="AG518" s="45">
        <v>-8.9755836205413306</v>
      </c>
      <c r="AH518" s="46">
        <v>1.1204660687717199E-6</v>
      </c>
      <c r="AI518" s="47">
        <v>5.5516698342180104E-6</v>
      </c>
      <c r="AJ518" s="48">
        <v>9.5957728163816505</v>
      </c>
      <c r="AK518" s="49">
        <v>1.06909736704151</v>
      </c>
      <c r="AL518" s="31" t="s">
        <v>5875</v>
      </c>
      <c r="AM518" s="31" t="s">
        <v>5876</v>
      </c>
      <c r="AN518" s="31" t="s">
        <v>35199</v>
      </c>
      <c r="AO518" s="31" t="s">
        <v>35200</v>
      </c>
      <c r="AP518" s="31" t="s">
        <v>35201</v>
      </c>
      <c r="AQ518" s="31" t="s">
        <v>35202</v>
      </c>
      <c r="AR518" s="31" t="s">
        <v>35203</v>
      </c>
      <c r="AS518" s="31" t="str">
        <f>"THBD"</f>
        <v>THBD</v>
      </c>
      <c r="AT518" s="31" t="s">
        <v>35204</v>
      </c>
      <c r="AU518" s="31" t="s">
        <v>13777</v>
      </c>
      <c r="AV518" s="31">
        <v>9606</v>
      </c>
      <c r="AW518" s="50" t="str">
        <f>HYPERLINK("http://www.uniprot.org/uniprot/P07204", "P07204")</f>
        <v>P07204</v>
      </c>
      <c r="AX518" s="31" t="s">
        <v>35205</v>
      </c>
      <c r="AY518" s="31" t="s">
        <v>16755</v>
      </c>
      <c r="AZ518" s="31" t="s">
        <v>13825</v>
      </c>
      <c r="BA518" s="31" t="s">
        <v>13793</v>
      </c>
      <c r="BB518" s="31" t="s">
        <v>13772</v>
      </c>
      <c r="BC518" s="31" t="s">
        <v>35206</v>
      </c>
      <c r="BD518" s="31" t="s">
        <v>13963</v>
      </c>
      <c r="BE518" s="31" t="s">
        <v>13772</v>
      </c>
      <c r="BF518" s="31" t="s">
        <v>13795</v>
      </c>
      <c r="BG518" s="31" t="s">
        <v>27331</v>
      </c>
      <c r="BH518" s="31" t="s">
        <v>13812</v>
      </c>
      <c r="BI518" s="31" t="s">
        <v>35207</v>
      </c>
      <c r="BJ518" s="31" t="s">
        <v>35208</v>
      </c>
      <c r="BK518" s="31" t="s">
        <v>35209</v>
      </c>
      <c r="BL518" s="31" t="s">
        <v>13772</v>
      </c>
      <c r="BM518" s="31" t="s">
        <v>34917</v>
      </c>
    </row>
    <row r="519" spans="1:65">
      <c r="A519">
        <v>1577</v>
      </c>
      <c r="B519">
        <v>1</v>
      </c>
      <c r="C519">
        <v>514</v>
      </c>
      <c r="D519" t="s">
        <v>3737</v>
      </c>
      <c r="E519" t="s">
        <v>73</v>
      </c>
      <c r="F519" t="s">
        <v>73</v>
      </c>
      <c r="G519">
        <v>50.5</v>
      </c>
      <c r="H519">
        <v>376</v>
      </c>
      <c r="I519">
        <v>41941</v>
      </c>
      <c r="J519" t="s">
        <v>3739</v>
      </c>
      <c r="K519" s="3" t="s">
        <v>73</v>
      </c>
      <c r="L519">
        <v>523</v>
      </c>
      <c r="M519">
        <v>44</v>
      </c>
      <c r="N519">
        <v>8.4000000000000005E-2</v>
      </c>
      <c r="O519" s="11">
        <f t="shared" ref="O519:O582" si="8">AVERAGE(P519:AE519)</f>
        <v>3.7668589531927399</v>
      </c>
      <c r="P519" s="36">
        <v>1.2116433958347299</v>
      </c>
      <c r="Q519" s="36">
        <v>1.3482897689484299</v>
      </c>
      <c r="R519" s="36">
        <v>0.64031906472490296</v>
      </c>
      <c r="S519" s="36">
        <v>1.66311393506855</v>
      </c>
      <c r="T519" s="36">
        <v>4.3008817996844604</v>
      </c>
      <c r="U519" s="36">
        <v>1.48756359462319</v>
      </c>
      <c r="V519" s="36">
        <v>2.9513743920209898</v>
      </c>
      <c r="W519" s="36">
        <v>4.2820078311221499</v>
      </c>
      <c r="X519" s="37">
        <v>5.7222597113636899</v>
      </c>
      <c r="Y519" s="37">
        <v>6.3064964688828598</v>
      </c>
      <c r="Z519" s="37">
        <v>4.4803043502971196</v>
      </c>
      <c r="AA519" s="37">
        <v>5.9258293261995796</v>
      </c>
      <c r="AB519" s="37">
        <v>7.5340990396839302</v>
      </c>
      <c r="AC519" s="37">
        <v>9.2335296735059593</v>
      </c>
      <c r="AD519" s="37">
        <v>1.6593940526486699</v>
      </c>
      <c r="AE519" s="37">
        <v>1.5226368464746201</v>
      </c>
      <c r="AF519" s="45">
        <v>1.20097476744021</v>
      </c>
      <c r="AG519" s="45">
        <v>2.36981214660632</v>
      </c>
      <c r="AH519" s="46">
        <v>1.3063737828730999E-2</v>
      </c>
      <c r="AI519" s="47">
        <v>2.33057082864561E-2</v>
      </c>
      <c r="AJ519" s="48">
        <v>2.2356492227534202</v>
      </c>
      <c r="AK519" s="49">
        <v>5.2980686836320503</v>
      </c>
      <c r="AL519" s="31" t="s">
        <v>5874</v>
      </c>
      <c r="AM519" s="31" t="s">
        <v>5878</v>
      </c>
      <c r="AN519" s="31" t="s">
        <v>28923</v>
      </c>
      <c r="AO519" s="31" t="s">
        <v>28924</v>
      </c>
      <c r="AP519" s="31" t="s">
        <v>28925</v>
      </c>
      <c r="AQ519" s="31" t="s">
        <v>28926</v>
      </c>
      <c r="AR519" s="31" t="s">
        <v>28927</v>
      </c>
      <c r="AS519" s="31" t="str">
        <f>"ACTBL2"</f>
        <v>ACTBL2</v>
      </c>
      <c r="AT519" s="31" t="s">
        <v>13772</v>
      </c>
      <c r="AU519" s="31" t="s">
        <v>13777</v>
      </c>
      <c r="AV519" s="31">
        <v>9606</v>
      </c>
      <c r="AW519" s="50" t="str">
        <f>HYPERLINK("http://www.uniprot.org/uniprot/Q562R1", "Q562R1")</f>
        <v>Q562R1</v>
      </c>
      <c r="AX519" s="31" t="s">
        <v>28928</v>
      </c>
      <c r="AY519" s="31" t="s">
        <v>13772</v>
      </c>
      <c r="AZ519" s="31" t="s">
        <v>13988</v>
      </c>
      <c r="BA519" s="31" t="s">
        <v>13772</v>
      </c>
      <c r="BB519" s="31" t="s">
        <v>13772</v>
      </c>
      <c r="BC519" s="31" t="s">
        <v>13772</v>
      </c>
      <c r="BD519" s="31" t="s">
        <v>13772</v>
      </c>
      <c r="BE519" s="31" t="s">
        <v>14005</v>
      </c>
      <c r="BF519" s="31" t="s">
        <v>13772</v>
      </c>
      <c r="BG519" s="31" t="s">
        <v>28929</v>
      </c>
      <c r="BH519" s="31" t="s">
        <v>13772</v>
      </c>
      <c r="BI519" s="31" t="s">
        <v>13772</v>
      </c>
      <c r="BJ519" s="31" t="s">
        <v>28930</v>
      </c>
      <c r="BK519" s="31" t="s">
        <v>25799</v>
      </c>
      <c r="BL519" s="31" t="s">
        <v>13772</v>
      </c>
      <c r="BM519" s="31" t="s">
        <v>13772</v>
      </c>
    </row>
    <row r="520" spans="1:65">
      <c r="A520">
        <v>316</v>
      </c>
      <c r="B520">
        <v>1</v>
      </c>
      <c r="C520">
        <v>515</v>
      </c>
      <c r="D520" t="s">
        <v>792</v>
      </c>
      <c r="E520" t="s">
        <v>73</v>
      </c>
      <c r="F520" t="s">
        <v>73</v>
      </c>
      <c r="G520">
        <v>65.7</v>
      </c>
      <c r="H520">
        <v>105</v>
      </c>
      <c r="I520">
        <v>11632</v>
      </c>
      <c r="J520" t="s">
        <v>793</v>
      </c>
      <c r="K520" s="3" t="s">
        <v>73</v>
      </c>
      <c r="L520">
        <v>71</v>
      </c>
      <c r="M520">
        <v>69</v>
      </c>
      <c r="N520">
        <v>0.97199999999999998</v>
      </c>
      <c r="O520" s="11">
        <f t="shared" si="8"/>
        <v>4.75050527655136</v>
      </c>
      <c r="P520" s="36">
        <v>0.30291084895868198</v>
      </c>
      <c r="Q520" s="36">
        <v>3.85225648270979</v>
      </c>
      <c r="R520" s="36">
        <v>8.00398830906129</v>
      </c>
      <c r="S520" s="36">
        <v>6.0476870366129196</v>
      </c>
      <c r="T520" s="36">
        <v>3.4407054397475698</v>
      </c>
      <c r="U520" s="36">
        <v>2.7891817399184702</v>
      </c>
      <c r="V520" s="36">
        <v>1.05406228286464</v>
      </c>
      <c r="W520" s="36">
        <v>6.8122851858761404</v>
      </c>
      <c r="X520" s="37">
        <v>5.5633080527147003</v>
      </c>
      <c r="Y520" s="37">
        <v>0.63064964688828595</v>
      </c>
      <c r="Z520" s="37">
        <v>2.4001630448020301</v>
      </c>
      <c r="AA520" s="37">
        <v>3.3861881863997598</v>
      </c>
      <c r="AB520" s="37">
        <v>7.3503405265209096</v>
      </c>
      <c r="AC520" s="37">
        <v>4.7351434223107498</v>
      </c>
      <c r="AD520" s="37">
        <v>16.593940526486598</v>
      </c>
      <c r="AE520" s="37">
        <v>3.0452736929492299</v>
      </c>
      <c r="AF520" s="45">
        <v>0.389142248159143</v>
      </c>
      <c r="AG520" s="45">
        <v>1.35296729343598</v>
      </c>
      <c r="AH520" s="46">
        <v>0.48489261931011701</v>
      </c>
      <c r="AI520" s="47">
        <v>0.56318257346956302</v>
      </c>
      <c r="AJ520" s="48">
        <v>4.03788466571869</v>
      </c>
      <c r="AK520" s="49">
        <v>5.4631258873840398</v>
      </c>
      <c r="AL520" s="31" t="s">
        <v>5874</v>
      </c>
      <c r="AM520" s="31" t="s">
        <v>5832</v>
      </c>
      <c r="AN520" s="31" t="s">
        <v>16706</v>
      </c>
      <c r="AO520" s="31" t="s">
        <v>13772</v>
      </c>
      <c r="AP520" s="31" t="s">
        <v>16707</v>
      </c>
      <c r="AQ520" s="31" t="s">
        <v>16708</v>
      </c>
      <c r="AR520" s="31" t="s">
        <v>16709</v>
      </c>
      <c r="AS520" s="31" t="str">
        <f>"CYCS"</f>
        <v>CYCS</v>
      </c>
      <c r="AT520" s="31" t="s">
        <v>16710</v>
      </c>
      <c r="AU520" s="31" t="s">
        <v>13777</v>
      </c>
      <c r="AV520" s="31">
        <v>9606</v>
      </c>
      <c r="AW520" s="50" t="str">
        <f>HYPERLINK("http://www.uniprot.org/uniprot/P99999", "P99999")</f>
        <v>P99999</v>
      </c>
      <c r="AX520" s="31" t="s">
        <v>16711</v>
      </c>
      <c r="AY520" s="31" t="s">
        <v>16712</v>
      </c>
      <c r="AZ520" s="31" t="s">
        <v>14491</v>
      </c>
      <c r="BA520" s="31" t="s">
        <v>13793</v>
      </c>
      <c r="BB520" s="31" t="s">
        <v>13772</v>
      </c>
      <c r="BC520" s="31" t="s">
        <v>13807</v>
      </c>
      <c r="BD520" s="31" t="s">
        <v>13772</v>
      </c>
      <c r="BE520" s="31" t="s">
        <v>16031</v>
      </c>
      <c r="BF520" s="31" t="s">
        <v>13772</v>
      </c>
      <c r="BG520" s="31" t="s">
        <v>13886</v>
      </c>
      <c r="BH520" s="31" t="s">
        <v>13812</v>
      </c>
      <c r="BI520" s="31" t="s">
        <v>16713</v>
      </c>
      <c r="BJ520" s="31" t="s">
        <v>16714</v>
      </c>
      <c r="BK520" s="31" t="s">
        <v>16715</v>
      </c>
      <c r="BL520" s="31" t="s">
        <v>13772</v>
      </c>
      <c r="BM520" s="31" t="s">
        <v>16716</v>
      </c>
    </row>
    <row r="521" spans="1:65">
      <c r="A521">
        <v>509</v>
      </c>
      <c r="B521">
        <v>1</v>
      </c>
      <c r="C521">
        <v>516</v>
      </c>
      <c r="D521" t="s">
        <v>1283</v>
      </c>
      <c r="E521" t="s">
        <v>1284</v>
      </c>
      <c r="F521" t="s">
        <v>73</v>
      </c>
      <c r="G521">
        <v>45.9</v>
      </c>
      <c r="H521">
        <v>495</v>
      </c>
      <c r="I521">
        <v>53761</v>
      </c>
      <c r="J521" t="s">
        <v>1285</v>
      </c>
      <c r="K521" s="3" t="s">
        <v>73</v>
      </c>
      <c r="L521">
        <v>71</v>
      </c>
      <c r="M521">
        <v>71</v>
      </c>
      <c r="N521">
        <v>1</v>
      </c>
      <c r="O521" s="11">
        <f t="shared" si="8"/>
        <v>3.7601259600174872</v>
      </c>
      <c r="P521" s="36">
        <v>3.6349301875041902</v>
      </c>
      <c r="Q521" s="36">
        <v>2.8891923620323401</v>
      </c>
      <c r="R521" s="36">
        <v>0.40019941545306398</v>
      </c>
      <c r="S521" s="36">
        <v>0.37798043978830698</v>
      </c>
      <c r="T521" s="36">
        <v>6.8814108794951396</v>
      </c>
      <c r="U521" s="36">
        <v>7.43781797311593</v>
      </c>
      <c r="V521" s="36">
        <v>2.10812456572928</v>
      </c>
      <c r="W521" s="36">
        <v>6.8122851858761404</v>
      </c>
      <c r="X521" s="37">
        <v>6.35806634595966</v>
      </c>
      <c r="Y521" s="37">
        <v>9.4597447033242794</v>
      </c>
      <c r="Z521" s="37">
        <v>9.6006521792081099</v>
      </c>
      <c r="AA521" s="37">
        <v>0.84654704659994096</v>
      </c>
      <c r="AB521" s="37">
        <v>0.22969814145377901</v>
      </c>
      <c r="AC521" s="37">
        <v>2.36757171115537</v>
      </c>
      <c r="AD521" s="37">
        <v>0.377135011965606</v>
      </c>
      <c r="AE521" s="37">
        <v>0.38065921161865401</v>
      </c>
      <c r="AF521" s="45">
        <v>-1.88729199715633E-2</v>
      </c>
      <c r="AG521" s="45">
        <v>-1.03112303658579</v>
      </c>
      <c r="AH521" s="46">
        <v>0.99999999999999101</v>
      </c>
      <c r="AI521" s="47">
        <v>1</v>
      </c>
      <c r="AJ521" s="48">
        <v>3.8177426261242999</v>
      </c>
      <c r="AK521" s="49">
        <v>3.7025092939106798</v>
      </c>
      <c r="AL521" s="31" t="s">
        <v>5875</v>
      </c>
      <c r="AM521" s="31" t="s">
        <v>5832</v>
      </c>
      <c r="AN521" s="31" t="s">
        <v>18804</v>
      </c>
      <c r="AO521" s="31" t="s">
        <v>18805</v>
      </c>
      <c r="AP521" s="31" t="s">
        <v>18806</v>
      </c>
      <c r="AQ521" s="31" t="s">
        <v>18807</v>
      </c>
      <c r="AR521" s="31" t="s">
        <v>18808</v>
      </c>
      <c r="AS521" s="31" t="str">
        <f>"RNH1"</f>
        <v>RNH1</v>
      </c>
      <c r="AT521" s="31" t="s">
        <v>18809</v>
      </c>
      <c r="AU521" s="31" t="s">
        <v>13777</v>
      </c>
      <c r="AV521" s="31">
        <v>9606</v>
      </c>
      <c r="AW521" s="50" t="str">
        <f>HYPERLINK("http://www.uniprot.org/uniprot/P13489", "P13489")</f>
        <v>P13489</v>
      </c>
      <c r="AX521" s="31" t="s">
        <v>18810</v>
      </c>
      <c r="AY521" s="31" t="s">
        <v>13772</v>
      </c>
      <c r="AZ521" s="31" t="s">
        <v>13899</v>
      </c>
      <c r="BA521" s="31" t="s">
        <v>13793</v>
      </c>
      <c r="BB521" s="31" t="s">
        <v>13772</v>
      </c>
      <c r="BC521" s="31" t="s">
        <v>13772</v>
      </c>
      <c r="BD521" s="31" t="s">
        <v>14614</v>
      </c>
      <c r="BE521" s="31" t="s">
        <v>13772</v>
      </c>
      <c r="BF521" s="31" t="s">
        <v>13772</v>
      </c>
      <c r="BG521" s="31" t="s">
        <v>13886</v>
      </c>
      <c r="BH521" s="31" t="s">
        <v>13812</v>
      </c>
      <c r="BI521" s="31" t="s">
        <v>18811</v>
      </c>
      <c r="BJ521" s="31" t="s">
        <v>18812</v>
      </c>
      <c r="BK521" s="31" t="s">
        <v>18813</v>
      </c>
      <c r="BL521" s="31" t="s">
        <v>13772</v>
      </c>
      <c r="BM521" s="31" t="s">
        <v>13772</v>
      </c>
    </row>
    <row r="522" spans="1:65">
      <c r="A522">
        <v>702</v>
      </c>
      <c r="B522">
        <v>1</v>
      </c>
      <c r="C522">
        <v>517</v>
      </c>
      <c r="D522" t="s">
        <v>1728</v>
      </c>
      <c r="E522" t="s">
        <v>1729</v>
      </c>
      <c r="F522" t="s">
        <v>73</v>
      </c>
      <c r="G522">
        <v>39.6</v>
      </c>
      <c r="H522">
        <v>273</v>
      </c>
      <c r="I522">
        <v>30406</v>
      </c>
      <c r="J522" t="s">
        <v>1730</v>
      </c>
      <c r="K522" s="3" t="s">
        <v>73</v>
      </c>
      <c r="L522">
        <v>71</v>
      </c>
      <c r="M522">
        <v>71</v>
      </c>
      <c r="N522">
        <v>1</v>
      </c>
      <c r="O522" s="11">
        <f t="shared" si="8"/>
        <v>5.0370647370666495</v>
      </c>
      <c r="P522" s="36">
        <v>4.8465735833389196</v>
      </c>
      <c r="Q522" s="36">
        <v>5.7783847240646802</v>
      </c>
      <c r="R522" s="36">
        <v>11.2055836326858</v>
      </c>
      <c r="S522" s="36">
        <v>15.119217591532299</v>
      </c>
      <c r="T522" s="36">
        <v>9.4619399593058091</v>
      </c>
      <c r="U522" s="36">
        <v>14.875635946231901</v>
      </c>
      <c r="V522" s="36">
        <v>10.5406228286464</v>
      </c>
      <c r="W522" s="36">
        <v>6.8122851858761404</v>
      </c>
      <c r="X522" s="37">
        <v>0.19868957331123899</v>
      </c>
      <c r="Y522" s="37">
        <v>0.15766241172207099</v>
      </c>
      <c r="Z522" s="37">
        <v>0.200013587066836</v>
      </c>
      <c r="AA522" s="37">
        <v>0.21163676164998499</v>
      </c>
      <c r="AB522" s="37">
        <v>0.22969814145377901</v>
      </c>
      <c r="AC522" s="37">
        <v>0.19729764259628099</v>
      </c>
      <c r="AD522" s="37">
        <v>0.377135011965606</v>
      </c>
      <c r="AE522" s="37">
        <v>0.38065921161865401</v>
      </c>
      <c r="AF522" s="45">
        <v>-4.8275811325346201</v>
      </c>
      <c r="AG522" s="45">
        <v>-40.270663595458998</v>
      </c>
      <c r="AH522" s="46">
        <v>3.4181849186228502E-15</v>
      </c>
      <c r="AI522" s="47">
        <v>2.0788779186897099E-13</v>
      </c>
      <c r="AJ522" s="48">
        <v>9.8300304314602407</v>
      </c>
      <c r="AK522" s="49">
        <v>0.24409904267305599</v>
      </c>
      <c r="AL522" s="31" t="s">
        <v>5875</v>
      </c>
      <c r="AM522" s="31" t="s">
        <v>5876</v>
      </c>
      <c r="AN522" s="31" t="s">
        <v>20717</v>
      </c>
      <c r="AO522" s="31" t="s">
        <v>20718</v>
      </c>
      <c r="AP522" s="31" t="s">
        <v>20719</v>
      </c>
      <c r="AQ522" s="31" t="s">
        <v>20720</v>
      </c>
      <c r="AR522" s="31" t="s">
        <v>20721</v>
      </c>
      <c r="AS522" s="31" t="str">
        <f>"CHODL"</f>
        <v>CHODL</v>
      </c>
      <c r="AT522" s="31" t="s">
        <v>20722</v>
      </c>
      <c r="AU522" s="31" t="s">
        <v>13777</v>
      </c>
      <c r="AV522" s="31">
        <v>9606</v>
      </c>
      <c r="AW522" s="50" t="str">
        <f>HYPERLINK("http://www.uniprot.org/uniprot/Q9H9P2", "Q9H9P2")</f>
        <v>Q9H9P2</v>
      </c>
      <c r="AX522" s="31" t="s">
        <v>20723</v>
      </c>
      <c r="AY522" s="31" t="s">
        <v>20100</v>
      </c>
      <c r="AZ522" s="31" t="s">
        <v>20724</v>
      </c>
      <c r="BA522" s="31" t="s">
        <v>20725</v>
      </c>
      <c r="BB522" s="31" t="s">
        <v>13772</v>
      </c>
      <c r="BC522" s="31" t="s">
        <v>13772</v>
      </c>
      <c r="BD522" s="31" t="s">
        <v>13855</v>
      </c>
      <c r="BE522" s="31" t="s">
        <v>14277</v>
      </c>
      <c r="BF522" s="31" t="s">
        <v>13772</v>
      </c>
      <c r="BG522" s="31" t="s">
        <v>13796</v>
      </c>
      <c r="BH522" s="31" t="s">
        <v>13772</v>
      </c>
      <c r="BI522" s="31" t="s">
        <v>20726</v>
      </c>
      <c r="BJ522" s="31" t="s">
        <v>20727</v>
      </c>
      <c r="BK522" s="31" t="s">
        <v>20728</v>
      </c>
      <c r="BL522" s="31" t="s">
        <v>13772</v>
      </c>
      <c r="BM522" s="31" t="s">
        <v>13772</v>
      </c>
    </row>
    <row r="523" spans="1:65">
      <c r="A523">
        <v>1598</v>
      </c>
      <c r="B523">
        <v>1</v>
      </c>
      <c r="C523">
        <v>518</v>
      </c>
      <c r="D523" t="s">
        <v>3787</v>
      </c>
      <c r="E523" t="s">
        <v>73</v>
      </c>
      <c r="F523" t="s">
        <v>73</v>
      </c>
      <c r="G523">
        <v>71.7</v>
      </c>
      <c r="H523">
        <v>219</v>
      </c>
      <c r="I523">
        <v>21940</v>
      </c>
      <c r="J523" t="s">
        <v>3788</v>
      </c>
      <c r="K523" s="3" t="s">
        <v>73</v>
      </c>
      <c r="L523">
        <v>71</v>
      </c>
      <c r="M523">
        <v>71</v>
      </c>
      <c r="N523">
        <v>1</v>
      </c>
      <c r="O523" s="11">
        <f t="shared" si="8"/>
        <v>3.8055709980138523</v>
      </c>
      <c r="P523" s="36">
        <v>3.6349301875041902</v>
      </c>
      <c r="Q523" s="36">
        <v>0.96306412067744696</v>
      </c>
      <c r="R523" s="36">
        <v>3.2015953236245198</v>
      </c>
      <c r="S523" s="36">
        <v>1.5119217591532299</v>
      </c>
      <c r="T523" s="36">
        <v>2.5805290798106801</v>
      </c>
      <c r="U523" s="36">
        <v>1.85945449327898</v>
      </c>
      <c r="V523" s="36">
        <v>5.2703114143232002</v>
      </c>
      <c r="W523" s="36">
        <v>3.8927343919292201</v>
      </c>
      <c r="X523" s="37">
        <v>7.9475829324495697</v>
      </c>
      <c r="Y523" s="37">
        <v>6.9371461157711396</v>
      </c>
      <c r="Z523" s="37">
        <v>2.4001630448020301</v>
      </c>
      <c r="AA523" s="37">
        <v>5.9258293261995796</v>
      </c>
      <c r="AB523" s="37">
        <v>7.3503405265209096</v>
      </c>
      <c r="AC523" s="37">
        <v>5.5243339926958699</v>
      </c>
      <c r="AD523" s="37">
        <v>1.50854004786242</v>
      </c>
      <c r="AE523" s="37">
        <v>0.38065921161865401</v>
      </c>
      <c r="AF523" s="45">
        <v>0.79357765108452405</v>
      </c>
      <c r="AG523" s="45">
        <v>1.65722697995927</v>
      </c>
      <c r="AH523" s="46">
        <v>0.146376770454688</v>
      </c>
      <c r="AI523" s="47">
        <v>0.19823088954288801</v>
      </c>
      <c r="AJ523" s="48">
        <v>2.8643175962876799</v>
      </c>
      <c r="AK523" s="49">
        <v>4.7468243997400199</v>
      </c>
      <c r="AL523" s="31" t="s">
        <v>5874</v>
      </c>
      <c r="AM523" s="31" t="s">
        <v>5832</v>
      </c>
      <c r="AN523" s="31" t="s">
        <v>29116</v>
      </c>
      <c r="AO523" s="31" t="s">
        <v>29117</v>
      </c>
      <c r="AP523" s="31" t="s">
        <v>29118</v>
      </c>
      <c r="AQ523" s="31" t="s">
        <v>29119</v>
      </c>
      <c r="AR523" s="31" t="s">
        <v>29120</v>
      </c>
      <c r="AS523" s="31" t="str">
        <f>"BASP1"</f>
        <v>BASP1</v>
      </c>
      <c r="AT523" s="31" t="s">
        <v>29121</v>
      </c>
      <c r="AU523" s="31" t="s">
        <v>13777</v>
      </c>
      <c r="AV523" s="31">
        <v>9606</v>
      </c>
      <c r="AW523" s="50" t="str">
        <f>HYPERLINK("http://www.uniprot.org/uniprot/P80723", "P80723")</f>
        <v>P80723</v>
      </c>
      <c r="AX523" s="31" t="s">
        <v>29122</v>
      </c>
      <c r="AY523" s="31" t="s">
        <v>13772</v>
      </c>
      <c r="AZ523" s="31" t="s">
        <v>15856</v>
      </c>
      <c r="BA523" s="31" t="s">
        <v>13780</v>
      </c>
      <c r="BB523" s="31" t="s">
        <v>13772</v>
      </c>
      <c r="BC523" s="31" t="s">
        <v>13772</v>
      </c>
      <c r="BD523" s="31" t="s">
        <v>13772</v>
      </c>
      <c r="BE523" s="31" t="s">
        <v>13772</v>
      </c>
      <c r="BF523" s="31" t="s">
        <v>13772</v>
      </c>
      <c r="BG523" s="31" t="s">
        <v>20565</v>
      </c>
      <c r="BH523" s="31" t="s">
        <v>13772</v>
      </c>
      <c r="BI523" s="31" t="s">
        <v>29123</v>
      </c>
      <c r="BJ523" s="31" t="s">
        <v>29124</v>
      </c>
      <c r="BK523" s="31" t="s">
        <v>29125</v>
      </c>
      <c r="BL523" s="31" t="s">
        <v>13772</v>
      </c>
      <c r="BM523" s="31" t="s">
        <v>13772</v>
      </c>
    </row>
    <row r="524" spans="1:65">
      <c r="A524">
        <v>70</v>
      </c>
      <c r="B524">
        <v>1</v>
      </c>
      <c r="C524">
        <v>519</v>
      </c>
      <c r="D524" t="s">
        <v>198</v>
      </c>
      <c r="E524" t="s">
        <v>199</v>
      </c>
      <c r="F524" t="s">
        <v>73</v>
      </c>
      <c r="G524">
        <v>18.600000000000001</v>
      </c>
      <c r="H524">
        <v>467</v>
      </c>
      <c r="I524">
        <v>50837</v>
      </c>
      <c r="J524" t="s">
        <v>200</v>
      </c>
      <c r="K524" s="3" t="s">
        <v>73</v>
      </c>
      <c r="L524">
        <v>70</v>
      </c>
      <c r="M524">
        <v>70</v>
      </c>
      <c r="N524">
        <v>1</v>
      </c>
      <c r="O524" s="11">
        <f t="shared" si="8"/>
        <v>4.7873256663635591</v>
      </c>
      <c r="P524" s="36">
        <v>4.8465735833389196</v>
      </c>
      <c r="Q524" s="36">
        <v>10.5937053274519</v>
      </c>
      <c r="R524" s="36">
        <v>14.4071789563103</v>
      </c>
      <c r="S524" s="36">
        <v>15.119217591532299</v>
      </c>
      <c r="T524" s="36">
        <v>8.6017635993689208</v>
      </c>
      <c r="U524" s="36">
        <v>1.85945449327898</v>
      </c>
      <c r="V524" s="36">
        <v>3.1621868485939202</v>
      </c>
      <c r="W524" s="36">
        <v>2.9195507939469199</v>
      </c>
      <c r="X524" s="37">
        <v>2.3842748797348698</v>
      </c>
      <c r="Y524" s="37">
        <v>0.15766241172207099</v>
      </c>
      <c r="Z524" s="37">
        <v>0.80005434826734301</v>
      </c>
      <c r="AA524" s="37">
        <v>2.5396411397998202</v>
      </c>
      <c r="AB524" s="37">
        <v>1.8375851316302301</v>
      </c>
      <c r="AC524" s="37">
        <v>3.94595285192562</v>
      </c>
      <c r="AD524" s="37">
        <v>0.377135011965606</v>
      </c>
      <c r="AE524" s="37">
        <v>3.0452736929492299</v>
      </c>
      <c r="AF524" s="45">
        <v>-1.9274985522968899</v>
      </c>
      <c r="AG524" s="45">
        <v>-4.0768389206699602</v>
      </c>
      <c r="AH524" s="46">
        <v>8.6802447895044398E-4</v>
      </c>
      <c r="AI524" s="47">
        <v>1.9819398512554501E-3</v>
      </c>
      <c r="AJ524" s="48">
        <v>7.6887038992277699</v>
      </c>
      <c r="AK524" s="49">
        <v>1.88594743349935</v>
      </c>
      <c r="AL524" s="31" t="s">
        <v>5875</v>
      </c>
      <c r="AM524" s="31" t="s">
        <v>5876</v>
      </c>
      <c r="AN524" s="31" t="s">
        <v>13969</v>
      </c>
      <c r="AO524" s="31" t="s">
        <v>13970</v>
      </c>
      <c r="AP524" s="31" t="s">
        <v>13971</v>
      </c>
      <c r="AQ524" s="31" t="s">
        <v>13972</v>
      </c>
      <c r="AR524" s="31" t="s">
        <v>13973</v>
      </c>
      <c r="AS524" s="31" t="str">
        <f>"GPRC5C"</f>
        <v>GPRC5C</v>
      </c>
      <c r="AT524" s="31" t="s">
        <v>13974</v>
      </c>
      <c r="AU524" s="31" t="s">
        <v>13777</v>
      </c>
      <c r="AV524" s="31">
        <v>9606</v>
      </c>
      <c r="AW524" s="50" t="str">
        <f>HYPERLINK("http://www.uniprot.org/uniprot/Q9NQ84", "Q9NQ84")</f>
        <v>Q9NQ84</v>
      </c>
      <c r="AX524" s="31" t="s">
        <v>13975</v>
      </c>
      <c r="AY524" s="31" t="s">
        <v>13772</v>
      </c>
      <c r="AZ524" s="31" t="s">
        <v>13976</v>
      </c>
      <c r="BA524" s="31" t="s">
        <v>13841</v>
      </c>
      <c r="BB524" s="31" t="s">
        <v>13772</v>
      </c>
      <c r="BC524" s="31" t="s">
        <v>13772</v>
      </c>
      <c r="BD524" s="31" t="s">
        <v>13855</v>
      </c>
      <c r="BE524" s="31" t="s">
        <v>13772</v>
      </c>
      <c r="BF524" s="31" t="s">
        <v>13977</v>
      </c>
      <c r="BG524" s="31" t="s">
        <v>13978</v>
      </c>
      <c r="BH524" s="31" t="s">
        <v>13772</v>
      </c>
      <c r="BI524" s="31" t="s">
        <v>13979</v>
      </c>
      <c r="BJ524" s="31" t="s">
        <v>13980</v>
      </c>
      <c r="BK524" s="31" t="s">
        <v>13981</v>
      </c>
      <c r="BL524" s="31" t="s">
        <v>13772</v>
      </c>
      <c r="BM524" s="31" t="s">
        <v>13772</v>
      </c>
    </row>
    <row r="525" spans="1:65">
      <c r="A525">
        <v>112</v>
      </c>
      <c r="B525">
        <v>1</v>
      </c>
      <c r="C525">
        <v>520</v>
      </c>
      <c r="D525" t="s">
        <v>293</v>
      </c>
      <c r="E525" t="s">
        <v>73</v>
      </c>
      <c r="F525" t="s">
        <v>73</v>
      </c>
      <c r="G525">
        <v>47.8</v>
      </c>
      <c r="H525">
        <v>663</v>
      </c>
      <c r="I525">
        <v>75068</v>
      </c>
      <c r="J525" t="s">
        <v>294</v>
      </c>
      <c r="K525" s="3" t="s">
        <v>73</v>
      </c>
      <c r="L525">
        <v>70</v>
      </c>
      <c r="M525">
        <v>70</v>
      </c>
      <c r="N525">
        <v>1</v>
      </c>
      <c r="O525" s="11">
        <f t="shared" si="8"/>
        <v>3.3430412419694218</v>
      </c>
      <c r="P525" s="36">
        <v>0.30291084895868198</v>
      </c>
      <c r="Q525" s="36">
        <v>0.24076603016936199</v>
      </c>
      <c r="R525" s="36">
        <v>0.40019941545306398</v>
      </c>
      <c r="S525" s="36">
        <v>0.37798043978830698</v>
      </c>
      <c r="T525" s="36">
        <v>0.215044089984223</v>
      </c>
      <c r="U525" s="36">
        <v>0.23243181165987301</v>
      </c>
      <c r="V525" s="36">
        <v>1.05406228286464</v>
      </c>
      <c r="W525" s="36">
        <v>0.97318359798230603</v>
      </c>
      <c r="X525" s="37">
        <v>0.19868957331123899</v>
      </c>
      <c r="Y525" s="37">
        <v>22.703387287978298</v>
      </c>
      <c r="Z525" s="37">
        <v>24.801684796287599</v>
      </c>
      <c r="AA525" s="37">
        <v>0.21163676164998499</v>
      </c>
      <c r="AB525" s="37">
        <v>0.22969814145377901</v>
      </c>
      <c r="AC525" s="37">
        <v>0.78919057038512497</v>
      </c>
      <c r="AD525" s="37">
        <v>0.377135011965606</v>
      </c>
      <c r="AE525" s="37">
        <v>0.38065921161865401</v>
      </c>
      <c r="AF525" s="45">
        <v>3.4332994754129502</v>
      </c>
      <c r="AG525" s="45">
        <v>13.088648406445399</v>
      </c>
      <c r="AH525" s="46">
        <v>3.2896581293509002E-3</v>
      </c>
      <c r="AI525" s="47">
        <v>6.6893048283761499E-3</v>
      </c>
      <c r="AJ525" s="48">
        <v>0.474572314607557</v>
      </c>
      <c r="AK525" s="49">
        <v>6.21151016933129</v>
      </c>
      <c r="AL525" s="31" t="s">
        <v>5874</v>
      </c>
      <c r="AM525" s="31" t="s">
        <v>5876</v>
      </c>
      <c r="AN525" s="31" t="s">
        <v>14423</v>
      </c>
      <c r="AO525" s="31" t="s">
        <v>14424</v>
      </c>
      <c r="AP525" s="31" t="s">
        <v>14425</v>
      </c>
      <c r="AQ525" s="31" t="s">
        <v>14426</v>
      </c>
      <c r="AR525" s="31" t="s">
        <v>14427</v>
      </c>
      <c r="AS525" s="31" t="str">
        <f>"ALOX15"</f>
        <v>ALOX15</v>
      </c>
      <c r="AT525" s="31" t="s">
        <v>14428</v>
      </c>
      <c r="AU525" s="31" t="s">
        <v>13777</v>
      </c>
      <c r="AV525" s="31">
        <v>9606</v>
      </c>
      <c r="AW525" s="50" t="str">
        <f>HYPERLINK("http://www.uniprot.org/uniprot/P16050", "P16050")</f>
        <v>P16050</v>
      </c>
      <c r="AX525" s="31" t="s">
        <v>14429</v>
      </c>
      <c r="AY525" s="31" t="s">
        <v>14430</v>
      </c>
      <c r="AZ525" s="31" t="s">
        <v>14431</v>
      </c>
      <c r="BA525" s="31" t="s">
        <v>13780</v>
      </c>
      <c r="BB525" s="31" t="s">
        <v>13772</v>
      </c>
      <c r="BC525" s="31" t="s">
        <v>13772</v>
      </c>
      <c r="BD525" s="31" t="s">
        <v>13772</v>
      </c>
      <c r="BE525" s="31" t="s">
        <v>14432</v>
      </c>
      <c r="BF525" s="31" t="s">
        <v>14433</v>
      </c>
      <c r="BG525" s="31" t="s">
        <v>13772</v>
      </c>
      <c r="BH525" s="31" t="s">
        <v>13812</v>
      </c>
      <c r="BI525" s="31" t="s">
        <v>14434</v>
      </c>
      <c r="BJ525" s="31" t="s">
        <v>14435</v>
      </c>
      <c r="BK525" s="31" t="s">
        <v>14436</v>
      </c>
      <c r="BL525" s="31" t="s">
        <v>14437</v>
      </c>
      <c r="BM525" s="31" t="s">
        <v>14438</v>
      </c>
    </row>
    <row r="526" spans="1:65">
      <c r="A526">
        <v>900</v>
      </c>
      <c r="B526">
        <v>1</v>
      </c>
      <c r="C526">
        <v>521</v>
      </c>
      <c r="D526" t="s">
        <v>2195</v>
      </c>
      <c r="E526" t="s">
        <v>73</v>
      </c>
      <c r="F526" t="s">
        <v>73</v>
      </c>
      <c r="G526">
        <v>53.1</v>
      </c>
      <c r="H526">
        <v>262</v>
      </c>
      <c r="I526">
        <v>27517</v>
      </c>
      <c r="J526" t="s">
        <v>2196</v>
      </c>
      <c r="K526" s="3" t="s">
        <v>73</v>
      </c>
      <c r="L526">
        <v>70</v>
      </c>
      <c r="M526">
        <v>70</v>
      </c>
      <c r="N526">
        <v>1</v>
      </c>
      <c r="O526" s="11">
        <f t="shared" si="8"/>
        <v>4.1509308862359973</v>
      </c>
      <c r="P526" s="36">
        <v>1.2116433958347299</v>
      </c>
      <c r="Q526" s="36">
        <v>0.24076603016936199</v>
      </c>
      <c r="R526" s="36">
        <v>1.6007976618122599</v>
      </c>
      <c r="S526" s="36">
        <v>0.37798043978830698</v>
      </c>
      <c r="T526" s="36">
        <v>0.215044089984223</v>
      </c>
      <c r="U526" s="36">
        <v>0.23243181165987301</v>
      </c>
      <c r="V526" s="36">
        <v>0.26351557071616</v>
      </c>
      <c r="W526" s="36">
        <v>0.24329589949557701</v>
      </c>
      <c r="X526" s="37">
        <v>6.35806634595966</v>
      </c>
      <c r="Y526" s="37">
        <v>7.5677957626594301</v>
      </c>
      <c r="Z526" s="37">
        <v>4.8003260896040603</v>
      </c>
      <c r="AA526" s="37">
        <v>5.9258293261995796</v>
      </c>
      <c r="AB526" s="37">
        <v>2.7563776974453398</v>
      </c>
      <c r="AC526" s="37">
        <v>11.837858555776901</v>
      </c>
      <c r="AD526" s="37">
        <v>6.0341601914496898</v>
      </c>
      <c r="AE526" s="37">
        <v>16.749005311220799</v>
      </c>
      <c r="AF526" s="45">
        <v>3.6692288415946699</v>
      </c>
      <c r="AG526" s="45">
        <v>14.1442878370929</v>
      </c>
      <c r="AH526" s="46">
        <v>3.03895025319152E-8</v>
      </c>
      <c r="AI526" s="47">
        <v>2.33684795331623E-7</v>
      </c>
      <c r="AJ526" s="48">
        <v>0.54818436243256097</v>
      </c>
      <c r="AK526" s="49">
        <v>7.7536774100394297</v>
      </c>
      <c r="AL526" s="31" t="s">
        <v>5874</v>
      </c>
      <c r="AM526" s="31" t="s">
        <v>5876</v>
      </c>
      <c r="AN526" s="31" t="s">
        <v>22662</v>
      </c>
      <c r="AO526" s="31" t="s">
        <v>22663</v>
      </c>
      <c r="AP526" s="31" t="s">
        <v>22664</v>
      </c>
      <c r="AQ526" s="31" t="s">
        <v>22665</v>
      </c>
      <c r="AR526" s="31" t="s">
        <v>22666</v>
      </c>
      <c r="AS526" s="31" t="str">
        <f>"FSTL3"</f>
        <v>FSTL3</v>
      </c>
      <c r="AT526" s="31" t="s">
        <v>22667</v>
      </c>
      <c r="AU526" s="31" t="s">
        <v>13777</v>
      </c>
      <c r="AV526" s="31">
        <v>9606</v>
      </c>
      <c r="AW526" s="50" t="str">
        <f>HYPERLINK("http://www.uniprot.org/uniprot/O95633", "O95633")</f>
        <v>O95633</v>
      </c>
      <c r="AX526" s="31" t="s">
        <v>22668</v>
      </c>
      <c r="AY526" s="31" t="s">
        <v>22669</v>
      </c>
      <c r="AZ526" s="31" t="s">
        <v>22670</v>
      </c>
      <c r="BA526" s="31" t="s">
        <v>22671</v>
      </c>
      <c r="BB526" s="31" t="s">
        <v>13772</v>
      </c>
      <c r="BC526" s="31" t="s">
        <v>14244</v>
      </c>
      <c r="BD526" s="31" t="s">
        <v>14404</v>
      </c>
      <c r="BE526" s="31" t="s">
        <v>13772</v>
      </c>
      <c r="BF526" s="31" t="s">
        <v>13772</v>
      </c>
      <c r="BG526" s="31" t="s">
        <v>13964</v>
      </c>
      <c r="BH526" s="31" t="s">
        <v>13812</v>
      </c>
      <c r="BI526" s="31" t="s">
        <v>22672</v>
      </c>
      <c r="BJ526" s="31" t="s">
        <v>22673</v>
      </c>
      <c r="BK526" s="31" t="s">
        <v>22674</v>
      </c>
      <c r="BL526" s="31" t="s">
        <v>13772</v>
      </c>
      <c r="BM526" s="31" t="s">
        <v>22675</v>
      </c>
    </row>
    <row r="527" spans="1:65">
      <c r="A527">
        <v>1386</v>
      </c>
      <c r="B527">
        <v>1</v>
      </c>
      <c r="C527">
        <v>522</v>
      </c>
      <c r="D527" t="s">
        <v>3312</v>
      </c>
      <c r="E527" t="s">
        <v>3313</v>
      </c>
      <c r="F527" t="s">
        <v>73</v>
      </c>
      <c r="G527">
        <v>28.6</v>
      </c>
      <c r="H527">
        <v>843</v>
      </c>
      <c r="I527">
        <v>92992</v>
      </c>
      <c r="J527" t="s">
        <v>3314</v>
      </c>
      <c r="K527" s="3" t="s">
        <v>73</v>
      </c>
      <c r="L527">
        <v>70</v>
      </c>
      <c r="M527">
        <v>70</v>
      </c>
      <c r="N527">
        <v>1</v>
      </c>
      <c r="O527" s="11">
        <f t="shared" si="8"/>
        <v>2.0255483541246431</v>
      </c>
      <c r="P527" s="36">
        <v>1.2116433958347299</v>
      </c>
      <c r="Q527" s="36">
        <v>0.24076603016936199</v>
      </c>
      <c r="R527" s="36">
        <v>0.40019941545306398</v>
      </c>
      <c r="S527" s="36">
        <v>0.37798043978830698</v>
      </c>
      <c r="T527" s="36">
        <v>0.86017635993689201</v>
      </c>
      <c r="U527" s="36">
        <v>0.23243181165987301</v>
      </c>
      <c r="V527" s="36">
        <v>1.05406228286464</v>
      </c>
      <c r="W527" s="36">
        <v>1.9463671959646101</v>
      </c>
      <c r="X527" s="37">
        <v>0.19868957331123899</v>
      </c>
      <c r="Y527" s="37">
        <v>0.15766241172207099</v>
      </c>
      <c r="Z527" s="37">
        <v>0.200013587066836</v>
      </c>
      <c r="AA527" s="37">
        <v>8.4654704659994096</v>
      </c>
      <c r="AB527" s="37">
        <v>1.8375851316302301</v>
      </c>
      <c r="AC527" s="37">
        <v>1.5783811407702499</v>
      </c>
      <c r="AD527" s="37">
        <v>6.0341601914496898</v>
      </c>
      <c r="AE527" s="37">
        <v>7.6131842323730803</v>
      </c>
      <c r="AF527" s="45">
        <v>1.76159972060833</v>
      </c>
      <c r="AG527" s="45">
        <v>4.1250293567567997</v>
      </c>
      <c r="AH527" s="46">
        <v>2.2450083955762701E-2</v>
      </c>
      <c r="AI527" s="47">
        <v>3.83140463428705E-2</v>
      </c>
      <c r="AJ527" s="48">
        <v>0.79045336645893505</v>
      </c>
      <c r="AK527" s="49">
        <v>3.2606433417903502</v>
      </c>
      <c r="AL527" s="31" t="s">
        <v>5874</v>
      </c>
      <c r="AM527" s="31" t="s">
        <v>5878</v>
      </c>
      <c r="AN527" s="31" t="s">
        <v>27171</v>
      </c>
      <c r="AO527" s="31" t="s">
        <v>27172</v>
      </c>
      <c r="AP527" s="31" t="s">
        <v>27173</v>
      </c>
      <c r="AQ527" s="31" t="s">
        <v>27174</v>
      </c>
      <c r="AR527" s="31" t="s">
        <v>27175</v>
      </c>
      <c r="AS527" s="31" t="str">
        <f>"GPLD1"</f>
        <v>GPLD1</v>
      </c>
      <c r="AT527" s="31" t="s">
        <v>27176</v>
      </c>
      <c r="AU527" s="31" t="s">
        <v>13777</v>
      </c>
      <c r="AV527" s="31">
        <v>9606</v>
      </c>
      <c r="AW527" s="50" t="str">
        <f>HYPERLINK("http://www.uniprot.org/uniprot/P80108", "P80108")</f>
        <v>P80108</v>
      </c>
      <c r="AX527" s="31" t="s">
        <v>27177</v>
      </c>
      <c r="AY527" s="31" t="s">
        <v>13772</v>
      </c>
      <c r="AZ527" s="31" t="s">
        <v>14321</v>
      </c>
      <c r="BA527" s="31" t="s">
        <v>13780</v>
      </c>
      <c r="BB527" s="31" t="s">
        <v>13772</v>
      </c>
      <c r="BC527" s="31" t="s">
        <v>13772</v>
      </c>
      <c r="BD527" s="31" t="s">
        <v>14404</v>
      </c>
      <c r="BE527" s="31" t="s">
        <v>13772</v>
      </c>
      <c r="BF527" s="31" t="s">
        <v>13857</v>
      </c>
      <c r="BG527" s="31" t="s">
        <v>13858</v>
      </c>
      <c r="BH527" s="31" t="s">
        <v>13772</v>
      </c>
      <c r="BI527" s="31" t="s">
        <v>27178</v>
      </c>
      <c r="BJ527" s="31" t="s">
        <v>27179</v>
      </c>
      <c r="BK527" s="31" t="s">
        <v>27180</v>
      </c>
      <c r="BL527" s="31" t="s">
        <v>13772</v>
      </c>
      <c r="BM527" s="31" t="s">
        <v>16280</v>
      </c>
    </row>
    <row r="528" spans="1:65">
      <c r="A528">
        <v>1407</v>
      </c>
      <c r="B528">
        <v>1</v>
      </c>
      <c r="C528">
        <v>523</v>
      </c>
      <c r="D528" t="s">
        <v>3360</v>
      </c>
      <c r="E528" t="s">
        <v>73</v>
      </c>
      <c r="F528" t="s">
        <v>73</v>
      </c>
      <c r="G528">
        <v>57.1</v>
      </c>
      <c r="H528">
        <v>333</v>
      </c>
      <c r="I528">
        <v>31705</v>
      </c>
      <c r="J528" t="s">
        <v>3361</v>
      </c>
      <c r="K528" s="3" t="s">
        <v>73</v>
      </c>
      <c r="L528">
        <v>70</v>
      </c>
      <c r="M528">
        <v>70</v>
      </c>
      <c r="N528">
        <v>1</v>
      </c>
      <c r="O528" s="11">
        <f t="shared" si="8"/>
        <v>4.0878072287207177</v>
      </c>
      <c r="P528" s="36">
        <v>4.8465735833389196</v>
      </c>
      <c r="Q528" s="36">
        <v>0.96306412067744696</v>
      </c>
      <c r="R528" s="36">
        <v>3.2015953236245198</v>
      </c>
      <c r="S528" s="36">
        <v>4.5357652774596904</v>
      </c>
      <c r="T528" s="36">
        <v>4.3008817996844604</v>
      </c>
      <c r="U528" s="36">
        <v>1.85945449327898</v>
      </c>
      <c r="V528" s="36">
        <v>10.5406228286464</v>
      </c>
      <c r="W528" s="36">
        <v>3.8927343919292201</v>
      </c>
      <c r="X528" s="37">
        <v>4.7685497594697397</v>
      </c>
      <c r="Y528" s="37">
        <v>6.3064964688828598</v>
      </c>
      <c r="Z528" s="37">
        <v>2.4001630448020301</v>
      </c>
      <c r="AA528" s="37">
        <v>3.3861881863997598</v>
      </c>
      <c r="AB528" s="37">
        <v>3.6751702632604601</v>
      </c>
      <c r="AC528" s="37">
        <v>3.1567622815404999</v>
      </c>
      <c r="AD528" s="37">
        <v>4.5256201435872701</v>
      </c>
      <c r="AE528" s="37">
        <v>3.0452736929492299</v>
      </c>
      <c r="AF528" s="45">
        <v>-9.0951534766335607E-2</v>
      </c>
      <c r="AG528" s="45">
        <v>-1.0920050979799301</v>
      </c>
      <c r="AH528" s="46">
        <v>0.84376453202308799</v>
      </c>
      <c r="AI528" s="47">
        <v>0.89034459293918899</v>
      </c>
      <c r="AJ528" s="48">
        <v>4.2675864773299503</v>
      </c>
      <c r="AK528" s="49">
        <v>3.9080279801114801</v>
      </c>
      <c r="AL528" s="31" t="s">
        <v>5875</v>
      </c>
      <c r="AM528" s="31" t="s">
        <v>5832</v>
      </c>
      <c r="AN528" s="31" t="s">
        <v>27365</v>
      </c>
      <c r="AO528" s="31" t="s">
        <v>27366</v>
      </c>
      <c r="AP528" s="31" t="s">
        <v>27367</v>
      </c>
      <c r="AQ528" s="31" t="s">
        <v>27368</v>
      </c>
      <c r="AR528" s="31" t="s">
        <v>27369</v>
      </c>
      <c r="AS528" s="31" t="str">
        <f>"MARCKS"</f>
        <v>MARCKS</v>
      </c>
      <c r="AT528" s="31" t="s">
        <v>27370</v>
      </c>
      <c r="AU528" s="31" t="s">
        <v>13777</v>
      </c>
      <c r="AV528" s="31">
        <v>9606</v>
      </c>
      <c r="AW528" s="50" t="str">
        <f>HYPERLINK("http://www.uniprot.org/uniprot/P29966", "P29966")</f>
        <v>P29966</v>
      </c>
      <c r="AX528" s="31" t="s">
        <v>27371</v>
      </c>
      <c r="AY528" s="31" t="s">
        <v>13772</v>
      </c>
      <c r="AZ528" s="31" t="s">
        <v>17081</v>
      </c>
      <c r="BA528" s="31" t="s">
        <v>13793</v>
      </c>
      <c r="BB528" s="31" t="s">
        <v>13772</v>
      </c>
      <c r="BC528" s="31" t="s">
        <v>13772</v>
      </c>
      <c r="BD528" s="31" t="s">
        <v>13772</v>
      </c>
      <c r="BE528" s="31" t="s">
        <v>13772</v>
      </c>
      <c r="BF528" s="31" t="s">
        <v>15941</v>
      </c>
      <c r="BG528" s="31" t="s">
        <v>21052</v>
      </c>
      <c r="BH528" s="31" t="s">
        <v>13772</v>
      </c>
      <c r="BI528" s="31" t="s">
        <v>27372</v>
      </c>
      <c r="BJ528" s="31" t="s">
        <v>27373</v>
      </c>
      <c r="BK528" s="31" t="s">
        <v>27374</v>
      </c>
      <c r="BL528" s="31" t="s">
        <v>13772</v>
      </c>
      <c r="BM528" s="31" t="s">
        <v>27375</v>
      </c>
    </row>
    <row r="529" spans="1:65">
      <c r="A529">
        <v>1610</v>
      </c>
      <c r="B529">
        <v>1</v>
      </c>
      <c r="C529">
        <v>524</v>
      </c>
      <c r="D529" t="s">
        <v>3817</v>
      </c>
      <c r="E529" t="s">
        <v>73</v>
      </c>
      <c r="F529" t="s">
        <v>73</v>
      </c>
      <c r="G529">
        <v>40.4</v>
      </c>
      <c r="H529">
        <v>245</v>
      </c>
      <c r="I529">
        <v>28048</v>
      </c>
      <c r="J529" t="s">
        <v>3818</v>
      </c>
      <c r="K529" s="3" t="s">
        <v>73</v>
      </c>
      <c r="L529">
        <v>70</v>
      </c>
      <c r="M529">
        <v>70</v>
      </c>
      <c r="N529">
        <v>1</v>
      </c>
      <c r="O529" s="11">
        <f t="shared" si="8"/>
        <v>3.7308441412642401</v>
      </c>
      <c r="P529" s="36">
        <v>0.30291084895868198</v>
      </c>
      <c r="Q529" s="36">
        <v>0.24076603016936199</v>
      </c>
      <c r="R529" s="36">
        <v>0.40019941545306398</v>
      </c>
      <c r="S529" s="36">
        <v>0.37798043978830698</v>
      </c>
      <c r="T529" s="36">
        <v>0.215044089984223</v>
      </c>
      <c r="U529" s="36">
        <v>1.85945449327898</v>
      </c>
      <c r="V529" s="36">
        <v>0.26351557071616</v>
      </c>
      <c r="W529" s="36">
        <v>11.678203175787701</v>
      </c>
      <c r="X529" s="37">
        <v>2.3842748797348698</v>
      </c>
      <c r="Y529" s="37">
        <v>8.8290950564359996</v>
      </c>
      <c r="Z529" s="37">
        <v>0.80005434826734301</v>
      </c>
      <c r="AA529" s="37">
        <v>7.6189234193994704</v>
      </c>
      <c r="AB529" s="37">
        <v>14.7006810530418</v>
      </c>
      <c r="AC529" s="37">
        <v>3.94595285192562</v>
      </c>
      <c r="AD529" s="37">
        <v>1.50854004786242</v>
      </c>
      <c r="AE529" s="37">
        <v>4.5679105394238499</v>
      </c>
      <c r="AF529" s="45">
        <v>1.43157387988714</v>
      </c>
      <c r="AG529" s="45">
        <v>2.89185148087161</v>
      </c>
      <c r="AH529" s="46">
        <v>6.2506725705120503E-2</v>
      </c>
      <c r="AI529" s="47">
        <v>9.3970785385900202E-2</v>
      </c>
      <c r="AJ529" s="48">
        <v>1.91725925801706</v>
      </c>
      <c r="AK529" s="49">
        <v>5.5444290245114303</v>
      </c>
      <c r="AL529" s="31" t="s">
        <v>5874</v>
      </c>
      <c r="AM529" s="31" t="s">
        <v>5877</v>
      </c>
      <c r="AN529" s="31" t="s">
        <v>29237</v>
      </c>
      <c r="AO529" s="31" t="s">
        <v>13772</v>
      </c>
      <c r="AP529" s="31" t="s">
        <v>29238</v>
      </c>
      <c r="AQ529" s="31" t="s">
        <v>29239</v>
      </c>
      <c r="AR529" s="31" t="s">
        <v>29240</v>
      </c>
      <c r="AS529" s="31" t="str">
        <f>"CMBL"</f>
        <v>CMBL</v>
      </c>
      <c r="AT529" s="31" t="s">
        <v>13772</v>
      </c>
      <c r="AU529" s="31" t="s">
        <v>13777</v>
      </c>
      <c r="AV529" s="31">
        <v>9606</v>
      </c>
      <c r="AW529" s="50" t="str">
        <f>HYPERLINK("http://www.uniprot.org/uniprot/Q96DG6", "Q96DG6")</f>
        <v>Q96DG6</v>
      </c>
      <c r="AX529" s="31" t="s">
        <v>22457</v>
      </c>
      <c r="AY529" s="31" t="s">
        <v>13772</v>
      </c>
      <c r="AZ529" s="31" t="s">
        <v>13899</v>
      </c>
      <c r="BA529" s="31" t="s">
        <v>13793</v>
      </c>
      <c r="BB529" s="31" t="s">
        <v>13772</v>
      </c>
      <c r="BC529" s="31" t="s">
        <v>13772</v>
      </c>
      <c r="BD529" s="31" t="s">
        <v>13772</v>
      </c>
      <c r="BE529" s="31" t="s">
        <v>13772</v>
      </c>
      <c r="BF529" s="31" t="s">
        <v>13857</v>
      </c>
      <c r="BG529" s="31" t="s">
        <v>13886</v>
      </c>
      <c r="BH529" s="31" t="s">
        <v>13772</v>
      </c>
      <c r="BI529" s="31" t="s">
        <v>25670</v>
      </c>
      <c r="BJ529" s="31" t="s">
        <v>15111</v>
      </c>
      <c r="BK529" s="31" t="s">
        <v>16563</v>
      </c>
      <c r="BL529" s="31" t="s">
        <v>13772</v>
      </c>
      <c r="BM529" s="31" t="s">
        <v>22556</v>
      </c>
    </row>
    <row r="530" spans="1:65">
      <c r="A530">
        <v>300</v>
      </c>
      <c r="B530">
        <v>1</v>
      </c>
      <c r="C530">
        <v>525</v>
      </c>
      <c r="D530" t="s">
        <v>753</v>
      </c>
      <c r="E530" t="s">
        <v>73</v>
      </c>
      <c r="F530" t="s">
        <v>73</v>
      </c>
      <c r="G530">
        <v>44.1</v>
      </c>
      <c r="H530">
        <v>417</v>
      </c>
      <c r="I530">
        <v>46838</v>
      </c>
      <c r="J530" t="s">
        <v>754</v>
      </c>
      <c r="K530" s="3" t="s">
        <v>73</v>
      </c>
      <c r="L530">
        <v>69</v>
      </c>
      <c r="M530">
        <v>69</v>
      </c>
      <c r="N530">
        <v>1</v>
      </c>
      <c r="O530" s="11">
        <f t="shared" si="8"/>
        <v>4.3358284556418756</v>
      </c>
      <c r="P530" s="36">
        <v>0.30291084895868198</v>
      </c>
      <c r="Q530" s="36">
        <v>0.24076603016936199</v>
      </c>
      <c r="R530" s="36">
        <v>0.40019941545306398</v>
      </c>
      <c r="S530" s="36">
        <v>0.37798043978830698</v>
      </c>
      <c r="T530" s="36">
        <v>0.215044089984223</v>
      </c>
      <c r="U530" s="36">
        <v>0.23243181165987301</v>
      </c>
      <c r="V530" s="36">
        <v>2.10812456572928</v>
      </c>
      <c r="W530" s="36">
        <v>11.678203175787701</v>
      </c>
      <c r="X530" s="37">
        <v>0.19868957331123899</v>
      </c>
      <c r="Y530" s="37">
        <v>3.1532482344414299</v>
      </c>
      <c r="Z530" s="37">
        <v>1.60010869653469</v>
      </c>
      <c r="AA530" s="37">
        <v>0.21163676164998499</v>
      </c>
      <c r="AB530" s="37">
        <v>22.0510215795627</v>
      </c>
      <c r="AC530" s="37">
        <v>2.36757171115537</v>
      </c>
      <c r="AD530" s="37">
        <v>13.576860430761799</v>
      </c>
      <c r="AE530" s="37">
        <v>10.658457925322301</v>
      </c>
      <c r="AF530" s="45">
        <v>1.6651017770884899</v>
      </c>
      <c r="AG530" s="45">
        <v>3.4596792168641701</v>
      </c>
      <c r="AH530" s="46">
        <v>8.8908656433367997E-2</v>
      </c>
      <c r="AI530" s="47">
        <v>0.12786851173587599</v>
      </c>
      <c r="AJ530" s="48">
        <v>1.9444575471913099</v>
      </c>
      <c r="AK530" s="49">
        <v>6.7271993640924501</v>
      </c>
      <c r="AL530" s="31" t="s">
        <v>5874</v>
      </c>
      <c r="AM530" s="31" t="s">
        <v>5832</v>
      </c>
      <c r="AN530" s="31" t="s">
        <v>16534</v>
      </c>
      <c r="AO530" s="31" t="s">
        <v>13772</v>
      </c>
      <c r="AP530" s="31" t="s">
        <v>16535</v>
      </c>
      <c r="AQ530" s="31" t="s">
        <v>16536</v>
      </c>
      <c r="AR530" s="31" t="s">
        <v>16537</v>
      </c>
      <c r="AS530" s="31" t="str">
        <f>"CPA2"</f>
        <v>CPA2</v>
      </c>
      <c r="AT530" s="31" t="s">
        <v>13772</v>
      </c>
      <c r="AU530" s="31" t="s">
        <v>13777</v>
      </c>
      <c r="AV530" s="31">
        <v>9606</v>
      </c>
      <c r="AW530" s="50" t="str">
        <f>HYPERLINK("http://www.uniprot.org/uniprot/P48052", "P48052")</f>
        <v>P48052</v>
      </c>
      <c r="AX530" s="31" t="s">
        <v>16538</v>
      </c>
      <c r="AY530" s="31" t="s">
        <v>13772</v>
      </c>
      <c r="AZ530" s="31" t="s">
        <v>14321</v>
      </c>
      <c r="BA530" s="31" t="s">
        <v>13793</v>
      </c>
      <c r="BB530" s="31" t="s">
        <v>13772</v>
      </c>
      <c r="BC530" s="31" t="s">
        <v>13772</v>
      </c>
      <c r="BD530" s="31" t="s">
        <v>13808</v>
      </c>
      <c r="BE530" s="31" t="s">
        <v>13856</v>
      </c>
      <c r="BF530" s="31" t="s">
        <v>16539</v>
      </c>
      <c r="BG530" s="31" t="s">
        <v>15387</v>
      </c>
      <c r="BH530" s="31" t="s">
        <v>13812</v>
      </c>
      <c r="BI530" s="31" t="s">
        <v>16540</v>
      </c>
      <c r="BJ530" s="31" t="s">
        <v>16541</v>
      </c>
      <c r="BK530" s="31" t="s">
        <v>16542</v>
      </c>
      <c r="BL530" s="31" t="s">
        <v>13772</v>
      </c>
      <c r="BM530" s="31" t="s">
        <v>13772</v>
      </c>
    </row>
    <row r="531" spans="1:65">
      <c r="A531">
        <v>843</v>
      </c>
      <c r="B531">
        <v>1</v>
      </c>
      <c r="C531">
        <v>526</v>
      </c>
      <c r="D531" t="s">
        <v>2069</v>
      </c>
      <c r="E531" t="s">
        <v>73</v>
      </c>
      <c r="F531" t="s">
        <v>73</v>
      </c>
      <c r="G531">
        <v>23.9</v>
      </c>
      <c r="H531">
        <v>891</v>
      </c>
      <c r="I531">
        <v>99730</v>
      </c>
      <c r="J531" t="s">
        <v>2070</v>
      </c>
      <c r="K531" s="3" t="s">
        <v>73</v>
      </c>
      <c r="L531">
        <v>69</v>
      </c>
      <c r="M531">
        <v>69</v>
      </c>
      <c r="N531">
        <v>1</v>
      </c>
      <c r="O531" s="11">
        <f t="shared" si="8"/>
        <v>2.07079354575529</v>
      </c>
      <c r="P531" s="36">
        <v>1.2116433958347299</v>
      </c>
      <c r="Q531" s="36">
        <v>0.96306412067744696</v>
      </c>
      <c r="R531" s="36">
        <v>0.40019941545306398</v>
      </c>
      <c r="S531" s="36">
        <v>0.37798043978830698</v>
      </c>
      <c r="T531" s="36">
        <v>0.215044089984223</v>
      </c>
      <c r="U531" s="36">
        <v>0.23243181165987301</v>
      </c>
      <c r="V531" s="36">
        <v>0.26351557071616</v>
      </c>
      <c r="W531" s="36">
        <v>0.24329589949557701</v>
      </c>
      <c r="X531" s="37">
        <v>0.79475829324495695</v>
      </c>
      <c r="Y531" s="37">
        <v>0.63064964688828595</v>
      </c>
      <c r="Z531" s="37">
        <v>0.80005434826734301</v>
      </c>
      <c r="AA531" s="37">
        <v>14.391299792199</v>
      </c>
      <c r="AB531" s="37">
        <v>1.8375851316302301</v>
      </c>
      <c r="AC531" s="37">
        <v>0.19729764259628099</v>
      </c>
      <c r="AD531" s="37">
        <v>9.0512402871745401</v>
      </c>
      <c r="AE531" s="37">
        <v>1.5226368464746201</v>
      </c>
      <c r="AF531" s="45">
        <v>2.6102587433311499</v>
      </c>
      <c r="AG531" s="45">
        <v>7.47996286479811</v>
      </c>
      <c r="AH531" s="46">
        <v>6.1719389508565698E-3</v>
      </c>
      <c r="AI531" s="47">
        <v>1.19681946612262E-2</v>
      </c>
      <c r="AJ531" s="48">
        <v>0.48839684295117303</v>
      </c>
      <c r="AK531" s="49">
        <v>3.6531902485594001</v>
      </c>
      <c r="AL531" s="31" t="s">
        <v>5874</v>
      </c>
      <c r="AM531" s="31" t="s">
        <v>5878</v>
      </c>
      <c r="AN531" s="31" t="s">
        <v>22106</v>
      </c>
      <c r="AO531" s="31" t="s">
        <v>22107</v>
      </c>
      <c r="AP531" s="31" t="s">
        <v>22108</v>
      </c>
      <c r="AQ531" s="31" t="s">
        <v>22109</v>
      </c>
      <c r="AR531" s="31" t="s">
        <v>22110</v>
      </c>
      <c r="AS531" s="31" t="str">
        <f>"ITIH3"</f>
        <v>ITIH3</v>
      </c>
      <c r="AT531" s="31" t="s">
        <v>13772</v>
      </c>
      <c r="AU531" s="31" t="s">
        <v>13777</v>
      </c>
      <c r="AV531" s="31">
        <v>9606</v>
      </c>
      <c r="AW531" s="50" t="str">
        <f>HYPERLINK("http://www.uniprot.org/uniprot/Q06033", "Q06033")</f>
        <v>Q06033</v>
      </c>
      <c r="AX531" s="31" t="s">
        <v>22111</v>
      </c>
      <c r="AY531" s="31" t="s">
        <v>13772</v>
      </c>
      <c r="AZ531" s="31" t="s">
        <v>14321</v>
      </c>
      <c r="BA531" s="31" t="s">
        <v>13780</v>
      </c>
      <c r="BB531" s="31" t="s">
        <v>13772</v>
      </c>
      <c r="BC531" s="31" t="s">
        <v>13772</v>
      </c>
      <c r="BD531" s="31" t="s">
        <v>13808</v>
      </c>
      <c r="BE531" s="31" t="s">
        <v>13772</v>
      </c>
      <c r="BF531" s="31" t="s">
        <v>14375</v>
      </c>
      <c r="BG531" s="31" t="s">
        <v>22112</v>
      </c>
      <c r="BH531" s="31" t="s">
        <v>13772</v>
      </c>
      <c r="BI531" s="31" t="s">
        <v>22113</v>
      </c>
      <c r="BJ531" s="31" t="s">
        <v>22114</v>
      </c>
      <c r="BK531" s="31" t="s">
        <v>20851</v>
      </c>
      <c r="BL531" s="31" t="s">
        <v>13772</v>
      </c>
      <c r="BM531" s="31" t="s">
        <v>15665</v>
      </c>
    </row>
    <row r="532" spans="1:65">
      <c r="A532">
        <v>1962</v>
      </c>
      <c r="B532">
        <v>1</v>
      </c>
      <c r="C532">
        <v>527</v>
      </c>
      <c r="D532" t="s">
        <v>4626</v>
      </c>
      <c r="E532" t="s">
        <v>73</v>
      </c>
      <c r="F532" t="s">
        <v>73</v>
      </c>
      <c r="G532">
        <v>38.799999999999997</v>
      </c>
      <c r="H532">
        <v>201</v>
      </c>
      <c r="I532">
        <v>22269</v>
      </c>
      <c r="J532" t="s">
        <v>4627</v>
      </c>
      <c r="K532" s="3" t="s">
        <v>73</v>
      </c>
      <c r="L532">
        <v>69</v>
      </c>
      <c r="M532">
        <v>69</v>
      </c>
      <c r="N532">
        <v>1</v>
      </c>
      <c r="O532" s="11">
        <f t="shared" si="8"/>
        <v>3.2892150950741814</v>
      </c>
      <c r="P532" s="36">
        <v>0.30291084895868198</v>
      </c>
      <c r="Q532" s="36">
        <v>0.24076603016936199</v>
      </c>
      <c r="R532" s="36">
        <v>0.40019941545306398</v>
      </c>
      <c r="S532" s="36">
        <v>0.37798043978830698</v>
      </c>
      <c r="T532" s="36">
        <v>0.215044089984223</v>
      </c>
      <c r="U532" s="36">
        <v>0.23243181165987301</v>
      </c>
      <c r="V532" s="36">
        <v>0.26351557071616</v>
      </c>
      <c r="W532" s="36">
        <v>4.8659179899115301</v>
      </c>
      <c r="X532" s="37">
        <v>1.5895165864899099</v>
      </c>
      <c r="Y532" s="37">
        <v>2.5225985875531398</v>
      </c>
      <c r="Z532" s="37">
        <v>1.60010869653469</v>
      </c>
      <c r="AA532" s="37">
        <v>7.6189234193994704</v>
      </c>
      <c r="AB532" s="37">
        <v>11.0255107897814</v>
      </c>
      <c r="AC532" s="37">
        <v>3.1567622815404999</v>
      </c>
      <c r="AD532" s="37">
        <v>6.0341601914496898</v>
      </c>
      <c r="AE532" s="37">
        <v>12.1810947717969</v>
      </c>
      <c r="AF532" s="45">
        <v>2.45945827194664</v>
      </c>
      <c r="AG532" s="45">
        <v>6.6285295110899103</v>
      </c>
      <c r="AH532" s="46">
        <v>5.5259875857648999E-4</v>
      </c>
      <c r="AI532" s="47">
        <v>1.3346157743237301E-3</v>
      </c>
      <c r="AJ532" s="48">
        <v>0.86234577458015005</v>
      </c>
      <c r="AK532" s="49">
        <v>5.7160844155682096</v>
      </c>
      <c r="AL532" s="31" t="s">
        <v>5874</v>
      </c>
      <c r="AM532" s="31" t="s">
        <v>5876</v>
      </c>
      <c r="AN532" s="31" t="s">
        <v>32586</v>
      </c>
      <c r="AO532" s="31" t="s">
        <v>13772</v>
      </c>
      <c r="AP532" s="31" t="s">
        <v>32587</v>
      </c>
      <c r="AQ532" s="31" t="s">
        <v>32588</v>
      </c>
      <c r="AR532" s="31" t="s">
        <v>32589</v>
      </c>
      <c r="AS532" s="31" t="str">
        <f>"C8G"</f>
        <v>C8G</v>
      </c>
      <c r="AT532" s="31" t="s">
        <v>13772</v>
      </c>
      <c r="AU532" s="31" t="s">
        <v>13777</v>
      </c>
      <c r="AV532" s="31">
        <v>9606</v>
      </c>
      <c r="AW532" s="50" t="str">
        <f>HYPERLINK("http://www.uniprot.org/uniprot/P07360", "P07360")</f>
        <v>P07360</v>
      </c>
      <c r="AX532" s="31" t="s">
        <v>32590</v>
      </c>
      <c r="AY532" s="31" t="s">
        <v>16369</v>
      </c>
      <c r="AZ532" s="31" t="s">
        <v>20220</v>
      </c>
      <c r="BA532" s="31" t="s">
        <v>13793</v>
      </c>
      <c r="BB532" s="31" t="s">
        <v>13772</v>
      </c>
      <c r="BC532" s="31" t="s">
        <v>13772</v>
      </c>
      <c r="BD532" s="31" t="s">
        <v>13808</v>
      </c>
      <c r="BE532" s="31" t="s">
        <v>32591</v>
      </c>
      <c r="BF532" s="31" t="s">
        <v>13772</v>
      </c>
      <c r="BG532" s="31" t="s">
        <v>15344</v>
      </c>
      <c r="BH532" s="31" t="s">
        <v>13812</v>
      </c>
      <c r="BI532" s="31" t="s">
        <v>32592</v>
      </c>
      <c r="BJ532" s="31" t="s">
        <v>32593</v>
      </c>
      <c r="BK532" s="31" t="s">
        <v>32594</v>
      </c>
      <c r="BL532" s="31" t="s">
        <v>13772</v>
      </c>
      <c r="BM532" s="31" t="s">
        <v>16375</v>
      </c>
    </row>
    <row r="533" spans="1:65">
      <c r="A533">
        <v>2066</v>
      </c>
      <c r="B533">
        <v>1</v>
      </c>
      <c r="C533">
        <v>528</v>
      </c>
      <c r="D533" t="s">
        <v>4856</v>
      </c>
      <c r="E533" t="s">
        <v>73</v>
      </c>
      <c r="F533" t="s">
        <v>73</v>
      </c>
      <c r="G533">
        <v>44.8</v>
      </c>
      <c r="H533">
        <v>493</v>
      </c>
      <c r="I533">
        <v>54680</v>
      </c>
      <c r="J533" t="s">
        <v>4857</v>
      </c>
      <c r="K533" s="3" t="s">
        <v>73</v>
      </c>
      <c r="L533">
        <v>69</v>
      </c>
      <c r="M533">
        <v>69</v>
      </c>
      <c r="N533">
        <v>1</v>
      </c>
      <c r="O533" s="11">
        <f t="shared" si="8"/>
        <v>5.0286982540818741</v>
      </c>
      <c r="P533" s="36">
        <v>3.6349301875041902</v>
      </c>
      <c r="Q533" s="36">
        <v>5.7783847240646802</v>
      </c>
      <c r="R533" s="36">
        <v>0.40019941545306398</v>
      </c>
      <c r="S533" s="36">
        <v>0.37798043978830698</v>
      </c>
      <c r="T533" s="36">
        <v>8.6017635993689208</v>
      </c>
      <c r="U533" s="36">
        <v>8.3675452197554208</v>
      </c>
      <c r="V533" s="36">
        <v>5.2703114143232002</v>
      </c>
      <c r="W533" s="36">
        <v>1.9463671959646101</v>
      </c>
      <c r="X533" s="37">
        <v>1.5895165864899099</v>
      </c>
      <c r="Y533" s="37">
        <v>1.2612992937765699</v>
      </c>
      <c r="Z533" s="37">
        <v>0.200013587066836</v>
      </c>
      <c r="AA533" s="37">
        <v>0.21163676164998499</v>
      </c>
      <c r="AB533" s="37">
        <v>0.91879256581511404</v>
      </c>
      <c r="AC533" s="37">
        <v>0.78919057038512497</v>
      </c>
      <c r="AD533" s="37">
        <v>40.7305812922854</v>
      </c>
      <c r="AE533" s="37">
        <v>0.38065921161865401</v>
      </c>
      <c r="AF533" s="45">
        <v>0.31168542325123499</v>
      </c>
      <c r="AG533" s="45">
        <v>1.3404614568937601</v>
      </c>
      <c r="AH533" s="46">
        <v>0.71952667591764397</v>
      </c>
      <c r="AI533" s="47">
        <v>0.78654141534134603</v>
      </c>
      <c r="AJ533" s="48">
        <v>4.2971852745278003</v>
      </c>
      <c r="AK533" s="49">
        <v>5.7602112336359497</v>
      </c>
      <c r="AL533" s="31" t="s">
        <v>5874</v>
      </c>
      <c r="AM533" s="31" t="s">
        <v>5832</v>
      </c>
      <c r="AN533" s="31" t="s">
        <v>33555</v>
      </c>
      <c r="AO533" s="31" t="s">
        <v>33556</v>
      </c>
      <c r="AP533" s="31" t="s">
        <v>33557</v>
      </c>
      <c r="AQ533" s="31" t="s">
        <v>33558</v>
      </c>
      <c r="AR533" s="31" t="s">
        <v>33559</v>
      </c>
      <c r="AS533" s="31" t="str">
        <f>"PEPD"</f>
        <v>PEPD</v>
      </c>
      <c r="AT533" s="31" t="s">
        <v>33560</v>
      </c>
      <c r="AU533" s="31" t="s">
        <v>13777</v>
      </c>
      <c r="AV533" s="31">
        <v>9606</v>
      </c>
      <c r="AW533" s="50" t="str">
        <f>HYPERLINK("http://www.uniprot.org/uniprot/P12955", "P12955")</f>
        <v>P12955</v>
      </c>
      <c r="AX533" s="31" t="s">
        <v>33561</v>
      </c>
      <c r="AY533" s="31" t="s">
        <v>19063</v>
      </c>
      <c r="AZ533" s="31" t="s">
        <v>13772</v>
      </c>
      <c r="BA533" s="31" t="s">
        <v>13780</v>
      </c>
      <c r="BB533" s="31" t="s">
        <v>13772</v>
      </c>
      <c r="BC533" s="31" t="s">
        <v>13807</v>
      </c>
      <c r="BD533" s="31" t="s">
        <v>13772</v>
      </c>
      <c r="BE533" s="31" t="s">
        <v>15674</v>
      </c>
      <c r="BF533" s="31" t="s">
        <v>33562</v>
      </c>
      <c r="BG533" s="31" t="s">
        <v>13886</v>
      </c>
      <c r="BH533" s="31" t="s">
        <v>13812</v>
      </c>
      <c r="BI533" s="31" t="s">
        <v>33563</v>
      </c>
      <c r="BJ533" s="31" t="s">
        <v>33564</v>
      </c>
      <c r="BK533" s="31" t="s">
        <v>33565</v>
      </c>
      <c r="BL533" s="31" t="s">
        <v>13772</v>
      </c>
      <c r="BM533" s="31" t="s">
        <v>13772</v>
      </c>
    </row>
    <row r="534" spans="1:65">
      <c r="A534">
        <v>2168</v>
      </c>
      <c r="B534">
        <v>1</v>
      </c>
      <c r="C534">
        <v>529</v>
      </c>
      <c r="D534" t="s">
        <v>5078</v>
      </c>
      <c r="E534" t="s">
        <v>73</v>
      </c>
      <c r="F534" t="s">
        <v>73</v>
      </c>
      <c r="G534">
        <v>26</v>
      </c>
      <c r="H534">
        <v>496</v>
      </c>
      <c r="I534">
        <v>54942</v>
      </c>
      <c r="J534" t="s">
        <v>5079</v>
      </c>
      <c r="K534" s="3" t="s">
        <v>73</v>
      </c>
      <c r="L534">
        <v>69</v>
      </c>
      <c r="M534">
        <v>69</v>
      </c>
      <c r="N534">
        <v>1</v>
      </c>
      <c r="O534" s="11">
        <f t="shared" si="8"/>
        <v>4.1578668960863547</v>
      </c>
      <c r="P534" s="36">
        <v>10.9047905625126</v>
      </c>
      <c r="Q534" s="36">
        <v>8.6675770860970207</v>
      </c>
      <c r="R534" s="36">
        <v>1.6007976618122599</v>
      </c>
      <c r="S534" s="36">
        <v>7.5596087957661497</v>
      </c>
      <c r="T534" s="36">
        <v>4.3008817996844604</v>
      </c>
      <c r="U534" s="36">
        <v>5.5783634798369501</v>
      </c>
      <c r="V534" s="36">
        <v>8.4324982629171306</v>
      </c>
      <c r="W534" s="36">
        <v>1.9463671959646101</v>
      </c>
      <c r="X534" s="37">
        <v>0.79475829324495695</v>
      </c>
      <c r="Y534" s="37">
        <v>1.89194894066486</v>
      </c>
      <c r="Z534" s="37">
        <v>3.2002173930693698</v>
      </c>
      <c r="AA534" s="37">
        <v>0.84654704659994096</v>
      </c>
      <c r="AB534" s="37">
        <v>0.91879256581511404</v>
      </c>
      <c r="AC534" s="37">
        <v>0.78919057038512497</v>
      </c>
      <c r="AD534" s="37">
        <v>4.5256201435872701</v>
      </c>
      <c r="AE534" s="37">
        <v>4.5679105394238499</v>
      </c>
      <c r="AF534" s="45">
        <v>-1.5783108902257901</v>
      </c>
      <c r="AG534" s="45">
        <v>-2.7938936627426201</v>
      </c>
      <c r="AH534" s="46">
        <v>3.6716921866182502E-3</v>
      </c>
      <c r="AI534" s="47">
        <v>7.3324240980525597E-3</v>
      </c>
      <c r="AJ534" s="48">
        <v>6.1238606055738902</v>
      </c>
      <c r="AK534" s="49">
        <v>2.1918731865988099</v>
      </c>
      <c r="AL534" s="31" t="s">
        <v>5875</v>
      </c>
      <c r="AM534" s="31" t="s">
        <v>5876</v>
      </c>
      <c r="AN534" s="31" t="s">
        <v>34485</v>
      </c>
      <c r="AO534" s="31" t="s">
        <v>34486</v>
      </c>
      <c r="AP534" s="31" t="s">
        <v>34487</v>
      </c>
      <c r="AQ534" s="31" t="s">
        <v>34488</v>
      </c>
      <c r="AR534" s="31" t="s">
        <v>34489</v>
      </c>
      <c r="AS534" s="31" t="str">
        <f>"PLTP"</f>
        <v>PLTP</v>
      </c>
      <c r="AT534" s="31" t="s">
        <v>13772</v>
      </c>
      <c r="AU534" s="31" t="s">
        <v>13777</v>
      </c>
      <c r="AV534" s="31">
        <v>9606</v>
      </c>
      <c r="AW534" s="50" t="str">
        <f>HYPERLINK("http://www.uniprot.org/uniprot/P55058", "P55058")</f>
        <v>P55058</v>
      </c>
      <c r="AX534" s="31" t="s">
        <v>34490</v>
      </c>
      <c r="AY534" s="31" t="s">
        <v>13898</v>
      </c>
      <c r="AZ534" s="31" t="s">
        <v>14321</v>
      </c>
      <c r="BA534" s="31" t="s">
        <v>13780</v>
      </c>
      <c r="BB534" s="31" t="s">
        <v>13772</v>
      </c>
      <c r="BC534" s="31" t="s">
        <v>13772</v>
      </c>
      <c r="BD534" s="31" t="s">
        <v>13808</v>
      </c>
      <c r="BE534" s="31" t="s">
        <v>13772</v>
      </c>
      <c r="BF534" s="31" t="s">
        <v>13772</v>
      </c>
      <c r="BG534" s="31" t="s">
        <v>13796</v>
      </c>
      <c r="BH534" s="31" t="s">
        <v>13772</v>
      </c>
      <c r="BI534" s="31" t="s">
        <v>34491</v>
      </c>
      <c r="BJ534" s="31" t="s">
        <v>34492</v>
      </c>
      <c r="BK534" s="31" t="s">
        <v>34493</v>
      </c>
      <c r="BL534" s="31" t="s">
        <v>13772</v>
      </c>
      <c r="BM534" s="31" t="s">
        <v>33677</v>
      </c>
    </row>
    <row r="535" spans="1:65">
      <c r="A535">
        <v>2269</v>
      </c>
      <c r="B535">
        <v>1</v>
      </c>
      <c r="C535">
        <v>530</v>
      </c>
      <c r="D535" t="s">
        <v>5302</v>
      </c>
      <c r="E535" t="s">
        <v>73</v>
      </c>
      <c r="F535" t="s">
        <v>73</v>
      </c>
      <c r="G535">
        <v>21.4</v>
      </c>
      <c r="H535">
        <v>248</v>
      </c>
      <c r="I535">
        <v>27338</v>
      </c>
      <c r="J535" t="s">
        <v>5303</v>
      </c>
      <c r="K535" s="3" t="s">
        <v>73</v>
      </c>
      <c r="L535">
        <v>69</v>
      </c>
      <c r="M535">
        <v>69</v>
      </c>
      <c r="N535">
        <v>1</v>
      </c>
      <c r="O535" s="11">
        <f t="shared" si="8"/>
        <v>4.8911319014673325</v>
      </c>
      <c r="P535" s="36">
        <v>10.9047905625126</v>
      </c>
      <c r="Q535" s="36">
        <v>3.85225648270979</v>
      </c>
      <c r="R535" s="36">
        <v>14.4071789563103</v>
      </c>
      <c r="S535" s="36">
        <v>9.0715305549193808</v>
      </c>
      <c r="T535" s="36">
        <v>7.7415872394320298</v>
      </c>
      <c r="U535" s="36">
        <v>3.7189089865579601</v>
      </c>
      <c r="V535" s="36">
        <v>8.4324982629171306</v>
      </c>
      <c r="W535" s="36">
        <v>2.9195507939469199</v>
      </c>
      <c r="X535" s="37">
        <v>0.79475829324495695</v>
      </c>
      <c r="Y535" s="37">
        <v>0.63064964688828595</v>
      </c>
      <c r="Z535" s="37">
        <v>2.4001630448020301</v>
      </c>
      <c r="AA535" s="37">
        <v>0.84654704659994096</v>
      </c>
      <c r="AB535" s="37">
        <v>1.8375851316302301</v>
      </c>
      <c r="AC535" s="37">
        <v>1.5783811407702499</v>
      </c>
      <c r="AD535" s="37">
        <v>1.50854004786242</v>
      </c>
      <c r="AE535" s="37">
        <v>7.6131842323730803</v>
      </c>
      <c r="AF535" s="45">
        <v>-1.89855529731545</v>
      </c>
      <c r="AG535" s="45">
        <v>-3.5472969696743499</v>
      </c>
      <c r="AH535" s="46">
        <v>6.6066694401770501E-4</v>
      </c>
      <c r="AI535" s="47">
        <v>1.5673268991058299E-3</v>
      </c>
      <c r="AJ535" s="48">
        <v>7.6310377299132597</v>
      </c>
      <c r="AK535" s="49">
        <v>2.1512260730213999</v>
      </c>
      <c r="AL535" s="31" t="s">
        <v>5875</v>
      </c>
      <c r="AM535" s="31" t="s">
        <v>5876</v>
      </c>
      <c r="AN535" s="31" t="s">
        <v>35431</v>
      </c>
      <c r="AO535" s="31" t="s">
        <v>35432</v>
      </c>
      <c r="AP535" s="31" t="s">
        <v>35433</v>
      </c>
      <c r="AQ535" s="31" t="s">
        <v>35434</v>
      </c>
      <c r="AR535" s="31" t="s">
        <v>35435</v>
      </c>
      <c r="AS535" s="31" t="str">
        <f>"POMC"</f>
        <v>POMC</v>
      </c>
      <c r="AT535" s="31" t="s">
        <v>13772</v>
      </c>
      <c r="AU535" s="31" t="s">
        <v>13777</v>
      </c>
      <c r="AV535" s="31">
        <v>9606</v>
      </c>
      <c r="AW535" s="50" t="str">
        <f>HYPERLINK("http://www.uniprot.org/uniprot/P01189", "P01189")</f>
        <v>P01189</v>
      </c>
      <c r="AX535" s="31" t="s">
        <v>35436</v>
      </c>
      <c r="AY535" s="31" t="s">
        <v>13772</v>
      </c>
      <c r="AZ535" s="31" t="s">
        <v>14321</v>
      </c>
      <c r="BA535" s="31" t="s">
        <v>13793</v>
      </c>
      <c r="BB535" s="31" t="s">
        <v>13772</v>
      </c>
      <c r="BC535" s="31" t="s">
        <v>14627</v>
      </c>
      <c r="BD535" s="31" t="s">
        <v>13808</v>
      </c>
      <c r="BE535" s="31" t="s">
        <v>13772</v>
      </c>
      <c r="BF535" s="31" t="s">
        <v>35437</v>
      </c>
      <c r="BG535" s="31" t="s">
        <v>35438</v>
      </c>
      <c r="BH535" s="31" t="s">
        <v>13812</v>
      </c>
      <c r="BI535" s="31" t="s">
        <v>35439</v>
      </c>
      <c r="BJ535" s="31" t="s">
        <v>35440</v>
      </c>
      <c r="BK535" s="31" t="s">
        <v>35441</v>
      </c>
      <c r="BL535" s="31" t="s">
        <v>13772</v>
      </c>
      <c r="BM535" s="31" t="s">
        <v>35442</v>
      </c>
    </row>
    <row r="536" spans="1:65">
      <c r="A536">
        <v>2429</v>
      </c>
      <c r="B536">
        <v>1</v>
      </c>
      <c r="C536">
        <v>531</v>
      </c>
      <c r="D536" t="s">
        <v>5684</v>
      </c>
      <c r="E536" t="s">
        <v>73</v>
      </c>
      <c r="F536" t="s">
        <v>5685</v>
      </c>
      <c r="G536">
        <v>46.4</v>
      </c>
      <c r="H536">
        <v>724</v>
      </c>
      <c r="I536">
        <v>83266</v>
      </c>
      <c r="J536" t="s">
        <v>5687</v>
      </c>
      <c r="K536" s="3" t="s">
        <v>73</v>
      </c>
      <c r="L536">
        <v>131</v>
      </c>
      <c r="M536">
        <v>40</v>
      </c>
      <c r="N536">
        <v>0.30499999999999999</v>
      </c>
      <c r="O536" s="11">
        <f t="shared" si="8"/>
        <v>3.6077597409146405</v>
      </c>
      <c r="P536" s="36">
        <v>2.3021224520859902</v>
      </c>
      <c r="Q536" s="36">
        <v>2.7928859499645999</v>
      </c>
      <c r="R536" s="36">
        <v>0.48023929854367697</v>
      </c>
      <c r="S536" s="36">
        <v>0.90715305549193803</v>
      </c>
      <c r="T536" s="36">
        <v>2.49451144381699</v>
      </c>
      <c r="U536" s="36">
        <v>3.9048544358858601</v>
      </c>
      <c r="V536" s="36">
        <v>3.3729993051668501</v>
      </c>
      <c r="W536" s="36">
        <v>1.8490488361663799</v>
      </c>
      <c r="X536" s="37">
        <v>11.9213743986744</v>
      </c>
      <c r="Y536" s="37">
        <v>8.7029651270583397</v>
      </c>
      <c r="Z536" s="37">
        <v>6.0004076120050698</v>
      </c>
      <c r="AA536" s="37">
        <v>2.7936052537798002</v>
      </c>
      <c r="AB536" s="37">
        <v>4.8696005988201003</v>
      </c>
      <c r="AC536" s="37">
        <v>2.6043288822709099</v>
      </c>
      <c r="AD536" s="37">
        <v>1.3576860430761799</v>
      </c>
      <c r="AE536" s="37">
        <v>1.37037316182716</v>
      </c>
      <c r="AF536" s="45">
        <v>1.10120678686301</v>
      </c>
      <c r="AG536" s="45">
        <v>2.1885078678323602</v>
      </c>
      <c r="AH536" s="46">
        <v>3.5396072405145099E-2</v>
      </c>
      <c r="AI536" s="47">
        <v>5.6923010670774099E-2</v>
      </c>
      <c r="AJ536" s="48">
        <v>2.2629768471402798</v>
      </c>
      <c r="AK536" s="49">
        <v>4.9525426346889896</v>
      </c>
      <c r="AL536" s="31" t="s">
        <v>5874</v>
      </c>
      <c r="AM536" s="31" t="s">
        <v>5877</v>
      </c>
      <c r="AN536" s="31" t="s">
        <v>27201</v>
      </c>
      <c r="AO536" s="31" t="s">
        <v>27202</v>
      </c>
      <c r="AP536" s="31" t="s">
        <v>27203</v>
      </c>
      <c r="AQ536" s="31" t="s">
        <v>27204</v>
      </c>
      <c r="AR536" s="31" t="s">
        <v>27205</v>
      </c>
      <c r="AS536" s="31" t="str">
        <f>"HSP90AB1"</f>
        <v>HSP90AB1</v>
      </c>
      <c r="AT536" s="31" t="s">
        <v>27206</v>
      </c>
      <c r="AU536" s="31" t="s">
        <v>13777</v>
      </c>
      <c r="AV536" s="31">
        <v>9606</v>
      </c>
      <c r="AW536" s="50" t="str">
        <f>HYPERLINK("http://www.uniprot.org/uniprot/P08238", "P08238")</f>
        <v>P08238</v>
      </c>
      <c r="AX536" s="31" t="s">
        <v>27207</v>
      </c>
      <c r="AY536" s="31" t="s">
        <v>15280</v>
      </c>
      <c r="AZ536" s="31" t="s">
        <v>27208</v>
      </c>
      <c r="BA536" s="31" t="s">
        <v>13793</v>
      </c>
      <c r="BB536" s="31" t="s">
        <v>13772</v>
      </c>
      <c r="BC536" s="31" t="s">
        <v>13772</v>
      </c>
      <c r="BD536" s="31" t="s">
        <v>13772</v>
      </c>
      <c r="BE536" s="31" t="s">
        <v>14005</v>
      </c>
      <c r="BF536" s="31" t="s">
        <v>14477</v>
      </c>
      <c r="BG536" s="31" t="s">
        <v>27209</v>
      </c>
      <c r="BH536" s="31" t="s">
        <v>13812</v>
      </c>
      <c r="BI536" s="31" t="s">
        <v>27210</v>
      </c>
      <c r="BJ536" s="31" t="s">
        <v>27211</v>
      </c>
      <c r="BK536" s="31" t="s">
        <v>27212</v>
      </c>
      <c r="BL536" s="31" t="s">
        <v>13772</v>
      </c>
      <c r="BM536" s="31" t="s">
        <v>27213</v>
      </c>
    </row>
    <row r="537" spans="1:65">
      <c r="A537">
        <v>2007</v>
      </c>
      <c r="B537">
        <v>1</v>
      </c>
      <c r="C537">
        <v>532</v>
      </c>
      <c r="D537" t="s">
        <v>4721</v>
      </c>
      <c r="E537" t="s">
        <v>73</v>
      </c>
      <c r="F537" t="s">
        <v>73</v>
      </c>
      <c r="G537">
        <v>40.700000000000003</v>
      </c>
      <c r="H537">
        <v>366</v>
      </c>
      <c r="I537">
        <v>39887</v>
      </c>
      <c r="J537" t="s">
        <v>4722</v>
      </c>
      <c r="K537" s="3" t="s">
        <v>73</v>
      </c>
      <c r="L537">
        <v>68</v>
      </c>
      <c r="M537">
        <v>68</v>
      </c>
      <c r="N537">
        <v>1</v>
      </c>
      <c r="O537" s="11">
        <f t="shared" si="8"/>
        <v>4.5330528600913818</v>
      </c>
      <c r="P537" s="36">
        <v>4.8465735833389196</v>
      </c>
      <c r="Q537" s="36">
        <v>9.6306412067744702</v>
      </c>
      <c r="R537" s="36">
        <v>11.2055836326858</v>
      </c>
      <c r="S537" s="36">
        <v>12.0953740732258</v>
      </c>
      <c r="T537" s="36">
        <v>7.7415872394320298</v>
      </c>
      <c r="U537" s="36">
        <v>5.5783634798369501</v>
      </c>
      <c r="V537" s="36">
        <v>8.4324982629171306</v>
      </c>
      <c r="W537" s="36">
        <v>1.9463671959646101</v>
      </c>
      <c r="X537" s="37">
        <v>0.79475829324495695</v>
      </c>
      <c r="Y537" s="37">
        <v>2.5225985875531398</v>
      </c>
      <c r="Z537" s="37">
        <v>1.60010869653469</v>
      </c>
      <c r="AA537" s="37">
        <v>1.6930940931998799</v>
      </c>
      <c r="AB537" s="37">
        <v>0.22969814145377901</v>
      </c>
      <c r="AC537" s="37">
        <v>0.78919057038512497</v>
      </c>
      <c r="AD537" s="37">
        <v>0.377135011965606</v>
      </c>
      <c r="AE537" s="37">
        <v>3.0452736929492299</v>
      </c>
      <c r="AF537" s="45">
        <v>-2.33558225565038</v>
      </c>
      <c r="AG537" s="45">
        <v>-5.5625935251095697</v>
      </c>
      <c r="AH537" s="46">
        <v>2.0801738770441402E-6</v>
      </c>
      <c r="AI537" s="47">
        <v>9.0365995048216295E-6</v>
      </c>
      <c r="AJ537" s="48">
        <v>7.6846235842719697</v>
      </c>
      <c r="AK537" s="49">
        <v>1.3814821359108</v>
      </c>
      <c r="AL537" s="31" t="s">
        <v>5875</v>
      </c>
      <c r="AM537" s="31" t="s">
        <v>5876</v>
      </c>
      <c r="AN537" s="31" t="s">
        <v>33006</v>
      </c>
      <c r="AO537" s="31" t="s">
        <v>33007</v>
      </c>
      <c r="AP537" s="31" t="s">
        <v>33008</v>
      </c>
      <c r="AQ537" s="31" t="s">
        <v>33009</v>
      </c>
      <c r="AR537" s="31" t="s">
        <v>33010</v>
      </c>
      <c r="AS537" s="31" t="str">
        <f>"IST1"</f>
        <v>IST1</v>
      </c>
      <c r="AT537" s="31" t="s">
        <v>33011</v>
      </c>
      <c r="AU537" s="31" t="s">
        <v>13777</v>
      </c>
      <c r="AV537" s="31">
        <v>9606</v>
      </c>
      <c r="AW537" s="50" t="str">
        <f>HYPERLINK("http://www.uniprot.org/uniprot/P53990", "P53990")</f>
        <v>P53990</v>
      </c>
      <c r="AX537" s="31" t="s">
        <v>33012</v>
      </c>
      <c r="AY537" s="31" t="s">
        <v>21625</v>
      </c>
      <c r="AZ537" s="31" t="s">
        <v>33013</v>
      </c>
      <c r="BA537" s="31" t="s">
        <v>13841</v>
      </c>
      <c r="BB537" s="31" t="s">
        <v>13772</v>
      </c>
      <c r="BC537" s="31" t="s">
        <v>13772</v>
      </c>
      <c r="BD537" s="31" t="s">
        <v>13772</v>
      </c>
      <c r="BE537" s="31" t="s">
        <v>13772</v>
      </c>
      <c r="BF537" s="31" t="s">
        <v>13772</v>
      </c>
      <c r="BG537" s="31" t="s">
        <v>13782</v>
      </c>
      <c r="BH537" s="31" t="s">
        <v>13812</v>
      </c>
      <c r="BI537" s="31" t="s">
        <v>33014</v>
      </c>
      <c r="BJ537" s="31" t="s">
        <v>33015</v>
      </c>
      <c r="BK537" s="31" t="s">
        <v>33016</v>
      </c>
      <c r="BL537" s="31" t="s">
        <v>13772</v>
      </c>
      <c r="BM537" s="31" t="s">
        <v>13890</v>
      </c>
    </row>
    <row r="538" spans="1:65">
      <c r="A538">
        <v>2143</v>
      </c>
      <c r="B538">
        <v>1</v>
      </c>
      <c r="C538">
        <v>533</v>
      </c>
      <c r="D538" t="s">
        <v>5024</v>
      </c>
      <c r="E538" t="s">
        <v>73</v>
      </c>
      <c r="F538" t="s">
        <v>73</v>
      </c>
      <c r="G538">
        <v>48.9</v>
      </c>
      <c r="H538">
        <v>356</v>
      </c>
      <c r="I538">
        <v>37497</v>
      </c>
      <c r="J538" t="s">
        <v>5025</v>
      </c>
      <c r="K538" s="3" t="s">
        <v>73</v>
      </c>
      <c r="L538">
        <v>74</v>
      </c>
      <c r="M538">
        <v>46</v>
      </c>
      <c r="N538">
        <v>0.622</v>
      </c>
      <c r="O538" s="11">
        <f t="shared" si="8"/>
        <v>3.5615517600180748</v>
      </c>
      <c r="P538" s="36">
        <v>1.2116433958347299</v>
      </c>
      <c r="Q538" s="36">
        <v>3.85225648270979</v>
      </c>
      <c r="R538" s="36">
        <v>0.40019941545306398</v>
      </c>
      <c r="S538" s="36">
        <v>0.37798043978830698</v>
      </c>
      <c r="T538" s="36">
        <v>1.72035271987378</v>
      </c>
      <c r="U538" s="36">
        <v>3.25404536323822</v>
      </c>
      <c r="V538" s="36">
        <v>2.10812456572928</v>
      </c>
      <c r="W538" s="36">
        <v>3.8927343919292201</v>
      </c>
      <c r="X538" s="37">
        <v>9.53709951893949</v>
      </c>
      <c r="Y538" s="37">
        <v>6.4326263982605099</v>
      </c>
      <c r="Z538" s="37">
        <v>7.2004891344060802</v>
      </c>
      <c r="AA538" s="37">
        <v>4.2327352329997003</v>
      </c>
      <c r="AB538" s="37">
        <v>6.8909442436133599</v>
      </c>
      <c r="AC538" s="37">
        <v>4.7351434223107498</v>
      </c>
      <c r="AD538" s="37">
        <v>0.377135011965606</v>
      </c>
      <c r="AE538" s="37">
        <v>0.76131842323730803</v>
      </c>
      <c r="AF538" s="45">
        <v>1.2010844343315099</v>
      </c>
      <c r="AG538" s="45">
        <v>2.3884573356765801</v>
      </c>
      <c r="AH538" s="46">
        <v>2.5399853735161002E-2</v>
      </c>
      <c r="AI538" s="47">
        <v>4.2481255372056798E-2</v>
      </c>
      <c r="AJ538" s="48">
        <v>2.1021670968195498</v>
      </c>
      <c r="AK538" s="49">
        <v>5.0209364232166003</v>
      </c>
      <c r="AL538" s="31" t="s">
        <v>5874</v>
      </c>
      <c r="AM538" s="31" t="s">
        <v>5878</v>
      </c>
      <c r="AN538" s="31" t="s">
        <v>34260</v>
      </c>
      <c r="AO538" s="31" t="s">
        <v>34261</v>
      </c>
      <c r="AP538" s="31" t="s">
        <v>34262</v>
      </c>
      <c r="AQ538" s="31" t="s">
        <v>34263</v>
      </c>
      <c r="AR538" s="31" t="s">
        <v>34264</v>
      </c>
      <c r="AS538" s="31" t="str">
        <f>"PCBP1"</f>
        <v>PCBP1</v>
      </c>
      <c r="AT538" s="31" t="s">
        <v>13772</v>
      </c>
      <c r="AU538" s="31" t="s">
        <v>13777</v>
      </c>
      <c r="AV538" s="31">
        <v>9606</v>
      </c>
      <c r="AW538" s="50" t="str">
        <f>HYPERLINK("http://www.uniprot.org/uniprot/Q15365", "Q15365")</f>
        <v>Q15365</v>
      </c>
      <c r="AX538" s="31" t="s">
        <v>34265</v>
      </c>
      <c r="AY538" s="31" t="s">
        <v>34266</v>
      </c>
      <c r="AZ538" s="31" t="s">
        <v>13912</v>
      </c>
      <c r="BA538" s="31" t="s">
        <v>13772</v>
      </c>
      <c r="BB538" s="31" t="s">
        <v>13772</v>
      </c>
      <c r="BC538" s="31" t="s">
        <v>13772</v>
      </c>
      <c r="BD538" s="31" t="s">
        <v>14096</v>
      </c>
      <c r="BE538" s="31" t="s">
        <v>13772</v>
      </c>
      <c r="BF538" s="31" t="s">
        <v>23916</v>
      </c>
      <c r="BG538" s="31" t="s">
        <v>13991</v>
      </c>
      <c r="BH538" s="31" t="s">
        <v>13812</v>
      </c>
      <c r="BI538" s="31" t="s">
        <v>34267</v>
      </c>
      <c r="BJ538" s="31" t="s">
        <v>34268</v>
      </c>
      <c r="BK538" s="31" t="s">
        <v>34269</v>
      </c>
      <c r="BL538" s="31" t="s">
        <v>13772</v>
      </c>
      <c r="BM538" s="31" t="s">
        <v>22927</v>
      </c>
    </row>
    <row r="539" spans="1:65">
      <c r="A539">
        <v>1384</v>
      </c>
      <c r="B539">
        <v>1</v>
      </c>
      <c r="C539">
        <v>534</v>
      </c>
      <c r="D539" t="s">
        <v>3306</v>
      </c>
      <c r="E539" t="s">
        <v>3307</v>
      </c>
      <c r="F539" t="s">
        <v>73</v>
      </c>
      <c r="G539">
        <v>9.6</v>
      </c>
      <c r="H539">
        <v>2502</v>
      </c>
      <c r="I539">
        <v>274868</v>
      </c>
      <c r="J539" t="s">
        <v>3308</v>
      </c>
      <c r="K539" s="3" t="s">
        <v>73</v>
      </c>
      <c r="L539">
        <v>67</v>
      </c>
      <c r="M539">
        <v>67</v>
      </c>
      <c r="N539">
        <v>1</v>
      </c>
      <c r="O539" s="11">
        <f t="shared" si="8"/>
        <v>4.4800468167899758</v>
      </c>
      <c r="P539" s="36">
        <v>9.6931471666778304</v>
      </c>
      <c r="Q539" s="36">
        <v>6.7414488447421297</v>
      </c>
      <c r="R539" s="36">
        <v>9.6047859708735501</v>
      </c>
      <c r="S539" s="36">
        <v>7.5596087957661497</v>
      </c>
      <c r="T539" s="36">
        <v>6.0212345195582504</v>
      </c>
      <c r="U539" s="36">
        <v>6.50809072647644</v>
      </c>
      <c r="V539" s="36">
        <v>10.5406228286464</v>
      </c>
      <c r="W539" s="36">
        <v>4.8659179899115301</v>
      </c>
      <c r="X539" s="37">
        <v>0.79475829324495695</v>
      </c>
      <c r="Y539" s="37">
        <v>1.89194894066486</v>
      </c>
      <c r="Z539" s="37">
        <v>3.2002173930693698</v>
      </c>
      <c r="AA539" s="37">
        <v>1.6930940931998799</v>
      </c>
      <c r="AB539" s="37">
        <v>0.22969814145377901</v>
      </c>
      <c r="AC539" s="37">
        <v>1.5783811407702499</v>
      </c>
      <c r="AD539" s="37">
        <v>0.377135011965606</v>
      </c>
      <c r="AE539" s="37">
        <v>0.38065921161865401</v>
      </c>
      <c r="AF539" s="45">
        <v>-2.3225842426688299</v>
      </c>
      <c r="AG539" s="45">
        <v>-6.0650020197375003</v>
      </c>
      <c r="AH539" s="46">
        <v>9.8175453723226105E-8</v>
      </c>
      <c r="AI539" s="47">
        <v>6.7651409979645905E-7</v>
      </c>
      <c r="AJ539" s="48">
        <v>7.6918571053315299</v>
      </c>
      <c r="AK539" s="49">
        <v>1.26823652824842</v>
      </c>
      <c r="AL539" s="31" t="s">
        <v>5875</v>
      </c>
      <c r="AM539" s="31" t="s">
        <v>5876</v>
      </c>
      <c r="AN539" s="31" t="s">
        <v>27147</v>
      </c>
      <c r="AO539" s="31" t="s">
        <v>27148</v>
      </c>
      <c r="AP539" s="31" t="s">
        <v>27149</v>
      </c>
      <c r="AQ539" s="31" t="s">
        <v>27150</v>
      </c>
      <c r="AR539" s="31" t="s">
        <v>27151</v>
      </c>
      <c r="AS539" s="31" t="str">
        <f>"IGF2R"</f>
        <v>IGF2R</v>
      </c>
      <c r="AT539" s="31" t="s">
        <v>27152</v>
      </c>
      <c r="AU539" s="31" t="s">
        <v>13777</v>
      </c>
      <c r="AV539" s="31">
        <v>9606</v>
      </c>
      <c r="AW539" s="50" t="str">
        <f>HYPERLINK("http://www.uniprot.org/uniprot/P11717", "P11717")</f>
        <v>P11717</v>
      </c>
      <c r="AX539" s="31" t="s">
        <v>27153</v>
      </c>
      <c r="AY539" s="31" t="s">
        <v>14192</v>
      </c>
      <c r="AZ539" s="31" t="s">
        <v>18613</v>
      </c>
      <c r="BA539" s="31" t="s">
        <v>13793</v>
      </c>
      <c r="BB539" s="31" t="s">
        <v>13772</v>
      </c>
      <c r="BC539" s="31" t="s">
        <v>13772</v>
      </c>
      <c r="BD539" s="31" t="s">
        <v>13826</v>
      </c>
      <c r="BE539" s="31" t="s">
        <v>13772</v>
      </c>
      <c r="BF539" s="31" t="s">
        <v>13795</v>
      </c>
      <c r="BG539" s="31" t="s">
        <v>27154</v>
      </c>
      <c r="BH539" s="31" t="s">
        <v>13812</v>
      </c>
      <c r="BI539" s="31" t="s">
        <v>27155</v>
      </c>
      <c r="BJ539" s="31" t="s">
        <v>27156</v>
      </c>
      <c r="BK539" s="31" t="s">
        <v>27157</v>
      </c>
      <c r="BL539" s="31" t="s">
        <v>13772</v>
      </c>
      <c r="BM539" s="31" t="s">
        <v>27158</v>
      </c>
    </row>
    <row r="540" spans="1:65">
      <c r="A540">
        <v>1847</v>
      </c>
      <c r="B540">
        <v>1</v>
      </c>
      <c r="C540">
        <v>535</v>
      </c>
      <c r="D540" t="s">
        <v>4365</v>
      </c>
      <c r="E540" t="s">
        <v>4366</v>
      </c>
      <c r="F540" t="s">
        <v>73</v>
      </c>
      <c r="G540">
        <v>8.5</v>
      </c>
      <c r="H540">
        <v>1014</v>
      </c>
      <c r="I540">
        <v>106937</v>
      </c>
      <c r="J540" t="s">
        <v>4367</v>
      </c>
      <c r="K540" s="3" t="s">
        <v>73</v>
      </c>
      <c r="L540">
        <v>67</v>
      </c>
      <c r="M540">
        <v>67</v>
      </c>
      <c r="N540">
        <v>1</v>
      </c>
      <c r="O540" s="11">
        <f t="shared" si="8"/>
        <v>4.8751371423337178</v>
      </c>
      <c r="P540" s="36">
        <v>4.8465735833389196</v>
      </c>
      <c r="Q540" s="36">
        <v>9.6306412067744702</v>
      </c>
      <c r="R540" s="36">
        <v>16.007976618122601</v>
      </c>
      <c r="S540" s="36">
        <v>16.631139350685501</v>
      </c>
      <c r="T540" s="36">
        <v>7.7415872394320298</v>
      </c>
      <c r="U540" s="36">
        <v>6.50809072647644</v>
      </c>
      <c r="V540" s="36">
        <v>9.4865605457817708</v>
      </c>
      <c r="W540" s="36">
        <v>1.9463671959646101</v>
      </c>
      <c r="X540" s="37">
        <v>2.3842748797348698</v>
      </c>
      <c r="Y540" s="37">
        <v>0.63064964688828595</v>
      </c>
      <c r="Z540" s="37">
        <v>0.200013587066836</v>
      </c>
      <c r="AA540" s="37">
        <v>0.21163676164998499</v>
      </c>
      <c r="AB540" s="37">
        <v>0.22969814145377901</v>
      </c>
      <c r="AC540" s="37">
        <v>0.78919057038512497</v>
      </c>
      <c r="AD540" s="37">
        <v>0.377135011965606</v>
      </c>
      <c r="AE540" s="37">
        <v>0.38065921161865401</v>
      </c>
      <c r="AF540" s="45">
        <v>-3.4618528294317299</v>
      </c>
      <c r="AG540" s="45">
        <v>-13.991030065046701</v>
      </c>
      <c r="AH540" s="46">
        <v>1.09924160764419E-8</v>
      </c>
      <c r="AI540" s="47">
        <v>1.05056090787709E-7</v>
      </c>
      <c r="AJ540" s="48">
        <v>9.0998670583220402</v>
      </c>
      <c r="AK540" s="49">
        <v>0.65040722634539305</v>
      </c>
      <c r="AL540" s="31" t="s">
        <v>5875</v>
      </c>
      <c r="AM540" s="31" t="s">
        <v>5876</v>
      </c>
      <c r="AN540" s="31" t="s">
        <v>31539</v>
      </c>
      <c r="AO540" s="31" t="s">
        <v>31540</v>
      </c>
      <c r="AP540" s="31" t="s">
        <v>31541</v>
      </c>
      <c r="AQ540" s="31" t="s">
        <v>31542</v>
      </c>
      <c r="AR540" s="31" t="s">
        <v>31543</v>
      </c>
      <c r="AS540" s="31" t="str">
        <f>"UBAP2L"</f>
        <v>UBAP2L</v>
      </c>
      <c r="AT540" s="31" t="s">
        <v>31544</v>
      </c>
      <c r="AU540" s="31" t="s">
        <v>13777</v>
      </c>
      <c r="AV540" s="31">
        <v>9606</v>
      </c>
      <c r="AW540" s="50" t="str">
        <f>HYPERLINK("http://www.uniprot.org/uniprot/Q14157", "Q14157")</f>
        <v>Q14157</v>
      </c>
      <c r="AX540" s="31" t="s">
        <v>31545</v>
      </c>
      <c r="AY540" s="31" t="s">
        <v>13772</v>
      </c>
      <c r="AZ540" s="31" t="s">
        <v>13772</v>
      </c>
      <c r="BA540" s="31" t="s">
        <v>13780</v>
      </c>
      <c r="BB540" s="31" t="s">
        <v>13772</v>
      </c>
      <c r="BC540" s="31" t="s">
        <v>13772</v>
      </c>
      <c r="BD540" s="31" t="s">
        <v>13772</v>
      </c>
      <c r="BE540" s="31" t="s">
        <v>13772</v>
      </c>
      <c r="BF540" s="31" t="s">
        <v>13772</v>
      </c>
      <c r="BG540" s="31" t="s">
        <v>14098</v>
      </c>
      <c r="BH540" s="31" t="s">
        <v>13772</v>
      </c>
      <c r="BI540" s="31" t="s">
        <v>31546</v>
      </c>
      <c r="BJ540" s="31" t="s">
        <v>31547</v>
      </c>
      <c r="BK540" s="31" t="s">
        <v>14235</v>
      </c>
      <c r="BL540" s="31" t="s">
        <v>13772</v>
      </c>
      <c r="BM540" s="31" t="s">
        <v>13772</v>
      </c>
    </row>
    <row r="541" spans="1:65">
      <c r="A541">
        <v>916</v>
      </c>
      <c r="B541">
        <v>1</v>
      </c>
      <c r="C541">
        <v>536</v>
      </c>
      <c r="D541" t="s">
        <v>2231</v>
      </c>
      <c r="E541" t="s">
        <v>2232</v>
      </c>
      <c r="F541" t="s">
        <v>73</v>
      </c>
      <c r="G541">
        <v>60.5</v>
      </c>
      <c r="H541">
        <v>177</v>
      </c>
      <c r="I541">
        <v>20151</v>
      </c>
      <c r="J541" t="s">
        <v>2233</v>
      </c>
      <c r="K541" s="3" t="s">
        <v>73</v>
      </c>
      <c r="L541">
        <v>66</v>
      </c>
      <c r="M541">
        <v>66</v>
      </c>
      <c r="N541">
        <v>1</v>
      </c>
      <c r="O541" s="11">
        <f t="shared" si="8"/>
        <v>4.2931434751815249</v>
      </c>
      <c r="P541" s="36">
        <v>4.8465735833389196</v>
      </c>
      <c r="Q541" s="36">
        <v>4.8153206033872298</v>
      </c>
      <c r="R541" s="36">
        <v>6.4031906472490299</v>
      </c>
      <c r="S541" s="36">
        <v>7.5596087957661497</v>
      </c>
      <c r="T541" s="36">
        <v>11.1822926791796</v>
      </c>
      <c r="U541" s="36">
        <v>5.5783634798369501</v>
      </c>
      <c r="V541" s="36">
        <v>4.21624913145856</v>
      </c>
      <c r="W541" s="36">
        <v>9.7318359798230603</v>
      </c>
      <c r="X541" s="37">
        <v>0.19868957331123899</v>
      </c>
      <c r="Y541" s="37">
        <v>2.5225985875531398</v>
      </c>
      <c r="Z541" s="37">
        <v>2.4001630448020301</v>
      </c>
      <c r="AA541" s="37">
        <v>1.6930940931998799</v>
      </c>
      <c r="AB541" s="37">
        <v>0.22969814145377901</v>
      </c>
      <c r="AC541" s="37">
        <v>2.36757171115537</v>
      </c>
      <c r="AD541" s="37">
        <v>0.377135011965606</v>
      </c>
      <c r="AE541" s="37">
        <v>4.5679105394238499</v>
      </c>
      <c r="AF541" s="45">
        <v>-1.8915618978634601</v>
      </c>
      <c r="AG541" s="45">
        <v>-3.7844927261289998</v>
      </c>
      <c r="AH541" s="46">
        <v>9.1571673086914893E-5</v>
      </c>
      <c r="AI541" s="47">
        <v>2.6292467508646399E-4</v>
      </c>
      <c r="AJ541" s="48">
        <v>6.7916793625049401</v>
      </c>
      <c r="AK541" s="49">
        <v>1.79460758785811</v>
      </c>
      <c r="AL541" s="31" t="s">
        <v>5875</v>
      </c>
      <c r="AM541" s="31" t="s">
        <v>5876</v>
      </c>
      <c r="AN541" s="31" t="s">
        <v>22815</v>
      </c>
      <c r="AO541" s="31" t="s">
        <v>22816</v>
      </c>
      <c r="AP541" s="31" t="s">
        <v>22817</v>
      </c>
      <c r="AQ541" s="31" t="s">
        <v>22818</v>
      </c>
      <c r="AR541" s="31" t="s">
        <v>22819</v>
      </c>
      <c r="AS541" s="31" t="str">
        <f>"GGACT"</f>
        <v>GGACT</v>
      </c>
      <c r="AT541" s="31" t="s">
        <v>22820</v>
      </c>
      <c r="AU541" s="31" t="s">
        <v>13777</v>
      </c>
      <c r="AV541" s="31">
        <v>9606</v>
      </c>
      <c r="AW541" s="50" t="str">
        <f>HYPERLINK("http://www.uniprot.org/uniprot/Q9BVM4", "Q9BVM4")</f>
        <v>Q9BVM4</v>
      </c>
      <c r="AX541" s="31" t="s">
        <v>22821</v>
      </c>
      <c r="AY541" s="31" t="s">
        <v>13772</v>
      </c>
      <c r="AZ541" s="31" t="s">
        <v>13772</v>
      </c>
      <c r="BA541" s="31" t="s">
        <v>13772</v>
      </c>
      <c r="BB541" s="31" t="s">
        <v>13772</v>
      </c>
      <c r="BC541" s="31" t="s">
        <v>13772</v>
      </c>
      <c r="BD541" s="31" t="s">
        <v>13772</v>
      </c>
      <c r="BE541" s="31" t="s">
        <v>13772</v>
      </c>
      <c r="BF541" s="31" t="s">
        <v>15788</v>
      </c>
      <c r="BG541" s="31" t="s">
        <v>13772</v>
      </c>
      <c r="BH541" s="31" t="s">
        <v>13812</v>
      </c>
      <c r="BI541" s="31" t="s">
        <v>22822</v>
      </c>
      <c r="BJ541" s="31" t="s">
        <v>15835</v>
      </c>
      <c r="BK541" s="31" t="s">
        <v>22823</v>
      </c>
      <c r="BL541" s="31" t="s">
        <v>13772</v>
      </c>
      <c r="BM541" s="31" t="s">
        <v>13772</v>
      </c>
    </row>
    <row r="542" spans="1:65">
      <c r="A542">
        <v>1308</v>
      </c>
      <c r="B542">
        <v>1</v>
      </c>
      <c r="C542">
        <v>537</v>
      </c>
      <c r="D542" t="s">
        <v>3137</v>
      </c>
      <c r="E542" t="s">
        <v>73</v>
      </c>
      <c r="F542" t="s">
        <v>73</v>
      </c>
      <c r="G542">
        <v>21.3</v>
      </c>
      <c r="H542">
        <v>656</v>
      </c>
      <c r="I542">
        <v>70422</v>
      </c>
      <c r="J542" t="s">
        <v>3138</v>
      </c>
      <c r="K542" s="3" t="s">
        <v>73</v>
      </c>
      <c r="L542">
        <v>66</v>
      </c>
      <c r="M542">
        <v>65</v>
      </c>
      <c r="N542">
        <v>0.98499999999999999</v>
      </c>
      <c r="O542" s="11">
        <f t="shared" si="8"/>
        <v>3.9687004816142988</v>
      </c>
      <c r="P542" s="36">
        <v>6.0582169791736504</v>
      </c>
      <c r="Q542" s="36">
        <v>4.8153206033872298</v>
      </c>
      <c r="R542" s="36">
        <v>6.4031906472490299</v>
      </c>
      <c r="S542" s="36">
        <v>7.5596087957661497</v>
      </c>
      <c r="T542" s="36">
        <v>3.4407054397475698</v>
      </c>
      <c r="U542" s="36">
        <v>3.7189089865579601</v>
      </c>
      <c r="V542" s="36">
        <v>2.10812456572928</v>
      </c>
      <c r="W542" s="36">
        <v>6.8122851858761404</v>
      </c>
      <c r="X542" s="37">
        <v>0.19868957331123899</v>
      </c>
      <c r="Y542" s="37">
        <v>0.15766241172207099</v>
      </c>
      <c r="Z542" s="37">
        <v>0.80005434826734301</v>
      </c>
      <c r="AA542" s="37">
        <v>2.5396411397998202</v>
      </c>
      <c r="AB542" s="37">
        <v>3.6751702632604601</v>
      </c>
      <c r="AC542" s="37">
        <v>1.5783811407702499</v>
      </c>
      <c r="AD542" s="37">
        <v>7.5427002393121096</v>
      </c>
      <c r="AE542" s="37">
        <v>6.0905473858984696</v>
      </c>
      <c r="AF542" s="45">
        <v>-1.02334938934043</v>
      </c>
      <c r="AG542" s="45">
        <v>-1.8118336499007801</v>
      </c>
      <c r="AH542" s="46">
        <v>0.108662868582247</v>
      </c>
      <c r="AI542" s="47">
        <v>0.152721552692276</v>
      </c>
      <c r="AJ542" s="48">
        <v>5.1145451504358803</v>
      </c>
      <c r="AK542" s="49">
        <v>2.8228558127927199</v>
      </c>
      <c r="AL542" s="31" t="s">
        <v>5875</v>
      </c>
      <c r="AM542" s="31" t="s">
        <v>5832</v>
      </c>
      <c r="AN542" s="31" t="s">
        <v>26435</v>
      </c>
      <c r="AO542" s="31" t="s">
        <v>13772</v>
      </c>
      <c r="AP542" s="31" t="s">
        <v>26436</v>
      </c>
      <c r="AQ542" s="31" t="s">
        <v>26437</v>
      </c>
      <c r="AR542" s="31" t="s">
        <v>26438</v>
      </c>
      <c r="AS542" s="31" t="str">
        <f>"HGFAC"</f>
        <v>HGFAC</v>
      </c>
      <c r="AT542" s="31" t="s">
        <v>13772</v>
      </c>
      <c r="AU542" s="31" t="s">
        <v>13777</v>
      </c>
      <c r="AV542" s="31">
        <v>9606</v>
      </c>
      <c r="AW542" s="50" t="str">
        <f>HYPERLINK("http://www.uniprot.org/uniprot/Q04756", "Q04756")</f>
        <v>Q04756</v>
      </c>
      <c r="AX542" s="31" t="s">
        <v>26439</v>
      </c>
      <c r="AY542" s="31" t="s">
        <v>13772</v>
      </c>
      <c r="AZ542" s="31" t="s">
        <v>14321</v>
      </c>
      <c r="BA542" s="31" t="s">
        <v>13793</v>
      </c>
      <c r="BB542" s="31" t="s">
        <v>13772</v>
      </c>
      <c r="BC542" s="31" t="s">
        <v>13772</v>
      </c>
      <c r="BD542" s="31" t="s">
        <v>23928</v>
      </c>
      <c r="BE542" s="31" t="s">
        <v>13772</v>
      </c>
      <c r="BF542" s="31" t="s">
        <v>15176</v>
      </c>
      <c r="BG542" s="31" t="s">
        <v>15472</v>
      </c>
      <c r="BH542" s="31" t="s">
        <v>13812</v>
      </c>
      <c r="BI542" s="31" t="s">
        <v>17126</v>
      </c>
      <c r="BJ542" s="31" t="s">
        <v>26440</v>
      </c>
      <c r="BK542" s="31" t="s">
        <v>21852</v>
      </c>
      <c r="BL542" s="31" t="s">
        <v>13772</v>
      </c>
      <c r="BM542" s="31" t="s">
        <v>26441</v>
      </c>
    </row>
    <row r="543" spans="1:65">
      <c r="A543">
        <v>2060</v>
      </c>
      <c r="B543">
        <v>1</v>
      </c>
      <c r="C543">
        <v>538</v>
      </c>
      <c r="D543" t="s">
        <v>4843</v>
      </c>
      <c r="E543" t="s">
        <v>73</v>
      </c>
      <c r="F543" t="s">
        <v>73</v>
      </c>
      <c r="G543">
        <v>44</v>
      </c>
      <c r="H543">
        <v>134</v>
      </c>
      <c r="I543">
        <v>14400</v>
      </c>
      <c r="J543" t="s">
        <v>4844</v>
      </c>
      <c r="K543" s="3" t="s">
        <v>73</v>
      </c>
      <c r="L543">
        <v>66</v>
      </c>
      <c r="M543">
        <v>66</v>
      </c>
      <c r="N543">
        <v>1</v>
      </c>
      <c r="O543" s="11">
        <f t="shared" si="8"/>
        <v>3.8721000811542772</v>
      </c>
      <c r="P543" s="36">
        <v>1.2116433958347299</v>
      </c>
      <c r="Q543" s="36">
        <v>0.24076603016936199</v>
      </c>
      <c r="R543" s="36">
        <v>0.40019941545306398</v>
      </c>
      <c r="S543" s="36">
        <v>0.37798043978830698</v>
      </c>
      <c r="T543" s="36">
        <v>0.215044089984223</v>
      </c>
      <c r="U543" s="36">
        <v>0.23243181165987301</v>
      </c>
      <c r="V543" s="36">
        <v>0.26351557071616</v>
      </c>
      <c r="W543" s="36">
        <v>0.24329589949557701</v>
      </c>
      <c r="X543" s="37">
        <v>3.17903317297983</v>
      </c>
      <c r="Y543" s="37">
        <v>8.1984454095477108</v>
      </c>
      <c r="Z543" s="37">
        <v>6.4004347861387396</v>
      </c>
      <c r="AA543" s="37">
        <v>5.0792822795996404</v>
      </c>
      <c r="AB543" s="37">
        <v>12.863095921411601</v>
      </c>
      <c r="AC543" s="37">
        <v>6.3135245630809997</v>
      </c>
      <c r="AD543" s="37">
        <v>1.50854004786242</v>
      </c>
      <c r="AE543" s="37">
        <v>15.2263684647462</v>
      </c>
      <c r="AF543" s="45">
        <v>3.88933576321309</v>
      </c>
      <c r="AG543" s="45">
        <v>18.452433499470299</v>
      </c>
      <c r="AH543" s="46">
        <v>5.5253226278863103E-8</v>
      </c>
      <c r="AI543" s="47">
        <v>4.0178704761477602E-7</v>
      </c>
      <c r="AJ543" s="48">
        <v>0.39810958163766202</v>
      </c>
      <c r="AK543" s="49">
        <v>7.3460905806708903</v>
      </c>
      <c r="AL543" s="31" t="s">
        <v>5874</v>
      </c>
      <c r="AM543" s="31" t="s">
        <v>5876</v>
      </c>
      <c r="AN543" s="31" t="s">
        <v>33503</v>
      </c>
      <c r="AO543" s="31" t="s">
        <v>33504</v>
      </c>
      <c r="AP543" s="31" t="s">
        <v>33505</v>
      </c>
      <c r="AQ543" s="31" t="s">
        <v>33506</v>
      </c>
      <c r="AR543" s="31" t="s">
        <v>13772</v>
      </c>
      <c r="AS543" s="31" t="str">
        <f>"SYCN"</f>
        <v>SYCN</v>
      </c>
      <c r="AT543" s="31" t="s">
        <v>33507</v>
      </c>
      <c r="AU543" s="31" t="s">
        <v>13777</v>
      </c>
      <c r="AV543" s="31">
        <v>9606</v>
      </c>
      <c r="AW543" s="50" t="str">
        <f>HYPERLINK("http://www.uniprot.org/uniprot/Q0VAF6", "Q0VAF6")</f>
        <v>Q0VAF6</v>
      </c>
      <c r="AX543" s="31" t="s">
        <v>33508</v>
      </c>
      <c r="AY543" s="31" t="s">
        <v>28294</v>
      </c>
      <c r="AZ543" s="31" t="s">
        <v>14033</v>
      </c>
      <c r="BA543" s="31" t="s">
        <v>13793</v>
      </c>
      <c r="BB543" s="31" t="s">
        <v>13772</v>
      </c>
      <c r="BC543" s="31" t="s">
        <v>13772</v>
      </c>
      <c r="BD543" s="31" t="s">
        <v>13808</v>
      </c>
      <c r="BE543" s="31" t="s">
        <v>13772</v>
      </c>
      <c r="BF543" s="31" t="s">
        <v>13772</v>
      </c>
      <c r="BG543" s="31" t="s">
        <v>14506</v>
      </c>
      <c r="BH543" s="31" t="s">
        <v>13772</v>
      </c>
      <c r="BI543" s="31" t="s">
        <v>33509</v>
      </c>
      <c r="BJ543" s="31" t="s">
        <v>33510</v>
      </c>
      <c r="BK543" s="31" t="s">
        <v>13772</v>
      </c>
      <c r="BL543" s="31" t="s">
        <v>13772</v>
      </c>
      <c r="BM543" s="31" t="s">
        <v>13772</v>
      </c>
    </row>
    <row r="544" spans="1:65">
      <c r="A544">
        <v>2246</v>
      </c>
      <c r="B544">
        <v>1</v>
      </c>
      <c r="C544">
        <v>539</v>
      </c>
      <c r="D544" t="s">
        <v>5253</v>
      </c>
      <c r="E544" t="s">
        <v>73</v>
      </c>
      <c r="F544" t="s">
        <v>73</v>
      </c>
      <c r="G544">
        <v>40.200000000000003</v>
      </c>
      <c r="H544">
        <v>259</v>
      </c>
      <c r="I544">
        <v>27828</v>
      </c>
      <c r="J544" t="s">
        <v>5254</v>
      </c>
      <c r="K544" s="3" t="s">
        <v>73</v>
      </c>
      <c r="L544">
        <v>66</v>
      </c>
      <c r="M544">
        <v>66</v>
      </c>
      <c r="N544">
        <v>1</v>
      </c>
      <c r="O544" s="11">
        <f t="shared" si="8"/>
        <v>4.2506461999671554</v>
      </c>
      <c r="P544" s="36">
        <v>2.4232867916694598</v>
      </c>
      <c r="Q544" s="36">
        <v>6.7414488447421297</v>
      </c>
      <c r="R544" s="36">
        <v>11.2055836326858</v>
      </c>
      <c r="S544" s="36">
        <v>13.6072958323791</v>
      </c>
      <c r="T544" s="36">
        <v>9.4619399593058091</v>
      </c>
      <c r="U544" s="36">
        <v>6.50809072647644</v>
      </c>
      <c r="V544" s="36">
        <v>1.05406228286464</v>
      </c>
      <c r="W544" s="36">
        <v>1.9463671959646101</v>
      </c>
      <c r="X544" s="37">
        <v>2.3842748797348698</v>
      </c>
      <c r="Y544" s="37">
        <v>5.0451971751062796</v>
      </c>
      <c r="Z544" s="37">
        <v>1.60010869653469</v>
      </c>
      <c r="AA544" s="37">
        <v>0.84654704659994096</v>
      </c>
      <c r="AB544" s="37">
        <v>0.91879256581511404</v>
      </c>
      <c r="AC544" s="37">
        <v>2.36757171115537</v>
      </c>
      <c r="AD544" s="37">
        <v>0.377135011965606</v>
      </c>
      <c r="AE544" s="37">
        <v>1.5226368464746201</v>
      </c>
      <c r="AF544" s="45">
        <v>-1.61150835525058</v>
      </c>
      <c r="AG544" s="45">
        <v>-3.51528000705957</v>
      </c>
      <c r="AH544" s="46">
        <v>3.5881688152013002E-3</v>
      </c>
      <c r="AI544" s="47">
        <v>7.1870806508074004E-3</v>
      </c>
      <c r="AJ544" s="48">
        <v>6.6185094082609996</v>
      </c>
      <c r="AK544" s="49">
        <v>1.8827829916733101</v>
      </c>
      <c r="AL544" s="31" t="s">
        <v>5875</v>
      </c>
      <c r="AM544" s="31" t="s">
        <v>5876</v>
      </c>
      <c r="AN544" s="31" t="s">
        <v>35210</v>
      </c>
      <c r="AO544" s="31" t="s">
        <v>35211</v>
      </c>
      <c r="AP544" s="31" t="s">
        <v>35212</v>
      </c>
      <c r="AQ544" s="31" t="s">
        <v>35213</v>
      </c>
      <c r="AR544" s="31" t="s">
        <v>35214</v>
      </c>
      <c r="AS544" s="31" t="str">
        <f>"PRNP"</f>
        <v>PRNP</v>
      </c>
      <c r="AT544" s="31" t="s">
        <v>35215</v>
      </c>
      <c r="AU544" s="31" t="s">
        <v>13777</v>
      </c>
      <c r="AV544" s="31">
        <v>9606</v>
      </c>
      <c r="AW544" s="50" t="str">
        <f>HYPERLINK("http://www.uniprot.org/uniprot/P04156", "P04156")</f>
        <v>P04156</v>
      </c>
      <c r="AX544" s="31" t="s">
        <v>35216</v>
      </c>
      <c r="AY544" s="31" t="s">
        <v>32853</v>
      </c>
      <c r="AZ544" s="31" t="s">
        <v>35217</v>
      </c>
      <c r="BA544" s="31" t="s">
        <v>29290</v>
      </c>
      <c r="BB544" s="31" t="s">
        <v>13772</v>
      </c>
      <c r="BC544" s="31" t="s">
        <v>16144</v>
      </c>
      <c r="BD544" s="31" t="s">
        <v>14404</v>
      </c>
      <c r="BE544" s="31" t="s">
        <v>20010</v>
      </c>
      <c r="BF544" s="31" t="s">
        <v>35218</v>
      </c>
      <c r="BG544" s="31" t="s">
        <v>15699</v>
      </c>
      <c r="BH544" s="31" t="s">
        <v>13812</v>
      </c>
      <c r="BI544" s="31" t="s">
        <v>35219</v>
      </c>
      <c r="BJ544" s="31" t="s">
        <v>35220</v>
      </c>
      <c r="BK544" s="31" t="s">
        <v>35221</v>
      </c>
      <c r="BL544" s="31" t="s">
        <v>13772</v>
      </c>
      <c r="BM544" s="31" t="s">
        <v>35222</v>
      </c>
    </row>
    <row r="545" spans="1:65">
      <c r="A545">
        <v>234</v>
      </c>
      <c r="B545">
        <v>1</v>
      </c>
      <c r="C545">
        <v>540</v>
      </c>
      <c r="D545" t="s">
        <v>593</v>
      </c>
      <c r="E545" t="s">
        <v>594</v>
      </c>
      <c r="F545" t="s">
        <v>73</v>
      </c>
      <c r="G545">
        <v>68.099999999999994</v>
      </c>
      <c r="H545">
        <v>166</v>
      </c>
      <c r="I545">
        <v>18736</v>
      </c>
      <c r="J545" t="s">
        <v>596</v>
      </c>
      <c r="K545" s="3" t="s">
        <v>73</v>
      </c>
      <c r="L545">
        <v>77</v>
      </c>
      <c r="M545">
        <v>61</v>
      </c>
      <c r="N545">
        <v>0.79200000000000004</v>
      </c>
      <c r="O545" s="11">
        <f t="shared" si="8"/>
        <v>3.5156081345421519</v>
      </c>
      <c r="P545" s="36">
        <v>0.30291084895868198</v>
      </c>
      <c r="Q545" s="36">
        <v>2.2150474775581301</v>
      </c>
      <c r="R545" s="36">
        <v>0.40019941545306398</v>
      </c>
      <c r="S545" s="36">
        <v>0.37798043978830698</v>
      </c>
      <c r="T545" s="36">
        <v>1.03221163192427</v>
      </c>
      <c r="U545" s="36">
        <v>1.85945449327898</v>
      </c>
      <c r="V545" s="36">
        <v>0.26351557071616</v>
      </c>
      <c r="W545" s="36">
        <v>0.24329589949557701</v>
      </c>
      <c r="X545" s="37">
        <v>6.4375421752841504</v>
      </c>
      <c r="Y545" s="37">
        <v>3.3424431285079099</v>
      </c>
      <c r="Z545" s="37">
        <v>1.84012500101489</v>
      </c>
      <c r="AA545" s="37">
        <v>7.1956498960994999</v>
      </c>
      <c r="AB545" s="37">
        <v>20.5809534742586</v>
      </c>
      <c r="AC545" s="37">
        <v>7.4973104186586896</v>
      </c>
      <c r="AD545" s="37">
        <v>0.377135011965606</v>
      </c>
      <c r="AE545" s="37">
        <v>2.2839552697119201</v>
      </c>
      <c r="AF545" s="45">
        <v>2.6641927278783899</v>
      </c>
      <c r="AG545" s="45">
        <v>7.4022342767557703</v>
      </c>
      <c r="AH545" s="46">
        <v>2.0739560240842E-4</v>
      </c>
      <c r="AI545" s="47">
        <v>5.3987415568573099E-4</v>
      </c>
      <c r="AJ545" s="48">
        <v>0.83682697214664603</v>
      </c>
      <c r="AK545" s="49">
        <v>6.1943892969376497</v>
      </c>
      <c r="AL545" s="31" t="s">
        <v>5874</v>
      </c>
      <c r="AM545" s="31" t="s">
        <v>5876</v>
      </c>
      <c r="AN545" s="31" t="s">
        <v>15837</v>
      </c>
      <c r="AO545" s="31" t="s">
        <v>15838</v>
      </c>
      <c r="AP545" s="31" t="s">
        <v>15839</v>
      </c>
      <c r="AQ545" s="31" t="s">
        <v>15840</v>
      </c>
      <c r="AR545" s="31" t="s">
        <v>15841</v>
      </c>
      <c r="AS545" s="31" t="str">
        <f>"CFL2"</f>
        <v>CFL2</v>
      </c>
      <c r="AT545" s="31" t="s">
        <v>13772</v>
      </c>
      <c r="AU545" s="31" t="s">
        <v>13777</v>
      </c>
      <c r="AV545" s="31">
        <v>9606</v>
      </c>
      <c r="AW545" s="50" t="str">
        <f>HYPERLINK("http://www.uniprot.org/uniprot/Q9Y281", "Q9Y281")</f>
        <v>Q9Y281</v>
      </c>
      <c r="AX545" s="31" t="s">
        <v>15842</v>
      </c>
      <c r="AY545" s="31" t="s">
        <v>13772</v>
      </c>
      <c r="AZ545" s="31" t="s">
        <v>15843</v>
      </c>
      <c r="BA545" s="31" t="s">
        <v>13780</v>
      </c>
      <c r="BB545" s="31" t="s">
        <v>13772</v>
      </c>
      <c r="BC545" s="31" t="s">
        <v>15844</v>
      </c>
      <c r="BD545" s="31" t="s">
        <v>13772</v>
      </c>
      <c r="BE545" s="31" t="s">
        <v>13772</v>
      </c>
      <c r="BF545" s="31" t="s">
        <v>13990</v>
      </c>
      <c r="BG545" s="31" t="s">
        <v>13886</v>
      </c>
      <c r="BH545" s="31" t="s">
        <v>13772</v>
      </c>
      <c r="BI545" s="31" t="s">
        <v>15845</v>
      </c>
      <c r="BJ545" s="31" t="s">
        <v>15846</v>
      </c>
      <c r="BK545" s="31" t="s">
        <v>15847</v>
      </c>
      <c r="BL545" s="31" t="s">
        <v>13772</v>
      </c>
      <c r="BM545" s="31" t="s">
        <v>13772</v>
      </c>
    </row>
    <row r="546" spans="1:65">
      <c r="A546">
        <v>1057</v>
      </c>
      <c r="B546">
        <v>1</v>
      </c>
      <c r="C546">
        <v>541</v>
      </c>
      <c r="D546" t="s">
        <v>2539</v>
      </c>
      <c r="E546" t="s">
        <v>73</v>
      </c>
      <c r="F546" t="s">
        <v>73</v>
      </c>
      <c r="G546">
        <v>63.2</v>
      </c>
      <c r="H546">
        <v>310</v>
      </c>
      <c r="I546">
        <v>32704</v>
      </c>
      <c r="J546" t="s">
        <v>2540</v>
      </c>
      <c r="K546" s="3" t="s">
        <v>73</v>
      </c>
      <c r="L546">
        <v>66</v>
      </c>
      <c r="M546">
        <v>60</v>
      </c>
      <c r="N546">
        <v>0.90900000000000003</v>
      </c>
      <c r="O546" s="11">
        <f t="shared" si="8"/>
        <v>3.8935936512326861</v>
      </c>
      <c r="P546" s="36">
        <v>1.2116433958347299</v>
      </c>
      <c r="Q546" s="36">
        <v>0.96306412067744696</v>
      </c>
      <c r="R546" s="36">
        <v>8.00398830906129</v>
      </c>
      <c r="S546" s="36">
        <v>0.37798043978830698</v>
      </c>
      <c r="T546" s="36">
        <v>3.4407054397475698</v>
      </c>
      <c r="U546" s="36">
        <v>0.23243181165987301</v>
      </c>
      <c r="V546" s="36">
        <v>4.21624913145856</v>
      </c>
      <c r="W546" s="36">
        <v>5.8391015878938397</v>
      </c>
      <c r="X546" s="37">
        <v>5.5633080527147003</v>
      </c>
      <c r="Y546" s="37">
        <v>5.0451971751062796</v>
      </c>
      <c r="Z546" s="37">
        <v>2.4001630448020301</v>
      </c>
      <c r="AA546" s="37">
        <v>4.2327352329997003</v>
      </c>
      <c r="AB546" s="37">
        <v>12.771216664830099</v>
      </c>
      <c r="AC546" s="37">
        <v>4.5773053082337203</v>
      </c>
      <c r="AD546" s="37">
        <v>0.377135011965606</v>
      </c>
      <c r="AE546" s="37">
        <v>3.0452736929492299</v>
      </c>
      <c r="AF546" s="45">
        <v>0.69199659325487906</v>
      </c>
      <c r="AG546" s="45">
        <v>1.56524921198853</v>
      </c>
      <c r="AH546" s="46">
        <v>0.299913850666786</v>
      </c>
      <c r="AI546" s="47">
        <v>0.37785756326945402</v>
      </c>
      <c r="AJ546" s="48">
        <v>3.0356455295151998</v>
      </c>
      <c r="AK546" s="49">
        <v>4.7515417729501701</v>
      </c>
      <c r="AL546" s="31" t="s">
        <v>5874</v>
      </c>
      <c r="AM546" s="31" t="s">
        <v>5832</v>
      </c>
      <c r="AN546" s="31" t="s">
        <v>24002</v>
      </c>
      <c r="AO546" s="31" t="s">
        <v>24003</v>
      </c>
      <c r="AP546" s="31" t="s">
        <v>24004</v>
      </c>
      <c r="AQ546" s="31" t="s">
        <v>24005</v>
      </c>
      <c r="AR546" s="31" t="s">
        <v>24006</v>
      </c>
      <c r="AS546" s="31" t="str">
        <f>"YBX3"</f>
        <v>YBX3</v>
      </c>
      <c r="AT546" s="31" t="s">
        <v>24007</v>
      </c>
      <c r="AU546" s="31" t="s">
        <v>13777</v>
      </c>
      <c r="AV546" s="31">
        <v>9606</v>
      </c>
      <c r="AW546" s="50" t="str">
        <f>HYPERLINK("http://www.uniprot.org/uniprot/P16989", "P16989")</f>
        <v>P16989</v>
      </c>
      <c r="AX546" s="31" t="s">
        <v>24008</v>
      </c>
      <c r="AY546" s="31" t="s">
        <v>14445</v>
      </c>
      <c r="AZ546" s="31" t="s">
        <v>13912</v>
      </c>
      <c r="BA546" s="31" t="s">
        <v>13780</v>
      </c>
      <c r="BB546" s="31" t="s">
        <v>13772</v>
      </c>
      <c r="BC546" s="31" t="s">
        <v>13772</v>
      </c>
      <c r="BD546" s="31" t="s">
        <v>13772</v>
      </c>
      <c r="BE546" s="31" t="s">
        <v>13772</v>
      </c>
      <c r="BF546" s="31" t="s">
        <v>22954</v>
      </c>
      <c r="BG546" s="31" t="s">
        <v>14098</v>
      </c>
      <c r="BH546" s="31" t="s">
        <v>13772</v>
      </c>
      <c r="BI546" s="31" t="s">
        <v>24009</v>
      </c>
      <c r="BJ546" s="31" t="s">
        <v>24010</v>
      </c>
      <c r="BK546" s="31" t="s">
        <v>24011</v>
      </c>
      <c r="BL546" s="31" t="s">
        <v>13772</v>
      </c>
      <c r="BM546" s="31" t="s">
        <v>13772</v>
      </c>
    </row>
    <row r="547" spans="1:65">
      <c r="A547">
        <v>1428</v>
      </c>
      <c r="B547">
        <v>1</v>
      </c>
      <c r="C547">
        <v>542</v>
      </c>
      <c r="D547" t="s">
        <v>3404</v>
      </c>
      <c r="E547" t="s">
        <v>73</v>
      </c>
      <c r="F547" t="s">
        <v>73</v>
      </c>
      <c r="G547">
        <v>61.6</v>
      </c>
      <c r="H547">
        <v>268</v>
      </c>
      <c r="I547">
        <v>29201</v>
      </c>
      <c r="J547" t="s">
        <v>3405</v>
      </c>
      <c r="K547" s="3" t="s">
        <v>73</v>
      </c>
      <c r="L547">
        <v>65</v>
      </c>
      <c r="M547">
        <v>65</v>
      </c>
      <c r="N547">
        <v>1</v>
      </c>
      <c r="O547" s="11">
        <f t="shared" si="8"/>
        <v>4.1977740079316659</v>
      </c>
      <c r="P547" s="36">
        <v>0.30291084895868198</v>
      </c>
      <c r="Q547" s="36">
        <v>2.8891923620323401</v>
      </c>
      <c r="R547" s="36">
        <v>0.40019941545306398</v>
      </c>
      <c r="S547" s="36">
        <v>0.37798043978830698</v>
      </c>
      <c r="T547" s="36">
        <v>0.215044089984223</v>
      </c>
      <c r="U547" s="36">
        <v>0.23243181165987301</v>
      </c>
      <c r="V547" s="36">
        <v>0.26351557071616</v>
      </c>
      <c r="W547" s="36">
        <v>0.97318359798230603</v>
      </c>
      <c r="X547" s="37">
        <v>1.5895165864899099</v>
      </c>
      <c r="Y547" s="37">
        <v>2.5225985875531398</v>
      </c>
      <c r="Z547" s="37">
        <v>4.0002717413367099</v>
      </c>
      <c r="AA547" s="37">
        <v>0.21163676164998499</v>
      </c>
      <c r="AB547" s="37">
        <v>13.7818884872267</v>
      </c>
      <c r="AC547" s="37">
        <v>3.1567622815404999</v>
      </c>
      <c r="AD547" s="37">
        <v>31.679341005110899</v>
      </c>
      <c r="AE547" s="37">
        <v>4.5679105394238499</v>
      </c>
      <c r="AF547" s="45">
        <v>3.1398313751945799</v>
      </c>
      <c r="AG547" s="45">
        <v>10.878129168994001</v>
      </c>
      <c r="AH547" s="46">
        <v>3.2298109393399499E-4</v>
      </c>
      <c r="AI547" s="47">
        <v>8.1537491261072603E-4</v>
      </c>
      <c r="AJ547" s="48">
        <v>0.70680726707187003</v>
      </c>
      <c r="AK547" s="49">
        <v>7.6887407487914601</v>
      </c>
      <c r="AL547" s="31" t="s">
        <v>5874</v>
      </c>
      <c r="AM547" s="31" t="s">
        <v>5876</v>
      </c>
      <c r="AN547" s="31" t="s">
        <v>27522</v>
      </c>
      <c r="AO547" s="31" t="s">
        <v>27523</v>
      </c>
      <c r="AP547" s="31" t="s">
        <v>27524</v>
      </c>
      <c r="AQ547" s="31" t="s">
        <v>27525</v>
      </c>
      <c r="AR547" s="31" t="s">
        <v>27526</v>
      </c>
      <c r="AS547" s="31" t="str">
        <f>"CTRC"</f>
        <v>CTRC</v>
      </c>
      <c r="AT547" s="31" t="s">
        <v>27527</v>
      </c>
      <c r="AU547" s="31" t="s">
        <v>13777</v>
      </c>
      <c r="AV547" s="31">
        <v>9606</v>
      </c>
      <c r="AW547" s="50" t="str">
        <f>HYPERLINK("http://www.uniprot.org/uniprot/Q99895", "Q99895")</f>
        <v>Q99895</v>
      </c>
      <c r="AX547" s="31" t="s">
        <v>27528</v>
      </c>
      <c r="AY547" s="31" t="s">
        <v>13772</v>
      </c>
      <c r="AZ547" s="31" t="s">
        <v>13772</v>
      </c>
      <c r="BA547" s="31" t="s">
        <v>13793</v>
      </c>
      <c r="BB547" s="31" t="s">
        <v>13772</v>
      </c>
      <c r="BC547" s="31" t="s">
        <v>13807</v>
      </c>
      <c r="BD547" s="31" t="s">
        <v>13808</v>
      </c>
      <c r="BE547" s="31" t="s">
        <v>13772</v>
      </c>
      <c r="BF547" s="31" t="s">
        <v>15176</v>
      </c>
      <c r="BG547" s="31" t="s">
        <v>15472</v>
      </c>
      <c r="BH547" s="31" t="s">
        <v>13812</v>
      </c>
      <c r="BI547" s="31" t="s">
        <v>27529</v>
      </c>
      <c r="BJ547" s="31" t="s">
        <v>15346</v>
      </c>
      <c r="BK547" s="31" t="s">
        <v>27530</v>
      </c>
      <c r="BL547" s="31" t="s">
        <v>13772</v>
      </c>
      <c r="BM547" s="31" t="s">
        <v>27531</v>
      </c>
    </row>
    <row r="548" spans="1:65">
      <c r="A548">
        <v>1960</v>
      </c>
      <c r="B548">
        <v>1</v>
      </c>
      <c r="C548">
        <v>543</v>
      </c>
      <c r="D548" t="s">
        <v>4621</v>
      </c>
      <c r="E548" t="s">
        <v>4622</v>
      </c>
      <c r="F548" t="s">
        <v>73</v>
      </c>
      <c r="G548">
        <v>28.5</v>
      </c>
      <c r="H548">
        <v>326</v>
      </c>
      <c r="I548">
        <v>34745</v>
      </c>
      <c r="J548" t="s">
        <v>4623</v>
      </c>
      <c r="K548" s="3" t="s">
        <v>73</v>
      </c>
      <c r="L548">
        <v>65</v>
      </c>
      <c r="M548">
        <v>65</v>
      </c>
      <c r="N548">
        <v>1</v>
      </c>
      <c r="O548" s="11">
        <f t="shared" si="8"/>
        <v>3.7997689452249417</v>
      </c>
      <c r="P548" s="36">
        <v>2.4232867916694598</v>
      </c>
      <c r="Q548" s="36">
        <v>2.8891923620323401</v>
      </c>
      <c r="R548" s="36">
        <v>8.00398830906129</v>
      </c>
      <c r="S548" s="36">
        <v>4.5357652774596904</v>
      </c>
      <c r="T548" s="36">
        <v>0.86017635993689201</v>
      </c>
      <c r="U548" s="36">
        <v>0.92972724663949102</v>
      </c>
      <c r="V548" s="36">
        <v>0.26351557071616</v>
      </c>
      <c r="W548" s="36">
        <v>0.24329589949557701</v>
      </c>
      <c r="X548" s="37">
        <v>5.5633080527147003</v>
      </c>
      <c r="Y548" s="37">
        <v>5.6758468219945701</v>
      </c>
      <c r="Z548" s="37">
        <v>7.2004891344060802</v>
      </c>
      <c r="AA548" s="37">
        <v>3.3861881863997598</v>
      </c>
      <c r="AB548" s="37">
        <v>6.4315479607058004</v>
      </c>
      <c r="AC548" s="37">
        <v>6.3135245630809997</v>
      </c>
      <c r="AD548" s="37">
        <v>1.50854004786242</v>
      </c>
      <c r="AE548" s="37">
        <v>4.5679105394238499</v>
      </c>
      <c r="AF548" s="45">
        <v>1.1962683754468699</v>
      </c>
      <c r="AG548" s="45">
        <v>2.0173438174410001</v>
      </c>
      <c r="AH548" s="46">
        <v>3.9940198441972302E-2</v>
      </c>
      <c r="AI548" s="47">
        <v>6.33175183831267E-2</v>
      </c>
      <c r="AJ548" s="48">
        <v>2.5186184771263598</v>
      </c>
      <c r="AK548" s="49">
        <v>5.08091941332352</v>
      </c>
      <c r="AL548" s="31" t="s">
        <v>5874</v>
      </c>
      <c r="AM548" s="31" t="s">
        <v>5877</v>
      </c>
      <c r="AN548" s="31" t="s">
        <v>32576</v>
      </c>
      <c r="AO548" s="31" t="s">
        <v>13772</v>
      </c>
      <c r="AP548" s="31" t="s">
        <v>32577</v>
      </c>
      <c r="AQ548" s="31" t="s">
        <v>32578</v>
      </c>
      <c r="AR548" s="31" t="s">
        <v>32579</v>
      </c>
      <c r="AS548" s="31" t="str">
        <f>"NPDC1"</f>
        <v>NPDC1</v>
      </c>
      <c r="AT548" s="31" t="s">
        <v>13772</v>
      </c>
      <c r="AU548" s="31" t="s">
        <v>13777</v>
      </c>
      <c r="AV548" s="31">
        <v>9606</v>
      </c>
      <c r="AW548" s="50" t="str">
        <f>HYPERLINK("http://www.uniprot.org/uniprot/Q9NQX5", "Q9NQX5")</f>
        <v>Q9NQX5</v>
      </c>
      <c r="AX548" s="31" t="s">
        <v>32580</v>
      </c>
      <c r="AY548" s="31" t="s">
        <v>13772</v>
      </c>
      <c r="AZ548" s="31" t="s">
        <v>13825</v>
      </c>
      <c r="BA548" s="31" t="s">
        <v>13772</v>
      </c>
      <c r="BB548" s="31" t="s">
        <v>13772</v>
      </c>
      <c r="BC548" s="31" t="s">
        <v>13772</v>
      </c>
      <c r="BD548" s="31" t="s">
        <v>13855</v>
      </c>
      <c r="BE548" s="31" t="s">
        <v>13772</v>
      </c>
      <c r="BF548" s="31" t="s">
        <v>13772</v>
      </c>
      <c r="BG548" s="31" t="s">
        <v>13782</v>
      </c>
      <c r="BH548" s="31" t="s">
        <v>13772</v>
      </c>
      <c r="BI548" s="31" t="s">
        <v>32581</v>
      </c>
      <c r="BJ548" s="31" t="s">
        <v>13798</v>
      </c>
      <c r="BK548" s="31" t="s">
        <v>13772</v>
      </c>
      <c r="BL548" s="31" t="s">
        <v>13772</v>
      </c>
      <c r="BM548" s="31" t="s">
        <v>13799</v>
      </c>
    </row>
    <row r="549" spans="1:65">
      <c r="A549">
        <v>1358</v>
      </c>
      <c r="B549">
        <v>1</v>
      </c>
      <c r="C549">
        <v>544</v>
      </c>
      <c r="D549" t="s">
        <v>3247</v>
      </c>
      <c r="E549" t="s">
        <v>73</v>
      </c>
      <c r="F549" t="s">
        <v>73</v>
      </c>
      <c r="G549">
        <v>52.6</v>
      </c>
      <c r="H549">
        <v>323</v>
      </c>
      <c r="I549">
        <v>36214</v>
      </c>
      <c r="J549" t="s">
        <v>3248</v>
      </c>
      <c r="K549" s="3" t="s">
        <v>73</v>
      </c>
      <c r="L549">
        <v>73</v>
      </c>
      <c r="M549">
        <v>58</v>
      </c>
      <c r="N549">
        <v>0.79500000000000004</v>
      </c>
      <c r="O549" s="11">
        <f t="shared" si="8"/>
        <v>3.3764414107133378</v>
      </c>
      <c r="P549" s="36">
        <v>0.30291084895868198</v>
      </c>
      <c r="Q549" s="36">
        <v>2.4076603016936202</v>
      </c>
      <c r="R549" s="36">
        <v>0.40019941545306398</v>
      </c>
      <c r="S549" s="36">
        <v>3.0238435183064598</v>
      </c>
      <c r="T549" s="36">
        <v>0.215044089984223</v>
      </c>
      <c r="U549" s="36">
        <v>1.0226999713034399</v>
      </c>
      <c r="V549" s="36">
        <v>1.1594685111511001</v>
      </c>
      <c r="W549" s="36">
        <v>5.3525097889026796</v>
      </c>
      <c r="X549" s="37">
        <v>11.682946910700901</v>
      </c>
      <c r="Y549" s="37">
        <v>8.5768351976806798</v>
      </c>
      <c r="Z549" s="37">
        <v>13.360907616064599</v>
      </c>
      <c r="AA549" s="37">
        <v>5.3332463935796302</v>
      </c>
      <c r="AB549" s="37">
        <v>0.22969814145377901</v>
      </c>
      <c r="AC549" s="37">
        <v>0.19729764259628099</v>
      </c>
      <c r="AD549" s="37">
        <v>0.377135011965606</v>
      </c>
      <c r="AE549" s="37">
        <v>0.38065921161865401</v>
      </c>
      <c r="AF549" s="45">
        <v>1.5034663844370499</v>
      </c>
      <c r="AG549" s="45">
        <v>2.8909358601676001</v>
      </c>
      <c r="AH549" s="46">
        <v>7.8831649667161094E-2</v>
      </c>
      <c r="AI549" s="47">
        <v>0.11540125520203701</v>
      </c>
      <c r="AJ549" s="48">
        <v>1.7355420557191601</v>
      </c>
      <c r="AK549" s="49">
        <v>5.0173407657075204</v>
      </c>
      <c r="AL549" s="31" t="s">
        <v>5874</v>
      </c>
      <c r="AM549" s="31" t="s">
        <v>5832</v>
      </c>
      <c r="AN549" s="31" t="s">
        <v>26912</v>
      </c>
      <c r="AO549" s="31" t="s">
        <v>26913</v>
      </c>
      <c r="AP549" s="31" t="s">
        <v>26914</v>
      </c>
      <c r="AQ549" s="31" t="s">
        <v>26915</v>
      </c>
      <c r="AR549" s="31" t="s">
        <v>26916</v>
      </c>
      <c r="AS549" s="31" t="str">
        <f>"ANXA3"</f>
        <v>ANXA3</v>
      </c>
      <c r="AT549" s="31" t="s">
        <v>26917</v>
      </c>
      <c r="AU549" s="31" t="s">
        <v>13777</v>
      </c>
      <c r="AV549" s="31">
        <v>9606</v>
      </c>
      <c r="AW549" s="50" t="str">
        <f>HYPERLINK("http://www.uniprot.org/uniprot/P12429", "P12429")</f>
        <v>P12429</v>
      </c>
      <c r="AX549" s="31" t="s">
        <v>26918</v>
      </c>
      <c r="AY549" s="31" t="s">
        <v>13772</v>
      </c>
      <c r="AZ549" s="31" t="s">
        <v>13772</v>
      </c>
      <c r="BA549" s="31" t="s">
        <v>13793</v>
      </c>
      <c r="BB549" s="31" t="s">
        <v>13772</v>
      </c>
      <c r="BC549" s="31" t="s">
        <v>13772</v>
      </c>
      <c r="BD549" s="31" t="s">
        <v>15322</v>
      </c>
      <c r="BE549" s="31" t="s">
        <v>15323</v>
      </c>
      <c r="BF549" s="31" t="s">
        <v>19418</v>
      </c>
      <c r="BG549" s="31" t="s">
        <v>13886</v>
      </c>
      <c r="BH549" s="31" t="s">
        <v>13812</v>
      </c>
      <c r="BI549" s="31" t="s">
        <v>26919</v>
      </c>
      <c r="BJ549" s="31" t="s">
        <v>26920</v>
      </c>
      <c r="BK549" s="31" t="s">
        <v>26921</v>
      </c>
      <c r="BL549" s="31" t="s">
        <v>13772</v>
      </c>
      <c r="BM549" s="31" t="s">
        <v>13772</v>
      </c>
    </row>
    <row r="550" spans="1:65">
      <c r="A550">
        <v>1339</v>
      </c>
      <c r="B550">
        <v>1</v>
      </c>
      <c r="C550">
        <v>545</v>
      </c>
      <c r="D550" t="s">
        <v>3209</v>
      </c>
      <c r="E550" t="s">
        <v>73</v>
      </c>
      <c r="F550" t="s">
        <v>73</v>
      </c>
      <c r="G550">
        <v>32.700000000000003</v>
      </c>
      <c r="H550">
        <v>346</v>
      </c>
      <c r="I550">
        <v>37119</v>
      </c>
      <c r="J550" t="s">
        <v>3210</v>
      </c>
      <c r="K550" s="3" t="s">
        <v>73</v>
      </c>
      <c r="L550">
        <v>64</v>
      </c>
      <c r="M550">
        <v>64</v>
      </c>
      <c r="N550">
        <v>1</v>
      </c>
      <c r="O550" s="11">
        <f t="shared" si="8"/>
        <v>4.5124160073255721</v>
      </c>
      <c r="P550" s="36">
        <v>2.4232867916694598</v>
      </c>
      <c r="Q550" s="36">
        <v>4.8153206033872298</v>
      </c>
      <c r="R550" s="36">
        <v>9.6047859708735501</v>
      </c>
      <c r="S550" s="36">
        <v>15.119217591532299</v>
      </c>
      <c r="T550" s="36">
        <v>2.5805290798106801</v>
      </c>
      <c r="U550" s="36">
        <v>4.6486362331974602</v>
      </c>
      <c r="V550" s="36">
        <v>8.4324982629171306</v>
      </c>
      <c r="W550" s="36">
        <v>4.8659179899115301</v>
      </c>
      <c r="X550" s="37">
        <v>2.3842748797348698</v>
      </c>
      <c r="Y550" s="37">
        <v>2.5225985875531398</v>
      </c>
      <c r="Z550" s="37">
        <v>0.80005434826734301</v>
      </c>
      <c r="AA550" s="37">
        <v>0.84654704659994096</v>
      </c>
      <c r="AB550" s="37">
        <v>0.91879256581511404</v>
      </c>
      <c r="AC550" s="37">
        <v>3.1567622815404999</v>
      </c>
      <c r="AD550" s="37">
        <v>6.0341601914496898</v>
      </c>
      <c r="AE550" s="37">
        <v>3.0452736929492299</v>
      </c>
      <c r="AF550" s="45">
        <v>-1.4061311951092901</v>
      </c>
      <c r="AG550" s="45">
        <v>-2.6633325461006199</v>
      </c>
      <c r="AH550" s="46">
        <v>9.5203416754459404E-3</v>
      </c>
      <c r="AI550" s="47">
        <v>1.75457536663177E-2</v>
      </c>
      <c r="AJ550" s="48">
        <v>6.5612740654124204</v>
      </c>
      <c r="AK550" s="49">
        <v>2.4635579492387301</v>
      </c>
      <c r="AL550" s="31" t="s">
        <v>5875</v>
      </c>
      <c r="AM550" s="31" t="s">
        <v>5878</v>
      </c>
      <c r="AN550" s="31" t="s">
        <v>26729</v>
      </c>
      <c r="AO550" s="31" t="s">
        <v>26730</v>
      </c>
      <c r="AP550" s="31" t="s">
        <v>26731</v>
      </c>
      <c r="AQ550" s="31" t="s">
        <v>26732</v>
      </c>
      <c r="AR550" s="31" t="s">
        <v>26733</v>
      </c>
      <c r="AS550" s="31" t="str">
        <f>"AGA"</f>
        <v>AGA</v>
      </c>
      <c r="AT550" s="31" t="s">
        <v>13772</v>
      </c>
      <c r="AU550" s="31" t="s">
        <v>13777</v>
      </c>
      <c r="AV550" s="31">
        <v>9606</v>
      </c>
      <c r="AW550" s="50" t="str">
        <f>HYPERLINK("http://www.uniprot.org/uniprot/P20933", "P20933")</f>
        <v>P20933</v>
      </c>
      <c r="AX550" s="31" t="s">
        <v>26734</v>
      </c>
      <c r="AY550" s="31" t="s">
        <v>13772</v>
      </c>
      <c r="AZ550" s="31" t="s">
        <v>13806</v>
      </c>
      <c r="BA550" s="31" t="s">
        <v>13793</v>
      </c>
      <c r="BB550" s="31" t="s">
        <v>13772</v>
      </c>
      <c r="BC550" s="31" t="s">
        <v>13807</v>
      </c>
      <c r="BD550" s="31" t="s">
        <v>13808</v>
      </c>
      <c r="BE550" s="31" t="s">
        <v>13772</v>
      </c>
      <c r="BF550" s="31" t="s">
        <v>26735</v>
      </c>
      <c r="BG550" s="31" t="s">
        <v>26736</v>
      </c>
      <c r="BH550" s="31" t="s">
        <v>13812</v>
      </c>
      <c r="BI550" s="31" t="s">
        <v>26737</v>
      </c>
      <c r="BJ550" s="31" t="s">
        <v>26738</v>
      </c>
      <c r="BK550" s="31" t="s">
        <v>26739</v>
      </c>
      <c r="BL550" s="31" t="s">
        <v>13772</v>
      </c>
      <c r="BM550" s="31" t="s">
        <v>13890</v>
      </c>
    </row>
    <row r="551" spans="1:65">
      <c r="A551">
        <v>1923</v>
      </c>
      <c r="B551">
        <v>1</v>
      </c>
      <c r="C551">
        <v>546</v>
      </c>
      <c r="D551" t="s">
        <v>4529</v>
      </c>
      <c r="E551" t="s">
        <v>73</v>
      </c>
      <c r="F551" t="s">
        <v>73</v>
      </c>
      <c r="G551">
        <v>39</v>
      </c>
      <c r="H551">
        <v>806</v>
      </c>
      <c r="I551">
        <v>89302</v>
      </c>
      <c r="J551" t="s">
        <v>4530</v>
      </c>
      <c r="K551" s="3" t="s">
        <v>73</v>
      </c>
      <c r="L551">
        <v>64</v>
      </c>
      <c r="M551">
        <v>64</v>
      </c>
      <c r="N551">
        <v>1</v>
      </c>
      <c r="O551" s="11">
        <f t="shared" si="8"/>
        <v>3.1604619606439401</v>
      </c>
      <c r="P551" s="36">
        <v>0.30291084895868198</v>
      </c>
      <c r="Q551" s="36">
        <v>0.24076603016936199</v>
      </c>
      <c r="R551" s="36">
        <v>0.40019941545306398</v>
      </c>
      <c r="S551" s="36">
        <v>0.37798043978830698</v>
      </c>
      <c r="T551" s="36">
        <v>0.215044089984223</v>
      </c>
      <c r="U551" s="36">
        <v>2.7891817399184702</v>
      </c>
      <c r="V551" s="36">
        <v>1.05406228286464</v>
      </c>
      <c r="W551" s="36">
        <v>2.9195507939469199</v>
      </c>
      <c r="X551" s="37">
        <v>9.53709951893949</v>
      </c>
      <c r="Y551" s="37">
        <v>17.027540465983702</v>
      </c>
      <c r="Z551" s="37">
        <v>8.0005434826734305</v>
      </c>
      <c r="AA551" s="37">
        <v>5.9258293261995796</v>
      </c>
      <c r="AB551" s="37">
        <v>0.22969814145377901</v>
      </c>
      <c r="AC551" s="37">
        <v>0.78919057038512497</v>
      </c>
      <c r="AD551" s="37">
        <v>0.377135011965606</v>
      </c>
      <c r="AE551" s="37">
        <v>0.38065921161865401</v>
      </c>
      <c r="AF551" s="45">
        <v>2.2158614570778998</v>
      </c>
      <c r="AG551" s="45">
        <v>5.09268020865649</v>
      </c>
      <c r="AH551" s="46">
        <v>6.9739015419398396E-3</v>
      </c>
      <c r="AI551" s="47">
        <v>1.33301146615936E-2</v>
      </c>
      <c r="AJ551" s="48">
        <v>1.03746195513546</v>
      </c>
      <c r="AK551" s="49">
        <v>5.2834619661524203</v>
      </c>
      <c r="AL551" s="31" t="s">
        <v>5874</v>
      </c>
      <c r="AM551" s="31" t="s">
        <v>5878</v>
      </c>
      <c r="AN551" s="31" t="s">
        <v>32200</v>
      </c>
      <c r="AO551" s="31" t="s">
        <v>32201</v>
      </c>
      <c r="AP551" s="31" t="s">
        <v>32202</v>
      </c>
      <c r="AQ551" s="31" t="s">
        <v>32203</v>
      </c>
      <c r="AR551" s="31" t="s">
        <v>32204</v>
      </c>
      <c r="AS551" s="31" t="str">
        <f>"VCP"</f>
        <v>VCP</v>
      </c>
      <c r="AT551" s="31" t="s">
        <v>13772</v>
      </c>
      <c r="AU551" s="31" t="s">
        <v>13777</v>
      </c>
      <c r="AV551" s="31">
        <v>9606</v>
      </c>
      <c r="AW551" s="50" t="str">
        <f>HYPERLINK("http://www.uniprot.org/uniprot/P55072", "P55072")</f>
        <v>P55072</v>
      </c>
      <c r="AX551" s="31" t="s">
        <v>32205</v>
      </c>
      <c r="AY551" s="31" t="s">
        <v>32206</v>
      </c>
      <c r="AZ551" s="31" t="s">
        <v>14613</v>
      </c>
      <c r="BA551" s="31" t="s">
        <v>13772</v>
      </c>
      <c r="BB551" s="31" t="s">
        <v>13772</v>
      </c>
      <c r="BC551" s="31" t="s">
        <v>32207</v>
      </c>
      <c r="BD551" s="31" t="s">
        <v>13772</v>
      </c>
      <c r="BE551" s="31" t="s">
        <v>17953</v>
      </c>
      <c r="BF551" s="31" t="s">
        <v>13857</v>
      </c>
      <c r="BG551" s="31" t="s">
        <v>14663</v>
      </c>
      <c r="BH551" s="31" t="s">
        <v>13812</v>
      </c>
      <c r="BI551" s="31" t="s">
        <v>32208</v>
      </c>
      <c r="BJ551" s="31" t="s">
        <v>32209</v>
      </c>
      <c r="BK551" s="31" t="s">
        <v>32210</v>
      </c>
      <c r="BL551" s="31" t="s">
        <v>13772</v>
      </c>
      <c r="BM551" s="31" t="s">
        <v>32211</v>
      </c>
    </row>
    <row r="552" spans="1:65">
      <c r="A552">
        <v>2459</v>
      </c>
      <c r="B552">
        <v>1</v>
      </c>
      <c r="C552">
        <v>547</v>
      </c>
      <c r="D552" t="s">
        <v>5785</v>
      </c>
      <c r="E552" t="s">
        <v>73</v>
      </c>
      <c r="F552" t="s">
        <v>5786</v>
      </c>
      <c r="G552">
        <v>36.5</v>
      </c>
      <c r="H552">
        <v>381</v>
      </c>
      <c r="I552">
        <v>40082</v>
      </c>
      <c r="J552" t="s">
        <v>5787</v>
      </c>
      <c r="K552" s="3" t="s">
        <v>73</v>
      </c>
      <c r="L552">
        <v>64</v>
      </c>
      <c r="M552">
        <v>64</v>
      </c>
      <c r="N552">
        <v>1</v>
      </c>
      <c r="O552" s="11">
        <f t="shared" si="8"/>
        <v>3.3453354690601689</v>
      </c>
      <c r="P552" s="36">
        <v>1.2116433958347299</v>
      </c>
      <c r="Q552" s="36">
        <v>0.24076603016936199</v>
      </c>
      <c r="R552" s="36">
        <v>0.40019941545306398</v>
      </c>
      <c r="S552" s="36">
        <v>0.37798043978830698</v>
      </c>
      <c r="T552" s="36">
        <v>0.86017635993689201</v>
      </c>
      <c r="U552" s="36">
        <v>0.23243181165987301</v>
      </c>
      <c r="V552" s="36">
        <v>0.26351557071616</v>
      </c>
      <c r="W552" s="36">
        <v>1.9463671959646101</v>
      </c>
      <c r="X552" s="37">
        <v>3.9737914662247902</v>
      </c>
      <c r="Y552" s="37">
        <v>10.0903943502126</v>
      </c>
      <c r="Z552" s="37">
        <v>4.8003260896040603</v>
      </c>
      <c r="AA552" s="37">
        <v>5.9258293261995796</v>
      </c>
      <c r="AB552" s="37">
        <v>10.1067182239663</v>
      </c>
      <c r="AC552" s="37">
        <v>5.5243339926958699</v>
      </c>
      <c r="AD552" s="37">
        <v>4.5256201435872701</v>
      </c>
      <c r="AE552" s="37">
        <v>3.0452736929492299</v>
      </c>
      <c r="AF552" s="45">
        <v>2.9241324786504799</v>
      </c>
      <c r="AG552" s="45">
        <v>8.6737016962275302</v>
      </c>
      <c r="AH552" s="46">
        <v>3.1185772929827599E-7</v>
      </c>
      <c r="AI552" s="47">
        <v>1.7386068408378901E-6</v>
      </c>
      <c r="AJ552" s="48">
        <v>0.69163502744037497</v>
      </c>
      <c r="AK552" s="49">
        <v>5.9990359106799502</v>
      </c>
      <c r="AL552" s="31" t="s">
        <v>5874</v>
      </c>
      <c r="AM552" s="31" t="s">
        <v>5876</v>
      </c>
      <c r="AN552" s="31" t="s">
        <v>33797</v>
      </c>
      <c r="AO552" s="31" t="s">
        <v>13772</v>
      </c>
      <c r="AP552" s="31" t="s">
        <v>33798</v>
      </c>
      <c r="AQ552" s="31" t="s">
        <v>33799</v>
      </c>
      <c r="AR552" s="31" t="s">
        <v>33800</v>
      </c>
      <c r="AS552" s="31" t="str">
        <f>"VASP"</f>
        <v>VASP</v>
      </c>
      <c r="AT552" s="31" t="s">
        <v>13772</v>
      </c>
      <c r="AU552" s="31" t="s">
        <v>13777</v>
      </c>
      <c r="AV552" s="31">
        <v>9606</v>
      </c>
      <c r="AW552" s="50" t="str">
        <f>HYPERLINK("http://www.uniprot.org/uniprot/P50552", "P50552")</f>
        <v>P50552</v>
      </c>
      <c r="AX552" s="31" t="s">
        <v>33801</v>
      </c>
      <c r="AY552" s="31" t="s">
        <v>13772</v>
      </c>
      <c r="AZ552" s="31" t="s">
        <v>31973</v>
      </c>
      <c r="BA552" s="31" t="s">
        <v>13793</v>
      </c>
      <c r="BB552" s="31" t="s">
        <v>13772</v>
      </c>
      <c r="BC552" s="31" t="s">
        <v>13772</v>
      </c>
      <c r="BD552" s="31" t="s">
        <v>30721</v>
      </c>
      <c r="BE552" s="31" t="s">
        <v>13772</v>
      </c>
      <c r="BF552" s="31" t="s">
        <v>13990</v>
      </c>
      <c r="BG552" s="31" t="s">
        <v>13886</v>
      </c>
      <c r="BH552" s="31" t="s">
        <v>13812</v>
      </c>
      <c r="BI552" s="31" t="s">
        <v>33802</v>
      </c>
      <c r="BJ552" s="31" t="s">
        <v>33803</v>
      </c>
      <c r="BK552" s="31" t="s">
        <v>33804</v>
      </c>
      <c r="BL552" s="31" t="s">
        <v>13772</v>
      </c>
      <c r="BM552" s="31" t="s">
        <v>33805</v>
      </c>
    </row>
    <row r="553" spans="1:65">
      <c r="A553">
        <v>1748</v>
      </c>
      <c r="B553">
        <v>1</v>
      </c>
      <c r="C553">
        <v>548</v>
      </c>
      <c r="D553" t="s">
        <v>4135</v>
      </c>
      <c r="E553" t="s">
        <v>73</v>
      </c>
      <c r="F553" t="s">
        <v>73</v>
      </c>
      <c r="G553">
        <v>2</v>
      </c>
      <c r="H553">
        <v>952</v>
      </c>
      <c r="I553">
        <v>107131</v>
      </c>
      <c r="J553" t="s">
        <v>4136</v>
      </c>
      <c r="K553" s="3" t="s">
        <v>73</v>
      </c>
      <c r="L553">
        <v>63</v>
      </c>
      <c r="M553">
        <v>63</v>
      </c>
      <c r="N553">
        <v>1</v>
      </c>
      <c r="O553" s="11">
        <f t="shared" si="8"/>
        <v>4.4497101076302323</v>
      </c>
      <c r="P553" s="36">
        <v>2.4232867916694598</v>
      </c>
      <c r="Q553" s="36">
        <v>9.6306412067744702</v>
      </c>
      <c r="R553" s="36">
        <v>9.6047859708735501</v>
      </c>
      <c r="S553" s="36">
        <v>16.631139350685501</v>
      </c>
      <c r="T553" s="36">
        <v>4.3008817996844604</v>
      </c>
      <c r="U553" s="36">
        <v>3.7189089865579601</v>
      </c>
      <c r="V553" s="36">
        <v>6.3243736971878404</v>
      </c>
      <c r="W553" s="36">
        <v>2.9195507939469199</v>
      </c>
      <c r="X553" s="37">
        <v>0.19868957331123899</v>
      </c>
      <c r="Y553" s="37">
        <v>0.63064964688828595</v>
      </c>
      <c r="Z553" s="37">
        <v>1.60010869653469</v>
      </c>
      <c r="AA553" s="37">
        <v>0.84654704659994096</v>
      </c>
      <c r="AB553" s="37">
        <v>0.91879256581511404</v>
      </c>
      <c r="AC553" s="37">
        <v>2.36757171115537</v>
      </c>
      <c r="AD553" s="37">
        <v>6.0341601914496898</v>
      </c>
      <c r="AE553" s="37">
        <v>3.0452736929492299</v>
      </c>
      <c r="AF553" s="45">
        <v>-1.9049028359007301</v>
      </c>
      <c r="AG553" s="45">
        <v>-3.5516112605812902</v>
      </c>
      <c r="AH553" s="46">
        <v>2.1408451069460299E-3</v>
      </c>
      <c r="AI553" s="47">
        <v>4.4897347227175399E-3</v>
      </c>
      <c r="AJ553" s="48">
        <v>6.9441960746725204</v>
      </c>
      <c r="AK553" s="49">
        <v>1.95522414058795</v>
      </c>
      <c r="AL553" s="31" t="s">
        <v>5875</v>
      </c>
      <c r="AM553" s="31" t="s">
        <v>5876</v>
      </c>
      <c r="AN553" s="31" t="s">
        <v>30559</v>
      </c>
      <c r="AO553" s="31" t="s">
        <v>30560</v>
      </c>
      <c r="AP553" s="31" t="s">
        <v>30561</v>
      </c>
      <c r="AQ553" s="31" t="s">
        <v>30562</v>
      </c>
      <c r="AR553" s="31" t="s">
        <v>30563</v>
      </c>
      <c r="AS553" s="31" t="str">
        <f>"XYLT1"</f>
        <v>XYLT1</v>
      </c>
      <c r="AT553" s="31" t="s">
        <v>30564</v>
      </c>
      <c r="AU553" s="31" t="s">
        <v>13777</v>
      </c>
      <c r="AV553" s="31">
        <v>9606</v>
      </c>
      <c r="AW553" s="50" t="str">
        <f>HYPERLINK("http://www.uniprot.org/uniprot/Q86Y38", "Q86Y38")</f>
        <v>Q86Y38</v>
      </c>
      <c r="AX553" s="31" t="s">
        <v>30565</v>
      </c>
      <c r="AY553" s="31" t="s">
        <v>13772</v>
      </c>
      <c r="AZ553" s="31" t="s">
        <v>23147</v>
      </c>
      <c r="BA553" s="31" t="s">
        <v>13793</v>
      </c>
      <c r="BB553" s="31" t="s">
        <v>13772</v>
      </c>
      <c r="BC553" s="31" t="s">
        <v>14517</v>
      </c>
      <c r="BD553" s="31" t="s">
        <v>14417</v>
      </c>
      <c r="BE553" s="31" t="s">
        <v>18390</v>
      </c>
      <c r="BF553" s="31" t="s">
        <v>15995</v>
      </c>
      <c r="BG553" s="31" t="s">
        <v>13796</v>
      </c>
      <c r="BH553" s="31" t="s">
        <v>13812</v>
      </c>
      <c r="BI553" s="31" t="s">
        <v>30566</v>
      </c>
      <c r="BJ553" s="31" t="s">
        <v>30567</v>
      </c>
      <c r="BK553" s="31" t="s">
        <v>30568</v>
      </c>
      <c r="BL553" s="31" t="s">
        <v>30569</v>
      </c>
      <c r="BM553" s="31" t="s">
        <v>30570</v>
      </c>
    </row>
    <row r="554" spans="1:65">
      <c r="A554">
        <v>2254</v>
      </c>
      <c r="B554">
        <v>1</v>
      </c>
      <c r="C554">
        <v>549</v>
      </c>
      <c r="D554" t="s">
        <v>5268</v>
      </c>
      <c r="E554" t="s">
        <v>73</v>
      </c>
      <c r="F554" t="s">
        <v>73</v>
      </c>
      <c r="G554">
        <v>46.5</v>
      </c>
      <c r="H554">
        <v>245</v>
      </c>
      <c r="I554">
        <v>26569</v>
      </c>
      <c r="J554" t="s">
        <v>5269</v>
      </c>
      <c r="K554" s="3" t="s">
        <v>73</v>
      </c>
      <c r="L554">
        <v>63</v>
      </c>
      <c r="M554">
        <v>63</v>
      </c>
      <c r="N554">
        <v>1</v>
      </c>
      <c r="O554" s="11">
        <f t="shared" si="8"/>
        <v>3.8410549014892004</v>
      </c>
      <c r="P554" s="36">
        <v>4.8465735833389196</v>
      </c>
      <c r="Q554" s="36">
        <v>0.96306412067744696</v>
      </c>
      <c r="R554" s="36">
        <v>4.8023929854367697</v>
      </c>
      <c r="S554" s="36">
        <v>1.5119217591532299</v>
      </c>
      <c r="T554" s="36">
        <v>16.343350838801001</v>
      </c>
      <c r="U554" s="36">
        <v>8.3675452197554208</v>
      </c>
      <c r="V554" s="36">
        <v>8.4324982629171306</v>
      </c>
      <c r="W554" s="36">
        <v>6.8122851858761404</v>
      </c>
      <c r="X554" s="37">
        <v>0.19868957331123899</v>
      </c>
      <c r="Y554" s="37">
        <v>2.5225985875531398</v>
      </c>
      <c r="Z554" s="37">
        <v>2.4001630448020301</v>
      </c>
      <c r="AA554" s="37">
        <v>0.21163676164998499</v>
      </c>
      <c r="AB554" s="37">
        <v>0.91879256581511404</v>
      </c>
      <c r="AC554" s="37">
        <v>2.36757171115537</v>
      </c>
      <c r="AD554" s="37">
        <v>0.377135011965606</v>
      </c>
      <c r="AE554" s="37">
        <v>0.38065921161865401</v>
      </c>
      <c r="AF554" s="45">
        <v>-2.2749864896583301</v>
      </c>
      <c r="AG554" s="45">
        <v>-5.5538299152522201</v>
      </c>
      <c r="AH554" s="46">
        <v>1.5390614887654801E-4</v>
      </c>
      <c r="AI554" s="47">
        <v>4.1350688192132802E-4</v>
      </c>
      <c r="AJ554" s="48">
        <v>6.5099539944945004</v>
      </c>
      <c r="AK554" s="49">
        <v>1.1721558084838899</v>
      </c>
      <c r="AL554" s="31" t="s">
        <v>5875</v>
      </c>
      <c r="AM554" s="31" t="s">
        <v>5876</v>
      </c>
      <c r="AN554" s="31" t="s">
        <v>35292</v>
      </c>
      <c r="AO554" s="31" t="s">
        <v>35293</v>
      </c>
      <c r="AP554" s="31" t="s">
        <v>35294</v>
      </c>
      <c r="AQ554" s="31" t="s">
        <v>35295</v>
      </c>
      <c r="AR554" s="31" t="s">
        <v>35296</v>
      </c>
      <c r="AS554" s="31" t="str">
        <f>"EIF6"</f>
        <v>EIF6</v>
      </c>
      <c r="AT554" s="31" t="s">
        <v>13772</v>
      </c>
      <c r="AU554" s="31" t="s">
        <v>13777</v>
      </c>
      <c r="AV554" s="31">
        <v>9606</v>
      </c>
      <c r="AW554" s="50" t="str">
        <f>HYPERLINK("http://www.uniprot.org/uniprot/P56537", "P56537")</f>
        <v>P56537</v>
      </c>
      <c r="AX554" s="31" t="s">
        <v>35297</v>
      </c>
      <c r="AY554" s="31" t="s">
        <v>35298</v>
      </c>
      <c r="AZ554" s="31" t="s">
        <v>13912</v>
      </c>
      <c r="BA554" s="31" t="s">
        <v>13841</v>
      </c>
      <c r="BB554" s="31" t="s">
        <v>13772</v>
      </c>
      <c r="BC554" s="31" t="s">
        <v>13772</v>
      </c>
      <c r="BD554" s="31" t="s">
        <v>13772</v>
      </c>
      <c r="BE554" s="31" t="s">
        <v>13772</v>
      </c>
      <c r="BF554" s="31" t="s">
        <v>18130</v>
      </c>
      <c r="BG554" s="31" t="s">
        <v>13782</v>
      </c>
      <c r="BH554" s="31" t="s">
        <v>13772</v>
      </c>
      <c r="BI554" s="31" t="s">
        <v>35299</v>
      </c>
      <c r="BJ554" s="31" t="s">
        <v>35300</v>
      </c>
      <c r="BK554" s="31" t="s">
        <v>35301</v>
      </c>
      <c r="BL554" s="31" t="s">
        <v>13772</v>
      </c>
      <c r="BM554" s="31" t="s">
        <v>13772</v>
      </c>
    </row>
    <row r="555" spans="1:65">
      <c r="A555">
        <v>1130</v>
      </c>
      <c r="B555">
        <v>1</v>
      </c>
      <c r="C555">
        <v>550</v>
      </c>
      <c r="D555" t="s">
        <v>2717</v>
      </c>
      <c r="E555" t="s">
        <v>2718</v>
      </c>
      <c r="F555" t="s">
        <v>73</v>
      </c>
      <c r="G555">
        <v>32</v>
      </c>
      <c r="H555">
        <v>713</v>
      </c>
      <c r="I555">
        <v>81201</v>
      </c>
      <c r="J555" t="s">
        <v>2720</v>
      </c>
      <c r="K555" s="3" t="s">
        <v>73</v>
      </c>
      <c r="L555">
        <v>64</v>
      </c>
      <c r="M555">
        <v>58</v>
      </c>
      <c r="N555">
        <v>0.90600000000000003</v>
      </c>
      <c r="O555" s="11">
        <f t="shared" si="8"/>
        <v>3.0204541170019699</v>
      </c>
      <c r="P555" s="36">
        <v>0.30291084895868198</v>
      </c>
      <c r="Q555" s="36">
        <v>0.96306412067744696</v>
      </c>
      <c r="R555" s="36">
        <v>0.40019941545306398</v>
      </c>
      <c r="S555" s="36">
        <v>0.37798043978830698</v>
      </c>
      <c r="T555" s="36">
        <v>0.215044089984223</v>
      </c>
      <c r="U555" s="36">
        <v>0.23243181165987301</v>
      </c>
      <c r="V555" s="36">
        <v>0.26351557071616</v>
      </c>
      <c r="W555" s="36">
        <v>0.24329589949557701</v>
      </c>
      <c r="X555" s="37">
        <v>4.7685497594697397</v>
      </c>
      <c r="Y555" s="37">
        <v>2.5225985875531398</v>
      </c>
      <c r="Z555" s="37">
        <v>3.84026087168324</v>
      </c>
      <c r="AA555" s="37">
        <v>5.0792822795996404</v>
      </c>
      <c r="AB555" s="37">
        <v>6.3396687041242901</v>
      </c>
      <c r="AC555" s="37">
        <v>4.5773053082337203</v>
      </c>
      <c r="AD555" s="37">
        <v>7.5427002393121096</v>
      </c>
      <c r="AE555" s="37">
        <v>10.658457925322301</v>
      </c>
      <c r="AF555" s="45">
        <v>3.4501674688662001</v>
      </c>
      <c r="AG555" s="45">
        <v>15.1174579001996</v>
      </c>
      <c r="AH555" s="46">
        <v>4.3055046570924902E-8</v>
      </c>
      <c r="AI555" s="47">
        <v>3.2363849613425599E-7</v>
      </c>
      <c r="AJ555" s="48">
        <v>0.37480527459166701</v>
      </c>
      <c r="AK555" s="49">
        <v>5.6661029594122798</v>
      </c>
      <c r="AL555" s="31" t="s">
        <v>5874</v>
      </c>
      <c r="AM555" s="31" t="s">
        <v>5876</v>
      </c>
      <c r="AN555" s="31" t="s">
        <v>24697</v>
      </c>
      <c r="AO555" s="31" t="s">
        <v>24698</v>
      </c>
      <c r="AP555" s="31" t="s">
        <v>24699</v>
      </c>
      <c r="AQ555" s="31" t="s">
        <v>24700</v>
      </c>
      <c r="AR555" s="31" t="s">
        <v>24701</v>
      </c>
      <c r="AS555" s="31" t="str">
        <f>"C1R"</f>
        <v>C1R</v>
      </c>
      <c r="AT555" s="31" t="s">
        <v>13772</v>
      </c>
      <c r="AU555" s="31" t="s">
        <v>13777</v>
      </c>
      <c r="AV555" s="31">
        <v>9606</v>
      </c>
      <c r="AW555" s="50" t="str">
        <f>HYPERLINK("http://www.uniprot.org/uniprot/P00736", "P00736")</f>
        <v>P00736</v>
      </c>
      <c r="AX555" s="31" t="s">
        <v>24702</v>
      </c>
      <c r="AY555" s="31" t="s">
        <v>20457</v>
      </c>
      <c r="AZ555" s="31" t="s">
        <v>14321</v>
      </c>
      <c r="BA555" s="31" t="s">
        <v>13793</v>
      </c>
      <c r="BB555" s="31" t="s">
        <v>13772</v>
      </c>
      <c r="BC555" s="31" t="s">
        <v>15310</v>
      </c>
      <c r="BD555" s="31" t="s">
        <v>21282</v>
      </c>
      <c r="BE555" s="31" t="s">
        <v>13772</v>
      </c>
      <c r="BF555" s="31" t="s">
        <v>15176</v>
      </c>
      <c r="BG555" s="31" t="s">
        <v>14770</v>
      </c>
      <c r="BH555" s="31" t="s">
        <v>13812</v>
      </c>
      <c r="BI555" s="31" t="s">
        <v>24703</v>
      </c>
      <c r="BJ555" s="31" t="s">
        <v>24704</v>
      </c>
      <c r="BK555" s="31" t="s">
        <v>24705</v>
      </c>
      <c r="BL555" s="31" t="s">
        <v>13772</v>
      </c>
      <c r="BM555" s="31" t="s">
        <v>20461</v>
      </c>
    </row>
    <row r="556" spans="1:65">
      <c r="A556">
        <v>812</v>
      </c>
      <c r="B556">
        <v>1</v>
      </c>
      <c r="C556">
        <v>551</v>
      </c>
      <c r="D556" t="s">
        <v>1992</v>
      </c>
      <c r="E556" t="s">
        <v>73</v>
      </c>
      <c r="F556" t="s">
        <v>73</v>
      </c>
      <c r="G556">
        <v>36.6</v>
      </c>
      <c r="H556">
        <v>902</v>
      </c>
      <c r="I556">
        <v>99261</v>
      </c>
      <c r="J556" t="s">
        <v>1993</v>
      </c>
      <c r="K556" s="3" t="s">
        <v>73</v>
      </c>
      <c r="L556">
        <v>62</v>
      </c>
      <c r="M556">
        <v>62</v>
      </c>
      <c r="N556">
        <v>1</v>
      </c>
      <c r="O556" s="11">
        <f t="shared" si="8"/>
        <v>3.8268990341676044</v>
      </c>
      <c r="P556" s="36">
        <v>4.8465735833389196</v>
      </c>
      <c r="Q556" s="36">
        <v>7.7045129654195703</v>
      </c>
      <c r="R556" s="36">
        <v>1.6007976618122599</v>
      </c>
      <c r="S556" s="36">
        <v>1.5119217591532299</v>
      </c>
      <c r="T556" s="36">
        <v>12.042469039116501</v>
      </c>
      <c r="U556" s="36">
        <v>13.945908699592399</v>
      </c>
      <c r="V556" s="36">
        <v>9.4865605457817708</v>
      </c>
      <c r="W556" s="36">
        <v>5.8391015878938397</v>
      </c>
      <c r="X556" s="37">
        <v>0.79475829324495695</v>
      </c>
      <c r="Y556" s="37">
        <v>1.2612992937765699</v>
      </c>
      <c r="Z556" s="37">
        <v>0.80005434826734301</v>
      </c>
      <c r="AA556" s="37">
        <v>0.21163676164998499</v>
      </c>
      <c r="AB556" s="37">
        <v>0.22969814145377901</v>
      </c>
      <c r="AC556" s="37">
        <v>0.19729764259628099</v>
      </c>
      <c r="AD556" s="37">
        <v>0.377135011965606</v>
      </c>
      <c r="AE556" s="37">
        <v>0.38065921161865401</v>
      </c>
      <c r="AF556" s="45">
        <v>-3.42956547982127</v>
      </c>
      <c r="AG556" s="45">
        <v>-13.3985484437413</v>
      </c>
      <c r="AH556" s="46">
        <v>9.9100720149556E-8</v>
      </c>
      <c r="AI556" s="47">
        <v>6.7651409979645905E-7</v>
      </c>
      <c r="AJ556" s="48">
        <v>7.1222307302635501</v>
      </c>
      <c r="AK556" s="49">
        <v>0.53156733807164702</v>
      </c>
      <c r="AL556" s="31" t="s">
        <v>5875</v>
      </c>
      <c r="AM556" s="31" t="s">
        <v>5876</v>
      </c>
      <c r="AN556" s="31" t="s">
        <v>21804</v>
      </c>
      <c r="AO556" s="31" t="s">
        <v>21805</v>
      </c>
      <c r="AP556" s="31" t="s">
        <v>21806</v>
      </c>
      <c r="AQ556" s="31" t="s">
        <v>21807</v>
      </c>
      <c r="AR556" s="31" t="s">
        <v>21808</v>
      </c>
      <c r="AS556" s="31" t="str">
        <f>"ALDH1L1"</f>
        <v>ALDH1L1</v>
      </c>
      <c r="AT556" s="31" t="s">
        <v>21809</v>
      </c>
      <c r="AU556" s="31" t="s">
        <v>13777</v>
      </c>
      <c r="AV556" s="31">
        <v>9606</v>
      </c>
      <c r="AW556" s="50" t="str">
        <f>HYPERLINK("http://www.uniprot.org/uniprot/O75891", "O75891")</f>
        <v>O75891</v>
      </c>
      <c r="AX556" s="31" t="s">
        <v>21810</v>
      </c>
      <c r="AY556" s="31" t="s">
        <v>14132</v>
      </c>
      <c r="AZ556" s="31" t="s">
        <v>13899</v>
      </c>
      <c r="BA556" s="31" t="s">
        <v>13780</v>
      </c>
      <c r="BB556" s="31" t="s">
        <v>13772</v>
      </c>
      <c r="BC556" s="31" t="s">
        <v>13772</v>
      </c>
      <c r="BD556" s="31" t="s">
        <v>13772</v>
      </c>
      <c r="BE556" s="31" t="s">
        <v>15759</v>
      </c>
      <c r="BF556" s="31" t="s">
        <v>13885</v>
      </c>
      <c r="BG556" s="31" t="s">
        <v>21811</v>
      </c>
      <c r="BH556" s="31" t="s">
        <v>13812</v>
      </c>
      <c r="BI556" s="31" t="s">
        <v>21812</v>
      </c>
      <c r="BJ556" s="31" t="s">
        <v>15111</v>
      </c>
      <c r="BK556" s="31" t="s">
        <v>21813</v>
      </c>
      <c r="BL556" s="31" t="s">
        <v>13772</v>
      </c>
      <c r="BM556" s="31" t="s">
        <v>15414</v>
      </c>
    </row>
    <row r="557" spans="1:65">
      <c r="A557">
        <v>1297</v>
      </c>
      <c r="B557">
        <v>1</v>
      </c>
      <c r="C557">
        <v>552</v>
      </c>
      <c r="D557" t="s">
        <v>3110</v>
      </c>
      <c r="E557" t="s">
        <v>73</v>
      </c>
      <c r="F557" t="s">
        <v>73</v>
      </c>
      <c r="G557">
        <v>66.8</v>
      </c>
      <c r="H557">
        <v>223</v>
      </c>
      <c r="I557">
        <v>24892</v>
      </c>
      <c r="J557" t="s">
        <v>3111</v>
      </c>
      <c r="K557" s="3" t="s">
        <v>73</v>
      </c>
      <c r="L557">
        <v>62</v>
      </c>
      <c r="M557">
        <v>62</v>
      </c>
      <c r="N557">
        <v>1</v>
      </c>
      <c r="O557" s="11">
        <f t="shared" si="8"/>
        <v>3.6222768877754943</v>
      </c>
      <c r="P557" s="36">
        <v>2.4232867916694598</v>
      </c>
      <c r="Q557" s="36">
        <v>6.7414488447421297</v>
      </c>
      <c r="R557" s="36">
        <v>1.6007976618122599</v>
      </c>
      <c r="S557" s="36">
        <v>1.5119217591532299</v>
      </c>
      <c r="T557" s="36">
        <v>6.8814108794951396</v>
      </c>
      <c r="U557" s="36">
        <v>6.50809072647644</v>
      </c>
      <c r="V557" s="36">
        <v>2.10812456572928</v>
      </c>
      <c r="W557" s="36">
        <v>11.678203175787701</v>
      </c>
      <c r="X557" s="37">
        <v>3.9737914662247902</v>
      </c>
      <c r="Y557" s="37">
        <v>1.89194894066486</v>
      </c>
      <c r="Z557" s="37">
        <v>0.80005434826734301</v>
      </c>
      <c r="AA557" s="37">
        <v>2.5396411397998202</v>
      </c>
      <c r="AB557" s="37">
        <v>4.5939628290755703</v>
      </c>
      <c r="AC557" s="37">
        <v>3.94595285192562</v>
      </c>
      <c r="AD557" s="37">
        <v>0.377135011965606</v>
      </c>
      <c r="AE557" s="37">
        <v>0.38065921161865401</v>
      </c>
      <c r="AF557" s="45">
        <v>-1.03680156093645</v>
      </c>
      <c r="AG557" s="45">
        <v>-2.1322473936211201</v>
      </c>
      <c r="AH557" s="46">
        <v>5.0793796298304501E-2</v>
      </c>
      <c r="AI557" s="47">
        <v>7.8842342746092101E-2</v>
      </c>
      <c r="AJ557" s="48">
        <v>4.9316605506081999</v>
      </c>
      <c r="AK557" s="49">
        <v>2.3128932249427798</v>
      </c>
      <c r="AL557" s="31" t="s">
        <v>5875</v>
      </c>
      <c r="AM557" s="31" t="s">
        <v>5877</v>
      </c>
      <c r="AN557" s="31" t="s">
        <v>26321</v>
      </c>
      <c r="AO557" s="31" t="s">
        <v>26322</v>
      </c>
      <c r="AP557" s="31" t="s">
        <v>26323</v>
      </c>
      <c r="AQ557" s="31" t="s">
        <v>26324</v>
      </c>
      <c r="AR557" s="31" t="s">
        <v>26325</v>
      </c>
      <c r="AS557" s="31" t="str">
        <f>"UCHL1"</f>
        <v>UCHL1</v>
      </c>
      <c r="AT557" s="31" t="s">
        <v>13772</v>
      </c>
      <c r="AU557" s="31" t="s">
        <v>13777</v>
      </c>
      <c r="AV557" s="31">
        <v>9606</v>
      </c>
      <c r="AW557" s="50" t="str">
        <f>HYPERLINK("http://www.uniprot.org/uniprot/P09936", "P09936")</f>
        <v>P09936</v>
      </c>
      <c r="AX557" s="31" t="s">
        <v>26326</v>
      </c>
      <c r="AY557" s="31" t="s">
        <v>14109</v>
      </c>
      <c r="AZ557" s="31" t="s">
        <v>20724</v>
      </c>
      <c r="BA557" s="31" t="s">
        <v>13793</v>
      </c>
      <c r="BB557" s="31" t="s">
        <v>13772</v>
      </c>
      <c r="BC557" s="31" t="s">
        <v>26327</v>
      </c>
      <c r="BD557" s="31" t="s">
        <v>13772</v>
      </c>
      <c r="BE557" s="31" t="s">
        <v>13772</v>
      </c>
      <c r="BF557" s="31" t="s">
        <v>14083</v>
      </c>
      <c r="BG557" s="31" t="s">
        <v>26328</v>
      </c>
      <c r="BH557" s="31" t="s">
        <v>13812</v>
      </c>
      <c r="BI557" s="31" t="s">
        <v>26329</v>
      </c>
      <c r="BJ557" s="31" t="s">
        <v>26330</v>
      </c>
      <c r="BK557" s="31" t="s">
        <v>26331</v>
      </c>
      <c r="BL557" s="31" t="s">
        <v>13772</v>
      </c>
      <c r="BM557" s="31" t="s">
        <v>26332</v>
      </c>
    </row>
    <row r="558" spans="1:65">
      <c r="A558">
        <v>1400</v>
      </c>
      <c r="B558">
        <v>1</v>
      </c>
      <c r="C558">
        <v>553</v>
      </c>
      <c r="D558" t="s">
        <v>3343</v>
      </c>
      <c r="E558" t="s">
        <v>73</v>
      </c>
      <c r="F558" t="s">
        <v>73</v>
      </c>
      <c r="G558">
        <v>12.6</v>
      </c>
      <c r="H558">
        <v>2897</v>
      </c>
      <c r="I558">
        <v>333619</v>
      </c>
      <c r="J558" t="s">
        <v>3344</v>
      </c>
      <c r="K558" s="3" t="s">
        <v>73</v>
      </c>
      <c r="L558">
        <v>62</v>
      </c>
      <c r="M558">
        <v>62</v>
      </c>
      <c r="N558">
        <v>1</v>
      </c>
      <c r="O558" s="11">
        <f t="shared" si="8"/>
        <v>3.2849100613349385</v>
      </c>
      <c r="P558" s="36">
        <v>0.30291084895868198</v>
      </c>
      <c r="Q558" s="36">
        <v>0.24076603016936199</v>
      </c>
      <c r="R558" s="36">
        <v>0.40019941545306398</v>
      </c>
      <c r="S558" s="36">
        <v>0.37798043978830698</v>
      </c>
      <c r="T558" s="36">
        <v>0.215044089984223</v>
      </c>
      <c r="U558" s="36">
        <v>0.23243181165987301</v>
      </c>
      <c r="V558" s="36">
        <v>1.05406228286464</v>
      </c>
      <c r="W558" s="36">
        <v>5.8391015878938397</v>
      </c>
      <c r="X558" s="37">
        <v>0.19868957331123899</v>
      </c>
      <c r="Y558" s="37">
        <v>13.243642584653999</v>
      </c>
      <c r="Z558" s="37">
        <v>9.6006521792081099</v>
      </c>
      <c r="AA558" s="37">
        <v>0.84654704659994096</v>
      </c>
      <c r="AB558" s="37">
        <v>0.91879256581511404</v>
      </c>
      <c r="AC558" s="37">
        <v>3.94595285192562</v>
      </c>
      <c r="AD558" s="37">
        <v>9.0512402871745401</v>
      </c>
      <c r="AE558" s="37">
        <v>6.0905473858984696</v>
      </c>
      <c r="AF558" s="45">
        <v>2.1639278596874498</v>
      </c>
      <c r="AG558" s="45">
        <v>5.0673687937733503</v>
      </c>
      <c r="AH558" s="46">
        <v>9.4103152062121592E-3</v>
      </c>
      <c r="AI558" s="47">
        <v>1.7439060589905599E-2</v>
      </c>
      <c r="AJ558" s="48">
        <v>1.0828120633464999</v>
      </c>
      <c r="AK558" s="49">
        <v>5.4870080593233803</v>
      </c>
      <c r="AL558" s="31" t="s">
        <v>5874</v>
      </c>
      <c r="AM558" s="31" t="s">
        <v>5878</v>
      </c>
      <c r="AN558" s="31" t="s">
        <v>27296</v>
      </c>
      <c r="AO558" s="31" t="s">
        <v>27297</v>
      </c>
      <c r="AP558" s="31" t="s">
        <v>27298</v>
      </c>
      <c r="AQ558" s="31" t="s">
        <v>27299</v>
      </c>
      <c r="AR558" s="31" t="s">
        <v>27300</v>
      </c>
      <c r="AS558" s="31" t="str">
        <f>"DSP"</f>
        <v>DSP</v>
      </c>
      <c r="AT558" s="31" t="s">
        <v>13772</v>
      </c>
      <c r="AU558" s="31" t="s">
        <v>13777</v>
      </c>
      <c r="AV558" s="31">
        <v>9606</v>
      </c>
      <c r="AW558" s="50" t="str">
        <f>HYPERLINK("http://www.uniprot.org/uniprot/P15924", "P15924")</f>
        <v>P15924</v>
      </c>
      <c r="AX558" s="31" t="s">
        <v>27301</v>
      </c>
      <c r="AY558" s="31" t="s">
        <v>13772</v>
      </c>
      <c r="AZ558" s="31" t="s">
        <v>17480</v>
      </c>
      <c r="BA558" s="31" t="s">
        <v>13780</v>
      </c>
      <c r="BB558" s="31" t="s">
        <v>13772</v>
      </c>
      <c r="BC558" s="31" t="s">
        <v>27302</v>
      </c>
      <c r="BD558" s="31" t="s">
        <v>19296</v>
      </c>
      <c r="BE558" s="31" t="s">
        <v>13772</v>
      </c>
      <c r="BF558" s="31" t="s">
        <v>13772</v>
      </c>
      <c r="BG558" s="31" t="s">
        <v>14478</v>
      </c>
      <c r="BH558" s="31" t="s">
        <v>13812</v>
      </c>
      <c r="BI558" s="31" t="s">
        <v>27303</v>
      </c>
      <c r="BJ558" s="31" t="s">
        <v>27304</v>
      </c>
      <c r="BK558" s="31" t="s">
        <v>27305</v>
      </c>
      <c r="BL558" s="31" t="s">
        <v>13772</v>
      </c>
      <c r="BM558" s="31" t="s">
        <v>17989</v>
      </c>
    </row>
    <row r="559" spans="1:65">
      <c r="A559">
        <v>1573</v>
      </c>
      <c r="B559">
        <v>1</v>
      </c>
      <c r="C559">
        <v>554</v>
      </c>
      <c r="D559" t="s">
        <v>3728</v>
      </c>
      <c r="E559" t="s">
        <v>73</v>
      </c>
      <c r="F559" t="s">
        <v>73</v>
      </c>
      <c r="G559">
        <v>43</v>
      </c>
      <c r="H559">
        <v>79</v>
      </c>
      <c r="I559">
        <v>8433</v>
      </c>
      <c r="J559" t="s">
        <v>3729</v>
      </c>
      <c r="K559" s="3" t="s">
        <v>73</v>
      </c>
      <c r="L559">
        <v>62</v>
      </c>
      <c r="M559">
        <v>62</v>
      </c>
      <c r="N559">
        <v>1</v>
      </c>
      <c r="O559" s="11">
        <f t="shared" si="8"/>
        <v>3.4724330719934255</v>
      </c>
      <c r="P559" s="36">
        <v>1.2116433958347299</v>
      </c>
      <c r="Q559" s="36">
        <v>0.96306412067744696</v>
      </c>
      <c r="R559" s="36">
        <v>0.40019941545306398</v>
      </c>
      <c r="S559" s="36">
        <v>0.37798043978830698</v>
      </c>
      <c r="T559" s="36">
        <v>0.215044089984223</v>
      </c>
      <c r="U559" s="36">
        <v>0.23243181165987301</v>
      </c>
      <c r="V559" s="36">
        <v>0.26351557071616</v>
      </c>
      <c r="W559" s="36">
        <v>0.97318359798230603</v>
      </c>
      <c r="X559" s="37">
        <v>3.17903317297983</v>
      </c>
      <c r="Y559" s="37">
        <v>5.0451971751062796</v>
      </c>
      <c r="Z559" s="37">
        <v>6.4004347861387396</v>
      </c>
      <c r="AA559" s="37">
        <v>4.2327352329997003</v>
      </c>
      <c r="AB559" s="37">
        <v>8.2691330923360304</v>
      </c>
      <c r="AC559" s="37">
        <v>7.1027151334661296</v>
      </c>
      <c r="AD559" s="37">
        <v>6.0341601914496898</v>
      </c>
      <c r="AE559" s="37">
        <v>10.658457925322301</v>
      </c>
      <c r="AF559" s="45">
        <v>3.1619556527163701</v>
      </c>
      <c r="AG559" s="45">
        <v>10.981492560358999</v>
      </c>
      <c r="AH559" s="46">
        <v>1.8863776566786701E-8</v>
      </c>
      <c r="AI559" s="47">
        <v>1.6179316055359299E-7</v>
      </c>
      <c r="AJ559" s="48">
        <v>0.57963280526201399</v>
      </c>
      <c r="AK559" s="49">
        <v>6.3652333387248401</v>
      </c>
      <c r="AL559" s="31" t="s">
        <v>5874</v>
      </c>
      <c r="AM559" s="31" t="s">
        <v>5876</v>
      </c>
      <c r="AN559" s="31" t="s">
        <v>28889</v>
      </c>
      <c r="AO559" s="31" t="s">
        <v>28890</v>
      </c>
      <c r="AP559" s="31" t="s">
        <v>28891</v>
      </c>
      <c r="AQ559" s="31" t="s">
        <v>28892</v>
      </c>
      <c r="AR559" s="31" t="s">
        <v>13772</v>
      </c>
      <c r="AS559" s="31" t="str">
        <f>"SPINK1"</f>
        <v>SPINK1</v>
      </c>
      <c r="AT559" s="31" t="s">
        <v>28893</v>
      </c>
      <c r="AU559" s="31" t="s">
        <v>13777</v>
      </c>
      <c r="AV559" s="31">
        <v>9606</v>
      </c>
      <c r="AW559" s="50" t="str">
        <f>HYPERLINK("http://www.uniprot.org/uniprot/P00995", "P00995")</f>
        <v>P00995</v>
      </c>
      <c r="AX559" s="31" t="s">
        <v>28894</v>
      </c>
      <c r="AY559" s="31" t="s">
        <v>13772</v>
      </c>
      <c r="AZ559" s="31" t="s">
        <v>14321</v>
      </c>
      <c r="BA559" s="31" t="s">
        <v>13793</v>
      </c>
      <c r="BB559" s="31" t="s">
        <v>13772</v>
      </c>
      <c r="BC559" s="31" t="s">
        <v>13807</v>
      </c>
      <c r="BD559" s="31" t="s">
        <v>13808</v>
      </c>
      <c r="BE559" s="31" t="s">
        <v>13772</v>
      </c>
      <c r="BF559" s="31" t="s">
        <v>14375</v>
      </c>
      <c r="BG559" s="31" t="s">
        <v>14506</v>
      </c>
      <c r="BH559" s="31" t="s">
        <v>13812</v>
      </c>
      <c r="BI559" s="31" t="s">
        <v>28895</v>
      </c>
      <c r="BJ559" s="31" t="s">
        <v>15835</v>
      </c>
      <c r="BK559" s="31" t="s">
        <v>20851</v>
      </c>
      <c r="BL559" s="31" t="s">
        <v>13772</v>
      </c>
      <c r="BM559" s="31" t="s">
        <v>13772</v>
      </c>
    </row>
    <row r="560" spans="1:65">
      <c r="A560">
        <v>1602</v>
      </c>
      <c r="B560">
        <v>1</v>
      </c>
      <c r="C560">
        <v>555</v>
      </c>
      <c r="D560" t="s">
        <v>3796</v>
      </c>
      <c r="E560" t="s">
        <v>3797</v>
      </c>
      <c r="F560" t="s">
        <v>73</v>
      </c>
      <c r="G560">
        <v>18.600000000000001</v>
      </c>
      <c r="H560">
        <v>698</v>
      </c>
      <c r="I560">
        <v>76251</v>
      </c>
      <c r="J560" t="s">
        <v>3798</v>
      </c>
      <c r="K560" s="3" t="s">
        <v>73</v>
      </c>
      <c r="L560">
        <v>62</v>
      </c>
      <c r="M560">
        <v>62</v>
      </c>
      <c r="N560">
        <v>1</v>
      </c>
      <c r="O560" s="11">
        <f t="shared" si="8"/>
        <v>3.9921714828080348</v>
      </c>
      <c r="P560" s="36">
        <v>0.30291084895868198</v>
      </c>
      <c r="Q560" s="36">
        <v>1.9261282413548899</v>
      </c>
      <c r="R560" s="36">
        <v>1.6007976618122599</v>
      </c>
      <c r="S560" s="36">
        <v>13.6072958323791</v>
      </c>
      <c r="T560" s="36">
        <v>16.343350838801001</v>
      </c>
      <c r="U560" s="36">
        <v>14.875635946231901</v>
      </c>
      <c r="V560" s="36">
        <v>5.2703114143232002</v>
      </c>
      <c r="W560" s="36">
        <v>2.9195507939469199</v>
      </c>
      <c r="X560" s="37">
        <v>1.5895165864899099</v>
      </c>
      <c r="Y560" s="37">
        <v>0.63064964688828595</v>
      </c>
      <c r="Z560" s="37">
        <v>0.200013587066836</v>
      </c>
      <c r="AA560" s="37">
        <v>0.21163676164998499</v>
      </c>
      <c r="AB560" s="37">
        <v>0.91879256581511404</v>
      </c>
      <c r="AC560" s="37">
        <v>1.5783811407702499</v>
      </c>
      <c r="AD560" s="37">
        <v>0.377135011965606</v>
      </c>
      <c r="AE560" s="37">
        <v>1.5226368464746201</v>
      </c>
      <c r="AF560" s="45">
        <v>-2.8787636445691298</v>
      </c>
      <c r="AG560" s="45">
        <v>-8.0876234517475094</v>
      </c>
      <c r="AH560" s="46">
        <v>1.28741810976034E-4</v>
      </c>
      <c r="AI560" s="47">
        <v>3.5298471943838997E-4</v>
      </c>
      <c r="AJ560" s="48">
        <v>7.1057476972259801</v>
      </c>
      <c r="AK560" s="49">
        <v>0.87859526839007596</v>
      </c>
      <c r="AL560" s="31" t="s">
        <v>5875</v>
      </c>
      <c r="AM560" s="31" t="s">
        <v>5876</v>
      </c>
      <c r="AN560" s="31" t="s">
        <v>29159</v>
      </c>
      <c r="AO560" s="31" t="s">
        <v>29160</v>
      </c>
      <c r="AP560" s="31" t="s">
        <v>29161</v>
      </c>
      <c r="AQ560" s="31" t="s">
        <v>29162</v>
      </c>
      <c r="AR560" s="31" t="s">
        <v>29163</v>
      </c>
      <c r="AS560" s="31" t="str">
        <f>"DBN1"</f>
        <v>DBN1</v>
      </c>
      <c r="AT560" s="31" t="s">
        <v>29164</v>
      </c>
      <c r="AU560" s="31" t="s">
        <v>13777</v>
      </c>
      <c r="AV560" s="31">
        <v>9606</v>
      </c>
      <c r="AW560" s="50" t="str">
        <f>HYPERLINK("http://www.uniprot.org/uniprot/Q16643", "Q16643")</f>
        <v>Q16643</v>
      </c>
      <c r="AX560" s="31" t="s">
        <v>29165</v>
      </c>
      <c r="AY560" s="31" t="s">
        <v>14726</v>
      </c>
      <c r="AZ560" s="31" t="s">
        <v>29166</v>
      </c>
      <c r="BA560" s="31" t="s">
        <v>13780</v>
      </c>
      <c r="BB560" s="31" t="s">
        <v>13772</v>
      </c>
      <c r="BC560" s="31" t="s">
        <v>29167</v>
      </c>
      <c r="BD560" s="31" t="s">
        <v>13772</v>
      </c>
      <c r="BE560" s="31" t="s">
        <v>13772</v>
      </c>
      <c r="BF560" s="31" t="s">
        <v>19657</v>
      </c>
      <c r="BG560" s="31" t="s">
        <v>13886</v>
      </c>
      <c r="BH560" s="31" t="s">
        <v>13812</v>
      </c>
      <c r="BI560" s="31" t="s">
        <v>29168</v>
      </c>
      <c r="BJ560" s="31" t="s">
        <v>29169</v>
      </c>
      <c r="BK560" s="31" t="s">
        <v>29170</v>
      </c>
      <c r="BL560" s="31" t="s">
        <v>13772</v>
      </c>
      <c r="BM560" s="31" t="s">
        <v>13772</v>
      </c>
    </row>
    <row r="561" spans="1:65">
      <c r="A561">
        <v>1903</v>
      </c>
      <c r="B561">
        <v>1</v>
      </c>
      <c r="C561">
        <v>556</v>
      </c>
      <c r="D561" t="s">
        <v>4487</v>
      </c>
      <c r="E561" t="s">
        <v>73</v>
      </c>
      <c r="F561" t="s">
        <v>73</v>
      </c>
      <c r="G561">
        <v>42.3</v>
      </c>
      <c r="H561">
        <v>298</v>
      </c>
      <c r="I561">
        <v>34198</v>
      </c>
      <c r="J561" t="s">
        <v>4488</v>
      </c>
      <c r="K561" s="3" t="s">
        <v>73</v>
      </c>
      <c r="L561">
        <v>62</v>
      </c>
      <c r="M561">
        <v>62</v>
      </c>
      <c r="N561">
        <v>1</v>
      </c>
      <c r="O561" s="11">
        <f t="shared" si="8"/>
        <v>3.6967466105503908</v>
      </c>
      <c r="P561" s="36">
        <v>6.0582169791736504</v>
      </c>
      <c r="Q561" s="36">
        <v>0.24076603016936199</v>
      </c>
      <c r="R561" s="36">
        <v>0.40019941545306398</v>
      </c>
      <c r="S561" s="36">
        <v>0.37798043978830698</v>
      </c>
      <c r="T561" s="36">
        <v>0.215044089984223</v>
      </c>
      <c r="U561" s="36">
        <v>0.23243181165987301</v>
      </c>
      <c r="V561" s="36">
        <v>0.26351557071616</v>
      </c>
      <c r="W561" s="36">
        <v>9.7318359798230603</v>
      </c>
      <c r="X561" s="37">
        <v>3.9737914662247902</v>
      </c>
      <c r="Y561" s="37">
        <v>5.6758468219945701</v>
      </c>
      <c r="Z561" s="37">
        <v>8.0005434826734305</v>
      </c>
      <c r="AA561" s="37">
        <v>5.9258293261995796</v>
      </c>
      <c r="AB561" s="37">
        <v>2.7563776974453398</v>
      </c>
      <c r="AC561" s="37">
        <v>3.1567622815404999</v>
      </c>
      <c r="AD561" s="37">
        <v>4.5256201435872701</v>
      </c>
      <c r="AE561" s="37">
        <v>7.6131842323730803</v>
      </c>
      <c r="AF561" s="45">
        <v>1.17234799232829</v>
      </c>
      <c r="AG561" s="45">
        <v>2.3760261677883499</v>
      </c>
      <c r="AH561" s="46">
        <v>8.7427421576247694E-2</v>
      </c>
      <c r="AI561" s="47">
        <v>0.12605376085023601</v>
      </c>
      <c r="AJ561" s="48">
        <v>2.1899987895959598</v>
      </c>
      <c r="AK561" s="49">
        <v>5.2034944315048204</v>
      </c>
      <c r="AL561" s="31" t="s">
        <v>5874</v>
      </c>
      <c r="AM561" s="31" t="s">
        <v>5832</v>
      </c>
      <c r="AN561" s="31" t="s">
        <v>32011</v>
      </c>
      <c r="AO561" s="31" t="s">
        <v>32012</v>
      </c>
      <c r="AP561" s="31" t="s">
        <v>32013</v>
      </c>
      <c r="AQ561" s="31" t="s">
        <v>32014</v>
      </c>
      <c r="AR561" s="31" t="s">
        <v>32015</v>
      </c>
      <c r="AS561" s="31" t="str">
        <f>"OGN"</f>
        <v>OGN</v>
      </c>
      <c r="AT561" s="31" t="s">
        <v>32016</v>
      </c>
      <c r="AU561" s="31" t="s">
        <v>13777</v>
      </c>
      <c r="AV561" s="31">
        <v>9606</v>
      </c>
      <c r="AW561" s="50" t="str">
        <f>HYPERLINK("http://www.uniprot.org/uniprot/P20774", "P20774")</f>
        <v>P20774</v>
      </c>
      <c r="AX561" s="31" t="s">
        <v>32017</v>
      </c>
      <c r="AY561" s="31" t="s">
        <v>13772</v>
      </c>
      <c r="AZ561" s="31" t="s">
        <v>13869</v>
      </c>
      <c r="BA561" s="31" t="s">
        <v>13772</v>
      </c>
      <c r="BB561" s="31" t="s">
        <v>13772</v>
      </c>
      <c r="BC561" s="31" t="s">
        <v>13772</v>
      </c>
      <c r="BD561" s="31" t="s">
        <v>19328</v>
      </c>
      <c r="BE561" s="31" t="s">
        <v>13772</v>
      </c>
      <c r="BF561" s="31" t="s">
        <v>15740</v>
      </c>
      <c r="BG561" s="31" t="s">
        <v>13796</v>
      </c>
      <c r="BH561" s="31" t="s">
        <v>13772</v>
      </c>
      <c r="BI561" s="31" t="s">
        <v>32018</v>
      </c>
      <c r="BJ561" s="31" t="s">
        <v>32019</v>
      </c>
      <c r="BK561" s="31" t="s">
        <v>22024</v>
      </c>
      <c r="BL561" s="31" t="s">
        <v>13772</v>
      </c>
      <c r="BM561" s="31" t="s">
        <v>31606</v>
      </c>
    </row>
    <row r="562" spans="1:65">
      <c r="A562">
        <v>551</v>
      </c>
      <c r="B562">
        <v>1</v>
      </c>
      <c r="C562">
        <v>557</v>
      </c>
      <c r="D562" t="s">
        <v>1375</v>
      </c>
      <c r="E562" t="s">
        <v>73</v>
      </c>
      <c r="F562" t="s">
        <v>73</v>
      </c>
      <c r="G562">
        <v>15.5</v>
      </c>
      <c r="H562">
        <v>471</v>
      </c>
      <c r="I562">
        <v>52385</v>
      </c>
      <c r="J562" t="s">
        <v>1376</v>
      </c>
      <c r="K562" s="3" t="s">
        <v>73</v>
      </c>
      <c r="L562">
        <v>61</v>
      </c>
      <c r="M562">
        <v>61</v>
      </c>
      <c r="N562">
        <v>1</v>
      </c>
      <c r="O562" s="11">
        <f t="shared" si="8"/>
        <v>4.0472709740636885</v>
      </c>
      <c r="P562" s="36">
        <v>3.6349301875041902</v>
      </c>
      <c r="Q562" s="36">
        <v>8.6675770860970207</v>
      </c>
      <c r="R562" s="36">
        <v>8.00398830906129</v>
      </c>
      <c r="S562" s="36">
        <v>10.5834523140726</v>
      </c>
      <c r="T562" s="36">
        <v>7.7415872394320298</v>
      </c>
      <c r="U562" s="36">
        <v>9.2972724663949098</v>
      </c>
      <c r="V562" s="36">
        <v>4.21624913145856</v>
      </c>
      <c r="W562" s="36">
        <v>1.9463671959646101</v>
      </c>
      <c r="X562" s="37">
        <v>0.79475829324495695</v>
      </c>
      <c r="Y562" s="37">
        <v>1.2612992937765699</v>
      </c>
      <c r="Z562" s="37">
        <v>4.0002717413367099</v>
      </c>
      <c r="AA562" s="37">
        <v>0.21163676164998499</v>
      </c>
      <c r="AB562" s="37">
        <v>0.91879256581511404</v>
      </c>
      <c r="AC562" s="37">
        <v>1.5783811407702499</v>
      </c>
      <c r="AD562" s="37">
        <v>0.377135011965606</v>
      </c>
      <c r="AE562" s="37">
        <v>1.5226368464746201</v>
      </c>
      <c r="AF562" s="45">
        <v>-2.1762351013565802</v>
      </c>
      <c r="AG562" s="45">
        <v>-5.0719054859169104</v>
      </c>
      <c r="AH562" s="46">
        <v>2.0524423019211499E-5</v>
      </c>
      <c r="AI562" s="47">
        <v>6.8999190954032705E-5</v>
      </c>
      <c r="AJ562" s="48">
        <v>6.7614279912481496</v>
      </c>
      <c r="AK562" s="49">
        <v>1.3331139568792301</v>
      </c>
      <c r="AL562" s="31" t="s">
        <v>5875</v>
      </c>
      <c r="AM562" s="31" t="s">
        <v>5876</v>
      </c>
      <c r="AN562" s="31" t="s">
        <v>19200</v>
      </c>
      <c r="AO562" s="31" t="s">
        <v>19201</v>
      </c>
      <c r="AP562" s="31" t="s">
        <v>19202</v>
      </c>
      <c r="AQ562" s="31" t="s">
        <v>19203</v>
      </c>
      <c r="AR562" s="31" t="s">
        <v>19204</v>
      </c>
      <c r="AS562" s="31" t="str">
        <f>"EFEMP2"</f>
        <v>EFEMP2</v>
      </c>
      <c r="AT562" s="31" t="s">
        <v>19205</v>
      </c>
      <c r="AU562" s="31" t="s">
        <v>13777</v>
      </c>
      <c r="AV562" s="31">
        <v>9606</v>
      </c>
      <c r="AW562" s="50" t="str">
        <f>HYPERLINK("http://www.uniprot.org/uniprot/O95967", "O95967")</f>
        <v>O95967</v>
      </c>
      <c r="AX562" s="31" t="s">
        <v>19206</v>
      </c>
      <c r="AY562" s="31" t="s">
        <v>13772</v>
      </c>
      <c r="AZ562" s="31" t="s">
        <v>14321</v>
      </c>
      <c r="BA562" s="31" t="s">
        <v>13793</v>
      </c>
      <c r="BB562" s="31" t="s">
        <v>13772</v>
      </c>
      <c r="BC562" s="31" t="s">
        <v>13807</v>
      </c>
      <c r="BD562" s="31" t="s">
        <v>14768</v>
      </c>
      <c r="BE562" s="31" t="s">
        <v>14465</v>
      </c>
      <c r="BF562" s="31" t="s">
        <v>13772</v>
      </c>
      <c r="BG562" s="31" t="s">
        <v>13796</v>
      </c>
      <c r="BH562" s="31" t="s">
        <v>13812</v>
      </c>
      <c r="BI562" s="31" t="s">
        <v>19207</v>
      </c>
      <c r="BJ562" s="31" t="s">
        <v>19208</v>
      </c>
      <c r="BK562" s="31" t="s">
        <v>19209</v>
      </c>
      <c r="BL562" s="31" t="s">
        <v>13772</v>
      </c>
      <c r="BM562" s="31" t="s">
        <v>14774</v>
      </c>
    </row>
    <row r="563" spans="1:65">
      <c r="A563">
        <v>573</v>
      </c>
      <c r="B563">
        <v>1</v>
      </c>
      <c r="C563">
        <v>558</v>
      </c>
      <c r="D563" t="s">
        <v>1426</v>
      </c>
      <c r="E563" t="s">
        <v>73</v>
      </c>
      <c r="F563" t="s">
        <v>73</v>
      </c>
      <c r="G563">
        <v>59.6</v>
      </c>
      <c r="H563">
        <v>89</v>
      </c>
      <c r="I563">
        <v>10058</v>
      </c>
      <c r="J563" t="s">
        <v>1427</v>
      </c>
      <c r="K563" s="3" t="s">
        <v>73</v>
      </c>
      <c r="L563">
        <v>61</v>
      </c>
      <c r="M563">
        <v>61</v>
      </c>
      <c r="N563">
        <v>1</v>
      </c>
      <c r="O563" s="11">
        <f t="shared" si="8"/>
        <v>3.6496373588468938</v>
      </c>
      <c r="P563" s="36">
        <v>4.8465735833389196</v>
      </c>
      <c r="Q563" s="36">
        <v>0.24076603016936199</v>
      </c>
      <c r="R563" s="36">
        <v>0.40019941545306398</v>
      </c>
      <c r="S563" s="36">
        <v>1.5119217591532299</v>
      </c>
      <c r="T563" s="36">
        <v>3.4407054397475698</v>
      </c>
      <c r="U563" s="36">
        <v>5.5783634798369501</v>
      </c>
      <c r="V563" s="36">
        <v>3.1621868485939202</v>
      </c>
      <c r="W563" s="36">
        <v>11.678203175787701</v>
      </c>
      <c r="X563" s="37">
        <v>4.7685497594697397</v>
      </c>
      <c r="Y563" s="37">
        <v>2.5225985875531398</v>
      </c>
      <c r="Z563" s="37">
        <v>2.4001630448020301</v>
      </c>
      <c r="AA563" s="37">
        <v>5.0792822795996404</v>
      </c>
      <c r="AB563" s="37">
        <v>2.7563776974453398</v>
      </c>
      <c r="AC563" s="37">
        <v>3.94595285192562</v>
      </c>
      <c r="AD563" s="37">
        <v>3.0170800957248498</v>
      </c>
      <c r="AE563" s="37">
        <v>3.0452736929492299</v>
      </c>
      <c r="AF563" s="45">
        <v>-0.208599962545303</v>
      </c>
      <c r="AG563" s="45">
        <v>-1.1207048543860001</v>
      </c>
      <c r="AH563" s="46">
        <v>0.77846513514294802</v>
      </c>
      <c r="AI563" s="47">
        <v>0.83519703989177596</v>
      </c>
      <c r="AJ563" s="48">
        <v>3.8573649665100902</v>
      </c>
      <c r="AK563" s="49">
        <v>3.4419097511837</v>
      </c>
      <c r="AL563" s="31" t="s">
        <v>5875</v>
      </c>
      <c r="AM563" s="31" t="s">
        <v>5832</v>
      </c>
      <c r="AN563" s="31" t="s">
        <v>19422</v>
      </c>
      <c r="AO563" s="31" t="s">
        <v>19423</v>
      </c>
      <c r="AP563" s="31" t="s">
        <v>19424</v>
      </c>
      <c r="AQ563" s="31" t="s">
        <v>19425</v>
      </c>
      <c r="AR563" s="31" t="s">
        <v>19426</v>
      </c>
      <c r="AS563" s="31" t="str">
        <f>"BANF1"</f>
        <v>BANF1</v>
      </c>
      <c r="AT563" s="31" t="s">
        <v>19427</v>
      </c>
      <c r="AU563" s="31" t="s">
        <v>13777</v>
      </c>
      <c r="AV563" s="31">
        <v>9606</v>
      </c>
      <c r="AW563" s="50" t="str">
        <f>HYPERLINK("http://www.uniprot.org/uniprot/O75531", "O75531")</f>
        <v>O75531</v>
      </c>
      <c r="AX563" s="31" t="s">
        <v>19428</v>
      </c>
      <c r="AY563" s="31" t="s">
        <v>14563</v>
      </c>
      <c r="AZ563" s="31" t="s">
        <v>19429</v>
      </c>
      <c r="BA563" s="31" t="s">
        <v>13772</v>
      </c>
      <c r="BB563" s="31" t="s">
        <v>13772</v>
      </c>
      <c r="BC563" s="31" t="s">
        <v>13807</v>
      </c>
      <c r="BD563" s="31" t="s">
        <v>13772</v>
      </c>
      <c r="BE563" s="31" t="s">
        <v>13772</v>
      </c>
      <c r="BF563" s="31" t="s">
        <v>15871</v>
      </c>
      <c r="BG563" s="31" t="s">
        <v>13886</v>
      </c>
      <c r="BH563" s="31" t="s">
        <v>13812</v>
      </c>
      <c r="BI563" s="31" t="s">
        <v>19430</v>
      </c>
      <c r="BJ563" s="31" t="s">
        <v>19431</v>
      </c>
      <c r="BK563" s="31" t="s">
        <v>19432</v>
      </c>
      <c r="BL563" s="31" t="s">
        <v>13772</v>
      </c>
      <c r="BM563" s="31" t="s">
        <v>19433</v>
      </c>
    </row>
    <row r="564" spans="1:65">
      <c r="A564">
        <v>939</v>
      </c>
      <c r="B564">
        <v>1</v>
      </c>
      <c r="C564">
        <v>559</v>
      </c>
      <c r="D564" t="s">
        <v>2285</v>
      </c>
      <c r="E564" t="s">
        <v>73</v>
      </c>
      <c r="F564" t="s">
        <v>73</v>
      </c>
      <c r="G564">
        <v>37.700000000000003</v>
      </c>
      <c r="H564">
        <v>470</v>
      </c>
      <c r="I564">
        <v>53467</v>
      </c>
      <c r="J564" t="s">
        <v>2287</v>
      </c>
      <c r="K564" s="3" t="s">
        <v>73</v>
      </c>
      <c r="L564">
        <v>68</v>
      </c>
      <c r="M564">
        <v>58</v>
      </c>
      <c r="N564">
        <v>0.85299999999999998</v>
      </c>
      <c r="O564" s="11">
        <f t="shared" si="8"/>
        <v>3.0733643344383754</v>
      </c>
      <c r="P564" s="36">
        <v>0.30291084895868198</v>
      </c>
      <c r="Q564" s="36">
        <v>0.24076603016936199</v>
      </c>
      <c r="R564" s="36">
        <v>0.40019941545306398</v>
      </c>
      <c r="S564" s="36">
        <v>0.37798043978830698</v>
      </c>
      <c r="T564" s="36">
        <v>0.215044089984223</v>
      </c>
      <c r="U564" s="36">
        <v>0.23243181165987301</v>
      </c>
      <c r="V564" s="36">
        <v>2.10812456572928</v>
      </c>
      <c r="W564" s="36">
        <v>0.97318359798230603</v>
      </c>
      <c r="X564" s="37">
        <v>6.5170180046086497</v>
      </c>
      <c r="Y564" s="37">
        <v>7.3786008685929403</v>
      </c>
      <c r="Z564" s="37">
        <v>2.5601739144555</v>
      </c>
      <c r="AA564" s="37">
        <v>3.8094617096997299</v>
      </c>
      <c r="AB564" s="37">
        <v>13.0468544345746</v>
      </c>
      <c r="AC564" s="37">
        <v>6.4713626771580204</v>
      </c>
      <c r="AD564" s="37">
        <v>3.0170800957248498</v>
      </c>
      <c r="AE564" s="37">
        <v>1.5226368464746201</v>
      </c>
      <c r="AF564" s="45">
        <v>2.9932374455841799</v>
      </c>
      <c r="AG564" s="45">
        <v>9.1375944707760794</v>
      </c>
      <c r="AH564" s="46">
        <v>5.2407292543574802E-6</v>
      </c>
      <c r="AI564" s="47">
        <v>2.0994298629731501E-5</v>
      </c>
      <c r="AJ564" s="48">
        <v>0.60633009996563703</v>
      </c>
      <c r="AK564" s="49">
        <v>5.5403985689111197</v>
      </c>
      <c r="AL564" s="31" t="s">
        <v>5874</v>
      </c>
      <c r="AM564" s="31" t="s">
        <v>5876</v>
      </c>
      <c r="AN564" s="31" t="s">
        <v>23046</v>
      </c>
      <c r="AO564" s="31" t="s">
        <v>13772</v>
      </c>
      <c r="AP564" s="31" t="s">
        <v>23047</v>
      </c>
      <c r="AQ564" s="31" t="s">
        <v>23048</v>
      </c>
      <c r="AR564" s="31" t="s">
        <v>23049</v>
      </c>
      <c r="AS564" s="31" t="str">
        <f>"DES"</f>
        <v>DES</v>
      </c>
      <c r="AT564" s="31" t="s">
        <v>13772</v>
      </c>
      <c r="AU564" s="31" t="s">
        <v>13777</v>
      </c>
      <c r="AV564" s="31">
        <v>9606</v>
      </c>
      <c r="AW564" s="50" t="str">
        <f>HYPERLINK("http://www.uniprot.org/uniprot/P17661", "P17661")</f>
        <v>P17661</v>
      </c>
      <c r="AX564" s="31" t="s">
        <v>23050</v>
      </c>
      <c r="AY564" s="31" t="s">
        <v>13772</v>
      </c>
      <c r="AZ564" s="31" t="s">
        <v>23051</v>
      </c>
      <c r="BA564" s="31" t="s">
        <v>13793</v>
      </c>
      <c r="BB564" s="31" t="s">
        <v>13772</v>
      </c>
      <c r="BC564" s="31" t="s">
        <v>23052</v>
      </c>
      <c r="BD564" s="31" t="s">
        <v>14245</v>
      </c>
      <c r="BE564" s="31" t="s">
        <v>13772</v>
      </c>
      <c r="BF564" s="31" t="s">
        <v>17512</v>
      </c>
      <c r="BG564" s="31" t="s">
        <v>18935</v>
      </c>
      <c r="BH564" s="31" t="s">
        <v>13772</v>
      </c>
      <c r="BI564" s="31" t="s">
        <v>23053</v>
      </c>
      <c r="BJ564" s="31" t="s">
        <v>23054</v>
      </c>
      <c r="BK564" s="31" t="s">
        <v>23055</v>
      </c>
      <c r="BL564" s="31" t="s">
        <v>13772</v>
      </c>
      <c r="BM564" s="31" t="s">
        <v>15657</v>
      </c>
    </row>
    <row r="565" spans="1:65">
      <c r="A565">
        <v>1064</v>
      </c>
      <c r="B565">
        <v>1</v>
      </c>
      <c r="C565">
        <v>560</v>
      </c>
      <c r="D565" t="s">
        <v>2555</v>
      </c>
      <c r="E565" t="s">
        <v>2556</v>
      </c>
      <c r="F565" t="s">
        <v>73</v>
      </c>
      <c r="G565">
        <v>55</v>
      </c>
      <c r="H565">
        <v>160</v>
      </c>
      <c r="I565">
        <v>17948</v>
      </c>
      <c r="J565" t="s">
        <v>2557</v>
      </c>
      <c r="K565" s="3" t="s">
        <v>73</v>
      </c>
      <c r="L565">
        <v>78</v>
      </c>
      <c r="M565">
        <v>57</v>
      </c>
      <c r="N565">
        <v>0.73099999999999998</v>
      </c>
      <c r="O565" s="11">
        <f t="shared" si="8"/>
        <v>3.0804979446431222</v>
      </c>
      <c r="P565" s="36">
        <v>2.4232867916694598</v>
      </c>
      <c r="Q565" s="36">
        <v>2.8891923620323401</v>
      </c>
      <c r="R565" s="36">
        <v>1.6007976618122599</v>
      </c>
      <c r="S565" s="36">
        <v>0.37798043978830698</v>
      </c>
      <c r="T565" s="36">
        <v>3.4407054397475698</v>
      </c>
      <c r="U565" s="36">
        <v>1.85945449327898</v>
      </c>
      <c r="V565" s="36">
        <v>1.05406228286464</v>
      </c>
      <c r="W565" s="36">
        <v>2.9195507939469199</v>
      </c>
      <c r="X565" s="37">
        <v>6.5964938339331498</v>
      </c>
      <c r="Y565" s="37">
        <v>5.9281066807498899</v>
      </c>
      <c r="Z565" s="37">
        <v>4.4803043502971196</v>
      </c>
      <c r="AA565" s="37">
        <v>5.3332463935796302</v>
      </c>
      <c r="AB565" s="37">
        <v>3.03201546718988</v>
      </c>
      <c r="AC565" s="37">
        <v>2.4464907681938901</v>
      </c>
      <c r="AD565" s="37">
        <v>4.5256201435872701</v>
      </c>
      <c r="AE565" s="37">
        <v>0.38065921161865401</v>
      </c>
      <c r="AF565" s="45">
        <v>0.93771617624625503</v>
      </c>
      <c r="AG565" s="45">
        <v>1.9754227022459301</v>
      </c>
      <c r="AH565" s="46">
        <v>6.6948220233508604E-2</v>
      </c>
      <c r="AI565" s="47">
        <v>9.9751357096252297E-2</v>
      </c>
      <c r="AJ565" s="48">
        <v>2.0706287831425598</v>
      </c>
      <c r="AK565" s="49">
        <v>4.0903671061436802</v>
      </c>
      <c r="AL565" s="31" t="s">
        <v>5874</v>
      </c>
      <c r="AM565" s="31" t="s">
        <v>5877</v>
      </c>
      <c r="AN565" s="31" t="s">
        <v>24071</v>
      </c>
      <c r="AO565" s="31" t="s">
        <v>24072</v>
      </c>
      <c r="AP565" s="31" t="s">
        <v>24073</v>
      </c>
      <c r="AQ565" s="31" t="s">
        <v>24074</v>
      </c>
      <c r="AR565" s="31" t="s">
        <v>24075</v>
      </c>
      <c r="AS565" s="31" t="str">
        <f>"MYL6"</f>
        <v>MYL6</v>
      </c>
      <c r="AT565" s="31" t="s">
        <v>13772</v>
      </c>
      <c r="AU565" s="31" t="s">
        <v>13777</v>
      </c>
      <c r="AV565" s="31">
        <v>9606</v>
      </c>
      <c r="AW565" s="50" t="str">
        <f>HYPERLINK("http://www.uniprot.org/uniprot/P60660", "P60660")</f>
        <v>P60660</v>
      </c>
      <c r="AX565" s="31" t="s">
        <v>24076</v>
      </c>
      <c r="AY565" s="31" t="s">
        <v>13772</v>
      </c>
      <c r="AZ565" s="31" t="s">
        <v>13772</v>
      </c>
      <c r="BA565" s="31" t="s">
        <v>13780</v>
      </c>
      <c r="BB565" s="31" t="s">
        <v>13772</v>
      </c>
      <c r="BC565" s="31" t="s">
        <v>13772</v>
      </c>
      <c r="BD565" s="31" t="s">
        <v>14096</v>
      </c>
      <c r="BE565" s="31" t="s">
        <v>13772</v>
      </c>
      <c r="BF565" s="31" t="s">
        <v>17523</v>
      </c>
      <c r="BG565" s="31" t="s">
        <v>13886</v>
      </c>
      <c r="BH565" s="31" t="s">
        <v>13772</v>
      </c>
      <c r="BI565" s="31" t="s">
        <v>24068</v>
      </c>
      <c r="BJ565" s="31" t="s">
        <v>24077</v>
      </c>
      <c r="BK565" s="31" t="s">
        <v>24078</v>
      </c>
      <c r="BL565" s="31" t="s">
        <v>13772</v>
      </c>
      <c r="BM565" s="31" t="s">
        <v>17525</v>
      </c>
    </row>
    <row r="566" spans="1:65">
      <c r="A566">
        <v>87</v>
      </c>
      <c r="B566">
        <v>1</v>
      </c>
      <c r="C566">
        <v>561</v>
      </c>
      <c r="D566" t="s">
        <v>239</v>
      </c>
      <c r="E566" t="s">
        <v>73</v>
      </c>
      <c r="F566" t="s">
        <v>73</v>
      </c>
      <c r="G566">
        <v>17</v>
      </c>
      <c r="H566">
        <v>612</v>
      </c>
      <c r="I566">
        <v>66436</v>
      </c>
      <c r="J566" t="s">
        <v>240</v>
      </c>
      <c r="K566" s="3" t="s">
        <v>73</v>
      </c>
      <c r="L566">
        <v>60</v>
      </c>
      <c r="M566">
        <v>60</v>
      </c>
      <c r="N566">
        <v>1</v>
      </c>
      <c r="O566" s="11">
        <f t="shared" si="8"/>
        <v>3.7191012257898763</v>
      </c>
      <c r="P566" s="36">
        <v>10.9047905625126</v>
      </c>
      <c r="Q566" s="36">
        <v>5.7783847240646802</v>
      </c>
      <c r="R566" s="36">
        <v>4.8023929854367697</v>
      </c>
      <c r="S566" s="36">
        <v>0.37798043978830698</v>
      </c>
      <c r="T566" s="36">
        <v>7.7415872394320298</v>
      </c>
      <c r="U566" s="36">
        <v>11.1567269596739</v>
      </c>
      <c r="V566" s="36">
        <v>6.3243736971878404</v>
      </c>
      <c r="W566" s="36">
        <v>8.7586523818407507</v>
      </c>
      <c r="X566" s="37">
        <v>0.19868957331123899</v>
      </c>
      <c r="Y566" s="37">
        <v>0.63064964688828595</v>
      </c>
      <c r="Z566" s="37">
        <v>0.80005434826734301</v>
      </c>
      <c r="AA566" s="37">
        <v>0.84654704659994096</v>
      </c>
      <c r="AB566" s="37">
        <v>0.22969814145377901</v>
      </c>
      <c r="AC566" s="37">
        <v>0.19729764259628099</v>
      </c>
      <c r="AD566" s="37">
        <v>0.377135011965606</v>
      </c>
      <c r="AE566" s="37">
        <v>0.38065921161865401</v>
      </c>
      <c r="AF566" s="45">
        <v>-3.6135976493487001</v>
      </c>
      <c r="AG566" s="45">
        <v>-15.255121107144101</v>
      </c>
      <c r="AH566" s="46">
        <v>5.1947831481949901E-9</v>
      </c>
      <c r="AI566" s="47">
        <v>5.2656211002158302E-8</v>
      </c>
      <c r="AJ566" s="48">
        <v>6.9806111237421096</v>
      </c>
      <c r="AK566" s="49">
        <v>0.457591327837641</v>
      </c>
      <c r="AL566" s="31" t="s">
        <v>5875</v>
      </c>
      <c r="AM566" s="31" t="s">
        <v>5876</v>
      </c>
      <c r="AN566" s="31" t="s">
        <v>14150</v>
      </c>
      <c r="AO566" s="31" t="s">
        <v>14151</v>
      </c>
      <c r="AP566" s="31" t="s">
        <v>14152</v>
      </c>
      <c r="AQ566" s="31" t="s">
        <v>14153</v>
      </c>
      <c r="AR566" s="31" t="s">
        <v>14154</v>
      </c>
      <c r="AS566" s="31" t="str">
        <f>"GP1BA"</f>
        <v>GP1BA</v>
      </c>
      <c r="AT566" s="31" t="s">
        <v>13772</v>
      </c>
      <c r="AU566" s="31" t="s">
        <v>13777</v>
      </c>
      <c r="AV566" s="31">
        <v>9606</v>
      </c>
      <c r="AW566" s="50" t="str">
        <f>HYPERLINK("http://www.uniprot.org/uniprot/P07359", "P07359")</f>
        <v>P07359</v>
      </c>
      <c r="AX566" s="31" t="s">
        <v>14155</v>
      </c>
      <c r="AY566" s="31" t="s">
        <v>14156</v>
      </c>
      <c r="AZ566" s="31" t="s">
        <v>13825</v>
      </c>
      <c r="BA566" s="31" t="s">
        <v>13793</v>
      </c>
      <c r="BB566" s="31" t="s">
        <v>13772</v>
      </c>
      <c r="BC566" s="31" t="s">
        <v>14157</v>
      </c>
      <c r="BD566" s="31" t="s">
        <v>14158</v>
      </c>
      <c r="BE566" s="31" t="s">
        <v>13772</v>
      </c>
      <c r="BF566" s="31" t="s">
        <v>13772</v>
      </c>
      <c r="BG566" s="31" t="s">
        <v>14159</v>
      </c>
      <c r="BH566" s="31" t="s">
        <v>13812</v>
      </c>
      <c r="BI566" s="31" t="s">
        <v>14160</v>
      </c>
      <c r="BJ566" s="31" t="s">
        <v>14161</v>
      </c>
      <c r="BK566" s="31" t="s">
        <v>14162</v>
      </c>
      <c r="BL566" s="31" t="s">
        <v>13772</v>
      </c>
      <c r="BM566" s="31" t="s">
        <v>14163</v>
      </c>
    </row>
    <row r="567" spans="1:65">
      <c r="A567">
        <v>527</v>
      </c>
      <c r="B567">
        <v>1</v>
      </c>
      <c r="C567">
        <v>562</v>
      </c>
      <c r="D567" t="s">
        <v>1327</v>
      </c>
      <c r="E567" t="s">
        <v>73</v>
      </c>
      <c r="F567" t="s">
        <v>73</v>
      </c>
      <c r="G567">
        <v>22.7</v>
      </c>
      <c r="H567">
        <v>437</v>
      </c>
      <c r="I567">
        <v>50079</v>
      </c>
      <c r="J567" t="s">
        <v>1328</v>
      </c>
      <c r="K567" s="3" t="s">
        <v>73</v>
      </c>
      <c r="L567">
        <v>60</v>
      </c>
      <c r="M567">
        <v>60</v>
      </c>
      <c r="N567">
        <v>1</v>
      </c>
      <c r="O567" s="11">
        <f t="shared" si="8"/>
        <v>3.2185216792545273</v>
      </c>
      <c r="P567" s="36">
        <v>0.30291084895868198</v>
      </c>
      <c r="Q567" s="36">
        <v>0.96306412067744696</v>
      </c>
      <c r="R567" s="36">
        <v>0.40019941545306398</v>
      </c>
      <c r="S567" s="36">
        <v>0.37798043978830698</v>
      </c>
      <c r="T567" s="36">
        <v>0.215044089984223</v>
      </c>
      <c r="U567" s="36">
        <v>0.92972724663949102</v>
      </c>
      <c r="V567" s="36">
        <v>2.10812456572928</v>
      </c>
      <c r="W567" s="36">
        <v>2.9195507939469199</v>
      </c>
      <c r="X567" s="37">
        <v>5.5633080527147003</v>
      </c>
      <c r="Y567" s="37">
        <v>6.9371461157711396</v>
      </c>
      <c r="Z567" s="37">
        <v>6.4004347861387396</v>
      </c>
      <c r="AA567" s="37">
        <v>5.0792822795996404</v>
      </c>
      <c r="AB567" s="37">
        <v>6.4315479607058004</v>
      </c>
      <c r="AC567" s="37">
        <v>9.4702868446214996</v>
      </c>
      <c r="AD567" s="37">
        <v>3.0170800957248498</v>
      </c>
      <c r="AE567" s="37">
        <v>0.38065921161865401</v>
      </c>
      <c r="AF567" s="45">
        <v>2.2768806403715902</v>
      </c>
      <c r="AG567" s="45">
        <v>5.2673535689111999</v>
      </c>
      <c r="AH567" s="46">
        <v>9.5988757907464696E-5</v>
      </c>
      <c r="AI567" s="47">
        <v>2.7210372474616E-4</v>
      </c>
      <c r="AJ567" s="48">
        <v>1.02707519014718</v>
      </c>
      <c r="AK567" s="49">
        <v>5.4099681683618801</v>
      </c>
      <c r="AL567" s="31" t="s">
        <v>5874</v>
      </c>
      <c r="AM567" s="31" t="s">
        <v>5876</v>
      </c>
      <c r="AN567" s="31" t="s">
        <v>18994</v>
      </c>
      <c r="AO567" s="31" t="s">
        <v>18995</v>
      </c>
      <c r="AP567" s="31" t="s">
        <v>18996</v>
      </c>
      <c r="AQ567" s="31" t="s">
        <v>18997</v>
      </c>
      <c r="AR567" s="31" t="s">
        <v>18998</v>
      </c>
      <c r="AS567" s="31" t="str">
        <f>"EEF1G"</f>
        <v>EEF1G</v>
      </c>
      <c r="AT567" s="31" t="s">
        <v>18999</v>
      </c>
      <c r="AU567" s="31" t="s">
        <v>13777</v>
      </c>
      <c r="AV567" s="31">
        <v>9606</v>
      </c>
      <c r="AW567" s="50" t="str">
        <f>HYPERLINK("http://www.uniprot.org/uniprot/P26641", "P26641")</f>
        <v>P26641</v>
      </c>
      <c r="AX567" s="31" t="s">
        <v>19000</v>
      </c>
      <c r="AY567" s="31" t="s">
        <v>17925</v>
      </c>
      <c r="AZ567" s="31" t="s">
        <v>13772</v>
      </c>
      <c r="BA567" s="31" t="s">
        <v>13841</v>
      </c>
      <c r="BB567" s="31" t="s">
        <v>13772</v>
      </c>
      <c r="BC567" s="31" t="s">
        <v>13772</v>
      </c>
      <c r="BD567" s="31" t="s">
        <v>13772</v>
      </c>
      <c r="BE567" s="31" t="s">
        <v>13772</v>
      </c>
      <c r="BF567" s="31" t="s">
        <v>19001</v>
      </c>
      <c r="BG567" s="31" t="s">
        <v>14312</v>
      </c>
      <c r="BH567" s="31" t="s">
        <v>13812</v>
      </c>
      <c r="BI567" s="31" t="s">
        <v>19002</v>
      </c>
      <c r="BJ567" s="31" t="s">
        <v>19003</v>
      </c>
      <c r="BK567" s="31" t="s">
        <v>19004</v>
      </c>
      <c r="BL567" s="31" t="s">
        <v>13772</v>
      </c>
      <c r="BM567" s="31" t="s">
        <v>19005</v>
      </c>
    </row>
    <row r="568" spans="1:65">
      <c r="A568">
        <v>848</v>
      </c>
      <c r="B568">
        <v>1</v>
      </c>
      <c r="C568">
        <v>563</v>
      </c>
      <c r="D568" t="s">
        <v>2081</v>
      </c>
      <c r="E568" t="s">
        <v>73</v>
      </c>
      <c r="F568" t="s">
        <v>73</v>
      </c>
      <c r="G568">
        <v>75</v>
      </c>
      <c r="H568">
        <v>208</v>
      </c>
      <c r="I568">
        <v>22552</v>
      </c>
      <c r="J568" t="s">
        <v>2082</v>
      </c>
      <c r="K568" s="3" t="s">
        <v>73</v>
      </c>
      <c r="L568">
        <v>60</v>
      </c>
      <c r="M568">
        <v>60</v>
      </c>
      <c r="N568">
        <v>1</v>
      </c>
      <c r="O568" s="11">
        <f t="shared" si="8"/>
        <v>3.397862216427157</v>
      </c>
      <c r="P568" s="36">
        <v>3.6349301875041902</v>
      </c>
      <c r="Q568" s="36">
        <v>5.7783847240646802</v>
      </c>
      <c r="R568" s="36">
        <v>3.2015953236245198</v>
      </c>
      <c r="S568" s="36">
        <v>0.37798043978830698</v>
      </c>
      <c r="T568" s="36">
        <v>8.6017635993689208</v>
      </c>
      <c r="U568" s="36">
        <v>5.5783634798369501</v>
      </c>
      <c r="V568" s="36">
        <v>6.3243736971878404</v>
      </c>
      <c r="W568" s="36">
        <v>3.8927343919292201</v>
      </c>
      <c r="X568" s="37">
        <v>7.9475829324495697</v>
      </c>
      <c r="Y568" s="37">
        <v>4.4145475282179998</v>
      </c>
      <c r="Z568" s="37">
        <v>0.200013587066836</v>
      </c>
      <c r="AA568" s="37">
        <v>2.5396411397998202</v>
      </c>
      <c r="AB568" s="37">
        <v>0.91879256581511404</v>
      </c>
      <c r="AC568" s="37">
        <v>0.19729764259628099</v>
      </c>
      <c r="AD568" s="37">
        <v>0.377135011965606</v>
      </c>
      <c r="AE568" s="37">
        <v>0.38065921161865401</v>
      </c>
      <c r="AF568" s="45">
        <v>-1.0312198790407301</v>
      </c>
      <c r="AG568" s="45">
        <v>-2.20257148503224</v>
      </c>
      <c r="AH568" s="46">
        <v>9.2896128786934401E-2</v>
      </c>
      <c r="AI568" s="47">
        <v>0.132773706810002</v>
      </c>
      <c r="AJ568" s="48">
        <v>4.6737657304130797</v>
      </c>
      <c r="AK568" s="49">
        <v>2.1219587024412401</v>
      </c>
      <c r="AL568" s="31" t="s">
        <v>5875</v>
      </c>
      <c r="AM568" s="31" t="s">
        <v>5832</v>
      </c>
      <c r="AN568" s="31" t="s">
        <v>22150</v>
      </c>
      <c r="AO568" s="31" t="s">
        <v>22151</v>
      </c>
      <c r="AP568" s="31" t="s">
        <v>22152</v>
      </c>
      <c r="AQ568" s="31" t="s">
        <v>22153</v>
      </c>
      <c r="AR568" s="31" t="s">
        <v>22154</v>
      </c>
      <c r="AS568" s="31" t="str">
        <f>"GPX1"</f>
        <v>GPX1</v>
      </c>
      <c r="AT568" s="31" t="s">
        <v>13772</v>
      </c>
      <c r="AU568" s="31" t="s">
        <v>13777</v>
      </c>
      <c r="AV568" s="31">
        <v>9606</v>
      </c>
      <c r="AW568" s="50" t="str">
        <f>HYPERLINK("http://www.uniprot.org/uniprot/P07203", "P07203")</f>
        <v>P07203</v>
      </c>
      <c r="AX568" s="31" t="s">
        <v>22155</v>
      </c>
      <c r="AY568" s="31" t="s">
        <v>13772</v>
      </c>
      <c r="AZ568" s="31" t="s">
        <v>13899</v>
      </c>
      <c r="BA568" s="31" t="s">
        <v>17380</v>
      </c>
      <c r="BB568" s="31" t="s">
        <v>13772</v>
      </c>
      <c r="BC568" s="31" t="s">
        <v>13772</v>
      </c>
      <c r="BD568" s="31" t="s">
        <v>13772</v>
      </c>
      <c r="BE568" s="31" t="s">
        <v>13772</v>
      </c>
      <c r="BF568" s="31" t="s">
        <v>13810</v>
      </c>
      <c r="BG568" s="31" t="s">
        <v>13886</v>
      </c>
      <c r="BH568" s="31" t="s">
        <v>13812</v>
      </c>
      <c r="BI568" s="31" t="s">
        <v>22156</v>
      </c>
      <c r="BJ568" s="31" t="s">
        <v>17383</v>
      </c>
      <c r="BK568" s="31" t="s">
        <v>22157</v>
      </c>
      <c r="BL568" s="31" t="s">
        <v>13772</v>
      </c>
      <c r="BM568" s="31" t="s">
        <v>22158</v>
      </c>
    </row>
    <row r="569" spans="1:65">
      <c r="A569">
        <v>880</v>
      </c>
      <c r="B569">
        <v>1</v>
      </c>
      <c r="C569">
        <v>564</v>
      </c>
      <c r="D569" t="s">
        <v>2148</v>
      </c>
      <c r="E569" t="s">
        <v>2149</v>
      </c>
      <c r="F569" t="s">
        <v>73</v>
      </c>
      <c r="G569">
        <v>51.4</v>
      </c>
      <c r="H569">
        <v>315</v>
      </c>
      <c r="I569">
        <v>34545</v>
      </c>
      <c r="J569" t="s">
        <v>2150</v>
      </c>
      <c r="K569" s="3" t="s">
        <v>73</v>
      </c>
      <c r="L569">
        <v>60</v>
      </c>
      <c r="M569">
        <v>60</v>
      </c>
      <c r="N569">
        <v>1</v>
      </c>
      <c r="O569" s="11">
        <f t="shared" si="8"/>
        <v>3.4577875433047214</v>
      </c>
      <c r="P569" s="36">
        <v>1.2116433958347299</v>
      </c>
      <c r="Q569" s="36">
        <v>10.5937053274519</v>
      </c>
      <c r="R569" s="36">
        <v>0.40019941545306398</v>
      </c>
      <c r="S569" s="36">
        <v>3.0238435183064598</v>
      </c>
      <c r="T569" s="36">
        <v>7.7415872394320298</v>
      </c>
      <c r="U569" s="36">
        <v>8.3675452197554208</v>
      </c>
      <c r="V569" s="36">
        <v>2.10812456572928</v>
      </c>
      <c r="W569" s="36">
        <v>7.78546878385845</v>
      </c>
      <c r="X569" s="37">
        <v>1.5895165864899099</v>
      </c>
      <c r="Y569" s="37">
        <v>6.3064964688828598</v>
      </c>
      <c r="Z569" s="37">
        <v>0.200013587066836</v>
      </c>
      <c r="AA569" s="37">
        <v>1.6930940931998799</v>
      </c>
      <c r="AB569" s="37">
        <v>2.7563776974453398</v>
      </c>
      <c r="AC569" s="37">
        <v>0.78919057038512497</v>
      </c>
      <c r="AD569" s="37">
        <v>0.377135011965606</v>
      </c>
      <c r="AE569" s="37">
        <v>0.38065921161865401</v>
      </c>
      <c r="AF569" s="45">
        <v>-1.4167715505981999</v>
      </c>
      <c r="AG569" s="45">
        <v>-2.9258234195848098</v>
      </c>
      <c r="AH569" s="46">
        <v>2.5045262432235399E-2</v>
      </c>
      <c r="AI569" s="47">
        <v>4.2078145531101903E-2</v>
      </c>
      <c r="AJ569" s="48">
        <v>5.1540146832276701</v>
      </c>
      <c r="AK569" s="49">
        <v>1.76156040338178</v>
      </c>
      <c r="AL569" s="31" t="s">
        <v>5875</v>
      </c>
      <c r="AM569" s="31" t="s">
        <v>5878</v>
      </c>
      <c r="AN569" s="31" t="s">
        <v>22452</v>
      </c>
      <c r="AO569" s="31" t="s">
        <v>22453</v>
      </c>
      <c r="AP569" s="31" t="s">
        <v>22454</v>
      </c>
      <c r="AQ569" s="31" t="s">
        <v>22455</v>
      </c>
      <c r="AR569" s="31" t="s">
        <v>22456</v>
      </c>
      <c r="AS569" s="31" t="str">
        <f>"NIT2"</f>
        <v>NIT2</v>
      </c>
      <c r="AT569" s="31" t="s">
        <v>13772</v>
      </c>
      <c r="AU569" s="31" t="s">
        <v>13777</v>
      </c>
      <c r="AV569" s="31">
        <v>9606</v>
      </c>
      <c r="AW569" s="50" t="str">
        <f>HYPERLINK("http://www.uniprot.org/uniprot/Q9NQR4", "Q9NQR4")</f>
        <v>Q9NQR4</v>
      </c>
      <c r="AX569" s="31" t="s">
        <v>22457</v>
      </c>
      <c r="AY569" s="31" t="s">
        <v>13772</v>
      </c>
      <c r="AZ569" s="31" t="s">
        <v>13899</v>
      </c>
      <c r="BA569" s="31" t="s">
        <v>13793</v>
      </c>
      <c r="BB569" s="31" t="s">
        <v>13772</v>
      </c>
      <c r="BC569" s="31" t="s">
        <v>13772</v>
      </c>
      <c r="BD569" s="31" t="s">
        <v>13772</v>
      </c>
      <c r="BE569" s="31" t="s">
        <v>13772</v>
      </c>
      <c r="BF569" s="31" t="s">
        <v>13857</v>
      </c>
      <c r="BG569" s="31" t="s">
        <v>13886</v>
      </c>
      <c r="BH569" s="31" t="s">
        <v>13772</v>
      </c>
      <c r="BI569" s="31" t="s">
        <v>22458</v>
      </c>
      <c r="BJ569" s="31" t="s">
        <v>22459</v>
      </c>
      <c r="BK569" s="31" t="s">
        <v>22460</v>
      </c>
      <c r="BL569" s="31" t="s">
        <v>13772</v>
      </c>
      <c r="BM569" s="31" t="s">
        <v>13890</v>
      </c>
    </row>
    <row r="570" spans="1:65">
      <c r="A570">
        <v>926</v>
      </c>
      <c r="B570">
        <v>1</v>
      </c>
      <c r="C570">
        <v>565</v>
      </c>
      <c r="D570" t="s">
        <v>2251</v>
      </c>
      <c r="E570" t="s">
        <v>2252</v>
      </c>
      <c r="F570" t="s">
        <v>73</v>
      </c>
      <c r="G570">
        <v>31.3</v>
      </c>
      <c r="H570">
        <v>441</v>
      </c>
      <c r="I570">
        <v>49175</v>
      </c>
      <c r="J570" t="s">
        <v>2253</v>
      </c>
      <c r="K570" s="3" t="s">
        <v>73</v>
      </c>
      <c r="L570">
        <v>60</v>
      </c>
      <c r="M570">
        <v>60</v>
      </c>
      <c r="N570">
        <v>1</v>
      </c>
      <c r="O570" s="11">
        <f t="shared" si="8"/>
        <v>3.2837183346941052</v>
      </c>
      <c r="P570" s="36">
        <v>0.30291084895868198</v>
      </c>
      <c r="Q570" s="36">
        <v>0.24076603016936199</v>
      </c>
      <c r="R570" s="36">
        <v>0.40019941545306398</v>
      </c>
      <c r="S570" s="36">
        <v>0.37798043978830698</v>
      </c>
      <c r="T570" s="36">
        <v>2.5805290798106801</v>
      </c>
      <c r="U570" s="36">
        <v>1.85945449327898</v>
      </c>
      <c r="V570" s="36">
        <v>5.2703114143232002</v>
      </c>
      <c r="W570" s="36">
        <v>5.8391015878938397</v>
      </c>
      <c r="X570" s="37">
        <v>5.5633080527147003</v>
      </c>
      <c r="Y570" s="37">
        <v>4.4145475282179998</v>
      </c>
      <c r="Z570" s="37">
        <v>1.60010869653469</v>
      </c>
      <c r="AA570" s="37">
        <v>2.5396411397998202</v>
      </c>
      <c r="AB570" s="37">
        <v>11.0255107897814</v>
      </c>
      <c r="AC570" s="37">
        <v>7.1027151334661296</v>
      </c>
      <c r="AD570" s="37">
        <v>0.377135011965606</v>
      </c>
      <c r="AE570" s="37">
        <v>3.0452736929492299</v>
      </c>
      <c r="AF570" s="45">
        <v>1.00106444363536</v>
      </c>
      <c r="AG570" s="45">
        <v>2.11414287905765</v>
      </c>
      <c r="AH570" s="46">
        <v>0.108394761998655</v>
      </c>
      <c r="AI570" s="47">
        <v>0.15266546479389501</v>
      </c>
      <c r="AJ570" s="48">
        <v>2.1089066637095102</v>
      </c>
      <c r="AK570" s="49">
        <v>4.4585300056786901</v>
      </c>
      <c r="AL570" s="31" t="s">
        <v>5874</v>
      </c>
      <c r="AM570" s="31" t="s">
        <v>5832</v>
      </c>
      <c r="AN570" s="31" t="s">
        <v>22906</v>
      </c>
      <c r="AO570" s="31" t="s">
        <v>22907</v>
      </c>
      <c r="AP570" s="31" t="s">
        <v>22908</v>
      </c>
      <c r="AQ570" s="31" t="s">
        <v>22909</v>
      </c>
      <c r="AR570" s="31" t="s">
        <v>22910</v>
      </c>
      <c r="AS570" s="31" t="str">
        <f>"BIN1"</f>
        <v>BIN1</v>
      </c>
      <c r="AT570" s="31" t="s">
        <v>22911</v>
      </c>
      <c r="AU570" s="31" t="s">
        <v>13777</v>
      </c>
      <c r="AV570" s="31">
        <v>9606</v>
      </c>
      <c r="AW570" s="50" t="str">
        <f>HYPERLINK("http://www.uniprot.org/uniprot/O00499", "O00499")</f>
        <v>O00499</v>
      </c>
      <c r="AX570" s="31" t="s">
        <v>22912</v>
      </c>
      <c r="AY570" s="31" t="s">
        <v>22913</v>
      </c>
      <c r="AZ570" s="31" t="s">
        <v>22914</v>
      </c>
      <c r="BA570" s="31" t="s">
        <v>13841</v>
      </c>
      <c r="BB570" s="31" t="s">
        <v>13772</v>
      </c>
      <c r="BC570" s="31" t="s">
        <v>13807</v>
      </c>
      <c r="BD570" s="31" t="s">
        <v>17173</v>
      </c>
      <c r="BE570" s="31" t="s">
        <v>13772</v>
      </c>
      <c r="BF570" s="31" t="s">
        <v>14727</v>
      </c>
      <c r="BG570" s="31" t="s">
        <v>13886</v>
      </c>
      <c r="BH570" s="31" t="s">
        <v>13812</v>
      </c>
      <c r="BI570" s="31" t="s">
        <v>22915</v>
      </c>
      <c r="BJ570" s="31" t="s">
        <v>22916</v>
      </c>
      <c r="BK570" s="31" t="s">
        <v>22917</v>
      </c>
      <c r="BL570" s="31" t="s">
        <v>13772</v>
      </c>
      <c r="BM570" s="31" t="s">
        <v>18627</v>
      </c>
    </row>
    <row r="571" spans="1:65">
      <c r="A571">
        <v>1191</v>
      </c>
      <c r="B571">
        <v>1</v>
      </c>
      <c r="C571">
        <v>566</v>
      </c>
      <c r="D571" t="s">
        <v>2859</v>
      </c>
      <c r="E571" t="s">
        <v>73</v>
      </c>
      <c r="F571" t="s">
        <v>73</v>
      </c>
      <c r="G571">
        <v>35</v>
      </c>
      <c r="H571">
        <v>523</v>
      </c>
      <c r="I571">
        <v>59302</v>
      </c>
      <c r="J571" t="s">
        <v>2860</v>
      </c>
      <c r="K571" s="3" t="s">
        <v>73</v>
      </c>
      <c r="L571">
        <v>60</v>
      </c>
      <c r="M571">
        <v>60</v>
      </c>
      <c r="N571">
        <v>1</v>
      </c>
      <c r="O571" s="11">
        <f t="shared" si="8"/>
        <v>3.8541079058000784</v>
      </c>
      <c r="P571" s="36">
        <v>10.9047905625126</v>
      </c>
      <c r="Q571" s="36">
        <v>8.6675770860970207</v>
      </c>
      <c r="R571" s="36">
        <v>3.2015953236245198</v>
      </c>
      <c r="S571" s="36">
        <v>4.5357652774596904</v>
      </c>
      <c r="T571" s="36">
        <v>6.8814108794951396</v>
      </c>
      <c r="U571" s="36">
        <v>6.50809072647644</v>
      </c>
      <c r="V571" s="36">
        <v>4.21624913145856</v>
      </c>
      <c r="W571" s="36">
        <v>5.8391015878938397</v>
      </c>
      <c r="X571" s="37">
        <v>0.19868957331123899</v>
      </c>
      <c r="Y571" s="37">
        <v>3.1532482344414299</v>
      </c>
      <c r="Z571" s="37">
        <v>0.80005434826734301</v>
      </c>
      <c r="AA571" s="37">
        <v>1.6930940931998799</v>
      </c>
      <c r="AB571" s="37">
        <v>1.8375851316302301</v>
      </c>
      <c r="AC571" s="37">
        <v>0.19729764259628099</v>
      </c>
      <c r="AD571" s="37">
        <v>1.50854004786242</v>
      </c>
      <c r="AE571" s="37">
        <v>1.5226368464746201</v>
      </c>
      <c r="AF571" s="45">
        <v>-2.1252910594241299</v>
      </c>
      <c r="AG571" s="45">
        <v>-4.6516269654405296</v>
      </c>
      <c r="AH571" s="46">
        <v>7.7431971891919399E-6</v>
      </c>
      <c r="AI571" s="47">
        <v>2.9266660562539001E-5</v>
      </c>
      <c r="AJ571" s="48">
        <v>6.3443225718772203</v>
      </c>
      <c r="AK571" s="49">
        <v>1.36389323972293</v>
      </c>
      <c r="AL571" s="31" t="s">
        <v>5875</v>
      </c>
      <c r="AM571" s="31" t="s">
        <v>5876</v>
      </c>
      <c r="AN571" s="31" t="s">
        <v>25264</v>
      </c>
      <c r="AO571" s="31" t="s">
        <v>25265</v>
      </c>
      <c r="AP571" s="31" t="s">
        <v>25266</v>
      </c>
      <c r="AQ571" s="31" t="s">
        <v>25267</v>
      </c>
      <c r="AR571" s="31" t="s">
        <v>25268</v>
      </c>
      <c r="AS571" s="31" t="str">
        <f>"ADA2 IDGFL"</f>
        <v>ADA2 IDGFL</v>
      </c>
      <c r="AT571" s="31" t="s">
        <v>13772</v>
      </c>
      <c r="AU571" s="31" t="s">
        <v>13777</v>
      </c>
      <c r="AV571" s="31">
        <v>9606</v>
      </c>
      <c r="AW571" s="50" t="str">
        <f>HYPERLINK("http://www.uniprot.org/uniprot/Q9NZK5", "Q9NZK5")</f>
        <v>Q9NZK5</v>
      </c>
      <c r="AX571" s="31" t="s">
        <v>25269</v>
      </c>
      <c r="AY571" s="31" t="s">
        <v>13772</v>
      </c>
      <c r="AZ571" s="31" t="s">
        <v>14321</v>
      </c>
      <c r="BA571" s="31" t="s">
        <v>13780</v>
      </c>
      <c r="BB571" s="31" t="s">
        <v>13772</v>
      </c>
      <c r="BC571" s="31" t="s">
        <v>13807</v>
      </c>
      <c r="BD571" s="31" t="s">
        <v>13808</v>
      </c>
      <c r="BE571" s="31" t="s">
        <v>13856</v>
      </c>
      <c r="BF571" s="31" t="s">
        <v>25270</v>
      </c>
      <c r="BG571" s="31" t="s">
        <v>13796</v>
      </c>
      <c r="BH571" s="31" t="s">
        <v>13812</v>
      </c>
      <c r="BI571" s="31" t="s">
        <v>25271</v>
      </c>
      <c r="BJ571" s="31" t="s">
        <v>25272</v>
      </c>
      <c r="BK571" s="31" t="s">
        <v>25273</v>
      </c>
      <c r="BL571" s="31" t="s">
        <v>13772</v>
      </c>
      <c r="BM571" s="31" t="s">
        <v>25274</v>
      </c>
    </row>
    <row r="572" spans="1:65">
      <c r="A572">
        <v>1504</v>
      </c>
      <c r="B572">
        <v>1</v>
      </c>
      <c r="C572">
        <v>567</v>
      </c>
      <c r="D572" t="s">
        <v>3581</v>
      </c>
      <c r="E572" t="s">
        <v>73</v>
      </c>
      <c r="F572" t="s">
        <v>73</v>
      </c>
      <c r="G572">
        <v>27.4</v>
      </c>
      <c r="H572">
        <v>580</v>
      </c>
      <c r="I572">
        <v>65151</v>
      </c>
      <c r="J572" t="s">
        <v>3582</v>
      </c>
      <c r="K572" s="3" t="s">
        <v>73</v>
      </c>
      <c r="L572">
        <v>60</v>
      </c>
      <c r="M572">
        <v>60</v>
      </c>
      <c r="N572">
        <v>1</v>
      </c>
      <c r="O572" s="11">
        <f t="shared" si="8"/>
        <v>3.5814034262607652</v>
      </c>
      <c r="P572" s="36">
        <v>3.6349301875041902</v>
      </c>
      <c r="Q572" s="36">
        <v>4.8153206033872298</v>
      </c>
      <c r="R572" s="36">
        <v>1.6007976618122599</v>
      </c>
      <c r="S572" s="36">
        <v>7.5596087957661497</v>
      </c>
      <c r="T572" s="36">
        <v>7.7415872394320298</v>
      </c>
      <c r="U572" s="36">
        <v>4.6486362331974602</v>
      </c>
      <c r="V572" s="36">
        <v>3.1621868485939202</v>
      </c>
      <c r="W572" s="36">
        <v>4.8659179899115301</v>
      </c>
      <c r="X572" s="37">
        <v>3.17903317297983</v>
      </c>
      <c r="Y572" s="37">
        <v>3.1532482344414299</v>
      </c>
      <c r="Z572" s="37">
        <v>1.60010869653469</v>
      </c>
      <c r="AA572" s="37">
        <v>5.0792822795996404</v>
      </c>
      <c r="AB572" s="37">
        <v>0.91879256581511404</v>
      </c>
      <c r="AC572" s="37">
        <v>0.78919057038512497</v>
      </c>
      <c r="AD572" s="37">
        <v>1.50854004786242</v>
      </c>
      <c r="AE572" s="37">
        <v>3.0452736929492299</v>
      </c>
      <c r="AF572" s="45">
        <v>-0.95102761473905695</v>
      </c>
      <c r="AG572" s="45">
        <v>-1.9731261168123</v>
      </c>
      <c r="AH572" s="46">
        <v>5.2621054142872201E-2</v>
      </c>
      <c r="AI572" s="47">
        <v>8.0741938581608996E-2</v>
      </c>
      <c r="AJ572" s="48">
        <v>4.7536231949505998</v>
      </c>
      <c r="AK572" s="49">
        <v>2.40918365757094</v>
      </c>
      <c r="AL572" s="31" t="s">
        <v>5875</v>
      </c>
      <c r="AM572" s="31" t="s">
        <v>5877</v>
      </c>
      <c r="AN572" s="31" t="s">
        <v>28235</v>
      </c>
      <c r="AO572" s="31" t="s">
        <v>28236</v>
      </c>
      <c r="AP572" s="31" t="s">
        <v>28237</v>
      </c>
      <c r="AQ572" s="31" t="s">
        <v>28238</v>
      </c>
      <c r="AR572" s="31" t="s">
        <v>13772</v>
      </c>
      <c r="AS572" s="31" t="str">
        <f>"HEXB"</f>
        <v>HEXB</v>
      </c>
      <c r="AT572" s="31" t="s">
        <v>13772</v>
      </c>
      <c r="AU572" s="31" t="s">
        <v>13777</v>
      </c>
      <c r="AV572" s="31">
        <v>9606</v>
      </c>
      <c r="AW572" s="50" t="str">
        <f>HYPERLINK("http://www.uniprot.org/uniprot/P07686", "P07686")</f>
        <v>P07686</v>
      </c>
      <c r="AX572" s="31" t="s">
        <v>28239</v>
      </c>
      <c r="AY572" s="31" t="s">
        <v>13772</v>
      </c>
      <c r="AZ572" s="31" t="s">
        <v>13806</v>
      </c>
      <c r="BA572" s="31" t="s">
        <v>13793</v>
      </c>
      <c r="BB572" s="31" t="s">
        <v>13772</v>
      </c>
      <c r="BC572" s="31" t="s">
        <v>15470</v>
      </c>
      <c r="BD572" s="31" t="s">
        <v>13808</v>
      </c>
      <c r="BE572" s="31" t="s">
        <v>13772</v>
      </c>
      <c r="BF572" s="31" t="s">
        <v>15471</v>
      </c>
      <c r="BG572" s="31" t="s">
        <v>15472</v>
      </c>
      <c r="BH572" s="31" t="s">
        <v>13812</v>
      </c>
      <c r="BI572" s="31" t="s">
        <v>28240</v>
      </c>
      <c r="BJ572" s="31" t="s">
        <v>28241</v>
      </c>
      <c r="BK572" s="31" t="s">
        <v>28242</v>
      </c>
      <c r="BL572" s="31" t="s">
        <v>13772</v>
      </c>
      <c r="BM572" s="31" t="s">
        <v>28243</v>
      </c>
    </row>
    <row r="573" spans="1:65">
      <c r="A573">
        <v>236</v>
      </c>
      <c r="B573">
        <v>1</v>
      </c>
      <c r="C573">
        <v>568</v>
      </c>
      <c r="D573" t="s">
        <v>599</v>
      </c>
      <c r="E573" t="s">
        <v>600</v>
      </c>
      <c r="F573" t="s">
        <v>73</v>
      </c>
      <c r="G573">
        <v>46.2</v>
      </c>
      <c r="H573">
        <v>130</v>
      </c>
      <c r="I573">
        <v>14095</v>
      </c>
      <c r="J573" t="s">
        <v>602</v>
      </c>
      <c r="K573" s="3" t="s">
        <v>73</v>
      </c>
      <c r="L573">
        <v>115</v>
      </c>
      <c r="M573">
        <v>24</v>
      </c>
      <c r="N573">
        <v>0.20899999999999999</v>
      </c>
      <c r="O573" s="11">
        <f t="shared" si="8"/>
        <v>3.2401059421828227</v>
      </c>
      <c r="P573" s="36">
        <v>0.84815037708430996</v>
      </c>
      <c r="Q573" s="36">
        <v>2.2150474775581301</v>
      </c>
      <c r="R573" s="36">
        <v>0.48023929854367697</v>
      </c>
      <c r="S573" s="36">
        <v>2.5702669905604898</v>
      </c>
      <c r="T573" s="36">
        <v>0.60212345195582395</v>
      </c>
      <c r="U573" s="36">
        <v>1.20864542063134</v>
      </c>
      <c r="V573" s="36">
        <v>0.84324982629171297</v>
      </c>
      <c r="W573" s="36">
        <v>4.8659179899115301</v>
      </c>
      <c r="X573" s="37">
        <v>4.8480255887942398</v>
      </c>
      <c r="Y573" s="37">
        <v>6.1803665395051999</v>
      </c>
      <c r="Z573" s="37">
        <v>7.6005163085397598</v>
      </c>
      <c r="AA573" s="37">
        <v>8.3808157613394094</v>
      </c>
      <c r="AB573" s="37">
        <v>2.0213436447932498</v>
      </c>
      <c r="AC573" s="37">
        <v>2.7621669963479398</v>
      </c>
      <c r="AD573" s="37">
        <v>6.0341601914496898</v>
      </c>
      <c r="AE573" s="37">
        <v>0.38065921161865401</v>
      </c>
      <c r="AF573" s="45">
        <v>1.4414516348318001</v>
      </c>
      <c r="AG573" s="45">
        <v>2.8024835560581698</v>
      </c>
      <c r="AH573" s="46">
        <v>1.44815024041056E-2</v>
      </c>
      <c r="AI573" s="47">
        <v>2.5562335378223298E-2</v>
      </c>
      <c r="AJ573" s="48">
        <v>1.70420510406713</v>
      </c>
      <c r="AK573" s="49">
        <v>4.7760067802985198</v>
      </c>
      <c r="AL573" s="31" t="s">
        <v>5874</v>
      </c>
      <c r="AM573" s="31" t="s">
        <v>5878</v>
      </c>
      <c r="AN573" s="31" t="s">
        <v>15863</v>
      </c>
      <c r="AO573" s="31" t="s">
        <v>15864</v>
      </c>
      <c r="AP573" s="31" t="s">
        <v>15865</v>
      </c>
      <c r="AQ573" s="31" t="s">
        <v>15866</v>
      </c>
      <c r="AR573" s="31" t="s">
        <v>15867</v>
      </c>
      <c r="AS573" s="31" t="str">
        <f>"HIST2H2AA3"</f>
        <v>HIST2H2AA3</v>
      </c>
      <c r="AT573" s="31" t="s">
        <v>15868</v>
      </c>
      <c r="AU573" s="31" t="s">
        <v>13777</v>
      </c>
      <c r="AV573" s="31">
        <v>9606</v>
      </c>
      <c r="AW573" s="50" t="str">
        <f>HYPERLINK("http://www.uniprot.org/uniprot/Q6FI13", "Q6FI13")</f>
        <v>Q6FI13</v>
      </c>
      <c r="AX573" s="31" t="s">
        <v>15869</v>
      </c>
      <c r="AY573" s="31" t="s">
        <v>13772</v>
      </c>
      <c r="AZ573" s="31" t="s">
        <v>15870</v>
      </c>
      <c r="BA573" s="31" t="s">
        <v>13772</v>
      </c>
      <c r="BB573" s="31" t="s">
        <v>13772</v>
      </c>
      <c r="BC573" s="31" t="s">
        <v>13772</v>
      </c>
      <c r="BD573" s="31" t="s">
        <v>13772</v>
      </c>
      <c r="BE573" s="31" t="s">
        <v>13772</v>
      </c>
      <c r="BF573" s="31" t="s">
        <v>15871</v>
      </c>
      <c r="BG573" s="31" t="s">
        <v>15872</v>
      </c>
      <c r="BH573" s="31" t="s">
        <v>13772</v>
      </c>
      <c r="BI573" s="31" t="s">
        <v>15873</v>
      </c>
      <c r="BJ573" s="31" t="s">
        <v>15874</v>
      </c>
      <c r="BK573" s="31" t="s">
        <v>15875</v>
      </c>
      <c r="BL573" s="31" t="s">
        <v>13772</v>
      </c>
      <c r="BM573" s="31" t="s">
        <v>15876</v>
      </c>
    </row>
    <row r="574" spans="1:65">
      <c r="A574">
        <v>984</v>
      </c>
      <c r="B574">
        <v>1</v>
      </c>
      <c r="C574">
        <v>569</v>
      </c>
      <c r="D574" t="s">
        <v>2388</v>
      </c>
      <c r="E574" t="s">
        <v>73</v>
      </c>
      <c r="F574" t="s">
        <v>73</v>
      </c>
      <c r="G574">
        <v>21.7</v>
      </c>
      <c r="H574">
        <v>1466</v>
      </c>
      <c r="I574">
        <v>138879</v>
      </c>
      <c r="J574" t="s">
        <v>2389</v>
      </c>
      <c r="K574" s="3" t="s">
        <v>73</v>
      </c>
      <c r="L574">
        <v>60</v>
      </c>
      <c r="M574">
        <v>59</v>
      </c>
      <c r="N574">
        <v>0.98299999999999998</v>
      </c>
      <c r="O574" s="11">
        <f t="shared" si="8"/>
        <v>4.5758324332453419</v>
      </c>
      <c r="P574" s="36">
        <v>13.328077354182</v>
      </c>
      <c r="Q574" s="36">
        <v>4.8153206033872298</v>
      </c>
      <c r="R574" s="36">
        <v>9.6047859708735501</v>
      </c>
      <c r="S574" s="36">
        <v>25.7026699056049</v>
      </c>
      <c r="T574" s="36">
        <v>1.72035271987378</v>
      </c>
      <c r="U574" s="36">
        <v>8.4605179444193706</v>
      </c>
      <c r="V574" s="36">
        <v>2.10812456572928</v>
      </c>
      <c r="W574" s="36">
        <v>0.97318359798230603</v>
      </c>
      <c r="X574" s="37">
        <v>0.19868957331123899</v>
      </c>
      <c r="Y574" s="37">
        <v>0.15766241172207099</v>
      </c>
      <c r="Z574" s="37">
        <v>1.60010869653469</v>
      </c>
      <c r="AA574" s="37">
        <v>0.84654704659994096</v>
      </c>
      <c r="AB574" s="37">
        <v>0.22969814145377901</v>
      </c>
      <c r="AC574" s="37">
        <v>1.5783811407702499</v>
      </c>
      <c r="AD574" s="37">
        <v>1.50854004786242</v>
      </c>
      <c r="AE574" s="37">
        <v>0.38065921161865401</v>
      </c>
      <c r="AF574" s="45">
        <v>-3.1641184546919301</v>
      </c>
      <c r="AG574" s="45">
        <v>-10.263091484331699</v>
      </c>
      <c r="AH574" s="46">
        <v>2.1371597054362899E-5</v>
      </c>
      <c r="AI574" s="47">
        <v>7.1132330494372005E-5</v>
      </c>
      <c r="AJ574" s="48">
        <v>8.3391290827565605</v>
      </c>
      <c r="AK574" s="49">
        <v>0.81253578373413005</v>
      </c>
      <c r="AL574" s="31" t="s">
        <v>5875</v>
      </c>
      <c r="AM574" s="31" t="s">
        <v>5876</v>
      </c>
      <c r="AN574" s="31" t="s">
        <v>23477</v>
      </c>
      <c r="AO574" s="31" t="s">
        <v>13772</v>
      </c>
      <c r="AP574" s="31" t="s">
        <v>23478</v>
      </c>
      <c r="AQ574" s="31" t="s">
        <v>23479</v>
      </c>
      <c r="AR574" s="31" t="s">
        <v>23480</v>
      </c>
      <c r="AS574" s="31" t="str">
        <f>"COL3A1"</f>
        <v>COL3A1</v>
      </c>
      <c r="AT574" s="31" t="s">
        <v>13772</v>
      </c>
      <c r="AU574" s="31" t="s">
        <v>13777</v>
      </c>
      <c r="AV574" s="31">
        <v>9606</v>
      </c>
      <c r="AW574" s="50" t="str">
        <f>HYPERLINK("http://www.uniprot.org/uniprot/P02461", "P02461")</f>
        <v>P02461</v>
      </c>
      <c r="AX574" s="31" t="s">
        <v>23481</v>
      </c>
      <c r="AY574" s="31" t="s">
        <v>13772</v>
      </c>
      <c r="AZ574" s="31" t="s">
        <v>13869</v>
      </c>
      <c r="BA574" s="31" t="s">
        <v>13780</v>
      </c>
      <c r="BB574" s="31" t="s">
        <v>13772</v>
      </c>
      <c r="BC574" s="31" t="s">
        <v>23482</v>
      </c>
      <c r="BD574" s="31" t="s">
        <v>13872</v>
      </c>
      <c r="BE574" s="31" t="s">
        <v>13873</v>
      </c>
      <c r="BF574" s="31" t="s">
        <v>13772</v>
      </c>
      <c r="BG574" s="31" t="s">
        <v>22002</v>
      </c>
      <c r="BH574" s="31" t="s">
        <v>13812</v>
      </c>
      <c r="BI574" s="31" t="s">
        <v>23483</v>
      </c>
      <c r="BJ574" s="31" t="s">
        <v>23484</v>
      </c>
      <c r="BK574" s="31" t="s">
        <v>23485</v>
      </c>
      <c r="BL574" s="31" t="s">
        <v>13772</v>
      </c>
      <c r="BM574" s="31" t="s">
        <v>23486</v>
      </c>
    </row>
    <row r="575" spans="1:65">
      <c r="A575">
        <v>288</v>
      </c>
      <c r="B575">
        <v>1</v>
      </c>
      <c r="C575">
        <v>570</v>
      </c>
      <c r="D575" t="s">
        <v>727</v>
      </c>
      <c r="E575" t="s">
        <v>73</v>
      </c>
      <c r="F575" t="s">
        <v>73</v>
      </c>
      <c r="G575">
        <v>30.9</v>
      </c>
      <c r="H575">
        <v>489</v>
      </c>
      <c r="I575">
        <v>50992</v>
      </c>
      <c r="J575" t="s">
        <v>728</v>
      </c>
      <c r="K575" s="3" t="s">
        <v>73</v>
      </c>
      <c r="L575">
        <v>59</v>
      </c>
      <c r="M575">
        <v>59</v>
      </c>
      <c r="N575">
        <v>1</v>
      </c>
      <c r="O575" s="11">
        <f t="shared" si="8"/>
        <v>4.1489262052026277</v>
      </c>
      <c r="P575" s="36">
        <v>6.0582169791736504</v>
      </c>
      <c r="Q575" s="36">
        <v>7.7045129654195703</v>
      </c>
      <c r="R575" s="36">
        <v>14.4071789563103</v>
      </c>
      <c r="S575" s="36">
        <v>6.0476870366129196</v>
      </c>
      <c r="T575" s="36">
        <v>6.8814108794951396</v>
      </c>
      <c r="U575" s="36">
        <v>11.1567269596739</v>
      </c>
      <c r="V575" s="36">
        <v>5.2703114143232002</v>
      </c>
      <c r="W575" s="36">
        <v>5.8391015878938397</v>
      </c>
      <c r="X575" s="37">
        <v>0.19868957331123899</v>
      </c>
      <c r="Y575" s="37">
        <v>0.63064964688828595</v>
      </c>
      <c r="Z575" s="37">
        <v>0.200013587066836</v>
      </c>
      <c r="AA575" s="37">
        <v>0.21163676164998499</v>
      </c>
      <c r="AB575" s="37">
        <v>0.22969814145377901</v>
      </c>
      <c r="AC575" s="37">
        <v>0.78919057038512497</v>
      </c>
      <c r="AD575" s="37">
        <v>0.377135011965606</v>
      </c>
      <c r="AE575" s="37">
        <v>0.38065921161865401</v>
      </c>
      <c r="AF575" s="45">
        <v>-3.9506983771017699</v>
      </c>
      <c r="AG575" s="45">
        <v>-20.998019728045801</v>
      </c>
      <c r="AH575" s="46">
        <v>2.1582920595206801E-12</v>
      </c>
      <c r="AI575" s="47">
        <v>6.0162391159138996E-11</v>
      </c>
      <c r="AJ575" s="48">
        <v>7.9206433473628204</v>
      </c>
      <c r="AK575" s="49">
        <v>0.37720906304243901</v>
      </c>
      <c r="AL575" s="31" t="s">
        <v>5875</v>
      </c>
      <c r="AM575" s="31" t="s">
        <v>5876</v>
      </c>
      <c r="AN575" s="31" t="s">
        <v>16409</v>
      </c>
      <c r="AO575" s="31" t="s">
        <v>16410</v>
      </c>
      <c r="AP575" s="31" t="s">
        <v>16411</v>
      </c>
      <c r="AQ575" s="31" t="s">
        <v>16412</v>
      </c>
      <c r="AR575" s="31" t="s">
        <v>16413</v>
      </c>
      <c r="AS575" s="31" t="str">
        <f>"CLEC14A"</f>
        <v>CLEC14A</v>
      </c>
      <c r="AT575" s="31" t="s">
        <v>16414</v>
      </c>
      <c r="AU575" s="31" t="s">
        <v>13777</v>
      </c>
      <c r="AV575" s="31">
        <v>9606</v>
      </c>
      <c r="AW575" s="50" t="str">
        <f>HYPERLINK("http://www.uniprot.org/uniprot/Q86T13", "Q86T13")</f>
        <v>Q86T13</v>
      </c>
      <c r="AX575" s="31" t="s">
        <v>16415</v>
      </c>
      <c r="AY575" s="31" t="s">
        <v>13772</v>
      </c>
      <c r="AZ575" s="31" t="s">
        <v>13825</v>
      </c>
      <c r="BA575" s="31" t="s">
        <v>13772</v>
      </c>
      <c r="BB575" s="31" t="s">
        <v>13772</v>
      </c>
      <c r="BC575" s="31" t="s">
        <v>13772</v>
      </c>
      <c r="BD575" s="31" t="s">
        <v>16416</v>
      </c>
      <c r="BE575" s="31" t="s">
        <v>14277</v>
      </c>
      <c r="BF575" s="31" t="s">
        <v>13772</v>
      </c>
      <c r="BG575" s="31" t="s">
        <v>13796</v>
      </c>
      <c r="BH575" s="31" t="s">
        <v>13772</v>
      </c>
      <c r="BI575" s="31" t="s">
        <v>16417</v>
      </c>
      <c r="BJ575" s="31" t="s">
        <v>16418</v>
      </c>
      <c r="BK575" s="31" t="s">
        <v>16419</v>
      </c>
      <c r="BL575" s="31" t="s">
        <v>13772</v>
      </c>
      <c r="BM575" s="31" t="s">
        <v>13772</v>
      </c>
    </row>
    <row r="576" spans="1:65">
      <c r="A576">
        <v>290</v>
      </c>
      <c r="B576">
        <v>1</v>
      </c>
      <c r="C576">
        <v>571</v>
      </c>
      <c r="D576" t="s">
        <v>731</v>
      </c>
      <c r="E576" t="s">
        <v>73</v>
      </c>
      <c r="F576" t="s">
        <v>73</v>
      </c>
      <c r="G576">
        <v>51.3</v>
      </c>
      <c r="H576">
        <v>113</v>
      </c>
      <c r="I576">
        <v>12125</v>
      </c>
      <c r="J576" t="s">
        <v>732</v>
      </c>
      <c r="K576" s="3" t="s">
        <v>73</v>
      </c>
      <c r="L576">
        <v>59</v>
      </c>
      <c r="M576">
        <v>59</v>
      </c>
      <c r="N576">
        <v>1</v>
      </c>
      <c r="O576" s="11">
        <f t="shared" si="8"/>
        <v>3.6939604438166835</v>
      </c>
      <c r="P576" s="36">
        <v>4.8465735833389196</v>
      </c>
      <c r="Q576" s="36">
        <v>3.85225648270979</v>
      </c>
      <c r="R576" s="36">
        <v>0.40019941545306398</v>
      </c>
      <c r="S576" s="36">
        <v>7.5596087957661497</v>
      </c>
      <c r="T576" s="36">
        <v>13.762821758990301</v>
      </c>
      <c r="U576" s="36">
        <v>6.50809072647644</v>
      </c>
      <c r="V576" s="36">
        <v>5.2703114143232002</v>
      </c>
      <c r="W576" s="36">
        <v>7.78546878385845</v>
      </c>
      <c r="X576" s="37">
        <v>0.79475829324495695</v>
      </c>
      <c r="Y576" s="37">
        <v>1.89194894066486</v>
      </c>
      <c r="Z576" s="37">
        <v>0.200013587066836</v>
      </c>
      <c r="AA576" s="37">
        <v>0.21163676164998499</v>
      </c>
      <c r="AB576" s="37">
        <v>0.22969814145377901</v>
      </c>
      <c r="AC576" s="37">
        <v>2.36757171115537</v>
      </c>
      <c r="AD576" s="37">
        <v>0.377135011965606</v>
      </c>
      <c r="AE576" s="37">
        <v>3.0452736929492299</v>
      </c>
      <c r="AF576" s="45">
        <v>-2.4033335233780702</v>
      </c>
      <c r="AG576" s="45">
        <v>-5.4820281684133096</v>
      </c>
      <c r="AH576" s="46">
        <v>7.5109937119437201E-5</v>
      </c>
      <c r="AI576" s="47">
        <v>2.2038836812677E-4</v>
      </c>
      <c r="AJ576" s="48">
        <v>6.2481663701145296</v>
      </c>
      <c r="AK576" s="49">
        <v>1.1397545175188299</v>
      </c>
      <c r="AL576" s="31" t="s">
        <v>5875</v>
      </c>
      <c r="AM576" s="31" t="s">
        <v>5876</v>
      </c>
      <c r="AN576" s="31" t="s">
        <v>16434</v>
      </c>
      <c r="AO576" s="31" t="s">
        <v>16435</v>
      </c>
      <c r="AP576" s="31" t="s">
        <v>16436</v>
      </c>
      <c r="AQ576" s="31" t="s">
        <v>16437</v>
      </c>
      <c r="AR576" s="31" t="s">
        <v>16438</v>
      </c>
      <c r="AS576" s="31" t="str">
        <f>"PDZK1IP1"</f>
        <v>PDZK1IP1</v>
      </c>
      <c r="AT576" s="31" t="s">
        <v>16439</v>
      </c>
      <c r="AU576" s="31" t="s">
        <v>13777</v>
      </c>
      <c r="AV576" s="31">
        <v>9606</v>
      </c>
      <c r="AW576" s="50" t="str">
        <f>HYPERLINK("http://www.uniprot.org/uniprot/Q13113", "Q13113")</f>
        <v>Q13113</v>
      </c>
      <c r="AX576" s="31" t="s">
        <v>16440</v>
      </c>
      <c r="AY576" s="31" t="s">
        <v>13772</v>
      </c>
      <c r="AZ576" s="31" t="s">
        <v>13825</v>
      </c>
      <c r="BA576" s="31" t="s">
        <v>13772</v>
      </c>
      <c r="BB576" s="31" t="s">
        <v>13772</v>
      </c>
      <c r="BC576" s="31" t="s">
        <v>13772</v>
      </c>
      <c r="BD576" s="31" t="s">
        <v>13925</v>
      </c>
      <c r="BE576" s="31" t="s">
        <v>13772</v>
      </c>
      <c r="BF576" s="31" t="s">
        <v>13772</v>
      </c>
      <c r="BG576" s="31" t="s">
        <v>13782</v>
      </c>
      <c r="BH576" s="31" t="s">
        <v>13772</v>
      </c>
      <c r="BI576" s="31" t="s">
        <v>13772</v>
      </c>
      <c r="BJ576" s="31" t="s">
        <v>16441</v>
      </c>
      <c r="BK576" s="31" t="s">
        <v>13772</v>
      </c>
      <c r="BL576" s="31" t="s">
        <v>13772</v>
      </c>
      <c r="BM576" s="31" t="s">
        <v>13772</v>
      </c>
    </row>
    <row r="577" spans="1:65">
      <c r="A577">
        <v>325</v>
      </c>
      <c r="B577">
        <v>1</v>
      </c>
      <c r="C577">
        <v>572</v>
      </c>
      <c r="D577" t="s">
        <v>817</v>
      </c>
      <c r="E577" t="s">
        <v>818</v>
      </c>
      <c r="F577" t="s">
        <v>73</v>
      </c>
      <c r="G577">
        <v>18.8</v>
      </c>
      <c r="H577">
        <v>976</v>
      </c>
      <c r="I577">
        <v>107400</v>
      </c>
      <c r="J577" t="s">
        <v>819</v>
      </c>
      <c r="K577" s="3" t="s">
        <v>73</v>
      </c>
      <c r="L577">
        <v>59</v>
      </c>
      <c r="M577">
        <v>59</v>
      </c>
      <c r="N577">
        <v>1</v>
      </c>
      <c r="O577" s="11">
        <f t="shared" si="8"/>
        <v>3.9642654122866277</v>
      </c>
      <c r="P577" s="36">
        <v>7.2698603750083803</v>
      </c>
      <c r="Q577" s="36">
        <v>2.8891923620323401</v>
      </c>
      <c r="R577" s="36">
        <v>6.4031906472490299</v>
      </c>
      <c r="S577" s="36">
        <v>7.5596087957661497</v>
      </c>
      <c r="T577" s="36">
        <v>2.5805290798106801</v>
      </c>
      <c r="U577" s="36">
        <v>6.50809072647644</v>
      </c>
      <c r="V577" s="36">
        <v>5.2703114143232002</v>
      </c>
      <c r="W577" s="36">
        <v>5.8391015878938397</v>
      </c>
      <c r="X577" s="37">
        <v>0.19868957331123899</v>
      </c>
      <c r="Y577" s="37">
        <v>0.63064964688828595</v>
      </c>
      <c r="Z577" s="37">
        <v>5.6003804378713999</v>
      </c>
      <c r="AA577" s="37">
        <v>1.6930940931998799</v>
      </c>
      <c r="AB577" s="37">
        <v>0.22969814145377901</v>
      </c>
      <c r="AC577" s="37">
        <v>3.1567622815404999</v>
      </c>
      <c r="AD577" s="37">
        <v>1.50854004786242</v>
      </c>
      <c r="AE577" s="37">
        <v>6.0905473858984696</v>
      </c>
      <c r="AF577" s="45">
        <v>-1.2286096202979799</v>
      </c>
      <c r="AG577" s="45">
        <v>-2.31939743959758</v>
      </c>
      <c r="AH577" s="46">
        <v>1.8815258384217801E-2</v>
      </c>
      <c r="AI577" s="47">
        <v>3.2694565867640801E-2</v>
      </c>
      <c r="AJ577" s="48">
        <v>5.5399856235700096</v>
      </c>
      <c r="AK577" s="49">
        <v>2.3885452010032502</v>
      </c>
      <c r="AL577" s="31" t="s">
        <v>5875</v>
      </c>
      <c r="AM577" s="31" t="s">
        <v>5878</v>
      </c>
      <c r="AN577" s="31" t="s">
        <v>16801</v>
      </c>
      <c r="AO577" s="31" t="s">
        <v>16802</v>
      </c>
      <c r="AP577" s="31" t="s">
        <v>16803</v>
      </c>
      <c r="AQ577" s="31" t="s">
        <v>16804</v>
      </c>
      <c r="AR577" s="31" t="s">
        <v>16805</v>
      </c>
      <c r="AS577" s="31" t="str">
        <f>"EPHA1"</f>
        <v>EPHA1</v>
      </c>
      <c r="AT577" s="31" t="s">
        <v>16806</v>
      </c>
      <c r="AU577" s="31" t="s">
        <v>13777</v>
      </c>
      <c r="AV577" s="31">
        <v>9606</v>
      </c>
      <c r="AW577" s="50" t="str">
        <f>HYPERLINK("http://www.uniprot.org/uniprot/P21709", "P21709")</f>
        <v>P21709</v>
      </c>
      <c r="AX577" s="31" t="s">
        <v>16807</v>
      </c>
      <c r="AY577" s="31" t="s">
        <v>16808</v>
      </c>
      <c r="AZ577" s="31" t="s">
        <v>13792</v>
      </c>
      <c r="BA577" s="31" t="s">
        <v>13780</v>
      </c>
      <c r="BB577" s="31" t="s">
        <v>13772</v>
      </c>
      <c r="BC577" s="31" t="s">
        <v>13772</v>
      </c>
      <c r="BD577" s="31" t="s">
        <v>13826</v>
      </c>
      <c r="BE577" s="31" t="s">
        <v>14005</v>
      </c>
      <c r="BF577" s="31" t="s">
        <v>16809</v>
      </c>
      <c r="BG577" s="31" t="s">
        <v>16810</v>
      </c>
      <c r="BH577" s="31" t="s">
        <v>13812</v>
      </c>
      <c r="BI577" s="31" t="s">
        <v>16811</v>
      </c>
      <c r="BJ577" s="31" t="s">
        <v>16812</v>
      </c>
      <c r="BK577" s="31" t="s">
        <v>16813</v>
      </c>
      <c r="BL577" s="31" t="s">
        <v>13772</v>
      </c>
      <c r="BM577" s="31" t="s">
        <v>16814</v>
      </c>
    </row>
    <row r="578" spans="1:65">
      <c r="A578">
        <v>657</v>
      </c>
      <c r="B578">
        <v>1</v>
      </c>
      <c r="C578">
        <v>573</v>
      </c>
      <c r="D578" t="s">
        <v>1622</v>
      </c>
      <c r="E578" t="s">
        <v>1623</v>
      </c>
      <c r="F578" t="s">
        <v>73</v>
      </c>
      <c r="G578">
        <v>29.7</v>
      </c>
      <c r="H578">
        <v>532</v>
      </c>
      <c r="I578">
        <v>59673</v>
      </c>
      <c r="J578" t="s">
        <v>1624</v>
      </c>
      <c r="K578" s="3" t="s">
        <v>73</v>
      </c>
      <c r="L578">
        <v>59</v>
      </c>
      <c r="M578">
        <v>59</v>
      </c>
      <c r="N578">
        <v>1</v>
      </c>
      <c r="O578" s="11">
        <f t="shared" si="8"/>
        <v>3.1382915116487373</v>
      </c>
      <c r="P578" s="36">
        <v>1.2116433958347299</v>
      </c>
      <c r="Q578" s="36">
        <v>0.24076603016936199</v>
      </c>
      <c r="R578" s="36">
        <v>0.40019941545306398</v>
      </c>
      <c r="S578" s="36">
        <v>6.0476870366129196</v>
      </c>
      <c r="T578" s="36">
        <v>0.86017635993689201</v>
      </c>
      <c r="U578" s="36">
        <v>5.5783634798369501</v>
      </c>
      <c r="V578" s="36">
        <v>9.4865605457817708</v>
      </c>
      <c r="W578" s="36">
        <v>11.678203175787701</v>
      </c>
      <c r="X578" s="37">
        <v>0.19868957331123899</v>
      </c>
      <c r="Y578" s="37">
        <v>1.2612992937765699</v>
      </c>
      <c r="Z578" s="37">
        <v>0.200013587066836</v>
      </c>
      <c r="AA578" s="37">
        <v>5.0792822795996404</v>
      </c>
      <c r="AB578" s="37">
        <v>1.8375851316302301</v>
      </c>
      <c r="AC578" s="37">
        <v>1.5783811407702499</v>
      </c>
      <c r="AD578" s="37">
        <v>1.50854004786242</v>
      </c>
      <c r="AE578" s="37">
        <v>3.0452736929492299</v>
      </c>
      <c r="AF578" s="45">
        <v>-1.2685600871732601</v>
      </c>
      <c r="AG578" s="45">
        <v>-2.4137224256039498</v>
      </c>
      <c r="AH578" s="46">
        <v>8.6078627671625593E-2</v>
      </c>
      <c r="AI578" s="47">
        <v>0.124390721337007</v>
      </c>
      <c r="AJ578" s="48">
        <v>4.4379499299266696</v>
      </c>
      <c r="AK578" s="49">
        <v>1.8386330933707999</v>
      </c>
      <c r="AL578" s="31" t="s">
        <v>5875</v>
      </c>
      <c r="AM578" s="31" t="s">
        <v>5832</v>
      </c>
      <c r="AN578" s="31" t="s">
        <v>20254</v>
      </c>
      <c r="AO578" s="31" t="s">
        <v>13772</v>
      </c>
      <c r="AP578" s="31" t="s">
        <v>20255</v>
      </c>
      <c r="AQ578" s="31" t="s">
        <v>20256</v>
      </c>
      <c r="AR578" s="31" t="s">
        <v>20257</v>
      </c>
      <c r="AS578" s="31" t="str">
        <f>"BTD"</f>
        <v>BTD</v>
      </c>
      <c r="AT578" s="31" t="s">
        <v>13772</v>
      </c>
      <c r="AU578" s="31" t="s">
        <v>13777</v>
      </c>
      <c r="AV578" s="31">
        <v>9606</v>
      </c>
      <c r="AW578" s="50" t="str">
        <f>HYPERLINK("http://www.uniprot.org/uniprot/P43251", "P43251")</f>
        <v>P43251</v>
      </c>
      <c r="AX578" s="31" t="s">
        <v>20258</v>
      </c>
      <c r="AY578" s="31" t="s">
        <v>13772</v>
      </c>
      <c r="AZ578" s="31" t="s">
        <v>14321</v>
      </c>
      <c r="BA578" s="31" t="s">
        <v>13780</v>
      </c>
      <c r="BB578" s="31" t="s">
        <v>13772</v>
      </c>
      <c r="BC578" s="31" t="s">
        <v>13807</v>
      </c>
      <c r="BD578" s="31" t="s">
        <v>13808</v>
      </c>
      <c r="BE578" s="31" t="s">
        <v>13772</v>
      </c>
      <c r="BF578" s="31" t="s">
        <v>13857</v>
      </c>
      <c r="BG578" s="31" t="s">
        <v>13858</v>
      </c>
      <c r="BH578" s="31" t="s">
        <v>13772</v>
      </c>
      <c r="BI578" s="31" t="s">
        <v>20259</v>
      </c>
      <c r="BJ578" s="31" t="s">
        <v>20260</v>
      </c>
      <c r="BK578" s="31" t="s">
        <v>20261</v>
      </c>
      <c r="BL578" s="31" t="s">
        <v>13772</v>
      </c>
      <c r="BM578" s="31" t="s">
        <v>20262</v>
      </c>
    </row>
    <row r="579" spans="1:65">
      <c r="A579">
        <v>742</v>
      </c>
      <c r="B579">
        <v>1</v>
      </c>
      <c r="C579">
        <v>574</v>
      </c>
      <c r="D579" t="s">
        <v>1823</v>
      </c>
      <c r="E579" t="s">
        <v>73</v>
      </c>
      <c r="F579" t="s">
        <v>73</v>
      </c>
      <c r="G579">
        <v>36.700000000000003</v>
      </c>
      <c r="H579">
        <v>270</v>
      </c>
      <c r="I579">
        <v>29150</v>
      </c>
      <c r="J579" t="s">
        <v>1824</v>
      </c>
      <c r="K579" s="3" t="s">
        <v>73</v>
      </c>
      <c r="L579">
        <v>59</v>
      </c>
      <c r="M579">
        <v>59</v>
      </c>
      <c r="N579">
        <v>1</v>
      </c>
      <c r="O579" s="11">
        <f t="shared" si="8"/>
        <v>3.1810990380416957</v>
      </c>
      <c r="P579" s="36">
        <v>1.2116433958347299</v>
      </c>
      <c r="Q579" s="36">
        <v>0.96306412067744696</v>
      </c>
      <c r="R579" s="36">
        <v>0.40019941545306398</v>
      </c>
      <c r="S579" s="36">
        <v>0.37798043978830698</v>
      </c>
      <c r="T579" s="36">
        <v>0.215044089984223</v>
      </c>
      <c r="U579" s="36">
        <v>0.92972724663949102</v>
      </c>
      <c r="V579" s="36">
        <v>0.26351557071616</v>
      </c>
      <c r="W579" s="36">
        <v>0.24329589949557701</v>
      </c>
      <c r="X579" s="37">
        <v>1.5895165864899099</v>
      </c>
      <c r="Y579" s="37">
        <v>4.4145475282179998</v>
      </c>
      <c r="Z579" s="37">
        <v>2.4001630448020301</v>
      </c>
      <c r="AA579" s="37">
        <v>5.9258293261995796</v>
      </c>
      <c r="AB579" s="37">
        <v>7.3503405265209096</v>
      </c>
      <c r="AC579" s="37">
        <v>7.8919057038512497</v>
      </c>
      <c r="AD579" s="37">
        <v>3.0170800957248498</v>
      </c>
      <c r="AE579" s="37">
        <v>13.7037316182716</v>
      </c>
      <c r="AF579" s="45">
        <v>3.0291649531721601</v>
      </c>
      <c r="AG579" s="45">
        <v>10.053950321004001</v>
      </c>
      <c r="AH579" s="46">
        <v>5.1238410014206204E-6</v>
      </c>
      <c r="AI579" s="47">
        <v>2.0649696565966201E-5</v>
      </c>
      <c r="AJ579" s="48">
        <v>0.57555877232362496</v>
      </c>
      <c r="AK579" s="49">
        <v>5.7866393037597597</v>
      </c>
      <c r="AL579" s="31" t="s">
        <v>5874</v>
      </c>
      <c r="AM579" s="31" t="s">
        <v>5876</v>
      </c>
      <c r="AN579" s="31" t="s">
        <v>21076</v>
      </c>
      <c r="AO579" s="31" t="s">
        <v>13772</v>
      </c>
      <c r="AP579" s="31" t="s">
        <v>21077</v>
      </c>
      <c r="AQ579" s="31" t="s">
        <v>21078</v>
      </c>
      <c r="AR579" s="31" t="s">
        <v>21079</v>
      </c>
      <c r="AS579" s="31" t="str">
        <f>"MYDGF"</f>
        <v>MYDGF</v>
      </c>
      <c r="AT579" s="31" t="s">
        <v>13772</v>
      </c>
      <c r="AU579" s="31" t="s">
        <v>13777</v>
      </c>
      <c r="AV579" s="31">
        <v>9606</v>
      </c>
      <c r="AW579" s="50" t="str">
        <f>HYPERLINK("http://www.uniprot.org/uniprot/Q969H8", "Q969H8")</f>
        <v>Q969H8</v>
      </c>
      <c r="AX579" s="31" t="s">
        <v>21080</v>
      </c>
      <c r="AY579" s="31" t="s">
        <v>21081</v>
      </c>
      <c r="AZ579" s="31" t="s">
        <v>21082</v>
      </c>
      <c r="BA579" s="31" t="s">
        <v>13793</v>
      </c>
      <c r="BB579" s="31" t="s">
        <v>13772</v>
      </c>
      <c r="BC579" s="31" t="s">
        <v>13772</v>
      </c>
      <c r="BD579" s="31" t="s">
        <v>13808</v>
      </c>
      <c r="BE579" s="31" t="s">
        <v>13772</v>
      </c>
      <c r="BF579" s="31" t="s">
        <v>13772</v>
      </c>
      <c r="BG579" s="31" t="s">
        <v>13772</v>
      </c>
      <c r="BH579" s="31" t="s">
        <v>13772</v>
      </c>
      <c r="BI579" s="31" t="s">
        <v>21083</v>
      </c>
      <c r="BJ579" s="31" t="s">
        <v>21084</v>
      </c>
      <c r="BK579" s="31" t="s">
        <v>13772</v>
      </c>
      <c r="BL579" s="31" t="s">
        <v>13772</v>
      </c>
      <c r="BM579" s="31" t="s">
        <v>19986</v>
      </c>
    </row>
    <row r="580" spans="1:65">
      <c r="A580">
        <v>1230</v>
      </c>
      <c r="B580">
        <v>1</v>
      </c>
      <c r="C580">
        <v>575</v>
      </c>
      <c r="D580" t="s">
        <v>2953</v>
      </c>
      <c r="E580" t="s">
        <v>73</v>
      </c>
      <c r="F580" t="s">
        <v>73</v>
      </c>
      <c r="G580">
        <v>73.099999999999994</v>
      </c>
      <c r="H580">
        <v>156</v>
      </c>
      <c r="I580">
        <v>17266</v>
      </c>
      <c r="J580" t="s">
        <v>2954</v>
      </c>
      <c r="K580" s="3" t="s">
        <v>73</v>
      </c>
      <c r="L580">
        <v>59</v>
      </c>
      <c r="M580">
        <v>59</v>
      </c>
      <c r="N580">
        <v>1</v>
      </c>
      <c r="O580" s="11">
        <f t="shared" si="8"/>
        <v>3.6104834744171281</v>
      </c>
      <c r="P580" s="36">
        <v>0.30291084895868198</v>
      </c>
      <c r="Q580" s="36">
        <v>1.9261282413548899</v>
      </c>
      <c r="R580" s="36">
        <v>1.6007976618122599</v>
      </c>
      <c r="S580" s="36">
        <v>3.0238435183064598</v>
      </c>
      <c r="T580" s="36">
        <v>0.215044089984223</v>
      </c>
      <c r="U580" s="36">
        <v>0.23243181165987301</v>
      </c>
      <c r="V580" s="36">
        <v>0.26351557071616</v>
      </c>
      <c r="W580" s="36">
        <v>0.24329589949557701</v>
      </c>
      <c r="X580" s="37">
        <v>7.9475829324495697</v>
      </c>
      <c r="Y580" s="37">
        <v>11.351693643989099</v>
      </c>
      <c r="Z580" s="37">
        <v>3.2002173930693698</v>
      </c>
      <c r="AA580" s="37">
        <v>1.6930940931998799</v>
      </c>
      <c r="AB580" s="37">
        <v>3.6751702632604601</v>
      </c>
      <c r="AC580" s="37">
        <v>0.78919057038512497</v>
      </c>
      <c r="AD580" s="37">
        <v>1.50854004786242</v>
      </c>
      <c r="AE580" s="37">
        <v>19.794279004170001</v>
      </c>
      <c r="AF580" s="45">
        <v>2.62838347327807</v>
      </c>
      <c r="AG580" s="45">
        <v>6.3985623708021997</v>
      </c>
      <c r="AH580" s="46">
        <v>1.06573669503917E-3</v>
      </c>
      <c r="AI580" s="47">
        <v>2.37659282993736E-3</v>
      </c>
      <c r="AJ580" s="48">
        <v>0.97599595528601601</v>
      </c>
      <c r="AK580" s="49">
        <v>6.2449709935482502</v>
      </c>
      <c r="AL580" s="31" t="s">
        <v>5874</v>
      </c>
      <c r="AM580" s="31" t="s">
        <v>5876</v>
      </c>
      <c r="AN580" s="31" t="s">
        <v>25646</v>
      </c>
      <c r="AO580" s="31" t="s">
        <v>25647</v>
      </c>
      <c r="AP580" s="31" t="s">
        <v>25648</v>
      </c>
      <c r="AQ580" s="31" t="s">
        <v>25649</v>
      </c>
      <c r="AR580" s="31" t="s">
        <v>25650</v>
      </c>
      <c r="AS580" s="31" t="str">
        <f>"PRAP1"</f>
        <v>PRAP1</v>
      </c>
      <c r="AT580" s="31" t="s">
        <v>25651</v>
      </c>
      <c r="AU580" s="31" t="s">
        <v>13777</v>
      </c>
      <c r="AV580" s="31">
        <v>9606</v>
      </c>
      <c r="AW580" s="50" t="str">
        <f>HYPERLINK("http://www.uniprot.org/uniprot/Q96NZ9", "Q96NZ9")</f>
        <v>Q96NZ9</v>
      </c>
      <c r="AX580" s="31" t="s">
        <v>25652</v>
      </c>
      <c r="AY580" s="31" t="s">
        <v>13772</v>
      </c>
      <c r="AZ580" s="31" t="s">
        <v>14321</v>
      </c>
      <c r="BA580" s="31" t="s">
        <v>13780</v>
      </c>
      <c r="BB580" s="31" t="s">
        <v>13772</v>
      </c>
      <c r="BC580" s="31" t="s">
        <v>13772</v>
      </c>
      <c r="BD580" s="31" t="s">
        <v>13808</v>
      </c>
      <c r="BE580" s="31" t="s">
        <v>13772</v>
      </c>
      <c r="BF580" s="31" t="s">
        <v>13772</v>
      </c>
      <c r="BG580" s="31" t="s">
        <v>13772</v>
      </c>
      <c r="BH580" s="31" t="s">
        <v>13772</v>
      </c>
      <c r="BI580" s="31" t="s">
        <v>13772</v>
      </c>
      <c r="BJ580" s="31" t="s">
        <v>15346</v>
      </c>
      <c r="BK580" s="31" t="s">
        <v>13772</v>
      </c>
      <c r="BL580" s="31" t="s">
        <v>13772</v>
      </c>
      <c r="BM580" s="31" t="s">
        <v>13772</v>
      </c>
    </row>
    <row r="581" spans="1:65">
      <c r="A581">
        <v>1582</v>
      </c>
      <c r="B581">
        <v>1</v>
      </c>
      <c r="C581">
        <v>576</v>
      </c>
      <c r="D581" t="s">
        <v>3749</v>
      </c>
      <c r="E581" t="s">
        <v>73</v>
      </c>
      <c r="F581" t="s">
        <v>73</v>
      </c>
      <c r="G581">
        <v>50.5</v>
      </c>
      <c r="H581">
        <v>586</v>
      </c>
      <c r="I581">
        <v>66457</v>
      </c>
      <c r="J581" t="s">
        <v>3750</v>
      </c>
      <c r="K581" s="3" t="s">
        <v>73</v>
      </c>
      <c r="L581">
        <v>59</v>
      </c>
      <c r="M581">
        <v>56</v>
      </c>
      <c r="N581">
        <v>0.94899999999999995</v>
      </c>
      <c r="O581" s="11">
        <f t="shared" si="8"/>
        <v>3.0522180585270831</v>
      </c>
      <c r="P581" s="36">
        <v>0.30291084895868198</v>
      </c>
      <c r="Q581" s="36">
        <v>0.24076603016936199</v>
      </c>
      <c r="R581" s="36">
        <v>0.40019941545306398</v>
      </c>
      <c r="S581" s="36">
        <v>0.37798043978830698</v>
      </c>
      <c r="T581" s="36">
        <v>0.215044089984223</v>
      </c>
      <c r="U581" s="36">
        <v>0.92972724663949102</v>
      </c>
      <c r="V581" s="36">
        <v>0.26351557071616</v>
      </c>
      <c r="W581" s="36">
        <v>0.97318359798230603</v>
      </c>
      <c r="X581" s="37">
        <v>7.1528246392046197</v>
      </c>
      <c r="Y581" s="37">
        <v>4.7929373163509696</v>
      </c>
      <c r="Z581" s="37">
        <v>20.801413054950899</v>
      </c>
      <c r="AA581" s="37">
        <v>3.2168787770797702</v>
      </c>
      <c r="AB581" s="37">
        <v>3.6751702632604601</v>
      </c>
      <c r="AC581" s="37">
        <v>4.7351434223107498</v>
      </c>
      <c r="AD581" s="37">
        <v>0.377135011965606</v>
      </c>
      <c r="AE581" s="37">
        <v>0.38065921161865401</v>
      </c>
      <c r="AF581" s="45">
        <v>3.32634915538809</v>
      </c>
      <c r="AG581" s="45">
        <v>12.186922401299899</v>
      </c>
      <c r="AH581" s="46">
        <v>5.2253753064266201E-5</v>
      </c>
      <c r="AI581" s="47">
        <v>1.5889891272724601E-4</v>
      </c>
      <c r="AJ581" s="48">
        <v>0.46291590496145002</v>
      </c>
      <c r="AK581" s="49">
        <v>5.6415202120927201</v>
      </c>
      <c r="AL581" s="31" t="s">
        <v>5874</v>
      </c>
      <c r="AM581" s="31" t="s">
        <v>5876</v>
      </c>
      <c r="AN581" s="31" t="s">
        <v>28970</v>
      </c>
      <c r="AO581" s="31" t="s">
        <v>13772</v>
      </c>
      <c r="AP581" s="31" t="s">
        <v>28971</v>
      </c>
      <c r="AQ581" s="31" t="s">
        <v>28972</v>
      </c>
      <c r="AR581" s="31" t="s">
        <v>28973</v>
      </c>
      <c r="AS581" s="31" t="str">
        <f>"LMNB1"</f>
        <v>LMNB1</v>
      </c>
      <c r="AT581" s="31" t="s">
        <v>28974</v>
      </c>
      <c r="AU581" s="31" t="s">
        <v>13777</v>
      </c>
      <c r="AV581" s="31">
        <v>9606</v>
      </c>
      <c r="AW581" s="50" t="str">
        <f>HYPERLINK("http://www.uniprot.org/uniprot/P20700", "P20700")</f>
        <v>P20700</v>
      </c>
      <c r="AX581" s="31" t="s">
        <v>28975</v>
      </c>
      <c r="AY581" s="31" t="s">
        <v>13772</v>
      </c>
      <c r="AZ581" s="31" t="s">
        <v>20600</v>
      </c>
      <c r="BA581" s="31" t="s">
        <v>13870</v>
      </c>
      <c r="BB581" s="31" t="s">
        <v>13772</v>
      </c>
      <c r="BC581" s="31" t="s">
        <v>28976</v>
      </c>
      <c r="BD581" s="31" t="s">
        <v>14245</v>
      </c>
      <c r="BE581" s="31" t="s">
        <v>13772</v>
      </c>
      <c r="BF581" s="31" t="s">
        <v>13772</v>
      </c>
      <c r="BG581" s="31" t="s">
        <v>28977</v>
      </c>
      <c r="BH581" s="31" t="s">
        <v>13812</v>
      </c>
      <c r="BI581" s="31" t="s">
        <v>28978</v>
      </c>
      <c r="BJ581" s="31" t="s">
        <v>28979</v>
      </c>
      <c r="BK581" s="31" t="s">
        <v>28980</v>
      </c>
      <c r="BL581" s="31" t="s">
        <v>13772</v>
      </c>
      <c r="BM581" s="31" t="s">
        <v>28981</v>
      </c>
    </row>
    <row r="582" spans="1:65">
      <c r="A582">
        <v>165</v>
      </c>
      <c r="B582">
        <v>1</v>
      </c>
      <c r="C582">
        <v>577</v>
      </c>
      <c r="D582" t="s">
        <v>419</v>
      </c>
      <c r="E582" t="s">
        <v>73</v>
      </c>
      <c r="F582" t="s">
        <v>73</v>
      </c>
      <c r="G582">
        <v>53.2</v>
      </c>
      <c r="H582">
        <v>216</v>
      </c>
      <c r="I582">
        <v>23805</v>
      </c>
      <c r="J582" t="s">
        <v>420</v>
      </c>
      <c r="K582" s="3" t="s">
        <v>73</v>
      </c>
      <c r="L582">
        <v>58</v>
      </c>
      <c r="M582">
        <v>58</v>
      </c>
      <c r="N582">
        <v>1</v>
      </c>
      <c r="O582" s="11">
        <f t="shared" si="8"/>
        <v>2.9338706219878157</v>
      </c>
      <c r="P582" s="36">
        <v>1.2116433958347299</v>
      </c>
      <c r="Q582" s="36">
        <v>4.8153206033872298</v>
      </c>
      <c r="R582" s="36">
        <v>1.6007976618122599</v>
      </c>
      <c r="S582" s="36">
        <v>4.5357652774596904</v>
      </c>
      <c r="T582" s="36">
        <v>8.6017635993689208</v>
      </c>
      <c r="U582" s="36">
        <v>3.7189089865579601</v>
      </c>
      <c r="V582" s="36">
        <v>2.10812456572928</v>
      </c>
      <c r="W582" s="36">
        <v>0.97318359798230603</v>
      </c>
      <c r="X582" s="37">
        <v>1.5895165864899099</v>
      </c>
      <c r="Y582" s="37">
        <v>3.1532482344414299</v>
      </c>
      <c r="Z582" s="37">
        <v>4.8003260896040603</v>
      </c>
      <c r="AA582" s="37">
        <v>3.3861881863997598</v>
      </c>
      <c r="AB582" s="37">
        <v>1.8375851316302301</v>
      </c>
      <c r="AC582" s="37">
        <v>1.5783811407702499</v>
      </c>
      <c r="AD582" s="37">
        <v>1.50854004786242</v>
      </c>
      <c r="AE582" s="37">
        <v>1.5226368464746201</v>
      </c>
      <c r="AF582" s="45">
        <v>-0.48218032000618</v>
      </c>
      <c r="AG582" s="45">
        <v>-1.4226314493472201</v>
      </c>
      <c r="AH582" s="46">
        <v>0.34859994774122999</v>
      </c>
      <c r="AI582" s="47">
        <v>0.428701038674417</v>
      </c>
      <c r="AJ582" s="48">
        <v>3.4456884610165499</v>
      </c>
      <c r="AK582" s="49">
        <v>2.4220527829590801</v>
      </c>
      <c r="AL582" s="31" t="s">
        <v>5875</v>
      </c>
      <c r="AM582" s="31" t="s">
        <v>5832</v>
      </c>
      <c r="AN582" s="31" t="s">
        <v>15042</v>
      </c>
      <c r="AO582" s="31" t="s">
        <v>15043</v>
      </c>
      <c r="AP582" s="31" t="s">
        <v>15044</v>
      </c>
      <c r="AQ582" s="31" t="s">
        <v>15045</v>
      </c>
      <c r="AR582" s="31" t="s">
        <v>15046</v>
      </c>
      <c r="AS582" s="31" t="str">
        <f>"PPIB"</f>
        <v>PPIB</v>
      </c>
      <c r="AT582" s="31" t="s">
        <v>15047</v>
      </c>
      <c r="AU582" s="31" t="s">
        <v>13777</v>
      </c>
      <c r="AV582" s="31">
        <v>9606</v>
      </c>
      <c r="AW582" s="50" t="str">
        <f>HYPERLINK("http://www.uniprot.org/uniprot/P23284", "P23284")</f>
        <v>P23284</v>
      </c>
      <c r="AX582" s="31" t="s">
        <v>15048</v>
      </c>
      <c r="AY582" s="31" t="s">
        <v>13772</v>
      </c>
      <c r="AZ582" s="31" t="s">
        <v>14908</v>
      </c>
      <c r="BA582" s="31" t="s">
        <v>13793</v>
      </c>
      <c r="BB582" s="31" t="s">
        <v>13772</v>
      </c>
      <c r="BC582" s="31" t="s">
        <v>15049</v>
      </c>
      <c r="BD582" s="31" t="s">
        <v>13808</v>
      </c>
      <c r="BE582" s="31" t="s">
        <v>13772</v>
      </c>
      <c r="BF582" s="31" t="s">
        <v>15050</v>
      </c>
      <c r="BG582" s="31" t="s">
        <v>15051</v>
      </c>
      <c r="BH582" s="31" t="s">
        <v>13812</v>
      </c>
      <c r="BI582" s="31" t="s">
        <v>15052</v>
      </c>
      <c r="BJ582" s="31" t="s">
        <v>15053</v>
      </c>
      <c r="BK582" s="31" t="s">
        <v>15054</v>
      </c>
      <c r="BL582" s="31" t="s">
        <v>13772</v>
      </c>
      <c r="BM582" s="31" t="s">
        <v>15055</v>
      </c>
    </row>
    <row r="583" spans="1:65">
      <c r="A583">
        <v>578</v>
      </c>
      <c r="B583">
        <v>1</v>
      </c>
      <c r="C583">
        <v>578</v>
      </c>
      <c r="D583" t="s">
        <v>1438</v>
      </c>
      <c r="E583" t="s">
        <v>73</v>
      </c>
      <c r="F583" t="s">
        <v>73</v>
      </c>
      <c r="G583">
        <v>45.5</v>
      </c>
      <c r="H583">
        <v>44</v>
      </c>
      <c r="I583">
        <v>5026</v>
      </c>
      <c r="J583" t="s">
        <v>1439</v>
      </c>
      <c r="K583" s="3" t="s">
        <v>73</v>
      </c>
      <c r="L583">
        <v>58</v>
      </c>
      <c r="M583">
        <v>58</v>
      </c>
      <c r="N583">
        <v>1</v>
      </c>
      <c r="O583" s="11">
        <f t="shared" ref="O583:O646" si="9">AVERAGE(P583:AE583)</f>
        <v>3.1524052631421418</v>
      </c>
      <c r="P583" s="36">
        <v>3.6349301875041902</v>
      </c>
      <c r="Q583" s="36">
        <v>0.24076603016936199</v>
      </c>
      <c r="R583" s="36">
        <v>0.40019941545306398</v>
      </c>
      <c r="S583" s="36">
        <v>0.37798043978830698</v>
      </c>
      <c r="T583" s="36">
        <v>0.215044089984223</v>
      </c>
      <c r="U583" s="36">
        <v>0.23243181165987301</v>
      </c>
      <c r="V583" s="36">
        <v>1.05406228286464</v>
      </c>
      <c r="W583" s="36">
        <v>0.97318359798230603</v>
      </c>
      <c r="X583" s="37">
        <v>7.9475829324495697</v>
      </c>
      <c r="Y583" s="37">
        <v>6.3064964688828598</v>
      </c>
      <c r="Z583" s="37">
        <v>6.4004347861387396</v>
      </c>
      <c r="AA583" s="37">
        <v>4.2327352329997003</v>
      </c>
      <c r="AB583" s="37">
        <v>4.5939628290755703</v>
      </c>
      <c r="AC583" s="37">
        <v>4.7351434223107498</v>
      </c>
      <c r="AD583" s="37">
        <v>4.5256201435872701</v>
      </c>
      <c r="AE583" s="37">
        <v>4.5679105394238499</v>
      </c>
      <c r="AF583" s="45">
        <v>2.53796162017386</v>
      </c>
      <c r="AG583" s="45">
        <v>6.0755126370362298</v>
      </c>
      <c r="AH583" s="46">
        <v>1.4534055219396299E-6</v>
      </c>
      <c r="AI583" s="47">
        <v>6.7994985606825804E-6</v>
      </c>
      <c r="AJ583" s="48">
        <v>0.89107473192574504</v>
      </c>
      <c r="AK583" s="49">
        <v>5.4137357943585398</v>
      </c>
      <c r="AL583" s="31" t="s">
        <v>5874</v>
      </c>
      <c r="AM583" s="31" t="s">
        <v>5876</v>
      </c>
      <c r="AN583" s="31" t="s">
        <v>19470</v>
      </c>
      <c r="AO583" s="31" t="s">
        <v>13772</v>
      </c>
      <c r="AP583" s="31" t="s">
        <v>19471</v>
      </c>
      <c r="AQ583" s="31" t="s">
        <v>19472</v>
      </c>
      <c r="AR583" s="31" t="s">
        <v>19473</v>
      </c>
      <c r="AS583" s="31" t="str">
        <f>"TMSB10"</f>
        <v>TMSB10</v>
      </c>
      <c r="AT583" s="31" t="s">
        <v>19474</v>
      </c>
      <c r="AU583" s="31" t="s">
        <v>13777</v>
      </c>
      <c r="AV583" s="31">
        <v>9606</v>
      </c>
      <c r="AW583" s="50" t="str">
        <f>HYPERLINK("http://www.uniprot.org/uniprot/P63313", "P63313")</f>
        <v>P63313</v>
      </c>
      <c r="AX583" s="31" t="s">
        <v>19475</v>
      </c>
      <c r="AY583" s="31" t="s">
        <v>13772</v>
      </c>
      <c r="AZ583" s="31" t="s">
        <v>13988</v>
      </c>
      <c r="BA583" s="31" t="s">
        <v>13793</v>
      </c>
      <c r="BB583" s="31" t="s">
        <v>13772</v>
      </c>
      <c r="BC583" s="31" t="s">
        <v>13772</v>
      </c>
      <c r="BD583" s="31" t="s">
        <v>13772</v>
      </c>
      <c r="BE583" s="31" t="s">
        <v>13772</v>
      </c>
      <c r="BF583" s="31" t="s">
        <v>13990</v>
      </c>
      <c r="BG583" s="31" t="s">
        <v>13886</v>
      </c>
      <c r="BH583" s="31" t="s">
        <v>13772</v>
      </c>
      <c r="BI583" s="31" t="s">
        <v>19476</v>
      </c>
      <c r="BJ583" s="31" t="s">
        <v>19477</v>
      </c>
      <c r="BK583" s="31" t="s">
        <v>19478</v>
      </c>
      <c r="BL583" s="31" t="s">
        <v>13772</v>
      </c>
      <c r="BM583" s="31" t="s">
        <v>13772</v>
      </c>
    </row>
    <row r="584" spans="1:65">
      <c r="A584">
        <v>681</v>
      </c>
      <c r="B584">
        <v>1</v>
      </c>
      <c r="C584">
        <v>579</v>
      </c>
      <c r="D584" t="s">
        <v>1676</v>
      </c>
      <c r="E584" t="s">
        <v>73</v>
      </c>
      <c r="F584" t="s">
        <v>73</v>
      </c>
      <c r="G584">
        <v>40.4</v>
      </c>
      <c r="H584">
        <v>193</v>
      </c>
      <c r="I584">
        <v>21768</v>
      </c>
      <c r="J584" t="s">
        <v>1678</v>
      </c>
      <c r="K584" s="3" t="s">
        <v>73</v>
      </c>
      <c r="L584">
        <v>62</v>
      </c>
      <c r="M584">
        <v>36</v>
      </c>
      <c r="N584">
        <v>0.58099999999999996</v>
      </c>
      <c r="O584" s="11">
        <f t="shared" si="9"/>
        <v>3.3266148157438407</v>
      </c>
      <c r="P584" s="36">
        <v>3.6349301875041902</v>
      </c>
      <c r="Q584" s="36">
        <v>2.6002731258291099</v>
      </c>
      <c r="R584" s="36">
        <v>4.8023929854367697</v>
      </c>
      <c r="S584" s="36">
        <v>4.5357652774596904</v>
      </c>
      <c r="T584" s="36">
        <v>3.4407054397475698</v>
      </c>
      <c r="U584" s="36">
        <v>3.06809991391032</v>
      </c>
      <c r="V584" s="36">
        <v>5.2703114143232002</v>
      </c>
      <c r="W584" s="36">
        <v>3.8927343919292201</v>
      </c>
      <c r="X584" s="37">
        <v>7.9475829324495697</v>
      </c>
      <c r="Y584" s="37">
        <v>3.1532482344414299</v>
      </c>
      <c r="Z584" s="37">
        <v>4.8003260896040603</v>
      </c>
      <c r="AA584" s="37">
        <v>1.6930940931998799</v>
      </c>
      <c r="AB584" s="37">
        <v>0.91879256581511404</v>
      </c>
      <c r="AC584" s="37">
        <v>1.5783811407702499</v>
      </c>
      <c r="AD584" s="37">
        <v>1.50854004786242</v>
      </c>
      <c r="AE584" s="37">
        <v>0.38065921161865401</v>
      </c>
      <c r="AF584" s="45">
        <v>-0.36085089954134703</v>
      </c>
      <c r="AG584" s="45">
        <v>-1.4214888661617999</v>
      </c>
      <c r="AH584" s="46">
        <v>0.42981671479719202</v>
      </c>
      <c r="AI584" s="47">
        <v>0.51347746821307405</v>
      </c>
      <c r="AJ584" s="48">
        <v>3.9056515920175099</v>
      </c>
      <c r="AK584" s="49">
        <v>2.7475780394701701</v>
      </c>
      <c r="AL584" s="31" t="s">
        <v>5875</v>
      </c>
      <c r="AM584" s="31" t="s">
        <v>5832</v>
      </c>
      <c r="AN584" s="31" t="s">
        <v>20503</v>
      </c>
      <c r="AO584" s="31" t="s">
        <v>20504</v>
      </c>
      <c r="AP584" s="31" t="s">
        <v>20505</v>
      </c>
      <c r="AQ584" s="31" t="s">
        <v>20506</v>
      </c>
      <c r="AR584" s="31" t="s">
        <v>20507</v>
      </c>
      <c r="AS584" s="31" t="str">
        <f>"RHOA"</f>
        <v>RHOA</v>
      </c>
      <c r="AT584" s="31" t="s">
        <v>20508</v>
      </c>
      <c r="AU584" s="31" t="s">
        <v>13777</v>
      </c>
      <c r="AV584" s="31">
        <v>9606</v>
      </c>
      <c r="AW584" s="50" t="str">
        <f>HYPERLINK("http://www.uniprot.org/uniprot/P61586", "P61586")</f>
        <v>P61586</v>
      </c>
      <c r="AX584" s="31" t="s">
        <v>20509</v>
      </c>
      <c r="AY584" s="31" t="s">
        <v>20510</v>
      </c>
      <c r="AZ584" s="31" t="s">
        <v>14215</v>
      </c>
      <c r="BA584" s="31" t="s">
        <v>13772</v>
      </c>
      <c r="BB584" s="31" t="s">
        <v>13772</v>
      </c>
      <c r="BC584" s="31" t="s">
        <v>14244</v>
      </c>
      <c r="BD584" s="31" t="s">
        <v>13772</v>
      </c>
      <c r="BE584" s="31" t="s">
        <v>20511</v>
      </c>
      <c r="BF584" s="31" t="s">
        <v>13772</v>
      </c>
      <c r="BG584" s="31" t="s">
        <v>20512</v>
      </c>
      <c r="BH584" s="31" t="s">
        <v>13812</v>
      </c>
      <c r="BI584" s="31" t="s">
        <v>20513</v>
      </c>
      <c r="BJ584" s="31" t="s">
        <v>20514</v>
      </c>
      <c r="BK584" s="31" t="s">
        <v>20515</v>
      </c>
      <c r="BL584" s="31" t="s">
        <v>13772</v>
      </c>
      <c r="BM584" s="31" t="s">
        <v>20516</v>
      </c>
    </row>
    <row r="585" spans="1:65">
      <c r="A585">
        <v>682</v>
      </c>
      <c r="B585">
        <v>1</v>
      </c>
      <c r="C585">
        <v>580</v>
      </c>
      <c r="D585" t="s">
        <v>1679</v>
      </c>
      <c r="E585" t="s">
        <v>73</v>
      </c>
      <c r="F585" t="s">
        <v>73</v>
      </c>
      <c r="G585">
        <v>25.9</v>
      </c>
      <c r="H585">
        <v>1845</v>
      </c>
      <c r="I585">
        <v>197369</v>
      </c>
      <c r="J585" t="s">
        <v>1680</v>
      </c>
      <c r="K585" s="3" t="s">
        <v>73</v>
      </c>
      <c r="L585">
        <v>58</v>
      </c>
      <c r="M585">
        <v>58</v>
      </c>
      <c r="N585">
        <v>1</v>
      </c>
      <c r="O585" s="11">
        <f t="shared" si="9"/>
        <v>3.1879757414254173</v>
      </c>
      <c r="P585" s="36">
        <v>0.30291084895868198</v>
      </c>
      <c r="Q585" s="36">
        <v>0.24076603016936199</v>
      </c>
      <c r="R585" s="36">
        <v>0.40019941545306398</v>
      </c>
      <c r="S585" s="36">
        <v>0.37798043978830698</v>
      </c>
      <c r="T585" s="36">
        <v>0.215044089984223</v>
      </c>
      <c r="U585" s="36">
        <v>0.23243181165987301</v>
      </c>
      <c r="V585" s="36">
        <v>0.26351557071616</v>
      </c>
      <c r="W585" s="36">
        <v>0.24329589949557701</v>
      </c>
      <c r="X585" s="37">
        <v>0.19868957331123899</v>
      </c>
      <c r="Y585" s="37">
        <v>8.1984454095477108</v>
      </c>
      <c r="Z585" s="37">
        <v>0.80005434826734301</v>
      </c>
      <c r="AA585" s="37">
        <v>0.21163676164998499</v>
      </c>
      <c r="AB585" s="37">
        <v>30.320154671898798</v>
      </c>
      <c r="AC585" s="37">
        <v>7.1027151334661296</v>
      </c>
      <c r="AD585" s="37">
        <v>0.377135011965606</v>
      </c>
      <c r="AE585" s="37">
        <v>1.5226368464746201</v>
      </c>
      <c r="AF585" s="45">
        <v>3.9820164648672698</v>
      </c>
      <c r="AG585" s="45">
        <v>21.409658388193002</v>
      </c>
      <c r="AH585" s="46">
        <v>2.0928859973050299E-4</v>
      </c>
      <c r="AI585" s="47">
        <v>5.4269020627793405E-4</v>
      </c>
      <c r="AJ585" s="48">
        <v>0.28451801327815601</v>
      </c>
      <c r="AK585" s="49">
        <v>6.09143346957267</v>
      </c>
      <c r="AL585" s="31" t="s">
        <v>5874</v>
      </c>
      <c r="AM585" s="31" t="s">
        <v>5876</v>
      </c>
      <c r="AN585" s="31" t="s">
        <v>20517</v>
      </c>
      <c r="AO585" s="31" t="s">
        <v>20518</v>
      </c>
      <c r="AP585" s="31" t="s">
        <v>20519</v>
      </c>
      <c r="AQ585" s="31" t="s">
        <v>20520</v>
      </c>
      <c r="AR585" s="31" t="s">
        <v>20521</v>
      </c>
      <c r="AS585" s="31" t="str">
        <f>"XIRP1"</f>
        <v>XIRP1</v>
      </c>
      <c r="AT585" s="31" t="s">
        <v>20522</v>
      </c>
      <c r="AU585" s="31" t="s">
        <v>13777</v>
      </c>
      <c r="AV585" s="31">
        <v>9606</v>
      </c>
      <c r="AW585" s="50" t="str">
        <f>HYPERLINK("http://www.uniprot.org/uniprot/Q702N8", "Q702N8")</f>
        <v>Q702N8</v>
      </c>
      <c r="AX585" s="31" t="s">
        <v>20523</v>
      </c>
      <c r="AY585" s="31" t="s">
        <v>13772</v>
      </c>
      <c r="AZ585" s="31" t="s">
        <v>20524</v>
      </c>
      <c r="BA585" s="31" t="s">
        <v>13780</v>
      </c>
      <c r="BB585" s="31" t="s">
        <v>13772</v>
      </c>
      <c r="BC585" s="31" t="s">
        <v>13772</v>
      </c>
      <c r="BD585" s="31" t="s">
        <v>14048</v>
      </c>
      <c r="BE585" s="31" t="s">
        <v>13772</v>
      </c>
      <c r="BF585" s="31" t="s">
        <v>13990</v>
      </c>
      <c r="BG585" s="31" t="s">
        <v>13782</v>
      </c>
      <c r="BH585" s="31" t="s">
        <v>13772</v>
      </c>
      <c r="BI585" s="31" t="s">
        <v>20525</v>
      </c>
      <c r="BJ585" s="31" t="s">
        <v>20526</v>
      </c>
      <c r="BK585" s="31" t="s">
        <v>20527</v>
      </c>
      <c r="BL585" s="31" t="s">
        <v>13772</v>
      </c>
      <c r="BM585" s="31" t="s">
        <v>13772</v>
      </c>
    </row>
    <row r="586" spans="1:65">
      <c r="A586">
        <v>1330</v>
      </c>
      <c r="B586">
        <v>1</v>
      </c>
      <c r="C586">
        <v>581</v>
      </c>
      <c r="D586" t="s">
        <v>3189</v>
      </c>
      <c r="E586" t="s">
        <v>73</v>
      </c>
      <c r="F586" t="s">
        <v>73</v>
      </c>
      <c r="G586">
        <v>49.3</v>
      </c>
      <c r="H586">
        <v>134</v>
      </c>
      <c r="I586">
        <v>15226</v>
      </c>
      <c r="J586" t="s">
        <v>3190</v>
      </c>
      <c r="K586" s="3" t="s">
        <v>73</v>
      </c>
      <c r="L586">
        <v>58</v>
      </c>
      <c r="M586">
        <v>58</v>
      </c>
      <c r="N586">
        <v>1</v>
      </c>
      <c r="O586" s="11">
        <f t="shared" si="9"/>
        <v>3.3846759158800368</v>
      </c>
      <c r="P586" s="36">
        <v>2.4232867916694598</v>
      </c>
      <c r="Q586" s="36">
        <v>0.24076603016936199</v>
      </c>
      <c r="R586" s="36">
        <v>0.40019941545306398</v>
      </c>
      <c r="S586" s="36">
        <v>0.37798043978830698</v>
      </c>
      <c r="T586" s="36">
        <v>0.215044089984223</v>
      </c>
      <c r="U586" s="36">
        <v>0.23243181165987301</v>
      </c>
      <c r="V586" s="36">
        <v>0.26351557071616</v>
      </c>
      <c r="W586" s="36">
        <v>0.24329589949557701</v>
      </c>
      <c r="X586" s="37">
        <v>6.35806634595966</v>
      </c>
      <c r="Y586" s="37">
        <v>5.0451971751062796</v>
      </c>
      <c r="Z586" s="37">
        <v>10.400706527475499</v>
      </c>
      <c r="AA586" s="37">
        <v>5.0792822795996404</v>
      </c>
      <c r="AB586" s="37">
        <v>3.6751702632604601</v>
      </c>
      <c r="AC586" s="37">
        <v>5.5243339926958699</v>
      </c>
      <c r="AD586" s="37">
        <v>3.0170800957248498</v>
      </c>
      <c r="AE586" s="37">
        <v>10.658457925322301</v>
      </c>
      <c r="AF586" s="45">
        <v>3.3097325321291602</v>
      </c>
      <c r="AG586" s="45">
        <v>11.317654429253899</v>
      </c>
      <c r="AH586" s="46">
        <v>1.4100855717576399E-7</v>
      </c>
      <c r="AI586" s="47">
        <v>9.0706466106333095E-7</v>
      </c>
      <c r="AJ586" s="48">
        <v>0.54956500611700299</v>
      </c>
      <c r="AK586" s="49">
        <v>6.2197868256430704</v>
      </c>
      <c r="AL586" s="31" t="s">
        <v>5874</v>
      </c>
      <c r="AM586" s="31" t="s">
        <v>5876</v>
      </c>
      <c r="AN586" s="31" t="s">
        <v>26649</v>
      </c>
      <c r="AO586" s="31" t="s">
        <v>26650</v>
      </c>
      <c r="AP586" s="31" t="s">
        <v>26651</v>
      </c>
      <c r="AQ586" s="31" t="s">
        <v>26652</v>
      </c>
      <c r="AR586" s="31" t="s">
        <v>13772</v>
      </c>
      <c r="AS586" s="31" t="str">
        <f>"CYTL1"</f>
        <v>CYTL1</v>
      </c>
      <c r="AT586" s="31" t="s">
        <v>26653</v>
      </c>
      <c r="AU586" s="31" t="s">
        <v>13777</v>
      </c>
      <c r="AV586" s="31">
        <v>9606</v>
      </c>
      <c r="AW586" s="50" t="str">
        <f>HYPERLINK("http://www.uniprot.org/uniprot/Q9NRR1", "Q9NRR1")</f>
        <v>Q9NRR1</v>
      </c>
      <c r="AX586" s="31" t="s">
        <v>18506</v>
      </c>
      <c r="AY586" s="31" t="s">
        <v>13772</v>
      </c>
      <c r="AZ586" s="31" t="s">
        <v>14321</v>
      </c>
      <c r="BA586" s="31" t="s">
        <v>13793</v>
      </c>
      <c r="BB586" s="31" t="s">
        <v>13772</v>
      </c>
      <c r="BC586" s="31" t="s">
        <v>13772</v>
      </c>
      <c r="BD586" s="31" t="s">
        <v>13808</v>
      </c>
      <c r="BE586" s="31" t="s">
        <v>13772</v>
      </c>
      <c r="BF586" s="31" t="s">
        <v>13772</v>
      </c>
      <c r="BG586" s="31" t="s">
        <v>13772</v>
      </c>
      <c r="BH586" s="31" t="s">
        <v>13772</v>
      </c>
      <c r="BI586" s="31" t="s">
        <v>26654</v>
      </c>
      <c r="BJ586" s="31" t="s">
        <v>14508</v>
      </c>
      <c r="BK586" s="31" t="s">
        <v>14749</v>
      </c>
      <c r="BL586" s="31" t="s">
        <v>13772</v>
      </c>
      <c r="BM586" s="31" t="s">
        <v>13772</v>
      </c>
    </row>
    <row r="587" spans="1:65">
      <c r="A587">
        <v>1797</v>
      </c>
      <c r="B587">
        <v>1</v>
      </c>
      <c r="C587">
        <v>582</v>
      </c>
      <c r="D587" t="s">
        <v>4249</v>
      </c>
      <c r="E587" t="s">
        <v>4250</v>
      </c>
      <c r="F587" t="s">
        <v>73</v>
      </c>
      <c r="G587">
        <v>19.899999999999999</v>
      </c>
      <c r="H587">
        <v>825</v>
      </c>
      <c r="I587">
        <v>90448</v>
      </c>
      <c r="J587" t="s">
        <v>4251</v>
      </c>
      <c r="K587" s="3" t="s">
        <v>73</v>
      </c>
      <c r="L587">
        <v>58</v>
      </c>
      <c r="M587">
        <v>58</v>
      </c>
      <c r="N587">
        <v>1</v>
      </c>
      <c r="O587" s="11">
        <f t="shared" si="9"/>
        <v>3.1028176943110504</v>
      </c>
      <c r="P587" s="36">
        <v>0.30291084895868198</v>
      </c>
      <c r="Q587" s="36">
        <v>2.8891923620323401</v>
      </c>
      <c r="R587" s="36">
        <v>0.40019941545306398</v>
      </c>
      <c r="S587" s="36">
        <v>0.37798043978830698</v>
      </c>
      <c r="T587" s="36">
        <v>0.215044089984223</v>
      </c>
      <c r="U587" s="36">
        <v>0.23243181165987301</v>
      </c>
      <c r="V587" s="36">
        <v>0.26351557071616</v>
      </c>
      <c r="W587" s="36">
        <v>0.97318359798230603</v>
      </c>
      <c r="X587" s="37">
        <v>3.9737914662247902</v>
      </c>
      <c r="Y587" s="37">
        <v>7.5677957626594301</v>
      </c>
      <c r="Z587" s="37">
        <v>10.400706527475499</v>
      </c>
      <c r="AA587" s="37">
        <v>6.7723763727995303</v>
      </c>
      <c r="AB587" s="37">
        <v>3.6751702632604601</v>
      </c>
      <c r="AC587" s="37">
        <v>5.5243339926958699</v>
      </c>
      <c r="AD587" s="37">
        <v>1.50854004786242</v>
      </c>
      <c r="AE587" s="37">
        <v>4.5679105394238499</v>
      </c>
      <c r="AF587" s="45">
        <v>2.75518472721006</v>
      </c>
      <c r="AG587" s="45">
        <v>7.77981265576192</v>
      </c>
      <c r="AH587" s="46">
        <v>3.9198873466769504E-6</v>
      </c>
      <c r="AI587" s="47">
        <v>1.6075600860679599E-5</v>
      </c>
      <c r="AJ587" s="48">
        <v>0.70680726707187003</v>
      </c>
      <c r="AK587" s="49">
        <v>5.4988281215502202</v>
      </c>
      <c r="AL587" s="31" t="s">
        <v>5874</v>
      </c>
      <c r="AM587" s="31" t="s">
        <v>5876</v>
      </c>
      <c r="AN587" s="31" t="s">
        <v>31048</v>
      </c>
      <c r="AO587" s="31" t="s">
        <v>31049</v>
      </c>
      <c r="AP587" s="31" t="s">
        <v>31050</v>
      </c>
      <c r="AQ587" s="31" t="s">
        <v>31051</v>
      </c>
      <c r="AR587" s="31" t="s">
        <v>31052</v>
      </c>
      <c r="AS587" s="31" t="str">
        <f>"HNRNPU"</f>
        <v>HNRNPU</v>
      </c>
      <c r="AT587" s="31" t="s">
        <v>13772</v>
      </c>
      <c r="AU587" s="31" t="s">
        <v>13777</v>
      </c>
      <c r="AV587" s="31">
        <v>9606</v>
      </c>
      <c r="AW587" s="50" t="str">
        <f>HYPERLINK("http://www.uniprot.org/uniprot/Q00839", "Q00839")</f>
        <v>Q00839</v>
      </c>
      <c r="AX587" s="31" t="s">
        <v>31053</v>
      </c>
      <c r="AY587" s="31" t="s">
        <v>31054</v>
      </c>
      <c r="AZ587" s="31" t="s">
        <v>31055</v>
      </c>
      <c r="BA587" s="31" t="s">
        <v>13780</v>
      </c>
      <c r="BB587" s="31" t="s">
        <v>13772</v>
      </c>
      <c r="BC587" s="31" t="s">
        <v>17649</v>
      </c>
      <c r="BD587" s="31" t="s">
        <v>13772</v>
      </c>
      <c r="BE587" s="31" t="s">
        <v>14005</v>
      </c>
      <c r="BF587" s="31" t="s">
        <v>31056</v>
      </c>
      <c r="BG587" s="31" t="s">
        <v>31057</v>
      </c>
      <c r="BH587" s="31" t="s">
        <v>13812</v>
      </c>
      <c r="BI587" s="31" t="s">
        <v>31058</v>
      </c>
      <c r="BJ587" s="31" t="s">
        <v>31059</v>
      </c>
      <c r="BK587" s="31" t="s">
        <v>31060</v>
      </c>
      <c r="BL587" s="31" t="s">
        <v>13772</v>
      </c>
      <c r="BM587" s="31" t="s">
        <v>22927</v>
      </c>
    </row>
    <row r="588" spans="1:65">
      <c r="A588">
        <v>1954</v>
      </c>
      <c r="B588">
        <v>1</v>
      </c>
      <c r="C588">
        <v>583</v>
      </c>
      <c r="D588" t="s">
        <v>4610</v>
      </c>
      <c r="E588" t="s">
        <v>73</v>
      </c>
      <c r="F588" t="s">
        <v>73</v>
      </c>
      <c r="G588">
        <v>77.900000000000006</v>
      </c>
      <c r="H588">
        <v>113</v>
      </c>
      <c r="I588">
        <v>12354</v>
      </c>
      <c r="J588" t="s">
        <v>4611</v>
      </c>
      <c r="K588" s="3" t="s">
        <v>73</v>
      </c>
      <c r="L588">
        <v>58</v>
      </c>
      <c r="M588">
        <v>58</v>
      </c>
      <c r="N588">
        <v>1</v>
      </c>
      <c r="O588" s="11">
        <f t="shared" si="9"/>
        <v>3.1388086038119845</v>
      </c>
      <c r="P588" s="36">
        <v>0.30291084895868198</v>
      </c>
      <c r="Q588" s="36">
        <v>0.24076603016936199</v>
      </c>
      <c r="R588" s="36">
        <v>0.40019941545306398</v>
      </c>
      <c r="S588" s="36">
        <v>0.37798043978830698</v>
      </c>
      <c r="T588" s="36">
        <v>0.215044089984223</v>
      </c>
      <c r="U588" s="36">
        <v>0.23243181165987301</v>
      </c>
      <c r="V588" s="36">
        <v>0.26351557071616</v>
      </c>
      <c r="W588" s="36">
        <v>1.9463671959646101</v>
      </c>
      <c r="X588" s="37">
        <v>15.8951658648991</v>
      </c>
      <c r="Y588" s="37">
        <v>3.7838978813297102</v>
      </c>
      <c r="Z588" s="37">
        <v>5.6003804378713999</v>
      </c>
      <c r="AA588" s="37">
        <v>2.5396411397998202</v>
      </c>
      <c r="AB588" s="37">
        <v>4.5939628290755703</v>
      </c>
      <c r="AC588" s="37">
        <v>4.7351434223107498</v>
      </c>
      <c r="AD588" s="37">
        <v>4.5256201435872701</v>
      </c>
      <c r="AE588" s="37">
        <v>4.5679105394238499</v>
      </c>
      <c r="AF588" s="45">
        <v>3.2442023239654101</v>
      </c>
      <c r="AG588" s="45">
        <v>11.6208140496711</v>
      </c>
      <c r="AH588" s="46">
        <v>1.24823561240908E-6</v>
      </c>
      <c r="AI588" s="47">
        <v>6.0076951417386696E-6</v>
      </c>
      <c r="AJ588" s="48">
        <v>0.49740192533678601</v>
      </c>
      <c r="AK588" s="49">
        <v>5.7802152822871902</v>
      </c>
      <c r="AL588" s="31" t="s">
        <v>5874</v>
      </c>
      <c r="AM588" s="31" t="s">
        <v>5876</v>
      </c>
      <c r="AN588" s="31" t="s">
        <v>32509</v>
      </c>
      <c r="AO588" s="31" t="s">
        <v>32510</v>
      </c>
      <c r="AP588" s="31" t="s">
        <v>32511</v>
      </c>
      <c r="AQ588" s="31" t="s">
        <v>32512</v>
      </c>
      <c r="AR588" s="31" t="s">
        <v>32513</v>
      </c>
      <c r="AS588" s="31" t="str">
        <f>"SPRR1B"</f>
        <v>SPRR1B</v>
      </c>
      <c r="AT588" s="31" t="s">
        <v>13772</v>
      </c>
      <c r="AU588" s="31" t="s">
        <v>13777</v>
      </c>
      <c r="AV588" s="31">
        <v>9606</v>
      </c>
      <c r="AW588" s="50" t="str">
        <f>HYPERLINK("http://www.uniprot.org/uniprot/P22528", "P22528")</f>
        <v>P22528</v>
      </c>
      <c r="AX588" s="31" t="s">
        <v>32514</v>
      </c>
      <c r="AY588" s="31" t="s">
        <v>16018</v>
      </c>
      <c r="AZ588" s="31" t="s">
        <v>13899</v>
      </c>
      <c r="BA588" s="31" t="s">
        <v>13793</v>
      </c>
      <c r="BB588" s="31" t="s">
        <v>13772</v>
      </c>
      <c r="BC588" s="31" t="s">
        <v>13772</v>
      </c>
      <c r="BD588" s="31" t="s">
        <v>14096</v>
      </c>
      <c r="BE588" s="31" t="s">
        <v>13772</v>
      </c>
      <c r="BF588" s="31" t="s">
        <v>13772</v>
      </c>
      <c r="BG588" s="31" t="s">
        <v>13772</v>
      </c>
      <c r="BH588" s="31" t="s">
        <v>13772</v>
      </c>
      <c r="BI588" s="31" t="s">
        <v>32515</v>
      </c>
      <c r="BJ588" s="31" t="s">
        <v>32516</v>
      </c>
      <c r="BK588" s="31" t="s">
        <v>16532</v>
      </c>
      <c r="BL588" s="31" t="s">
        <v>13772</v>
      </c>
      <c r="BM588" s="31" t="s">
        <v>16024</v>
      </c>
    </row>
    <row r="589" spans="1:65">
      <c r="A589">
        <v>2125</v>
      </c>
      <c r="B589">
        <v>1</v>
      </c>
      <c r="C589">
        <v>584</v>
      </c>
      <c r="D589" t="s">
        <v>4984</v>
      </c>
      <c r="E589" t="s">
        <v>73</v>
      </c>
      <c r="F589" t="s">
        <v>73</v>
      </c>
      <c r="G589">
        <v>32.6</v>
      </c>
      <c r="H589">
        <v>408</v>
      </c>
      <c r="I589">
        <v>45753</v>
      </c>
      <c r="J589" t="s">
        <v>4985</v>
      </c>
      <c r="K589" s="3" t="s">
        <v>73</v>
      </c>
      <c r="L589">
        <v>58</v>
      </c>
      <c r="M589">
        <v>58</v>
      </c>
      <c r="N589">
        <v>1</v>
      </c>
      <c r="O589" s="11">
        <f t="shared" si="9"/>
        <v>3.9614797587973607</v>
      </c>
      <c r="P589" s="36">
        <v>12.116433958347301</v>
      </c>
      <c r="Q589" s="36">
        <v>7.7045129654195703</v>
      </c>
      <c r="R589" s="36">
        <v>4.8023929854367697</v>
      </c>
      <c r="S589" s="36">
        <v>3.0238435183064598</v>
      </c>
      <c r="T589" s="36">
        <v>4.3008817996844604</v>
      </c>
      <c r="U589" s="36">
        <v>11.1567269596739</v>
      </c>
      <c r="V589" s="36">
        <v>10.5406228286464</v>
      </c>
      <c r="W589" s="36">
        <v>7.78546878385845</v>
      </c>
      <c r="X589" s="37">
        <v>0.19868957331123899</v>
      </c>
      <c r="Y589" s="37">
        <v>0.15766241172207099</v>
      </c>
      <c r="Z589" s="37">
        <v>0.200013587066836</v>
      </c>
      <c r="AA589" s="37">
        <v>0.21163676164998499</v>
      </c>
      <c r="AB589" s="37">
        <v>0.22969814145377901</v>
      </c>
      <c r="AC589" s="37">
        <v>0.19729764259628099</v>
      </c>
      <c r="AD589" s="37">
        <v>0.377135011965606</v>
      </c>
      <c r="AE589" s="37">
        <v>0.38065921161865401</v>
      </c>
      <c r="AF589" s="45">
        <v>-4.5130830833705096</v>
      </c>
      <c r="AG589" s="45">
        <v>-31.457970464909401</v>
      </c>
      <c r="AH589" s="46">
        <v>2.3744445108678799E-11</v>
      </c>
      <c r="AI589" s="47">
        <v>4.8136465993048804E-10</v>
      </c>
      <c r="AJ589" s="48">
        <v>7.6788604749216596</v>
      </c>
      <c r="AK589" s="49">
        <v>0.24409904267305599</v>
      </c>
      <c r="AL589" s="31" t="s">
        <v>5875</v>
      </c>
      <c r="AM589" s="31" t="s">
        <v>5876</v>
      </c>
      <c r="AN589" s="31" t="s">
        <v>34088</v>
      </c>
      <c r="AO589" s="31" t="s">
        <v>34089</v>
      </c>
      <c r="AP589" s="31" t="s">
        <v>34090</v>
      </c>
      <c r="AQ589" s="31" t="s">
        <v>34091</v>
      </c>
      <c r="AR589" s="31" t="s">
        <v>34092</v>
      </c>
      <c r="AS589" s="31" t="str">
        <f>"PLA2G15"</f>
        <v>PLA2G15</v>
      </c>
      <c r="AT589" s="31" t="s">
        <v>34093</v>
      </c>
      <c r="AU589" s="31" t="s">
        <v>13777</v>
      </c>
      <c r="AV589" s="31">
        <v>9606</v>
      </c>
      <c r="AW589" s="50" t="str">
        <f>HYPERLINK("http://www.uniprot.org/uniprot/Q8NCC3", "Q8NCC3")</f>
        <v>Q8NCC3</v>
      </c>
      <c r="AX589" s="31" t="s">
        <v>34094</v>
      </c>
      <c r="AY589" s="31" t="s">
        <v>26613</v>
      </c>
      <c r="AZ589" s="31" t="s">
        <v>34095</v>
      </c>
      <c r="BA589" s="31" t="s">
        <v>13841</v>
      </c>
      <c r="BB589" s="31" t="s">
        <v>13772</v>
      </c>
      <c r="BC589" s="31" t="s">
        <v>13772</v>
      </c>
      <c r="BD589" s="31" t="s">
        <v>13808</v>
      </c>
      <c r="BE589" s="31" t="s">
        <v>13772</v>
      </c>
      <c r="BF589" s="31" t="s">
        <v>34096</v>
      </c>
      <c r="BG589" s="31" t="s">
        <v>13796</v>
      </c>
      <c r="BH589" s="31" t="s">
        <v>13812</v>
      </c>
      <c r="BI589" s="31" t="s">
        <v>34097</v>
      </c>
      <c r="BJ589" s="31" t="s">
        <v>34098</v>
      </c>
      <c r="BK589" s="31" t="s">
        <v>34099</v>
      </c>
      <c r="BL589" s="31" t="s">
        <v>13772</v>
      </c>
      <c r="BM589" s="31" t="s">
        <v>34100</v>
      </c>
    </row>
    <row r="590" spans="1:65">
      <c r="A590">
        <v>2196</v>
      </c>
      <c r="B590">
        <v>1</v>
      </c>
      <c r="C590">
        <v>585</v>
      </c>
      <c r="D590" t="s">
        <v>5134</v>
      </c>
      <c r="E590" t="s">
        <v>5135</v>
      </c>
      <c r="F590" t="s">
        <v>73</v>
      </c>
      <c r="G590">
        <v>47.5</v>
      </c>
      <c r="H590">
        <v>366</v>
      </c>
      <c r="I590">
        <v>41497</v>
      </c>
      <c r="J590" t="s">
        <v>5136</v>
      </c>
      <c r="K590" s="3" t="s">
        <v>73</v>
      </c>
      <c r="L590">
        <v>58</v>
      </c>
      <c r="M590">
        <v>58</v>
      </c>
      <c r="N590">
        <v>1</v>
      </c>
      <c r="O590" s="11">
        <f t="shared" si="9"/>
        <v>4.2545588779016015</v>
      </c>
      <c r="P590" s="36">
        <v>0.30291084895868198</v>
      </c>
      <c r="Q590" s="36">
        <v>0.24076603016936199</v>
      </c>
      <c r="R590" s="36">
        <v>0.40019941545306398</v>
      </c>
      <c r="S590" s="36">
        <v>0.37798043978830698</v>
      </c>
      <c r="T590" s="36">
        <v>0.215044089984223</v>
      </c>
      <c r="U590" s="36">
        <v>0.23243181165987301</v>
      </c>
      <c r="V590" s="36">
        <v>0.26351557071616</v>
      </c>
      <c r="W590" s="36">
        <v>20.436855557628402</v>
      </c>
      <c r="X590" s="37">
        <v>0.79475829324495695</v>
      </c>
      <c r="Y590" s="37">
        <v>2.5225985875531398</v>
      </c>
      <c r="Z590" s="37">
        <v>3.2002173930693698</v>
      </c>
      <c r="AA590" s="37">
        <v>0.21163676164998499</v>
      </c>
      <c r="AB590" s="37">
        <v>1.8375851316302301</v>
      </c>
      <c r="AC590" s="37">
        <v>0.78919057038512497</v>
      </c>
      <c r="AD590" s="37">
        <v>31.679341005110899</v>
      </c>
      <c r="AE590" s="37">
        <v>4.5679105394238499</v>
      </c>
      <c r="AF590" s="45">
        <v>0.91335539103396501</v>
      </c>
      <c r="AG590" s="45">
        <v>2.02954336916557</v>
      </c>
      <c r="AH590" s="46">
        <v>0.37508017260681897</v>
      </c>
      <c r="AI590" s="47">
        <v>0.457898969842996</v>
      </c>
      <c r="AJ590" s="48">
        <v>2.80871297054476</v>
      </c>
      <c r="AK590" s="49">
        <v>5.7004047852584403</v>
      </c>
      <c r="AL590" s="31" t="s">
        <v>5874</v>
      </c>
      <c r="AM590" s="31" t="s">
        <v>5832</v>
      </c>
      <c r="AN590" s="31" t="s">
        <v>34746</v>
      </c>
      <c r="AO590" s="31" t="s">
        <v>34747</v>
      </c>
      <c r="AP590" s="31" t="s">
        <v>34748</v>
      </c>
      <c r="AQ590" s="31" t="s">
        <v>34749</v>
      </c>
      <c r="AR590" s="31" t="s">
        <v>34750</v>
      </c>
      <c r="AS590" s="31" t="str">
        <f>"ADA"</f>
        <v>ADA</v>
      </c>
      <c r="AT590" s="31" t="s">
        <v>34751</v>
      </c>
      <c r="AU590" s="31" t="s">
        <v>13777</v>
      </c>
      <c r="AV590" s="31">
        <v>9606</v>
      </c>
      <c r="AW590" s="50" t="str">
        <f>HYPERLINK("http://www.uniprot.org/uniprot/P00813", "P00813")</f>
        <v>P00813</v>
      </c>
      <c r="AX590" s="31" t="s">
        <v>34752</v>
      </c>
      <c r="AY590" s="31" t="s">
        <v>34753</v>
      </c>
      <c r="AZ590" s="31" t="s">
        <v>34754</v>
      </c>
      <c r="BA590" s="31" t="s">
        <v>13793</v>
      </c>
      <c r="BB590" s="31" t="s">
        <v>13772</v>
      </c>
      <c r="BC590" s="31" t="s">
        <v>34755</v>
      </c>
      <c r="BD590" s="31" t="s">
        <v>13772</v>
      </c>
      <c r="BE590" s="31" t="s">
        <v>13856</v>
      </c>
      <c r="BF590" s="31" t="s">
        <v>13857</v>
      </c>
      <c r="BG590" s="31" t="s">
        <v>14020</v>
      </c>
      <c r="BH590" s="31" t="s">
        <v>13812</v>
      </c>
      <c r="BI590" s="31" t="s">
        <v>34756</v>
      </c>
      <c r="BJ590" s="31" t="s">
        <v>34757</v>
      </c>
      <c r="BK590" s="31" t="s">
        <v>34758</v>
      </c>
      <c r="BL590" s="31" t="s">
        <v>13772</v>
      </c>
      <c r="BM590" s="31" t="s">
        <v>16304</v>
      </c>
    </row>
    <row r="591" spans="1:65">
      <c r="A591">
        <v>2299</v>
      </c>
      <c r="B591">
        <v>1</v>
      </c>
      <c r="C591">
        <v>586</v>
      </c>
      <c r="D591" t="s">
        <v>5369</v>
      </c>
      <c r="E591" t="s">
        <v>73</v>
      </c>
      <c r="F591" t="s">
        <v>73</v>
      </c>
      <c r="G591">
        <v>22.4</v>
      </c>
      <c r="H591">
        <v>509</v>
      </c>
      <c r="I591">
        <v>56831</v>
      </c>
      <c r="J591" t="s">
        <v>5370</v>
      </c>
      <c r="K591" s="3" t="s">
        <v>73</v>
      </c>
      <c r="L591">
        <v>58</v>
      </c>
      <c r="M591">
        <v>58</v>
      </c>
      <c r="N591">
        <v>1</v>
      </c>
      <c r="O591" s="11">
        <f t="shared" si="9"/>
        <v>4.1132466046199863</v>
      </c>
      <c r="P591" s="36">
        <v>3.6349301875041902</v>
      </c>
      <c r="Q591" s="36">
        <v>5.7783847240646802</v>
      </c>
      <c r="R591" s="36">
        <v>14.4071789563103</v>
      </c>
      <c r="S591" s="36">
        <v>4.5357652774596904</v>
      </c>
      <c r="T591" s="36">
        <v>4.3008817996844604</v>
      </c>
      <c r="U591" s="36">
        <v>5.5783634798369501</v>
      </c>
      <c r="V591" s="36">
        <v>16.8649965258343</v>
      </c>
      <c r="W591" s="36">
        <v>8.7586523818407507</v>
      </c>
      <c r="X591" s="37">
        <v>0.19868957331123899</v>
      </c>
      <c r="Y591" s="37">
        <v>0.15766241172207099</v>
      </c>
      <c r="Z591" s="37">
        <v>0.200013587066836</v>
      </c>
      <c r="AA591" s="37">
        <v>0.21163676164998499</v>
      </c>
      <c r="AB591" s="37">
        <v>0.22969814145377901</v>
      </c>
      <c r="AC591" s="37">
        <v>0.19729764259628099</v>
      </c>
      <c r="AD591" s="37">
        <v>0.377135011965606</v>
      </c>
      <c r="AE591" s="37">
        <v>0.38065921161865401</v>
      </c>
      <c r="AF591" s="45">
        <v>-4.5276098459328002</v>
      </c>
      <c r="AG591" s="45">
        <v>-32.701456257894598</v>
      </c>
      <c r="AH591" s="46">
        <v>5.19652148292409E-10</v>
      </c>
      <c r="AI591" s="47">
        <v>7.7254952712804798E-9</v>
      </c>
      <c r="AJ591" s="48">
        <v>7.9823941665669098</v>
      </c>
      <c r="AK591" s="49">
        <v>0.24409904267305599</v>
      </c>
      <c r="AL591" s="31" t="s">
        <v>5875</v>
      </c>
      <c r="AM591" s="31" t="s">
        <v>5876</v>
      </c>
      <c r="AN591" s="31" t="s">
        <v>35714</v>
      </c>
      <c r="AO591" s="31" t="s">
        <v>13772</v>
      </c>
      <c r="AP591" s="31" t="s">
        <v>35715</v>
      </c>
      <c r="AQ591" s="31" t="s">
        <v>35716</v>
      </c>
      <c r="AR591" s="31" t="s">
        <v>35717</v>
      </c>
      <c r="AS591" s="31" t="str">
        <f>"BTN1A1"</f>
        <v>BTN1A1</v>
      </c>
      <c r="AT591" s="31" t="s">
        <v>35718</v>
      </c>
      <c r="AU591" s="31" t="s">
        <v>13777</v>
      </c>
      <c r="AV591" s="31">
        <v>9606</v>
      </c>
      <c r="AW591" s="50" t="str">
        <f>HYPERLINK("http://www.uniprot.org/uniprot/Q13410", "Q13410")</f>
        <v>Q13410</v>
      </c>
      <c r="AX591" s="31" t="s">
        <v>35719</v>
      </c>
      <c r="AY591" s="31" t="s">
        <v>13772</v>
      </c>
      <c r="AZ591" s="31" t="s">
        <v>17261</v>
      </c>
      <c r="BA591" s="31" t="s">
        <v>13793</v>
      </c>
      <c r="BB591" s="31" t="s">
        <v>13772</v>
      </c>
      <c r="BC591" s="31" t="s">
        <v>13772</v>
      </c>
      <c r="BD591" s="31" t="s">
        <v>13951</v>
      </c>
      <c r="BE591" s="31" t="s">
        <v>13772</v>
      </c>
      <c r="BF591" s="31" t="s">
        <v>13772</v>
      </c>
      <c r="BG591" s="31" t="s">
        <v>13796</v>
      </c>
      <c r="BH591" s="31" t="s">
        <v>13772</v>
      </c>
      <c r="BI591" s="31" t="s">
        <v>35720</v>
      </c>
      <c r="BJ591" s="31" t="s">
        <v>35721</v>
      </c>
      <c r="BK591" s="31" t="s">
        <v>35722</v>
      </c>
      <c r="BL591" s="31" t="s">
        <v>13772</v>
      </c>
      <c r="BM591" s="31" t="s">
        <v>35723</v>
      </c>
    </row>
    <row r="592" spans="1:65">
      <c r="A592">
        <v>2328</v>
      </c>
      <c r="B592">
        <v>1</v>
      </c>
      <c r="C592">
        <v>587</v>
      </c>
      <c r="D592" t="s">
        <v>5428</v>
      </c>
      <c r="E592" t="s">
        <v>73</v>
      </c>
      <c r="F592" t="s">
        <v>73</v>
      </c>
      <c r="G592">
        <v>66.3</v>
      </c>
      <c r="H592">
        <v>89</v>
      </c>
      <c r="I592">
        <v>10350</v>
      </c>
      <c r="J592" t="s">
        <v>5429</v>
      </c>
      <c r="K592" s="3" t="s">
        <v>73</v>
      </c>
      <c r="L592">
        <v>61</v>
      </c>
      <c r="M592">
        <v>41</v>
      </c>
      <c r="N592">
        <v>0.67200000000000004</v>
      </c>
      <c r="O592" s="11">
        <f t="shared" si="9"/>
        <v>3.2519945912039758</v>
      </c>
      <c r="P592" s="36">
        <v>2.4232867916694598</v>
      </c>
      <c r="Q592" s="36">
        <v>0.48153206033872298</v>
      </c>
      <c r="R592" s="36">
        <v>0.40019941545306398</v>
      </c>
      <c r="S592" s="36">
        <v>0.37798043978830698</v>
      </c>
      <c r="T592" s="36">
        <v>0.86017635993689201</v>
      </c>
      <c r="U592" s="36">
        <v>0.92972724663949102</v>
      </c>
      <c r="V592" s="36">
        <v>0.26351557071616</v>
      </c>
      <c r="W592" s="36">
        <v>7.78546878385845</v>
      </c>
      <c r="X592" s="37">
        <v>6.9938729805556203</v>
      </c>
      <c r="Y592" s="37">
        <v>5.86504171606106</v>
      </c>
      <c r="Z592" s="37">
        <v>3.6002445672030401</v>
      </c>
      <c r="AA592" s="37">
        <v>4.2327352329997003</v>
      </c>
      <c r="AB592" s="37">
        <v>6.6153064738688201</v>
      </c>
      <c r="AC592" s="37">
        <v>4.7351434223107498</v>
      </c>
      <c r="AD592" s="37">
        <v>0.377135011965606</v>
      </c>
      <c r="AE592" s="37">
        <v>6.0905473858984696</v>
      </c>
      <c r="AF592" s="45">
        <v>1.4117431186862699</v>
      </c>
      <c r="AG592" s="45">
        <v>2.84797733742715</v>
      </c>
      <c r="AH592" s="46">
        <v>2.2911945272703599E-2</v>
      </c>
      <c r="AI592" s="47">
        <v>3.8903785247306401E-2</v>
      </c>
      <c r="AJ592" s="48">
        <v>1.69023583355007</v>
      </c>
      <c r="AK592" s="49">
        <v>4.8137533488578796</v>
      </c>
      <c r="AL592" s="31" t="s">
        <v>5874</v>
      </c>
      <c r="AM592" s="31" t="s">
        <v>5878</v>
      </c>
      <c r="AN592" s="31" t="s">
        <v>35944</v>
      </c>
      <c r="AO592" s="31" t="s">
        <v>35945</v>
      </c>
      <c r="AP592" s="31" t="s">
        <v>35946</v>
      </c>
      <c r="AQ592" s="31" t="s">
        <v>35947</v>
      </c>
      <c r="AR592" s="31" t="s">
        <v>35948</v>
      </c>
      <c r="AS592" s="31" t="str">
        <f>"DYNLL2"</f>
        <v>DYNLL2</v>
      </c>
      <c r="AT592" s="31" t="s">
        <v>35949</v>
      </c>
      <c r="AU592" s="31" t="s">
        <v>13777</v>
      </c>
      <c r="AV592" s="31">
        <v>9606</v>
      </c>
      <c r="AW592" s="50" t="str">
        <f>HYPERLINK("http://www.uniprot.org/uniprot/Q96FJ2", "Q96FJ2")</f>
        <v>Q96FJ2</v>
      </c>
      <c r="AX592" s="31" t="s">
        <v>35950</v>
      </c>
      <c r="AY592" s="31" t="s">
        <v>14192</v>
      </c>
      <c r="AZ592" s="31" t="s">
        <v>14676</v>
      </c>
      <c r="BA592" s="31" t="s">
        <v>13772</v>
      </c>
      <c r="BB592" s="31" t="s">
        <v>13772</v>
      </c>
      <c r="BC592" s="31" t="s">
        <v>13772</v>
      </c>
      <c r="BD592" s="31" t="s">
        <v>13772</v>
      </c>
      <c r="BE592" s="31" t="s">
        <v>13772</v>
      </c>
      <c r="BF592" s="31" t="s">
        <v>14678</v>
      </c>
      <c r="BG592" s="31" t="s">
        <v>13772</v>
      </c>
      <c r="BH592" s="31" t="s">
        <v>13812</v>
      </c>
      <c r="BI592" s="31" t="s">
        <v>35951</v>
      </c>
      <c r="BJ592" s="31" t="s">
        <v>35952</v>
      </c>
      <c r="BK592" s="31" t="s">
        <v>35953</v>
      </c>
      <c r="BL592" s="31" t="s">
        <v>13772</v>
      </c>
      <c r="BM592" s="31" t="s">
        <v>35954</v>
      </c>
    </row>
    <row r="593" spans="1:65">
      <c r="A593">
        <v>632</v>
      </c>
      <c r="B593">
        <v>1</v>
      </c>
      <c r="C593">
        <v>588</v>
      </c>
      <c r="D593" t="s">
        <v>1564</v>
      </c>
      <c r="E593" t="s">
        <v>1565</v>
      </c>
      <c r="F593" t="s">
        <v>73</v>
      </c>
      <c r="G593">
        <v>55</v>
      </c>
      <c r="H593">
        <v>367</v>
      </c>
      <c r="I593">
        <v>39980</v>
      </c>
      <c r="J593" t="s">
        <v>1566</v>
      </c>
      <c r="K593" s="3" t="s">
        <v>73</v>
      </c>
      <c r="L593">
        <v>57</v>
      </c>
      <c r="M593">
        <v>57</v>
      </c>
      <c r="N593">
        <v>1</v>
      </c>
      <c r="O593" s="11">
        <f t="shared" si="9"/>
        <v>2.8931275494152207</v>
      </c>
      <c r="P593" s="36">
        <v>0.30291084895868198</v>
      </c>
      <c r="Q593" s="36">
        <v>0.24076603016936199</v>
      </c>
      <c r="R593" s="36">
        <v>0.40019941545306398</v>
      </c>
      <c r="S593" s="36">
        <v>0.37798043978830698</v>
      </c>
      <c r="T593" s="36">
        <v>0.215044089984223</v>
      </c>
      <c r="U593" s="36">
        <v>0.23243181165987301</v>
      </c>
      <c r="V593" s="36">
        <v>1.05406228286464</v>
      </c>
      <c r="W593" s="36">
        <v>0.24329589949557701</v>
      </c>
      <c r="X593" s="37">
        <v>5.5633080527147003</v>
      </c>
      <c r="Y593" s="37">
        <v>8.8290950564359996</v>
      </c>
      <c r="Z593" s="37">
        <v>4.0002717413367099</v>
      </c>
      <c r="AA593" s="37">
        <v>10.1585645591993</v>
      </c>
      <c r="AB593" s="37">
        <v>4.5939628290755703</v>
      </c>
      <c r="AC593" s="37">
        <v>5.5243339926958699</v>
      </c>
      <c r="AD593" s="37">
        <v>1.50854004786242</v>
      </c>
      <c r="AE593" s="37">
        <v>3.0452736929492299</v>
      </c>
      <c r="AF593" s="45">
        <v>3.5459970564097998</v>
      </c>
      <c r="AG593" s="45">
        <v>14.094459641416099</v>
      </c>
      <c r="AH593" s="46">
        <v>2.9282552986403501E-7</v>
      </c>
      <c r="AI593" s="47">
        <v>1.66017185999186E-6</v>
      </c>
      <c r="AJ593" s="48">
        <v>0.38333635229671598</v>
      </c>
      <c r="AK593" s="49">
        <v>5.4029187465337296</v>
      </c>
      <c r="AL593" s="31" t="s">
        <v>5874</v>
      </c>
      <c r="AM593" s="31" t="s">
        <v>5876</v>
      </c>
      <c r="AN593" s="31" t="s">
        <v>20023</v>
      </c>
      <c r="AO593" s="31" t="s">
        <v>20024</v>
      </c>
      <c r="AP593" s="31" t="s">
        <v>20025</v>
      </c>
      <c r="AQ593" s="31" t="s">
        <v>20026</v>
      </c>
      <c r="AR593" s="31" t="s">
        <v>20027</v>
      </c>
      <c r="AS593" s="31" t="str">
        <f>"LSP1"</f>
        <v>LSP1</v>
      </c>
      <c r="AT593" s="31" t="s">
        <v>20028</v>
      </c>
      <c r="AU593" s="31" t="s">
        <v>13777</v>
      </c>
      <c r="AV593" s="31">
        <v>9606</v>
      </c>
      <c r="AW593" s="50" t="str">
        <f>HYPERLINK("http://www.uniprot.org/uniprot/P33241", "P33241")</f>
        <v>P33241</v>
      </c>
      <c r="AX593" s="31" t="s">
        <v>20029</v>
      </c>
      <c r="AY593" s="31" t="s">
        <v>13772</v>
      </c>
      <c r="AZ593" s="31" t="s">
        <v>13792</v>
      </c>
      <c r="BA593" s="31" t="s">
        <v>13780</v>
      </c>
      <c r="BB593" s="31" t="s">
        <v>13772</v>
      </c>
      <c r="BC593" s="31" t="s">
        <v>13772</v>
      </c>
      <c r="BD593" s="31" t="s">
        <v>13772</v>
      </c>
      <c r="BE593" s="31" t="s">
        <v>13772</v>
      </c>
      <c r="BF593" s="31" t="s">
        <v>13772</v>
      </c>
      <c r="BG593" s="31" t="s">
        <v>13886</v>
      </c>
      <c r="BH593" s="31" t="s">
        <v>13812</v>
      </c>
      <c r="BI593" s="31" t="s">
        <v>20030</v>
      </c>
      <c r="BJ593" s="31" t="s">
        <v>20031</v>
      </c>
      <c r="BK593" s="31" t="s">
        <v>20032</v>
      </c>
      <c r="BL593" s="31" t="s">
        <v>13772</v>
      </c>
      <c r="BM593" s="31" t="s">
        <v>13772</v>
      </c>
    </row>
    <row r="594" spans="1:65">
      <c r="A594">
        <v>976</v>
      </c>
      <c r="B594">
        <v>1</v>
      </c>
      <c r="C594">
        <v>589</v>
      </c>
      <c r="D594" t="s">
        <v>2368</v>
      </c>
      <c r="E594" t="s">
        <v>2369</v>
      </c>
      <c r="F594" t="s">
        <v>73</v>
      </c>
      <c r="G594">
        <v>38.299999999999997</v>
      </c>
      <c r="H594">
        <v>446</v>
      </c>
      <c r="I594">
        <v>49548</v>
      </c>
      <c r="J594" t="s">
        <v>2370</v>
      </c>
      <c r="K594" s="3" t="s">
        <v>73</v>
      </c>
      <c r="L594">
        <v>57</v>
      </c>
      <c r="M594">
        <v>57</v>
      </c>
      <c r="N594">
        <v>1</v>
      </c>
      <c r="O594" s="11">
        <f t="shared" si="9"/>
        <v>3.3643490651140193</v>
      </c>
      <c r="P594" s="36">
        <v>2.4232867916694598</v>
      </c>
      <c r="Q594" s="36">
        <v>0.24076603016936199</v>
      </c>
      <c r="R594" s="36">
        <v>0.40019941545306398</v>
      </c>
      <c r="S594" s="36">
        <v>0.37798043978830698</v>
      </c>
      <c r="T594" s="36">
        <v>0.215044089984223</v>
      </c>
      <c r="U594" s="36">
        <v>1.85945449327898</v>
      </c>
      <c r="V594" s="36">
        <v>3.1621868485939202</v>
      </c>
      <c r="W594" s="36">
        <v>9.7318359798230603</v>
      </c>
      <c r="X594" s="37">
        <v>0.19868957331123899</v>
      </c>
      <c r="Y594" s="37">
        <v>5.0451971751062796</v>
      </c>
      <c r="Z594" s="37">
        <v>9.6006521792081099</v>
      </c>
      <c r="AA594" s="37">
        <v>5.0792822795996404</v>
      </c>
      <c r="AB594" s="37">
        <v>0.91879256581511404</v>
      </c>
      <c r="AC594" s="37">
        <v>3.94595285192562</v>
      </c>
      <c r="AD594" s="37">
        <v>3.0170800957248498</v>
      </c>
      <c r="AE594" s="37">
        <v>7.6131842323730803</v>
      </c>
      <c r="AF594" s="45">
        <v>0.85668515338256801</v>
      </c>
      <c r="AG594" s="45">
        <v>1.92381207104857</v>
      </c>
      <c r="AH594" s="46">
        <v>0.200684515249131</v>
      </c>
      <c r="AI594" s="47">
        <v>0.26428728484580499</v>
      </c>
      <c r="AJ594" s="48">
        <v>2.3013442610950499</v>
      </c>
      <c r="AK594" s="49">
        <v>4.4273538691329897</v>
      </c>
      <c r="AL594" s="31" t="s">
        <v>5874</v>
      </c>
      <c r="AM594" s="31" t="s">
        <v>5832</v>
      </c>
      <c r="AN594" s="31" t="s">
        <v>23402</v>
      </c>
      <c r="AO594" s="31" t="s">
        <v>23403</v>
      </c>
      <c r="AP594" s="31" t="s">
        <v>23404</v>
      </c>
      <c r="AQ594" s="31" t="s">
        <v>23405</v>
      </c>
      <c r="AR594" s="31" t="s">
        <v>23406</v>
      </c>
      <c r="AS594" s="31" t="str">
        <f>"F7"</f>
        <v>F7</v>
      </c>
      <c r="AT594" s="31" t="s">
        <v>13772</v>
      </c>
      <c r="AU594" s="31" t="s">
        <v>13777</v>
      </c>
      <c r="AV594" s="31">
        <v>9606</v>
      </c>
      <c r="AW594" s="50" t="str">
        <f>HYPERLINK("http://www.uniprot.org/uniprot/P08709", "P08709")</f>
        <v>P08709</v>
      </c>
      <c r="AX594" s="31" t="s">
        <v>23407</v>
      </c>
      <c r="AY594" s="31" t="s">
        <v>16755</v>
      </c>
      <c r="AZ594" s="31" t="s">
        <v>14321</v>
      </c>
      <c r="BA594" s="31" t="s">
        <v>13780</v>
      </c>
      <c r="BB594" s="31" t="s">
        <v>13772</v>
      </c>
      <c r="BC594" s="31" t="s">
        <v>13807</v>
      </c>
      <c r="BD594" s="31" t="s">
        <v>14768</v>
      </c>
      <c r="BE594" s="31" t="s">
        <v>14465</v>
      </c>
      <c r="BF594" s="31" t="s">
        <v>15176</v>
      </c>
      <c r="BG594" s="31" t="s">
        <v>21176</v>
      </c>
      <c r="BH594" s="31" t="s">
        <v>14324</v>
      </c>
      <c r="BI594" s="31" t="s">
        <v>23408</v>
      </c>
      <c r="BJ594" s="31" t="s">
        <v>23409</v>
      </c>
      <c r="BK594" s="31" t="s">
        <v>23410</v>
      </c>
      <c r="BL594" s="31" t="s">
        <v>13772</v>
      </c>
      <c r="BM594" s="31" t="s">
        <v>23411</v>
      </c>
    </row>
    <row r="595" spans="1:65">
      <c r="A595">
        <v>1268</v>
      </c>
      <c r="B595">
        <v>1</v>
      </c>
      <c r="C595">
        <v>590</v>
      </c>
      <c r="D595" t="s">
        <v>3039</v>
      </c>
      <c r="E595" t="s">
        <v>3040</v>
      </c>
      <c r="F595" t="s">
        <v>73</v>
      </c>
      <c r="G595">
        <v>33.5</v>
      </c>
      <c r="H595">
        <v>666</v>
      </c>
      <c r="I595">
        <v>76051</v>
      </c>
      <c r="J595" t="s">
        <v>3041</v>
      </c>
      <c r="K595" s="3" t="s">
        <v>73</v>
      </c>
      <c r="L595">
        <v>57</v>
      </c>
      <c r="M595">
        <v>57</v>
      </c>
      <c r="N595">
        <v>1</v>
      </c>
      <c r="O595" s="11">
        <f t="shared" si="9"/>
        <v>3.1583916358059203</v>
      </c>
      <c r="P595" s="36">
        <v>3.6349301875041902</v>
      </c>
      <c r="Q595" s="36">
        <v>0.96306412067744696</v>
      </c>
      <c r="R595" s="36">
        <v>0.40019941545306398</v>
      </c>
      <c r="S595" s="36">
        <v>0.37798043978830698</v>
      </c>
      <c r="T595" s="36">
        <v>0.86017635993689201</v>
      </c>
      <c r="U595" s="36">
        <v>0.92972724663949102</v>
      </c>
      <c r="V595" s="36">
        <v>0.26351557071616</v>
      </c>
      <c r="W595" s="36">
        <v>0.24329589949557701</v>
      </c>
      <c r="X595" s="37">
        <v>3.9737914662247902</v>
      </c>
      <c r="Y595" s="37">
        <v>10.0903943502126</v>
      </c>
      <c r="Z595" s="37">
        <v>4.0002717413367099</v>
      </c>
      <c r="AA595" s="37">
        <v>5.0792822795996404</v>
      </c>
      <c r="AB595" s="37">
        <v>3.6751702632604601</v>
      </c>
      <c r="AC595" s="37">
        <v>3.94595285192562</v>
      </c>
      <c r="AD595" s="37">
        <v>9.0512402871745401</v>
      </c>
      <c r="AE595" s="37">
        <v>3.0452736929492299</v>
      </c>
      <c r="AF595" s="45">
        <v>2.3570961554823602</v>
      </c>
      <c r="AG595" s="45">
        <v>5.5860804959963399</v>
      </c>
      <c r="AH595" s="46">
        <v>4.1336809737263303E-5</v>
      </c>
      <c r="AI595" s="47">
        <v>1.2802928571402399E-4</v>
      </c>
      <c r="AJ595" s="48">
        <v>0.95911115502639099</v>
      </c>
      <c r="AK595" s="49">
        <v>5.3576721165854497</v>
      </c>
      <c r="AL595" s="31" t="s">
        <v>5874</v>
      </c>
      <c r="AM595" s="31" t="s">
        <v>5876</v>
      </c>
      <c r="AN595" s="31" t="s">
        <v>26014</v>
      </c>
      <c r="AO595" s="31" t="s">
        <v>26015</v>
      </c>
      <c r="AP595" s="31" t="s">
        <v>26016</v>
      </c>
      <c r="AQ595" s="31" t="s">
        <v>26017</v>
      </c>
      <c r="AR595" s="31" t="s">
        <v>26018</v>
      </c>
      <c r="AS595" s="31" t="str">
        <f>"SPARCL1"</f>
        <v>SPARCL1</v>
      </c>
      <c r="AT595" s="31" t="s">
        <v>13772</v>
      </c>
      <c r="AU595" s="31" t="s">
        <v>13777</v>
      </c>
      <c r="AV595" s="31">
        <v>9606</v>
      </c>
      <c r="AW595" s="50" t="str">
        <f>HYPERLINK("http://www.uniprot.org/uniprot/Q14515", "Q14515")</f>
        <v>Q14515</v>
      </c>
      <c r="AX595" s="31" t="s">
        <v>26019</v>
      </c>
      <c r="AY595" s="31" t="s">
        <v>13772</v>
      </c>
      <c r="AZ595" s="31" t="s">
        <v>13869</v>
      </c>
      <c r="BA595" s="31" t="s">
        <v>13780</v>
      </c>
      <c r="BB595" s="31" t="s">
        <v>13772</v>
      </c>
      <c r="BC595" s="31" t="s">
        <v>13772</v>
      </c>
      <c r="BD595" s="31" t="s">
        <v>13808</v>
      </c>
      <c r="BE595" s="31" t="s">
        <v>13873</v>
      </c>
      <c r="BF595" s="31" t="s">
        <v>13772</v>
      </c>
      <c r="BG595" s="31" t="s">
        <v>13964</v>
      </c>
      <c r="BH595" s="31" t="s">
        <v>13772</v>
      </c>
      <c r="BI595" s="31" t="s">
        <v>26020</v>
      </c>
      <c r="BJ595" s="31" t="s">
        <v>26021</v>
      </c>
      <c r="BK595" s="31" t="s">
        <v>26022</v>
      </c>
      <c r="BL595" s="31" t="s">
        <v>13772</v>
      </c>
      <c r="BM595" s="31" t="s">
        <v>17241</v>
      </c>
    </row>
    <row r="596" spans="1:65">
      <c r="A596">
        <v>1496</v>
      </c>
      <c r="B596">
        <v>1</v>
      </c>
      <c r="C596">
        <v>591</v>
      </c>
      <c r="D596" t="s">
        <v>3559</v>
      </c>
      <c r="E596" t="s">
        <v>73</v>
      </c>
      <c r="F596" t="s">
        <v>73</v>
      </c>
      <c r="G596">
        <v>55.6</v>
      </c>
      <c r="H596">
        <v>243</v>
      </c>
      <c r="I596">
        <v>26967</v>
      </c>
      <c r="J596" t="s">
        <v>3560</v>
      </c>
      <c r="K596" s="3" t="s">
        <v>73</v>
      </c>
      <c r="L596">
        <v>57</v>
      </c>
      <c r="M596">
        <v>57</v>
      </c>
      <c r="N596">
        <v>1</v>
      </c>
      <c r="O596" s="11">
        <f t="shared" si="9"/>
        <v>2.946139189538898</v>
      </c>
      <c r="P596" s="36">
        <v>0.30291084895868198</v>
      </c>
      <c r="Q596" s="36">
        <v>1.9261282413548899</v>
      </c>
      <c r="R596" s="36">
        <v>0.40019941545306398</v>
      </c>
      <c r="S596" s="36">
        <v>0.37798043978830698</v>
      </c>
      <c r="T596" s="36">
        <v>0.86017635993689201</v>
      </c>
      <c r="U596" s="36">
        <v>0.92972724663949102</v>
      </c>
      <c r="V596" s="36">
        <v>0.26351557071616</v>
      </c>
      <c r="W596" s="36">
        <v>0.24329589949557701</v>
      </c>
      <c r="X596" s="37">
        <v>24.637507090593701</v>
      </c>
      <c r="Y596" s="37">
        <v>5.0451971751062796</v>
      </c>
      <c r="Z596" s="37">
        <v>3.2002173930693698</v>
      </c>
      <c r="AA596" s="37">
        <v>2.5396411397998202</v>
      </c>
      <c r="AB596" s="37">
        <v>0.91879256581511404</v>
      </c>
      <c r="AC596" s="37">
        <v>4.7351434223107498</v>
      </c>
      <c r="AD596" s="37">
        <v>0.377135011965606</v>
      </c>
      <c r="AE596" s="37">
        <v>0.38065921161865401</v>
      </c>
      <c r="AF596" s="45">
        <v>2.7554572916587401</v>
      </c>
      <c r="AG596" s="45">
        <v>7.8874082584833003</v>
      </c>
      <c r="AH596" s="46">
        <v>9.4672113384545596E-4</v>
      </c>
      <c r="AI596" s="47">
        <v>2.1397176977790899E-3</v>
      </c>
      <c r="AJ596" s="48">
        <v>0.66299175279288303</v>
      </c>
      <c r="AK596" s="49">
        <v>5.2292866262849103</v>
      </c>
      <c r="AL596" s="31" t="s">
        <v>5874</v>
      </c>
      <c r="AM596" s="31" t="s">
        <v>5876</v>
      </c>
      <c r="AN596" s="31" t="s">
        <v>28175</v>
      </c>
      <c r="AO596" s="31" t="s">
        <v>28176</v>
      </c>
      <c r="AP596" s="31" t="s">
        <v>28177</v>
      </c>
      <c r="AQ596" s="31" t="s">
        <v>28178</v>
      </c>
      <c r="AR596" s="31" t="s">
        <v>28179</v>
      </c>
      <c r="AS596" s="31" t="str">
        <f>"EFHD2"</f>
        <v>EFHD2</v>
      </c>
      <c r="AT596" s="31" t="s">
        <v>28180</v>
      </c>
      <c r="AU596" s="31" t="s">
        <v>13777</v>
      </c>
      <c r="AV596" s="31">
        <v>9606</v>
      </c>
      <c r="AW596" s="50" t="str">
        <f>HYPERLINK("http://www.uniprot.org/uniprot/Q96C19", "Q96C19")</f>
        <v>Q96C19</v>
      </c>
      <c r="AX596" s="31" t="s">
        <v>28181</v>
      </c>
      <c r="AY596" s="31" t="s">
        <v>13772</v>
      </c>
      <c r="AZ596" s="31" t="s">
        <v>13825</v>
      </c>
      <c r="BA596" s="31" t="s">
        <v>13772</v>
      </c>
      <c r="BB596" s="31" t="s">
        <v>13772</v>
      </c>
      <c r="BC596" s="31" t="s">
        <v>13772</v>
      </c>
      <c r="BD596" s="31" t="s">
        <v>14096</v>
      </c>
      <c r="BE596" s="31" t="s">
        <v>13873</v>
      </c>
      <c r="BF596" s="31" t="s">
        <v>13772</v>
      </c>
      <c r="BG596" s="31" t="s">
        <v>13886</v>
      </c>
      <c r="BH596" s="31" t="s">
        <v>13812</v>
      </c>
      <c r="BI596" s="31" t="s">
        <v>13772</v>
      </c>
      <c r="BJ596" s="31" t="s">
        <v>28182</v>
      </c>
      <c r="BK596" s="31" t="s">
        <v>28183</v>
      </c>
      <c r="BL596" s="31" t="s">
        <v>13772</v>
      </c>
      <c r="BM596" s="31" t="s">
        <v>13772</v>
      </c>
    </row>
    <row r="597" spans="1:65">
      <c r="A597">
        <v>1739</v>
      </c>
      <c r="B597">
        <v>1</v>
      </c>
      <c r="C597">
        <v>592</v>
      </c>
      <c r="D597" t="s">
        <v>4112</v>
      </c>
      <c r="E597" t="s">
        <v>73</v>
      </c>
      <c r="F597" t="s">
        <v>73</v>
      </c>
      <c r="G597">
        <v>69.3</v>
      </c>
      <c r="H597">
        <v>137</v>
      </c>
      <c r="I597">
        <v>14790</v>
      </c>
      <c r="J597" t="s">
        <v>4113</v>
      </c>
      <c r="K597" s="3" t="s">
        <v>73</v>
      </c>
      <c r="L597">
        <v>57</v>
      </c>
      <c r="M597">
        <v>57</v>
      </c>
      <c r="N597">
        <v>1</v>
      </c>
      <c r="O597" s="11">
        <f t="shared" si="9"/>
        <v>3.3551560361352761</v>
      </c>
      <c r="P597" s="36">
        <v>1.2116433958347299</v>
      </c>
      <c r="Q597" s="36">
        <v>2.8891923620323401</v>
      </c>
      <c r="R597" s="36">
        <v>6.4031906472490299</v>
      </c>
      <c r="S597" s="36">
        <v>0.37798043978830698</v>
      </c>
      <c r="T597" s="36">
        <v>4.3008817996844604</v>
      </c>
      <c r="U597" s="36">
        <v>3.7189089865579601</v>
      </c>
      <c r="V597" s="36">
        <v>1.05406228286464</v>
      </c>
      <c r="W597" s="36">
        <v>1.9463671959646101</v>
      </c>
      <c r="X597" s="37">
        <v>10.331857812184399</v>
      </c>
      <c r="Y597" s="37">
        <v>3.1532482344414299</v>
      </c>
      <c r="Z597" s="37">
        <v>2.4001630448020301</v>
      </c>
      <c r="AA597" s="37">
        <v>2.5396411397998202</v>
      </c>
      <c r="AB597" s="37">
        <v>3.6751702632604601</v>
      </c>
      <c r="AC597" s="37">
        <v>4.7351434223107498</v>
      </c>
      <c r="AD597" s="37">
        <v>0.377135011965606</v>
      </c>
      <c r="AE597" s="37">
        <v>4.5679105394238499</v>
      </c>
      <c r="AF597" s="45">
        <v>0.55699498463561903</v>
      </c>
      <c r="AG597" s="45">
        <v>1.4510062976067399</v>
      </c>
      <c r="AH597" s="46">
        <v>0.368692424136982</v>
      </c>
      <c r="AI597" s="47">
        <v>0.451749508695313</v>
      </c>
      <c r="AJ597" s="48">
        <v>2.7377783887470102</v>
      </c>
      <c r="AK597" s="49">
        <v>3.9725336835235501</v>
      </c>
      <c r="AL597" s="31" t="s">
        <v>5874</v>
      </c>
      <c r="AM597" s="31" t="s">
        <v>5832</v>
      </c>
      <c r="AN597" s="31" t="s">
        <v>30470</v>
      </c>
      <c r="AO597" s="31" t="s">
        <v>13772</v>
      </c>
      <c r="AP597" s="31" t="s">
        <v>30471</v>
      </c>
      <c r="AQ597" s="31" t="s">
        <v>30472</v>
      </c>
      <c r="AR597" s="31" t="s">
        <v>30473</v>
      </c>
      <c r="AS597" s="31" t="str">
        <f>"TSTD1"</f>
        <v>TSTD1</v>
      </c>
      <c r="AT597" s="31" t="s">
        <v>30474</v>
      </c>
      <c r="AU597" s="31" t="s">
        <v>13777</v>
      </c>
      <c r="AV597" s="31">
        <v>9606</v>
      </c>
      <c r="AW597" s="50" t="str">
        <f>HYPERLINK("http://www.uniprot.org/uniprot/Q8NFU3", "Q8NFU3")</f>
        <v>Q8NFU3</v>
      </c>
      <c r="AX597" s="31" t="s">
        <v>30475</v>
      </c>
      <c r="AY597" s="31" t="s">
        <v>13772</v>
      </c>
      <c r="AZ597" s="31" t="s">
        <v>13899</v>
      </c>
      <c r="BA597" s="31" t="s">
        <v>13841</v>
      </c>
      <c r="BB597" s="31" t="s">
        <v>13772</v>
      </c>
      <c r="BC597" s="31" t="s">
        <v>13772</v>
      </c>
      <c r="BD597" s="31" t="s">
        <v>13772</v>
      </c>
      <c r="BE597" s="31" t="s">
        <v>13772</v>
      </c>
      <c r="BF597" s="31" t="s">
        <v>14111</v>
      </c>
      <c r="BG597" s="31" t="s">
        <v>13772</v>
      </c>
      <c r="BH597" s="31" t="s">
        <v>13812</v>
      </c>
      <c r="BI597" s="31" t="s">
        <v>30476</v>
      </c>
      <c r="BJ597" s="31" t="s">
        <v>30477</v>
      </c>
      <c r="BK597" s="31" t="s">
        <v>30478</v>
      </c>
      <c r="BL597" s="31" t="s">
        <v>13772</v>
      </c>
      <c r="BM597" s="31" t="s">
        <v>16127</v>
      </c>
    </row>
    <row r="598" spans="1:65">
      <c r="A598">
        <v>2205</v>
      </c>
      <c r="B598">
        <v>1</v>
      </c>
      <c r="C598">
        <v>593</v>
      </c>
      <c r="D598" t="s">
        <v>5155</v>
      </c>
      <c r="E598" t="s">
        <v>5156</v>
      </c>
      <c r="F598" t="s">
        <v>73</v>
      </c>
      <c r="G598">
        <v>16.600000000000001</v>
      </c>
      <c r="H598">
        <v>2364</v>
      </c>
      <c r="I598">
        <v>274601</v>
      </c>
      <c r="J598" t="s">
        <v>5157</v>
      </c>
      <c r="K598" s="3" t="s">
        <v>73</v>
      </c>
      <c r="L598">
        <v>57</v>
      </c>
      <c r="M598">
        <v>55</v>
      </c>
      <c r="N598">
        <v>0.96499999999999997</v>
      </c>
      <c r="O598" s="11">
        <f t="shared" si="9"/>
        <v>2.8712185733725484</v>
      </c>
      <c r="P598" s="36">
        <v>0.30291084895868198</v>
      </c>
      <c r="Q598" s="36">
        <v>0.24076603016936199</v>
      </c>
      <c r="R598" s="36">
        <v>0.40019941545306398</v>
      </c>
      <c r="S598" s="36">
        <v>0.37798043978830698</v>
      </c>
      <c r="T598" s="36">
        <v>1.72035271987378</v>
      </c>
      <c r="U598" s="36">
        <v>0.92972724663949102</v>
      </c>
      <c r="V598" s="36">
        <v>0.26351557071616</v>
      </c>
      <c r="W598" s="36">
        <v>4.8659179899115301</v>
      </c>
      <c r="X598" s="37">
        <v>2.3842748797348698</v>
      </c>
      <c r="Y598" s="37">
        <v>11.982343290877401</v>
      </c>
      <c r="Z598" s="37">
        <v>9.6006521792081099</v>
      </c>
      <c r="AA598" s="37">
        <v>4.2327352329997003</v>
      </c>
      <c r="AB598" s="37">
        <v>5.5127553948906796</v>
      </c>
      <c r="AC598" s="37">
        <v>2.36757171115537</v>
      </c>
      <c r="AD598" s="37">
        <v>0.377135011965606</v>
      </c>
      <c r="AE598" s="37">
        <v>0.38065921161865401</v>
      </c>
      <c r="AF598" s="45">
        <v>1.8929988020420201</v>
      </c>
      <c r="AG598" s="45">
        <v>4.0475363438666596</v>
      </c>
      <c r="AH598" s="46">
        <v>7.4565120726168303E-3</v>
      </c>
      <c r="AI598" s="47">
        <v>1.40915440016403E-2</v>
      </c>
      <c r="AJ598" s="48">
        <v>1.1376712826888</v>
      </c>
      <c r="AK598" s="49">
        <v>4.6047658640562998</v>
      </c>
      <c r="AL598" s="31" t="s">
        <v>5874</v>
      </c>
      <c r="AM598" s="31" t="s">
        <v>5878</v>
      </c>
      <c r="AN598" s="31" t="s">
        <v>34828</v>
      </c>
      <c r="AO598" s="31" t="s">
        <v>34829</v>
      </c>
      <c r="AP598" s="31" t="s">
        <v>34830</v>
      </c>
      <c r="AQ598" s="31" t="s">
        <v>34831</v>
      </c>
      <c r="AR598" s="31" t="s">
        <v>34832</v>
      </c>
      <c r="AS598" s="31" t="str">
        <f>"SPTBN1"</f>
        <v>SPTBN1</v>
      </c>
      <c r="AT598" s="31" t="s">
        <v>34833</v>
      </c>
      <c r="AU598" s="31" t="s">
        <v>13777</v>
      </c>
      <c r="AV598" s="31">
        <v>9606</v>
      </c>
      <c r="AW598" s="50" t="str">
        <f>HYPERLINK("http://www.uniprot.org/uniprot/Q01082", "Q01082")</f>
        <v>Q01082</v>
      </c>
      <c r="AX598" s="31" t="s">
        <v>34834</v>
      </c>
      <c r="AY598" s="31" t="s">
        <v>13772</v>
      </c>
      <c r="AZ598" s="31" t="s">
        <v>17663</v>
      </c>
      <c r="BA598" s="31" t="s">
        <v>13780</v>
      </c>
      <c r="BB598" s="31" t="s">
        <v>13772</v>
      </c>
      <c r="BC598" s="31" t="s">
        <v>13772</v>
      </c>
      <c r="BD598" s="31" t="s">
        <v>14096</v>
      </c>
      <c r="BE598" s="31" t="s">
        <v>13772</v>
      </c>
      <c r="BF598" s="31" t="s">
        <v>32872</v>
      </c>
      <c r="BG598" s="31" t="s">
        <v>14182</v>
      </c>
      <c r="BH598" s="31" t="s">
        <v>13812</v>
      </c>
      <c r="BI598" s="31" t="s">
        <v>34835</v>
      </c>
      <c r="BJ598" s="31" t="s">
        <v>34836</v>
      </c>
      <c r="BK598" s="31" t="s">
        <v>34837</v>
      </c>
      <c r="BL598" s="31" t="s">
        <v>13772</v>
      </c>
      <c r="BM598" s="31" t="s">
        <v>34838</v>
      </c>
    </row>
    <row r="599" spans="1:65">
      <c r="A599">
        <v>2325</v>
      </c>
      <c r="B599">
        <v>1</v>
      </c>
      <c r="C599">
        <v>594</v>
      </c>
      <c r="D599" t="s">
        <v>5421</v>
      </c>
      <c r="E599" t="s">
        <v>73</v>
      </c>
      <c r="F599" t="s">
        <v>73</v>
      </c>
      <c r="G599">
        <v>10.4</v>
      </c>
      <c r="H599">
        <v>597</v>
      </c>
      <c r="I599">
        <v>64848</v>
      </c>
      <c r="J599" t="s">
        <v>5422</v>
      </c>
      <c r="K599" s="3" t="s">
        <v>73</v>
      </c>
      <c r="L599">
        <v>57</v>
      </c>
      <c r="M599">
        <v>57</v>
      </c>
      <c r="N599">
        <v>1</v>
      </c>
      <c r="O599" s="11">
        <f t="shared" si="9"/>
        <v>3.5312053841948816</v>
      </c>
      <c r="P599" s="36">
        <v>2.4232867916694598</v>
      </c>
      <c r="Q599" s="36">
        <v>3.85225648270979</v>
      </c>
      <c r="R599" s="36">
        <v>1.6007976618122599</v>
      </c>
      <c r="S599" s="36">
        <v>9.0715305549193808</v>
      </c>
      <c r="T599" s="36">
        <v>10.322116319242699</v>
      </c>
      <c r="U599" s="36">
        <v>8.3675452197554208</v>
      </c>
      <c r="V599" s="36">
        <v>6.3243736971878404</v>
      </c>
      <c r="W599" s="36">
        <v>3.8927343919292201</v>
      </c>
      <c r="X599" s="37">
        <v>0.19868957331123899</v>
      </c>
      <c r="Y599" s="37">
        <v>1.89194894066486</v>
      </c>
      <c r="Z599" s="37">
        <v>0.80005434826734301</v>
      </c>
      <c r="AA599" s="37">
        <v>0.21163676164998499</v>
      </c>
      <c r="AB599" s="37">
        <v>0.22969814145377901</v>
      </c>
      <c r="AC599" s="37">
        <v>2.36757171115537</v>
      </c>
      <c r="AD599" s="37">
        <v>0.377135011965606</v>
      </c>
      <c r="AE599" s="37">
        <v>4.5679105394238499</v>
      </c>
      <c r="AF599" s="45">
        <v>-2.1248597055965099</v>
      </c>
      <c r="AG599" s="45">
        <v>-4.3077661114178696</v>
      </c>
      <c r="AH599" s="46">
        <v>3.9156559955632301E-4</v>
      </c>
      <c r="AI599" s="47">
        <v>9.6663242104494396E-4</v>
      </c>
      <c r="AJ599" s="48">
        <v>5.7318301399032601</v>
      </c>
      <c r="AK599" s="49">
        <v>1.3305806284865</v>
      </c>
      <c r="AL599" s="31" t="s">
        <v>5875</v>
      </c>
      <c r="AM599" s="31" t="s">
        <v>5876</v>
      </c>
      <c r="AN599" s="31" t="s">
        <v>35914</v>
      </c>
      <c r="AO599" s="31" t="s">
        <v>35915</v>
      </c>
      <c r="AP599" s="31" t="s">
        <v>35916</v>
      </c>
      <c r="AQ599" s="31" t="s">
        <v>35917</v>
      </c>
      <c r="AR599" s="31" t="s">
        <v>35918</v>
      </c>
      <c r="AS599" s="31" t="str">
        <f>"SLC5A10"</f>
        <v>SLC5A10</v>
      </c>
      <c r="AT599" s="31" t="s">
        <v>35919</v>
      </c>
      <c r="AU599" s="31" t="s">
        <v>13777</v>
      </c>
      <c r="AV599" s="31">
        <v>9606</v>
      </c>
      <c r="AW599" s="50" t="str">
        <f>HYPERLINK("http://www.uniprot.org/uniprot/A0PJK1", "A0PJK1")</f>
        <v>A0PJK1</v>
      </c>
      <c r="AX599" s="31" t="s">
        <v>35920</v>
      </c>
      <c r="AY599" s="31" t="s">
        <v>31290</v>
      </c>
      <c r="AZ599" s="31" t="s">
        <v>13792</v>
      </c>
      <c r="BA599" s="31" t="s">
        <v>13780</v>
      </c>
      <c r="BB599" s="31" t="s">
        <v>13772</v>
      </c>
      <c r="BC599" s="31" t="s">
        <v>13772</v>
      </c>
      <c r="BD599" s="31" t="s">
        <v>13925</v>
      </c>
      <c r="BE599" s="31" t="s">
        <v>13926</v>
      </c>
      <c r="BF599" s="31" t="s">
        <v>13772</v>
      </c>
      <c r="BG599" s="31" t="s">
        <v>13978</v>
      </c>
      <c r="BH599" s="31" t="s">
        <v>13772</v>
      </c>
      <c r="BI599" s="31" t="s">
        <v>31291</v>
      </c>
      <c r="BJ599" s="31" t="s">
        <v>17329</v>
      </c>
      <c r="BK599" s="31" t="s">
        <v>35921</v>
      </c>
      <c r="BL599" s="31" t="s">
        <v>13772</v>
      </c>
      <c r="BM599" s="31" t="s">
        <v>31292</v>
      </c>
    </row>
    <row r="600" spans="1:65">
      <c r="A600">
        <v>511</v>
      </c>
      <c r="B600">
        <v>1</v>
      </c>
      <c r="C600">
        <v>595</v>
      </c>
      <c r="D600" t="s">
        <v>1289</v>
      </c>
      <c r="E600" t="s">
        <v>73</v>
      </c>
      <c r="F600" t="s">
        <v>73</v>
      </c>
      <c r="G600">
        <v>33.299999999999997</v>
      </c>
      <c r="H600">
        <v>225</v>
      </c>
      <c r="I600">
        <v>26664</v>
      </c>
      <c r="J600" t="s">
        <v>1291</v>
      </c>
      <c r="K600" s="3" t="s">
        <v>73</v>
      </c>
      <c r="L600">
        <v>65</v>
      </c>
      <c r="M600">
        <v>42</v>
      </c>
      <c r="N600">
        <v>0.64600000000000002</v>
      </c>
      <c r="O600" s="11">
        <f t="shared" si="9"/>
        <v>2.9735809545191927</v>
      </c>
      <c r="P600" s="36">
        <v>0.30291084895868198</v>
      </c>
      <c r="Q600" s="36">
        <v>0.24076603016936199</v>
      </c>
      <c r="R600" s="36">
        <v>0.40019941545306398</v>
      </c>
      <c r="S600" s="36">
        <v>0.37798043978830698</v>
      </c>
      <c r="T600" s="36">
        <v>0.215044089984223</v>
      </c>
      <c r="U600" s="36">
        <v>0.23243181165987301</v>
      </c>
      <c r="V600" s="36">
        <v>1.05406228286464</v>
      </c>
      <c r="W600" s="36">
        <v>0.97318359798230603</v>
      </c>
      <c r="X600" s="37">
        <v>6.5964938339331498</v>
      </c>
      <c r="Y600" s="37">
        <v>5.6758468219945701</v>
      </c>
      <c r="Z600" s="37">
        <v>4.8003260896040603</v>
      </c>
      <c r="AA600" s="37">
        <v>1.2698205698999101</v>
      </c>
      <c r="AB600" s="37">
        <v>15.251956592530901</v>
      </c>
      <c r="AC600" s="37">
        <v>8.2865009890438106</v>
      </c>
      <c r="AD600" s="37">
        <v>0.377135011965606</v>
      </c>
      <c r="AE600" s="37">
        <v>1.5226368464746201</v>
      </c>
      <c r="AF600" s="45">
        <v>3.2698214688628</v>
      </c>
      <c r="AG600" s="45">
        <v>11.5316242140175</v>
      </c>
      <c r="AH600" s="46">
        <v>2.3690362563819901E-5</v>
      </c>
      <c r="AI600" s="47">
        <v>7.7690453701938699E-5</v>
      </c>
      <c r="AJ600" s="48">
        <v>0.474572314607557</v>
      </c>
      <c r="AK600" s="49">
        <v>5.47258959443083</v>
      </c>
      <c r="AL600" s="31" t="s">
        <v>5874</v>
      </c>
      <c r="AM600" s="31" t="s">
        <v>5876</v>
      </c>
      <c r="AN600" s="31" t="s">
        <v>18819</v>
      </c>
      <c r="AO600" s="31" t="s">
        <v>18820</v>
      </c>
      <c r="AP600" s="31" t="s">
        <v>18821</v>
      </c>
      <c r="AQ600" s="31" t="s">
        <v>18822</v>
      </c>
      <c r="AR600" s="31" t="s">
        <v>18823</v>
      </c>
      <c r="AS600" s="31" t="str">
        <f>"TNNT3"</f>
        <v>TNNT3</v>
      </c>
      <c r="AT600" s="31" t="s">
        <v>13772</v>
      </c>
      <c r="AU600" s="31" t="s">
        <v>13777</v>
      </c>
      <c r="AV600" s="31">
        <v>9606</v>
      </c>
      <c r="AW600" s="50" t="str">
        <f>HYPERLINK("http://www.uniprot.org/uniprot/P45378", "P45378")</f>
        <v>P45378</v>
      </c>
      <c r="AX600" s="31" t="s">
        <v>18824</v>
      </c>
      <c r="AY600" s="31" t="s">
        <v>13772</v>
      </c>
      <c r="AZ600" s="31" t="s">
        <v>13772</v>
      </c>
      <c r="BA600" s="31" t="s">
        <v>13841</v>
      </c>
      <c r="BB600" s="31" t="s">
        <v>13772</v>
      </c>
      <c r="BC600" s="31" t="s">
        <v>13807</v>
      </c>
      <c r="BD600" s="31" t="s">
        <v>13772</v>
      </c>
      <c r="BE600" s="31" t="s">
        <v>13772</v>
      </c>
      <c r="BF600" s="31" t="s">
        <v>17512</v>
      </c>
      <c r="BG600" s="31" t="s">
        <v>13886</v>
      </c>
      <c r="BH600" s="31" t="s">
        <v>13772</v>
      </c>
      <c r="BI600" s="31" t="s">
        <v>18825</v>
      </c>
      <c r="BJ600" s="31" t="s">
        <v>18826</v>
      </c>
      <c r="BK600" s="31" t="s">
        <v>18827</v>
      </c>
      <c r="BL600" s="31" t="s">
        <v>13772</v>
      </c>
      <c r="BM600" s="31" t="s">
        <v>15657</v>
      </c>
    </row>
    <row r="601" spans="1:65">
      <c r="A601">
        <v>265</v>
      </c>
      <c r="B601">
        <v>1</v>
      </c>
      <c r="C601">
        <v>596</v>
      </c>
      <c r="D601" t="s">
        <v>671</v>
      </c>
      <c r="E601" t="s">
        <v>73</v>
      </c>
      <c r="F601" t="s">
        <v>73</v>
      </c>
      <c r="G601">
        <v>30</v>
      </c>
      <c r="H601">
        <v>1277</v>
      </c>
      <c r="I601">
        <v>137837</v>
      </c>
      <c r="J601" t="s">
        <v>672</v>
      </c>
      <c r="K601" s="3" t="s">
        <v>73</v>
      </c>
      <c r="L601">
        <v>56</v>
      </c>
      <c r="M601">
        <v>56</v>
      </c>
      <c r="N601">
        <v>1</v>
      </c>
      <c r="O601" s="11">
        <f t="shared" si="9"/>
        <v>3.1343379973946126</v>
      </c>
      <c r="P601" s="36">
        <v>0.30291084895868198</v>
      </c>
      <c r="Q601" s="36">
        <v>2.8891923620323401</v>
      </c>
      <c r="R601" s="36">
        <v>1.6007976618122599</v>
      </c>
      <c r="S601" s="36">
        <v>3.0238435183064598</v>
      </c>
      <c r="T601" s="36">
        <v>1.72035271987378</v>
      </c>
      <c r="U601" s="36">
        <v>3.7189089865579601</v>
      </c>
      <c r="V601" s="36">
        <v>2.10812456572928</v>
      </c>
      <c r="W601" s="36">
        <v>0.24329589949557701</v>
      </c>
      <c r="X601" s="37">
        <v>4.7685497594697397</v>
      </c>
      <c r="Y601" s="37">
        <v>6.9371461157711396</v>
      </c>
      <c r="Z601" s="37">
        <v>7.2004891344060802</v>
      </c>
      <c r="AA601" s="37">
        <v>2.5396411397998202</v>
      </c>
      <c r="AB601" s="37">
        <v>1.8375851316302301</v>
      </c>
      <c r="AC601" s="37">
        <v>6.3135245630809997</v>
      </c>
      <c r="AD601" s="37">
        <v>0.377135011965606</v>
      </c>
      <c r="AE601" s="37">
        <v>4.5679105394238499</v>
      </c>
      <c r="AF601" s="45">
        <v>1.15857663496019</v>
      </c>
      <c r="AG601" s="45">
        <v>2.2131759682888501</v>
      </c>
      <c r="AH601" s="46">
        <v>4.4751842113282397E-2</v>
      </c>
      <c r="AI601" s="47">
        <v>7.0444664408908106E-2</v>
      </c>
      <c r="AJ601" s="48">
        <v>1.9509283203457899</v>
      </c>
      <c r="AK601" s="49">
        <v>4.3177476744434298</v>
      </c>
      <c r="AL601" s="31" t="s">
        <v>5874</v>
      </c>
      <c r="AM601" s="31" t="s">
        <v>5877</v>
      </c>
      <c r="AN601" s="31" t="s">
        <v>16177</v>
      </c>
      <c r="AO601" s="31" t="s">
        <v>13772</v>
      </c>
      <c r="AP601" s="31" t="s">
        <v>16178</v>
      </c>
      <c r="AQ601" s="31" t="s">
        <v>16179</v>
      </c>
      <c r="AR601" s="31" t="s">
        <v>16180</v>
      </c>
      <c r="AS601" s="31" t="str">
        <f>"PAPLN"</f>
        <v>PAPLN</v>
      </c>
      <c r="AT601" s="31" t="s">
        <v>13772</v>
      </c>
      <c r="AU601" s="31" t="s">
        <v>13777</v>
      </c>
      <c r="AV601" s="31">
        <v>9606</v>
      </c>
      <c r="AW601" s="50" t="str">
        <f>HYPERLINK("http://www.uniprot.org/uniprot/O95428", "O95428")</f>
        <v>O95428</v>
      </c>
      <c r="AX601" s="31" t="s">
        <v>16181</v>
      </c>
      <c r="AY601" s="31" t="s">
        <v>13772</v>
      </c>
      <c r="AZ601" s="31" t="s">
        <v>14321</v>
      </c>
      <c r="BA601" s="31" t="s">
        <v>13780</v>
      </c>
      <c r="BB601" s="31" t="s">
        <v>13772</v>
      </c>
      <c r="BC601" s="31" t="s">
        <v>13772</v>
      </c>
      <c r="BD601" s="31" t="s">
        <v>16182</v>
      </c>
      <c r="BE601" s="31" t="s">
        <v>13772</v>
      </c>
      <c r="BF601" s="31" t="s">
        <v>14375</v>
      </c>
      <c r="BG601" s="31" t="s">
        <v>14506</v>
      </c>
      <c r="BH601" s="31" t="s">
        <v>13772</v>
      </c>
      <c r="BI601" s="31" t="s">
        <v>13772</v>
      </c>
      <c r="BJ601" s="31" t="s">
        <v>15346</v>
      </c>
      <c r="BK601" s="31" t="s">
        <v>16183</v>
      </c>
      <c r="BL601" s="31" t="s">
        <v>13772</v>
      </c>
      <c r="BM601" s="31" t="s">
        <v>13772</v>
      </c>
    </row>
    <row r="602" spans="1:65">
      <c r="A602">
        <v>326</v>
      </c>
      <c r="B602">
        <v>1</v>
      </c>
      <c r="C602">
        <v>597</v>
      </c>
      <c r="D602" t="s">
        <v>820</v>
      </c>
      <c r="E602" t="s">
        <v>73</v>
      </c>
      <c r="F602" t="s">
        <v>73</v>
      </c>
      <c r="G602">
        <v>29.1</v>
      </c>
      <c r="H602">
        <v>440</v>
      </c>
      <c r="I602">
        <v>50193</v>
      </c>
      <c r="J602" t="s">
        <v>821</v>
      </c>
      <c r="K602" s="3" t="s">
        <v>73</v>
      </c>
      <c r="L602">
        <v>56</v>
      </c>
      <c r="M602">
        <v>56</v>
      </c>
      <c r="N602">
        <v>1</v>
      </c>
      <c r="O602" s="11">
        <f t="shared" si="9"/>
        <v>3.279570132552895</v>
      </c>
      <c r="P602" s="36">
        <v>1.2116433958347299</v>
      </c>
      <c r="Q602" s="36">
        <v>0.24076603016936199</v>
      </c>
      <c r="R602" s="36">
        <v>0.40019941545306398</v>
      </c>
      <c r="S602" s="36">
        <v>1.5119217591532299</v>
      </c>
      <c r="T602" s="36">
        <v>0.215044089984223</v>
      </c>
      <c r="U602" s="36">
        <v>0.23243181165987301</v>
      </c>
      <c r="V602" s="36">
        <v>0.26351557071616</v>
      </c>
      <c r="W602" s="36">
        <v>8.7586523818407507</v>
      </c>
      <c r="X602" s="37">
        <v>6.35806634595966</v>
      </c>
      <c r="Y602" s="37">
        <v>5.6758468219945701</v>
      </c>
      <c r="Z602" s="37">
        <v>4.0002717413367099</v>
      </c>
      <c r="AA602" s="37">
        <v>3.3861881863997598</v>
      </c>
      <c r="AB602" s="37">
        <v>6.4315479607058004</v>
      </c>
      <c r="AC602" s="37">
        <v>3.1567622815404999</v>
      </c>
      <c r="AD602" s="37">
        <v>3.0170800957248498</v>
      </c>
      <c r="AE602" s="37">
        <v>7.6131842323730803</v>
      </c>
      <c r="AF602" s="45">
        <v>1.51391272819441</v>
      </c>
      <c r="AG602" s="45">
        <v>3.0885467394573798</v>
      </c>
      <c r="AH602" s="46">
        <v>1.48201872175657E-2</v>
      </c>
      <c r="AI602" s="47">
        <v>2.6091329601451201E-2</v>
      </c>
      <c r="AJ602" s="48">
        <v>1.6042718068514199</v>
      </c>
      <c r="AK602" s="49">
        <v>4.9548684582543698</v>
      </c>
      <c r="AL602" s="31" t="s">
        <v>5874</v>
      </c>
      <c r="AM602" s="31" t="s">
        <v>5878</v>
      </c>
      <c r="AN602" s="31" t="s">
        <v>16815</v>
      </c>
      <c r="AO602" s="31" t="s">
        <v>16816</v>
      </c>
      <c r="AP602" s="31" t="s">
        <v>16817</v>
      </c>
      <c r="AQ602" s="31" t="s">
        <v>16818</v>
      </c>
      <c r="AR602" s="31" t="s">
        <v>13772</v>
      </c>
      <c r="AS602" s="31" t="str">
        <f>"FGL2"</f>
        <v>FGL2</v>
      </c>
      <c r="AT602" s="31" t="s">
        <v>13772</v>
      </c>
      <c r="AU602" s="31" t="s">
        <v>13777</v>
      </c>
      <c r="AV602" s="31">
        <v>9606</v>
      </c>
      <c r="AW602" s="50" t="str">
        <f>HYPERLINK("http://www.uniprot.org/uniprot/Q14314", "Q14314")</f>
        <v>Q14314</v>
      </c>
      <c r="AX602" s="31" t="s">
        <v>16819</v>
      </c>
      <c r="AY602" s="31" t="s">
        <v>13772</v>
      </c>
      <c r="AZ602" s="31" t="s">
        <v>14321</v>
      </c>
      <c r="BA602" s="31" t="s">
        <v>13793</v>
      </c>
      <c r="BB602" s="31" t="s">
        <v>13772</v>
      </c>
      <c r="BC602" s="31" t="s">
        <v>13772</v>
      </c>
      <c r="BD602" s="31" t="s">
        <v>16820</v>
      </c>
      <c r="BE602" s="31" t="s">
        <v>13772</v>
      </c>
      <c r="BF602" s="31" t="s">
        <v>13772</v>
      </c>
      <c r="BG602" s="31" t="s">
        <v>13796</v>
      </c>
      <c r="BH602" s="31" t="s">
        <v>13772</v>
      </c>
      <c r="BI602" s="31" t="s">
        <v>16821</v>
      </c>
      <c r="BJ602" s="31" t="s">
        <v>16822</v>
      </c>
      <c r="BK602" s="31" t="s">
        <v>16823</v>
      </c>
      <c r="BL602" s="31" t="s">
        <v>13772</v>
      </c>
      <c r="BM602" s="31" t="s">
        <v>13890</v>
      </c>
    </row>
    <row r="603" spans="1:65">
      <c r="A603">
        <v>390</v>
      </c>
      <c r="B603">
        <v>1</v>
      </c>
      <c r="C603">
        <v>598</v>
      </c>
      <c r="D603" t="s">
        <v>975</v>
      </c>
      <c r="E603" t="s">
        <v>976</v>
      </c>
      <c r="F603" t="s">
        <v>73</v>
      </c>
      <c r="G603">
        <v>15.3</v>
      </c>
      <c r="H603">
        <v>1787</v>
      </c>
      <c r="I603">
        <v>199058</v>
      </c>
      <c r="J603" t="s">
        <v>977</v>
      </c>
      <c r="K603" s="3" t="s">
        <v>73</v>
      </c>
      <c r="L603">
        <v>56</v>
      </c>
      <c r="M603">
        <v>56</v>
      </c>
      <c r="N603">
        <v>1</v>
      </c>
      <c r="O603" s="11">
        <f t="shared" si="9"/>
        <v>3.0920811960874248</v>
      </c>
      <c r="P603" s="36">
        <v>0.30291084895868198</v>
      </c>
      <c r="Q603" s="36">
        <v>0.24076603016936199</v>
      </c>
      <c r="R603" s="36">
        <v>0.40019941545306398</v>
      </c>
      <c r="S603" s="36">
        <v>0.37798043978830698</v>
      </c>
      <c r="T603" s="36">
        <v>0.215044089984223</v>
      </c>
      <c r="U603" s="36">
        <v>0.23243181165987301</v>
      </c>
      <c r="V603" s="36">
        <v>1.05406228286464</v>
      </c>
      <c r="W603" s="36">
        <v>0.24329589949557701</v>
      </c>
      <c r="X603" s="37">
        <v>0.79475829324495695</v>
      </c>
      <c r="Y603" s="37">
        <v>5.0451971751062796</v>
      </c>
      <c r="Z603" s="37">
        <v>1.60010869653469</v>
      </c>
      <c r="AA603" s="37">
        <v>1.6930940931998799</v>
      </c>
      <c r="AB603" s="37">
        <v>23.888606711192999</v>
      </c>
      <c r="AC603" s="37">
        <v>12.627049126161999</v>
      </c>
      <c r="AD603" s="37">
        <v>0.377135011965606</v>
      </c>
      <c r="AE603" s="37">
        <v>0.38065921161865401</v>
      </c>
      <c r="AF603" s="45">
        <v>3.5929907421881699</v>
      </c>
      <c r="AG603" s="45">
        <v>15.132470492618699</v>
      </c>
      <c r="AH603" s="46">
        <v>2.05801077134766E-4</v>
      </c>
      <c r="AI603" s="47">
        <v>5.3987415568573099E-4</v>
      </c>
      <c r="AJ603" s="48">
        <v>0.38333635229671598</v>
      </c>
      <c r="AK603" s="49">
        <v>5.8008260398781299</v>
      </c>
      <c r="AL603" s="31" t="s">
        <v>5874</v>
      </c>
      <c r="AM603" s="31" t="s">
        <v>5876</v>
      </c>
      <c r="AN603" s="31" t="s">
        <v>17506</v>
      </c>
      <c r="AO603" s="31" t="s">
        <v>17507</v>
      </c>
      <c r="AP603" s="31" t="s">
        <v>17508</v>
      </c>
      <c r="AQ603" s="31" t="s">
        <v>17509</v>
      </c>
      <c r="AR603" s="31" t="s">
        <v>17510</v>
      </c>
      <c r="AS603" s="31" t="str">
        <f>"MYOM1"</f>
        <v>MYOM1</v>
      </c>
      <c r="AT603" s="31" t="s">
        <v>13772</v>
      </c>
      <c r="AU603" s="31" t="s">
        <v>13777</v>
      </c>
      <c r="AV603" s="31">
        <v>9606</v>
      </c>
      <c r="AW603" s="50" t="str">
        <f>HYPERLINK("http://www.uniprot.org/uniprot/P52179", "P52179")</f>
        <v>P52179</v>
      </c>
      <c r="AX603" s="31" t="s">
        <v>17511</v>
      </c>
      <c r="AY603" s="31" t="s">
        <v>13772</v>
      </c>
      <c r="AZ603" s="31" t="s">
        <v>15651</v>
      </c>
      <c r="BA603" s="31" t="s">
        <v>13780</v>
      </c>
      <c r="BB603" s="31" t="s">
        <v>13772</v>
      </c>
      <c r="BC603" s="31" t="s">
        <v>13772</v>
      </c>
      <c r="BD603" s="31" t="s">
        <v>15552</v>
      </c>
      <c r="BE603" s="31" t="s">
        <v>13772</v>
      </c>
      <c r="BF603" s="31" t="s">
        <v>17512</v>
      </c>
      <c r="BG603" s="31" t="s">
        <v>15554</v>
      </c>
      <c r="BH603" s="31" t="s">
        <v>13812</v>
      </c>
      <c r="BI603" s="31" t="s">
        <v>17513</v>
      </c>
      <c r="BJ603" s="31" t="s">
        <v>17514</v>
      </c>
      <c r="BK603" s="31" t="s">
        <v>17515</v>
      </c>
      <c r="BL603" s="31" t="s">
        <v>13772</v>
      </c>
      <c r="BM603" s="31" t="s">
        <v>13772</v>
      </c>
    </row>
    <row r="604" spans="1:65">
      <c r="A604">
        <v>635</v>
      </c>
      <c r="B604">
        <v>1</v>
      </c>
      <c r="C604">
        <v>599</v>
      </c>
      <c r="D604" t="s">
        <v>1571</v>
      </c>
      <c r="E604" t="s">
        <v>73</v>
      </c>
      <c r="F604" t="s">
        <v>73</v>
      </c>
      <c r="G604">
        <v>28.8</v>
      </c>
      <c r="H604">
        <v>215</v>
      </c>
      <c r="I604">
        <v>24383</v>
      </c>
      <c r="J604" t="s">
        <v>1572</v>
      </c>
      <c r="K604" s="3" t="s">
        <v>73</v>
      </c>
      <c r="L604">
        <v>56</v>
      </c>
      <c r="M604">
        <v>56</v>
      </c>
      <c r="N604">
        <v>1</v>
      </c>
      <c r="O604" s="11">
        <f t="shared" si="9"/>
        <v>3.8050805886124754</v>
      </c>
      <c r="P604" s="36">
        <v>6.0582169791736504</v>
      </c>
      <c r="Q604" s="36">
        <v>8.6675770860970207</v>
      </c>
      <c r="R604" s="36">
        <v>9.6047859708735501</v>
      </c>
      <c r="S604" s="36">
        <v>9.0715305549193808</v>
      </c>
      <c r="T604" s="36">
        <v>5.1610581596213496</v>
      </c>
      <c r="U604" s="36">
        <v>2.7891817399184702</v>
      </c>
      <c r="V604" s="36">
        <v>4.21624913145856</v>
      </c>
      <c r="W604" s="36">
        <v>1.9463671959646101</v>
      </c>
      <c r="X604" s="37">
        <v>0.19868957331123899</v>
      </c>
      <c r="Y604" s="37">
        <v>1.2612992937765699</v>
      </c>
      <c r="Z604" s="37">
        <v>2.4001630448020301</v>
      </c>
      <c r="AA604" s="37">
        <v>0.84654704659994096</v>
      </c>
      <c r="AB604" s="37">
        <v>0.22969814145377901</v>
      </c>
      <c r="AC604" s="37">
        <v>2.36757171115537</v>
      </c>
      <c r="AD604" s="37">
        <v>3.0170800957248498</v>
      </c>
      <c r="AE604" s="37">
        <v>3.0452736929492299</v>
      </c>
      <c r="AF604" s="45">
        <v>-1.8181243859153</v>
      </c>
      <c r="AG604" s="45">
        <v>-3.5548271757883101</v>
      </c>
      <c r="AH604" s="46">
        <v>8.7330462462313098E-4</v>
      </c>
      <c r="AI604" s="47">
        <v>1.98721358460162E-3</v>
      </c>
      <c r="AJ604" s="48">
        <v>5.9393708522533197</v>
      </c>
      <c r="AK604" s="49">
        <v>1.67079032497163</v>
      </c>
      <c r="AL604" s="31" t="s">
        <v>5875</v>
      </c>
      <c r="AM604" s="31" t="s">
        <v>5876</v>
      </c>
      <c r="AN604" s="31" t="s">
        <v>20053</v>
      </c>
      <c r="AO604" s="31" t="s">
        <v>20054</v>
      </c>
      <c r="AP604" s="31" t="s">
        <v>20055</v>
      </c>
      <c r="AQ604" s="31" t="s">
        <v>20056</v>
      </c>
      <c r="AR604" s="31" t="s">
        <v>20057</v>
      </c>
      <c r="AS604" s="31" t="str">
        <f>"MPZL2"</f>
        <v>MPZL2</v>
      </c>
      <c r="AT604" s="31" t="s">
        <v>20058</v>
      </c>
      <c r="AU604" s="31" t="s">
        <v>13777</v>
      </c>
      <c r="AV604" s="31">
        <v>9606</v>
      </c>
      <c r="AW604" s="50" t="str">
        <f>HYPERLINK("http://www.uniprot.org/uniprot/O60487", "O60487")</f>
        <v>O60487</v>
      </c>
      <c r="AX604" s="31" t="s">
        <v>20059</v>
      </c>
      <c r="AY604" s="31" t="s">
        <v>13949</v>
      </c>
      <c r="AZ604" s="31" t="s">
        <v>13825</v>
      </c>
      <c r="BA604" s="31" t="s">
        <v>13793</v>
      </c>
      <c r="BB604" s="31" t="s">
        <v>13772</v>
      </c>
      <c r="BC604" s="31" t="s">
        <v>14255</v>
      </c>
      <c r="BD604" s="31" t="s">
        <v>13794</v>
      </c>
      <c r="BE604" s="31" t="s">
        <v>13772</v>
      </c>
      <c r="BF604" s="31" t="s">
        <v>13772</v>
      </c>
      <c r="BG604" s="31" t="s">
        <v>13796</v>
      </c>
      <c r="BH604" s="31" t="s">
        <v>13772</v>
      </c>
      <c r="BI604" s="31" t="s">
        <v>20060</v>
      </c>
      <c r="BJ604" s="31" t="s">
        <v>20061</v>
      </c>
      <c r="BK604" s="31" t="s">
        <v>13772</v>
      </c>
      <c r="BL604" s="31" t="s">
        <v>13772</v>
      </c>
      <c r="BM604" s="31" t="s">
        <v>13772</v>
      </c>
    </row>
    <row r="605" spans="1:65">
      <c r="A605">
        <v>1165</v>
      </c>
      <c r="B605">
        <v>1</v>
      </c>
      <c r="C605">
        <v>600</v>
      </c>
      <c r="D605" t="s">
        <v>2798</v>
      </c>
      <c r="E605" t="s">
        <v>2799</v>
      </c>
      <c r="F605" t="s">
        <v>73</v>
      </c>
      <c r="G605">
        <v>16.100000000000001</v>
      </c>
      <c r="H605">
        <v>242</v>
      </c>
      <c r="I605">
        <v>27446</v>
      </c>
      <c r="J605" t="s">
        <v>2800</v>
      </c>
      <c r="K605" s="3" t="s">
        <v>73</v>
      </c>
      <c r="L605">
        <v>56</v>
      </c>
      <c r="M605">
        <v>56</v>
      </c>
      <c r="N605">
        <v>1</v>
      </c>
      <c r="O605" s="11">
        <f t="shared" si="9"/>
        <v>3.4785892805912453</v>
      </c>
      <c r="P605" s="36">
        <v>6.0582169791736504</v>
      </c>
      <c r="Q605" s="36">
        <v>2.8891923620323401</v>
      </c>
      <c r="R605" s="36">
        <v>6.4031906472490299</v>
      </c>
      <c r="S605" s="36">
        <v>4.5357652774596904</v>
      </c>
      <c r="T605" s="36">
        <v>6.0212345195582504</v>
      </c>
      <c r="U605" s="36">
        <v>4.6486362331974602</v>
      </c>
      <c r="V605" s="36">
        <v>2.10812456572928</v>
      </c>
      <c r="W605" s="36">
        <v>1.9463671959646101</v>
      </c>
      <c r="X605" s="37">
        <v>3.17903317297983</v>
      </c>
      <c r="Y605" s="37">
        <v>1.2612992937765699</v>
      </c>
      <c r="Z605" s="37">
        <v>4.0002717413367099</v>
      </c>
      <c r="AA605" s="37">
        <v>1.6930940931998799</v>
      </c>
      <c r="AB605" s="37">
        <v>0.91879256581511404</v>
      </c>
      <c r="AC605" s="37">
        <v>3.94595285192562</v>
      </c>
      <c r="AD605" s="37">
        <v>4.5256201435872701</v>
      </c>
      <c r="AE605" s="37">
        <v>1.5226368464746201</v>
      </c>
      <c r="AF605" s="45">
        <v>-0.68654567424495305</v>
      </c>
      <c r="AG605" s="45">
        <v>-1.64447284440201</v>
      </c>
      <c r="AH605" s="46">
        <v>0.15196500649960001</v>
      </c>
      <c r="AI605" s="47">
        <v>0.20496893013756501</v>
      </c>
      <c r="AJ605" s="48">
        <v>4.3263409725455402</v>
      </c>
      <c r="AK605" s="49">
        <v>2.6308375886369499</v>
      </c>
      <c r="AL605" s="31" t="s">
        <v>5875</v>
      </c>
      <c r="AM605" s="31" t="s">
        <v>5832</v>
      </c>
      <c r="AN605" s="31" t="s">
        <v>25011</v>
      </c>
      <c r="AO605" s="31" t="s">
        <v>25012</v>
      </c>
      <c r="AP605" s="31" t="s">
        <v>25013</v>
      </c>
      <c r="AQ605" s="31" t="s">
        <v>25014</v>
      </c>
      <c r="AR605" s="31" t="s">
        <v>25015</v>
      </c>
      <c r="AS605" s="31" t="str">
        <f>"PDGFB"</f>
        <v>PDGFB</v>
      </c>
      <c r="AT605" s="31" t="s">
        <v>25016</v>
      </c>
      <c r="AU605" s="31" t="s">
        <v>13777</v>
      </c>
      <c r="AV605" s="31">
        <v>9606</v>
      </c>
      <c r="AW605" s="50" t="str">
        <f>HYPERLINK("http://www.uniprot.org/uniprot/P01127", "P01127")</f>
        <v>P01127</v>
      </c>
      <c r="AX605" s="31" t="s">
        <v>25017</v>
      </c>
      <c r="AY605" s="31" t="s">
        <v>13772</v>
      </c>
      <c r="AZ605" s="31" t="s">
        <v>14321</v>
      </c>
      <c r="BA605" s="31" t="s">
        <v>25018</v>
      </c>
      <c r="BB605" s="31" t="s">
        <v>13772</v>
      </c>
      <c r="BC605" s="31" t="s">
        <v>16495</v>
      </c>
      <c r="BD605" s="31" t="s">
        <v>13808</v>
      </c>
      <c r="BE605" s="31" t="s">
        <v>13772</v>
      </c>
      <c r="BF605" s="31" t="s">
        <v>25019</v>
      </c>
      <c r="BG605" s="31" t="s">
        <v>14629</v>
      </c>
      <c r="BH605" s="31" t="s">
        <v>14324</v>
      </c>
      <c r="BI605" s="31" t="s">
        <v>25020</v>
      </c>
      <c r="BJ605" s="31" t="s">
        <v>25021</v>
      </c>
      <c r="BK605" s="31" t="s">
        <v>25022</v>
      </c>
      <c r="BL605" s="31" t="s">
        <v>13772</v>
      </c>
      <c r="BM605" s="31" t="s">
        <v>25023</v>
      </c>
    </row>
    <row r="606" spans="1:65">
      <c r="A606">
        <v>1494</v>
      </c>
      <c r="B606">
        <v>1</v>
      </c>
      <c r="C606">
        <v>601</v>
      </c>
      <c r="D606" t="s">
        <v>3555</v>
      </c>
      <c r="E606" t="s">
        <v>73</v>
      </c>
      <c r="F606" t="s">
        <v>73</v>
      </c>
      <c r="G606">
        <v>43.3</v>
      </c>
      <c r="H606">
        <v>247</v>
      </c>
      <c r="I606">
        <v>28263</v>
      </c>
      <c r="J606" t="s">
        <v>3556</v>
      </c>
      <c r="K606" s="3" t="s">
        <v>73</v>
      </c>
      <c r="L606">
        <v>56</v>
      </c>
      <c r="M606">
        <v>56</v>
      </c>
      <c r="N606">
        <v>1</v>
      </c>
      <c r="O606" s="11">
        <f t="shared" si="9"/>
        <v>2.8447880813952668</v>
      </c>
      <c r="P606" s="36">
        <v>1.2116433958347299</v>
      </c>
      <c r="Q606" s="36">
        <v>0.24076603016936199</v>
      </c>
      <c r="R606" s="36">
        <v>0.40019941545306398</v>
      </c>
      <c r="S606" s="36">
        <v>3.0238435183064598</v>
      </c>
      <c r="T606" s="36">
        <v>1.72035271987378</v>
      </c>
      <c r="U606" s="36">
        <v>2.7891817399184702</v>
      </c>
      <c r="V606" s="36">
        <v>4.21624913145856</v>
      </c>
      <c r="W606" s="36">
        <v>1.9463671959646101</v>
      </c>
      <c r="X606" s="37">
        <v>0.79475829324495695</v>
      </c>
      <c r="Y606" s="37">
        <v>4.4145475282179998</v>
      </c>
      <c r="Z606" s="37">
        <v>2.4001630448020301</v>
      </c>
      <c r="AA606" s="37">
        <v>4.2327352329997003</v>
      </c>
      <c r="AB606" s="37">
        <v>3.6751702632604601</v>
      </c>
      <c r="AC606" s="37">
        <v>0.78919057038512497</v>
      </c>
      <c r="AD606" s="37">
        <v>4.5256201435872701</v>
      </c>
      <c r="AE606" s="37">
        <v>9.1358210788476999</v>
      </c>
      <c r="AF606" s="45">
        <v>0.79487791949721798</v>
      </c>
      <c r="AG606" s="45">
        <v>1.9273761039536099</v>
      </c>
      <c r="AH606" s="46">
        <v>0.19391769043616999</v>
      </c>
      <c r="AI606" s="47">
        <v>0.25587955601932499</v>
      </c>
      <c r="AJ606" s="48">
        <v>1.9435753933723801</v>
      </c>
      <c r="AK606" s="49">
        <v>3.7460007694181501</v>
      </c>
      <c r="AL606" s="31" t="s">
        <v>5874</v>
      </c>
      <c r="AM606" s="31" t="s">
        <v>5832</v>
      </c>
      <c r="AN606" s="31" t="s">
        <v>28156</v>
      </c>
      <c r="AO606" s="31" t="s">
        <v>28157</v>
      </c>
      <c r="AP606" s="31" t="s">
        <v>28158</v>
      </c>
      <c r="AQ606" s="31" t="s">
        <v>28159</v>
      </c>
      <c r="AR606" s="31" t="s">
        <v>28160</v>
      </c>
      <c r="AS606" s="31" t="str">
        <f>"CRISP2"</f>
        <v>CRISP2</v>
      </c>
      <c r="AT606" s="31" t="s">
        <v>28161</v>
      </c>
      <c r="AU606" s="31" t="s">
        <v>13777</v>
      </c>
      <c r="AV606" s="31">
        <v>9606</v>
      </c>
      <c r="AW606" s="50" t="str">
        <f>HYPERLINK("http://www.uniprot.org/uniprot/P16562", "P16562")</f>
        <v>P16562</v>
      </c>
      <c r="AX606" s="31" t="s">
        <v>28162</v>
      </c>
      <c r="AY606" s="31" t="s">
        <v>13772</v>
      </c>
      <c r="AZ606" s="31" t="s">
        <v>14321</v>
      </c>
      <c r="BA606" s="31" t="s">
        <v>13780</v>
      </c>
      <c r="BB606" s="31" t="s">
        <v>13772</v>
      </c>
      <c r="BC606" s="31" t="s">
        <v>13772</v>
      </c>
      <c r="BD606" s="31" t="s">
        <v>13808</v>
      </c>
      <c r="BE606" s="31" t="s">
        <v>13772</v>
      </c>
      <c r="BF606" s="31" t="s">
        <v>13772</v>
      </c>
      <c r="BG606" s="31" t="s">
        <v>14506</v>
      </c>
      <c r="BH606" s="31" t="s">
        <v>13812</v>
      </c>
      <c r="BI606" s="31" t="s">
        <v>22494</v>
      </c>
      <c r="BJ606" s="31" t="s">
        <v>14508</v>
      </c>
      <c r="BK606" s="31" t="s">
        <v>13772</v>
      </c>
      <c r="BL606" s="31" t="s">
        <v>13772</v>
      </c>
      <c r="BM606" s="31" t="s">
        <v>13772</v>
      </c>
    </row>
    <row r="607" spans="1:65">
      <c r="A607">
        <v>1707</v>
      </c>
      <c r="B607">
        <v>1</v>
      </c>
      <c r="C607">
        <v>602</v>
      </c>
      <c r="D607" t="s">
        <v>4050</v>
      </c>
      <c r="E607" t="s">
        <v>73</v>
      </c>
      <c r="F607" t="s">
        <v>73</v>
      </c>
      <c r="G607">
        <v>30.1</v>
      </c>
      <c r="H607">
        <v>269</v>
      </c>
      <c r="I607">
        <v>29217</v>
      </c>
      <c r="J607" t="s">
        <v>4051</v>
      </c>
      <c r="K607" s="3" t="s">
        <v>73</v>
      </c>
      <c r="L607">
        <v>56</v>
      </c>
      <c r="M607">
        <v>56</v>
      </c>
      <c r="N607">
        <v>1</v>
      </c>
      <c r="O607" s="11">
        <f t="shared" si="9"/>
        <v>3.707132021115183</v>
      </c>
      <c r="P607" s="36">
        <v>4.8465735833389196</v>
      </c>
      <c r="Q607" s="36">
        <v>7.7045129654195703</v>
      </c>
      <c r="R607" s="36">
        <v>6.4031906472490299</v>
      </c>
      <c r="S607" s="36">
        <v>7.5596087957661497</v>
      </c>
      <c r="T607" s="36">
        <v>3.4407054397475698</v>
      </c>
      <c r="U607" s="36">
        <v>5.5783634798369501</v>
      </c>
      <c r="V607" s="36">
        <v>3.1621868485939202</v>
      </c>
      <c r="W607" s="36">
        <v>1.9463671959646101</v>
      </c>
      <c r="X607" s="37">
        <v>1.5895165864899099</v>
      </c>
      <c r="Y607" s="37">
        <v>1.89194894066486</v>
      </c>
      <c r="Z607" s="37">
        <v>2.4001630448020301</v>
      </c>
      <c r="AA607" s="37">
        <v>0.21163676164998499</v>
      </c>
      <c r="AB607" s="37">
        <v>1.8375851316302301</v>
      </c>
      <c r="AC607" s="37">
        <v>3.1567622815404999</v>
      </c>
      <c r="AD607" s="37">
        <v>3.0170800957248498</v>
      </c>
      <c r="AE607" s="37">
        <v>4.5679105394238499</v>
      </c>
      <c r="AF607" s="45">
        <v>-1.1386611390675501</v>
      </c>
      <c r="AG607" s="45">
        <v>-2.1765314736591499</v>
      </c>
      <c r="AH607" s="46">
        <v>2.1835130190655201E-2</v>
      </c>
      <c r="AI607" s="47">
        <v>3.73598519118883E-2</v>
      </c>
      <c r="AJ607" s="48">
        <v>5.08018861948959</v>
      </c>
      <c r="AK607" s="49">
        <v>2.3340754227407801</v>
      </c>
      <c r="AL607" s="31" t="s">
        <v>5875</v>
      </c>
      <c r="AM607" s="31" t="s">
        <v>5878</v>
      </c>
      <c r="AN607" s="31" t="s">
        <v>30178</v>
      </c>
      <c r="AO607" s="31" t="s">
        <v>30179</v>
      </c>
      <c r="AP607" s="31" t="s">
        <v>30180</v>
      </c>
      <c r="AQ607" s="31" t="s">
        <v>30181</v>
      </c>
      <c r="AR607" s="31" t="s">
        <v>30182</v>
      </c>
      <c r="AS607" s="31" t="str">
        <f>"MPZL1"</f>
        <v>MPZL1</v>
      </c>
      <c r="AT607" s="31" t="s">
        <v>30183</v>
      </c>
      <c r="AU607" s="31" t="s">
        <v>13777</v>
      </c>
      <c r="AV607" s="31">
        <v>9606</v>
      </c>
      <c r="AW607" s="50" t="str">
        <f>HYPERLINK("http://www.uniprot.org/uniprot/O95297", "O95297")</f>
        <v>O95297</v>
      </c>
      <c r="AX607" s="31" t="s">
        <v>30184</v>
      </c>
      <c r="AY607" s="31" t="s">
        <v>13772</v>
      </c>
      <c r="AZ607" s="31" t="s">
        <v>13825</v>
      </c>
      <c r="BA607" s="31" t="s">
        <v>13841</v>
      </c>
      <c r="BB607" s="31" t="s">
        <v>13772</v>
      </c>
      <c r="BC607" s="31" t="s">
        <v>13772</v>
      </c>
      <c r="BD607" s="31" t="s">
        <v>13794</v>
      </c>
      <c r="BE607" s="31" t="s">
        <v>13772</v>
      </c>
      <c r="BF607" s="31" t="s">
        <v>13772</v>
      </c>
      <c r="BG607" s="31" t="s">
        <v>13964</v>
      </c>
      <c r="BH607" s="31" t="s">
        <v>13812</v>
      </c>
      <c r="BI607" s="31" t="s">
        <v>30185</v>
      </c>
      <c r="BJ607" s="31" t="s">
        <v>30186</v>
      </c>
      <c r="BK607" s="31" t="s">
        <v>16532</v>
      </c>
      <c r="BL607" s="31" t="s">
        <v>13772</v>
      </c>
      <c r="BM607" s="31" t="s">
        <v>13772</v>
      </c>
    </row>
    <row r="608" spans="1:65">
      <c r="A608">
        <v>1738</v>
      </c>
      <c r="B608">
        <v>1</v>
      </c>
      <c r="C608">
        <v>603</v>
      </c>
      <c r="D608" t="s">
        <v>4110</v>
      </c>
      <c r="E608" t="s">
        <v>73</v>
      </c>
      <c r="F608" t="s">
        <v>73</v>
      </c>
      <c r="G608">
        <v>52.3</v>
      </c>
      <c r="H608">
        <v>193</v>
      </c>
      <c r="I608">
        <v>20526</v>
      </c>
      <c r="J608" t="s">
        <v>4111</v>
      </c>
      <c r="K608" s="3" t="s">
        <v>73</v>
      </c>
      <c r="L608">
        <v>56</v>
      </c>
      <c r="M608">
        <v>56</v>
      </c>
      <c r="N608">
        <v>1</v>
      </c>
      <c r="O608" s="11">
        <f t="shared" si="9"/>
        <v>3.0108174423630425</v>
      </c>
      <c r="P608" s="36">
        <v>0.30291084895868198</v>
      </c>
      <c r="Q608" s="36">
        <v>0.24076603016936199</v>
      </c>
      <c r="R608" s="36">
        <v>0.40019941545306398</v>
      </c>
      <c r="S608" s="36">
        <v>0.37798043978830698</v>
      </c>
      <c r="T608" s="36">
        <v>1.72035271987378</v>
      </c>
      <c r="U608" s="36">
        <v>0.23243181165987301</v>
      </c>
      <c r="V608" s="36">
        <v>0.26351557071616</v>
      </c>
      <c r="W608" s="36">
        <v>0.24329589949557701</v>
      </c>
      <c r="X608" s="37">
        <v>8.7423412256945294</v>
      </c>
      <c r="Y608" s="37">
        <v>8.8290950564359996</v>
      </c>
      <c r="Z608" s="37">
        <v>2.4001630448020301</v>
      </c>
      <c r="AA608" s="37">
        <v>4.2327352329997003</v>
      </c>
      <c r="AB608" s="37">
        <v>7.3503405265209096</v>
      </c>
      <c r="AC608" s="37">
        <v>7.8919057038512497</v>
      </c>
      <c r="AD608" s="37">
        <v>0.377135011965606</v>
      </c>
      <c r="AE608" s="37">
        <v>4.5679105394238499</v>
      </c>
      <c r="AF608" s="45">
        <v>3.2343432233787399</v>
      </c>
      <c r="AG608" s="45">
        <v>11.739304822649499</v>
      </c>
      <c r="AH608" s="46">
        <v>1.3302581228858799E-6</v>
      </c>
      <c r="AI608" s="47">
        <v>6.3116502426287701E-6</v>
      </c>
      <c r="AJ608" s="48">
        <v>0.472681592014351</v>
      </c>
      <c r="AK608" s="49">
        <v>5.5489532927117304</v>
      </c>
      <c r="AL608" s="31" t="s">
        <v>5874</v>
      </c>
      <c r="AM608" s="31" t="s">
        <v>5876</v>
      </c>
      <c r="AN608" s="31" t="s">
        <v>30459</v>
      </c>
      <c r="AO608" s="31" t="s">
        <v>30460</v>
      </c>
      <c r="AP608" s="31" t="s">
        <v>30461</v>
      </c>
      <c r="AQ608" s="31" t="s">
        <v>30462</v>
      </c>
      <c r="AR608" s="31" t="s">
        <v>30463</v>
      </c>
      <c r="AS608" s="31" t="str">
        <f>"CSRP1"</f>
        <v>CSRP1</v>
      </c>
      <c r="AT608" s="31" t="s">
        <v>30464</v>
      </c>
      <c r="AU608" s="31" t="s">
        <v>13777</v>
      </c>
      <c r="AV608" s="31">
        <v>9606</v>
      </c>
      <c r="AW608" s="50" t="str">
        <f>HYPERLINK("http://www.uniprot.org/uniprot/P21291", "P21291")</f>
        <v>P21291</v>
      </c>
      <c r="AX608" s="31" t="s">
        <v>30465</v>
      </c>
      <c r="AY608" s="31" t="s">
        <v>13772</v>
      </c>
      <c r="AZ608" s="31" t="s">
        <v>14825</v>
      </c>
      <c r="BA608" s="31" t="s">
        <v>13793</v>
      </c>
      <c r="BB608" s="31" t="s">
        <v>13772</v>
      </c>
      <c r="BC608" s="31" t="s">
        <v>13772</v>
      </c>
      <c r="BD608" s="31" t="s">
        <v>15529</v>
      </c>
      <c r="BE608" s="31" t="s">
        <v>13856</v>
      </c>
      <c r="BF608" s="31" t="s">
        <v>13772</v>
      </c>
      <c r="BG608" s="31" t="s">
        <v>13991</v>
      </c>
      <c r="BH608" s="31" t="s">
        <v>13772</v>
      </c>
      <c r="BI608" s="31" t="s">
        <v>30466</v>
      </c>
      <c r="BJ608" s="31" t="s">
        <v>30467</v>
      </c>
      <c r="BK608" s="31" t="s">
        <v>30468</v>
      </c>
      <c r="BL608" s="31" t="s">
        <v>13772</v>
      </c>
      <c r="BM608" s="31" t="s">
        <v>30469</v>
      </c>
    </row>
    <row r="609" spans="1:65">
      <c r="A609">
        <v>1811</v>
      </c>
      <c r="B609">
        <v>1</v>
      </c>
      <c r="C609">
        <v>604</v>
      </c>
      <c r="D609" t="s">
        <v>4282</v>
      </c>
      <c r="E609" t="s">
        <v>73</v>
      </c>
      <c r="F609" t="s">
        <v>73</v>
      </c>
      <c r="G609">
        <v>32.4</v>
      </c>
      <c r="H609">
        <v>617</v>
      </c>
      <c r="I609">
        <v>67570</v>
      </c>
      <c r="J609" t="s">
        <v>4283</v>
      </c>
      <c r="K609" s="3" t="s">
        <v>73</v>
      </c>
      <c r="L609">
        <v>56</v>
      </c>
      <c r="M609">
        <v>56</v>
      </c>
      <c r="N609">
        <v>1</v>
      </c>
      <c r="O609" s="11">
        <f t="shared" si="9"/>
        <v>3.4353745081931</v>
      </c>
      <c r="P609" s="36">
        <v>1.2116433958347299</v>
      </c>
      <c r="Q609" s="36">
        <v>5.7783847240646802</v>
      </c>
      <c r="R609" s="36">
        <v>6.4031906472490299</v>
      </c>
      <c r="S609" s="36">
        <v>4.5357652774596904</v>
      </c>
      <c r="T609" s="36">
        <v>0.86017635993689201</v>
      </c>
      <c r="U609" s="36">
        <v>1.85945449327898</v>
      </c>
      <c r="V609" s="36">
        <v>1.05406228286464</v>
      </c>
      <c r="W609" s="36">
        <v>0.97318359798230603</v>
      </c>
      <c r="X609" s="37">
        <v>3.17903317297983</v>
      </c>
      <c r="Y609" s="37">
        <v>1.89194894066486</v>
      </c>
      <c r="Z609" s="37">
        <v>6.4004347861387396</v>
      </c>
      <c r="AA609" s="37">
        <v>4.2327352329997003</v>
      </c>
      <c r="AB609" s="37">
        <v>4.5939628290755703</v>
      </c>
      <c r="AC609" s="37">
        <v>5.5243339926958699</v>
      </c>
      <c r="AD609" s="37">
        <v>0.377135011965606</v>
      </c>
      <c r="AE609" s="37">
        <v>6.0905473858984696</v>
      </c>
      <c r="AF609" s="45">
        <v>0.58827557315180901</v>
      </c>
      <c r="AG609" s="45">
        <v>1.4239870171892599</v>
      </c>
      <c r="AH609" s="46">
        <v>0.35882373276287299</v>
      </c>
      <c r="AI609" s="47">
        <v>0.44046436186855498</v>
      </c>
      <c r="AJ609" s="48">
        <v>2.8344825973338699</v>
      </c>
      <c r="AK609" s="49">
        <v>4.0362664190523301</v>
      </c>
      <c r="AL609" s="31" t="s">
        <v>5874</v>
      </c>
      <c r="AM609" s="31" t="s">
        <v>5832</v>
      </c>
      <c r="AN609" s="31" t="s">
        <v>31189</v>
      </c>
      <c r="AO609" s="31" t="s">
        <v>13772</v>
      </c>
      <c r="AP609" s="31" t="s">
        <v>31190</v>
      </c>
      <c r="AQ609" s="31" t="s">
        <v>31191</v>
      </c>
      <c r="AR609" s="31" t="s">
        <v>31192</v>
      </c>
      <c r="AS609" s="31" t="str">
        <f>"VGF"</f>
        <v>VGF</v>
      </c>
      <c r="AT609" s="31" t="s">
        <v>13772</v>
      </c>
      <c r="AU609" s="31" t="s">
        <v>13777</v>
      </c>
      <c r="AV609" s="31">
        <v>9606</v>
      </c>
      <c r="AW609" s="50" t="str">
        <f>HYPERLINK("http://www.uniprot.org/uniprot/O15240", "O15240")</f>
        <v>O15240</v>
      </c>
      <c r="AX609" s="31" t="s">
        <v>31193</v>
      </c>
      <c r="AY609" s="31" t="s">
        <v>13772</v>
      </c>
      <c r="AZ609" s="31" t="s">
        <v>16982</v>
      </c>
      <c r="BA609" s="31" t="s">
        <v>13772</v>
      </c>
      <c r="BB609" s="31" t="s">
        <v>13772</v>
      </c>
      <c r="BC609" s="31" t="s">
        <v>13772</v>
      </c>
      <c r="BD609" s="31" t="s">
        <v>13808</v>
      </c>
      <c r="BE609" s="31" t="s">
        <v>13772</v>
      </c>
      <c r="BF609" s="31" t="s">
        <v>31194</v>
      </c>
      <c r="BG609" s="31" t="s">
        <v>31195</v>
      </c>
      <c r="BH609" s="31" t="s">
        <v>13772</v>
      </c>
      <c r="BI609" s="31" t="s">
        <v>31196</v>
      </c>
      <c r="BJ609" s="31" t="s">
        <v>31197</v>
      </c>
      <c r="BK609" s="31" t="s">
        <v>31198</v>
      </c>
      <c r="BL609" s="31" t="s">
        <v>13772</v>
      </c>
      <c r="BM609" s="31" t="s">
        <v>17241</v>
      </c>
    </row>
    <row r="610" spans="1:65">
      <c r="A610">
        <v>2107</v>
      </c>
      <c r="B610">
        <v>1</v>
      </c>
      <c r="C610">
        <v>605</v>
      </c>
      <c r="D610" t="s">
        <v>4946</v>
      </c>
      <c r="E610" t="s">
        <v>73</v>
      </c>
      <c r="F610" t="s">
        <v>73</v>
      </c>
      <c r="G610">
        <v>45.4</v>
      </c>
      <c r="H610">
        <v>262</v>
      </c>
      <c r="I610">
        <v>29852</v>
      </c>
      <c r="J610" t="s">
        <v>4947</v>
      </c>
      <c r="K610" s="3" t="s">
        <v>73</v>
      </c>
      <c r="L610">
        <v>56</v>
      </c>
      <c r="M610">
        <v>56</v>
      </c>
      <c r="N610">
        <v>1</v>
      </c>
      <c r="O610" s="11">
        <f t="shared" si="9"/>
        <v>3.2927045684846346</v>
      </c>
      <c r="P610" s="36">
        <v>1.2116433958347299</v>
      </c>
      <c r="Q610" s="36">
        <v>2.8891923620323401</v>
      </c>
      <c r="R610" s="36">
        <v>1.6007976618122599</v>
      </c>
      <c r="S610" s="36">
        <v>6.0476870366129196</v>
      </c>
      <c r="T610" s="36">
        <v>1.72035271987378</v>
      </c>
      <c r="U610" s="36">
        <v>0.92972724663949102</v>
      </c>
      <c r="V610" s="36">
        <v>4.21624913145856</v>
      </c>
      <c r="W610" s="36">
        <v>2.9195507939469199</v>
      </c>
      <c r="X610" s="37">
        <v>5.5633080527147003</v>
      </c>
      <c r="Y610" s="37">
        <v>4.4145475282179998</v>
      </c>
      <c r="Z610" s="37">
        <v>5.6003804378713999</v>
      </c>
      <c r="AA610" s="37">
        <v>0.84654704659994096</v>
      </c>
      <c r="AB610" s="37">
        <v>1.8375851316302301</v>
      </c>
      <c r="AC610" s="37">
        <v>0.78919057038512497</v>
      </c>
      <c r="AD610" s="37">
        <v>9.0512402871745401</v>
      </c>
      <c r="AE610" s="37">
        <v>3.0452736929492299</v>
      </c>
      <c r="AF610" s="45">
        <v>0.50151439796372099</v>
      </c>
      <c r="AG610" s="45">
        <v>1.44637952022261</v>
      </c>
      <c r="AH610" s="46">
        <v>0.40103714065111801</v>
      </c>
      <c r="AI610" s="47">
        <v>0.48341233710918502</v>
      </c>
      <c r="AJ610" s="48">
        <v>2.6919000435263798</v>
      </c>
      <c r="AK610" s="49">
        <v>3.8935090934429</v>
      </c>
      <c r="AL610" s="31" t="s">
        <v>5874</v>
      </c>
      <c r="AM610" s="31" t="s">
        <v>5832</v>
      </c>
      <c r="AN610" s="31" t="s">
        <v>33948</v>
      </c>
      <c r="AO610" s="31" t="s">
        <v>33949</v>
      </c>
      <c r="AP610" s="31" t="s">
        <v>33950</v>
      </c>
      <c r="AQ610" s="31" t="s">
        <v>33951</v>
      </c>
      <c r="AR610" s="31" t="s">
        <v>33952</v>
      </c>
      <c r="AS610" s="31" t="str">
        <f>"NCCRP1"</f>
        <v>NCCRP1</v>
      </c>
      <c r="AT610" s="31" t="s">
        <v>33953</v>
      </c>
      <c r="AU610" s="31" t="s">
        <v>13777</v>
      </c>
      <c r="AV610" s="31">
        <v>9606</v>
      </c>
      <c r="AW610" s="50" t="str">
        <f>HYPERLINK("http://www.uniprot.org/uniprot/Q6ZVX7", "Q6ZVX7")</f>
        <v>Q6ZVX7</v>
      </c>
      <c r="AX610" s="31" t="s">
        <v>33954</v>
      </c>
      <c r="AY610" s="31" t="s">
        <v>13772</v>
      </c>
      <c r="AZ610" s="31" t="s">
        <v>13899</v>
      </c>
      <c r="BA610" s="31" t="s">
        <v>13772</v>
      </c>
      <c r="BB610" s="31" t="s">
        <v>13772</v>
      </c>
      <c r="BC610" s="31" t="s">
        <v>13772</v>
      </c>
      <c r="BD610" s="31" t="s">
        <v>13772</v>
      </c>
      <c r="BE610" s="31" t="s">
        <v>13772</v>
      </c>
      <c r="BF610" s="31" t="s">
        <v>13772</v>
      </c>
      <c r="BG610" s="31" t="s">
        <v>13782</v>
      </c>
      <c r="BH610" s="31" t="s">
        <v>13772</v>
      </c>
      <c r="BI610" s="31" t="s">
        <v>33955</v>
      </c>
      <c r="BJ610" s="31" t="s">
        <v>33956</v>
      </c>
      <c r="BK610" s="31" t="s">
        <v>13772</v>
      </c>
      <c r="BL610" s="31" t="s">
        <v>13772</v>
      </c>
      <c r="BM610" s="31" t="s">
        <v>13772</v>
      </c>
    </row>
    <row r="611" spans="1:65">
      <c r="A611">
        <v>2336</v>
      </c>
      <c r="B611">
        <v>1</v>
      </c>
      <c r="C611">
        <v>606</v>
      </c>
      <c r="D611" t="s">
        <v>5449</v>
      </c>
      <c r="E611" t="s">
        <v>73</v>
      </c>
      <c r="F611" t="s">
        <v>73</v>
      </c>
      <c r="G611">
        <v>50.4</v>
      </c>
      <c r="H611">
        <v>123</v>
      </c>
      <c r="I611">
        <v>13779</v>
      </c>
      <c r="J611" t="s">
        <v>5450</v>
      </c>
      <c r="K611" s="3" t="s">
        <v>73</v>
      </c>
      <c r="L611">
        <v>56</v>
      </c>
      <c r="M611">
        <v>56</v>
      </c>
      <c r="N611">
        <v>1</v>
      </c>
      <c r="O611" s="11">
        <f t="shared" si="9"/>
        <v>2.9989904847810802</v>
      </c>
      <c r="P611" s="36">
        <v>2.4232867916694598</v>
      </c>
      <c r="Q611" s="36">
        <v>1.9261282413548899</v>
      </c>
      <c r="R611" s="36">
        <v>0.40019941545306398</v>
      </c>
      <c r="S611" s="36">
        <v>0.37798043978830698</v>
      </c>
      <c r="T611" s="36">
        <v>3.4407054397475698</v>
      </c>
      <c r="U611" s="36">
        <v>3.7189089865579601</v>
      </c>
      <c r="V611" s="36">
        <v>2.10812456572928</v>
      </c>
      <c r="W611" s="36">
        <v>4.8659179899115301</v>
      </c>
      <c r="X611" s="37">
        <v>3.9737914662247902</v>
      </c>
      <c r="Y611" s="37">
        <v>2.5225985875531398</v>
      </c>
      <c r="Z611" s="37">
        <v>2.4001630448020301</v>
      </c>
      <c r="AA611" s="37">
        <v>3.3861881863997598</v>
      </c>
      <c r="AB611" s="37">
        <v>6.4315479607058004</v>
      </c>
      <c r="AC611" s="37">
        <v>3.94595285192562</v>
      </c>
      <c r="AD611" s="37">
        <v>3.0170800957248498</v>
      </c>
      <c r="AE611" s="37">
        <v>3.0452736929492299</v>
      </c>
      <c r="AF611" s="45">
        <v>0.44216866345093098</v>
      </c>
      <c r="AG611" s="45">
        <v>1.49121127120015</v>
      </c>
      <c r="AH611" s="46">
        <v>0.37113998515565499</v>
      </c>
      <c r="AI611" s="47">
        <v>0.45391709336221803</v>
      </c>
      <c r="AJ611" s="48">
        <v>2.4076564837765102</v>
      </c>
      <c r="AK611" s="49">
        <v>3.5903244857856502</v>
      </c>
      <c r="AL611" s="31" t="s">
        <v>5874</v>
      </c>
      <c r="AM611" s="31" t="s">
        <v>5832</v>
      </c>
      <c r="AN611" s="31" t="s">
        <v>36017</v>
      </c>
      <c r="AO611" s="31" t="s">
        <v>36018</v>
      </c>
      <c r="AP611" s="31" t="s">
        <v>36019</v>
      </c>
      <c r="AQ611" s="31" t="s">
        <v>36020</v>
      </c>
      <c r="AR611" s="31" t="s">
        <v>36021</v>
      </c>
      <c r="AS611" s="31" t="str">
        <f>"TXNDC17"</f>
        <v>TXNDC17</v>
      </c>
      <c r="AT611" s="31" t="s">
        <v>36022</v>
      </c>
      <c r="AU611" s="31" t="s">
        <v>13777</v>
      </c>
      <c r="AV611" s="31">
        <v>9606</v>
      </c>
      <c r="AW611" s="50" t="str">
        <f>HYPERLINK("http://www.uniprot.org/uniprot/Q9BRA2", "Q9BRA2")</f>
        <v>Q9BRA2</v>
      </c>
      <c r="AX611" s="31" t="s">
        <v>36023</v>
      </c>
      <c r="AY611" s="31" t="s">
        <v>13772</v>
      </c>
      <c r="AZ611" s="31" t="s">
        <v>13899</v>
      </c>
      <c r="BA611" s="31" t="s">
        <v>13772</v>
      </c>
      <c r="BB611" s="31" t="s">
        <v>13772</v>
      </c>
      <c r="BC611" s="31" t="s">
        <v>13772</v>
      </c>
      <c r="BD611" s="31" t="s">
        <v>18188</v>
      </c>
      <c r="BE611" s="31" t="s">
        <v>13772</v>
      </c>
      <c r="BF611" s="31" t="s">
        <v>13772</v>
      </c>
      <c r="BG611" s="31" t="s">
        <v>16929</v>
      </c>
      <c r="BH611" s="31" t="s">
        <v>13812</v>
      </c>
      <c r="BI611" s="31" t="s">
        <v>36024</v>
      </c>
      <c r="BJ611" s="31" t="s">
        <v>15111</v>
      </c>
      <c r="BK611" s="31" t="s">
        <v>36025</v>
      </c>
      <c r="BL611" s="31" t="s">
        <v>13772</v>
      </c>
      <c r="BM611" s="31" t="s">
        <v>13772</v>
      </c>
    </row>
    <row r="612" spans="1:65">
      <c r="A612">
        <v>552</v>
      </c>
      <c r="B612">
        <v>1</v>
      </c>
      <c r="C612">
        <v>607</v>
      </c>
      <c r="D612" t="s">
        <v>1377</v>
      </c>
      <c r="E612" t="s">
        <v>1378</v>
      </c>
      <c r="F612" t="s">
        <v>73</v>
      </c>
      <c r="G612">
        <v>34</v>
      </c>
      <c r="H612">
        <v>658</v>
      </c>
      <c r="I612">
        <v>71563</v>
      </c>
      <c r="J612" t="s">
        <v>1379</v>
      </c>
      <c r="K612" s="3" t="s">
        <v>73</v>
      </c>
      <c r="L612">
        <v>55</v>
      </c>
      <c r="M612">
        <v>55</v>
      </c>
      <c r="N612">
        <v>1</v>
      </c>
      <c r="O612" s="11">
        <f t="shared" si="9"/>
        <v>3.6805661509301366</v>
      </c>
      <c r="P612" s="36">
        <v>3.6349301875041902</v>
      </c>
      <c r="Q612" s="36">
        <v>1.9261282413548899</v>
      </c>
      <c r="R612" s="36">
        <v>11.2055836326858</v>
      </c>
      <c r="S612" s="36">
        <v>1.5119217591532299</v>
      </c>
      <c r="T612" s="36">
        <v>0.86017635993689201</v>
      </c>
      <c r="U612" s="36">
        <v>2.7891817399184702</v>
      </c>
      <c r="V612" s="36">
        <v>14.756871960105</v>
      </c>
      <c r="W612" s="36">
        <v>13.6245703717523</v>
      </c>
      <c r="X612" s="37">
        <v>0.19868957331123899</v>
      </c>
      <c r="Y612" s="37">
        <v>1.2612992937765699</v>
      </c>
      <c r="Z612" s="37">
        <v>3.2002173930693698</v>
      </c>
      <c r="AA612" s="37">
        <v>0.21163676164998499</v>
      </c>
      <c r="AB612" s="37">
        <v>0.22969814145377901</v>
      </c>
      <c r="AC612" s="37">
        <v>1.5783811407702499</v>
      </c>
      <c r="AD612" s="37">
        <v>0.377135011965606</v>
      </c>
      <c r="AE612" s="37">
        <v>1.5226368464746201</v>
      </c>
      <c r="AF612" s="45">
        <v>-2.38378888353451</v>
      </c>
      <c r="AG612" s="45">
        <v>-5.8637712836513201</v>
      </c>
      <c r="AH612" s="46">
        <v>6.8714550759964505E-4</v>
      </c>
      <c r="AI612" s="47">
        <v>1.6129836652075901E-3</v>
      </c>
      <c r="AJ612" s="48">
        <v>6.2886705315513396</v>
      </c>
      <c r="AK612" s="49">
        <v>1.0724617703089301</v>
      </c>
      <c r="AL612" s="31" t="s">
        <v>5875</v>
      </c>
      <c r="AM612" s="31" t="s">
        <v>5876</v>
      </c>
      <c r="AN612" s="31" t="s">
        <v>19210</v>
      </c>
      <c r="AO612" s="31" t="s">
        <v>19211</v>
      </c>
      <c r="AP612" s="31" t="s">
        <v>19212</v>
      </c>
      <c r="AQ612" s="31" t="s">
        <v>19213</v>
      </c>
      <c r="AR612" s="31" t="s">
        <v>19214</v>
      </c>
      <c r="AS612" s="31" t="str">
        <f>"MCAM"</f>
        <v>MCAM</v>
      </c>
      <c r="AT612" s="31" t="s">
        <v>19215</v>
      </c>
      <c r="AU612" s="31" t="s">
        <v>13777</v>
      </c>
      <c r="AV612" s="31">
        <v>9606</v>
      </c>
      <c r="AW612" s="50" t="str">
        <f>HYPERLINK("http://www.uniprot.org/uniprot/P43121", "P43121")</f>
        <v>P43121</v>
      </c>
      <c r="AX612" s="31" t="s">
        <v>19216</v>
      </c>
      <c r="AY612" s="31" t="s">
        <v>13949</v>
      </c>
      <c r="AZ612" s="31" t="s">
        <v>13825</v>
      </c>
      <c r="BA612" s="31" t="s">
        <v>13780</v>
      </c>
      <c r="BB612" s="31" t="s">
        <v>13772</v>
      </c>
      <c r="BC612" s="31" t="s">
        <v>13772</v>
      </c>
      <c r="BD612" s="31" t="s">
        <v>13951</v>
      </c>
      <c r="BE612" s="31" t="s">
        <v>13772</v>
      </c>
      <c r="BF612" s="31" t="s">
        <v>13772</v>
      </c>
      <c r="BG612" s="31" t="s">
        <v>13964</v>
      </c>
      <c r="BH612" s="31" t="s">
        <v>13772</v>
      </c>
      <c r="BI612" s="31" t="s">
        <v>19217</v>
      </c>
      <c r="BJ612" s="31" t="s">
        <v>19218</v>
      </c>
      <c r="BK612" s="31" t="s">
        <v>13772</v>
      </c>
      <c r="BL612" s="31" t="s">
        <v>13772</v>
      </c>
      <c r="BM612" s="31" t="s">
        <v>13772</v>
      </c>
    </row>
    <row r="613" spans="1:65">
      <c r="A613">
        <v>952</v>
      </c>
      <c r="B613">
        <v>1</v>
      </c>
      <c r="C613">
        <v>608</v>
      </c>
      <c r="D613" t="s">
        <v>2317</v>
      </c>
      <c r="E613" t="s">
        <v>73</v>
      </c>
      <c r="F613" t="s">
        <v>73</v>
      </c>
      <c r="G613">
        <v>32.5</v>
      </c>
      <c r="H613">
        <v>271</v>
      </c>
      <c r="I613">
        <v>30341</v>
      </c>
      <c r="J613" t="s">
        <v>2318</v>
      </c>
      <c r="K613" s="3" t="s">
        <v>73</v>
      </c>
      <c r="L613">
        <v>55</v>
      </c>
      <c r="M613">
        <v>55</v>
      </c>
      <c r="N613">
        <v>1</v>
      </c>
      <c r="O613" s="11">
        <f t="shared" si="9"/>
        <v>3.3546174483752829</v>
      </c>
      <c r="P613" s="36">
        <v>0.30291084895868198</v>
      </c>
      <c r="Q613" s="36">
        <v>0.24076603016936199</v>
      </c>
      <c r="R613" s="36">
        <v>4.8023929854367697</v>
      </c>
      <c r="S613" s="36">
        <v>4.5357652774596904</v>
      </c>
      <c r="T613" s="36">
        <v>0.86017635993689201</v>
      </c>
      <c r="U613" s="36">
        <v>4.6486362331974602</v>
      </c>
      <c r="V613" s="36">
        <v>1.05406228286464</v>
      </c>
      <c r="W613" s="36">
        <v>0.97318359798230603</v>
      </c>
      <c r="X613" s="37">
        <v>7.9475829324495697</v>
      </c>
      <c r="Y613" s="37">
        <v>3.1532482344414299</v>
      </c>
      <c r="Z613" s="37">
        <v>2.4001630448020301</v>
      </c>
      <c r="AA613" s="37">
        <v>0.84654704659994096</v>
      </c>
      <c r="AB613" s="37">
        <v>6.4315479607058004</v>
      </c>
      <c r="AC613" s="37">
        <v>7.8919057038512497</v>
      </c>
      <c r="AD613" s="37">
        <v>3.0170800957248498</v>
      </c>
      <c r="AE613" s="37">
        <v>4.5679105394238499</v>
      </c>
      <c r="AF613" s="45">
        <v>1.1208393130593199</v>
      </c>
      <c r="AG613" s="45">
        <v>2.0815367436095702</v>
      </c>
      <c r="AH613" s="46">
        <v>7.6779465607289904E-2</v>
      </c>
      <c r="AI613" s="47">
        <v>0.112891126354455</v>
      </c>
      <c r="AJ613" s="48">
        <v>2.1772367020007302</v>
      </c>
      <c r="AK613" s="49">
        <v>4.53199819474984</v>
      </c>
      <c r="AL613" s="31" t="s">
        <v>5874</v>
      </c>
      <c r="AM613" s="31" t="s">
        <v>5832</v>
      </c>
      <c r="AN613" s="31" t="s">
        <v>23165</v>
      </c>
      <c r="AO613" s="31" t="s">
        <v>13772</v>
      </c>
      <c r="AP613" s="31" t="s">
        <v>23166</v>
      </c>
      <c r="AQ613" s="31" t="s">
        <v>23167</v>
      </c>
      <c r="AR613" s="31" t="s">
        <v>23168</v>
      </c>
      <c r="AS613" s="31" t="str">
        <f>"IGFBP5"</f>
        <v>IGFBP5</v>
      </c>
      <c r="AT613" s="31" t="s">
        <v>23169</v>
      </c>
      <c r="AU613" s="31" t="s">
        <v>13777</v>
      </c>
      <c r="AV613" s="31">
        <v>9606</v>
      </c>
      <c r="AW613" s="50" t="str">
        <f>HYPERLINK("http://www.uniprot.org/uniprot/P24593", "P24593")</f>
        <v>P24593</v>
      </c>
      <c r="AX613" s="31" t="s">
        <v>23170</v>
      </c>
      <c r="AY613" s="31" t="s">
        <v>13772</v>
      </c>
      <c r="AZ613" s="31" t="s">
        <v>14321</v>
      </c>
      <c r="BA613" s="31" t="s">
        <v>13793</v>
      </c>
      <c r="BB613" s="31" t="s">
        <v>13772</v>
      </c>
      <c r="BC613" s="31" t="s">
        <v>13772</v>
      </c>
      <c r="BD613" s="31" t="s">
        <v>13808</v>
      </c>
      <c r="BE613" s="31" t="s">
        <v>13772</v>
      </c>
      <c r="BF613" s="31" t="s">
        <v>16896</v>
      </c>
      <c r="BG613" s="31" t="s">
        <v>13964</v>
      </c>
      <c r="BH613" s="31" t="s">
        <v>13812</v>
      </c>
      <c r="BI613" s="31" t="s">
        <v>23171</v>
      </c>
      <c r="BJ613" s="31" t="s">
        <v>23172</v>
      </c>
      <c r="BK613" s="31" t="s">
        <v>23173</v>
      </c>
      <c r="BL613" s="31" t="s">
        <v>13772</v>
      </c>
      <c r="BM613" s="31" t="s">
        <v>17241</v>
      </c>
    </row>
    <row r="614" spans="1:65">
      <c r="A614">
        <v>1616</v>
      </c>
      <c r="B614">
        <v>1</v>
      </c>
      <c r="C614">
        <v>609</v>
      </c>
      <c r="D614" t="s">
        <v>3830</v>
      </c>
      <c r="E614" t="s">
        <v>73</v>
      </c>
      <c r="F614" t="s">
        <v>73</v>
      </c>
      <c r="G614">
        <v>21.7</v>
      </c>
      <c r="H614">
        <v>1058</v>
      </c>
      <c r="I614">
        <v>118065</v>
      </c>
      <c r="J614" t="s">
        <v>3831</v>
      </c>
      <c r="K614" s="3" t="s">
        <v>73</v>
      </c>
      <c r="L614">
        <v>55</v>
      </c>
      <c r="M614">
        <v>55</v>
      </c>
      <c r="N614">
        <v>1</v>
      </c>
      <c r="O614" s="11">
        <f t="shared" si="9"/>
        <v>2.7542549121794488</v>
      </c>
      <c r="P614" s="36">
        <v>0.30291084895868198</v>
      </c>
      <c r="Q614" s="36">
        <v>0.24076603016936199</v>
      </c>
      <c r="R614" s="36">
        <v>0.40019941545306398</v>
      </c>
      <c r="S614" s="36">
        <v>0.37798043978830698</v>
      </c>
      <c r="T614" s="36">
        <v>1.72035271987378</v>
      </c>
      <c r="U614" s="36">
        <v>0.92972724663949102</v>
      </c>
      <c r="V614" s="36">
        <v>0.26351557071616</v>
      </c>
      <c r="W614" s="36">
        <v>1.9463671959646101</v>
      </c>
      <c r="X614" s="37">
        <v>7.9475829324495697</v>
      </c>
      <c r="Y614" s="37">
        <v>13.243642584653999</v>
      </c>
      <c r="Z614" s="37">
        <v>4.8003260896040603</v>
      </c>
      <c r="AA614" s="37">
        <v>3.3861881863997598</v>
      </c>
      <c r="AB614" s="37">
        <v>4.5939628290755703</v>
      </c>
      <c r="AC614" s="37">
        <v>3.1567622815404999</v>
      </c>
      <c r="AD614" s="37">
        <v>0.377135011965606</v>
      </c>
      <c r="AE614" s="37">
        <v>0.38065921161865401</v>
      </c>
      <c r="AF614" s="45">
        <v>2.4374488872900701</v>
      </c>
      <c r="AG614" s="45">
        <v>6.1286582900228899</v>
      </c>
      <c r="AH614" s="46">
        <v>4.0162944060535702E-4</v>
      </c>
      <c r="AI614" s="47">
        <v>9.878312344300871E-4</v>
      </c>
      <c r="AJ614" s="48">
        <v>0.77272743344543304</v>
      </c>
      <c r="AK614" s="49">
        <v>4.7357823909134602</v>
      </c>
      <c r="AL614" s="31" t="s">
        <v>5874</v>
      </c>
      <c r="AM614" s="31" t="s">
        <v>5876</v>
      </c>
      <c r="AN614" s="31" t="s">
        <v>29283</v>
      </c>
      <c r="AO614" s="31" t="s">
        <v>29284</v>
      </c>
      <c r="AP614" s="31" t="s">
        <v>29285</v>
      </c>
      <c r="AQ614" s="31" t="s">
        <v>29286</v>
      </c>
      <c r="AR614" s="31" t="s">
        <v>29287</v>
      </c>
      <c r="AS614" s="31" t="str">
        <f>"UBA1"</f>
        <v>UBA1</v>
      </c>
      <c r="AT614" s="31" t="s">
        <v>29288</v>
      </c>
      <c r="AU614" s="31" t="s">
        <v>13777</v>
      </c>
      <c r="AV614" s="31">
        <v>9606</v>
      </c>
      <c r="AW614" s="50" t="str">
        <f>HYPERLINK("http://www.uniprot.org/uniprot/P22314", "P22314")</f>
        <v>P22314</v>
      </c>
      <c r="AX614" s="31" t="s">
        <v>29289</v>
      </c>
      <c r="AY614" s="31" t="s">
        <v>14109</v>
      </c>
      <c r="AZ614" s="31" t="s">
        <v>19098</v>
      </c>
      <c r="BA614" s="31" t="s">
        <v>29290</v>
      </c>
      <c r="BB614" s="31" t="s">
        <v>13772</v>
      </c>
      <c r="BC614" s="31" t="s">
        <v>22610</v>
      </c>
      <c r="BD614" s="31" t="s">
        <v>14096</v>
      </c>
      <c r="BE614" s="31" t="s">
        <v>14005</v>
      </c>
      <c r="BF614" s="31" t="s">
        <v>21123</v>
      </c>
      <c r="BG614" s="31" t="s">
        <v>19111</v>
      </c>
      <c r="BH614" s="31" t="s">
        <v>13812</v>
      </c>
      <c r="BI614" s="31" t="s">
        <v>29291</v>
      </c>
      <c r="BJ614" s="31" t="s">
        <v>29292</v>
      </c>
      <c r="BK614" s="31" t="s">
        <v>29293</v>
      </c>
      <c r="BL614" s="31" t="s">
        <v>14116</v>
      </c>
      <c r="BM614" s="31" t="s">
        <v>29294</v>
      </c>
    </row>
    <row r="615" spans="1:65">
      <c r="A615">
        <v>1653</v>
      </c>
      <c r="B615">
        <v>1</v>
      </c>
      <c r="C615">
        <v>610</v>
      </c>
      <c r="D615" t="s">
        <v>3919</v>
      </c>
      <c r="E615" t="s">
        <v>3920</v>
      </c>
      <c r="F615" t="s">
        <v>73</v>
      </c>
      <c r="G615">
        <v>31.9</v>
      </c>
      <c r="H615">
        <v>351</v>
      </c>
      <c r="I615">
        <v>39432</v>
      </c>
      <c r="J615" t="s">
        <v>3921</v>
      </c>
      <c r="K615" s="3" t="s">
        <v>73</v>
      </c>
      <c r="L615">
        <v>55</v>
      </c>
      <c r="M615">
        <v>55</v>
      </c>
      <c r="N615">
        <v>1</v>
      </c>
      <c r="O615" s="11">
        <f t="shared" si="9"/>
        <v>3.2609532881261494</v>
      </c>
      <c r="P615" s="36">
        <v>8.4815037708430996</v>
      </c>
      <c r="Q615" s="36">
        <v>7.7045129654195703</v>
      </c>
      <c r="R615" s="36">
        <v>3.2015953236245198</v>
      </c>
      <c r="S615" s="36">
        <v>4.5357652774596904</v>
      </c>
      <c r="T615" s="36">
        <v>2.5805290798106801</v>
      </c>
      <c r="U615" s="36">
        <v>1.85945449327898</v>
      </c>
      <c r="V615" s="36">
        <v>2.10812456572928</v>
      </c>
      <c r="W615" s="36">
        <v>0.97318359798230603</v>
      </c>
      <c r="X615" s="37">
        <v>3.9737914662247902</v>
      </c>
      <c r="Y615" s="37">
        <v>6.9371461157711396</v>
      </c>
      <c r="Z615" s="37">
        <v>1.60010869653469</v>
      </c>
      <c r="AA615" s="37">
        <v>3.3861881863997598</v>
      </c>
      <c r="AB615" s="37">
        <v>0.91879256581511404</v>
      </c>
      <c r="AC615" s="37">
        <v>3.1567622815404999</v>
      </c>
      <c r="AD615" s="37">
        <v>0.377135011965606</v>
      </c>
      <c r="AE615" s="37">
        <v>0.38065921161865401</v>
      </c>
      <c r="AF615" s="45">
        <v>-0.43062895099399501</v>
      </c>
      <c r="AG615" s="45">
        <v>-1.5168250821178899</v>
      </c>
      <c r="AH615" s="46">
        <v>0.37967004073148403</v>
      </c>
      <c r="AI615" s="47">
        <v>0.46181683136247798</v>
      </c>
      <c r="AJ615" s="48">
        <v>3.9305836342685199</v>
      </c>
      <c r="AK615" s="49">
        <v>2.5913229419837802</v>
      </c>
      <c r="AL615" s="31" t="s">
        <v>5875</v>
      </c>
      <c r="AM615" s="31" t="s">
        <v>5832</v>
      </c>
      <c r="AN615" s="31" t="s">
        <v>29656</v>
      </c>
      <c r="AO615" s="31" t="s">
        <v>29657</v>
      </c>
      <c r="AP615" s="31" t="s">
        <v>29658</v>
      </c>
      <c r="AQ615" s="31" t="s">
        <v>29659</v>
      </c>
      <c r="AR615" s="31" t="s">
        <v>29660</v>
      </c>
      <c r="AS615" s="31" t="str">
        <f>"ATP6AP2"</f>
        <v>ATP6AP2</v>
      </c>
      <c r="AT615" s="31" t="s">
        <v>29661</v>
      </c>
      <c r="AU615" s="31" t="s">
        <v>13777</v>
      </c>
      <c r="AV615" s="31">
        <v>9606</v>
      </c>
      <c r="AW615" s="50" t="str">
        <f>HYPERLINK("http://www.uniprot.org/uniprot/O75787", "O75787")</f>
        <v>O75787</v>
      </c>
      <c r="AX615" s="31" t="s">
        <v>29662</v>
      </c>
      <c r="AY615" s="31" t="s">
        <v>13772</v>
      </c>
      <c r="AZ615" s="31" t="s">
        <v>13825</v>
      </c>
      <c r="BA615" s="31" t="s">
        <v>13780</v>
      </c>
      <c r="BB615" s="31" t="s">
        <v>13772</v>
      </c>
      <c r="BC615" s="31" t="s">
        <v>29663</v>
      </c>
      <c r="BD615" s="31" t="s">
        <v>13855</v>
      </c>
      <c r="BE615" s="31" t="s">
        <v>13772</v>
      </c>
      <c r="BF615" s="31" t="s">
        <v>13795</v>
      </c>
      <c r="BG615" s="31" t="s">
        <v>13782</v>
      </c>
      <c r="BH615" s="31" t="s">
        <v>13812</v>
      </c>
      <c r="BI615" s="31" t="s">
        <v>29664</v>
      </c>
      <c r="BJ615" s="31" t="s">
        <v>29665</v>
      </c>
      <c r="BK615" s="31" t="s">
        <v>19331</v>
      </c>
      <c r="BL615" s="31" t="s">
        <v>13772</v>
      </c>
      <c r="BM615" s="31" t="s">
        <v>16433</v>
      </c>
    </row>
    <row r="616" spans="1:65">
      <c r="A616">
        <v>1803</v>
      </c>
      <c r="B616">
        <v>1</v>
      </c>
      <c r="C616">
        <v>611</v>
      </c>
      <c r="D616" t="s">
        <v>4263</v>
      </c>
      <c r="E616" t="s">
        <v>73</v>
      </c>
      <c r="F616" t="s">
        <v>73</v>
      </c>
      <c r="G616">
        <v>68.599999999999994</v>
      </c>
      <c r="H616">
        <v>194</v>
      </c>
      <c r="I616">
        <v>21738</v>
      </c>
      <c r="J616" t="s">
        <v>4264</v>
      </c>
      <c r="K616" s="3" t="s">
        <v>73</v>
      </c>
      <c r="L616">
        <v>55</v>
      </c>
      <c r="M616">
        <v>55</v>
      </c>
      <c r="N616">
        <v>1</v>
      </c>
      <c r="O616" s="11">
        <f t="shared" si="9"/>
        <v>2.9641443163140528</v>
      </c>
      <c r="P616" s="36">
        <v>1.2116433958347299</v>
      </c>
      <c r="Q616" s="36">
        <v>0.24076603016936199</v>
      </c>
      <c r="R616" s="36">
        <v>0.40019941545306398</v>
      </c>
      <c r="S616" s="36">
        <v>0.37798043978830698</v>
      </c>
      <c r="T616" s="36">
        <v>0.215044089984223</v>
      </c>
      <c r="U616" s="36">
        <v>0.23243181165987301</v>
      </c>
      <c r="V616" s="36">
        <v>0.26351557071616</v>
      </c>
      <c r="W616" s="36">
        <v>0.24329589949557701</v>
      </c>
      <c r="X616" s="37">
        <v>7.9475829324495697</v>
      </c>
      <c r="Y616" s="37">
        <v>8.8290950564359996</v>
      </c>
      <c r="Z616" s="37">
        <v>2.4001630448020301</v>
      </c>
      <c r="AA616" s="37">
        <v>4.2327352329997003</v>
      </c>
      <c r="AB616" s="37">
        <v>4.5939628290755703</v>
      </c>
      <c r="AC616" s="37">
        <v>8.6810962742363706</v>
      </c>
      <c r="AD616" s="37">
        <v>6.0341601914496898</v>
      </c>
      <c r="AE616" s="37">
        <v>1.5226368464746201</v>
      </c>
      <c r="AF616" s="45">
        <v>3.5532407142724902</v>
      </c>
      <c r="AG616" s="45">
        <v>13.8910975923803</v>
      </c>
      <c r="AH616" s="46">
        <v>3.5043316432041402E-7</v>
      </c>
      <c r="AI616" s="47">
        <v>1.90601452788908E-6</v>
      </c>
      <c r="AJ616" s="48">
        <v>0.39810958163766202</v>
      </c>
      <c r="AK616" s="49">
        <v>5.5301790509904398</v>
      </c>
      <c r="AL616" s="31" t="s">
        <v>5874</v>
      </c>
      <c r="AM616" s="31" t="s">
        <v>5876</v>
      </c>
      <c r="AN616" s="31" t="s">
        <v>31107</v>
      </c>
      <c r="AO616" s="31" t="s">
        <v>31108</v>
      </c>
      <c r="AP616" s="31" t="s">
        <v>31109</v>
      </c>
      <c r="AQ616" s="31" t="s">
        <v>31110</v>
      </c>
      <c r="AR616" s="31" t="s">
        <v>31111</v>
      </c>
      <c r="AS616" s="31" t="str">
        <f>"PYCARD"</f>
        <v>PYCARD</v>
      </c>
      <c r="AT616" s="31" t="s">
        <v>31112</v>
      </c>
      <c r="AU616" s="31" t="s">
        <v>13777</v>
      </c>
      <c r="AV616" s="31">
        <v>9606</v>
      </c>
      <c r="AW616" s="50" t="str">
        <f>HYPERLINK("http://www.uniprot.org/uniprot/Q9ULZ3", "Q9ULZ3")</f>
        <v>Q9ULZ3</v>
      </c>
      <c r="AX616" s="31" t="s">
        <v>31113</v>
      </c>
      <c r="AY616" s="31" t="s">
        <v>31114</v>
      </c>
      <c r="AZ616" s="31" t="s">
        <v>31115</v>
      </c>
      <c r="BA616" s="31" t="s">
        <v>13841</v>
      </c>
      <c r="BB616" s="31" t="s">
        <v>13772</v>
      </c>
      <c r="BC616" s="31" t="s">
        <v>14505</v>
      </c>
      <c r="BD616" s="31" t="s">
        <v>13772</v>
      </c>
      <c r="BE616" s="31" t="s">
        <v>13772</v>
      </c>
      <c r="BF616" s="31" t="s">
        <v>13772</v>
      </c>
      <c r="BG616" s="31" t="s">
        <v>13782</v>
      </c>
      <c r="BH616" s="31" t="s">
        <v>13812</v>
      </c>
      <c r="BI616" s="31" t="s">
        <v>31116</v>
      </c>
      <c r="BJ616" s="31" t="s">
        <v>31117</v>
      </c>
      <c r="BK616" s="31" t="s">
        <v>31118</v>
      </c>
      <c r="BL616" s="31" t="s">
        <v>13772</v>
      </c>
      <c r="BM616" s="31" t="s">
        <v>31119</v>
      </c>
    </row>
    <row r="617" spans="1:65">
      <c r="A617">
        <v>2300</v>
      </c>
      <c r="B617">
        <v>1</v>
      </c>
      <c r="C617">
        <v>612</v>
      </c>
      <c r="D617" t="s">
        <v>5371</v>
      </c>
      <c r="E617" t="s">
        <v>5372</v>
      </c>
      <c r="F617" t="s">
        <v>73</v>
      </c>
      <c r="G617">
        <v>22</v>
      </c>
      <c r="H617">
        <v>368</v>
      </c>
      <c r="I617">
        <v>39410</v>
      </c>
      <c r="J617" t="s">
        <v>5373</v>
      </c>
      <c r="K617" s="3" t="s">
        <v>73</v>
      </c>
      <c r="L617">
        <v>55</v>
      </c>
      <c r="M617">
        <v>55</v>
      </c>
      <c r="N617">
        <v>1</v>
      </c>
      <c r="O617" s="11">
        <f t="shared" si="9"/>
        <v>2.9709255596422564</v>
      </c>
      <c r="P617" s="36">
        <v>1.2116433958347299</v>
      </c>
      <c r="Q617" s="36">
        <v>0.96306412067744696</v>
      </c>
      <c r="R617" s="36">
        <v>0.40019941545306398</v>
      </c>
      <c r="S617" s="36">
        <v>0.37798043978830698</v>
      </c>
      <c r="T617" s="36">
        <v>2.5805290798106801</v>
      </c>
      <c r="U617" s="36">
        <v>4.6486362331974602</v>
      </c>
      <c r="V617" s="36">
        <v>2.10812456572928</v>
      </c>
      <c r="W617" s="36">
        <v>2.9195507939469199</v>
      </c>
      <c r="X617" s="37">
        <v>3.9737914662247902</v>
      </c>
      <c r="Y617" s="37">
        <v>3.7838978813297102</v>
      </c>
      <c r="Z617" s="37">
        <v>5.6003804378713999</v>
      </c>
      <c r="AA617" s="37">
        <v>3.3861881863997598</v>
      </c>
      <c r="AB617" s="37">
        <v>6.4315479607058004</v>
      </c>
      <c r="AC617" s="37">
        <v>1.5783811407702499</v>
      </c>
      <c r="AD617" s="37">
        <v>4.5256201435872701</v>
      </c>
      <c r="AE617" s="37">
        <v>3.0452736929492299</v>
      </c>
      <c r="AF617" s="45">
        <v>0.92068528183309295</v>
      </c>
      <c r="AG617" s="45">
        <v>2.1252898681287999</v>
      </c>
      <c r="AH617" s="46">
        <v>5.8010282905617501E-2</v>
      </c>
      <c r="AI617" s="47">
        <v>8.8001993795596603E-2</v>
      </c>
      <c r="AJ617" s="48">
        <v>1.90121600555473</v>
      </c>
      <c r="AK617" s="49">
        <v>4.0406351137297802</v>
      </c>
      <c r="AL617" s="31" t="s">
        <v>5874</v>
      </c>
      <c r="AM617" s="31" t="s">
        <v>5877</v>
      </c>
      <c r="AN617" s="31" t="s">
        <v>35724</v>
      </c>
      <c r="AO617" s="31" t="s">
        <v>35725</v>
      </c>
      <c r="AP617" s="31" t="s">
        <v>35726</v>
      </c>
      <c r="AQ617" s="31" t="s">
        <v>35727</v>
      </c>
      <c r="AR617" s="31" t="s">
        <v>35728</v>
      </c>
      <c r="AS617" s="31" t="str">
        <f>"CD300LG"</f>
        <v>CD300LG</v>
      </c>
      <c r="AT617" s="31" t="s">
        <v>35729</v>
      </c>
      <c r="AU617" s="31" t="s">
        <v>13777</v>
      </c>
      <c r="AV617" s="31">
        <v>9606</v>
      </c>
      <c r="AW617" s="50" t="str">
        <f>HYPERLINK("http://www.uniprot.org/uniprot/Q6UXG3", "Q6UXG3")</f>
        <v>Q6UXG3</v>
      </c>
      <c r="AX617" s="31" t="s">
        <v>35730</v>
      </c>
      <c r="AY617" s="31" t="s">
        <v>13791</v>
      </c>
      <c r="AZ617" s="31" t="s">
        <v>14348</v>
      </c>
      <c r="BA617" s="31" t="s">
        <v>13780</v>
      </c>
      <c r="BB617" s="31" t="s">
        <v>13772</v>
      </c>
      <c r="BC617" s="31" t="s">
        <v>13772</v>
      </c>
      <c r="BD617" s="31" t="s">
        <v>13794</v>
      </c>
      <c r="BE617" s="31" t="s">
        <v>13772</v>
      </c>
      <c r="BF617" s="31" t="s">
        <v>13795</v>
      </c>
      <c r="BG617" s="31" t="s">
        <v>13796</v>
      </c>
      <c r="BH617" s="31" t="s">
        <v>13772</v>
      </c>
      <c r="BI617" s="31" t="s">
        <v>13797</v>
      </c>
      <c r="BJ617" s="31" t="s">
        <v>35731</v>
      </c>
      <c r="BK617" s="31" t="s">
        <v>13772</v>
      </c>
      <c r="BL617" s="31" t="s">
        <v>13772</v>
      </c>
      <c r="BM617" s="31" t="s">
        <v>13799</v>
      </c>
    </row>
    <row r="618" spans="1:65">
      <c r="A618">
        <v>2372</v>
      </c>
      <c r="B618">
        <v>1</v>
      </c>
      <c r="C618">
        <v>613</v>
      </c>
      <c r="D618" t="s">
        <v>5527</v>
      </c>
      <c r="E618" t="s">
        <v>73</v>
      </c>
      <c r="F618" t="s">
        <v>73</v>
      </c>
      <c r="G618">
        <v>19</v>
      </c>
      <c r="H618">
        <v>364</v>
      </c>
      <c r="I618">
        <v>39392</v>
      </c>
      <c r="J618" t="s">
        <v>5528</v>
      </c>
      <c r="K618" s="3" t="s">
        <v>73</v>
      </c>
      <c r="L618">
        <v>83</v>
      </c>
      <c r="M618">
        <v>50</v>
      </c>
      <c r="N618">
        <v>0.60199999999999998</v>
      </c>
      <c r="O618" s="11">
        <f t="shared" si="9"/>
        <v>2.8294480643557636</v>
      </c>
      <c r="P618" s="36">
        <v>1.3328077354182</v>
      </c>
      <c r="Q618" s="36">
        <v>0.96306412067744696</v>
      </c>
      <c r="R618" s="36">
        <v>0.40019941545306398</v>
      </c>
      <c r="S618" s="36">
        <v>0.37798043978830698</v>
      </c>
      <c r="T618" s="36">
        <v>7.1394637874762097</v>
      </c>
      <c r="U618" s="36">
        <v>1.0226999713034399</v>
      </c>
      <c r="V618" s="36">
        <v>2.21353079401575</v>
      </c>
      <c r="W618" s="36">
        <v>3.99005275172745</v>
      </c>
      <c r="X618" s="37">
        <v>5.8017355406881901</v>
      </c>
      <c r="Y618" s="37">
        <v>2.08114383473134</v>
      </c>
      <c r="Z618" s="37">
        <v>3.52023913237631</v>
      </c>
      <c r="AA618" s="37">
        <v>4.14808052833971</v>
      </c>
      <c r="AB618" s="37">
        <v>2.29698141453779</v>
      </c>
      <c r="AC618" s="37">
        <v>3.3146003956175201</v>
      </c>
      <c r="AD618" s="37">
        <v>3.31878810529733</v>
      </c>
      <c r="AE618" s="37">
        <v>3.3498010622441599</v>
      </c>
      <c r="AF618" s="45">
        <v>0.52048484534744299</v>
      </c>
      <c r="AG618" s="45">
        <v>1.59585382770308</v>
      </c>
      <c r="AH618" s="46">
        <v>0.335002432710097</v>
      </c>
      <c r="AI618" s="47">
        <v>0.41580079310399698</v>
      </c>
      <c r="AJ618" s="48">
        <v>2.17997487698248</v>
      </c>
      <c r="AK618" s="49">
        <v>3.47892125172904</v>
      </c>
      <c r="AL618" s="31" t="s">
        <v>5874</v>
      </c>
      <c r="AM618" s="31" t="s">
        <v>5832</v>
      </c>
      <c r="AN618" s="31" t="s">
        <v>36348</v>
      </c>
      <c r="AO618" s="31" t="s">
        <v>36349</v>
      </c>
      <c r="AP618" s="31" t="s">
        <v>36350</v>
      </c>
      <c r="AQ618" s="31" t="s">
        <v>36351</v>
      </c>
      <c r="AR618" s="31" t="s">
        <v>36352</v>
      </c>
      <c r="AS618" s="31" t="str">
        <f>"ALDOC"</f>
        <v>ALDOC</v>
      </c>
      <c r="AT618" s="31" t="s">
        <v>36353</v>
      </c>
      <c r="AU618" s="31" t="s">
        <v>13777</v>
      </c>
      <c r="AV618" s="31">
        <v>9606</v>
      </c>
      <c r="AW618" s="50" t="str">
        <f>HYPERLINK("http://www.uniprot.org/uniprot/P09972", "P09972")</f>
        <v>P09972</v>
      </c>
      <c r="AX618" s="31" t="s">
        <v>36354</v>
      </c>
      <c r="AY618" s="31" t="s">
        <v>15772</v>
      </c>
      <c r="AZ618" s="31" t="s">
        <v>13772</v>
      </c>
      <c r="BA618" s="31" t="s">
        <v>13772</v>
      </c>
      <c r="BB618" s="31" t="s">
        <v>13772</v>
      </c>
      <c r="BC618" s="31" t="s">
        <v>13772</v>
      </c>
      <c r="BD618" s="31" t="s">
        <v>13772</v>
      </c>
      <c r="BE618" s="31" t="s">
        <v>18902</v>
      </c>
      <c r="BF618" s="31" t="s">
        <v>15788</v>
      </c>
      <c r="BG618" s="31" t="s">
        <v>13886</v>
      </c>
      <c r="BH618" s="31" t="s">
        <v>13812</v>
      </c>
      <c r="BI618" s="31" t="s">
        <v>36355</v>
      </c>
      <c r="BJ618" s="31" t="s">
        <v>36356</v>
      </c>
      <c r="BK618" s="31" t="s">
        <v>36357</v>
      </c>
      <c r="BL618" s="31" t="s">
        <v>30761</v>
      </c>
      <c r="BM618" s="31" t="s">
        <v>23835</v>
      </c>
    </row>
    <row r="619" spans="1:65">
      <c r="A619">
        <v>737</v>
      </c>
      <c r="B619">
        <v>1</v>
      </c>
      <c r="C619">
        <v>614</v>
      </c>
      <c r="D619" t="s">
        <v>1807</v>
      </c>
      <c r="E619" t="s">
        <v>1808</v>
      </c>
      <c r="F619" t="s">
        <v>73</v>
      </c>
      <c r="G619">
        <v>2.2999999999999998</v>
      </c>
      <c r="H619">
        <v>2039</v>
      </c>
      <c r="I619">
        <v>219569</v>
      </c>
      <c r="J619" t="s">
        <v>1809</v>
      </c>
      <c r="K619" s="3" t="s">
        <v>73</v>
      </c>
      <c r="L619">
        <v>54</v>
      </c>
      <c r="M619">
        <v>54</v>
      </c>
      <c r="N619">
        <v>1</v>
      </c>
      <c r="O619" s="11">
        <f t="shared" si="9"/>
        <v>3.48206373712484</v>
      </c>
      <c r="P619" s="36">
        <v>4.8465735833389196</v>
      </c>
      <c r="Q619" s="36">
        <v>3.85225648270979</v>
      </c>
      <c r="R619" s="36">
        <v>4.8023929854367697</v>
      </c>
      <c r="S619" s="36">
        <v>9.0715305549193808</v>
      </c>
      <c r="T619" s="36">
        <v>5.1610581596213496</v>
      </c>
      <c r="U619" s="36">
        <v>2.7891817399184702</v>
      </c>
      <c r="V619" s="36">
        <v>4.21624913145856</v>
      </c>
      <c r="W619" s="36">
        <v>2.9195507939469199</v>
      </c>
      <c r="X619" s="37">
        <v>2.3842748797348698</v>
      </c>
      <c r="Y619" s="37">
        <v>3.7838978813297102</v>
      </c>
      <c r="Z619" s="37">
        <v>0.80005434826734301</v>
      </c>
      <c r="AA619" s="37">
        <v>2.5396411397998202</v>
      </c>
      <c r="AB619" s="37">
        <v>2.7563776974453398</v>
      </c>
      <c r="AC619" s="37">
        <v>2.36757171115537</v>
      </c>
      <c r="AD619" s="37">
        <v>0.377135011965606</v>
      </c>
      <c r="AE619" s="37">
        <v>3.0452736929492299</v>
      </c>
      <c r="AF619" s="45">
        <v>-0.91010817765600005</v>
      </c>
      <c r="AG619" s="45">
        <v>-2.08587134529692</v>
      </c>
      <c r="AH619" s="46">
        <v>3.8515985485398398E-2</v>
      </c>
      <c r="AI619" s="47">
        <v>6.1496883746375901E-2</v>
      </c>
      <c r="AJ619" s="48">
        <v>4.7073491789187702</v>
      </c>
      <c r="AK619" s="49">
        <v>2.2567782953309101</v>
      </c>
      <c r="AL619" s="31" t="s">
        <v>5875</v>
      </c>
      <c r="AM619" s="31" t="s">
        <v>5877</v>
      </c>
      <c r="AN619" s="31" t="s">
        <v>21016</v>
      </c>
      <c r="AO619" s="31" t="s">
        <v>21017</v>
      </c>
      <c r="AP619" s="31" t="s">
        <v>21018</v>
      </c>
      <c r="AQ619" s="31" t="s">
        <v>21019</v>
      </c>
      <c r="AR619" s="31" t="s">
        <v>21020</v>
      </c>
      <c r="AS619" s="31" t="str">
        <f>"MYLK"</f>
        <v>MYLK</v>
      </c>
      <c r="AT619" s="31" t="s">
        <v>21021</v>
      </c>
      <c r="AU619" s="31" t="s">
        <v>13777</v>
      </c>
      <c r="AV619" s="31">
        <v>9606</v>
      </c>
      <c r="AW619" s="50" t="str">
        <f>HYPERLINK("http://www.uniprot.org/uniprot/Q15746", "Q15746")</f>
        <v>Q15746</v>
      </c>
      <c r="AX619" s="31" t="s">
        <v>21022</v>
      </c>
      <c r="AY619" s="31" t="s">
        <v>13772</v>
      </c>
      <c r="AZ619" s="31" t="s">
        <v>14870</v>
      </c>
      <c r="BA619" s="31" t="s">
        <v>14942</v>
      </c>
      <c r="BB619" s="31" t="s">
        <v>13772</v>
      </c>
      <c r="BC619" s="31" t="s">
        <v>21023</v>
      </c>
      <c r="BD619" s="31" t="s">
        <v>15552</v>
      </c>
      <c r="BE619" s="31" t="s">
        <v>17650</v>
      </c>
      <c r="BF619" s="31" t="s">
        <v>21024</v>
      </c>
      <c r="BG619" s="31" t="s">
        <v>15256</v>
      </c>
      <c r="BH619" s="31" t="s">
        <v>13812</v>
      </c>
      <c r="BI619" s="31" t="s">
        <v>21025</v>
      </c>
      <c r="BJ619" s="31" t="s">
        <v>21026</v>
      </c>
      <c r="BK619" s="31" t="s">
        <v>21027</v>
      </c>
      <c r="BL619" s="31" t="s">
        <v>13772</v>
      </c>
      <c r="BM619" s="31" t="s">
        <v>21028</v>
      </c>
    </row>
    <row r="620" spans="1:65">
      <c r="A620">
        <v>871</v>
      </c>
      <c r="B620">
        <v>1</v>
      </c>
      <c r="C620">
        <v>615</v>
      </c>
      <c r="D620" t="s">
        <v>2128</v>
      </c>
      <c r="E620" t="s">
        <v>73</v>
      </c>
      <c r="F620" t="s">
        <v>73</v>
      </c>
      <c r="G620">
        <v>28.4</v>
      </c>
      <c r="H620">
        <v>268</v>
      </c>
      <c r="I620">
        <v>29574</v>
      </c>
      <c r="J620" t="s">
        <v>2129</v>
      </c>
      <c r="K620" s="3" t="s">
        <v>73</v>
      </c>
      <c r="L620">
        <v>54</v>
      </c>
      <c r="M620">
        <v>54</v>
      </c>
      <c r="N620">
        <v>1</v>
      </c>
      <c r="O620" s="11">
        <f t="shared" si="9"/>
        <v>3.5040810720922724</v>
      </c>
      <c r="P620" s="36">
        <v>1.2116433958347299</v>
      </c>
      <c r="Q620" s="36">
        <v>4.8153206033872298</v>
      </c>
      <c r="R620" s="36">
        <v>9.6047859708735501</v>
      </c>
      <c r="S620" s="36">
        <v>6.0476870366129196</v>
      </c>
      <c r="T620" s="36">
        <v>2.5805290798106801</v>
      </c>
      <c r="U620" s="36">
        <v>3.7189089865579601</v>
      </c>
      <c r="V620" s="36">
        <v>3.1621868485939202</v>
      </c>
      <c r="W620" s="36">
        <v>2.9195507939469199</v>
      </c>
      <c r="X620" s="37">
        <v>0.79475829324495695</v>
      </c>
      <c r="Y620" s="37">
        <v>3.1532482344414299</v>
      </c>
      <c r="Z620" s="37">
        <v>0.80005434826734301</v>
      </c>
      <c r="AA620" s="37">
        <v>4.2327352329997003</v>
      </c>
      <c r="AB620" s="37">
        <v>4.5939628290755703</v>
      </c>
      <c r="AC620" s="37">
        <v>2.36757171115537</v>
      </c>
      <c r="AD620" s="37">
        <v>3.0170800957248498</v>
      </c>
      <c r="AE620" s="37">
        <v>3.0452736929492299</v>
      </c>
      <c r="AF620" s="45">
        <v>-0.55846853165575305</v>
      </c>
      <c r="AG620" s="45">
        <v>-1.54788008034405</v>
      </c>
      <c r="AH620" s="46">
        <v>0.26026844955864398</v>
      </c>
      <c r="AI620" s="47">
        <v>0.33356243822745701</v>
      </c>
      <c r="AJ620" s="48">
        <v>4.2575765894522402</v>
      </c>
      <c r="AK620" s="49">
        <v>2.7505855547323099</v>
      </c>
      <c r="AL620" s="31" t="s">
        <v>5875</v>
      </c>
      <c r="AM620" s="31" t="s">
        <v>5832</v>
      </c>
      <c r="AN620" s="31" t="s">
        <v>22367</v>
      </c>
      <c r="AO620" s="31" t="s">
        <v>22368</v>
      </c>
      <c r="AP620" s="31" t="s">
        <v>22369</v>
      </c>
      <c r="AQ620" s="31" t="s">
        <v>22370</v>
      </c>
      <c r="AR620" s="31" t="s">
        <v>22371</v>
      </c>
      <c r="AS620" s="31" t="str">
        <f>"BSG"</f>
        <v>BSG</v>
      </c>
      <c r="AT620" s="31" t="s">
        <v>13772</v>
      </c>
      <c r="AU620" s="31" t="s">
        <v>13777</v>
      </c>
      <c r="AV620" s="31">
        <v>9606</v>
      </c>
      <c r="AW620" s="50" t="str">
        <f>HYPERLINK("http://www.uniprot.org/uniprot/P35613", "P35613")</f>
        <v>P35613</v>
      </c>
      <c r="AX620" s="31" t="s">
        <v>22372</v>
      </c>
      <c r="AY620" s="31" t="s">
        <v>13772</v>
      </c>
      <c r="AZ620" s="31" t="s">
        <v>13792</v>
      </c>
      <c r="BA620" s="31" t="s">
        <v>14942</v>
      </c>
      <c r="BB620" s="31" t="s">
        <v>13772</v>
      </c>
      <c r="BC620" s="31" t="s">
        <v>13772</v>
      </c>
      <c r="BD620" s="31" t="s">
        <v>13794</v>
      </c>
      <c r="BE620" s="31" t="s">
        <v>22373</v>
      </c>
      <c r="BF620" s="31" t="s">
        <v>16993</v>
      </c>
      <c r="BG620" s="31" t="s">
        <v>13964</v>
      </c>
      <c r="BH620" s="31" t="s">
        <v>13812</v>
      </c>
      <c r="BI620" s="31" t="s">
        <v>22374</v>
      </c>
      <c r="BJ620" s="31" t="s">
        <v>22375</v>
      </c>
      <c r="BK620" s="31" t="s">
        <v>22376</v>
      </c>
      <c r="BL620" s="31" t="s">
        <v>13772</v>
      </c>
      <c r="BM620" s="31" t="s">
        <v>22377</v>
      </c>
    </row>
    <row r="621" spans="1:65">
      <c r="A621">
        <v>2151</v>
      </c>
      <c r="B621">
        <v>1</v>
      </c>
      <c r="C621">
        <v>616</v>
      </c>
      <c r="D621" t="s">
        <v>5043</v>
      </c>
      <c r="E621" t="s">
        <v>73</v>
      </c>
      <c r="F621" t="s">
        <v>73</v>
      </c>
      <c r="G621">
        <v>36.4</v>
      </c>
      <c r="H621">
        <v>305</v>
      </c>
      <c r="I621">
        <v>33106</v>
      </c>
      <c r="J621" t="s">
        <v>5044</v>
      </c>
      <c r="K621" s="3" t="s">
        <v>73</v>
      </c>
      <c r="L621">
        <v>54</v>
      </c>
      <c r="M621">
        <v>54</v>
      </c>
      <c r="N621">
        <v>1</v>
      </c>
      <c r="O621" s="11">
        <f t="shared" si="9"/>
        <v>2.8355738081083617</v>
      </c>
      <c r="P621" s="36">
        <v>0.30291084895868198</v>
      </c>
      <c r="Q621" s="36">
        <v>0.24076603016936199</v>
      </c>
      <c r="R621" s="36">
        <v>0.40019941545306398</v>
      </c>
      <c r="S621" s="36">
        <v>0.37798043978830698</v>
      </c>
      <c r="T621" s="36">
        <v>0.215044089984223</v>
      </c>
      <c r="U621" s="36">
        <v>0.23243181165987301</v>
      </c>
      <c r="V621" s="36">
        <v>0.26351557071616</v>
      </c>
      <c r="W621" s="36">
        <v>0.24329589949557701</v>
      </c>
      <c r="X621" s="37">
        <v>6.35806634595966</v>
      </c>
      <c r="Y621" s="37">
        <v>8.1984454095477108</v>
      </c>
      <c r="Z621" s="37">
        <v>3.2002173930693698</v>
      </c>
      <c r="AA621" s="37">
        <v>7.6189234193994704</v>
      </c>
      <c r="AB621" s="37">
        <v>4.5939628290755703</v>
      </c>
      <c r="AC621" s="37">
        <v>5.5243339926958699</v>
      </c>
      <c r="AD621" s="37">
        <v>1.50854004786242</v>
      </c>
      <c r="AE621" s="37">
        <v>6.0905473858984696</v>
      </c>
      <c r="AF621" s="45">
        <v>3.8512337487007202</v>
      </c>
      <c r="AG621" s="45">
        <v>18.932472994855299</v>
      </c>
      <c r="AH621" s="46">
        <v>2.5772846697340801E-8</v>
      </c>
      <c r="AI621" s="47">
        <v>2.0773535470507201E-7</v>
      </c>
      <c r="AJ621" s="48">
        <v>0.28451801327815601</v>
      </c>
      <c r="AK621" s="49">
        <v>5.3866296029385703</v>
      </c>
      <c r="AL621" s="31" t="s">
        <v>5874</v>
      </c>
      <c r="AM621" s="31" t="s">
        <v>5876</v>
      </c>
      <c r="AN621" s="31" t="s">
        <v>34337</v>
      </c>
      <c r="AO621" s="31" t="s">
        <v>34338</v>
      </c>
      <c r="AP621" s="31" t="s">
        <v>34339</v>
      </c>
      <c r="AQ621" s="31" t="s">
        <v>34340</v>
      </c>
      <c r="AR621" s="31" t="s">
        <v>13772</v>
      </c>
      <c r="AS621" s="31" t="str">
        <f>"TNFRSF6B"</f>
        <v>TNFRSF6B</v>
      </c>
      <c r="AT621" s="31" t="s">
        <v>34341</v>
      </c>
      <c r="AU621" s="31" t="s">
        <v>13777</v>
      </c>
      <c r="AV621" s="31">
        <v>9606</v>
      </c>
      <c r="AW621" s="50" t="str">
        <f>HYPERLINK("http://www.uniprot.org/uniprot/O95407", "O95407")</f>
        <v>O95407</v>
      </c>
      <c r="AX621" s="31" t="s">
        <v>34342</v>
      </c>
      <c r="AY621" s="31" t="s">
        <v>17109</v>
      </c>
      <c r="AZ621" s="31" t="s">
        <v>14321</v>
      </c>
      <c r="BA621" s="31" t="s">
        <v>13772</v>
      </c>
      <c r="BB621" s="31" t="s">
        <v>13772</v>
      </c>
      <c r="BC621" s="31" t="s">
        <v>13772</v>
      </c>
      <c r="BD621" s="31" t="s">
        <v>14404</v>
      </c>
      <c r="BE621" s="31" t="s">
        <v>13772</v>
      </c>
      <c r="BF621" s="31" t="s">
        <v>13795</v>
      </c>
      <c r="BG621" s="31" t="s">
        <v>13796</v>
      </c>
      <c r="BH621" s="31" t="s">
        <v>13812</v>
      </c>
      <c r="BI621" s="31" t="s">
        <v>34343</v>
      </c>
      <c r="BJ621" s="31" t="s">
        <v>22023</v>
      </c>
      <c r="BK621" s="31" t="s">
        <v>19331</v>
      </c>
      <c r="BL621" s="31" t="s">
        <v>13772</v>
      </c>
      <c r="BM621" s="31" t="s">
        <v>24565</v>
      </c>
    </row>
    <row r="622" spans="1:65">
      <c r="A622">
        <v>2259</v>
      </c>
      <c r="B622">
        <v>1</v>
      </c>
      <c r="C622">
        <v>617</v>
      </c>
      <c r="D622" t="s">
        <v>5279</v>
      </c>
      <c r="E622" t="s">
        <v>73</v>
      </c>
      <c r="F622" t="s">
        <v>73</v>
      </c>
      <c r="G622">
        <v>30.5</v>
      </c>
      <c r="H622">
        <v>223</v>
      </c>
      <c r="I622">
        <v>24522</v>
      </c>
      <c r="J622" t="s">
        <v>5280</v>
      </c>
      <c r="K622" s="3" t="s">
        <v>73</v>
      </c>
      <c r="L622">
        <v>54</v>
      </c>
      <c r="M622">
        <v>54</v>
      </c>
      <c r="N622">
        <v>1</v>
      </c>
      <c r="O622" s="11">
        <f t="shared" si="9"/>
        <v>2.6198088282518199</v>
      </c>
      <c r="P622" s="36">
        <v>0.30291084895868198</v>
      </c>
      <c r="Q622" s="36">
        <v>0.24076603016936199</v>
      </c>
      <c r="R622" s="36">
        <v>0.40019941545306398</v>
      </c>
      <c r="S622" s="36">
        <v>0.37798043978830698</v>
      </c>
      <c r="T622" s="36">
        <v>0.215044089984223</v>
      </c>
      <c r="U622" s="36">
        <v>0.23243181165987301</v>
      </c>
      <c r="V622" s="36">
        <v>0.26351557071616</v>
      </c>
      <c r="W622" s="36">
        <v>0.97318359798230603</v>
      </c>
      <c r="X622" s="37">
        <v>9.53709951893949</v>
      </c>
      <c r="Y622" s="37">
        <v>6.3064964688828598</v>
      </c>
      <c r="Z622" s="37">
        <v>0.200013587066836</v>
      </c>
      <c r="AA622" s="37">
        <v>3.3861881863997598</v>
      </c>
      <c r="AB622" s="37">
        <v>5.5127553948906796</v>
      </c>
      <c r="AC622" s="37">
        <v>7.8919057038512497</v>
      </c>
      <c r="AD622" s="37">
        <v>1.50854004786242</v>
      </c>
      <c r="AE622" s="37">
        <v>4.5679105394238499</v>
      </c>
      <c r="AF622" s="45">
        <v>3.36630967562439</v>
      </c>
      <c r="AG622" s="45">
        <v>12.944277364705201</v>
      </c>
      <c r="AH622" s="46">
        <v>3.5615691277489502E-6</v>
      </c>
      <c r="AI622" s="47">
        <v>1.47993151954289E-5</v>
      </c>
      <c r="AJ622" s="48">
        <v>0.37575397558899698</v>
      </c>
      <c r="AK622" s="49">
        <v>4.8638636809146396</v>
      </c>
      <c r="AL622" s="31" t="s">
        <v>5874</v>
      </c>
      <c r="AM622" s="31" t="s">
        <v>5876</v>
      </c>
      <c r="AN622" s="31" t="s">
        <v>35347</v>
      </c>
      <c r="AO622" s="31" t="s">
        <v>35348</v>
      </c>
      <c r="AP622" s="31" t="s">
        <v>35349</v>
      </c>
      <c r="AQ622" s="31" t="s">
        <v>35350</v>
      </c>
      <c r="AR622" s="31" t="s">
        <v>35351</v>
      </c>
      <c r="AS622" s="31" t="str">
        <f>"IL1RN"</f>
        <v>IL1RN</v>
      </c>
      <c r="AT622" s="31" t="s">
        <v>35352</v>
      </c>
      <c r="AU622" s="31" t="s">
        <v>13777</v>
      </c>
      <c r="AV622" s="31">
        <v>9606</v>
      </c>
      <c r="AW622" s="50" t="str">
        <f>HYPERLINK("http://www.uniprot.org/uniprot/P18510", "P18510")</f>
        <v>P18510</v>
      </c>
      <c r="AX622" s="31" t="s">
        <v>35353</v>
      </c>
      <c r="AY622" s="31" t="s">
        <v>13772</v>
      </c>
      <c r="AZ622" s="31" t="s">
        <v>16449</v>
      </c>
      <c r="BA622" s="31" t="s">
        <v>13780</v>
      </c>
      <c r="BB622" s="31" t="s">
        <v>13772</v>
      </c>
      <c r="BC622" s="31" t="s">
        <v>13772</v>
      </c>
      <c r="BD622" s="31" t="s">
        <v>13808</v>
      </c>
      <c r="BE622" s="31" t="s">
        <v>13772</v>
      </c>
      <c r="BF622" s="31" t="s">
        <v>13772</v>
      </c>
      <c r="BG622" s="31" t="s">
        <v>13796</v>
      </c>
      <c r="BH622" s="31" t="s">
        <v>14324</v>
      </c>
      <c r="BI622" s="31" t="s">
        <v>35354</v>
      </c>
      <c r="BJ622" s="31" t="s">
        <v>35355</v>
      </c>
      <c r="BK622" s="31" t="s">
        <v>35356</v>
      </c>
      <c r="BL622" s="31" t="s">
        <v>13772</v>
      </c>
      <c r="BM622" s="31" t="s">
        <v>35357</v>
      </c>
    </row>
    <row r="623" spans="1:65">
      <c r="A623">
        <v>2402</v>
      </c>
      <c r="B623">
        <v>1</v>
      </c>
      <c r="C623">
        <v>618</v>
      </c>
      <c r="D623" t="s">
        <v>5596</v>
      </c>
      <c r="E623" t="s">
        <v>73</v>
      </c>
      <c r="F623" t="s">
        <v>73</v>
      </c>
      <c r="G623">
        <v>63.5</v>
      </c>
      <c r="H623">
        <v>115</v>
      </c>
      <c r="I623">
        <v>12439</v>
      </c>
      <c r="J623" t="s">
        <v>5597</v>
      </c>
      <c r="K623" s="3" t="s">
        <v>73</v>
      </c>
      <c r="L623">
        <v>54</v>
      </c>
      <c r="M623">
        <v>54</v>
      </c>
      <c r="N623">
        <v>1</v>
      </c>
      <c r="O623" s="11">
        <f t="shared" si="9"/>
        <v>3.5669337044921869</v>
      </c>
      <c r="P623" s="36">
        <v>3.6349301875041902</v>
      </c>
      <c r="Q623" s="36">
        <v>3.85225648270979</v>
      </c>
      <c r="R623" s="36">
        <v>6.4031906472490299</v>
      </c>
      <c r="S623" s="36">
        <v>7.5596087957661497</v>
      </c>
      <c r="T623" s="36">
        <v>6.0212345195582504</v>
      </c>
      <c r="U623" s="36">
        <v>9.2972724663949098</v>
      </c>
      <c r="V623" s="36">
        <v>5.2703114143232002</v>
      </c>
      <c r="W623" s="36">
        <v>6.8122851858761404</v>
      </c>
      <c r="X623" s="37">
        <v>0.79475829324495695</v>
      </c>
      <c r="Y623" s="37">
        <v>1.2612992937765699</v>
      </c>
      <c r="Z623" s="37">
        <v>0.200013587066836</v>
      </c>
      <c r="AA623" s="37">
        <v>0.21163676164998499</v>
      </c>
      <c r="AB623" s="37">
        <v>1.8375851316302301</v>
      </c>
      <c r="AC623" s="37">
        <v>3.1567622815404999</v>
      </c>
      <c r="AD623" s="37">
        <v>0.377135011965606</v>
      </c>
      <c r="AE623" s="37">
        <v>0.38065921161865401</v>
      </c>
      <c r="AF623" s="45">
        <v>-2.3362800560518999</v>
      </c>
      <c r="AG623" s="45">
        <v>-5.9430637104181896</v>
      </c>
      <c r="AH623" s="46">
        <v>1.78024774659114E-6</v>
      </c>
      <c r="AI623" s="47">
        <v>8.0472009626315703E-6</v>
      </c>
      <c r="AJ623" s="48">
        <v>6.1063862124227102</v>
      </c>
      <c r="AK623" s="49">
        <v>1.0274811965616699</v>
      </c>
      <c r="AL623" s="31" t="s">
        <v>5875</v>
      </c>
      <c r="AM623" s="31" t="s">
        <v>5876</v>
      </c>
      <c r="AN623" s="31" t="s">
        <v>36589</v>
      </c>
      <c r="AO623" s="31" t="s">
        <v>36590</v>
      </c>
      <c r="AP623" s="31" t="s">
        <v>36591</v>
      </c>
      <c r="AQ623" s="31" t="s">
        <v>36592</v>
      </c>
      <c r="AR623" s="31" t="s">
        <v>13772</v>
      </c>
      <c r="AS623" s="31" t="str">
        <f>"MIEN1"</f>
        <v>MIEN1</v>
      </c>
      <c r="AT623" s="31" t="s">
        <v>36593</v>
      </c>
      <c r="AU623" s="31" t="s">
        <v>13777</v>
      </c>
      <c r="AV623" s="31">
        <v>9606</v>
      </c>
      <c r="AW623" s="50" t="str">
        <f>HYPERLINK("http://www.uniprot.org/uniprot/Q9BRT3", "Q9BRT3")</f>
        <v>Q9BRT3</v>
      </c>
      <c r="AX623" s="31" t="s">
        <v>36594</v>
      </c>
      <c r="AY623" s="31" t="s">
        <v>17109</v>
      </c>
      <c r="AZ623" s="31" t="s">
        <v>18623</v>
      </c>
      <c r="BA623" s="31" t="s">
        <v>13772</v>
      </c>
      <c r="BB623" s="31" t="s">
        <v>13772</v>
      </c>
      <c r="BC623" s="31" t="s">
        <v>13772</v>
      </c>
      <c r="BD623" s="31" t="s">
        <v>18188</v>
      </c>
      <c r="BE623" s="31" t="s">
        <v>13772</v>
      </c>
      <c r="BF623" s="31" t="s">
        <v>13772</v>
      </c>
      <c r="BG623" s="31" t="s">
        <v>36595</v>
      </c>
      <c r="BH623" s="31" t="s">
        <v>13812</v>
      </c>
      <c r="BI623" s="31" t="s">
        <v>36596</v>
      </c>
      <c r="BJ623" s="31" t="s">
        <v>36597</v>
      </c>
      <c r="BK623" s="31" t="s">
        <v>13772</v>
      </c>
      <c r="BL623" s="31" t="s">
        <v>13772</v>
      </c>
      <c r="BM623" s="31" t="s">
        <v>13772</v>
      </c>
    </row>
    <row r="624" spans="1:65">
      <c r="A624">
        <v>543</v>
      </c>
      <c r="B624">
        <v>1</v>
      </c>
      <c r="C624">
        <v>619</v>
      </c>
      <c r="D624" t="s">
        <v>1355</v>
      </c>
      <c r="E624" t="s">
        <v>73</v>
      </c>
      <c r="F624" t="s">
        <v>73</v>
      </c>
      <c r="G624">
        <v>79.099999999999994</v>
      </c>
      <c r="H624">
        <v>115</v>
      </c>
      <c r="I624">
        <v>11633</v>
      </c>
      <c r="J624" t="s">
        <v>1356</v>
      </c>
      <c r="K624" s="3" t="s">
        <v>73</v>
      </c>
      <c r="L624">
        <v>55</v>
      </c>
      <c r="M624">
        <v>49</v>
      </c>
      <c r="N624">
        <v>0.89100000000000001</v>
      </c>
      <c r="O624" s="11">
        <f t="shared" si="9"/>
        <v>2.857266434808003</v>
      </c>
      <c r="P624" s="36">
        <v>0.30291084895868198</v>
      </c>
      <c r="Q624" s="36">
        <v>0.24076603016936199</v>
      </c>
      <c r="R624" s="36">
        <v>0.40019941545306398</v>
      </c>
      <c r="S624" s="36">
        <v>0.37798043978830698</v>
      </c>
      <c r="T624" s="36">
        <v>0.86017635993689201</v>
      </c>
      <c r="U624" s="36">
        <v>1.85945449327898</v>
      </c>
      <c r="V624" s="36">
        <v>0.26351557071616</v>
      </c>
      <c r="W624" s="36">
        <v>0.24329589949557701</v>
      </c>
      <c r="X624" s="37">
        <v>3.7353639782513</v>
      </c>
      <c r="Y624" s="37">
        <v>7.1894059745264602</v>
      </c>
      <c r="Z624" s="37">
        <v>5.3603641333912</v>
      </c>
      <c r="AA624" s="37">
        <v>2.5396411397998202</v>
      </c>
      <c r="AB624" s="37">
        <v>11.0255107897814</v>
      </c>
      <c r="AC624" s="37">
        <v>8.2865009890438106</v>
      </c>
      <c r="AD624" s="37">
        <v>1.50854004786242</v>
      </c>
      <c r="AE624" s="37">
        <v>1.5226368464746201</v>
      </c>
      <c r="AF624" s="45">
        <v>2.9171315468059</v>
      </c>
      <c r="AG624" s="45">
        <v>9.0512878278216693</v>
      </c>
      <c r="AH624" s="46">
        <v>1.4083870217600799E-5</v>
      </c>
      <c r="AI624" s="47">
        <v>5.0117601997739101E-5</v>
      </c>
      <c r="AJ624" s="48">
        <v>0.56853738222462802</v>
      </c>
      <c r="AK624" s="49">
        <v>5.14599548739137</v>
      </c>
      <c r="AL624" s="31" t="s">
        <v>5874</v>
      </c>
      <c r="AM624" s="31" t="s">
        <v>5876</v>
      </c>
      <c r="AN624" s="31" t="s">
        <v>19115</v>
      </c>
      <c r="AO624" s="31" t="s">
        <v>19116</v>
      </c>
      <c r="AP624" s="31" t="s">
        <v>19117</v>
      </c>
      <c r="AQ624" s="31" t="s">
        <v>19118</v>
      </c>
      <c r="AR624" s="31" t="s">
        <v>19119</v>
      </c>
      <c r="AS624" s="31" t="str">
        <f>"RPLP2"</f>
        <v>RPLP2</v>
      </c>
      <c r="AT624" s="31" t="s">
        <v>19120</v>
      </c>
      <c r="AU624" s="31" t="s">
        <v>13777</v>
      </c>
      <c r="AV624" s="31">
        <v>9606</v>
      </c>
      <c r="AW624" s="50" t="str">
        <f>HYPERLINK("http://www.uniprot.org/uniprot/P05387", "P05387")</f>
        <v>P05387</v>
      </c>
      <c r="AX624" s="31" t="s">
        <v>19121</v>
      </c>
      <c r="AY624" s="31" t="s">
        <v>13772</v>
      </c>
      <c r="AZ624" s="31" t="s">
        <v>13772</v>
      </c>
      <c r="BA624" s="31" t="s">
        <v>13772</v>
      </c>
      <c r="BB624" s="31" t="s">
        <v>13772</v>
      </c>
      <c r="BC624" s="31" t="s">
        <v>13772</v>
      </c>
      <c r="BD624" s="31" t="s">
        <v>13772</v>
      </c>
      <c r="BE624" s="31" t="s">
        <v>13772</v>
      </c>
      <c r="BF624" s="31" t="s">
        <v>13937</v>
      </c>
      <c r="BG624" s="31" t="s">
        <v>13886</v>
      </c>
      <c r="BH624" s="31" t="s">
        <v>13812</v>
      </c>
      <c r="BI624" s="31" t="s">
        <v>19122</v>
      </c>
      <c r="BJ624" s="31" t="s">
        <v>19123</v>
      </c>
      <c r="BK624" s="31" t="s">
        <v>19124</v>
      </c>
      <c r="BL624" s="31" t="s">
        <v>13772</v>
      </c>
      <c r="BM624" s="31" t="s">
        <v>13942</v>
      </c>
    </row>
    <row r="625" spans="1:65">
      <c r="A625">
        <v>683</v>
      </c>
      <c r="B625">
        <v>1</v>
      </c>
      <c r="C625">
        <v>620</v>
      </c>
      <c r="D625" t="s">
        <v>1681</v>
      </c>
      <c r="E625" t="s">
        <v>73</v>
      </c>
      <c r="F625" t="s">
        <v>73</v>
      </c>
      <c r="G625">
        <v>35.299999999999997</v>
      </c>
      <c r="H625">
        <v>1133</v>
      </c>
      <c r="I625">
        <v>116671</v>
      </c>
      <c r="J625" t="s">
        <v>1682</v>
      </c>
      <c r="K625" s="3" t="s">
        <v>73</v>
      </c>
      <c r="L625">
        <v>53</v>
      </c>
      <c r="M625">
        <v>53</v>
      </c>
      <c r="N625">
        <v>1</v>
      </c>
      <c r="O625" s="11">
        <f t="shared" si="9"/>
        <v>2.8994094392388114</v>
      </c>
      <c r="P625" s="36">
        <v>0.30291084895868198</v>
      </c>
      <c r="Q625" s="36">
        <v>0.24076603016936199</v>
      </c>
      <c r="R625" s="36">
        <v>0.40019941545306398</v>
      </c>
      <c r="S625" s="36">
        <v>1.5119217591532299</v>
      </c>
      <c r="T625" s="36">
        <v>0.86017635993689201</v>
      </c>
      <c r="U625" s="36">
        <v>2.7891817399184702</v>
      </c>
      <c r="V625" s="36">
        <v>2.10812456572928</v>
      </c>
      <c r="W625" s="36">
        <v>2.9195507939469199</v>
      </c>
      <c r="X625" s="37">
        <v>11.9213743986744</v>
      </c>
      <c r="Y625" s="37">
        <v>3.7838978813297102</v>
      </c>
      <c r="Z625" s="37">
        <v>1.60010869653469</v>
      </c>
      <c r="AA625" s="37">
        <v>1.6930940931998799</v>
      </c>
      <c r="AB625" s="37">
        <v>9.1879256581511406</v>
      </c>
      <c r="AC625" s="37">
        <v>6.3135245630809997</v>
      </c>
      <c r="AD625" s="37">
        <v>0.377135011965606</v>
      </c>
      <c r="AE625" s="37">
        <v>0.38065921161865401</v>
      </c>
      <c r="AF625" s="45">
        <v>1.5952625681560999</v>
      </c>
      <c r="AG625" s="45">
        <v>3.1670037826892399</v>
      </c>
      <c r="AH625" s="46">
        <v>1.9695234834504801E-2</v>
      </c>
      <c r="AI625" s="47">
        <v>3.3959051815164197E-2</v>
      </c>
      <c r="AJ625" s="48">
        <v>1.39160393915824</v>
      </c>
      <c r="AK625" s="49">
        <v>4.4072149393193802</v>
      </c>
      <c r="AL625" s="31" t="s">
        <v>5874</v>
      </c>
      <c r="AM625" s="31" t="s">
        <v>5878</v>
      </c>
      <c r="AN625" s="31" t="s">
        <v>20528</v>
      </c>
      <c r="AO625" s="31" t="s">
        <v>13772</v>
      </c>
      <c r="AP625" s="31" t="s">
        <v>20529</v>
      </c>
      <c r="AQ625" s="31" t="s">
        <v>20530</v>
      </c>
      <c r="AR625" s="31" t="s">
        <v>20531</v>
      </c>
      <c r="AS625" s="31" t="str">
        <f>"MAP4"</f>
        <v>MAP4</v>
      </c>
      <c r="AT625" s="31" t="s">
        <v>13772</v>
      </c>
      <c r="AU625" s="31" t="s">
        <v>13777</v>
      </c>
      <c r="AV625" s="31">
        <v>9606</v>
      </c>
      <c r="AW625" s="50" t="str">
        <f>HYPERLINK("http://www.uniprot.org/uniprot/P27816", "P27816")</f>
        <v>P27816</v>
      </c>
      <c r="AX625" s="31" t="s">
        <v>20532</v>
      </c>
      <c r="AY625" s="31" t="s">
        <v>13772</v>
      </c>
      <c r="AZ625" s="31" t="s">
        <v>20183</v>
      </c>
      <c r="BA625" s="31" t="s">
        <v>13780</v>
      </c>
      <c r="BB625" s="31" t="s">
        <v>13772</v>
      </c>
      <c r="BC625" s="31" t="s">
        <v>13772</v>
      </c>
      <c r="BD625" s="31" t="s">
        <v>14096</v>
      </c>
      <c r="BE625" s="31" t="s">
        <v>13772</v>
      </c>
      <c r="BF625" s="31" t="s">
        <v>13772</v>
      </c>
      <c r="BG625" s="31" t="s">
        <v>13991</v>
      </c>
      <c r="BH625" s="31" t="s">
        <v>13772</v>
      </c>
      <c r="BI625" s="31" t="s">
        <v>20533</v>
      </c>
      <c r="BJ625" s="31" t="s">
        <v>20534</v>
      </c>
      <c r="BK625" s="31" t="s">
        <v>20535</v>
      </c>
      <c r="BL625" s="31" t="s">
        <v>13772</v>
      </c>
      <c r="BM625" s="31" t="s">
        <v>13772</v>
      </c>
    </row>
    <row r="626" spans="1:65">
      <c r="A626">
        <v>1629</v>
      </c>
      <c r="B626">
        <v>1</v>
      </c>
      <c r="C626">
        <v>621</v>
      </c>
      <c r="D626" t="s">
        <v>3861</v>
      </c>
      <c r="E626" t="s">
        <v>3862</v>
      </c>
      <c r="F626" t="s">
        <v>73</v>
      </c>
      <c r="G626">
        <v>31.9</v>
      </c>
      <c r="H626">
        <v>587</v>
      </c>
      <c r="I626">
        <v>63769</v>
      </c>
      <c r="J626" t="s">
        <v>3863</v>
      </c>
      <c r="K626" s="3" t="s">
        <v>73</v>
      </c>
      <c r="L626">
        <v>53</v>
      </c>
      <c r="M626">
        <v>53</v>
      </c>
      <c r="N626">
        <v>1</v>
      </c>
      <c r="O626" s="11">
        <f t="shared" si="9"/>
        <v>3.5256198968187484</v>
      </c>
      <c r="P626" s="36">
        <v>8.4815037708430996</v>
      </c>
      <c r="Q626" s="36">
        <v>8.6675770860970207</v>
      </c>
      <c r="R626" s="36">
        <v>0.40019941545306398</v>
      </c>
      <c r="S626" s="36">
        <v>0.37798043978830698</v>
      </c>
      <c r="T626" s="36">
        <v>10.322116319242699</v>
      </c>
      <c r="U626" s="36">
        <v>7.43781797311593</v>
      </c>
      <c r="V626" s="36">
        <v>0.26351557071616</v>
      </c>
      <c r="W626" s="36">
        <v>2.9195507939469199</v>
      </c>
      <c r="X626" s="37">
        <v>0.19868957331123899</v>
      </c>
      <c r="Y626" s="37">
        <v>1.2612992937765699</v>
      </c>
      <c r="Z626" s="37">
        <v>2.4001630448020301</v>
      </c>
      <c r="AA626" s="37">
        <v>0.21163676164998499</v>
      </c>
      <c r="AB626" s="37">
        <v>0.22969814145377901</v>
      </c>
      <c r="AC626" s="37">
        <v>0.78919057038512497</v>
      </c>
      <c r="AD626" s="37">
        <v>12.068320382899399</v>
      </c>
      <c r="AE626" s="37">
        <v>0.38065921161865401</v>
      </c>
      <c r="AF626" s="45">
        <v>-1.2763786688273799</v>
      </c>
      <c r="AG626" s="45">
        <v>-2.2161357781258002</v>
      </c>
      <c r="AH626" s="46">
        <v>0.16628613133269801</v>
      </c>
      <c r="AI626" s="47">
        <v>0.22249084372315001</v>
      </c>
      <c r="AJ626" s="48">
        <v>4.8587826711503999</v>
      </c>
      <c r="AK626" s="49">
        <v>2.1924571224871001</v>
      </c>
      <c r="AL626" s="31" t="s">
        <v>5875</v>
      </c>
      <c r="AM626" s="31" t="s">
        <v>5832</v>
      </c>
      <c r="AN626" s="31" t="s">
        <v>29410</v>
      </c>
      <c r="AO626" s="31" t="s">
        <v>29411</v>
      </c>
      <c r="AP626" s="31" t="s">
        <v>29412</v>
      </c>
      <c r="AQ626" s="31" t="s">
        <v>29413</v>
      </c>
      <c r="AR626" s="31" t="s">
        <v>29414</v>
      </c>
      <c r="AS626" s="31" t="str">
        <f>"GK"</f>
        <v>GK</v>
      </c>
      <c r="AT626" s="31" t="s">
        <v>13772</v>
      </c>
      <c r="AU626" s="31" t="s">
        <v>13777</v>
      </c>
      <c r="AV626" s="31">
        <v>9606</v>
      </c>
      <c r="AW626" s="50" t="str">
        <f>HYPERLINK("http://www.uniprot.org/uniprot/P32189", "P32189")</f>
        <v>P32189</v>
      </c>
      <c r="AX626" s="31" t="s">
        <v>29415</v>
      </c>
      <c r="AY626" s="31" t="s">
        <v>29416</v>
      </c>
      <c r="AZ626" s="31" t="s">
        <v>13884</v>
      </c>
      <c r="BA626" s="31" t="s">
        <v>13780</v>
      </c>
      <c r="BB626" s="31" t="s">
        <v>13772</v>
      </c>
      <c r="BC626" s="31" t="s">
        <v>13807</v>
      </c>
      <c r="BD626" s="31" t="s">
        <v>13772</v>
      </c>
      <c r="BE626" s="31" t="s">
        <v>14005</v>
      </c>
      <c r="BF626" s="31" t="s">
        <v>14006</v>
      </c>
      <c r="BG626" s="31" t="s">
        <v>13772</v>
      </c>
      <c r="BH626" s="31" t="s">
        <v>13772</v>
      </c>
      <c r="BI626" s="31" t="s">
        <v>29417</v>
      </c>
      <c r="BJ626" s="31" t="s">
        <v>29418</v>
      </c>
      <c r="BK626" s="31" t="s">
        <v>29419</v>
      </c>
      <c r="BL626" s="31" t="s">
        <v>29420</v>
      </c>
      <c r="BM626" s="31" t="s">
        <v>29421</v>
      </c>
    </row>
    <row r="627" spans="1:65">
      <c r="A627">
        <v>2227</v>
      </c>
      <c r="B627">
        <v>1</v>
      </c>
      <c r="C627">
        <v>622</v>
      </c>
      <c r="D627" t="s">
        <v>5207</v>
      </c>
      <c r="E627" t="s">
        <v>73</v>
      </c>
      <c r="F627" t="s">
        <v>73</v>
      </c>
      <c r="G627">
        <v>62.1</v>
      </c>
      <c r="H627">
        <v>103</v>
      </c>
      <c r="I627">
        <v>11603</v>
      </c>
      <c r="J627" t="s">
        <v>5208</v>
      </c>
      <c r="K627" s="3" t="s">
        <v>73</v>
      </c>
      <c r="L627">
        <v>53</v>
      </c>
      <c r="M627">
        <v>53</v>
      </c>
      <c r="N627">
        <v>1</v>
      </c>
      <c r="O627" s="11">
        <f t="shared" si="9"/>
        <v>3.085681783456387</v>
      </c>
      <c r="P627" s="36">
        <v>1.2116433958347299</v>
      </c>
      <c r="Q627" s="36">
        <v>5.7783847240646802</v>
      </c>
      <c r="R627" s="36">
        <v>11.2055836326858</v>
      </c>
      <c r="S627" s="36">
        <v>4.5357652774596904</v>
      </c>
      <c r="T627" s="36">
        <v>0.86017635993689201</v>
      </c>
      <c r="U627" s="36">
        <v>0.92972724663949102</v>
      </c>
      <c r="V627" s="36">
        <v>1.05406228286464</v>
      </c>
      <c r="W627" s="36">
        <v>0.97318359798230603</v>
      </c>
      <c r="X627" s="37">
        <v>4.7685497594697397</v>
      </c>
      <c r="Y627" s="37">
        <v>5.6758468219945701</v>
      </c>
      <c r="Z627" s="37">
        <v>2.4001630448020301</v>
      </c>
      <c r="AA627" s="37">
        <v>1.6930940931998799</v>
      </c>
      <c r="AB627" s="37">
        <v>3.6751702632604601</v>
      </c>
      <c r="AC627" s="37">
        <v>1.5783811407702499</v>
      </c>
      <c r="AD627" s="37">
        <v>1.50854004786242</v>
      </c>
      <c r="AE627" s="37">
        <v>1.5226368464746201</v>
      </c>
      <c r="AF627" s="45">
        <v>-3.6220330031059303E-2</v>
      </c>
      <c r="AG627" s="45">
        <v>-1.16326711632127</v>
      </c>
      <c r="AH627" s="46">
        <v>0.92086421533448004</v>
      </c>
      <c r="AI627" s="47">
        <v>0.94924215725541905</v>
      </c>
      <c r="AJ627" s="48">
        <v>3.31856581468353</v>
      </c>
      <c r="AK627" s="49">
        <v>2.8527977522292498</v>
      </c>
      <c r="AL627" s="31" t="s">
        <v>5875</v>
      </c>
      <c r="AM627" s="31" t="s">
        <v>5832</v>
      </c>
      <c r="AN627" s="31" t="s">
        <v>35020</v>
      </c>
      <c r="AO627" s="31" t="s">
        <v>35021</v>
      </c>
      <c r="AP627" s="31" t="s">
        <v>35022</v>
      </c>
      <c r="AQ627" s="31" t="s">
        <v>35023</v>
      </c>
      <c r="AR627" s="31" t="s">
        <v>35024</v>
      </c>
      <c r="AS627" s="31" t="str">
        <f>"S100A11"</f>
        <v>S100A11</v>
      </c>
      <c r="AT627" s="31" t="s">
        <v>35025</v>
      </c>
      <c r="AU627" s="31" t="s">
        <v>13777</v>
      </c>
      <c r="AV627" s="31">
        <v>9606</v>
      </c>
      <c r="AW627" s="50" t="str">
        <f>HYPERLINK("http://www.uniprot.org/uniprot/P31949", "P31949")</f>
        <v>P31949</v>
      </c>
      <c r="AX627" s="31" t="s">
        <v>35026</v>
      </c>
      <c r="AY627" s="31" t="s">
        <v>13772</v>
      </c>
      <c r="AZ627" s="31" t="s">
        <v>13912</v>
      </c>
      <c r="BA627" s="31" t="s">
        <v>13772</v>
      </c>
      <c r="BB627" s="31" t="s">
        <v>13772</v>
      </c>
      <c r="BC627" s="31" t="s">
        <v>13772</v>
      </c>
      <c r="BD627" s="31" t="s">
        <v>14096</v>
      </c>
      <c r="BE627" s="31" t="s">
        <v>13873</v>
      </c>
      <c r="BF627" s="31" t="s">
        <v>13772</v>
      </c>
      <c r="BG627" s="31" t="s">
        <v>15256</v>
      </c>
      <c r="BH627" s="31" t="s">
        <v>13812</v>
      </c>
      <c r="BI627" s="31" t="s">
        <v>35027</v>
      </c>
      <c r="BJ627" s="31" t="s">
        <v>35028</v>
      </c>
      <c r="BK627" s="31" t="s">
        <v>35029</v>
      </c>
      <c r="BL627" s="31" t="s">
        <v>13772</v>
      </c>
      <c r="BM627" s="31" t="s">
        <v>13890</v>
      </c>
    </row>
    <row r="628" spans="1:65">
      <c r="A628">
        <v>1417</v>
      </c>
      <c r="B628">
        <v>1</v>
      </c>
      <c r="C628">
        <v>623</v>
      </c>
      <c r="D628" t="s">
        <v>3381</v>
      </c>
      <c r="E628" t="s">
        <v>3382</v>
      </c>
      <c r="F628" t="s">
        <v>73</v>
      </c>
      <c r="G628">
        <v>62.7</v>
      </c>
      <c r="H628">
        <v>126</v>
      </c>
      <c r="I628">
        <v>13936</v>
      </c>
      <c r="J628" t="s">
        <v>3383</v>
      </c>
      <c r="K628" s="3" t="s">
        <v>73</v>
      </c>
      <c r="L628">
        <v>78</v>
      </c>
      <c r="M628">
        <v>18</v>
      </c>
      <c r="N628">
        <v>0.23100000000000001</v>
      </c>
      <c r="O628" s="11">
        <f t="shared" si="9"/>
        <v>2.5968185018528729</v>
      </c>
      <c r="P628" s="36">
        <v>0.60582169791736495</v>
      </c>
      <c r="Q628" s="36">
        <v>2.69657953789685</v>
      </c>
      <c r="R628" s="36">
        <v>1.6007976618122599</v>
      </c>
      <c r="S628" s="36">
        <v>2.2678826387298399</v>
      </c>
      <c r="T628" s="36">
        <v>0.86017635993689201</v>
      </c>
      <c r="U628" s="36">
        <v>0.23243181165987301</v>
      </c>
      <c r="V628" s="36">
        <v>0.26351557071616</v>
      </c>
      <c r="W628" s="36">
        <v>0.97318359798230603</v>
      </c>
      <c r="X628" s="37">
        <v>5.5633080527147003</v>
      </c>
      <c r="Y628" s="37">
        <v>5.6758468219945701</v>
      </c>
      <c r="Z628" s="37">
        <v>8.2405597871536305</v>
      </c>
      <c r="AA628" s="37">
        <v>8.1268516473594303</v>
      </c>
      <c r="AB628" s="37">
        <v>0.45939628290755702</v>
      </c>
      <c r="AC628" s="37">
        <v>0.19729764259628099</v>
      </c>
      <c r="AD628" s="37">
        <v>2.2628100717936301</v>
      </c>
      <c r="AE628" s="37">
        <v>1.5226368464746201</v>
      </c>
      <c r="AF628" s="45">
        <v>1.75667912960997</v>
      </c>
      <c r="AG628" s="45">
        <v>3.3734100329048999</v>
      </c>
      <c r="AH628" s="46">
        <v>1.6183939004268101E-2</v>
      </c>
      <c r="AI628" s="47">
        <v>2.8343076423705101E-2</v>
      </c>
      <c r="AJ628" s="48">
        <v>1.18754860958144</v>
      </c>
      <c r="AK628" s="49">
        <v>4.0060883941243004</v>
      </c>
      <c r="AL628" s="31" t="s">
        <v>5874</v>
      </c>
      <c r="AM628" s="31" t="s">
        <v>5878</v>
      </c>
      <c r="AN628" s="31" t="s">
        <v>27429</v>
      </c>
      <c r="AO628" s="31" t="s">
        <v>27430</v>
      </c>
      <c r="AP628" s="31" t="s">
        <v>27431</v>
      </c>
      <c r="AQ628" s="31" t="s">
        <v>27432</v>
      </c>
      <c r="AR628" s="31" t="s">
        <v>13772</v>
      </c>
      <c r="AS628" s="31" t="str">
        <f>"HIST1H2BD"</f>
        <v>HIST1H2BD</v>
      </c>
      <c r="AT628" s="31" t="s">
        <v>27433</v>
      </c>
      <c r="AU628" s="31" t="s">
        <v>13777</v>
      </c>
      <c r="AV628" s="31">
        <v>9606</v>
      </c>
      <c r="AW628" s="50" t="str">
        <f>HYPERLINK("http://www.uniprot.org/uniprot/P58876", "P58876")</f>
        <v>P58876</v>
      </c>
      <c r="AX628" s="31" t="s">
        <v>27434</v>
      </c>
      <c r="AY628" s="31" t="s">
        <v>13772</v>
      </c>
      <c r="AZ628" s="31" t="s">
        <v>15870</v>
      </c>
      <c r="BA628" s="31" t="s">
        <v>13772</v>
      </c>
      <c r="BB628" s="31" t="s">
        <v>13772</v>
      </c>
      <c r="BC628" s="31" t="s">
        <v>13772</v>
      </c>
      <c r="BD628" s="31" t="s">
        <v>13772</v>
      </c>
      <c r="BE628" s="31" t="s">
        <v>13772</v>
      </c>
      <c r="BF628" s="31" t="s">
        <v>15871</v>
      </c>
      <c r="BG628" s="31" t="s">
        <v>27435</v>
      </c>
      <c r="BH628" s="31" t="s">
        <v>13772</v>
      </c>
      <c r="BI628" s="31" t="s">
        <v>27436</v>
      </c>
      <c r="BJ628" s="31" t="s">
        <v>27437</v>
      </c>
      <c r="BK628" s="31" t="s">
        <v>15875</v>
      </c>
      <c r="BL628" s="31" t="s">
        <v>13772</v>
      </c>
      <c r="BM628" s="31" t="s">
        <v>27438</v>
      </c>
    </row>
    <row r="629" spans="1:65">
      <c r="A629">
        <v>539</v>
      </c>
      <c r="B629">
        <v>1</v>
      </c>
      <c r="C629">
        <v>624</v>
      </c>
      <c r="D629" t="s">
        <v>1346</v>
      </c>
      <c r="E629" t="s">
        <v>73</v>
      </c>
      <c r="F629" t="s">
        <v>73</v>
      </c>
      <c r="G629">
        <v>13.9</v>
      </c>
      <c r="H629">
        <v>330</v>
      </c>
      <c r="I629">
        <v>37526</v>
      </c>
      <c r="J629" t="s">
        <v>1347</v>
      </c>
      <c r="K629" s="3" t="s">
        <v>73</v>
      </c>
      <c r="L629">
        <v>52</v>
      </c>
      <c r="M629">
        <v>52</v>
      </c>
      <c r="N629">
        <v>1</v>
      </c>
      <c r="O629" s="11">
        <f t="shared" si="9"/>
        <v>2.9670771353739074</v>
      </c>
      <c r="P629" s="36">
        <v>6.0582169791736504</v>
      </c>
      <c r="Q629" s="36">
        <v>0.96306412067744696</v>
      </c>
      <c r="R629" s="36">
        <v>11.2055836326858</v>
      </c>
      <c r="S629" s="36">
        <v>6.0476870366129196</v>
      </c>
      <c r="T629" s="36">
        <v>7.7415872394320298</v>
      </c>
      <c r="U629" s="36">
        <v>1.85945449327898</v>
      </c>
      <c r="V629" s="36">
        <v>0.26351557071616</v>
      </c>
      <c r="W629" s="36">
        <v>0.97318359798230603</v>
      </c>
      <c r="X629" s="37">
        <v>2.3842748797348698</v>
      </c>
      <c r="Y629" s="37">
        <v>0.15766241172207099</v>
      </c>
      <c r="Z629" s="37">
        <v>3.2002173930693698</v>
      </c>
      <c r="AA629" s="37">
        <v>0.84654704659994096</v>
      </c>
      <c r="AB629" s="37">
        <v>3.6751702632604601</v>
      </c>
      <c r="AC629" s="37">
        <v>0.19729764259628099</v>
      </c>
      <c r="AD629" s="37">
        <v>0.377135011965606</v>
      </c>
      <c r="AE629" s="37">
        <v>1.5226368464746201</v>
      </c>
      <c r="AF629" s="45">
        <v>-1.37305350928868</v>
      </c>
      <c r="AG629" s="45">
        <v>-2.8405840027282698</v>
      </c>
      <c r="AH629" s="46">
        <v>5.1294343408210499E-2</v>
      </c>
      <c r="AI629" s="47">
        <v>7.9251537505987998E-2</v>
      </c>
      <c r="AJ629" s="48">
        <v>4.3890365838199097</v>
      </c>
      <c r="AK629" s="49">
        <v>1.5451176869279</v>
      </c>
      <c r="AL629" s="31" t="s">
        <v>5875</v>
      </c>
      <c r="AM629" s="31" t="s">
        <v>5877</v>
      </c>
      <c r="AN629" s="31" t="s">
        <v>19068</v>
      </c>
      <c r="AO629" s="31" t="s">
        <v>19069</v>
      </c>
      <c r="AP629" s="31" t="s">
        <v>19070</v>
      </c>
      <c r="AQ629" s="31" t="s">
        <v>19071</v>
      </c>
      <c r="AR629" s="31" t="s">
        <v>19072</v>
      </c>
      <c r="AS629" s="31" t="str">
        <f>"AIP"</f>
        <v>AIP</v>
      </c>
      <c r="AT629" s="31" t="s">
        <v>19073</v>
      </c>
      <c r="AU629" s="31" t="s">
        <v>13777</v>
      </c>
      <c r="AV629" s="31">
        <v>9606</v>
      </c>
      <c r="AW629" s="50" t="str">
        <f>HYPERLINK("http://www.uniprot.org/uniprot/O00170", "O00170")</f>
        <v>O00170</v>
      </c>
      <c r="AX629" s="31" t="s">
        <v>19074</v>
      </c>
      <c r="AY629" s="31" t="s">
        <v>13772</v>
      </c>
      <c r="AZ629" s="31" t="s">
        <v>13899</v>
      </c>
      <c r="BA629" s="31" t="s">
        <v>13793</v>
      </c>
      <c r="BB629" s="31" t="s">
        <v>13772</v>
      </c>
      <c r="BC629" s="31" t="s">
        <v>19075</v>
      </c>
      <c r="BD629" s="31" t="s">
        <v>19076</v>
      </c>
      <c r="BE629" s="31" t="s">
        <v>13772</v>
      </c>
      <c r="BF629" s="31" t="s">
        <v>13772</v>
      </c>
      <c r="BG629" s="31" t="s">
        <v>13782</v>
      </c>
      <c r="BH629" s="31" t="s">
        <v>13812</v>
      </c>
      <c r="BI629" s="31" t="s">
        <v>19077</v>
      </c>
      <c r="BJ629" s="31" t="s">
        <v>19078</v>
      </c>
      <c r="BK629" s="31" t="s">
        <v>19079</v>
      </c>
      <c r="BL629" s="31" t="s">
        <v>13772</v>
      </c>
      <c r="BM629" s="31" t="s">
        <v>19080</v>
      </c>
    </row>
    <row r="630" spans="1:65">
      <c r="A630">
        <v>875</v>
      </c>
      <c r="B630">
        <v>1</v>
      </c>
      <c r="C630">
        <v>625</v>
      </c>
      <c r="D630" t="s">
        <v>2137</v>
      </c>
      <c r="E630" t="s">
        <v>2138</v>
      </c>
      <c r="F630" t="s">
        <v>73</v>
      </c>
      <c r="G630">
        <v>25.8</v>
      </c>
      <c r="H630">
        <v>267</v>
      </c>
      <c r="I630">
        <v>30076</v>
      </c>
      <c r="J630" t="s">
        <v>2136</v>
      </c>
      <c r="K630" s="3" t="s">
        <v>73</v>
      </c>
      <c r="L630">
        <v>52</v>
      </c>
      <c r="M630">
        <v>52</v>
      </c>
      <c r="N630">
        <v>1</v>
      </c>
      <c r="O630" s="11">
        <f t="shared" si="9"/>
        <v>3.7961038978740813</v>
      </c>
      <c r="P630" s="36">
        <v>3.6349301875041902</v>
      </c>
      <c r="Q630" s="36">
        <v>6.7414488447421297</v>
      </c>
      <c r="R630" s="36">
        <v>12.806381294498101</v>
      </c>
      <c r="S630" s="36">
        <v>12.0953740732258</v>
      </c>
      <c r="T630" s="36">
        <v>6.0212345195582504</v>
      </c>
      <c r="U630" s="36">
        <v>3.7189089865579601</v>
      </c>
      <c r="V630" s="36">
        <v>4.21624913145856</v>
      </c>
      <c r="W630" s="36">
        <v>2.9195507939469199</v>
      </c>
      <c r="X630" s="37">
        <v>0.19868957331123899</v>
      </c>
      <c r="Y630" s="37">
        <v>1.2612992937765699</v>
      </c>
      <c r="Z630" s="37">
        <v>0.200013587066836</v>
      </c>
      <c r="AA630" s="37">
        <v>1.6930940931998799</v>
      </c>
      <c r="AB630" s="37">
        <v>0.22969814145377901</v>
      </c>
      <c r="AC630" s="37">
        <v>1.5783811407702499</v>
      </c>
      <c r="AD630" s="37">
        <v>0.377135011965606</v>
      </c>
      <c r="AE630" s="37">
        <v>3.0452736929492299</v>
      </c>
      <c r="AF630" s="45">
        <v>-2.48461563446017</v>
      </c>
      <c r="AG630" s="45">
        <v>-6.0760254206047799</v>
      </c>
      <c r="AH630" s="46">
        <v>1.5780718446195E-5</v>
      </c>
      <c r="AI630" s="47">
        <v>5.4701039588106099E-5</v>
      </c>
      <c r="AJ630" s="48">
        <v>6.5192597289364898</v>
      </c>
      <c r="AK630" s="49">
        <v>1.07294806681167</v>
      </c>
      <c r="AL630" s="31" t="s">
        <v>5875</v>
      </c>
      <c r="AM630" s="31" t="s">
        <v>5876</v>
      </c>
      <c r="AN630" s="31" t="s">
        <v>22398</v>
      </c>
      <c r="AO630" s="31" t="s">
        <v>22399</v>
      </c>
      <c r="AP630" s="31" t="s">
        <v>22400</v>
      </c>
      <c r="AQ630" s="31" t="s">
        <v>22401</v>
      </c>
      <c r="AR630" s="31" t="s">
        <v>22402</v>
      </c>
      <c r="AS630" s="31" t="str">
        <f>"CD200"</f>
        <v>CD200</v>
      </c>
      <c r="AT630" s="31" t="s">
        <v>22403</v>
      </c>
      <c r="AU630" s="31" t="s">
        <v>13777</v>
      </c>
      <c r="AV630" s="31">
        <v>9606</v>
      </c>
      <c r="AW630" s="50" t="str">
        <f>HYPERLINK("http://www.uniprot.org/uniprot/P41217", "P41217")</f>
        <v>P41217</v>
      </c>
      <c r="AX630" s="31" t="s">
        <v>22404</v>
      </c>
      <c r="AY630" s="31" t="s">
        <v>13772</v>
      </c>
      <c r="AZ630" s="31" t="s">
        <v>13792</v>
      </c>
      <c r="BA630" s="31" t="s">
        <v>13780</v>
      </c>
      <c r="BB630" s="31" t="s">
        <v>13772</v>
      </c>
      <c r="BC630" s="31" t="s">
        <v>13772</v>
      </c>
      <c r="BD630" s="31" t="s">
        <v>13794</v>
      </c>
      <c r="BE630" s="31" t="s">
        <v>13772</v>
      </c>
      <c r="BF630" s="31" t="s">
        <v>13772</v>
      </c>
      <c r="BG630" s="31" t="s">
        <v>13796</v>
      </c>
      <c r="BH630" s="31" t="s">
        <v>13772</v>
      </c>
      <c r="BI630" s="31" t="s">
        <v>22405</v>
      </c>
      <c r="BJ630" s="31" t="s">
        <v>22406</v>
      </c>
      <c r="BK630" s="31" t="s">
        <v>22407</v>
      </c>
      <c r="BL630" s="31" t="s">
        <v>13772</v>
      </c>
      <c r="BM630" s="31" t="s">
        <v>13799</v>
      </c>
    </row>
    <row r="631" spans="1:65">
      <c r="A631">
        <v>2443</v>
      </c>
      <c r="B631">
        <v>1</v>
      </c>
      <c r="C631">
        <v>626</v>
      </c>
      <c r="D631" t="s">
        <v>5733</v>
      </c>
      <c r="E631" t="s">
        <v>73</v>
      </c>
      <c r="F631" t="s">
        <v>5734</v>
      </c>
      <c r="G631">
        <v>37.9</v>
      </c>
      <c r="H631">
        <v>140</v>
      </c>
      <c r="I631">
        <v>15032</v>
      </c>
      <c r="J631" t="s">
        <v>5735</v>
      </c>
      <c r="K631" s="3" t="s">
        <v>73</v>
      </c>
      <c r="L631">
        <v>52</v>
      </c>
      <c r="M631">
        <v>52</v>
      </c>
      <c r="N631">
        <v>1</v>
      </c>
      <c r="O631" s="11">
        <f t="shared" si="9"/>
        <v>2.9207028720483144</v>
      </c>
      <c r="P631" s="36">
        <v>2.4232867916694598</v>
      </c>
      <c r="Q631" s="36">
        <v>0.96306412067744696</v>
      </c>
      <c r="R631" s="36">
        <v>0.40019941545306398</v>
      </c>
      <c r="S631" s="36">
        <v>0.37798043978830698</v>
      </c>
      <c r="T631" s="36">
        <v>0.86017635993689201</v>
      </c>
      <c r="U631" s="36">
        <v>1.85945449327898</v>
      </c>
      <c r="V631" s="36">
        <v>3.1621868485939202</v>
      </c>
      <c r="W631" s="36">
        <v>7.78546878385845</v>
      </c>
      <c r="X631" s="37">
        <v>3.17903317297983</v>
      </c>
      <c r="Y631" s="37">
        <v>5.0451971751062796</v>
      </c>
      <c r="Z631" s="37">
        <v>2.4001630448020301</v>
      </c>
      <c r="AA631" s="37">
        <v>0.84654704659994096</v>
      </c>
      <c r="AB631" s="37">
        <v>7.3503405265209096</v>
      </c>
      <c r="AC631" s="37">
        <v>5.5243339926958699</v>
      </c>
      <c r="AD631" s="37">
        <v>1.50854004786242</v>
      </c>
      <c r="AE631" s="37">
        <v>3.0452736929492299</v>
      </c>
      <c r="AF631" s="45">
        <v>0.64264961224872497</v>
      </c>
      <c r="AG631" s="45">
        <v>1.6206664911978499</v>
      </c>
      <c r="AH631" s="46">
        <v>0.28809946508800799</v>
      </c>
      <c r="AI631" s="47">
        <v>0.365727783954226</v>
      </c>
      <c r="AJ631" s="48">
        <v>2.22897715665707</v>
      </c>
      <c r="AK631" s="49">
        <v>3.6124285874395698</v>
      </c>
      <c r="AL631" s="31" t="s">
        <v>5874</v>
      </c>
      <c r="AM631" s="31" t="s">
        <v>5832</v>
      </c>
      <c r="AN631" s="31" t="s">
        <v>22641</v>
      </c>
      <c r="AO631" s="31" t="s">
        <v>22642</v>
      </c>
      <c r="AP631" s="31" t="s">
        <v>22643</v>
      </c>
      <c r="AQ631" s="31" t="s">
        <v>22644</v>
      </c>
      <c r="AR631" s="31" t="s">
        <v>22645</v>
      </c>
      <c r="AS631" s="31" t="str">
        <f>"PFN2"</f>
        <v>PFN2</v>
      </c>
      <c r="AT631" s="31" t="s">
        <v>13772</v>
      </c>
      <c r="AU631" s="31" t="s">
        <v>13777</v>
      </c>
      <c r="AV631" s="31">
        <v>9606</v>
      </c>
      <c r="AW631" s="50" t="str">
        <f>HYPERLINK("http://www.uniprot.org/uniprot/P35080", "P35080")</f>
        <v>P35080</v>
      </c>
      <c r="AX631" s="31" t="s">
        <v>22646</v>
      </c>
      <c r="AY631" s="31" t="s">
        <v>13772</v>
      </c>
      <c r="AZ631" s="31" t="s">
        <v>13988</v>
      </c>
      <c r="BA631" s="31" t="s">
        <v>13841</v>
      </c>
      <c r="BB631" s="31" t="s">
        <v>13772</v>
      </c>
      <c r="BC631" s="31" t="s">
        <v>13772</v>
      </c>
      <c r="BD631" s="31" t="s">
        <v>13772</v>
      </c>
      <c r="BE631" s="31" t="s">
        <v>13772</v>
      </c>
      <c r="BF631" s="31" t="s">
        <v>13990</v>
      </c>
      <c r="BG631" s="31" t="s">
        <v>14020</v>
      </c>
      <c r="BH631" s="31" t="s">
        <v>13812</v>
      </c>
      <c r="BI631" s="31" t="s">
        <v>22647</v>
      </c>
      <c r="BJ631" s="31" t="s">
        <v>22648</v>
      </c>
      <c r="BK631" s="31" t="s">
        <v>22649</v>
      </c>
      <c r="BL631" s="31" t="s">
        <v>13772</v>
      </c>
      <c r="BM631" s="31" t="s">
        <v>22650</v>
      </c>
    </row>
    <row r="632" spans="1:65">
      <c r="A632">
        <v>1375</v>
      </c>
      <c r="B632">
        <v>1</v>
      </c>
      <c r="C632">
        <v>627</v>
      </c>
      <c r="D632" t="s">
        <v>3288</v>
      </c>
      <c r="E632" t="s">
        <v>3289</v>
      </c>
      <c r="F632" t="s">
        <v>73</v>
      </c>
      <c r="G632">
        <v>13.6</v>
      </c>
      <c r="H632">
        <v>1102</v>
      </c>
      <c r="I632">
        <v>122855</v>
      </c>
      <c r="J632" t="s">
        <v>3290</v>
      </c>
      <c r="K632" s="3" t="s">
        <v>73</v>
      </c>
      <c r="L632">
        <v>52</v>
      </c>
      <c r="M632">
        <v>52</v>
      </c>
      <c r="N632">
        <v>1</v>
      </c>
      <c r="O632" s="11">
        <f t="shared" si="9"/>
        <v>3.1366071519025125</v>
      </c>
      <c r="P632" s="36">
        <v>0.30291084895868198</v>
      </c>
      <c r="Q632" s="36">
        <v>0.24076603016936199</v>
      </c>
      <c r="R632" s="36">
        <v>3.2015953236245198</v>
      </c>
      <c r="S632" s="36">
        <v>0.37798043978830698</v>
      </c>
      <c r="T632" s="36">
        <v>3.4407054397475698</v>
      </c>
      <c r="U632" s="36">
        <v>7.43781797311593</v>
      </c>
      <c r="V632" s="36">
        <v>3.1621868485939202</v>
      </c>
      <c r="W632" s="36">
        <v>7.78546878385845</v>
      </c>
      <c r="X632" s="37">
        <v>2.3842748797348698</v>
      </c>
      <c r="Y632" s="37">
        <v>3.1532482344414299</v>
      </c>
      <c r="Z632" s="37">
        <v>1.60010869653469</v>
      </c>
      <c r="AA632" s="37">
        <v>1.6930940931998799</v>
      </c>
      <c r="AB632" s="37">
        <v>4.5939628290755703</v>
      </c>
      <c r="AC632" s="37">
        <v>4.7351434223107498</v>
      </c>
      <c r="AD632" s="37">
        <v>1.50854004786242</v>
      </c>
      <c r="AE632" s="37">
        <v>4.5679105394238499</v>
      </c>
      <c r="AF632" s="45">
        <v>-0.15515962410963</v>
      </c>
      <c r="AG632" s="45">
        <v>-1.0706853011853701</v>
      </c>
      <c r="AH632" s="46">
        <v>0.91942064189904804</v>
      </c>
      <c r="AI632" s="47">
        <v>0.94924215725541905</v>
      </c>
      <c r="AJ632" s="48">
        <v>3.24367896098209</v>
      </c>
      <c r="AK632" s="49">
        <v>3.0295353428229301</v>
      </c>
      <c r="AL632" s="31" t="s">
        <v>5875</v>
      </c>
      <c r="AM632" s="31" t="s">
        <v>5832</v>
      </c>
      <c r="AN632" s="31" t="s">
        <v>27069</v>
      </c>
      <c r="AO632" s="31" t="s">
        <v>27070</v>
      </c>
      <c r="AP632" s="31" t="s">
        <v>27071</v>
      </c>
      <c r="AQ632" s="31" t="s">
        <v>27072</v>
      </c>
      <c r="AR632" s="31" t="s">
        <v>27073</v>
      </c>
      <c r="AS632" s="31" t="str">
        <f>"EPB41L2"</f>
        <v>EPB41L2</v>
      </c>
      <c r="AT632" s="31" t="s">
        <v>13772</v>
      </c>
      <c r="AU632" s="31" t="s">
        <v>13777</v>
      </c>
      <c r="AV632" s="31">
        <v>9606</v>
      </c>
      <c r="AW632" s="50" t="str">
        <f>HYPERLINK("http://www.uniprot.org/uniprot/O43491", "O43491")</f>
        <v>O43491</v>
      </c>
      <c r="AX632" s="31" t="s">
        <v>27074</v>
      </c>
      <c r="AY632" s="31" t="s">
        <v>14675</v>
      </c>
      <c r="AZ632" s="31" t="s">
        <v>17663</v>
      </c>
      <c r="BA632" s="31" t="s">
        <v>13780</v>
      </c>
      <c r="BB632" s="31" t="s">
        <v>13772</v>
      </c>
      <c r="BC632" s="31" t="s">
        <v>13772</v>
      </c>
      <c r="BD632" s="31" t="s">
        <v>13772</v>
      </c>
      <c r="BE632" s="31" t="s">
        <v>13772</v>
      </c>
      <c r="BF632" s="31" t="s">
        <v>13990</v>
      </c>
      <c r="BG632" s="31" t="s">
        <v>13991</v>
      </c>
      <c r="BH632" s="31" t="s">
        <v>13772</v>
      </c>
      <c r="BI632" s="31" t="s">
        <v>27075</v>
      </c>
      <c r="BJ632" s="31" t="s">
        <v>27076</v>
      </c>
      <c r="BK632" s="31" t="s">
        <v>27077</v>
      </c>
      <c r="BL632" s="31" t="s">
        <v>13772</v>
      </c>
      <c r="BM632" s="31" t="s">
        <v>15945</v>
      </c>
    </row>
    <row r="633" spans="1:65">
      <c r="A633">
        <v>1596</v>
      </c>
      <c r="B633">
        <v>1</v>
      </c>
      <c r="C633">
        <v>628</v>
      </c>
      <c r="D633" t="s">
        <v>3782</v>
      </c>
      <c r="E633" t="s">
        <v>3783</v>
      </c>
      <c r="F633" t="s">
        <v>73</v>
      </c>
      <c r="G633">
        <v>17.399999999999999</v>
      </c>
      <c r="H633">
        <v>213</v>
      </c>
      <c r="I633">
        <v>22529</v>
      </c>
      <c r="J633" t="s">
        <v>3784</v>
      </c>
      <c r="K633" s="3" t="s">
        <v>73</v>
      </c>
      <c r="L633">
        <v>52</v>
      </c>
      <c r="M633">
        <v>52</v>
      </c>
      <c r="N633">
        <v>1</v>
      </c>
      <c r="O633" s="11">
        <f t="shared" si="9"/>
        <v>3.8086570383314675</v>
      </c>
      <c r="P633" s="36">
        <v>2.4232867916694598</v>
      </c>
      <c r="Q633" s="36">
        <v>4.8153206033872298</v>
      </c>
      <c r="R633" s="36">
        <v>11.2055836326858</v>
      </c>
      <c r="S633" s="36">
        <v>16.631139350685501</v>
      </c>
      <c r="T633" s="36">
        <v>9.4619399593058091</v>
      </c>
      <c r="U633" s="36">
        <v>5.5783634798369501</v>
      </c>
      <c r="V633" s="36">
        <v>4.21624913145856</v>
      </c>
      <c r="W633" s="36">
        <v>2.9195507939469199</v>
      </c>
      <c r="X633" s="37">
        <v>0.19868957331123899</v>
      </c>
      <c r="Y633" s="37">
        <v>1.89194894066486</v>
      </c>
      <c r="Z633" s="37">
        <v>0.200013587066836</v>
      </c>
      <c r="AA633" s="37">
        <v>0.21163676164998499</v>
      </c>
      <c r="AB633" s="37">
        <v>0.22969814145377901</v>
      </c>
      <c r="AC633" s="37">
        <v>0.19729764259628099</v>
      </c>
      <c r="AD633" s="37">
        <v>0.377135011965606</v>
      </c>
      <c r="AE633" s="37">
        <v>0.38065921161865401</v>
      </c>
      <c r="AF633" s="45">
        <v>-3.4680649887477601</v>
      </c>
      <c r="AG633" s="45">
        <v>-15.527585863085999</v>
      </c>
      <c r="AH633" s="46">
        <v>6.6797547900655901E-8</v>
      </c>
      <c r="AI633" s="47">
        <v>4.7539956963339102E-7</v>
      </c>
      <c r="AJ633" s="48">
        <v>7.1564292178720299</v>
      </c>
      <c r="AK633" s="49">
        <v>0.46088485879090502</v>
      </c>
      <c r="AL633" s="31" t="s">
        <v>5875</v>
      </c>
      <c r="AM633" s="31" t="s">
        <v>5876</v>
      </c>
      <c r="AN633" s="31" t="s">
        <v>29104</v>
      </c>
      <c r="AO633" s="31" t="s">
        <v>29105</v>
      </c>
      <c r="AP633" s="31" t="s">
        <v>29106</v>
      </c>
      <c r="AQ633" s="31" t="s">
        <v>29107</v>
      </c>
      <c r="AR633" s="31" t="s">
        <v>29108</v>
      </c>
      <c r="AS633" s="31" t="str">
        <f>"FAM174A"</f>
        <v>FAM174A</v>
      </c>
      <c r="AT633" s="31" t="s">
        <v>29109</v>
      </c>
      <c r="AU633" s="31" t="s">
        <v>13777</v>
      </c>
      <c r="AV633" s="31">
        <v>9606</v>
      </c>
      <c r="AW633" s="50" t="str">
        <f>HYPERLINK("http://www.uniprot.org/uniprot/Q8TBP5", "Q8TBP5")</f>
        <v>Q8TBP5</v>
      </c>
      <c r="AX633" s="31" t="s">
        <v>25206</v>
      </c>
      <c r="AY633" s="31" t="s">
        <v>13772</v>
      </c>
      <c r="AZ633" s="31" t="s">
        <v>13825</v>
      </c>
      <c r="BA633" s="31" t="s">
        <v>13772</v>
      </c>
      <c r="BB633" s="31" t="s">
        <v>13772</v>
      </c>
      <c r="BC633" s="31" t="s">
        <v>13772</v>
      </c>
      <c r="BD633" s="31" t="s">
        <v>13855</v>
      </c>
      <c r="BE633" s="31" t="s">
        <v>13772</v>
      </c>
      <c r="BF633" s="31" t="s">
        <v>13772</v>
      </c>
      <c r="BG633" s="31" t="s">
        <v>13858</v>
      </c>
      <c r="BH633" s="31" t="s">
        <v>13772</v>
      </c>
      <c r="BI633" s="31" t="s">
        <v>13772</v>
      </c>
      <c r="BJ633" s="31" t="s">
        <v>15378</v>
      </c>
      <c r="BK633" s="31" t="s">
        <v>13772</v>
      </c>
      <c r="BL633" s="31" t="s">
        <v>13772</v>
      </c>
      <c r="BM633" s="31" t="s">
        <v>13772</v>
      </c>
    </row>
    <row r="634" spans="1:65">
      <c r="A634">
        <v>1605</v>
      </c>
      <c r="B634">
        <v>1</v>
      </c>
      <c r="C634">
        <v>629</v>
      </c>
      <c r="D634" t="s">
        <v>3804</v>
      </c>
      <c r="E634" t="s">
        <v>73</v>
      </c>
      <c r="F634" t="s">
        <v>73</v>
      </c>
      <c r="G634">
        <v>50.3</v>
      </c>
      <c r="H634">
        <v>183</v>
      </c>
      <c r="I634">
        <v>20232</v>
      </c>
      <c r="J634" t="s">
        <v>3805</v>
      </c>
      <c r="K634" s="3" t="s">
        <v>73</v>
      </c>
      <c r="L634">
        <v>52</v>
      </c>
      <c r="M634">
        <v>52</v>
      </c>
      <c r="N634">
        <v>1</v>
      </c>
      <c r="O634" s="11">
        <f t="shared" si="9"/>
        <v>3.3822235190265797</v>
      </c>
      <c r="P634" s="36">
        <v>7.2698603750083803</v>
      </c>
      <c r="Q634" s="36">
        <v>0.24076603016936199</v>
      </c>
      <c r="R634" s="36">
        <v>6.4031906472490299</v>
      </c>
      <c r="S634" s="36">
        <v>7.5596087957661497</v>
      </c>
      <c r="T634" s="36">
        <v>5.1610581596213496</v>
      </c>
      <c r="U634" s="36">
        <v>3.7189089865579601</v>
      </c>
      <c r="V634" s="36">
        <v>8.4324982629171306</v>
      </c>
      <c r="W634" s="36">
        <v>0.97318359798230603</v>
      </c>
      <c r="X634" s="37">
        <v>1.5895165864899099</v>
      </c>
      <c r="Y634" s="37">
        <v>1.2612992937765699</v>
      </c>
      <c r="Z634" s="37">
        <v>1.60010869653469</v>
      </c>
      <c r="AA634" s="37">
        <v>2.5396411397998202</v>
      </c>
      <c r="AB634" s="37">
        <v>2.7563776974453398</v>
      </c>
      <c r="AC634" s="37">
        <v>1.5783811407702499</v>
      </c>
      <c r="AD634" s="37">
        <v>1.50854004786242</v>
      </c>
      <c r="AE634" s="37">
        <v>1.5226368464746201</v>
      </c>
      <c r="AF634" s="45">
        <v>-1.35801729000421</v>
      </c>
      <c r="AG634" s="45">
        <v>-2.7694125199016102</v>
      </c>
      <c r="AH634" s="46">
        <v>1.13590419377574E-2</v>
      </c>
      <c r="AI634" s="47">
        <v>2.0649997435760101E-2</v>
      </c>
      <c r="AJ634" s="48">
        <v>4.9698843569089597</v>
      </c>
      <c r="AK634" s="49">
        <v>1.7945626811441999</v>
      </c>
      <c r="AL634" s="31" t="s">
        <v>5875</v>
      </c>
      <c r="AM634" s="31" t="s">
        <v>5878</v>
      </c>
      <c r="AN634" s="31" t="s">
        <v>29187</v>
      </c>
      <c r="AO634" s="31" t="s">
        <v>13772</v>
      </c>
      <c r="AP634" s="31" t="s">
        <v>29188</v>
      </c>
      <c r="AQ634" s="31" t="s">
        <v>29189</v>
      </c>
      <c r="AR634" s="31" t="s">
        <v>29190</v>
      </c>
      <c r="AS634" s="31" t="str">
        <f>"ESM1"</f>
        <v>ESM1</v>
      </c>
      <c r="AT634" s="31" t="s">
        <v>13772</v>
      </c>
      <c r="AU634" s="31" t="s">
        <v>13777</v>
      </c>
      <c r="AV634" s="31">
        <v>9606</v>
      </c>
      <c r="AW634" s="50" t="str">
        <f>HYPERLINK("http://www.uniprot.org/uniprot/Q9NQ30", "Q9NQ30")</f>
        <v>Q9NQ30</v>
      </c>
      <c r="AX634" s="31" t="s">
        <v>29191</v>
      </c>
      <c r="AY634" s="31" t="s">
        <v>22082</v>
      </c>
      <c r="AZ634" s="31" t="s">
        <v>14321</v>
      </c>
      <c r="BA634" s="31" t="s">
        <v>13841</v>
      </c>
      <c r="BB634" s="31" t="s">
        <v>13772</v>
      </c>
      <c r="BC634" s="31" t="s">
        <v>13772</v>
      </c>
      <c r="BD634" s="31" t="s">
        <v>13808</v>
      </c>
      <c r="BE634" s="31" t="s">
        <v>13772</v>
      </c>
      <c r="BF634" s="31" t="s">
        <v>13772</v>
      </c>
      <c r="BG634" s="31" t="s">
        <v>14520</v>
      </c>
      <c r="BH634" s="31" t="s">
        <v>13772</v>
      </c>
      <c r="BI634" s="31" t="s">
        <v>29192</v>
      </c>
      <c r="BJ634" s="31" t="s">
        <v>15346</v>
      </c>
      <c r="BK634" s="31" t="s">
        <v>29193</v>
      </c>
      <c r="BL634" s="31" t="s">
        <v>13772</v>
      </c>
      <c r="BM634" s="31" t="s">
        <v>13772</v>
      </c>
    </row>
    <row r="635" spans="1:65">
      <c r="A635">
        <v>2457</v>
      </c>
      <c r="B635">
        <v>1</v>
      </c>
      <c r="C635">
        <v>630</v>
      </c>
      <c r="D635" t="s">
        <v>5779</v>
      </c>
      <c r="E635" t="s">
        <v>73</v>
      </c>
      <c r="F635" t="s">
        <v>5780</v>
      </c>
      <c r="G635">
        <v>11.8</v>
      </c>
      <c r="H635">
        <v>1502</v>
      </c>
      <c r="I635">
        <v>162453</v>
      </c>
      <c r="J635" t="s">
        <v>5781</v>
      </c>
      <c r="K635" s="3" t="s">
        <v>73</v>
      </c>
      <c r="L635">
        <v>52</v>
      </c>
      <c r="M635">
        <v>52</v>
      </c>
      <c r="N635">
        <v>1</v>
      </c>
      <c r="O635" s="11">
        <f t="shared" si="9"/>
        <v>2.7097171336377204</v>
      </c>
      <c r="P635" s="36">
        <v>0.30291084895868198</v>
      </c>
      <c r="Q635" s="36">
        <v>0.24076603016936199</v>
      </c>
      <c r="R635" s="36">
        <v>0.40019941545306398</v>
      </c>
      <c r="S635" s="36">
        <v>0.37798043978830698</v>
      </c>
      <c r="T635" s="36">
        <v>0.215044089984223</v>
      </c>
      <c r="U635" s="36">
        <v>0.23243181165987301</v>
      </c>
      <c r="V635" s="36">
        <v>0.26351557071616</v>
      </c>
      <c r="W635" s="36">
        <v>0.24329589949557701</v>
      </c>
      <c r="X635" s="37">
        <v>6.35806634595966</v>
      </c>
      <c r="Y635" s="37">
        <v>6.3064964688828598</v>
      </c>
      <c r="Z635" s="37">
        <v>4.0002717413367099</v>
      </c>
      <c r="AA635" s="37">
        <v>12.6982056989991</v>
      </c>
      <c r="AB635" s="37">
        <v>0.91879256581511404</v>
      </c>
      <c r="AC635" s="37">
        <v>4.7351434223107498</v>
      </c>
      <c r="AD635" s="37">
        <v>3.0170800957248498</v>
      </c>
      <c r="AE635" s="37">
        <v>3.0452736929492299</v>
      </c>
      <c r="AF635" s="45">
        <v>3.77642266732822</v>
      </c>
      <c r="AG635" s="45">
        <v>18.047772071911599</v>
      </c>
      <c r="AH635" s="46">
        <v>1.1879373819530199E-6</v>
      </c>
      <c r="AI635" s="47">
        <v>5.8009496972742396E-6</v>
      </c>
      <c r="AJ635" s="48">
        <v>0.28451801327815601</v>
      </c>
      <c r="AK635" s="49">
        <v>5.1349162539972903</v>
      </c>
      <c r="AL635" s="31" t="s">
        <v>5874</v>
      </c>
      <c r="AM635" s="31" t="s">
        <v>5876</v>
      </c>
      <c r="AN635" s="31" t="s">
        <v>32042</v>
      </c>
      <c r="AO635" s="31" t="s">
        <v>32043</v>
      </c>
      <c r="AP635" s="31" t="s">
        <v>32044</v>
      </c>
      <c r="AQ635" s="31" t="s">
        <v>32045</v>
      </c>
      <c r="AR635" s="31" t="s">
        <v>32046</v>
      </c>
      <c r="AS635" s="31" t="str">
        <f>"ADAMTS13"</f>
        <v>ADAMTS13</v>
      </c>
      <c r="AT635" s="31" t="s">
        <v>32047</v>
      </c>
      <c r="AU635" s="31" t="s">
        <v>13777</v>
      </c>
      <c r="AV635" s="31">
        <v>9606</v>
      </c>
      <c r="AW635" s="50" t="str">
        <f>HYPERLINK("http://www.uniprot.org/uniprot/Q76LX8", "Q76LX8")</f>
        <v>Q76LX8</v>
      </c>
      <c r="AX635" s="31" t="s">
        <v>32048</v>
      </c>
      <c r="AY635" s="31" t="s">
        <v>16755</v>
      </c>
      <c r="AZ635" s="31" t="s">
        <v>14321</v>
      </c>
      <c r="BA635" s="31" t="s">
        <v>13780</v>
      </c>
      <c r="BB635" s="31" t="s">
        <v>13772</v>
      </c>
      <c r="BC635" s="31" t="s">
        <v>13807</v>
      </c>
      <c r="BD635" s="31" t="s">
        <v>14404</v>
      </c>
      <c r="BE635" s="31" t="s">
        <v>14628</v>
      </c>
      <c r="BF635" s="31" t="s">
        <v>15139</v>
      </c>
      <c r="BG635" s="31" t="s">
        <v>18956</v>
      </c>
      <c r="BH635" s="31" t="s">
        <v>13812</v>
      </c>
      <c r="BI635" s="31" t="s">
        <v>32049</v>
      </c>
      <c r="BJ635" s="31" t="s">
        <v>32050</v>
      </c>
      <c r="BK635" s="31" t="s">
        <v>32051</v>
      </c>
      <c r="BL635" s="31" t="s">
        <v>13772</v>
      </c>
      <c r="BM635" s="31" t="s">
        <v>18394</v>
      </c>
    </row>
    <row r="636" spans="1:65">
      <c r="A636">
        <v>1982</v>
      </c>
      <c r="B636">
        <v>1</v>
      </c>
      <c r="C636">
        <v>631</v>
      </c>
      <c r="D636" t="s">
        <v>4667</v>
      </c>
      <c r="E636" t="s">
        <v>73</v>
      </c>
      <c r="F636" t="s">
        <v>73</v>
      </c>
      <c r="G636">
        <v>61.7</v>
      </c>
      <c r="H636">
        <v>214</v>
      </c>
      <c r="I636">
        <v>23826</v>
      </c>
      <c r="J636" t="s">
        <v>4668</v>
      </c>
      <c r="K636" s="3" t="s">
        <v>73</v>
      </c>
      <c r="L636">
        <v>52</v>
      </c>
      <c r="M636">
        <v>52</v>
      </c>
      <c r="N636">
        <v>1</v>
      </c>
      <c r="O636" s="11">
        <f t="shared" si="9"/>
        <v>2.6322849425589356</v>
      </c>
      <c r="P636" s="36">
        <v>0.30291084895868198</v>
      </c>
      <c r="Q636" s="36">
        <v>0.24076603016936199</v>
      </c>
      <c r="R636" s="36">
        <v>0.40019941545306398</v>
      </c>
      <c r="S636" s="36">
        <v>0.37798043978830698</v>
      </c>
      <c r="T636" s="36">
        <v>0.215044089984223</v>
      </c>
      <c r="U636" s="36">
        <v>0.23243181165987301</v>
      </c>
      <c r="V636" s="36">
        <v>0.26351557071616</v>
      </c>
      <c r="W636" s="36">
        <v>0.24329589949557701</v>
      </c>
      <c r="X636" s="37">
        <v>12.716132691919301</v>
      </c>
      <c r="Y636" s="37">
        <v>10.7210439971009</v>
      </c>
      <c r="Z636" s="37">
        <v>2.4001630448020301</v>
      </c>
      <c r="AA636" s="37">
        <v>3.3861881863997598</v>
      </c>
      <c r="AB636" s="37">
        <v>2.7563776974453398</v>
      </c>
      <c r="AC636" s="37">
        <v>7.1027151334661296</v>
      </c>
      <c r="AD636" s="37">
        <v>0.377135011965606</v>
      </c>
      <c r="AE636" s="37">
        <v>0.38065921161865401</v>
      </c>
      <c r="AF636" s="45">
        <v>3.7591411598612101</v>
      </c>
      <c r="AG636" s="45">
        <v>17.5034677574914</v>
      </c>
      <c r="AH636" s="46">
        <v>2.9526940735339601E-5</v>
      </c>
      <c r="AI636" s="47">
        <v>9.4064396914010298E-5</v>
      </c>
      <c r="AJ636" s="48">
        <v>0.28451801327815601</v>
      </c>
      <c r="AK636" s="49">
        <v>4.9800518718397102</v>
      </c>
      <c r="AL636" s="31" t="s">
        <v>5874</v>
      </c>
      <c r="AM636" s="31" t="s">
        <v>5876</v>
      </c>
      <c r="AN636" s="31" t="s">
        <v>32794</v>
      </c>
      <c r="AO636" s="31" t="s">
        <v>13772</v>
      </c>
      <c r="AP636" s="31" t="s">
        <v>32795</v>
      </c>
      <c r="AQ636" s="31" t="s">
        <v>32796</v>
      </c>
      <c r="AR636" s="31" t="s">
        <v>32797</v>
      </c>
      <c r="AS636" s="31" t="str">
        <f>"OSTF1"</f>
        <v>OSTF1</v>
      </c>
      <c r="AT636" s="31" t="s">
        <v>13772</v>
      </c>
      <c r="AU636" s="31" t="s">
        <v>13777</v>
      </c>
      <c r="AV636" s="31">
        <v>9606</v>
      </c>
      <c r="AW636" s="50" t="str">
        <f>HYPERLINK("http://www.uniprot.org/uniprot/Q92882", "Q92882")</f>
        <v>Q92882</v>
      </c>
      <c r="AX636" s="31" t="s">
        <v>32798</v>
      </c>
      <c r="AY636" s="31" t="s">
        <v>13772</v>
      </c>
      <c r="AZ636" s="31" t="s">
        <v>13899</v>
      </c>
      <c r="BA636" s="31" t="s">
        <v>13793</v>
      </c>
      <c r="BB636" s="31" t="s">
        <v>13772</v>
      </c>
      <c r="BC636" s="31" t="s">
        <v>13772</v>
      </c>
      <c r="BD636" s="31" t="s">
        <v>32799</v>
      </c>
      <c r="BE636" s="31" t="s">
        <v>13772</v>
      </c>
      <c r="BF636" s="31" t="s">
        <v>13772</v>
      </c>
      <c r="BG636" s="31" t="s">
        <v>13886</v>
      </c>
      <c r="BH636" s="31" t="s">
        <v>13812</v>
      </c>
      <c r="BI636" s="31" t="s">
        <v>32800</v>
      </c>
      <c r="BJ636" s="31" t="s">
        <v>32801</v>
      </c>
      <c r="BK636" s="31" t="s">
        <v>28155</v>
      </c>
      <c r="BL636" s="31" t="s">
        <v>13772</v>
      </c>
      <c r="BM636" s="31" t="s">
        <v>13890</v>
      </c>
    </row>
    <row r="637" spans="1:65">
      <c r="A637">
        <v>269</v>
      </c>
      <c r="B637">
        <v>1</v>
      </c>
      <c r="C637">
        <v>632</v>
      </c>
      <c r="D637" t="s">
        <v>680</v>
      </c>
      <c r="E637" t="s">
        <v>73</v>
      </c>
      <c r="F637" t="s">
        <v>73</v>
      </c>
      <c r="G637">
        <v>38.6</v>
      </c>
      <c r="H637">
        <v>381</v>
      </c>
      <c r="I637">
        <v>42687</v>
      </c>
      <c r="J637" t="s">
        <v>681</v>
      </c>
      <c r="K637" s="3" t="s">
        <v>73</v>
      </c>
      <c r="L637">
        <v>53</v>
      </c>
      <c r="M637">
        <v>51</v>
      </c>
      <c r="N637">
        <v>0.96199999999999997</v>
      </c>
      <c r="O637" s="11">
        <f t="shared" si="9"/>
        <v>2.9525415100019559</v>
      </c>
      <c r="P637" s="36">
        <v>1.2116433958347299</v>
      </c>
      <c r="Q637" s="36">
        <v>0.96306412067744696</v>
      </c>
      <c r="R637" s="36">
        <v>1.6007976618122599</v>
      </c>
      <c r="S637" s="36">
        <v>0.37798043978830698</v>
      </c>
      <c r="T637" s="36">
        <v>1.72035271987378</v>
      </c>
      <c r="U637" s="36">
        <v>7.43781797311593</v>
      </c>
      <c r="V637" s="36">
        <v>1.05406228286464</v>
      </c>
      <c r="W637" s="36">
        <v>11.678203175787701</v>
      </c>
      <c r="X637" s="37">
        <v>3.17903317297983</v>
      </c>
      <c r="Y637" s="37">
        <v>3.1532482344414299</v>
      </c>
      <c r="Z637" s="37">
        <v>3.6802500020297799</v>
      </c>
      <c r="AA637" s="37">
        <v>5.0792822795996404</v>
      </c>
      <c r="AB637" s="37">
        <v>1.8375851316302301</v>
      </c>
      <c r="AC637" s="37">
        <v>2.36757171115537</v>
      </c>
      <c r="AD637" s="37">
        <v>0.377135011965606</v>
      </c>
      <c r="AE637" s="37">
        <v>1.5226368464746201</v>
      </c>
      <c r="AF637" s="45">
        <v>-0.28305970246669299</v>
      </c>
      <c r="AG637" s="45">
        <v>-1.2286756752632799</v>
      </c>
      <c r="AH637" s="46">
        <v>0.69948841154831098</v>
      </c>
      <c r="AI637" s="47">
        <v>0.76714384807511504</v>
      </c>
      <c r="AJ637" s="48">
        <v>3.2554902212193499</v>
      </c>
      <c r="AK637" s="49">
        <v>2.64959279878456</v>
      </c>
      <c r="AL637" s="31" t="s">
        <v>5875</v>
      </c>
      <c r="AM637" s="31" t="s">
        <v>5832</v>
      </c>
      <c r="AN637" s="31" t="s">
        <v>16213</v>
      </c>
      <c r="AO637" s="31" t="s">
        <v>16214</v>
      </c>
      <c r="AP637" s="31" t="s">
        <v>16215</v>
      </c>
      <c r="AQ637" s="31" t="s">
        <v>16216</v>
      </c>
      <c r="AR637" s="31" t="s">
        <v>16217</v>
      </c>
      <c r="AS637" s="31" t="str">
        <f>"CKB"</f>
        <v>CKB</v>
      </c>
      <c r="AT637" s="31" t="s">
        <v>16218</v>
      </c>
      <c r="AU637" s="31" t="s">
        <v>13777</v>
      </c>
      <c r="AV637" s="31">
        <v>9606</v>
      </c>
      <c r="AW637" s="50" t="str">
        <f>HYPERLINK("http://www.uniprot.org/uniprot/P12277", "P12277")</f>
        <v>P12277</v>
      </c>
      <c r="AX637" s="31" t="s">
        <v>16219</v>
      </c>
      <c r="AY637" s="31" t="s">
        <v>13772</v>
      </c>
      <c r="AZ637" s="31" t="s">
        <v>13899</v>
      </c>
      <c r="BA637" s="31" t="s">
        <v>13793</v>
      </c>
      <c r="BB637" s="31" t="s">
        <v>13772</v>
      </c>
      <c r="BC637" s="31" t="s">
        <v>13772</v>
      </c>
      <c r="BD637" s="31" t="s">
        <v>13772</v>
      </c>
      <c r="BE637" s="31" t="s">
        <v>14005</v>
      </c>
      <c r="BF637" s="31" t="s">
        <v>14006</v>
      </c>
      <c r="BG637" s="31" t="s">
        <v>16220</v>
      </c>
      <c r="BH637" s="31" t="s">
        <v>13812</v>
      </c>
      <c r="BI637" s="31" t="s">
        <v>16221</v>
      </c>
      <c r="BJ637" s="31" t="s">
        <v>16222</v>
      </c>
      <c r="BK637" s="31" t="s">
        <v>16223</v>
      </c>
      <c r="BL637" s="31" t="s">
        <v>13772</v>
      </c>
      <c r="BM637" s="31" t="s">
        <v>15511</v>
      </c>
    </row>
    <row r="638" spans="1:65">
      <c r="A638">
        <v>485</v>
      </c>
      <c r="B638">
        <v>1</v>
      </c>
      <c r="C638">
        <v>633</v>
      </c>
      <c r="D638" t="s">
        <v>1218</v>
      </c>
      <c r="E638" t="s">
        <v>73</v>
      </c>
      <c r="F638" t="s">
        <v>73</v>
      </c>
      <c r="G638">
        <v>38</v>
      </c>
      <c r="H638">
        <v>602</v>
      </c>
      <c r="I638">
        <v>70728</v>
      </c>
      <c r="J638" t="s">
        <v>1220</v>
      </c>
      <c r="K638" s="3" t="s">
        <v>73</v>
      </c>
      <c r="L638">
        <v>263</v>
      </c>
      <c r="M638">
        <v>37</v>
      </c>
      <c r="N638">
        <v>0.14099999999999999</v>
      </c>
      <c r="O638" s="11">
        <f t="shared" si="9"/>
        <v>3.210131473977758</v>
      </c>
      <c r="P638" s="36">
        <v>0.30291084895868198</v>
      </c>
      <c r="Q638" s="36">
        <v>6.9340616688776198</v>
      </c>
      <c r="R638" s="36">
        <v>0.40019941545306398</v>
      </c>
      <c r="S638" s="36">
        <v>4.2333809256290396</v>
      </c>
      <c r="T638" s="36">
        <v>14.536980482933499</v>
      </c>
      <c r="U638" s="36">
        <v>14.59671777224</v>
      </c>
      <c r="V638" s="36">
        <v>3.1621868485939202</v>
      </c>
      <c r="W638" s="36">
        <v>4.18468947132392</v>
      </c>
      <c r="X638" s="37">
        <v>0.19868957331123899</v>
      </c>
      <c r="Y638" s="37">
        <v>0.15766241172207099</v>
      </c>
      <c r="Z638" s="37">
        <v>0.200013587066836</v>
      </c>
      <c r="AA638" s="37">
        <v>1.2698205698999101</v>
      </c>
      <c r="AB638" s="37">
        <v>0.22969814145377901</v>
      </c>
      <c r="AC638" s="37">
        <v>0.19729764259628099</v>
      </c>
      <c r="AD638" s="37">
        <v>0.377135011965606</v>
      </c>
      <c r="AE638" s="37">
        <v>0.38065921161865401</v>
      </c>
      <c r="AF638" s="45">
        <v>-3.7007877298574199</v>
      </c>
      <c r="AG638" s="45">
        <v>-16.058289747622499</v>
      </c>
      <c r="AH638" s="46">
        <v>1.1247720969700999E-5</v>
      </c>
      <c r="AI638" s="47">
        <v>4.0674190966108002E-5</v>
      </c>
      <c r="AJ638" s="48">
        <v>6.0438909292512202</v>
      </c>
      <c r="AK638" s="49">
        <v>0.37637201870429698</v>
      </c>
      <c r="AL638" s="31" t="s">
        <v>5875</v>
      </c>
      <c r="AM638" s="31" t="s">
        <v>5876</v>
      </c>
      <c r="AN638" s="31" t="s">
        <v>18538</v>
      </c>
      <c r="AO638" s="31" t="s">
        <v>13772</v>
      </c>
      <c r="AP638" s="31" t="s">
        <v>18539</v>
      </c>
      <c r="AQ638" s="31" t="s">
        <v>18540</v>
      </c>
      <c r="AR638" s="31" t="s">
        <v>18541</v>
      </c>
      <c r="AS638" s="31" t="str">
        <f>"RDX"</f>
        <v>RDX</v>
      </c>
      <c r="AT638" s="31" t="s">
        <v>13772</v>
      </c>
      <c r="AU638" s="31" t="s">
        <v>13777</v>
      </c>
      <c r="AV638" s="31">
        <v>9606</v>
      </c>
      <c r="AW638" s="50" t="str">
        <f>HYPERLINK("http://www.uniprot.org/uniprot/P35241", "P35241")</f>
        <v>P35241</v>
      </c>
      <c r="AX638" s="31" t="s">
        <v>18542</v>
      </c>
      <c r="AY638" s="31" t="s">
        <v>13772</v>
      </c>
      <c r="AZ638" s="31" t="s">
        <v>14215</v>
      </c>
      <c r="BA638" s="31" t="s">
        <v>13780</v>
      </c>
      <c r="BB638" s="31" t="s">
        <v>13772</v>
      </c>
      <c r="BC638" s="31" t="s">
        <v>14255</v>
      </c>
      <c r="BD638" s="31" t="s">
        <v>13772</v>
      </c>
      <c r="BE638" s="31" t="s">
        <v>13772</v>
      </c>
      <c r="BF638" s="31" t="s">
        <v>14589</v>
      </c>
      <c r="BG638" s="31" t="s">
        <v>13782</v>
      </c>
      <c r="BH638" s="31" t="s">
        <v>13772</v>
      </c>
      <c r="BI638" s="31" t="s">
        <v>18543</v>
      </c>
      <c r="BJ638" s="31" t="s">
        <v>18544</v>
      </c>
      <c r="BK638" s="31" t="s">
        <v>18545</v>
      </c>
      <c r="BL638" s="31" t="s">
        <v>13772</v>
      </c>
      <c r="BM638" s="31" t="s">
        <v>18546</v>
      </c>
    </row>
    <row r="639" spans="1:65">
      <c r="A639">
        <v>714</v>
      </c>
      <c r="B639">
        <v>1</v>
      </c>
      <c r="C639">
        <v>634</v>
      </c>
      <c r="D639" t="s">
        <v>1754</v>
      </c>
      <c r="E639" t="s">
        <v>73</v>
      </c>
      <c r="F639" t="s">
        <v>73</v>
      </c>
      <c r="G639">
        <v>60.1</v>
      </c>
      <c r="H639">
        <v>248</v>
      </c>
      <c r="I639">
        <v>28521</v>
      </c>
      <c r="J639" t="s">
        <v>1756</v>
      </c>
      <c r="K639" s="3" t="s">
        <v>73</v>
      </c>
      <c r="L639">
        <v>101</v>
      </c>
      <c r="M639">
        <v>34</v>
      </c>
      <c r="N639">
        <v>0.33700000000000002</v>
      </c>
      <c r="O639" s="11">
        <f t="shared" si="9"/>
        <v>2.6828859763001978</v>
      </c>
      <c r="P639" s="36">
        <v>1.45397207500168</v>
      </c>
      <c r="Q639" s="36">
        <v>0.192612824135489</v>
      </c>
      <c r="R639" s="36">
        <v>0.40019941545306398</v>
      </c>
      <c r="S639" s="36">
        <v>0.60476870366129198</v>
      </c>
      <c r="T639" s="36">
        <v>0.172035271987378</v>
      </c>
      <c r="U639" s="36">
        <v>0.185945449327898</v>
      </c>
      <c r="V639" s="36">
        <v>0.73784359800524801</v>
      </c>
      <c r="W639" s="36">
        <v>0.58391015878938402</v>
      </c>
      <c r="X639" s="37">
        <v>6.7554454925821403</v>
      </c>
      <c r="Y639" s="37">
        <v>4.6037424222844896</v>
      </c>
      <c r="Z639" s="37">
        <v>4.1602826109901798</v>
      </c>
      <c r="AA639" s="37">
        <v>5.50255580289961</v>
      </c>
      <c r="AB639" s="37">
        <v>8.4528916054990493</v>
      </c>
      <c r="AC639" s="37">
        <v>4.2616290800796799</v>
      </c>
      <c r="AD639" s="37">
        <v>1.50854004786242</v>
      </c>
      <c r="AE639" s="37">
        <v>3.3498010622441599</v>
      </c>
      <c r="AF639" s="45">
        <v>3.01407961144848</v>
      </c>
      <c r="AG639" s="45">
        <v>8.9107195393665304</v>
      </c>
      <c r="AH639" s="46">
        <v>3.1678634967029102E-6</v>
      </c>
      <c r="AI639" s="47">
        <v>1.3413295438571201E-5</v>
      </c>
      <c r="AJ639" s="48">
        <v>0.54141093704517895</v>
      </c>
      <c r="AK639" s="49">
        <v>4.8243610155552199</v>
      </c>
      <c r="AL639" s="31" t="s">
        <v>5874</v>
      </c>
      <c r="AM639" s="31" t="s">
        <v>5876</v>
      </c>
      <c r="AN639" s="31" t="s">
        <v>14854</v>
      </c>
      <c r="AO639" s="31" t="s">
        <v>14855</v>
      </c>
      <c r="AP639" s="31" t="s">
        <v>14856</v>
      </c>
      <c r="AQ639" s="31" t="s">
        <v>14857</v>
      </c>
      <c r="AR639" s="31" t="s">
        <v>14858</v>
      </c>
      <c r="AS639" s="31" t="str">
        <f>"TPM4"</f>
        <v>TPM4</v>
      </c>
      <c r="AT639" s="31" t="s">
        <v>13772</v>
      </c>
      <c r="AU639" s="31" t="s">
        <v>13777</v>
      </c>
      <c r="AV639" s="31">
        <v>9606</v>
      </c>
      <c r="AW639" s="50" t="str">
        <f>HYPERLINK("http://www.uniprot.org/uniprot/P67936", "P67936")</f>
        <v>P67936</v>
      </c>
      <c r="AX639" s="31" t="s">
        <v>14859</v>
      </c>
      <c r="AY639" s="31" t="s">
        <v>13772</v>
      </c>
      <c r="AZ639" s="31" t="s">
        <v>13988</v>
      </c>
      <c r="BA639" s="31" t="s">
        <v>13780</v>
      </c>
      <c r="BB639" s="31" t="s">
        <v>13772</v>
      </c>
      <c r="BC639" s="31" t="s">
        <v>13772</v>
      </c>
      <c r="BD639" s="31" t="s">
        <v>14245</v>
      </c>
      <c r="BE639" s="31" t="s">
        <v>13873</v>
      </c>
      <c r="BF639" s="31" t="s">
        <v>14849</v>
      </c>
      <c r="BG639" s="31" t="s">
        <v>13886</v>
      </c>
      <c r="BH639" s="31" t="s">
        <v>13772</v>
      </c>
      <c r="BI639" s="31" t="s">
        <v>14860</v>
      </c>
      <c r="BJ639" s="31" t="s">
        <v>14861</v>
      </c>
      <c r="BK639" s="31" t="s">
        <v>14862</v>
      </c>
      <c r="BL639" s="31" t="s">
        <v>13772</v>
      </c>
      <c r="BM639" s="31" t="s">
        <v>14853</v>
      </c>
    </row>
    <row r="640" spans="1:65">
      <c r="A640">
        <v>129</v>
      </c>
      <c r="B640">
        <v>1</v>
      </c>
      <c r="C640">
        <v>635</v>
      </c>
      <c r="D640" t="s">
        <v>336</v>
      </c>
      <c r="E640" t="s">
        <v>337</v>
      </c>
      <c r="F640" t="s">
        <v>73</v>
      </c>
      <c r="G640">
        <v>6.7</v>
      </c>
      <c r="H640">
        <v>712</v>
      </c>
      <c r="I640">
        <v>79899</v>
      </c>
      <c r="J640" t="s">
        <v>338</v>
      </c>
      <c r="K640" s="3" t="s">
        <v>73</v>
      </c>
      <c r="L640">
        <v>51</v>
      </c>
      <c r="M640">
        <v>51</v>
      </c>
      <c r="N640">
        <v>1</v>
      </c>
      <c r="O640" s="11">
        <f t="shared" si="9"/>
        <v>3.4024175284678617</v>
      </c>
      <c r="P640" s="36">
        <v>4.8465735833389196</v>
      </c>
      <c r="Q640" s="36">
        <v>5.7783847240646802</v>
      </c>
      <c r="R640" s="36">
        <v>6.4031906472490299</v>
      </c>
      <c r="S640" s="36">
        <v>7.5596087957661497</v>
      </c>
      <c r="T640" s="36">
        <v>4.3008817996844604</v>
      </c>
      <c r="U640" s="36">
        <v>5.5783634798369501</v>
      </c>
      <c r="V640" s="36">
        <v>5.2703114143232002</v>
      </c>
      <c r="W640" s="36">
        <v>1.9463671959646101</v>
      </c>
      <c r="X640" s="37">
        <v>0.79475829324495695</v>
      </c>
      <c r="Y640" s="37">
        <v>0.63064964688828595</v>
      </c>
      <c r="Z640" s="37">
        <v>2.4001630448020301</v>
      </c>
      <c r="AA640" s="37">
        <v>1.6930940931998799</v>
      </c>
      <c r="AB640" s="37">
        <v>1.8375851316302301</v>
      </c>
      <c r="AC640" s="37">
        <v>2.36757171115537</v>
      </c>
      <c r="AD640" s="37">
        <v>1.50854004786242</v>
      </c>
      <c r="AE640" s="37">
        <v>1.5226368464746201</v>
      </c>
      <c r="AF640" s="45">
        <v>-1.6149596150777701</v>
      </c>
      <c r="AG640" s="45">
        <v>-3.2680270883573201</v>
      </c>
      <c r="AH640" s="46">
        <v>4.2904154931174899E-4</v>
      </c>
      <c r="AI640" s="47">
        <v>1.0513875329287901E-3</v>
      </c>
      <c r="AJ640" s="48">
        <v>5.2104602050285003</v>
      </c>
      <c r="AK640" s="49">
        <v>1.5943748519072201</v>
      </c>
      <c r="AL640" s="31" t="s">
        <v>5875</v>
      </c>
      <c r="AM640" s="31" t="s">
        <v>5876</v>
      </c>
      <c r="AN640" s="31" t="s">
        <v>14634</v>
      </c>
      <c r="AO640" s="31" t="s">
        <v>13772</v>
      </c>
      <c r="AP640" s="31" t="s">
        <v>14635</v>
      </c>
      <c r="AQ640" s="31" t="s">
        <v>14636</v>
      </c>
      <c r="AR640" s="31" t="s">
        <v>14637</v>
      </c>
      <c r="AS640" s="31" t="str">
        <f>"FZD6"</f>
        <v>FZD6</v>
      </c>
      <c r="AT640" s="31" t="s">
        <v>13772</v>
      </c>
      <c r="AU640" s="31" t="s">
        <v>13777</v>
      </c>
      <c r="AV640" s="31">
        <v>9606</v>
      </c>
      <c r="AW640" s="50" t="str">
        <f>HYPERLINK("http://www.uniprot.org/uniprot/O60353", "O60353")</f>
        <v>O60353</v>
      </c>
      <c r="AX640" s="31" t="s">
        <v>14638</v>
      </c>
      <c r="AY640" s="31" t="s">
        <v>14072</v>
      </c>
      <c r="AZ640" s="31" t="s">
        <v>13976</v>
      </c>
      <c r="BA640" s="31" t="s">
        <v>13780</v>
      </c>
      <c r="BB640" s="31" t="s">
        <v>13772</v>
      </c>
      <c r="BC640" s="31" t="s">
        <v>13807</v>
      </c>
      <c r="BD640" s="31" t="s">
        <v>13855</v>
      </c>
      <c r="BE640" s="31" t="s">
        <v>13772</v>
      </c>
      <c r="BF640" s="31" t="s">
        <v>14639</v>
      </c>
      <c r="BG640" s="31" t="s">
        <v>14640</v>
      </c>
      <c r="BH640" s="31" t="s">
        <v>13772</v>
      </c>
      <c r="BI640" s="31" t="s">
        <v>14641</v>
      </c>
      <c r="BJ640" s="31" t="s">
        <v>14642</v>
      </c>
      <c r="BK640" s="31" t="s">
        <v>14643</v>
      </c>
      <c r="BL640" s="31" t="s">
        <v>13772</v>
      </c>
      <c r="BM640" s="31" t="s">
        <v>14644</v>
      </c>
    </row>
    <row r="641" spans="1:65">
      <c r="A641">
        <v>342</v>
      </c>
      <c r="B641">
        <v>1</v>
      </c>
      <c r="C641">
        <v>636</v>
      </c>
      <c r="D641" t="s">
        <v>859</v>
      </c>
      <c r="E641" t="s">
        <v>73</v>
      </c>
      <c r="F641" t="s">
        <v>73</v>
      </c>
      <c r="G641">
        <v>12.9</v>
      </c>
      <c r="H641">
        <v>271</v>
      </c>
      <c r="I641">
        <v>28794</v>
      </c>
      <c r="J641" t="s">
        <v>860</v>
      </c>
      <c r="K641" s="3" t="s">
        <v>73</v>
      </c>
      <c r="L641">
        <v>51</v>
      </c>
      <c r="M641">
        <v>51</v>
      </c>
      <c r="N641">
        <v>1</v>
      </c>
      <c r="O641" s="11">
        <f t="shared" si="9"/>
        <v>3.4982598012456179</v>
      </c>
      <c r="P641" s="36">
        <v>4.8465735833389196</v>
      </c>
      <c r="Q641" s="36">
        <v>4.8153206033872298</v>
      </c>
      <c r="R641" s="36">
        <v>8.00398830906129</v>
      </c>
      <c r="S641" s="36">
        <v>10.5834523140726</v>
      </c>
      <c r="T641" s="36">
        <v>8.6017635993689208</v>
      </c>
      <c r="U641" s="36">
        <v>8.3675452197554208</v>
      </c>
      <c r="V641" s="36">
        <v>4.21624913145856</v>
      </c>
      <c r="W641" s="36">
        <v>2.9195507939469199</v>
      </c>
      <c r="X641" s="37">
        <v>0.19868957331123899</v>
      </c>
      <c r="Y641" s="37">
        <v>0.63064964688828595</v>
      </c>
      <c r="Z641" s="37">
        <v>0.80005434826734301</v>
      </c>
      <c r="AA641" s="37">
        <v>0.21163676164998499</v>
      </c>
      <c r="AB641" s="37">
        <v>0.22969814145377901</v>
      </c>
      <c r="AC641" s="37">
        <v>0.78919057038512497</v>
      </c>
      <c r="AD641" s="37">
        <v>0.377135011965606</v>
      </c>
      <c r="AE641" s="37">
        <v>0.38065921161865401</v>
      </c>
      <c r="AF641" s="45">
        <v>-3.45881725418359</v>
      </c>
      <c r="AG641" s="45">
        <v>-14.471695159780699</v>
      </c>
      <c r="AH641" s="46">
        <v>1.6864067149765299E-9</v>
      </c>
      <c r="AI641" s="47">
        <v>2.01395956446705E-8</v>
      </c>
      <c r="AJ641" s="48">
        <v>6.5443054442987298</v>
      </c>
      <c r="AK641" s="49">
        <v>0.45221415819250199</v>
      </c>
      <c r="AL641" s="31" t="s">
        <v>5875</v>
      </c>
      <c r="AM641" s="31" t="s">
        <v>5876</v>
      </c>
      <c r="AN641" s="31" t="s">
        <v>16986</v>
      </c>
      <c r="AO641" s="31" t="s">
        <v>16987</v>
      </c>
      <c r="AP641" s="31" t="s">
        <v>16988</v>
      </c>
      <c r="AQ641" s="31" t="s">
        <v>16989</v>
      </c>
      <c r="AR641" s="31" t="s">
        <v>16990</v>
      </c>
      <c r="AS641" s="31" t="str">
        <f>"AQP1"</f>
        <v>AQP1</v>
      </c>
      <c r="AT641" s="31" t="s">
        <v>16991</v>
      </c>
      <c r="AU641" s="31" t="s">
        <v>13777</v>
      </c>
      <c r="AV641" s="31">
        <v>9606</v>
      </c>
      <c r="AW641" s="50" t="str">
        <f>HYPERLINK("http://www.uniprot.org/uniprot/P29972", "P29972")</f>
        <v>P29972</v>
      </c>
      <c r="AX641" s="31" t="s">
        <v>16992</v>
      </c>
      <c r="AY641" s="31" t="s">
        <v>14192</v>
      </c>
      <c r="AZ641" s="31" t="s">
        <v>13792</v>
      </c>
      <c r="BA641" s="31" t="s">
        <v>13780</v>
      </c>
      <c r="BB641" s="31" t="s">
        <v>13772</v>
      </c>
      <c r="BC641" s="31" t="s">
        <v>13772</v>
      </c>
      <c r="BD641" s="31" t="s">
        <v>16604</v>
      </c>
      <c r="BE641" s="31" t="s">
        <v>13772</v>
      </c>
      <c r="BF641" s="31" t="s">
        <v>16993</v>
      </c>
      <c r="BG641" s="31" t="s">
        <v>13978</v>
      </c>
      <c r="BH641" s="31" t="s">
        <v>13812</v>
      </c>
      <c r="BI641" s="31" t="s">
        <v>16994</v>
      </c>
      <c r="BJ641" s="31" t="s">
        <v>16995</v>
      </c>
      <c r="BK641" s="31" t="s">
        <v>16996</v>
      </c>
      <c r="BL641" s="31" t="s">
        <v>13772</v>
      </c>
      <c r="BM641" s="31" t="s">
        <v>16997</v>
      </c>
    </row>
    <row r="642" spans="1:65">
      <c r="A642">
        <v>1001</v>
      </c>
      <c r="B642">
        <v>1</v>
      </c>
      <c r="C642">
        <v>637</v>
      </c>
      <c r="D642" t="s">
        <v>2427</v>
      </c>
      <c r="E642" t="s">
        <v>2428</v>
      </c>
      <c r="F642" t="s">
        <v>73</v>
      </c>
      <c r="G642">
        <v>17.100000000000001</v>
      </c>
      <c r="H642">
        <v>808</v>
      </c>
      <c r="I642">
        <v>89990</v>
      </c>
      <c r="J642" t="s">
        <v>2429</v>
      </c>
      <c r="K642" s="3" t="s">
        <v>73</v>
      </c>
      <c r="L642">
        <v>82</v>
      </c>
      <c r="M642">
        <v>14</v>
      </c>
      <c r="N642">
        <v>0.17100000000000001</v>
      </c>
      <c r="O642" s="11">
        <f t="shared" si="9"/>
        <v>2.9309720718435135</v>
      </c>
      <c r="P642" s="36">
        <v>3.6349301875041902</v>
      </c>
      <c r="Q642" s="36">
        <v>0.24076603016936199</v>
      </c>
      <c r="R642" s="36">
        <v>0.80039883090612896</v>
      </c>
      <c r="S642" s="36">
        <v>0.37798043978830698</v>
      </c>
      <c r="T642" s="36">
        <v>0.215044089984223</v>
      </c>
      <c r="U642" s="36">
        <v>0.92972724663949102</v>
      </c>
      <c r="V642" s="36">
        <v>0.52703114143231999</v>
      </c>
      <c r="W642" s="36">
        <v>0.48659179899115301</v>
      </c>
      <c r="X642" s="37">
        <v>4.7685497594697397</v>
      </c>
      <c r="Y642" s="37">
        <v>7.88312058610357</v>
      </c>
      <c r="Z642" s="37">
        <v>0.200013587066836</v>
      </c>
      <c r="AA642" s="37">
        <v>1.2698205698999101</v>
      </c>
      <c r="AB642" s="37">
        <v>6.4315479607058004</v>
      </c>
      <c r="AC642" s="37">
        <v>3.94595285192562</v>
      </c>
      <c r="AD642" s="37">
        <v>4.5256201435872701</v>
      </c>
      <c r="AE642" s="37">
        <v>10.658457925322301</v>
      </c>
      <c r="AF642" s="45">
        <v>2.3299790892862098</v>
      </c>
      <c r="AG642" s="45">
        <v>5.5020103618828502</v>
      </c>
      <c r="AH642" s="46">
        <v>5.8354547392201403E-4</v>
      </c>
      <c r="AI642" s="47">
        <v>1.40428748940226E-3</v>
      </c>
      <c r="AJ642" s="48">
        <v>0.90155872067689702</v>
      </c>
      <c r="AK642" s="49">
        <v>4.9603854230101296</v>
      </c>
      <c r="AL642" s="31" t="s">
        <v>5874</v>
      </c>
      <c r="AM642" s="31" t="s">
        <v>5876</v>
      </c>
      <c r="AN642" s="31" t="s">
        <v>23610</v>
      </c>
      <c r="AO642" s="31" t="s">
        <v>23611</v>
      </c>
      <c r="AP642" s="31" t="s">
        <v>23612</v>
      </c>
      <c r="AQ642" s="31" t="s">
        <v>23613</v>
      </c>
      <c r="AR642" s="31" t="s">
        <v>23614</v>
      </c>
      <c r="AS642" s="31" t="str">
        <f>"POSTN"</f>
        <v>POSTN</v>
      </c>
      <c r="AT642" s="31" t="s">
        <v>23615</v>
      </c>
      <c r="AU642" s="31" t="s">
        <v>13777</v>
      </c>
      <c r="AV642" s="31">
        <v>9606</v>
      </c>
      <c r="AW642" s="50" t="str">
        <f>HYPERLINK("http://www.uniprot.org/uniprot/Q15063", "Q15063")</f>
        <v>Q15063</v>
      </c>
      <c r="AX642" s="31" t="s">
        <v>23616</v>
      </c>
      <c r="AY642" s="31" t="s">
        <v>13949</v>
      </c>
      <c r="AZ642" s="31" t="s">
        <v>23617</v>
      </c>
      <c r="BA642" s="31" t="s">
        <v>13780</v>
      </c>
      <c r="BB642" s="31" t="s">
        <v>13772</v>
      </c>
      <c r="BC642" s="31" t="s">
        <v>13772</v>
      </c>
      <c r="BD642" s="31" t="s">
        <v>14404</v>
      </c>
      <c r="BE642" s="31" t="s">
        <v>13772</v>
      </c>
      <c r="BF642" s="31" t="s">
        <v>14073</v>
      </c>
      <c r="BG642" s="31" t="s">
        <v>23618</v>
      </c>
      <c r="BH642" s="31" t="s">
        <v>13812</v>
      </c>
      <c r="BI642" s="31" t="s">
        <v>23619</v>
      </c>
      <c r="BJ642" s="31" t="s">
        <v>23620</v>
      </c>
      <c r="BK642" s="31" t="s">
        <v>23621</v>
      </c>
      <c r="BL642" s="31" t="s">
        <v>13772</v>
      </c>
      <c r="BM642" s="31" t="s">
        <v>13772</v>
      </c>
    </row>
    <row r="643" spans="1:65">
      <c r="A643">
        <v>1335</v>
      </c>
      <c r="B643">
        <v>1</v>
      </c>
      <c r="C643">
        <v>638</v>
      </c>
      <c r="D643" t="s">
        <v>3199</v>
      </c>
      <c r="E643" t="s">
        <v>73</v>
      </c>
      <c r="F643" t="s">
        <v>73</v>
      </c>
      <c r="G643">
        <v>37.299999999999997</v>
      </c>
      <c r="H643">
        <v>394</v>
      </c>
      <c r="I643">
        <v>41747</v>
      </c>
      <c r="J643" t="s">
        <v>3200</v>
      </c>
      <c r="K643" s="3" t="s">
        <v>73</v>
      </c>
      <c r="L643">
        <v>51</v>
      </c>
      <c r="M643">
        <v>51</v>
      </c>
      <c r="N643">
        <v>1</v>
      </c>
      <c r="O643" s="11">
        <f t="shared" si="9"/>
        <v>2.518651035263944</v>
      </c>
      <c r="P643" s="36">
        <v>0.30291084895868198</v>
      </c>
      <c r="Q643" s="36">
        <v>0.96306412067744696</v>
      </c>
      <c r="R643" s="36">
        <v>0.40019941545306398</v>
      </c>
      <c r="S643" s="36">
        <v>0.37798043978830698</v>
      </c>
      <c r="T643" s="36">
        <v>0.86017635993689201</v>
      </c>
      <c r="U643" s="36">
        <v>3.7189089865579601</v>
      </c>
      <c r="V643" s="36">
        <v>4.21624913145856</v>
      </c>
      <c r="W643" s="36">
        <v>2.9195507939469199</v>
      </c>
      <c r="X643" s="37">
        <v>7.1528246392046197</v>
      </c>
      <c r="Y643" s="37">
        <v>5.6758468219945701</v>
      </c>
      <c r="Z643" s="37">
        <v>6.4004347861387396</v>
      </c>
      <c r="AA643" s="37">
        <v>3.3861881863997598</v>
      </c>
      <c r="AB643" s="37">
        <v>1.8375851316302301</v>
      </c>
      <c r="AC643" s="37">
        <v>0.19729764259628099</v>
      </c>
      <c r="AD643" s="37">
        <v>1.50854004786242</v>
      </c>
      <c r="AE643" s="37">
        <v>0.38065921161865401</v>
      </c>
      <c r="AF643" s="45">
        <v>0.90376643476823904</v>
      </c>
      <c r="AG643" s="45">
        <v>1.9288683135432101</v>
      </c>
      <c r="AH643" s="46">
        <v>0.18645871515593099</v>
      </c>
      <c r="AI643" s="47">
        <v>0.24791816370810099</v>
      </c>
      <c r="AJ643" s="48">
        <v>1.71988001209723</v>
      </c>
      <c r="AK643" s="49">
        <v>3.31742205843066</v>
      </c>
      <c r="AL643" s="31" t="s">
        <v>5874</v>
      </c>
      <c r="AM643" s="31" t="s">
        <v>5832</v>
      </c>
      <c r="AN643" s="31" t="s">
        <v>26690</v>
      </c>
      <c r="AO643" s="31" t="s">
        <v>26691</v>
      </c>
      <c r="AP643" s="31" t="s">
        <v>26692</v>
      </c>
      <c r="AQ643" s="31" t="s">
        <v>26693</v>
      </c>
      <c r="AR643" s="31" t="s">
        <v>26694</v>
      </c>
      <c r="AS643" s="31" t="str">
        <f>"ADH5 FDH"</f>
        <v>ADH5 FDH</v>
      </c>
      <c r="AT643" s="31" t="s">
        <v>13772</v>
      </c>
      <c r="AU643" s="31" t="s">
        <v>13777</v>
      </c>
      <c r="AV643" s="31">
        <v>9606</v>
      </c>
      <c r="AW643" s="50" t="str">
        <f>HYPERLINK("http://www.uniprot.org/uniprot/P11766", "P11766")</f>
        <v>P11766</v>
      </c>
      <c r="AX643" s="31" t="s">
        <v>26695</v>
      </c>
      <c r="AY643" s="31" t="s">
        <v>13772</v>
      </c>
      <c r="AZ643" s="31" t="s">
        <v>13899</v>
      </c>
      <c r="BA643" s="31" t="s">
        <v>13793</v>
      </c>
      <c r="BB643" s="31" t="s">
        <v>13772</v>
      </c>
      <c r="BC643" s="31" t="s">
        <v>13772</v>
      </c>
      <c r="BD643" s="31" t="s">
        <v>13772</v>
      </c>
      <c r="BE643" s="31" t="s">
        <v>16288</v>
      </c>
      <c r="BF643" s="31" t="s">
        <v>13885</v>
      </c>
      <c r="BG643" s="31" t="s">
        <v>13886</v>
      </c>
      <c r="BH643" s="31" t="s">
        <v>13812</v>
      </c>
      <c r="BI643" s="31" t="s">
        <v>26696</v>
      </c>
      <c r="BJ643" s="31" t="s">
        <v>26697</v>
      </c>
      <c r="BK643" s="31" t="s">
        <v>26698</v>
      </c>
      <c r="BL643" s="31" t="s">
        <v>13772</v>
      </c>
      <c r="BM643" s="31" t="s">
        <v>26699</v>
      </c>
    </row>
    <row r="644" spans="1:65">
      <c r="A644">
        <v>1487</v>
      </c>
      <c r="B644">
        <v>1</v>
      </c>
      <c r="C644">
        <v>639</v>
      </c>
      <c r="D644" t="s">
        <v>3538</v>
      </c>
      <c r="E644" t="s">
        <v>3539</v>
      </c>
      <c r="F644" t="s">
        <v>73</v>
      </c>
      <c r="G644">
        <v>45</v>
      </c>
      <c r="H644">
        <v>278</v>
      </c>
      <c r="I644">
        <v>30427</v>
      </c>
      <c r="J644" t="s">
        <v>3540</v>
      </c>
      <c r="K644" s="3" t="s">
        <v>73</v>
      </c>
      <c r="L644">
        <v>51</v>
      </c>
      <c r="M644">
        <v>51</v>
      </c>
      <c r="N644">
        <v>1</v>
      </c>
      <c r="O644" s="11">
        <f t="shared" si="9"/>
        <v>3.3642422893482236</v>
      </c>
      <c r="P644" s="36">
        <v>0.30291084895868198</v>
      </c>
      <c r="Q644" s="36">
        <v>5.7783847240646802</v>
      </c>
      <c r="R644" s="36">
        <v>3.2015953236245198</v>
      </c>
      <c r="S644" s="36">
        <v>9.0715305549193808</v>
      </c>
      <c r="T644" s="36">
        <v>12.9026453990534</v>
      </c>
      <c r="U644" s="36">
        <v>9.2972724663949098</v>
      </c>
      <c r="V644" s="36">
        <v>6.3243736971878404</v>
      </c>
      <c r="W644" s="36">
        <v>3.8927343919292201</v>
      </c>
      <c r="X644" s="37">
        <v>0.19868957331123899</v>
      </c>
      <c r="Y644" s="37">
        <v>1.2612992937765699</v>
      </c>
      <c r="Z644" s="37">
        <v>0.200013587066836</v>
      </c>
      <c r="AA644" s="37">
        <v>0.21163676164998499</v>
      </c>
      <c r="AB644" s="37">
        <v>0.22969814145377901</v>
      </c>
      <c r="AC644" s="37">
        <v>0.19729764259628099</v>
      </c>
      <c r="AD644" s="37">
        <v>0.377135011965606</v>
      </c>
      <c r="AE644" s="37">
        <v>0.38065921161865401</v>
      </c>
      <c r="AF644" s="45">
        <v>-3.6241423115476201</v>
      </c>
      <c r="AG644" s="45">
        <v>-16.611360412595101</v>
      </c>
      <c r="AH644" s="46">
        <v>2.2083944182147801E-7</v>
      </c>
      <c r="AI644" s="47">
        <v>1.31912130873722E-6</v>
      </c>
      <c r="AJ644" s="48">
        <v>6.3464309257665796</v>
      </c>
      <c r="AK644" s="49">
        <v>0.38205365292986898</v>
      </c>
      <c r="AL644" s="31" t="s">
        <v>5875</v>
      </c>
      <c r="AM644" s="31" t="s">
        <v>5876</v>
      </c>
      <c r="AN644" s="31" t="s">
        <v>28087</v>
      </c>
      <c r="AO644" s="31" t="s">
        <v>28088</v>
      </c>
      <c r="AP644" s="31" t="s">
        <v>28089</v>
      </c>
      <c r="AQ644" s="31" t="s">
        <v>28090</v>
      </c>
      <c r="AR644" s="31" t="s">
        <v>28091</v>
      </c>
      <c r="AS644" s="31" t="str">
        <f>"HYI"</f>
        <v>HYI</v>
      </c>
      <c r="AT644" s="31" t="s">
        <v>13772</v>
      </c>
      <c r="AU644" s="31" t="s">
        <v>13777</v>
      </c>
      <c r="AV644" s="31">
        <v>9606</v>
      </c>
      <c r="AW644" s="50" t="str">
        <f>HYPERLINK("http://www.uniprot.org/uniprot/Q5T013", "Q5T013")</f>
        <v>Q5T013</v>
      </c>
      <c r="AX644" s="31" t="s">
        <v>25459</v>
      </c>
      <c r="AY644" s="31" t="s">
        <v>13772</v>
      </c>
      <c r="AZ644" s="31" t="s">
        <v>13772</v>
      </c>
      <c r="BA644" s="31" t="s">
        <v>13780</v>
      </c>
      <c r="BB644" s="31" t="s">
        <v>13772</v>
      </c>
      <c r="BC644" s="31" t="s">
        <v>13772</v>
      </c>
      <c r="BD644" s="31" t="s">
        <v>13772</v>
      </c>
      <c r="BE644" s="31" t="s">
        <v>13772</v>
      </c>
      <c r="BF644" s="31" t="s">
        <v>14910</v>
      </c>
      <c r="BG644" s="31" t="s">
        <v>13772</v>
      </c>
      <c r="BH644" s="31" t="s">
        <v>13772</v>
      </c>
      <c r="BI644" s="31" t="s">
        <v>13772</v>
      </c>
      <c r="BJ644" s="31" t="s">
        <v>13772</v>
      </c>
      <c r="BK644" s="31" t="s">
        <v>28092</v>
      </c>
      <c r="BL644" s="31" t="s">
        <v>13772</v>
      </c>
      <c r="BM644" s="31" t="s">
        <v>13772</v>
      </c>
    </row>
    <row r="645" spans="1:65">
      <c r="A645">
        <v>1608</v>
      </c>
      <c r="B645">
        <v>1</v>
      </c>
      <c r="C645">
        <v>640</v>
      </c>
      <c r="D645" t="s">
        <v>3811</v>
      </c>
      <c r="E645" t="s">
        <v>3812</v>
      </c>
      <c r="F645" t="s">
        <v>73</v>
      </c>
      <c r="G645">
        <v>20.6</v>
      </c>
      <c r="H645">
        <v>961</v>
      </c>
      <c r="I645">
        <v>105966</v>
      </c>
      <c r="J645" t="s">
        <v>3813</v>
      </c>
      <c r="K645" s="3" t="s">
        <v>73</v>
      </c>
      <c r="L645">
        <v>51</v>
      </c>
      <c r="M645">
        <v>51</v>
      </c>
      <c r="N645">
        <v>1</v>
      </c>
      <c r="O645" s="11">
        <f t="shared" si="9"/>
        <v>2.561664646250339</v>
      </c>
      <c r="P645" s="36">
        <v>1.2116433958347299</v>
      </c>
      <c r="Q645" s="36">
        <v>0.24076603016936199</v>
      </c>
      <c r="R645" s="36">
        <v>0.40019941545306398</v>
      </c>
      <c r="S645" s="36">
        <v>0.37798043978830698</v>
      </c>
      <c r="T645" s="36">
        <v>0.215044089984223</v>
      </c>
      <c r="U645" s="36">
        <v>2.7891817399184702</v>
      </c>
      <c r="V645" s="36">
        <v>1.05406228286464</v>
      </c>
      <c r="W645" s="36">
        <v>1.9463671959646101</v>
      </c>
      <c r="X645" s="37">
        <v>3.9737914662247902</v>
      </c>
      <c r="Y645" s="37">
        <v>5.6758468219945701</v>
      </c>
      <c r="Z645" s="37">
        <v>3.2002173930693698</v>
      </c>
      <c r="AA645" s="37">
        <v>5.0792822795996404</v>
      </c>
      <c r="AB645" s="37">
        <v>3.6751702632604601</v>
      </c>
      <c r="AC645" s="37">
        <v>3.1567622815404999</v>
      </c>
      <c r="AD645" s="37">
        <v>0.377135011965606</v>
      </c>
      <c r="AE645" s="37">
        <v>7.6131842323730803</v>
      </c>
      <c r="AF645" s="45">
        <v>1.8212018989952701</v>
      </c>
      <c r="AG645" s="45">
        <v>3.9769783874892601</v>
      </c>
      <c r="AH645" s="46">
        <v>1.9375075840287999E-3</v>
      </c>
      <c r="AI645" s="47">
        <v>4.1280018271186896E-3</v>
      </c>
      <c r="AJ645" s="48">
        <v>1.0294055737471799</v>
      </c>
      <c r="AK645" s="49">
        <v>4.0939237187534996</v>
      </c>
      <c r="AL645" s="31" t="s">
        <v>5874</v>
      </c>
      <c r="AM645" s="31" t="s">
        <v>5876</v>
      </c>
      <c r="AN645" s="31" t="s">
        <v>29212</v>
      </c>
      <c r="AO645" s="31" t="s">
        <v>13772</v>
      </c>
      <c r="AP645" s="31" t="s">
        <v>29213</v>
      </c>
      <c r="AQ645" s="31" t="s">
        <v>29214</v>
      </c>
      <c r="AR645" s="31" t="s">
        <v>29215</v>
      </c>
      <c r="AS645" s="31" t="str">
        <f>"THBS4"</f>
        <v>THBS4</v>
      </c>
      <c r="AT645" s="31" t="s">
        <v>29216</v>
      </c>
      <c r="AU645" s="31" t="s">
        <v>13777</v>
      </c>
      <c r="AV645" s="31">
        <v>9606</v>
      </c>
      <c r="AW645" s="50" t="str">
        <f>HYPERLINK("http://www.uniprot.org/uniprot/P35443", "P35443")</f>
        <v>P35443</v>
      </c>
      <c r="AX645" s="31" t="s">
        <v>29217</v>
      </c>
      <c r="AY645" s="31" t="s">
        <v>29218</v>
      </c>
      <c r="AZ645" s="31" t="s">
        <v>14813</v>
      </c>
      <c r="BA645" s="31" t="s">
        <v>13793</v>
      </c>
      <c r="BB645" s="31" t="s">
        <v>13772</v>
      </c>
      <c r="BC645" s="31" t="s">
        <v>13772</v>
      </c>
      <c r="BD645" s="31" t="s">
        <v>14768</v>
      </c>
      <c r="BE645" s="31" t="s">
        <v>14465</v>
      </c>
      <c r="BF645" s="31" t="s">
        <v>29219</v>
      </c>
      <c r="BG645" s="31" t="s">
        <v>13796</v>
      </c>
      <c r="BH645" s="31" t="s">
        <v>13772</v>
      </c>
      <c r="BI645" s="31" t="s">
        <v>29220</v>
      </c>
      <c r="BJ645" s="31" t="s">
        <v>29221</v>
      </c>
      <c r="BK645" s="31" t="s">
        <v>29222</v>
      </c>
      <c r="BL645" s="31" t="s">
        <v>13772</v>
      </c>
      <c r="BM645" s="31" t="s">
        <v>29223</v>
      </c>
    </row>
    <row r="646" spans="1:65">
      <c r="A646">
        <v>2003</v>
      </c>
      <c r="B646">
        <v>1</v>
      </c>
      <c r="C646">
        <v>641</v>
      </c>
      <c r="D646" t="s">
        <v>4713</v>
      </c>
      <c r="E646" t="s">
        <v>73</v>
      </c>
      <c r="F646" t="s">
        <v>73</v>
      </c>
      <c r="G646">
        <v>35.6</v>
      </c>
      <c r="H646">
        <v>562</v>
      </c>
      <c r="I646">
        <v>61547</v>
      </c>
      <c r="J646" t="s">
        <v>4714</v>
      </c>
      <c r="K646" s="3" t="s">
        <v>73</v>
      </c>
      <c r="L646">
        <v>51</v>
      </c>
      <c r="M646">
        <v>51</v>
      </c>
      <c r="N646">
        <v>1</v>
      </c>
      <c r="O646" s="11">
        <f t="shared" si="9"/>
        <v>2.293083414804034</v>
      </c>
      <c r="P646" s="36">
        <v>1.2116433958347299</v>
      </c>
      <c r="Q646" s="36">
        <v>0.96306412067744696</v>
      </c>
      <c r="R646" s="36">
        <v>0.40019941545306398</v>
      </c>
      <c r="S646" s="36">
        <v>0.37798043978830698</v>
      </c>
      <c r="T646" s="36">
        <v>3.4407054397475698</v>
      </c>
      <c r="U646" s="36">
        <v>0.23243181165987301</v>
      </c>
      <c r="V646" s="36">
        <v>0.26351557071616</v>
      </c>
      <c r="W646" s="36">
        <v>2.9195507939469199</v>
      </c>
      <c r="X646" s="37">
        <v>3.9737914662247902</v>
      </c>
      <c r="Y646" s="37">
        <v>6.3064964688828598</v>
      </c>
      <c r="Z646" s="37">
        <v>2.4001630448020301</v>
      </c>
      <c r="AA646" s="37">
        <v>5.0792822795996404</v>
      </c>
      <c r="AB646" s="37">
        <v>6.4315479607058004</v>
      </c>
      <c r="AC646" s="37">
        <v>0.78919057038512497</v>
      </c>
      <c r="AD646" s="37">
        <v>0.377135011965606</v>
      </c>
      <c r="AE646" s="37">
        <v>1.5226368464746201</v>
      </c>
      <c r="AF646" s="45">
        <v>1.34334558655495</v>
      </c>
      <c r="AG646" s="45">
        <v>2.7403399236898398</v>
      </c>
      <c r="AH646" s="46">
        <v>3.9860857221376902E-2</v>
      </c>
      <c r="AI646" s="47">
        <v>6.33175183831267E-2</v>
      </c>
      <c r="AJ646" s="48">
        <v>1.22613637347801</v>
      </c>
      <c r="AK646" s="49">
        <v>3.36003045613006</v>
      </c>
      <c r="AL646" s="31" t="s">
        <v>5874</v>
      </c>
      <c r="AM646" s="31" t="s">
        <v>5877</v>
      </c>
      <c r="AN646" s="31" t="s">
        <v>32965</v>
      </c>
      <c r="AO646" s="31" t="s">
        <v>32966</v>
      </c>
      <c r="AP646" s="31" t="s">
        <v>32967</v>
      </c>
      <c r="AQ646" s="31" t="s">
        <v>32968</v>
      </c>
      <c r="AR646" s="31" t="s">
        <v>32969</v>
      </c>
      <c r="AS646" s="31" t="str">
        <f>"PGM1"</f>
        <v>PGM1</v>
      </c>
      <c r="AT646" s="31" t="s">
        <v>13772</v>
      </c>
      <c r="AU646" s="31" t="s">
        <v>13777</v>
      </c>
      <c r="AV646" s="31">
        <v>9606</v>
      </c>
      <c r="AW646" s="50" t="str">
        <f>HYPERLINK("http://www.uniprot.org/uniprot/P36871", "P36871")</f>
        <v>P36871</v>
      </c>
      <c r="AX646" s="31" t="s">
        <v>32970</v>
      </c>
      <c r="AY646" s="31" t="s">
        <v>26643</v>
      </c>
      <c r="AZ646" s="31" t="s">
        <v>13899</v>
      </c>
      <c r="BA646" s="31" t="s">
        <v>13780</v>
      </c>
      <c r="BB646" s="31" t="s">
        <v>13772</v>
      </c>
      <c r="BC646" s="31" t="s">
        <v>32971</v>
      </c>
      <c r="BD646" s="31" t="s">
        <v>13772</v>
      </c>
      <c r="BE646" s="31" t="s">
        <v>14784</v>
      </c>
      <c r="BF646" s="31" t="s">
        <v>14910</v>
      </c>
      <c r="BG646" s="31" t="s">
        <v>13886</v>
      </c>
      <c r="BH646" s="31" t="s">
        <v>13812</v>
      </c>
      <c r="BI646" s="31" t="s">
        <v>32972</v>
      </c>
      <c r="BJ646" s="31" t="s">
        <v>32973</v>
      </c>
      <c r="BK646" s="31" t="s">
        <v>32974</v>
      </c>
      <c r="BL646" s="31" t="s">
        <v>13772</v>
      </c>
      <c r="BM646" s="31" t="s">
        <v>32975</v>
      </c>
    </row>
    <row r="647" spans="1:65">
      <c r="A647">
        <v>2194</v>
      </c>
      <c r="B647">
        <v>1</v>
      </c>
      <c r="C647">
        <v>642</v>
      </c>
      <c r="D647" t="s">
        <v>5130</v>
      </c>
      <c r="E647" t="s">
        <v>73</v>
      </c>
      <c r="F647" t="s">
        <v>73</v>
      </c>
      <c r="G647">
        <v>14.9</v>
      </c>
      <c r="H647">
        <v>653</v>
      </c>
      <c r="I647">
        <v>69318</v>
      </c>
      <c r="J647" t="s">
        <v>5131</v>
      </c>
      <c r="K647" s="3" t="s">
        <v>73</v>
      </c>
      <c r="L647">
        <v>51</v>
      </c>
      <c r="M647">
        <v>51</v>
      </c>
      <c r="N647">
        <v>1</v>
      </c>
      <c r="O647" s="11">
        <f t="shared" ref="O647:O674" si="10">AVERAGE(P647:AE647)</f>
        <v>3.0863515480434636</v>
      </c>
      <c r="P647" s="36">
        <v>6.0582169791736504</v>
      </c>
      <c r="Q647" s="36">
        <v>0.96306412067744696</v>
      </c>
      <c r="R647" s="36">
        <v>4.8023929854367697</v>
      </c>
      <c r="S647" s="36">
        <v>0.37798043978830698</v>
      </c>
      <c r="T647" s="36">
        <v>0.86017635993689201</v>
      </c>
      <c r="U647" s="36">
        <v>6.50809072647644</v>
      </c>
      <c r="V647" s="36">
        <v>2.10812456572928</v>
      </c>
      <c r="W647" s="36">
        <v>2.9195507939469199</v>
      </c>
      <c r="X647" s="37">
        <v>0.79475829324495695</v>
      </c>
      <c r="Y647" s="37">
        <v>2.5225985875531398</v>
      </c>
      <c r="Z647" s="37">
        <v>3.2002173930693698</v>
      </c>
      <c r="AA647" s="37">
        <v>0.84654704659994096</v>
      </c>
      <c r="AB647" s="37">
        <v>3.6751702632604601</v>
      </c>
      <c r="AC647" s="37">
        <v>3.1567622815404999</v>
      </c>
      <c r="AD647" s="37">
        <v>7.5427002393121096</v>
      </c>
      <c r="AE647" s="37">
        <v>3.0452736929492299</v>
      </c>
      <c r="AF647" s="45">
        <v>-6.3686131444238694E-2</v>
      </c>
      <c r="AG647" s="45">
        <v>1.00757922924677</v>
      </c>
      <c r="AH647" s="46">
        <v>1</v>
      </c>
      <c r="AI647" s="47">
        <v>1</v>
      </c>
      <c r="AJ647" s="48">
        <v>3.0746996213957098</v>
      </c>
      <c r="AK647" s="49">
        <v>3.0980034746912102</v>
      </c>
      <c r="AL647" s="31" t="s">
        <v>5874</v>
      </c>
      <c r="AM647" s="31" t="s">
        <v>5832</v>
      </c>
      <c r="AN647" s="31" t="s">
        <v>34726</v>
      </c>
      <c r="AO647" s="31" t="s">
        <v>34727</v>
      </c>
      <c r="AP647" s="31" t="s">
        <v>34728</v>
      </c>
      <c r="AQ647" s="31" t="s">
        <v>34729</v>
      </c>
      <c r="AR647" s="31" t="s">
        <v>34730</v>
      </c>
      <c r="AS647" s="31" t="str">
        <f>"CD93"</f>
        <v>CD93</v>
      </c>
      <c r="AT647" s="31" t="s">
        <v>34731</v>
      </c>
      <c r="AU647" s="31" t="s">
        <v>13777</v>
      </c>
      <c r="AV647" s="31">
        <v>9606</v>
      </c>
      <c r="AW647" s="50" t="str">
        <f>HYPERLINK("http://www.uniprot.org/uniprot/Q9NPY3", "Q9NPY3")</f>
        <v>Q9NPY3</v>
      </c>
      <c r="AX647" s="31" t="s">
        <v>34732</v>
      </c>
      <c r="AY647" s="31" t="s">
        <v>16592</v>
      </c>
      <c r="AZ647" s="31" t="s">
        <v>13825</v>
      </c>
      <c r="BA647" s="31" t="s">
        <v>13793</v>
      </c>
      <c r="BB647" s="31" t="s">
        <v>13772</v>
      </c>
      <c r="BC647" s="31" t="s">
        <v>13772</v>
      </c>
      <c r="BD647" s="31" t="s">
        <v>13963</v>
      </c>
      <c r="BE647" s="31" t="s">
        <v>14277</v>
      </c>
      <c r="BF647" s="31" t="s">
        <v>13795</v>
      </c>
      <c r="BG647" s="31" t="s">
        <v>13964</v>
      </c>
      <c r="BH647" s="31" t="s">
        <v>13772</v>
      </c>
      <c r="BI647" s="31" t="s">
        <v>34733</v>
      </c>
      <c r="BJ647" s="31" t="s">
        <v>34734</v>
      </c>
      <c r="BK647" s="31" t="s">
        <v>34735</v>
      </c>
      <c r="BL647" s="31" t="s">
        <v>13772</v>
      </c>
      <c r="BM647" s="31" t="s">
        <v>13890</v>
      </c>
    </row>
    <row r="648" spans="1:65">
      <c r="A648">
        <v>604</v>
      </c>
      <c r="B648">
        <v>1</v>
      </c>
      <c r="C648">
        <v>643</v>
      </c>
      <c r="D648" t="s">
        <v>1495</v>
      </c>
      <c r="E648" t="s">
        <v>73</v>
      </c>
      <c r="F648" t="s">
        <v>73</v>
      </c>
      <c r="G648">
        <v>27.5</v>
      </c>
      <c r="H648">
        <v>477</v>
      </c>
      <c r="I648">
        <v>54476</v>
      </c>
      <c r="J648" t="s">
        <v>1497</v>
      </c>
      <c r="K648" s="3" t="s">
        <v>73</v>
      </c>
      <c r="L648">
        <v>51</v>
      </c>
      <c r="M648">
        <v>47</v>
      </c>
      <c r="N648">
        <v>0.92200000000000004</v>
      </c>
      <c r="O648" s="11">
        <f t="shared" si="10"/>
        <v>2.4100668808373018</v>
      </c>
      <c r="P648" s="36">
        <v>2.4232867916694598</v>
      </c>
      <c r="Q648" s="36">
        <v>0.24076603016936199</v>
      </c>
      <c r="R648" s="36">
        <v>0.40019941545306398</v>
      </c>
      <c r="S648" s="36">
        <v>0.37798043978830698</v>
      </c>
      <c r="T648" s="36">
        <v>0.215044089984223</v>
      </c>
      <c r="U648" s="36">
        <v>0.23243181165987301</v>
      </c>
      <c r="V648" s="36">
        <v>0.26351557071616</v>
      </c>
      <c r="W648" s="36">
        <v>0.24329589949557701</v>
      </c>
      <c r="X648" s="37">
        <v>3.17903317297983</v>
      </c>
      <c r="Y648" s="37">
        <v>5.0451971751062796</v>
      </c>
      <c r="Z648" s="37">
        <v>3.2002173930693698</v>
      </c>
      <c r="AA648" s="37">
        <v>2.5396411397998202</v>
      </c>
      <c r="AB648" s="37">
        <v>5.5127553948906796</v>
      </c>
      <c r="AC648" s="37">
        <v>7.1027151334661296</v>
      </c>
      <c r="AD648" s="37">
        <v>3.0170800957248498</v>
      </c>
      <c r="AE648" s="37">
        <v>4.5679105394238499</v>
      </c>
      <c r="AF648" s="45">
        <v>2.8111276525115301</v>
      </c>
      <c r="AG648" s="45">
        <v>7.77081638754923</v>
      </c>
      <c r="AH648" s="46">
        <v>2.1316276860784699E-5</v>
      </c>
      <c r="AI648" s="47">
        <v>7.1132330494372005E-5</v>
      </c>
      <c r="AJ648" s="48">
        <v>0.54956500611700299</v>
      </c>
      <c r="AK648" s="49">
        <v>4.2705687555576004</v>
      </c>
      <c r="AL648" s="31" t="s">
        <v>5874</v>
      </c>
      <c r="AM648" s="31" t="s">
        <v>5876</v>
      </c>
      <c r="AN648" s="31" t="s">
        <v>19749</v>
      </c>
      <c r="AO648" s="31" t="s">
        <v>19750</v>
      </c>
      <c r="AP648" s="31" t="s">
        <v>19751</v>
      </c>
      <c r="AQ648" s="31" t="s">
        <v>19752</v>
      </c>
      <c r="AR648" s="31" t="s">
        <v>19753</v>
      </c>
      <c r="AS648" s="31" t="str">
        <f>"MMP8"</f>
        <v>MMP8</v>
      </c>
      <c r="AT648" s="31" t="s">
        <v>19754</v>
      </c>
      <c r="AU648" s="31" t="s">
        <v>13777</v>
      </c>
      <c r="AV648" s="31">
        <v>9606</v>
      </c>
      <c r="AW648" s="50" t="str">
        <f>HYPERLINK("http://www.uniprot.org/uniprot/P22894", "P22894")</f>
        <v>P22894</v>
      </c>
      <c r="AX648" s="31" t="s">
        <v>19755</v>
      </c>
      <c r="AY648" s="31" t="s">
        <v>19063</v>
      </c>
      <c r="AZ648" s="31" t="s">
        <v>13869</v>
      </c>
      <c r="BA648" s="31" t="s">
        <v>13793</v>
      </c>
      <c r="BB648" s="31" t="s">
        <v>13772</v>
      </c>
      <c r="BC648" s="31" t="s">
        <v>13772</v>
      </c>
      <c r="BD648" s="31" t="s">
        <v>14404</v>
      </c>
      <c r="BE648" s="31" t="s">
        <v>14628</v>
      </c>
      <c r="BF648" s="31" t="s">
        <v>15139</v>
      </c>
      <c r="BG648" s="31" t="s">
        <v>15472</v>
      </c>
      <c r="BH648" s="31" t="s">
        <v>13812</v>
      </c>
      <c r="BI648" s="31" t="s">
        <v>19756</v>
      </c>
      <c r="BJ648" s="31" t="s">
        <v>19757</v>
      </c>
      <c r="BK648" s="31" t="s">
        <v>19758</v>
      </c>
      <c r="BL648" s="31" t="s">
        <v>13772</v>
      </c>
      <c r="BM648" s="31" t="s">
        <v>19759</v>
      </c>
    </row>
    <row r="649" spans="1:65">
      <c r="A649">
        <v>1089</v>
      </c>
      <c r="B649">
        <v>1</v>
      </c>
      <c r="C649">
        <v>644</v>
      </c>
      <c r="D649" t="s">
        <v>2619</v>
      </c>
      <c r="E649" t="s">
        <v>73</v>
      </c>
      <c r="F649" t="s">
        <v>73</v>
      </c>
      <c r="G649">
        <v>10.4</v>
      </c>
      <c r="H649">
        <v>1487</v>
      </c>
      <c r="I649">
        <v>141873</v>
      </c>
      <c r="J649" t="s">
        <v>2620</v>
      </c>
      <c r="K649" s="3" t="s">
        <v>73</v>
      </c>
      <c r="L649">
        <v>55</v>
      </c>
      <c r="M649">
        <v>50</v>
      </c>
      <c r="N649">
        <v>0.90900000000000003</v>
      </c>
      <c r="O649" s="11">
        <f t="shared" si="10"/>
        <v>3.9780334759299252</v>
      </c>
      <c r="P649" s="36">
        <v>6.0582169791736504</v>
      </c>
      <c r="Q649" s="36">
        <v>5.7783847240646802</v>
      </c>
      <c r="R649" s="36">
        <v>24.0119649271839</v>
      </c>
      <c r="S649" s="36">
        <v>10.5834523140726</v>
      </c>
      <c r="T649" s="36">
        <v>2.5805290798106801</v>
      </c>
      <c r="U649" s="36">
        <v>2.88215446458242</v>
      </c>
      <c r="V649" s="36">
        <v>4.21624913145856</v>
      </c>
      <c r="W649" s="36">
        <v>1.9463671959646101</v>
      </c>
      <c r="X649" s="37">
        <v>0.19868957331123899</v>
      </c>
      <c r="Y649" s="37">
        <v>0.15766241172207099</v>
      </c>
      <c r="Z649" s="37">
        <v>0.80005434826734301</v>
      </c>
      <c r="AA649" s="37">
        <v>0.21163676164998499</v>
      </c>
      <c r="AB649" s="37">
        <v>0.22969814145377901</v>
      </c>
      <c r="AC649" s="37">
        <v>3.2356813385790102</v>
      </c>
      <c r="AD649" s="37">
        <v>0.377135011965606</v>
      </c>
      <c r="AE649" s="37">
        <v>0.38065921161865401</v>
      </c>
      <c r="AF649" s="45">
        <v>-3.0497158985405202</v>
      </c>
      <c r="AG649" s="45">
        <v>-10.3836643986303</v>
      </c>
      <c r="AH649" s="46">
        <v>1.8871726171730101E-5</v>
      </c>
      <c r="AI649" s="47">
        <v>6.3763559640845499E-5</v>
      </c>
      <c r="AJ649" s="48">
        <v>7.2571648520388798</v>
      </c>
      <c r="AK649" s="49">
        <v>0.69890209982096096</v>
      </c>
      <c r="AL649" s="31" t="s">
        <v>5875</v>
      </c>
      <c r="AM649" s="31" t="s">
        <v>5876</v>
      </c>
      <c r="AN649" s="31" t="s">
        <v>24324</v>
      </c>
      <c r="AO649" s="31" t="s">
        <v>24325</v>
      </c>
      <c r="AP649" s="31" t="s">
        <v>24326</v>
      </c>
      <c r="AQ649" s="31" t="s">
        <v>24327</v>
      </c>
      <c r="AR649" s="31" t="s">
        <v>24328</v>
      </c>
      <c r="AS649" s="31" t="str">
        <f>"COL2A1"</f>
        <v>COL2A1</v>
      </c>
      <c r="AT649" s="31" t="s">
        <v>13772</v>
      </c>
      <c r="AU649" s="31" t="s">
        <v>13777</v>
      </c>
      <c r="AV649" s="31">
        <v>9606</v>
      </c>
      <c r="AW649" s="50" t="str">
        <f>HYPERLINK("http://www.uniprot.org/uniprot/P02458", "P02458")</f>
        <v>P02458</v>
      </c>
      <c r="AX649" s="31" t="s">
        <v>24329</v>
      </c>
      <c r="AY649" s="31" t="s">
        <v>13772</v>
      </c>
      <c r="AZ649" s="31" t="s">
        <v>13869</v>
      </c>
      <c r="BA649" s="31" t="s">
        <v>13780</v>
      </c>
      <c r="BB649" s="31" t="s">
        <v>13772</v>
      </c>
      <c r="BC649" s="31" t="s">
        <v>24330</v>
      </c>
      <c r="BD649" s="31" t="s">
        <v>13872</v>
      </c>
      <c r="BE649" s="31" t="s">
        <v>13873</v>
      </c>
      <c r="BF649" s="31" t="s">
        <v>13772</v>
      </c>
      <c r="BG649" s="31" t="s">
        <v>22002</v>
      </c>
      <c r="BH649" s="31" t="s">
        <v>13812</v>
      </c>
      <c r="BI649" s="31" t="s">
        <v>24331</v>
      </c>
      <c r="BJ649" s="31" t="s">
        <v>24332</v>
      </c>
      <c r="BK649" s="31" t="s">
        <v>24333</v>
      </c>
      <c r="BL649" s="31" t="s">
        <v>13772</v>
      </c>
      <c r="BM649" s="31" t="s">
        <v>24334</v>
      </c>
    </row>
    <row r="650" spans="1:65">
      <c r="A650">
        <v>404</v>
      </c>
      <c r="B650">
        <v>1</v>
      </c>
      <c r="C650">
        <v>645</v>
      </c>
      <c r="D650" t="s">
        <v>1013</v>
      </c>
      <c r="E650" t="s">
        <v>73</v>
      </c>
      <c r="F650" t="s">
        <v>73</v>
      </c>
      <c r="G650">
        <v>33.799999999999997</v>
      </c>
      <c r="H650">
        <v>473</v>
      </c>
      <c r="I650">
        <v>52691</v>
      </c>
      <c r="J650" t="s">
        <v>1014</v>
      </c>
      <c r="K650" s="3" t="s">
        <v>73</v>
      </c>
      <c r="L650">
        <v>50</v>
      </c>
      <c r="M650">
        <v>50</v>
      </c>
      <c r="N650">
        <v>1</v>
      </c>
      <c r="O650" s="11">
        <f t="shared" si="10"/>
        <v>3.0657502990154049</v>
      </c>
      <c r="P650" s="36">
        <v>0.30291084895868198</v>
      </c>
      <c r="Q650" s="36">
        <v>9.6306412067744702</v>
      </c>
      <c r="R650" s="36">
        <v>4.8023929854367697</v>
      </c>
      <c r="S650" s="36">
        <v>0.37798043978830698</v>
      </c>
      <c r="T650" s="36">
        <v>7.7415872394320298</v>
      </c>
      <c r="U650" s="36">
        <v>2.7891817399184702</v>
      </c>
      <c r="V650" s="36">
        <v>3.1621868485939202</v>
      </c>
      <c r="W650" s="36">
        <v>5.8391015878938397</v>
      </c>
      <c r="X650" s="37">
        <v>3.17903317297983</v>
      </c>
      <c r="Y650" s="37">
        <v>2.5225985875531398</v>
      </c>
      <c r="Z650" s="37">
        <v>0.200013587066836</v>
      </c>
      <c r="AA650" s="37">
        <v>0.21163676164998499</v>
      </c>
      <c r="AB650" s="37">
        <v>0.22969814145377901</v>
      </c>
      <c r="AC650" s="37">
        <v>3.1567622815404999</v>
      </c>
      <c r="AD650" s="37">
        <v>4.5256201435872701</v>
      </c>
      <c r="AE650" s="37">
        <v>0.38065921161865401</v>
      </c>
      <c r="AF650" s="45">
        <v>-1.2666643746800399</v>
      </c>
      <c r="AG650" s="45">
        <v>-2.4049653101651098</v>
      </c>
      <c r="AH650" s="46">
        <v>6.65285881376525E-2</v>
      </c>
      <c r="AI650" s="47">
        <v>9.9347378268056993E-2</v>
      </c>
      <c r="AJ650" s="48">
        <v>4.3307478620995603</v>
      </c>
      <c r="AK650" s="49">
        <v>1.8007527359312501</v>
      </c>
      <c r="AL650" s="31" t="s">
        <v>5875</v>
      </c>
      <c r="AM650" s="31" t="s">
        <v>5877</v>
      </c>
      <c r="AN650" s="31" t="s">
        <v>17671</v>
      </c>
      <c r="AO650" s="31" t="s">
        <v>17672</v>
      </c>
      <c r="AP650" s="31" t="s">
        <v>17673</v>
      </c>
      <c r="AQ650" s="31" t="s">
        <v>17674</v>
      </c>
      <c r="AR650" s="31" t="s">
        <v>17675</v>
      </c>
      <c r="AS650" s="31" t="str">
        <f>"CNDP2"</f>
        <v>CNDP2</v>
      </c>
      <c r="AT650" s="31" t="s">
        <v>13772</v>
      </c>
      <c r="AU650" s="31" t="s">
        <v>13777</v>
      </c>
      <c r="AV650" s="31">
        <v>9606</v>
      </c>
      <c r="AW650" s="50" t="str">
        <f>HYPERLINK("http://www.uniprot.org/uniprot/Q96KP4", "Q96KP4")</f>
        <v>Q96KP4</v>
      </c>
      <c r="AX650" s="31" t="s">
        <v>17676</v>
      </c>
      <c r="AY650" s="31" t="s">
        <v>13772</v>
      </c>
      <c r="AZ650" s="31" t="s">
        <v>13899</v>
      </c>
      <c r="BA650" s="31" t="s">
        <v>13780</v>
      </c>
      <c r="BB650" s="31" t="s">
        <v>13772</v>
      </c>
      <c r="BC650" s="31" t="s">
        <v>13772</v>
      </c>
      <c r="BD650" s="31" t="s">
        <v>13772</v>
      </c>
      <c r="BE650" s="31" t="s">
        <v>15674</v>
      </c>
      <c r="BF650" s="31" t="s">
        <v>16539</v>
      </c>
      <c r="BG650" s="31" t="s">
        <v>13886</v>
      </c>
      <c r="BH650" s="31" t="s">
        <v>13812</v>
      </c>
      <c r="BI650" s="31" t="s">
        <v>17677</v>
      </c>
      <c r="BJ650" s="31" t="s">
        <v>17678</v>
      </c>
      <c r="BK650" s="31" t="s">
        <v>17679</v>
      </c>
      <c r="BL650" s="31" t="s">
        <v>13772</v>
      </c>
      <c r="BM650" s="31" t="s">
        <v>16921</v>
      </c>
    </row>
    <row r="651" spans="1:65">
      <c r="A651">
        <v>708</v>
      </c>
      <c r="B651">
        <v>1</v>
      </c>
      <c r="C651">
        <v>646</v>
      </c>
      <c r="D651" t="s">
        <v>1745</v>
      </c>
      <c r="E651" t="s">
        <v>73</v>
      </c>
      <c r="F651" t="s">
        <v>73</v>
      </c>
      <c r="G651">
        <v>16.3</v>
      </c>
      <c r="H651">
        <v>669</v>
      </c>
      <c r="I651">
        <v>74958</v>
      </c>
      <c r="J651" t="s">
        <v>1746</v>
      </c>
      <c r="K651" s="3" t="s">
        <v>73</v>
      </c>
      <c r="L651">
        <v>50</v>
      </c>
      <c r="M651">
        <v>50</v>
      </c>
      <c r="N651">
        <v>1</v>
      </c>
      <c r="O651" s="11">
        <f t="shared" si="10"/>
        <v>3.3238302567426659</v>
      </c>
      <c r="P651" s="36">
        <v>3.6349301875041902</v>
      </c>
      <c r="Q651" s="36">
        <v>2.8891923620323401</v>
      </c>
      <c r="R651" s="36">
        <v>3.2015953236245198</v>
      </c>
      <c r="S651" s="36">
        <v>4.5357652774596904</v>
      </c>
      <c r="T651" s="36">
        <v>6.8814108794951396</v>
      </c>
      <c r="U651" s="36">
        <v>5.5783634798369501</v>
      </c>
      <c r="V651" s="36">
        <v>5.2703114143232002</v>
      </c>
      <c r="W651" s="36">
        <v>8.7586523818407507</v>
      </c>
      <c r="X651" s="37">
        <v>0.19868957331123899</v>
      </c>
      <c r="Y651" s="37">
        <v>0.15766241172207099</v>
      </c>
      <c r="Z651" s="37">
        <v>2.4001630448020301</v>
      </c>
      <c r="AA651" s="37">
        <v>0.21163676164998499</v>
      </c>
      <c r="AB651" s="37">
        <v>0.22969814145377901</v>
      </c>
      <c r="AC651" s="37">
        <v>3.1567622815404999</v>
      </c>
      <c r="AD651" s="37">
        <v>1.50854004786242</v>
      </c>
      <c r="AE651" s="37">
        <v>4.5679105394238499</v>
      </c>
      <c r="AF651" s="45">
        <v>-1.83225376551301</v>
      </c>
      <c r="AG651" s="45">
        <v>-3.27809632659309</v>
      </c>
      <c r="AH651" s="46">
        <v>1.6639612350599501E-3</v>
      </c>
      <c r="AI651" s="47">
        <v>3.6142534618672198E-3</v>
      </c>
      <c r="AJ651" s="48">
        <v>5.0937776632645999</v>
      </c>
      <c r="AK651" s="49">
        <v>1.55388285022073</v>
      </c>
      <c r="AL651" s="31" t="s">
        <v>5875</v>
      </c>
      <c r="AM651" s="31" t="s">
        <v>5876</v>
      </c>
      <c r="AN651" s="31" t="s">
        <v>20779</v>
      </c>
      <c r="AO651" s="31" t="s">
        <v>20780</v>
      </c>
      <c r="AP651" s="31" t="s">
        <v>20781</v>
      </c>
      <c r="AQ651" s="31" t="s">
        <v>20782</v>
      </c>
      <c r="AR651" s="31" t="s">
        <v>20783</v>
      </c>
      <c r="AS651" s="31" t="str">
        <f>"GLB1"</f>
        <v>GLB1</v>
      </c>
      <c r="AT651" s="31" t="s">
        <v>20784</v>
      </c>
      <c r="AU651" s="31" t="s">
        <v>13777</v>
      </c>
      <c r="AV651" s="31">
        <v>9606</v>
      </c>
      <c r="AW651" s="50" t="str">
        <f>HYPERLINK("http://www.uniprot.org/uniprot/P16278", "P16278")</f>
        <v>P16278</v>
      </c>
      <c r="AX651" s="31" t="s">
        <v>20785</v>
      </c>
      <c r="AY651" s="31" t="s">
        <v>13772</v>
      </c>
      <c r="AZ651" s="31" t="s">
        <v>20125</v>
      </c>
      <c r="BA651" s="31" t="s">
        <v>13780</v>
      </c>
      <c r="BB651" s="31" t="s">
        <v>13772</v>
      </c>
      <c r="BC651" s="31" t="s">
        <v>20786</v>
      </c>
      <c r="BD651" s="31" t="s">
        <v>13808</v>
      </c>
      <c r="BE651" s="31" t="s">
        <v>13772</v>
      </c>
      <c r="BF651" s="31" t="s">
        <v>15471</v>
      </c>
      <c r="BG651" s="31" t="s">
        <v>15472</v>
      </c>
      <c r="BH651" s="31" t="s">
        <v>13812</v>
      </c>
      <c r="BI651" s="31" t="s">
        <v>20787</v>
      </c>
      <c r="BJ651" s="31" t="s">
        <v>20788</v>
      </c>
      <c r="BK651" s="31" t="s">
        <v>20789</v>
      </c>
      <c r="BL651" s="31" t="s">
        <v>13772</v>
      </c>
      <c r="BM651" s="31" t="s">
        <v>20790</v>
      </c>
    </row>
    <row r="652" spans="1:65">
      <c r="A652">
        <v>1113</v>
      </c>
      <c r="B652">
        <v>1</v>
      </c>
      <c r="C652">
        <v>647</v>
      </c>
      <c r="D652" t="s">
        <v>2677</v>
      </c>
      <c r="E652" t="s">
        <v>73</v>
      </c>
      <c r="F652" t="s">
        <v>73</v>
      </c>
      <c r="G652">
        <v>29.9</v>
      </c>
      <c r="H652">
        <v>695</v>
      </c>
      <c r="I652">
        <v>77521</v>
      </c>
      <c r="J652" t="s">
        <v>2678</v>
      </c>
      <c r="K652" s="3" t="s">
        <v>73</v>
      </c>
      <c r="L652">
        <v>50</v>
      </c>
      <c r="M652">
        <v>50</v>
      </c>
      <c r="N652">
        <v>1</v>
      </c>
      <c r="O652" s="11">
        <f t="shared" si="10"/>
        <v>2.5173826675535964</v>
      </c>
      <c r="P652" s="36">
        <v>1.2116433958347299</v>
      </c>
      <c r="Q652" s="36">
        <v>0.24076603016936199</v>
      </c>
      <c r="R652" s="36">
        <v>0.40019941545306398</v>
      </c>
      <c r="S652" s="36">
        <v>0.37798043978830698</v>
      </c>
      <c r="T652" s="36">
        <v>0.215044089984223</v>
      </c>
      <c r="U652" s="36">
        <v>0.23243181165987301</v>
      </c>
      <c r="V652" s="36">
        <v>0.26351557071616</v>
      </c>
      <c r="W652" s="36">
        <v>0.24329589949557701</v>
      </c>
      <c r="X652" s="37">
        <v>5.5633080527147003</v>
      </c>
      <c r="Y652" s="37">
        <v>5.6758468219945701</v>
      </c>
      <c r="Z652" s="37">
        <v>3.2002173930693698</v>
      </c>
      <c r="AA652" s="37">
        <v>4.2327352329997003</v>
      </c>
      <c r="AB652" s="37">
        <v>9.1879256581511406</v>
      </c>
      <c r="AC652" s="37">
        <v>3.1567622815404999</v>
      </c>
      <c r="AD652" s="37">
        <v>1.50854004786242</v>
      </c>
      <c r="AE652" s="37">
        <v>4.5679105394238499</v>
      </c>
      <c r="AF652" s="45">
        <v>3.2915800913678002</v>
      </c>
      <c r="AG652" s="45">
        <v>11.6466821381093</v>
      </c>
      <c r="AH652" s="46">
        <v>2.24060423141258E-6</v>
      </c>
      <c r="AI652" s="47">
        <v>9.6707369730000896E-6</v>
      </c>
      <c r="AJ652" s="48">
        <v>0.39810958163766202</v>
      </c>
      <c r="AK652" s="49">
        <v>4.6366557534695296</v>
      </c>
      <c r="AL652" s="31" t="s">
        <v>5874</v>
      </c>
      <c r="AM652" s="31" t="s">
        <v>5876</v>
      </c>
      <c r="AN652" s="31" t="s">
        <v>24577</v>
      </c>
      <c r="AO652" s="31" t="s">
        <v>24578</v>
      </c>
      <c r="AP652" s="31" t="s">
        <v>24579</v>
      </c>
      <c r="AQ652" s="31" t="s">
        <v>24580</v>
      </c>
      <c r="AR652" s="31" t="s">
        <v>24581</v>
      </c>
      <c r="AS652" s="31" t="str">
        <f>"C1S"</f>
        <v>C1S</v>
      </c>
      <c r="AT652" s="31" t="s">
        <v>13772</v>
      </c>
      <c r="AU652" s="31" t="s">
        <v>13777</v>
      </c>
      <c r="AV652" s="31">
        <v>9606</v>
      </c>
      <c r="AW652" s="50" t="str">
        <f>HYPERLINK("http://www.uniprot.org/uniprot/P09871", "P09871")</f>
        <v>P09871</v>
      </c>
      <c r="AX652" s="31" t="s">
        <v>24582</v>
      </c>
      <c r="AY652" s="31" t="s">
        <v>20457</v>
      </c>
      <c r="AZ652" s="31" t="s">
        <v>13772</v>
      </c>
      <c r="BA652" s="31" t="s">
        <v>13793</v>
      </c>
      <c r="BB652" s="31" t="s">
        <v>13772</v>
      </c>
      <c r="BC652" s="31" t="s">
        <v>15310</v>
      </c>
      <c r="BD652" s="31" t="s">
        <v>21282</v>
      </c>
      <c r="BE652" s="31" t="s">
        <v>13873</v>
      </c>
      <c r="BF652" s="31" t="s">
        <v>15176</v>
      </c>
      <c r="BG652" s="31" t="s">
        <v>22002</v>
      </c>
      <c r="BH652" s="31" t="s">
        <v>13812</v>
      </c>
      <c r="BI652" s="31" t="s">
        <v>24583</v>
      </c>
      <c r="BJ652" s="31" t="s">
        <v>20500</v>
      </c>
      <c r="BK652" s="31" t="s">
        <v>24584</v>
      </c>
      <c r="BL652" s="31" t="s">
        <v>13772</v>
      </c>
      <c r="BM652" s="31" t="s">
        <v>20461</v>
      </c>
    </row>
    <row r="653" spans="1:65">
      <c r="A653">
        <v>1360</v>
      </c>
      <c r="B653">
        <v>1</v>
      </c>
      <c r="C653">
        <v>648</v>
      </c>
      <c r="D653" t="s">
        <v>3251</v>
      </c>
      <c r="E653" t="s">
        <v>3252</v>
      </c>
      <c r="F653" t="s">
        <v>73</v>
      </c>
      <c r="G653">
        <v>11.2</v>
      </c>
      <c r="H653">
        <v>1468</v>
      </c>
      <c r="I653">
        <v>165299</v>
      </c>
      <c r="J653" t="s">
        <v>3253</v>
      </c>
      <c r="K653" s="3" t="s">
        <v>73</v>
      </c>
      <c r="L653">
        <v>50</v>
      </c>
      <c r="M653">
        <v>50</v>
      </c>
      <c r="N653">
        <v>1</v>
      </c>
      <c r="O653" s="11">
        <f t="shared" si="10"/>
        <v>2.8731442714199495</v>
      </c>
      <c r="P653" s="36">
        <v>0.30291084895868198</v>
      </c>
      <c r="Q653" s="36">
        <v>0.24076603016936199</v>
      </c>
      <c r="R653" s="36">
        <v>0.40019941545306398</v>
      </c>
      <c r="S653" s="36">
        <v>0.37798043978830698</v>
      </c>
      <c r="T653" s="36">
        <v>0.215044089984223</v>
      </c>
      <c r="U653" s="36">
        <v>0.23243181165987301</v>
      </c>
      <c r="V653" s="36">
        <v>5.2703114143232002</v>
      </c>
      <c r="W653" s="36">
        <v>0.97318359798230603</v>
      </c>
      <c r="X653" s="37">
        <v>1.5895165864899099</v>
      </c>
      <c r="Y653" s="37">
        <v>5.0451971751062796</v>
      </c>
      <c r="Z653" s="37">
        <v>3.2002173930693698</v>
      </c>
      <c r="AA653" s="37">
        <v>0.84654704659994096</v>
      </c>
      <c r="AB653" s="37">
        <v>15.619473618856899</v>
      </c>
      <c r="AC653" s="37">
        <v>7.1027151334661296</v>
      </c>
      <c r="AD653" s="37">
        <v>1.50854004786242</v>
      </c>
      <c r="AE653" s="37">
        <v>3.0452736929492299</v>
      </c>
      <c r="AF653" s="45">
        <v>2.1127925102526102</v>
      </c>
      <c r="AG653" s="45">
        <v>4.7370893722346796</v>
      </c>
      <c r="AH653" s="46">
        <v>5.4013498544449902E-3</v>
      </c>
      <c r="AI653" s="47">
        <v>1.0565798399484501E-2</v>
      </c>
      <c r="AJ653" s="48">
        <v>1.0016034560398801</v>
      </c>
      <c r="AK653" s="49">
        <v>4.7446850868000299</v>
      </c>
      <c r="AL653" s="31" t="s">
        <v>5874</v>
      </c>
      <c r="AM653" s="31" t="s">
        <v>5878</v>
      </c>
      <c r="AN653" s="31" t="s">
        <v>26932</v>
      </c>
      <c r="AO653" s="31" t="s">
        <v>26933</v>
      </c>
      <c r="AP653" s="31" t="s">
        <v>26934</v>
      </c>
      <c r="AQ653" s="31" t="s">
        <v>26935</v>
      </c>
      <c r="AR653" s="31" t="s">
        <v>26936</v>
      </c>
      <c r="AS653" s="31" t="str">
        <f>"MYOM2"</f>
        <v>MYOM2</v>
      </c>
      <c r="AT653" s="31" t="s">
        <v>13772</v>
      </c>
      <c r="AU653" s="31" t="s">
        <v>13777</v>
      </c>
      <c r="AV653" s="31">
        <v>9606</v>
      </c>
      <c r="AW653" s="50" t="str">
        <f>HYPERLINK("http://www.uniprot.org/uniprot/P54296", "P54296")</f>
        <v>P54296</v>
      </c>
      <c r="AX653" s="31" t="s">
        <v>26937</v>
      </c>
      <c r="AY653" s="31" t="s">
        <v>13772</v>
      </c>
      <c r="AZ653" s="31" t="s">
        <v>15651</v>
      </c>
      <c r="BA653" s="31" t="s">
        <v>13793</v>
      </c>
      <c r="BB653" s="31" t="s">
        <v>13772</v>
      </c>
      <c r="BC653" s="31" t="s">
        <v>13772</v>
      </c>
      <c r="BD653" s="31" t="s">
        <v>15552</v>
      </c>
      <c r="BE653" s="31" t="s">
        <v>13772</v>
      </c>
      <c r="BF653" s="31" t="s">
        <v>17512</v>
      </c>
      <c r="BG653" s="31" t="s">
        <v>13772</v>
      </c>
      <c r="BH653" s="31" t="s">
        <v>13772</v>
      </c>
      <c r="BI653" s="31" t="s">
        <v>26938</v>
      </c>
      <c r="BJ653" s="31" t="s">
        <v>26939</v>
      </c>
      <c r="BK653" s="31" t="s">
        <v>26940</v>
      </c>
      <c r="BL653" s="31" t="s">
        <v>13772</v>
      </c>
      <c r="BM653" s="31" t="s">
        <v>13772</v>
      </c>
    </row>
    <row r="654" spans="1:65">
      <c r="A654">
        <v>1440</v>
      </c>
      <c r="B654">
        <v>1</v>
      </c>
      <c r="C654">
        <v>649</v>
      </c>
      <c r="D654" t="s">
        <v>3430</v>
      </c>
      <c r="E654" t="s">
        <v>73</v>
      </c>
      <c r="F654" t="s">
        <v>73</v>
      </c>
      <c r="G654">
        <v>42.3</v>
      </c>
      <c r="H654">
        <v>286</v>
      </c>
      <c r="I654">
        <v>30365</v>
      </c>
      <c r="J654" t="s">
        <v>3431</v>
      </c>
      <c r="K654" s="3" t="s">
        <v>73</v>
      </c>
      <c r="L654">
        <v>50</v>
      </c>
      <c r="M654">
        <v>50</v>
      </c>
      <c r="N654">
        <v>1</v>
      </c>
      <c r="O654" s="11">
        <f t="shared" si="10"/>
        <v>2.6094473376116243</v>
      </c>
      <c r="P654" s="36">
        <v>0.30291084895868198</v>
      </c>
      <c r="Q654" s="36">
        <v>0.24076603016936199</v>
      </c>
      <c r="R654" s="36">
        <v>0.40019941545306398</v>
      </c>
      <c r="S654" s="36">
        <v>0.37798043978830698</v>
      </c>
      <c r="T654" s="36">
        <v>0.215044089984223</v>
      </c>
      <c r="U654" s="36">
        <v>0.23243181165987301</v>
      </c>
      <c r="V654" s="36">
        <v>0.26351557071616</v>
      </c>
      <c r="W654" s="36">
        <v>0.24329589949557701</v>
      </c>
      <c r="X654" s="37">
        <v>9.53709951893949</v>
      </c>
      <c r="Y654" s="37">
        <v>7.5677957626594301</v>
      </c>
      <c r="Z654" s="37">
        <v>1.60010869653469</v>
      </c>
      <c r="AA654" s="37">
        <v>8.4654704659994096</v>
      </c>
      <c r="AB654" s="37">
        <v>4.5939628290755703</v>
      </c>
      <c r="AC654" s="37">
        <v>3.1567622815404999</v>
      </c>
      <c r="AD654" s="37">
        <v>1.50854004786242</v>
      </c>
      <c r="AE654" s="37">
        <v>3.0452736929492299</v>
      </c>
      <c r="AF654" s="45">
        <v>3.7344550901742601</v>
      </c>
      <c r="AG654" s="45">
        <v>17.342932368647801</v>
      </c>
      <c r="AH654" s="46">
        <v>1.8417381773801399E-6</v>
      </c>
      <c r="AI654" s="47">
        <v>8.2141522711154297E-6</v>
      </c>
      <c r="AJ654" s="48">
        <v>0.28451801327815601</v>
      </c>
      <c r="AK654" s="49">
        <v>4.9343766619450902</v>
      </c>
      <c r="AL654" s="31" t="s">
        <v>5874</v>
      </c>
      <c r="AM654" s="31" t="s">
        <v>5876</v>
      </c>
      <c r="AN654" s="31" t="s">
        <v>27617</v>
      </c>
      <c r="AO654" s="31" t="s">
        <v>27618</v>
      </c>
      <c r="AP654" s="31" t="s">
        <v>27619</v>
      </c>
      <c r="AQ654" s="31" t="s">
        <v>27620</v>
      </c>
      <c r="AR654" s="31" t="s">
        <v>27621</v>
      </c>
      <c r="AS654" s="31" t="str">
        <f>"PCMT1"</f>
        <v>PCMT1</v>
      </c>
      <c r="AT654" s="31" t="s">
        <v>13772</v>
      </c>
      <c r="AU654" s="31" t="s">
        <v>13777</v>
      </c>
      <c r="AV654" s="31">
        <v>9606</v>
      </c>
      <c r="AW654" s="50" t="str">
        <f>HYPERLINK("http://www.uniprot.org/uniprot/P22061", "P22061")</f>
        <v>P22061</v>
      </c>
      <c r="AX654" s="31" t="s">
        <v>27622</v>
      </c>
      <c r="AY654" s="31" t="s">
        <v>13772</v>
      </c>
      <c r="AZ654" s="31" t="s">
        <v>13899</v>
      </c>
      <c r="BA654" s="31" t="s">
        <v>13780</v>
      </c>
      <c r="BB654" s="31" t="s">
        <v>13772</v>
      </c>
      <c r="BC654" s="31" t="s">
        <v>13772</v>
      </c>
      <c r="BD654" s="31" t="s">
        <v>13772</v>
      </c>
      <c r="BE654" s="31" t="s">
        <v>20398</v>
      </c>
      <c r="BF654" s="31" t="s">
        <v>20399</v>
      </c>
      <c r="BG654" s="31" t="s">
        <v>16929</v>
      </c>
      <c r="BH654" s="31" t="s">
        <v>13812</v>
      </c>
      <c r="BI654" s="31" t="s">
        <v>27623</v>
      </c>
      <c r="BJ654" s="31" t="s">
        <v>27624</v>
      </c>
      <c r="BK654" s="31" t="s">
        <v>27625</v>
      </c>
      <c r="BL654" s="31" t="s">
        <v>13772</v>
      </c>
      <c r="BM654" s="31" t="s">
        <v>26974</v>
      </c>
    </row>
    <row r="655" spans="1:65">
      <c r="A655">
        <v>1519</v>
      </c>
      <c r="B655">
        <v>1</v>
      </c>
      <c r="C655">
        <v>650</v>
      </c>
      <c r="D655" t="s">
        <v>3616</v>
      </c>
      <c r="E655" t="s">
        <v>73</v>
      </c>
      <c r="F655" t="s">
        <v>73</v>
      </c>
      <c r="G655">
        <v>39.700000000000003</v>
      </c>
      <c r="H655">
        <v>224</v>
      </c>
      <c r="I655">
        <v>25060</v>
      </c>
      <c r="J655" t="s">
        <v>3617</v>
      </c>
      <c r="K655" s="3" t="s">
        <v>73</v>
      </c>
      <c r="L655">
        <v>50</v>
      </c>
      <c r="M655">
        <v>50</v>
      </c>
      <c r="N655">
        <v>1</v>
      </c>
      <c r="O655" s="11">
        <f t="shared" si="10"/>
        <v>3.3284895452617329</v>
      </c>
      <c r="P655" s="36">
        <v>2.4232867916694598</v>
      </c>
      <c r="Q655" s="36">
        <v>4.8153206033872298</v>
      </c>
      <c r="R655" s="36">
        <v>9.6047859708735501</v>
      </c>
      <c r="S655" s="36">
        <v>7.5596087957661497</v>
      </c>
      <c r="T655" s="36">
        <v>5.1610581596213496</v>
      </c>
      <c r="U655" s="36">
        <v>4.6486362331974602</v>
      </c>
      <c r="V655" s="36">
        <v>4.21624913145856</v>
      </c>
      <c r="W655" s="36">
        <v>1.9463671959646101</v>
      </c>
      <c r="X655" s="37">
        <v>0.79475829324495695</v>
      </c>
      <c r="Y655" s="37">
        <v>3.1532482344414299</v>
      </c>
      <c r="Z655" s="37">
        <v>2.4001630448020301</v>
      </c>
      <c r="AA655" s="37">
        <v>1.6930940931998799</v>
      </c>
      <c r="AB655" s="37">
        <v>0.22969814145377901</v>
      </c>
      <c r="AC655" s="37">
        <v>1.5783811407702499</v>
      </c>
      <c r="AD655" s="37">
        <v>1.50854004786242</v>
      </c>
      <c r="AE655" s="37">
        <v>1.5226368464746201</v>
      </c>
      <c r="AF655" s="45">
        <v>-1.45852717137203</v>
      </c>
      <c r="AG655" s="45">
        <v>-3.1346027471269799</v>
      </c>
      <c r="AH655" s="46">
        <v>3.51361851837708E-3</v>
      </c>
      <c r="AI655" s="47">
        <v>7.08015297829598E-3</v>
      </c>
      <c r="AJ655" s="48">
        <v>5.0469141102422999</v>
      </c>
      <c r="AK655" s="49">
        <v>1.61006498028117</v>
      </c>
      <c r="AL655" s="31" t="s">
        <v>5875</v>
      </c>
      <c r="AM655" s="31" t="s">
        <v>5876</v>
      </c>
      <c r="AN655" s="31" t="s">
        <v>28374</v>
      </c>
      <c r="AO655" s="31" t="s">
        <v>28375</v>
      </c>
      <c r="AP655" s="31" t="s">
        <v>28376</v>
      </c>
      <c r="AQ655" s="31" t="s">
        <v>28377</v>
      </c>
      <c r="AR655" s="31" t="s">
        <v>28378</v>
      </c>
      <c r="AS655" s="31" t="str">
        <f>"TMED7"</f>
        <v>TMED7</v>
      </c>
      <c r="AT655" s="31" t="s">
        <v>13772</v>
      </c>
      <c r="AU655" s="31" t="s">
        <v>13777</v>
      </c>
      <c r="AV655" s="31">
        <v>9606</v>
      </c>
      <c r="AW655" s="50" t="str">
        <f>HYPERLINK("http://www.uniprot.org/uniprot/Q9Y3B3", "Q9Y3B3")</f>
        <v>Q9Y3B3</v>
      </c>
      <c r="AX655" s="31" t="s">
        <v>28379</v>
      </c>
      <c r="AY655" s="31" t="s">
        <v>14347</v>
      </c>
      <c r="AZ655" s="31" t="s">
        <v>18075</v>
      </c>
      <c r="BA655" s="31" t="s">
        <v>13841</v>
      </c>
      <c r="BB655" s="31" t="s">
        <v>13772</v>
      </c>
      <c r="BC655" s="31" t="s">
        <v>13772</v>
      </c>
      <c r="BD655" s="31" t="s">
        <v>13855</v>
      </c>
      <c r="BE655" s="31" t="s">
        <v>13772</v>
      </c>
      <c r="BF655" s="31" t="s">
        <v>13772</v>
      </c>
      <c r="BG655" s="31" t="s">
        <v>13858</v>
      </c>
      <c r="BH655" s="31" t="s">
        <v>13772</v>
      </c>
      <c r="BI655" s="31" t="s">
        <v>28380</v>
      </c>
      <c r="BJ655" s="31" t="s">
        <v>28381</v>
      </c>
      <c r="BK655" s="31" t="s">
        <v>13772</v>
      </c>
      <c r="BL655" s="31" t="s">
        <v>13772</v>
      </c>
      <c r="BM655" s="31" t="s">
        <v>16533</v>
      </c>
    </row>
    <row r="656" spans="1:65">
      <c r="A656">
        <v>1920</v>
      </c>
      <c r="B656">
        <v>1</v>
      </c>
      <c r="C656">
        <v>651</v>
      </c>
      <c r="D656" t="s">
        <v>4523</v>
      </c>
      <c r="E656" t="s">
        <v>73</v>
      </c>
      <c r="F656" t="s">
        <v>73</v>
      </c>
      <c r="G656">
        <v>41.2</v>
      </c>
      <c r="H656">
        <v>284</v>
      </c>
      <c r="I656">
        <v>31225</v>
      </c>
      <c r="J656" t="s">
        <v>4524</v>
      </c>
      <c r="K656" s="3" t="s">
        <v>73</v>
      </c>
      <c r="L656">
        <v>50</v>
      </c>
      <c r="M656">
        <v>50</v>
      </c>
      <c r="N656">
        <v>1</v>
      </c>
      <c r="O656" s="11">
        <f t="shared" si="10"/>
        <v>2.9783457314589579</v>
      </c>
      <c r="P656" s="36">
        <v>0.30291084895868198</v>
      </c>
      <c r="Q656" s="36">
        <v>0.24076603016936199</v>
      </c>
      <c r="R656" s="36">
        <v>0.40019941545306398</v>
      </c>
      <c r="S656" s="36">
        <v>1.5119217591532299</v>
      </c>
      <c r="T656" s="36">
        <v>0.86017635993689201</v>
      </c>
      <c r="U656" s="36">
        <v>0.23243181165987301</v>
      </c>
      <c r="V656" s="36">
        <v>0.26351557071616</v>
      </c>
      <c r="W656" s="36">
        <v>0.24329589949557701</v>
      </c>
      <c r="X656" s="37">
        <v>7.1528246392046197</v>
      </c>
      <c r="Y656" s="37">
        <v>0.63064964688828595</v>
      </c>
      <c r="Z656" s="37">
        <v>8.0005434826734305</v>
      </c>
      <c r="AA656" s="37">
        <v>12.6982056989991</v>
      </c>
      <c r="AB656" s="37">
        <v>0.22969814145377901</v>
      </c>
      <c r="AC656" s="37">
        <v>3.94595285192562</v>
      </c>
      <c r="AD656" s="37">
        <v>10.559780335037001</v>
      </c>
      <c r="AE656" s="37">
        <v>0.38065921161865401</v>
      </c>
      <c r="AF656" s="45">
        <v>3.2015463661814798</v>
      </c>
      <c r="AG656" s="45">
        <v>10.751164864890001</v>
      </c>
      <c r="AH656" s="46">
        <v>1.49908934964454E-4</v>
      </c>
      <c r="AI656" s="47">
        <v>4.04391441496853E-4</v>
      </c>
      <c r="AJ656" s="48">
        <v>0.50690221194285501</v>
      </c>
      <c r="AK656" s="49">
        <v>5.4497892509750603</v>
      </c>
      <c r="AL656" s="31" t="s">
        <v>5874</v>
      </c>
      <c r="AM656" s="31" t="s">
        <v>5876</v>
      </c>
      <c r="AN656" s="31" t="s">
        <v>32166</v>
      </c>
      <c r="AO656" s="31" t="s">
        <v>32167</v>
      </c>
      <c r="AP656" s="31" t="s">
        <v>32168</v>
      </c>
      <c r="AQ656" s="31" t="s">
        <v>32169</v>
      </c>
      <c r="AR656" s="31" t="s">
        <v>32170</v>
      </c>
      <c r="AS656" s="31" t="str">
        <f>"STOM"</f>
        <v>STOM</v>
      </c>
      <c r="AT656" s="31" t="s">
        <v>32171</v>
      </c>
      <c r="AU656" s="31" t="s">
        <v>13777</v>
      </c>
      <c r="AV656" s="31">
        <v>9606</v>
      </c>
      <c r="AW656" s="50" t="str">
        <f>HYPERLINK("http://www.uniprot.org/uniprot/P27105", "P27105")</f>
        <v>P27105</v>
      </c>
      <c r="AX656" s="31" t="s">
        <v>32172</v>
      </c>
      <c r="AY656" s="31" t="s">
        <v>13772</v>
      </c>
      <c r="AZ656" s="31" t="s">
        <v>32173</v>
      </c>
      <c r="BA656" s="31" t="s">
        <v>13841</v>
      </c>
      <c r="BB656" s="31" t="s">
        <v>13772</v>
      </c>
      <c r="BC656" s="31" t="s">
        <v>13772</v>
      </c>
      <c r="BD656" s="31" t="s">
        <v>13772</v>
      </c>
      <c r="BE656" s="31" t="s">
        <v>13772</v>
      </c>
      <c r="BF656" s="31" t="s">
        <v>13772</v>
      </c>
      <c r="BG656" s="31" t="s">
        <v>16020</v>
      </c>
      <c r="BH656" s="31" t="s">
        <v>13772</v>
      </c>
      <c r="BI656" s="31" t="s">
        <v>32174</v>
      </c>
      <c r="BJ656" s="31" t="s">
        <v>32175</v>
      </c>
      <c r="BK656" s="31" t="s">
        <v>32176</v>
      </c>
      <c r="BL656" s="31" t="s">
        <v>13772</v>
      </c>
      <c r="BM656" s="31" t="s">
        <v>32177</v>
      </c>
    </row>
    <row r="657" spans="1:65">
      <c r="A657">
        <v>2187</v>
      </c>
      <c r="B657">
        <v>1</v>
      </c>
      <c r="C657">
        <v>652</v>
      </c>
      <c r="D657" t="s">
        <v>5115</v>
      </c>
      <c r="E657" t="s">
        <v>5116</v>
      </c>
      <c r="F657" t="s">
        <v>73</v>
      </c>
      <c r="G657">
        <v>29</v>
      </c>
      <c r="H657">
        <v>224</v>
      </c>
      <c r="I657">
        <v>24569</v>
      </c>
      <c r="J657" t="s">
        <v>5117</v>
      </c>
      <c r="K657" s="3" t="s">
        <v>73</v>
      </c>
      <c r="L657">
        <v>50</v>
      </c>
      <c r="M657">
        <v>50</v>
      </c>
      <c r="N657">
        <v>1</v>
      </c>
      <c r="O657" s="11">
        <f t="shared" si="10"/>
        <v>3.2238582278451178</v>
      </c>
      <c r="P657" s="36">
        <v>2.4232867916694598</v>
      </c>
      <c r="Q657" s="36">
        <v>5.7783847240646802</v>
      </c>
      <c r="R657" s="36">
        <v>8.00398830906129</v>
      </c>
      <c r="S657" s="36">
        <v>7.5596087957661497</v>
      </c>
      <c r="T657" s="36">
        <v>2.5805290798106801</v>
      </c>
      <c r="U657" s="36">
        <v>2.7891817399184702</v>
      </c>
      <c r="V657" s="36">
        <v>4.21624913145856</v>
      </c>
      <c r="W657" s="36">
        <v>0.24329589949557701</v>
      </c>
      <c r="X657" s="37">
        <v>2.3842748797348698</v>
      </c>
      <c r="Y657" s="37">
        <v>3.7838978813297102</v>
      </c>
      <c r="Z657" s="37">
        <v>2.4001630448020301</v>
      </c>
      <c r="AA657" s="37">
        <v>4.2327352329997003</v>
      </c>
      <c r="AB657" s="37">
        <v>0.91879256581511404</v>
      </c>
      <c r="AC657" s="37">
        <v>2.36757171115537</v>
      </c>
      <c r="AD657" s="37">
        <v>0.377135011965606</v>
      </c>
      <c r="AE657" s="37">
        <v>1.5226368464746201</v>
      </c>
      <c r="AF657" s="45">
        <v>-0.69206217061252995</v>
      </c>
      <c r="AG657" s="45">
        <v>-1.86768986123023</v>
      </c>
      <c r="AH657" s="46">
        <v>0.146251107575044</v>
      </c>
      <c r="AI657" s="47">
        <v>0.19823088954288801</v>
      </c>
      <c r="AJ657" s="48">
        <v>4.1993155589056101</v>
      </c>
      <c r="AK657" s="49">
        <v>2.2484008967846298</v>
      </c>
      <c r="AL657" s="31" t="s">
        <v>5875</v>
      </c>
      <c r="AM657" s="31" t="s">
        <v>5832</v>
      </c>
      <c r="AN657" s="31" t="s">
        <v>34659</v>
      </c>
      <c r="AO657" s="31" t="s">
        <v>34660</v>
      </c>
      <c r="AP657" s="31" t="s">
        <v>34661</v>
      </c>
      <c r="AQ657" s="31" t="s">
        <v>34662</v>
      </c>
      <c r="AR657" s="31" t="s">
        <v>34663</v>
      </c>
      <c r="AS657" s="31" t="str">
        <f>"SDC4"</f>
        <v>SDC4</v>
      </c>
      <c r="AT657" s="31" t="s">
        <v>13772</v>
      </c>
      <c r="AU657" s="31" t="s">
        <v>13777</v>
      </c>
      <c r="AV657" s="31">
        <v>9606</v>
      </c>
      <c r="AW657" s="50" t="str">
        <f>HYPERLINK("http://www.uniprot.org/uniprot/P31431", "P31431")</f>
        <v>P31431</v>
      </c>
      <c r="AX657" s="31" t="s">
        <v>34664</v>
      </c>
      <c r="AY657" s="31" t="s">
        <v>13772</v>
      </c>
      <c r="AZ657" s="31" t="s">
        <v>17261</v>
      </c>
      <c r="BA657" s="31" t="s">
        <v>13780</v>
      </c>
      <c r="BB657" s="31" t="s">
        <v>13772</v>
      </c>
      <c r="BC657" s="31" t="s">
        <v>13772</v>
      </c>
      <c r="BD657" s="31" t="s">
        <v>13855</v>
      </c>
      <c r="BE657" s="31" t="s">
        <v>13772</v>
      </c>
      <c r="BF657" s="31" t="s">
        <v>13772</v>
      </c>
      <c r="BG657" s="31" t="s">
        <v>34665</v>
      </c>
      <c r="BH657" s="31" t="s">
        <v>13812</v>
      </c>
      <c r="BI657" s="31" t="s">
        <v>34666</v>
      </c>
      <c r="BJ657" s="31" t="s">
        <v>34667</v>
      </c>
      <c r="BK657" s="31" t="s">
        <v>34668</v>
      </c>
      <c r="BL657" s="31" t="s">
        <v>13772</v>
      </c>
      <c r="BM657" s="31" t="s">
        <v>34669</v>
      </c>
    </row>
    <row r="658" spans="1:65">
      <c r="A658">
        <v>2285</v>
      </c>
      <c r="B658">
        <v>1</v>
      </c>
      <c r="C658">
        <v>653</v>
      </c>
      <c r="D658" t="s">
        <v>5339</v>
      </c>
      <c r="E658" t="s">
        <v>73</v>
      </c>
      <c r="F658" t="s">
        <v>73</v>
      </c>
      <c r="G658">
        <v>16.3</v>
      </c>
      <c r="H658">
        <v>441</v>
      </c>
      <c r="I658">
        <v>47524</v>
      </c>
      <c r="J658" t="s">
        <v>5340</v>
      </c>
      <c r="K658" s="3" t="s">
        <v>73</v>
      </c>
      <c r="L658">
        <v>50</v>
      </c>
      <c r="M658">
        <v>50</v>
      </c>
      <c r="N658">
        <v>1</v>
      </c>
      <c r="O658" s="11">
        <f t="shared" si="10"/>
        <v>3.5293456463642681</v>
      </c>
      <c r="P658" s="36">
        <v>3.6349301875041902</v>
      </c>
      <c r="Q658" s="36">
        <v>4.8153206033872298</v>
      </c>
      <c r="R658" s="36">
        <v>12.806381294498101</v>
      </c>
      <c r="S658" s="36">
        <v>6.0476870366129196</v>
      </c>
      <c r="T658" s="36">
        <v>5.1610581596213496</v>
      </c>
      <c r="U658" s="36">
        <v>7.43781797311593</v>
      </c>
      <c r="V658" s="36">
        <v>6.3243736971878404</v>
      </c>
      <c r="W658" s="36">
        <v>3.8927343919292201</v>
      </c>
      <c r="X658" s="37">
        <v>0.19868957331123899</v>
      </c>
      <c r="Y658" s="37">
        <v>0.63064964688828595</v>
      </c>
      <c r="Z658" s="37">
        <v>2.4001630448020301</v>
      </c>
      <c r="AA658" s="37">
        <v>0.21163676164998499</v>
      </c>
      <c r="AB658" s="37">
        <v>0.22969814145377901</v>
      </c>
      <c r="AC658" s="37">
        <v>0.78919057038512497</v>
      </c>
      <c r="AD658" s="37">
        <v>1.50854004786242</v>
      </c>
      <c r="AE658" s="37">
        <v>0.38065921161865401</v>
      </c>
      <c r="AF658" s="45">
        <v>-2.7751452973455999</v>
      </c>
      <c r="AG658" s="45">
        <v>-7.8939221041977898</v>
      </c>
      <c r="AH658" s="46">
        <v>6.4712531376863903E-7</v>
      </c>
      <c r="AI658" s="47">
        <v>3.3560219760559599E-6</v>
      </c>
      <c r="AJ658" s="48">
        <v>6.2650379179820899</v>
      </c>
      <c r="AK658" s="49">
        <v>0.79365337474644004</v>
      </c>
      <c r="AL658" s="31" t="s">
        <v>5875</v>
      </c>
      <c r="AM658" s="31" t="s">
        <v>5876</v>
      </c>
      <c r="AN658" s="31" t="s">
        <v>35578</v>
      </c>
      <c r="AO658" s="31" t="s">
        <v>13772</v>
      </c>
      <c r="AP658" s="31" t="s">
        <v>35579</v>
      </c>
      <c r="AQ658" s="31" t="s">
        <v>35580</v>
      </c>
      <c r="AR658" s="31" t="s">
        <v>35581</v>
      </c>
      <c r="AS658" s="31" t="str">
        <f>"FBLN7"</f>
        <v>FBLN7</v>
      </c>
      <c r="AT658" s="31" t="s">
        <v>35582</v>
      </c>
      <c r="AU658" s="31" t="s">
        <v>13777</v>
      </c>
      <c r="AV658" s="31">
        <v>9606</v>
      </c>
      <c r="AW658" s="50" t="str">
        <f>HYPERLINK("http://www.uniprot.org/uniprot/Q53RD9", "Q53RD9")</f>
        <v>Q53RD9</v>
      </c>
      <c r="AX658" s="31" t="s">
        <v>35583</v>
      </c>
      <c r="AY658" s="31" t="s">
        <v>13949</v>
      </c>
      <c r="AZ658" s="31" t="s">
        <v>13869</v>
      </c>
      <c r="BA658" s="31" t="s">
        <v>13780</v>
      </c>
      <c r="BB658" s="31" t="s">
        <v>13772</v>
      </c>
      <c r="BC658" s="31" t="s">
        <v>13772</v>
      </c>
      <c r="BD658" s="31" t="s">
        <v>35584</v>
      </c>
      <c r="BE658" s="31" t="s">
        <v>14465</v>
      </c>
      <c r="BF658" s="31" t="s">
        <v>14073</v>
      </c>
      <c r="BG658" s="31" t="s">
        <v>13796</v>
      </c>
      <c r="BH658" s="31" t="s">
        <v>13772</v>
      </c>
      <c r="BI658" s="31" t="s">
        <v>34036</v>
      </c>
      <c r="BJ658" s="31" t="s">
        <v>35585</v>
      </c>
      <c r="BK658" s="31" t="s">
        <v>22323</v>
      </c>
      <c r="BL658" s="31" t="s">
        <v>13772</v>
      </c>
      <c r="BM658" s="31" t="s">
        <v>13772</v>
      </c>
    </row>
    <row r="659" spans="1:65">
      <c r="A659">
        <v>68</v>
      </c>
      <c r="B659">
        <v>1</v>
      </c>
      <c r="C659">
        <v>654</v>
      </c>
      <c r="D659" t="s">
        <v>194</v>
      </c>
      <c r="E659" t="s">
        <v>73</v>
      </c>
      <c r="F659" t="s">
        <v>73</v>
      </c>
      <c r="G659">
        <v>26.1</v>
      </c>
      <c r="H659">
        <v>268</v>
      </c>
      <c r="I659">
        <v>29581</v>
      </c>
      <c r="J659" t="s">
        <v>195</v>
      </c>
      <c r="K659" s="3" t="s">
        <v>73</v>
      </c>
      <c r="L659">
        <v>49</v>
      </c>
      <c r="M659">
        <v>49</v>
      </c>
      <c r="N659">
        <v>1</v>
      </c>
      <c r="O659" s="11">
        <f t="shared" si="10"/>
        <v>3.6762013879069002</v>
      </c>
      <c r="P659" s="36">
        <v>10.9047905625126</v>
      </c>
      <c r="Q659" s="36">
        <v>3.85225648270979</v>
      </c>
      <c r="R659" s="36">
        <v>12.806381294498101</v>
      </c>
      <c r="S659" s="36">
        <v>10.5834523140726</v>
      </c>
      <c r="T659" s="36">
        <v>6.0212345195582504</v>
      </c>
      <c r="U659" s="36">
        <v>2.7891817399184702</v>
      </c>
      <c r="V659" s="36">
        <v>3.1621868485939202</v>
      </c>
      <c r="W659" s="36">
        <v>4.8659179899115301</v>
      </c>
      <c r="X659" s="37">
        <v>0.19868957331123899</v>
      </c>
      <c r="Y659" s="37">
        <v>0.15766241172207099</v>
      </c>
      <c r="Z659" s="37">
        <v>0.80005434826734301</v>
      </c>
      <c r="AA659" s="37">
        <v>0.21163676164998499</v>
      </c>
      <c r="AB659" s="37">
        <v>0.91879256581511404</v>
      </c>
      <c r="AC659" s="37">
        <v>0.78919057038512497</v>
      </c>
      <c r="AD659" s="37">
        <v>0.377135011965606</v>
      </c>
      <c r="AE659" s="37">
        <v>0.38065921161865401</v>
      </c>
      <c r="AF659" s="45">
        <v>-3.4814056830349398</v>
      </c>
      <c r="AG659" s="45">
        <v>-14.342195311693001</v>
      </c>
      <c r="AH659" s="46">
        <v>2.2150924356352799E-8</v>
      </c>
      <c r="AI659" s="47">
        <v>1.85237104930001E-7</v>
      </c>
      <c r="AJ659" s="48">
        <v>6.8731752189719</v>
      </c>
      <c r="AK659" s="49">
        <v>0.479227556841892</v>
      </c>
      <c r="AL659" s="31" t="s">
        <v>5875</v>
      </c>
      <c r="AM659" s="31" t="s">
        <v>5876</v>
      </c>
      <c r="AN659" s="31" t="s">
        <v>13943</v>
      </c>
      <c r="AO659" s="31" t="s">
        <v>13944</v>
      </c>
      <c r="AP659" s="31" t="s">
        <v>13945</v>
      </c>
      <c r="AQ659" s="31" t="s">
        <v>13946</v>
      </c>
      <c r="AR659" s="31" t="s">
        <v>13947</v>
      </c>
      <c r="AS659" s="31" t="str">
        <f>"ICAM2"</f>
        <v>ICAM2</v>
      </c>
      <c r="AT659" s="31" t="s">
        <v>13772</v>
      </c>
      <c r="AU659" s="31" t="s">
        <v>13777</v>
      </c>
      <c r="AV659" s="31">
        <v>9606</v>
      </c>
      <c r="AW659" s="50" t="str">
        <f>HYPERLINK("http://www.uniprot.org/uniprot/P13598", "P13598")</f>
        <v>P13598</v>
      </c>
      <c r="AX659" s="31" t="s">
        <v>13948</v>
      </c>
      <c r="AY659" s="31" t="s">
        <v>13949</v>
      </c>
      <c r="AZ659" s="31" t="s">
        <v>13950</v>
      </c>
      <c r="BA659" s="31" t="s">
        <v>13793</v>
      </c>
      <c r="BB659" s="31" t="s">
        <v>13772</v>
      </c>
      <c r="BC659" s="31" t="s">
        <v>13772</v>
      </c>
      <c r="BD659" s="31" t="s">
        <v>13951</v>
      </c>
      <c r="BE659" s="31" t="s">
        <v>13772</v>
      </c>
      <c r="BF659" s="31" t="s">
        <v>13772</v>
      </c>
      <c r="BG659" s="31" t="s">
        <v>13796</v>
      </c>
      <c r="BH659" s="31" t="s">
        <v>13812</v>
      </c>
      <c r="BI659" s="31" t="s">
        <v>13952</v>
      </c>
      <c r="BJ659" s="31" t="s">
        <v>13953</v>
      </c>
      <c r="BK659" s="31" t="s">
        <v>13954</v>
      </c>
      <c r="BL659" s="31" t="s">
        <v>13772</v>
      </c>
      <c r="BM659" s="31" t="s">
        <v>13955</v>
      </c>
    </row>
    <row r="660" spans="1:65">
      <c r="A660">
        <v>152</v>
      </c>
      <c r="B660">
        <v>1</v>
      </c>
      <c r="C660">
        <v>655</v>
      </c>
      <c r="D660" t="s">
        <v>385</v>
      </c>
      <c r="E660" t="s">
        <v>386</v>
      </c>
      <c r="F660" t="s">
        <v>73</v>
      </c>
      <c r="G660">
        <v>40.700000000000003</v>
      </c>
      <c r="H660">
        <v>216</v>
      </c>
      <c r="I660">
        <v>24393</v>
      </c>
      <c r="J660" t="s">
        <v>387</v>
      </c>
      <c r="K660" s="3" t="s">
        <v>73</v>
      </c>
      <c r="L660">
        <v>49</v>
      </c>
      <c r="M660">
        <v>49</v>
      </c>
      <c r="N660">
        <v>1</v>
      </c>
      <c r="O660" s="11">
        <f t="shared" si="10"/>
        <v>2.9336449710902901</v>
      </c>
      <c r="P660" s="36">
        <v>4.8465735833389196</v>
      </c>
      <c r="Q660" s="36">
        <v>4.8153206033872298</v>
      </c>
      <c r="R660" s="36">
        <v>4.8023929854367697</v>
      </c>
      <c r="S660" s="36">
        <v>3.0238435183064598</v>
      </c>
      <c r="T660" s="36">
        <v>2.5805290798106801</v>
      </c>
      <c r="U660" s="36">
        <v>1.85945449327898</v>
      </c>
      <c r="V660" s="36">
        <v>3.1621868485939202</v>
      </c>
      <c r="W660" s="36">
        <v>2.9195507939469199</v>
      </c>
      <c r="X660" s="37">
        <v>2.3842748797348698</v>
      </c>
      <c r="Y660" s="37">
        <v>4.4145475282179998</v>
      </c>
      <c r="Z660" s="37">
        <v>3.2002173930693698</v>
      </c>
      <c r="AA660" s="37">
        <v>1.6930940931998799</v>
      </c>
      <c r="AB660" s="37">
        <v>1.8375851316302301</v>
      </c>
      <c r="AC660" s="37">
        <v>2.36757171115537</v>
      </c>
      <c r="AD660" s="37">
        <v>1.50854004786242</v>
      </c>
      <c r="AE660" s="37">
        <v>1.5226368464746201</v>
      </c>
      <c r="AF660" s="45">
        <v>-0.40841418896064002</v>
      </c>
      <c r="AG660" s="45">
        <v>-1.47977387560506</v>
      </c>
      <c r="AH660" s="46">
        <v>0.340476321310204</v>
      </c>
      <c r="AI660" s="47">
        <v>0.42072785934567303</v>
      </c>
      <c r="AJ660" s="48">
        <v>3.5012314882624902</v>
      </c>
      <c r="AK660" s="49">
        <v>2.3660584539181002</v>
      </c>
      <c r="AL660" s="31" t="s">
        <v>5875</v>
      </c>
      <c r="AM660" s="31" t="s">
        <v>5832</v>
      </c>
      <c r="AN660" s="31" t="s">
        <v>14887</v>
      </c>
      <c r="AO660" s="31" t="s">
        <v>14888</v>
      </c>
      <c r="AP660" s="31" t="s">
        <v>14889</v>
      </c>
      <c r="AQ660" s="31" t="s">
        <v>14890</v>
      </c>
      <c r="AR660" s="31" t="s">
        <v>14891</v>
      </c>
      <c r="AS660" s="31" t="str">
        <f>"RAB11A"</f>
        <v>RAB11A</v>
      </c>
      <c r="AT660" s="31" t="s">
        <v>14892</v>
      </c>
      <c r="AU660" s="31" t="s">
        <v>13777</v>
      </c>
      <c r="AV660" s="31">
        <v>9606</v>
      </c>
      <c r="AW660" s="50" t="str">
        <f>HYPERLINK("http://www.uniprot.org/uniprot/P62491", "P62491")</f>
        <v>P62491</v>
      </c>
      <c r="AX660" s="31" t="s">
        <v>14893</v>
      </c>
      <c r="AY660" s="31" t="s">
        <v>14894</v>
      </c>
      <c r="AZ660" s="31" t="s">
        <v>14895</v>
      </c>
      <c r="BA660" s="31" t="s">
        <v>13841</v>
      </c>
      <c r="BB660" s="31" t="s">
        <v>13772</v>
      </c>
      <c r="BC660" s="31" t="s">
        <v>13772</v>
      </c>
      <c r="BD660" s="31" t="s">
        <v>13772</v>
      </c>
      <c r="BE660" s="31" t="s">
        <v>14216</v>
      </c>
      <c r="BF660" s="31" t="s">
        <v>13772</v>
      </c>
      <c r="BG660" s="31" t="s">
        <v>14896</v>
      </c>
      <c r="BH660" s="31" t="s">
        <v>13812</v>
      </c>
      <c r="BI660" s="31" t="s">
        <v>14897</v>
      </c>
      <c r="BJ660" s="31" t="s">
        <v>14898</v>
      </c>
      <c r="BK660" s="31" t="s">
        <v>14899</v>
      </c>
      <c r="BL660" s="31" t="s">
        <v>13772</v>
      </c>
      <c r="BM660" s="31" t="s">
        <v>14900</v>
      </c>
    </row>
    <row r="661" spans="1:65">
      <c r="A661">
        <v>925</v>
      </c>
      <c r="B661">
        <v>1</v>
      </c>
      <c r="C661">
        <v>656</v>
      </c>
      <c r="D661" t="s">
        <v>2249</v>
      </c>
      <c r="E661" t="s">
        <v>73</v>
      </c>
      <c r="F661" t="s">
        <v>73</v>
      </c>
      <c r="G661">
        <v>65.7</v>
      </c>
      <c r="H661">
        <v>172</v>
      </c>
      <c r="I661">
        <v>19595</v>
      </c>
      <c r="J661" t="s">
        <v>2250</v>
      </c>
      <c r="K661" s="3" t="s">
        <v>73</v>
      </c>
      <c r="L661">
        <v>49</v>
      </c>
      <c r="M661">
        <v>49</v>
      </c>
      <c r="N661">
        <v>1</v>
      </c>
      <c r="O661" s="11">
        <f t="shared" si="10"/>
        <v>2.6869133391010873</v>
      </c>
      <c r="P661" s="36">
        <v>0.30291084895868198</v>
      </c>
      <c r="Q661" s="36">
        <v>0.24076603016936199</v>
      </c>
      <c r="R661" s="36">
        <v>0.40019941545306398</v>
      </c>
      <c r="S661" s="36">
        <v>0.37798043978830698</v>
      </c>
      <c r="T661" s="36">
        <v>0.215044089984223</v>
      </c>
      <c r="U661" s="36">
        <v>0.23243181165987301</v>
      </c>
      <c r="V661" s="36">
        <v>1.05406228286464</v>
      </c>
      <c r="W661" s="36">
        <v>6.8122851858761404</v>
      </c>
      <c r="X661" s="37">
        <v>5.5633080527147003</v>
      </c>
      <c r="Y661" s="37">
        <v>6.3064964688828598</v>
      </c>
      <c r="Z661" s="37">
        <v>0.80005434826734301</v>
      </c>
      <c r="AA661" s="37">
        <v>3.3861881863997598</v>
      </c>
      <c r="AB661" s="37">
        <v>6.4315479607058004</v>
      </c>
      <c r="AC661" s="37">
        <v>6.3135245630809997</v>
      </c>
      <c r="AD661" s="37">
        <v>1.50854004786242</v>
      </c>
      <c r="AE661" s="37">
        <v>3.0452736929492299</v>
      </c>
      <c r="AF661" s="45">
        <v>1.6656483244234299</v>
      </c>
      <c r="AG661" s="45">
        <v>3.4616065454897802</v>
      </c>
      <c r="AH661" s="46">
        <v>1.4235141500665001E-2</v>
      </c>
      <c r="AI661" s="47">
        <v>2.5193940909906998E-2</v>
      </c>
      <c r="AJ661" s="48">
        <v>1.20446001309429</v>
      </c>
      <c r="AK661" s="49">
        <v>4.1693666651078898</v>
      </c>
      <c r="AL661" s="31" t="s">
        <v>5874</v>
      </c>
      <c r="AM661" s="31" t="s">
        <v>5878</v>
      </c>
      <c r="AN661" s="31" t="s">
        <v>22897</v>
      </c>
      <c r="AO661" s="31" t="s">
        <v>22898</v>
      </c>
      <c r="AP661" s="31" t="s">
        <v>22899</v>
      </c>
      <c r="AQ661" s="31" t="s">
        <v>22900</v>
      </c>
      <c r="AR661" s="31" t="s">
        <v>22901</v>
      </c>
      <c r="AS661" s="31" t="str">
        <f>"TPT1"</f>
        <v>TPT1</v>
      </c>
      <c r="AT661" s="31" t="s">
        <v>13772</v>
      </c>
      <c r="AU661" s="31" t="s">
        <v>13777</v>
      </c>
      <c r="AV661" s="31">
        <v>9606</v>
      </c>
      <c r="AW661" s="50" t="str">
        <f>HYPERLINK("http://www.uniprot.org/uniprot/P13693", "P13693")</f>
        <v>P13693</v>
      </c>
      <c r="AX661" s="31" t="s">
        <v>22902</v>
      </c>
      <c r="AY661" s="31" t="s">
        <v>13772</v>
      </c>
      <c r="AZ661" s="31" t="s">
        <v>13899</v>
      </c>
      <c r="BA661" s="31" t="s">
        <v>13780</v>
      </c>
      <c r="BB661" s="31" t="s">
        <v>13772</v>
      </c>
      <c r="BC661" s="31" t="s">
        <v>13772</v>
      </c>
      <c r="BD661" s="31" t="s">
        <v>13772</v>
      </c>
      <c r="BE661" s="31" t="s">
        <v>14465</v>
      </c>
      <c r="BF661" s="31" t="s">
        <v>13772</v>
      </c>
      <c r="BG661" s="31" t="s">
        <v>13782</v>
      </c>
      <c r="BH661" s="31" t="s">
        <v>13812</v>
      </c>
      <c r="BI661" s="31" t="s">
        <v>22903</v>
      </c>
      <c r="BJ661" s="31" t="s">
        <v>22904</v>
      </c>
      <c r="BK661" s="31" t="s">
        <v>22905</v>
      </c>
      <c r="BL661" s="31" t="s">
        <v>13772</v>
      </c>
      <c r="BM661" s="31" t="s">
        <v>13772</v>
      </c>
    </row>
    <row r="662" spans="1:65">
      <c r="A662">
        <v>1922</v>
      </c>
      <c r="B662">
        <v>1</v>
      </c>
      <c r="C662">
        <v>657</v>
      </c>
      <c r="D662" t="s">
        <v>4527</v>
      </c>
      <c r="E662" t="s">
        <v>73</v>
      </c>
      <c r="F662" t="s">
        <v>73</v>
      </c>
      <c r="G662">
        <v>42.5</v>
      </c>
      <c r="H662">
        <v>219</v>
      </c>
      <c r="I662">
        <v>24605</v>
      </c>
      <c r="J662" t="s">
        <v>4528</v>
      </c>
      <c r="K662" s="3" t="s">
        <v>73</v>
      </c>
      <c r="L662">
        <v>49</v>
      </c>
      <c r="M662">
        <v>49</v>
      </c>
      <c r="N662">
        <v>1</v>
      </c>
      <c r="O662" s="11">
        <f t="shared" si="10"/>
        <v>3.0777343694413148</v>
      </c>
      <c r="P662" s="36">
        <v>6.0582169791736504</v>
      </c>
      <c r="Q662" s="36">
        <v>6.7414488447421297</v>
      </c>
      <c r="R662" s="36">
        <v>3.2015953236245198</v>
      </c>
      <c r="S662" s="36">
        <v>4.5357652774596904</v>
      </c>
      <c r="T662" s="36">
        <v>3.4407054397475698</v>
      </c>
      <c r="U662" s="36">
        <v>4.6486362331974602</v>
      </c>
      <c r="V662" s="36">
        <v>6.3243736971878404</v>
      </c>
      <c r="W662" s="36">
        <v>2.9195507939469199</v>
      </c>
      <c r="X662" s="37">
        <v>3.17903317297983</v>
      </c>
      <c r="Y662" s="37">
        <v>1.2612992937765699</v>
      </c>
      <c r="Z662" s="37">
        <v>1.60010869653469</v>
      </c>
      <c r="AA662" s="37">
        <v>0.84654704659994096</v>
      </c>
      <c r="AB662" s="37">
        <v>0.22969814145377901</v>
      </c>
      <c r="AC662" s="37">
        <v>2.36757171115537</v>
      </c>
      <c r="AD662" s="37">
        <v>1.50854004786242</v>
      </c>
      <c r="AE662" s="37">
        <v>0.38065921161865401</v>
      </c>
      <c r="AF662" s="45">
        <v>-1.58693197647086</v>
      </c>
      <c r="AG662" s="45">
        <v>-3.3297080665075001</v>
      </c>
      <c r="AH662" s="46">
        <v>7.8837427452120405E-4</v>
      </c>
      <c r="AI662" s="47">
        <v>1.81869789536098E-3</v>
      </c>
      <c r="AJ662" s="48">
        <v>4.73378657363497</v>
      </c>
      <c r="AK662" s="49">
        <v>1.4216821652476599</v>
      </c>
      <c r="AL662" s="31" t="s">
        <v>5875</v>
      </c>
      <c r="AM662" s="31" t="s">
        <v>5876</v>
      </c>
      <c r="AN662" s="31" t="s">
        <v>32191</v>
      </c>
      <c r="AO662" s="31" t="s">
        <v>32192</v>
      </c>
      <c r="AP662" s="31" t="s">
        <v>32193</v>
      </c>
      <c r="AQ662" s="31" t="s">
        <v>32194</v>
      </c>
      <c r="AR662" s="31" t="s">
        <v>32195</v>
      </c>
      <c r="AS662" s="31" t="str">
        <f>"CHMP5"</f>
        <v>CHMP5</v>
      </c>
      <c r="AT662" s="31" t="s">
        <v>32196</v>
      </c>
      <c r="AU662" s="31" t="s">
        <v>13777</v>
      </c>
      <c r="AV662" s="31">
        <v>9606</v>
      </c>
      <c r="AW662" s="50" t="str">
        <f>HYPERLINK("http://www.uniprot.org/uniprot/Q9NZZ3", "Q9NZZ3")</f>
        <v>Q9NZZ3</v>
      </c>
      <c r="AX662" s="31" t="s">
        <v>32197</v>
      </c>
      <c r="AY662" s="31" t="s">
        <v>14347</v>
      </c>
      <c r="AZ662" s="31" t="s">
        <v>17403</v>
      </c>
      <c r="BA662" s="31" t="s">
        <v>13841</v>
      </c>
      <c r="BB662" s="31" t="s">
        <v>13772</v>
      </c>
      <c r="BC662" s="31" t="s">
        <v>13772</v>
      </c>
      <c r="BD662" s="31" t="s">
        <v>14245</v>
      </c>
      <c r="BE662" s="31" t="s">
        <v>13772</v>
      </c>
      <c r="BF662" s="31" t="s">
        <v>13772</v>
      </c>
      <c r="BG662" s="31" t="s">
        <v>18636</v>
      </c>
      <c r="BH662" s="31" t="s">
        <v>13812</v>
      </c>
      <c r="BI662" s="31" t="s">
        <v>32198</v>
      </c>
      <c r="BJ662" s="31" t="s">
        <v>32199</v>
      </c>
      <c r="BK662" s="31" t="s">
        <v>21896</v>
      </c>
      <c r="BL662" s="31" t="s">
        <v>13772</v>
      </c>
      <c r="BM662" s="31" t="s">
        <v>16863</v>
      </c>
    </row>
    <row r="663" spans="1:65">
      <c r="A663">
        <v>1958</v>
      </c>
      <c r="B663">
        <v>1</v>
      </c>
      <c r="C663">
        <v>658</v>
      </c>
      <c r="D663" t="s">
        <v>4619</v>
      </c>
      <c r="E663" t="s">
        <v>73</v>
      </c>
      <c r="F663" t="s">
        <v>73</v>
      </c>
      <c r="G663">
        <v>83.2</v>
      </c>
      <c r="H663">
        <v>137</v>
      </c>
      <c r="I663">
        <v>14337</v>
      </c>
      <c r="J663" t="s">
        <v>4620</v>
      </c>
      <c r="K663" s="3" t="s">
        <v>73</v>
      </c>
      <c r="L663">
        <v>49</v>
      </c>
      <c r="M663">
        <v>49</v>
      </c>
      <c r="N663">
        <v>1</v>
      </c>
      <c r="O663" s="11">
        <f t="shared" si="10"/>
        <v>2.9446112747086746</v>
      </c>
      <c r="P663" s="36">
        <v>3.6349301875041902</v>
      </c>
      <c r="Q663" s="36">
        <v>3.85225648270979</v>
      </c>
      <c r="R663" s="36">
        <v>0.40019941545306398</v>
      </c>
      <c r="S663" s="36">
        <v>0.37798043978830698</v>
      </c>
      <c r="T663" s="36">
        <v>4.3008817996844604</v>
      </c>
      <c r="U663" s="36">
        <v>3.7189089865579601</v>
      </c>
      <c r="V663" s="36">
        <v>0.26351557071616</v>
      </c>
      <c r="W663" s="36">
        <v>10.7050195778054</v>
      </c>
      <c r="X663" s="37">
        <v>4.7685497594697397</v>
      </c>
      <c r="Y663" s="37">
        <v>0.63064964688828595</v>
      </c>
      <c r="Z663" s="37">
        <v>0.200013587066836</v>
      </c>
      <c r="AA663" s="37">
        <v>2.5396411397998202</v>
      </c>
      <c r="AB663" s="37">
        <v>3.6751702632604601</v>
      </c>
      <c r="AC663" s="37">
        <v>1.5783811407702499</v>
      </c>
      <c r="AD663" s="37">
        <v>0.377135011965606</v>
      </c>
      <c r="AE663" s="37">
        <v>6.0905473858984696</v>
      </c>
      <c r="AF663" s="45">
        <v>-0.54459619419322303</v>
      </c>
      <c r="AG663" s="45">
        <v>-1.3722845814808999</v>
      </c>
      <c r="AH663" s="46">
        <v>0.51286278515212602</v>
      </c>
      <c r="AI663" s="47">
        <v>0.59360761810860296</v>
      </c>
      <c r="AJ663" s="48">
        <v>3.4067115575274101</v>
      </c>
      <c r="AK663" s="49">
        <v>2.4825109918899302</v>
      </c>
      <c r="AL663" s="31" t="s">
        <v>5875</v>
      </c>
      <c r="AM663" s="31" t="s">
        <v>5832</v>
      </c>
      <c r="AN663" s="31" t="s">
        <v>32553</v>
      </c>
      <c r="AO663" s="31" t="s">
        <v>32554</v>
      </c>
      <c r="AP663" s="31" t="s">
        <v>32555</v>
      </c>
      <c r="AQ663" s="31" t="s">
        <v>32556</v>
      </c>
      <c r="AR663" s="31" t="s">
        <v>32557</v>
      </c>
      <c r="AS663" s="31" t="str">
        <f>"RIDA"</f>
        <v>RIDA</v>
      </c>
      <c r="AT663" s="31" t="s">
        <v>13772</v>
      </c>
      <c r="AU663" s="31" t="s">
        <v>13777</v>
      </c>
      <c r="AV663" s="31">
        <v>9606</v>
      </c>
      <c r="AW663" s="50" t="str">
        <f>HYPERLINK("http://www.uniprot.org/uniprot/P52758", "P52758")</f>
        <v>P52758</v>
      </c>
      <c r="AX663" s="31" t="s">
        <v>32558</v>
      </c>
      <c r="AY663" s="31" t="s">
        <v>13772</v>
      </c>
      <c r="AZ663" s="31" t="s">
        <v>32559</v>
      </c>
      <c r="BA663" s="31" t="s">
        <v>13772</v>
      </c>
      <c r="BB663" s="31" t="s">
        <v>13772</v>
      </c>
      <c r="BC663" s="31" t="s">
        <v>13772</v>
      </c>
      <c r="BD663" s="31" t="s">
        <v>13772</v>
      </c>
      <c r="BE663" s="31" t="s">
        <v>13772</v>
      </c>
      <c r="BF663" s="31" t="s">
        <v>13857</v>
      </c>
      <c r="BG663" s="31" t="s">
        <v>13886</v>
      </c>
      <c r="BH663" s="31" t="s">
        <v>13812</v>
      </c>
      <c r="BI663" s="31" t="s">
        <v>32560</v>
      </c>
      <c r="BJ663" s="31" t="s">
        <v>32561</v>
      </c>
      <c r="BK663" s="31" t="s">
        <v>32562</v>
      </c>
      <c r="BL663" s="31" t="s">
        <v>13772</v>
      </c>
      <c r="BM663" s="31" t="s">
        <v>24522</v>
      </c>
    </row>
    <row r="664" spans="1:65">
      <c r="A664">
        <v>2139</v>
      </c>
      <c r="B664">
        <v>1</v>
      </c>
      <c r="C664">
        <v>659</v>
      </c>
      <c r="D664" t="s">
        <v>5016</v>
      </c>
      <c r="E664" t="s">
        <v>73</v>
      </c>
      <c r="F664" t="s">
        <v>73</v>
      </c>
      <c r="G664">
        <v>33.6</v>
      </c>
      <c r="H664">
        <v>440</v>
      </c>
      <c r="I664">
        <v>48090</v>
      </c>
      <c r="J664" t="s">
        <v>5017</v>
      </c>
      <c r="K664" s="3" t="s">
        <v>73</v>
      </c>
      <c r="L664">
        <v>49</v>
      </c>
      <c r="M664">
        <v>49</v>
      </c>
      <c r="N664">
        <v>1</v>
      </c>
      <c r="O664" s="11">
        <f t="shared" si="10"/>
        <v>2.5846317047991607</v>
      </c>
      <c r="P664" s="36">
        <v>0.30291084895868198</v>
      </c>
      <c r="Q664" s="36">
        <v>0.24076603016936199</v>
      </c>
      <c r="R664" s="36">
        <v>0.40019941545306398</v>
      </c>
      <c r="S664" s="36">
        <v>0.37798043978830698</v>
      </c>
      <c r="T664" s="36">
        <v>0.215044089984223</v>
      </c>
      <c r="U664" s="36">
        <v>0.23243181165987301</v>
      </c>
      <c r="V664" s="36">
        <v>0.26351557071616</v>
      </c>
      <c r="W664" s="36">
        <v>1.9463671959646101</v>
      </c>
      <c r="X664" s="37">
        <v>3.9737914662247902</v>
      </c>
      <c r="Y664" s="37">
        <v>6.9371461157711396</v>
      </c>
      <c r="Z664" s="37">
        <v>8.8005978309407702</v>
      </c>
      <c r="AA664" s="37">
        <v>5.0792822795996404</v>
      </c>
      <c r="AB664" s="37">
        <v>5.5127553948906796</v>
      </c>
      <c r="AC664" s="37">
        <v>6.3135245630809997</v>
      </c>
      <c r="AD664" s="37">
        <v>0.377135011965606</v>
      </c>
      <c r="AE664" s="37">
        <v>0.38065921161865401</v>
      </c>
      <c r="AF664" s="45">
        <v>3.0117508858743398</v>
      </c>
      <c r="AG664" s="45">
        <v>9.3925279462846198</v>
      </c>
      <c r="AH664" s="46">
        <v>1.6069441641924401E-5</v>
      </c>
      <c r="AI664" s="47">
        <v>5.5414724012615501E-5</v>
      </c>
      <c r="AJ664" s="48">
        <v>0.49740192533678601</v>
      </c>
      <c r="AK664" s="49">
        <v>4.67186148426154</v>
      </c>
      <c r="AL664" s="31" t="s">
        <v>5874</v>
      </c>
      <c r="AM664" s="31" t="s">
        <v>5876</v>
      </c>
      <c r="AN664" s="31" t="s">
        <v>34219</v>
      </c>
      <c r="AO664" s="31" t="s">
        <v>34220</v>
      </c>
      <c r="AP664" s="31" t="s">
        <v>34221</v>
      </c>
      <c r="AQ664" s="31" t="s">
        <v>34222</v>
      </c>
      <c r="AR664" s="31" t="s">
        <v>34223</v>
      </c>
      <c r="AS664" s="31" t="str">
        <f>"PDIA6"</f>
        <v>PDIA6</v>
      </c>
      <c r="AT664" s="31" t="s">
        <v>34224</v>
      </c>
      <c r="AU664" s="31" t="s">
        <v>13777</v>
      </c>
      <c r="AV664" s="31">
        <v>9606</v>
      </c>
      <c r="AW664" s="50" t="str">
        <f>HYPERLINK("http://www.uniprot.org/uniprot/Q15084", "Q15084")</f>
        <v>Q15084</v>
      </c>
      <c r="AX664" s="31" t="s">
        <v>34225</v>
      </c>
      <c r="AY664" s="31" t="s">
        <v>13772</v>
      </c>
      <c r="AZ664" s="31" t="s">
        <v>24225</v>
      </c>
      <c r="BA664" s="31" t="s">
        <v>13780</v>
      </c>
      <c r="BB664" s="31" t="s">
        <v>13772</v>
      </c>
      <c r="BC664" s="31" t="s">
        <v>13772</v>
      </c>
      <c r="BD664" s="31" t="s">
        <v>14909</v>
      </c>
      <c r="BE664" s="31" t="s">
        <v>13772</v>
      </c>
      <c r="BF664" s="31" t="s">
        <v>23747</v>
      </c>
      <c r="BG664" s="31" t="s">
        <v>15554</v>
      </c>
      <c r="BH664" s="31" t="s">
        <v>13812</v>
      </c>
      <c r="BI664" s="31" t="s">
        <v>34226</v>
      </c>
      <c r="BJ664" s="31" t="s">
        <v>34227</v>
      </c>
      <c r="BK664" s="31" t="s">
        <v>34228</v>
      </c>
      <c r="BL664" s="31" t="s">
        <v>13772</v>
      </c>
      <c r="BM664" s="31" t="s">
        <v>34229</v>
      </c>
    </row>
    <row r="665" spans="1:65">
      <c r="A665">
        <v>974</v>
      </c>
      <c r="B665">
        <v>1</v>
      </c>
      <c r="C665">
        <v>660</v>
      </c>
      <c r="D665" t="s">
        <v>2363</v>
      </c>
      <c r="E665" t="s">
        <v>73</v>
      </c>
      <c r="F665" t="s">
        <v>73</v>
      </c>
      <c r="G665">
        <v>44.7</v>
      </c>
      <c r="H665">
        <v>215</v>
      </c>
      <c r="I665">
        <v>24893</v>
      </c>
      <c r="J665" t="s">
        <v>2365</v>
      </c>
      <c r="K665" s="3" t="s">
        <v>73</v>
      </c>
      <c r="L665">
        <v>52</v>
      </c>
      <c r="M665">
        <v>46</v>
      </c>
      <c r="N665">
        <v>0.88500000000000001</v>
      </c>
      <c r="O665" s="11">
        <f t="shared" si="10"/>
        <v>2.648411760747218</v>
      </c>
      <c r="P665" s="36">
        <v>0.30291084895868198</v>
      </c>
      <c r="Q665" s="36">
        <v>2.8891923620323401</v>
      </c>
      <c r="R665" s="36">
        <v>0.40019941545306398</v>
      </c>
      <c r="S665" s="36">
        <v>1.5119217591532299</v>
      </c>
      <c r="T665" s="36">
        <v>0.86017635993689201</v>
      </c>
      <c r="U665" s="36">
        <v>0.23243181165987301</v>
      </c>
      <c r="V665" s="36">
        <v>0.26351557071616</v>
      </c>
      <c r="W665" s="36">
        <v>0.24329589949557701</v>
      </c>
      <c r="X665" s="37">
        <v>6.91439715123113</v>
      </c>
      <c r="Y665" s="37">
        <v>3.4685730578855698</v>
      </c>
      <c r="Z665" s="37">
        <v>9.4406413095546409</v>
      </c>
      <c r="AA665" s="37">
        <v>5.9258293261995796</v>
      </c>
      <c r="AB665" s="37">
        <v>7.0747027567763796</v>
      </c>
      <c r="AC665" s="37">
        <v>0.94702868446215005</v>
      </c>
      <c r="AD665" s="37">
        <v>0.377135011965606</v>
      </c>
      <c r="AE665" s="37">
        <v>1.5226368464746201</v>
      </c>
      <c r="AF665" s="45">
        <v>2.2954152794595801</v>
      </c>
      <c r="AG665" s="45">
        <v>5.3211274343804398</v>
      </c>
      <c r="AH665" s="46">
        <v>1.26992542990427E-3</v>
      </c>
      <c r="AI665" s="47">
        <v>2.7764055967514898E-3</v>
      </c>
      <c r="AJ665" s="48">
        <v>0.837955503425727</v>
      </c>
      <c r="AK665" s="49">
        <v>4.4588680180687099</v>
      </c>
      <c r="AL665" s="31" t="s">
        <v>5874</v>
      </c>
      <c r="AM665" s="31" t="s">
        <v>5876</v>
      </c>
      <c r="AN665" s="31" t="s">
        <v>23378</v>
      </c>
      <c r="AO665" s="31" t="s">
        <v>23379</v>
      </c>
      <c r="AP665" s="31" t="s">
        <v>23380</v>
      </c>
      <c r="AQ665" s="31" t="s">
        <v>23381</v>
      </c>
      <c r="AR665" s="31" t="s">
        <v>23382</v>
      </c>
      <c r="AS665" s="31" t="str">
        <f>"HMGB1"</f>
        <v>HMGB1</v>
      </c>
      <c r="AT665" s="31" t="s">
        <v>23383</v>
      </c>
      <c r="AU665" s="31" t="s">
        <v>13777</v>
      </c>
      <c r="AV665" s="31">
        <v>9606</v>
      </c>
      <c r="AW665" s="50" t="str">
        <f>HYPERLINK("http://www.uniprot.org/uniprot/P09429", "P09429")</f>
        <v>P09429</v>
      </c>
      <c r="AX665" s="31" t="s">
        <v>23384</v>
      </c>
      <c r="AY665" s="31" t="s">
        <v>23385</v>
      </c>
      <c r="AZ665" s="31" t="s">
        <v>23386</v>
      </c>
      <c r="BA665" s="31" t="s">
        <v>13793</v>
      </c>
      <c r="BB665" s="31" t="s">
        <v>13772</v>
      </c>
      <c r="BC665" s="31" t="s">
        <v>13772</v>
      </c>
      <c r="BD665" s="31" t="s">
        <v>14096</v>
      </c>
      <c r="BE665" s="31" t="s">
        <v>13772</v>
      </c>
      <c r="BF665" s="31" t="s">
        <v>15871</v>
      </c>
      <c r="BG665" s="31" t="s">
        <v>23387</v>
      </c>
      <c r="BH665" s="31" t="s">
        <v>13812</v>
      </c>
      <c r="BI665" s="31" t="s">
        <v>23388</v>
      </c>
      <c r="BJ665" s="31" t="s">
        <v>23389</v>
      </c>
      <c r="BK665" s="31" t="s">
        <v>23390</v>
      </c>
      <c r="BL665" s="31" t="s">
        <v>13772</v>
      </c>
      <c r="BM665" s="31" t="s">
        <v>23391</v>
      </c>
    </row>
    <row r="666" spans="1:65">
      <c r="A666">
        <v>1665</v>
      </c>
      <c r="B666">
        <v>1</v>
      </c>
      <c r="C666">
        <v>661</v>
      </c>
      <c r="D666" t="s">
        <v>3948</v>
      </c>
      <c r="E666" t="s">
        <v>73</v>
      </c>
      <c r="F666" t="s">
        <v>73</v>
      </c>
      <c r="G666">
        <v>49.4</v>
      </c>
      <c r="H666">
        <v>447</v>
      </c>
      <c r="I666">
        <v>50536</v>
      </c>
      <c r="J666" t="s">
        <v>3949</v>
      </c>
      <c r="K666" s="3" t="s">
        <v>73</v>
      </c>
      <c r="L666">
        <v>63</v>
      </c>
      <c r="M666">
        <v>38</v>
      </c>
      <c r="N666">
        <v>0.60299999999999998</v>
      </c>
      <c r="O666" s="11">
        <f t="shared" si="10"/>
        <v>2.6049055510317616</v>
      </c>
      <c r="P666" s="36">
        <v>0.60582169791736495</v>
      </c>
      <c r="Q666" s="36">
        <v>1.9261282413548899</v>
      </c>
      <c r="R666" s="36">
        <v>0.40019941545306398</v>
      </c>
      <c r="S666" s="36">
        <v>0.37798043978830698</v>
      </c>
      <c r="T666" s="36">
        <v>3.0106172597791199</v>
      </c>
      <c r="U666" s="36">
        <v>3.06809991391032</v>
      </c>
      <c r="V666" s="36">
        <v>2.10812456572928</v>
      </c>
      <c r="W666" s="36">
        <v>8.0774238632531397</v>
      </c>
      <c r="X666" s="37">
        <v>7.4707279565025999</v>
      </c>
      <c r="Y666" s="37">
        <v>4.4776124929068297</v>
      </c>
      <c r="Z666" s="37">
        <v>4.4002989154703904</v>
      </c>
      <c r="AA666" s="37">
        <v>3.9787711190197199</v>
      </c>
      <c r="AB666" s="37">
        <v>0.22969814145377901</v>
      </c>
      <c r="AC666" s="37">
        <v>0.78919057038512497</v>
      </c>
      <c r="AD666" s="37">
        <v>0.377135011965606</v>
      </c>
      <c r="AE666" s="37">
        <v>0.38065921161865401</v>
      </c>
      <c r="AF666" s="45">
        <v>0.178735550596198</v>
      </c>
      <c r="AG666" s="45">
        <v>1.1292350527721</v>
      </c>
      <c r="AH666" s="46">
        <v>0.91997982514923704</v>
      </c>
      <c r="AI666" s="47">
        <v>0.94924215725541905</v>
      </c>
      <c r="AJ666" s="48">
        <v>2.4467994246481899</v>
      </c>
      <c r="AK666" s="49">
        <v>2.7630116774153399</v>
      </c>
      <c r="AL666" s="31" t="s">
        <v>5874</v>
      </c>
      <c r="AM666" s="31" t="s">
        <v>5832</v>
      </c>
      <c r="AN666" s="31" t="s">
        <v>29769</v>
      </c>
      <c r="AO666" s="31" t="s">
        <v>29770</v>
      </c>
      <c r="AP666" s="31" t="s">
        <v>29771</v>
      </c>
      <c r="AQ666" s="31" t="s">
        <v>29772</v>
      </c>
      <c r="AR666" s="31" t="s">
        <v>29773</v>
      </c>
      <c r="AS666" s="31" t="str">
        <f>"GDI1"</f>
        <v>GDI1</v>
      </c>
      <c r="AT666" s="31" t="s">
        <v>29774</v>
      </c>
      <c r="AU666" s="31" t="s">
        <v>13777</v>
      </c>
      <c r="AV666" s="31">
        <v>9606</v>
      </c>
      <c r="AW666" s="50" t="str">
        <f>HYPERLINK("http://www.uniprot.org/uniprot/P31150", "P31150")</f>
        <v>P31150</v>
      </c>
      <c r="AX666" s="31" t="s">
        <v>29775</v>
      </c>
      <c r="AY666" s="31" t="s">
        <v>13772</v>
      </c>
      <c r="AZ666" s="31" t="s">
        <v>17355</v>
      </c>
      <c r="BA666" s="31" t="s">
        <v>13772</v>
      </c>
      <c r="BB666" s="31" t="s">
        <v>13772</v>
      </c>
      <c r="BC666" s="31" t="s">
        <v>17801</v>
      </c>
      <c r="BD666" s="31" t="s">
        <v>13772</v>
      </c>
      <c r="BE666" s="31" t="s">
        <v>13772</v>
      </c>
      <c r="BF666" s="31" t="s">
        <v>14301</v>
      </c>
      <c r="BG666" s="31" t="s">
        <v>13772</v>
      </c>
      <c r="BH666" s="31" t="s">
        <v>13772</v>
      </c>
      <c r="BI666" s="31" t="s">
        <v>29776</v>
      </c>
      <c r="BJ666" s="31" t="s">
        <v>29777</v>
      </c>
      <c r="BK666" s="31" t="s">
        <v>29778</v>
      </c>
      <c r="BL666" s="31" t="s">
        <v>13772</v>
      </c>
      <c r="BM666" s="31" t="s">
        <v>29779</v>
      </c>
    </row>
    <row r="667" spans="1:65">
      <c r="A667">
        <v>1388</v>
      </c>
      <c r="B667">
        <v>1</v>
      </c>
      <c r="C667">
        <v>662</v>
      </c>
      <c r="D667" t="s">
        <v>3318</v>
      </c>
      <c r="E667" t="s">
        <v>73</v>
      </c>
      <c r="F667" t="s">
        <v>73</v>
      </c>
      <c r="G667">
        <v>39.700000000000003</v>
      </c>
      <c r="H667">
        <v>433</v>
      </c>
      <c r="I667">
        <v>47744</v>
      </c>
      <c r="J667" t="s">
        <v>3319</v>
      </c>
      <c r="K667" s="3" t="s">
        <v>73</v>
      </c>
      <c r="L667">
        <v>50</v>
      </c>
      <c r="M667">
        <v>48</v>
      </c>
      <c r="N667">
        <v>0.96</v>
      </c>
      <c r="O667" s="11">
        <f t="shared" si="10"/>
        <v>2.7060302198474884</v>
      </c>
      <c r="P667" s="36">
        <v>3.6349301875041902</v>
      </c>
      <c r="Q667" s="36">
        <v>0.24076603016936199</v>
      </c>
      <c r="R667" s="36">
        <v>1.6007976618122599</v>
      </c>
      <c r="S667" s="36">
        <v>0.37798043978830698</v>
      </c>
      <c r="T667" s="36">
        <v>0.215044089984223</v>
      </c>
      <c r="U667" s="36">
        <v>0.23243181165987301</v>
      </c>
      <c r="V667" s="36">
        <v>1.05406228286464</v>
      </c>
      <c r="W667" s="36">
        <v>1.9463671959646101</v>
      </c>
      <c r="X667" s="37">
        <v>3.9737914662247902</v>
      </c>
      <c r="Y667" s="37">
        <v>5.86504171606106</v>
      </c>
      <c r="Z667" s="37">
        <v>5.6003804378713999</v>
      </c>
      <c r="AA667" s="37">
        <v>6.2644481448395597</v>
      </c>
      <c r="AB667" s="37">
        <v>4.5939628290755703</v>
      </c>
      <c r="AC667" s="37">
        <v>3.1567622815404999</v>
      </c>
      <c r="AD667" s="37">
        <v>3.0170800957248498</v>
      </c>
      <c r="AE667" s="37">
        <v>1.5226368464746201</v>
      </c>
      <c r="AF667" s="45">
        <v>1.9094755269170001</v>
      </c>
      <c r="AG667" s="45">
        <v>3.6543449004489901</v>
      </c>
      <c r="AH667" s="46">
        <v>6.8015834686998503E-4</v>
      </c>
      <c r="AI667" s="47">
        <v>1.602203993155E-3</v>
      </c>
      <c r="AJ667" s="48">
        <v>1.1627974624684301</v>
      </c>
      <c r="AK667" s="49">
        <v>4.2492629772265396</v>
      </c>
      <c r="AL667" s="31" t="s">
        <v>5874</v>
      </c>
      <c r="AM667" s="31" t="s">
        <v>5876</v>
      </c>
      <c r="AN667" s="31" t="s">
        <v>27181</v>
      </c>
      <c r="AO667" s="31" t="s">
        <v>27182</v>
      </c>
      <c r="AP667" s="31" t="s">
        <v>27183</v>
      </c>
      <c r="AQ667" s="31" t="s">
        <v>27184</v>
      </c>
      <c r="AR667" s="31" t="s">
        <v>27185</v>
      </c>
      <c r="AS667" s="31" t="str">
        <f>"TXNDC5"</f>
        <v>TXNDC5</v>
      </c>
      <c r="AT667" s="31" t="s">
        <v>27186</v>
      </c>
      <c r="AU667" s="31" t="s">
        <v>13777</v>
      </c>
      <c r="AV667" s="31">
        <v>9606</v>
      </c>
      <c r="AW667" s="50" t="str">
        <f>HYPERLINK("http://www.uniprot.org/uniprot/Q8NBS9", "Q8NBS9")</f>
        <v>Q8NBS9</v>
      </c>
      <c r="AX667" s="31" t="s">
        <v>27187</v>
      </c>
      <c r="AY667" s="31" t="s">
        <v>13772</v>
      </c>
      <c r="AZ667" s="31" t="s">
        <v>14908</v>
      </c>
      <c r="BA667" s="31" t="s">
        <v>13841</v>
      </c>
      <c r="BB667" s="31" t="s">
        <v>13772</v>
      </c>
      <c r="BC667" s="31" t="s">
        <v>13772</v>
      </c>
      <c r="BD667" s="31" t="s">
        <v>14909</v>
      </c>
      <c r="BE667" s="31" t="s">
        <v>13772</v>
      </c>
      <c r="BF667" s="31" t="s">
        <v>13772</v>
      </c>
      <c r="BG667" s="31" t="s">
        <v>14506</v>
      </c>
      <c r="BH667" s="31" t="s">
        <v>13812</v>
      </c>
      <c r="BI667" s="31" t="s">
        <v>27188</v>
      </c>
      <c r="BJ667" s="31" t="s">
        <v>27189</v>
      </c>
      <c r="BK667" s="31" t="s">
        <v>27190</v>
      </c>
      <c r="BL667" s="31" t="s">
        <v>13772</v>
      </c>
      <c r="BM667" s="31" t="s">
        <v>27191</v>
      </c>
    </row>
    <row r="668" spans="1:65">
      <c r="A668">
        <v>1134</v>
      </c>
      <c r="B668">
        <v>1</v>
      </c>
      <c r="C668">
        <v>663</v>
      </c>
      <c r="D668" t="s">
        <v>2729</v>
      </c>
      <c r="E668" t="s">
        <v>2730</v>
      </c>
      <c r="F668" t="s">
        <v>73</v>
      </c>
      <c r="G668">
        <v>29.6</v>
      </c>
      <c r="H668">
        <v>189</v>
      </c>
      <c r="I668">
        <v>20719</v>
      </c>
      <c r="J668" t="s">
        <v>2732</v>
      </c>
      <c r="K668" s="3" t="s">
        <v>73</v>
      </c>
      <c r="L668">
        <v>54</v>
      </c>
      <c r="M668">
        <v>29</v>
      </c>
      <c r="N668">
        <v>0.53700000000000003</v>
      </c>
      <c r="O668" s="11">
        <f t="shared" si="10"/>
        <v>2.8592374865778027</v>
      </c>
      <c r="P668" s="36">
        <v>4.1195875458380797</v>
      </c>
      <c r="Q668" s="36">
        <v>2.8891923620323401</v>
      </c>
      <c r="R668" s="36">
        <v>3.2015953236245198</v>
      </c>
      <c r="S668" s="36">
        <v>4.3845731015443699</v>
      </c>
      <c r="T668" s="36">
        <v>4.9890228876339702</v>
      </c>
      <c r="U668" s="36">
        <v>1.85945449327898</v>
      </c>
      <c r="V668" s="36">
        <v>2.10812456572928</v>
      </c>
      <c r="W668" s="36">
        <v>1.9463671959646101</v>
      </c>
      <c r="X668" s="37">
        <v>3.4969364902778102</v>
      </c>
      <c r="Y668" s="37">
        <v>3.9730927753962</v>
      </c>
      <c r="Z668" s="37">
        <v>3.9202663065099799</v>
      </c>
      <c r="AA668" s="37">
        <v>1.6930940931998799</v>
      </c>
      <c r="AB668" s="37">
        <v>1.8375851316302301</v>
      </c>
      <c r="AC668" s="37">
        <v>0.78919057038512497</v>
      </c>
      <c r="AD668" s="37">
        <v>3.0170800957248498</v>
      </c>
      <c r="AE668" s="37">
        <v>1.5226368464746201</v>
      </c>
      <c r="AF668" s="45">
        <v>-0.25439980121628603</v>
      </c>
      <c r="AG668" s="45">
        <v>-1.25916373664848</v>
      </c>
      <c r="AH668" s="46">
        <v>0.58977131361213897</v>
      </c>
      <c r="AI668" s="47">
        <v>0.66648143379479896</v>
      </c>
      <c r="AJ668" s="48">
        <v>3.1872396844557702</v>
      </c>
      <c r="AK668" s="49">
        <v>2.5312352886998402</v>
      </c>
      <c r="AL668" s="31" t="s">
        <v>5875</v>
      </c>
      <c r="AM668" s="31" t="s">
        <v>5832</v>
      </c>
      <c r="AN668" s="31" t="s">
        <v>24726</v>
      </c>
      <c r="AO668" s="31" t="s">
        <v>24727</v>
      </c>
      <c r="AP668" s="31" t="s">
        <v>24728</v>
      </c>
      <c r="AQ668" s="31" t="s">
        <v>24729</v>
      </c>
      <c r="AR668" s="31" t="s">
        <v>13772</v>
      </c>
      <c r="AS668" s="31" t="str">
        <f>"TUBA1C"</f>
        <v>TUBA1C</v>
      </c>
      <c r="AT668" s="31" t="s">
        <v>24730</v>
      </c>
      <c r="AU668" s="31" t="s">
        <v>13777</v>
      </c>
      <c r="AV668" s="31">
        <v>9606</v>
      </c>
      <c r="AW668" s="50" t="str">
        <f>HYPERLINK("http://www.uniprot.org/uniprot/Q9BQE3", "Q9BQE3")</f>
        <v>Q9BQE3</v>
      </c>
      <c r="AX668" s="31" t="s">
        <v>24731</v>
      </c>
      <c r="AY668" s="31" t="s">
        <v>13772</v>
      </c>
      <c r="AZ668" s="31" t="s">
        <v>20183</v>
      </c>
      <c r="BA668" s="31" t="s">
        <v>13772</v>
      </c>
      <c r="BB668" s="31" t="s">
        <v>13772</v>
      </c>
      <c r="BC668" s="31" t="s">
        <v>13772</v>
      </c>
      <c r="BD668" s="31" t="s">
        <v>13772</v>
      </c>
      <c r="BE668" s="31" t="s">
        <v>14216</v>
      </c>
      <c r="BF668" s="31" t="s">
        <v>13772</v>
      </c>
      <c r="BG668" s="31" t="s">
        <v>23698</v>
      </c>
      <c r="BH668" s="31" t="s">
        <v>13772</v>
      </c>
      <c r="BI668" s="31" t="s">
        <v>24732</v>
      </c>
      <c r="BJ668" s="31" t="s">
        <v>24733</v>
      </c>
      <c r="BK668" s="31" t="s">
        <v>24734</v>
      </c>
      <c r="BL668" s="31" t="s">
        <v>13772</v>
      </c>
      <c r="BM668" s="31" t="s">
        <v>24735</v>
      </c>
    </row>
    <row r="669" spans="1:65">
      <c r="A669">
        <v>526</v>
      </c>
      <c r="B669">
        <v>1</v>
      </c>
      <c r="C669">
        <v>664</v>
      </c>
      <c r="D669" t="s">
        <v>1325</v>
      </c>
      <c r="E669" t="s">
        <v>73</v>
      </c>
      <c r="F669" t="s">
        <v>73</v>
      </c>
      <c r="G669">
        <v>42.2</v>
      </c>
      <c r="H669">
        <v>427</v>
      </c>
      <c r="I669">
        <v>45075</v>
      </c>
      <c r="J669" t="s">
        <v>1326</v>
      </c>
      <c r="K669" s="3" t="s">
        <v>73</v>
      </c>
      <c r="L669">
        <v>48</v>
      </c>
      <c r="M669">
        <v>48</v>
      </c>
      <c r="N669">
        <v>1</v>
      </c>
      <c r="O669" s="11">
        <f t="shared" si="10"/>
        <v>2.6671090711929804</v>
      </c>
      <c r="P669" s="36">
        <v>0.30291084895868198</v>
      </c>
      <c r="Q669" s="36">
        <v>1.9261282413548899</v>
      </c>
      <c r="R669" s="36">
        <v>0.40019941545306398</v>
      </c>
      <c r="S669" s="36">
        <v>0.37798043978830698</v>
      </c>
      <c r="T669" s="36">
        <v>6.0212345195582504</v>
      </c>
      <c r="U669" s="36">
        <v>2.7891817399184702</v>
      </c>
      <c r="V669" s="36">
        <v>0.26351557071616</v>
      </c>
      <c r="W669" s="36">
        <v>6.8122851858761404</v>
      </c>
      <c r="X669" s="37">
        <v>4.7685497594697397</v>
      </c>
      <c r="Y669" s="37">
        <v>2.5225985875531398</v>
      </c>
      <c r="Z669" s="37">
        <v>5.6003804378713999</v>
      </c>
      <c r="AA669" s="37">
        <v>5.9258293261995796</v>
      </c>
      <c r="AB669" s="37">
        <v>1.8375851316302301</v>
      </c>
      <c r="AC669" s="37">
        <v>2.36757171115537</v>
      </c>
      <c r="AD669" s="37">
        <v>0.377135011965606</v>
      </c>
      <c r="AE669" s="37">
        <v>0.38065921161865401</v>
      </c>
      <c r="AF669" s="45">
        <v>0.29119584849373698</v>
      </c>
      <c r="AG669" s="45">
        <v>1.25865455207649</v>
      </c>
      <c r="AH669" s="46">
        <v>0.68199514963520302</v>
      </c>
      <c r="AI669" s="47">
        <v>0.75041900510847204</v>
      </c>
      <c r="AJ669" s="48">
        <v>2.361679495203</v>
      </c>
      <c r="AK669" s="49">
        <v>2.97253864718297</v>
      </c>
      <c r="AL669" s="31" t="s">
        <v>5874</v>
      </c>
      <c r="AM669" s="31" t="s">
        <v>5832</v>
      </c>
      <c r="AN669" s="31" t="s">
        <v>18982</v>
      </c>
      <c r="AO669" s="31" t="s">
        <v>18983</v>
      </c>
      <c r="AP669" s="31" t="s">
        <v>18984</v>
      </c>
      <c r="AQ669" s="31" t="s">
        <v>18985</v>
      </c>
      <c r="AR669" s="31" t="s">
        <v>18986</v>
      </c>
      <c r="AS669" s="31" t="str">
        <f>"ACAT1"</f>
        <v>ACAT1</v>
      </c>
      <c r="AT669" s="31" t="s">
        <v>18987</v>
      </c>
      <c r="AU669" s="31" t="s">
        <v>13777</v>
      </c>
      <c r="AV669" s="31">
        <v>9606</v>
      </c>
      <c r="AW669" s="50" t="str">
        <f>HYPERLINK("http://www.uniprot.org/uniprot/P24752", "P24752")</f>
        <v>P24752</v>
      </c>
      <c r="AX669" s="31" t="s">
        <v>18988</v>
      </c>
      <c r="AY669" s="31" t="s">
        <v>13772</v>
      </c>
      <c r="AZ669" s="31" t="s">
        <v>14491</v>
      </c>
      <c r="BA669" s="31" t="s">
        <v>13780</v>
      </c>
      <c r="BB669" s="31" t="s">
        <v>13772</v>
      </c>
      <c r="BC669" s="31" t="s">
        <v>13807</v>
      </c>
      <c r="BD669" s="31" t="s">
        <v>14391</v>
      </c>
      <c r="BE669" s="31" t="s">
        <v>18989</v>
      </c>
      <c r="BF669" s="31" t="s">
        <v>15096</v>
      </c>
      <c r="BG669" s="31" t="s">
        <v>14020</v>
      </c>
      <c r="BH669" s="31" t="s">
        <v>13812</v>
      </c>
      <c r="BI669" s="31" t="s">
        <v>18990</v>
      </c>
      <c r="BJ669" s="31" t="s">
        <v>18991</v>
      </c>
      <c r="BK669" s="31" t="s">
        <v>18992</v>
      </c>
      <c r="BL669" s="31" t="s">
        <v>13772</v>
      </c>
      <c r="BM669" s="31" t="s">
        <v>18993</v>
      </c>
    </row>
    <row r="670" spans="1:65">
      <c r="A670">
        <v>678</v>
      </c>
      <c r="B670">
        <v>1</v>
      </c>
      <c r="C670">
        <v>665</v>
      </c>
      <c r="D670" t="s">
        <v>1668</v>
      </c>
      <c r="E670" t="s">
        <v>1669</v>
      </c>
      <c r="F670" t="s">
        <v>73</v>
      </c>
      <c r="G670">
        <v>9.4</v>
      </c>
      <c r="H670">
        <v>830</v>
      </c>
      <c r="I670">
        <v>91501</v>
      </c>
      <c r="J670" t="s">
        <v>1670</v>
      </c>
      <c r="K670" s="3" t="s">
        <v>73</v>
      </c>
      <c r="L670">
        <v>48</v>
      </c>
      <c r="M670">
        <v>48</v>
      </c>
      <c r="N670">
        <v>1</v>
      </c>
      <c r="O670" s="11">
        <f t="shared" si="10"/>
        <v>3.060501608830958</v>
      </c>
      <c r="P670" s="36">
        <v>2.4232867916694598</v>
      </c>
      <c r="Q670" s="36">
        <v>1.9261282413548899</v>
      </c>
      <c r="R670" s="36">
        <v>4.8023929854367697</v>
      </c>
      <c r="S670" s="36">
        <v>4.5357652774596904</v>
      </c>
      <c r="T670" s="36">
        <v>4.3008817996844604</v>
      </c>
      <c r="U670" s="36">
        <v>1.85945449327898</v>
      </c>
      <c r="V670" s="36">
        <v>5.2703114143232002</v>
      </c>
      <c r="W670" s="36">
        <v>2.9195507939469199</v>
      </c>
      <c r="X670" s="37">
        <v>1.5895165864899099</v>
      </c>
      <c r="Y670" s="37">
        <v>3.1532482344414299</v>
      </c>
      <c r="Z670" s="37">
        <v>1.60010869653469</v>
      </c>
      <c r="AA670" s="37">
        <v>1.6930940931998799</v>
      </c>
      <c r="AB670" s="37">
        <v>3.6751702632604601</v>
      </c>
      <c r="AC670" s="37">
        <v>3.1567622815404999</v>
      </c>
      <c r="AD670" s="37">
        <v>3.0170800957248498</v>
      </c>
      <c r="AE670" s="37">
        <v>3.0452736929492299</v>
      </c>
      <c r="AF670" s="45">
        <v>-0.38972248557141298</v>
      </c>
      <c r="AG670" s="45">
        <v>-1.3395810615572099</v>
      </c>
      <c r="AH670" s="46">
        <v>0.42039784538328501</v>
      </c>
      <c r="AI670" s="47">
        <v>0.504025373765981</v>
      </c>
      <c r="AJ670" s="48">
        <v>3.5047214746442998</v>
      </c>
      <c r="AK670" s="49">
        <v>2.6162817430176202</v>
      </c>
      <c r="AL670" s="31" t="s">
        <v>5875</v>
      </c>
      <c r="AM670" s="31" t="s">
        <v>5832</v>
      </c>
      <c r="AN670" s="31" t="s">
        <v>20472</v>
      </c>
      <c r="AO670" s="31" t="s">
        <v>20473</v>
      </c>
      <c r="AP670" s="31" t="s">
        <v>20474</v>
      </c>
      <c r="AQ670" s="31" t="s">
        <v>20475</v>
      </c>
      <c r="AR670" s="31" t="s">
        <v>20476</v>
      </c>
      <c r="AS670" s="31" t="str">
        <f>"CD97"</f>
        <v>CD97</v>
      </c>
      <c r="AT670" s="31" t="s">
        <v>13772</v>
      </c>
      <c r="AU670" s="31" t="s">
        <v>13777</v>
      </c>
      <c r="AV670" s="31">
        <v>9606</v>
      </c>
      <c r="AW670" s="50" t="str">
        <f>HYPERLINK("http://www.uniprot.org/uniprot/P48960", "P48960")</f>
        <v>P48960</v>
      </c>
      <c r="AX670" s="31" t="s">
        <v>20477</v>
      </c>
      <c r="AY670" s="31" t="s">
        <v>13949</v>
      </c>
      <c r="AZ670" s="31" t="s">
        <v>14336</v>
      </c>
      <c r="BA670" s="31" t="s">
        <v>13780</v>
      </c>
      <c r="BB670" s="31" t="s">
        <v>13772</v>
      </c>
      <c r="BC670" s="31" t="s">
        <v>13772</v>
      </c>
      <c r="BD670" s="31" t="s">
        <v>13963</v>
      </c>
      <c r="BE670" s="31" t="s">
        <v>14465</v>
      </c>
      <c r="BF670" s="31" t="s">
        <v>13977</v>
      </c>
      <c r="BG670" s="31" t="s">
        <v>13964</v>
      </c>
      <c r="BH670" s="31" t="s">
        <v>13812</v>
      </c>
      <c r="BI670" s="31" t="s">
        <v>20478</v>
      </c>
      <c r="BJ670" s="31" t="s">
        <v>20479</v>
      </c>
      <c r="BK670" s="31" t="s">
        <v>20480</v>
      </c>
      <c r="BL670" s="31" t="s">
        <v>13772</v>
      </c>
      <c r="BM670" s="31" t="s">
        <v>20481</v>
      </c>
    </row>
    <row r="671" spans="1:65">
      <c r="A671">
        <v>800</v>
      </c>
      <c r="B671">
        <v>1</v>
      </c>
      <c r="C671">
        <v>666</v>
      </c>
      <c r="D671" t="s">
        <v>1963</v>
      </c>
      <c r="E671" t="s">
        <v>73</v>
      </c>
      <c r="F671" t="s">
        <v>73</v>
      </c>
      <c r="G671">
        <v>21.9</v>
      </c>
      <c r="H671">
        <v>580</v>
      </c>
      <c r="I671">
        <v>64438</v>
      </c>
      <c r="J671" t="s">
        <v>1964</v>
      </c>
      <c r="K671" s="3" t="s">
        <v>73</v>
      </c>
      <c r="L671">
        <v>48</v>
      </c>
      <c r="M671">
        <v>48</v>
      </c>
      <c r="N671">
        <v>1</v>
      </c>
      <c r="O671" s="11">
        <f t="shared" si="10"/>
        <v>3.1456394967251802</v>
      </c>
      <c r="P671" s="36">
        <v>3.6349301875041902</v>
      </c>
      <c r="Q671" s="36">
        <v>5.7783847240646802</v>
      </c>
      <c r="R671" s="36">
        <v>3.2015953236245198</v>
      </c>
      <c r="S671" s="36">
        <v>3.0238435183064598</v>
      </c>
      <c r="T671" s="36">
        <v>9.4619399593058091</v>
      </c>
      <c r="U671" s="36">
        <v>12.0864542063134</v>
      </c>
      <c r="V671" s="36">
        <v>6.3243736971878404</v>
      </c>
      <c r="W671" s="36">
        <v>4.8659179899115301</v>
      </c>
      <c r="X671" s="37">
        <v>0.19868957331123899</v>
      </c>
      <c r="Y671" s="37">
        <v>0.15766241172207099</v>
      </c>
      <c r="Z671" s="37">
        <v>0.200013587066836</v>
      </c>
      <c r="AA671" s="37">
        <v>0.21163676164998499</v>
      </c>
      <c r="AB671" s="37">
        <v>0.22969814145377901</v>
      </c>
      <c r="AC671" s="37">
        <v>0.19729764259628099</v>
      </c>
      <c r="AD671" s="37">
        <v>0.377135011965606</v>
      </c>
      <c r="AE671" s="37">
        <v>0.38065921161865401</v>
      </c>
      <c r="AF671" s="45">
        <v>-4.20893458669922</v>
      </c>
      <c r="AG671" s="45">
        <v>-24.773468525547798</v>
      </c>
      <c r="AH671" s="46">
        <v>3.4329308155133699E-9</v>
      </c>
      <c r="AI671" s="47">
        <v>3.6454455802832498E-8</v>
      </c>
      <c r="AJ671" s="48">
        <v>6.0471799507773003</v>
      </c>
      <c r="AK671" s="49">
        <v>0.24409904267305599</v>
      </c>
      <c r="AL671" s="31" t="s">
        <v>5875</v>
      </c>
      <c r="AM671" s="31" t="s">
        <v>5876</v>
      </c>
      <c r="AN671" s="31" t="s">
        <v>21679</v>
      </c>
      <c r="AO671" s="31" t="s">
        <v>21680</v>
      </c>
      <c r="AP671" s="31" t="s">
        <v>21681</v>
      </c>
      <c r="AQ671" s="31" t="s">
        <v>21682</v>
      </c>
      <c r="AR671" s="31" t="s">
        <v>21683</v>
      </c>
      <c r="AS671" s="31" t="str">
        <f>"LRRC15"</f>
        <v>LRRC15</v>
      </c>
      <c r="AT671" s="31" t="s">
        <v>21684</v>
      </c>
      <c r="AU671" s="31" t="s">
        <v>13777</v>
      </c>
      <c r="AV671" s="31">
        <v>9606</v>
      </c>
      <c r="AW671" s="50" t="str">
        <f>HYPERLINK("http://www.uniprot.org/uniprot/Q8TF66", "Q8TF66")</f>
        <v>Q8TF66</v>
      </c>
      <c r="AX671" s="31" t="s">
        <v>21685</v>
      </c>
      <c r="AY671" s="31" t="s">
        <v>13772</v>
      </c>
      <c r="AZ671" s="31" t="s">
        <v>13825</v>
      </c>
      <c r="BA671" s="31" t="s">
        <v>13780</v>
      </c>
      <c r="BB671" s="31" t="s">
        <v>13772</v>
      </c>
      <c r="BC671" s="31" t="s">
        <v>13772</v>
      </c>
      <c r="BD671" s="31" t="s">
        <v>14158</v>
      </c>
      <c r="BE671" s="31" t="s">
        <v>13772</v>
      </c>
      <c r="BF671" s="31" t="s">
        <v>13772</v>
      </c>
      <c r="BG671" s="31" t="s">
        <v>13858</v>
      </c>
      <c r="BH671" s="31" t="s">
        <v>13772</v>
      </c>
      <c r="BI671" s="31" t="s">
        <v>21686</v>
      </c>
      <c r="BJ671" s="31" t="s">
        <v>21687</v>
      </c>
      <c r="BK671" s="31" t="s">
        <v>21688</v>
      </c>
      <c r="BL671" s="31" t="s">
        <v>13772</v>
      </c>
      <c r="BM671" s="31" t="s">
        <v>13772</v>
      </c>
    </row>
    <row r="672" spans="1:65">
      <c r="A672">
        <v>2039</v>
      </c>
      <c r="B672">
        <v>1</v>
      </c>
      <c r="C672">
        <v>667</v>
      </c>
      <c r="D672" t="s">
        <v>4790</v>
      </c>
      <c r="E672" t="s">
        <v>4791</v>
      </c>
      <c r="F672" t="s">
        <v>73</v>
      </c>
      <c r="G672">
        <v>22.3</v>
      </c>
      <c r="H672">
        <v>783</v>
      </c>
      <c r="I672">
        <v>87763</v>
      </c>
      <c r="J672" t="s">
        <v>4792</v>
      </c>
      <c r="K672" s="3" t="s">
        <v>73</v>
      </c>
      <c r="L672">
        <v>48</v>
      </c>
      <c r="M672">
        <v>48</v>
      </c>
      <c r="N672">
        <v>1</v>
      </c>
      <c r="O672" s="11">
        <f t="shared" si="10"/>
        <v>2.6188474838951104</v>
      </c>
      <c r="P672" s="36">
        <v>2.4232867916694598</v>
      </c>
      <c r="Q672" s="36">
        <v>0.96306412067744696</v>
      </c>
      <c r="R672" s="36">
        <v>1.6007976618122599</v>
      </c>
      <c r="S672" s="36">
        <v>1.5119217591532299</v>
      </c>
      <c r="T672" s="36">
        <v>1.72035271987378</v>
      </c>
      <c r="U672" s="36">
        <v>0.23243181165987301</v>
      </c>
      <c r="V672" s="36">
        <v>0.26351557071616</v>
      </c>
      <c r="W672" s="36">
        <v>14.597753969734599</v>
      </c>
      <c r="X672" s="37">
        <v>1.5895165864899099</v>
      </c>
      <c r="Y672" s="37">
        <v>3.1532482344414299</v>
      </c>
      <c r="Z672" s="37">
        <v>6.4004347861387396</v>
      </c>
      <c r="AA672" s="37">
        <v>1.6930940931998799</v>
      </c>
      <c r="AB672" s="37">
        <v>1.8375851316302301</v>
      </c>
      <c r="AC672" s="37">
        <v>3.1567622815404999</v>
      </c>
      <c r="AD672" s="37">
        <v>0.377135011965606</v>
      </c>
      <c r="AE672" s="37">
        <v>0.38065921161865401</v>
      </c>
      <c r="AF672" s="45">
        <v>-0.266314623370216</v>
      </c>
      <c r="AG672" s="45">
        <v>-1.25417357526919</v>
      </c>
      <c r="AH672" s="46">
        <v>0.78026629287348204</v>
      </c>
      <c r="AI672" s="47">
        <v>0.83519703989177596</v>
      </c>
      <c r="AJ672" s="48">
        <v>2.9141405506621001</v>
      </c>
      <c r="AK672" s="49">
        <v>2.3235544171281202</v>
      </c>
      <c r="AL672" s="31" t="s">
        <v>5875</v>
      </c>
      <c r="AM672" s="31" t="s">
        <v>5832</v>
      </c>
      <c r="AN672" s="31" t="s">
        <v>33294</v>
      </c>
      <c r="AO672" s="31" t="s">
        <v>33295</v>
      </c>
      <c r="AP672" s="31" t="s">
        <v>33296</v>
      </c>
      <c r="AQ672" s="31" t="s">
        <v>33297</v>
      </c>
      <c r="AR672" s="31" t="s">
        <v>33298</v>
      </c>
      <c r="AS672" s="31" t="str">
        <f>"CDH5"</f>
        <v>CDH5</v>
      </c>
      <c r="AT672" s="31" t="s">
        <v>13772</v>
      </c>
      <c r="AU672" s="31" t="s">
        <v>13777</v>
      </c>
      <c r="AV672" s="31">
        <v>9606</v>
      </c>
      <c r="AW672" s="50" t="str">
        <f>HYPERLINK("http://www.uniprot.org/uniprot/P33151", "P33151")</f>
        <v>P33151</v>
      </c>
      <c r="AX672" s="31" t="s">
        <v>17590</v>
      </c>
      <c r="AY672" s="31" t="s">
        <v>13949</v>
      </c>
      <c r="AZ672" s="31" t="s">
        <v>17424</v>
      </c>
      <c r="BA672" s="31" t="s">
        <v>13780</v>
      </c>
      <c r="BB672" s="31" t="s">
        <v>13772</v>
      </c>
      <c r="BC672" s="31" t="s">
        <v>13772</v>
      </c>
      <c r="BD672" s="31" t="s">
        <v>13826</v>
      </c>
      <c r="BE672" s="31" t="s">
        <v>13873</v>
      </c>
      <c r="BF672" s="31" t="s">
        <v>13772</v>
      </c>
      <c r="BG672" s="31" t="s">
        <v>17425</v>
      </c>
      <c r="BH672" s="31" t="s">
        <v>13772</v>
      </c>
      <c r="BI672" s="31" t="s">
        <v>33299</v>
      </c>
      <c r="BJ672" s="31" t="s">
        <v>33300</v>
      </c>
      <c r="BK672" s="31" t="s">
        <v>33301</v>
      </c>
      <c r="BL672" s="31" t="s">
        <v>13772</v>
      </c>
      <c r="BM672" s="31" t="s">
        <v>33302</v>
      </c>
    </row>
    <row r="673" spans="1:65">
      <c r="A673">
        <v>2133</v>
      </c>
      <c r="B673">
        <v>1</v>
      </c>
      <c r="C673">
        <v>668</v>
      </c>
      <c r="D673" t="s">
        <v>5001</v>
      </c>
      <c r="E673" t="s">
        <v>5002</v>
      </c>
      <c r="F673" t="s">
        <v>73</v>
      </c>
      <c r="G673">
        <v>24.6</v>
      </c>
      <c r="H673">
        <v>354</v>
      </c>
      <c r="I673">
        <v>38646</v>
      </c>
      <c r="J673" t="s">
        <v>5003</v>
      </c>
      <c r="K673" s="3" t="s">
        <v>73</v>
      </c>
      <c r="L673">
        <v>48</v>
      </c>
      <c r="M673">
        <v>48</v>
      </c>
      <c r="N673">
        <v>1</v>
      </c>
      <c r="O673" s="11">
        <f t="shared" si="10"/>
        <v>3.3480039182452193</v>
      </c>
      <c r="P673" s="36">
        <v>2.4232867916694598</v>
      </c>
      <c r="Q673" s="36">
        <v>4.8153206033872298</v>
      </c>
      <c r="R673" s="36">
        <v>6.4031906472490299</v>
      </c>
      <c r="S673" s="36">
        <v>7.5596087957661497</v>
      </c>
      <c r="T673" s="36">
        <v>6.8814108794951396</v>
      </c>
      <c r="U673" s="36">
        <v>10.226999713034401</v>
      </c>
      <c r="V673" s="36">
        <v>6.3243736971878404</v>
      </c>
      <c r="W673" s="36">
        <v>5.8391015878938397</v>
      </c>
      <c r="X673" s="37">
        <v>0.19868957331123899</v>
      </c>
      <c r="Y673" s="37">
        <v>0.15766241172207099</v>
      </c>
      <c r="Z673" s="37">
        <v>0.200013587066836</v>
      </c>
      <c r="AA673" s="37">
        <v>0.21163676164998499</v>
      </c>
      <c r="AB673" s="37">
        <v>0.22969814145377901</v>
      </c>
      <c r="AC673" s="37">
        <v>0.19729764259628099</v>
      </c>
      <c r="AD673" s="37">
        <v>0.377135011965606</v>
      </c>
      <c r="AE673" s="37">
        <v>1.5226368464746201</v>
      </c>
      <c r="AF673" s="45">
        <v>-3.9041883308478802</v>
      </c>
      <c r="AG673" s="45">
        <v>-16.309222689629099</v>
      </c>
      <c r="AH673" s="46">
        <v>1.24339588715295E-9</v>
      </c>
      <c r="AI673" s="47">
        <v>1.5404293490839401E-8</v>
      </c>
      <c r="AJ673" s="48">
        <v>6.3091615894603903</v>
      </c>
      <c r="AK673" s="49">
        <v>0.38684624703005199</v>
      </c>
      <c r="AL673" s="31" t="s">
        <v>5875</v>
      </c>
      <c r="AM673" s="31" t="s">
        <v>5876</v>
      </c>
      <c r="AN673" s="31" t="s">
        <v>34162</v>
      </c>
      <c r="AO673" s="31" t="s">
        <v>34163</v>
      </c>
      <c r="AP673" s="31" t="s">
        <v>34164</v>
      </c>
      <c r="AQ673" s="31" t="s">
        <v>34165</v>
      </c>
      <c r="AR673" s="31" t="s">
        <v>34166</v>
      </c>
      <c r="AS673" s="31" t="str">
        <f>"NEGR1"</f>
        <v>NEGR1</v>
      </c>
      <c r="AT673" s="31" t="s">
        <v>34167</v>
      </c>
      <c r="AU673" s="31" t="s">
        <v>13777</v>
      </c>
      <c r="AV673" s="31">
        <v>9606</v>
      </c>
      <c r="AW673" s="50" t="str">
        <f>HYPERLINK("http://www.uniprot.org/uniprot/Q7Z3B1", "Q7Z3B1")</f>
        <v>Q7Z3B1</v>
      </c>
      <c r="AX673" s="31" t="s">
        <v>34168</v>
      </c>
      <c r="AY673" s="31" t="s">
        <v>13949</v>
      </c>
      <c r="AZ673" s="31" t="s">
        <v>13792</v>
      </c>
      <c r="BA673" s="31" t="s">
        <v>13841</v>
      </c>
      <c r="BB673" s="31" t="s">
        <v>13772</v>
      </c>
      <c r="BC673" s="31" t="s">
        <v>13772</v>
      </c>
      <c r="BD673" s="31" t="s">
        <v>16182</v>
      </c>
      <c r="BE673" s="31" t="s">
        <v>13772</v>
      </c>
      <c r="BF673" s="31" t="s">
        <v>13772</v>
      </c>
      <c r="BG673" s="31" t="s">
        <v>16276</v>
      </c>
      <c r="BH673" s="31" t="s">
        <v>13812</v>
      </c>
      <c r="BI673" s="31" t="s">
        <v>34169</v>
      </c>
      <c r="BJ673" s="31" t="s">
        <v>19453</v>
      </c>
      <c r="BK673" s="31" t="s">
        <v>13772</v>
      </c>
      <c r="BL673" s="31" t="s">
        <v>13772</v>
      </c>
      <c r="BM673" s="31" t="s">
        <v>16280</v>
      </c>
    </row>
    <row r="674" spans="1:65">
      <c r="A674">
        <v>2397</v>
      </c>
      <c r="B674">
        <v>1</v>
      </c>
      <c r="C674">
        <v>669</v>
      </c>
      <c r="D674" t="s">
        <v>5586</v>
      </c>
      <c r="E674" t="s">
        <v>73</v>
      </c>
      <c r="F674" t="s">
        <v>73</v>
      </c>
      <c r="G674">
        <v>51.6</v>
      </c>
      <c r="H674">
        <v>244</v>
      </c>
      <c r="I674">
        <v>25668</v>
      </c>
      <c r="J674" t="s">
        <v>5587</v>
      </c>
      <c r="K674" s="3" t="s">
        <v>73</v>
      </c>
      <c r="L674">
        <v>48</v>
      </c>
      <c r="M674">
        <v>48</v>
      </c>
      <c r="N674">
        <v>1</v>
      </c>
      <c r="O674" s="11">
        <f t="shared" si="10"/>
        <v>2.7503535488828157</v>
      </c>
      <c r="P674" s="36">
        <v>3.6349301875041902</v>
      </c>
      <c r="Q674" s="36">
        <v>4.8153206033872298</v>
      </c>
      <c r="R674" s="36">
        <v>0.40019941545306398</v>
      </c>
      <c r="S674" s="36">
        <v>0.37798043978830698</v>
      </c>
      <c r="T674" s="36">
        <v>9.4619399593058091</v>
      </c>
      <c r="U674" s="36">
        <v>7.43781797311593</v>
      </c>
      <c r="V674" s="36">
        <v>2.10812456572928</v>
      </c>
      <c r="W674" s="36">
        <v>2.9195507939469199</v>
      </c>
      <c r="X674" s="37">
        <v>4.7685497594697397</v>
      </c>
      <c r="Y674" s="37">
        <v>3.1532482344414299</v>
      </c>
      <c r="Z674" s="37">
        <v>2.4001630448020301</v>
      </c>
      <c r="AA674" s="37">
        <v>0.21163676164998499</v>
      </c>
      <c r="AB674" s="37">
        <v>0.22969814145377901</v>
      </c>
      <c r="AC674" s="37">
        <v>0.19729764259628099</v>
      </c>
      <c r="AD674" s="37">
        <v>1.50854004786242</v>
      </c>
      <c r="AE674" s="37">
        <v>0.38065921161865401</v>
      </c>
      <c r="AF674" s="45">
        <v>-1.20810637899299</v>
      </c>
      <c r="AG674" s="45">
        <v>-2.4246199387591401</v>
      </c>
      <c r="AH674" s="46">
        <v>8.1336316312868695E-2</v>
      </c>
      <c r="AI674" s="47">
        <v>0.118549010050782</v>
      </c>
      <c r="AJ674" s="48">
        <v>3.89448299227884</v>
      </c>
      <c r="AK674" s="49">
        <v>1.6062241054867901</v>
      </c>
      <c r="AL674" s="31" t="s">
        <v>5875</v>
      </c>
      <c r="AM674" s="31" t="s">
        <v>5832</v>
      </c>
      <c r="AN674" s="31" t="s">
        <v>36539</v>
      </c>
      <c r="AO674" s="31" t="s">
        <v>36540</v>
      </c>
      <c r="AP674" s="31" t="s">
        <v>36541</v>
      </c>
      <c r="AQ674" s="31" t="s">
        <v>36542</v>
      </c>
      <c r="AR674" s="31" t="s">
        <v>36543</v>
      </c>
      <c r="AS674" s="31" t="str">
        <f>"DCXR"</f>
        <v>DCXR</v>
      </c>
      <c r="AT674" s="31" t="s">
        <v>36544</v>
      </c>
      <c r="AU674" s="31" t="s">
        <v>13777</v>
      </c>
      <c r="AV674" s="31">
        <v>9606</v>
      </c>
      <c r="AW674" s="50" t="str">
        <f>HYPERLINK("http://www.uniprot.org/uniprot/Q7Z4W1", "Q7Z4W1")</f>
        <v>Q7Z4W1</v>
      </c>
      <c r="AX674" s="31" t="s">
        <v>36545</v>
      </c>
      <c r="AY674" s="31" t="s">
        <v>36546</v>
      </c>
      <c r="AZ674" s="31" t="s">
        <v>13825</v>
      </c>
      <c r="BA674" s="31" t="s">
        <v>13772</v>
      </c>
      <c r="BB674" s="31" t="s">
        <v>13772</v>
      </c>
      <c r="BC674" s="31" t="s">
        <v>13772</v>
      </c>
      <c r="BD674" s="31" t="s">
        <v>13772</v>
      </c>
      <c r="BE674" s="31" t="s">
        <v>15759</v>
      </c>
      <c r="BF674" s="31" t="s">
        <v>13885</v>
      </c>
      <c r="BG674" s="31" t="s">
        <v>14098</v>
      </c>
      <c r="BH674" s="31" t="s">
        <v>13812</v>
      </c>
      <c r="BI674" s="31" t="s">
        <v>36547</v>
      </c>
      <c r="BJ674" s="31" t="s">
        <v>36548</v>
      </c>
      <c r="BK674" s="31" t="s">
        <v>36549</v>
      </c>
      <c r="BL674" s="31" t="s">
        <v>13772</v>
      </c>
      <c r="BM674" s="31" t="s">
        <v>36550</v>
      </c>
    </row>
  </sheetData>
  <autoFilter ref="A5:BN674" xr:uid="{5E62EB86-9DF9-4441-AC88-4E90992532A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C2341"/>
  <sheetViews>
    <sheetView tabSelected="1" topLeftCell="BA1" workbookViewId="0">
      <pane ySplit="8760" topLeftCell="A4395" activePane="bottomLeft"/>
      <selection activeCell="BV2" sqref="BV2"/>
      <selection pane="bottomLeft" activeCell="CB4399" sqref="CB4399"/>
    </sheetView>
  </sheetViews>
  <sheetFormatPr baseColWidth="10" defaultRowHeight="16"/>
  <cols>
    <col min="3" max="3" width="23.33203125" customWidth="1"/>
    <col min="7" max="7" width="11.5" bestFit="1" customWidth="1"/>
    <col min="11" max="11" width="45" customWidth="1"/>
    <col min="13" max="13" width="10.83203125" style="3"/>
    <col min="75" max="75" width="11.6640625" style="16" bestFit="1" customWidth="1"/>
    <col min="76" max="76" width="10.83203125" style="16"/>
    <col min="77" max="77" width="11.6640625" style="16" bestFit="1" customWidth="1"/>
    <col min="80" max="87" width="17.1640625" bestFit="1" customWidth="1"/>
    <col min="88" max="95" width="15.83203125" bestFit="1" customWidth="1"/>
    <col min="100" max="100" width="13.5" bestFit="1" customWidth="1"/>
    <col min="101" max="101" width="12.1640625" bestFit="1" customWidth="1"/>
    <col min="104" max="104" width="27.5" customWidth="1"/>
    <col min="105" max="105" width="18.33203125" bestFit="1" customWidth="1"/>
    <col min="106" max="106" width="11.1640625" bestFit="1" customWidth="1"/>
    <col min="107" max="107" width="44.83203125" customWidth="1"/>
    <col min="108" max="108" width="31.6640625" customWidth="1"/>
    <col min="109" max="109" width="15.6640625" bestFit="1" customWidth="1"/>
    <col min="110" max="110" width="12.1640625" bestFit="1" customWidth="1"/>
    <col min="111" max="111" width="26.33203125" customWidth="1"/>
    <col min="112" max="112" width="20.33203125" bestFit="1" customWidth="1"/>
    <col min="113" max="113" width="24.5" customWidth="1"/>
    <col min="116" max="116" width="13.6640625" bestFit="1" customWidth="1"/>
    <col min="117" max="117" width="33.6640625" customWidth="1"/>
    <col min="118" max="127" width="21" customWidth="1"/>
    <col min="128" max="130" width="40.83203125" customWidth="1"/>
    <col min="131" max="131" width="22.33203125" customWidth="1"/>
    <col min="132" max="132" width="69.5" customWidth="1"/>
  </cols>
  <sheetData>
    <row r="1" spans="1:133">
      <c r="A1" t="s">
        <v>0</v>
      </c>
      <c r="K1" s="10" t="s">
        <v>5840</v>
      </c>
      <c r="N1" s="4" t="s">
        <v>5837</v>
      </c>
      <c r="O1" s="19" t="s">
        <v>5838</v>
      </c>
      <c r="P1" s="20">
        <f>AVERAGE(Q1:X1)</f>
        <v>822.375</v>
      </c>
      <c r="Q1">
        <f t="shared" ref="Q1:AI1" si="0">COUNTIF(Q6:Q2267, "&gt;=2")</f>
        <v>694</v>
      </c>
      <c r="R1">
        <f t="shared" si="0"/>
        <v>863</v>
      </c>
      <c r="S1" s="10">
        <f t="shared" si="0"/>
        <v>617</v>
      </c>
      <c r="T1" s="10">
        <f t="shared" si="0"/>
        <v>667</v>
      </c>
      <c r="U1">
        <f t="shared" si="0"/>
        <v>1009</v>
      </c>
      <c r="V1">
        <f t="shared" si="0"/>
        <v>970</v>
      </c>
      <c r="W1">
        <f t="shared" si="0"/>
        <v>826</v>
      </c>
      <c r="X1">
        <f t="shared" si="0"/>
        <v>933</v>
      </c>
      <c r="Y1">
        <f t="shared" si="0"/>
        <v>1129</v>
      </c>
      <c r="Z1" s="6">
        <f t="shared" si="0"/>
        <v>367</v>
      </c>
      <c r="AA1" s="10">
        <f t="shared" si="0"/>
        <v>1462</v>
      </c>
      <c r="AB1">
        <f t="shared" si="0"/>
        <v>1198</v>
      </c>
      <c r="AC1">
        <f t="shared" si="0"/>
        <v>947</v>
      </c>
      <c r="AD1" s="6">
        <f t="shared" si="0"/>
        <v>413</v>
      </c>
      <c r="AE1">
        <f t="shared" si="0"/>
        <v>927</v>
      </c>
      <c r="AF1">
        <f t="shared" si="0"/>
        <v>1091</v>
      </c>
      <c r="AG1" s="10">
        <f t="shared" si="0"/>
        <v>654</v>
      </c>
      <c r="AH1" s="6">
        <f t="shared" si="0"/>
        <v>377</v>
      </c>
      <c r="AI1" s="10">
        <f t="shared" si="0"/>
        <v>620</v>
      </c>
      <c r="AJ1" s="22">
        <f>AVERAGE(Y1,AA1,AB1,AC1,AE1,AF1,AG1,AI1)</f>
        <v>1003.5</v>
      </c>
      <c r="AK1" s="23" t="s">
        <v>5838</v>
      </c>
      <c r="BB1" s="1" t="s">
        <v>5836</v>
      </c>
      <c r="BC1" s="7">
        <f>SUM(BC6:BC2267)</f>
        <v>11144.729000000007</v>
      </c>
      <c r="BD1" s="7">
        <f t="shared" ref="BD1:BU1" si="1">SUM(BD6:BD2267)</f>
        <v>11642.957000000006</v>
      </c>
      <c r="BE1" s="9">
        <f t="shared" si="1"/>
        <v>8396.9789999999994</v>
      </c>
      <c r="BF1" s="9">
        <f t="shared" si="1"/>
        <v>8849.2829999999994</v>
      </c>
      <c r="BG1" s="7">
        <f t="shared" si="1"/>
        <v>12422.121999999998</v>
      </c>
      <c r="BH1" s="7">
        <f t="shared" si="1"/>
        <v>11580.249000000003</v>
      </c>
      <c r="BI1" s="7">
        <f t="shared" si="1"/>
        <v>11796.493000000008</v>
      </c>
      <c r="BJ1" s="7">
        <f t="shared" si="1"/>
        <v>12752.549000000012</v>
      </c>
      <c r="BK1" s="7">
        <f t="shared" si="1"/>
        <v>15922.407000000005</v>
      </c>
      <c r="BL1" s="9">
        <f t="shared" si="1"/>
        <v>10319.607000000007</v>
      </c>
      <c r="BM1" s="7">
        <f t="shared" si="1"/>
        <v>18713.292000000005</v>
      </c>
      <c r="BN1" s="7">
        <f t="shared" si="1"/>
        <v>14920.557999999997</v>
      </c>
      <c r="BO1" s="7">
        <f t="shared" si="1"/>
        <v>15351.641000000003</v>
      </c>
      <c r="BP1" s="9">
        <f t="shared" si="1"/>
        <v>9727.3169999999991</v>
      </c>
      <c r="BQ1" s="7">
        <f t="shared" si="1"/>
        <v>15309.848999999991</v>
      </c>
      <c r="BR1" s="7">
        <f t="shared" si="1"/>
        <v>15654.327999999998</v>
      </c>
      <c r="BS1" s="9">
        <f t="shared" si="1"/>
        <v>11257.133999999998</v>
      </c>
      <c r="BT1" s="8">
        <f>SUM(BT6:BT2267)</f>
        <v>6497.4029999999993</v>
      </c>
      <c r="BU1" s="9">
        <f t="shared" si="1"/>
        <v>11187.595000000003</v>
      </c>
      <c r="BV1" s="54">
        <f>SUBTOTAL(109,BV6:BV2267)</f>
        <v>143034.755</v>
      </c>
      <c r="BW1" s="7">
        <f>SUM(BC1:BU1)</f>
        <v>233446.49200000003</v>
      </c>
      <c r="CB1" s="33" t="s">
        <v>36650</v>
      </c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1" t="s">
        <v>36651</v>
      </c>
      <c r="DC1" s="1" t="s">
        <v>36652</v>
      </c>
    </row>
    <row r="2" spans="1:133">
      <c r="A2" s="1" t="s">
        <v>36787</v>
      </c>
      <c r="K2" s="6" t="s">
        <v>5841</v>
      </c>
      <c r="O2" s="19" t="s">
        <v>5839</v>
      </c>
      <c r="P2" s="20">
        <f>STDEV(Q1:X1)</f>
        <v>147.99800915649411</v>
      </c>
      <c r="AJ2" s="22">
        <f>STDEV(Y1,AA1,AB1,AC1,AE1,AF1,AG1,AI1)</f>
        <v>280.23612492732929</v>
      </c>
      <c r="AK2" s="23" t="s">
        <v>5839</v>
      </c>
      <c r="BB2" s="1"/>
      <c r="BY2" s="16">
        <f>(2262-1821)/1821</f>
        <v>0.24217462932454695</v>
      </c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1:133">
      <c r="P3" s="2"/>
      <c r="AJ3" s="2"/>
      <c r="BB3" s="4" t="s">
        <v>36649</v>
      </c>
      <c r="BC3" s="35" t="s">
        <v>36648</v>
      </c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1:133">
      <c r="B4">
        <f>SUBTOTAL(109,B6:B2341)</f>
        <v>190</v>
      </c>
      <c r="Q4" s="21" t="s">
        <v>5813</v>
      </c>
      <c r="R4" s="21" t="s">
        <v>5803</v>
      </c>
      <c r="S4" s="21" t="s">
        <v>5814</v>
      </c>
      <c r="T4" s="21" t="s">
        <v>5815</v>
      </c>
      <c r="U4" s="21" t="s">
        <v>5816</v>
      </c>
      <c r="V4" s="21" t="s">
        <v>5807</v>
      </c>
      <c r="W4" s="21" t="s">
        <v>5808</v>
      </c>
      <c r="X4" s="21" t="s">
        <v>5809</v>
      </c>
      <c r="Y4" s="23" t="s">
        <v>5810</v>
      </c>
      <c r="Z4" s="23" t="s">
        <v>5811</v>
      </c>
      <c r="AA4" s="23" t="s">
        <v>5800</v>
      </c>
      <c r="AB4" s="23" t="s">
        <v>5812</v>
      </c>
      <c r="AC4" s="23" t="s">
        <v>5801</v>
      </c>
      <c r="AD4" s="23" t="s">
        <v>5802</v>
      </c>
      <c r="AE4" s="23" t="s">
        <v>5817</v>
      </c>
      <c r="AF4" s="23" t="s">
        <v>5804</v>
      </c>
      <c r="AG4" s="23" t="s">
        <v>5805</v>
      </c>
      <c r="AH4" s="23" t="s">
        <v>5818</v>
      </c>
      <c r="AI4" s="23" t="s">
        <v>5806</v>
      </c>
      <c r="AJ4" t="s">
        <v>5813</v>
      </c>
      <c r="AK4" t="s">
        <v>5803</v>
      </c>
      <c r="AL4" t="s">
        <v>5814</v>
      </c>
      <c r="AM4" t="s">
        <v>5815</v>
      </c>
      <c r="AN4" t="s">
        <v>5816</v>
      </c>
      <c r="AO4" t="s">
        <v>5807</v>
      </c>
      <c r="AP4" t="s">
        <v>5808</v>
      </c>
      <c r="AQ4" t="s">
        <v>5809</v>
      </c>
      <c r="AR4" t="s">
        <v>5810</v>
      </c>
      <c r="AS4" t="s">
        <v>5811</v>
      </c>
      <c r="AT4" t="s">
        <v>5800</v>
      </c>
      <c r="AU4" t="s">
        <v>5812</v>
      </c>
      <c r="AV4" t="s">
        <v>5801</v>
      </c>
      <c r="AW4" t="s">
        <v>5802</v>
      </c>
      <c r="AX4" t="s">
        <v>5817</v>
      </c>
      <c r="AY4" t="s">
        <v>5804</v>
      </c>
      <c r="AZ4" t="s">
        <v>5805</v>
      </c>
      <c r="BA4" t="s">
        <v>5818</v>
      </c>
      <c r="BB4" t="s">
        <v>5806</v>
      </c>
      <c r="BC4" s="31" t="s">
        <v>5813</v>
      </c>
      <c r="BD4" s="31" t="s">
        <v>5803</v>
      </c>
      <c r="BE4" s="31" t="s">
        <v>5814</v>
      </c>
      <c r="BF4" s="31" t="s">
        <v>5815</v>
      </c>
      <c r="BG4" s="31" t="s">
        <v>5816</v>
      </c>
      <c r="BH4" s="31" t="s">
        <v>5807</v>
      </c>
      <c r="BI4" s="31" t="s">
        <v>5808</v>
      </c>
      <c r="BJ4" s="31" t="s">
        <v>5809</v>
      </c>
      <c r="BK4" s="31" t="s">
        <v>5810</v>
      </c>
      <c r="BL4" s="32" t="s">
        <v>5811</v>
      </c>
      <c r="BM4" s="31" t="s">
        <v>5800</v>
      </c>
      <c r="BN4" s="31" t="s">
        <v>5812</v>
      </c>
      <c r="BO4" s="31" t="s">
        <v>5801</v>
      </c>
      <c r="BP4" s="32" t="s">
        <v>5802</v>
      </c>
      <c r="BQ4" s="31" t="s">
        <v>5817</v>
      </c>
      <c r="BR4" s="31" t="s">
        <v>5804</v>
      </c>
      <c r="BS4" s="31" t="s">
        <v>5805</v>
      </c>
      <c r="BT4" s="32" t="s">
        <v>5818</v>
      </c>
      <c r="BU4" s="31" t="s">
        <v>5806</v>
      </c>
      <c r="BV4" s="51"/>
      <c r="BY4" s="7">
        <f>SUM(BC6:BU2267)</f>
        <v>233446.49200000102</v>
      </c>
      <c r="CA4">
        <f>B4</f>
        <v>190</v>
      </c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>
        <f>B4</f>
        <v>190</v>
      </c>
    </row>
    <row r="5" spans="1:133" s="1" customFormat="1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5819</v>
      </c>
      <c r="M5" s="5" t="s">
        <v>5822</v>
      </c>
      <c r="N5" s="1" t="s">
        <v>12</v>
      </c>
      <c r="O5" s="1" t="s">
        <v>13</v>
      </c>
      <c r="P5" s="1" t="s">
        <v>14</v>
      </c>
      <c r="Q5" s="1" t="s">
        <v>28</v>
      </c>
      <c r="R5" s="1" t="s">
        <v>18</v>
      </c>
      <c r="S5" s="1" t="s">
        <v>29</v>
      </c>
      <c r="T5" s="1" t="s">
        <v>30</v>
      </c>
      <c r="U5" s="1" t="s">
        <v>31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15</v>
      </c>
      <c r="AB5" s="1" t="s">
        <v>27</v>
      </c>
      <c r="AC5" s="1" t="s">
        <v>16</v>
      </c>
      <c r="AD5" s="1" t="s">
        <v>17</v>
      </c>
      <c r="AE5" s="1" t="s">
        <v>32</v>
      </c>
      <c r="AF5" s="1" t="s">
        <v>19</v>
      </c>
      <c r="AG5" s="1" t="s">
        <v>20</v>
      </c>
      <c r="AH5" s="1" t="s">
        <v>33</v>
      </c>
      <c r="AI5" s="1" t="s">
        <v>21</v>
      </c>
      <c r="AJ5" s="1" t="s">
        <v>47</v>
      </c>
      <c r="AK5" s="1" t="s">
        <v>37</v>
      </c>
      <c r="AL5" s="1" t="s">
        <v>48</v>
      </c>
      <c r="AM5" s="1" t="s">
        <v>49</v>
      </c>
      <c r="AN5" s="1" t="s">
        <v>50</v>
      </c>
      <c r="AO5" s="1" t="s">
        <v>41</v>
      </c>
      <c r="AP5" s="1" t="s">
        <v>42</v>
      </c>
      <c r="AQ5" s="1" t="s">
        <v>43</v>
      </c>
      <c r="AR5" s="1" t="s">
        <v>44</v>
      </c>
      <c r="AS5" s="1" t="s">
        <v>45</v>
      </c>
      <c r="AT5" s="1" t="s">
        <v>34</v>
      </c>
      <c r="AU5" s="1" t="s">
        <v>46</v>
      </c>
      <c r="AV5" s="1" t="s">
        <v>35</v>
      </c>
      <c r="AW5" s="1" t="s">
        <v>36</v>
      </c>
      <c r="AX5" s="1" t="s">
        <v>51</v>
      </c>
      <c r="AY5" s="1" t="s">
        <v>38</v>
      </c>
      <c r="AZ5" s="1" t="s">
        <v>39</v>
      </c>
      <c r="BA5" s="1" t="s">
        <v>52</v>
      </c>
      <c r="BB5" s="1" t="s">
        <v>40</v>
      </c>
      <c r="BC5" s="33" t="s">
        <v>66</v>
      </c>
      <c r="BD5" s="33" t="s">
        <v>56</v>
      </c>
      <c r="BE5" s="33" t="s">
        <v>67</v>
      </c>
      <c r="BF5" s="33" t="s">
        <v>68</v>
      </c>
      <c r="BG5" s="33" t="s">
        <v>69</v>
      </c>
      <c r="BH5" s="33" t="s">
        <v>60</v>
      </c>
      <c r="BI5" s="33" t="s">
        <v>61</v>
      </c>
      <c r="BJ5" s="33" t="s">
        <v>62</v>
      </c>
      <c r="BK5" s="33" t="s">
        <v>63</v>
      </c>
      <c r="BL5" s="33" t="s">
        <v>64</v>
      </c>
      <c r="BM5" s="33" t="s">
        <v>53</v>
      </c>
      <c r="BN5" s="33" t="s">
        <v>65</v>
      </c>
      <c r="BO5" s="33" t="s">
        <v>54</v>
      </c>
      <c r="BP5" s="33" t="s">
        <v>55</v>
      </c>
      <c r="BQ5" s="33" t="s">
        <v>70</v>
      </c>
      <c r="BR5" s="33" t="s">
        <v>57</v>
      </c>
      <c r="BS5" s="33" t="s">
        <v>58</v>
      </c>
      <c r="BT5" s="33" t="s">
        <v>71</v>
      </c>
      <c r="BU5" s="33" t="s">
        <v>59</v>
      </c>
      <c r="BV5" s="52" t="s">
        <v>36848</v>
      </c>
      <c r="BW5" s="17" t="s">
        <v>5829</v>
      </c>
      <c r="BX5" s="17" t="s">
        <v>5834</v>
      </c>
      <c r="BY5" s="17" t="s">
        <v>5835</v>
      </c>
      <c r="BZ5" s="1" t="s">
        <v>5833</v>
      </c>
      <c r="CA5" s="1" t="s">
        <v>5830</v>
      </c>
      <c r="CB5" s="38" t="s">
        <v>5849</v>
      </c>
      <c r="CC5" s="38" t="s">
        <v>5850</v>
      </c>
      <c r="CD5" s="38" t="s">
        <v>5851</v>
      </c>
      <c r="CE5" s="38" t="s">
        <v>5852</v>
      </c>
      <c r="CF5" s="38" t="s">
        <v>5853</v>
      </c>
      <c r="CG5" s="38" t="s">
        <v>5854</v>
      </c>
      <c r="CH5" s="38" t="s">
        <v>5855</v>
      </c>
      <c r="CI5" s="38" t="s">
        <v>5856</v>
      </c>
      <c r="CJ5" s="39" t="s">
        <v>5857</v>
      </c>
      <c r="CK5" s="39" t="s">
        <v>5858</v>
      </c>
      <c r="CL5" s="39" t="s">
        <v>5859</v>
      </c>
      <c r="CM5" s="39" t="s">
        <v>5860</v>
      </c>
      <c r="CN5" s="39" t="s">
        <v>5861</v>
      </c>
      <c r="CO5" s="39" t="s">
        <v>5862</v>
      </c>
      <c r="CP5" s="39" t="s">
        <v>5863</v>
      </c>
      <c r="CQ5" s="39" t="s">
        <v>5864</v>
      </c>
      <c r="CR5" s="40" t="s">
        <v>5865</v>
      </c>
      <c r="CS5" s="40" t="s">
        <v>5866</v>
      </c>
      <c r="CT5" s="41" t="s">
        <v>5867</v>
      </c>
      <c r="CU5" s="42" t="s">
        <v>5868</v>
      </c>
      <c r="CV5" s="43" t="s">
        <v>5869</v>
      </c>
      <c r="CW5" s="44" t="s">
        <v>5870</v>
      </c>
      <c r="CX5" s="33" t="s">
        <v>5871</v>
      </c>
      <c r="CY5" s="33" t="s">
        <v>5872</v>
      </c>
      <c r="CZ5" s="1" t="s">
        <v>5881</v>
      </c>
      <c r="DA5" s="1" t="s">
        <v>5884</v>
      </c>
      <c r="DB5" s="1" t="s">
        <v>5892</v>
      </c>
      <c r="DC5" s="1" t="s">
        <v>13747</v>
      </c>
      <c r="DD5" s="1" t="s">
        <v>13748</v>
      </c>
      <c r="DE5" s="1" t="s">
        <v>13749</v>
      </c>
      <c r="DF5" s="1" t="s">
        <v>3</v>
      </c>
      <c r="DG5" s="1" t="s">
        <v>13750</v>
      </c>
      <c r="DH5" s="1" t="s">
        <v>13751</v>
      </c>
      <c r="DI5" s="1" t="s">
        <v>13752</v>
      </c>
      <c r="DJ5" s="1" t="s">
        <v>13753</v>
      </c>
      <c r="DK5" s="1" t="s">
        <v>13754</v>
      </c>
      <c r="DL5" s="1" t="s">
        <v>13755</v>
      </c>
      <c r="DM5" s="1" t="s">
        <v>13756</v>
      </c>
      <c r="DN5" s="1" t="s">
        <v>13757</v>
      </c>
      <c r="DO5" s="1" t="s">
        <v>13758</v>
      </c>
      <c r="DP5" s="1" t="s">
        <v>13759</v>
      </c>
      <c r="DQ5" s="1" t="s">
        <v>13760</v>
      </c>
      <c r="DR5" s="1" t="s">
        <v>13761</v>
      </c>
      <c r="DS5" s="1" t="s">
        <v>13762</v>
      </c>
      <c r="DT5" s="1" t="s">
        <v>13763</v>
      </c>
      <c r="DU5" s="1" t="s">
        <v>13764</v>
      </c>
      <c r="DV5" s="1" t="s">
        <v>13765</v>
      </c>
      <c r="DW5" s="1" t="s">
        <v>13766</v>
      </c>
      <c r="DX5" s="1" t="s">
        <v>13767</v>
      </c>
      <c r="DY5" s="1" t="s">
        <v>13768</v>
      </c>
      <c r="DZ5" s="1" t="s">
        <v>13769</v>
      </c>
      <c r="EA5" s="1" t="s">
        <v>13770</v>
      </c>
      <c r="EB5" s="1" t="s">
        <v>13771</v>
      </c>
      <c r="EC5" s="1" t="s">
        <v>5820</v>
      </c>
    </row>
    <row r="6" spans="1:133">
      <c r="A6">
        <v>2408</v>
      </c>
      <c r="B6">
        <v>1</v>
      </c>
      <c r="C6" t="s">
        <v>5609</v>
      </c>
      <c r="D6" t="s">
        <v>73</v>
      </c>
      <c r="E6" t="s">
        <v>5610</v>
      </c>
      <c r="F6" t="s">
        <v>5611</v>
      </c>
      <c r="G6" t="s">
        <v>73</v>
      </c>
      <c r="H6">
        <v>94.7</v>
      </c>
      <c r="I6">
        <v>608</v>
      </c>
      <c r="J6">
        <v>68780</v>
      </c>
      <c r="K6" t="s">
        <v>5612</v>
      </c>
      <c r="L6">
        <f t="shared" ref="L6:L69" si="2">N6</f>
        <v>17021</v>
      </c>
      <c r="M6" s="3">
        <v>1</v>
      </c>
      <c r="N6">
        <v>17021</v>
      </c>
      <c r="O6">
        <v>15228</v>
      </c>
      <c r="P6">
        <v>0.89500000000000002</v>
      </c>
      <c r="Q6" s="10">
        <v>1085</v>
      </c>
      <c r="R6">
        <v>653</v>
      </c>
      <c r="S6">
        <v>546</v>
      </c>
      <c r="T6">
        <v>525</v>
      </c>
      <c r="U6">
        <v>466</v>
      </c>
      <c r="V6">
        <v>435</v>
      </c>
      <c r="W6" s="10">
        <v>1144</v>
      </c>
      <c r="X6">
        <v>878</v>
      </c>
      <c r="Y6">
        <v>626</v>
      </c>
      <c r="Z6" s="6">
        <v>1414</v>
      </c>
      <c r="AA6" s="10">
        <v>499</v>
      </c>
      <c r="AB6">
        <v>626</v>
      </c>
      <c r="AC6">
        <v>1313</v>
      </c>
      <c r="AD6" s="6">
        <v>1667</v>
      </c>
      <c r="AE6">
        <v>1203</v>
      </c>
      <c r="AF6">
        <v>947</v>
      </c>
      <c r="AG6">
        <v>1004</v>
      </c>
      <c r="AH6">
        <v>782</v>
      </c>
      <c r="AI6">
        <v>1208</v>
      </c>
      <c r="AJ6">
        <v>950</v>
      </c>
      <c r="AK6">
        <v>562</v>
      </c>
      <c r="AL6">
        <v>480</v>
      </c>
      <c r="AM6">
        <v>462</v>
      </c>
      <c r="AN6">
        <v>409</v>
      </c>
      <c r="AO6">
        <v>388</v>
      </c>
      <c r="AP6">
        <v>1009</v>
      </c>
      <c r="AQ6">
        <v>793</v>
      </c>
      <c r="AR6">
        <v>571</v>
      </c>
      <c r="AS6">
        <v>1290</v>
      </c>
      <c r="AT6">
        <v>456</v>
      </c>
      <c r="AU6">
        <v>561</v>
      </c>
      <c r="AV6">
        <v>1192</v>
      </c>
      <c r="AW6">
        <v>1516</v>
      </c>
      <c r="AX6">
        <v>1098</v>
      </c>
      <c r="AY6">
        <v>863</v>
      </c>
      <c r="AZ6">
        <v>891</v>
      </c>
      <c r="BA6">
        <v>653</v>
      </c>
      <c r="BB6">
        <v>1084</v>
      </c>
      <c r="BC6" s="2">
        <v>1083.519</v>
      </c>
      <c r="BD6" s="2">
        <v>651.98699999999997</v>
      </c>
      <c r="BE6" s="2">
        <v>545.26199999999994</v>
      </c>
      <c r="BF6" s="2">
        <v>524.28</v>
      </c>
      <c r="BG6" s="2">
        <v>465.37099999999998</v>
      </c>
      <c r="BH6" s="2">
        <v>434.49099999999999</v>
      </c>
      <c r="BI6" s="2">
        <v>1142.4939999999999</v>
      </c>
      <c r="BJ6" s="2">
        <v>877.05</v>
      </c>
      <c r="BK6" s="2">
        <v>625.40499999999997</v>
      </c>
      <c r="BL6" s="2">
        <v>1412.606</v>
      </c>
      <c r="BM6" s="2">
        <v>498.53699999999998</v>
      </c>
      <c r="BN6" s="2">
        <v>625.303</v>
      </c>
      <c r="BO6" s="2">
        <v>1311.64</v>
      </c>
      <c r="BP6" s="2">
        <v>1665.317</v>
      </c>
      <c r="BQ6" s="2">
        <v>1201.8430000000001</v>
      </c>
      <c r="BR6" s="2">
        <v>946.072</v>
      </c>
      <c r="BS6" s="2">
        <v>1002.752</v>
      </c>
      <c r="BT6" s="2">
        <v>780.53300000000002</v>
      </c>
      <c r="BU6" s="2">
        <v>1206.5989999999999</v>
      </c>
      <c r="BV6" s="2">
        <f>SUM(BC6:BU6)</f>
        <v>17001.060999999998</v>
      </c>
      <c r="BW6" s="16">
        <f t="shared" ref="BW6:BW69" si="3">AVERAGE(BC6:BU6)</f>
        <v>894.7926842105262</v>
      </c>
      <c r="BX6" s="16">
        <f>COUNTIF($BC$6:BU6, "=0") / COUNTIF($BC$6:BU6, "&gt;-1")</f>
        <v>0</v>
      </c>
      <c r="BY6" s="18">
        <f>SUM($BC$6:BU6) / $BY$4</f>
        <v>7.2826371706626133E-2</v>
      </c>
      <c r="BZ6" s="14">
        <f t="shared" ref="BZ6:BZ69" si="4">19-COUNTIF(BC6:BU6, "&gt;0")</f>
        <v>0</v>
      </c>
      <c r="CA6" t="s">
        <v>5831</v>
      </c>
      <c r="CB6" s="36">
        <v>1312.8156193869299</v>
      </c>
      <c r="CC6" s="36">
        <v>627.91780668169497</v>
      </c>
      <c r="CD6" s="36">
        <v>872.91496498622405</v>
      </c>
      <c r="CE6" s="36">
        <v>792.70057832403802</v>
      </c>
      <c r="CF6" s="36">
        <v>400.32607791462999</v>
      </c>
      <c r="CG6" s="36">
        <v>403.96648866485901</v>
      </c>
      <c r="CH6" s="36">
        <v>1204.2661581728501</v>
      </c>
      <c r="CI6" s="36">
        <v>853.579333790281</v>
      </c>
      <c r="CJ6" s="37">
        <v>497.04183659539598</v>
      </c>
      <c r="CK6" s="37">
        <v>314.37884897381002</v>
      </c>
      <c r="CL6" s="37">
        <v>500.27398397156901</v>
      </c>
      <c r="CM6" s="37">
        <v>1110.3311063204801</v>
      </c>
      <c r="CN6" s="37">
        <v>1104.2049055965999</v>
      </c>
      <c r="CO6" s="37">
        <v>746.653198641367</v>
      </c>
      <c r="CP6" s="37">
        <v>1512.76395999644</v>
      </c>
      <c r="CQ6" s="37">
        <v>1837.21361895627</v>
      </c>
      <c r="CR6" s="45">
        <v>0.236275475993838</v>
      </c>
      <c r="CS6" s="45">
        <v>1.1784612732695501</v>
      </c>
      <c r="CT6" s="46">
        <v>0.53479532149499598</v>
      </c>
      <c r="CU6" s="47">
        <v>0.61473895202775297</v>
      </c>
      <c r="CV6" s="48">
        <v>808.56087849018797</v>
      </c>
      <c r="CW6" s="49">
        <v>952.85768238149205</v>
      </c>
      <c r="CX6" s="31" t="s">
        <v>5874</v>
      </c>
      <c r="CY6" s="31" t="s">
        <v>5832</v>
      </c>
      <c r="CZ6" t="s">
        <v>10124</v>
      </c>
      <c r="DA6" t="s">
        <v>5904</v>
      </c>
      <c r="DB6">
        <v>1019.6</v>
      </c>
      <c r="DC6" t="s">
        <v>26496</v>
      </c>
      <c r="DD6" t="s">
        <v>13772</v>
      </c>
      <c r="DE6" t="s">
        <v>26497</v>
      </c>
      <c r="DF6" t="s">
        <v>26498</v>
      </c>
      <c r="DG6" t="s">
        <v>26499</v>
      </c>
      <c r="DH6" t="str">
        <f>"ALB"</f>
        <v>ALB</v>
      </c>
      <c r="DI6" t="s">
        <v>13772</v>
      </c>
      <c r="DJ6" t="s">
        <v>13777</v>
      </c>
      <c r="DK6">
        <v>9606</v>
      </c>
      <c r="DL6" s="34" t="str">
        <f>HYPERLINK("http://www.uniprot.org/uniprot/P02768", "P02768")</f>
        <v>P02768</v>
      </c>
      <c r="DM6" t="s">
        <v>26500</v>
      </c>
      <c r="DN6" t="s">
        <v>13772</v>
      </c>
      <c r="DO6" t="s">
        <v>14321</v>
      </c>
      <c r="DP6" t="s">
        <v>13780</v>
      </c>
      <c r="DQ6" t="s">
        <v>13772</v>
      </c>
      <c r="DR6" t="s">
        <v>13807</v>
      </c>
      <c r="DS6" t="s">
        <v>14404</v>
      </c>
      <c r="DT6" t="s">
        <v>26501</v>
      </c>
      <c r="DU6" t="s">
        <v>13772</v>
      </c>
      <c r="DV6" t="s">
        <v>26502</v>
      </c>
      <c r="DW6" t="s">
        <v>13812</v>
      </c>
      <c r="DX6" t="s">
        <v>26503</v>
      </c>
      <c r="DY6" t="s">
        <v>26504</v>
      </c>
      <c r="DZ6" t="s">
        <v>26505</v>
      </c>
      <c r="EA6" t="s">
        <v>13772</v>
      </c>
      <c r="EB6" t="s">
        <v>26506</v>
      </c>
    </row>
    <row r="7" spans="1:133">
      <c r="A7">
        <v>2052</v>
      </c>
      <c r="B7">
        <v>1</v>
      </c>
      <c r="C7" t="s">
        <v>4822</v>
      </c>
      <c r="D7" t="s">
        <v>4823</v>
      </c>
      <c r="E7" t="s">
        <v>73</v>
      </c>
      <c r="F7" t="s">
        <v>3154</v>
      </c>
      <c r="G7" t="s">
        <v>73</v>
      </c>
      <c r="H7">
        <v>84.8</v>
      </c>
      <c r="I7">
        <v>394</v>
      </c>
      <c r="J7">
        <v>43135</v>
      </c>
      <c r="K7" t="s">
        <v>4824</v>
      </c>
      <c r="L7">
        <f t="shared" si="2"/>
        <v>5056</v>
      </c>
      <c r="M7" s="3">
        <v>4</v>
      </c>
      <c r="N7">
        <v>5056</v>
      </c>
      <c r="O7">
        <v>5052</v>
      </c>
      <c r="P7">
        <v>0.999</v>
      </c>
      <c r="Q7">
        <v>354</v>
      </c>
      <c r="R7">
        <v>183</v>
      </c>
      <c r="S7">
        <v>130</v>
      </c>
      <c r="T7">
        <v>73</v>
      </c>
      <c r="U7">
        <v>64</v>
      </c>
      <c r="V7">
        <v>84</v>
      </c>
      <c r="W7">
        <v>355</v>
      </c>
      <c r="X7">
        <v>20</v>
      </c>
      <c r="Y7">
        <v>239</v>
      </c>
      <c r="Z7">
        <v>663</v>
      </c>
      <c r="AA7">
        <v>130</v>
      </c>
      <c r="AB7">
        <v>191</v>
      </c>
      <c r="AC7">
        <v>414</v>
      </c>
      <c r="AD7">
        <v>440</v>
      </c>
      <c r="AE7">
        <v>337</v>
      </c>
      <c r="AF7">
        <v>244</v>
      </c>
      <c r="AG7">
        <v>360</v>
      </c>
      <c r="AH7">
        <v>335</v>
      </c>
      <c r="AI7">
        <v>440</v>
      </c>
      <c r="AJ7">
        <v>353</v>
      </c>
      <c r="AK7">
        <v>183</v>
      </c>
      <c r="AL7">
        <v>129</v>
      </c>
      <c r="AM7">
        <v>73</v>
      </c>
      <c r="AN7">
        <v>64</v>
      </c>
      <c r="AO7">
        <v>84</v>
      </c>
      <c r="AP7">
        <v>355</v>
      </c>
      <c r="AQ7">
        <v>20</v>
      </c>
      <c r="AR7">
        <v>239</v>
      </c>
      <c r="AS7">
        <v>662</v>
      </c>
      <c r="AT7">
        <v>130</v>
      </c>
      <c r="AU7">
        <v>190</v>
      </c>
      <c r="AV7">
        <v>414</v>
      </c>
      <c r="AW7">
        <v>440</v>
      </c>
      <c r="AX7">
        <v>337</v>
      </c>
      <c r="AY7">
        <v>244</v>
      </c>
      <c r="AZ7">
        <v>360</v>
      </c>
      <c r="BA7">
        <v>335</v>
      </c>
      <c r="BB7">
        <v>440</v>
      </c>
      <c r="BC7" s="2">
        <v>353.99700000000001</v>
      </c>
      <c r="BD7" s="2">
        <v>183</v>
      </c>
      <c r="BE7" s="2">
        <v>130</v>
      </c>
      <c r="BF7" s="2">
        <v>73</v>
      </c>
      <c r="BG7" s="2">
        <v>64</v>
      </c>
      <c r="BH7" s="2">
        <v>84</v>
      </c>
      <c r="BI7" s="2">
        <v>355</v>
      </c>
      <c r="BJ7" s="2">
        <v>20</v>
      </c>
      <c r="BK7" s="2">
        <v>239</v>
      </c>
      <c r="BL7" s="2">
        <v>662.99800000000005</v>
      </c>
      <c r="BM7" s="2">
        <v>130</v>
      </c>
      <c r="BN7" s="2">
        <v>191</v>
      </c>
      <c r="BO7" s="2">
        <v>414</v>
      </c>
      <c r="BP7" s="2">
        <v>440</v>
      </c>
      <c r="BQ7" s="2">
        <v>337</v>
      </c>
      <c r="BR7" s="2">
        <v>244</v>
      </c>
      <c r="BS7" s="2">
        <v>360</v>
      </c>
      <c r="BT7" s="2">
        <v>335</v>
      </c>
      <c r="BU7" s="2">
        <v>440</v>
      </c>
      <c r="BV7" s="2">
        <f t="shared" ref="BV7:BV70" si="5">SUM(BC7:BU7)</f>
        <v>5055.9949999999999</v>
      </c>
      <c r="BW7" s="16">
        <f t="shared" si="3"/>
        <v>266.10500000000002</v>
      </c>
      <c r="BX7" s="16">
        <f>COUNTIF($BC$6:BU7, "=0") / COUNTIF($BC$6:BU7, "&gt;-1")</f>
        <v>0</v>
      </c>
      <c r="BY7" s="18">
        <f>SUM($BC$6:BU7) / $BY$4</f>
        <v>9.4484418296591502E-2</v>
      </c>
      <c r="BZ7" s="14">
        <f t="shared" si="4"/>
        <v>0</v>
      </c>
      <c r="CA7" t="s">
        <v>5831</v>
      </c>
      <c r="CB7" s="36">
        <v>428.92176212549401</v>
      </c>
      <c r="CC7" s="36">
        <v>176.240734083973</v>
      </c>
      <c r="CD7" s="36">
        <v>208.103696035593</v>
      </c>
      <c r="CE7" s="36">
        <v>110.37028841818599</v>
      </c>
      <c r="CF7" s="36">
        <v>55.051287035961103</v>
      </c>
      <c r="CG7" s="36">
        <v>78.097088717717298</v>
      </c>
      <c r="CH7" s="36">
        <v>374.192110416947</v>
      </c>
      <c r="CI7" s="36">
        <v>19.463671959646099</v>
      </c>
      <c r="CJ7" s="37">
        <v>189.94723208554501</v>
      </c>
      <c r="CK7" s="37">
        <v>81.984454095477105</v>
      </c>
      <c r="CL7" s="37">
        <v>152.81038051906199</v>
      </c>
      <c r="CM7" s="37">
        <v>350.47047729237499</v>
      </c>
      <c r="CN7" s="37">
        <v>309.63309467969299</v>
      </c>
      <c r="CO7" s="37">
        <v>192.56249917397</v>
      </c>
      <c r="CP7" s="37">
        <v>543.07441723047202</v>
      </c>
      <c r="CQ7" s="37">
        <v>669.96021244883104</v>
      </c>
      <c r="CR7" s="45">
        <v>0.778587558821909</v>
      </c>
      <c r="CS7" s="45">
        <v>1.7170249515326499</v>
      </c>
      <c r="CT7" s="46">
        <v>0.13882949939362499</v>
      </c>
      <c r="CU7" s="47">
        <v>0.18954476549864299</v>
      </c>
      <c r="CV7" s="48">
        <v>181.30507984919001</v>
      </c>
      <c r="CW7" s="49">
        <v>311.30534594067802</v>
      </c>
      <c r="CX7" s="31" t="s">
        <v>5874</v>
      </c>
      <c r="CY7" s="31" t="s">
        <v>5832</v>
      </c>
      <c r="CZ7" t="s">
        <v>12592</v>
      </c>
      <c r="DA7" t="s">
        <v>5904</v>
      </c>
      <c r="DB7">
        <v>559.29999999999995</v>
      </c>
      <c r="DC7" t="s">
        <v>33423</v>
      </c>
      <c r="DD7" t="s">
        <v>13772</v>
      </c>
      <c r="DE7" t="s">
        <v>33424</v>
      </c>
      <c r="DF7" t="s">
        <v>33425</v>
      </c>
      <c r="DG7" t="s">
        <v>33426</v>
      </c>
      <c r="DH7" t="str">
        <f>"HPR"</f>
        <v>HPR</v>
      </c>
      <c r="DI7" t="s">
        <v>13772</v>
      </c>
      <c r="DJ7" t="s">
        <v>13777</v>
      </c>
      <c r="DK7">
        <v>9606</v>
      </c>
      <c r="DL7" s="34" t="str">
        <f>HYPERLINK("http://www.uniprot.org/uniprot/P00739", "P00739")</f>
        <v>P00739</v>
      </c>
      <c r="DM7" t="s">
        <v>33427</v>
      </c>
      <c r="DN7" t="s">
        <v>13772</v>
      </c>
      <c r="DO7" t="s">
        <v>14321</v>
      </c>
      <c r="DP7" t="s">
        <v>13780</v>
      </c>
      <c r="DQ7" t="s">
        <v>13772</v>
      </c>
      <c r="DR7" t="s">
        <v>13772</v>
      </c>
      <c r="DS7" t="s">
        <v>33428</v>
      </c>
      <c r="DT7" t="s">
        <v>33429</v>
      </c>
      <c r="DU7" t="s">
        <v>20996</v>
      </c>
      <c r="DV7" t="s">
        <v>14506</v>
      </c>
      <c r="DW7" t="s">
        <v>13772</v>
      </c>
      <c r="DX7" t="s">
        <v>33430</v>
      </c>
      <c r="DY7" t="s">
        <v>33431</v>
      </c>
      <c r="DZ7" t="s">
        <v>33432</v>
      </c>
      <c r="EA7" t="s">
        <v>13772</v>
      </c>
      <c r="EB7" t="s">
        <v>19770</v>
      </c>
    </row>
    <row r="8" spans="1:133">
      <c r="A8">
        <v>1933</v>
      </c>
      <c r="B8">
        <v>1</v>
      </c>
      <c r="C8" t="s">
        <v>4553</v>
      </c>
      <c r="D8" t="s">
        <v>73</v>
      </c>
      <c r="E8" t="s">
        <v>73</v>
      </c>
      <c r="F8" t="s">
        <v>73</v>
      </c>
      <c r="G8" t="s">
        <v>73</v>
      </c>
      <c r="H8">
        <v>86.9</v>
      </c>
      <c r="I8">
        <v>352</v>
      </c>
      <c r="J8">
        <v>39169</v>
      </c>
      <c r="K8" t="s">
        <v>4554</v>
      </c>
      <c r="L8">
        <f t="shared" si="2"/>
        <v>3657</v>
      </c>
      <c r="M8" s="3">
        <v>3</v>
      </c>
      <c r="N8">
        <v>3657</v>
      </c>
      <c r="O8">
        <v>3657</v>
      </c>
      <c r="P8">
        <v>1</v>
      </c>
      <c r="Q8">
        <v>192</v>
      </c>
      <c r="R8">
        <v>109</v>
      </c>
      <c r="S8">
        <v>206</v>
      </c>
      <c r="T8">
        <v>88</v>
      </c>
      <c r="U8">
        <v>154</v>
      </c>
      <c r="V8">
        <v>173</v>
      </c>
      <c r="W8">
        <v>314</v>
      </c>
      <c r="X8">
        <v>455</v>
      </c>
      <c r="Y8">
        <v>166</v>
      </c>
      <c r="Z8">
        <v>39</v>
      </c>
      <c r="AA8">
        <v>251</v>
      </c>
      <c r="AB8">
        <v>354</v>
      </c>
      <c r="AC8">
        <v>160</v>
      </c>
      <c r="AD8">
        <v>62</v>
      </c>
      <c r="AE8">
        <v>186</v>
      </c>
      <c r="AF8">
        <v>280</v>
      </c>
      <c r="AG8">
        <v>154</v>
      </c>
      <c r="AH8">
        <v>117</v>
      </c>
      <c r="AI8">
        <v>197</v>
      </c>
      <c r="AJ8">
        <v>192</v>
      </c>
      <c r="AK8">
        <v>109</v>
      </c>
      <c r="AL8">
        <v>206</v>
      </c>
      <c r="AM8">
        <v>88</v>
      </c>
      <c r="AN8">
        <v>154</v>
      </c>
      <c r="AO8">
        <v>173</v>
      </c>
      <c r="AP8">
        <v>314</v>
      </c>
      <c r="AQ8">
        <v>455</v>
      </c>
      <c r="AR8">
        <v>166</v>
      </c>
      <c r="AS8">
        <v>39</v>
      </c>
      <c r="AT8">
        <v>251</v>
      </c>
      <c r="AU8">
        <v>354</v>
      </c>
      <c r="AV8">
        <v>160</v>
      </c>
      <c r="AW8">
        <v>62</v>
      </c>
      <c r="AX8">
        <v>186</v>
      </c>
      <c r="AY8">
        <v>280</v>
      </c>
      <c r="AZ8">
        <v>154</v>
      </c>
      <c r="BA8">
        <v>117</v>
      </c>
      <c r="BB8">
        <v>197</v>
      </c>
      <c r="BC8" s="2">
        <v>192</v>
      </c>
      <c r="BD8" s="2">
        <v>109</v>
      </c>
      <c r="BE8" s="2">
        <v>206</v>
      </c>
      <c r="BF8" s="2">
        <v>88</v>
      </c>
      <c r="BG8" s="2">
        <v>154</v>
      </c>
      <c r="BH8" s="2">
        <v>173</v>
      </c>
      <c r="BI8" s="2">
        <v>314</v>
      </c>
      <c r="BJ8" s="2">
        <v>455</v>
      </c>
      <c r="BK8" s="2">
        <v>166</v>
      </c>
      <c r="BL8" s="2">
        <v>39</v>
      </c>
      <c r="BM8" s="2">
        <v>251</v>
      </c>
      <c r="BN8" s="2">
        <v>354</v>
      </c>
      <c r="BO8" s="2">
        <v>160</v>
      </c>
      <c r="BP8" s="2">
        <v>62</v>
      </c>
      <c r="BQ8" s="2">
        <v>186</v>
      </c>
      <c r="BR8" s="2">
        <v>280</v>
      </c>
      <c r="BS8" s="2">
        <v>154</v>
      </c>
      <c r="BT8" s="2">
        <v>117</v>
      </c>
      <c r="BU8" s="2">
        <v>197</v>
      </c>
      <c r="BV8" s="2">
        <f t="shared" si="5"/>
        <v>3657</v>
      </c>
      <c r="BW8" s="16">
        <f t="shared" si="3"/>
        <v>192.47368421052633</v>
      </c>
      <c r="BX8" s="16">
        <f>COUNTIF($BC$6:BU8, "=0") / COUNTIF($BC$6:BU8, "&gt;-1")</f>
        <v>0</v>
      </c>
      <c r="BY8" s="18">
        <f>SUM($BC$6:BU8) / $BY$4</f>
        <v>0.11014967832542921</v>
      </c>
      <c r="BZ8" s="14">
        <f t="shared" si="4"/>
        <v>0</v>
      </c>
      <c r="CA8" t="s">
        <v>5831</v>
      </c>
      <c r="CB8" s="36">
        <v>232.635532000268</v>
      </c>
      <c r="CC8" s="36">
        <v>104.973989153842</v>
      </c>
      <c r="CD8" s="36">
        <v>329.76431833332498</v>
      </c>
      <c r="CE8" s="36">
        <v>133.04911480548401</v>
      </c>
      <c r="CF8" s="36">
        <v>132.46715943028099</v>
      </c>
      <c r="CG8" s="36">
        <v>160.842813668632</v>
      </c>
      <c r="CH8" s="36">
        <v>330.975556819497</v>
      </c>
      <c r="CI8" s="36">
        <v>442.79853708194901</v>
      </c>
      <c r="CJ8" s="37">
        <v>131.92987667866299</v>
      </c>
      <c r="CK8" s="37">
        <v>158.29306136896</v>
      </c>
      <c r="CL8" s="37">
        <v>283.21923928663898</v>
      </c>
      <c r="CM8" s="37">
        <v>135.44752745599101</v>
      </c>
      <c r="CN8" s="37">
        <v>170.895417241611</v>
      </c>
      <c r="CO8" s="37">
        <v>220.97335970783499</v>
      </c>
      <c r="CP8" s="37">
        <v>232.31516737081299</v>
      </c>
      <c r="CQ8" s="37">
        <v>299.95945875549899</v>
      </c>
      <c r="CR8" s="45">
        <v>-0.194747285255537</v>
      </c>
      <c r="CS8" s="45">
        <v>-1.14358184919696</v>
      </c>
      <c r="CT8" s="46">
        <v>0.57111015882876204</v>
      </c>
      <c r="CU8" s="47">
        <v>0.64978349703476501</v>
      </c>
      <c r="CV8" s="48">
        <v>233.43837766166001</v>
      </c>
      <c r="CW8" s="49">
        <v>204.12913848325101</v>
      </c>
      <c r="CX8" s="31" t="s">
        <v>5875</v>
      </c>
      <c r="CY8" s="31" t="s">
        <v>5832</v>
      </c>
      <c r="CZ8" t="s">
        <v>12196</v>
      </c>
      <c r="DA8" t="s">
        <v>5904</v>
      </c>
      <c r="DB8">
        <v>570.1</v>
      </c>
      <c r="DC8" t="s">
        <v>32306</v>
      </c>
      <c r="DD8" t="s">
        <v>32307</v>
      </c>
      <c r="DE8" t="s">
        <v>32308</v>
      </c>
      <c r="DF8" t="s">
        <v>32309</v>
      </c>
      <c r="DG8" t="s">
        <v>32310</v>
      </c>
      <c r="DH8" t="str">
        <f>"AMBP"</f>
        <v>AMBP</v>
      </c>
      <c r="DI8" t="s">
        <v>32311</v>
      </c>
      <c r="DJ8" t="s">
        <v>13777</v>
      </c>
      <c r="DK8">
        <v>9606</v>
      </c>
      <c r="DL8" s="34" t="str">
        <f>HYPERLINK("http://www.uniprot.org/uniprot/P02760", "P02760")</f>
        <v>P02760</v>
      </c>
      <c r="DM8" t="s">
        <v>32312</v>
      </c>
      <c r="DN8" t="s">
        <v>14563</v>
      </c>
      <c r="DO8" t="s">
        <v>14321</v>
      </c>
      <c r="DP8" t="s">
        <v>13772</v>
      </c>
      <c r="DQ8" t="s">
        <v>13772</v>
      </c>
      <c r="DR8" t="s">
        <v>13772</v>
      </c>
      <c r="DS8" t="s">
        <v>14404</v>
      </c>
      <c r="DT8" t="s">
        <v>32313</v>
      </c>
      <c r="DU8" t="s">
        <v>14375</v>
      </c>
      <c r="DV8" t="s">
        <v>32314</v>
      </c>
      <c r="DW8" t="s">
        <v>13812</v>
      </c>
      <c r="DX8" t="s">
        <v>32315</v>
      </c>
      <c r="DY8" t="s">
        <v>32316</v>
      </c>
      <c r="DZ8" t="s">
        <v>32317</v>
      </c>
      <c r="EA8" t="s">
        <v>13772</v>
      </c>
      <c r="EB8" t="s">
        <v>19770</v>
      </c>
    </row>
    <row r="9" spans="1:133">
      <c r="A9">
        <v>727</v>
      </c>
      <c r="B9">
        <v>1</v>
      </c>
      <c r="C9" t="s">
        <v>1781</v>
      </c>
      <c r="D9" t="s">
        <v>73</v>
      </c>
      <c r="E9" t="s">
        <v>73</v>
      </c>
      <c r="F9" t="s">
        <v>1782</v>
      </c>
      <c r="G9" t="s">
        <v>73</v>
      </c>
      <c r="H9">
        <v>57.9</v>
      </c>
      <c r="I9">
        <v>1006</v>
      </c>
      <c r="J9">
        <v>110559</v>
      </c>
      <c r="K9" t="s">
        <v>1783</v>
      </c>
      <c r="L9">
        <f t="shared" si="2"/>
        <v>3559</v>
      </c>
      <c r="M9" s="3">
        <v>7</v>
      </c>
      <c r="N9">
        <v>3559</v>
      </c>
      <c r="O9">
        <v>3556</v>
      </c>
      <c r="P9">
        <v>0.999</v>
      </c>
      <c r="Q9">
        <v>282</v>
      </c>
      <c r="R9">
        <v>151</v>
      </c>
      <c r="S9">
        <v>147</v>
      </c>
      <c r="T9">
        <v>89</v>
      </c>
      <c r="U9">
        <v>75</v>
      </c>
      <c r="V9">
        <v>75</v>
      </c>
      <c r="W9">
        <v>150</v>
      </c>
      <c r="X9">
        <v>203</v>
      </c>
      <c r="Y9">
        <v>168</v>
      </c>
      <c r="Z9">
        <v>349</v>
      </c>
      <c r="AA9">
        <v>90</v>
      </c>
      <c r="AB9">
        <v>112</v>
      </c>
      <c r="AC9">
        <v>271</v>
      </c>
      <c r="AD9">
        <v>355</v>
      </c>
      <c r="AE9">
        <v>232</v>
      </c>
      <c r="AF9">
        <v>201</v>
      </c>
      <c r="AG9">
        <v>169</v>
      </c>
      <c r="AH9">
        <v>223</v>
      </c>
      <c r="AI9">
        <v>217</v>
      </c>
      <c r="AJ9">
        <v>282</v>
      </c>
      <c r="AK9">
        <v>150</v>
      </c>
      <c r="AL9">
        <v>146</v>
      </c>
      <c r="AM9">
        <v>89</v>
      </c>
      <c r="AN9">
        <v>75</v>
      </c>
      <c r="AO9">
        <v>75</v>
      </c>
      <c r="AP9">
        <v>150</v>
      </c>
      <c r="AQ9">
        <v>203</v>
      </c>
      <c r="AR9">
        <v>168</v>
      </c>
      <c r="AS9">
        <v>349</v>
      </c>
      <c r="AT9">
        <v>90</v>
      </c>
      <c r="AU9">
        <v>112</v>
      </c>
      <c r="AV9">
        <v>271</v>
      </c>
      <c r="AW9">
        <v>355</v>
      </c>
      <c r="AX9">
        <v>231</v>
      </c>
      <c r="AY9">
        <v>201</v>
      </c>
      <c r="AZ9">
        <v>169</v>
      </c>
      <c r="BA9">
        <v>223</v>
      </c>
      <c r="BB9">
        <v>217</v>
      </c>
      <c r="BC9" s="2">
        <v>282</v>
      </c>
      <c r="BD9" s="2">
        <v>150.92599999999999</v>
      </c>
      <c r="BE9" s="2">
        <v>146.90100000000001</v>
      </c>
      <c r="BF9" s="2">
        <v>89</v>
      </c>
      <c r="BG9" s="2">
        <v>75</v>
      </c>
      <c r="BH9" s="2">
        <v>75</v>
      </c>
      <c r="BI9" s="2">
        <v>150</v>
      </c>
      <c r="BJ9" s="2">
        <v>203</v>
      </c>
      <c r="BK9" s="2">
        <v>168</v>
      </c>
      <c r="BL9" s="2">
        <v>349</v>
      </c>
      <c r="BM9" s="2">
        <v>90</v>
      </c>
      <c r="BN9" s="2">
        <v>112</v>
      </c>
      <c r="BO9" s="2">
        <v>271</v>
      </c>
      <c r="BP9" s="2">
        <v>355</v>
      </c>
      <c r="BQ9" s="2">
        <v>231.79900000000001</v>
      </c>
      <c r="BR9" s="2">
        <v>201</v>
      </c>
      <c r="BS9" s="2">
        <v>169</v>
      </c>
      <c r="BT9" s="2">
        <v>223</v>
      </c>
      <c r="BU9" s="2">
        <v>217</v>
      </c>
      <c r="BV9" s="2">
        <f t="shared" si="5"/>
        <v>3558.6260000000002</v>
      </c>
      <c r="BW9" s="16">
        <f t="shared" si="3"/>
        <v>187.2961052631579</v>
      </c>
      <c r="BX9" s="16">
        <f>COUNTIF($BC$6:BU9, "=0") / COUNTIF($BC$6:BU9, "&gt;-1")</f>
        <v>0</v>
      </c>
      <c r="BY9" s="18">
        <f>SUM($BC$6:BU9) / $BY$4</f>
        <v>0.1253935398609454</v>
      </c>
      <c r="BZ9" s="14">
        <f t="shared" si="4"/>
        <v>0</v>
      </c>
      <c r="CA9" t="s">
        <v>5831</v>
      </c>
      <c r="CB9" s="36">
        <v>341.68343762539399</v>
      </c>
      <c r="CC9" s="36">
        <v>145.32637581022701</v>
      </c>
      <c r="CD9" s="36">
        <v>235.15717652022099</v>
      </c>
      <c r="CE9" s="36">
        <v>134.56103656463699</v>
      </c>
      <c r="CF9" s="36">
        <v>64.513226995266905</v>
      </c>
      <c r="CG9" s="36">
        <v>69.729543497961799</v>
      </c>
      <c r="CH9" s="36">
        <v>158.109342429696</v>
      </c>
      <c r="CI9" s="36">
        <v>197.556270390408</v>
      </c>
      <c r="CJ9" s="37">
        <v>133.51939326515301</v>
      </c>
      <c r="CK9" s="37">
        <v>56.758468219945698</v>
      </c>
      <c r="CL9" s="37">
        <v>89.606087005942399</v>
      </c>
      <c r="CM9" s="37">
        <v>229.414249628584</v>
      </c>
      <c r="CN9" s="37">
        <v>212.976116755943</v>
      </c>
      <c r="CO9" s="37">
        <v>158.62730464741</v>
      </c>
      <c r="CP9" s="37">
        <v>254.94326808874899</v>
      </c>
      <c r="CQ9" s="37">
        <v>330.41219568499201</v>
      </c>
      <c r="CR9" s="45">
        <v>0.121078813022478</v>
      </c>
      <c r="CS9" s="45">
        <v>1.0888292285797301</v>
      </c>
      <c r="CT9" s="46">
        <v>0.76007195700841002</v>
      </c>
      <c r="CU9" s="47">
        <v>0.82026835229121897</v>
      </c>
      <c r="CV9" s="48">
        <v>168.32955122922601</v>
      </c>
      <c r="CW9" s="49">
        <v>183.28213541209001</v>
      </c>
      <c r="CX9" s="31" t="s">
        <v>5874</v>
      </c>
      <c r="CY9" s="31" t="s">
        <v>5832</v>
      </c>
      <c r="CZ9" t="s">
        <v>8182</v>
      </c>
      <c r="DA9" t="s">
        <v>5904</v>
      </c>
      <c r="DB9">
        <v>1024.2</v>
      </c>
      <c r="DC9" t="s">
        <v>20919</v>
      </c>
      <c r="DD9" t="s">
        <v>20920</v>
      </c>
      <c r="DE9" t="s">
        <v>20921</v>
      </c>
      <c r="DF9" t="s">
        <v>20922</v>
      </c>
      <c r="DG9" t="s">
        <v>20923</v>
      </c>
      <c r="DH9" t="str">
        <f>"TF"</f>
        <v>TF</v>
      </c>
      <c r="DI9" t="s">
        <v>13772</v>
      </c>
      <c r="DJ9" t="s">
        <v>13777</v>
      </c>
      <c r="DK9">
        <v>9606</v>
      </c>
      <c r="DL9" s="34" t="str">
        <f>HYPERLINK("http://www.uniprot.org/uniprot/P02787", "P02787")</f>
        <v>P02787</v>
      </c>
      <c r="DM9" t="s">
        <v>20924</v>
      </c>
      <c r="DN9" t="s">
        <v>20925</v>
      </c>
      <c r="DO9" t="s">
        <v>14321</v>
      </c>
      <c r="DP9" t="s">
        <v>13793</v>
      </c>
      <c r="DQ9" t="s">
        <v>13772</v>
      </c>
      <c r="DR9" t="s">
        <v>13807</v>
      </c>
      <c r="DS9" t="s">
        <v>14404</v>
      </c>
      <c r="DT9" t="s">
        <v>17802</v>
      </c>
      <c r="DU9" t="s">
        <v>13772</v>
      </c>
      <c r="DV9" t="s">
        <v>20926</v>
      </c>
      <c r="DW9" t="s">
        <v>13812</v>
      </c>
      <c r="DX9" t="s">
        <v>20927</v>
      </c>
      <c r="DY9" t="s">
        <v>20928</v>
      </c>
      <c r="DZ9" t="s">
        <v>20929</v>
      </c>
      <c r="EA9" t="s">
        <v>13772</v>
      </c>
      <c r="EB9" t="s">
        <v>20930</v>
      </c>
    </row>
    <row r="10" spans="1:133">
      <c r="A10">
        <v>738</v>
      </c>
      <c r="B10">
        <v>1</v>
      </c>
      <c r="C10" t="s">
        <v>1810</v>
      </c>
      <c r="D10" t="s">
        <v>73</v>
      </c>
      <c r="E10" t="s">
        <v>73</v>
      </c>
      <c r="F10" t="s">
        <v>1811</v>
      </c>
      <c r="G10" t="s">
        <v>73</v>
      </c>
      <c r="H10">
        <v>73.099999999999994</v>
      </c>
      <c r="I10">
        <v>1661</v>
      </c>
      <c r="J10">
        <v>186659</v>
      </c>
      <c r="K10" t="s">
        <v>1812</v>
      </c>
      <c r="L10">
        <f t="shared" si="2"/>
        <v>3357</v>
      </c>
      <c r="M10" s="3">
        <v>18</v>
      </c>
      <c r="N10">
        <v>3357</v>
      </c>
      <c r="O10">
        <v>3356</v>
      </c>
      <c r="P10">
        <v>1</v>
      </c>
      <c r="Q10">
        <v>131</v>
      </c>
      <c r="R10">
        <v>102</v>
      </c>
      <c r="S10">
        <v>17</v>
      </c>
      <c r="T10">
        <v>25</v>
      </c>
      <c r="U10">
        <v>21</v>
      </c>
      <c r="V10">
        <v>40</v>
      </c>
      <c r="W10">
        <v>49</v>
      </c>
      <c r="X10">
        <v>112</v>
      </c>
      <c r="Y10">
        <v>127</v>
      </c>
      <c r="Z10">
        <v>541</v>
      </c>
      <c r="AA10">
        <v>105</v>
      </c>
      <c r="AB10">
        <v>151</v>
      </c>
      <c r="AC10">
        <v>336</v>
      </c>
      <c r="AD10">
        <v>433</v>
      </c>
      <c r="AE10">
        <v>169</v>
      </c>
      <c r="AF10">
        <v>126</v>
      </c>
      <c r="AG10">
        <v>291</v>
      </c>
      <c r="AH10">
        <v>215</v>
      </c>
      <c r="AI10">
        <v>366</v>
      </c>
      <c r="AJ10">
        <v>131</v>
      </c>
      <c r="AK10">
        <v>102</v>
      </c>
      <c r="AL10">
        <v>17</v>
      </c>
      <c r="AM10">
        <v>25</v>
      </c>
      <c r="AN10">
        <v>21</v>
      </c>
      <c r="AO10">
        <v>40</v>
      </c>
      <c r="AP10">
        <v>49</v>
      </c>
      <c r="AQ10">
        <v>112</v>
      </c>
      <c r="AR10">
        <v>127</v>
      </c>
      <c r="AS10">
        <v>540</v>
      </c>
      <c r="AT10">
        <v>105</v>
      </c>
      <c r="AU10">
        <v>151</v>
      </c>
      <c r="AV10">
        <v>336</v>
      </c>
      <c r="AW10">
        <v>433</v>
      </c>
      <c r="AX10">
        <v>169</v>
      </c>
      <c r="AY10">
        <v>126</v>
      </c>
      <c r="AZ10">
        <v>291</v>
      </c>
      <c r="BA10">
        <v>215</v>
      </c>
      <c r="BB10">
        <v>366</v>
      </c>
      <c r="BC10" s="2">
        <v>131</v>
      </c>
      <c r="BD10" s="2">
        <v>102</v>
      </c>
      <c r="BE10" s="2">
        <v>17</v>
      </c>
      <c r="BF10" s="2">
        <v>25</v>
      </c>
      <c r="BG10" s="2">
        <v>21</v>
      </c>
      <c r="BH10" s="2">
        <v>40</v>
      </c>
      <c r="BI10" s="2">
        <v>49</v>
      </c>
      <c r="BJ10" s="2">
        <v>112</v>
      </c>
      <c r="BK10" s="2">
        <v>127</v>
      </c>
      <c r="BL10" s="2">
        <v>541</v>
      </c>
      <c r="BM10" s="2">
        <v>105</v>
      </c>
      <c r="BN10" s="2">
        <v>151</v>
      </c>
      <c r="BO10" s="2">
        <v>336</v>
      </c>
      <c r="BP10" s="2">
        <v>433</v>
      </c>
      <c r="BQ10" s="2">
        <v>169</v>
      </c>
      <c r="BR10" s="2">
        <v>126</v>
      </c>
      <c r="BS10" s="2">
        <v>291</v>
      </c>
      <c r="BT10" s="2">
        <v>215</v>
      </c>
      <c r="BU10" s="2">
        <v>366</v>
      </c>
      <c r="BV10" s="2">
        <f t="shared" si="5"/>
        <v>3357</v>
      </c>
      <c r="BW10" s="16">
        <f t="shared" si="3"/>
        <v>176.68421052631578</v>
      </c>
      <c r="BX10" s="16">
        <f>COUNTIF($BC$6:BU10, "=0") / COUNTIF($BC$6:BU10, "&gt;-1")</f>
        <v>0</v>
      </c>
      <c r="BY10" s="18">
        <f>SUM($BC$6:BU10) / $BY$4</f>
        <v>0.13977370882917295</v>
      </c>
      <c r="BZ10" s="14">
        <f t="shared" si="4"/>
        <v>0</v>
      </c>
      <c r="CA10" t="s">
        <v>5831</v>
      </c>
      <c r="CB10" s="36">
        <v>158.72528485435001</v>
      </c>
      <c r="CC10" s="36">
        <v>98.232540309099605</v>
      </c>
      <c r="CD10" s="36">
        <v>27.213560250808399</v>
      </c>
      <c r="CE10" s="36">
        <v>37.798043978830698</v>
      </c>
      <c r="CF10" s="36">
        <v>18.0637035586747</v>
      </c>
      <c r="CG10" s="36">
        <v>37.189089865579597</v>
      </c>
      <c r="CH10" s="36">
        <v>51.6490518603674</v>
      </c>
      <c r="CI10" s="36">
        <v>108.996562974018</v>
      </c>
      <c r="CJ10" s="37">
        <v>100.93430324211</v>
      </c>
      <c r="CK10" s="37">
        <v>66.218212923270002</v>
      </c>
      <c r="CL10" s="37">
        <v>120.808206588369</v>
      </c>
      <c r="CM10" s="37">
        <v>284.43980765757999</v>
      </c>
      <c r="CN10" s="37">
        <v>155.275943622754</v>
      </c>
      <c r="CO10" s="37">
        <v>99.438011868525706</v>
      </c>
      <c r="CP10" s="37">
        <v>438.98515392796497</v>
      </c>
      <c r="CQ10" s="37">
        <v>557.28508580971004</v>
      </c>
      <c r="CR10" s="45">
        <v>1.7552613368557299</v>
      </c>
      <c r="CS10" s="45">
        <v>3.3900237158648099</v>
      </c>
      <c r="CT10" s="46">
        <v>5.9963955197529296E-4</v>
      </c>
      <c r="CU10" s="47">
        <v>1.4378453773171E-3</v>
      </c>
      <c r="CV10" s="48">
        <v>67.233479706465999</v>
      </c>
      <c r="CW10" s="49">
        <v>227.92309070503501</v>
      </c>
      <c r="CX10" s="31" t="s">
        <v>5874</v>
      </c>
      <c r="CY10" s="31" t="s">
        <v>5876</v>
      </c>
      <c r="CZ10" t="s">
        <v>8223</v>
      </c>
      <c r="DA10" t="s">
        <v>5904</v>
      </c>
      <c r="DB10">
        <v>2582.4</v>
      </c>
      <c r="DC10" t="s">
        <v>21029</v>
      </c>
      <c r="DD10" t="s">
        <v>21030</v>
      </c>
      <c r="DE10" t="s">
        <v>21031</v>
      </c>
      <c r="DF10" t="s">
        <v>21032</v>
      </c>
      <c r="DG10" t="s">
        <v>21033</v>
      </c>
      <c r="DH10" t="str">
        <f>"C3"</f>
        <v>C3</v>
      </c>
      <c r="DI10" t="s">
        <v>21034</v>
      </c>
      <c r="DJ10" t="s">
        <v>13777</v>
      </c>
      <c r="DK10">
        <v>9606</v>
      </c>
      <c r="DL10" s="34" t="str">
        <f>HYPERLINK("http://www.uniprot.org/uniprot/P01024", "P01024")</f>
        <v>P01024</v>
      </c>
      <c r="DM10" t="s">
        <v>21035</v>
      </c>
      <c r="DN10" t="s">
        <v>21036</v>
      </c>
      <c r="DO10" t="s">
        <v>14321</v>
      </c>
      <c r="DP10" t="s">
        <v>13793</v>
      </c>
      <c r="DQ10" t="s">
        <v>13772</v>
      </c>
      <c r="DR10" t="s">
        <v>21037</v>
      </c>
      <c r="DS10" t="s">
        <v>13808</v>
      </c>
      <c r="DT10" t="s">
        <v>13772</v>
      </c>
      <c r="DU10" t="s">
        <v>13772</v>
      </c>
      <c r="DV10" t="s">
        <v>21038</v>
      </c>
      <c r="DW10" t="s">
        <v>13812</v>
      </c>
      <c r="DX10" t="s">
        <v>21039</v>
      </c>
      <c r="DY10" t="s">
        <v>21040</v>
      </c>
      <c r="DZ10" t="s">
        <v>21041</v>
      </c>
      <c r="EA10" t="s">
        <v>13772</v>
      </c>
      <c r="EB10" t="s">
        <v>21042</v>
      </c>
    </row>
    <row r="11" spans="1:133">
      <c r="A11">
        <v>1221</v>
      </c>
      <c r="B11">
        <v>1</v>
      </c>
      <c r="C11" t="s">
        <v>2933</v>
      </c>
      <c r="D11" t="s">
        <v>73</v>
      </c>
      <c r="E11" t="s">
        <v>73</v>
      </c>
      <c r="F11" t="s">
        <v>73</v>
      </c>
      <c r="G11" t="s">
        <v>73</v>
      </c>
      <c r="H11">
        <v>83.1</v>
      </c>
      <c r="I11">
        <v>201</v>
      </c>
      <c r="J11">
        <v>22989</v>
      </c>
      <c r="K11" t="s">
        <v>2934</v>
      </c>
      <c r="L11">
        <f t="shared" si="2"/>
        <v>3354</v>
      </c>
      <c r="M11" s="3">
        <v>9</v>
      </c>
      <c r="N11">
        <v>3354</v>
      </c>
      <c r="O11">
        <v>3353</v>
      </c>
      <c r="P11">
        <v>1</v>
      </c>
      <c r="Q11">
        <v>114</v>
      </c>
      <c r="R11">
        <v>104</v>
      </c>
      <c r="S11">
        <v>84</v>
      </c>
      <c r="T11">
        <v>24</v>
      </c>
      <c r="U11">
        <v>24</v>
      </c>
      <c r="V11">
        <v>70</v>
      </c>
      <c r="W11">
        <v>56</v>
      </c>
      <c r="X11">
        <v>151</v>
      </c>
      <c r="Y11">
        <v>214</v>
      </c>
      <c r="Z11">
        <v>67</v>
      </c>
      <c r="AA11">
        <v>395</v>
      </c>
      <c r="AB11">
        <v>545</v>
      </c>
      <c r="AC11">
        <v>307</v>
      </c>
      <c r="AD11">
        <v>71</v>
      </c>
      <c r="AE11">
        <v>82</v>
      </c>
      <c r="AF11">
        <v>430</v>
      </c>
      <c r="AG11">
        <v>297</v>
      </c>
      <c r="AH11">
        <v>83</v>
      </c>
      <c r="AI11">
        <v>236</v>
      </c>
      <c r="AJ11">
        <v>114</v>
      </c>
      <c r="AK11">
        <v>104</v>
      </c>
      <c r="AL11">
        <v>84</v>
      </c>
      <c r="AM11">
        <v>24</v>
      </c>
      <c r="AN11">
        <v>24</v>
      </c>
      <c r="AO11">
        <v>70</v>
      </c>
      <c r="AP11">
        <v>56</v>
      </c>
      <c r="AQ11">
        <v>151</v>
      </c>
      <c r="AR11">
        <v>214</v>
      </c>
      <c r="AS11">
        <v>67</v>
      </c>
      <c r="AT11">
        <v>395</v>
      </c>
      <c r="AU11">
        <v>544</v>
      </c>
      <c r="AV11">
        <v>307</v>
      </c>
      <c r="AW11">
        <v>71</v>
      </c>
      <c r="AX11">
        <v>82</v>
      </c>
      <c r="AY11">
        <v>430</v>
      </c>
      <c r="AZ11">
        <v>297</v>
      </c>
      <c r="BA11">
        <v>83</v>
      </c>
      <c r="BB11">
        <v>236</v>
      </c>
      <c r="BC11" s="2">
        <v>114</v>
      </c>
      <c r="BD11" s="2">
        <v>104</v>
      </c>
      <c r="BE11" s="2">
        <v>84</v>
      </c>
      <c r="BF11" s="2">
        <v>24</v>
      </c>
      <c r="BG11" s="2">
        <v>24</v>
      </c>
      <c r="BH11" s="2">
        <v>70</v>
      </c>
      <c r="BI11" s="2">
        <v>56</v>
      </c>
      <c r="BJ11" s="2">
        <v>151</v>
      </c>
      <c r="BK11" s="2">
        <v>214</v>
      </c>
      <c r="BL11" s="2">
        <v>67</v>
      </c>
      <c r="BM11" s="2">
        <v>395</v>
      </c>
      <c r="BN11" s="2">
        <v>544.99300000000005</v>
      </c>
      <c r="BO11" s="2">
        <v>307</v>
      </c>
      <c r="BP11" s="2">
        <v>71</v>
      </c>
      <c r="BQ11" s="2">
        <v>82</v>
      </c>
      <c r="BR11" s="2">
        <v>430</v>
      </c>
      <c r="BS11" s="2">
        <v>297</v>
      </c>
      <c r="BT11" s="2">
        <v>83</v>
      </c>
      <c r="BU11" s="2">
        <v>236</v>
      </c>
      <c r="BV11" s="2">
        <f t="shared" si="5"/>
        <v>3353.9929999999999</v>
      </c>
      <c r="BW11" s="16">
        <f t="shared" si="3"/>
        <v>176.52594736842104</v>
      </c>
      <c r="BX11" s="16">
        <f>COUNTIF($BC$6:BU11, "=0") / COUNTIF($BC$6:BU11, "&gt;-1")</f>
        <v>0</v>
      </c>
      <c r="BY11" s="18">
        <f>SUM($BC$6:BU11) / $BY$4</f>
        <v>0.15414099690133637</v>
      </c>
      <c r="BZ11" s="14">
        <f t="shared" si="4"/>
        <v>0</v>
      </c>
      <c r="CA11" t="s">
        <v>5831</v>
      </c>
      <c r="CB11" s="36">
        <v>138.12734712515899</v>
      </c>
      <c r="CC11" s="36">
        <v>100.158668550454</v>
      </c>
      <c r="CD11" s="36">
        <v>134.46700359222999</v>
      </c>
      <c r="CE11" s="36">
        <v>36.286122219677502</v>
      </c>
      <c r="CF11" s="36">
        <v>20.644232638485398</v>
      </c>
      <c r="CG11" s="36">
        <v>65.080907264764406</v>
      </c>
      <c r="CH11" s="36">
        <v>59.027487840419901</v>
      </c>
      <c r="CI11" s="36">
        <v>146.950723295328</v>
      </c>
      <c r="CJ11" s="37">
        <v>170.07827475442099</v>
      </c>
      <c r="CK11" s="37">
        <v>249.10661052087301</v>
      </c>
      <c r="CL11" s="37">
        <v>436.029619805702</v>
      </c>
      <c r="CM11" s="37">
        <v>259.88994330618198</v>
      </c>
      <c r="CN11" s="37">
        <v>75.340990396839302</v>
      </c>
      <c r="CO11" s="37">
        <v>339.351945265604</v>
      </c>
      <c r="CP11" s="37">
        <v>448.03639421513998</v>
      </c>
      <c r="CQ11" s="37">
        <v>359.34229576800999</v>
      </c>
      <c r="CR11" s="45">
        <v>1.7369027677644</v>
      </c>
      <c r="CS11" s="45">
        <v>3.3352852138395499</v>
      </c>
      <c r="CT11" s="46">
        <v>4.51266616984017E-5</v>
      </c>
      <c r="CU11" s="47">
        <v>1.3912321048954301E-4</v>
      </c>
      <c r="CV11" s="48">
        <v>87.592811565814799</v>
      </c>
      <c r="CW11" s="49">
        <v>292.14700925409602</v>
      </c>
      <c r="CX11" s="31" t="s">
        <v>5874</v>
      </c>
      <c r="CY11" s="31" t="s">
        <v>5876</v>
      </c>
      <c r="CZ11" t="s">
        <v>9796</v>
      </c>
      <c r="DA11" t="s">
        <v>5904</v>
      </c>
      <c r="DB11">
        <v>382.5</v>
      </c>
      <c r="DC11" t="s">
        <v>25557</v>
      </c>
      <c r="DD11" t="s">
        <v>25558</v>
      </c>
      <c r="DE11" t="s">
        <v>25559</v>
      </c>
      <c r="DF11" t="s">
        <v>25560</v>
      </c>
      <c r="DG11" t="s">
        <v>25561</v>
      </c>
      <c r="DH11" t="str">
        <f>"RBP4"</f>
        <v>RBP4</v>
      </c>
      <c r="DI11" t="s">
        <v>13772</v>
      </c>
      <c r="DJ11" t="s">
        <v>13777</v>
      </c>
      <c r="DK11">
        <v>9606</v>
      </c>
      <c r="DL11" s="34" t="str">
        <f>HYPERLINK("http://www.uniprot.org/uniprot/P02753", "P02753")</f>
        <v>P02753</v>
      </c>
      <c r="DM11" t="s">
        <v>25562</v>
      </c>
      <c r="DN11" t="s">
        <v>25563</v>
      </c>
      <c r="DO11" t="s">
        <v>14321</v>
      </c>
      <c r="DP11" t="s">
        <v>13772</v>
      </c>
      <c r="DQ11" t="s">
        <v>13772</v>
      </c>
      <c r="DR11" t="s">
        <v>15592</v>
      </c>
      <c r="DS11" t="s">
        <v>13808</v>
      </c>
      <c r="DT11" t="s">
        <v>15687</v>
      </c>
      <c r="DU11" t="s">
        <v>13772</v>
      </c>
      <c r="DV11" t="s">
        <v>25564</v>
      </c>
      <c r="DW11" t="s">
        <v>13812</v>
      </c>
      <c r="DX11" t="s">
        <v>25565</v>
      </c>
      <c r="DY11" t="s">
        <v>25566</v>
      </c>
      <c r="DZ11" t="s">
        <v>25567</v>
      </c>
      <c r="EA11" t="s">
        <v>13772</v>
      </c>
      <c r="EB11" t="s">
        <v>25568</v>
      </c>
    </row>
    <row r="12" spans="1:133">
      <c r="A12">
        <v>1256</v>
      </c>
      <c r="B12">
        <v>1</v>
      </c>
      <c r="C12" t="s">
        <v>3006</v>
      </c>
      <c r="D12" t="s">
        <v>3007</v>
      </c>
      <c r="E12" t="s">
        <v>73</v>
      </c>
      <c r="F12" t="s">
        <v>73</v>
      </c>
      <c r="G12" t="s">
        <v>73</v>
      </c>
      <c r="H12">
        <v>76.099999999999994</v>
      </c>
      <c r="I12">
        <v>444</v>
      </c>
      <c r="J12">
        <v>51541</v>
      </c>
      <c r="K12" t="s">
        <v>3008</v>
      </c>
      <c r="L12">
        <f t="shared" si="2"/>
        <v>3181</v>
      </c>
      <c r="M12" s="3">
        <v>26</v>
      </c>
      <c r="N12">
        <v>3181</v>
      </c>
      <c r="O12">
        <v>3181</v>
      </c>
      <c r="P12">
        <v>1</v>
      </c>
      <c r="Q12">
        <v>85</v>
      </c>
      <c r="R12">
        <v>149</v>
      </c>
      <c r="S12">
        <v>36</v>
      </c>
      <c r="T12">
        <v>58</v>
      </c>
      <c r="U12">
        <v>60</v>
      </c>
      <c r="V12">
        <v>60</v>
      </c>
      <c r="W12">
        <v>32</v>
      </c>
      <c r="X12">
        <v>53</v>
      </c>
      <c r="Y12">
        <v>265</v>
      </c>
      <c r="Z12">
        <v>177</v>
      </c>
      <c r="AA12">
        <v>175</v>
      </c>
      <c r="AB12">
        <v>339</v>
      </c>
      <c r="AC12">
        <v>288</v>
      </c>
      <c r="AD12">
        <v>126</v>
      </c>
      <c r="AE12">
        <v>263</v>
      </c>
      <c r="AF12">
        <v>265</v>
      </c>
      <c r="AG12">
        <v>253</v>
      </c>
      <c r="AH12">
        <v>228</v>
      </c>
      <c r="AI12">
        <v>269</v>
      </c>
      <c r="AJ12">
        <v>85</v>
      </c>
      <c r="AK12">
        <v>149</v>
      </c>
      <c r="AL12">
        <v>36</v>
      </c>
      <c r="AM12">
        <v>58</v>
      </c>
      <c r="AN12">
        <v>60</v>
      </c>
      <c r="AO12">
        <v>60</v>
      </c>
      <c r="AP12">
        <v>32</v>
      </c>
      <c r="AQ12">
        <v>53</v>
      </c>
      <c r="AR12">
        <v>265</v>
      </c>
      <c r="AS12">
        <v>177</v>
      </c>
      <c r="AT12">
        <v>175</v>
      </c>
      <c r="AU12">
        <v>339</v>
      </c>
      <c r="AV12">
        <v>288</v>
      </c>
      <c r="AW12">
        <v>126</v>
      </c>
      <c r="AX12">
        <v>263</v>
      </c>
      <c r="AY12">
        <v>265</v>
      </c>
      <c r="AZ12">
        <v>253</v>
      </c>
      <c r="BA12">
        <v>228</v>
      </c>
      <c r="BB12">
        <v>269</v>
      </c>
      <c r="BC12" s="2">
        <v>85</v>
      </c>
      <c r="BD12" s="2">
        <v>149</v>
      </c>
      <c r="BE12" s="2">
        <v>36</v>
      </c>
      <c r="BF12" s="2">
        <v>58</v>
      </c>
      <c r="BG12" s="2">
        <v>60</v>
      </c>
      <c r="BH12" s="2">
        <v>60</v>
      </c>
      <c r="BI12" s="2">
        <v>32</v>
      </c>
      <c r="BJ12" s="2">
        <v>53</v>
      </c>
      <c r="BK12" s="2">
        <v>265</v>
      </c>
      <c r="BL12" s="2">
        <v>177</v>
      </c>
      <c r="BM12" s="2">
        <v>175</v>
      </c>
      <c r="BN12" s="2">
        <v>339</v>
      </c>
      <c r="BO12" s="2">
        <v>288</v>
      </c>
      <c r="BP12" s="2">
        <v>126</v>
      </c>
      <c r="BQ12" s="2">
        <v>263</v>
      </c>
      <c r="BR12" s="2">
        <v>265</v>
      </c>
      <c r="BS12" s="2">
        <v>253</v>
      </c>
      <c r="BT12" s="2">
        <v>228</v>
      </c>
      <c r="BU12" s="2">
        <v>269</v>
      </c>
      <c r="BV12" s="2">
        <f t="shared" si="5"/>
        <v>3181</v>
      </c>
      <c r="BW12" s="16">
        <f t="shared" si="3"/>
        <v>167.42105263157896</v>
      </c>
      <c r="BX12" s="16">
        <f>COUNTIF($BC$6:BU12, "=0") / COUNTIF($BC$6:BU12, "&gt;-1")</f>
        <v>0</v>
      </c>
      <c r="BY12" s="18">
        <f>SUM($BC$6:BU12) / $BY$4</f>
        <v>0.16776724578067265</v>
      </c>
      <c r="BZ12" s="14">
        <f t="shared" si="4"/>
        <v>0</v>
      </c>
      <c r="CA12" t="s">
        <v>5831</v>
      </c>
      <c r="CB12" s="36">
        <v>102.989688645952</v>
      </c>
      <c r="CC12" s="36">
        <v>143.49655398094001</v>
      </c>
      <c r="CD12" s="36">
        <v>57.628715825241301</v>
      </c>
      <c r="CE12" s="36">
        <v>87.691462030887294</v>
      </c>
      <c r="CF12" s="36">
        <v>51.6105815962135</v>
      </c>
      <c r="CG12" s="36">
        <v>55.783634798369498</v>
      </c>
      <c r="CH12" s="36">
        <v>33.729993051668501</v>
      </c>
      <c r="CI12" s="36">
        <v>51.578730693062198</v>
      </c>
      <c r="CJ12" s="37">
        <v>210.610947709914</v>
      </c>
      <c r="CK12" s="37">
        <v>110.36368820545</v>
      </c>
      <c r="CL12" s="37">
        <v>271.21842406262903</v>
      </c>
      <c r="CM12" s="37">
        <v>243.805549420783</v>
      </c>
      <c r="CN12" s="37">
        <v>241.64244480937501</v>
      </c>
      <c r="CO12" s="37">
        <v>209.135501152058</v>
      </c>
      <c r="CP12" s="37">
        <v>381.66063210919299</v>
      </c>
      <c r="CQ12" s="37">
        <v>409.58931170167199</v>
      </c>
      <c r="CR12" s="45">
        <v>1.82618630662735</v>
      </c>
      <c r="CS12" s="45">
        <v>3.5551637649713199</v>
      </c>
      <c r="CT12" s="46">
        <v>1.82111761470658E-7</v>
      </c>
      <c r="CU12" s="47">
        <v>1.12808118910991E-6</v>
      </c>
      <c r="CV12" s="48">
        <v>73.063670077791699</v>
      </c>
      <c r="CW12" s="49">
        <v>259.75331239638399</v>
      </c>
      <c r="CX12" s="31" t="s">
        <v>5874</v>
      </c>
      <c r="CY12" s="31" t="s">
        <v>5876</v>
      </c>
      <c r="CZ12" t="s">
        <v>9912</v>
      </c>
      <c r="DA12" t="s">
        <v>5904</v>
      </c>
      <c r="DB12">
        <v>705.3</v>
      </c>
      <c r="DC12" t="s">
        <v>25891</v>
      </c>
      <c r="DD12" t="s">
        <v>25892</v>
      </c>
      <c r="DE12" t="s">
        <v>25893</v>
      </c>
      <c r="DF12" t="s">
        <v>25894</v>
      </c>
      <c r="DG12" t="s">
        <v>25895</v>
      </c>
      <c r="DH12" t="str">
        <f>"CLU"</f>
        <v>CLU</v>
      </c>
      <c r="DI12" t="s">
        <v>13772</v>
      </c>
      <c r="DJ12" t="s">
        <v>13777</v>
      </c>
      <c r="DK12">
        <v>9606</v>
      </c>
      <c r="DL12" s="34" t="str">
        <f>HYPERLINK("http://www.uniprot.org/uniprot/P10909", "P10909")</f>
        <v>P10909</v>
      </c>
      <c r="DM12" t="s">
        <v>25896</v>
      </c>
      <c r="DN12" t="s">
        <v>25897</v>
      </c>
      <c r="DO12" t="s">
        <v>25898</v>
      </c>
      <c r="DP12" t="s">
        <v>13780</v>
      </c>
      <c r="DQ12" t="s">
        <v>13772</v>
      </c>
      <c r="DR12" t="s">
        <v>13772</v>
      </c>
      <c r="DS12" t="s">
        <v>13808</v>
      </c>
      <c r="DT12" t="s">
        <v>13772</v>
      </c>
      <c r="DU12" t="s">
        <v>14477</v>
      </c>
      <c r="DV12" t="s">
        <v>14640</v>
      </c>
      <c r="DW12" t="s">
        <v>13772</v>
      </c>
      <c r="DX12" t="s">
        <v>25899</v>
      </c>
      <c r="DY12" t="s">
        <v>25900</v>
      </c>
      <c r="DZ12" t="s">
        <v>25901</v>
      </c>
      <c r="EA12" t="s">
        <v>13772</v>
      </c>
      <c r="EB12" t="s">
        <v>25902</v>
      </c>
    </row>
    <row r="13" spans="1:133">
      <c r="A13">
        <v>1889</v>
      </c>
      <c r="B13">
        <v>1</v>
      </c>
      <c r="C13" t="s">
        <v>4459</v>
      </c>
      <c r="D13" t="s">
        <v>73</v>
      </c>
      <c r="E13" t="s">
        <v>73</v>
      </c>
      <c r="F13" t="s">
        <v>73</v>
      </c>
      <c r="G13" t="s">
        <v>73</v>
      </c>
      <c r="H13">
        <v>66.099999999999994</v>
      </c>
      <c r="I13">
        <v>643</v>
      </c>
      <c r="J13">
        <v>69865</v>
      </c>
      <c r="K13" t="s">
        <v>4460</v>
      </c>
      <c r="L13">
        <f t="shared" si="2"/>
        <v>2914</v>
      </c>
      <c r="M13" s="3">
        <v>2</v>
      </c>
      <c r="N13">
        <v>2914</v>
      </c>
      <c r="O13">
        <v>2914</v>
      </c>
      <c r="P13">
        <v>1</v>
      </c>
      <c r="Q13">
        <v>167</v>
      </c>
      <c r="R13">
        <v>334</v>
      </c>
      <c r="S13">
        <v>329</v>
      </c>
      <c r="T13">
        <v>271</v>
      </c>
      <c r="U13">
        <v>345</v>
      </c>
      <c r="V13">
        <v>223</v>
      </c>
      <c r="W13">
        <v>269</v>
      </c>
      <c r="X13">
        <v>113</v>
      </c>
      <c r="Y13">
        <v>158</v>
      </c>
      <c r="Z13">
        <v>2</v>
      </c>
      <c r="AA13">
        <v>51</v>
      </c>
      <c r="AB13">
        <v>95</v>
      </c>
      <c r="AC13">
        <v>290</v>
      </c>
      <c r="AD13">
        <v>20</v>
      </c>
      <c r="AE13">
        <v>28</v>
      </c>
      <c r="AF13">
        <v>75</v>
      </c>
      <c r="AG13">
        <v>38</v>
      </c>
      <c r="AH13">
        <v>35</v>
      </c>
      <c r="AI13">
        <v>71</v>
      </c>
      <c r="AJ13">
        <v>167</v>
      </c>
      <c r="AK13">
        <v>334</v>
      </c>
      <c r="AL13">
        <v>329</v>
      </c>
      <c r="AM13">
        <v>271</v>
      </c>
      <c r="AN13">
        <v>345</v>
      </c>
      <c r="AO13">
        <v>223</v>
      </c>
      <c r="AP13">
        <v>269</v>
      </c>
      <c r="AQ13">
        <v>113</v>
      </c>
      <c r="AR13">
        <v>158</v>
      </c>
      <c r="AS13">
        <v>2</v>
      </c>
      <c r="AT13">
        <v>51</v>
      </c>
      <c r="AU13">
        <v>95</v>
      </c>
      <c r="AV13">
        <v>290</v>
      </c>
      <c r="AW13">
        <v>20</v>
      </c>
      <c r="AX13">
        <v>28</v>
      </c>
      <c r="AY13">
        <v>75</v>
      </c>
      <c r="AZ13">
        <v>38</v>
      </c>
      <c r="BA13">
        <v>35</v>
      </c>
      <c r="BB13">
        <v>71</v>
      </c>
      <c r="BC13" s="2">
        <v>167</v>
      </c>
      <c r="BD13" s="2">
        <v>334</v>
      </c>
      <c r="BE13" s="2">
        <v>329</v>
      </c>
      <c r="BF13" s="2">
        <v>271</v>
      </c>
      <c r="BG13" s="2">
        <v>345</v>
      </c>
      <c r="BH13" s="2">
        <v>223</v>
      </c>
      <c r="BI13" s="2">
        <v>269</v>
      </c>
      <c r="BJ13" s="2">
        <v>113</v>
      </c>
      <c r="BK13" s="2">
        <v>158</v>
      </c>
      <c r="BL13" s="2">
        <v>2</v>
      </c>
      <c r="BM13" s="2">
        <v>51</v>
      </c>
      <c r="BN13" s="2">
        <v>95</v>
      </c>
      <c r="BO13" s="2">
        <v>290</v>
      </c>
      <c r="BP13" s="2">
        <v>20</v>
      </c>
      <c r="BQ13" s="2">
        <v>28</v>
      </c>
      <c r="BR13" s="2">
        <v>75</v>
      </c>
      <c r="BS13" s="2">
        <v>38</v>
      </c>
      <c r="BT13" s="2">
        <v>35</v>
      </c>
      <c r="BU13" s="2">
        <v>71</v>
      </c>
      <c r="BV13" s="2">
        <f t="shared" si="5"/>
        <v>2914</v>
      </c>
      <c r="BW13" s="16">
        <f t="shared" si="3"/>
        <v>153.36842105263159</v>
      </c>
      <c r="BX13" s="16">
        <f>COUNTIF($BC$6:BU13, "=0") / COUNTIF($BC$6:BU13, "&gt;-1")</f>
        <v>0</v>
      </c>
      <c r="BY13" s="18">
        <f>SUM($BC$6:BU13) / $BY$4</f>
        <v>0.1802497636160659</v>
      </c>
      <c r="BZ13" s="14">
        <f t="shared" si="4"/>
        <v>0</v>
      </c>
      <c r="CA13" t="s">
        <v>5831</v>
      </c>
      <c r="CB13" s="36">
        <v>202.34444710439999</v>
      </c>
      <c r="CC13" s="36">
        <v>321.66341630626698</v>
      </c>
      <c r="CD13" s="36">
        <v>526.66243073623298</v>
      </c>
      <c r="CE13" s="36">
        <v>409.73079673052501</v>
      </c>
      <c r="CF13" s="36">
        <v>296.76084417822801</v>
      </c>
      <c r="CG13" s="36">
        <v>207.32917600060699</v>
      </c>
      <c r="CH13" s="36">
        <v>283.54275409058801</v>
      </c>
      <c r="CI13" s="36">
        <v>109.969746572001</v>
      </c>
      <c r="CJ13" s="37">
        <v>125.571810332703</v>
      </c>
      <c r="CK13" s="37">
        <v>32.163131991302599</v>
      </c>
      <c r="CL13" s="37">
        <v>76.005163085397598</v>
      </c>
      <c r="CM13" s="37">
        <v>245.49864351398301</v>
      </c>
      <c r="CN13" s="37">
        <v>25.726191842823201</v>
      </c>
      <c r="CO13" s="37">
        <v>59.189292778884401</v>
      </c>
      <c r="CP13" s="37">
        <v>57.324521818772098</v>
      </c>
      <c r="CQ13" s="37">
        <v>108.10721609969799</v>
      </c>
      <c r="CR13" s="45">
        <v>-1.68981904074161</v>
      </c>
      <c r="CS13" s="45">
        <v>-3.2319749884837399</v>
      </c>
      <c r="CT13" s="46">
        <v>1.0784033930214301E-4</v>
      </c>
      <c r="CU13" s="47">
        <v>3.01862707084241E-4</v>
      </c>
      <c r="CV13" s="48">
        <v>294.75045146485598</v>
      </c>
      <c r="CW13" s="49">
        <v>91.198246432945496</v>
      </c>
      <c r="CX13" s="31" t="s">
        <v>5875</v>
      </c>
      <c r="CY13" s="31" t="s">
        <v>5876</v>
      </c>
      <c r="CZ13" t="s">
        <v>12056</v>
      </c>
      <c r="DA13" t="s">
        <v>5904</v>
      </c>
      <c r="DB13">
        <v>1077.8</v>
      </c>
      <c r="DC13" t="s">
        <v>31906</v>
      </c>
      <c r="DD13" t="s">
        <v>31907</v>
      </c>
      <c r="DE13" t="s">
        <v>31908</v>
      </c>
      <c r="DF13" t="s">
        <v>31909</v>
      </c>
      <c r="DG13" t="s">
        <v>31910</v>
      </c>
      <c r="DH13" t="str">
        <f>"UMOD"</f>
        <v>UMOD</v>
      </c>
      <c r="DI13" t="s">
        <v>13772</v>
      </c>
      <c r="DJ13" t="s">
        <v>13777</v>
      </c>
      <c r="DK13">
        <v>9606</v>
      </c>
      <c r="DL13" s="34" t="str">
        <f>HYPERLINK("http://www.uniprot.org/uniprot/P07911", "P07911")</f>
        <v>P07911</v>
      </c>
      <c r="DM13" t="s">
        <v>31911</v>
      </c>
      <c r="DN13" t="s">
        <v>13772</v>
      </c>
      <c r="DO13" t="s">
        <v>31912</v>
      </c>
      <c r="DP13" t="s">
        <v>13780</v>
      </c>
      <c r="DQ13" t="s">
        <v>13772</v>
      </c>
      <c r="DR13" t="s">
        <v>31913</v>
      </c>
      <c r="DS13" t="s">
        <v>14768</v>
      </c>
      <c r="DT13" t="s">
        <v>13772</v>
      </c>
      <c r="DU13" t="s">
        <v>13772</v>
      </c>
      <c r="DV13" t="s">
        <v>15699</v>
      </c>
      <c r="DW13" t="s">
        <v>13812</v>
      </c>
      <c r="DX13" t="s">
        <v>31914</v>
      </c>
      <c r="DY13" t="s">
        <v>31915</v>
      </c>
      <c r="DZ13" t="s">
        <v>31916</v>
      </c>
      <c r="EA13" t="s">
        <v>13772</v>
      </c>
      <c r="EB13" t="s">
        <v>14422</v>
      </c>
    </row>
    <row r="14" spans="1:133">
      <c r="A14">
        <v>1138</v>
      </c>
      <c r="B14">
        <v>1</v>
      </c>
      <c r="C14" t="s">
        <v>2741</v>
      </c>
      <c r="D14" t="s">
        <v>73</v>
      </c>
      <c r="E14" t="s">
        <v>73</v>
      </c>
      <c r="F14" t="s">
        <v>2627</v>
      </c>
      <c r="G14" t="s">
        <v>73</v>
      </c>
      <c r="H14">
        <v>85.8</v>
      </c>
      <c r="I14">
        <v>148</v>
      </c>
      <c r="J14">
        <v>16486</v>
      </c>
      <c r="K14" t="s">
        <v>2742</v>
      </c>
      <c r="L14">
        <f t="shared" si="2"/>
        <v>2518</v>
      </c>
      <c r="M14" s="3">
        <v>21</v>
      </c>
      <c r="N14">
        <v>2518</v>
      </c>
      <c r="O14">
        <v>2503</v>
      </c>
      <c r="P14">
        <v>0.99399999999999999</v>
      </c>
      <c r="Q14">
        <v>102</v>
      </c>
      <c r="R14">
        <v>116</v>
      </c>
      <c r="S14">
        <v>76</v>
      </c>
      <c r="T14">
        <v>27</v>
      </c>
      <c r="U14">
        <v>26</v>
      </c>
      <c r="V14">
        <v>24</v>
      </c>
      <c r="W14">
        <v>50</v>
      </c>
      <c r="X14">
        <v>115</v>
      </c>
      <c r="Y14">
        <v>185</v>
      </c>
      <c r="Z14">
        <v>70</v>
      </c>
      <c r="AA14">
        <v>258</v>
      </c>
      <c r="AB14">
        <v>270</v>
      </c>
      <c r="AC14">
        <v>162</v>
      </c>
      <c r="AD14">
        <v>65</v>
      </c>
      <c r="AE14">
        <v>223</v>
      </c>
      <c r="AF14">
        <v>292</v>
      </c>
      <c r="AG14">
        <v>164</v>
      </c>
      <c r="AH14">
        <v>96</v>
      </c>
      <c r="AI14">
        <v>197</v>
      </c>
      <c r="AJ14">
        <v>102</v>
      </c>
      <c r="AK14">
        <v>114</v>
      </c>
      <c r="AL14">
        <v>76</v>
      </c>
      <c r="AM14">
        <v>27</v>
      </c>
      <c r="AN14">
        <v>26</v>
      </c>
      <c r="AO14">
        <v>24</v>
      </c>
      <c r="AP14">
        <v>50</v>
      </c>
      <c r="AQ14">
        <v>111</v>
      </c>
      <c r="AR14">
        <v>184</v>
      </c>
      <c r="AS14">
        <v>70</v>
      </c>
      <c r="AT14">
        <v>256</v>
      </c>
      <c r="AU14">
        <v>269</v>
      </c>
      <c r="AV14">
        <v>162</v>
      </c>
      <c r="AW14">
        <v>65</v>
      </c>
      <c r="AX14">
        <v>223</v>
      </c>
      <c r="AY14">
        <v>291</v>
      </c>
      <c r="AZ14">
        <v>163</v>
      </c>
      <c r="BA14">
        <v>95</v>
      </c>
      <c r="BB14">
        <v>195</v>
      </c>
      <c r="BC14" s="2">
        <v>102</v>
      </c>
      <c r="BD14" s="2">
        <v>115.96599999999999</v>
      </c>
      <c r="BE14" s="2">
        <v>76</v>
      </c>
      <c r="BF14" s="2">
        <v>27</v>
      </c>
      <c r="BG14" s="2">
        <v>26</v>
      </c>
      <c r="BH14" s="2">
        <v>24</v>
      </c>
      <c r="BI14" s="2">
        <v>50</v>
      </c>
      <c r="BJ14" s="2">
        <v>115</v>
      </c>
      <c r="BK14" s="2">
        <v>184.93899999999999</v>
      </c>
      <c r="BL14" s="2">
        <v>70</v>
      </c>
      <c r="BM14" s="2">
        <v>257.97699999999998</v>
      </c>
      <c r="BN14" s="2">
        <v>270</v>
      </c>
      <c r="BO14" s="2">
        <v>162</v>
      </c>
      <c r="BP14" s="2">
        <v>65</v>
      </c>
      <c r="BQ14" s="2">
        <v>223</v>
      </c>
      <c r="BR14" s="2">
        <v>291.99299999999999</v>
      </c>
      <c r="BS14" s="2">
        <v>164</v>
      </c>
      <c r="BT14" s="2">
        <v>95.978999999999999</v>
      </c>
      <c r="BU14" s="2">
        <v>196.99</v>
      </c>
      <c r="BV14" s="2">
        <f t="shared" si="5"/>
        <v>2517.8440000000001</v>
      </c>
      <c r="BW14" s="16">
        <f t="shared" si="3"/>
        <v>132.51810526315791</v>
      </c>
      <c r="BX14" s="16">
        <f>COUNTIF($BC$6:BU14, "=0") / COUNTIF($BC$6:BU14, "&gt;-1")</f>
        <v>0</v>
      </c>
      <c r="BY14" s="18">
        <f>SUM($BC$6:BU14) / $BY$4</f>
        <v>0.19103529300410221</v>
      </c>
      <c r="BZ14" s="14">
        <f t="shared" si="4"/>
        <v>0</v>
      </c>
      <c r="CA14" t="s">
        <v>5831</v>
      </c>
      <c r="CB14" s="36">
        <v>123.58762637514199</v>
      </c>
      <c r="CC14" s="36">
        <v>111.71543799858399</v>
      </c>
      <c r="CD14" s="36">
        <v>121.660622297732</v>
      </c>
      <c r="CE14" s="36">
        <v>40.821887497137197</v>
      </c>
      <c r="CF14" s="36">
        <v>22.3645853583592</v>
      </c>
      <c r="CG14" s="36">
        <v>22.313453919347801</v>
      </c>
      <c r="CH14" s="36">
        <v>52.703114143232</v>
      </c>
      <c r="CI14" s="36">
        <v>111.916113767965</v>
      </c>
      <c r="CJ14" s="37">
        <v>146.95080842099301</v>
      </c>
      <c r="CK14" s="37">
        <v>162.70760889717801</v>
      </c>
      <c r="CL14" s="37">
        <v>216.014674032183</v>
      </c>
      <c r="CM14" s="37">
        <v>137.14062154919</v>
      </c>
      <c r="CN14" s="37">
        <v>204.89074217677</v>
      </c>
      <c r="CO14" s="37">
        <v>230.44364655245599</v>
      </c>
      <c r="CP14" s="37">
        <v>247.40056784943701</v>
      </c>
      <c r="CQ14" s="37">
        <v>299.95945875549899</v>
      </c>
      <c r="CR14" s="45">
        <v>1.43855131856059</v>
      </c>
      <c r="CS14" s="45">
        <v>2.7105166150869699</v>
      </c>
      <c r="CT14" s="46">
        <v>2.0551327904926001E-4</v>
      </c>
      <c r="CU14" s="47">
        <v>5.3987415568573099E-4</v>
      </c>
      <c r="CV14" s="48">
        <v>75.885355169687401</v>
      </c>
      <c r="CW14" s="49">
        <v>205.68851602921299</v>
      </c>
      <c r="CX14" s="31" t="s">
        <v>5874</v>
      </c>
      <c r="CY14" s="31" t="s">
        <v>5876</v>
      </c>
      <c r="CZ14" t="s">
        <v>9374</v>
      </c>
      <c r="DA14" t="s">
        <v>5904</v>
      </c>
      <c r="DB14">
        <v>255</v>
      </c>
      <c r="DC14" t="s">
        <v>24357</v>
      </c>
      <c r="DD14" t="s">
        <v>24358</v>
      </c>
      <c r="DE14" t="s">
        <v>24359</v>
      </c>
      <c r="DF14" t="s">
        <v>24360</v>
      </c>
      <c r="DG14" t="s">
        <v>24361</v>
      </c>
      <c r="DH14" t="str">
        <f>"LYZ"</f>
        <v>LYZ</v>
      </c>
      <c r="DI14" t="s">
        <v>24362</v>
      </c>
      <c r="DJ14" t="s">
        <v>13777</v>
      </c>
      <c r="DK14">
        <v>9606</v>
      </c>
      <c r="DL14" s="34" t="str">
        <f>HYPERLINK("http://www.uniprot.org/uniprot/P61626", "P61626")</f>
        <v>P61626</v>
      </c>
      <c r="DM14" t="s">
        <v>24363</v>
      </c>
      <c r="DN14" t="s">
        <v>13772</v>
      </c>
      <c r="DO14" t="s">
        <v>20170</v>
      </c>
      <c r="DP14" t="s">
        <v>13793</v>
      </c>
      <c r="DQ14" t="s">
        <v>13772</v>
      </c>
      <c r="DR14" t="s">
        <v>16144</v>
      </c>
      <c r="DS14" t="s">
        <v>13808</v>
      </c>
      <c r="DT14" t="s">
        <v>13772</v>
      </c>
      <c r="DU14" t="s">
        <v>24364</v>
      </c>
      <c r="DV14" t="s">
        <v>14506</v>
      </c>
      <c r="DW14" t="s">
        <v>13812</v>
      </c>
      <c r="DX14" t="s">
        <v>24365</v>
      </c>
      <c r="DY14" t="s">
        <v>24366</v>
      </c>
      <c r="DZ14" t="s">
        <v>24367</v>
      </c>
      <c r="EA14" t="s">
        <v>13772</v>
      </c>
      <c r="EB14" t="s">
        <v>24368</v>
      </c>
    </row>
    <row r="15" spans="1:133">
      <c r="A15">
        <v>1480</v>
      </c>
      <c r="B15">
        <v>1</v>
      </c>
      <c r="C15" t="s">
        <v>3522</v>
      </c>
      <c r="D15" t="s">
        <v>73</v>
      </c>
      <c r="E15" t="s">
        <v>73</v>
      </c>
      <c r="F15" t="s">
        <v>73</v>
      </c>
      <c r="G15" t="s">
        <v>73</v>
      </c>
      <c r="H15">
        <v>77</v>
      </c>
      <c r="I15">
        <v>768</v>
      </c>
      <c r="J15">
        <v>86350</v>
      </c>
      <c r="K15" t="s">
        <v>3523</v>
      </c>
      <c r="L15">
        <f t="shared" si="2"/>
        <v>2470</v>
      </c>
      <c r="M15" s="3">
        <v>8</v>
      </c>
      <c r="N15">
        <v>2470</v>
      </c>
      <c r="O15">
        <v>2470</v>
      </c>
      <c r="P15">
        <v>1</v>
      </c>
      <c r="Q15">
        <v>218</v>
      </c>
      <c r="R15">
        <v>146</v>
      </c>
      <c r="S15">
        <v>127</v>
      </c>
      <c r="T15">
        <v>115</v>
      </c>
      <c r="U15">
        <v>126</v>
      </c>
      <c r="V15">
        <v>143</v>
      </c>
      <c r="W15">
        <v>153</v>
      </c>
      <c r="X15">
        <v>142</v>
      </c>
      <c r="Y15">
        <v>138</v>
      </c>
      <c r="Z15">
        <v>76</v>
      </c>
      <c r="AA15">
        <v>101</v>
      </c>
      <c r="AB15">
        <v>190</v>
      </c>
      <c r="AC15">
        <v>124</v>
      </c>
      <c r="AD15">
        <v>74</v>
      </c>
      <c r="AE15">
        <v>96</v>
      </c>
      <c r="AF15">
        <v>94</v>
      </c>
      <c r="AG15">
        <v>138</v>
      </c>
      <c r="AH15">
        <v>94</v>
      </c>
      <c r="AI15">
        <v>175</v>
      </c>
      <c r="AJ15">
        <v>218</v>
      </c>
      <c r="AK15">
        <v>146</v>
      </c>
      <c r="AL15">
        <v>127</v>
      </c>
      <c r="AM15">
        <v>115</v>
      </c>
      <c r="AN15">
        <v>126</v>
      </c>
      <c r="AO15">
        <v>143</v>
      </c>
      <c r="AP15">
        <v>153</v>
      </c>
      <c r="AQ15">
        <v>142</v>
      </c>
      <c r="AR15">
        <v>138</v>
      </c>
      <c r="AS15">
        <v>76</v>
      </c>
      <c r="AT15">
        <v>101</v>
      </c>
      <c r="AU15">
        <v>190</v>
      </c>
      <c r="AV15">
        <v>124</v>
      </c>
      <c r="AW15">
        <v>74</v>
      </c>
      <c r="AX15">
        <v>96</v>
      </c>
      <c r="AY15">
        <v>94</v>
      </c>
      <c r="AZ15">
        <v>138</v>
      </c>
      <c r="BA15">
        <v>94</v>
      </c>
      <c r="BB15">
        <v>175</v>
      </c>
      <c r="BC15" s="2">
        <v>218</v>
      </c>
      <c r="BD15" s="2">
        <v>146</v>
      </c>
      <c r="BE15" s="2">
        <v>127</v>
      </c>
      <c r="BF15" s="2">
        <v>115</v>
      </c>
      <c r="BG15" s="2">
        <v>126</v>
      </c>
      <c r="BH15" s="2">
        <v>143</v>
      </c>
      <c r="BI15" s="2">
        <v>153</v>
      </c>
      <c r="BJ15" s="2">
        <v>142</v>
      </c>
      <c r="BK15" s="2">
        <v>138</v>
      </c>
      <c r="BL15" s="2">
        <v>76</v>
      </c>
      <c r="BM15" s="2">
        <v>101</v>
      </c>
      <c r="BN15" s="2">
        <v>190</v>
      </c>
      <c r="BO15" s="2">
        <v>124</v>
      </c>
      <c r="BP15" s="2">
        <v>74</v>
      </c>
      <c r="BQ15" s="2">
        <v>96</v>
      </c>
      <c r="BR15" s="2">
        <v>94</v>
      </c>
      <c r="BS15" s="2">
        <v>138</v>
      </c>
      <c r="BT15" s="2">
        <v>94</v>
      </c>
      <c r="BU15" s="2">
        <v>175</v>
      </c>
      <c r="BV15" s="2">
        <f t="shared" si="5"/>
        <v>2470</v>
      </c>
      <c r="BW15" s="16">
        <f t="shared" si="3"/>
        <v>130</v>
      </c>
      <c r="BX15" s="16">
        <f>COUNTIF($BC$6:BU15, "=0") / COUNTIF($BC$6:BU15, "&gt;-1")</f>
        <v>0</v>
      </c>
      <c r="BY15" s="18">
        <f>SUM($BC$6:BU15) / $BY$4</f>
        <v>0.20161587606979245</v>
      </c>
      <c r="BZ15" s="14">
        <f t="shared" si="4"/>
        <v>0</v>
      </c>
      <c r="CA15" t="s">
        <v>5831</v>
      </c>
      <c r="CB15" s="36">
        <v>264.13826029197099</v>
      </c>
      <c r="CC15" s="36">
        <v>140.60736161890699</v>
      </c>
      <c r="CD15" s="36">
        <v>203.301303050157</v>
      </c>
      <c r="CE15" s="36">
        <v>173.87100230262101</v>
      </c>
      <c r="CF15" s="36">
        <v>108.38222135204801</v>
      </c>
      <c r="CG15" s="36">
        <v>132.95099626944699</v>
      </c>
      <c r="CH15" s="36">
        <v>161.27152927828999</v>
      </c>
      <c r="CI15" s="36">
        <v>138.19207091348699</v>
      </c>
      <c r="CJ15" s="37">
        <v>109.676644467804</v>
      </c>
      <c r="CK15" s="37">
        <v>63.695614335716797</v>
      </c>
      <c r="CL15" s="37">
        <v>152.010326170795</v>
      </c>
      <c r="CM15" s="37">
        <v>104.97183377839301</v>
      </c>
      <c r="CN15" s="37">
        <v>88.204086318250901</v>
      </c>
      <c r="CO15" s="37">
        <v>74.183913616201707</v>
      </c>
      <c r="CP15" s="37">
        <v>208.17852660501401</v>
      </c>
      <c r="CQ15" s="37">
        <v>266.46144813305801</v>
      </c>
      <c r="CR15" s="45">
        <v>-0.31477900361328298</v>
      </c>
      <c r="CS15" s="45">
        <v>-1.23921356884325</v>
      </c>
      <c r="CT15" s="46">
        <v>0.346872267398117</v>
      </c>
      <c r="CU15" s="47">
        <v>0.427361964805415</v>
      </c>
      <c r="CV15" s="48">
        <v>165.339343134616</v>
      </c>
      <c r="CW15" s="49">
        <v>133.42279917815401</v>
      </c>
      <c r="CX15" s="31" t="s">
        <v>5875</v>
      </c>
      <c r="CY15" s="31" t="s">
        <v>5832</v>
      </c>
      <c r="CZ15" t="s">
        <v>10665</v>
      </c>
      <c r="DA15" t="s">
        <v>5904</v>
      </c>
      <c r="DB15">
        <v>1354.3</v>
      </c>
      <c r="DC15" t="s">
        <v>28014</v>
      </c>
      <c r="DD15" t="s">
        <v>28015</v>
      </c>
      <c r="DE15" t="s">
        <v>28016</v>
      </c>
      <c r="DF15" t="s">
        <v>28017</v>
      </c>
      <c r="DG15" t="s">
        <v>28018</v>
      </c>
      <c r="DH15" t="str">
        <f>"CFB"</f>
        <v>CFB</v>
      </c>
      <c r="DI15" t="s">
        <v>28019</v>
      </c>
      <c r="DJ15" t="s">
        <v>13777</v>
      </c>
      <c r="DK15">
        <v>9606</v>
      </c>
      <c r="DL15" s="34" t="str">
        <f>HYPERLINK("http://www.uniprot.org/uniprot/P00751", "P00751")</f>
        <v>P00751</v>
      </c>
      <c r="DM15" t="s">
        <v>28020</v>
      </c>
      <c r="DN15" t="s">
        <v>21849</v>
      </c>
      <c r="DO15" t="s">
        <v>14321</v>
      </c>
      <c r="DP15" t="s">
        <v>13780</v>
      </c>
      <c r="DQ15" t="s">
        <v>13772</v>
      </c>
      <c r="DR15" t="s">
        <v>28021</v>
      </c>
      <c r="DS15" t="s">
        <v>28012</v>
      </c>
      <c r="DT15" t="s">
        <v>13772</v>
      </c>
      <c r="DU15" t="s">
        <v>15176</v>
      </c>
      <c r="DV15" t="s">
        <v>28022</v>
      </c>
      <c r="DW15" t="s">
        <v>13812</v>
      </c>
      <c r="DX15" t="s">
        <v>28023</v>
      </c>
      <c r="DY15" t="s">
        <v>28024</v>
      </c>
      <c r="DZ15" t="s">
        <v>28025</v>
      </c>
      <c r="EA15" t="s">
        <v>13772</v>
      </c>
      <c r="EB15" t="s">
        <v>28026</v>
      </c>
    </row>
    <row r="16" spans="1:133">
      <c r="A16">
        <v>1333</v>
      </c>
      <c r="B16">
        <v>1</v>
      </c>
      <c r="C16" t="s">
        <v>3195</v>
      </c>
      <c r="D16" t="s">
        <v>73</v>
      </c>
      <c r="E16" t="s">
        <v>73</v>
      </c>
      <c r="F16" t="s">
        <v>73</v>
      </c>
      <c r="G16" t="s">
        <v>73</v>
      </c>
      <c r="H16">
        <v>67.3</v>
      </c>
      <c r="I16">
        <v>872</v>
      </c>
      <c r="J16">
        <v>94955</v>
      </c>
      <c r="K16" t="s">
        <v>3196</v>
      </c>
      <c r="L16">
        <f t="shared" si="2"/>
        <v>2464</v>
      </c>
      <c r="N16">
        <v>2464</v>
      </c>
      <c r="O16">
        <v>2464</v>
      </c>
      <c r="P16">
        <v>1</v>
      </c>
      <c r="Q16">
        <v>65</v>
      </c>
      <c r="R16">
        <v>77</v>
      </c>
      <c r="S16">
        <v>39</v>
      </c>
      <c r="T16">
        <v>59</v>
      </c>
      <c r="U16">
        <v>63</v>
      </c>
      <c r="V16">
        <v>62</v>
      </c>
      <c r="W16">
        <v>58</v>
      </c>
      <c r="X16">
        <v>37</v>
      </c>
      <c r="Y16">
        <v>193</v>
      </c>
      <c r="Z16">
        <v>315</v>
      </c>
      <c r="AA16">
        <v>214</v>
      </c>
      <c r="AB16">
        <v>155</v>
      </c>
      <c r="AC16">
        <v>142</v>
      </c>
      <c r="AD16">
        <v>211</v>
      </c>
      <c r="AE16">
        <v>187</v>
      </c>
      <c r="AF16">
        <v>154</v>
      </c>
      <c r="AG16">
        <v>134</v>
      </c>
      <c r="AH16">
        <v>158</v>
      </c>
      <c r="AI16">
        <v>141</v>
      </c>
      <c r="AJ16">
        <v>65</v>
      </c>
      <c r="AK16">
        <v>77</v>
      </c>
      <c r="AL16">
        <v>39</v>
      </c>
      <c r="AM16">
        <v>59</v>
      </c>
      <c r="AN16">
        <v>63</v>
      </c>
      <c r="AO16">
        <v>62</v>
      </c>
      <c r="AP16">
        <v>58</v>
      </c>
      <c r="AQ16">
        <v>37</v>
      </c>
      <c r="AR16">
        <v>193</v>
      </c>
      <c r="AS16">
        <v>315</v>
      </c>
      <c r="AT16">
        <v>214</v>
      </c>
      <c r="AU16">
        <v>155</v>
      </c>
      <c r="AV16">
        <v>142</v>
      </c>
      <c r="AW16">
        <v>211</v>
      </c>
      <c r="AX16">
        <v>187</v>
      </c>
      <c r="AY16">
        <v>154</v>
      </c>
      <c r="AZ16">
        <v>134</v>
      </c>
      <c r="BA16">
        <v>158</v>
      </c>
      <c r="BB16">
        <v>141</v>
      </c>
      <c r="BC16" s="2">
        <v>65</v>
      </c>
      <c r="BD16" s="2">
        <v>77</v>
      </c>
      <c r="BE16" s="2">
        <v>39</v>
      </c>
      <c r="BF16" s="2">
        <v>59</v>
      </c>
      <c r="BG16" s="2">
        <v>63</v>
      </c>
      <c r="BH16" s="2">
        <v>62</v>
      </c>
      <c r="BI16" s="2">
        <v>58</v>
      </c>
      <c r="BJ16" s="2">
        <v>37</v>
      </c>
      <c r="BK16" s="2">
        <v>193</v>
      </c>
      <c r="BL16" s="2">
        <v>315</v>
      </c>
      <c r="BM16" s="2">
        <v>214</v>
      </c>
      <c r="BN16" s="2">
        <v>155</v>
      </c>
      <c r="BO16" s="2">
        <v>142</v>
      </c>
      <c r="BP16" s="2">
        <v>211</v>
      </c>
      <c r="BQ16" s="2">
        <v>187</v>
      </c>
      <c r="BR16" s="2">
        <v>154</v>
      </c>
      <c r="BS16" s="2">
        <v>134</v>
      </c>
      <c r="BT16" s="2">
        <v>158</v>
      </c>
      <c r="BU16" s="2">
        <v>141</v>
      </c>
      <c r="BV16" s="2">
        <f t="shared" si="5"/>
        <v>2464</v>
      </c>
      <c r="BW16" s="16">
        <f t="shared" si="3"/>
        <v>129.68421052631578</v>
      </c>
      <c r="BX16" s="16">
        <f>COUNTIF($BC$6:BU16, "=0") / COUNTIF($BC$6:BU16, "&gt;-1")</f>
        <v>0</v>
      </c>
      <c r="BY16" s="18">
        <f>SUM($BC$6:BU16) / $BY$4</f>
        <v>0.21217075731427049</v>
      </c>
      <c r="BZ16" s="14">
        <f t="shared" si="4"/>
        <v>0</v>
      </c>
      <c r="CA16" t="s">
        <v>5831</v>
      </c>
      <c r="CB16" s="36">
        <v>78.756820729257399</v>
      </c>
      <c r="CC16" s="36">
        <v>74.155937292163401</v>
      </c>
      <c r="CD16" s="36">
        <v>62.431108810677998</v>
      </c>
      <c r="CE16" s="36">
        <v>89.203383790040505</v>
      </c>
      <c r="CF16" s="36">
        <v>54.191110676024202</v>
      </c>
      <c r="CG16" s="36">
        <v>57.643089291648501</v>
      </c>
      <c r="CH16" s="36">
        <v>61.1356124061492</v>
      </c>
      <c r="CI16" s="36">
        <v>36.007793125345302</v>
      </c>
      <c r="CJ16" s="37">
        <v>153.38835059627701</v>
      </c>
      <c r="CK16" s="37">
        <v>134.95902443409301</v>
      </c>
      <c r="CL16" s="37">
        <v>124.008423981438</v>
      </c>
      <c r="CM16" s="37">
        <v>120.20968061719201</v>
      </c>
      <c r="CN16" s="37">
        <v>171.81420980742601</v>
      </c>
      <c r="CO16" s="37">
        <v>121.535347839309</v>
      </c>
      <c r="CP16" s="37">
        <v>202.144366413565</v>
      </c>
      <c r="CQ16" s="37">
        <v>214.69179535292099</v>
      </c>
      <c r="CR16" s="45">
        <v>1.27405862968202</v>
      </c>
      <c r="CS16" s="45">
        <v>2.4200409858031402</v>
      </c>
      <c r="CT16" s="46">
        <v>1.5379308440685201E-6</v>
      </c>
      <c r="CU16" s="47">
        <v>7.1449703797349904E-6</v>
      </c>
      <c r="CV16" s="48">
        <v>64.190607015163295</v>
      </c>
      <c r="CW16" s="49">
        <v>155.343899880278</v>
      </c>
      <c r="CX16" s="31" t="s">
        <v>5874</v>
      </c>
      <c r="CY16" s="31" t="s">
        <v>5876</v>
      </c>
      <c r="CZ16" t="s">
        <v>10187</v>
      </c>
      <c r="DA16" t="s">
        <v>5904</v>
      </c>
      <c r="DB16">
        <v>1188.3</v>
      </c>
      <c r="DC16" t="s">
        <v>26671</v>
      </c>
      <c r="DD16" t="s">
        <v>13772</v>
      </c>
      <c r="DE16" t="s">
        <v>26672</v>
      </c>
      <c r="DF16" t="s">
        <v>26673</v>
      </c>
      <c r="DG16" t="s">
        <v>26674</v>
      </c>
      <c r="DH16" t="str">
        <f>"FGA"</f>
        <v>FGA</v>
      </c>
      <c r="DI16" t="s">
        <v>13772</v>
      </c>
      <c r="DJ16" t="s">
        <v>13777</v>
      </c>
      <c r="DK16">
        <v>9606</v>
      </c>
      <c r="DL16" s="34" t="str">
        <f>HYPERLINK("http://www.uniprot.org/uniprot/P02671", "P02671")</f>
        <v>P02671</v>
      </c>
      <c r="DM16" t="s">
        <v>26675</v>
      </c>
      <c r="DN16" t="s">
        <v>26074</v>
      </c>
      <c r="DO16" t="s">
        <v>20170</v>
      </c>
      <c r="DP16" t="s">
        <v>13780</v>
      </c>
      <c r="DQ16" t="s">
        <v>13772</v>
      </c>
      <c r="DR16" t="s">
        <v>16144</v>
      </c>
      <c r="DS16" t="s">
        <v>16820</v>
      </c>
      <c r="DT16" t="s">
        <v>13873</v>
      </c>
      <c r="DU16" t="s">
        <v>13772</v>
      </c>
      <c r="DV16" t="s">
        <v>26676</v>
      </c>
      <c r="DW16" t="s">
        <v>13812</v>
      </c>
      <c r="DX16" t="s">
        <v>26677</v>
      </c>
      <c r="DY16" t="s">
        <v>26678</v>
      </c>
      <c r="DZ16" t="s">
        <v>26679</v>
      </c>
      <c r="EA16" t="s">
        <v>13772</v>
      </c>
      <c r="EB16" t="s">
        <v>26680</v>
      </c>
    </row>
    <row r="17" spans="1:132">
      <c r="A17">
        <v>603</v>
      </c>
      <c r="B17">
        <v>1</v>
      </c>
      <c r="C17" t="s">
        <v>1493</v>
      </c>
      <c r="D17" t="s">
        <v>73</v>
      </c>
      <c r="E17" t="s">
        <v>73</v>
      </c>
      <c r="F17" t="s">
        <v>73</v>
      </c>
      <c r="G17" t="s">
        <v>73</v>
      </c>
      <c r="H17">
        <v>91.4</v>
      </c>
      <c r="I17">
        <v>266</v>
      </c>
      <c r="J17">
        <v>30254</v>
      </c>
      <c r="K17" t="s">
        <v>1494</v>
      </c>
      <c r="L17">
        <f t="shared" si="2"/>
        <v>2429</v>
      </c>
      <c r="N17">
        <v>2429</v>
      </c>
      <c r="O17">
        <v>2429</v>
      </c>
      <c r="P17">
        <v>1</v>
      </c>
      <c r="Q17">
        <v>35</v>
      </c>
      <c r="R17">
        <v>86</v>
      </c>
      <c r="S17">
        <v>19</v>
      </c>
      <c r="T17">
        <v>31</v>
      </c>
      <c r="U17">
        <v>39</v>
      </c>
      <c r="V17">
        <v>32</v>
      </c>
      <c r="W17">
        <v>29</v>
      </c>
      <c r="X17">
        <v>50</v>
      </c>
      <c r="Y17">
        <v>124</v>
      </c>
      <c r="Z17">
        <v>263</v>
      </c>
      <c r="AA17">
        <v>160</v>
      </c>
      <c r="AB17">
        <v>88</v>
      </c>
      <c r="AC17">
        <v>290</v>
      </c>
      <c r="AD17">
        <v>404</v>
      </c>
      <c r="AE17">
        <v>215</v>
      </c>
      <c r="AF17">
        <v>124</v>
      </c>
      <c r="AG17">
        <v>172</v>
      </c>
      <c r="AH17">
        <v>159</v>
      </c>
      <c r="AI17">
        <v>109</v>
      </c>
      <c r="AJ17">
        <v>35</v>
      </c>
      <c r="AK17">
        <v>86</v>
      </c>
      <c r="AL17">
        <v>19</v>
      </c>
      <c r="AM17">
        <v>31</v>
      </c>
      <c r="AN17">
        <v>39</v>
      </c>
      <c r="AO17">
        <v>32</v>
      </c>
      <c r="AP17">
        <v>29</v>
      </c>
      <c r="AQ17">
        <v>50</v>
      </c>
      <c r="AR17">
        <v>124</v>
      </c>
      <c r="AS17">
        <v>263</v>
      </c>
      <c r="AT17">
        <v>160</v>
      </c>
      <c r="AU17">
        <v>88</v>
      </c>
      <c r="AV17">
        <v>290</v>
      </c>
      <c r="AW17">
        <v>404</v>
      </c>
      <c r="AX17">
        <v>215</v>
      </c>
      <c r="AY17">
        <v>124</v>
      </c>
      <c r="AZ17">
        <v>172</v>
      </c>
      <c r="BA17">
        <v>159</v>
      </c>
      <c r="BB17">
        <v>109</v>
      </c>
      <c r="BC17" s="2">
        <v>35</v>
      </c>
      <c r="BD17" s="2">
        <v>86</v>
      </c>
      <c r="BE17" s="2">
        <v>19</v>
      </c>
      <c r="BF17" s="2">
        <v>31</v>
      </c>
      <c r="BG17" s="2">
        <v>39</v>
      </c>
      <c r="BH17" s="2">
        <v>32</v>
      </c>
      <c r="BI17" s="2">
        <v>29</v>
      </c>
      <c r="BJ17" s="2">
        <v>50</v>
      </c>
      <c r="BK17" s="2">
        <v>124</v>
      </c>
      <c r="BL17" s="2">
        <v>263</v>
      </c>
      <c r="BM17" s="2">
        <v>160</v>
      </c>
      <c r="BN17" s="2">
        <v>88</v>
      </c>
      <c r="BO17" s="2">
        <v>290</v>
      </c>
      <c r="BP17" s="2">
        <v>404</v>
      </c>
      <c r="BQ17" s="2">
        <v>215</v>
      </c>
      <c r="BR17" s="2">
        <v>124</v>
      </c>
      <c r="BS17" s="2">
        <v>172</v>
      </c>
      <c r="BT17" s="2">
        <v>159</v>
      </c>
      <c r="BU17" s="2">
        <v>109</v>
      </c>
      <c r="BV17" s="2">
        <f t="shared" si="5"/>
        <v>2429</v>
      </c>
      <c r="BW17" s="16">
        <f t="shared" si="3"/>
        <v>127.84210526315789</v>
      </c>
      <c r="BX17" s="16">
        <f>COUNTIF($BC$6:BU17, "=0") / COUNTIF($BC$6:BU17, "&gt;-1")</f>
        <v>0</v>
      </c>
      <c r="BY17" s="18">
        <f>SUM($BC$6:BU17) / $BY$4</f>
        <v>0.222575711268344</v>
      </c>
      <c r="BZ17" s="14">
        <f t="shared" si="4"/>
        <v>0</v>
      </c>
      <c r="CA17" t="s">
        <v>5831</v>
      </c>
      <c r="CB17" s="36">
        <v>42.407518854215503</v>
      </c>
      <c r="CC17" s="36">
        <v>82.823514378260398</v>
      </c>
      <c r="CD17" s="36">
        <v>30.415155574432902</v>
      </c>
      <c r="CE17" s="36">
        <v>46.869574533750097</v>
      </c>
      <c r="CF17" s="36">
        <v>33.546878037538796</v>
      </c>
      <c r="CG17" s="36">
        <v>29.751271892463699</v>
      </c>
      <c r="CH17" s="36">
        <v>30.5678062030746</v>
      </c>
      <c r="CI17" s="36">
        <v>48.659179899115301</v>
      </c>
      <c r="CJ17" s="37">
        <v>98.550028362374704</v>
      </c>
      <c r="CK17" s="37">
        <v>100.903943502126</v>
      </c>
      <c r="CL17" s="37">
        <v>70.404782647526204</v>
      </c>
      <c r="CM17" s="37">
        <v>245.49864351398301</v>
      </c>
      <c r="CN17" s="37">
        <v>197.54040165025</v>
      </c>
      <c r="CO17" s="37">
        <v>97.859630727755501</v>
      </c>
      <c r="CP17" s="37">
        <v>259.46888823233701</v>
      </c>
      <c r="CQ17" s="37">
        <v>165.96741626573299</v>
      </c>
      <c r="CR17" s="45">
        <v>1.8322639211955001</v>
      </c>
      <c r="CS17" s="45">
        <v>3.58274551552873</v>
      </c>
      <c r="CT17" s="46">
        <v>1.9851181150039001E-7</v>
      </c>
      <c r="CU17" s="47">
        <v>1.2183890081996399E-6</v>
      </c>
      <c r="CV17" s="48">
        <v>43.130112421606398</v>
      </c>
      <c r="CW17" s="49">
        <v>154.52421686276099</v>
      </c>
      <c r="CX17" s="31" t="s">
        <v>5874</v>
      </c>
      <c r="CY17" s="31" t="s">
        <v>5876</v>
      </c>
      <c r="CZ17" t="s">
        <v>7781</v>
      </c>
      <c r="DA17" t="s">
        <v>5904</v>
      </c>
      <c r="DB17">
        <v>451.1</v>
      </c>
      <c r="DC17" t="s">
        <v>19737</v>
      </c>
      <c r="DD17" t="s">
        <v>19738</v>
      </c>
      <c r="DE17" t="s">
        <v>19739</v>
      </c>
      <c r="DF17" t="s">
        <v>19740</v>
      </c>
      <c r="DG17" t="s">
        <v>19741</v>
      </c>
      <c r="DH17" t="str">
        <f>"APOA1"</f>
        <v>APOA1</v>
      </c>
      <c r="DI17" t="s">
        <v>13772</v>
      </c>
      <c r="DJ17" t="s">
        <v>13777</v>
      </c>
      <c r="DK17">
        <v>9606</v>
      </c>
      <c r="DL17" s="34" t="str">
        <f>HYPERLINK("http://www.uniprot.org/uniprot/P02647", "P02647")</f>
        <v>P02647</v>
      </c>
      <c r="DM17" t="s">
        <v>19742</v>
      </c>
      <c r="DN17" t="s">
        <v>16169</v>
      </c>
      <c r="DO17" t="s">
        <v>19678</v>
      </c>
      <c r="DP17" t="s">
        <v>13793</v>
      </c>
      <c r="DQ17" t="s">
        <v>13772</v>
      </c>
      <c r="DR17" t="s">
        <v>19743</v>
      </c>
      <c r="DS17" t="s">
        <v>14404</v>
      </c>
      <c r="DT17" t="s">
        <v>13772</v>
      </c>
      <c r="DU17" t="s">
        <v>13772</v>
      </c>
      <c r="DV17" t="s">
        <v>19744</v>
      </c>
      <c r="DW17" t="s">
        <v>13812</v>
      </c>
      <c r="DX17" t="s">
        <v>19745</v>
      </c>
      <c r="DY17" t="s">
        <v>19746</v>
      </c>
      <c r="DZ17" t="s">
        <v>19747</v>
      </c>
      <c r="EA17" t="s">
        <v>13772</v>
      </c>
      <c r="EB17" t="s">
        <v>19748</v>
      </c>
    </row>
    <row r="18" spans="1:132">
      <c r="A18">
        <v>1855</v>
      </c>
      <c r="B18">
        <v>1</v>
      </c>
      <c r="C18" t="s">
        <v>4384</v>
      </c>
      <c r="D18" t="s">
        <v>4385</v>
      </c>
      <c r="E18" t="s">
        <v>73</v>
      </c>
      <c r="F18" t="s">
        <v>73</v>
      </c>
      <c r="G18" t="s">
        <v>73</v>
      </c>
      <c r="H18">
        <v>54.2</v>
      </c>
      <c r="I18">
        <v>812</v>
      </c>
      <c r="J18">
        <v>89175</v>
      </c>
      <c r="K18" t="s">
        <v>4386</v>
      </c>
      <c r="L18">
        <f t="shared" si="2"/>
        <v>2411</v>
      </c>
      <c r="M18" s="3">
        <v>17</v>
      </c>
      <c r="N18">
        <v>2411</v>
      </c>
      <c r="O18">
        <v>2411</v>
      </c>
      <c r="P18">
        <v>1</v>
      </c>
      <c r="Q18">
        <v>120</v>
      </c>
      <c r="R18">
        <v>249</v>
      </c>
      <c r="S18">
        <v>166</v>
      </c>
      <c r="T18">
        <v>199</v>
      </c>
      <c r="U18">
        <v>255</v>
      </c>
      <c r="V18">
        <v>186</v>
      </c>
      <c r="W18">
        <v>188</v>
      </c>
      <c r="X18">
        <v>102</v>
      </c>
      <c r="Y18">
        <v>76</v>
      </c>
      <c r="Z18">
        <v>33</v>
      </c>
      <c r="AA18">
        <v>83</v>
      </c>
      <c r="AB18">
        <v>127</v>
      </c>
      <c r="AC18">
        <v>88</v>
      </c>
      <c r="AD18">
        <v>38</v>
      </c>
      <c r="AE18">
        <v>93</v>
      </c>
      <c r="AF18">
        <v>111</v>
      </c>
      <c r="AG18">
        <v>130</v>
      </c>
      <c r="AH18">
        <v>60</v>
      </c>
      <c r="AI18">
        <v>107</v>
      </c>
      <c r="AJ18">
        <v>120</v>
      </c>
      <c r="AK18">
        <v>249</v>
      </c>
      <c r="AL18">
        <v>166</v>
      </c>
      <c r="AM18">
        <v>199</v>
      </c>
      <c r="AN18">
        <v>255</v>
      </c>
      <c r="AO18">
        <v>186</v>
      </c>
      <c r="AP18">
        <v>188</v>
      </c>
      <c r="AQ18">
        <v>102</v>
      </c>
      <c r="AR18">
        <v>76</v>
      </c>
      <c r="AS18">
        <v>33</v>
      </c>
      <c r="AT18">
        <v>83</v>
      </c>
      <c r="AU18">
        <v>127</v>
      </c>
      <c r="AV18">
        <v>88</v>
      </c>
      <c r="AW18">
        <v>38</v>
      </c>
      <c r="AX18">
        <v>93</v>
      </c>
      <c r="AY18">
        <v>111</v>
      </c>
      <c r="AZ18">
        <v>130</v>
      </c>
      <c r="BA18">
        <v>60</v>
      </c>
      <c r="BB18">
        <v>107</v>
      </c>
      <c r="BC18" s="2">
        <v>120</v>
      </c>
      <c r="BD18" s="2">
        <v>249</v>
      </c>
      <c r="BE18" s="2">
        <v>166</v>
      </c>
      <c r="BF18" s="2">
        <v>199</v>
      </c>
      <c r="BG18" s="2">
        <v>255</v>
      </c>
      <c r="BH18" s="2">
        <v>186</v>
      </c>
      <c r="BI18" s="2">
        <v>188</v>
      </c>
      <c r="BJ18" s="2">
        <v>102</v>
      </c>
      <c r="BK18" s="2">
        <v>76</v>
      </c>
      <c r="BL18" s="2">
        <v>33</v>
      </c>
      <c r="BM18" s="2">
        <v>83</v>
      </c>
      <c r="BN18" s="2">
        <v>127</v>
      </c>
      <c r="BO18" s="2">
        <v>88</v>
      </c>
      <c r="BP18" s="2">
        <v>38</v>
      </c>
      <c r="BQ18" s="2">
        <v>93</v>
      </c>
      <c r="BR18" s="2">
        <v>111</v>
      </c>
      <c r="BS18" s="2">
        <v>130</v>
      </c>
      <c r="BT18" s="2">
        <v>60</v>
      </c>
      <c r="BU18" s="2">
        <v>107</v>
      </c>
      <c r="BV18" s="2">
        <f t="shared" si="5"/>
        <v>2411</v>
      </c>
      <c r="BW18" s="16">
        <f t="shared" si="3"/>
        <v>126.89473684210526</v>
      </c>
      <c r="BX18" s="16">
        <f>COUNTIF($BC$6:BU18, "=0") / COUNTIF($BC$6:BU18, "&gt;-1")</f>
        <v>0</v>
      </c>
      <c r="BY18" s="18">
        <f>SUM($BC$6:BU18) / $BY$4</f>
        <v>0.23290355975878088</v>
      </c>
      <c r="BZ18" s="14">
        <f t="shared" si="4"/>
        <v>0</v>
      </c>
      <c r="CA18" t="s">
        <v>5831</v>
      </c>
      <c r="CB18" s="36">
        <v>145.39720750016701</v>
      </c>
      <c r="CC18" s="36">
        <v>239.802966048684</v>
      </c>
      <c r="CD18" s="36">
        <v>265.73241186083499</v>
      </c>
      <c r="CE18" s="36">
        <v>300.872430071493</v>
      </c>
      <c r="CF18" s="36">
        <v>219.344971783907</v>
      </c>
      <c r="CG18" s="36">
        <v>172.929267874945</v>
      </c>
      <c r="CH18" s="36">
        <v>198.16370917855201</v>
      </c>
      <c r="CI18" s="36">
        <v>99.2647269941952</v>
      </c>
      <c r="CJ18" s="37">
        <v>60.4016302866168</v>
      </c>
      <c r="CK18" s="37">
        <v>52.343920691727703</v>
      </c>
      <c r="CL18" s="37">
        <v>101.60690222995299</v>
      </c>
      <c r="CM18" s="37">
        <v>74.496140100794804</v>
      </c>
      <c r="CN18" s="37">
        <v>85.447708620805599</v>
      </c>
      <c r="CO18" s="37">
        <v>87.600153312748901</v>
      </c>
      <c r="CP18" s="37">
        <v>196.11020622211501</v>
      </c>
      <c r="CQ18" s="37">
        <v>162.922142572784</v>
      </c>
      <c r="CR18" s="45">
        <v>-1.0067101077653</v>
      </c>
      <c r="CS18" s="45">
        <v>-1.9995737550435699</v>
      </c>
      <c r="CT18" s="46">
        <v>2.53459509665418E-3</v>
      </c>
      <c r="CU18" s="47">
        <v>5.2173665220358401E-3</v>
      </c>
      <c r="CV18" s="48">
        <v>205.18846141409699</v>
      </c>
      <c r="CW18" s="49">
        <v>102.61610050469299</v>
      </c>
      <c r="CX18" s="31" t="s">
        <v>5875</v>
      </c>
      <c r="CY18" s="31" t="s">
        <v>5876</v>
      </c>
      <c r="CZ18" t="s">
        <v>11946</v>
      </c>
      <c r="DA18" t="s">
        <v>5904</v>
      </c>
      <c r="DB18">
        <v>1029.2</v>
      </c>
      <c r="DC18" t="s">
        <v>31627</v>
      </c>
      <c r="DD18" t="s">
        <v>31628</v>
      </c>
      <c r="DE18" t="s">
        <v>31629</v>
      </c>
      <c r="DF18" t="s">
        <v>31630</v>
      </c>
      <c r="DG18" t="s">
        <v>31631</v>
      </c>
      <c r="DH18" t="str">
        <f>"PIGR"</f>
        <v>PIGR</v>
      </c>
      <c r="DI18" t="s">
        <v>13772</v>
      </c>
      <c r="DJ18" t="s">
        <v>13777</v>
      </c>
      <c r="DK18">
        <v>9606</v>
      </c>
      <c r="DL18" s="34" t="str">
        <f>HYPERLINK("http://www.uniprot.org/uniprot/P01833", "P01833")</f>
        <v>P01833</v>
      </c>
      <c r="DM18" t="s">
        <v>31632</v>
      </c>
      <c r="DN18" t="s">
        <v>13772</v>
      </c>
      <c r="DO18" t="s">
        <v>14336</v>
      </c>
      <c r="DP18" t="s">
        <v>13793</v>
      </c>
      <c r="DQ18" t="s">
        <v>13772</v>
      </c>
      <c r="DR18" t="s">
        <v>13772</v>
      </c>
      <c r="DS18" t="s">
        <v>13951</v>
      </c>
      <c r="DT18" t="s">
        <v>13772</v>
      </c>
      <c r="DU18" t="s">
        <v>13772</v>
      </c>
      <c r="DV18" t="s">
        <v>13964</v>
      </c>
      <c r="DW18" t="s">
        <v>13812</v>
      </c>
      <c r="DX18" t="s">
        <v>31633</v>
      </c>
      <c r="DY18" t="s">
        <v>31634</v>
      </c>
      <c r="DZ18" t="s">
        <v>31635</v>
      </c>
      <c r="EA18" t="s">
        <v>13772</v>
      </c>
      <c r="EB18" t="s">
        <v>13890</v>
      </c>
    </row>
    <row r="19" spans="1:132">
      <c r="A19">
        <v>394</v>
      </c>
      <c r="B19">
        <v>1</v>
      </c>
      <c r="C19" t="s">
        <v>985</v>
      </c>
      <c r="D19" t="s">
        <v>986</v>
      </c>
      <c r="E19" t="s">
        <v>73</v>
      </c>
      <c r="F19" t="s">
        <v>73</v>
      </c>
      <c r="G19" t="s">
        <v>73</v>
      </c>
      <c r="H19">
        <v>40.299999999999997</v>
      </c>
      <c r="I19">
        <v>191</v>
      </c>
      <c r="J19">
        <v>20695</v>
      </c>
      <c r="K19" t="s">
        <v>987</v>
      </c>
      <c r="L19">
        <f t="shared" si="2"/>
        <v>2217</v>
      </c>
      <c r="M19" s="3">
        <v>29</v>
      </c>
      <c r="N19">
        <v>2217</v>
      </c>
      <c r="O19">
        <v>2217</v>
      </c>
      <c r="P19">
        <v>1</v>
      </c>
      <c r="Q19">
        <v>70</v>
      </c>
      <c r="R19">
        <v>29</v>
      </c>
      <c r="S19">
        <v>34</v>
      </c>
      <c r="T19">
        <v>12</v>
      </c>
      <c r="U19">
        <v>27</v>
      </c>
      <c r="V19">
        <v>43</v>
      </c>
      <c r="W19">
        <v>74</v>
      </c>
      <c r="X19">
        <v>98</v>
      </c>
      <c r="Y19">
        <v>186</v>
      </c>
      <c r="Z19">
        <v>274</v>
      </c>
      <c r="AA19">
        <v>179</v>
      </c>
      <c r="AB19">
        <v>121</v>
      </c>
      <c r="AC19">
        <v>162</v>
      </c>
      <c r="AD19">
        <v>215</v>
      </c>
      <c r="AE19">
        <v>175</v>
      </c>
      <c r="AF19">
        <v>107</v>
      </c>
      <c r="AG19">
        <v>222</v>
      </c>
      <c r="AH19">
        <v>71</v>
      </c>
      <c r="AI19">
        <v>118</v>
      </c>
      <c r="AJ19">
        <v>70</v>
      </c>
      <c r="AK19">
        <v>29</v>
      </c>
      <c r="AL19">
        <v>34</v>
      </c>
      <c r="AM19">
        <v>12</v>
      </c>
      <c r="AN19">
        <v>27</v>
      </c>
      <c r="AO19">
        <v>43</v>
      </c>
      <c r="AP19">
        <v>74</v>
      </c>
      <c r="AQ19">
        <v>98</v>
      </c>
      <c r="AR19">
        <v>186</v>
      </c>
      <c r="AS19">
        <v>274</v>
      </c>
      <c r="AT19">
        <v>179</v>
      </c>
      <c r="AU19">
        <v>121</v>
      </c>
      <c r="AV19">
        <v>162</v>
      </c>
      <c r="AW19">
        <v>215</v>
      </c>
      <c r="AX19">
        <v>175</v>
      </c>
      <c r="AY19">
        <v>107</v>
      </c>
      <c r="AZ19">
        <v>222</v>
      </c>
      <c r="BA19">
        <v>71</v>
      </c>
      <c r="BB19">
        <v>118</v>
      </c>
      <c r="BC19" s="2">
        <v>70</v>
      </c>
      <c r="BD19" s="2">
        <v>29</v>
      </c>
      <c r="BE19" s="2">
        <v>34</v>
      </c>
      <c r="BF19" s="2">
        <v>12</v>
      </c>
      <c r="BG19" s="2">
        <v>27</v>
      </c>
      <c r="BH19" s="2">
        <v>43</v>
      </c>
      <c r="BI19" s="2">
        <v>74</v>
      </c>
      <c r="BJ19" s="2">
        <v>98</v>
      </c>
      <c r="BK19" s="2">
        <v>186</v>
      </c>
      <c r="BL19" s="2">
        <v>274</v>
      </c>
      <c r="BM19" s="2">
        <v>179</v>
      </c>
      <c r="BN19" s="2">
        <v>121</v>
      </c>
      <c r="BO19" s="2">
        <v>162</v>
      </c>
      <c r="BP19" s="2">
        <v>215</v>
      </c>
      <c r="BQ19" s="2">
        <v>175</v>
      </c>
      <c r="BR19" s="2">
        <v>107</v>
      </c>
      <c r="BS19" s="2">
        <v>222</v>
      </c>
      <c r="BT19" s="2">
        <v>71</v>
      </c>
      <c r="BU19" s="2">
        <v>118</v>
      </c>
      <c r="BV19" s="2">
        <f t="shared" si="5"/>
        <v>2217</v>
      </c>
      <c r="BW19" s="16">
        <f t="shared" si="3"/>
        <v>116.68421052631579</v>
      </c>
      <c r="BX19" s="16">
        <f>COUNTIF($BC$6:BU19, "=0") / COUNTIF($BC$6:BU19, "&gt;-1")</f>
        <v>0</v>
      </c>
      <c r="BY19" s="18">
        <f>SUM($BC$6:BU19) / $BY$4</f>
        <v>0.2424003826966899</v>
      </c>
      <c r="BZ19" s="14">
        <f t="shared" si="4"/>
        <v>0</v>
      </c>
      <c r="CA19" t="s">
        <v>5831</v>
      </c>
      <c r="CB19" s="36">
        <v>84.815037708431007</v>
      </c>
      <c r="CC19" s="36">
        <v>27.928859499645998</v>
      </c>
      <c r="CD19" s="36">
        <v>54.427120501616798</v>
      </c>
      <c r="CE19" s="36">
        <v>18.143061109838801</v>
      </c>
      <c r="CF19" s="36">
        <v>23.224761718296101</v>
      </c>
      <c r="CG19" s="36">
        <v>39.978271605498101</v>
      </c>
      <c r="CH19" s="36">
        <v>78.000608931983393</v>
      </c>
      <c r="CI19" s="36">
        <v>95.371992602266005</v>
      </c>
      <c r="CJ19" s="37">
        <v>147.82504254356201</v>
      </c>
      <c r="CK19" s="37">
        <v>112.88628679300299</v>
      </c>
      <c r="CL19" s="37">
        <v>96.806576140348497</v>
      </c>
      <c r="CM19" s="37">
        <v>137.14062154919</v>
      </c>
      <c r="CN19" s="37">
        <v>160.788699017645</v>
      </c>
      <c r="CO19" s="37">
        <v>84.443391031208407</v>
      </c>
      <c r="CP19" s="37">
        <v>334.89589062545798</v>
      </c>
      <c r="CQ19" s="37">
        <v>179.67114788400499</v>
      </c>
      <c r="CR19" s="45">
        <v>1.5652170161091301</v>
      </c>
      <c r="CS19" s="45">
        <v>2.9734255539188701</v>
      </c>
      <c r="CT19" s="46">
        <v>7.3594753194681795E-5</v>
      </c>
      <c r="CU19" s="47">
        <v>2.1689378804952501E-4</v>
      </c>
      <c r="CV19" s="48">
        <v>52.736214209697003</v>
      </c>
      <c r="CW19" s="49">
        <v>156.807206948052</v>
      </c>
      <c r="CX19" s="31" t="s">
        <v>5874</v>
      </c>
      <c r="CY19" s="31" t="s">
        <v>5876</v>
      </c>
      <c r="CZ19" t="s">
        <v>7069</v>
      </c>
      <c r="DA19" t="s">
        <v>5904</v>
      </c>
      <c r="DB19">
        <v>166.8</v>
      </c>
      <c r="DC19" t="s">
        <v>17551</v>
      </c>
      <c r="DD19" t="s">
        <v>17552</v>
      </c>
      <c r="DE19" t="s">
        <v>17553</v>
      </c>
      <c r="DF19" t="s">
        <v>17554</v>
      </c>
      <c r="DG19" t="s">
        <v>17555</v>
      </c>
      <c r="DH19" t="str">
        <f>"IGLC1"</f>
        <v>IGLC1</v>
      </c>
      <c r="DI19" t="s">
        <v>13772</v>
      </c>
      <c r="DJ19" t="s">
        <v>13777</v>
      </c>
      <c r="DK19">
        <v>9606</v>
      </c>
      <c r="DL19" s="34" t="str">
        <f>HYPERLINK("http://www.uniprot.org/uniprot/P0CG04", "P0CG04")</f>
        <v>P0CG04</v>
      </c>
      <c r="DM19" t="s">
        <v>17556</v>
      </c>
      <c r="DN19" t="s">
        <v>15290</v>
      </c>
      <c r="DO19" t="s">
        <v>15291</v>
      </c>
      <c r="DP19" t="s">
        <v>13793</v>
      </c>
      <c r="DQ19" t="s">
        <v>13772</v>
      </c>
      <c r="DR19" t="s">
        <v>13772</v>
      </c>
      <c r="DS19" t="s">
        <v>17557</v>
      </c>
      <c r="DT19" t="s">
        <v>13772</v>
      </c>
      <c r="DU19" t="s">
        <v>17558</v>
      </c>
      <c r="DV19" t="s">
        <v>14506</v>
      </c>
      <c r="DW19" t="s">
        <v>13812</v>
      </c>
      <c r="DX19" t="s">
        <v>17559</v>
      </c>
      <c r="DY19" t="s">
        <v>17560</v>
      </c>
      <c r="DZ19" t="s">
        <v>15294</v>
      </c>
      <c r="EA19" t="s">
        <v>13772</v>
      </c>
      <c r="EB19" t="s">
        <v>17561</v>
      </c>
    </row>
    <row r="20" spans="1:132">
      <c r="A20">
        <v>605</v>
      </c>
      <c r="B20">
        <v>1</v>
      </c>
      <c r="C20" t="s">
        <v>1498</v>
      </c>
      <c r="D20" t="s">
        <v>73</v>
      </c>
      <c r="E20" t="s">
        <v>73</v>
      </c>
      <c r="F20" t="s">
        <v>73</v>
      </c>
      <c r="G20" t="s">
        <v>73</v>
      </c>
      <c r="H20">
        <v>74.900000000000006</v>
      </c>
      <c r="I20">
        <v>463</v>
      </c>
      <c r="J20">
        <v>51742</v>
      </c>
      <c r="K20" t="s">
        <v>1499</v>
      </c>
      <c r="L20">
        <f t="shared" si="2"/>
        <v>2115</v>
      </c>
      <c r="M20" s="3">
        <v>5</v>
      </c>
      <c r="N20">
        <v>2115</v>
      </c>
      <c r="O20">
        <v>2115</v>
      </c>
      <c r="P20">
        <v>1</v>
      </c>
      <c r="Q20">
        <v>112</v>
      </c>
      <c r="R20">
        <v>66</v>
      </c>
      <c r="S20">
        <v>62</v>
      </c>
      <c r="T20">
        <v>62</v>
      </c>
      <c r="U20">
        <v>81</v>
      </c>
      <c r="V20">
        <v>117</v>
      </c>
      <c r="W20">
        <v>120</v>
      </c>
      <c r="X20">
        <v>232</v>
      </c>
      <c r="Y20">
        <v>60</v>
      </c>
      <c r="Z20">
        <v>148</v>
      </c>
      <c r="AA20">
        <v>75</v>
      </c>
      <c r="AB20">
        <v>91</v>
      </c>
      <c r="AC20">
        <v>126</v>
      </c>
      <c r="AD20">
        <v>138</v>
      </c>
      <c r="AE20">
        <v>127</v>
      </c>
      <c r="AF20">
        <v>113</v>
      </c>
      <c r="AG20">
        <v>130</v>
      </c>
      <c r="AH20">
        <v>63</v>
      </c>
      <c r="AI20">
        <v>192</v>
      </c>
      <c r="AJ20">
        <v>112</v>
      </c>
      <c r="AK20">
        <v>66</v>
      </c>
      <c r="AL20">
        <v>62</v>
      </c>
      <c r="AM20">
        <v>62</v>
      </c>
      <c r="AN20">
        <v>81</v>
      </c>
      <c r="AO20">
        <v>117</v>
      </c>
      <c r="AP20">
        <v>120</v>
      </c>
      <c r="AQ20">
        <v>232</v>
      </c>
      <c r="AR20">
        <v>60</v>
      </c>
      <c r="AS20">
        <v>148</v>
      </c>
      <c r="AT20">
        <v>75</v>
      </c>
      <c r="AU20">
        <v>91</v>
      </c>
      <c r="AV20">
        <v>126</v>
      </c>
      <c r="AW20">
        <v>138</v>
      </c>
      <c r="AX20">
        <v>127</v>
      </c>
      <c r="AY20">
        <v>113</v>
      </c>
      <c r="AZ20">
        <v>130</v>
      </c>
      <c r="BA20">
        <v>63</v>
      </c>
      <c r="BB20">
        <v>192</v>
      </c>
      <c r="BC20" s="2">
        <v>112</v>
      </c>
      <c r="BD20" s="2">
        <v>66</v>
      </c>
      <c r="BE20" s="2">
        <v>62</v>
      </c>
      <c r="BF20" s="2">
        <v>62</v>
      </c>
      <c r="BG20" s="2">
        <v>81</v>
      </c>
      <c r="BH20" s="2">
        <v>117</v>
      </c>
      <c r="BI20" s="2">
        <v>120</v>
      </c>
      <c r="BJ20" s="2">
        <v>232</v>
      </c>
      <c r="BK20" s="2">
        <v>60</v>
      </c>
      <c r="BL20" s="2">
        <v>148</v>
      </c>
      <c r="BM20" s="2">
        <v>75</v>
      </c>
      <c r="BN20" s="2">
        <v>91</v>
      </c>
      <c r="BO20" s="2">
        <v>126</v>
      </c>
      <c r="BP20" s="2">
        <v>138</v>
      </c>
      <c r="BQ20" s="2">
        <v>127</v>
      </c>
      <c r="BR20" s="2">
        <v>113</v>
      </c>
      <c r="BS20" s="2">
        <v>130</v>
      </c>
      <c r="BT20" s="2">
        <v>63</v>
      </c>
      <c r="BU20" s="2">
        <v>192</v>
      </c>
      <c r="BV20" s="2">
        <f t="shared" si="5"/>
        <v>2115</v>
      </c>
      <c r="BW20" s="16">
        <f t="shared" si="3"/>
        <v>111.31578947368421</v>
      </c>
      <c r="BX20" s="16">
        <f>COUNTIF($BC$6:BU20, "=0") / COUNTIF($BC$6:BU20, "&gt;-1")</f>
        <v>0</v>
      </c>
      <c r="BY20" s="18">
        <f>SUM($BC$6:BU20) / $BY$4</f>
        <v>0.25146027467399146</v>
      </c>
      <c r="BZ20" s="14">
        <f t="shared" si="4"/>
        <v>0</v>
      </c>
      <c r="CA20" t="s">
        <v>5831</v>
      </c>
      <c r="CB20" s="36">
        <v>135.70406033348999</v>
      </c>
      <c r="CC20" s="36">
        <v>63.562231964711501</v>
      </c>
      <c r="CD20" s="36">
        <v>99.249455032360004</v>
      </c>
      <c r="CE20" s="36">
        <v>93.739149067500193</v>
      </c>
      <c r="CF20" s="36">
        <v>69.674285154888295</v>
      </c>
      <c r="CG20" s="36">
        <v>108.77808785681999</v>
      </c>
      <c r="CH20" s="36">
        <v>126.487473943757</v>
      </c>
      <c r="CI20" s="36">
        <v>225.778594731895</v>
      </c>
      <c r="CJ20" s="37">
        <v>47.685497594697402</v>
      </c>
      <c r="CK20" s="37">
        <v>47.298723516621401</v>
      </c>
      <c r="CL20" s="37">
        <v>72.804945692328204</v>
      </c>
      <c r="CM20" s="37">
        <v>106.66492787159299</v>
      </c>
      <c r="CN20" s="37">
        <v>116.686655858519</v>
      </c>
      <c r="CO20" s="37">
        <v>89.178534453519106</v>
      </c>
      <c r="CP20" s="37">
        <v>196.11020622211501</v>
      </c>
      <c r="CQ20" s="37">
        <v>292.346274523126</v>
      </c>
      <c r="CR20" s="45">
        <v>6.14615379168858E-2</v>
      </c>
      <c r="CS20" s="45">
        <v>1.0496248653748901</v>
      </c>
      <c r="CT20" s="46">
        <v>0.871142894618403</v>
      </c>
      <c r="CU20" s="47">
        <v>0.91061655703079902</v>
      </c>
      <c r="CV20" s="48">
        <v>115.371667260678</v>
      </c>
      <c r="CW20" s="49">
        <v>121.096970716565</v>
      </c>
      <c r="CX20" s="31" t="s">
        <v>5874</v>
      </c>
      <c r="CY20" s="31" t="s">
        <v>5832</v>
      </c>
      <c r="CZ20" t="s">
        <v>7787</v>
      </c>
      <c r="DA20" t="s">
        <v>5904</v>
      </c>
      <c r="DB20">
        <v>776.5</v>
      </c>
      <c r="DC20" t="s">
        <v>19760</v>
      </c>
      <c r="DD20" t="s">
        <v>19761</v>
      </c>
      <c r="DE20" t="s">
        <v>19762</v>
      </c>
      <c r="DF20" t="s">
        <v>19763</v>
      </c>
      <c r="DG20" t="s">
        <v>19764</v>
      </c>
      <c r="DH20" t="str">
        <f>"HPX"</f>
        <v>HPX</v>
      </c>
      <c r="DI20" t="s">
        <v>13772</v>
      </c>
      <c r="DJ20" t="s">
        <v>13777</v>
      </c>
      <c r="DK20">
        <v>9606</v>
      </c>
      <c r="DL20" s="34" t="str">
        <f>HYPERLINK("http://www.uniprot.org/uniprot/P02790", "P02790")</f>
        <v>P02790</v>
      </c>
      <c r="DM20" t="s">
        <v>19765</v>
      </c>
      <c r="DN20" t="s">
        <v>19766</v>
      </c>
      <c r="DO20" t="s">
        <v>14321</v>
      </c>
      <c r="DP20" t="s">
        <v>13793</v>
      </c>
      <c r="DQ20" t="s">
        <v>13772</v>
      </c>
      <c r="DR20" t="s">
        <v>13772</v>
      </c>
      <c r="DS20" t="s">
        <v>14404</v>
      </c>
      <c r="DT20" t="s">
        <v>16031</v>
      </c>
      <c r="DU20" t="s">
        <v>13772</v>
      </c>
      <c r="DV20" t="s">
        <v>13796</v>
      </c>
      <c r="DW20" t="s">
        <v>13772</v>
      </c>
      <c r="DX20" t="s">
        <v>19767</v>
      </c>
      <c r="DY20" t="s">
        <v>19768</v>
      </c>
      <c r="DZ20" t="s">
        <v>19769</v>
      </c>
      <c r="EA20" t="s">
        <v>13772</v>
      </c>
      <c r="EB20" t="s">
        <v>19770</v>
      </c>
    </row>
    <row r="21" spans="1:132">
      <c r="A21">
        <v>171</v>
      </c>
      <c r="B21">
        <v>1</v>
      </c>
      <c r="C21" t="s">
        <v>435</v>
      </c>
      <c r="D21" t="s">
        <v>73</v>
      </c>
      <c r="E21" t="s">
        <v>73</v>
      </c>
      <c r="F21" t="s">
        <v>73</v>
      </c>
      <c r="G21" t="s">
        <v>73</v>
      </c>
      <c r="H21">
        <v>61.9</v>
      </c>
      <c r="I21">
        <v>428</v>
      </c>
      <c r="J21">
        <v>47260</v>
      </c>
      <c r="K21" t="s">
        <v>436</v>
      </c>
      <c r="L21">
        <f t="shared" si="2"/>
        <v>2065</v>
      </c>
      <c r="N21">
        <v>2065</v>
      </c>
      <c r="O21">
        <v>2065</v>
      </c>
      <c r="P21">
        <v>1</v>
      </c>
      <c r="Q21">
        <v>111</v>
      </c>
      <c r="R21">
        <v>86</v>
      </c>
      <c r="S21">
        <v>62</v>
      </c>
      <c r="T21">
        <v>47</v>
      </c>
      <c r="U21">
        <v>34</v>
      </c>
      <c r="V21">
        <v>61</v>
      </c>
      <c r="W21">
        <v>122</v>
      </c>
      <c r="X21">
        <v>190</v>
      </c>
      <c r="Y21">
        <v>102</v>
      </c>
      <c r="Z21">
        <v>185</v>
      </c>
      <c r="AA21">
        <v>76</v>
      </c>
      <c r="AB21">
        <v>74</v>
      </c>
      <c r="AC21">
        <v>211</v>
      </c>
      <c r="AD21">
        <v>138</v>
      </c>
      <c r="AE21">
        <v>152</v>
      </c>
      <c r="AF21">
        <v>118</v>
      </c>
      <c r="AG21">
        <v>86</v>
      </c>
      <c r="AH21">
        <v>99</v>
      </c>
      <c r="AI21">
        <v>111</v>
      </c>
      <c r="AJ21">
        <v>111</v>
      </c>
      <c r="AK21">
        <v>86</v>
      </c>
      <c r="AL21">
        <v>62</v>
      </c>
      <c r="AM21">
        <v>47</v>
      </c>
      <c r="AN21">
        <v>34</v>
      </c>
      <c r="AO21">
        <v>61</v>
      </c>
      <c r="AP21">
        <v>122</v>
      </c>
      <c r="AQ21">
        <v>190</v>
      </c>
      <c r="AR21">
        <v>102</v>
      </c>
      <c r="AS21">
        <v>185</v>
      </c>
      <c r="AT21">
        <v>76</v>
      </c>
      <c r="AU21">
        <v>74</v>
      </c>
      <c r="AV21">
        <v>211</v>
      </c>
      <c r="AW21">
        <v>138</v>
      </c>
      <c r="AX21">
        <v>152</v>
      </c>
      <c r="AY21">
        <v>118</v>
      </c>
      <c r="AZ21">
        <v>86</v>
      </c>
      <c r="BA21">
        <v>99</v>
      </c>
      <c r="BB21">
        <v>111</v>
      </c>
      <c r="BC21" s="2">
        <v>111</v>
      </c>
      <c r="BD21" s="2">
        <v>86</v>
      </c>
      <c r="BE21" s="2">
        <v>62</v>
      </c>
      <c r="BF21" s="2">
        <v>47</v>
      </c>
      <c r="BG21" s="2">
        <v>34</v>
      </c>
      <c r="BH21" s="2">
        <v>61</v>
      </c>
      <c r="BI21" s="2">
        <v>122</v>
      </c>
      <c r="BJ21" s="2">
        <v>190</v>
      </c>
      <c r="BK21" s="2">
        <v>102</v>
      </c>
      <c r="BL21" s="2">
        <v>185</v>
      </c>
      <c r="BM21" s="2">
        <v>76</v>
      </c>
      <c r="BN21" s="2">
        <v>74</v>
      </c>
      <c r="BO21" s="2">
        <v>211</v>
      </c>
      <c r="BP21" s="2">
        <v>138</v>
      </c>
      <c r="BQ21" s="2">
        <v>152</v>
      </c>
      <c r="BR21" s="2">
        <v>118</v>
      </c>
      <c r="BS21" s="2">
        <v>86</v>
      </c>
      <c r="BT21" s="2">
        <v>99</v>
      </c>
      <c r="BU21" s="2">
        <v>111</v>
      </c>
      <c r="BV21" s="2">
        <f t="shared" si="5"/>
        <v>2065</v>
      </c>
      <c r="BW21" s="16">
        <f t="shared" si="3"/>
        <v>108.68421052631579</v>
      </c>
      <c r="BX21" s="16">
        <f>COUNTIF($BC$6:BU21, "=0") / COUNTIF($BC$6:BU21, "&gt;-1")</f>
        <v>0</v>
      </c>
      <c r="BY21" s="18">
        <f>SUM($BC$6:BU21) / $BY$4</f>
        <v>0.26030598480785794</v>
      </c>
      <c r="BZ21" s="14">
        <f t="shared" si="4"/>
        <v>0</v>
      </c>
      <c r="CA21" t="s">
        <v>5831</v>
      </c>
      <c r="CB21" s="36">
        <v>134.49241693765501</v>
      </c>
      <c r="CC21" s="36">
        <v>82.823514378260398</v>
      </c>
      <c r="CD21" s="36">
        <v>99.249455032360004</v>
      </c>
      <c r="CE21" s="36">
        <v>71.060322680201807</v>
      </c>
      <c r="CF21" s="36">
        <v>29.2459962378543</v>
      </c>
      <c r="CG21" s="36">
        <v>56.713362045008999</v>
      </c>
      <c r="CH21" s="36">
        <v>128.595598509486</v>
      </c>
      <c r="CI21" s="36">
        <v>184.90488361663799</v>
      </c>
      <c r="CJ21" s="37">
        <v>81.065345910985599</v>
      </c>
      <c r="CK21" s="37">
        <v>47.929373163509702</v>
      </c>
      <c r="CL21" s="37">
        <v>59.204021771783403</v>
      </c>
      <c r="CM21" s="37">
        <v>178.62142683258801</v>
      </c>
      <c r="CN21" s="37">
        <v>139.656470003897</v>
      </c>
      <c r="CO21" s="37">
        <v>93.124487305444703</v>
      </c>
      <c r="CP21" s="37">
        <v>129.73444411616799</v>
      </c>
      <c r="CQ21" s="37">
        <v>169.01268995868199</v>
      </c>
      <c r="CR21" s="45">
        <v>0.18722449780951</v>
      </c>
      <c r="CS21" s="45">
        <v>1.1413603765246501</v>
      </c>
      <c r="CT21" s="46">
        <v>0.61851897982218795</v>
      </c>
      <c r="CU21" s="47">
        <v>0.694277177015174</v>
      </c>
      <c r="CV21" s="48">
        <v>98.385693679683101</v>
      </c>
      <c r="CW21" s="49">
        <v>112.29353238288201</v>
      </c>
      <c r="CX21" s="31" t="s">
        <v>5874</v>
      </c>
      <c r="CY21" s="31" t="s">
        <v>5832</v>
      </c>
      <c r="CZ21" t="s">
        <v>6287</v>
      </c>
      <c r="DA21" t="s">
        <v>5904</v>
      </c>
      <c r="DB21">
        <v>585.5</v>
      </c>
      <c r="DC21" t="s">
        <v>15115</v>
      </c>
      <c r="DD21" t="s">
        <v>15116</v>
      </c>
      <c r="DE21" t="s">
        <v>15117</v>
      </c>
      <c r="DF21" t="s">
        <v>15118</v>
      </c>
      <c r="DG21" t="s">
        <v>15119</v>
      </c>
      <c r="DH21" t="str">
        <f>"SERPINA1"</f>
        <v>SERPINA1</v>
      </c>
      <c r="DI21" t="s">
        <v>15120</v>
      </c>
      <c r="DJ21" t="s">
        <v>13777</v>
      </c>
      <c r="DK21">
        <v>9606</v>
      </c>
      <c r="DL21" s="34" t="str">
        <f>HYPERLINK("http://www.uniprot.org/uniprot/P01009", "P01009")</f>
        <v>P01009</v>
      </c>
      <c r="DM21" t="s">
        <v>15121</v>
      </c>
      <c r="DN21" t="s">
        <v>15122</v>
      </c>
      <c r="DO21" t="s">
        <v>15123</v>
      </c>
      <c r="DP21" t="s">
        <v>13780</v>
      </c>
      <c r="DQ21" t="s">
        <v>13772</v>
      </c>
      <c r="DR21" t="s">
        <v>13772</v>
      </c>
      <c r="DS21" t="s">
        <v>13808</v>
      </c>
      <c r="DT21" t="s">
        <v>13772</v>
      </c>
      <c r="DU21" t="s">
        <v>14375</v>
      </c>
      <c r="DV21" t="s">
        <v>13978</v>
      </c>
      <c r="DW21" t="s">
        <v>13812</v>
      </c>
      <c r="DX21" t="s">
        <v>15124</v>
      </c>
      <c r="DY21" t="s">
        <v>15125</v>
      </c>
      <c r="DZ21" t="s">
        <v>15126</v>
      </c>
      <c r="EA21" t="s">
        <v>13772</v>
      </c>
      <c r="EB21" t="s">
        <v>15127</v>
      </c>
    </row>
    <row r="22" spans="1:132">
      <c r="A22">
        <v>1463</v>
      </c>
      <c r="B22">
        <v>1</v>
      </c>
      <c r="C22" t="s">
        <v>3481</v>
      </c>
      <c r="D22" t="s">
        <v>73</v>
      </c>
      <c r="E22" t="s">
        <v>73</v>
      </c>
      <c r="F22" t="s">
        <v>73</v>
      </c>
      <c r="G22" t="s">
        <v>73</v>
      </c>
      <c r="H22">
        <v>83.3</v>
      </c>
      <c r="I22">
        <v>812</v>
      </c>
      <c r="J22">
        <v>91142</v>
      </c>
      <c r="K22" t="s">
        <v>3482</v>
      </c>
      <c r="L22">
        <f t="shared" si="2"/>
        <v>2065</v>
      </c>
      <c r="M22" s="3">
        <v>24</v>
      </c>
      <c r="N22">
        <v>2065</v>
      </c>
      <c r="O22">
        <v>2065</v>
      </c>
      <c r="P22">
        <v>1</v>
      </c>
      <c r="Q22">
        <v>109</v>
      </c>
      <c r="R22">
        <v>99</v>
      </c>
      <c r="S22">
        <v>52</v>
      </c>
      <c r="T22">
        <v>57</v>
      </c>
      <c r="U22">
        <v>56</v>
      </c>
      <c r="V22">
        <v>62</v>
      </c>
      <c r="W22">
        <v>79</v>
      </c>
      <c r="X22">
        <v>92</v>
      </c>
      <c r="Y22">
        <v>124</v>
      </c>
      <c r="Z22">
        <v>172</v>
      </c>
      <c r="AA22">
        <v>112</v>
      </c>
      <c r="AB22">
        <v>118</v>
      </c>
      <c r="AC22">
        <v>178</v>
      </c>
      <c r="AD22">
        <v>168</v>
      </c>
      <c r="AE22">
        <v>135</v>
      </c>
      <c r="AF22">
        <v>135</v>
      </c>
      <c r="AG22">
        <v>104</v>
      </c>
      <c r="AH22">
        <v>99</v>
      </c>
      <c r="AI22">
        <v>114</v>
      </c>
      <c r="AJ22">
        <v>109</v>
      </c>
      <c r="AK22">
        <v>99</v>
      </c>
      <c r="AL22">
        <v>52</v>
      </c>
      <c r="AM22">
        <v>57</v>
      </c>
      <c r="AN22">
        <v>56</v>
      </c>
      <c r="AO22">
        <v>62</v>
      </c>
      <c r="AP22">
        <v>79</v>
      </c>
      <c r="AQ22">
        <v>92</v>
      </c>
      <c r="AR22">
        <v>124</v>
      </c>
      <c r="AS22">
        <v>172</v>
      </c>
      <c r="AT22">
        <v>112</v>
      </c>
      <c r="AU22">
        <v>118</v>
      </c>
      <c r="AV22">
        <v>178</v>
      </c>
      <c r="AW22">
        <v>168</v>
      </c>
      <c r="AX22">
        <v>135</v>
      </c>
      <c r="AY22">
        <v>135</v>
      </c>
      <c r="AZ22">
        <v>104</v>
      </c>
      <c r="BA22">
        <v>99</v>
      </c>
      <c r="BB22">
        <v>114</v>
      </c>
      <c r="BC22" s="2">
        <v>109</v>
      </c>
      <c r="BD22" s="2">
        <v>99</v>
      </c>
      <c r="BE22" s="2">
        <v>52</v>
      </c>
      <c r="BF22" s="2">
        <v>57</v>
      </c>
      <c r="BG22" s="2">
        <v>56</v>
      </c>
      <c r="BH22" s="2">
        <v>62</v>
      </c>
      <c r="BI22" s="2">
        <v>79</v>
      </c>
      <c r="BJ22" s="2">
        <v>92</v>
      </c>
      <c r="BK22" s="2">
        <v>124</v>
      </c>
      <c r="BL22" s="2">
        <v>172</v>
      </c>
      <c r="BM22" s="2">
        <v>112</v>
      </c>
      <c r="BN22" s="2">
        <v>118</v>
      </c>
      <c r="BO22" s="2">
        <v>178</v>
      </c>
      <c r="BP22" s="2">
        <v>168</v>
      </c>
      <c r="BQ22" s="2">
        <v>135</v>
      </c>
      <c r="BR22" s="2">
        <v>135</v>
      </c>
      <c r="BS22" s="2">
        <v>104</v>
      </c>
      <c r="BT22" s="2">
        <v>99</v>
      </c>
      <c r="BU22" s="2">
        <v>114</v>
      </c>
      <c r="BV22" s="2">
        <f t="shared" si="5"/>
        <v>2065</v>
      </c>
      <c r="BW22" s="16">
        <f t="shared" si="3"/>
        <v>108.68421052631579</v>
      </c>
      <c r="BX22" s="16">
        <f>COUNTIF($BC$6:BU22, "=0") / COUNTIF($BC$6:BU22, "&gt;-1")</f>
        <v>0</v>
      </c>
      <c r="BY22" s="18">
        <f>SUM($BC$6:BU22) / $BY$4</f>
        <v>0.26915169494172447</v>
      </c>
      <c r="BZ22" s="14">
        <f t="shared" si="4"/>
        <v>0</v>
      </c>
      <c r="CA22" t="s">
        <v>5831</v>
      </c>
      <c r="CB22" s="36">
        <v>132.06913014598501</v>
      </c>
      <c r="CC22" s="36">
        <v>95.343347947067201</v>
      </c>
      <c r="CD22" s="36">
        <v>83.241478414237406</v>
      </c>
      <c r="CE22" s="36">
        <v>86.179540271734098</v>
      </c>
      <c r="CF22" s="36">
        <v>48.169876156466003</v>
      </c>
      <c r="CG22" s="36">
        <v>57.643089291648501</v>
      </c>
      <c r="CH22" s="36">
        <v>83.270920346306596</v>
      </c>
      <c r="CI22" s="36">
        <v>89.532891014372197</v>
      </c>
      <c r="CJ22" s="37">
        <v>98.550028362374704</v>
      </c>
      <c r="CK22" s="37">
        <v>70.632760451487997</v>
      </c>
      <c r="CL22" s="37">
        <v>94.406413095546398</v>
      </c>
      <c r="CM22" s="37">
        <v>150.685374294789</v>
      </c>
      <c r="CN22" s="37">
        <v>124.03699638504</v>
      </c>
      <c r="CO22" s="37">
        <v>106.540727001992</v>
      </c>
      <c r="CP22" s="37">
        <v>156.88816497769201</v>
      </c>
      <c r="CQ22" s="37">
        <v>173.58060049810601</v>
      </c>
      <c r="CR22" s="45">
        <v>0.52626068696375194</v>
      </c>
      <c r="CS22" s="45">
        <v>1.44395687322233</v>
      </c>
      <c r="CT22" s="46">
        <v>6.1297543888067497E-2</v>
      </c>
      <c r="CU22" s="47">
        <v>9.2360488425939594E-2</v>
      </c>
      <c r="CV22" s="48">
        <v>84.431284198477201</v>
      </c>
      <c r="CW22" s="49">
        <v>121.915133133379</v>
      </c>
      <c r="CX22" s="31" t="s">
        <v>5874</v>
      </c>
      <c r="CY22" s="31" t="s">
        <v>5877</v>
      </c>
      <c r="CZ22" t="s">
        <v>10608</v>
      </c>
      <c r="DA22" t="s">
        <v>5904</v>
      </c>
      <c r="DB22">
        <v>1378.6</v>
      </c>
      <c r="DC22" t="s">
        <v>27848</v>
      </c>
      <c r="DD22" t="s">
        <v>13772</v>
      </c>
      <c r="DE22" t="s">
        <v>27849</v>
      </c>
      <c r="DF22" t="s">
        <v>27850</v>
      </c>
      <c r="DG22" t="s">
        <v>27851</v>
      </c>
      <c r="DH22" t="str">
        <f>"PLG"</f>
        <v>PLG</v>
      </c>
      <c r="DI22" t="s">
        <v>13772</v>
      </c>
      <c r="DJ22" t="s">
        <v>13777</v>
      </c>
      <c r="DK22">
        <v>9606</v>
      </c>
      <c r="DL22" s="34" t="str">
        <f>HYPERLINK("http://www.uniprot.org/uniprot/P00747", "P00747")</f>
        <v>P00747</v>
      </c>
      <c r="DM22" t="s">
        <v>27852</v>
      </c>
      <c r="DN22" t="s">
        <v>27853</v>
      </c>
      <c r="DO22" t="s">
        <v>14321</v>
      </c>
      <c r="DP22" t="s">
        <v>13793</v>
      </c>
      <c r="DQ22" t="s">
        <v>13772</v>
      </c>
      <c r="DR22" t="s">
        <v>17445</v>
      </c>
      <c r="DS22" t="s">
        <v>20047</v>
      </c>
      <c r="DT22" t="s">
        <v>13772</v>
      </c>
      <c r="DU22" t="s">
        <v>15176</v>
      </c>
      <c r="DV22" t="s">
        <v>15140</v>
      </c>
      <c r="DW22" t="s">
        <v>13812</v>
      </c>
      <c r="DX22" t="s">
        <v>27854</v>
      </c>
      <c r="DY22" t="s">
        <v>27855</v>
      </c>
      <c r="DZ22" t="s">
        <v>27856</v>
      </c>
      <c r="EA22" t="s">
        <v>13772</v>
      </c>
      <c r="EB22" t="s">
        <v>27857</v>
      </c>
    </row>
    <row r="23" spans="1:132" hidden="1">
      <c r="A23">
        <v>1119</v>
      </c>
      <c r="B23">
        <v>1</v>
      </c>
      <c r="C23" t="s">
        <v>2693</v>
      </c>
      <c r="D23" t="s">
        <v>73</v>
      </c>
      <c r="E23" t="s">
        <v>73</v>
      </c>
      <c r="F23" t="s">
        <v>73</v>
      </c>
      <c r="G23" t="s">
        <v>73</v>
      </c>
      <c r="H23">
        <v>84.7</v>
      </c>
      <c r="I23">
        <v>163</v>
      </c>
      <c r="J23">
        <v>18295</v>
      </c>
      <c r="K23" t="s">
        <v>2694</v>
      </c>
      <c r="L23">
        <f t="shared" si="2"/>
        <v>2033</v>
      </c>
      <c r="N23">
        <v>2033</v>
      </c>
      <c r="O23">
        <v>2033</v>
      </c>
      <c r="P23">
        <v>1</v>
      </c>
      <c r="Q23">
        <v>7</v>
      </c>
      <c r="R23">
        <v>0</v>
      </c>
      <c r="S23">
        <v>0</v>
      </c>
      <c r="T23">
        <v>0</v>
      </c>
      <c r="U23">
        <v>2</v>
      </c>
      <c r="V23">
        <v>7</v>
      </c>
      <c r="W23">
        <v>21</v>
      </c>
      <c r="X23">
        <v>367</v>
      </c>
      <c r="Y23">
        <v>171</v>
      </c>
      <c r="Z23">
        <v>21</v>
      </c>
      <c r="AA23">
        <v>147</v>
      </c>
      <c r="AB23">
        <v>57</v>
      </c>
      <c r="AC23">
        <v>153</v>
      </c>
      <c r="AD23">
        <v>25</v>
      </c>
      <c r="AE23">
        <v>670</v>
      </c>
      <c r="AF23">
        <v>297</v>
      </c>
      <c r="AG23">
        <v>11</v>
      </c>
      <c r="AH23">
        <v>18</v>
      </c>
      <c r="AI23">
        <v>59</v>
      </c>
      <c r="AJ23">
        <v>7</v>
      </c>
      <c r="AK23">
        <v>0</v>
      </c>
      <c r="AL23">
        <v>0</v>
      </c>
      <c r="AM23">
        <v>0</v>
      </c>
      <c r="AN23">
        <v>2</v>
      </c>
      <c r="AO23">
        <v>7</v>
      </c>
      <c r="AP23">
        <v>21</v>
      </c>
      <c r="AQ23">
        <v>367</v>
      </c>
      <c r="AR23">
        <v>171</v>
      </c>
      <c r="AS23">
        <v>21</v>
      </c>
      <c r="AT23">
        <v>147</v>
      </c>
      <c r="AU23">
        <v>57</v>
      </c>
      <c r="AV23">
        <v>153</v>
      </c>
      <c r="AW23">
        <v>25</v>
      </c>
      <c r="AX23">
        <v>670</v>
      </c>
      <c r="AY23">
        <v>297</v>
      </c>
      <c r="AZ23">
        <v>11</v>
      </c>
      <c r="BA23">
        <v>18</v>
      </c>
      <c r="BB23">
        <v>59</v>
      </c>
      <c r="BC23" s="2">
        <v>7</v>
      </c>
      <c r="BD23" s="2">
        <v>0</v>
      </c>
      <c r="BE23" s="2">
        <v>0</v>
      </c>
      <c r="BF23" s="2">
        <v>0</v>
      </c>
      <c r="BG23" s="2">
        <v>2</v>
      </c>
      <c r="BH23" s="2">
        <v>7</v>
      </c>
      <c r="BI23" s="2">
        <v>21</v>
      </c>
      <c r="BJ23" s="2">
        <v>367</v>
      </c>
      <c r="BK23" s="2">
        <v>171</v>
      </c>
      <c r="BL23" s="2">
        <v>21</v>
      </c>
      <c r="BM23" s="2">
        <v>147</v>
      </c>
      <c r="BN23" s="2">
        <v>57</v>
      </c>
      <c r="BO23" s="2">
        <v>153</v>
      </c>
      <c r="BP23" s="2">
        <v>25</v>
      </c>
      <c r="BQ23" s="2">
        <v>670</v>
      </c>
      <c r="BR23" s="2">
        <v>297</v>
      </c>
      <c r="BS23" s="2">
        <v>11</v>
      </c>
      <c r="BT23" s="2">
        <v>18</v>
      </c>
      <c r="BU23" s="2">
        <v>59</v>
      </c>
      <c r="BV23" s="2">
        <f t="shared" si="5"/>
        <v>2033</v>
      </c>
      <c r="BW23" s="16">
        <f t="shared" si="3"/>
        <v>107</v>
      </c>
      <c r="BX23" s="16">
        <f>COUNTIF($BC$6:BU23, "=0") / COUNTIF($BC$6:BU23, "&gt;-1")</f>
        <v>8.771929824561403E-3</v>
      </c>
      <c r="BY23" s="18">
        <f>SUM($BC$6:BU23) / $BY$4</f>
        <v>0.27786032869579258</v>
      </c>
      <c r="BZ23" s="14">
        <f t="shared" si="4"/>
        <v>3</v>
      </c>
      <c r="CA23" t="s">
        <v>5831</v>
      </c>
      <c r="CB23" s="36">
        <v>8.4815037708430996</v>
      </c>
      <c r="CC23" s="36">
        <v>0.24076603016936199</v>
      </c>
      <c r="CD23" s="36">
        <v>0.40019941545306398</v>
      </c>
      <c r="CE23" s="36">
        <v>0.37798043978830698</v>
      </c>
      <c r="CF23" s="36">
        <v>1.72035271987378</v>
      </c>
      <c r="CG23" s="36">
        <v>6.50809072647644</v>
      </c>
      <c r="CH23" s="36">
        <v>22.135307940157499</v>
      </c>
      <c r="CI23" s="36">
        <v>357.15838045950602</v>
      </c>
      <c r="CJ23" s="37">
        <v>135.903668144888</v>
      </c>
      <c r="CK23" s="37">
        <v>92.705498092577997</v>
      </c>
      <c r="CL23" s="37">
        <v>45.603097851238502</v>
      </c>
      <c r="CM23" s="37">
        <v>129.52169812979099</v>
      </c>
      <c r="CN23" s="37">
        <v>615.59101909612605</v>
      </c>
      <c r="CO23" s="37">
        <v>234.38959940438201</v>
      </c>
      <c r="CP23" s="37">
        <v>16.593940526486598</v>
      </c>
      <c r="CQ23" s="37">
        <v>89.835573942002398</v>
      </c>
      <c r="CR23" s="45">
        <v>1.77186984675315</v>
      </c>
      <c r="CS23" s="45">
        <v>3.4258607911946299</v>
      </c>
      <c r="CT23" s="46">
        <v>8.6088047801247097E-2</v>
      </c>
      <c r="CU23" s="47">
        <v>0.124390721337007</v>
      </c>
      <c r="CV23" s="48">
        <v>49.6278226877835</v>
      </c>
      <c r="CW23" s="49">
        <v>170.01801189843701</v>
      </c>
      <c r="CX23" s="31" t="s">
        <v>5874</v>
      </c>
      <c r="CY23" s="31" t="s">
        <v>5832</v>
      </c>
      <c r="CZ23" t="s">
        <v>9466</v>
      </c>
      <c r="DA23" t="s">
        <v>5904</v>
      </c>
      <c r="DB23">
        <v>278.5</v>
      </c>
      <c r="DC23" t="s">
        <v>24634</v>
      </c>
      <c r="DD23" t="s">
        <v>13772</v>
      </c>
      <c r="DE23" t="s">
        <v>24635</v>
      </c>
      <c r="DF23" t="s">
        <v>24636</v>
      </c>
      <c r="DG23" t="s">
        <v>24637</v>
      </c>
      <c r="DH23" t="str">
        <f>"MB"</f>
        <v>MB</v>
      </c>
      <c r="DI23" t="s">
        <v>13772</v>
      </c>
      <c r="DJ23" t="s">
        <v>13777</v>
      </c>
      <c r="DK23">
        <v>9606</v>
      </c>
      <c r="DL23" s="34" t="str">
        <f>HYPERLINK("http://www.uniprot.org/uniprot/P02144", "P02144")</f>
        <v>P02144</v>
      </c>
      <c r="DM23" t="s">
        <v>24638</v>
      </c>
      <c r="DN23" t="s">
        <v>24639</v>
      </c>
      <c r="DO23" t="s">
        <v>13772</v>
      </c>
      <c r="DP23" t="s">
        <v>13793</v>
      </c>
      <c r="DQ23" t="s">
        <v>13772</v>
      </c>
      <c r="DR23" t="s">
        <v>13772</v>
      </c>
      <c r="DS23" t="s">
        <v>13772</v>
      </c>
      <c r="DT23" t="s">
        <v>16031</v>
      </c>
      <c r="DU23" t="s">
        <v>17512</v>
      </c>
      <c r="DV23" t="s">
        <v>13782</v>
      </c>
      <c r="DW23" t="s">
        <v>13812</v>
      </c>
      <c r="DX23" t="s">
        <v>24640</v>
      </c>
      <c r="DY23" t="s">
        <v>15111</v>
      </c>
      <c r="DZ23" t="s">
        <v>24641</v>
      </c>
      <c r="EA23" t="s">
        <v>13772</v>
      </c>
      <c r="EB23" t="s">
        <v>24642</v>
      </c>
    </row>
    <row r="24" spans="1:132">
      <c r="A24">
        <v>878</v>
      </c>
      <c r="B24">
        <v>1</v>
      </c>
      <c r="C24" t="s">
        <v>2143</v>
      </c>
      <c r="D24" t="s">
        <v>73</v>
      </c>
      <c r="E24" t="s">
        <v>73</v>
      </c>
      <c r="F24" t="s">
        <v>73</v>
      </c>
      <c r="G24" t="s">
        <v>73</v>
      </c>
      <c r="H24">
        <v>82.3</v>
      </c>
      <c r="I24">
        <v>384</v>
      </c>
      <c r="J24">
        <v>42459</v>
      </c>
      <c r="K24" t="s">
        <v>2144</v>
      </c>
      <c r="L24">
        <f t="shared" si="2"/>
        <v>2011</v>
      </c>
      <c r="N24">
        <v>2011</v>
      </c>
      <c r="O24">
        <v>2011</v>
      </c>
      <c r="P24">
        <v>1</v>
      </c>
      <c r="Q24">
        <v>188</v>
      </c>
      <c r="R24">
        <v>69</v>
      </c>
      <c r="S24">
        <v>78</v>
      </c>
      <c r="T24">
        <v>54</v>
      </c>
      <c r="U24">
        <v>58</v>
      </c>
      <c r="V24">
        <v>40</v>
      </c>
      <c r="W24">
        <v>45</v>
      </c>
      <c r="X24">
        <v>80</v>
      </c>
      <c r="Y24">
        <v>87</v>
      </c>
      <c r="Z24">
        <v>183</v>
      </c>
      <c r="AA24">
        <v>112</v>
      </c>
      <c r="AB24">
        <v>130</v>
      </c>
      <c r="AC24">
        <v>151</v>
      </c>
      <c r="AD24">
        <v>130</v>
      </c>
      <c r="AE24">
        <v>124</v>
      </c>
      <c r="AF24">
        <v>166</v>
      </c>
      <c r="AG24">
        <v>122</v>
      </c>
      <c r="AH24">
        <v>87</v>
      </c>
      <c r="AI24">
        <v>107</v>
      </c>
      <c r="AJ24">
        <v>188</v>
      </c>
      <c r="AK24">
        <v>69</v>
      </c>
      <c r="AL24">
        <v>78</v>
      </c>
      <c r="AM24">
        <v>54</v>
      </c>
      <c r="AN24">
        <v>58</v>
      </c>
      <c r="AO24">
        <v>40</v>
      </c>
      <c r="AP24">
        <v>45</v>
      </c>
      <c r="AQ24">
        <v>80</v>
      </c>
      <c r="AR24">
        <v>87</v>
      </c>
      <c r="AS24">
        <v>183</v>
      </c>
      <c r="AT24">
        <v>112</v>
      </c>
      <c r="AU24">
        <v>130</v>
      </c>
      <c r="AV24">
        <v>151</v>
      </c>
      <c r="AW24">
        <v>130</v>
      </c>
      <c r="AX24">
        <v>124</v>
      </c>
      <c r="AY24">
        <v>166</v>
      </c>
      <c r="AZ24">
        <v>122</v>
      </c>
      <c r="BA24">
        <v>87</v>
      </c>
      <c r="BB24">
        <v>107</v>
      </c>
      <c r="BC24" s="2">
        <v>188</v>
      </c>
      <c r="BD24" s="2">
        <v>69</v>
      </c>
      <c r="BE24" s="2">
        <v>78</v>
      </c>
      <c r="BF24" s="2">
        <v>54</v>
      </c>
      <c r="BG24" s="2">
        <v>58</v>
      </c>
      <c r="BH24" s="2">
        <v>40</v>
      </c>
      <c r="BI24" s="2">
        <v>45</v>
      </c>
      <c r="BJ24" s="2">
        <v>80</v>
      </c>
      <c r="BK24" s="2">
        <v>87</v>
      </c>
      <c r="BL24" s="2">
        <v>183</v>
      </c>
      <c r="BM24" s="2">
        <v>112</v>
      </c>
      <c r="BN24" s="2">
        <v>130</v>
      </c>
      <c r="BO24" s="2">
        <v>151</v>
      </c>
      <c r="BP24" s="2">
        <v>130</v>
      </c>
      <c r="BQ24" s="2">
        <v>124</v>
      </c>
      <c r="BR24" s="2">
        <v>166</v>
      </c>
      <c r="BS24" s="2">
        <v>122</v>
      </c>
      <c r="BT24" s="2">
        <v>87</v>
      </c>
      <c r="BU24" s="2">
        <v>107</v>
      </c>
      <c r="BV24" s="2">
        <f t="shared" si="5"/>
        <v>2011</v>
      </c>
      <c r="BW24" s="16">
        <f t="shared" si="3"/>
        <v>105.84210526315789</v>
      </c>
      <c r="BX24" s="16">
        <f>COUNTIF($BC$6:BU24, "=0") / COUNTIF($BC$6:BU24, "&gt;-1")</f>
        <v>8.3102493074792248E-3</v>
      </c>
      <c r="BY24" s="18">
        <f>SUM($BC$6:BU24) / $BY$4</f>
        <v>0.28647472243874927</v>
      </c>
      <c r="BZ24" s="14">
        <f t="shared" si="4"/>
        <v>0</v>
      </c>
      <c r="CA24" t="s">
        <v>5831</v>
      </c>
      <c r="CB24" s="36">
        <v>227.78895841692901</v>
      </c>
      <c r="CC24" s="36">
        <v>66.451424326743805</v>
      </c>
      <c r="CD24" s="36">
        <v>124.862217621356</v>
      </c>
      <c r="CE24" s="36">
        <v>81.643774994274395</v>
      </c>
      <c r="CF24" s="36">
        <v>49.890228876339698</v>
      </c>
      <c r="CG24" s="36">
        <v>37.189089865579597</v>
      </c>
      <c r="CH24" s="36">
        <v>47.432802728908797</v>
      </c>
      <c r="CI24" s="36">
        <v>77.854687838584496</v>
      </c>
      <c r="CJ24" s="37">
        <v>69.143971512311296</v>
      </c>
      <c r="CK24" s="37">
        <v>70.632760451487997</v>
      </c>
      <c r="CL24" s="37">
        <v>104.00706527475501</v>
      </c>
      <c r="CM24" s="37">
        <v>127.828604036591</v>
      </c>
      <c r="CN24" s="37">
        <v>113.930278161074</v>
      </c>
      <c r="CO24" s="37">
        <v>131.00563468393099</v>
      </c>
      <c r="CP24" s="37">
        <v>184.04188583921601</v>
      </c>
      <c r="CQ24" s="37">
        <v>162.922142572784</v>
      </c>
      <c r="CR24" s="45">
        <v>0.43439221250399501</v>
      </c>
      <c r="CS24" s="45">
        <v>1.35113522403847</v>
      </c>
      <c r="CT24" s="46">
        <v>0.24647633453126699</v>
      </c>
      <c r="CU24" s="47">
        <v>0.31771226936689301</v>
      </c>
      <c r="CV24" s="48">
        <v>89.139148083589504</v>
      </c>
      <c r="CW24" s="49">
        <v>120.43904281651901</v>
      </c>
      <c r="CX24" s="31" t="s">
        <v>5874</v>
      </c>
      <c r="CY24" s="31" t="s">
        <v>5832</v>
      </c>
      <c r="CZ24" t="s">
        <v>8700</v>
      </c>
      <c r="DA24" t="s">
        <v>5904</v>
      </c>
      <c r="DB24">
        <v>501.1</v>
      </c>
      <c r="DC24" t="s">
        <v>22427</v>
      </c>
      <c r="DD24" t="s">
        <v>22428</v>
      </c>
      <c r="DE24" t="s">
        <v>22429</v>
      </c>
      <c r="DF24" t="s">
        <v>22430</v>
      </c>
      <c r="DG24" t="s">
        <v>22431</v>
      </c>
      <c r="DH24" t="str">
        <f>"FETUB"</f>
        <v>FETUB</v>
      </c>
      <c r="DI24" t="s">
        <v>13772</v>
      </c>
      <c r="DJ24" t="s">
        <v>13777</v>
      </c>
      <c r="DK24">
        <v>9606</v>
      </c>
      <c r="DL24" s="34" t="str">
        <f>HYPERLINK("http://www.uniprot.org/uniprot/Q9UGM5", "Q9UGM5")</f>
        <v>Q9UGM5</v>
      </c>
      <c r="DM24" t="s">
        <v>22432</v>
      </c>
      <c r="DN24" t="s">
        <v>22433</v>
      </c>
      <c r="DO24" t="s">
        <v>14321</v>
      </c>
      <c r="DP24" t="s">
        <v>13780</v>
      </c>
      <c r="DQ24" t="s">
        <v>13772</v>
      </c>
      <c r="DR24" t="s">
        <v>13772</v>
      </c>
      <c r="DS24" t="s">
        <v>14404</v>
      </c>
      <c r="DT24" t="s">
        <v>13772</v>
      </c>
      <c r="DU24" t="s">
        <v>22434</v>
      </c>
      <c r="DV24" t="s">
        <v>13964</v>
      </c>
      <c r="DW24" t="s">
        <v>13772</v>
      </c>
      <c r="DX24" t="s">
        <v>22435</v>
      </c>
      <c r="DY24" t="s">
        <v>22436</v>
      </c>
      <c r="DZ24" t="s">
        <v>22437</v>
      </c>
      <c r="EA24" t="s">
        <v>13772</v>
      </c>
      <c r="EB24" t="s">
        <v>13772</v>
      </c>
    </row>
    <row r="25" spans="1:132">
      <c r="A25">
        <v>256</v>
      </c>
      <c r="B25">
        <v>1</v>
      </c>
      <c r="C25" t="s">
        <v>651</v>
      </c>
      <c r="D25" t="s">
        <v>73</v>
      </c>
      <c r="E25" t="s">
        <v>73</v>
      </c>
      <c r="F25" t="s">
        <v>73</v>
      </c>
      <c r="G25" t="s">
        <v>73</v>
      </c>
      <c r="H25">
        <v>86.8</v>
      </c>
      <c r="I25">
        <v>151</v>
      </c>
      <c r="J25">
        <v>16965</v>
      </c>
      <c r="K25" t="s">
        <v>652</v>
      </c>
      <c r="L25">
        <f t="shared" si="2"/>
        <v>1786</v>
      </c>
      <c r="N25">
        <v>1786</v>
      </c>
      <c r="O25">
        <v>1786</v>
      </c>
      <c r="P25">
        <v>1</v>
      </c>
      <c r="Q25">
        <v>156</v>
      </c>
      <c r="R25">
        <v>152</v>
      </c>
      <c r="S25">
        <v>174</v>
      </c>
      <c r="T25">
        <v>221</v>
      </c>
      <c r="U25">
        <v>175</v>
      </c>
      <c r="V25">
        <v>155</v>
      </c>
      <c r="W25">
        <v>216</v>
      </c>
      <c r="X25">
        <v>80</v>
      </c>
      <c r="Y25">
        <v>49</v>
      </c>
      <c r="Z25">
        <v>15</v>
      </c>
      <c r="AA25">
        <v>60</v>
      </c>
      <c r="AB25">
        <v>74</v>
      </c>
      <c r="AC25">
        <v>35</v>
      </c>
      <c r="AD25">
        <v>13</v>
      </c>
      <c r="AE25">
        <v>54</v>
      </c>
      <c r="AF25">
        <v>61</v>
      </c>
      <c r="AG25">
        <v>35</v>
      </c>
      <c r="AH25">
        <v>24</v>
      </c>
      <c r="AI25">
        <v>37</v>
      </c>
      <c r="AJ25">
        <v>156</v>
      </c>
      <c r="AK25">
        <v>152</v>
      </c>
      <c r="AL25">
        <v>174</v>
      </c>
      <c r="AM25">
        <v>221</v>
      </c>
      <c r="AN25">
        <v>175</v>
      </c>
      <c r="AO25">
        <v>155</v>
      </c>
      <c r="AP25">
        <v>216</v>
      </c>
      <c r="AQ25">
        <v>80</v>
      </c>
      <c r="AR25">
        <v>49</v>
      </c>
      <c r="AS25">
        <v>15</v>
      </c>
      <c r="AT25">
        <v>60</v>
      </c>
      <c r="AU25">
        <v>74</v>
      </c>
      <c r="AV25">
        <v>35</v>
      </c>
      <c r="AW25">
        <v>13</v>
      </c>
      <c r="AX25">
        <v>54</v>
      </c>
      <c r="AY25">
        <v>61</v>
      </c>
      <c r="AZ25">
        <v>35</v>
      </c>
      <c r="BA25">
        <v>24</v>
      </c>
      <c r="BB25">
        <v>37</v>
      </c>
      <c r="BC25" s="2">
        <v>156</v>
      </c>
      <c r="BD25" s="2">
        <v>152</v>
      </c>
      <c r="BE25" s="2">
        <v>174</v>
      </c>
      <c r="BF25" s="2">
        <v>221</v>
      </c>
      <c r="BG25" s="2">
        <v>175</v>
      </c>
      <c r="BH25" s="2">
        <v>155</v>
      </c>
      <c r="BI25" s="2">
        <v>216</v>
      </c>
      <c r="BJ25" s="2">
        <v>80</v>
      </c>
      <c r="BK25" s="2">
        <v>49</v>
      </c>
      <c r="BL25" s="2">
        <v>15</v>
      </c>
      <c r="BM25" s="2">
        <v>60</v>
      </c>
      <c r="BN25" s="2">
        <v>74</v>
      </c>
      <c r="BO25" s="2">
        <v>35</v>
      </c>
      <c r="BP25" s="2">
        <v>13</v>
      </c>
      <c r="BQ25" s="2">
        <v>54</v>
      </c>
      <c r="BR25" s="2">
        <v>61</v>
      </c>
      <c r="BS25" s="2">
        <v>35</v>
      </c>
      <c r="BT25" s="2">
        <v>24</v>
      </c>
      <c r="BU25" s="2">
        <v>37</v>
      </c>
      <c r="BV25" s="2">
        <f t="shared" si="5"/>
        <v>1786</v>
      </c>
      <c r="BW25" s="16">
        <f t="shared" si="3"/>
        <v>94</v>
      </c>
      <c r="BX25" s="16">
        <f>COUNTIF($BC$6:BU25, "=0") / COUNTIF($BC$6:BU25, "&gt;-1")</f>
        <v>7.8947368421052634E-3</v>
      </c>
      <c r="BY25" s="18">
        <f>SUM($BC$6:BU25) / $BY$4</f>
        <v>0.29412529788624836</v>
      </c>
      <c r="BZ25" s="14">
        <f t="shared" si="4"/>
        <v>0</v>
      </c>
      <c r="CA25" t="s">
        <v>5831</v>
      </c>
      <c r="CB25" s="36">
        <v>189.01636975021799</v>
      </c>
      <c r="CC25" s="36">
        <v>146.385746342972</v>
      </c>
      <c r="CD25" s="36">
        <v>278.538793155333</v>
      </c>
      <c r="CE25" s="36">
        <v>334.13470877286397</v>
      </c>
      <c r="CF25" s="36">
        <v>150.53086298895599</v>
      </c>
      <c r="CG25" s="36">
        <v>144.10772322912101</v>
      </c>
      <c r="CH25" s="36">
        <v>227.67745309876199</v>
      </c>
      <c r="CI25" s="36">
        <v>77.854687838584496</v>
      </c>
      <c r="CJ25" s="37">
        <v>38.943156369002899</v>
      </c>
      <c r="CK25" s="37">
        <v>37.838978813297103</v>
      </c>
      <c r="CL25" s="37">
        <v>59.204021771783403</v>
      </c>
      <c r="CM25" s="37">
        <v>29.629146630997901</v>
      </c>
      <c r="CN25" s="37">
        <v>49.614798554016197</v>
      </c>
      <c r="CO25" s="37">
        <v>48.140624793492599</v>
      </c>
      <c r="CP25" s="37">
        <v>52.798901675184801</v>
      </c>
      <c r="CQ25" s="37">
        <v>56.3375633195608</v>
      </c>
      <c r="CR25" s="45">
        <v>-2.0539497189498599</v>
      </c>
      <c r="CS25" s="45">
        <v>-4.1562857811315101</v>
      </c>
      <c r="CT25" s="46">
        <v>1.3413591235141301E-10</v>
      </c>
      <c r="CU25" s="47">
        <v>2.2434231340773798E-9</v>
      </c>
      <c r="CV25" s="48">
        <v>193.53079314710101</v>
      </c>
      <c r="CW25" s="49">
        <v>46.563398990917001</v>
      </c>
      <c r="CX25" s="31" t="s">
        <v>5875</v>
      </c>
      <c r="CY25" s="31" t="s">
        <v>5876</v>
      </c>
      <c r="CZ25" t="s">
        <v>6580</v>
      </c>
      <c r="DA25" t="s">
        <v>5904</v>
      </c>
      <c r="DB25">
        <v>169.5</v>
      </c>
      <c r="DC25" t="s">
        <v>16063</v>
      </c>
      <c r="DD25" t="s">
        <v>13772</v>
      </c>
      <c r="DE25" t="s">
        <v>16064</v>
      </c>
      <c r="DF25" t="s">
        <v>16065</v>
      </c>
      <c r="DG25" t="s">
        <v>13772</v>
      </c>
      <c r="DH25" t="str">
        <f>"RNASE6"</f>
        <v>RNASE6</v>
      </c>
      <c r="DI25" t="s">
        <v>16066</v>
      </c>
      <c r="DJ25" t="s">
        <v>13777</v>
      </c>
      <c r="DK25">
        <v>9606</v>
      </c>
      <c r="DL25" s="34" t="str">
        <f>HYPERLINK("http://www.uniprot.org/uniprot/Q93091", "Q93091")</f>
        <v>Q93091</v>
      </c>
      <c r="DM25" t="s">
        <v>16067</v>
      </c>
      <c r="DN25" t="s">
        <v>13772</v>
      </c>
      <c r="DO25" t="s">
        <v>14402</v>
      </c>
      <c r="DP25" t="s">
        <v>13793</v>
      </c>
      <c r="DQ25" t="s">
        <v>13772</v>
      </c>
      <c r="DR25" t="s">
        <v>13772</v>
      </c>
      <c r="DS25" t="s">
        <v>13808</v>
      </c>
      <c r="DT25" t="s">
        <v>13772</v>
      </c>
      <c r="DU25" t="s">
        <v>16068</v>
      </c>
      <c r="DV25" t="s">
        <v>13796</v>
      </c>
      <c r="DW25" t="s">
        <v>13812</v>
      </c>
      <c r="DX25" t="s">
        <v>16069</v>
      </c>
      <c r="DY25" t="s">
        <v>16070</v>
      </c>
      <c r="DZ25" t="s">
        <v>16071</v>
      </c>
      <c r="EA25" t="s">
        <v>13772</v>
      </c>
      <c r="EB25" t="s">
        <v>14470</v>
      </c>
    </row>
    <row r="26" spans="1:132">
      <c r="A26">
        <v>34</v>
      </c>
      <c r="B26">
        <v>1</v>
      </c>
      <c r="C26" t="s">
        <v>123</v>
      </c>
      <c r="D26" t="s">
        <v>73</v>
      </c>
      <c r="E26" t="s">
        <v>73</v>
      </c>
      <c r="F26" t="s">
        <v>73</v>
      </c>
      <c r="G26" t="s">
        <v>73</v>
      </c>
      <c r="H26">
        <v>100</v>
      </c>
      <c r="I26">
        <v>134</v>
      </c>
      <c r="J26">
        <v>14166</v>
      </c>
      <c r="K26" t="s">
        <v>124</v>
      </c>
      <c r="L26">
        <f t="shared" si="2"/>
        <v>1782</v>
      </c>
      <c r="N26">
        <v>1782</v>
      </c>
      <c r="O26">
        <v>1782</v>
      </c>
      <c r="P26">
        <v>1</v>
      </c>
      <c r="Q26">
        <v>85</v>
      </c>
      <c r="R26">
        <v>67</v>
      </c>
      <c r="S26">
        <v>69</v>
      </c>
      <c r="T26">
        <v>74</v>
      </c>
      <c r="U26">
        <v>66</v>
      </c>
      <c r="V26">
        <v>73</v>
      </c>
      <c r="W26">
        <v>89</v>
      </c>
      <c r="X26">
        <v>98</v>
      </c>
      <c r="Y26">
        <v>111</v>
      </c>
      <c r="Z26">
        <v>115</v>
      </c>
      <c r="AA26">
        <v>77</v>
      </c>
      <c r="AB26">
        <v>109</v>
      </c>
      <c r="AC26">
        <v>95</v>
      </c>
      <c r="AD26">
        <v>102</v>
      </c>
      <c r="AE26">
        <v>99</v>
      </c>
      <c r="AF26">
        <v>76</v>
      </c>
      <c r="AG26">
        <v>102</v>
      </c>
      <c r="AH26">
        <v>160</v>
      </c>
      <c r="AI26">
        <v>115</v>
      </c>
      <c r="AJ26">
        <v>85</v>
      </c>
      <c r="AK26">
        <v>67</v>
      </c>
      <c r="AL26">
        <v>69</v>
      </c>
      <c r="AM26">
        <v>74</v>
      </c>
      <c r="AN26">
        <v>66</v>
      </c>
      <c r="AO26">
        <v>73</v>
      </c>
      <c r="AP26">
        <v>89</v>
      </c>
      <c r="AQ26">
        <v>98</v>
      </c>
      <c r="AR26">
        <v>111</v>
      </c>
      <c r="AS26">
        <v>115</v>
      </c>
      <c r="AT26">
        <v>77</v>
      </c>
      <c r="AU26">
        <v>109</v>
      </c>
      <c r="AV26">
        <v>95</v>
      </c>
      <c r="AW26">
        <v>102</v>
      </c>
      <c r="AX26">
        <v>99</v>
      </c>
      <c r="AY26">
        <v>76</v>
      </c>
      <c r="AZ26">
        <v>102</v>
      </c>
      <c r="BA26">
        <v>160</v>
      </c>
      <c r="BB26">
        <v>115</v>
      </c>
      <c r="BC26" s="2">
        <v>85</v>
      </c>
      <c r="BD26" s="2">
        <v>67</v>
      </c>
      <c r="BE26" s="2">
        <v>69</v>
      </c>
      <c r="BF26" s="2">
        <v>74</v>
      </c>
      <c r="BG26" s="2">
        <v>66</v>
      </c>
      <c r="BH26" s="2">
        <v>73</v>
      </c>
      <c r="BI26" s="2">
        <v>89</v>
      </c>
      <c r="BJ26" s="2">
        <v>98</v>
      </c>
      <c r="BK26" s="2">
        <v>111</v>
      </c>
      <c r="BL26" s="2">
        <v>115</v>
      </c>
      <c r="BM26" s="2">
        <v>77</v>
      </c>
      <c r="BN26" s="2">
        <v>109</v>
      </c>
      <c r="BO26" s="2">
        <v>95</v>
      </c>
      <c r="BP26" s="2">
        <v>102</v>
      </c>
      <c r="BQ26" s="2">
        <v>99</v>
      </c>
      <c r="BR26" s="2">
        <v>76</v>
      </c>
      <c r="BS26" s="2">
        <v>102</v>
      </c>
      <c r="BT26" s="2">
        <v>160</v>
      </c>
      <c r="BU26" s="2">
        <v>115</v>
      </c>
      <c r="BV26" s="2">
        <f t="shared" si="5"/>
        <v>1782</v>
      </c>
      <c r="BW26" s="16">
        <f t="shared" si="3"/>
        <v>93.78947368421052</v>
      </c>
      <c r="BX26" s="16">
        <f>COUNTIF($BC$6:BU26, "=0") / COUNTIF($BC$6:BU26, "&gt;-1")</f>
        <v>7.5187969924812026E-3</v>
      </c>
      <c r="BY26" s="18">
        <f>SUM($BC$6:BU26) / $BY$4</f>
        <v>0.30175873878627268</v>
      </c>
      <c r="BZ26" s="14">
        <f t="shared" si="4"/>
        <v>0</v>
      </c>
      <c r="CA26" t="s">
        <v>5831</v>
      </c>
      <c r="CB26" s="36">
        <v>102.989688645952</v>
      </c>
      <c r="CC26" s="36">
        <v>64.525296085388902</v>
      </c>
      <c r="CD26" s="36">
        <v>110.455038665046</v>
      </c>
      <c r="CE26" s="36">
        <v>111.882210177339</v>
      </c>
      <c r="CF26" s="36">
        <v>56.771639755834897</v>
      </c>
      <c r="CG26" s="36">
        <v>67.870089004682896</v>
      </c>
      <c r="CH26" s="36">
        <v>93.811543174953002</v>
      </c>
      <c r="CI26" s="36">
        <v>95.371992602266005</v>
      </c>
      <c r="CJ26" s="37">
        <v>88.218170550190294</v>
      </c>
      <c r="CK26" s="37">
        <v>48.560022810398003</v>
      </c>
      <c r="CL26" s="37">
        <v>87.2059239611404</v>
      </c>
      <c r="CM26" s="37">
        <v>80.421969426994394</v>
      </c>
      <c r="CN26" s="37">
        <v>90.960464015696303</v>
      </c>
      <c r="CO26" s="37">
        <v>59.978483349269503</v>
      </c>
      <c r="CP26" s="37">
        <v>153.87108488196699</v>
      </c>
      <c r="CQ26" s="37">
        <v>175.103237344581</v>
      </c>
      <c r="CR26" s="45">
        <v>0.150147244817913</v>
      </c>
      <c r="CS26" s="45">
        <v>1.1146005925231399</v>
      </c>
      <c r="CT26" s="46">
        <v>0.62193597252648603</v>
      </c>
      <c r="CU26" s="47">
        <v>0.69694332599701803</v>
      </c>
      <c r="CV26" s="48">
        <v>87.959687263932807</v>
      </c>
      <c r="CW26" s="49">
        <v>98.039919542529603</v>
      </c>
      <c r="CX26" s="31" t="s">
        <v>5874</v>
      </c>
      <c r="CY26" s="31" t="s">
        <v>5832</v>
      </c>
      <c r="CZ26" t="s">
        <v>5893</v>
      </c>
      <c r="DA26" t="s">
        <v>5896</v>
      </c>
      <c r="DB26">
        <v>30.8</v>
      </c>
      <c r="DC26" t="s">
        <v>13773</v>
      </c>
      <c r="DD26" t="s">
        <v>13772</v>
      </c>
      <c r="DE26" t="s">
        <v>13774</v>
      </c>
      <c r="DF26" t="s">
        <v>13775</v>
      </c>
      <c r="DG26" t="s">
        <v>13776</v>
      </c>
      <c r="DH26" t="str">
        <f>"WDR91"</f>
        <v>WDR91</v>
      </c>
      <c r="DI26" t="s">
        <v>13772</v>
      </c>
      <c r="DJ26" t="s">
        <v>13777</v>
      </c>
      <c r="DK26">
        <v>9606</v>
      </c>
      <c r="DL26" s="34" t="str">
        <f>HYPERLINK("http://www.uniprot.org/uniprot/A4D1P6", "A4D1P6")</f>
        <v>A4D1P6</v>
      </c>
      <c r="DM26" t="s">
        <v>13778</v>
      </c>
      <c r="DN26" t="s">
        <v>13772</v>
      </c>
      <c r="DO26" t="s">
        <v>13779</v>
      </c>
      <c r="DP26" t="s">
        <v>13780</v>
      </c>
      <c r="DQ26" t="s">
        <v>13772</v>
      </c>
      <c r="DR26" t="s">
        <v>13772</v>
      </c>
      <c r="DS26" t="s">
        <v>13781</v>
      </c>
      <c r="DT26" t="s">
        <v>13772</v>
      </c>
      <c r="DU26" t="s">
        <v>13772</v>
      </c>
      <c r="DV26" t="s">
        <v>13782</v>
      </c>
      <c r="DW26" t="s">
        <v>13772</v>
      </c>
      <c r="DX26" t="s">
        <v>13783</v>
      </c>
      <c r="DY26" t="s">
        <v>13784</v>
      </c>
      <c r="DZ26" t="s">
        <v>13785</v>
      </c>
      <c r="EA26" t="s">
        <v>13772</v>
      </c>
      <c r="EB26" t="s">
        <v>13772</v>
      </c>
    </row>
    <row r="27" spans="1:132">
      <c r="A27">
        <v>816</v>
      </c>
      <c r="B27">
        <v>1</v>
      </c>
      <c r="C27" t="s">
        <v>2002</v>
      </c>
      <c r="D27" t="s">
        <v>2003</v>
      </c>
      <c r="E27" t="s">
        <v>73</v>
      </c>
      <c r="F27" t="s">
        <v>73</v>
      </c>
      <c r="G27" t="s">
        <v>73</v>
      </c>
      <c r="H27">
        <v>87.6</v>
      </c>
      <c r="I27">
        <v>259</v>
      </c>
      <c r="J27">
        <v>27658</v>
      </c>
      <c r="K27" t="s">
        <v>2004</v>
      </c>
      <c r="L27">
        <f t="shared" si="2"/>
        <v>1713</v>
      </c>
      <c r="N27">
        <v>1713</v>
      </c>
      <c r="O27">
        <v>1713</v>
      </c>
      <c r="P27">
        <v>1</v>
      </c>
      <c r="Q27">
        <v>51</v>
      </c>
      <c r="R27">
        <v>30</v>
      </c>
      <c r="S27">
        <v>38</v>
      </c>
      <c r="T27">
        <v>6</v>
      </c>
      <c r="U27">
        <v>9</v>
      </c>
      <c r="V27">
        <v>10</v>
      </c>
      <c r="W27">
        <v>13</v>
      </c>
      <c r="X27">
        <v>60</v>
      </c>
      <c r="Y27">
        <v>142</v>
      </c>
      <c r="Z27">
        <v>36</v>
      </c>
      <c r="AA27">
        <v>238</v>
      </c>
      <c r="AB27">
        <v>258</v>
      </c>
      <c r="AC27">
        <v>198</v>
      </c>
      <c r="AD27">
        <v>43</v>
      </c>
      <c r="AE27">
        <v>130</v>
      </c>
      <c r="AF27">
        <v>151</v>
      </c>
      <c r="AG27">
        <v>106</v>
      </c>
      <c r="AH27">
        <v>53</v>
      </c>
      <c r="AI27">
        <v>141</v>
      </c>
      <c r="AJ27">
        <v>51</v>
      </c>
      <c r="AK27">
        <v>30</v>
      </c>
      <c r="AL27">
        <v>38</v>
      </c>
      <c r="AM27">
        <v>6</v>
      </c>
      <c r="AN27">
        <v>9</v>
      </c>
      <c r="AO27">
        <v>10</v>
      </c>
      <c r="AP27">
        <v>13</v>
      </c>
      <c r="AQ27">
        <v>60</v>
      </c>
      <c r="AR27">
        <v>142</v>
      </c>
      <c r="AS27">
        <v>36</v>
      </c>
      <c r="AT27">
        <v>238</v>
      </c>
      <c r="AU27">
        <v>258</v>
      </c>
      <c r="AV27">
        <v>198</v>
      </c>
      <c r="AW27">
        <v>43</v>
      </c>
      <c r="AX27">
        <v>130</v>
      </c>
      <c r="AY27">
        <v>151</v>
      </c>
      <c r="AZ27">
        <v>106</v>
      </c>
      <c r="BA27">
        <v>53</v>
      </c>
      <c r="BB27">
        <v>141</v>
      </c>
      <c r="BC27" s="2">
        <v>51</v>
      </c>
      <c r="BD27" s="2">
        <v>30</v>
      </c>
      <c r="BE27" s="2">
        <v>38</v>
      </c>
      <c r="BF27" s="2">
        <v>6</v>
      </c>
      <c r="BG27" s="2">
        <v>9</v>
      </c>
      <c r="BH27" s="2">
        <v>10</v>
      </c>
      <c r="BI27" s="2">
        <v>13</v>
      </c>
      <c r="BJ27" s="2">
        <v>60</v>
      </c>
      <c r="BK27" s="2">
        <v>142</v>
      </c>
      <c r="BL27" s="2">
        <v>36</v>
      </c>
      <c r="BM27" s="2">
        <v>238</v>
      </c>
      <c r="BN27" s="2">
        <v>258</v>
      </c>
      <c r="BO27" s="2">
        <v>198</v>
      </c>
      <c r="BP27" s="2">
        <v>43</v>
      </c>
      <c r="BQ27" s="2">
        <v>130</v>
      </c>
      <c r="BR27" s="2">
        <v>151</v>
      </c>
      <c r="BS27" s="2">
        <v>106</v>
      </c>
      <c r="BT27" s="2">
        <v>53</v>
      </c>
      <c r="BU27" s="2">
        <v>141</v>
      </c>
      <c r="BV27" s="2">
        <f t="shared" si="5"/>
        <v>1713</v>
      </c>
      <c r="BW27" s="16">
        <f t="shared" si="3"/>
        <v>90.15789473684211</v>
      </c>
      <c r="BX27" s="16">
        <f>COUNTIF($BC$6:BU27, "=0") / COUNTIF($BC$6:BU27, "&gt;-1")</f>
        <v>7.1770334928229667E-3</v>
      </c>
      <c r="BY27" s="18">
        <f>SUM($BC$6:BU27) / $BY$4</f>
        <v>0.30909660874235662</v>
      </c>
      <c r="BZ27" s="14">
        <f t="shared" si="4"/>
        <v>0</v>
      </c>
      <c r="CA27" t="s">
        <v>5831</v>
      </c>
      <c r="CB27" s="36">
        <v>61.793813187571203</v>
      </c>
      <c r="CC27" s="36">
        <v>28.8919236203234</v>
      </c>
      <c r="CD27" s="36">
        <v>60.830311148865803</v>
      </c>
      <c r="CE27" s="36">
        <v>9.0715305549193808</v>
      </c>
      <c r="CF27" s="36">
        <v>7.7415872394320298</v>
      </c>
      <c r="CG27" s="36">
        <v>9.2972724663949098</v>
      </c>
      <c r="CH27" s="36">
        <v>13.7028096772403</v>
      </c>
      <c r="CI27" s="36">
        <v>58.391015878938397</v>
      </c>
      <c r="CJ27" s="37">
        <v>112.85567764078399</v>
      </c>
      <c r="CK27" s="37">
        <v>150.09461595941201</v>
      </c>
      <c r="CL27" s="37">
        <v>206.414021852974</v>
      </c>
      <c r="CM27" s="37">
        <v>167.616315226788</v>
      </c>
      <c r="CN27" s="37">
        <v>119.443033555965</v>
      </c>
      <c r="CO27" s="37">
        <v>119.167776128154</v>
      </c>
      <c r="CP27" s="37">
        <v>159.90524507341701</v>
      </c>
      <c r="CQ27" s="37">
        <v>214.69179535292099</v>
      </c>
      <c r="CR27" s="45">
        <v>2.3263393784312698</v>
      </c>
      <c r="CS27" s="45">
        <v>5.0063557594325898</v>
      </c>
      <c r="CT27" s="46">
        <v>2.54766634518182E-7</v>
      </c>
      <c r="CU27" s="47">
        <v>1.4950778815146001E-6</v>
      </c>
      <c r="CV27" s="48">
        <v>31.215032971710698</v>
      </c>
      <c r="CW27" s="49">
        <v>156.27356009880199</v>
      </c>
      <c r="CX27" s="31" t="s">
        <v>5874</v>
      </c>
      <c r="CY27" s="31" t="s">
        <v>5876</v>
      </c>
      <c r="CZ27" t="s">
        <v>8495</v>
      </c>
      <c r="DA27" t="s">
        <v>5904</v>
      </c>
      <c r="DB27">
        <v>426.8</v>
      </c>
      <c r="DC27" t="s">
        <v>21842</v>
      </c>
      <c r="DD27" t="s">
        <v>21843</v>
      </c>
      <c r="DE27" t="s">
        <v>21844</v>
      </c>
      <c r="DF27" t="s">
        <v>21845</v>
      </c>
      <c r="DG27" t="s">
        <v>21846</v>
      </c>
      <c r="DH27" t="str">
        <f>"CFD"</f>
        <v>CFD</v>
      </c>
      <c r="DI27" t="s">
        <v>21847</v>
      </c>
      <c r="DJ27" t="s">
        <v>13777</v>
      </c>
      <c r="DK27">
        <v>9606</v>
      </c>
      <c r="DL27" s="34" t="str">
        <f>HYPERLINK("http://www.uniprot.org/uniprot/P00746", "P00746")</f>
        <v>P00746</v>
      </c>
      <c r="DM27" t="s">
        <v>21848</v>
      </c>
      <c r="DN27" t="s">
        <v>21849</v>
      </c>
      <c r="DO27" t="s">
        <v>14321</v>
      </c>
      <c r="DP27" t="s">
        <v>13793</v>
      </c>
      <c r="DQ27" t="s">
        <v>13772</v>
      </c>
      <c r="DR27" t="s">
        <v>13807</v>
      </c>
      <c r="DS27" t="s">
        <v>13808</v>
      </c>
      <c r="DT27" t="s">
        <v>13772</v>
      </c>
      <c r="DU27" t="s">
        <v>15176</v>
      </c>
      <c r="DV27" t="s">
        <v>15387</v>
      </c>
      <c r="DW27" t="s">
        <v>13812</v>
      </c>
      <c r="DX27" t="s">
        <v>21850</v>
      </c>
      <c r="DY27" t="s">
        <v>21851</v>
      </c>
      <c r="DZ27" t="s">
        <v>21852</v>
      </c>
      <c r="EA27" t="s">
        <v>13772</v>
      </c>
      <c r="EB27" t="s">
        <v>21853</v>
      </c>
    </row>
    <row r="28" spans="1:132">
      <c r="A28">
        <v>262</v>
      </c>
      <c r="B28">
        <v>1</v>
      </c>
      <c r="C28" t="s">
        <v>665</v>
      </c>
      <c r="D28" t="s">
        <v>73</v>
      </c>
      <c r="E28" t="s">
        <v>73</v>
      </c>
      <c r="F28" t="s">
        <v>73</v>
      </c>
      <c r="G28" t="s">
        <v>73</v>
      </c>
      <c r="H28">
        <v>72.900000000000006</v>
      </c>
      <c r="I28">
        <v>118</v>
      </c>
      <c r="J28">
        <v>13571</v>
      </c>
      <c r="K28" t="s">
        <v>666</v>
      </c>
      <c r="L28">
        <f t="shared" si="2"/>
        <v>1611</v>
      </c>
      <c r="N28">
        <v>1611</v>
      </c>
      <c r="O28">
        <v>1611</v>
      </c>
      <c r="P28">
        <v>1</v>
      </c>
      <c r="Q28">
        <v>39</v>
      </c>
      <c r="R28">
        <v>20</v>
      </c>
      <c r="S28">
        <v>16</v>
      </c>
      <c r="T28">
        <v>8</v>
      </c>
      <c r="U28">
        <v>15</v>
      </c>
      <c r="V28">
        <v>13</v>
      </c>
      <c r="W28">
        <v>31</v>
      </c>
      <c r="X28">
        <v>102</v>
      </c>
      <c r="Y28">
        <v>274</v>
      </c>
      <c r="Z28">
        <v>41</v>
      </c>
      <c r="AA28">
        <v>146</v>
      </c>
      <c r="AB28">
        <v>162</v>
      </c>
      <c r="AC28">
        <v>160</v>
      </c>
      <c r="AD28">
        <v>21</v>
      </c>
      <c r="AE28">
        <v>140</v>
      </c>
      <c r="AF28">
        <v>109</v>
      </c>
      <c r="AG28">
        <v>93</v>
      </c>
      <c r="AH28">
        <v>72</v>
      </c>
      <c r="AI28">
        <v>149</v>
      </c>
      <c r="AJ28">
        <v>39</v>
      </c>
      <c r="AK28">
        <v>20</v>
      </c>
      <c r="AL28">
        <v>16</v>
      </c>
      <c r="AM28">
        <v>8</v>
      </c>
      <c r="AN28">
        <v>15</v>
      </c>
      <c r="AO28">
        <v>13</v>
      </c>
      <c r="AP28">
        <v>31</v>
      </c>
      <c r="AQ28">
        <v>102</v>
      </c>
      <c r="AR28">
        <v>274</v>
      </c>
      <c r="AS28">
        <v>41</v>
      </c>
      <c r="AT28">
        <v>146</v>
      </c>
      <c r="AU28">
        <v>162</v>
      </c>
      <c r="AV28">
        <v>160</v>
      </c>
      <c r="AW28">
        <v>21</v>
      </c>
      <c r="AX28">
        <v>140</v>
      </c>
      <c r="AY28">
        <v>109</v>
      </c>
      <c r="AZ28">
        <v>93</v>
      </c>
      <c r="BA28">
        <v>72</v>
      </c>
      <c r="BB28">
        <v>149</v>
      </c>
      <c r="BC28" s="2">
        <v>39</v>
      </c>
      <c r="BD28" s="2">
        <v>20</v>
      </c>
      <c r="BE28" s="2">
        <v>16</v>
      </c>
      <c r="BF28" s="2">
        <v>8</v>
      </c>
      <c r="BG28" s="2">
        <v>15</v>
      </c>
      <c r="BH28" s="2">
        <v>13</v>
      </c>
      <c r="BI28" s="2">
        <v>31</v>
      </c>
      <c r="BJ28" s="2">
        <v>102</v>
      </c>
      <c r="BK28" s="2">
        <v>274</v>
      </c>
      <c r="BL28" s="2">
        <v>41</v>
      </c>
      <c r="BM28" s="2">
        <v>146</v>
      </c>
      <c r="BN28" s="2">
        <v>162</v>
      </c>
      <c r="BO28" s="2">
        <v>160</v>
      </c>
      <c r="BP28" s="2">
        <v>21</v>
      </c>
      <c r="BQ28" s="2">
        <v>140</v>
      </c>
      <c r="BR28" s="2">
        <v>109</v>
      </c>
      <c r="BS28" s="2">
        <v>93</v>
      </c>
      <c r="BT28" s="2">
        <v>72</v>
      </c>
      <c r="BU28" s="2">
        <v>149</v>
      </c>
      <c r="BV28" s="2">
        <f t="shared" si="5"/>
        <v>1611</v>
      </c>
      <c r="BW28" s="16">
        <f t="shared" si="3"/>
        <v>84.78947368421052</v>
      </c>
      <c r="BX28" s="16">
        <f>COUNTIF($BC$6:BU28, "=0") / COUNTIF($BC$6:BU28, "&gt;-1")</f>
        <v>6.8649885583524023E-3</v>
      </c>
      <c r="BY28" s="18">
        <f>SUM($BC$6:BU28) / $BY$4</f>
        <v>0.31599754773783312</v>
      </c>
      <c r="BZ28" s="14">
        <f t="shared" si="4"/>
        <v>0</v>
      </c>
      <c r="CA28" t="s">
        <v>5831</v>
      </c>
      <c r="CB28" s="36">
        <v>47.254092437554398</v>
      </c>
      <c r="CC28" s="36">
        <v>19.261282413548901</v>
      </c>
      <c r="CD28" s="36">
        <v>25.612762588996102</v>
      </c>
      <c r="CE28" s="36">
        <v>12.0953740732258</v>
      </c>
      <c r="CF28" s="36">
        <v>12.9026453990534</v>
      </c>
      <c r="CG28" s="36">
        <v>12.0864542063134</v>
      </c>
      <c r="CH28" s="36">
        <v>32.675930768803902</v>
      </c>
      <c r="CI28" s="36">
        <v>99.2647269941952</v>
      </c>
      <c r="CJ28" s="37">
        <v>217.763772349118</v>
      </c>
      <c r="CK28" s="37">
        <v>92.074848445689696</v>
      </c>
      <c r="CL28" s="37">
        <v>129.60880441930999</v>
      </c>
      <c r="CM28" s="37">
        <v>135.44752745599101</v>
      </c>
      <c r="CN28" s="37">
        <v>128.63095921411599</v>
      </c>
      <c r="CO28" s="37">
        <v>86.021772171978597</v>
      </c>
      <c r="CP28" s="37">
        <v>140.294224451205</v>
      </c>
      <c r="CQ28" s="37">
        <v>226.872890124718</v>
      </c>
      <c r="CR28" s="45">
        <v>2.13729098908447</v>
      </c>
      <c r="CS28" s="45">
        <v>4.4292564423390202</v>
      </c>
      <c r="CT28" s="46">
        <v>9.8262029588955205E-7</v>
      </c>
      <c r="CU28" s="47">
        <v>4.9057684921649996E-6</v>
      </c>
      <c r="CV28" s="48">
        <v>32.644158610211399</v>
      </c>
      <c r="CW28" s="49">
        <v>144.58934982901599</v>
      </c>
      <c r="CX28" s="31" t="s">
        <v>5874</v>
      </c>
      <c r="CY28" s="31" t="s">
        <v>5876</v>
      </c>
      <c r="CZ28" t="s">
        <v>6606</v>
      </c>
      <c r="DA28" t="s">
        <v>5904</v>
      </c>
      <c r="DB28">
        <v>167.5</v>
      </c>
      <c r="DC28" t="s">
        <v>16138</v>
      </c>
      <c r="DD28" t="s">
        <v>13772</v>
      </c>
      <c r="DE28" t="s">
        <v>16139</v>
      </c>
      <c r="DF28" t="s">
        <v>16140</v>
      </c>
      <c r="DG28" t="s">
        <v>16141</v>
      </c>
      <c r="DH28" t="str">
        <f>"B2M HDCMA22P"</f>
        <v>B2M HDCMA22P</v>
      </c>
      <c r="DI28" t="s">
        <v>13772</v>
      </c>
      <c r="DJ28" t="s">
        <v>13777</v>
      </c>
      <c r="DK28">
        <v>9606</v>
      </c>
      <c r="DL28" s="34" t="str">
        <f>HYPERLINK("http://www.uniprot.org/uniprot/P61769", "P61769")</f>
        <v>P61769</v>
      </c>
      <c r="DM28" t="s">
        <v>16142</v>
      </c>
      <c r="DN28" t="s">
        <v>13791</v>
      </c>
      <c r="DO28" t="s">
        <v>16143</v>
      </c>
      <c r="DP28" t="s">
        <v>13772</v>
      </c>
      <c r="DQ28" t="s">
        <v>13772</v>
      </c>
      <c r="DR28" t="s">
        <v>16144</v>
      </c>
      <c r="DS28" t="s">
        <v>15698</v>
      </c>
      <c r="DT28" t="s">
        <v>13772</v>
      </c>
      <c r="DU28" t="s">
        <v>13772</v>
      </c>
      <c r="DV28" t="s">
        <v>16145</v>
      </c>
      <c r="DW28" t="s">
        <v>13812</v>
      </c>
      <c r="DX28" t="s">
        <v>16146</v>
      </c>
      <c r="DY28" t="s">
        <v>16147</v>
      </c>
      <c r="DZ28" t="s">
        <v>16148</v>
      </c>
      <c r="EA28" t="s">
        <v>13772</v>
      </c>
      <c r="EB28" t="s">
        <v>16149</v>
      </c>
    </row>
    <row r="29" spans="1:132">
      <c r="A29">
        <v>1523</v>
      </c>
      <c r="B29">
        <v>1</v>
      </c>
      <c r="C29" t="s">
        <v>3625</v>
      </c>
      <c r="D29" t="s">
        <v>73</v>
      </c>
      <c r="E29" t="s">
        <v>73</v>
      </c>
      <c r="F29" t="s">
        <v>73</v>
      </c>
      <c r="G29" t="s">
        <v>73</v>
      </c>
      <c r="H29">
        <v>47.6</v>
      </c>
      <c r="I29">
        <v>4401</v>
      </c>
      <c r="J29">
        <v>468762</v>
      </c>
      <c r="K29" t="s">
        <v>3626</v>
      </c>
      <c r="L29">
        <f t="shared" si="2"/>
        <v>1563</v>
      </c>
      <c r="M29" s="3" t="s">
        <v>5823</v>
      </c>
      <c r="N29">
        <v>1563</v>
      </c>
      <c r="O29">
        <v>1563</v>
      </c>
      <c r="P29">
        <v>1</v>
      </c>
      <c r="Q29">
        <v>79</v>
      </c>
      <c r="R29">
        <v>134</v>
      </c>
      <c r="S29">
        <v>108</v>
      </c>
      <c r="T29">
        <v>99</v>
      </c>
      <c r="U29">
        <v>122</v>
      </c>
      <c r="V29">
        <v>145</v>
      </c>
      <c r="W29">
        <v>88</v>
      </c>
      <c r="X29">
        <v>68</v>
      </c>
      <c r="Y29">
        <v>69</v>
      </c>
      <c r="Z29">
        <v>22</v>
      </c>
      <c r="AA29">
        <v>90</v>
      </c>
      <c r="AB29">
        <v>91</v>
      </c>
      <c r="AC29">
        <v>133</v>
      </c>
      <c r="AD29">
        <v>36</v>
      </c>
      <c r="AE29">
        <v>56</v>
      </c>
      <c r="AF29">
        <v>80</v>
      </c>
      <c r="AG29">
        <v>45</v>
      </c>
      <c r="AH29">
        <v>36</v>
      </c>
      <c r="AI29">
        <v>62</v>
      </c>
      <c r="AJ29">
        <v>79</v>
      </c>
      <c r="AK29">
        <v>134</v>
      </c>
      <c r="AL29">
        <v>108</v>
      </c>
      <c r="AM29">
        <v>99</v>
      </c>
      <c r="AN29">
        <v>122</v>
      </c>
      <c r="AO29">
        <v>145</v>
      </c>
      <c r="AP29">
        <v>88</v>
      </c>
      <c r="AQ29">
        <v>68</v>
      </c>
      <c r="AR29">
        <v>69</v>
      </c>
      <c r="AS29">
        <v>22</v>
      </c>
      <c r="AT29">
        <v>90</v>
      </c>
      <c r="AU29">
        <v>91</v>
      </c>
      <c r="AV29">
        <v>133</v>
      </c>
      <c r="AW29">
        <v>36</v>
      </c>
      <c r="AX29">
        <v>56</v>
      </c>
      <c r="AY29">
        <v>80</v>
      </c>
      <c r="AZ29">
        <v>45</v>
      </c>
      <c r="BA29">
        <v>36</v>
      </c>
      <c r="BB29">
        <v>62</v>
      </c>
      <c r="BC29" s="2">
        <v>79</v>
      </c>
      <c r="BD29" s="2">
        <v>134</v>
      </c>
      <c r="BE29" s="2">
        <v>108</v>
      </c>
      <c r="BF29" s="2">
        <v>99</v>
      </c>
      <c r="BG29" s="2">
        <v>122</v>
      </c>
      <c r="BH29" s="2">
        <v>145</v>
      </c>
      <c r="BI29" s="2">
        <v>88</v>
      </c>
      <c r="BJ29" s="2">
        <v>68</v>
      </c>
      <c r="BK29" s="2">
        <v>69</v>
      </c>
      <c r="BL29" s="2">
        <v>22</v>
      </c>
      <c r="BM29" s="2">
        <v>90</v>
      </c>
      <c r="BN29" s="2">
        <v>91</v>
      </c>
      <c r="BO29" s="2">
        <v>133</v>
      </c>
      <c r="BP29" s="2">
        <v>36</v>
      </c>
      <c r="BQ29" s="2">
        <v>56</v>
      </c>
      <c r="BR29" s="2">
        <v>80</v>
      </c>
      <c r="BS29" s="2">
        <v>45</v>
      </c>
      <c r="BT29" s="2">
        <v>36</v>
      </c>
      <c r="BU29" s="2">
        <v>62</v>
      </c>
      <c r="BV29" s="2">
        <f t="shared" si="5"/>
        <v>1563</v>
      </c>
      <c r="BW29" s="16">
        <f t="shared" si="3"/>
        <v>82.263157894736835</v>
      </c>
      <c r="BX29" s="16">
        <f>COUNTIF($BC$6:BU29, "=0") / COUNTIF($BC$6:BU29, "&gt;-1")</f>
        <v>6.5789473684210523E-3</v>
      </c>
      <c r="BY29" s="18">
        <f>SUM($BC$6:BU29) / $BY$4</f>
        <v>0.32269287216361198</v>
      </c>
      <c r="BZ29" s="14">
        <f t="shared" si="4"/>
        <v>0</v>
      </c>
      <c r="CA29" t="s">
        <v>5831</v>
      </c>
      <c r="CB29" s="36">
        <v>95.719828270943594</v>
      </c>
      <c r="CC29" s="36">
        <v>129.050592170778</v>
      </c>
      <c r="CD29" s="36">
        <v>172.88614747572399</v>
      </c>
      <c r="CE29" s="36">
        <v>149.68025415617001</v>
      </c>
      <c r="CF29" s="36">
        <v>104.941515912301</v>
      </c>
      <c r="CG29" s="36">
        <v>134.81045076272599</v>
      </c>
      <c r="CH29" s="36">
        <v>92.757480892088395</v>
      </c>
      <c r="CI29" s="36">
        <v>66.176484662796796</v>
      </c>
      <c r="CJ29" s="37">
        <v>54.838322233902097</v>
      </c>
      <c r="CK29" s="37">
        <v>56.758468219945698</v>
      </c>
      <c r="CL29" s="37">
        <v>72.804945692328204</v>
      </c>
      <c r="CM29" s="37">
        <v>112.590757197792</v>
      </c>
      <c r="CN29" s="37">
        <v>51.452383685646403</v>
      </c>
      <c r="CO29" s="37">
        <v>63.135245630809997</v>
      </c>
      <c r="CP29" s="37">
        <v>67.884302153809003</v>
      </c>
      <c r="CQ29" s="37">
        <v>94.403484481426204</v>
      </c>
      <c r="CR29" s="45">
        <v>-0.71995619235680197</v>
      </c>
      <c r="CS29" s="45">
        <v>-1.6485026240004199</v>
      </c>
      <c r="CT29" s="46">
        <v>9.7413049366180792E-3</v>
      </c>
      <c r="CU29" s="47">
        <v>1.7903662095048099E-2</v>
      </c>
      <c r="CV29" s="48">
        <v>118.252844287941</v>
      </c>
      <c r="CW29" s="49">
        <v>71.733488661957495</v>
      </c>
      <c r="CX29" s="31" t="s">
        <v>5875</v>
      </c>
      <c r="CY29" s="31" t="s">
        <v>5878</v>
      </c>
      <c r="CZ29" t="s">
        <v>10813</v>
      </c>
      <c r="DA29" t="s">
        <v>5904</v>
      </c>
      <c r="DB29">
        <v>8116.5</v>
      </c>
      <c r="DC29" t="s">
        <v>28412</v>
      </c>
      <c r="DD29" t="s">
        <v>28413</v>
      </c>
      <c r="DE29" t="s">
        <v>28414</v>
      </c>
      <c r="DF29" t="s">
        <v>28415</v>
      </c>
      <c r="DG29" t="s">
        <v>28416</v>
      </c>
      <c r="DH29" t="str">
        <f>"HSPG2"</f>
        <v>HSPG2</v>
      </c>
      <c r="DI29" t="s">
        <v>13772</v>
      </c>
      <c r="DJ29" t="s">
        <v>13777</v>
      </c>
      <c r="DK29">
        <v>9606</v>
      </c>
      <c r="DL29" s="34" t="str">
        <f>HYPERLINK("http://www.uniprot.org/uniprot/P98160", "P98160")</f>
        <v>P98160</v>
      </c>
      <c r="DM29" t="s">
        <v>28417</v>
      </c>
      <c r="DN29" t="s">
        <v>22082</v>
      </c>
      <c r="DO29" t="s">
        <v>15002</v>
      </c>
      <c r="DP29" t="s">
        <v>13793</v>
      </c>
      <c r="DQ29" t="s">
        <v>13772</v>
      </c>
      <c r="DR29" t="s">
        <v>13807</v>
      </c>
      <c r="DS29" t="s">
        <v>28418</v>
      </c>
      <c r="DT29" t="s">
        <v>13873</v>
      </c>
      <c r="DU29" t="s">
        <v>13772</v>
      </c>
      <c r="DV29" t="s">
        <v>28419</v>
      </c>
      <c r="DW29" t="s">
        <v>13812</v>
      </c>
      <c r="DX29" t="s">
        <v>28420</v>
      </c>
      <c r="DY29" t="s">
        <v>28421</v>
      </c>
      <c r="DZ29" t="s">
        <v>28422</v>
      </c>
      <c r="EA29" t="s">
        <v>13772</v>
      </c>
      <c r="EB29" t="s">
        <v>28423</v>
      </c>
    </row>
    <row r="30" spans="1:132">
      <c r="A30">
        <v>1445</v>
      </c>
      <c r="B30">
        <v>1</v>
      </c>
      <c r="C30" t="s">
        <v>3442</v>
      </c>
      <c r="D30" t="s">
        <v>73</v>
      </c>
      <c r="E30" t="s">
        <v>73</v>
      </c>
      <c r="F30" t="s">
        <v>73</v>
      </c>
      <c r="G30" t="s">
        <v>73</v>
      </c>
      <c r="H30">
        <v>53.7</v>
      </c>
      <c r="I30">
        <v>1742</v>
      </c>
      <c r="J30">
        <v>191623</v>
      </c>
      <c r="K30" t="s">
        <v>3443</v>
      </c>
      <c r="L30">
        <f t="shared" si="2"/>
        <v>1461</v>
      </c>
      <c r="N30">
        <v>1461</v>
      </c>
      <c r="O30">
        <v>1461</v>
      </c>
      <c r="P30">
        <v>1</v>
      </c>
      <c r="Q30">
        <v>154</v>
      </c>
      <c r="R30">
        <v>26</v>
      </c>
      <c r="S30">
        <v>19</v>
      </c>
      <c r="T30">
        <v>5</v>
      </c>
      <c r="U30">
        <v>6</v>
      </c>
      <c r="V30">
        <v>24</v>
      </c>
      <c r="W30">
        <v>35</v>
      </c>
      <c r="X30">
        <v>54</v>
      </c>
      <c r="Y30">
        <v>73</v>
      </c>
      <c r="Z30">
        <v>132</v>
      </c>
      <c r="AA30">
        <v>110</v>
      </c>
      <c r="AB30">
        <v>95</v>
      </c>
      <c r="AC30">
        <v>132</v>
      </c>
      <c r="AD30">
        <v>178</v>
      </c>
      <c r="AE30">
        <v>66</v>
      </c>
      <c r="AF30">
        <v>53</v>
      </c>
      <c r="AG30">
        <v>103</v>
      </c>
      <c r="AH30">
        <v>71</v>
      </c>
      <c r="AI30">
        <v>125</v>
      </c>
      <c r="AJ30">
        <v>154</v>
      </c>
      <c r="AK30">
        <v>26</v>
      </c>
      <c r="AL30">
        <v>19</v>
      </c>
      <c r="AM30">
        <v>5</v>
      </c>
      <c r="AN30">
        <v>6</v>
      </c>
      <c r="AO30">
        <v>24</v>
      </c>
      <c r="AP30">
        <v>35</v>
      </c>
      <c r="AQ30">
        <v>54</v>
      </c>
      <c r="AR30">
        <v>73</v>
      </c>
      <c r="AS30">
        <v>132</v>
      </c>
      <c r="AT30">
        <v>110</v>
      </c>
      <c r="AU30">
        <v>95</v>
      </c>
      <c r="AV30">
        <v>132</v>
      </c>
      <c r="AW30">
        <v>178</v>
      </c>
      <c r="AX30">
        <v>66</v>
      </c>
      <c r="AY30">
        <v>53</v>
      </c>
      <c r="AZ30">
        <v>103</v>
      </c>
      <c r="BA30">
        <v>71</v>
      </c>
      <c r="BB30">
        <v>125</v>
      </c>
      <c r="BC30" s="2">
        <v>154</v>
      </c>
      <c r="BD30" s="2">
        <v>26</v>
      </c>
      <c r="BE30" s="2">
        <v>19</v>
      </c>
      <c r="BF30" s="2">
        <v>5</v>
      </c>
      <c r="BG30" s="2">
        <v>6</v>
      </c>
      <c r="BH30" s="2">
        <v>24</v>
      </c>
      <c r="BI30" s="2">
        <v>35</v>
      </c>
      <c r="BJ30" s="2">
        <v>54</v>
      </c>
      <c r="BK30" s="2">
        <v>73</v>
      </c>
      <c r="BL30" s="2">
        <v>132</v>
      </c>
      <c r="BM30" s="2">
        <v>110</v>
      </c>
      <c r="BN30" s="2">
        <v>95</v>
      </c>
      <c r="BO30" s="2">
        <v>132</v>
      </c>
      <c r="BP30" s="2">
        <v>178</v>
      </c>
      <c r="BQ30" s="2">
        <v>66</v>
      </c>
      <c r="BR30" s="2">
        <v>53</v>
      </c>
      <c r="BS30" s="2">
        <v>103</v>
      </c>
      <c r="BT30" s="2">
        <v>71</v>
      </c>
      <c r="BU30" s="2">
        <v>125</v>
      </c>
      <c r="BV30" s="2">
        <f t="shared" si="5"/>
        <v>1461</v>
      </c>
      <c r="BW30" s="16">
        <f t="shared" si="3"/>
        <v>76.89473684210526</v>
      </c>
      <c r="BX30" s="16">
        <f>COUNTIF($BC$6:BU30, "=0") / COUNTIF($BC$6:BU30, "&gt;-1")</f>
        <v>6.3157894736842104E-3</v>
      </c>
      <c r="BY30" s="18">
        <f>SUM($BC$6:BU30) / $BY$4</f>
        <v>0.32895126562878341</v>
      </c>
      <c r="BZ30" s="14">
        <f t="shared" si="4"/>
        <v>0</v>
      </c>
      <c r="CA30" t="s">
        <v>5831</v>
      </c>
      <c r="CB30" s="36">
        <v>186.593082958548</v>
      </c>
      <c r="CC30" s="36">
        <v>25.039667137613598</v>
      </c>
      <c r="CD30" s="36">
        <v>30.415155574432902</v>
      </c>
      <c r="CE30" s="36">
        <v>7.5596087957661497</v>
      </c>
      <c r="CF30" s="36">
        <v>5.1610581596213496</v>
      </c>
      <c r="CG30" s="36">
        <v>22.313453919347801</v>
      </c>
      <c r="CH30" s="36">
        <v>36.892179900262398</v>
      </c>
      <c r="CI30" s="36">
        <v>52.551914291044497</v>
      </c>
      <c r="CJ30" s="37">
        <v>58.017355406881897</v>
      </c>
      <c r="CK30" s="37">
        <v>69.371461157711394</v>
      </c>
      <c r="CL30" s="37">
        <v>76.005163085397598</v>
      </c>
      <c r="CM30" s="37">
        <v>111.74421015119199</v>
      </c>
      <c r="CN30" s="37">
        <v>60.640309343797497</v>
      </c>
      <c r="CO30" s="37">
        <v>41.827100230411602</v>
      </c>
      <c r="CP30" s="37">
        <v>155.37962492982999</v>
      </c>
      <c r="CQ30" s="37">
        <v>190.32960580932701</v>
      </c>
      <c r="CR30" s="45">
        <v>1.0537143536300999</v>
      </c>
      <c r="CS30" s="45">
        <v>2.0825659807831798</v>
      </c>
      <c r="CT30" s="46">
        <v>5.69734879059028E-2</v>
      </c>
      <c r="CU30" s="47">
        <v>8.6625598656929495E-2</v>
      </c>
      <c r="CV30" s="48">
        <v>45.815765092079602</v>
      </c>
      <c r="CW30" s="49">
        <v>95.414353764318605</v>
      </c>
      <c r="CX30" s="31" t="s">
        <v>5874</v>
      </c>
      <c r="CY30" s="31" t="s">
        <v>5877</v>
      </c>
      <c r="CZ30" t="s">
        <v>10548</v>
      </c>
      <c r="DA30" t="s">
        <v>5904</v>
      </c>
      <c r="DB30">
        <v>2885.9</v>
      </c>
      <c r="DC30" t="s">
        <v>27662</v>
      </c>
      <c r="DD30" t="s">
        <v>27663</v>
      </c>
      <c r="DE30" t="s">
        <v>27664</v>
      </c>
      <c r="DF30" t="s">
        <v>27665</v>
      </c>
      <c r="DG30" t="s">
        <v>27666</v>
      </c>
      <c r="DH30" t="str">
        <f>"C4B"</f>
        <v>C4B</v>
      </c>
      <c r="DI30" t="s">
        <v>27667</v>
      </c>
      <c r="DJ30" t="s">
        <v>13777</v>
      </c>
      <c r="DK30">
        <v>9606</v>
      </c>
      <c r="DL30" s="34" t="str">
        <f>HYPERLINK("http://www.uniprot.org/uniprot/P0C0L5", "P0C0L5")</f>
        <v>P0C0L5</v>
      </c>
      <c r="DM30" t="s">
        <v>27668</v>
      </c>
      <c r="DN30" t="s">
        <v>27669</v>
      </c>
      <c r="DO30" t="s">
        <v>27670</v>
      </c>
      <c r="DP30" t="s">
        <v>13793</v>
      </c>
      <c r="DQ30" t="s">
        <v>13772</v>
      </c>
      <c r="DR30" t="s">
        <v>27671</v>
      </c>
      <c r="DS30" t="s">
        <v>13808</v>
      </c>
      <c r="DT30" t="s">
        <v>13772</v>
      </c>
      <c r="DU30" t="s">
        <v>16993</v>
      </c>
      <c r="DV30" t="s">
        <v>27672</v>
      </c>
      <c r="DW30" t="s">
        <v>13812</v>
      </c>
      <c r="DX30" t="s">
        <v>27673</v>
      </c>
      <c r="DY30" t="s">
        <v>27674</v>
      </c>
      <c r="DZ30" t="s">
        <v>27675</v>
      </c>
      <c r="EA30" t="s">
        <v>13772</v>
      </c>
      <c r="EB30" t="s">
        <v>27676</v>
      </c>
    </row>
    <row r="31" spans="1:132">
      <c r="A31">
        <v>865</v>
      </c>
      <c r="B31">
        <v>1</v>
      </c>
      <c r="C31" t="s">
        <v>2114</v>
      </c>
      <c r="D31" t="s">
        <v>2115</v>
      </c>
      <c r="E31" t="s">
        <v>73</v>
      </c>
      <c r="F31" t="s">
        <v>73</v>
      </c>
      <c r="G31" t="s">
        <v>73</v>
      </c>
      <c r="H31">
        <v>60.1</v>
      </c>
      <c r="I31">
        <v>1094</v>
      </c>
      <c r="J31">
        <v>125348</v>
      </c>
      <c r="K31" t="s">
        <v>2116</v>
      </c>
      <c r="L31">
        <f t="shared" si="2"/>
        <v>1446</v>
      </c>
      <c r="N31">
        <v>1446</v>
      </c>
      <c r="O31">
        <v>1446</v>
      </c>
      <c r="P31">
        <v>1</v>
      </c>
      <c r="Q31">
        <v>114</v>
      </c>
      <c r="R31">
        <v>35</v>
      </c>
      <c r="S31">
        <v>15</v>
      </c>
      <c r="T31">
        <v>6</v>
      </c>
      <c r="U31">
        <v>11</v>
      </c>
      <c r="V31">
        <v>11</v>
      </c>
      <c r="W31">
        <v>97</v>
      </c>
      <c r="X31">
        <v>56</v>
      </c>
      <c r="Y31">
        <v>25</v>
      </c>
      <c r="Z31">
        <v>175</v>
      </c>
      <c r="AA31">
        <v>54</v>
      </c>
      <c r="AB31">
        <v>35</v>
      </c>
      <c r="AC31">
        <v>133</v>
      </c>
      <c r="AD31">
        <v>160</v>
      </c>
      <c r="AE31">
        <v>74</v>
      </c>
      <c r="AF31">
        <v>57</v>
      </c>
      <c r="AG31">
        <v>155</v>
      </c>
      <c r="AH31">
        <v>84</v>
      </c>
      <c r="AI31">
        <v>149</v>
      </c>
      <c r="AJ31">
        <v>114</v>
      </c>
      <c r="AK31">
        <v>35</v>
      </c>
      <c r="AL31">
        <v>15</v>
      </c>
      <c r="AM31">
        <v>6</v>
      </c>
      <c r="AN31">
        <v>11</v>
      </c>
      <c r="AO31">
        <v>11</v>
      </c>
      <c r="AP31">
        <v>97</v>
      </c>
      <c r="AQ31">
        <v>56</v>
      </c>
      <c r="AR31">
        <v>25</v>
      </c>
      <c r="AS31">
        <v>175</v>
      </c>
      <c r="AT31">
        <v>54</v>
      </c>
      <c r="AU31">
        <v>35</v>
      </c>
      <c r="AV31">
        <v>133</v>
      </c>
      <c r="AW31">
        <v>160</v>
      </c>
      <c r="AX31">
        <v>74</v>
      </c>
      <c r="AY31">
        <v>57</v>
      </c>
      <c r="AZ31">
        <v>155</v>
      </c>
      <c r="BA31">
        <v>84</v>
      </c>
      <c r="BB31">
        <v>149</v>
      </c>
      <c r="BC31" s="2">
        <v>114</v>
      </c>
      <c r="BD31" s="2">
        <v>35</v>
      </c>
      <c r="BE31" s="2">
        <v>15</v>
      </c>
      <c r="BF31" s="2">
        <v>6</v>
      </c>
      <c r="BG31" s="2">
        <v>11</v>
      </c>
      <c r="BH31" s="2">
        <v>11</v>
      </c>
      <c r="BI31" s="2">
        <v>97</v>
      </c>
      <c r="BJ31" s="2">
        <v>56</v>
      </c>
      <c r="BK31" s="2">
        <v>25</v>
      </c>
      <c r="BL31" s="2">
        <v>175</v>
      </c>
      <c r="BM31" s="2">
        <v>54</v>
      </c>
      <c r="BN31" s="2">
        <v>35</v>
      </c>
      <c r="BO31" s="2">
        <v>133</v>
      </c>
      <c r="BP31" s="2">
        <v>160</v>
      </c>
      <c r="BQ31" s="2">
        <v>74</v>
      </c>
      <c r="BR31" s="2">
        <v>57</v>
      </c>
      <c r="BS31" s="2">
        <v>155</v>
      </c>
      <c r="BT31" s="2">
        <v>84</v>
      </c>
      <c r="BU31" s="2">
        <v>149</v>
      </c>
      <c r="BV31" s="2">
        <f t="shared" si="5"/>
        <v>1446</v>
      </c>
      <c r="BW31" s="16">
        <f t="shared" si="3"/>
        <v>76.10526315789474</v>
      </c>
      <c r="BX31" s="16">
        <f>COUNTIF($BC$6:BU31, "=0") / COUNTIF($BC$6:BU31, "&gt;-1")</f>
        <v>6.0728744939271256E-3</v>
      </c>
      <c r="BY31" s="18">
        <f>SUM($BC$6:BU31) / $BY$4</f>
        <v>0.33514540454092434</v>
      </c>
      <c r="BZ31" s="14">
        <f t="shared" si="4"/>
        <v>0</v>
      </c>
      <c r="CA31" t="s">
        <v>5831</v>
      </c>
      <c r="CB31" s="36">
        <v>138.12734712515899</v>
      </c>
      <c r="CC31" s="36">
        <v>33.707244223710603</v>
      </c>
      <c r="CD31" s="36">
        <v>24.0119649271839</v>
      </c>
      <c r="CE31" s="36">
        <v>9.0715305549193808</v>
      </c>
      <c r="CF31" s="36">
        <v>9.4619399593058091</v>
      </c>
      <c r="CG31" s="36">
        <v>10.226999713034401</v>
      </c>
      <c r="CH31" s="36">
        <v>102.24404143787</v>
      </c>
      <c r="CI31" s="36">
        <v>54.498281487009102</v>
      </c>
      <c r="CJ31" s="37">
        <v>19.868957331123902</v>
      </c>
      <c r="CK31" s="37">
        <v>34.055080931967403</v>
      </c>
      <c r="CL31" s="37">
        <v>28.001902189357001</v>
      </c>
      <c r="CM31" s="37">
        <v>112.590757197792</v>
      </c>
      <c r="CN31" s="37">
        <v>67.990649870318407</v>
      </c>
      <c r="CO31" s="37">
        <v>44.983862511952097</v>
      </c>
      <c r="CP31" s="37">
        <v>233.82370741867601</v>
      </c>
      <c r="CQ31" s="37">
        <v>226.872890124718</v>
      </c>
      <c r="CR31" s="45">
        <v>1.00247888753412</v>
      </c>
      <c r="CS31" s="45">
        <v>2.0143939113250098</v>
      </c>
      <c r="CT31" s="46">
        <v>0.103432465466111</v>
      </c>
      <c r="CU31" s="47">
        <v>0.14660237160344899</v>
      </c>
      <c r="CV31" s="48">
        <v>47.668668678524099</v>
      </c>
      <c r="CW31" s="49">
        <v>96.0234759469881</v>
      </c>
      <c r="CX31" s="31" t="s">
        <v>5874</v>
      </c>
      <c r="CY31" s="31" t="s">
        <v>5832</v>
      </c>
      <c r="CZ31" t="s">
        <v>7971</v>
      </c>
      <c r="DA31" t="s">
        <v>5904</v>
      </c>
      <c r="DB31">
        <v>1975.3</v>
      </c>
      <c r="DC31" t="s">
        <v>20294</v>
      </c>
      <c r="DD31" t="s">
        <v>20295</v>
      </c>
      <c r="DE31" t="s">
        <v>20296</v>
      </c>
      <c r="DF31" t="s">
        <v>20297</v>
      </c>
      <c r="DG31" t="s">
        <v>20298</v>
      </c>
      <c r="DH31" t="str">
        <f>"CP"</f>
        <v>CP</v>
      </c>
      <c r="DI31" t="s">
        <v>13772</v>
      </c>
      <c r="DJ31" t="s">
        <v>13777</v>
      </c>
      <c r="DK31">
        <v>9606</v>
      </c>
      <c r="DL31" s="34" t="str">
        <f>HYPERLINK("http://www.uniprot.org/uniprot/P00450", "P00450")</f>
        <v>P00450</v>
      </c>
      <c r="DM31" t="s">
        <v>20299</v>
      </c>
      <c r="DN31" t="s">
        <v>20300</v>
      </c>
      <c r="DO31" t="s">
        <v>14321</v>
      </c>
      <c r="DP31" t="s">
        <v>13793</v>
      </c>
      <c r="DQ31" t="s">
        <v>13772</v>
      </c>
      <c r="DR31" t="s">
        <v>13772</v>
      </c>
      <c r="DS31" t="s">
        <v>14404</v>
      </c>
      <c r="DT31" t="s">
        <v>15982</v>
      </c>
      <c r="DU31" t="s">
        <v>13885</v>
      </c>
      <c r="DV31" t="s">
        <v>13964</v>
      </c>
      <c r="DW31" t="s">
        <v>13812</v>
      </c>
      <c r="DX31" t="s">
        <v>20301</v>
      </c>
      <c r="DY31" t="s">
        <v>20302</v>
      </c>
      <c r="DZ31" t="s">
        <v>20303</v>
      </c>
      <c r="EA31" t="s">
        <v>13772</v>
      </c>
      <c r="EB31" t="s">
        <v>20304</v>
      </c>
    </row>
    <row r="32" spans="1:132">
      <c r="A32">
        <v>895</v>
      </c>
      <c r="B32">
        <v>1</v>
      </c>
      <c r="C32" t="s">
        <v>2187</v>
      </c>
      <c r="D32" t="s">
        <v>73</v>
      </c>
      <c r="E32" t="s">
        <v>73</v>
      </c>
      <c r="F32" t="s">
        <v>2188</v>
      </c>
      <c r="G32" t="s">
        <v>73</v>
      </c>
      <c r="H32">
        <v>80.599999999999994</v>
      </c>
      <c r="I32">
        <v>708</v>
      </c>
      <c r="J32">
        <v>77725</v>
      </c>
      <c r="K32" t="s">
        <v>2189</v>
      </c>
      <c r="L32">
        <f t="shared" si="2"/>
        <v>1390</v>
      </c>
      <c r="N32">
        <v>1390</v>
      </c>
      <c r="O32">
        <v>1389</v>
      </c>
      <c r="P32">
        <v>0.999</v>
      </c>
      <c r="Q32">
        <v>36</v>
      </c>
      <c r="R32">
        <v>87</v>
      </c>
      <c r="S32">
        <v>51</v>
      </c>
      <c r="T32">
        <v>66</v>
      </c>
      <c r="U32">
        <v>69</v>
      </c>
      <c r="V32">
        <v>59</v>
      </c>
      <c r="W32">
        <v>52</v>
      </c>
      <c r="X32">
        <v>35</v>
      </c>
      <c r="Y32">
        <v>91</v>
      </c>
      <c r="Z32">
        <v>51</v>
      </c>
      <c r="AA32">
        <v>93</v>
      </c>
      <c r="AB32">
        <v>95</v>
      </c>
      <c r="AC32">
        <v>120</v>
      </c>
      <c r="AD32">
        <v>97</v>
      </c>
      <c r="AE32">
        <v>59</v>
      </c>
      <c r="AF32">
        <v>93</v>
      </c>
      <c r="AG32">
        <v>71</v>
      </c>
      <c r="AH32">
        <v>52</v>
      </c>
      <c r="AI32">
        <v>113</v>
      </c>
      <c r="AJ32">
        <v>36</v>
      </c>
      <c r="AK32">
        <v>87</v>
      </c>
      <c r="AL32">
        <v>51</v>
      </c>
      <c r="AM32">
        <v>66</v>
      </c>
      <c r="AN32">
        <v>69</v>
      </c>
      <c r="AO32">
        <v>59</v>
      </c>
      <c r="AP32">
        <v>52</v>
      </c>
      <c r="AQ32">
        <v>35</v>
      </c>
      <c r="AR32">
        <v>91</v>
      </c>
      <c r="AS32">
        <v>51</v>
      </c>
      <c r="AT32">
        <v>93</v>
      </c>
      <c r="AU32">
        <v>95</v>
      </c>
      <c r="AV32">
        <v>120</v>
      </c>
      <c r="AW32">
        <v>97</v>
      </c>
      <c r="AX32">
        <v>58</v>
      </c>
      <c r="AY32">
        <v>93</v>
      </c>
      <c r="AZ32">
        <v>71</v>
      </c>
      <c r="BA32">
        <v>52</v>
      </c>
      <c r="BB32">
        <v>113</v>
      </c>
      <c r="BC32" s="2">
        <v>36</v>
      </c>
      <c r="BD32" s="2">
        <v>87</v>
      </c>
      <c r="BE32" s="2">
        <v>51</v>
      </c>
      <c r="BF32" s="2">
        <v>66</v>
      </c>
      <c r="BG32" s="2">
        <v>69</v>
      </c>
      <c r="BH32" s="2">
        <v>59</v>
      </c>
      <c r="BI32" s="2">
        <v>52</v>
      </c>
      <c r="BJ32" s="2">
        <v>35</v>
      </c>
      <c r="BK32" s="2">
        <v>91</v>
      </c>
      <c r="BL32" s="2">
        <v>51</v>
      </c>
      <c r="BM32" s="2">
        <v>93</v>
      </c>
      <c r="BN32" s="2">
        <v>95</v>
      </c>
      <c r="BO32" s="2">
        <v>120</v>
      </c>
      <c r="BP32" s="2">
        <v>97</v>
      </c>
      <c r="BQ32" s="2">
        <v>58.201000000000001</v>
      </c>
      <c r="BR32" s="2">
        <v>93</v>
      </c>
      <c r="BS32" s="2">
        <v>71</v>
      </c>
      <c r="BT32" s="2">
        <v>52</v>
      </c>
      <c r="BU32" s="2">
        <v>113</v>
      </c>
      <c r="BV32" s="2">
        <f t="shared" si="5"/>
        <v>1389.201</v>
      </c>
      <c r="BW32" s="16">
        <f t="shared" si="3"/>
        <v>73.115842105263155</v>
      </c>
      <c r="BX32" s="16">
        <f>COUNTIF($BC$6:BU32, "=0") / COUNTIF($BC$6:BU32, "&gt;-1")</f>
        <v>5.8479532163742687E-3</v>
      </c>
      <c r="BY32" s="18">
        <f>SUM($BC$6:BU32) / $BY$4</f>
        <v>0.34109623716255993</v>
      </c>
      <c r="BZ32" s="14">
        <f t="shared" si="4"/>
        <v>0</v>
      </c>
      <c r="CA32" t="s">
        <v>5831</v>
      </c>
      <c r="CB32" s="36">
        <v>43.619162250050302</v>
      </c>
      <c r="CC32" s="36">
        <v>83.786578498937899</v>
      </c>
      <c r="CD32" s="36">
        <v>81.640680752425098</v>
      </c>
      <c r="CE32" s="36">
        <v>99.786836104113206</v>
      </c>
      <c r="CF32" s="36">
        <v>59.3521688356456</v>
      </c>
      <c r="CG32" s="36">
        <v>54.853907551730003</v>
      </c>
      <c r="CH32" s="36">
        <v>54.811238708961298</v>
      </c>
      <c r="CI32" s="36">
        <v>34.061425929380697</v>
      </c>
      <c r="CJ32" s="37">
        <v>72.323004685291096</v>
      </c>
      <c r="CK32" s="37">
        <v>58.650417160610601</v>
      </c>
      <c r="CL32" s="37">
        <v>76.005163085397598</v>
      </c>
      <c r="CM32" s="37">
        <v>101.585645591993</v>
      </c>
      <c r="CN32" s="37">
        <v>53.473727330439601</v>
      </c>
      <c r="CO32" s="37">
        <v>73.394723045816605</v>
      </c>
      <c r="CP32" s="37">
        <v>107.106343398232</v>
      </c>
      <c r="CQ32" s="37">
        <v>172.05796365163201</v>
      </c>
      <c r="CR32" s="45">
        <v>0.47722508155638599</v>
      </c>
      <c r="CS32" s="45">
        <v>1.39593717252205</v>
      </c>
      <c r="CT32" s="46">
        <v>0.130216895976729</v>
      </c>
      <c r="CU32" s="47">
        <v>0.17924918396796599</v>
      </c>
      <c r="CV32" s="48">
        <v>63.988999828905499</v>
      </c>
      <c r="CW32" s="49">
        <v>89.324623493676498</v>
      </c>
      <c r="CX32" s="31" t="s">
        <v>5874</v>
      </c>
      <c r="CY32" s="31" t="s">
        <v>5832</v>
      </c>
      <c r="CZ32" t="s">
        <v>8764</v>
      </c>
      <c r="DA32" t="s">
        <v>5904</v>
      </c>
      <c r="DB32">
        <v>1069.3</v>
      </c>
      <c r="DC32" t="s">
        <v>22613</v>
      </c>
      <c r="DD32" t="s">
        <v>22614</v>
      </c>
      <c r="DE32" t="s">
        <v>22615</v>
      </c>
      <c r="DF32" t="s">
        <v>22616</v>
      </c>
      <c r="DG32" t="s">
        <v>22617</v>
      </c>
      <c r="DH32" t="str">
        <f>"LTF"</f>
        <v>LTF</v>
      </c>
      <c r="DI32" t="s">
        <v>22618</v>
      </c>
      <c r="DJ32" t="s">
        <v>13777</v>
      </c>
      <c r="DK32">
        <v>9606</v>
      </c>
      <c r="DL32" s="34" t="str">
        <f>HYPERLINK("http://www.uniprot.org/uniprot/P02788", "P02788")</f>
        <v>P02788</v>
      </c>
      <c r="DM32" t="s">
        <v>22619</v>
      </c>
      <c r="DN32" t="s">
        <v>22620</v>
      </c>
      <c r="DO32" t="s">
        <v>14276</v>
      </c>
      <c r="DP32" t="s">
        <v>22621</v>
      </c>
      <c r="DQ32" t="s">
        <v>13772</v>
      </c>
      <c r="DR32" t="s">
        <v>13772</v>
      </c>
      <c r="DS32" t="s">
        <v>14404</v>
      </c>
      <c r="DT32" t="s">
        <v>17802</v>
      </c>
      <c r="DU32" t="s">
        <v>22622</v>
      </c>
      <c r="DV32" t="s">
        <v>22623</v>
      </c>
      <c r="DW32" t="s">
        <v>13812</v>
      </c>
      <c r="DX32" t="s">
        <v>22624</v>
      </c>
      <c r="DY32" t="s">
        <v>22625</v>
      </c>
      <c r="DZ32" t="s">
        <v>22626</v>
      </c>
      <c r="EA32" t="s">
        <v>13772</v>
      </c>
      <c r="EB32" t="s">
        <v>22627</v>
      </c>
    </row>
    <row r="33" spans="1:132">
      <c r="A33">
        <v>333</v>
      </c>
      <c r="B33">
        <v>1</v>
      </c>
      <c r="C33" t="s">
        <v>837</v>
      </c>
      <c r="D33" t="s">
        <v>73</v>
      </c>
      <c r="E33" t="s">
        <v>73</v>
      </c>
      <c r="F33" t="s">
        <v>73</v>
      </c>
      <c r="G33" t="s">
        <v>73</v>
      </c>
      <c r="H33">
        <v>87.1</v>
      </c>
      <c r="I33">
        <v>255</v>
      </c>
      <c r="J33">
        <v>27533</v>
      </c>
      <c r="K33" t="s">
        <v>838</v>
      </c>
      <c r="L33">
        <f t="shared" si="2"/>
        <v>1344</v>
      </c>
      <c r="N33">
        <v>1344</v>
      </c>
      <c r="O33">
        <v>1344</v>
      </c>
      <c r="P33">
        <v>1</v>
      </c>
      <c r="Q33">
        <v>17</v>
      </c>
      <c r="R33">
        <v>25</v>
      </c>
      <c r="S33">
        <v>17</v>
      </c>
      <c r="T33">
        <v>26</v>
      </c>
      <c r="U33">
        <v>17</v>
      </c>
      <c r="V33">
        <v>17</v>
      </c>
      <c r="W33">
        <v>35</v>
      </c>
      <c r="X33">
        <v>9</v>
      </c>
      <c r="Y33">
        <v>111</v>
      </c>
      <c r="Z33">
        <v>34</v>
      </c>
      <c r="AA33">
        <v>572</v>
      </c>
      <c r="AB33">
        <v>17</v>
      </c>
      <c r="AC33">
        <v>48</v>
      </c>
      <c r="AD33">
        <v>45</v>
      </c>
      <c r="AE33">
        <v>215</v>
      </c>
      <c r="AF33">
        <v>80</v>
      </c>
      <c r="AG33">
        <v>20</v>
      </c>
      <c r="AH33">
        <v>7</v>
      </c>
      <c r="AI33">
        <v>32</v>
      </c>
      <c r="AJ33">
        <v>17</v>
      </c>
      <c r="AK33">
        <v>25</v>
      </c>
      <c r="AL33">
        <v>17</v>
      </c>
      <c r="AM33">
        <v>26</v>
      </c>
      <c r="AN33">
        <v>17</v>
      </c>
      <c r="AO33">
        <v>17</v>
      </c>
      <c r="AP33">
        <v>35</v>
      </c>
      <c r="AQ33">
        <v>9</v>
      </c>
      <c r="AR33">
        <v>111</v>
      </c>
      <c r="AS33">
        <v>34</v>
      </c>
      <c r="AT33">
        <v>572</v>
      </c>
      <c r="AU33">
        <v>17</v>
      </c>
      <c r="AV33">
        <v>48</v>
      </c>
      <c r="AW33">
        <v>45</v>
      </c>
      <c r="AX33">
        <v>215</v>
      </c>
      <c r="AY33">
        <v>80</v>
      </c>
      <c r="AZ33">
        <v>20</v>
      </c>
      <c r="BA33">
        <v>7</v>
      </c>
      <c r="BB33">
        <v>32</v>
      </c>
      <c r="BC33" s="2">
        <v>17</v>
      </c>
      <c r="BD33" s="2">
        <v>25</v>
      </c>
      <c r="BE33" s="2">
        <v>17</v>
      </c>
      <c r="BF33" s="2">
        <v>26</v>
      </c>
      <c r="BG33" s="2">
        <v>17</v>
      </c>
      <c r="BH33" s="2">
        <v>17</v>
      </c>
      <c r="BI33" s="2">
        <v>35</v>
      </c>
      <c r="BJ33" s="2">
        <v>9</v>
      </c>
      <c r="BK33" s="2">
        <v>111</v>
      </c>
      <c r="BL33" s="2">
        <v>34</v>
      </c>
      <c r="BM33" s="2">
        <v>572</v>
      </c>
      <c r="BN33" s="2">
        <v>17</v>
      </c>
      <c r="BO33" s="2">
        <v>48</v>
      </c>
      <c r="BP33" s="2">
        <v>45</v>
      </c>
      <c r="BQ33" s="2">
        <v>215</v>
      </c>
      <c r="BR33" s="2">
        <v>80</v>
      </c>
      <c r="BS33" s="2">
        <v>20</v>
      </c>
      <c r="BT33" s="2">
        <v>7</v>
      </c>
      <c r="BU33" s="2">
        <v>32</v>
      </c>
      <c r="BV33" s="2">
        <f t="shared" si="5"/>
        <v>1344</v>
      </c>
      <c r="BW33" s="16">
        <f t="shared" si="3"/>
        <v>70.736842105263165</v>
      </c>
      <c r="BX33" s="16">
        <f>COUNTIF($BC$6:BU33, "=0") / COUNTIF($BC$6:BU33, "&gt;-1")</f>
        <v>5.6390977443609019E-3</v>
      </c>
      <c r="BY33" s="18">
        <f>SUM($BC$6:BU33) / $BY$4</f>
        <v>0.34685344511409344</v>
      </c>
      <c r="BZ33" s="14">
        <f t="shared" si="4"/>
        <v>0</v>
      </c>
      <c r="CA33" t="s">
        <v>5831</v>
      </c>
      <c r="CB33" s="36">
        <v>20.597937729190399</v>
      </c>
      <c r="CC33" s="36">
        <v>24.0766030169362</v>
      </c>
      <c r="CD33" s="36">
        <v>27.213560250808399</v>
      </c>
      <c r="CE33" s="36">
        <v>39.309965737984001</v>
      </c>
      <c r="CF33" s="36">
        <v>14.6229981189272</v>
      </c>
      <c r="CG33" s="36">
        <v>15.805363192871299</v>
      </c>
      <c r="CH33" s="36">
        <v>36.892179900262398</v>
      </c>
      <c r="CI33" s="36">
        <v>8.7586523818407507</v>
      </c>
      <c r="CJ33" s="37">
        <v>88.218170550190294</v>
      </c>
      <c r="CK33" s="37">
        <v>360.731598020099</v>
      </c>
      <c r="CL33" s="37">
        <v>13.600923920544799</v>
      </c>
      <c r="CM33" s="37">
        <v>40.634258236797201</v>
      </c>
      <c r="CN33" s="37">
        <v>197.54040165025</v>
      </c>
      <c r="CO33" s="37">
        <v>63.135245630809997</v>
      </c>
      <c r="CP33" s="37">
        <v>30.170800957248499</v>
      </c>
      <c r="CQ33" s="37">
        <v>48.7243790871877</v>
      </c>
      <c r="CR33" s="45">
        <v>2.1753702572917701</v>
      </c>
      <c r="CS33" s="45">
        <v>4.5000432864802704</v>
      </c>
      <c r="CT33" s="46">
        <v>9.7124368609368805E-5</v>
      </c>
      <c r="CU33" s="47">
        <v>2.73009254620452E-4</v>
      </c>
      <c r="CV33" s="48">
        <v>23.4096575411026</v>
      </c>
      <c r="CW33" s="49">
        <v>105.344472256641</v>
      </c>
      <c r="CX33" s="31" t="s">
        <v>5874</v>
      </c>
      <c r="CY33" s="31" t="s">
        <v>5876</v>
      </c>
      <c r="CZ33" t="s">
        <v>6854</v>
      </c>
      <c r="DA33" t="s">
        <v>5904</v>
      </c>
      <c r="DB33">
        <v>300.8</v>
      </c>
      <c r="DC33" t="s">
        <v>16889</v>
      </c>
      <c r="DD33" t="s">
        <v>16890</v>
      </c>
      <c r="DE33" t="s">
        <v>16891</v>
      </c>
      <c r="DF33" t="s">
        <v>16892</v>
      </c>
      <c r="DG33" t="s">
        <v>16893</v>
      </c>
      <c r="DH33" t="str">
        <f>"IGFBP1"</f>
        <v>IGFBP1</v>
      </c>
      <c r="DI33" t="s">
        <v>16894</v>
      </c>
      <c r="DJ33" t="s">
        <v>13777</v>
      </c>
      <c r="DK33">
        <v>9606</v>
      </c>
      <c r="DL33" s="34" t="str">
        <f>HYPERLINK("http://www.uniprot.org/uniprot/P08833", "P08833")</f>
        <v>P08833</v>
      </c>
      <c r="DM33" t="s">
        <v>16895</v>
      </c>
      <c r="DN33" t="s">
        <v>13772</v>
      </c>
      <c r="DO33" t="s">
        <v>14321</v>
      </c>
      <c r="DP33" t="s">
        <v>13793</v>
      </c>
      <c r="DQ33" t="s">
        <v>13772</v>
      </c>
      <c r="DR33" t="s">
        <v>13772</v>
      </c>
      <c r="DS33" t="s">
        <v>13808</v>
      </c>
      <c r="DT33" t="s">
        <v>13772</v>
      </c>
      <c r="DU33" t="s">
        <v>16896</v>
      </c>
      <c r="DV33" t="s">
        <v>15554</v>
      </c>
      <c r="DW33" t="s">
        <v>13812</v>
      </c>
      <c r="DX33" t="s">
        <v>16897</v>
      </c>
      <c r="DY33" t="s">
        <v>16898</v>
      </c>
      <c r="DZ33" t="s">
        <v>16899</v>
      </c>
      <c r="EA33" t="s">
        <v>13772</v>
      </c>
      <c r="EB33" t="s">
        <v>16900</v>
      </c>
    </row>
    <row r="34" spans="1:132">
      <c r="A34">
        <v>2444</v>
      </c>
      <c r="B34">
        <v>1</v>
      </c>
      <c r="C34" t="s">
        <v>5736</v>
      </c>
      <c r="D34" t="s">
        <v>73</v>
      </c>
      <c r="E34" t="s">
        <v>5737</v>
      </c>
      <c r="F34" t="s">
        <v>73</v>
      </c>
      <c r="G34" t="s">
        <v>73</v>
      </c>
      <c r="H34">
        <v>50.7</v>
      </c>
      <c r="I34">
        <v>2387</v>
      </c>
      <c r="J34">
        <v>262651</v>
      </c>
      <c r="K34" t="s">
        <v>5738</v>
      </c>
      <c r="L34">
        <f t="shared" si="2"/>
        <v>1318</v>
      </c>
      <c r="M34" s="3">
        <v>16</v>
      </c>
      <c r="N34">
        <v>1318</v>
      </c>
      <c r="O34">
        <v>1318</v>
      </c>
      <c r="P34">
        <v>1</v>
      </c>
      <c r="Q34">
        <v>56</v>
      </c>
      <c r="R34">
        <v>56</v>
      </c>
      <c r="S34">
        <v>64</v>
      </c>
      <c r="T34">
        <v>68</v>
      </c>
      <c r="U34">
        <v>54</v>
      </c>
      <c r="V34">
        <v>89</v>
      </c>
      <c r="W34">
        <v>58</v>
      </c>
      <c r="X34">
        <v>31</v>
      </c>
      <c r="Y34">
        <v>67</v>
      </c>
      <c r="Z34">
        <v>128</v>
      </c>
      <c r="AA34">
        <v>81</v>
      </c>
      <c r="AB34">
        <v>71</v>
      </c>
      <c r="AC34">
        <v>83</v>
      </c>
      <c r="AD34">
        <v>118</v>
      </c>
      <c r="AE34">
        <v>56</v>
      </c>
      <c r="AF34">
        <v>79</v>
      </c>
      <c r="AG34">
        <v>47</v>
      </c>
      <c r="AH34">
        <v>42</v>
      </c>
      <c r="AI34">
        <v>70</v>
      </c>
      <c r="AJ34">
        <v>56</v>
      </c>
      <c r="AK34">
        <v>56</v>
      </c>
      <c r="AL34">
        <v>64</v>
      </c>
      <c r="AM34">
        <v>68</v>
      </c>
      <c r="AN34">
        <v>54</v>
      </c>
      <c r="AO34">
        <v>89</v>
      </c>
      <c r="AP34">
        <v>58</v>
      </c>
      <c r="AQ34">
        <v>31</v>
      </c>
      <c r="AR34">
        <v>67</v>
      </c>
      <c r="AS34">
        <v>128</v>
      </c>
      <c r="AT34">
        <v>81</v>
      </c>
      <c r="AU34">
        <v>71</v>
      </c>
      <c r="AV34">
        <v>83</v>
      </c>
      <c r="AW34">
        <v>118</v>
      </c>
      <c r="AX34">
        <v>56</v>
      </c>
      <c r="AY34">
        <v>79</v>
      </c>
      <c r="AZ34">
        <v>47</v>
      </c>
      <c r="BA34">
        <v>42</v>
      </c>
      <c r="BB34">
        <v>70</v>
      </c>
      <c r="BC34" s="2">
        <v>56</v>
      </c>
      <c r="BD34" s="2">
        <v>56</v>
      </c>
      <c r="BE34" s="2">
        <v>64</v>
      </c>
      <c r="BF34" s="2">
        <v>68</v>
      </c>
      <c r="BG34" s="2">
        <v>54</v>
      </c>
      <c r="BH34" s="2">
        <v>89</v>
      </c>
      <c r="BI34" s="2">
        <v>58</v>
      </c>
      <c r="BJ34" s="2">
        <v>31</v>
      </c>
      <c r="BK34" s="2">
        <v>67</v>
      </c>
      <c r="BL34" s="2">
        <v>128</v>
      </c>
      <c r="BM34" s="2">
        <v>81</v>
      </c>
      <c r="BN34" s="2">
        <v>71</v>
      </c>
      <c r="BO34" s="2">
        <v>83</v>
      </c>
      <c r="BP34" s="2">
        <v>118</v>
      </c>
      <c r="BQ34" s="2">
        <v>56</v>
      </c>
      <c r="BR34" s="2">
        <v>79</v>
      </c>
      <c r="BS34" s="2">
        <v>47</v>
      </c>
      <c r="BT34" s="2">
        <v>42</v>
      </c>
      <c r="BU34" s="2">
        <v>70</v>
      </c>
      <c r="BV34" s="2">
        <f t="shared" si="5"/>
        <v>1318</v>
      </c>
      <c r="BW34" s="16">
        <f t="shared" si="3"/>
        <v>69.368421052631575</v>
      </c>
      <c r="BX34" s="16">
        <f>COUNTIF($BC$6:BU34, "=0") / COUNTIF($BC$6:BU34, "&gt;-1")</f>
        <v>5.4446460980036296E-3</v>
      </c>
      <c r="BY34" s="18">
        <f>SUM($BC$6:BU34) / $BY$4</f>
        <v>0.35249927850704066</v>
      </c>
      <c r="BZ34" s="14">
        <f t="shared" si="4"/>
        <v>0</v>
      </c>
      <c r="CA34" t="s">
        <v>5831</v>
      </c>
      <c r="CB34" s="36">
        <v>67.852030166744797</v>
      </c>
      <c r="CC34" s="36">
        <v>53.931590757937002</v>
      </c>
      <c r="CD34" s="36">
        <v>102.45105035598399</v>
      </c>
      <c r="CE34" s="36">
        <v>102.81067962242</v>
      </c>
      <c r="CF34" s="36">
        <v>46.449523436592202</v>
      </c>
      <c r="CG34" s="36">
        <v>82.745724950914706</v>
      </c>
      <c r="CH34" s="36">
        <v>61.1356124061492</v>
      </c>
      <c r="CI34" s="36">
        <v>30.168691537451501</v>
      </c>
      <c r="CJ34" s="37">
        <v>53.248805647412098</v>
      </c>
      <c r="CK34" s="37">
        <v>51.082621397951101</v>
      </c>
      <c r="CL34" s="37">
        <v>56.803858726981296</v>
      </c>
      <c r="CM34" s="37">
        <v>70.263404867795103</v>
      </c>
      <c r="CN34" s="37">
        <v>51.452383685646403</v>
      </c>
      <c r="CO34" s="37">
        <v>62.346055060424902</v>
      </c>
      <c r="CP34" s="37">
        <v>70.901382249533896</v>
      </c>
      <c r="CQ34" s="37">
        <v>106.584579253223</v>
      </c>
      <c r="CR34" s="45">
        <v>-6.6262382772623196E-2</v>
      </c>
      <c r="CS34" s="45">
        <v>-1.0475657483063801</v>
      </c>
      <c r="CT34" s="46">
        <v>0.82373729313055999</v>
      </c>
      <c r="CU34" s="47">
        <v>0.87334429335078401</v>
      </c>
      <c r="CV34" s="48">
        <v>68.443112904274201</v>
      </c>
      <c r="CW34" s="49">
        <v>65.335386361120996</v>
      </c>
      <c r="CX34" s="31" t="s">
        <v>5875</v>
      </c>
      <c r="CY34" s="31" t="s">
        <v>5832</v>
      </c>
      <c r="CZ34" t="s">
        <v>8838</v>
      </c>
      <c r="DA34" t="s">
        <v>5904</v>
      </c>
      <c r="DB34">
        <v>3941.7</v>
      </c>
      <c r="DC34" t="s">
        <v>22824</v>
      </c>
      <c r="DD34" t="s">
        <v>22825</v>
      </c>
      <c r="DE34" t="s">
        <v>22826</v>
      </c>
      <c r="DF34" t="s">
        <v>22827</v>
      </c>
      <c r="DG34" t="s">
        <v>22828</v>
      </c>
      <c r="DH34" t="str">
        <f>"FN1"</f>
        <v>FN1</v>
      </c>
      <c r="DI34" t="s">
        <v>22829</v>
      </c>
      <c r="DJ34" t="s">
        <v>13777</v>
      </c>
      <c r="DK34">
        <v>9606</v>
      </c>
      <c r="DL34" s="34" t="str">
        <f>HYPERLINK("http://www.uniprot.org/uniprot/P02751", "P02751")</f>
        <v>P02751</v>
      </c>
      <c r="DM34" t="s">
        <v>22830</v>
      </c>
      <c r="DN34" t="s">
        <v>22831</v>
      </c>
      <c r="DO34" t="s">
        <v>13869</v>
      </c>
      <c r="DP34" t="s">
        <v>13780</v>
      </c>
      <c r="DQ34" t="s">
        <v>13772</v>
      </c>
      <c r="DR34" t="s">
        <v>14517</v>
      </c>
      <c r="DS34" t="s">
        <v>14404</v>
      </c>
      <c r="DT34" t="s">
        <v>13772</v>
      </c>
      <c r="DU34" t="s">
        <v>14073</v>
      </c>
      <c r="DV34" t="s">
        <v>22832</v>
      </c>
      <c r="DW34" t="s">
        <v>13812</v>
      </c>
      <c r="DX34" t="s">
        <v>22833</v>
      </c>
      <c r="DY34" t="s">
        <v>22834</v>
      </c>
      <c r="DZ34" t="s">
        <v>22835</v>
      </c>
      <c r="EA34" t="s">
        <v>13772</v>
      </c>
      <c r="EB34" t="s">
        <v>22836</v>
      </c>
    </row>
    <row r="35" spans="1:132">
      <c r="A35">
        <v>768</v>
      </c>
      <c r="B35">
        <v>1</v>
      </c>
      <c r="C35" t="s">
        <v>1887</v>
      </c>
      <c r="D35" t="s">
        <v>73</v>
      </c>
      <c r="E35" t="s">
        <v>73</v>
      </c>
      <c r="F35" t="s">
        <v>73</v>
      </c>
      <c r="G35" t="s">
        <v>73</v>
      </c>
      <c r="H35">
        <v>76.400000000000006</v>
      </c>
      <c r="I35">
        <v>110</v>
      </c>
      <c r="J35">
        <v>11475</v>
      </c>
      <c r="K35" t="s">
        <v>1888</v>
      </c>
      <c r="L35">
        <f t="shared" si="2"/>
        <v>1235</v>
      </c>
      <c r="M35" s="3">
        <v>11</v>
      </c>
      <c r="N35">
        <v>1235</v>
      </c>
      <c r="O35">
        <v>1235</v>
      </c>
      <c r="P35">
        <v>1</v>
      </c>
      <c r="Q35">
        <v>43</v>
      </c>
      <c r="R35">
        <v>100</v>
      </c>
      <c r="S35">
        <v>97</v>
      </c>
      <c r="T35">
        <v>190</v>
      </c>
      <c r="U35">
        <v>161</v>
      </c>
      <c r="V35">
        <v>109</v>
      </c>
      <c r="W35">
        <v>154</v>
      </c>
      <c r="X35">
        <v>33</v>
      </c>
      <c r="Y35">
        <v>14</v>
      </c>
      <c r="Z35">
        <v>10</v>
      </c>
      <c r="AA35">
        <v>46</v>
      </c>
      <c r="AB35">
        <v>82</v>
      </c>
      <c r="AC35">
        <v>18</v>
      </c>
      <c r="AD35">
        <v>8</v>
      </c>
      <c r="AE35">
        <v>24</v>
      </c>
      <c r="AF35">
        <v>53</v>
      </c>
      <c r="AG35">
        <v>37</v>
      </c>
      <c r="AH35">
        <v>22</v>
      </c>
      <c r="AI35">
        <v>34</v>
      </c>
      <c r="AJ35">
        <v>43</v>
      </c>
      <c r="AK35">
        <v>100</v>
      </c>
      <c r="AL35">
        <v>97</v>
      </c>
      <c r="AM35">
        <v>190</v>
      </c>
      <c r="AN35">
        <v>161</v>
      </c>
      <c r="AO35">
        <v>109</v>
      </c>
      <c r="AP35">
        <v>154</v>
      </c>
      <c r="AQ35">
        <v>33</v>
      </c>
      <c r="AR35">
        <v>14</v>
      </c>
      <c r="AS35">
        <v>10</v>
      </c>
      <c r="AT35">
        <v>46</v>
      </c>
      <c r="AU35">
        <v>82</v>
      </c>
      <c r="AV35">
        <v>18</v>
      </c>
      <c r="AW35">
        <v>8</v>
      </c>
      <c r="AX35">
        <v>24</v>
      </c>
      <c r="AY35">
        <v>53</v>
      </c>
      <c r="AZ35">
        <v>37</v>
      </c>
      <c r="BA35">
        <v>22</v>
      </c>
      <c r="BB35">
        <v>34</v>
      </c>
      <c r="BC35" s="2">
        <v>43</v>
      </c>
      <c r="BD35" s="2">
        <v>100</v>
      </c>
      <c r="BE35" s="2">
        <v>97</v>
      </c>
      <c r="BF35" s="2">
        <v>190</v>
      </c>
      <c r="BG35" s="2">
        <v>161</v>
      </c>
      <c r="BH35" s="2">
        <v>109</v>
      </c>
      <c r="BI35" s="2">
        <v>154</v>
      </c>
      <c r="BJ35" s="2">
        <v>33</v>
      </c>
      <c r="BK35" s="2">
        <v>14</v>
      </c>
      <c r="BL35" s="2">
        <v>10</v>
      </c>
      <c r="BM35" s="2">
        <v>46</v>
      </c>
      <c r="BN35" s="2">
        <v>82</v>
      </c>
      <c r="BO35" s="2">
        <v>18</v>
      </c>
      <c r="BP35" s="2">
        <v>8</v>
      </c>
      <c r="BQ35" s="2">
        <v>24</v>
      </c>
      <c r="BR35" s="2">
        <v>53</v>
      </c>
      <c r="BS35" s="2">
        <v>37</v>
      </c>
      <c r="BT35" s="2">
        <v>22</v>
      </c>
      <c r="BU35" s="2">
        <v>34</v>
      </c>
      <c r="BV35" s="2">
        <f t="shared" si="5"/>
        <v>1235</v>
      </c>
      <c r="BW35" s="16">
        <f t="shared" si="3"/>
        <v>65</v>
      </c>
      <c r="BX35" s="16">
        <f>COUNTIF($BC$6:BU35, "=0") / COUNTIF($BC$6:BU35, "&gt;-1")</f>
        <v>5.263157894736842E-3</v>
      </c>
      <c r="BY35" s="18">
        <f>SUM($BC$6:BU35) / $BY$4</f>
        <v>0.35778957003988576</v>
      </c>
      <c r="BZ35" s="14">
        <f t="shared" si="4"/>
        <v>0</v>
      </c>
      <c r="CA35" t="s">
        <v>5831</v>
      </c>
      <c r="CB35" s="36">
        <v>52.100666020893399</v>
      </c>
      <c r="CC35" s="36">
        <v>96.306412067744702</v>
      </c>
      <c r="CD35" s="36">
        <v>155.27737319578901</v>
      </c>
      <c r="CE35" s="36">
        <v>287.26513423911399</v>
      </c>
      <c r="CF35" s="36">
        <v>138.48839394984</v>
      </c>
      <c r="CG35" s="36">
        <v>101.34026988370501</v>
      </c>
      <c r="CH35" s="36">
        <v>162.32559156115499</v>
      </c>
      <c r="CI35" s="36">
        <v>32.115058733416099</v>
      </c>
      <c r="CJ35" s="37">
        <v>11.126616105429401</v>
      </c>
      <c r="CK35" s="37">
        <v>29.0098837568611</v>
      </c>
      <c r="CL35" s="37">
        <v>65.604456557922106</v>
      </c>
      <c r="CM35" s="37">
        <v>15.2378468387989</v>
      </c>
      <c r="CN35" s="37">
        <v>22.0510215795627</v>
      </c>
      <c r="CO35" s="37">
        <v>41.827100230411602</v>
      </c>
      <c r="CP35" s="37">
        <v>55.815981770909602</v>
      </c>
      <c r="CQ35" s="37">
        <v>51.769652780137001</v>
      </c>
      <c r="CR35" s="45">
        <v>-1.8118066105169499</v>
      </c>
      <c r="CS35" s="45">
        <v>-3.5057103213147598</v>
      </c>
      <c r="CT35" s="46">
        <v>5.4179406524061197E-5</v>
      </c>
      <c r="CU35" s="47">
        <v>1.6327037371440101E-4</v>
      </c>
      <c r="CV35" s="48">
        <v>128.15236245645701</v>
      </c>
      <c r="CW35" s="49">
        <v>36.555319952504099</v>
      </c>
      <c r="CX35" s="31" t="s">
        <v>5875</v>
      </c>
      <c r="CY35" s="31" t="s">
        <v>5876</v>
      </c>
      <c r="CZ35" t="s">
        <v>8330</v>
      </c>
      <c r="DA35" t="s">
        <v>5904</v>
      </c>
      <c r="DB35">
        <v>145.19999999999999</v>
      </c>
      <c r="DC35" t="s">
        <v>21345</v>
      </c>
      <c r="DD35" t="s">
        <v>21346</v>
      </c>
      <c r="DE35" t="s">
        <v>21347</v>
      </c>
      <c r="DF35" t="s">
        <v>21348</v>
      </c>
      <c r="DG35" t="s">
        <v>21349</v>
      </c>
      <c r="DH35" t="str">
        <f>"RETN"</f>
        <v>RETN</v>
      </c>
      <c r="DI35" t="s">
        <v>21350</v>
      </c>
      <c r="DJ35" t="s">
        <v>13777</v>
      </c>
      <c r="DK35">
        <v>9606</v>
      </c>
      <c r="DL35" s="34" t="str">
        <f>HYPERLINK("http://www.uniprot.org/uniprot/Q9HD89", "Q9HD89")</f>
        <v>Q9HD89</v>
      </c>
      <c r="DM35" t="s">
        <v>21351</v>
      </c>
      <c r="DN35" t="s">
        <v>13772</v>
      </c>
      <c r="DO35" t="s">
        <v>14321</v>
      </c>
      <c r="DP35" t="s">
        <v>13841</v>
      </c>
      <c r="DQ35" t="s">
        <v>13772</v>
      </c>
      <c r="DR35" t="s">
        <v>21352</v>
      </c>
      <c r="DS35" t="s">
        <v>13808</v>
      </c>
      <c r="DT35" t="s">
        <v>13772</v>
      </c>
      <c r="DU35" t="s">
        <v>14322</v>
      </c>
      <c r="DV35" t="s">
        <v>14506</v>
      </c>
      <c r="DW35" t="s">
        <v>13812</v>
      </c>
      <c r="DX35" t="s">
        <v>21353</v>
      </c>
      <c r="DY35" t="s">
        <v>21354</v>
      </c>
      <c r="DZ35" t="s">
        <v>21355</v>
      </c>
      <c r="EA35" t="s">
        <v>13772</v>
      </c>
      <c r="EB35" t="s">
        <v>21356</v>
      </c>
    </row>
    <row r="36" spans="1:132">
      <c r="A36">
        <v>184</v>
      </c>
      <c r="B36">
        <v>1</v>
      </c>
      <c r="C36" t="s">
        <v>463</v>
      </c>
      <c r="D36" t="s">
        <v>73</v>
      </c>
      <c r="E36" t="s">
        <v>73</v>
      </c>
      <c r="F36" t="s">
        <v>73</v>
      </c>
      <c r="G36" t="s">
        <v>73</v>
      </c>
      <c r="H36">
        <v>51.8</v>
      </c>
      <c r="I36">
        <v>247</v>
      </c>
      <c r="J36">
        <v>26761</v>
      </c>
      <c r="K36" t="s">
        <v>464</v>
      </c>
      <c r="L36">
        <f t="shared" si="2"/>
        <v>1225</v>
      </c>
      <c r="N36">
        <v>1225</v>
      </c>
      <c r="O36">
        <v>1225</v>
      </c>
      <c r="P36">
        <v>1</v>
      </c>
      <c r="Q36">
        <v>70</v>
      </c>
      <c r="R36">
        <v>39</v>
      </c>
      <c r="S36">
        <v>38</v>
      </c>
      <c r="T36">
        <v>24</v>
      </c>
      <c r="U36">
        <v>25</v>
      </c>
      <c r="V36">
        <v>35</v>
      </c>
      <c r="W36">
        <v>49</v>
      </c>
      <c r="X36">
        <v>85</v>
      </c>
      <c r="Y36">
        <v>35</v>
      </c>
      <c r="Z36">
        <v>146</v>
      </c>
      <c r="AA36">
        <v>43</v>
      </c>
      <c r="AB36">
        <v>50</v>
      </c>
      <c r="AC36">
        <v>85</v>
      </c>
      <c r="AD36">
        <v>155</v>
      </c>
      <c r="AE36">
        <v>66</v>
      </c>
      <c r="AF36">
        <v>36</v>
      </c>
      <c r="AG36">
        <v>132</v>
      </c>
      <c r="AH36">
        <v>32</v>
      </c>
      <c r="AI36">
        <v>80</v>
      </c>
      <c r="AJ36">
        <v>70</v>
      </c>
      <c r="AK36">
        <v>39</v>
      </c>
      <c r="AL36">
        <v>38</v>
      </c>
      <c r="AM36">
        <v>24</v>
      </c>
      <c r="AN36">
        <v>25</v>
      </c>
      <c r="AO36">
        <v>35</v>
      </c>
      <c r="AP36">
        <v>49</v>
      </c>
      <c r="AQ36">
        <v>85</v>
      </c>
      <c r="AR36">
        <v>35</v>
      </c>
      <c r="AS36">
        <v>146</v>
      </c>
      <c r="AT36">
        <v>43</v>
      </c>
      <c r="AU36">
        <v>50</v>
      </c>
      <c r="AV36">
        <v>85</v>
      </c>
      <c r="AW36">
        <v>155</v>
      </c>
      <c r="AX36">
        <v>66</v>
      </c>
      <c r="AY36">
        <v>36</v>
      </c>
      <c r="AZ36">
        <v>132</v>
      </c>
      <c r="BA36">
        <v>32</v>
      </c>
      <c r="BB36">
        <v>80</v>
      </c>
      <c r="BC36" s="2">
        <v>70</v>
      </c>
      <c r="BD36" s="2">
        <v>39</v>
      </c>
      <c r="BE36" s="2">
        <v>38</v>
      </c>
      <c r="BF36" s="2">
        <v>24</v>
      </c>
      <c r="BG36" s="2">
        <v>25</v>
      </c>
      <c r="BH36" s="2">
        <v>35</v>
      </c>
      <c r="BI36" s="2">
        <v>49</v>
      </c>
      <c r="BJ36" s="2">
        <v>85</v>
      </c>
      <c r="BK36" s="2">
        <v>35</v>
      </c>
      <c r="BL36" s="2">
        <v>146</v>
      </c>
      <c r="BM36" s="2">
        <v>43</v>
      </c>
      <c r="BN36" s="2">
        <v>50</v>
      </c>
      <c r="BO36" s="2">
        <v>85</v>
      </c>
      <c r="BP36" s="2">
        <v>155</v>
      </c>
      <c r="BQ36" s="2">
        <v>66</v>
      </c>
      <c r="BR36" s="2">
        <v>36</v>
      </c>
      <c r="BS36" s="2">
        <v>132</v>
      </c>
      <c r="BT36" s="2">
        <v>32</v>
      </c>
      <c r="BU36" s="2">
        <v>80</v>
      </c>
      <c r="BV36" s="2">
        <f t="shared" si="5"/>
        <v>1225</v>
      </c>
      <c r="BW36" s="16">
        <f t="shared" si="3"/>
        <v>64.473684210526315</v>
      </c>
      <c r="BX36" s="16">
        <f>COUNTIF($BC$6:BU36, "=0") / COUNTIF($BC$6:BU36, "&gt;-1")</f>
        <v>5.0933786078098476E-3</v>
      </c>
      <c r="BY36" s="18">
        <f>SUM($BC$6:BU36) / $BY$4</f>
        <v>0.36303702520404391</v>
      </c>
      <c r="BZ36" s="14">
        <f t="shared" si="4"/>
        <v>0</v>
      </c>
      <c r="CA36" t="s">
        <v>5831</v>
      </c>
      <c r="CB36" s="36">
        <v>84.815037708431007</v>
      </c>
      <c r="CC36" s="36">
        <v>37.559500706420401</v>
      </c>
      <c r="CD36" s="36">
        <v>60.830311148865803</v>
      </c>
      <c r="CE36" s="36">
        <v>36.286122219677502</v>
      </c>
      <c r="CF36" s="36">
        <v>21.504408998422299</v>
      </c>
      <c r="CG36" s="36">
        <v>32.540453632382203</v>
      </c>
      <c r="CH36" s="36">
        <v>51.6490518603674</v>
      </c>
      <c r="CI36" s="36">
        <v>82.720605828496005</v>
      </c>
      <c r="CJ36" s="37">
        <v>27.816540263573501</v>
      </c>
      <c r="CK36" s="37">
        <v>27.1179348161963</v>
      </c>
      <c r="CL36" s="37">
        <v>40.002717413367101</v>
      </c>
      <c r="CM36" s="37">
        <v>71.956498960995006</v>
      </c>
      <c r="CN36" s="37">
        <v>60.640309343797497</v>
      </c>
      <c r="CO36" s="37">
        <v>28.410860533864501</v>
      </c>
      <c r="CP36" s="37">
        <v>199.12728631784</v>
      </c>
      <c r="CQ36" s="37">
        <v>121.810947717969</v>
      </c>
      <c r="CR36" s="45">
        <v>0.48845099169471801</v>
      </c>
      <c r="CS36" s="45">
        <v>1.41425674950669</v>
      </c>
      <c r="CT36" s="46">
        <v>0.26819762128974101</v>
      </c>
      <c r="CU36" s="47">
        <v>0.342412611913811</v>
      </c>
      <c r="CV36" s="48">
        <v>50.988186512882798</v>
      </c>
      <c r="CW36" s="49">
        <v>72.110386920950404</v>
      </c>
      <c r="CX36" s="31" t="s">
        <v>5874</v>
      </c>
      <c r="CY36" s="31" t="s">
        <v>5832</v>
      </c>
      <c r="CZ36" t="s">
        <v>6332</v>
      </c>
      <c r="DA36" t="s">
        <v>5900</v>
      </c>
      <c r="DB36">
        <v>210.3</v>
      </c>
      <c r="DC36" t="s">
        <v>15286</v>
      </c>
      <c r="DD36" t="s">
        <v>13772</v>
      </c>
      <c r="DE36" t="s">
        <v>15287</v>
      </c>
      <c r="DF36" t="s">
        <v>15288</v>
      </c>
      <c r="DG36" t="s">
        <v>13772</v>
      </c>
      <c r="DH36" t="str">
        <f>"IGHV3-74"</f>
        <v>IGHV3-74</v>
      </c>
      <c r="DI36" t="s">
        <v>13772</v>
      </c>
      <c r="DJ36" t="s">
        <v>13777</v>
      </c>
      <c r="DK36">
        <v>9606</v>
      </c>
      <c r="DL36" s="34" t="str">
        <f>HYPERLINK("http://www.uniprot.org/uniprot/A0A0B4J1X5", "A0A0B4J1X5")</f>
        <v>A0A0B4J1X5</v>
      </c>
      <c r="DM36" t="s">
        <v>15289</v>
      </c>
      <c r="DN36" t="s">
        <v>15290</v>
      </c>
      <c r="DO36" t="s">
        <v>15291</v>
      </c>
      <c r="DP36" t="s">
        <v>13793</v>
      </c>
      <c r="DQ36" t="s">
        <v>13772</v>
      </c>
      <c r="DR36" t="s">
        <v>13772</v>
      </c>
      <c r="DS36" t="s">
        <v>13808</v>
      </c>
      <c r="DT36" t="s">
        <v>13772</v>
      </c>
      <c r="DU36" t="s">
        <v>13772</v>
      </c>
      <c r="DV36" t="s">
        <v>14506</v>
      </c>
      <c r="DW36" t="s">
        <v>13772</v>
      </c>
      <c r="DX36" t="s">
        <v>15292</v>
      </c>
      <c r="DY36" t="s">
        <v>15293</v>
      </c>
      <c r="DZ36" t="s">
        <v>15294</v>
      </c>
      <c r="EA36" t="s">
        <v>13772</v>
      </c>
      <c r="EB36" t="s">
        <v>13772</v>
      </c>
    </row>
    <row r="37" spans="1:132">
      <c r="A37">
        <v>1342</v>
      </c>
      <c r="B37">
        <v>1</v>
      </c>
      <c r="C37" t="s">
        <v>3211</v>
      </c>
      <c r="D37" t="s">
        <v>73</v>
      </c>
      <c r="E37" t="s">
        <v>73</v>
      </c>
      <c r="F37" t="s">
        <v>73</v>
      </c>
      <c r="G37" t="s">
        <v>73</v>
      </c>
      <c r="H37">
        <v>79.3</v>
      </c>
      <c r="I37">
        <v>488</v>
      </c>
      <c r="J37">
        <v>54721</v>
      </c>
      <c r="K37" t="s">
        <v>3212</v>
      </c>
      <c r="L37">
        <f t="shared" si="2"/>
        <v>1214</v>
      </c>
      <c r="M37" s="3">
        <v>34</v>
      </c>
      <c r="N37">
        <v>1214</v>
      </c>
      <c r="O37">
        <v>1214</v>
      </c>
      <c r="P37">
        <v>1</v>
      </c>
      <c r="Q37">
        <v>78</v>
      </c>
      <c r="R37">
        <v>60</v>
      </c>
      <c r="S37">
        <v>41</v>
      </c>
      <c r="T37">
        <v>34</v>
      </c>
      <c r="U37">
        <v>37</v>
      </c>
      <c r="V37">
        <v>32</v>
      </c>
      <c r="W37">
        <v>35</v>
      </c>
      <c r="X37">
        <v>101</v>
      </c>
      <c r="Y37">
        <v>68</v>
      </c>
      <c r="Z37">
        <v>137</v>
      </c>
      <c r="AA37">
        <v>33</v>
      </c>
      <c r="AB37">
        <v>51</v>
      </c>
      <c r="AC37">
        <v>91</v>
      </c>
      <c r="AD37">
        <v>80</v>
      </c>
      <c r="AE37">
        <v>66</v>
      </c>
      <c r="AF37">
        <v>66</v>
      </c>
      <c r="AG37">
        <v>58</v>
      </c>
      <c r="AH37">
        <v>74</v>
      </c>
      <c r="AI37">
        <v>72</v>
      </c>
      <c r="AJ37">
        <v>78</v>
      </c>
      <c r="AK37">
        <v>60</v>
      </c>
      <c r="AL37">
        <v>41</v>
      </c>
      <c r="AM37">
        <v>34</v>
      </c>
      <c r="AN37">
        <v>37</v>
      </c>
      <c r="AO37">
        <v>32</v>
      </c>
      <c r="AP37">
        <v>35</v>
      </c>
      <c r="AQ37">
        <v>101</v>
      </c>
      <c r="AR37">
        <v>68</v>
      </c>
      <c r="AS37">
        <v>137</v>
      </c>
      <c r="AT37">
        <v>33</v>
      </c>
      <c r="AU37">
        <v>51</v>
      </c>
      <c r="AV37">
        <v>91</v>
      </c>
      <c r="AW37">
        <v>80</v>
      </c>
      <c r="AX37">
        <v>66</v>
      </c>
      <c r="AY37">
        <v>66</v>
      </c>
      <c r="AZ37">
        <v>58</v>
      </c>
      <c r="BA37">
        <v>74</v>
      </c>
      <c r="BB37">
        <v>72</v>
      </c>
      <c r="BC37" s="2">
        <v>78</v>
      </c>
      <c r="BD37" s="2">
        <v>60</v>
      </c>
      <c r="BE37" s="2">
        <v>41</v>
      </c>
      <c r="BF37" s="2">
        <v>34</v>
      </c>
      <c r="BG37" s="2">
        <v>37</v>
      </c>
      <c r="BH37" s="2">
        <v>32</v>
      </c>
      <c r="BI37" s="2">
        <v>35</v>
      </c>
      <c r="BJ37" s="2">
        <v>101</v>
      </c>
      <c r="BK37" s="2">
        <v>68</v>
      </c>
      <c r="BL37" s="2">
        <v>137</v>
      </c>
      <c r="BM37" s="2">
        <v>33</v>
      </c>
      <c r="BN37" s="2">
        <v>51</v>
      </c>
      <c r="BO37" s="2">
        <v>91</v>
      </c>
      <c r="BP37" s="2">
        <v>80</v>
      </c>
      <c r="BQ37" s="2">
        <v>66</v>
      </c>
      <c r="BR37" s="2">
        <v>66</v>
      </c>
      <c r="BS37" s="2">
        <v>58</v>
      </c>
      <c r="BT37" s="2">
        <v>74</v>
      </c>
      <c r="BU37" s="2">
        <v>72</v>
      </c>
      <c r="BV37" s="2">
        <f t="shared" si="5"/>
        <v>1214</v>
      </c>
      <c r="BW37" s="16">
        <f t="shared" si="3"/>
        <v>63.89473684210526</v>
      </c>
      <c r="BX37" s="16">
        <f>COUNTIF($BC$6:BU37, "=0") / COUNTIF($BC$6:BU37, "&gt;-1")</f>
        <v>4.9342105263157892E-3</v>
      </c>
      <c r="BY37" s="18">
        <f>SUM($BC$6:BU37) / $BY$4</f>
        <v>0.36823736036264632</v>
      </c>
      <c r="BZ37" s="14">
        <f t="shared" si="4"/>
        <v>0</v>
      </c>
      <c r="CA37" t="s">
        <v>5831</v>
      </c>
      <c r="CB37" s="36">
        <v>94.508184875108896</v>
      </c>
      <c r="CC37" s="36">
        <v>57.7838472406468</v>
      </c>
      <c r="CD37" s="36">
        <v>65.6327041343026</v>
      </c>
      <c r="CE37" s="36">
        <v>51.405339811209799</v>
      </c>
      <c r="CF37" s="36">
        <v>31.826525317664998</v>
      </c>
      <c r="CG37" s="36">
        <v>29.751271892463699</v>
      </c>
      <c r="CH37" s="36">
        <v>36.892179900262398</v>
      </c>
      <c r="CI37" s="36">
        <v>98.291543396212901</v>
      </c>
      <c r="CJ37" s="37">
        <v>54.043563940657101</v>
      </c>
      <c r="CK37" s="37">
        <v>20.811438347313398</v>
      </c>
      <c r="CL37" s="37">
        <v>40.802771761634503</v>
      </c>
      <c r="CM37" s="37">
        <v>77.035781240594602</v>
      </c>
      <c r="CN37" s="37">
        <v>60.640309343797497</v>
      </c>
      <c r="CO37" s="37">
        <v>52.086577645418203</v>
      </c>
      <c r="CP37" s="37">
        <v>87.495322776020501</v>
      </c>
      <c r="CQ37" s="37">
        <v>109.62985294617199</v>
      </c>
      <c r="CR37" s="45">
        <v>0.10007227843986399</v>
      </c>
      <c r="CS37" s="45">
        <v>1.0782121404937799</v>
      </c>
      <c r="CT37" s="46">
        <v>0.77968986200255197</v>
      </c>
      <c r="CU37" s="47">
        <v>0.83519703989177596</v>
      </c>
      <c r="CV37" s="48">
        <v>58.261449570983999</v>
      </c>
      <c r="CW37" s="49">
        <v>62.818202250200997</v>
      </c>
      <c r="CX37" s="31" t="s">
        <v>5874</v>
      </c>
      <c r="CY37" s="31" t="s">
        <v>5832</v>
      </c>
      <c r="CZ37" t="s">
        <v>10216</v>
      </c>
      <c r="DA37" t="s">
        <v>5904</v>
      </c>
      <c r="DB37">
        <v>827.4</v>
      </c>
      <c r="DC37" t="s">
        <v>26752</v>
      </c>
      <c r="DD37" t="s">
        <v>26753</v>
      </c>
      <c r="DE37" t="s">
        <v>26754</v>
      </c>
      <c r="DF37" t="s">
        <v>26755</v>
      </c>
      <c r="DG37" t="s">
        <v>26756</v>
      </c>
      <c r="DH37" t="str">
        <f>"GC"</f>
        <v>GC</v>
      </c>
      <c r="DI37" t="s">
        <v>13772</v>
      </c>
      <c r="DJ37" t="s">
        <v>13777</v>
      </c>
      <c r="DK37">
        <v>9606</v>
      </c>
      <c r="DL37" s="34" t="str">
        <f>HYPERLINK("http://www.uniprot.org/uniprot/P02774", "P02774")</f>
        <v>P02774</v>
      </c>
      <c r="DM37" t="s">
        <v>26757</v>
      </c>
      <c r="DN37" t="s">
        <v>14192</v>
      </c>
      <c r="DO37" t="s">
        <v>14321</v>
      </c>
      <c r="DP37" t="s">
        <v>13780</v>
      </c>
      <c r="DQ37" t="s">
        <v>13772</v>
      </c>
      <c r="DR37" t="s">
        <v>13772</v>
      </c>
      <c r="DS37" t="s">
        <v>14404</v>
      </c>
      <c r="DT37" t="s">
        <v>26758</v>
      </c>
      <c r="DU37" t="s">
        <v>13990</v>
      </c>
      <c r="DV37" t="s">
        <v>13796</v>
      </c>
      <c r="DW37" t="s">
        <v>13812</v>
      </c>
      <c r="DX37" t="s">
        <v>26759</v>
      </c>
      <c r="DY37" t="s">
        <v>26760</v>
      </c>
      <c r="DZ37" t="s">
        <v>26761</v>
      </c>
      <c r="EA37" t="s">
        <v>13772</v>
      </c>
      <c r="EB37" t="s">
        <v>26762</v>
      </c>
    </row>
    <row r="38" spans="1:132">
      <c r="A38">
        <v>1273</v>
      </c>
      <c r="B38">
        <v>1</v>
      </c>
      <c r="C38" t="s">
        <v>3054</v>
      </c>
      <c r="D38" t="s">
        <v>73</v>
      </c>
      <c r="E38" t="s">
        <v>73</v>
      </c>
      <c r="F38" t="s">
        <v>73</v>
      </c>
      <c r="G38" t="s">
        <v>73</v>
      </c>
      <c r="H38">
        <v>78.3</v>
      </c>
      <c r="I38">
        <v>484</v>
      </c>
      <c r="J38">
        <v>54775</v>
      </c>
      <c r="K38" t="s">
        <v>3055</v>
      </c>
      <c r="L38">
        <f t="shared" si="2"/>
        <v>1173</v>
      </c>
      <c r="N38">
        <v>1173</v>
      </c>
      <c r="O38">
        <v>1173</v>
      </c>
      <c r="P38">
        <v>1</v>
      </c>
      <c r="Q38">
        <v>31</v>
      </c>
      <c r="R38">
        <v>33</v>
      </c>
      <c r="S38">
        <v>7</v>
      </c>
      <c r="T38">
        <v>13</v>
      </c>
      <c r="U38">
        <v>8</v>
      </c>
      <c r="V38">
        <v>5</v>
      </c>
      <c r="W38">
        <v>7</v>
      </c>
      <c r="X38">
        <v>23</v>
      </c>
      <c r="Y38">
        <v>66</v>
      </c>
      <c r="Z38">
        <v>277</v>
      </c>
      <c r="AA38">
        <v>32</v>
      </c>
      <c r="AB38">
        <v>31</v>
      </c>
      <c r="AC38">
        <v>91</v>
      </c>
      <c r="AD38">
        <v>181</v>
      </c>
      <c r="AE38">
        <v>72</v>
      </c>
      <c r="AF38">
        <v>39</v>
      </c>
      <c r="AG38">
        <v>95</v>
      </c>
      <c r="AH38">
        <v>81</v>
      </c>
      <c r="AI38">
        <v>81</v>
      </c>
      <c r="AJ38">
        <v>31</v>
      </c>
      <c r="AK38">
        <v>33</v>
      </c>
      <c r="AL38">
        <v>7</v>
      </c>
      <c r="AM38">
        <v>13</v>
      </c>
      <c r="AN38">
        <v>8</v>
      </c>
      <c r="AO38">
        <v>5</v>
      </c>
      <c r="AP38">
        <v>7</v>
      </c>
      <c r="AQ38">
        <v>23</v>
      </c>
      <c r="AR38">
        <v>66</v>
      </c>
      <c r="AS38">
        <v>277</v>
      </c>
      <c r="AT38">
        <v>32</v>
      </c>
      <c r="AU38">
        <v>31</v>
      </c>
      <c r="AV38">
        <v>91</v>
      </c>
      <c r="AW38">
        <v>181</v>
      </c>
      <c r="AX38">
        <v>72</v>
      </c>
      <c r="AY38">
        <v>39</v>
      </c>
      <c r="AZ38">
        <v>95</v>
      </c>
      <c r="BA38">
        <v>81</v>
      </c>
      <c r="BB38">
        <v>81</v>
      </c>
      <c r="BC38" s="2">
        <v>31</v>
      </c>
      <c r="BD38" s="2">
        <v>33</v>
      </c>
      <c r="BE38" s="2">
        <v>7</v>
      </c>
      <c r="BF38" s="2">
        <v>13</v>
      </c>
      <c r="BG38" s="2">
        <v>8</v>
      </c>
      <c r="BH38" s="2">
        <v>5</v>
      </c>
      <c r="BI38" s="2">
        <v>7</v>
      </c>
      <c r="BJ38" s="2">
        <v>23</v>
      </c>
      <c r="BK38" s="2">
        <v>66</v>
      </c>
      <c r="BL38" s="2">
        <v>277</v>
      </c>
      <c r="BM38" s="2">
        <v>32</v>
      </c>
      <c r="BN38" s="2">
        <v>31</v>
      </c>
      <c r="BO38" s="2">
        <v>91</v>
      </c>
      <c r="BP38" s="2">
        <v>181</v>
      </c>
      <c r="BQ38" s="2">
        <v>72</v>
      </c>
      <c r="BR38" s="2">
        <v>39</v>
      </c>
      <c r="BS38" s="2">
        <v>95</v>
      </c>
      <c r="BT38" s="2">
        <v>81</v>
      </c>
      <c r="BU38" s="2">
        <v>81</v>
      </c>
      <c r="BV38" s="2">
        <f t="shared" si="5"/>
        <v>1173</v>
      </c>
      <c r="BW38" s="16">
        <f t="shared" si="3"/>
        <v>61.736842105263158</v>
      </c>
      <c r="BX38" s="16">
        <f>COUNTIF($BC$6:BU38, "=0") / COUNTIF($BC$6:BU38, "&gt;-1")</f>
        <v>4.7846889952153108E-3</v>
      </c>
      <c r="BY38" s="18">
        <f>SUM($BC$6:BU38) / $BY$4</f>
        <v>0.373262066409632</v>
      </c>
      <c r="BZ38" s="14">
        <f t="shared" si="4"/>
        <v>0</v>
      </c>
      <c r="CA38" t="s">
        <v>5831</v>
      </c>
      <c r="CB38" s="36">
        <v>37.560945270876601</v>
      </c>
      <c r="CC38" s="36">
        <v>31.781115982355701</v>
      </c>
      <c r="CD38" s="36">
        <v>11.2055836326858</v>
      </c>
      <c r="CE38" s="36">
        <v>19.654982868992001</v>
      </c>
      <c r="CF38" s="36">
        <v>6.8814108794951396</v>
      </c>
      <c r="CG38" s="36">
        <v>4.6486362331974602</v>
      </c>
      <c r="CH38" s="36">
        <v>7.3784359800524904</v>
      </c>
      <c r="CI38" s="36">
        <v>22.383222753593</v>
      </c>
      <c r="CJ38" s="37">
        <v>52.454047354167201</v>
      </c>
      <c r="CK38" s="37">
        <v>20.180788700425101</v>
      </c>
      <c r="CL38" s="37">
        <v>24.801684796287599</v>
      </c>
      <c r="CM38" s="37">
        <v>77.035781240594602</v>
      </c>
      <c r="CN38" s="37">
        <v>66.153064738688201</v>
      </c>
      <c r="CO38" s="37">
        <v>30.7784322450199</v>
      </c>
      <c r="CP38" s="37">
        <v>143.31130454692999</v>
      </c>
      <c r="CQ38" s="37">
        <v>123.333584564444</v>
      </c>
      <c r="CR38" s="45">
        <v>1.91327613921269</v>
      </c>
      <c r="CS38" s="45">
        <v>3.8026165040845901</v>
      </c>
      <c r="CT38" s="46">
        <v>1.23152595863304E-4</v>
      </c>
      <c r="CU38" s="47">
        <v>3.3904973922860299E-4</v>
      </c>
      <c r="CV38" s="48">
        <v>17.686791700156</v>
      </c>
      <c r="CW38" s="49">
        <v>67.256086023319597</v>
      </c>
      <c r="CX38" s="31" t="s">
        <v>5874</v>
      </c>
      <c r="CY38" s="31" t="s">
        <v>5876</v>
      </c>
      <c r="CZ38" t="s">
        <v>9977</v>
      </c>
      <c r="DA38" t="s">
        <v>5904</v>
      </c>
      <c r="DB38">
        <v>865.9</v>
      </c>
      <c r="DC38" t="s">
        <v>26069</v>
      </c>
      <c r="DD38" t="s">
        <v>13772</v>
      </c>
      <c r="DE38" t="s">
        <v>26070</v>
      </c>
      <c r="DF38" t="s">
        <v>26071</v>
      </c>
      <c r="DG38" t="s">
        <v>26072</v>
      </c>
      <c r="DH38" t="str">
        <f>"FGB"</f>
        <v>FGB</v>
      </c>
      <c r="DI38" t="s">
        <v>13772</v>
      </c>
      <c r="DJ38" t="s">
        <v>13777</v>
      </c>
      <c r="DK38">
        <v>9606</v>
      </c>
      <c r="DL38" s="34" t="str">
        <f>HYPERLINK("http://www.uniprot.org/uniprot/P02675", "P02675")</f>
        <v>P02675</v>
      </c>
      <c r="DM38" t="s">
        <v>26073</v>
      </c>
      <c r="DN38" t="s">
        <v>26074</v>
      </c>
      <c r="DO38" t="s">
        <v>14321</v>
      </c>
      <c r="DP38" t="s">
        <v>13793</v>
      </c>
      <c r="DQ38" t="s">
        <v>13772</v>
      </c>
      <c r="DR38" t="s">
        <v>13807</v>
      </c>
      <c r="DS38" t="s">
        <v>16820</v>
      </c>
      <c r="DT38" t="s">
        <v>13772</v>
      </c>
      <c r="DU38" t="s">
        <v>13772</v>
      </c>
      <c r="DV38" t="s">
        <v>16701</v>
      </c>
      <c r="DW38" t="s">
        <v>13812</v>
      </c>
      <c r="DX38" t="s">
        <v>26075</v>
      </c>
      <c r="DY38" t="s">
        <v>26076</v>
      </c>
      <c r="DZ38" t="s">
        <v>26077</v>
      </c>
      <c r="EA38" t="s">
        <v>13772</v>
      </c>
      <c r="EB38" t="s">
        <v>26078</v>
      </c>
    </row>
    <row r="39" spans="1:132">
      <c r="A39">
        <v>2460</v>
      </c>
      <c r="B39">
        <v>1</v>
      </c>
      <c r="C39" t="s">
        <v>5788</v>
      </c>
      <c r="D39" t="s">
        <v>73</v>
      </c>
      <c r="E39" t="s">
        <v>5789</v>
      </c>
      <c r="F39" t="s">
        <v>73</v>
      </c>
      <c r="G39" t="s">
        <v>73</v>
      </c>
      <c r="H39">
        <v>74.099999999999994</v>
      </c>
      <c r="I39">
        <v>243</v>
      </c>
      <c r="J39">
        <v>26859</v>
      </c>
      <c r="K39" t="s">
        <v>5790</v>
      </c>
      <c r="L39">
        <f t="shared" si="2"/>
        <v>1141</v>
      </c>
      <c r="N39">
        <v>1141</v>
      </c>
      <c r="O39">
        <v>1141</v>
      </c>
      <c r="P39">
        <v>1</v>
      </c>
      <c r="Q39">
        <v>78</v>
      </c>
      <c r="R39">
        <v>43</v>
      </c>
      <c r="S39">
        <v>36</v>
      </c>
      <c r="T39">
        <v>31</v>
      </c>
      <c r="U39">
        <v>35</v>
      </c>
      <c r="V39">
        <v>31</v>
      </c>
      <c r="W39">
        <v>65</v>
      </c>
      <c r="X39">
        <v>57</v>
      </c>
      <c r="Y39">
        <v>56</v>
      </c>
      <c r="Z39">
        <v>49</v>
      </c>
      <c r="AA39">
        <v>43</v>
      </c>
      <c r="AB39">
        <v>34</v>
      </c>
      <c r="AC39">
        <v>63</v>
      </c>
      <c r="AD39">
        <v>76</v>
      </c>
      <c r="AE39">
        <v>67</v>
      </c>
      <c r="AF39">
        <v>64</v>
      </c>
      <c r="AG39">
        <v>165</v>
      </c>
      <c r="AH39">
        <v>32</v>
      </c>
      <c r="AI39">
        <v>116</v>
      </c>
      <c r="AJ39">
        <v>78</v>
      </c>
      <c r="AK39">
        <v>43</v>
      </c>
      <c r="AL39">
        <v>36</v>
      </c>
      <c r="AM39">
        <v>31</v>
      </c>
      <c r="AN39">
        <v>35</v>
      </c>
      <c r="AO39">
        <v>31</v>
      </c>
      <c r="AP39">
        <v>65</v>
      </c>
      <c r="AQ39">
        <v>57</v>
      </c>
      <c r="AR39">
        <v>56</v>
      </c>
      <c r="AS39">
        <v>49</v>
      </c>
      <c r="AT39">
        <v>43</v>
      </c>
      <c r="AU39">
        <v>34</v>
      </c>
      <c r="AV39">
        <v>63</v>
      </c>
      <c r="AW39">
        <v>76</v>
      </c>
      <c r="AX39">
        <v>67</v>
      </c>
      <c r="AY39">
        <v>64</v>
      </c>
      <c r="AZ39">
        <v>165</v>
      </c>
      <c r="BA39">
        <v>32</v>
      </c>
      <c r="BB39">
        <v>116</v>
      </c>
      <c r="BC39" s="2">
        <v>78</v>
      </c>
      <c r="BD39" s="2">
        <v>43</v>
      </c>
      <c r="BE39" s="2">
        <v>36</v>
      </c>
      <c r="BF39" s="2">
        <v>31</v>
      </c>
      <c r="BG39" s="2">
        <v>35</v>
      </c>
      <c r="BH39" s="2">
        <v>31</v>
      </c>
      <c r="BI39" s="2">
        <v>65</v>
      </c>
      <c r="BJ39" s="2">
        <v>57</v>
      </c>
      <c r="BK39" s="2">
        <v>56</v>
      </c>
      <c r="BL39" s="2">
        <v>49</v>
      </c>
      <c r="BM39" s="2">
        <v>43</v>
      </c>
      <c r="BN39" s="2">
        <v>34</v>
      </c>
      <c r="BO39" s="2">
        <v>63</v>
      </c>
      <c r="BP39" s="2">
        <v>76</v>
      </c>
      <c r="BQ39" s="2">
        <v>67</v>
      </c>
      <c r="BR39" s="2">
        <v>64</v>
      </c>
      <c r="BS39" s="2">
        <v>165</v>
      </c>
      <c r="BT39" s="2">
        <v>32</v>
      </c>
      <c r="BU39" s="2">
        <v>116</v>
      </c>
      <c r="BV39" s="2">
        <f t="shared" si="5"/>
        <v>1141</v>
      </c>
      <c r="BW39" s="16">
        <f t="shared" si="3"/>
        <v>60.05263157894737</v>
      </c>
      <c r="BX39" s="16">
        <f>COUNTIF($BC$6:BU39, "=0") / COUNTIF($BC$6:BU39, "&gt;-1")</f>
        <v>4.6439628482972135E-3</v>
      </c>
      <c r="BY39" s="18">
        <f>SUM($BC$6:BU39) / $BY$4</f>
        <v>0.37814969607681925</v>
      </c>
      <c r="BZ39" s="14">
        <f t="shared" si="4"/>
        <v>0</v>
      </c>
      <c r="CA39" t="s">
        <v>5831</v>
      </c>
      <c r="CB39" s="36">
        <v>94.508184875108896</v>
      </c>
      <c r="CC39" s="36">
        <v>41.411757189130199</v>
      </c>
      <c r="CD39" s="36">
        <v>57.628715825241301</v>
      </c>
      <c r="CE39" s="36">
        <v>46.869574533750097</v>
      </c>
      <c r="CF39" s="36">
        <v>30.1061725977912</v>
      </c>
      <c r="CG39" s="36">
        <v>28.821544645824201</v>
      </c>
      <c r="CH39" s="36">
        <v>68.514048386201594</v>
      </c>
      <c r="CI39" s="36">
        <v>55.471465084991401</v>
      </c>
      <c r="CJ39" s="37">
        <v>44.506464421717602</v>
      </c>
      <c r="CK39" s="37">
        <v>27.1179348161963</v>
      </c>
      <c r="CL39" s="37">
        <v>27.201847841089702</v>
      </c>
      <c r="CM39" s="37">
        <v>53.332463935796298</v>
      </c>
      <c r="CN39" s="37">
        <v>61.5591019096126</v>
      </c>
      <c r="CO39" s="37">
        <v>50.508196504647998</v>
      </c>
      <c r="CP39" s="37">
        <v>248.9091078973</v>
      </c>
      <c r="CQ39" s="37">
        <v>176.625874191056</v>
      </c>
      <c r="CR39" s="45">
        <v>0.69374655255867801</v>
      </c>
      <c r="CS39" s="45">
        <v>1.62936387105369</v>
      </c>
      <c r="CT39" s="46">
        <v>0.127796844185256</v>
      </c>
      <c r="CU39" s="47">
        <v>0.17628059538131199</v>
      </c>
      <c r="CV39" s="48">
        <v>52.916432892254903</v>
      </c>
      <c r="CW39" s="49">
        <v>86.220123939676995</v>
      </c>
      <c r="CX39" s="31" t="s">
        <v>5874</v>
      </c>
      <c r="CY39" s="31" t="s">
        <v>5832</v>
      </c>
      <c r="CZ39" t="s">
        <v>12955</v>
      </c>
      <c r="DA39" t="s">
        <v>5900</v>
      </c>
      <c r="DB39">
        <v>199.5</v>
      </c>
      <c r="DC39" t="s">
        <v>34427</v>
      </c>
      <c r="DD39" t="s">
        <v>34428</v>
      </c>
      <c r="DE39" t="s">
        <v>34429</v>
      </c>
      <c r="DF39" t="s">
        <v>34430</v>
      </c>
      <c r="DG39" t="s">
        <v>34431</v>
      </c>
      <c r="DH39" t="str">
        <f>"IGKV2D-28"</f>
        <v>IGKV2D-28</v>
      </c>
      <c r="DI39" t="s">
        <v>13772</v>
      </c>
      <c r="DJ39" t="s">
        <v>13777</v>
      </c>
      <c r="DK39">
        <v>9606</v>
      </c>
      <c r="DL39" s="34" t="str">
        <f>HYPERLINK("http://www.uniprot.org/uniprot/P01615", "P01615")</f>
        <v>P01615</v>
      </c>
      <c r="DM39" t="s">
        <v>34432</v>
      </c>
      <c r="DN39" t="s">
        <v>15290</v>
      </c>
      <c r="DO39" t="s">
        <v>15291</v>
      </c>
      <c r="DP39" t="s">
        <v>13793</v>
      </c>
      <c r="DQ39" t="s">
        <v>13772</v>
      </c>
      <c r="DR39" t="s">
        <v>13772</v>
      </c>
      <c r="DS39" t="s">
        <v>13808</v>
      </c>
      <c r="DT39" t="s">
        <v>13772</v>
      </c>
      <c r="DU39" t="s">
        <v>13772</v>
      </c>
      <c r="DV39" t="s">
        <v>14506</v>
      </c>
      <c r="DW39" t="s">
        <v>13812</v>
      </c>
      <c r="DX39" t="s">
        <v>34433</v>
      </c>
      <c r="DY39" t="s">
        <v>28024</v>
      </c>
      <c r="DZ39" t="s">
        <v>34434</v>
      </c>
      <c r="EA39" t="s">
        <v>13772</v>
      </c>
      <c r="EB39" t="s">
        <v>17561</v>
      </c>
    </row>
    <row r="40" spans="1:132" hidden="1">
      <c r="A40">
        <v>991</v>
      </c>
      <c r="B40">
        <v>1</v>
      </c>
      <c r="C40" t="s">
        <v>2405</v>
      </c>
      <c r="D40" t="s">
        <v>73</v>
      </c>
      <c r="E40" t="s">
        <v>73</v>
      </c>
      <c r="F40" t="s">
        <v>73</v>
      </c>
      <c r="G40" t="s">
        <v>73</v>
      </c>
      <c r="H40">
        <v>11.2</v>
      </c>
      <c r="I40">
        <v>34239</v>
      </c>
      <c r="J40">
        <v>3803282</v>
      </c>
      <c r="K40" t="s">
        <v>2406</v>
      </c>
      <c r="L40">
        <f t="shared" si="2"/>
        <v>1120</v>
      </c>
      <c r="N40">
        <v>1120</v>
      </c>
      <c r="O40">
        <v>1120</v>
      </c>
      <c r="P40">
        <v>1</v>
      </c>
      <c r="Q40">
        <v>2</v>
      </c>
      <c r="R40">
        <v>0</v>
      </c>
      <c r="S40">
        <v>0</v>
      </c>
      <c r="T40">
        <v>6</v>
      </c>
      <c r="U40">
        <v>14</v>
      </c>
      <c r="V40">
        <v>8</v>
      </c>
      <c r="W40">
        <v>66</v>
      </c>
      <c r="X40">
        <v>35</v>
      </c>
      <c r="Y40">
        <v>82</v>
      </c>
      <c r="Z40">
        <v>3</v>
      </c>
      <c r="AA40">
        <v>137</v>
      </c>
      <c r="AB40">
        <v>17</v>
      </c>
      <c r="AC40">
        <v>60</v>
      </c>
      <c r="AD40">
        <v>5</v>
      </c>
      <c r="AE40">
        <v>444</v>
      </c>
      <c r="AF40">
        <v>181</v>
      </c>
      <c r="AG40">
        <v>9</v>
      </c>
      <c r="AH40">
        <v>5</v>
      </c>
      <c r="AI40">
        <v>46</v>
      </c>
      <c r="AJ40">
        <v>2</v>
      </c>
      <c r="AK40">
        <v>0</v>
      </c>
      <c r="AL40">
        <v>0</v>
      </c>
      <c r="AM40">
        <v>6</v>
      </c>
      <c r="AN40">
        <v>14</v>
      </c>
      <c r="AO40">
        <v>8</v>
      </c>
      <c r="AP40">
        <v>66</v>
      </c>
      <c r="AQ40">
        <v>35</v>
      </c>
      <c r="AR40">
        <v>82</v>
      </c>
      <c r="AS40">
        <v>3</v>
      </c>
      <c r="AT40">
        <v>137</v>
      </c>
      <c r="AU40">
        <v>17</v>
      </c>
      <c r="AV40">
        <v>60</v>
      </c>
      <c r="AW40">
        <v>5</v>
      </c>
      <c r="AX40">
        <v>444</v>
      </c>
      <c r="AY40">
        <v>181</v>
      </c>
      <c r="AZ40">
        <v>9</v>
      </c>
      <c r="BA40">
        <v>5</v>
      </c>
      <c r="BB40">
        <v>46</v>
      </c>
      <c r="BC40" s="2">
        <v>2</v>
      </c>
      <c r="BD40" s="2">
        <v>0</v>
      </c>
      <c r="BE40" s="2">
        <v>0</v>
      </c>
      <c r="BF40" s="2">
        <v>6</v>
      </c>
      <c r="BG40" s="2">
        <v>14</v>
      </c>
      <c r="BH40" s="2">
        <v>8</v>
      </c>
      <c r="BI40" s="2">
        <v>66</v>
      </c>
      <c r="BJ40" s="2">
        <v>35</v>
      </c>
      <c r="BK40" s="2">
        <v>82</v>
      </c>
      <c r="BL40" s="2">
        <v>3</v>
      </c>
      <c r="BM40" s="2">
        <v>137</v>
      </c>
      <c r="BN40" s="2">
        <v>17</v>
      </c>
      <c r="BO40" s="2">
        <v>60</v>
      </c>
      <c r="BP40" s="2">
        <v>5</v>
      </c>
      <c r="BQ40" s="2">
        <v>444</v>
      </c>
      <c r="BR40" s="2">
        <v>181</v>
      </c>
      <c r="BS40" s="2">
        <v>9</v>
      </c>
      <c r="BT40" s="2">
        <v>5</v>
      </c>
      <c r="BU40" s="2">
        <v>46</v>
      </c>
      <c r="BV40" s="2">
        <f t="shared" si="5"/>
        <v>1120</v>
      </c>
      <c r="BW40" s="16">
        <f t="shared" si="3"/>
        <v>58.94736842105263</v>
      </c>
      <c r="BX40" s="16">
        <f>COUNTIF($BC$6:BU40, "=0") / COUNTIF($BC$6:BU40, "&gt;-1")</f>
        <v>7.5187969924812026E-3</v>
      </c>
      <c r="BY40" s="18">
        <f>SUM($BC$6:BU40) / $BY$4</f>
        <v>0.38294736936976381</v>
      </c>
      <c r="BZ40" s="14">
        <f t="shared" si="4"/>
        <v>2</v>
      </c>
      <c r="CA40" t="s">
        <v>5831</v>
      </c>
      <c r="CB40" s="36">
        <v>2.4232867916694598</v>
      </c>
      <c r="CC40" s="36">
        <v>0.24076603016936199</v>
      </c>
      <c r="CD40" s="36">
        <v>0.40019941545306398</v>
      </c>
      <c r="CE40" s="36">
        <v>9.0715305549193808</v>
      </c>
      <c r="CF40" s="36">
        <v>12.042469039116501</v>
      </c>
      <c r="CG40" s="36">
        <v>7.43781797311593</v>
      </c>
      <c r="CH40" s="36">
        <v>69.5681106690663</v>
      </c>
      <c r="CI40" s="36">
        <v>34.061425929380697</v>
      </c>
      <c r="CJ40" s="37">
        <v>65.1701800460865</v>
      </c>
      <c r="CK40" s="37">
        <v>86.399001623695099</v>
      </c>
      <c r="CL40" s="37">
        <v>13.600923920544799</v>
      </c>
      <c r="CM40" s="37">
        <v>50.7928227959964</v>
      </c>
      <c r="CN40" s="37">
        <v>407.94389922191101</v>
      </c>
      <c r="CO40" s="37">
        <v>142.84349323970801</v>
      </c>
      <c r="CP40" s="37">
        <v>13.576860430761799</v>
      </c>
      <c r="CQ40" s="37">
        <v>70.041294937832404</v>
      </c>
      <c r="CR40" s="45">
        <v>2.6377963873749999</v>
      </c>
      <c r="CS40" s="45">
        <v>6.2875867012147202</v>
      </c>
      <c r="CT40" s="46">
        <v>1.11790167892402E-3</v>
      </c>
      <c r="CU40" s="47">
        <v>2.4764113350999001E-3</v>
      </c>
      <c r="CV40" s="48">
        <v>16.905700800361299</v>
      </c>
      <c r="CW40" s="49">
        <v>106.296059527067</v>
      </c>
      <c r="CX40" s="31" t="s">
        <v>5874</v>
      </c>
      <c r="CY40" s="31" t="s">
        <v>5876</v>
      </c>
      <c r="CZ40" t="s">
        <v>9091</v>
      </c>
      <c r="DA40" t="s">
        <v>5904</v>
      </c>
      <c r="DB40">
        <v>44359.6</v>
      </c>
      <c r="DC40" t="s">
        <v>23540</v>
      </c>
      <c r="DD40" t="s">
        <v>23541</v>
      </c>
      <c r="DE40" t="s">
        <v>23542</v>
      </c>
      <c r="DF40" t="s">
        <v>23543</v>
      </c>
      <c r="DG40" t="s">
        <v>23544</v>
      </c>
      <c r="DH40" t="str">
        <f>"TTN"</f>
        <v>TTN</v>
      </c>
      <c r="DI40" t="s">
        <v>13772</v>
      </c>
      <c r="DJ40" t="s">
        <v>13777</v>
      </c>
      <c r="DK40">
        <v>9606</v>
      </c>
      <c r="DL40" s="34" t="str">
        <f>HYPERLINK("http://www.uniprot.org/uniprot/Q8WZ42", "Q8WZ42")</f>
        <v>Q8WZ42</v>
      </c>
      <c r="DM40" t="s">
        <v>23545</v>
      </c>
      <c r="DN40" t="s">
        <v>13772</v>
      </c>
      <c r="DO40" t="s">
        <v>13912</v>
      </c>
      <c r="DP40" t="s">
        <v>13780</v>
      </c>
      <c r="DQ40" t="s">
        <v>13772</v>
      </c>
      <c r="DR40" t="s">
        <v>23546</v>
      </c>
      <c r="DS40" t="s">
        <v>16679</v>
      </c>
      <c r="DT40" t="s">
        <v>17650</v>
      </c>
      <c r="DU40" t="s">
        <v>23547</v>
      </c>
      <c r="DV40" t="s">
        <v>15554</v>
      </c>
      <c r="DW40" t="s">
        <v>13812</v>
      </c>
      <c r="DX40" t="s">
        <v>23548</v>
      </c>
      <c r="DY40" t="s">
        <v>23549</v>
      </c>
      <c r="DZ40" t="s">
        <v>23550</v>
      </c>
      <c r="EA40" t="s">
        <v>13772</v>
      </c>
      <c r="EB40" t="s">
        <v>23551</v>
      </c>
    </row>
    <row r="41" spans="1:132">
      <c r="A41">
        <v>1967</v>
      </c>
      <c r="B41">
        <v>1</v>
      </c>
      <c r="C41" t="s">
        <v>4636</v>
      </c>
      <c r="D41" t="s">
        <v>73</v>
      </c>
      <c r="E41" t="s">
        <v>73</v>
      </c>
      <c r="F41" t="s">
        <v>73</v>
      </c>
      <c r="G41" t="s">
        <v>73</v>
      </c>
      <c r="H41">
        <v>52.9</v>
      </c>
      <c r="I41">
        <v>777</v>
      </c>
      <c r="J41">
        <v>84022</v>
      </c>
      <c r="K41" t="s">
        <v>4637</v>
      </c>
      <c r="L41">
        <f t="shared" si="2"/>
        <v>1074</v>
      </c>
      <c r="N41">
        <v>1074</v>
      </c>
      <c r="O41">
        <v>1074</v>
      </c>
      <c r="P41">
        <v>1</v>
      </c>
      <c r="Q41">
        <v>43</v>
      </c>
      <c r="R41">
        <v>34</v>
      </c>
      <c r="S41">
        <v>36</v>
      </c>
      <c r="T41">
        <v>4</v>
      </c>
      <c r="U41">
        <v>17</v>
      </c>
      <c r="V41">
        <v>77</v>
      </c>
      <c r="W41">
        <v>64</v>
      </c>
      <c r="X41">
        <v>120</v>
      </c>
      <c r="Y41">
        <v>86</v>
      </c>
      <c r="Z41">
        <v>35</v>
      </c>
      <c r="AA41">
        <v>117</v>
      </c>
      <c r="AB41">
        <v>84</v>
      </c>
      <c r="AC41">
        <v>74</v>
      </c>
      <c r="AD41">
        <v>39</v>
      </c>
      <c r="AE41">
        <v>47</v>
      </c>
      <c r="AF41">
        <v>49</v>
      </c>
      <c r="AG41">
        <v>58</v>
      </c>
      <c r="AH41">
        <v>40</v>
      </c>
      <c r="AI41">
        <v>50</v>
      </c>
      <c r="AJ41">
        <v>43</v>
      </c>
      <c r="AK41">
        <v>34</v>
      </c>
      <c r="AL41">
        <v>36</v>
      </c>
      <c r="AM41">
        <v>4</v>
      </c>
      <c r="AN41">
        <v>17</v>
      </c>
      <c r="AO41">
        <v>77</v>
      </c>
      <c r="AP41">
        <v>64</v>
      </c>
      <c r="AQ41">
        <v>120</v>
      </c>
      <c r="AR41">
        <v>86</v>
      </c>
      <c r="AS41">
        <v>35</v>
      </c>
      <c r="AT41">
        <v>117</v>
      </c>
      <c r="AU41">
        <v>84</v>
      </c>
      <c r="AV41">
        <v>74</v>
      </c>
      <c r="AW41">
        <v>39</v>
      </c>
      <c r="AX41">
        <v>47</v>
      </c>
      <c r="AY41">
        <v>49</v>
      </c>
      <c r="AZ41">
        <v>58</v>
      </c>
      <c r="BA41">
        <v>40</v>
      </c>
      <c r="BB41">
        <v>50</v>
      </c>
      <c r="BC41" s="2">
        <v>43</v>
      </c>
      <c r="BD41" s="2">
        <v>34</v>
      </c>
      <c r="BE41" s="2">
        <v>36</v>
      </c>
      <c r="BF41" s="2">
        <v>4</v>
      </c>
      <c r="BG41" s="2">
        <v>17</v>
      </c>
      <c r="BH41" s="2">
        <v>77</v>
      </c>
      <c r="BI41" s="2">
        <v>64</v>
      </c>
      <c r="BJ41" s="2">
        <v>120</v>
      </c>
      <c r="BK41" s="2">
        <v>86</v>
      </c>
      <c r="BL41" s="2">
        <v>35</v>
      </c>
      <c r="BM41" s="2">
        <v>117</v>
      </c>
      <c r="BN41" s="2">
        <v>84</v>
      </c>
      <c r="BO41" s="2">
        <v>74</v>
      </c>
      <c r="BP41" s="2">
        <v>39</v>
      </c>
      <c r="BQ41" s="2">
        <v>47</v>
      </c>
      <c r="BR41" s="2">
        <v>49</v>
      </c>
      <c r="BS41" s="2">
        <v>58</v>
      </c>
      <c r="BT41" s="2">
        <v>40</v>
      </c>
      <c r="BU41" s="2">
        <v>50</v>
      </c>
      <c r="BV41" s="2">
        <f t="shared" si="5"/>
        <v>1074</v>
      </c>
      <c r="BW41" s="16">
        <f t="shared" si="3"/>
        <v>56.526315789473685</v>
      </c>
      <c r="BX41" s="16">
        <f>COUNTIF($BC$6:BU41, "=0") / COUNTIF($BC$6:BU41, "&gt;-1")</f>
        <v>7.3099415204678359E-3</v>
      </c>
      <c r="BY41" s="18">
        <f>SUM($BC$6:BU41) / $BY$4</f>
        <v>0.38754799536674817</v>
      </c>
      <c r="BZ41" s="14">
        <f t="shared" si="4"/>
        <v>0</v>
      </c>
      <c r="CA41" t="s">
        <v>5831</v>
      </c>
      <c r="CB41" s="36">
        <v>52.100666020893399</v>
      </c>
      <c r="CC41" s="36">
        <v>32.744180103033202</v>
      </c>
      <c r="CD41" s="36">
        <v>57.628715825241301</v>
      </c>
      <c r="CE41" s="36">
        <v>6.0476870366129196</v>
      </c>
      <c r="CF41" s="36">
        <v>14.6229981189272</v>
      </c>
      <c r="CG41" s="36">
        <v>71.588997991240802</v>
      </c>
      <c r="CH41" s="36">
        <v>67.459986103337002</v>
      </c>
      <c r="CI41" s="36">
        <v>116.78203175787699</v>
      </c>
      <c r="CJ41" s="37">
        <v>68.3492132190663</v>
      </c>
      <c r="CK41" s="37">
        <v>73.786008685929403</v>
      </c>
      <c r="CL41" s="37">
        <v>67.204565254456796</v>
      </c>
      <c r="CM41" s="37">
        <v>62.644481448395602</v>
      </c>
      <c r="CN41" s="37">
        <v>43.183250593310397</v>
      </c>
      <c r="CO41" s="37">
        <v>38.670337948871101</v>
      </c>
      <c r="CP41" s="37">
        <v>87.495322776020501</v>
      </c>
      <c r="CQ41" s="37">
        <v>76.131842323730794</v>
      </c>
      <c r="CR41" s="45">
        <v>0.29813621141109797</v>
      </c>
      <c r="CS41" s="45">
        <v>1.2350729696962801</v>
      </c>
      <c r="CT41" s="46">
        <v>0.47466245999533901</v>
      </c>
      <c r="CU41" s="47">
        <v>0.55508762841009396</v>
      </c>
      <c r="CV41" s="48">
        <v>52.371907869645298</v>
      </c>
      <c r="CW41" s="49">
        <v>64.683127781222595</v>
      </c>
      <c r="CX41" s="31" t="s">
        <v>5874</v>
      </c>
      <c r="CY41" s="31" t="s">
        <v>5832</v>
      </c>
      <c r="CZ41" t="s">
        <v>12313</v>
      </c>
      <c r="DA41" t="s">
        <v>5904</v>
      </c>
      <c r="DB41">
        <v>1480.3</v>
      </c>
      <c r="DC41" t="s">
        <v>32635</v>
      </c>
      <c r="DD41" t="s">
        <v>32636</v>
      </c>
      <c r="DE41" t="s">
        <v>32637</v>
      </c>
      <c r="DF41" t="s">
        <v>32638</v>
      </c>
      <c r="DG41" t="s">
        <v>32639</v>
      </c>
      <c r="DH41" t="str">
        <f>"GSN"</f>
        <v>GSN</v>
      </c>
      <c r="DI41" t="s">
        <v>13772</v>
      </c>
      <c r="DJ41" t="s">
        <v>13777</v>
      </c>
      <c r="DK41">
        <v>9606</v>
      </c>
      <c r="DL41" s="34" t="str">
        <f>HYPERLINK("http://www.uniprot.org/uniprot/P06396", "P06396")</f>
        <v>P06396</v>
      </c>
      <c r="DM41" t="s">
        <v>32640</v>
      </c>
      <c r="DN41" t="s">
        <v>21905</v>
      </c>
      <c r="DO41" t="s">
        <v>32641</v>
      </c>
      <c r="DP41" t="s">
        <v>19227</v>
      </c>
      <c r="DQ41" t="s">
        <v>13772</v>
      </c>
      <c r="DR41" t="s">
        <v>29155</v>
      </c>
      <c r="DS41" t="s">
        <v>14404</v>
      </c>
      <c r="DT41" t="s">
        <v>13873</v>
      </c>
      <c r="DU41" t="s">
        <v>14589</v>
      </c>
      <c r="DV41" t="s">
        <v>15256</v>
      </c>
      <c r="DW41" t="s">
        <v>13812</v>
      </c>
      <c r="DX41" t="s">
        <v>32642</v>
      </c>
      <c r="DY41" t="s">
        <v>32643</v>
      </c>
      <c r="DZ41" t="s">
        <v>32644</v>
      </c>
      <c r="EA41" t="s">
        <v>13772</v>
      </c>
      <c r="EB41" t="s">
        <v>32645</v>
      </c>
    </row>
    <row r="42" spans="1:132">
      <c r="A42">
        <v>808</v>
      </c>
      <c r="B42">
        <v>1</v>
      </c>
      <c r="C42" t="s">
        <v>1981</v>
      </c>
      <c r="D42" t="s">
        <v>1982</v>
      </c>
      <c r="E42" t="s">
        <v>73</v>
      </c>
      <c r="F42" t="s">
        <v>73</v>
      </c>
      <c r="G42" t="s">
        <v>73</v>
      </c>
      <c r="H42">
        <v>70.099999999999994</v>
      </c>
      <c r="I42">
        <v>364</v>
      </c>
      <c r="J42">
        <v>38777</v>
      </c>
      <c r="K42" t="s">
        <v>1983</v>
      </c>
      <c r="L42">
        <f t="shared" si="2"/>
        <v>1046</v>
      </c>
      <c r="M42" s="3">
        <v>20</v>
      </c>
      <c r="N42">
        <v>1046</v>
      </c>
      <c r="O42">
        <v>1046</v>
      </c>
      <c r="P42">
        <v>1</v>
      </c>
      <c r="Q42">
        <v>127</v>
      </c>
      <c r="R42">
        <v>89</v>
      </c>
      <c r="S42">
        <v>79</v>
      </c>
      <c r="T42">
        <v>48</v>
      </c>
      <c r="U42">
        <v>51</v>
      </c>
      <c r="V42">
        <v>42</v>
      </c>
      <c r="W42">
        <v>69</v>
      </c>
      <c r="X42">
        <v>27</v>
      </c>
      <c r="Y42">
        <v>45</v>
      </c>
      <c r="Z42">
        <v>30</v>
      </c>
      <c r="AA42">
        <v>48</v>
      </c>
      <c r="AB42">
        <v>45</v>
      </c>
      <c r="AC42">
        <v>78</v>
      </c>
      <c r="AD42">
        <v>39</v>
      </c>
      <c r="AE42">
        <v>31</v>
      </c>
      <c r="AF42">
        <v>52</v>
      </c>
      <c r="AG42">
        <v>40</v>
      </c>
      <c r="AH42">
        <v>25</v>
      </c>
      <c r="AI42">
        <v>81</v>
      </c>
      <c r="AJ42">
        <v>127</v>
      </c>
      <c r="AK42">
        <v>89</v>
      </c>
      <c r="AL42">
        <v>79</v>
      </c>
      <c r="AM42">
        <v>48</v>
      </c>
      <c r="AN42">
        <v>51</v>
      </c>
      <c r="AO42">
        <v>42</v>
      </c>
      <c r="AP42">
        <v>69</v>
      </c>
      <c r="AQ42">
        <v>27</v>
      </c>
      <c r="AR42">
        <v>45</v>
      </c>
      <c r="AS42">
        <v>30</v>
      </c>
      <c r="AT42">
        <v>48</v>
      </c>
      <c r="AU42">
        <v>45</v>
      </c>
      <c r="AV42">
        <v>78</v>
      </c>
      <c r="AW42">
        <v>39</v>
      </c>
      <c r="AX42">
        <v>31</v>
      </c>
      <c r="AY42">
        <v>52</v>
      </c>
      <c r="AZ42">
        <v>40</v>
      </c>
      <c r="BA42">
        <v>25</v>
      </c>
      <c r="BB42">
        <v>81</v>
      </c>
      <c r="BC42" s="2">
        <v>127</v>
      </c>
      <c r="BD42" s="2">
        <v>89</v>
      </c>
      <c r="BE42" s="2">
        <v>79</v>
      </c>
      <c r="BF42" s="2">
        <v>48</v>
      </c>
      <c r="BG42" s="2">
        <v>51</v>
      </c>
      <c r="BH42" s="2">
        <v>42</v>
      </c>
      <c r="BI42" s="2">
        <v>69</v>
      </c>
      <c r="BJ42" s="2">
        <v>27</v>
      </c>
      <c r="BK42" s="2">
        <v>45</v>
      </c>
      <c r="BL42" s="2">
        <v>30</v>
      </c>
      <c r="BM42" s="2">
        <v>48</v>
      </c>
      <c r="BN42" s="2">
        <v>45</v>
      </c>
      <c r="BO42" s="2">
        <v>78</v>
      </c>
      <c r="BP42" s="2">
        <v>39</v>
      </c>
      <c r="BQ42" s="2">
        <v>31</v>
      </c>
      <c r="BR42" s="2">
        <v>52</v>
      </c>
      <c r="BS42" s="2">
        <v>40</v>
      </c>
      <c r="BT42" s="2">
        <v>25</v>
      </c>
      <c r="BU42" s="2">
        <v>81</v>
      </c>
      <c r="BV42" s="2">
        <f t="shared" si="5"/>
        <v>1046</v>
      </c>
      <c r="BW42" s="16">
        <f t="shared" si="3"/>
        <v>55.05263157894737</v>
      </c>
      <c r="BX42" s="16">
        <f>COUNTIF($BC$6:BU42, "=0") / COUNTIF($BC$6:BU42, "&gt;-1")</f>
        <v>7.1123755334281651E-3</v>
      </c>
      <c r="BY42" s="18">
        <f>SUM($BC$6:BU42) / $BY$4</f>
        <v>0.39202867953140885</v>
      </c>
      <c r="BZ42" s="14">
        <f t="shared" si="4"/>
        <v>0</v>
      </c>
      <c r="CA42" t="s">
        <v>5831</v>
      </c>
      <c r="CB42" s="36">
        <v>153.87871127101101</v>
      </c>
      <c r="CC42" s="36">
        <v>85.712706740292802</v>
      </c>
      <c r="CD42" s="36">
        <v>126.463015283168</v>
      </c>
      <c r="CE42" s="36">
        <v>72.572244439355003</v>
      </c>
      <c r="CF42" s="36">
        <v>43.868994356781499</v>
      </c>
      <c r="CG42" s="36">
        <v>39.048544358858599</v>
      </c>
      <c r="CH42" s="36">
        <v>72.730297517660205</v>
      </c>
      <c r="CI42" s="36">
        <v>26.275957145522302</v>
      </c>
      <c r="CJ42" s="37">
        <v>35.7641231960231</v>
      </c>
      <c r="CK42" s="37">
        <v>30.271183050637699</v>
      </c>
      <c r="CL42" s="37">
        <v>36.002445672030397</v>
      </c>
      <c r="CM42" s="37">
        <v>66.030669634795402</v>
      </c>
      <c r="CN42" s="37">
        <v>28.4825695402685</v>
      </c>
      <c r="CO42" s="37">
        <v>41.0379096600265</v>
      </c>
      <c r="CP42" s="37">
        <v>60.341601914496898</v>
      </c>
      <c r="CQ42" s="37">
        <v>123.333584564444</v>
      </c>
      <c r="CR42" s="45">
        <v>-0.56490132002193905</v>
      </c>
      <c r="CS42" s="45">
        <v>-1.4730675837787099</v>
      </c>
      <c r="CT42" s="46">
        <v>0.16403575565978201</v>
      </c>
      <c r="CU42" s="47">
        <v>0.21991968043365501</v>
      </c>
      <c r="CV42" s="48">
        <v>77.568808889081197</v>
      </c>
      <c r="CW42" s="49">
        <v>52.658010904090297</v>
      </c>
      <c r="CX42" s="31" t="s">
        <v>5875</v>
      </c>
      <c r="CY42" s="31" t="s">
        <v>5832</v>
      </c>
      <c r="CZ42" t="s">
        <v>8468</v>
      </c>
      <c r="DA42" t="s">
        <v>5904</v>
      </c>
      <c r="DB42">
        <v>465.7</v>
      </c>
      <c r="DC42" t="s">
        <v>21760</v>
      </c>
      <c r="DD42" t="s">
        <v>21761</v>
      </c>
      <c r="DE42" t="s">
        <v>21762</v>
      </c>
      <c r="DF42" t="s">
        <v>21763</v>
      </c>
      <c r="DG42" t="s">
        <v>21764</v>
      </c>
      <c r="DH42" t="str">
        <f>"AHSG"</f>
        <v>AHSG</v>
      </c>
      <c r="DI42" t="s">
        <v>21765</v>
      </c>
      <c r="DJ42" t="s">
        <v>13777</v>
      </c>
      <c r="DK42">
        <v>9606</v>
      </c>
      <c r="DL42" s="34" t="str">
        <f>HYPERLINK("http://www.uniprot.org/uniprot/P02765", "P02765")</f>
        <v>P02765</v>
      </c>
      <c r="DM42" t="s">
        <v>21766</v>
      </c>
      <c r="DN42" t="s">
        <v>21767</v>
      </c>
      <c r="DO42" t="s">
        <v>14321</v>
      </c>
      <c r="DP42" t="s">
        <v>13793</v>
      </c>
      <c r="DQ42" t="s">
        <v>13772</v>
      </c>
      <c r="DR42" t="s">
        <v>21768</v>
      </c>
      <c r="DS42" t="s">
        <v>14404</v>
      </c>
      <c r="DT42" t="s">
        <v>13772</v>
      </c>
      <c r="DU42" t="s">
        <v>13772</v>
      </c>
      <c r="DV42" t="s">
        <v>13964</v>
      </c>
      <c r="DW42" t="s">
        <v>13772</v>
      </c>
      <c r="DX42" t="s">
        <v>21769</v>
      </c>
      <c r="DY42" t="s">
        <v>21770</v>
      </c>
      <c r="DZ42" t="s">
        <v>21771</v>
      </c>
      <c r="EA42" t="s">
        <v>13772</v>
      </c>
      <c r="EB42" t="s">
        <v>21772</v>
      </c>
    </row>
    <row r="43" spans="1:132">
      <c r="A43">
        <v>1806</v>
      </c>
      <c r="B43">
        <v>1</v>
      </c>
      <c r="C43" t="s">
        <v>4269</v>
      </c>
      <c r="D43" t="s">
        <v>4270</v>
      </c>
      <c r="E43" t="s">
        <v>73</v>
      </c>
      <c r="F43" t="s">
        <v>3738</v>
      </c>
      <c r="G43" t="s">
        <v>73</v>
      </c>
      <c r="H43">
        <v>80</v>
      </c>
      <c r="I43">
        <v>375</v>
      </c>
      <c r="J43">
        <v>41736</v>
      </c>
      <c r="K43" t="s">
        <v>4271</v>
      </c>
      <c r="L43">
        <f t="shared" si="2"/>
        <v>1243</v>
      </c>
      <c r="M43" s="3" t="s">
        <v>5824</v>
      </c>
      <c r="N43">
        <v>1243</v>
      </c>
      <c r="O43">
        <v>536</v>
      </c>
      <c r="P43">
        <v>0.43099999999999999</v>
      </c>
      <c r="Q43">
        <v>42</v>
      </c>
      <c r="R43">
        <v>59</v>
      </c>
      <c r="S43">
        <v>22</v>
      </c>
      <c r="T43">
        <v>44</v>
      </c>
      <c r="U43">
        <v>108</v>
      </c>
      <c r="V43">
        <v>73</v>
      </c>
      <c r="W43">
        <v>39</v>
      </c>
      <c r="X43">
        <v>52</v>
      </c>
      <c r="Y43">
        <v>107</v>
      </c>
      <c r="Z43">
        <v>35</v>
      </c>
      <c r="AA43">
        <v>122</v>
      </c>
      <c r="AB43">
        <v>112</v>
      </c>
      <c r="AC43">
        <v>124</v>
      </c>
      <c r="AD43">
        <v>31</v>
      </c>
      <c r="AE43">
        <v>79</v>
      </c>
      <c r="AF43">
        <v>82</v>
      </c>
      <c r="AG43">
        <v>46</v>
      </c>
      <c r="AH43">
        <v>27</v>
      </c>
      <c r="AI43">
        <v>39</v>
      </c>
      <c r="AJ43">
        <v>15</v>
      </c>
      <c r="AK43">
        <v>22</v>
      </c>
      <c r="AL43">
        <v>10</v>
      </c>
      <c r="AM43">
        <v>17</v>
      </c>
      <c r="AN43">
        <v>37</v>
      </c>
      <c r="AO43">
        <v>38</v>
      </c>
      <c r="AP43">
        <v>18</v>
      </c>
      <c r="AQ43">
        <v>24</v>
      </c>
      <c r="AR43">
        <v>48</v>
      </c>
      <c r="AS43">
        <v>19</v>
      </c>
      <c r="AT43">
        <v>68</v>
      </c>
      <c r="AU43">
        <v>44</v>
      </c>
      <c r="AV43">
        <v>60</v>
      </c>
      <c r="AW43">
        <v>16</v>
      </c>
      <c r="AX43">
        <v>22</v>
      </c>
      <c r="AY43">
        <v>31</v>
      </c>
      <c r="AZ43">
        <v>22</v>
      </c>
      <c r="BA43">
        <v>9</v>
      </c>
      <c r="BB43">
        <v>16</v>
      </c>
      <c r="BC43" s="2">
        <v>33.097999999999999</v>
      </c>
      <c r="BD43" s="2">
        <v>47.438000000000002</v>
      </c>
      <c r="BE43" s="2">
        <v>18.076000000000001</v>
      </c>
      <c r="BF43" s="2">
        <v>35.601999999999997</v>
      </c>
      <c r="BG43" s="2">
        <v>85.465000000000003</v>
      </c>
      <c r="BH43" s="2">
        <v>61.664999999999999</v>
      </c>
      <c r="BI43" s="2">
        <v>32.168999999999997</v>
      </c>
      <c r="BJ43" s="2">
        <v>43.707000000000001</v>
      </c>
      <c r="BK43" s="2">
        <v>91.036000000000001</v>
      </c>
      <c r="BL43" s="2">
        <v>30.484999999999999</v>
      </c>
      <c r="BM43" s="2">
        <v>106.31</v>
      </c>
      <c r="BN43" s="2">
        <v>90.694000000000003</v>
      </c>
      <c r="BO43" s="2">
        <v>106.48</v>
      </c>
      <c r="BP43" s="2">
        <v>26.561</v>
      </c>
      <c r="BQ43" s="2">
        <v>60.133000000000003</v>
      </c>
      <c r="BR43" s="2">
        <v>65.641999999999996</v>
      </c>
      <c r="BS43" s="2">
        <v>38.619</v>
      </c>
      <c r="BT43" s="2">
        <v>20.718</v>
      </c>
      <c r="BU43" s="2">
        <v>31.695</v>
      </c>
      <c r="BV43" s="2">
        <f t="shared" si="5"/>
        <v>1025.5929999999998</v>
      </c>
      <c r="BW43" s="16">
        <f t="shared" si="3"/>
        <v>53.978578947368412</v>
      </c>
      <c r="BX43" s="16">
        <f>COUNTIF($BC$6:BU43, "=0") / COUNTIF($BC$6:BU43, "&gt;-1")</f>
        <v>6.9252077562326868E-3</v>
      </c>
      <c r="BY43" s="18">
        <f>SUM($BC$6:BU43) / $BY$4</f>
        <v>0.39642194751848991</v>
      </c>
      <c r="BZ43" s="14">
        <f t="shared" si="4"/>
        <v>0</v>
      </c>
      <c r="CA43" t="s">
        <v>5831</v>
      </c>
      <c r="CB43" s="36">
        <v>40.1053964021295</v>
      </c>
      <c r="CC43" s="36">
        <v>45.649239320111</v>
      </c>
      <c r="CD43" s="36">
        <v>28.974437678801898</v>
      </c>
      <c r="CE43" s="36">
        <v>53.824414625854999</v>
      </c>
      <c r="CF43" s="36">
        <v>73.545078774604306</v>
      </c>
      <c r="CG43" s="36">
        <v>57.364171117656603</v>
      </c>
      <c r="CH43" s="36">
        <v>33.940805508241397</v>
      </c>
      <c r="CI43" s="36">
        <v>42.528123231826797</v>
      </c>
      <c r="CJ43" s="37">
        <v>72.323004685291096</v>
      </c>
      <c r="CK43" s="37">
        <v>67.038057464224806</v>
      </c>
      <c r="CL43" s="37">
        <v>72.564929387847997</v>
      </c>
      <c r="CM43" s="37">
        <v>90.157260462893703</v>
      </c>
      <c r="CN43" s="37">
        <v>55.2194332054884</v>
      </c>
      <c r="CO43" s="37">
        <v>51.770901417264199</v>
      </c>
      <c r="CP43" s="37">
        <v>58.2296458474895</v>
      </c>
      <c r="CQ43" s="37">
        <v>48.267588033245303</v>
      </c>
      <c r="CR43" s="45">
        <v>0.451942474914516</v>
      </c>
      <c r="CS43" s="45">
        <v>1.37144823442367</v>
      </c>
      <c r="CT43" s="46">
        <v>8.9068350476708996E-2</v>
      </c>
      <c r="CU43" s="47">
        <v>0.12786851173587599</v>
      </c>
      <c r="CV43" s="48">
        <v>46.991458332403298</v>
      </c>
      <c r="CW43" s="49">
        <v>64.446352562968102</v>
      </c>
      <c r="CX43" s="31" t="s">
        <v>5874</v>
      </c>
      <c r="CY43" s="31" t="s">
        <v>5832</v>
      </c>
      <c r="CZ43" t="s">
        <v>11773</v>
      </c>
      <c r="DA43" t="s">
        <v>5904</v>
      </c>
      <c r="DB43">
        <v>785.8</v>
      </c>
      <c r="DC43" t="s">
        <v>31140</v>
      </c>
      <c r="DD43" t="s">
        <v>31141</v>
      </c>
      <c r="DE43" t="s">
        <v>31142</v>
      </c>
      <c r="DF43" t="s">
        <v>31143</v>
      </c>
      <c r="DG43" t="s">
        <v>31144</v>
      </c>
      <c r="DH43" t="str">
        <f>"ACTB"</f>
        <v>ACTB</v>
      </c>
      <c r="DI43" t="s">
        <v>13772</v>
      </c>
      <c r="DJ43" t="s">
        <v>13777</v>
      </c>
      <c r="DK43">
        <v>9606</v>
      </c>
      <c r="DL43" s="34" t="str">
        <f>HYPERLINK("http://www.uniprot.org/uniprot/P60709", "P60709")</f>
        <v>P60709</v>
      </c>
      <c r="DM43" t="s">
        <v>31145</v>
      </c>
      <c r="DN43" t="s">
        <v>13772</v>
      </c>
      <c r="DO43" t="s">
        <v>15843</v>
      </c>
      <c r="DP43" t="s">
        <v>13793</v>
      </c>
      <c r="DQ43" t="s">
        <v>13772</v>
      </c>
      <c r="DR43" t="s">
        <v>31146</v>
      </c>
      <c r="DS43" t="s">
        <v>13772</v>
      </c>
      <c r="DT43" t="s">
        <v>14005</v>
      </c>
      <c r="DU43" t="s">
        <v>13772</v>
      </c>
      <c r="DV43" t="s">
        <v>31147</v>
      </c>
      <c r="DW43" t="s">
        <v>13812</v>
      </c>
      <c r="DX43" t="s">
        <v>31148</v>
      </c>
      <c r="DY43" t="s">
        <v>31149</v>
      </c>
      <c r="DZ43" t="s">
        <v>31150</v>
      </c>
      <c r="EA43" t="s">
        <v>13772</v>
      </c>
      <c r="EB43" t="s">
        <v>31151</v>
      </c>
    </row>
    <row r="44" spans="1:132">
      <c r="A44">
        <v>1862</v>
      </c>
      <c r="B44">
        <v>1</v>
      </c>
      <c r="C44" t="s">
        <v>4401</v>
      </c>
      <c r="D44" t="s">
        <v>73</v>
      </c>
      <c r="E44" t="s">
        <v>73</v>
      </c>
      <c r="F44" t="s">
        <v>73</v>
      </c>
      <c r="G44" t="s">
        <v>73</v>
      </c>
      <c r="H44">
        <v>64.7</v>
      </c>
      <c r="I44">
        <v>465</v>
      </c>
      <c r="J44">
        <v>52661</v>
      </c>
      <c r="K44" t="s">
        <v>4402</v>
      </c>
      <c r="L44">
        <f t="shared" si="2"/>
        <v>1011</v>
      </c>
      <c r="N44">
        <v>1011</v>
      </c>
      <c r="O44">
        <v>1011</v>
      </c>
      <c r="P44">
        <v>1</v>
      </c>
      <c r="Q44">
        <v>73</v>
      </c>
      <c r="R44">
        <v>43</v>
      </c>
      <c r="S44">
        <v>31</v>
      </c>
      <c r="T44">
        <v>12</v>
      </c>
      <c r="U44">
        <v>15</v>
      </c>
      <c r="V44">
        <v>37</v>
      </c>
      <c r="W44">
        <v>111</v>
      </c>
      <c r="X44">
        <v>136</v>
      </c>
      <c r="Y44">
        <v>38</v>
      </c>
      <c r="Z44">
        <v>63</v>
      </c>
      <c r="AA44">
        <v>48</v>
      </c>
      <c r="AB44">
        <v>51</v>
      </c>
      <c r="AC44">
        <v>55</v>
      </c>
      <c r="AD44">
        <v>54</v>
      </c>
      <c r="AE44">
        <v>48</v>
      </c>
      <c r="AF44">
        <v>41</v>
      </c>
      <c r="AG44">
        <v>53</v>
      </c>
      <c r="AH44">
        <v>44</v>
      </c>
      <c r="AI44">
        <v>58</v>
      </c>
      <c r="AJ44">
        <v>73</v>
      </c>
      <c r="AK44">
        <v>43</v>
      </c>
      <c r="AL44">
        <v>31</v>
      </c>
      <c r="AM44">
        <v>12</v>
      </c>
      <c r="AN44">
        <v>15</v>
      </c>
      <c r="AO44">
        <v>37</v>
      </c>
      <c r="AP44">
        <v>111</v>
      </c>
      <c r="AQ44">
        <v>136</v>
      </c>
      <c r="AR44">
        <v>38</v>
      </c>
      <c r="AS44">
        <v>63</v>
      </c>
      <c r="AT44">
        <v>48</v>
      </c>
      <c r="AU44">
        <v>51</v>
      </c>
      <c r="AV44">
        <v>55</v>
      </c>
      <c r="AW44">
        <v>54</v>
      </c>
      <c r="AX44">
        <v>48</v>
      </c>
      <c r="AY44">
        <v>41</v>
      </c>
      <c r="AZ44">
        <v>53</v>
      </c>
      <c r="BA44">
        <v>44</v>
      </c>
      <c r="BB44">
        <v>58</v>
      </c>
      <c r="BC44" s="2">
        <v>73</v>
      </c>
      <c r="BD44" s="2">
        <v>43</v>
      </c>
      <c r="BE44" s="2">
        <v>31</v>
      </c>
      <c r="BF44" s="2">
        <v>12</v>
      </c>
      <c r="BG44" s="2">
        <v>15</v>
      </c>
      <c r="BH44" s="2">
        <v>37</v>
      </c>
      <c r="BI44" s="2">
        <v>111</v>
      </c>
      <c r="BJ44" s="2">
        <v>136</v>
      </c>
      <c r="BK44" s="2">
        <v>38</v>
      </c>
      <c r="BL44" s="2">
        <v>63</v>
      </c>
      <c r="BM44" s="2">
        <v>48</v>
      </c>
      <c r="BN44" s="2">
        <v>51</v>
      </c>
      <c r="BO44" s="2">
        <v>55</v>
      </c>
      <c r="BP44" s="2">
        <v>54</v>
      </c>
      <c r="BQ44" s="2">
        <v>48</v>
      </c>
      <c r="BR44" s="2">
        <v>41</v>
      </c>
      <c r="BS44" s="2">
        <v>53</v>
      </c>
      <c r="BT44" s="2">
        <v>44</v>
      </c>
      <c r="BU44" s="2">
        <v>58</v>
      </c>
      <c r="BV44" s="2">
        <f t="shared" si="5"/>
        <v>1011</v>
      </c>
      <c r="BW44" s="16">
        <f t="shared" si="3"/>
        <v>53.210526315789473</v>
      </c>
      <c r="BX44" s="16">
        <f>COUNTIF($BC$6:BU44, "=0") / COUNTIF($BC$6:BU44, "&gt;-1")</f>
        <v>6.7476383265856954E-3</v>
      </c>
      <c r="BY44" s="18">
        <f>SUM($BC$6:BU44) / $BY$4</f>
        <v>0.40075270439274613</v>
      </c>
      <c r="BZ44" s="14">
        <f t="shared" si="4"/>
        <v>0</v>
      </c>
      <c r="CA44" t="s">
        <v>5831</v>
      </c>
      <c r="CB44" s="36">
        <v>88.449967895935202</v>
      </c>
      <c r="CC44" s="36">
        <v>41.411757189130199</v>
      </c>
      <c r="CD44" s="36">
        <v>49.624727516180002</v>
      </c>
      <c r="CE44" s="36">
        <v>18.143061109838801</v>
      </c>
      <c r="CF44" s="36">
        <v>12.9026453990534</v>
      </c>
      <c r="CG44" s="36">
        <v>34.399908125661199</v>
      </c>
      <c r="CH44" s="36">
        <v>117.000913397975</v>
      </c>
      <c r="CI44" s="36">
        <v>132.35296932559399</v>
      </c>
      <c r="CJ44" s="37">
        <v>30.2008151433084</v>
      </c>
      <c r="CK44" s="37">
        <v>30.271183050637699</v>
      </c>
      <c r="CL44" s="37">
        <v>40.802771761634503</v>
      </c>
      <c r="CM44" s="37">
        <v>46.560087562996699</v>
      </c>
      <c r="CN44" s="37">
        <v>44.1020431591255</v>
      </c>
      <c r="CO44" s="37">
        <v>32.356813385790097</v>
      </c>
      <c r="CP44" s="37">
        <v>79.952622536708404</v>
      </c>
      <c r="CQ44" s="37">
        <v>88.312937095527801</v>
      </c>
      <c r="CR44" s="45">
        <v>-0.34398550929737198</v>
      </c>
      <c r="CS44" s="45">
        <v>-1.2591371114632901</v>
      </c>
      <c r="CT44" s="46">
        <v>0.44957039090544698</v>
      </c>
      <c r="CU44" s="47">
        <v>0.53232317082432601</v>
      </c>
      <c r="CV44" s="48">
        <v>61.7857437449209</v>
      </c>
      <c r="CW44" s="49">
        <v>49.069909211966099</v>
      </c>
      <c r="CX44" s="31" t="s">
        <v>5875</v>
      </c>
      <c r="CY44" s="31" t="s">
        <v>5832</v>
      </c>
      <c r="CZ44" t="s">
        <v>11971</v>
      </c>
      <c r="DA44" t="s">
        <v>5904</v>
      </c>
      <c r="DB44">
        <v>863.6</v>
      </c>
      <c r="DC44" t="s">
        <v>31690</v>
      </c>
      <c r="DD44" t="s">
        <v>31691</v>
      </c>
      <c r="DE44" t="s">
        <v>31692</v>
      </c>
      <c r="DF44" t="s">
        <v>31693</v>
      </c>
      <c r="DG44" t="s">
        <v>31694</v>
      </c>
      <c r="DH44" t="str">
        <f>"SERPINC1"</f>
        <v>SERPINC1</v>
      </c>
      <c r="DI44" t="s">
        <v>31695</v>
      </c>
      <c r="DJ44" t="s">
        <v>13777</v>
      </c>
      <c r="DK44">
        <v>9606</v>
      </c>
      <c r="DL44" s="34" t="str">
        <f>HYPERLINK("http://www.uniprot.org/uniprot/P01008", "P01008")</f>
        <v>P01008</v>
      </c>
      <c r="DM44" t="s">
        <v>31696</v>
      </c>
      <c r="DN44" t="s">
        <v>16755</v>
      </c>
      <c r="DO44" t="s">
        <v>14321</v>
      </c>
      <c r="DP44" t="s">
        <v>13793</v>
      </c>
      <c r="DQ44" t="s">
        <v>13772</v>
      </c>
      <c r="DR44" t="s">
        <v>17445</v>
      </c>
      <c r="DS44" t="s">
        <v>13808</v>
      </c>
      <c r="DT44" t="s">
        <v>13772</v>
      </c>
      <c r="DU44" t="s">
        <v>14691</v>
      </c>
      <c r="DV44" t="s">
        <v>13964</v>
      </c>
      <c r="DW44" t="s">
        <v>13812</v>
      </c>
      <c r="DX44" t="s">
        <v>31697</v>
      </c>
      <c r="DY44" t="s">
        <v>31698</v>
      </c>
      <c r="DZ44" t="s">
        <v>31699</v>
      </c>
      <c r="EA44" t="s">
        <v>13772</v>
      </c>
      <c r="EB44" t="s">
        <v>17450</v>
      </c>
    </row>
    <row r="45" spans="1:132">
      <c r="A45">
        <v>506</v>
      </c>
      <c r="B45">
        <v>1</v>
      </c>
      <c r="C45" t="s">
        <v>1276</v>
      </c>
      <c r="D45" t="s">
        <v>73</v>
      </c>
      <c r="E45" t="s">
        <v>73</v>
      </c>
      <c r="F45" t="s">
        <v>73</v>
      </c>
      <c r="G45" t="s">
        <v>73</v>
      </c>
      <c r="H45">
        <v>70</v>
      </c>
      <c r="I45">
        <v>6009</v>
      </c>
      <c r="J45">
        <v>642280</v>
      </c>
      <c r="K45" t="s">
        <v>1277</v>
      </c>
      <c r="L45">
        <f t="shared" si="2"/>
        <v>991</v>
      </c>
      <c r="N45">
        <v>991</v>
      </c>
      <c r="O45">
        <v>991</v>
      </c>
      <c r="P45">
        <v>1</v>
      </c>
      <c r="Q45">
        <v>8</v>
      </c>
      <c r="R45">
        <v>9</v>
      </c>
      <c r="S45">
        <v>9</v>
      </c>
      <c r="T45">
        <v>7</v>
      </c>
      <c r="U45">
        <v>8</v>
      </c>
      <c r="V45">
        <v>17</v>
      </c>
      <c r="W45">
        <v>7</v>
      </c>
      <c r="X45">
        <v>24</v>
      </c>
      <c r="Y45">
        <v>136</v>
      </c>
      <c r="Z45">
        <v>7</v>
      </c>
      <c r="AA45">
        <v>209</v>
      </c>
      <c r="AB45">
        <v>122</v>
      </c>
      <c r="AC45">
        <v>95</v>
      </c>
      <c r="AD45">
        <v>4</v>
      </c>
      <c r="AE45">
        <v>116</v>
      </c>
      <c r="AF45">
        <v>122</v>
      </c>
      <c r="AG45">
        <v>31</v>
      </c>
      <c r="AH45">
        <v>8</v>
      </c>
      <c r="AI45">
        <v>52</v>
      </c>
      <c r="AJ45">
        <v>8</v>
      </c>
      <c r="AK45">
        <v>9</v>
      </c>
      <c r="AL45">
        <v>9</v>
      </c>
      <c r="AM45">
        <v>7</v>
      </c>
      <c r="AN45">
        <v>8</v>
      </c>
      <c r="AO45">
        <v>17</v>
      </c>
      <c r="AP45">
        <v>7</v>
      </c>
      <c r="AQ45">
        <v>24</v>
      </c>
      <c r="AR45">
        <v>136</v>
      </c>
      <c r="AS45">
        <v>7</v>
      </c>
      <c r="AT45">
        <v>209</v>
      </c>
      <c r="AU45">
        <v>122</v>
      </c>
      <c r="AV45">
        <v>95</v>
      </c>
      <c r="AW45">
        <v>4</v>
      </c>
      <c r="AX45">
        <v>116</v>
      </c>
      <c r="AY45">
        <v>122</v>
      </c>
      <c r="AZ45">
        <v>31</v>
      </c>
      <c r="BA45">
        <v>8</v>
      </c>
      <c r="BB45">
        <v>52</v>
      </c>
      <c r="BC45" s="2">
        <v>8</v>
      </c>
      <c r="BD45" s="2">
        <v>9</v>
      </c>
      <c r="BE45" s="2">
        <v>9</v>
      </c>
      <c r="BF45" s="2">
        <v>7</v>
      </c>
      <c r="BG45" s="2">
        <v>8</v>
      </c>
      <c r="BH45" s="2">
        <v>17</v>
      </c>
      <c r="BI45" s="2">
        <v>7</v>
      </c>
      <c r="BJ45" s="2">
        <v>24</v>
      </c>
      <c r="BK45" s="2">
        <v>136</v>
      </c>
      <c r="BL45" s="2">
        <v>7</v>
      </c>
      <c r="BM45" s="2">
        <v>209</v>
      </c>
      <c r="BN45" s="2">
        <v>122</v>
      </c>
      <c r="BO45" s="2">
        <v>95</v>
      </c>
      <c r="BP45" s="2">
        <v>4</v>
      </c>
      <c r="BQ45" s="2">
        <v>116</v>
      </c>
      <c r="BR45" s="2">
        <v>122</v>
      </c>
      <c r="BS45" s="2">
        <v>31</v>
      </c>
      <c r="BT45" s="2">
        <v>8</v>
      </c>
      <c r="BU45" s="2">
        <v>52</v>
      </c>
      <c r="BV45" s="2">
        <f t="shared" si="5"/>
        <v>991</v>
      </c>
      <c r="BW45" s="16">
        <f t="shared" si="3"/>
        <v>52.157894736842103</v>
      </c>
      <c r="BX45" s="16">
        <f>COUNTIF($BC$6:BU45, "=0") / COUNTIF($BC$6:BU45, "&gt;-1")</f>
        <v>6.5789473684210523E-3</v>
      </c>
      <c r="BY45" s="18">
        <f>SUM($BC$6:BU45) / $BY$4</f>
        <v>0.40499778852962831</v>
      </c>
      <c r="BZ45" s="14">
        <f t="shared" si="4"/>
        <v>0</v>
      </c>
      <c r="CA45" t="s">
        <v>5831</v>
      </c>
      <c r="CB45" s="36">
        <v>9.6931471666778304</v>
      </c>
      <c r="CC45" s="36">
        <v>8.6675770860970207</v>
      </c>
      <c r="CD45" s="36">
        <v>14.4071789563103</v>
      </c>
      <c r="CE45" s="36">
        <v>10.5834523140726</v>
      </c>
      <c r="CF45" s="36">
        <v>6.8814108794951396</v>
      </c>
      <c r="CG45" s="36">
        <v>15.805363192871299</v>
      </c>
      <c r="CH45" s="36">
        <v>7.3784359800524904</v>
      </c>
      <c r="CI45" s="36">
        <v>23.356406351575298</v>
      </c>
      <c r="CJ45" s="37">
        <v>108.087127881314</v>
      </c>
      <c r="CK45" s="37">
        <v>131.805776199652</v>
      </c>
      <c r="CL45" s="37">
        <v>97.606630488615806</v>
      </c>
      <c r="CM45" s="37">
        <v>80.421969426994394</v>
      </c>
      <c r="CN45" s="37">
        <v>106.579937634553</v>
      </c>
      <c r="CO45" s="37">
        <v>96.281249586985197</v>
      </c>
      <c r="CP45" s="37">
        <v>46.764741483735101</v>
      </c>
      <c r="CQ45" s="37">
        <v>79.177116016680102</v>
      </c>
      <c r="CR45" s="45">
        <v>2.9417478856452801</v>
      </c>
      <c r="CS45" s="45">
        <v>7.7162510755652196</v>
      </c>
      <c r="CT45" s="46">
        <v>1.7467203628377501E-18</v>
      </c>
      <c r="CU45" s="47">
        <v>2.3371118454769101E-16</v>
      </c>
      <c r="CV45" s="48">
        <v>12.096621490894</v>
      </c>
      <c r="CW45" s="49">
        <v>93.340568589816201</v>
      </c>
      <c r="CX45" s="31" t="s">
        <v>5874</v>
      </c>
      <c r="CY45" s="31" t="s">
        <v>5876</v>
      </c>
      <c r="CZ45" t="s">
        <v>7467</v>
      </c>
      <c r="DA45" t="s">
        <v>5904</v>
      </c>
      <c r="DB45">
        <v>8075.7</v>
      </c>
      <c r="DC45" t="s">
        <v>18774</v>
      </c>
      <c r="DD45" t="s">
        <v>18775</v>
      </c>
      <c r="DE45" t="s">
        <v>18776</v>
      </c>
      <c r="DF45" t="s">
        <v>18777</v>
      </c>
      <c r="DG45" t="s">
        <v>18778</v>
      </c>
      <c r="DH45" t="str">
        <f>"AHNAK"</f>
        <v>AHNAK</v>
      </c>
      <c r="DI45" t="s">
        <v>18779</v>
      </c>
      <c r="DJ45" t="s">
        <v>13777</v>
      </c>
      <c r="DK45">
        <v>9606</v>
      </c>
      <c r="DL45" s="34" t="str">
        <f>HYPERLINK("http://www.uniprot.org/uniprot/Q09666", "Q09666")</f>
        <v>Q09666</v>
      </c>
      <c r="DM45" t="s">
        <v>18780</v>
      </c>
      <c r="DN45" t="s">
        <v>13772</v>
      </c>
      <c r="DO45" t="s">
        <v>14825</v>
      </c>
      <c r="DP45" t="s">
        <v>13780</v>
      </c>
      <c r="DQ45" t="s">
        <v>13772</v>
      </c>
      <c r="DR45" t="s">
        <v>13772</v>
      </c>
      <c r="DS45" t="s">
        <v>14096</v>
      </c>
      <c r="DT45" t="s">
        <v>13772</v>
      </c>
      <c r="DU45" t="s">
        <v>13772</v>
      </c>
      <c r="DV45" t="s">
        <v>14663</v>
      </c>
      <c r="DW45" t="s">
        <v>13812</v>
      </c>
      <c r="DX45" t="s">
        <v>18781</v>
      </c>
      <c r="DY45" t="s">
        <v>18782</v>
      </c>
      <c r="DZ45" t="s">
        <v>18783</v>
      </c>
      <c r="EA45" t="s">
        <v>13772</v>
      </c>
      <c r="EB45" t="s">
        <v>13772</v>
      </c>
    </row>
    <row r="46" spans="1:132">
      <c r="A46">
        <v>1784</v>
      </c>
      <c r="B46">
        <v>1</v>
      </c>
      <c r="C46" t="s">
        <v>4219</v>
      </c>
      <c r="D46" t="s">
        <v>73</v>
      </c>
      <c r="E46" t="s">
        <v>73</v>
      </c>
      <c r="F46" t="s">
        <v>4215</v>
      </c>
      <c r="G46" t="s">
        <v>73</v>
      </c>
      <c r="H46">
        <v>59.8</v>
      </c>
      <c r="I46">
        <v>895</v>
      </c>
      <c r="J46">
        <v>102042</v>
      </c>
      <c r="K46" t="s">
        <v>4220</v>
      </c>
      <c r="L46">
        <f t="shared" si="2"/>
        <v>1021</v>
      </c>
      <c r="N46">
        <v>1021</v>
      </c>
      <c r="O46">
        <v>937</v>
      </c>
      <c r="P46">
        <v>0.91800000000000004</v>
      </c>
      <c r="Q46">
        <v>31</v>
      </c>
      <c r="R46">
        <v>48</v>
      </c>
      <c r="S46">
        <v>37</v>
      </c>
      <c r="T46">
        <v>59</v>
      </c>
      <c r="U46">
        <v>58</v>
      </c>
      <c r="V46">
        <v>34</v>
      </c>
      <c r="W46">
        <v>40</v>
      </c>
      <c r="X46">
        <v>29</v>
      </c>
      <c r="Y46">
        <v>43</v>
      </c>
      <c r="Z46">
        <v>108</v>
      </c>
      <c r="AA46">
        <v>22</v>
      </c>
      <c r="AB46">
        <v>33</v>
      </c>
      <c r="AC46">
        <v>75</v>
      </c>
      <c r="AD46">
        <v>95</v>
      </c>
      <c r="AE46">
        <v>77</v>
      </c>
      <c r="AF46">
        <v>54</v>
      </c>
      <c r="AG46">
        <v>57</v>
      </c>
      <c r="AH46">
        <v>54</v>
      </c>
      <c r="AI46">
        <v>67</v>
      </c>
      <c r="AJ46">
        <v>29</v>
      </c>
      <c r="AK46">
        <v>44</v>
      </c>
      <c r="AL46">
        <v>34</v>
      </c>
      <c r="AM46">
        <v>57</v>
      </c>
      <c r="AN46">
        <v>54</v>
      </c>
      <c r="AO46">
        <v>31</v>
      </c>
      <c r="AP46">
        <v>38</v>
      </c>
      <c r="AQ46">
        <v>25</v>
      </c>
      <c r="AR46">
        <v>41</v>
      </c>
      <c r="AS46">
        <v>98</v>
      </c>
      <c r="AT46">
        <v>19</v>
      </c>
      <c r="AU46">
        <v>29</v>
      </c>
      <c r="AV46">
        <v>69</v>
      </c>
      <c r="AW46">
        <v>86</v>
      </c>
      <c r="AX46">
        <v>69</v>
      </c>
      <c r="AY46">
        <v>50</v>
      </c>
      <c r="AZ46">
        <v>52</v>
      </c>
      <c r="BA46">
        <v>50</v>
      </c>
      <c r="BB46">
        <v>62</v>
      </c>
      <c r="BC46" s="2">
        <v>30.289000000000001</v>
      </c>
      <c r="BD46" s="2">
        <v>46.627000000000002</v>
      </c>
      <c r="BE46" s="2">
        <v>36.372</v>
      </c>
      <c r="BF46" s="2">
        <v>58.652000000000001</v>
      </c>
      <c r="BG46" s="2">
        <v>56.841999999999999</v>
      </c>
      <c r="BH46" s="2">
        <v>33.268000000000001</v>
      </c>
      <c r="BI46" s="2">
        <v>39.381999999999998</v>
      </c>
      <c r="BJ46" s="2">
        <v>27.326000000000001</v>
      </c>
      <c r="BK46" s="2">
        <v>42.051000000000002</v>
      </c>
      <c r="BL46" s="2">
        <v>104.012</v>
      </c>
      <c r="BM46" s="2">
        <v>20.326000000000001</v>
      </c>
      <c r="BN46" s="2">
        <v>30.933</v>
      </c>
      <c r="BO46" s="2">
        <v>72.695999999999998</v>
      </c>
      <c r="BP46" s="2">
        <v>91.337999999999994</v>
      </c>
      <c r="BQ46" s="2">
        <v>73.278999999999996</v>
      </c>
      <c r="BR46" s="2">
        <v>52.173999999999999</v>
      </c>
      <c r="BS46" s="2">
        <v>54.68</v>
      </c>
      <c r="BT46" s="2">
        <v>52.381</v>
      </c>
      <c r="BU46" s="2">
        <v>64.951999999999998</v>
      </c>
      <c r="BV46" s="2">
        <f t="shared" si="5"/>
        <v>987.57999999999993</v>
      </c>
      <c r="BW46" s="16">
        <f t="shared" si="3"/>
        <v>51.977894736842103</v>
      </c>
      <c r="BX46" s="16">
        <f>COUNTIF($BC$6:BU46, "=0") / COUNTIF($BC$6:BU46, "&gt;-1")</f>
        <v>6.4184852374839542E-3</v>
      </c>
      <c r="BY46" s="18">
        <f>SUM($BC$6:BU46) / $BY$4</f>
        <v>0.40922822262841957</v>
      </c>
      <c r="BZ46" s="14">
        <f t="shared" si="4"/>
        <v>0</v>
      </c>
      <c r="CA46" t="s">
        <v>5831</v>
      </c>
      <c r="CB46" s="36">
        <v>36.712794893792299</v>
      </c>
      <c r="CC46" s="36">
        <v>44.878788023569001</v>
      </c>
      <c r="CD46" s="36">
        <v>58.2690348899662</v>
      </c>
      <c r="CE46" s="36">
        <v>88.749807262294595</v>
      </c>
      <c r="CF46" s="36">
        <v>48.8580172444155</v>
      </c>
      <c r="CG46" s="36">
        <v>30.959917313095101</v>
      </c>
      <c r="CH46" s="36">
        <v>41.5300539448668</v>
      </c>
      <c r="CI46" s="36">
        <v>26.567912224916999</v>
      </c>
      <c r="CJ46" s="37">
        <v>33.459324145612698</v>
      </c>
      <c r="CK46" s="37">
        <v>12.8021878318322</v>
      </c>
      <c r="CL46" s="37">
        <v>24.7216793614609</v>
      </c>
      <c r="CM46" s="37">
        <v>61.543970287815696</v>
      </c>
      <c r="CN46" s="37">
        <v>67.347495074247902</v>
      </c>
      <c r="CO46" s="37">
        <v>41.195747774103502</v>
      </c>
      <c r="CP46" s="37">
        <v>82.517140618074507</v>
      </c>
      <c r="CQ46" s="37">
        <v>98.971395020850096</v>
      </c>
      <c r="CR46" s="45">
        <v>0.158987142871856</v>
      </c>
      <c r="CS46" s="45">
        <v>1.1222560314199901</v>
      </c>
      <c r="CT46" s="46">
        <v>0.67915739087425897</v>
      </c>
      <c r="CU46" s="47">
        <v>0.74863260614146798</v>
      </c>
      <c r="CV46" s="48">
        <v>47.065790724614601</v>
      </c>
      <c r="CW46" s="49">
        <v>52.819867514249701</v>
      </c>
      <c r="CX46" s="31" t="s">
        <v>5874</v>
      </c>
      <c r="CY46" s="31" t="s">
        <v>5832</v>
      </c>
      <c r="CZ46" t="s">
        <v>11695</v>
      </c>
      <c r="DA46" t="s">
        <v>5904</v>
      </c>
      <c r="DB46">
        <v>1060.8</v>
      </c>
      <c r="DC46" t="s">
        <v>30908</v>
      </c>
      <c r="DD46" t="s">
        <v>30909</v>
      </c>
      <c r="DE46" t="s">
        <v>30910</v>
      </c>
      <c r="DF46" t="s">
        <v>30911</v>
      </c>
      <c r="DG46" t="s">
        <v>30912</v>
      </c>
      <c r="DH46" t="str">
        <f>"CFH"</f>
        <v>CFH</v>
      </c>
      <c r="DI46" t="s">
        <v>30913</v>
      </c>
      <c r="DJ46" t="s">
        <v>13777</v>
      </c>
      <c r="DK46">
        <v>9606</v>
      </c>
      <c r="DL46" s="34" t="str">
        <f>HYPERLINK("http://www.uniprot.org/uniprot/P08603", "P08603")</f>
        <v>P08603</v>
      </c>
      <c r="DM46" t="s">
        <v>30914</v>
      </c>
      <c r="DN46" t="s">
        <v>30915</v>
      </c>
      <c r="DO46" t="s">
        <v>14321</v>
      </c>
      <c r="DP46" t="s">
        <v>13780</v>
      </c>
      <c r="DQ46" t="s">
        <v>13772</v>
      </c>
      <c r="DR46" t="s">
        <v>21037</v>
      </c>
      <c r="DS46" t="s">
        <v>28012</v>
      </c>
      <c r="DT46" t="s">
        <v>13772</v>
      </c>
      <c r="DU46" t="s">
        <v>13772</v>
      </c>
      <c r="DV46" t="s">
        <v>13796</v>
      </c>
      <c r="DW46" t="s">
        <v>13812</v>
      </c>
      <c r="DX46" t="s">
        <v>30916</v>
      </c>
      <c r="DY46" t="s">
        <v>24704</v>
      </c>
      <c r="DZ46" t="s">
        <v>30917</v>
      </c>
      <c r="EA46" t="s">
        <v>13772</v>
      </c>
      <c r="EB46" t="s">
        <v>22277</v>
      </c>
    </row>
    <row r="47" spans="1:132">
      <c r="A47">
        <v>1931</v>
      </c>
      <c r="B47">
        <v>1</v>
      </c>
      <c r="C47" t="s">
        <v>4548</v>
      </c>
      <c r="D47" t="s">
        <v>73</v>
      </c>
      <c r="E47" t="s">
        <v>73</v>
      </c>
      <c r="F47" t="s">
        <v>73</v>
      </c>
      <c r="G47" t="s">
        <v>73</v>
      </c>
      <c r="H47">
        <v>83.5</v>
      </c>
      <c r="I47">
        <v>206</v>
      </c>
      <c r="J47">
        <v>23311</v>
      </c>
      <c r="K47" t="s">
        <v>4549</v>
      </c>
      <c r="L47">
        <f t="shared" si="2"/>
        <v>965</v>
      </c>
      <c r="N47">
        <v>965</v>
      </c>
      <c r="O47">
        <v>965</v>
      </c>
      <c r="P47">
        <v>1</v>
      </c>
      <c r="Q47">
        <v>99</v>
      </c>
      <c r="R47">
        <v>21</v>
      </c>
      <c r="S47">
        <v>17</v>
      </c>
      <c r="T47">
        <v>11</v>
      </c>
      <c r="U47">
        <v>8</v>
      </c>
      <c r="V47">
        <v>14</v>
      </c>
      <c r="W47">
        <v>74</v>
      </c>
      <c r="X47">
        <v>61</v>
      </c>
      <c r="Y47">
        <v>128</v>
      </c>
      <c r="Z47">
        <v>52</v>
      </c>
      <c r="AA47">
        <v>56</v>
      </c>
      <c r="AB47">
        <v>69</v>
      </c>
      <c r="AC47">
        <v>68</v>
      </c>
      <c r="AD47">
        <v>35</v>
      </c>
      <c r="AE47">
        <v>37</v>
      </c>
      <c r="AF47">
        <v>66</v>
      </c>
      <c r="AG47">
        <v>40</v>
      </c>
      <c r="AH47">
        <v>33</v>
      </c>
      <c r="AI47">
        <v>76</v>
      </c>
      <c r="AJ47">
        <v>99</v>
      </c>
      <c r="AK47">
        <v>21</v>
      </c>
      <c r="AL47">
        <v>17</v>
      </c>
      <c r="AM47">
        <v>11</v>
      </c>
      <c r="AN47">
        <v>8</v>
      </c>
      <c r="AO47">
        <v>14</v>
      </c>
      <c r="AP47">
        <v>74</v>
      </c>
      <c r="AQ47">
        <v>61</v>
      </c>
      <c r="AR47">
        <v>128</v>
      </c>
      <c r="AS47">
        <v>52</v>
      </c>
      <c r="AT47">
        <v>56</v>
      </c>
      <c r="AU47">
        <v>69</v>
      </c>
      <c r="AV47">
        <v>68</v>
      </c>
      <c r="AW47">
        <v>35</v>
      </c>
      <c r="AX47">
        <v>37</v>
      </c>
      <c r="AY47">
        <v>66</v>
      </c>
      <c r="AZ47">
        <v>40</v>
      </c>
      <c r="BA47">
        <v>33</v>
      </c>
      <c r="BB47">
        <v>76</v>
      </c>
      <c r="BC47" s="2">
        <v>99</v>
      </c>
      <c r="BD47" s="2">
        <v>21</v>
      </c>
      <c r="BE47" s="2">
        <v>17</v>
      </c>
      <c r="BF47" s="2">
        <v>11</v>
      </c>
      <c r="BG47" s="2">
        <v>8</v>
      </c>
      <c r="BH47" s="2">
        <v>14</v>
      </c>
      <c r="BI47" s="2">
        <v>74</v>
      </c>
      <c r="BJ47" s="2">
        <v>61</v>
      </c>
      <c r="BK47" s="2">
        <v>128</v>
      </c>
      <c r="BL47" s="2">
        <v>52</v>
      </c>
      <c r="BM47" s="2">
        <v>56</v>
      </c>
      <c r="BN47" s="2">
        <v>69</v>
      </c>
      <c r="BO47" s="2">
        <v>68</v>
      </c>
      <c r="BP47" s="2">
        <v>35</v>
      </c>
      <c r="BQ47" s="2">
        <v>37</v>
      </c>
      <c r="BR47" s="2">
        <v>66</v>
      </c>
      <c r="BS47" s="2">
        <v>40</v>
      </c>
      <c r="BT47" s="2">
        <v>33</v>
      </c>
      <c r="BU47" s="2">
        <v>76</v>
      </c>
      <c r="BV47" s="2">
        <f t="shared" si="5"/>
        <v>965</v>
      </c>
      <c r="BW47" s="16">
        <f t="shared" si="3"/>
        <v>50.789473684210527</v>
      </c>
      <c r="BX47" s="16">
        <f>COUNTIF($BC$6:BU47, "=0") / COUNTIF($BC$6:BU47, "&gt;-1")</f>
        <v>6.2656641604010022E-3</v>
      </c>
      <c r="BY47" s="18">
        <f>SUM($BC$6:BU47) / $BY$4</f>
        <v>0.41336193220671552</v>
      </c>
      <c r="BZ47" s="14">
        <f t="shared" si="4"/>
        <v>0</v>
      </c>
      <c r="CA47" t="s">
        <v>5831</v>
      </c>
      <c r="CB47" s="36">
        <v>119.952696187638</v>
      </c>
      <c r="CC47" s="36">
        <v>20.224346534226399</v>
      </c>
      <c r="CD47" s="36">
        <v>27.213560250808399</v>
      </c>
      <c r="CE47" s="36">
        <v>16.631139350685501</v>
      </c>
      <c r="CF47" s="36">
        <v>6.8814108794951396</v>
      </c>
      <c r="CG47" s="36">
        <v>13.0161814529529</v>
      </c>
      <c r="CH47" s="36">
        <v>78.000608931983393</v>
      </c>
      <c r="CI47" s="36">
        <v>59.364199476920703</v>
      </c>
      <c r="CJ47" s="37">
        <v>101.729061535355</v>
      </c>
      <c r="CK47" s="37">
        <v>35.316380225743998</v>
      </c>
      <c r="CL47" s="37">
        <v>55.203750030446599</v>
      </c>
      <c r="CM47" s="37">
        <v>57.565199168795999</v>
      </c>
      <c r="CN47" s="37">
        <v>33.995324935159204</v>
      </c>
      <c r="CO47" s="37">
        <v>52.086577645418203</v>
      </c>
      <c r="CP47" s="37">
        <v>60.341601914496898</v>
      </c>
      <c r="CQ47" s="37">
        <v>115.72040033207099</v>
      </c>
      <c r="CR47" s="45">
        <v>0.580966067214016</v>
      </c>
      <c r="CS47" s="45">
        <v>1.5000940014093</v>
      </c>
      <c r="CT47" s="46">
        <v>0.23564096661772599</v>
      </c>
      <c r="CU47" s="47">
        <v>0.30551125323112199</v>
      </c>
      <c r="CV47" s="48">
        <v>42.660517883088801</v>
      </c>
      <c r="CW47" s="49">
        <v>63.994786973435801</v>
      </c>
      <c r="CX47" s="31" t="s">
        <v>5874</v>
      </c>
      <c r="CY47" s="31" t="s">
        <v>5832</v>
      </c>
      <c r="CZ47" t="s">
        <v>12188</v>
      </c>
      <c r="DA47" t="s">
        <v>5904</v>
      </c>
      <c r="DB47">
        <v>236.9</v>
      </c>
      <c r="DC47" t="s">
        <v>32288</v>
      </c>
      <c r="DD47" t="s">
        <v>32289</v>
      </c>
      <c r="DE47" t="s">
        <v>32290</v>
      </c>
      <c r="DF47" t="s">
        <v>32291</v>
      </c>
      <c r="DG47" t="s">
        <v>32292</v>
      </c>
      <c r="DH47" t="str">
        <f>"ORM1"</f>
        <v>ORM1</v>
      </c>
      <c r="DI47" t="s">
        <v>32293</v>
      </c>
      <c r="DJ47" t="s">
        <v>13777</v>
      </c>
      <c r="DK47">
        <v>9606</v>
      </c>
      <c r="DL47" s="34" t="str">
        <f>HYPERLINK("http://www.uniprot.org/uniprot/P02763", "P02763")</f>
        <v>P02763</v>
      </c>
      <c r="DM47" t="s">
        <v>32294</v>
      </c>
      <c r="DN47" t="s">
        <v>32295</v>
      </c>
      <c r="DO47" t="s">
        <v>14321</v>
      </c>
      <c r="DP47" t="s">
        <v>13793</v>
      </c>
      <c r="DQ47" t="s">
        <v>13772</v>
      </c>
      <c r="DR47" t="s">
        <v>13772</v>
      </c>
      <c r="DS47" t="s">
        <v>13808</v>
      </c>
      <c r="DT47" t="s">
        <v>13772</v>
      </c>
      <c r="DU47" t="s">
        <v>13772</v>
      </c>
      <c r="DV47" t="s">
        <v>16701</v>
      </c>
      <c r="DW47" t="s">
        <v>13812</v>
      </c>
      <c r="DX47" t="s">
        <v>32296</v>
      </c>
      <c r="DY47" t="s">
        <v>32297</v>
      </c>
      <c r="DZ47" t="s">
        <v>13772</v>
      </c>
      <c r="EA47" t="s">
        <v>13772</v>
      </c>
      <c r="EB47" t="s">
        <v>14706</v>
      </c>
    </row>
    <row r="48" spans="1:132">
      <c r="A48">
        <v>1083</v>
      </c>
      <c r="B48">
        <v>1</v>
      </c>
      <c r="C48" t="s">
        <v>2605</v>
      </c>
      <c r="D48" t="s">
        <v>2606</v>
      </c>
      <c r="E48" t="s">
        <v>73</v>
      </c>
      <c r="F48" t="s">
        <v>73</v>
      </c>
      <c r="G48" t="s">
        <v>73</v>
      </c>
      <c r="H48">
        <v>60.3</v>
      </c>
      <c r="I48">
        <v>527</v>
      </c>
      <c r="J48">
        <v>58185</v>
      </c>
      <c r="K48" t="s">
        <v>2607</v>
      </c>
      <c r="L48">
        <f t="shared" si="2"/>
        <v>938</v>
      </c>
      <c r="N48">
        <v>938</v>
      </c>
      <c r="O48">
        <v>938</v>
      </c>
      <c r="P48">
        <v>1</v>
      </c>
      <c r="Q48">
        <v>55</v>
      </c>
      <c r="R48">
        <v>77</v>
      </c>
      <c r="S48">
        <v>92</v>
      </c>
      <c r="T48">
        <v>71</v>
      </c>
      <c r="U48">
        <v>86</v>
      </c>
      <c r="V48">
        <v>80</v>
      </c>
      <c r="W48">
        <v>80</v>
      </c>
      <c r="X48">
        <v>61</v>
      </c>
      <c r="Y48">
        <v>24</v>
      </c>
      <c r="Z48">
        <v>15</v>
      </c>
      <c r="AA48">
        <v>43</v>
      </c>
      <c r="AB48">
        <v>41</v>
      </c>
      <c r="AC48">
        <v>26</v>
      </c>
      <c r="AD48">
        <v>19</v>
      </c>
      <c r="AE48">
        <v>46</v>
      </c>
      <c r="AF48">
        <v>53</v>
      </c>
      <c r="AG48">
        <v>21</v>
      </c>
      <c r="AH48">
        <v>21</v>
      </c>
      <c r="AI48">
        <v>27</v>
      </c>
      <c r="AJ48">
        <v>55</v>
      </c>
      <c r="AK48">
        <v>77</v>
      </c>
      <c r="AL48">
        <v>92</v>
      </c>
      <c r="AM48">
        <v>71</v>
      </c>
      <c r="AN48">
        <v>86</v>
      </c>
      <c r="AO48">
        <v>80</v>
      </c>
      <c r="AP48">
        <v>80</v>
      </c>
      <c r="AQ48">
        <v>61</v>
      </c>
      <c r="AR48">
        <v>24</v>
      </c>
      <c r="AS48">
        <v>15</v>
      </c>
      <c r="AT48">
        <v>43</v>
      </c>
      <c r="AU48">
        <v>41</v>
      </c>
      <c r="AV48">
        <v>26</v>
      </c>
      <c r="AW48">
        <v>19</v>
      </c>
      <c r="AX48">
        <v>46</v>
      </c>
      <c r="AY48">
        <v>53</v>
      </c>
      <c r="AZ48">
        <v>21</v>
      </c>
      <c r="BA48">
        <v>21</v>
      </c>
      <c r="BB48">
        <v>27</v>
      </c>
      <c r="BC48" s="2">
        <v>55</v>
      </c>
      <c r="BD48" s="2">
        <v>77</v>
      </c>
      <c r="BE48" s="2">
        <v>92</v>
      </c>
      <c r="BF48" s="2">
        <v>71</v>
      </c>
      <c r="BG48" s="2">
        <v>86</v>
      </c>
      <c r="BH48" s="2">
        <v>80</v>
      </c>
      <c r="BI48" s="2">
        <v>80</v>
      </c>
      <c r="BJ48" s="2">
        <v>61</v>
      </c>
      <c r="BK48" s="2">
        <v>24</v>
      </c>
      <c r="BL48" s="2">
        <v>15</v>
      </c>
      <c r="BM48" s="2">
        <v>43</v>
      </c>
      <c r="BN48" s="2">
        <v>41</v>
      </c>
      <c r="BO48" s="2">
        <v>26</v>
      </c>
      <c r="BP48" s="2">
        <v>19</v>
      </c>
      <c r="BQ48" s="2">
        <v>46</v>
      </c>
      <c r="BR48" s="2">
        <v>53</v>
      </c>
      <c r="BS48" s="2">
        <v>21</v>
      </c>
      <c r="BT48" s="2">
        <v>21</v>
      </c>
      <c r="BU48" s="2">
        <v>27</v>
      </c>
      <c r="BV48" s="2">
        <f t="shared" si="5"/>
        <v>938</v>
      </c>
      <c r="BW48" s="16">
        <f t="shared" si="3"/>
        <v>49.368421052631582</v>
      </c>
      <c r="BX48" s="16">
        <f>COUNTIF($BC$6:BU48, "=0") / COUNTIF($BC$6:BU48, "&gt;-1")</f>
        <v>6.1199510403916772E-3</v>
      </c>
      <c r="BY48" s="18">
        <f>SUM($BC$6:BU48) / $BY$4</f>
        <v>0.41737998358955658</v>
      </c>
      <c r="BZ48" s="14">
        <f t="shared" si="4"/>
        <v>0</v>
      </c>
      <c r="CA48" t="s">
        <v>5831</v>
      </c>
      <c r="CB48" s="36">
        <v>66.640386770910098</v>
      </c>
      <c r="CC48" s="36">
        <v>74.155937292163401</v>
      </c>
      <c r="CD48" s="36">
        <v>147.273384886728</v>
      </c>
      <c r="CE48" s="36">
        <v>107.346444899879</v>
      </c>
      <c r="CF48" s="36">
        <v>73.9751669545727</v>
      </c>
      <c r="CG48" s="36">
        <v>74.378179731159307</v>
      </c>
      <c r="CH48" s="36">
        <v>84.324982629171203</v>
      </c>
      <c r="CI48" s="36">
        <v>59.364199476920703</v>
      </c>
      <c r="CJ48" s="37">
        <v>19.074199037879001</v>
      </c>
      <c r="CK48" s="37">
        <v>27.1179348161963</v>
      </c>
      <c r="CL48" s="37">
        <v>32.802228278961103</v>
      </c>
      <c r="CM48" s="37">
        <v>22.0102232115985</v>
      </c>
      <c r="CN48" s="37">
        <v>42.264458027495202</v>
      </c>
      <c r="CO48" s="37">
        <v>41.827100230411602</v>
      </c>
      <c r="CP48" s="37">
        <v>31.679341005110899</v>
      </c>
      <c r="CQ48" s="37">
        <v>41.111194854814599</v>
      </c>
      <c r="CR48" s="45">
        <v>-1.4111050691987199</v>
      </c>
      <c r="CS48" s="45">
        <v>-2.6657394017962699</v>
      </c>
      <c r="CT48" s="46">
        <v>1.1285905791534399E-6</v>
      </c>
      <c r="CU48" s="47">
        <v>5.5516698342180104E-6</v>
      </c>
      <c r="CV48" s="48">
        <v>85.932335330188096</v>
      </c>
      <c r="CW48" s="49">
        <v>32.235834932808402</v>
      </c>
      <c r="CX48" s="31" t="s">
        <v>5875</v>
      </c>
      <c r="CY48" s="31" t="s">
        <v>5876</v>
      </c>
      <c r="CZ48" t="s">
        <v>9342</v>
      </c>
      <c r="DA48" t="s">
        <v>5904</v>
      </c>
      <c r="DB48">
        <v>910.6</v>
      </c>
      <c r="DC48" t="s">
        <v>24261</v>
      </c>
      <c r="DD48" t="s">
        <v>24262</v>
      </c>
      <c r="DE48" t="s">
        <v>24263</v>
      </c>
      <c r="DF48" t="s">
        <v>24264</v>
      </c>
      <c r="DG48" t="s">
        <v>24265</v>
      </c>
      <c r="DH48" t="str">
        <f>"PSAP"</f>
        <v>PSAP</v>
      </c>
      <c r="DI48" t="s">
        <v>24266</v>
      </c>
      <c r="DJ48" t="s">
        <v>13777</v>
      </c>
      <c r="DK48">
        <v>9606</v>
      </c>
      <c r="DL48" s="34" t="str">
        <f>HYPERLINK("http://www.uniprot.org/uniprot/P07602", "P07602")</f>
        <v>P07602</v>
      </c>
      <c r="DM48" t="s">
        <v>24267</v>
      </c>
      <c r="DN48" t="s">
        <v>18297</v>
      </c>
      <c r="DO48" t="s">
        <v>14402</v>
      </c>
      <c r="DP48" t="s">
        <v>13841</v>
      </c>
      <c r="DQ48" t="s">
        <v>13772</v>
      </c>
      <c r="DR48" t="s">
        <v>24268</v>
      </c>
      <c r="DS48" t="s">
        <v>14404</v>
      </c>
      <c r="DT48" t="s">
        <v>13772</v>
      </c>
      <c r="DU48" t="s">
        <v>13772</v>
      </c>
      <c r="DV48" t="s">
        <v>13796</v>
      </c>
      <c r="DW48" t="s">
        <v>13812</v>
      </c>
      <c r="DX48" t="s">
        <v>24269</v>
      </c>
      <c r="DY48" t="s">
        <v>24270</v>
      </c>
      <c r="DZ48" t="s">
        <v>24271</v>
      </c>
      <c r="EA48" t="s">
        <v>13772</v>
      </c>
      <c r="EB48" t="s">
        <v>24272</v>
      </c>
    </row>
    <row r="49" spans="1:132">
      <c r="A49">
        <v>254</v>
      </c>
      <c r="B49">
        <v>1</v>
      </c>
      <c r="C49" t="s">
        <v>646</v>
      </c>
      <c r="D49" t="s">
        <v>73</v>
      </c>
      <c r="E49" t="s">
        <v>73</v>
      </c>
      <c r="F49" t="s">
        <v>73</v>
      </c>
      <c r="G49" t="s">
        <v>73</v>
      </c>
      <c r="H49">
        <v>64.099999999999994</v>
      </c>
      <c r="I49">
        <v>153</v>
      </c>
      <c r="J49">
        <v>17119</v>
      </c>
      <c r="K49" t="s">
        <v>647</v>
      </c>
      <c r="L49">
        <f t="shared" si="2"/>
        <v>925</v>
      </c>
      <c r="N49">
        <v>925</v>
      </c>
      <c r="O49">
        <v>925</v>
      </c>
      <c r="P49">
        <v>1</v>
      </c>
      <c r="Q49">
        <v>66</v>
      </c>
      <c r="R49">
        <v>116</v>
      </c>
      <c r="S49">
        <v>50</v>
      </c>
      <c r="T49">
        <v>107</v>
      </c>
      <c r="U49">
        <v>101</v>
      </c>
      <c r="V49">
        <v>64</v>
      </c>
      <c r="W49">
        <v>92</v>
      </c>
      <c r="X49">
        <v>43</v>
      </c>
      <c r="Y49">
        <v>32</v>
      </c>
      <c r="Z49">
        <v>9</v>
      </c>
      <c r="AA49">
        <v>35</v>
      </c>
      <c r="AB49">
        <v>33</v>
      </c>
      <c r="AC49">
        <v>28</v>
      </c>
      <c r="AD49">
        <v>8</v>
      </c>
      <c r="AE49">
        <v>19</v>
      </c>
      <c r="AF49">
        <v>59</v>
      </c>
      <c r="AG49">
        <v>25</v>
      </c>
      <c r="AH49">
        <v>18</v>
      </c>
      <c r="AI49">
        <v>20</v>
      </c>
      <c r="AJ49">
        <v>66</v>
      </c>
      <c r="AK49">
        <v>116</v>
      </c>
      <c r="AL49">
        <v>50</v>
      </c>
      <c r="AM49">
        <v>107</v>
      </c>
      <c r="AN49">
        <v>101</v>
      </c>
      <c r="AO49">
        <v>64</v>
      </c>
      <c r="AP49">
        <v>92</v>
      </c>
      <c r="AQ49">
        <v>43</v>
      </c>
      <c r="AR49">
        <v>32</v>
      </c>
      <c r="AS49">
        <v>9</v>
      </c>
      <c r="AT49">
        <v>35</v>
      </c>
      <c r="AU49">
        <v>33</v>
      </c>
      <c r="AV49">
        <v>28</v>
      </c>
      <c r="AW49">
        <v>8</v>
      </c>
      <c r="AX49">
        <v>19</v>
      </c>
      <c r="AY49">
        <v>59</v>
      </c>
      <c r="AZ49">
        <v>25</v>
      </c>
      <c r="BA49">
        <v>18</v>
      </c>
      <c r="BB49">
        <v>20</v>
      </c>
      <c r="BC49" s="2">
        <v>66</v>
      </c>
      <c r="BD49" s="2">
        <v>116</v>
      </c>
      <c r="BE49" s="2">
        <v>50</v>
      </c>
      <c r="BF49" s="2">
        <v>107</v>
      </c>
      <c r="BG49" s="2">
        <v>101</v>
      </c>
      <c r="BH49" s="2">
        <v>64</v>
      </c>
      <c r="BI49" s="2">
        <v>92</v>
      </c>
      <c r="BJ49" s="2">
        <v>43</v>
      </c>
      <c r="BK49" s="2">
        <v>32</v>
      </c>
      <c r="BL49" s="2">
        <v>9</v>
      </c>
      <c r="BM49" s="2">
        <v>35</v>
      </c>
      <c r="BN49" s="2">
        <v>33</v>
      </c>
      <c r="BO49" s="2">
        <v>28</v>
      </c>
      <c r="BP49" s="2">
        <v>8</v>
      </c>
      <c r="BQ49" s="2">
        <v>19</v>
      </c>
      <c r="BR49" s="2">
        <v>59</v>
      </c>
      <c r="BS49" s="2">
        <v>25</v>
      </c>
      <c r="BT49" s="2">
        <v>18</v>
      </c>
      <c r="BU49" s="2">
        <v>20</v>
      </c>
      <c r="BV49" s="2">
        <f t="shared" si="5"/>
        <v>925</v>
      </c>
      <c r="BW49" s="16">
        <f t="shared" si="3"/>
        <v>48.684210526315788</v>
      </c>
      <c r="BX49" s="16">
        <f>COUNTIF($BC$6:BU49, "=0") / COUNTIF($BC$6:BU49, "&gt;-1")</f>
        <v>5.9808612440191387E-3</v>
      </c>
      <c r="BY49" s="18">
        <f>SUM($BC$6:BU49) / $BY$4</f>
        <v>0.42134234769310458</v>
      </c>
      <c r="BZ49" s="14">
        <f t="shared" si="4"/>
        <v>0</v>
      </c>
      <c r="CA49" t="s">
        <v>5831</v>
      </c>
      <c r="CB49" s="36">
        <v>79.968464125092098</v>
      </c>
      <c r="CC49" s="36">
        <v>111.71543799858399</v>
      </c>
      <c r="CD49" s="36">
        <v>80.039883090612904</v>
      </c>
      <c r="CE49" s="36">
        <v>161.77562822939601</v>
      </c>
      <c r="CF49" s="36">
        <v>86.877812353626098</v>
      </c>
      <c r="CG49" s="36">
        <v>59.502543784927397</v>
      </c>
      <c r="CH49" s="36">
        <v>96.973730023546906</v>
      </c>
      <c r="CI49" s="36">
        <v>41.846894713239202</v>
      </c>
      <c r="CJ49" s="37">
        <v>25.432265383838601</v>
      </c>
      <c r="CK49" s="37">
        <v>22.072737641090001</v>
      </c>
      <c r="CL49" s="37">
        <v>26.4017934928223</v>
      </c>
      <c r="CM49" s="37">
        <v>23.703317304798301</v>
      </c>
      <c r="CN49" s="37">
        <v>17.457058750487199</v>
      </c>
      <c r="CO49" s="37">
        <v>46.562243652722401</v>
      </c>
      <c r="CP49" s="37">
        <v>37.7135011965606</v>
      </c>
      <c r="CQ49" s="37">
        <v>30.4527369294923</v>
      </c>
      <c r="CR49" s="45">
        <v>-1.64405705101824</v>
      </c>
      <c r="CS49" s="45">
        <v>-3.12756303571655</v>
      </c>
      <c r="CT49" s="46">
        <v>2.7339001857919202E-7</v>
      </c>
      <c r="CU49" s="47">
        <v>1.57670622784034E-6</v>
      </c>
      <c r="CV49" s="48">
        <v>89.837549289877998</v>
      </c>
      <c r="CW49" s="49">
        <v>28.724456793976501</v>
      </c>
      <c r="CX49" s="31" t="s">
        <v>5875</v>
      </c>
      <c r="CY49" s="31" t="s">
        <v>5876</v>
      </c>
      <c r="CZ49" t="s">
        <v>6580</v>
      </c>
      <c r="DA49" t="s">
        <v>5904</v>
      </c>
      <c r="DB49">
        <v>144.80000000000001</v>
      </c>
      <c r="DC49" t="s">
        <v>16063</v>
      </c>
      <c r="DD49" t="s">
        <v>13772</v>
      </c>
      <c r="DE49" t="s">
        <v>16064</v>
      </c>
      <c r="DF49" t="s">
        <v>16065</v>
      </c>
      <c r="DG49" t="s">
        <v>13772</v>
      </c>
      <c r="DH49" t="str">
        <f>"RNASE6"</f>
        <v>RNASE6</v>
      </c>
      <c r="DI49" t="s">
        <v>16066</v>
      </c>
      <c r="DJ49" t="s">
        <v>13777</v>
      </c>
      <c r="DK49">
        <v>9606</v>
      </c>
      <c r="DL49" s="34" t="str">
        <f>HYPERLINK("http://www.uniprot.org/uniprot/Q93091", "Q93091")</f>
        <v>Q93091</v>
      </c>
      <c r="DM49" t="s">
        <v>16067</v>
      </c>
      <c r="DN49" t="s">
        <v>13772</v>
      </c>
      <c r="DO49" t="s">
        <v>14402</v>
      </c>
      <c r="DP49" t="s">
        <v>13793</v>
      </c>
      <c r="DQ49" t="s">
        <v>13772</v>
      </c>
      <c r="DR49" t="s">
        <v>13772</v>
      </c>
      <c r="DS49" t="s">
        <v>13808</v>
      </c>
      <c r="DT49" t="s">
        <v>13772</v>
      </c>
      <c r="DU49" t="s">
        <v>16068</v>
      </c>
      <c r="DV49" t="s">
        <v>13796</v>
      </c>
      <c r="DW49" t="s">
        <v>13812</v>
      </c>
      <c r="DX49" t="s">
        <v>16069</v>
      </c>
      <c r="DY49" t="s">
        <v>16070</v>
      </c>
      <c r="DZ49" t="s">
        <v>16071</v>
      </c>
      <c r="EA49" t="s">
        <v>13772</v>
      </c>
      <c r="EB49" t="s">
        <v>14470</v>
      </c>
    </row>
    <row r="50" spans="1:132">
      <c r="A50">
        <v>572</v>
      </c>
      <c r="B50">
        <v>1</v>
      </c>
      <c r="C50" t="s">
        <v>1424</v>
      </c>
      <c r="D50" t="s">
        <v>73</v>
      </c>
      <c r="E50" t="s">
        <v>73</v>
      </c>
      <c r="F50" t="s">
        <v>73</v>
      </c>
      <c r="G50" t="s">
        <v>73</v>
      </c>
      <c r="H50">
        <v>69.2</v>
      </c>
      <c r="I50">
        <v>91</v>
      </c>
      <c r="J50">
        <v>9791</v>
      </c>
      <c r="K50" t="s">
        <v>1425</v>
      </c>
      <c r="L50">
        <f t="shared" si="2"/>
        <v>905</v>
      </c>
      <c r="N50">
        <v>905</v>
      </c>
      <c r="O50">
        <v>905</v>
      </c>
      <c r="P50">
        <v>1</v>
      </c>
      <c r="Q50">
        <v>67</v>
      </c>
      <c r="R50">
        <v>84</v>
      </c>
      <c r="S50">
        <v>79</v>
      </c>
      <c r="T50">
        <v>66</v>
      </c>
      <c r="U50">
        <v>58</v>
      </c>
      <c r="V50">
        <v>50</v>
      </c>
      <c r="W50">
        <v>54</v>
      </c>
      <c r="X50">
        <v>49</v>
      </c>
      <c r="Y50">
        <v>35</v>
      </c>
      <c r="Z50">
        <v>16</v>
      </c>
      <c r="AA50">
        <v>46</v>
      </c>
      <c r="AB50">
        <v>44</v>
      </c>
      <c r="AC50">
        <v>26</v>
      </c>
      <c r="AD50">
        <v>6</v>
      </c>
      <c r="AE50">
        <v>63</v>
      </c>
      <c r="AF50">
        <v>60</v>
      </c>
      <c r="AG50">
        <v>38</v>
      </c>
      <c r="AH50">
        <v>18</v>
      </c>
      <c r="AI50">
        <v>46</v>
      </c>
      <c r="AJ50">
        <v>67</v>
      </c>
      <c r="AK50">
        <v>84</v>
      </c>
      <c r="AL50">
        <v>79</v>
      </c>
      <c r="AM50">
        <v>66</v>
      </c>
      <c r="AN50">
        <v>58</v>
      </c>
      <c r="AO50">
        <v>50</v>
      </c>
      <c r="AP50">
        <v>54</v>
      </c>
      <c r="AQ50">
        <v>49</v>
      </c>
      <c r="AR50">
        <v>35</v>
      </c>
      <c r="AS50">
        <v>16</v>
      </c>
      <c r="AT50">
        <v>46</v>
      </c>
      <c r="AU50">
        <v>44</v>
      </c>
      <c r="AV50">
        <v>26</v>
      </c>
      <c r="AW50">
        <v>6</v>
      </c>
      <c r="AX50">
        <v>63</v>
      </c>
      <c r="AY50">
        <v>60</v>
      </c>
      <c r="AZ50">
        <v>38</v>
      </c>
      <c r="BA50">
        <v>18</v>
      </c>
      <c r="BB50">
        <v>46</v>
      </c>
      <c r="BC50" s="2">
        <v>67</v>
      </c>
      <c r="BD50" s="2">
        <v>84</v>
      </c>
      <c r="BE50" s="2">
        <v>79</v>
      </c>
      <c r="BF50" s="2">
        <v>66</v>
      </c>
      <c r="BG50" s="2">
        <v>58</v>
      </c>
      <c r="BH50" s="2">
        <v>50</v>
      </c>
      <c r="BI50" s="2">
        <v>54</v>
      </c>
      <c r="BJ50" s="2">
        <v>49</v>
      </c>
      <c r="BK50" s="2">
        <v>35</v>
      </c>
      <c r="BL50" s="2">
        <v>16</v>
      </c>
      <c r="BM50" s="2">
        <v>46</v>
      </c>
      <c r="BN50" s="2">
        <v>44</v>
      </c>
      <c r="BO50" s="2">
        <v>26</v>
      </c>
      <c r="BP50" s="2">
        <v>6</v>
      </c>
      <c r="BQ50" s="2">
        <v>63</v>
      </c>
      <c r="BR50" s="2">
        <v>60</v>
      </c>
      <c r="BS50" s="2">
        <v>38</v>
      </c>
      <c r="BT50" s="2">
        <v>18</v>
      </c>
      <c r="BU50" s="2">
        <v>46</v>
      </c>
      <c r="BV50" s="2">
        <f t="shared" si="5"/>
        <v>905</v>
      </c>
      <c r="BW50" s="16">
        <f t="shared" si="3"/>
        <v>47.631578947368418</v>
      </c>
      <c r="BX50" s="16">
        <f>COUNTIF($BC$6:BU50, "=0") / COUNTIF($BC$6:BU50, "&gt;-1")</f>
        <v>5.8479532163742687E-3</v>
      </c>
      <c r="BY50" s="18">
        <f>SUM($BC$6:BU50) / $BY$4</f>
        <v>0.42521903905927849</v>
      </c>
      <c r="BZ50" s="14">
        <f t="shared" si="4"/>
        <v>0</v>
      </c>
      <c r="CA50" t="s">
        <v>5831</v>
      </c>
      <c r="CB50" s="36">
        <v>81.180107520926896</v>
      </c>
      <c r="CC50" s="36">
        <v>80.897386136905496</v>
      </c>
      <c r="CD50" s="36">
        <v>126.463015283168</v>
      </c>
      <c r="CE50" s="36">
        <v>99.786836104113206</v>
      </c>
      <c r="CF50" s="36">
        <v>49.890228876339698</v>
      </c>
      <c r="CG50" s="36">
        <v>46.486362331974597</v>
      </c>
      <c r="CH50" s="36">
        <v>56.919363274690603</v>
      </c>
      <c r="CI50" s="36">
        <v>47.685996301133002</v>
      </c>
      <c r="CJ50" s="37">
        <v>27.816540263573501</v>
      </c>
      <c r="CK50" s="37">
        <v>29.0098837568611</v>
      </c>
      <c r="CL50" s="37">
        <v>35.202391323763102</v>
      </c>
      <c r="CM50" s="37">
        <v>22.0102232115985</v>
      </c>
      <c r="CN50" s="37">
        <v>57.883931646352202</v>
      </c>
      <c r="CO50" s="37">
        <v>47.351434223107503</v>
      </c>
      <c r="CP50" s="37">
        <v>57.324521818772098</v>
      </c>
      <c r="CQ50" s="37">
        <v>70.041294937832404</v>
      </c>
      <c r="CR50" s="45">
        <v>-0.77021444910123904</v>
      </c>
      <c r="CS50" s="45">
        <v>-1.70006035023869</v>
      </c>
      <c r="CT50" s="46">
        <v>1.8952499750903601E-2</v>
      </c>
      <c r="CU50" s="47">
        <v>3.2847726252213799E-2</v>
      </c>
      <c r="CV50" s="48">
        <v>73.663661978656506</v>
      </c>
      <c r="CW50" s="49">
        <v>43.3300276477325</v>
      </c>
      <c r="CX50" s="31" t="s">
        <v>5875</v>
      </c>
      <c r="CY50" s="31" t="s">
        <v>5878</v>
      </c>
      <c r="CZ50" t="s">
        <v>7678</v>
      </c>
      <c r="DA50" t="s">
        <v>5904</v>
      </c>
      <c r="DB50">
        <v>108.2</v>
      </c>
      <c r="DC50" t="s">
        <v>19411</v>
      </c>
      <c r="DD50" t="s">
        <v>19412</v>
      </c>
      <c r="DE50" t="s">
        <v>19413</v>
      </c>
      <c r="DF50" t="s">
        <v>19414</v>
      </c>
      <c r="DG50" t="s">
        <v>19415</v>
      </c>
      <c r="DH50" t="str">
        <f>"SCGB1A1"</f>
        <v>SCGB1A1</v>
      </c>
      <c r="DI50" t="s">
        <v>19416</v>
      </c>
      <c r="DJ50" t="s">
        <v>13777</v>
      </c>
      <c r="DK50">
        <v>9606</v>
      </c>
      <c r="DL50" s="34" t="str">
        <f>HYPERLINK("http://www.uniprot.org/uniprot/P11684", "P11684")</f>
        <v>P11684</v>
      </c>
      <c r="DM50" t="s">
        <v>19417</v>
      </c>
      <c r="DN50" t="s">
        <v>13772</v>
      </c>
      <c r="DO50" t="s">
        <v>14321</v>
      </c>
      <c r="DP50" t="s">
        <v>13793</v>
      </c>
      <c r="DQ50" t="s">
        <v>13772</v>
      </c>
      <c r="DR50" t="s">
        <v>13772</v>
      </c>
      <c r="DS50" t="s">
        <v>13808</v>
      </c>
      <c r="DT50" t="s">
        <v>13772</v>
      </c>
      <c r="DU50" t="s">
        <v>19418</v>
      </c>
      <c r="DV50" t="s">
        <v>14506</v>
      </c>
      <c r="DW50" t="s">
        <v>13772</v>
      </c>
      <c r="DX50" t="s">
        <v>19419</v>
      </c>
      <c r="DY50" t="s">
        <v>19420</v>
      </c>
      <c r="DZ50" t="s">
        <v>19421</v>
      </c>
      <c r="EA50" t="s">
        <v>13772</v>
      </c>
      <c r="EB50" t="s">
        <v>13772</v>
      </c>
    </row>
    <row r="51" spans="1:132">
      <c r="A51">
        <v>634</v>
      </c>
      <c r="B51">
        <v>1</v>
      </c>
      <c r="C51" t="s">
        <v>1569</v>
      </c>
      <c r="D51" t="s">
        <v>73</v>
      </c>
      <c r="E51" t="s">
        <v>73</v>
      </c>
      <c r="F51" t="s">
        <v>73</v>
      </c>
      <c r="G51" t="s">
        <v>73</v>
      </c>
      <c r="H51">
        <v>57.6</v>
      </c>
      <c r="I51">
        <v>622</v>
      </c>
      <c r="J51">
        <v>70202</v>
      </c>
      <c r="K51" t="s">
        <v>1570</v>
      </c>
      <c r="L51">
        <f t="shared" si="2"/>
        <v>895</v>
      </c>
      <c r="N51">
        <v>895</v>
      </c>
      <c r="O51">
        <v>895</v>
      </c>
      <c r="P51">
        <v>1</v>
      </c>
      <c r="Q51">
        <v>42</v>
      </c>
      <c r="R51">
        <v>56</v>
      </c>
      <c r="S51">
        <v>40</v>
      </c>
      <c r="T51">
        <v>61</v>
      </c>
      <c r="U51">
        <v>74</v>
      </c>
      <c r="V51">
        <v>69</v>
      </c>
      <c r="W51">
        <v>54</v>
      </c>
      <c r="X51">
        <v>52</v>
      </c>
      <c r="Y51">
        <v>22</v>
      </c>
      <c r="Z51">
        <v>61</v>
      </c>
      <c r="AA51">
        <v>44</v>
      </c>
      <c r="AB51">
        <v>31</v>
      </c>
      <c r="AC51">
        <v>60</v>
      </c>
      <c r="AD51">
        <v>72</v>
      </c>
      <c r="AE51">
        <v>30</v>
      </c>
      <c r="AF51">
        <v>33</v>
      </c>
      <c r="AG51">
        <v>30</v>
      </c>
      <c r="AH51">
        <v>32</v>
      </c>
      <c r="AI51">
        <v>32</v>
      </c>
      <c r="AJ51">
        <v>42</v>
      </c>
      <c r="AK51">
        <v>56</v>
      </c>
      <c r="AL51">
        <v>40</v>
      </c>
      <c r="AM51">
        <v>61</v>
      </c>
      <c r="AN51">
        <v>74</v>
      </c>
      <c r="AO51">
        <v>69</v>
      </c>
      <c r="AP51">
        <v>54</v>
      </c>
      <c r="AQ51">
        <v>52</v>
      </c>
      <c r="AR51">
        <v>22</v>
      </c>
      <c r="AS51">
        <v>61</v>
      </c>
      <c r="AT51">
        <v>44</v>
      </c>
      <c r="AU51">
        <v>31</v>
      </c>
      <c r="AV51">
        <v>60</v>
      </c>
      <c r="AW51">
        <v>72</v>
      </c>
      <c r="AX51">
        <v>30</v>
      </c>
      <c r="AY51">
        <v>33</v>
      </c>
      <c r="AZ51">
        <v>30</v>
      </c>
      <c r="BA51">
        <v>32</v>
      </c>
      <c r="BB51">
        <v>32</v>
      </c>
      <c r="BC51" s="2">
        <v>42</v>
      </c>
      <c r="BD51" s="2">
        <v>56</v>
      </c>
      <c r="BE51" s="2">
        <v>40</v>
      </c>
      <c r="BF51" s="2">
        <v>61</v>
      </c>
      <c r="BG51" s="2">
        <v>74</v>
      </c>
      <c r="BH51" s="2">
        <v>69</v>
      </c>
      <c r="BI51" s="2">
        <v>54</v>
      </c>
      <c r="BJ51" s="2">
        <v>52</v>
      </c>
      <c r="BK51" s="2">
        <v>22</v>
      </c>
      <c r="BL51" s="2">
        <v>61</v>
      </c>
      <c r="BM51" s="2">
        <v>44</v>
      </c>
      <c r="BN51" s="2">
        <v>31</v>
      </c>
      <c r="BO51" s="2">
        <v>60</v>
      </c>
      <c r="BP51" s="2">
        <v>72</v>
      </c>
      <c r="BQ51" s="2">
        <v>30</v>
      </c>
      <c r="BR51" s="2">
        <v>33</v>
      </c>
      <c r="BS51" s="2">
        <v>30</v>
      </c>
      <c r="BT51" s="2">
        <v>32</v>
      </c>
      <c r="BU51" s="2">
        <v>32</v>
      </c>
      <c r="BV51" s="2">
        <f t="shared" si="5"/>
        <v>895</v>
      </c>
      <c r="BW51" s="16">
        <f t="shared" si="3"/>
        <v>47.10526315789474</v>
      </c>
      <c r="BX51" s="16">
        <f>COUNTIF($BC$6:BU51, "=0") / COUNTIF($BC$6:BU51, "&gt;-1")</f>
        <v>5.7208237986270021E-3</v>
      </c>
      <c r="BY51" s="18">
        <f>SUM($BC$6:BU51) / $BY$4</f>
        <v>0.42905289405676544</v>
      </c>
      <c r="BZ51" s="14">
        <f t="shared" si="4"/>
        <v>0</v>
      </c>
      <c r="CA51" t="s">
        <v>5831</v>
      </c>
      <c r="CB51" s="36">
        <v>50.889022625058601</v>
      </c>
      <c r="CC51" s="36">
        <v>53.931590757937002</v>
      </c>
      <c r="CD51" s="36">
        <v>64.031906472490306</v>
      </c>
      <c r="CE51" s="36">
        <v>92.227227308346997</v>
      </c>
      <c r="CF51" s="36">
        <v>63.653050635329997</v>
      </c>
      <c r="CG51" s="36">
        <v>64.151180018124904</v>
      </c>
      <c r="CH51" s="36">
        <v>56.919363274690603</v>
      </c>
      <c r="CI51" s="36">
        <v>50.605547095079899</v>
      </c>
      <c r="CJ51" s="37">
        <v>17.484682451389101</v>
      </c>
      <c r="CK51" s="37">
        <v>27.748584463084601</v>
      </c>
      <c r="CL51" s="37">
        <v>24.801684796287599</v>
      </c>
      <c r="CM51" s="37">
        <v>50.7928227959964</v>
      </c>
      <c r="CN51" s="37">
        <v>27.5637769744534</v>
      </c>
      <c r="CO51" s="37">
        <v>26.043288822709101</v>
      </c>
      <c r="CP51" s="37">
        <v>45.256201435872697</v>
      </c>
      <c r="CQ51" s="37">
        <v>48.7243790871877</v>
      </c>
      <c r="CR51" s="45">
        <v>-0.90010783718499099</v>
      </c>
      <c r="CS51" s="45">
        <v>-1.8494052489891799</v>
      </c>
      <c r="CT51" s="46">
        <v>1.7544426131961899E-3</v>
      </c>
      <c r="CU51" s="47">
        <v>3.7862003491233999E-3</v>
      </c>
      <c r="CV51" s="48">
        <v>62.051111023382298</v>
      </c>
      <c r="CW51" s="49">
        <v>33.551927603372597</v>
      </c>
      <c r="CX51" s="31" t="s">
        <v>5875</v>
      </c>
      <c r="CY51" s="31" t="s">
        <v>5876</v>
      </c>
      <c r="CZ51" t="s">
        <v>7883</v>
      </c>
      <c r="DA51" t="s">
        <v>5904</v>
      </c>
      <c r="DB51">
        <v>1081.2</v>
      </c>
      <c r="DC51" t="s">
        <v>20041</v>
      </c>
      <c r="DD51" t="s">
        <v>20042</v>
      </c>
      <c r="DE51" t="s">
        <v>20043</v>
      </c>
      <c r="DF51" t="s">
        <v>20044</v>
      </c>
      <c r="DG51" t="s">
        <v>20045</v>
      </c>
      <c r="DH51" t="str">
        <f>"F2"</f>
        <v>F2</v>
      </c>
      <c r="DI51" t="s">
        <v>13772</v>
      </c>
      <c r="DJ51" t="s">
        <v>13777</v>
      </c>
      <c r="DK51">
        <v>9606</v>
      </c>
      <c r="DL51" s="34" t="str">
        <f>HYPERLINK("http://www.uniprot.org/uniprot/P00734", "P00734")</f>
        <v>P00734</v>
      </c>
      <c r="DM51" t="s">
        <v>20046</v>
      </c>
      <c r="DN51" t="s">
        <v>15122</v>
      </c>
      <c r="DO51" t="s">
        <v>14321</v>
      </c>
      <c r="DP51" t="s">
        <v>13793</v>
      </c>
      <c r="DQ51" t="s">
        <v>13772</v>
      </c>
      <c r="DR51" t="s">
        <v>17445</v>
      </c>
      <c r="DS51" t="s">
        <v>20047</v>
      </c>
      <c r="DT51" t="s">
        <v>14465</v>
      </c>
      <c r="DU51" t="s">
        <v>15176</v>
      </c>
      <c r="DV51" t="s">
        <v>20048</v>
      </c>
      <c r="DW51" t="s">
        <v>14324</v>
      </c>
      <c r="DX51" t="s">
        <v>20049</v>
      </c>
      <c r="DY51" t="s">
        <v>20050</v>
      </c>
      <c r="DZ51" t="s">
        <v>20051</v>
      </c>
      <c r="EA51" t="s">
        <v>13772</v>
      </c>
      <c r="EB51" t="s">
        <v>20052</v>
      </c>
    </row>
    <row r="52" spans="1:132" hidden="1">
      <c r="A52">
        <v>1729</v>
      </c>
      <c r="B52">
        <v>1</v>
      </c>
      <c r="C52" t="s">
        <v>4090</v>
      </c>
      <c r="D52" t="s">
        <v>73</v>
      </c>
      <c r="E52" t="s">
        <v>73</v>
      </c>
      <c r="F52" t="s">
        <v>4091</v>
      </c>
      <c r="G52" t="s">
        <v>73</v>
      </c>
      <c r="H52">
        <v>88.8</v>
      </c>
      <c r="I52">
        <v>260</v>
      </c>
      <c r="J52">
        <v>29436</v>
      </c>
      <c r="K52" t="s">
        <v>4092</v>
      </c>
      <c r="L52">
        <f t="shared" si="2"/>
        <v>890</v>
      </c>
      <c r="N52">
        <v>890</v>
      </c>
      <c r="O52">
        <v>889</v>
      </c>
      <c r="P52">
        <v>0.999</v>
      </c>
      <c r="Q52">
        <v>5</v>
      </c>
      <c r="R52">
        <v>0</v>
      </c>
      <c r="S52">
        <v>0</v>
      </c>
      <c r="T52">
        <v>0</v>
      </c>
      <c r="U52">
        <v>0</v>
      </c>
      <c r="V52">
        <v>13</v>
      </c>
      <c r="W52">
        <v>25</v>
      </c>
      <c r="X52">
        <v>120</v>
      </c>
      <c r="Y52">
        <v>76</v>
      </c>
      <c r="Z52">
        <v>9</v>
      </c>
      <c r="AA52">
        <v>75</v>
      </c>
      <c r="AB52">
        <v>41</v>
      </c>
      <c r="AC52">
        <v>112</v>
      </c>
      <c r="AD52">
        <v>20</v>
      </c>
      <c r="AE52">
        <v>238</v>
      </c>
      <c r="AF52">
        <v>94</v>
      </c>
      <c r="AG52">
        <v>20</v>
      </c>
      <c r="AH52">
        <v>9</v>
      </c>
      <c r="AI52">
        <v>33</v>
      </c>
      <c r="AJ52">
        <v>5</v>
      </c>
      <c r="AK52">
        <v>0</v>
      </c>
      <c r="AL52">
        <v>0</v>
      </c>
      <c r="AM52">
        <v>0</v>
      </c>
      <c r="AN52">
        <v>0</v>
      </c>
      <c r="AO52">
        <v>13</v>
      </c>
      <c r="AP52">
        <v>25</v>
      </c>
      <c r="AQ52">
        <v>120</v>
      </c>
      <c r="AR52">
        <v>76</v>
      </c>
      <c r="AS52">
        <v>9</v>
      </c>
      <c r="AT52">
        <v>75</v>
      </c>
      <c r="AU52">
        <v>41</v>
      </c>
      <c r="AV52">
        <v>112</v>
      </c>
      <c r="AW52">
        <v>20</v>
      </c>
      <c r="AX52">
        <v>238</v>
      </c>
      <c r="AY52">
        <v>94</v>
      </c>
      <c r="AZ52">
        <v>20</v>
      </c>
      <c r="BA52">
        <v>9</v>
      </c>
      <c r="BB52">
        <v>32</v>
      </c>
      <c r="BC52" s="2">
        <v>5</v>
      </c>
      <c r="BD52" s="2">
        <v>0</v>
      </c>
      <c r="BE52" s="2">
        <v>0</v>
      </c>
      <c r="BF52" s="2">
        <v>0</v>
      </c>
      <c r="BG52" s="2">
        <v>0</v>
      </c>
      <c r="BH52" s="2">
        <v>13</v>
      </c>
      <c r="BI52" s="2">
        <v>25</v>
      </c>
      <c r="BJ52" s="2">
        <v>120</v>
      </c>
      <c r="BK52" s="2">
        <v>76</v>
      </c>
      <c r="BL52" s="2">
        <v>9</v>
      </c>
      <c r="BM52" s="2">
        <v>75</v>
      </c>
      <c r="BN52" s="2">
        <v>41</v>
      </c>
      <c r="BO52" s="2">
        <v>112</v>
      </c>
      <c r="BP52" s="2">
        <v>20</v>
      </c>
      <c r="BQ52" s="2">
        <v>238</v>
      </c>
      <c r="BR52" s="2">
        <v>94</v>
      </c>
      <c r="BS52" s="2">
        <v>20</v>
      </c>
      <c r="BT52" s="2">
        <v>9</v>
      </c>
      <c r="BU52" s="2">
        <v>33</v>
      </c>
      <c r="BV52" s="2">
        <f t="shared" si="5"/>
        <v>890</v>
      </c>
      <c r="BW52" s="16">
        <f t="shared" si="3"/>
        <v>46.842105263157897</v>
      </c>
      <c r="BX52" s="16">
        <f>COUNTIF($BC$6:BU52, "=0") / COUNTIF($BC$6:BU52, "&gt;-1")</f>
        <v>1.0078387458006719E-2</v>
      </c>
      <c r="BY52" s="18">
        <f>SUM($BC$6:BU52) / $BY$4</f>
        <v>0.43286533086990892</v>
      </c>
      <c r="BZ52" s="14">
        <f t="shared" si="4"/>
        <v>4</v>
      </c>
      <c r="CA52" t="s">
        <v>5831</v>
      </c>
      <c r="CB52" s="36">
        <v>6.0582169791736504</v>
      </c>
      <c r="CC52" s="36">
        <v>0.24076603016936199</v>
      </c>
      <c r="CD52" s="36">
        <v>0.40019941545306398</v>
      </c>
      <c r="CE52" s="36">
        <v>0.37798043978830698</v>
      </c>
      <c r="CF52" s="36">
        <v>0.215044089984223</v>
      </c>
      <c r="CG52" s="36">
        <v>12.0864542063134</v>
      </c>
      <c r="CH52" s="36">
        <v>26.351557071616</v>
      </c>
      <c r="CI52" s="36">
        <v>116.78203175787699</v>
      </c>
      <c r="CJ52" s="37">
        <v>60.4016302866168</v>
      </c>
      <c r="CK52" s="37">
        <v>47.298723516621401</v>
      </c>
      <c r="CL52" s="37">
        <v>32.802228278961103</v>
      </c>
      <c r="CM52" s="37">
        <v>94.813269219193401</v>
      </c>
      <c r="CN52" s="37">
        <v>218.67263066399701</v>
      </c>
      <c r="CO52" s="37">
        <v>74.183913616201707</v>
      </c>
      <c r="CP52" s="37">
        <v>30.170800957248499</v>
      </c>
      <c r="CQ52" s="37">
        <v>50.247015933662396</v>
      </c>
      <c r="CR52" s="45">
        <v>1.89189761219165</v>
      </c>
      <c r="CS52" s="45">
        <v>3.7448882315551502</v>
      </c>
      <c r="CT52" s="46">
        <v>2.9639383846422299E-2</v>
      </c>
      <c r="CU52" s="47">
        <v>4.8481045949282403E-2</v>
      </c>
      <c r="CV52" s="48">
        <v>20.314031248796802</v>
      </c>
      <c r="CW52" s="49">
        <v>76.073776559062793</v>
      </c>
      <c r="CX52" s="31" t="s">
        <v>5874</v>
      </c>
      <c r="CY52" s="31" t="s">
        <v>5878</v>
      </c>
      <c r="CZ52" t="s">
        <v>11513</v>
      </c>
      <c r="DA52" t="s">
        <v>5904</v>
      </c>
      <c r="DB52">
        <v>490.3</v>
      </c>
      <c r="DC52" t="s">
        <v>30368</v>
      </c>
      <c r="DD52" t="s">
        <v>30369</v>
      </c>
      <c r="DE52" t="s">
        <v>30370</v>
      </c>
      <c r="DF52" t="s">
        <v>30371</v>
      </c>
      <c r="DG52" t="s">
        <v>30372</v>
      </c>
      <c r="DH52" t="str">
        <f>"CA3"</f>
        <v>CA3</v>
      </c>
      <c r="DI52" t="s">
        <v>13772</v>
      </c>
      <c r="DJ52" t="s">
        <v>13777</v>
      </c>
      <c r="DK52">
        <v>9606</v>
      </c>
      <c r="DL52" s="34" t="str">
        <f>HYPERLINK("http://www.uniprot.org/uniprot/P07451", "P07451")</f>
        <v>P07451</v>
      </c>
      <c r="DM52" t="s">
        <v>30373</v>
      </c>
      <c r="DN52" t="s">
        <v>13772</v>
      </c>
      <c r="DO52" t="s">
        <v>13899</v>
      </c>
      <c r="DP52" t="s">
        <v>13793</v>
      </c>
      <c r="DQ52" t="s">
        <v>13772</v>
      </c>
      <c r="DR52" t="s">
        <v>13772</v>
      </c>
      <c r="DS52" t="s">
        <v>13772</v>
      </c>
      <c r="DT52" t="s">
        <v>13856</v>
      </c>
      <c r="DU52" t="s">
        <v>15788</v>
      </c>
      <c r="DV52" t="s">
        <v>30374</v>
      </c>
      <c r="DW52" t="s">
        <v>13812</v>
      </c>
      <c r="DX52" t="s">
        <v>30375</v>
      </c>
      <c r="DY52" t="s">
        <v>13902</v>
      </c>
      <c r="DZ52" t="s">
        <v>30376</v>
      </c>
      <c r="EA52" t="s">
        <v>13772</v>
      </c>
      <c r="EB52" t="s">
        <v>30377</v>
      </c>
    </row>
    <row r="53" spans="1:132">
      <c r="A53">
        <v>2442</v>
      </c>
      <c r="B53">
        <v>1</v>
      </c>
      <c r="C53" t="s">
        <v>5730</v>
      </c>
      <c r="D53" t="s">
        <v>73</v>
      </c>
      <c r="E53" t="s">
        <v>5731</v>
      </c>
      <c r="F53" t="s">
        <v>73</v>
      </c>
      <c r="G53" t="s">
        <v>73</v>
      </c>
      <c r="H53">
        <v>65.5</v>
      </c>
      <c r="I53">
        <v>426</v>
      </c>
      <c r="J53">
        <v>47926</v>
      </c>
      <c r="K53" t="s">
        <v>5732</v>
      </c>
      <c r="L53">
        <f t="shared" si="2"/>
        <v>873</v>
      </c>
      <c r="M53" s="3">
        <v>32</v>
      </c>
      <c r="N53">
        <v>873</v>
      </c>
      <c r="O53">
        <v>873</v>
      </c>
      <c r="P53">
        <v>1</v>
      </c>
      <c r="Q53">
        <v>52</v>
      </c>
      <c r="R53">
        <v>70</v>
      </c>
      <c r="S53">
        <v>78</v>
      </c>
      <c r="T53">
        <v>62</v>
      </c>
      <c r="U53">
        <v>60</v>
      </c>
      <c r="V53">
        <v>34</v>
      </c>
      <c r="W53">
        <v>39</v>
      </c>
      <c r="X53">
        <v>26</v>
      </c>
      <c r="Y53">
        <v>33</v>
      </c>
      <c r="Z53">
        <v>33</v>
      </c>
      <c r="AA53">
        <v>46</v>
      </c>
      <c r="AB53">
        <v>39</v>
      </c>
      <c r="AC53">
        <v>39</v>
      </c>
      <c r="AD53">
        <v>55</v>
      </c>
      <c r="AE53">
        <v>50</v>
      </c>
      <c r="AF53">
        <v>38</v>
      </c>
      <c r="AG53">
        <v>40</v>
      </c>
      <c r="AH53">
        <v>33</v>
      </c>
      <c r="AI53">
        <v>46</v>
      </c>
      <c r="AJ53">
        <v>52</v>
      </c>
      <c r="AK53">
        <v>70</v>
      </c>
      <c r="AL53">
        <v>78</v>
      </c>
      <c r="AM53">
        <v>62</v>
      </c>
      <c r="AN53">
        <v>60</v>
      </c>
      <c r="AO53">
        <v>34</v>
      </c>
      <c r="AP53">
        <v>39</v>
      </c>
      <c r="AQ53">
        <v>26</v>
      </c>
      <c r="AR53">
        <v>33</v>
      </c>
      <c r="AS53">
        <v>33</v>
      </c>
      <c r="AT53">
        <v>46</v>
      </c>
      <c r="AU53">
        <v>39</v>
      </c>
      <c r="AV53">
        <v>39</v>
      </c>
      <c r="AW53">
        <v>55</v>
      </c>
      <c r="AX53">
        <v>50</v>
      </c>
      <c r="AY53">
        <v>38</v>
      </c>
      <c r="AZ53">
        <v>40</v>
      </c>
      <c r="BA53">
        <v>33</v>
      </c>
      <c r="BB53">
        <v>46</v>
      </c>
      <c r="BC53" s="2">
        <v>52</v>
      </c>
      <c r="BD53" s="2">
        <v>70</v>
      </c>
      <c r="BE53" s="2">
        <v>78</v>
      </c>
      <c r="BF53" s="2">
        <v>62</v>
      </c>
      <c r="BG53" s="2">
        <v>60</v>
      </c>
      <c r="BH53" s="2">
        <v>34</v>
      </c>
      <c r="BI53" s="2">
        <v>39</v>
      </c>
      <c r="BJ53" s="2">
        <v>26</v>
      </c>
      <c r="BK53" s="2">
        <v>33</v>
      </c>
      <c r="BL53" s="2">
        <v>33</v>
      </c>
      <c r="BM53" s="2">
        <v>46</v>
      </c>
      <c r="BN53" s="2">
        <v>39</v>
      </c>
      <c r="BO53" s="2">
        <v>39</v>
      </c>
      <c r="BP53" s="2">
        <v>55</v>
      </c>
      <c r="BQ53" s="2">
        <v>50</v>
      </c>
      <c r="BR53" s="2">
        <v>38</v>
      </c>
      <c r="BS53" s="2">
        <v>40</v>
      </c>
      <c r="BT53" s="2">
        <v>33</v>
      </c>
      <c r="BU53" s="2">
        <v>46</v>
      </c>
      <c r="BV53" s="2">
        <f t="shared" si="5"/>
        <v>873</v>
      </c>
      <c r="BW53" s="16">
        <f t="shared" si="3"/>
        <v>45.94736842105263</v>
      </c>
      <c r="BX53" s="16">
        <f>COUNTIF($BC$6:BU53, "=0") / COUNTIF($BC$6:BU53, "&gt;-1")</f>
        <v>9.8684210526315784E-3</v>
      </c>
      <c r="BY53" s="18">
        <f>SUM($BC$6:BU53) / $BY$4</f>
        <v>0.43660494585628445</v>
      </c>
      <c r="BZ53" s="14">
        <f t="shared" si="4"/>
        <v>0</v>
      </c>
      <c r="CA53" t="s">
        <v>5831</v>
      </c>
      <c r="CB53" s="36">
        <v>63.005456583405902</v>
      </c>
      <c r="CC53" s="36">
        <v>67.414488447421306</v>
      </c>
      <c r="CD53" s="36">
        <v>124.862217621356</v>
      </c>
      <c r="CE53" s="36">
        <v>93.739149067500193</v>
      </c>
      <c r="CF53" s="36">
        <v>51.6105815962135</v>
      </c>
      <c r="CG53" s="36">
        <v>31.610726385742701</v>
      </c>
      <c r="CH53" s="36">
        <v>41.108429031721002</v>
      </c>
      <c r="CI53" s="36">
        <v>25.302773547539999</v>
      </c>
      <c r="CJ53" s="37">
        <v>26.227023677083601</v>
      </c>
      <c r="CK53" s="37">
        <v>29.0098837568611</v>
      </c>
      <c r="CL53" s="37">
        <v>31.202119582426398</v>
      </c>
      <c r="CM53" s="37">
        <v>33.015334817397701</v>
      </c>
      <c r="CN53" s="37">
        <v>45.939628290755699</v>
      </c>
      <c r="CO53" s="37">
        <v>29.989241674634702</v>
      </c>
      <c r="CP53" s="37">
        <v>60.341601914496898</v>
      </c>
      <c r="CQ53" s="37">
        <v>70.041294937832404</v>
      </c>
      <c r="CR53" s="45">
        <v>-0.61804515200144905</v>
      </c>
      <c r="CS53" s="45">
        <v>-1.53071107897277</v>
      </c>
      <c r="CT53" s="46">
        <v>8.9444008329040203E-2</v>
      </c>
      <c r="CU53" s="47">
        <v>0.12813285133218</v>
      </c>
      <c r="CV53" s="48">
        <v>62.331727785112598</v>
      </c>
      <c r="CW53" s="49">
        <v>40.720766081436103</v>
      </c>
      <c r="CX53" s="31" t="s">
        <v>5875</v>
      </c>
      <c r="CY53" s="31" t="s">
        <v>5832</v>
      </c>
      <c r="CZ53" t="s">
        <v>8656</v>
      </c>
      <c r="DA53" t="s">
        <v>5904</v>
      </c>
      <c r="DB53">
        <v>644</v>
      </c>
      <c r="DC53" t="s">
        <v>22302</v>
      </c>
      <c r="DD53" t="s">
        <v>22303</v>
      </c>
      <c r="DE53" t="s">
        <v>22304</v>
      </c>
      <c r="DF53" t="s">
        <v>22305</v>
      </c>
      <c r="DG53" t="s">
        <v>22306</v>
      </c>
      <c r="DH53" t="str">
        <f>"KNG1"</f>
        <v>KNG1</v>
      </c>
      <c r="DI53" t="s">
        <v>22307</v>
      </c>
      <c r="DJ53" t="s">
        <v>13777</v>
      </c>
      <c r="DK53">
        <v>9606</v>
      </c>
      <c r="DL53" s="34" t="str">
        <f>HYPERLINK("http://www.uniprot.org/uniprot/P01042", "P01042")</f>
        <v>P01042</v>
      </c>
      <c r="DM53" t="s">
        <v>22308</v>
      </c>
      <c r="DN53" t="s">
        <v>22309</v>
      </c>
      <c r="DO53" t="s">
        <v>14321</v>
      </c>
      <c r="DP53" t="s">
        <v>13780</v>
      </c>
      <c r="DQ53" t="s">
        <v>13772</v>
      </c>
      <c r="DR53" t="s">
        <v>13772</v>
      </c>
      <c r="DS53" t="s">
        <v>14404</v>
      </c>
      <c r="DT53" t="s">
        <v>13772</v>
      </c>
      <c r="DU53" t="s">
        <v>22310</v>
      </c>
      <c r="DV53" t="s">
        <v>13874</v>
      </c>
      <c r="DW53" t="s">
        <v>13812</v>
      </c>
      <c r="DX53" t="s">
        <v>22311</v>
      </c>
      <c r="DY53" t="s">
        <v>22312</v>
      </c>
      <c r="DZ53" t="s">
        <v>22313</v>
      </c>
      <c r="EA53" t="s">
        <v>13772</v>
      </c>
      <c r="EB53" t="s">
        <v>22314</v>
      </c>
    </row>
    <row r="54" spans="1:132">
      <c r="A54">
        <v>1320</v>
      </c>
      <c r="B54">
        <v>1</v>
      </c>
      <c r="C54" t="s">
        <v>3166</v>
      </c>
      <c r="D54" t="s">
        <v>73</v>
      </c>
      <c r="E54" t="s">
        <v>73</v>
      </c>
      <c r="F54" t="s">
        <v>73</v>
      </c>
      <c r="G54" t="s">
        <v>73</v>
      </c>
      <c r="H54">
        <v>71.900000000000006</v>
      </c>
      <c r="I54">
        <v>445</v>
      </c>
      <c r="J54">
        <v>50730</v>
      </c>
      <c r="K54" t="s">
        <v>3167</v>
      </c>
      <c r="L54">
        <f t="shared" si="2"/>
        <v>871</v>
      </c>
      <c r="N54">
        <v>871</v>
      </c>
      <c r="O54">
        <v>871</v>
      </c>
      <c r="P54">
        <v>1</v>
      </c>
      <c r="Q54">
        <v>22</v>
      </c>
      <c r="R54">
        <v>23</v>
      </c>
      <c r="S54">
        <v>8</v>
      </c>
      <c r="T54">
        <v>12</v>
      </c>
      <c r="U54">
        <v>6</v>
      </c>
      <c r="V54">
        <v>2</v>
      </c>
      <c r="W54">
        <v>6</v>
      </c>
      <c r="X54">
        <v>21</v>
      </c>
      <c r="Y54">
        <v>39</v>
      </c>
      <c r="Z54">
        <v>204</v>
      </c>
      <c r="AA54">
        <v>26</v>
      </c>
      <c r="AB54">
        <v>22</v>
      </c>
      <c r="AC54">
        <v>71</v>
      </c>
      <c r="AD54">
        <v>134</v>
      </c>
      <c r="AE54">
        <v>52</v>
      </c>
      <c r="AF54">
        <v>30</v>
      </c>
      <c r="AG54">
        <v>65</v>
      </c>
      <c r="AH54">
        <v>69</v>
      </c>
      <c r="AI54">
        <v>59</v>
      </c>
      <c r="AJ54">
        <v>22</v>
      </c>
      <c r="AK54">
        <v>23</v>
      </c>
      <c r="AL54">
        <v>8</v>
      </c>
      <c r="AM54">
        <v>12</v>
      </c>
      <c r="AN54">
        <v>6</v>
      </c>
      <c r="AO54">
        <v>2</v>
      </c>
      <c r="AP54">
        <v>6</v>
      </c>
      <c r="AQ54">
        <v>21</v>
      </c>
      <c r="AR54">
        <v>39</v>
      </c>
      <c r="AS54">
        <v>204</v>
      </c>
      <c r="AT54">
        <v>26</v>
      </c>
      <c r="AU54">
        <v>22</v>
      </c>
      <c r="AV54">
        <v>71</v>
      </c>
      <c r="AW54">
        <v>134</v>
      </c>
      <c r="AX54">
        <v>52</v>
      </c>
      <c r="AY54">
        <v>30</v>
      </c>
      <c r="AZ54">
        <v>65</v>
      </c>
      <c r="BA54">
        <v>69</v>
      </c>
      <c r="BB54">
        <v>59</v>
      </c>
      <c r="BC54" s="2">
        <v>22</v>
      </c>
      <c r="BD54" s="2">
        <v>23</v>
      </c>
      <c r="BE54" s="2">
        <v>8</v>
      </c>
      <c r="BF54" s="2">
        <v>12</v>
      </c>
      <c r="BG54" s="2">
        <v>6</v>
      </c>
      <c r="BH54" s="2">
        <v>2</v>
      </c>
      <c r="BI54" s="2">
        <v>6</v>
      </c>
      <c r="BJ54" s="2">
        <v>21</v>
      </c>
      <c r="BK54" s="2">
        <v>39</v>
      </c>
      <c r="BL54" s="2">
        <v>204</v>
      </c>
      <c r="BM54" s="2">
        <v>26</v>
      </c>
      <c r="BN54" s="2">
        <v>22</v>
      </c>
      <c r="BO54" s="2">
        <v>71</v>
      </c>
      <c r="BP54" s="2">
        <v>134</v>
      </c>
      <c r="BQ54" s="2">
        <v>52</v>
      </c>
      <c r="BR54" s="2">
        <v>30</v>
      </c>
      <c r="BS54" s="2">
        <v>65</v>
      </c>
      <c r="BT54" s="2">
        <v>69</v>
      </c>
      <c r="BU54" s="2">
        <v>59</v>
      </c>
      <c r="BV54" s="2">
        <f t="shared" si="5"/>
        <v>871</v>
      </c>
      <c r="BW54" s="16">
        <f t="shared" si="3"/>
        <v>45.842105263157897</v>
      </c>
      <c r="BX54" s="16">
        <f>COUNTIF($BC$6:BU54, "=0") / COUNTIF($BC$6:BU54, "&gt;-1")</f>
        <v>9.6670247046186895E-3</v>
      </c>
      <c r="BY54" s="18">
        <f>SUM($BC$6:BU54) / $BY$4</f>
        <v>0.44033599356892256</v>
      </c>
      <c r="BZ54" s="14">
        <f t="shared" si="4"/>
        <v>0</v>
      </c>
      <c r="CA54" t="s">
        <v>5831</v>
      </c>
      <c r="CB54" s="36">
        <v>26.656154708363999</v>
      </c>
      <c r="CC54" s="36">
        <v>22.150474775581301</v>
      </c>
      <c r="CD54" s="36">
        <v>12.806381294498101</v>
      </c>
      <c r="CE54" s="36">
        <v>18.143061109838801</v>
      </c>
      <c r="CF54" s="36">
        <v>5.1610581596213496</v>
      </c>
      <c r="CG54" s="36">
        <v>1.85945449327898</v>
      </c>
      <c r="CH54" s="36">
        <v>6.3243736971878404</v>
      </c>
      <c r="CI54" s="36">
        <v>20.436855557628402</v>
      </c>
      <c r="CJ54" s="37">
        <v>30.9955734365533</v>
      </c>
      <c r="CK54" s="37">
        <v>16.3968908190954</v>
      </c>
      <c r="CL54" s="37">
        <v>17.601195661881501</v>
      </c>
      <c r="CM54" s="37">
        <v>60.104840308595797</v>
      </c>
      <c r="CN54" s="37">
        <v>47.777213422385898</v>
      </c>
      <c r="CO54" s="37">
        <v>23.675717111553698</v>
      </c>
      <c r="CP54" s="37">
        <v>98.055103111057505</v>
      </c>
      <c r="CQ54" s="37">
        <v>89.835573942002398</v>
      </c>
      <c r="CR54" s="45">
        <v>1.74717812475868</v>
      </c>
      <c r="CS54" s="45">
        <v>3.38602704209084</v>
      </c>
      <c r="CT54" s="46">
        <v>4.8647817990342499E-4</v>
      </c>
      <c r="CU54" s="47">
        <v>1.18346873583779E-3</v>
      </c>
      <c r="CV54" s="48">
        <v>14.1922267244998</v>
      </c>
      <c r="CW54" s="49">
        <v>48.055263476640697</v>
      </c>
      <c r="CX54" s="31" t="s">
        <v>5874</v>
      </c>
      <c r="CY54" s="31" t="s">
        <v>5876</v>
      </c>
      <c r="CZ54" t="s">
        <v>10143</v>
      </c>
      <c r="DA54" t="s">
        <v>5904</v>
      </c>
      <c r="DB54">
        <v>823.9</v>
      </c>
      <c r="DC54" t="s">
        <v>26544</v>
      </c>
      <c r="DD54" t="s">
        <v>13772</v>
      </c>
      <c r="DE54" t="s">
        <v>26545</v>
      </c>
      <c r="DF54" t="s">
        <v>26546</v>
      </c>
      <c r="DG54" t="s">
        <v>26547</v>
      </c>
      <c r="DH54" t="str">
        <f>"FGG"</f>
        <v>FGG</v>
      </c>
      <c r="DI54" t="s">
        <v>13772</v>
      </c>
      <c r="DJ54" t="s">
        <v>13777</v>
      </c>
      <c r="DK54">
        <v>9606</v>
      </c>
      <c r="DL54" s="34" t="str">
        <f>HYPERLINK("http://www.uniprot.org/uniprot/P02679", "P02679")</f>
        <v>P02679</v>
      </c>
      <c r="DM54" t="s">
        <v>26548</v>
      </c>
      <c r="DN54" t="s">
        <v>16755</v>
      </c>
      <c r="DO54" t="s">
        <v>14321</v>
      </c>
      <c r="DP54" t="s">
        <v>13780</v>
      </c>
      <c r="DQ54" t="s">
        <v>13772</v>
      </c>
      <c r="DR54" t="s">
        <v>13807</v>
      </c>
      <c r="DS54" t="s">
        <v>16820</v>
      </c>
      <c r="DT54" t="s">
        <v>13873</v>
      </c>
      <c r="DU54" t="s">
        <v>13772</v>
      </c>
      <c r="DV54" t="s">
        <v>26549</v>
      </c>
      <c r="DW54" t="s">
        <v>13812</v>
      </c>
      <c r="DX54" t="s">
        <v>26550</v>
      </c>
      <c r="DY54" t="s">
        <v>26551</v>
      </c>
      <c r="DZ54" t="s">
        <v>26552</v>
      </c>
      <c r="EA54" t="s">
        <v>13772</v>
      </c>
      <c r="EB54" t="s">
        <v>26553</v>
      </c>
    </row>
    <row r="55" spans="1:132" hidden="1">
      <c r="A55">
        <v>949</v>
      </c>
      <c r="B55">
        <v>1</v>
      </c>
      <c r="C55" t="s">
        <v>2310</v>
      </c>
      <c r="D55" t="s">
        <v>2311</v>
      </c>
      <c r="E55" t="s">
        <v>73</v>
      </c>
      <c r="F55" t="s">
        <v>73</v>
      </c>
      <c r="G55" t="s">
        <v>73</v>
      </c>
      <c r="H55">
        <v>32</v>
      </c>
      <c r="I55">
        <v>4651</v>
      </c>
      <c r="J55">
        <v>520939</v>
      </c>
      <c r="K55" t="s">
        <v>2312</v>
      </c>
      <c r="L55">
        <f t="shared" si="2"/>
        <v>847</v>
      </c>
      <c r="N55">
        <v>847</v>
      </c>
      <c r="O55">
        <v>847</v>
      </c>
      <c r="P55">
        <v>1</v>
      </c>
      <c r="Q55">
        <v>81</v>
      </c>
      <c r="R55">
        <v>134</v>
      </c>
      <c r="S55">
        <v>61</v>
      </c>
      <c r="T55">
        <v>88</v>
      </c>
      <c r="U55">
        <v>152</v>
      </c>
      <c r="V55">
        <v>112</v>
      </c>
      <c r="W55">
        <v>102</v>
      </c>
      <c r="X55">
        <v>89</v>
      </c>
      <c r="Y55">
        <v>0</v>
      </c>
      <c r="Z55">
        <v>0</v>
      </c>
      <c r="AA55">
        <v>6</v>
      </c>
      <c r="AB55">
        <v>6</v>
      </c>
      <c r="AC55">
        <v>0</v>
      </c>
      <c r="AD55">
        <v>1</v>
      </c>
      <c r="AE55">
        <v>3</v>
      </c>
      <c r="AF55">
        <v>4</v>
      </c>
      <c r="AG55">
        <v>0</v>
      </c>
      <c r="AH55">
        <v>0</v>
      </c>
      <c r="AI55">
        <v>8</v>
      </c>
      <c r="AJ55">
        <v>81</v>
      </c>
      <c r="AK55">
        <v>134</v>
      </c>
      <c r="AL55">
        <v>61</v>
      </c>
      <c r="AM55">
        <v>88</v>
      </c>
      <c r="AN55">
        <v>152</v>
      </c>
      <c r="AO55">
        <v>112</v>
      </c>
      <c r="AP55">
        <v>102</v>
      </c>
      <c r="AQ55">
        <v>89</v>
      </c>
      <c r="AR55">
        <v>0</v>
      </c>
      <c r="AS55">
        <v>0</v>
      </c>
      <c r="AT55">
        <v>6</v>
      </c>
      <c r="AU55">
        <v>6</v>
      </c>
      <c r="AV55">
        <v>0</v>
      </c>
      <c r="AW55">
        <v>1</v>
      </c>
      <c r="AX55">
        <v>3</v>
      </c>
      <c r="AY55">
        <v>4</v>
      </c>
      <c r="AZ55">
        <v>0</v>
      </c>
      <c r="BA55">
        <v>0</v>
      </c>
      <c r="BB55">
        <v>8</v>
      </c>
      <c r="BC55" s="2">
        <v>81</v>
      </c>
      <c r="BD55" s="2">
        <v>134</v>
      </c>
      <c r="BE55" s="2">
        <v>61</v>
      </c>
      <c r="BF55" s="2">
        <v>88</v>
      </c>
      <c r="BG55" s="2">
        <v>152</v>
      </c>
      <c r="BH55" s="2">
        <v>112</v>
      </c>
      <c r="BI55" s="2">
        <v>102</v>
      </c>
      <c r="BJ55" s="2">
        <v>89</v>
      </c>
      <c r="BK55" s="2">
        <v>0</v>
      </c>
      <c r="BL55" s="2">
        <v>0</v>
      </c>
      <c r="BM55" s="2">
        <v>6</v>
      </c>
      <c r="BN55" s="2">
        <v>6</v>
      </c>
      <c r="BO55" s="2">
        <v>0</v>
      </c>
      <c r="BP55" s="2">
        <v>1</v>
      </c>
      <c r="BQ55" s="2">
        <v>3</v>
      </c>
      <c r="BR55" s="2">
        <v>4</v>
      </c>
      <c r="BS55" s="2">
        <v>0</v>
      </c>
      <c r="BT55" s="2">
        <v>0</v>
      </c>
      <c r="BU55" s="2">
        <v>8</v>
      </c>
      <c r="BV55" s="2">
        <f t="shared" si="5"/>
        <v>847</v>
      </c>
      <c r="BW55" s="16">
        <f t="shared" si="3"/>
        <v>44.578947368421055</v>
      </c>
      <c r="BX55" s="16">
        <f>COUNTIF($BC$6:BU55, "=0") / COUNTIF($BC$6:BU55, "&gt;-1")</f>
        <v>1.4736842105263158E-2</v>
      </c>
      <c r="BY55" s="18">
        <f>SUM($BC$6:BU55) / $BY$4</f>
        <v>0.44396423399671187</v>
      </c>
      <c r="BZ55" s="14">
        <f t="shared" si="4"/>
        <v>5</v>
      </c>
      <c r="CA55" t="s">
        <v>5831</v>
      </c>
      <c r="CB55" s="36">
        <v>98.143115062613106</v>
      </c>
      <c r="CC55" s="36">
        <v>129.050592170778</v>
      </c>
      <c r="CD55" s="36">
        <v>97.648657370547696</v>
      </c>
      <c r="CE55" s="36">
        <v>133.04911480548401</v>
      </c>
      <c r="CF55" s="36">
        <v>130.74680671040801</v>
      </c>
      <c r="CG55" s="36">
        <v>104.129451623623</v>
      </c>
      <c r="CH55" s="36">
        <v>107.514352852193</v>
      </c>
      <c r="CI55" s="36">
        <v>86.613340220425201</v>
      </c>
      <c r="CJ55" s="37">
        <v>0.19868957331123899</v>
      </c>
      <c r="CK55" s="37">
        <v>3.7838978813297102</v>
      </c>
      <c r="CL55" s="37">
        <v>4.8003260896040603</v>
      </c>
      <c r="CM55" s="37">
        <v>0.21163676164998499</v>
      </c>
      <c r="CN55" s="37">
        <v>2.7563776974453398</v>
      </c>
      <c r="CO55" s="37">
        <v>3.1567622815404999</v>
      </c>
      <c r="CP55" s="37">
        <v>0.377135011965606</v>
      </c>
      <c r="CQ55" s="37">
        <v>12.1810947717969</v>
      </c>
      <c r="CR55" s="45">
        <v>-5.0621321825223102</v>
      </c>
      <c r="CS55" s="45">
        <v>-32.290759916271703</v>
      </c>
      <c r="CT55" s="46">
        <v>2.1634872813674401E-31</v>
      </c>
      <c r="CU55" s="47">
        <v>1.4473729912348201E-28</v>
      </c>
      <c r="CV55" s="48">
        <v>110.861928852009</v>
      </c>
      <c r="CW55" s="49">
        <v>3.43324000858042</v>
      </c>
      <c r="CX55" s="31" t="s">
        <v>5875</v>
      </c>
      <c r="CY55" s="31" t="s">
        <v>5876</v>
      </c>
      <c r="CZ55" t="s">
        <v>8952</v>
      </c>
      <c r="DA55" t="s">
        <v>5904</v>
      </c>
      <c r="DB55">
        <v>7709.8</v>
      </c>
      <c r="DC55" t="s">
        <v>23152</v>
      </c>
      <c r="DD55" t="s">
        <v>23153</v>
      </c>
      <c r="DE55" t="s">
        <v>23154</v>
      </c>
      <c r="DF55" t="s">
        <v>23155</v>
      </c>
      <c r="DG55" t="s">
        <v>23156</v>
      </c>
      <c r="DH55" t="str">
        <f>"LRP2"</f>
        <v>LRP2</v>
      </c>
      <c r="DI55" t="s">
        <v>13772</v>
      </c>
      <c r="DJ55" t="s">
        <v>13777</v>
      </c>
      <c r="DK55">
        <v>9606</v>
      </c>
      <c r="DL55" s="34" t="str">
        <f>HYPERLINK("http://www.uniprot.org/uniprot/P98164", "P98164")</f>
        <v>P98164</v>
      </c>
      <c r="DM55" t="s">
        <v>23157</v>
      </c>
      <c r="DN55" t="s">
        <v>23158</v>
      </c>
      <c r="DO55" t="s">
        <v>23159</v>
      </c>
      <c r="DP55" t="s">
        <v>13793</v>
      </c>
      <c r="DQ55" t="s">
        <v>13772</v>
      </c>
      <c r="DR55" t="s">
        <v>13807</v>
      </c>
      <c r="DS55" t="s">
        <v>23160</v>
      </c>
      <c r="DT55" t="s">
        <v>13873</v>
      </c>
      <c r="DU55" t="s">
        <v>13795</v>
      </c>
      <c r="DV55" t="s">
        <v>13964</v>
      </c>
      <c r="DW55" t="s">
        <v>13812</v>
      </c>
      <c r="DX55" t="s">
        <v>23161</v>
      </c>
      <c r="DY55" t="s">
        <v>23162</v>
      </c>
      <c r="DZ55" t="s">
        <v>23163</v>
      </c>
      <c r="EA55" t="s">
        <v>13772</v>
      </c>
      <c r="EB55" t="s">
        <v>23164</v>
      </c>
    </row>
    <row r="56" spans="1:132">
      <c r="A56">
        <v>110</v>
      </c>
      <c r="B56">
        <v>1</v>
      </c>
      <c r="C56" t="s">
        <v>288</v>
      </c>
      <c r="D56" t="s">
        <v>289</v>
      </c>
      <c r="E56" t="s">
        <v>73</v>
      </c>
      <c r="F56" t="s">
        <v>73</v>
      </c>
      <c r="G56" t="s">
        <v>73</v>
      </c>
      <c r="H56">
        <v>60.6</v>
      </c>
      <c r="I56">
        <v>587</v>
      </c>
      <c r="J56">
        <v>62451</v>
      </c>
      <c r="K56" t="s">
        <v>290</v>
      </c>
      <c r="L56">
        <f t="shared" si="2"/>
        <v>770</v>
      </c>
      <c r="N56">
        <v>770</v>
      </c>
      <c r="O56">
        <v>770</v>
      </c>
      <c r="P56">
        <v>1</v>
      </c>
      <c r="Q56">
        <v>56</v>
      </c>
      <c r="R56">
        <v>64</v>
      </c>
      <c r="S56">
        <v>65</v>
      </c>
      <c r="T56">
        <v>78</v>
      </c>
      <c r="U56">
        <v>82</v>
      </c>
      <c r="V56">
        <v>73</v>
      </c>
      <c r="W56">
        <v>69</v>
      </c>
      <c r="X56">
        <v>39</v>
      </c>
      <c r="Y56">
        <v>17</v>
      </c>
      <c r="Z56">
        <v>7</v>
      </c>
      <c r="AA56">
        <v>37</v>
      </c>
      <c r="AB56">
        <v>30</v>
      </c>
      <c r="AC56">
        <v>16</v>
      </c>
      <c r="AD56">
        <v>11</v>
      </c>
      <c r="AE56">
        <v>29</v>
      </c>
      <c r="AF56">
        <v>44</v>
      </c>
      <c r="AG56">
        <v>22</v>
      </c>
      <c r="AH56">
        <v>11</v>
      </c>
      <c r="AI56">
        <v>20</v>
      </c>
      <c r="AJ56">
        <v>56</v>
      </c>
      <c r="AK56">
        <v>64</v>
      </c>
      <c r="AL56">
        <v>65</v>
      </c>
      <c r="AM56">
        <v>78</v>
      </c>
      <c r="AN56">
        <v>82</v>
      </c>
      <c r="AO56">
        <v>73</v>
      </c>
      <c r="AP56">
        <v>69</v>
      </c>
      <c r="AQ56">
        <v>39</v>
      </c>
      <c r="AR56">
        <v>17</v>
      </c>
      <c r="AS56">
        <v>7</v>
      </c>
      <c r="AT56">
        <v>37</v>
      </c>
      <c r="AU56">
        <v>30</v>
      </c>
      <c r="AV56">
        <v>16</v>
      </c>
      <c r="AW56">
        <v>11</v>
      </c>
      <c r="AX56">
        <v>29</v>
      </c>
      <c r="AY56">
        <v>44</v>
      </c>
      <c r="AZ56">
        <v>22</v>
      </c>
      <c r="BA56">
        <v>11</v>
      </c>
      <c r="BB56">
        <v>20</v>
      </c>
      <c r="BC56" s="2">
        <v>56</v>
      </c>
      <c r="BD56" s="2">
        <v>64</v>
      </c>
      <c r="BE56" s="2">
        <v>65</v>
      </c>
      <c r="BF56" s="2">
        <v>78</v>
      </c>
      <c r="BG56" s="2">
        <v>82</v>
      </c>
      <c r="BH56" s="2">
        <v>73</v>
      </c>
      <c r="BI56" s="2">
        <v>69</v>
      </c>
      <c r="BJ56" s="2">
        <v>39</v>
      </c>
      <c r="BK56" s="2">
        <v>17</v>
      </c>
      <c r="BL56" s="2">
        <v>7</v>
      </c>
      <c r="BM56" s="2">
        <v>37</v>
      </c>
      <c r="BN56" s="2">
        <v>30</v>
      </c>
      <c r="BO56" s="2">
        <v>16</v>
      </c>
      <c r="BP56" s="2">
        <v>11</v>
      </c>
      <c r="BQ56" s="2">
        <v>29</v>
      </c>
      <c r="BR56" s="2">
        <v>44</v>
      </c>
      <c r="BS56" s="2">
        <v>22</v>
      </c>
      <c r="BT56" s="2">
        <v>11</v>
      </c>
      <c r="BU56" s="2">
        <v>20</v>
      </c>
      <c r="BV56" s="2">
        <f t="shared" si="5"/>
        <v>770</v>
      </c>
      <c r="BW56" s="16">
        <f t="shared" si="3"/>
        <v>40.526315789473685</v>
      </c>
      <c r="BX56" s="16">
        <f>COUNTIF($BC$6:BU56, "=0") / COUNTIF($BC$6:BU56, "&gt;-1")</f>
        <v>1.4447884416924664E-2</v>
      </c>
      <c r="BY56" s="18">
        <f>SUM($BC$6:BU56) / $BY$4</f>
        <v>0.44726263438561126</v>
      </c>
      <c r="BZ56" s="14">
        <f t="shared" si="4"/>
        <v>0</v>
      </c>
      <c r="CA56" t="s">
        <v>5831</v>
      </c>
      <c r="CB56" s="36">
        <v>67.852030166744797</v>
      </c>
      <c r="CC56" s="36">
        <v>61.636103723356598</v>
      </c>
      <c r="CD56" s="36">
        <v>104.051848017797</v>
      </c>
      <c r="CE56" s="36">
        <v>117.929897213952</v>
      </c>
      <c r="CF56" s="36">
        <v>70.534461514825196</v>
      </c>
      <c r="CG56" s="36">
        <v>67.870089004682896</v>
      </c>
      <c r="CH56" s="36">
        <v>72.730297517660205</v>
      </c>
      <c r="CI56" s="36">
        <v>37.954160321309899</v>
      </c>
      <c r="CJ56" s="37">
        <v>13.5108909851643</v>
      </c>
      <c r="CK56" s="37">
        <v>23.334036934866599</v>
      </c>
      <c r="CL56" s="37">
        <v>24.0016304480203</v>
      </c>
      <c r="CM56" s="37">
        <v>13.5447527455991</v>
      </c>
      <c r="CN56" s="37">
        <v>26.644984408638301</v>
      </c>
      <c r="CO56" s="37">
        <v>34.724385096945497</v>
      </c>
      <c r="CP56" s="37">
        <v>33.187881052973303</v>
      </c>
      <c r="CQ56" s="37">
        <v>30.4527369294923</v>
      </c>
      <c r="CR56" s="45">
        <v>-1.5921269075694899</v>
      </c>
      <c r="CS56" s="45">
        <v>-3.0118103126295801</v>
      </c>
      <c r="CT56" s="46">
        <v>2.9034481338484501E-7</v>
      </c>
      <c r="CU56" s="47">
        <v>1.66017185999186E-6</v>
      </c>
      <c r="CV56" s="48">
        <v>75.069860935041007</v>
      </c>
      <c r="CW56" s="49">
        <v>24.925162325212501</v>
      </c>
      <c r="CX56" s="31" t="s">
        <v>5875</v>
      </c>
      <c r="CY56" s="31" t="s">
        <v>5876</v>
      </c>
      <c r="CZ56" t="s">
        <v>6071</v>
      </c>
      <c r="DA56" t="s">
        <v>5904</v>
      </c>
      <c r="DB56">
        <v>954.1</v>
      </c>
      <c r="DC56" t="s">
        <v>14396</v>
      </c>
      <c r="DD56" t="s">
        <v>14397</v>
      </c>
      <c r="DE56" t="s">
        <v>14398</v>
      </c>
      <c r="DF56" t="s">
        <v>14399</v>
      </c>
      <c r="DG56" t="s">
        <v>14400</v>
      </c>
      <c r="DH56" t="str">
        <f>"GRN"</f>
        <v>GRN</v>
      </c>
      <c r="DI56" t="s">
        <v>13772</v>
      </c>
      <c r="DJ56" t="s">
        <v>13777</v>
      </c>
      <c r="DK56">
        <v>9606</v>
      </c>
      <c r="DL56" s="34" t="str">
        <f>HYPERLINK("http://www.uniprot.org/uniprot/P28799", "P28799")</f>
        <v>P28799</v>
      </c>
      <c r="DM56" t="s">
        <v>14401</v>
      </c>
      <c r="DN56" t="s">
        <v>13772</v>
      </c>
      <c r="DO56" t="s">
        <v>14402</v>
      </c>
      <c r="DP56" t="s">
        <v>13780</v>
      </c>
      <c r="DQ56" t="s">
        <v>13772</v>
      </c>
      <c r="DR56" t="s">
        <v>14403</v>
      </c>
      <c r="DS56" t="s">
        <v>14404</v>
      </c>
      <c r="DT56" t="s">
        <v>13772</v>
      </c>
      <c r="DU56" t="s">
        <v>14405</v>
      </c>
      <c r="DV56" t="s">
        <v>13796</v>
      </c>
      <c r="DW56" t="s">
        <v>13812</v>
      </c>
      <c r="DX56" t="s">
        <v>14406</v>
      </c>
      <c r="DY56" t="s">
        <v>14407</v>
      </c>
      <c r="DZ56" t="s">
        <v>14408</v>
      </c>
      <c r="EA56" t="s">
        <v>13772</v>
      </c>
      <c r="EB56" t="s">
        <v>13890</v>
      </c>
    </row>
    <row r="57" spans="1:132">
      <c r="A57">
        <v>586</v>
      </c>
      <c r="B57">
        <v>1</v>
      </c>
      <c r="C57" t="s">
        <v>1454</v>
      </c>
      <c r="D57" t="s">
        <v>73</v>
      </c>
      <c r="E57" t="s">
        <v>73</v>
      </c>
      <c r="F57" t="s">
        <v>73</v>
      </c>
      <c r="G57" t="s">
        <v>73</v>
      </c>
      <c r="H57">
        <v>74.7</v>
      </c>
      <c r="I57">
        <v>150</v>
      </c>
      <c r="J57">
        <v>16239</v>
      </c>
      <c r="K57" t="s">
        <v>1455</v>
      </c>
      <c r="L57">
        <f t="shared" si="2"/>
        <v>746</v>
      </c>
      <c r="N57">
        <v>746</v>
      </c>
      <c r="O57">
        <v>746</v>
      </c>
      <c r="P57">
        <v>1</v>
      </c>
      <c r="Q57">
        <v>37</v>
      </c>
      <c r="R57">
        <v>32</v>
      </c>
      <c r="S57">
        <v>36</v>
      </c>
      <c r="T57">
        <v>15</v>
      </c>
      <c r="U57">
        <v>17</v>
      </c>
      <c r="V57">
        <v>26</v>
      </c>
      <c r="W57">
        <v>13</v>
      </c>
      <c r="X57">
        <v>16</v>
      </c>
      <c r="Y57">
        <v>54</v>
      </c>
      <c r="Z57">
        <v>11</v>
      </c>
      <c r="AA57">
        <v>80</v>
      </c>
      <c r="AB57">
        <v>70</v>
      </c>
      <c r="AC57">
        <v>76</v>
      </c>
      <c r="AD57">
        <v>15</v>
      </c>
      <c r="AE57">
        <v>40</v>
      </c>
      <c r="AF57">
        <v>84</v>
      </c>
      <c r="AG57">
        <v>42</v>
      </c>
      <c r="AH57">
        <v>34</v>
      </c>
      <c r="AI57">
        <v>48</v>
      </c>
      <c r="AJ57">
        <v>37</v>
      </c>
      <c r="AK57">
        <v>32</v>
      </c>
      <c r="AL57">
        <v>36</v>
      </c>
      <c r="AM57">
        <v>15</v>
      </c>
      <c r="AN57">
        <v>17</v>
      </c>
      <c r="AO57">
        <v>26</v>
      </c>
      <c r="AP57">
        <v>13</v>
      </c>
      <c r="AQ57">
        <v>16</v>
      </c>
      <c r="AR57">
        <v>54</v>
      </c>
      <c r="AS57">
        <v>11</v>
      </c>
      <c r="AT57">
        <v>80</v>
      </c>
      <c r="AU57">
        <v>70</v>
      </c>
      <c r="AV57">
        <v>76</v>
      </c>
      <c r="AW57">
        <v>15</v>
      </c>
      <c r="AX57">
        <v>40</v>
      </c>
      <c r="AY57">
        <v>84</v>
      </c>
      <c r="AZ57">
        <v>42</v>
      </c>
      <c r="BA57">
        <v>34</v>
      </c>
      <c r="BB57">
        <v>48</v>
      </c>
      <c r="BC57" s="2">
        <v>37</v>
      </c>
      <c r="BD57" s="2">
        <v>32</v>
      </c>
      <c r="BE57" s="2">
        <v>36</v>
      </c>
      <c r="BF57" s="2">
        <v>15</v>
      </c>
      <c r="BG57" s="2">
        <v>17</v>
      </c>
      <c r="BH57" s="2">
        <v>26</v>
      </c>
      <c r="BI57" s="2">
        <v>13</v>
      </c>
      <c r="BJ57" s="2">
        <v>16</v>
      </c>
      <c r="BK57" s="2">
        <v>54</v>
      </c>
      <c r="BL57" s="2">
        <v>11</v>
      </c>
      <c r="BM57" s="2">
        <v>80</v>
      </c>
      <c r="BN57" s="2">
        <v>70</v>
      </c>
      <c r="BO57" s="2">
        <v>76</v>
      </c>
      <c r="BP57" s="2">
        <v>15</v>
      </c>
      <c r="BQ57" s="2">
        <v>40</v>
      </c>
      <c r="BR57" s="2">
        <v>84</v>
      </c>
      <c r="BS57" s="2">
        <v>42</v>
      </c>
      <c r="BT57" s="2">
        <v>34</v>
      </c>
      <c r="BU57" s="2">
        <v>48</v>
      </c>
      <c r="BV57" s="2">
        <f t="shared" si="5"/>
        <v>746</v>
      </c>
      <c r="BW57" s="16">
        <f t="shared" si="3"/>
        <v>39.263157894736842</v>
      </c>
      <c r="BX57" s="16">
        <f>COUNTIF($BC$6:BU57, "=0") / COUNTIF($BC$6:BU57, "&gt;-1")</f>
        <v>1.417004048582996E-2</v>
      </c>
      <c r="BY57" s="18">
        <f>SUM($BC$6:BU57) / $BY$4</f>
        <v>0.45045822748966186</v>
      </c>
      <c r="BZ57" s="14">
        <f t="shared" si="4"/>
        <v>0</v>
      </c>
      <c r="CA57" t="s">
        <v>5831</v>
      </c>
      <c r="CB57" s="36">
        <v>44.830805645885</v>
      </c>
      <c r="CC57" s="36">
        <v>30.818051861678299</v>
      </c>
      <c r="CD57" s="36">
        <v>57.628715825241301</v>
      </c>
      <c r="CE57" s="36">
        <v>22.6788263872984</v>
      </c>
      <c r="CF57" s="36">
        <v>14.6229981189272</v>
      </c>
      <c r="CG57" s="36">
        <v>24.1729084126268</v>
      </c>
      <c r="CH57" s="36">
        <v>13.7028096772403</v>
      </c>
      <c r="CI57" s="36">
        <v>15.5709375677169</v>
      </c>
      <c r="CJ57" s="37">
        <v>42.916947835227703</v>
      </c>
      <c r="CK57" s="37">
        <v>50.4519717510628</v>
      </c>
      <c r="CL57" s="37">
        <v>56.003804378714001</v>
      </c>
      <c r="CM57" s="37">
        <v>64.337575541595498</v>
      </c>
      <c r="CN57" s="37">
        <v>36.751702632604598</v>
      </c>
      <c r="CO57" s="37">
        <v>66.292007912350499</v>
      </c>
      <c r="CP57" s="37">
        <v>63.358682010221798</v>
      </c>
      <c r="CQ57" s="37">
        <v>73.086568630781599</v>
      </c>
      <c r="CR57" s="45">
        <v>1.02970001130209</v>
      </c>
      <c r="CS57" s="45">
        <v>2.0229756924205602</v>
      </c>
      <c r="CT57" s="46">
        <v>2.21117051079337E-3</v>
      </c>
      <c r="CU57" s="47">
        <v>4.5940157506856004E-3</v>
      </c>
      <c r="CV57" s="48">
        <v>28.003256687076799</v>
      </c>
      <c r="CW57" s="49">
        <v>56.649907586569803</v>
      </c>
      <c r="CX57" s="31" t="s">
        <v>5874</v>
      </c>
      <c r="CY57" s="31" t="s">
        <v>5876</v>
      </c>
      <c r="CZ57" t="s">
        <v>7725</v>
      </c>
      <c r="DA57" t="s">
        <v>5904</v>
      </c>
      <c r="DB57">
        <v>217.6</v>
      </c>
      <c r="DC57" t="s">
        <v>19553</v>
      </c>
      <c r="DD57" t="s">
        <v>19554</v>
      </c>
      <c r="DE57" t="s">
        <v>19555</v>
      </c>
      <c r="DF57" t="s">
        <v>19556</v>
      </c>
      <c r="DG57" t="s">
        <v>19557</v>
      </c>
      <c r="DH57" t="str">
        <f>"CST6"</f>
        <v>CST6</v>
      </c>
      <c r="DI57" t="s">
        <v>13772</v>
      </c>
      <c r="DJ57" t="s">
        <v>13777</v>
      </c>
      <c r="DK57">
        <v>9606</v>
      </c>
      <c r="DL57" s="34" t="str">
        <f>HYPERLINK("http://www.uniprot.org/uniprot/Q15828", "Q15828")</f>
        <v>Q15828</v>
      </c>
      <c r="DM57" t="s">
        <v>19558</v>
      </c>
      <c r="DN57" t="s">
        <v>13772</v>
      </c>
      <c r="DO57" t="s">
        <v>14321</v>
      </c>
      <c r="DP57" t="s">
        <v>13772</v>
      </c>
      <c r="DQ57" t="s">
        <v>13772</v>
      </c>
      <c r="DR57" t="s">
        <v>13772</v>
      </c>
      <c r="DS57" t="s">
        <v>13808</v>
      </c>
      <c r="DT57" t="s">
        <v>13772</v>
      </c>
      <c r="DU57" t="s">
        <v>19559</v>
      </c>
      <c r="DV57" t="s">
        <v>13796</v>
      </c>
      <c r="DW57" t="s">
        <v>13812</v>
      </c>
      <c r="DX57" t="s">
        <v>19560</v>
      </c>
      <c r="DY57" t="s">
        <v>19561</v>
      </c>
      <c r="DZ57" t="s">
        <v>19562</v>
      </c>
      <c r="EA57" t="s">
        <v>13772</v>
      </c>
      <c r="EB57" t="s">
        <v>13772</v>
      </c>
    </row>
    <row r="58" spans="1:132">
      <c r="A58">
        <v>2028</v>
      </c>
      <c r="B58">
        <v>1</v>
      </c>
      <c r="C58" t="s">
        <v>4765</v>
      </c>
      <c r="D58" t="s">
        <v>73</v>
      </c>
      <c r="E58" t="s">
        <v>73</v>
      </c>
      <c r="F58" t="s">
        <v>73</v>
      </c>
      <c r="G58" t="s">
        <v>73</v>
      </c>
      <c r="H58">
        <v>54.2</v>
      </c>
      <c r="I58">
        <v>83</v>
      </c>
      <c r="J58">
        <v>8699</v>
      </c>
      <c r="K58" t="s">
        <v>4766</v>
      </c>
      <c r="L58">
        <f t="shared" si="2"/>
        <v>731</v>
      </c>
      <c r="N58">
        <v>731</v>
      </c>
      <c r="O58">
        <v>731</v>
      </c>
      <c r="P58">
        <v>1</v>
      </c>
      <c r="Q58">
        <v>123</v>
      </c>
      <c r="R58">
        <v>23</v>
      </c>
      <c r="S58">
        <v>11</v>
      </c>
      <c r="T58">
        <v>37</v>
      </c>
      <c r="U58">
        <v>32</v>
      </c>
      <c r="V58">
        <v>28</v>
      </c>
      <c r="W58">
        <v>20</v>
      </c>
      <c r="X58">
        <v>15</v>
      </c>
      <c r="Y58">
        <v>58</v>
      </c>
      <c r="Z58">
        <v>7</v>
      </c>
      <c r="AA58">
        <v>100</v>
      </c>
      <c r="AB58">
        <v>52</v>
      </c>
      <c r="AC58">
        <v>41</v>
      </c>
      <c r="AD58">
        <v>10</v>
      </c>
      <c r="AE58">
        <v>39</v>
      </c>
      <c r="AF58">
        <v>70</v>
      </c>
      <c r="AG58">
        <v>20</v>
      </c>
      <c r="AH58">
        <v>15</v>
      </c>
      <c r="AI58">
        <v>30</v>
      </c>
      <c r="AJ58">
        <v>123</v>
      </c>
      <c r="AK58">
        <v>23</v>
      </c>
      <c r="AL58">
        <v>11</v>
      </c>
      <c r="AM58">
        <v>37</v>
      </c>
      <c r="AN58">
        <v>32</v>
      </c>
      <c r="AO58">
        <v>28</v>
      </c>
      <c r="AP58">
        <v>20</v>
      </c>
      <c r="AQ58">
        <v>15</v>
      </c>
      <c r="AR58">
        <v>58</v>
      </c>
      <c r="AS58">
        <v>7</v>
      </c>
      <c r="AT58">
        <v>100</v>
      </c>
      <c r="AU58">
        <v>52</v>
      </c>
      <c r="AV58">
        <v>41</v>
      </c>
      <c r="AW58">
        <v>10</v>
      </c>
      <c r="AX58">
        <v>39</v>
      </c>
      <c r="AY58">
        <v>70</v>
      </c>
      <c r="AZ58">
        <v>20</v>
      </c>
      <c r="BA58">
        <v>15</v>
      </c>
      <c r="BB58">
        <v>30</v>
      </c>
      <c r="BC58" s="2">
        <v>123</v>
      </c>
      <c r="BD58" s="2">
        <v>23</v>
      </c>
      <c r="BE58" s="2">
        <v>11</v>
      </c>
      <c r="BF58" s="2">
        <v>37</v>
      </c>
      <c r="BG58" s="2">
        <v>32</v>
      </c>
      <c r="BH58" s="2">
        <v>28</v>
      </c>
      <c r="BI58" s="2">
        <v>20</v>
      </c>
      <c r="BJ58" s="2">
        <v>15</v>
      </c>
      <c r="BK58" s="2">
        <v>58</v>
      </c>
      <c r="BL58" s="2">
        <v>7</v>
      </c>
      <c r="BM58" s="2">
        <v>100</v>
      </c>
      <c r="BN58" s="2">
        <v>52</v>
      </c>
      <c r="BO58" s="2">
        <v>41</v>
      </c>
      <c r="BP58" s="2">
        <v>10</v>
      </c>
      <c r="BQ58" s="2">
        <v>39</v>
      </c>
      <c r="BR58" s="2">
        <v>70</v>
      </c>
      <c r="BS58" s="2">
        <v>20</v>
      </c>
      <c r="BT58" s="2">
        <v>15</v>
      </c>
      <c r="BU58" s="2">
        <v>30</v>
      </c>
      <c r="BV58" s="2">
        <f t="shared" si="5"/>
        <v>731</v>
      </c>
      <c r="BW58" s="16">
        <f t="shared" si="3"/>
        <v>38.473684210526315</v>
      </c>
      <c r="BX58" s="16">
        <f>COUNTIF($BC$6:BU58, "=0") / COUNTIF($BC$6:BU58, "&gt;-1")</f>
        <v>1.3902681231380337E-2</v>
      </c>
      <c r="BY58" s="18">
        <f>SUM($BC$6:BU58) / $BY$4</f>
        <v>0.4535895660406819</v>
      </c>
      <c r="BZ58" s="14">
        <f t="shared" si="4"/>
        <v>0</v>
      </c>
      <c r="CA58" t="s">
        <v>5831</v>
      </c>
      <c r="CB58" s="36">
        <v>149.03213768767199</v>
      </c>
      <c r="CC58" s="36">
        <v>22.150474775581301</v>
      </c>
      <c r="CD58" s="36">
        <v>17.608774279934799</v>
      </c>
      <c r="CE58" s="36">
        <v>55.941105088669502</v>
      </c>
      <c r="CF58" s="36">
        <v>27.525643517980502</v>
      </c>
      <c r="CG58" s="36">
        <v>26.032362905905799</v>
      </c>
      <c r="CH58" s="36">
        <v>21.081245657292801</v>
      </c>
      <c r="CI58" s="36">
        <v>14.597753969734599</v>
      </c>
      <c r="CJ58" s="37">
        <v>46.095981008207502</v>
      </c>
      <c r="CK58" s="37">
        <v>63.064964688828603</v>
      </c>
      <c r="CL58" s="37">
        <v>41.602826109901798</v>
      </c>
      <c r="CM58" s="37">
        <v>34.708428910597597</v>
      </c>
      <c r="CN58" s="37">
        <v>35.832910066789402</v>
      </c>
      <c r="CO58" s="37">
        <v>55.243339926958697</v>
      </c>
      <c r="CP58" s="37">
        <v>30.170800957248499</v>
      </c>
      <c r="CQ58" s="37">
        <v>45.679105394238498</v>
      </c>
      <c r="CR58" s="45">
        <v>8.6160769458544895E-2</v>
      </c>
      <c r="CS58" s="45">
        <v>1.0551812644473</v>
      </c>
      <c r="CT58" s="46">
        <v>0.85983211479145505</v>
      </c>
      <c r="CU58" s="47">
        <v>0.90302619277156004</v>
      </c>
      <c r="CV58" s="48">
        <v>41.746187235346397</v>
      </c>
      <c r="CW58" s="49">
        <v>44.0497946328463</v>
      </c>
      <c r="CX58" s="31" t="s">
        <v>5874</v>
      </c>
      <c r="CY58" s="31" t="s">
        <v>5832</v>
      </c>
      <c r="CZ58" t="s">
        <v>12507</v>
      </c>
      <c r="DA58" t="s">
        <v>5904</v>
      </c>
      <c r="DB58">
        <v>100.9</v>
      </c>
      <c r="DC58" t="s">
        <v>33187</v>
      </c>
      <c r="DD58" t="s">
        <v>33188</v>
      </c>
      <c r="DE58" t="s">
        <v>33189</v>
      </c>
      <c r="DF58" t="s">
        <v>33190</v>
      </c>
      <c r="DG58" t="s">
        <v>33191</v>
      </c>
      <c r="DH58" t="str">
        <f>"HAMP"</f>
        <v>HAMP</v>
      </c>
      <c r="DI58" t="s">
        <v>33192</v>
      </c>
      <c r="DJ58" t="s">
        <v>13777</v>
      </c>
      <c r="DK58">
        <v>9606</v>
      </c>
      <c r="DL58" s="34" t="str">
        <f>HYPERLINK("http://www.uniprot.org/uniprot/P81172", "P81172")</f>
        <v>P81172</v>
      </c>
      <c r="DM58" t="s">
        <v>33193</v>
      </c>
      <c r="DN58" t="s">
        <v>13772</v>
      </c>
      <c r="DO58" t="s">
        <v>14321</v>
      </c>
      <c r="DP58" t="s">
        <v>13772</v>
      </c>
      <c r="DQ58" t="s">
        <v>13772</v>
      </c>
      <c r="DR58" t="s">
        <v>13807</v>
      </c>
      <c r="DS58" t="s">
        <v>13808</v>
      </c>
      <c r="DT58" t="s">
        <v>13772</v>
      </c>
      <c r="DU58" t="s">
        <v>33194</v>
      </c>
      <c r="DV58" t="s">
        <v>21731</v>
      </c>
      <c r="DW58" t="s">
        <v>13812</v>
      </c>
      <c r="DX58" t="s">
        <v>33195</v>
      </c>
      <c r="DY58" t="s">
        <v>33196</v>
      </c>
      <c r="DZ58" t="s">
        <v>33197</v>
      </c>
      <c r="EA58" t="s">
        <v>13772</v>
      </c>
      <c r="EB58" t="s">
        <v>13772</v>
      </c>
    </row>
    <row r="59" spans="1:132" hidden="1">
      <c r="A59">
        <v>1505</v>
      </c>
      <c r="B59">
        <v>1</v>
      </c>
      <c r="C59" t="s">
        <v>3583</v>
      </c>
      <c r="D59" t="s">
        <v>73</v>
      </c>
      <c r="E59" t="s">
        <v>73</v>
      </c>
      <c r="F59" t="s">
        <v>73</v>
      </c>
      <c r="G59" t="s">
        <v>73</v>
      </c>
      <c r="H59">
        <v>41.1</v>
      </c>
      <c r="I59">
        <v>1109</v>
      </c>
      <c r="J59">
        <v>125920</v>
      </c>
      <c r="K59" t="s">
        <v>3584</v>
      </c>
      <c r="L59">
        <f t="shared" si="2"/>
        <v>721</v>
      </c>
      <c r="N59">
        <v>721</v>
      </c>
      <c r="O59">
        <v>721</v>
      </c>
      <c r="P59">
        <v>1</v>
      </c>
      <c r="Q59">
        <v>43</v>
      </c>
      <c r="R59">
        <v>7</v>
      </c>
      <c r="S59">
        <v>7</v>
      </c>
      <c r="T59">
        <v>1</v>
      </c>
      <c r="U59">
        <v>0</v>
      </c>
      <c r="V59">
        <v>2</v>
      </c>
      <c r="W59">
        <v>5</v>
      </c>
      <c r="X59">
        <v>12</v>
      </c>
      <c r="Y59">
        <v>72</v>
      </c>
      <c r="Z59">
        <v>12</v>
      </c>
      <c r="AA59">
        <v>124</v>
      </c>
      <c r="AB59">
        <v>93</v>
      </c>
      <c r="AC59">
        <v>53</v>
      </c>
      <c r="AD59">
        <v>6</v>
      </c>
      <c r="AE59">
        <v>49</v>
      </c>
      <c r="AF59">
        <v>97</v>
      </c>
      <c r="AG59">
        <v>65</v>
      </c>
      <c r="AH59">
        <v>25</v>
      </c>
      <c r="AI59">
        <v>48</v>
      </c>
      <c r="AJ59">
        <v>43</v>
      </c>
      <c r="AK59">
        <v>7</v>
      </c>
      <c r="AL59">
        <v>7</v>
      </c>
      <c r="AM59">
        <v>1</v>
      </c>
      <c r="AN59">
        <v>0</v>
      </c>
      <c r="AO59">
        <v>2</v>
      </c>
      <c r="AP59">
        <v>5</v>
      </c>
      <c r="AQ59">
        <v>12</v>
      </c>
      <c r="AR59">
        <v>72</v>
      </c>
      <c r="AS59">
        <v>12</v>
      </c>
      <c r="AT59">
        <v>124</v>
      </c>
      <c r="AU59">
        <v>93</v>
      </c>
      <c r="AV59">
        <v>53</v>
      </c>
      <c r="AW59">
        <v>6</v>
      </c>
      <c r="AX59">
        <v>49</v>
      </c>
      <c r="AY59">
        <v>97</v>
      </c>
      <c r="AZ59">
        <v>65</v>
      </c>
      <c r="BA59">
        <v>25</v>
      </c>
      <c r="BB59">
        <v>48</v>
      </c>
      <c r="BC59" s="2">
        <v>43</v>
      </c>
      <c r="BD59" s="2">
        <v>7</v>
      </c>
      <c r="BE59" s="2">
        <v>7</v>
      </c>
      <c r="BF59" s="2">
        <v>1</v>
      </c>
      <c r="BG59" s="2">
        <v>0</v>
      </c>
      <c r="BH59" s="2">
        <v>2</v>
      </c>
      <c r="BI59" s="2">
        <v>5</v>
      </c>
      <c r="BJ59" s="2">
        <v>12</v>
      </c>
      <c r="BK59" s="2">
        <v>72</v>
      </c>
      <c r="BL59" s="2">
        <v>12</v>
      </c>
      <c r="BM59" s="2">
        <v>124</v>
      </c>
      <c r="BN59" s="2">
        <v>93</v>
      </c>
      <c r="BO59" s="2">
        <v>53</v>
      </c>
      <c r="BP59" s="2">
        <v>6</v>
      </c>
      <c r="BQ59" s="2">
        <v>49</v>
      </c>
      <c r="BR59" s="2">
        <v>97</v>
      </c>
      <c r="BS59" s="2">
        <v>65</v>
      </c>
      <c r="BT59" s="2">
        <v>25</v>
      </c>
      <c r="BU59" s="2">
        <v>48</v>
      </c>
      <c r="BV59" s="2">
        <f t="shared" si="5"/>
        <v>721</v>
      </c>
      <c r="BW59" s="16">
        <f t="shared" si="3"/>
        <v>37.94736842105263</v>
      </c>
      <c r="BX59" s="16">
        <f>COUNTIF($BC$6:BU59, "=0") / COUNTIF($BC$6:BU59, "&gt;-1")</f>
        <v>1.4619883040935672E-2</v>
      </c>
      <c r="BY59" s="18">
        <f>SUM($BC$6:BU59) / $BY$4</f>
        <v>0.45667806822301499</v>
      </c>
      <c r="BZ59" s="14">
        <f t="shared" si="4"/>
        <v>1</v>
      </c>
      <c r="CA59" t="s">
        <v>5831</v>
      </c>
      <c r="CB59" s="36">
        <v>52.100666020893399</v>
      </c>
      <c r="CC59" s="36">
        <v>6.7414488447421297</v>
      </c>
      <c r="CD59" s="36">
        <v>11.2055836326858</v>
      </c>
      <c r="CE59" s="36">
        <v>1.5119217591532299</v>
      </c>
      <c r="CF59" s="36">
        <v>0.215044089984223</v>
      </c>
      <c r="CG59" s="36">
        <v>1.85945449327898</v>
      </c>
      <c r="CH59" s="36">
        <v>5.2703114143232002</v>
      </c>
      <c r="CI59" s="36">
        <v>11.678203175787701</v>
      </c>
      <c r="CJ59" s="37">
        <v>57.222597113636901</v>
      </c>
      <c r="CK59" s="37">
        <v>78.200556214147397</v>
      </c>
      <c r="CL59" s="37">
        <v>74.405054388862894</v>
      </c>
      <c r="CM59" s="37">
        <v>44.866993469796903</v>
      </c>
      <c r="CN59" s="37">
        <v>45.020835724940603</v>
      </c>
      <c r="CO59" s="37">
        <v>76.551485327357099</v>
      </c>
      <c r="CP59" s="37">
        <v>98.055103111057505</v>
      </c>
      <c r="CQ59" s="37">
        <v>73.086568630781599</v>
      </c>
      <c r="CR59" s="45">
        <v>2.5935970835776798</v>
      </c>
      <c r="CS59" s="45">
        <v>6.0432024688096204</v>
      </c>
      <c r="CT59" s="46">
        <v>1.4835518013377E-5</v>
      </c>
      <c r="CU59" s="47">
        <v>5.22366397418379E-5</v>
      </c>
      <c r="CV59" s="48">
        <v>11.3228291788561</v>
      </c>
      <c r="CW59" s="49">
        <v>68.426149247572596</v>
      </c>
      <c r="CX59" s="31" t="s">
        <v>5874</v>
      </c>
      <c r="CY59" s="31" t="s">
        <v>5876</v>
      </c>
      <c r="CZ59" t="s">
        <v>10748</v>
      </c>
      <c r="DA59" t="s">
        <v>5904</v>
      </c>
      <c r="DB59">
        <v>1603.2</v>
      </c>
      <c r="DC59" t="s">
        <v>28244</v>
      </c>
      <c r="DD59" t="s">
        <v>28245</v>
      </c>
      <c r="DE59" t="s">
        <v>28246</v>
      </c>
      <c r="DF59" t="s">
        <v>28247</v>
      </c>
      <c r="DG59" t="s">
        <v>28248</v>
      </c>
      <c r="DH59" t="str">
        <f>"SPINK5"</f>
        <v>SPINK5</v>
      </c>
      <c r="DI59" t="s">
        <v>13772</v>
      </c>
      <c r="DJ59" t="s">
        <v>13777</v>
      </c>
      <c r="DK59">
        <v>9606</v>
      </c>
      <c r="DL59" s="34" t="str">
        <f>HYPERLINK("http://www.uniprot.org/uniprot/Q9NQ38", "Q9NQ38")</f>
        <v>Q9NQ38</v>
      </c>
      <c r="DM59" t="s">
        <v>28249</v>
      </c>
      <c r="DN59" t="s">
        <v>13772</v>
      </c>
      <c r="DO59" t="s">
        <v>14321</v>
      </c>
      <c r="DP59" t="s">
        <v>13780</v>
      </c>
      <c r="DQ59" t="s">
        <v>13772</v>
      </c>
      <c r="DR59" t="s">
        <v>28250</v>
      </c>
      <c r="DS59" t="s">
        <v>14404</v>
      </c>
      <c r="DT59" t="s">
        <v>13772</v>
      </c>
      <c r="DU59" t="s">
        <v>14375</v>
      </c>
      <c r="DV59" t="s">
        <v>21731</v>
      </c>
      <c r="DW59" t="s">
        <v>13812</v>
      </c>
      <c r="DX59" t="s">
        <v>28251</v>
      </c>
      <c r="DY59" t="s">
        <v>28252</v>
      </c>
      <c r="DZ59" t="s">
        <v>16362</v>
      </c>
      <c r="EA59" t="s">
        <v>13772</v>
      </c>
      <c r="EB59" t="s">
        <v>16024</v>
      </c>
    </row>
    <row r="60" spans="1:132">
      <c r="A60">
        <v>2371</v>
      </c>
      <c r="B60">
        <v>1</v>
      </c>
      <c r="C60" t="s">
        <v>5525</v>
      </c>
      <c r="D60" t="s">
        <v>73</v>
      </c>
      <c r="E60" t="s">
        <v>73</v>
      </c>
      <c r="F60" t="s">
        <v>73</v>
      </c>
      <c r="G60" t="s">
        <v>73</v>
      </c>
      <c r="H60">
        <v>61.2</v>
      </c>
      <c r="I60">
        <v>345</v>
      </c>
      <c r="J60">
        <v>38614</v>
      </c>
      <c r="K60" t="s">
        <v>5526</v>
      </c>
      <c r="L60">
        <f t="shared" si="2"/>
        <v>719</v>
      </c>
      <c r="N60">
        <v>719</v>
      </c>
      <c r="O60">
        <v>719</v>
      </c>
      <c r="P60">
        <v>1</v>
      </c>
      <c r="Q60">
        <v>35</v>
      </c>
      <c r="R60">
        <v>32</v>
      </c>
      <c r="S60">
        <v>24</v>
      </c>
      <c r="T60">
        <v>27</v>
      </c>
      <c r="U60">
        <v>34</v>
      </c>
      <c r="V60">
        <v>35</v>
      </c>
      <c r="W60">
        <v>25</v>
      </c>
      <c r="X60">
        <v>29</v>
      </c>
      <c r="Y60">
        <v>62</v>
      </c>
      <c r="Z60">
        <v>59</v>
      </c>
      <c r="AA60">
        <v>39</v>
      </c>
      <c r="AB60">
        <v>27</v>
      </c>
      <c r="AC60">
        <v>58</v>
      </c>
      <c r="AD60">
        <v>42</v>
      </c>
      <c r="AE60">
        <v>37</v>
      </c>
      <c r="AF60">
        <v>41</v>
      </c>
      <c r="AG60">
        <v>34</v>
      </c>
      <c r="AH60">
        <v>40</v>
      </c>
      <c r="AI60">
        <v>39</v>
      </c>
      <c r="AJ60">
        <v>35</v>
      </c>
      <c r="AK60">
        <v>32</v>
      </c>
      <c r="AL60">
        <v>24</v>
      </c>
      <c r="AM60">
        <v>27</v>
      </c>
      <c r="AN60">
        <v>34</v>
      </c>
      <c r="AO60">
        <v>35</v>
      </c>
      <c r="AP60">
        <v>25</v>
      </c>
      <c r="AQ60">
        <v>29</v>
      </c>
      <c r="AR60">
        <v>62</v>
      </c>
      <c r="AS60">
        <v>59</v>
      </c>
      <c r="AT60">
        <v>39</v>
      </c>
      <c r="AU60">
        <v>27</v>
      </c>
      <c r="AV60">
        <v>58</v>
      </c>
      <c r="AW60">
        <v>42</v>
      </c>
      <c r="AX60">
        <v>37</v>
      </c>
      <c r="AY60">
        <v>41</v>
      </c>
      <c r="AZ60">
        <v>34</v>
      </c>
      <c r="BA60">
        <v>40</v>
      </c>
      <c r="BB60">
        <v>39</v>
      </c>
      <c r="BC60" s="2">
        <v>35</v>
      </c>
      <c r="BD60" s="2">
        <v>32</v>
      </c>
      <c r="BE60" s="2">
        <v>24</v>
      </c>
      <c r="BF60" s="2">
        <v>27</v>
      </c>
      <c r="BG60" s="2">
        <v>34</v>
      </c>
      <c r="BH60" s="2">
        <v>35</v>
      </c>
      <c r="BI60" s="2">
        <v>25</v>
      </c>
      <c r="BJ60" s="2">
        <v>29</v>
      </c>
      <c r="BK60" s="2">
        <v>62</v>
      </c>
      <c r="BL60" s="2">
        <v>59</v>
      </c>
      <c r="BM60" s="2">
        <v>39</v>
      </c>
      <c r="BN60" s="2">
        <v>27</v>
      </c>
      <c r="BO60" s="2">
        <v>58</v>
      </c>
      <c r="BP60" s="2">
        <v>42</v>
      </c>
      <c r="BQ60" s="2">
        <v>37</v>
      </c>
      <c r="BR60" s="2">
        <v>41</v>
      </c>
      <c r="BS60" s="2">
        <v>34</v>
      </c>
      <c r="BT60" s="2">
        <v>40</v>
      </c>
      <c r="BU60" s="2">
        <v>39</v>
      </c>
      <c r="BV60" s="2">
        <f t="shared" si="5"/>
        <v>719</v>
      </c>
      <c r="BW60" s="16">
        <f t="shared" si="3"/>
        <v>37.842105263157897</v>
      </c>
      <c r="BX60" s="16">
        <f>COUNTIF($BC$6:BU60, "=0") / COUNTIF($BC$6:BU60, "&gt;-1")</f>
        <v>1.4354066985645933E-2</v>
      </c>
      <c r="BY60" s="18">
        <f>SUM($BC$6:BU60) / $BY$4</f>
        <v>0.45975800313161064</v>
      </c>
      <c r="BZ60" s="14">
        <f t="shared" si="4"/>
        <v>0</v>
      </c>
      <c r="CA60" t="s">
        <v>5831</v>
      </c>
      <c r="CB60" s="36">
        <v>42.407518854215503</v>
      </c>
      <c r="CC60" s="36">
        <v>30.818051861678299</v>
      </c>
      <c r="CD60" s="36">
        <v>38.419143883494201</v>
      </c>
      <c r="CE60" s="36">
        <v>40.821887497137197</v>
      </c>
      <c r="CF60" s="36">
        <v>29.2459962378543</v>
      </c>
      <c r="CG60" s="36">
        <v>32.540453632382203</v>
      </c>
      <c r="CH60" s="36">
        <v>26.351557071616</v>
      </c>
      <c r="CI60" s="36">
        <v>28.2223243414869</v>
      </c>
      <c r="CJ60" s="37">
        <v>49.275014181187402</v>
      </c>
      <c r="CK60" s="37">
        <v>24.595336228643099</v>
      </c>
      <c r="CL60" s="37">
        <v>21.601467403218301</v>
      </c>
      <c r="CM60" s="37">
        <v>49.099728702796597</v>
      </c>
      <c r="CN60" s="37">
        <v>33.995324935159204</v>
      </c>
      <c r="CO60" s="37">
        <v>32.356813385790097</v>
      </c>
      <c r="CP60" s="37">
        <v>51.290361627322397</v>
      </c>
      <c r="CQ60" s="37">
        <v>59.382837012510102</v>
      </c>
      <c r="CR60" s="45">
        <v>0.24875108442375099</v>
      </c>
      <c r="CS60" s="45">
        <v>1.19629710994097</v>
      </c>
      <c r="CT60" s="46">
        <v>0.37684742520918602</v>
      </c>
      <c r="CU60" s="47">
        <v>0.45921844711283299</v>
      </c>
      <c r="CV60" s="48">
        <v>33.603366672483098</v>
      </c>
      <c r="CW60" s="49">
        <v>40.199610434578403</v>
      </c>
      <c r="CX60" s="31" t="s">
        <v>5874</v>
      </c>
      <c r="CY60" s="31" t="s">
        <v>5832</v>
      </c>
      <c r="CZ60" t="s">
        <v>13633</v>
      </c>
      <c r="DA60" t="s">
        <v>5904</v>
      </c>
      <c r="DB60">
        <v>566.20000000000005</v>
      </c>
      <c r="DC60" t="s">
        <v>36338</v>
      </c>
      <c r="DD60" t="s">
        <v>36339</v>
      </c>
      <c r="DE60" t="s">
        <v>36340</v>
      </c>
      <c r="DF60" t="s">
        <v>36341</v>
      </c>
      <c r="DG60" t="s">
        <v>36342</v>
      </c>
      <c r="DH60" t="str">
        <f>"APOH"</f>
        <v>APOH</v>
      </c>
      <c r="DI60" t="s">
        <v>36343</v>
      </c>
      <c r="DJ60" t="s">
        <v>13777</v>
      </c>
      <c r="DK60">
        <v>9606</v>
      </c>
      <c r="DL60" s="34" t="str">
        <f>HYPERLINK("http://www.uniprot.org/uniprot/P02749", "P02749")</f>
        <v>P02749</v>
      </c>
      <c r="DM60" t="s">
        <v>36344</v>
      </c>
      <c r="DN60" t="s">
        <v>13772</v>
      </c>
      <c r="DO60" t="s">
        <v>14321</v>
      </c>
      <c r="DP60" t="s">
        <v>13793</v>
      </c>
      <c r="DQ60" t="s">
        <v>13772</v>
      </c>
      <c r="DR60" t="s">
        <v>13772</v>
      </c>
      <c r="DS60" t="s">
        <v>28012</v>
      </c>
      <c r="DT60" t="s">
        <v>13772</v>
      </c>
      <c r="DU60" t="s">
        <v>14073</v>
      </c>
      <c r="DV60" t="s">
        <v>13796</v>
      </c>
      <c r="DW60" t="s">
        <v>13812</v>
      </c>
      <c r="DX60" t="s">
        <v>36345</v>
      </c>
      <c r="DY60" t="s">
        <v>36346</v>
      </c>
      <c r="DZ60" t="s">
        <v>36347</v>
      </c>
      <c r="EA60" t="s">
        <v>13772</v>
      </c>
      <c r="EB60" t="s">
        <v>15665</v>
      </c>
    </row>
    <row r="61" spans="1:132" hidden="1">
      <c r="A61">
        <v>62</v>
      </c>
      <c r="B61">
        <v>1</v>
      </c>
      <c r="C61" t="s">
        <v>178</v>
      </c>
      <c r="D61" t="s">
        <v>73</v>
      </c>
      <c r="E61" t="s">
        <v>73</v>
      </c>
      <c r="F61" t="s">
        <v>179</v>
      </c>
      <c r="G61" t="s">
        <v>73</v>
      </c>
      <c r="H61">
        <v>46.3</v>
      </c>
      <c r="I61">
        <v>1460</v>
      </c>
      <c r="J61">
        <v>138797</v>
      </c>
      <c r="K61" t="s">
        <v>180</v>
      </c>
      <c r="L61">
        <f t="shared" si="2"/>
        <v>714</v>
      </c>
      <c r="N61">
        <v>714</v>
      </c>
      <c r="O61">
        <v>709</v>
      </c>
      <c r="P61">
        <v>0.99299999999999999</v>
      </c>
      <c r="Q61">
        <v>112</v>
      </c>
      <c r="R61">
        <v>57</v>
      </c>
      <c r="S61">
        <v>90</v>
      </c>
      <c r="T61">
        <v>95</v>
      </c>
      <c r="U61">
        <v>81</v>
      </c>
      <c r="V61">
        <v>82</v>
      </c>
      <c r="W61">
        <v>42</v>
      </c>
      <c r="X61">
        <v>44</v>
      </c>
      <c r="Y61">
        <v>9</v>
      </c>
      <c r="Z61">
        <v>0</v>
      </c>
      <c r="AA61">
        <v>18</v>
      </c>
      <c r="AB61">
        <v>20</v>
      </c>
      <c r="AC61">
        <v>10</v>
      </c>
      <c r="AD61">
        <v>0</v>
      </c>
      <c r="AE61">
        <v>7</v>
      </c>
      <c r="AF61">
        <v>26</v>
      </c>
      <c r="AG61">
        <v>8</v>
      </c>
      <c r="AH61">
        <v>4</v>
      </c>
      <c r="AI61">
        <v>9</v>
      </c>
      <c r="AJ61">
        <v>112</v>
      </c>
      <c r="AK61">
        <v>57</v>
      </c>
      <c r="AL61">
        <v>90</v>
      </c>
      <c r="AM61">
        <v>95</v>
      </c>
      <c r="AN61">
        <v>81</v>
      </c>
      <c r="AO61">
        <v>78</v>
      </c>
      <c r="AP61">
        <v>42</v>
      </c>
      <c r="AQ61">
        <v>44</v>
      </c>
      <c r="AR61">
        <v>9</v>
      </c>
      <c r="AS61">
        <v>0</v>
      </c>
      <c r="AT61">
        <v>18</v>
      </c>
      <c r="AU61">
        <v>20</v>
      </c>
      <c r="AV61">
        <v>10</v>
      </c>
      <c r="AW61">
        <v>0</v>
      </c>
      <c r="AX61">
        <v>7</v>
      </c>
      <c r="AY61">
        <v>25</v>
      </c>
      <c r="AZ61">
        <v>8</v>
      </c>
      <c r="BA61">
        <v>4</v>
      </c>
      <c r="BB61">
        <v>9</v>
      </c>
      <c r="BC61" s="2">
        <v>112</v>
      </c>
      <c r="BD61" s="2">
        <v>57</v>
      </c>
      <c r="BE61" s="2">
        <v>90</v>
      </c>
      <c r="BF61" s="2">
        <v>95</v>
      </c>
      <c r="BG61" s="2">
        <v>81</v>
      </c>
      <c r="BH61" s="2">
        <v>81.625</v>
      </c>
      <c r="BI61" s="2">
        <v>42</v>
      </c>
      <c r="BJ61" s="2">
        <v>44</v>
      </c>
      <c r="BK61" s="2">
        <v>9</v>
      </c>
      <c r="BL61" s="2">
        <v>0</v>
      </c>
      <c r="BM61" s="2">
        <v>18</v>
      </c>
      <c r="BN61" s="2">
        <v>20</v>
      </c>
      <c r="BO61" s="2">
        <v>10</v>
      </c>
      <c r="BP61" s="2">
        <v>0</v>
      </c>
      <c r="BQ61" s="2">
        <v>7</v>
      </c>
      <c r="BR61" s="2">
        <v>25.861999999999998</v>
      </c>
      <c r="BS61" s="2">
        <v>8</v>
      </c>
      <c r="BT61" s="2">
        <v>4</v>
      </c>
      <c r="BU61" s="2">
        <v>9</v>
      </c>
      <c r="BV61" s="2">
        <f t="shared" si="5"/>
        <v>713.48699999999997</v>
      </c>
      <c r="BW61" s="16">
        <f t="shared" si="3"/>
        <v>37.551947368421054</v>
      </c>
      <c r="BX61" s="16">
        <f>COUNTIF($BC$6:BU61, "=0") / COUNTIF($BC$6:BU61, "&gt;-1")</f>
        <v>1.5977443609022556E-2</v>
      </c>
      <c r="BY61" s="18">
        <f>SUM($BC$6:BU61) / $BY$4</f>
        <v>0.46281432235014913</v>
      </c>
      <c r="BZ61" s="14">
        <f t="shared" si="4"/>
        <v>2</v>
      </c>
      <c r="CA61" t="s">
        <v>5831</v>
      </c>
      <c r="CB61" s="36">
        <v>135.70406033348999</v>
      </c>
      <c r="CC61" s="36">
        <v>54.894654878614503</v>
      </c>
      <c r="CD61" s="36">
        <v>144.07178956310301</v>
      </c>
      <c r="CE61" s="36">
        <v>143.632567119557</v>
      </c>
      <c r="CF61" s="36">
        <v>69.674285154888295</v>
      </c>
      <c r="CG61" s="36">
        <v>75.865743325782503</v>
      </c>
      <c r="CH61" s="36">
        <v>44.270615880314899</v>
      </c>
      <c r="CI61" s="36">
        <v>42.820078311221501</v>
      </c>
      <c r="CJ61" s="37">
        <v>7.1528246392046197</v>
      </c>
      <c r="CK61" s="37">
        <v>11.351693643989099</v>
      </c>
      <c r="CL61" s="37">
        <v>16.0010869653469</v>
      </c>
      <c r="CM61" s="37">
        <v>8.4654704659994096</v>
      </c>
      <c r="CN61" s="37">
        <v>6.4315479607058004</v>
      </c>
      <c r="CO61" s="37">
        <v>20.440035772974699</v>
      </c>
      <c r="CP61" s="37">
        <v>12.068320382899399</v>
      </c>
      <c r="CQ61" s="37">
        <v>13.7037316182716</v>
      </c>
      <c r="CR61" s="45">
        <v>-2.8760284378897301</v>
      </c>
      <c r="CS61" s="45">
        <v>-7.4354017680978499</v>
      </c>
      <c r="CT61" s="46">
        <v>1.6486464246348499E-13</v>
      </c>
      <c r="CU61" s="47">
        <v>5.8049708320037598E-12</v>
      </c>
      <c r="CV61" s="48">
        <v>88.866724320871398</v>
      </c>
      <c r="CW61" s="49">
        <v>11.951838931173899</v>
      </c>
      <c r="CX61" s="31" t="s">
        <v>5875</v>
      </c>
      <c r="CY61" s="31" t="s">
        <v>5876</v>
      </c>
      <c r="CZ61" t="s">
        <v>5920</v>
      </c>
      <c r="DA61" t="s">
        <v>5904</v>
      </c>
      <c r="DB61">
        <v>2568.9</v>
      </c>
      <c r="DC61" t="s">
        <v>13863</v>
      </c>
      <c r="DD61" t="s">
        <v>13864</v>
      </c>
      <c r="DE61" t="s">
        <v>13865</v>
      </c>
      <c r="DF61" t="s">
        <v>13866</v>
      </c>
      <c r="DG61" t="s">
        <v>13867</v>
      </c>
      <c r="DH61" t="str">
        <f>"COL1A1"</f>
        <v>COL1A1</v>
      </c>
      <c r="DI61" t="s">
        <v>13772</v>
      </c>
      <c r="DJ61" t="s">
        <v>13777</v>
      </c>
      <c r="DK61">
        <v>9606</v>
      </c>
      <c r="DL61" s="34" t="str">
        <f>HYPERLINK("http://www.uniprot.org/uniprot/P02452", "P02452")</f>
        <v>P02452</v>
      </c>
      <c r="DM61" t="s">
        <v>13868</v>
      </c>
      <c r="DN61" t="s">
        <v>13772</v>
      </c>
      <c r="DO61" t="s">
        <v>13869</v>
      </c>
      <c r="DP61" t="s">
        <v>13870</v>
      </c>
      <c r="DQ61" t="s">
        <v>13772</v>
      </c>
      <c r="DR61" t="s">
        <v>13871</v>
      </c>
      <c r="DS61" t="s">
        <v>13872</v>
      </c>
      <c r="DT61" t="s">
        <v>13873</v>
      </c>
      <c r="DU61" t="s">
        <v>13772</v>
      </c>
      <c r="DV61" t="s">
        <v>13874</v>
      </c>
      <c r="DW61" t="s">
        <v>13812</v>
      </c>
      <c r="DX61" t="s">
        <v>13875</v>
      </c>
      <c r="DY61" t="s">
        <v>13876</v>
      </c>
      <c r="DZ61" t="s">
        <v>13877</v>
      </c>
      <c r="EA61" t="s">
        <v>13772</v>
      </c>
      <c r="EB61" t="s">
        <v>13878</v>
      </c>
    </row>
    <row r="62" spans="1:132">
      <c r="A62">
        <v>647</v>
      </c>
      <c r="B62">
        <v>1</v>
      </c>
      <c r="C62" t="s">
        <v>1600</v>
      </c>
      <c r="D62" t="s">
        <v>73</v>
      </c>
      <c r="E62" t="s">
        <v>73</v>
      </c>
      <c r="F62" t="s">
        <v>73</v>
      </c>
      <c r="G62" t="s">
        <v>73</v>
      </c>
      <c r="H62">
        <v>55.7</v>
      </c>
      <c r="I62">
        <v>149</v>
      </c>
      <c r="J62">
        <v>16248</v>
      </c>
      <c r="K62" t="s">
        <v>1601</v>
      </c>
      <c r="L62">
        <f t="shared" si="2"/>
        <v>696</v>
      </c>
      <c r="N62">
        <v>696</v>
      </c>
      <c r="O62">
        <v>696</v>
      </c>
      <c r="P62">
        <v>1</v>
      </c>
      <c r="Q62">
        <v>30</v>
      </c>
      <c r="R62">
        <v>27</v>
      </c>
      <c r="S62">
        <v>23</v>
      </c>
      <c r="T62">
        <v>26</v>
      </c>
      <c r="U62">
        <v>32</v>
      </c>
      <c r="V62">
        <v>28</v>
      </c>
      <c r="W62">
        <v>24</v>
      </c>
      <c r="X62">
        <v>26</v>
      </c>
      <c r="Y62">
        <v>52</v>
      </c>
      <c r="Z62">
        <v>16</v>
      </c>
      <c r="AA62">
        <v>76</v>
      </c>
      <c r="AB62">
        <v>67</v>
      </c>
      <c r="AC62">
        <v>60</v>
      </c>
      <c r="AD62">
        <v>12</v>
      </c>
      <c r="AE62">
        <v>48</v>
      </c>
      <c r="AF62">
        <v>50</v>
      </c>
      <c r="AG62">
        <v>34</v>
      </c>
      <c r="AH62">
        <v>11</v>
      </c>
      <c r="AI62">
        <v>54</v>
      </c>
      <c r="AJ62">
        <v>30</v>
      </c>
      <c r="AK62">
        <v>27</v>
      </c>
      <c r="AL62">
        <v>23</v>
      </c>
      <c r="AM62">
        <v>26</v>
      </c>
      <c r="AN62">
        <v>32</v>
      </c>
      <c r="AO62">
        <v>28</v>
      </c>
      <c r="AP62">
        <v>24</v>
      </c>
      <c r="AQ62">
        <v>26</v>
      </c>
      <c r="AR62">
        <v>52</v>
      </c>
      <c r="AS62">
        <v>16</v>
      </c>
      <c r="AT62">
        <v>76</v>
      </c>
      <c r="AU62">
        <v>67</v>
      </c>
      <c r="AV62">
        <v>60</v>
      </c>
      <c r="AW62">
        <v>12</v>
      </c>
      <c r="AX62">
        <v>48</v>
      </c>
      <c r="AY62">
        <v>50</v>
      </c>
      <c r="AZ62">
        <v>34</v>
      </c>
      <c r="BA62">
        <v>11</v>
      </c>
      <c r="BB62">
        <v>54</v>
      </c>
      <c r="BC62" s="2">
        <v>30</v>
      </c>
      <c r="BD62" s="2">
        <v>27</v>
      </c>
      <c r="BE62" s="2">
        <v>23</v>
      </c>
      <c r="BF62" s="2">
        <v>26</v>
      </c>
      <c r="BG62" s="2">
        <v>32</v>
      </c>
      <c r="BH62" s="2">
        <v>28</v>
      </c>
      <c r="BI62" s="2">
        <v>24</v>
      </c>
      <c r="BJ62" s="2">
        <v>26</v>
      </c>
      <c r="BK62" s="2">
        <v>52</v>
      </c>
      <c r="BL62" s="2">
        <v>16</v>
      </c>
      <c r="BM62" s="2">
        <v>76</v>
      </c>
      <c r="BN62" s="2">
        <v>67</v>
      </c>
      <c r="BO62" s="2">
        <v>60</v>
      </c>
      <c r="BP62" s="2">
        <v>12</v>
      </c>
      <c r="BQ62" s="2">
        <v>48</v>
      </c>
      <c r="BR62" s="2">
        <v>50</v>
      </c>
      <c r="BS62" s="2">
        <v>34</v>
      </c>
      <c r="BT62" s="2">
        <v>11</v>
      </c>
      <c r="BU62" s="2">
        <v>54</v>
      </c>
      <c r="BV62" s="2">
        <f t="shared" si="5"/>
        <v>696</v>
      </c>
      <c r="BW62" s="16">
        <f t="shared" si="3"/>
        <v>36.631578947368418</v>
      </c>
      <c r="BX62" s="16">
        <f>COUNTIF($BC$6:BU62, "=0") / COUNTIF($BC$6:BU62, "&gt;-1")</f>
        <v>1.569713758079409E-2</v>
      </c>
      <c r="BY62" s="18">
        <f>SUM($BC$6:BU62) / $BY$4</f>
        <v>0.46579573361076465</v>
      </c>
      <c r="BZ62" s="14">
        <f t="shared" si="4"/>
        <v>0</v>
      </c>
      <c r="CA62" t="s">
        <v>5831</v>
      </c>
      <c r="CB62" s="36">
        <v>36.349301875041903</v>
      </c>
      <c r="CC62" s="36">
        <v>26.002731258291099</v>
      </c>
      <c r="CD62" s="36">
        <v>36.8183462216819</v>
      </c>
      <c r="CE62" s="36">
        <v>39.309965737984001</v>
      </c>
      <c r="CF62" s="36">
        <v>27.525643517980502</v>
      </c>
      <c r="CG62" s="36">
        <v>26.032362905905799</v>
      </c>
      <c r="CH62" s="36">
        <v>25.297494788751401</v>
      </c>
      <c r="CI62" s="36">
        <v>25.302773547539999</v>
      </c>
      <c r="CJ62" s="37">
        <v>41.327431248737803</v>
      </c>
      <c r="CK62" s="37">
        <v>47.929373163509702</v>
      </c>
      <c r="CL62" s="37">
        <v>53.603641333912002</v>
      </c>
      <c r="CM62" s="37">
        <v>50.7928227959964</v>
      </c>
      <c r="CN62" s="37">
        <v>44.1020431591255</v>
      </c>
      <c r="CO62" s="37">
        <v>39.459528519256203</v>
      </c>
      <c r="CP62" s="37">
        <v>51.290361627322397</v>
      </c>
      <c r="CQ62" s="37">
        <v>82.222389709629297</v>
      </c>
      <c r="CR62" s="45">
        <v>0.75930225842756305</v>
      </c>
      <c r="CS62" s="45">
        <v>1.6927544007875801</v>
      </c>
      <c r="CT62" s="46">
        <v>3.31093602098729E-3</v>
      </c>
      <c r="CU62" s="47">
        <v>6.7121702970924201E-3</v>
      </c>
      <c r="CV62" s="48">
        <v>30.329827481647101</v>
      </c>
      <c r="CW62" s="49">
        <v>51.340948944686197</v>
      </c>
      <c r="CX62" s="31" t="s">
        <v>5874</v>
      </c>
      <c r="CY62" s="31" t="s">
        <v>5876</v>
      </c>
      <c r="CZ62" t="s">
        <v>7924</v>
      </c>
      <c r="DA62" t="s">
        <v>5904</v>
      </c>
      <c r="DB62">
        <v>192.2</v>
      </c>
      <c r="DC62" t="s">
        <v>20164</v>
      </c>
      <c r="DD62" t="s">
        <v>20165</v>
      </c>
      <c r="DE62" t="s">
        <v>20166</v>
      </c>
      <c r="DF62" t="s">
        <v>20167</v>
      </c>
      <c r="DG62" t="s">
        <v>20168</v>
      </c>
      <c r="DH62" t="str">
        <f>"CST3"</f>
        <v>CST3</v>
      </c>
      <c r="DI62" t="s">
        <v>13772</v>
      </c>
      <c r="DJ62" t="s">
        <v>13777</v>
      </c>
      <c r="DK62">
        <v>9606</v>
      </c>
      <c r="DL62" s="34" t="str">
        <f>HYPERLINK("http://www.uniprot.org/uniprot/P01034", "P01034")</f>
        <v>P01034</v>
      </c>
      <c r="DM62" t="s">
        <v>20169</v>
      </c>
      <c r="DN62" t="s">
        <v>13772</v>
      </c>
      <c r="DO62" t="s">
        <v>20170</v>
      </c>
      <c r="DP62" t="s">
        <v>13793</v>
      </c>
      <c r="DQ62" t="s">
        <v>13772</v>
      </c>
      <c r="DR62" t="s">
        <v>20171</v>
      </c>
      <c r="DS62" t="s">
        <v>13808</v>
      </c>
      <c r="DT62" t="s">
        <v>13772</v>
      </c>
      <c r="DU62" t="s">
        <v>19559</v>
      </c>
      <c r="DV62" t="s">
        <v>13964</v>
      </c>
      <c r="DW62" t="s">
        <v>13812</v>
      </c>
      <c r="DX62" t="s">
        <v>20172</v>
      </c>
      <c r="DY62" t="s">
        <v>20173</v>
      </c>
      <c r="DZ62" t="s">
        <v>20174</v>
      </c>
      <c r="EA62" t="s">
        <v>13772</v>
      </c>
      <c r="EB62" t="s">
        <v>20175</v>
      </c>
    </row>
    <row r="63" spans="1:132">
      <c r="A63">
        <v>1122</v>
      </c>
      <c r="B63">
        <v>1</v>
      </c>
      <c r="C63" t="s">
        <v>2698</v>
      </c>
      <c r="D63" t="s">
        <v>2699</v>
      </c>
      <c r="E63" t="s">
        <v>73</v>
      </c>
      <c r="F63" t="s">
        <v>2691</v>
      </c>
      <c r="G63" t="s">
        <v>73</v>
      </c>
      <c r="H63">
        <v>54.2</v>
      </c>
      <c r="I63">
        <v>1480</v>
      </c>
      <c r="J63">
        <v>164847</v>
      </c>
      <c r="K63" t="s">
        <v>2700</v>
      </c>
      <c r="L63">
        <f t="shared" si="2"/>
        <v>678</v>
      </c>
      <c r="N63">
        <v>678</v>
      </c>
      <c r="O63">
        <v>671</v>
      </c>
      <c r="P63">
        <v>0.99</v>
      </c>
      <c r="Q63">
        <v>43</v>
      </c>
      <c r="R63">
        <v>31</v>
      </c>
      <c r="S63">
        <v>3</v>
      </c>
      <c r="T63">
        <v>6</v>
      </c>
      <c r="U63">
        <v>10</v>
      </c>
      <c r="V63">
        <v>15</v>
      </c>
      <c r="W63">
        <v>17</v>
      </c>
      <c r="X63">
        <v>10</v>
      </c>
      <c r="Y63">
        <v>53</v>
      </c>
      <c r="Z63">
        <v>123</v>
      </c>
      <c r="AA63">
        <v>4</v>
      </c>
      <c r="AB63">
        <v>5</v>
      </c>
      <c r="AC63">
        <v>41</v>
      </c>
      <c r="AD63">
        <v>110</v>
      </c>
      <c r="AE63">
        <v>25</v>
      </c>
      <c r="AF63">
        <v>9</v>
      </c>
      <c r="AG63">
        <v>60</v>
      </c>
      <c r="AH63">
        <v>62</v>
      </c>
      <c r="AI63">
        <v>51</v>
      </c>
      <c r="AJ63">
        <v>42</v>
      </c>
      <c r="AK63">
        <v>31</v>
      </c>
      <c r="AL63">
        <v>3</v>
      </c>
      <c r="AM63">
        <v>6</v>
      </c>
      <c r="AN63">
        <v>10</v>
      </c>
      <c r="AO63">
        <v>15</v>
      </c>
      <c r="AP63">
        <v>16</v>
      </c>
      <c r="AQ63">
        <v>10</v>
      </c>
      <c r="AR63">
        <v>53</v>
      </c>
      <c r="AS63">
        <v>122</v>
      </c>
      <c r="AT63">
        <v>4</v>
      </c>
      <c r="AU63">
        <v>5</v>
      </c>
      <c r="AV63">
        <v>41</v>
      </c>
      <c r="AW63">
        <v>110</v>
      </c>
      <c r="AX63">
        <v>25</v>
      </c>
      <c r="AY63">
        <v>9</v>
      </c>
      <c r="AZ63">
        <v>59</v>
      </c>
      <c r="BA63">
        <v>60</v>
      </c>
      <c r="BB63">
        <v>50</v>
      </c>
      <c r="BC63" s="2">
        <v>42.976999999999997</v>
      </c>
      <c r="BD63" s="2">
        <v>31</v>
      </c>
      <c r="BE63" s="2">
        <v>3</v>
      </c>
      <c r="BF63" s="2">
        <v>6</v>
      </c>
      <c r="BG63" s="2">
        <v>10</v>
      </c>
      <c r="BH63" s="2">
        <v>15</v>
      </c>
      <c r="BI63" s="2">
        <v>17</v>
      </c>
      <c r="BJ63" s="2">
        <v>10</v>
      </c>
      <c r="BK63" s="2">
        <v>53</v>
      </c>
      <c r="BL63" s="2">
        <v>122.824</v>
      </c>
      <c r="BM63" s="2">
        <v>4</v>
      </c>
      <c r="BN63" s="2">
        <v>5</v>
      </c>
      <c r="BO63" s="2">
        <v>41</v>
      </c>
      <c r="BP63" s="2">
        <v>110</v>
      </c>
      <c r="BQ63" s="2">
        <v>25</v>
      </c>
      <c r="BR63" s="2">
        <v>9</v>
      </c>
      <c r="BS63" s="2">
        <v>59.808</v>
      </c>
      <c r="BT63" s="2">
        <v>61.579000000000001</v>
      </c>
      <c r="BU63" s="2">
        <v>50.832999999999998</v>
      </c>
      <c r="BV63" s="2">
        <f t="shared" si="5"/>
        <v>677.02099999999996</v>
      </c>
      <c r="BW63" s="16">
        <f t="shared" si="3"/>
        <v>35.632684210526314</v>
      </c>
      <c r="BX63" s="16">
        <f>COUNTIF($BC$6:BU63, "=0") / COUNTIF($BC$6:BU63, "&gt;-1")</f>
        <v>1.5426497277676952E-2</v>
      </c>
      <c r="BY63" s="18">
        <f>SUM($BC$6:BU63) / $BY$4</f>
        <v>0.46869584572724909</v>
      </c>
      <c r="BZ63" s="14">
        <f t="shared" si="4"/>
        <v>0</v>
      </c>
      <c r="CA63" t="s">
        <v>5831</v>
      </c>
      <c r="CB63" s="36">
        <v>52.100666020893399</v>
      </c>
      <c r="CC63" s="36">
        <v>29.854987741000802</v>
      </c>
      <c r="CD63" s="36">
        <v>4.8023929854367697</v>
      </c>
      <c r="CE63" s="36">
        <v>9.0715305549193808</v>
      </c>
      <c r="CF63" s="36">
        <v>8.6017635993689208</v>
      </c>
      <c r="CG63" s="36">
        <v>13.945908699592399</v>
      </c>
      <c r="CH63" s="36">
        <v>17.9190588086989</v>
      </c>
      <c r="CI63" s="36">
        <v>9.7318359798230603</v>
      </c>
      <c r="CJ63" s="37">
        <v>42.122189541982699</v>
      </c>
      <c r="CK63" s="37">
        <v>2.5225985875531398</v>
      </c>
      <c r="CL63" s="37">
        <v>4.0002717413367099</v>
      </c>
      <c r="CM63" s="37">
        <v>34.708428910597597</v>
      </c>
      <c r="CN63" s="37">
        <v>22.9698141453778</v>
      </c>
      <c r="CO63" s="37">
        <v>7.1027151334661296</v>
      </c>
      <c r="CP63" s="37">
        <v>90.2106948621729</v>
      </c>
      <c r="CQ63" s="37">
        <v>77.349951800910503</v>
      </c>
      <c r="CR63" s="45">
        <v>0.92186114701243205</v>
      </c>
      <c r="CS63" s="45">
        <v>1.92419527001229</v>
      </c>
      <c r="CT63" s="46">
        <v>0.14227723809244799</v>
      </c>
      <c r="CU63" s="47">
        <v>0.19346234204033999</v>
      </c>
      <c r="CV63" s="48">
        <v>18.2535180487167</v>
      </c>
      <c r="CW63" s="49">
        <v>35.123333090424701</v>
      </c>
      <c r="CX63" s="31" t="s">
        <v>5874</v>
      </c>
      <c r="CY63" s="31" t="s">
        <v>5832</v>
      </c>
      <c r="CZ63" t="s">
        <v>9463</v>
      </c>
      <c r="DA63" t="s">
        <v>5904</v>
      </c>
      <c r="DB63">
        <v>2443.3000000000002</v>
      </c>
      <c r="DC63" t="s">
        <v>24621</v>
      </c>
      <c r="DD63" t="s">
        <v>24622</v>
      </c>
      <c r="DE63" t="s">
        <v>24623</v>
      </c>
      <c r="DF63" t="s">
        <v>24624</v>
      </c>
      <c r="DG63" t="s">
        <v>24625</v>
      </c>
      <c r="DH63" t="str">
        <f>"A2M"</f>
        <v>A2M</v>
      </c>
      <c r="DI63" t="s">
        <v>24626</v>
      </c>
      <c r="DJ63" t="s">
        <v>13777</v>
      </c>
      <c r="DK63">
        <v>9606</v>
      </c>
      <c r="DL63" s="34" t="str">
        <f>HYPERLINK("http://www.uniprot.org/uniprot/P01023", "P01023")</f>
        <v>P01023</v>
      </c>
      <c r="DM63" t="s">
        <v>24627</v>
      </c>
      <c r="DN63" t="s">
        <v>13772</v>
      </c>
      <c r="DO63" t="s">
        <v>14321</v>
      </c>
      <c r="DP63" t="s">
        <v>13793</v>
      </c>
      <c r="DQ63" t="s">
        <v>13772</v>
      </c>
      <c r="DR63" t="s">
        <v>13772</v>
      </c>
      <c r="DS63" t="s">
        <v>24628</v>
      </c>
      <c r="DT63" t="s">
        <v>13772</v>
      </c>
      <c r="DU63" t="s">
        <v>14375</v>
      </c>
      <c r="DV63" t="s">
        <v>24629</v>
      </c>
      <c r="DW63" t="s">
        <v>13812</v>
      </c>
      <c r="DX63" t="s">
        <v>24630</v>
      </c>
      <c r="DY63" t="s">
        <v>24631</v>
      </c>
      <c r="DZ63" t="s">
        <v>24632</v>
      </c>
      <c r="EA63" t="s">
        <v>13772</v>
      </c>
      <c r="EB63" t="s">
        <v>24633</v>
      </c>
    </row>
    <row r="64" spans="1:132">
      <c r="A64">
        <v>1782</v>
      </c>
      <c r="B64">
        <v>1</v>
      </c>
      <c r="C64" t="s">
        <v>4214</v>
      </c>
      <c r="D64" t="s">
        <v>73</v>
      </c>
      <c r="E64" t="s">
        <v>73</v>
      </c>
      <c r="F64" t="s">
        <v>4215</v>
      </c>
      <c r="G64" t="s">
        <v>73</v>
      </c>
      <c r="H64">
        <v>77.2</v>
      </c>
      <c r="I64">
        <v>447</v>
      </c>
      <c r="J64">
        <v>51395</v>
      </c>
      <c r="K64" t="s">
        <v>4216</v>
      </c>
      <c r="L64">
        <f t="shared" si="2"/>
        <v>694</v>
      </c>
      <c r="N64">
        <v>694</v>
      </c>
      <c r="O64">
        <v>610</v>
      </c>
      <c r="P64">
        <v>0.879</v>
      </c>
      <c r="Q64">
        <v>18</v>
      </c>
      <c r="R64">
        <v>27</v>
      </c>
      <c r="S64">
        <v>12</v>
      </c>
      <c r="T64">
        <v>14</v>
      </c>
      <c r="U64">
        <v>26</v>
      </c>
      <c r="V64">
        <v>13</v>
      </c>
      <c r="W64">
        <v>19</v>
      </c>
      <c r="X64">
        <v>22</v>
      </c>
      <c r="Y64">
        <v>39</v>
      </c>
      <c r="Z64">
        <v>75</v>
      </c>
      <c r="AA64">
        <v>27</v>
      </c>
      <c r="AB64">
        <v>35</v>
      </c>
      <c r="AC64">
        <v>49</v>
      </c>
      <c r="AD64">
        <v>68</v>
      </c>
      <c r="AE64">
        <v>68</v>
      </c>
      <c r="AF64">
        <v>46</v>
      </c>
      <c r="AG64">
        <v>50</v>
      </c>
      <c r="AH64">
        <v>38</v>
      </c>
      <c r="AI64">
        <v>48</v>
      </c>
      <c r="AJ64">
        <v>16</v>
      </c>
      <c r="AK64">
        <v>23</v>
      </c>
      <c r="AL64">
        <v>9</v>
      </c>
      <c r="AM64">
        <v>12</v>
      </c>
      <c r="AN64">
        <v>22</v>
      </c>
      <c r="AO64">
        <v>10</v>
      </c>
      <c r="AP64">
        <v>17</v>
      </c>
      <c r="AQ64">
        <v>18</v>
      </c>
      <c r="AR64">
        <v>37</v>
      </c>
      <c r="AS64">
        <v>65</v>
      </c>
      <c r="AT64">
        <v>24</v>
      </c>
      <c r="AU64">
        <v>31</v>
      </c>
      <c r="AV64">
        <v>43</v>
      </c>
      <c r="AW64">
        <v>59</v>
      </c>
      <c r="AX64">
        <v>60</v>
      </c>
      <c r="AY64">
        <v>42</v>
      </c>
      <c r="AZ64">
        <v>45</v>
      </c>
      <c r="BA64">
        <v>34</v>
      </c>
      <c r="BB64">
        <v>43</v>
      </c>
      <c r="BC64" s="2">
        <v>16.710999999999999</v>
      </c>
      <c r="BD64" s="2">
        <v>24.373000000000001</v>
      </c>
      <c r="BE64" s="2">
        <v>9.6280000000000001</v>
      </c>
      <c r="BF64" s="2">
        <v>12.348000000000001</v>
      </c>
      <c r="BG64" s="2">
        <v>23.158000000000001</v>
      </c>
      <c r="BH64" s="2">
        <v>10.731999999999999</v>
      </c>
      <c r="BI64" s="2">
        <v>17.617999999999999</v>
      </c>
      <c r="BJ64" s="2">
        <v>19.673999999999999</v>
      </c>
      <c r="BK64" s="2">
        <v>37.948999999999998</v>
      </c>
      <c r="BL64" s="2">
        <v>68.988</v>
      </c>
      <c r="BM64" s="2">
        <v>25.673999999999999</v>
      </c>
      <c r="BN64" s="2">
        <v>33.067</v>
      </c>
      <c r="BO64" s="2">
        <v>45.304000000000002</v>
      </c>
      <c r="BP64" s="2">
        <v>62.661999999999999</v>
      </c>
      <c r="BQ64" s="2">
        <v>63.720999999999997</v>
      </c>
      <c r="BR64" s="2">
        <v>43.826000000000001</v>
      </c>
      <c r="BS64" s="2">
        <v>47.32</v>
      </c>
      <c r="BT64" s="2">
        <v>35.619</v>
      </c>
      <c r="BU64" s="2">
        <v>45.048000000000002</v>
      </c>
      <c r="BV64" s="2">
        <f t="shared" si="5"/>
        <v>643.41999999999996</v>
      </c>
      <c r="BW64" s="16">
        <f t="shared" si="3"/>
        <v>33.864210526315787</v>
      </c>
      <c r="BX64" s="16">
        <f>COUNTIF($BC$6:BU64, "=0") / COUNTIF($BC$6:BU64, "&gt;-1")</f>
        <v>1.5165031222123104E-2</v>
      </c>
      <c r="BY64" s="18">
        <f>SUM($BC$6:BU64) / $BY$4</f>
        <v>0.47145202336130837</v>
      </c>
      <c r="BZ64" s="14">
        <f t="shared" si="4"/>
        <v>0</v>
      </c>
      <c r="CA64" t="s">
        <v>5831</v>
      </c>
      <c r="CB64" s="36">
        <v>20.234444710439998</v>
      </c>
      <c r="CC64" s="36">
        <v>23.498764544529699</v>
      </c>
      <c r="CD64" s="36">
        <v>15.3676575533977</v>
      </c>
      <c r="CE64" s="36">
        <v>18.596637637584699</v>
      </c>
      <c r="CF64" s="36">
        <v>19.956091550535898</v>
      </c>
      <c r="CG64" s="36">
        <v>9.9480815390425494</v>
      </c>
      <c r="CH64" s="36">
        <v>18.5514961784177</v>
      </c>
      <c r="CI64" s="36">
        <v>19.171716880251399</v>
      </c>
      <c r="CJ64" s="37">
        <v>30.121339313983899</v>
      </c>
      <c r="CK64" s="37">
        <v>16.207695925028901</v>
      </c>
      <c r="CL64" s="37">
        <v>26.481798927648999</v>
      </c>
      <c r="CM64" s="37">
        <v>38.348581210977301</v>
      </c>
      <c r="CN64" s="37">
        <v>58.527086442422799</v>
      </c>
      <c r="CO64" s="37">
        <v>34.566546982868502</v>
      </c>
      <c r="CP64" s="37">
        <v>71.3539442638926</v>
      </c>
      <c r="CQ64" s="37">
        <v>68.518658091357807</v>
      </c>
      <c r="CR64" s="45">
        <v>1.2144217435855</v>
      </c>
      <c r="CS64" s="45">
        <v>2.3679746102070398</v>
      </c>
      <c r="CT64" s="46">
        <v>3.2518408763509499E-4</v>
      </c>
      <c r="CU64" s="47">
        <v>8.1785020536796304E-4</v>
      </c>
      <c r="CV64" s="48">
        <v>18.165611324275002</v>
      </c>
      <c r="CW64" s="49">
        <v>43.0157063947726</v>
      </c>
      <c r="CX64" s="31" t="s">
        <v>5874</v>
      </c>
      <c r="CY64" s="31" t="s">
        <v>5876</v>
      </c>
      <c r="CZ64" t="s">
        <v>11695</v>
      </c>
      <c r="DA64" t="s">
        <v>5896</v>
      </c>
      <c r="DB64">
        <v>599.4</v>
      </c>
      <c r="DC64" t="s">
        <v>30908</v>
      </c>
      <c r="DD64" t="s">
        <v>30909</v>
      </c>
      <c r="DE64" t="s">
        <v>30910</v>
      </c>
      <c r="DF64" t="s">
        <v>30911</v>
      </c>
      <c r="DG64" t="s">
        <v>30912</v>
      </c>
      <c r="DH64" t="str">
        <f>"CFH"</f>
        <v>CFH</v>
      </c>
      <c r="DI64" t="s">
        <v>30913</v>
      </c>
      <c r="DJ64" t="s">
        <v>13777</v>
      </c>
      <c r="DK64">
        <v>9606</v>
      </c>
      <c r="DL64" s="34" t="str">
        <f>HYPERLINK("http://www.uniprot.org/uniprot/P08603", "P08603")</f>
        <v>P08603</v>
      </c>
      <c r="DM64" t="s">
        <v>30914</v>
      </c>
      <c r="DN64" t="s">
        <v>30915</v>
      </c>
      <c r="DO64" t="s">
        <v>14321</v>
      </c>
      <c r="DP64" t="s">
        <v>13780</v>
      </c>
      <c r="DQ64" t="s">
        <v>13772</v>
      </c>
      <c r="DR64" t="s">
        <v>21037</v>
      </c>
      <c r="DS64" t="s">
        <v>28012</v>
      </c>
      <c r="DT64" t="s">
        <v>13772</v>
      </c>
      <c r="DU64" t="s">
        <v>13772</v>
      </c>
      <c r="DV64" t="s">
        <v>13796</v>
      </c>
      <c r="DW64" t="s">
        <v>13812</v>
      </c>
      <c r="DX64" t="s">
        <v>30916</v>
      </c>
      <c r="DY64" t="s">
        <v>24704</v>
      </c>
      <c r="DZ64" t="s">
        <v>30917</v>
      </c>
      <c r="EA64" t="s">
        <v>13772</v>
      </c>
      <c r="EB64" t="s">
        <v>22277</v>
      </c>
    </row>
    <row r="65" spans="1:132">
      <c r="A65">
        <v>771</v>
      </c>
      <c r="B65">
        <v>1</v>
      </c>
      <c r="C65" t="s">
        <v>1895</v>
      </c>
      <c r="D65" t="s">
        <v>73</v>
      </c>
      <c r="E65" t="s">
        <v>73</v>
      </c>
      <c r="F65" t="s">
        <v>73</v>
      </c>
      <c r="G65" t="s">
        <v>73</v>
      </c>
      <c r="H65">
        <v>65.5</v>
      </c>
      <c r="I65">
        <v>354</v>
      </c>
      <c r="J65">
        <v>39084</v>
      </c>
      <c r="K65" t="s">
        <v>1896</v>
      </c>
      <c r="L65">
        <f t="shared" si="2"/>
        <v>629</v>
      </c>
      <c r="N65">
        <v>629</v>
      </c>
      <c r="O65">
        <v>629</v>
      </c>
      <c r="P65">
        <v>1</v>
      </c>
      <c r="Q65">
        <v>64</v>
      </c>
      <c r="R65">
        <v>22</v>
      </c>
      <c r="S65">
        <v>24</v>
      </c>
      <c r="T65">
        <v>16</v>
      </c>
      <c r="U65">
        <v>21</v>
      </c>
      <c r="V65">
        <v>19</v>
      </c>
      <c r="W65">
        <v>20</v>
      </c>
      <c r="X65">
        <v>50</v>
      </c>
      <c r="Y65">
        <v>34</v>
      </c>
      <c r="Z65">
        <v>52</v>
      </c>
      <c r="AA65">
        <v>35</v>
      </c>
      <c r="AB65">
        <v>35</v>
      </c>
      <c r="AC65">
        <v>38</v>
      </c>
      <c r="AD65">
        <v>34</v>
      </c>
      <c r="AE65">
        <v>36</v>
      </c>
      <c r="AF65">
        <v>27</v>
      </c>
      <c r="AG65">
        <v>36</v>
      </c>
      <c r="AH65">
        <v>21</v>
      </c>
      <c r="AI65">
        <v>45</v>
      </c>
      <c r="AJ65">
        <v>64</v>
      </c>
      <c r="AK65">
        <v>22</v>
      </c>
      <c r="AL65">
        <v>24</v>
      </c>
      <c r="AM65">
        <v>16</v>
      </c>
      <c r="AN65">
        <v>21</v>
      </c>
      <c r="AO65">
        <v>19</v>
      </c>
      <c r="AP65">
        <v>20</v>
      </c>
      <c r="AQ65">
        <v>50</v>
      </c>
      <c r="AR65">
        <v>34</v>
      </c>
      <c r="AS65">
        <v>52</v>
      </c>
      <c r="AT65">
        <v>35</v>
      </c>
      <c r="AU65">
        <v>35</v>
      </c>
      <c r="AV65">
        <v>38</v>
      </c>
      <c r="AW65">
        <v>34</v>
      </c>
      <c r="AX65">
        <v>36</v>
      </c>
      <c r="AY65">
        <v>27</v>
      </c>
      <c r="AZ65">
        <v>36</v>
      </c>
      <c r="BA65">
        <v>21</v>
      </c>
      <c r="BB65">
        <v>45</v>
      </c>
      <c r="BC65" s="2">
        <v>64</v>
      </c>
      <c r="BD65" s="2">
        <v>22</v>
      </c>
      <c r="BE65" s="2">
        <v>24</v>
      </c>
      <c r="BF65" s="2">
        <v>16</v>
      </c>
      <c r="BG65" s="2">
        <v>21</v>
      </c>
      <c r="BH65" s="2">
        <v>19</v>
      </c>
      <c r="BI65" s="2">
        <v>20</v>
      </c>
      <c r="BJ65" s="2">
        <v>50</v>
      </c>
      <c r="BK65" s="2">
        <v>34</v>
      </c>
      <c r="BL65" s="2">
        <v>52</v>
      </c>
      <c r="BM65" s="2">
        <v>35</v>
      </c>
      <c r="BN65" s="2">
        <v>35</v>
      </c>
      <c r="BO65" s="2">
        <v>38</v>
      </c>
      <c r="BP65" s="2">
        <v>34</v>
      </c>
      <c r="BQ65" s="2">
        <v>36</v>
      </c>
      <c r="BR65" s="2">
        <v>27</v>
      </c>
      <c r="BS65" s="2">
        <v>36</v>
      </c>
      <c r="BT65" s="2">
        <v>21</v>
      </c>
      <c r="BU65" s="2">
        <v>45</v>
      </c>
      <c r="BV65" s="2">
        <f t="shared" si="5"/>
        <v>629</v>
      </c>
      <c r="BW65" s="16">
        <f t="shared" si="3"/>
        <v>33.10526315789474</v>
      </c>
      <c r="BX65" s="16">
        <f>COUNTIF($BC$6:BU65, "=0") / COUNTIF($BC$6:BU65, "&gt;-1")</f>
        <v>1.4912280701754385E-2</v>
      </c>
      <c r="BY65" s="18">
        <f>SUM($BC$6:BU65) / $BY$4</f>
        <v>0.47414643095172099</v>
      </c>
      <c r="BZ65" s="14">
        <f t="shared" si="4"/>
        <v>0</v>
      </c>
      <c r="CA65" t="s">
        <v>5831</v>
      </c>
      <c r="CB65" s="36">
        <v>77.5451773334227</v>
      </c>
      <c r="CC65" s="36">
        <v>21.1874106549038</v>
      </c>
      <c r="CD65" s="36">
        <v>38.419143883494201</v>
      </c>
      <c r="CE65" s="36">
        <v>24.1907481464517</v>
      </c>
      <c r="CF65" s="36">
        <v>18.0637035586747</v>
      </c>
      <c r="CG65" s="36">
        <v>17.6648176861503</v>
      </c>
      <c r="CH65" s="36">
        <v>21.081245657292801</v>
      </c>
      <c r="CI65" s="36">
        <v>48.659179899115301</v>
      </c>
      <c r="CJ65" s="37">
        <v>27.021781970328501</v>
      </c>
      <c r="CK65" s="37">
        <v>22.072737641090001</v>
      </c>
      <c r="CL65" s="37">
        <v>28.001902189357001</v>
      </c>
      <c r="CM65" s="37">
        <v>32.168787770797699</v>
      </c>
      <c r="CN65" s="37">
        <v>33.0765323693441</v>
      </c>
      <c r="CO65" s="37">
        <v>21.308145400398399</v>
      </c>
      <c r="CP65" s="37">
        <v>54.307441723047198</v>
      </c>
      <c r="CQ65" s="37">
        <v>68.518658091357807</v>
      </c>
      <c r="CR65" s="45">
        <v>8.8518584385641599E-2</v>
      </c>
      <c r="CS65" s="45">
        <v>1.0737020920378999</v>
      </c>
      <c r="CT65" s="46">
        <v>0.81023885926400896</v>
      </c>
      <c r="CU65" s="47">
        <v>0.86176438290559998</v>
      </c>
      <c r="CV65" s="48">
        <v>33.351428352438198</v>
      </c>
      <c r="CW65" s="49">
        <v>35.809498394465102</v>
      </c>
      <c r="CX65" s="31" t="s">
        <v>5874</v>
      </c>
      <c r="CY65" s="31" t="s">
        <v>5832</v>
      </c>
      <c r="CZ65" t="s">
        <v>8342</v>
      </c>
      <c r="DA65" t="s">
        <v>5904</v>
      </c>
      <c r="DB65">
        <v>499.2</v>
      </c>
      <c r="DC65" t="s">
        <v>21380</v>
      </c>
      <c r="DD65" t="s">
        <v>13772</v>
      </c>
      <c r="DE65" t="s">
        <v>21381</v>
      </c>
      <c r="DF65" t="s">
        <v>21382</v>
      </c>
      <c r="DG65" t="s">
        <v>21383</v>
      </c>
      <c r="DH65" t="str">
        <f>"LRG1"</f>
        <v>LRG1</v>
      </c>
      <c r="DI65" t="s">
        <v>21384</v>
      </c>
      <c r="DJ65" t="s">
        <v>13777</v>
      </c>
      <c r="DK65">
        <v>9606</v>
      </c>
      <c r="DL65" s="34" t="str">
        <f>HYPERLINK("http://www.uniprot.org/uniprot/P02750", "P02750")</f>
        <v>P02750</v>
      </c>
      <c r="DM65" t="s">
        <v>21385</v>
      </c>
      <c r="DN65" t="s">
        <v>13772</v>
      </c>
      <c r="DO65" t="s">
        <v>14321</v>
      </c>
      <c r="DP65" t="s">
        <v>13793</v>
      </c>
      <c r="DQ65" t="s">
        <v>13772</v>
      </c>
      <c r="DR65" t="s">
        <v>13772</v>
      </c>
      <c r="DS65" t="s">
        <v>19328</v>
      </c>
      <c r="DT65" t="s">
        <v>13772</v>
      </c>
      <c r="DU65" t="s">
        <v>13772</v>
      </c>
      <c r="DV65" t="s">
        <v>13796</v>
      </c>
      <c r="DW65" t="s">
        <v>13772</v>
      </c>
      <c r="DX65" t="s">
        <v>21386</v>
      </c>
      <c r="DY65" t="s">
        <v>21387</v>
      </c>
      <c r="DZ65" t="s">
        <v>21388</v>
      </c>
      <c r="EA65" t="s">
        <v>13772</v>
      </c>
      <c r="EB65" t="s">
        <v>13890</v>
      </c>
    </row>
    <row r="66" spans="1:132" hidden="1">
      <c r="A66">
        <v>2002</v>
      </c>
      <c r="B66">
        <v>1</v>
      </c>
      <c r="C66" t="s">
        <v>4711</v>
      </c>
      <c r="D66" t="s">
        <v>73</v>
      </c>
      <c r="E66" t="s">
        <v>73</v>
      </c>
      <c r="F66" t="s">
        <v>73</v>
      </c>
      <c r="G66" t="s">
        <v>73</v>
      </c>
      <c r="H66">
        <v>79.3</v>
      </c>
      <c r="I66">
        <v>261</v>
      </c>
      <c r="J66">
        <v>28854</v>
      </c>
      <c r="K66" t="s">
        <v>4712</v>
      </c>
      <c r="L66">
        <f t="shared" si="2"/>
        <v>620</v>
      </c>
      <c r="N66">
        <v>620</v>
      </c>
      <c r="O66">
        <v>620</v>
      </c>
      <c r="P66">
        <v>1</v>
      </c>
      <c r="Q66">
        <v>60</v>
      </c>
      <c r="R66">
        <v>99</v>
      </c>
      <c r="S66">
        <v>78</v>
      </c>
      <c r="T66">
        <v>95</v>
      </c>
      <c r="U66">
        <v>83</v>
      </c>
      <c r="V66">
        <v>55</v>
      </c>
      <c r="W66">
        <v>73</v>
      </c>
      <c r="X66">
        <v>35</v>
      </c>
      <c r="Y66">
        <v>0</v>
      </c>
      <c r="Z66">
        <v>2</v>
      </c>
      <c r="AA66">
        <v>4</v>
      </c>
      <c r="AB66">
        <v>5</v>
      </c>
      <c r="AC66">
        <v>0</v>
      </c>
      <c r="AD66">
        <v>4</v>
      </c>
      <c r="AE66">
        <v>5</v>
      </c>
      <c r="AF66">
        <v>5</v>
      </c>
      <c r="AG66">
        <v>6</v>
      </c>
      <c r="AH66">
        <v>1</v>
      </c>
      <c r="AI66">
        <v>10</v>
      </c>
      <c r="AJ66">
        <v>60</v>
      </c>
      <c r="AK66">
        <v>99</v>
      </c>
      <c r="AL66">
        <v>78</v>
      </c>
      <c r="AM66">
        <v>95</v>
      </c>
      <c r="AN66">
        <v>83</v>
      </c>
      <c r="AO66">
        <v>55</v>
      </c>
      <c r="AP66">
        <v>73</v>
      </c>
      <c r="AQ66">
        <v>35</v>
      </c>
      <c r="AR66">
        <v>0</v>
      </c>
      <c r="AS66">
        <v>2</v>
      </c>
      <c r="AT66">
        <v>4</v>
      </c>
      <c r="AU66">
        <v>5</v>
      </c>
      <c r="AV66">
        <v>0</v>
      </c>
      <c r="AW66">
        <v>4</v>
      </c>
      <c r="AX66">
        <v>5</v>
      </c>
      <c r="AY66">
        <v>5</v>
      </c>
      <c r="AZ66">
        <v>6</v>
      </c>
      <c r="BA66">
        <v>1</v>
      </c>
      <c r="BB66">
        <v>10</v>
      </c>
      <c r="BC66" s="2">
        <v>60</v>
      </c>
      <c r="BD66" s="2">
        <v>99</v>
      </c>
      <c r="BE66" s="2">
        <v>78</v>
      </c>
      <c r="BF66" s="2">
        <v>95</v>
      </c>
      <c r="BG66" s="2">
        <v>83</v>
      </c>
      <c r="BH66" s="2">
        <v>55</v>
      </c>
      <c r="BI66" s="2">
        <v>73</v>
      </c>
      <c r="BJ66" s="2">
        <v>35</v>
      </c>
      <c r="BK66" s="2">
        <v>0</v>
      </c>
      <c r="BL66" s="2">
        <v>2</v>
      </c>
      <c r="BM66" s="2">
        <v>4</v>
      </c>
      <c r="BN66" s="2">
        <v>5</v>
      </c>
      <c r="BO66" s="2">
        <v>0</v>
      </c>
      <c r="BP66" s="2">
        <v>4</v>
      </c>
      <c r="BQ66" s="2">
        <v>5</v>
      </c>
      <c r="BR66" s="2">
        <v>5</v>
      </c>
      <c r="BS66" s="2">
        <v>6</v>
      </c>
      <c r="BT66" s="2">
        <v>1</v>
      </c>
      <c r="BU66" s="2">
        <v>10</v>
      </c>
      <c r="BV66" s="2">
        <f t="shared" si="5"/>
        <v>620</v>
      </c>
      <c r="BW66" s="16">
        <f t="shared" si="3"/>
        <v>32.631578947368418</v>
      </c>
      <c r="BX66" s="16">
        <f>COUNTIF($BC$6:BU66, "=0") / COUNTIF($BC$6:BU66, "&gt;-1")</f>
        <v>1.6393442622950821E-2</v>
      </c>
      <c r="BY66" s="18">
        <f>SUM($BC$6:BU66) / $BY$4</f>
        <v>0.47680228581031531</v>
      </c>
      <c r="BZ66" s="14">
        <f t="shared" si="4"/>
        <v>2</v>
      </c>
      <c r="CA66" t="s">
        <v>5831</v>
      </c>
      <c r="CB66" s="36">
        <v>72.698603750083706</v>
      </c>
      <c r="CC66" s="36">
        <v>95.343347947067201</v>
      </c>
      <c r="CD66" s="36">
        <v>124.862217621356</v>
      </c>
      <c r="CE66" s="36">
        <v>143.632567119557</v>
      </c>
      <c r="CF66" s="36">
        <v>71.394637874761997</v>
      </c>
      <c r="CG66" s="36">
        <v>51.134998565171998</v>
      </c>
      <c r="CH66" s="36">
        <v>76.946546649118801</v>
      </c>
      <c r="CI66" s="36">
        <v>34.061425929380697</v>
      </c>
      <c r="CJ66" s="37">
        <v>0.19868957331123899</v>
      </c>
      <c r="CK66" s="37">
        <v>2.5225985875531398</v>
      </c>
      <c r="CL66" s="37">
        <v>4.0002717413367099</v>
      </c>
      <c r="CM66" s="37">
        <v>0.21163676164998499</v>
      </c>
      <c r="CN66" s="37">
        <v>4.5939628290755703</v>
      </c>
      <c r="CO66" s="37">
        <v>3.94595285192562</v>
      </c>
      <c r="CP66" s="37">
        <v>9.0512402871745401</v>
      </c>
      <c r="CQ66" s="37">
        <v>15.2263684647462</v>
      </c>
      <c r="CR66" s="45">
        <v>-4.1730856654470303</v>
      </c>
      <c r="CS66" s="45">
        <v>-16.8569104400699</v>
      </c>
      <c r="CT66" s="46">
        <v>2.39576658393795E-15</v>
      </c>
      <c r="CU66" s="47">
        <v>1.6027678446544901E-13</v>
      </c>
      <c r="CV66" s="48">
        <v>83.759293182062194</v>
      </c>
      <c r="CW66" s="49">
        <v>4.9688401370966204</v>
      </c>
      <c r="CX66" s="31" t="s">
        <v>5875</v>
      </c>
      <c r="CY66" s="31" t="s">
        <v>5876</v>
      </c>
      <c r="CZ66" t="s">
        <v>12423</v>
      </c>
      <c r="DA66" t="s">
        <v>5904</v>
      </c>
      <c r="DB66">
        <v>430.3</v>
      </c>
      <c r="DC66" t="s">
        <v>32957</v>
      </c>
      <c r="DD66" t="s">
        <v>32958</v>
      </c>
      <c r="DE66" t="s">
        <v>32959</v>
      </c>
      <c r="DF66" t="s">
        <v>32960</v>
      </c>
      <c r="DG66" t="s">
        <v>32961</v>
      </c>
      <c r="DH66" t="str">
        <f>"KLK1"</f>
        <v>KLK1</v>
      </c>
      <c r="DI66" t="s">
        <v>13772</v>
      </c>
      <c r="DJ66" t="s">
        <v>13777</v>
      </c>
      <c r="DK66">
        <v>9606</v>
      </c>
      <c r="DL66" s="34" t="str">
        <f>HYPERLINK("http://www.uniprot.org/uniprot/P06870", "P06870")</f>
        <v>P06870</v>
      </c>
      <c r="DM66" t="s">
        <v>32962</v>
      </c>
      <c r="DN66" t="s">
        <v>13772</v>
      </c>
      <c r="DO66" t="s">
        <v>13772</v>
      </c>
      <c r="DP66" t="s">
        <v>13780</v>
      </c>
      <c r="DQ66" t="s">
        <v>13772</v>
      </c>
      <c r="DR66" t="s">
        <v>13772</v>
      </c>
      <c r="DS66" t="s">
        <v>13808</v>
      </c>
      <c r="DT66" t="s">
        <v>13772</v>
      </c>
      <c r="DU66" t="s">
        <v>15176</v>
      </c>
      <c r="DV66" t="s">
        <v>15472</v>
      </c>
      <c r="DW66" t="s">
        <v>13812</v>
      </c>
      <c r="DX66" t="s">
        <v>32963</v>
      </c>
      <c r="DY66" t="s">
        <v>32964</v>
      </c>
      <c r="DZ66" t="s">
        <v>25219</v>
      </c>
      <c r="EA66" t="s">
        <v>13772</v>
      </c>
      <c r="EB66" t="s">
        <v>23670</v>
      </c>
    </row>
    <row r="67" spans="1:132">
      <c r="A67">
        <v>805</v>
      </c>
      <c r="B67">
        <v>1</v>
      </c>
      <c r="C67" t="s">
        <v>1975</v>
      </c>
      <c r="D67" t="s">
        <v>73</v>
      </c>
      <c r="E67" t="s">
        <v>73</v>
      </c>
      <c r="F67" t="s">
        <v>73</v>
      </c>
      <c r="G67" t="s">
        <v>73</v>
      </c>
      <c r="H67">
        <v>56.5</v>
      </c>
      <c r="I67">
        <v>170</v>
      </c>
      <c r="J67">
        <v>19725</v>
      </c>
      <c r="K67" t="s">
        <v>1976</v>
      </c>
      <c r="L67">
        <f t="shared" si="2"/>
        <v>619</v>
      </c>
      <c r="N67">
        <v>619</v>
      </c>
      <c r="O67">
        <v>619</v>
      </c>
      <c r="P67">
        <v>1</v>
      </c>
      <c r="Q67">
        <v>32</v>
      </c>
      <c r="R67">
        <v>41</v>
      </c>
      <c r="S67">
        <v>34</v>
      </c>
      <c r="T67">
        <v>46</v>
      </c>
      <c r="U67">
        <v>31</v>
      </c>
      <c r="V67">
        <v>21</v>
      </c>
      <c r="W67">
        <v>31</v>
      </c>
      <c r="X67">
        <v>12</v>
      </c>
      <c r="Y67">
        <v>36</v>
      </c>
      <c r="Z67">
        <v>25</v>
      </c>
      <c r="AA67">
        <v>58</v>
      </c>
      <c r="AB67">
        <v>25</v>
      </c>
      <c r="AC67">
        <v>34</v>
      </c>
      <c r="AD67">
        <v>19</v>
      </c>
      <c r="AE67">
        <v>42</v>
      </c>
      <c r="AF67">
        <v>62</v>
      </c>
      <c r="AG67">
        <v>33</v>
      </c>
      <c r="AH67">
        <v>18</v>
      </c>
      <c r="AI67">
        <v>19</v>
      </c>
      <c r="AJ67">
        <v>32</v>
      </c>
      <c r="AK67">
        <v>41</v>
      </c>
      <c r="AL67">
        <v>34</v>
      </c>
      <c r="AM67">
        <v>46</v>
      </c>
      <c r="AN67">
        <v>31</v>
      </c>
      <c r="AO67">
        <v>21</v>
      </c>
      <c r="AP67">
        <v>31</v>
      </c>
      <c r="AQ67">
        <v>12</v>
      </c>
      <c r="AR67">
        <v>36</v>
      </c>
      <c r="AS67">
        <v>25</v>
      </c>
      <c r="AT67">
        <v>58</v>
      </c>
      <c r="AU67">
        <v>25</v>
      </c>
      <c r="AV67">
        <v>34</v>
      </c>
      <c r="AW67">
        <v>19</v>
      </c>
      <c r="AX67">
        <v>42</v>
      </c>
      <c r="AY67">
        <v>62</v>
      </c>
      <c r="AZ67">
        <v>33</v>
      </c>
      <c r="BA67">
        <v>18</v>
      </c>
      <c r="BB67">
        <v>19</v>
      </c>
      <c r="BC67" s="2">
        <v>32</v>
      </c>
      <c r="BD67" s="2">
        <v>41</v>
      </c>
      <c r="BE67" s="2">
        <v>34</v>
      </c>
      <c r="BF67" s="2">
        <v>46</v>
      </c>
      <c r="BG67" s="2">
        <v>31</v>
      </c>
      <c r="BH67" s="2">
        <v>21</v>
      </c>
      <c r="BI67" s="2">
        <v>31</v>
      </c>
      <c r="BJ67" s="2">
        <v>12</v>
      </c>
      <c r="BK67" s="2">
        <v>36</v>
      </c>
      <c r="BL67" s="2">
        <v>25</v>
      </c>
      <c r="BM67" s="2">
        <v>58</v>
      </c>
      <c r="BN67" s="2">
        <v>25</v>
      </c>
      <c r="BO67" s="2">
        <v>34</v>
      </c>
      <c r="BP67" s="2">
        <v>19</v>
      </c>
      <c r="BQ67" s="2">
        <v>42</v>
      </c>
      <c r="BR67" s="2">
        <v>62</v>
      </c>
      <c r="BS67" s="2">
        <v>33</v>
      </c>
      <c r="BT67" s="2">
        <v>18</v>
      </c>
      <c r="BU67" s="2">
        <v>19</v>
      </c>
      <c r="BV67" s="2">
        <f t="shared" si="5"/>
        <v>619</v>
      </c>
      <c r="BW67" s="16">
        <f t="shared" si="3"/>
        <v>32.578947368421055</v>
      </c>
      <c r="BX67" s="16">
        <f>COUNTIF($BC$6:BU67, "=0") / COUNTIF($BC$6:BU67, "&gt;-1")</f>
        <v>1.6129032258064516E-2</v>
      </c>
      <c r="BY67" s="18">
        <f>SUM($BC$6:BU67) / $BY$4</f>
        <v>0.47945385703204091</v>
      </c>
      <c r="BZ67" s="14">
        <f t="shared" si="4"/>
        <v>0</v>
      </c>
      <c r="CA67" t="s">
        <v>5831</v>
      </c>
      <c r="CB67" s="36">
        <v>38.7725886667113</v>
      </c>
      <c r="CC67" s="36">
        <v>39.485628947775297</v>
      </c>
      <c r="CD67" s="36">
        <v>54.427120501616798</v>
      </c>
      <c r="CE67" s="36">
        <v>69.548400921048597</v>
      </c>
      <c r="CF67" s="36">
        <v>26.6654671580437</v>
      </c>
      <c r="CG67" s="36">
        <v>19.5242721794293</v>
      </c>
      <c r="CH67" s="36">
        <v>32.675930768803902</v>
      </c>
      <c r="CI67" s="36">
        <v>11.678203175787701</v>
      </c>
      <c r="CJ67" s="37">
        <v>28.6112985568185</v>
      </c>
      <c r="CK67" s="37">
        <v>36.577679519520601</v>
      </c>
      <c r="CL67" s="37">
        <v>20.0013587066836</v>
      </c>
      <c r="CM67" s="37">
        <v>28.782599584398</v>
      </c>
      <c r="CN67" s="37">
        <v>38.589287764234797</v>
      </c>
      <c r="CO67" s="37">
        <v>48.9298153638778</v>
      </c>
      <c r="CP67" s="37">
        <v>49.781821579460001</v>
      </c>
      <c r="CQ67" s="37">
        <v>28.930100083017699</v>
      </c>
      <c r="CR67" s="45">
        <v>-4.8573093068231502E-2</v>
      </c>
      <c r="CS67" s="45">
        <v>-1.04487320989055</v>
      </c>
      <c r="CT67" s="46">
        <v>0.88062253167665705</v>
      </c>
      <c r="CU67" s="47">
        <v>0.916230907763116</v>
      </c>
      <c r="CV67" s="48">
        <v>36.597201539902102</v>
      </c>
      <c r="CW67" s="49">
        <v>35.025495144751297</v>
      </c>
      <c r="CX67" s="31" t="s">
        <v>5875</v>
      </c>
      <c r="CY67" s="31" t="s">
        <v>5832</v>
      </c>
      <c r="CZ67" t="s">
        <v>8457</v>
      </c>
      <c r="DA67" t="s">
        <v>5904</v>
      </c>
      <c r="DB67">
        <v>167.5</v>
      </c>
      <c r="DC67" t="s">
        <v>21724</v>
      </c>
      <c r="DD67" t="s">
        <v>21725</v>
      </c>
      <c r="DE67" t="s">
        <v>21726</v>
      </c>
      <c r="DF67" t="s">
        <v>21727</v>
      </c>
      <c r="DG67" t="s">
        <v>21728</v>
      </c>
      <c r="DH67" t="str">
        <f>"CAMP"</f>
        <v>CAMP</v>
      </c>
      <c r="DI67" t="s">
        <v>13772</v>
      </c>
      <c r="DJ67" t="s">
        <v>13777</v>
      </c>
      <c r="DK67">
        <v>9606</v>
      </c>
      <c r="DL67" s="34" t="str">
        <f>HYPERLINK("http://www.uniprot.org/uniprot/P49913", "P49913")</f>
        <v>P49913</v>
      </c>
      <c r="DM67" t="s">
        <v>21729</v>
      </c>
      <c r="DN67" t="s">
        <v>13772</v>
      </c>
      <c r="DO67" t="s">
        <v>14321</v>
      </c>
      <c r="DP67" t="s">
        <v>13772</v>
      </c>
      <c r="DQ67" t="s">
        <v>13772</v>
      </c>
      <c r="DR67" t="s">
        <v>13772</v>
      </c>
      <c r="DS67" t="s">
        <v>13808</v>
      </c>
      <c r="DT67" t="s">
        <v>13772</v>
      </c>
      <c r="DU67" t="s">
        <v>21730</v>
      </c>
      <c r="DV67" t="s">
        <v>21731</v>
      </c>
      <c r="DW67" t="s">
        <v>13812</v>
      </c>
      <c r="DX67" t="s">
        <v>21732</v>
      </c>
      <c r="DY67" t="s">
        <v>21733</v>
      </c>
      <c r="DZ67" t="s">
        <v>21734</v>
      </c>
      <c r="EA67" t="s">
        <v>13772</v>
      </c>
      <c r="EB67" t="s">
        <v>21735</v>
      </c>
    </row>
    <row r="68" spans="1:132" hidden="1">
      <c r="A68">
        <v>643</v>
      </c>
      <c r="B68">
        <v>1</v>
      </c>
      <c r="C68" t="s">
        <v>1589</v>
      </c>
      <c r="D68" t="s">
        <v>73</v>
      </c>
      <c r="E68" t="s">
        <v>73</v>
      </c>
      <c r="F68" t="s">
        <v>1480</v>
      </c>
      <c r="G68" t="s">
        <v>73</v>
      </c>
      <c r="H68">
        <v>82.9</v>
      </c>
      <c r="I68">
        <v>129</v>
      </c>
      <c r="J68">
        <v>14296</v>
      </c>
      <c r="K68" t="s">
        <v>1590</v>
      </c>
      <c r="L68">
        <f t="shared" si="2"/>
        <v>836</v>
      </c>
      <c r="N68">
        <v>836</v>
      </c>
      <c r="O68">
        <v>239</v>
      </c>
      <c r="P68">
        <v>0.28599999999999998</v>
      </c>
      <c r="Q68">
        <v>49</v>
      </c>
      <c r="R68">
        <v>0</v>
      </c>
      <c r="S68">
        <v>2</v>
      </c>
      <c r="T68">
        <v>0</v>
      </c>
      <c r="U68">
        <v>0</v>
      </c>
      <c r="V68">
        <v>0</v>
      </c>
      <c r="W68">
        <v>1</v>
      </c>
      <c r="X68">
        <v>0</v>
      </c>
      <c r="Y68">
        <v>249</v>
      </c>
      <c r="Z68">
        <v>170</v>
      </c>
      <c r="AA68">
        <v>89</v>
      </c>
      <c r="AB68">
        <v>40</v>
      </c>
      <c r="AC68">
        <v>39</v>
      </c>
      <c r="AD68">
        <v>21</v>
      </c>
      <c r="AE68">
        <v>28</v>
      </c>
      <c r="AF68">
        <v>30</v>
      </c>
      <c r="AG68">
        <v>30</v>
      </c>
      <c r="AH68">
        <v>33</v>
      </c>
      <c r="AI68">
        <v>55</v>
      </c>
      <c r="AJ68">
        <v>10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78</v>
      </c>
      <c r="AS68">
        <v>50</v>
      </c>
      <c r="AT68">
        <v>22</v>
      </c>
      <c r="AU68">
        <v>13</v>
      </c>
      <c r="AV68">
        <v>9</v>
      </c>
      <c r="AW68">
        <v>4</v>
      </c>
      <c r="AX68">
        <v>7</v>
      </c>
      <c r="AY68">
        <v>10</v>
      </c>
      <c r="AZ68">
        <v>14</v>
      </c>
      <c r="BA68">
        <v>4</v>
      </c>
      <c r="BB68">
        <v>18</v>
      </c>
      <c r="BC68" s="2">
        <v>32.357999999999997</v>
      </c>
      <c r="BD68" s="2">
        <v>0</v>
      </c>
      <c r="BE68" s="2">
        <v>0.33300000000000002</v>
      </c>
      <c r="BF68" s="2">
        <v>0</v>
      </c>
      <c r="BG68" s="2">
        <v>0</v>
      </c>
      <c r="BH68" s="2">
        <v>0</v>
      </c>
      <c r="BI68" s="2">
        <v>0.16700000000000001</v>
      </c>
      <c r="BJ68" s="2">
        <v>0</v>
      </c>
      <c r="BK68" s="2">
        <v>192.58199999999999</v>
      </c>
      <c r="BL68" s="2">
        <v>121.35899999999999</v>
      </c>
      <c r="BM68" s="2">
        <v>62.475000000000001</v>
      </c>
      <c r="BN68" s="2">
        <v>30.667999999999999</v>
      </c>
      <c r="BO68" s="2">
        <v>28.023</v>
      </c>
      <c r="BP68" s="2">
        <v>12.976000000000001</v>
      </c>
      <c r="BQ68" s="2">
        <v>19.600000000000001</v>
      </c>
      <c r="BR68" s="2">
        <v>23.193000000000001</v>
      </c>
      <c r="BS68" s="2">
        <v>27.353000000000002</v>
      </c>
      <c r="BT68" s="2">
        <v>23.928999999999998</v>
      </c>
      <c r="BU68" s="2">
        <v>39.406999999999996</v>
      </c>
      <c r="BV68" s="2">
        <f t="shared" si="5"/>
        <v>614.423</v>
      </c>
      <c r="BW68" s="16">
        <f t="shared" si="3"/>
        <v>32.338052631578947</v>
      </c>
      <c r="BX68" s="16">
        <f>COUNTIF($BC$6:BU68, "=0") / COUNTIF($BC$6:BU68, "&gt;-1")</f>
        <v>2.0050125313283207E-2</v>
      </c>
      <c r="BY68" s="18">
        <f>SUM($BC$6:BU68) / $BY$4</f>
        <v>0.48208582204781852</v>
      </c>
      <c r="BZ68" s="14">
        <f t="shared" si="4"/>
        <v>5</v>
      </c>
      <c r="CA68" t="s">
        <v>5831</v>
      </c>
      <c r="CB68" s="36">
        <v>39.257246025045198</v>
      </c>
      <c r="CC68" s="36">
        <v>0.24076603016936199</v>
      </c>
      <c r="CD68" s="36">
        <v>0.48023929854367697</v>
      </c>
      <c r="CE68" s="36">
        <v>0.37798043978830698</v>
      </c>
      <c r="CF68" s="36">
        <v>0.215044089984223</v>
      </c>
      <c r="CG68" s="36">
        <v>0.23243181165987301</v>
      </c>
      <c r="CH68" s="36">
        <v>0.21081245657292799</v>
      </c>
      <c r="CI68" s="36">
        <v>0.24329589949557701</v>
      </c>
      <c r="CJ68" s="37">
        <v>153.070447278979</v>
      </c>
      <c r="CK68" s="37">
        <v>39.4156029305178</v>
      </c>
      <c r="CL68" s="37">
        <v>24.561668491807399</v>
      </c>
      <c r="CM68" s="37">
        <v>23.703317304798301</v>
      </c>
      <c r="CN68" s="37">
        <v>18.008334289976201</v>
      </c>
      <c r="CO68" s="37">
        <v>18.309221232934899</v>
      </c>
      <c r="CP68" s="37">
        <v>41.333997311430402</v>
      </c>
      <c r="CQ68" s="37">
        <v>59.991891751099899</v>
      </c>
      <c r="CR68" s="45">
        <v>3.1803958811794</v>
      </c>
      <c r="CS68" s="45">
        <v>9.1714617206451798</v>
      </c>
      <c r="CT68" s="46">
        <v>1.0790619450777E-3</v>
      </c>
      <c r="CU68" s="47">
        <v>2.3983137583288299E-3</v>
      </c>
      <c r="CV68" s="48">
        <v>5.1572270064073997</v>
      </c>
      <c r="CW68" s="49">
        <v>47.299310073942998</v>
      </c>
      <c r="CX68" s="31" t="s">
        <v>5874</v>
      </c>
      <c r="CY68" s="31" t="s">
        <v>5876</v>
      </c>
      <c r="CZ68" t="s">
        <v>7762</v>
      </c>
      <c r="DA68" t="s">
        <v>5904</v>
      </c>
      <c r="DB68">
        <v>188.7</v>
      </c>
      <c r="DC68" t="s">
        <v>19672</v>
      </c>
      <c r="DD68" t="s">
        <v>19673</v>
      </c>
      <c r="DE68" t="s">
        <v>19674</v>
      </c>
      <c r="DF68" t="s">
        <v>19675</v>
      </c>
      <c r="DG68" t="s">
        <v>19676</v>
      </c>
      <c r="DH68" t="str">
        <f>"SAA1"</f>
        <v>SAA1</v>
      </c>
      <c r="DI68" t="s">
        <v>13772</v>
      </c>
      <c r="DJ68" t="s">
        <v>13777</v>
      </c>
      <c r="DK68">
        <v>9606</v>
      </c>
      <c r="DL68" s="34" t="str">
        <f>HYPERLINK("http://www.uniprot.org/uniprot/P0DJI8", "P0DJI8")</f>
        <v>P0DJI8</v>
      </c>
      <c r="DM68" t="s">
        <v>19677</v>
      </c>
      <c r="DN68" t="s">
        <v>14374</v>
      </c>
      <c r="DO68" t="s">
        <v>19678</v>
      </c>
      <c r="DP68" t="s">
        <v>13793</v>
      </c>
      <c r="DQ68" t="s">
        <v>13772</v>
      </c>
      <c r="DR68" t="s">
        <v>19679</v>
      </c>
      <c r="DS68" t="s">
        <v>13808</v>
      </c>
      <c r="DT68" t="s">
        <v>13772</v>
      </c>
      <c r="DU68" t="s">
        <v>14073</v>
      </c>
      <c r="DV68" t="s">
        <v>17914</v>
      </c>
      <c r="DW68" t="s">
        <v>13812</v>
      </c>
      <c r="DX68" t="s">
        <v>19680</v>
      </c>
      <c r="DY68" t="s">
        <v>19681</v>
      </c>
      <c r="DZ68" t="s">
        <v>19682</v>
      </c>
      <c r="EA68" t="s">
        <v>13772</v>
      </c>
      <c r="EB68" t="s">
        <v>19683</v>
      </c>
    </row>
    <row r="69" spans="1:132">
      <c r="A69">
        <v>834</v>
      </c>
      <c r="B69">
        <v>1</v>
      </c>
      <c r="C69" t="s">
        <v>2042</v>
      </c>
      <c r="D69" t="s">
        <v>73</v>
      </c>
      <c r="E69" t="s">
        <v>73</v>
      </c>
      <c r="F69" t="s">
        <v>73</v>
      </c>
      <c r="G69" t="s">
        <v>73</v>
      </c>
      <c r="H69">
        <v>71.599999999999994</v>
      </c>
      <c r="I69">
        <v>81</v>
      </c>
      <c r="J69">
        <v>8772</v>
      </c>
      <c r="K69" t="s">
        <v>2043</v>
      </c>
      <c r="L69">
        <f t="shared" si="2"/>
        <v>605</v>
      </c>
      <c r="N69">
        <v>605</v>
      </c>
      <c r="O69">
        <v>605</v>
      </c>
      <c r="P69">
        <v>1</v>
      </c>
      <c r="Q69">
        <v>31</v>
      </c>
      <c r="R69">
        <v>79</v>
      </c>
      <c r="S69">
        <v>68</v>
      </c>
      <c r="T69">
        <v>70</v>
      </c>
      <c r="U69">
        <v>63</v>
      </c>
      <c r="V69">
        <v>33</v>
      </c>
      <c r="W69">
        <v>56</v>
      </c>
      <c r="X69">
        <v>23</v>
      </c>
      <c r="Y69">
        <v>12</v>
      </c>
      <c r="Z69">
        <v>6</v>
      </c>
      <c r="AA69">
        <v>19</v>
      </c>
      <c r="AB69">
        <v>32</v>
      </c>
      <c r="AC69">
        <v>15</v>
      </c>
      <c r="AD69">
        <v>5</v>
      </c>
      <c r="AE69">
        <v>19</v>
      </c>
      <c r="AF69">
        <v>18</v>
      </c>
      <c r="AG69">
        <v>20</v>
      </c>
      <c r="AH69">
        <v>18</v>
      </c>
      <c r="AI69">
        <v>18</v>
      </c>
      <c r="AJ69">
        <v>31</v>
      </c>
      <c r="AK69">
        <v>79</v>
      </c>
      <c r="AL69">
        <v>68</v>
      </c>
      <c r="AM69">
        <v>70</v>
      </c>
      <c r="AN69">
        <v>63</v>
      </c>
      <c r="AO69">
        <v>33</v>
      </c>
      <c r="AP69">
        <v>56</v>
      </c>
      <c r="AQ69">
        <v>23</v>
      </c>
      <c r="AR69">
        <v>12</v>
      </c>
      <c r="AS69">
        <v>6</v>
      </c>
      <c r="AT69">
        <v>19</v>
      </c>
      <c r="AU69">
        <v>32</v>
      </c>
      <c r="AV69">
        <v>15</v>
      </c>
      <c r="AW69">
        <v>5</v>
      </c>
      <c r="AX69">
        <v>19</v>
      </c>
      <c r="AY69">
        <v>18</v>
      </c>
      <c r="AZ69">
        <v>20</v>
      </c>
      <c r="BA69">
        <v>18</v>
      </c>
      <c r="BB69">
        <v>18</v>
      </c>
      <c r="BC69" s="2">
        <v>31</v>
      </c>
      <c r="BD69" s="2">
        <v>79</v>
      </c>
      <c r="BE69" s="2">
        <v>68</v>
      </c>
      <c r="BF69" s="2">
        <v>70</v>
      </c>
      <c r="BG69" s="2">
        <v>63</v>
      </c>
      <c r="BH69" s="2">
        <v>33</v>
      </c>
      <c r="BI69" s="2">
        <v>56</v>
      </c>
      <c r="BJ69" s="2">
        <v>23</v>
      </c>
      <c r="BK69" s="2">
        <v>12</v>
      </c>
      <c r="BL69" s="2">
        <v>6</v>
      </c>
      <c r="BM69" s="2">
        <v>19</v>
      </c>
      <c r="BN69" s="2">
        <v>32</v>
      </c>
      <c r="BO69" s="2">
        <v>15</v>
      </c>
      <c r="BP69" s="2">
        <v>5</v>
      </c>
      <c r="BQ69" s="2">
        <v>19</v>
      </c>
      <c r="BR69" s="2">
        <v>18</v>
      </c>
      <c r="BS69" s="2">
        <v>20</v>
      </c>
      <c r="BT69" s="2">
        <v>18</v>
      </c>
      <c r="BU69" s="2">
        <v>18</v>
      </c>
      <c r="BV69" s="2">
        <f t="shared" si="5"/>
        <v>605</v>
      </c>
      <c r="BW69" s="16">
        <f t="shared" si="3"/>
        <v>31.842105263157894</v>
      </c>
      <c r="BX69" s="16">
        <f>COUNTIF($BC$6:BU69, "=0") / COUNTIF($BC$6:BU69, "&gt;-1")</f>
        <v>1.9736842105263157E-2</v>
      </c>
      <c r="BY69" s="18">
        <f>SUM($BC$6:BU69) / $BY$4</f>
        <v>0.48467742235338229</v>
      </c>
      <c r="BZ69" s="14">
        <f t="shared" si="4"/>
        <v>0</v>
      </c>
      <c r="CA69" t="s">
        <v>5831</v>
      </c>
      <c r="CB69" s="36">
        <v>37.560945270876601</v>
      </c>
      <c r="CC69" s="36">
        <v>76.082065533518303</v>
      </c>
      <c r="CD69" s="36">
        <v>108.85424100323399</v>
      </c>
      <c r="CE69" s="36">
        <v>105.83452314072601</v>
      </c>
      <c r="CF69" s="36">
        <v>54.191110676024202</v>
      </c>
      <c r="CG69" s="36">
        <v>30.6809991391032</v>
      </c>
      <c r="CH69" s="36">
        <v>59.027487840419901</v>
      </c>
      <c r="CI69" s="36">
        <v>22.383222753593</v>
      </c>
      <c r="CJ69" s="37">
        <v>9.53709951893949</v>
      </c>
      <c r="CK69" s="37">
        <v>11.982343290877401</v>
      </c>
      <c r="CL69" s="37">
        <v>25.601739144555001</v>
      </c>
      <c r="CM69" s="37">
        <v>12.6982056989991</v>
      </c>
      <c r="CN69" s="37">
        <v>17.457058750487199</v>
      </c>
      <c r="CO69" s="37">
        <v>14.2054302669323</v>
      </c>
      <c r="CP69" s="37">
        <v>30.170800957248499</v>
      </c>
      <c r="CQ69" s="37">
        <v>27.407463236543101</v>
      </c>
      <c r="CR69" s="45">
        <v>-1.7410468730421</v>
      </c>
      <c r="CS69" s="45">
        <v>-3.3182217089600199</v>
      </c>
      <c r="CT69" s="46">
        <v>8.4373740933540206E-6</v>
      </c>
      <c r="CU69" s="47">
        <v>3.1534096471809097E-5</v>
      </c>
      <c r="CV69" s="48">
        <v>61.826824419686901</v>
      </c>
      <c r="CW69" s="49">
        <v>18.6325176080727</v>
      </c>
      <c r="CX69" s="31" t="s">
        <v>5875</v>
      </c>
      <c r="CY69" s="31" t="s">
        <v>5876</v>
      </c>
      <c r="CZ69" t="s">
        <v>8555</v>
      </c>
      <c r="DA69" t="s">
        <v>5904</v>
      </c>
      <c r="DB69">
        <v>102.8</v>
      </c>
      <c r="DC69" t="s">
        <v>22016</v>
      </c>
      <c r="DD69" t="s">
        <v>22017</v>
      </c>
      <c r="DE69" t="s">
        <v>22018</v>
      </c>
      <c r="DF69" t="s">
        <v>22019</v>
      </c>
      <c r="DG69" t="s">
        <v>13772</v>
      </c>
      <c r="DH69" t="str">
        <f>"TFF1"</f>
        <v>TFF1</v>
      </c>
      <c r="DI69" t="s">
        <v>22020</v>
      </c>
      <c r="DJ69" t="s">
        <v>13777</v>
      </c>
      <c r="DK69">
        <v>9606</v>
      </c>
      <c r="DL69" s="34" t="str">
        <f>HYPERLINK("http://www.uniprot.org/uniprot/P04155", "P04155")</f>
        <v>P04155</v>
      </c>
      <c r="DM69" t="s">
        <v>22021</v>
      </c>
      <c r="DN69" t="s">
        <v>13772</v>
      </c>
      <c r="DO69" t="s">
        <v>14321</v>
      </c>
      <c r="DP69" t="s">
        <v>13793</v>
      </c>
      <c r="DQ69" t="s">
        <v>13772</v>
      </c>
      <c r="DR69" t="s">
        <v>13772</v>
      </c>
      <c r="DS69" t="s">
        <v>13808</v>
      </c>
      <c r="DT69" t="s">
        <v>13772</v>
      </c>
      <c r="DU69" t="s">
        <v>15740</v>
      </c>
      <c r="DV69" t="s">
        <v>14506</v>
      </c>
      <c r="DW69" t="s">
        <v>13812</v>
      </c>
      <c r="DX69" t="s">
        <v>22022</v>
      </c>
      <c r="DY69" t="s">
        <v>22023</v>
      </c>
      <c r="DZ69" t="s">
        <v>22024</v>
      </c>
      <c r="EA69" t="s">
        <v>13772</v>
      </c>
      <c r="EB69" t="s">
        <v>21872</v>
      </c>
    </row>
    <row r="70" spans="1:132">
      <c r="A70">
        <v>2341</v>
      </c>
      <c r="B70">
        <v>1</v>
      </c>
      <c r="C70" t="s">
        <v>5461</v>
      </c>
      <c r="D70" t="s">
        <v>73</v>
      </c>
      <c r="E70" t="s">
        <v>73</v>
      </c>
      <c r="F70" t="s">
        <v>73</v>
      </c>
      <c r="G70" t="s">
        <v>73</v>
      </c>
      <c r="H70">
        <v>48.1</v>
      </c>
      <c r="I70">
        <v>470</v>
      </c>
      <c r="J70">
        <v>53356</v>
      </c>
      <c r="K70" t="s">
        <v>5462</v>
      </c>
      <c r="L70">
        <f t="shared" ref="L70:L133" si="6">N70</f>
        <v>603</v>
      </c>
      <c r="N70">
        <v>603</v>
      </c>
      <c r="O70">
        <v>603</v>
      </c>
      <c r="P70">
        <v>1</v>
      </c>
      <c r="Q70">
        <v>53</v>
      </c>
      <c r="R70">
        <v>43</v>
      </c>
      <c r="S70">
        <v>51</v>
      </c>
      <c r="T70">
        <v>57</v>
      </c>
      <c r="U70">
        <v>47</v>
      </c>
      <c r="V70">
        <v>34</v>
      </c>
      <c r="W70">
        <v>44</v>
      </c>
      <c r="X70">
        <v>40</v>
      </c>
      <c r="Y70">
        <v>29</v>
      </c>
      <c r="Z70">
        <v>14</v>
      </c>
      <c r="AA70">
        <v>17</v>
      </c>
      <c r="AB70">
        <v>21</v>
      </c>
      <c r="AC70">
        <v>32</v>
      </c>
      <c r="AD70">
        <v>18</v>
      </c>
      <c r="AE70">
        <v>13</v>
      </c>
      <c r="AF70">
        <v>28</v>
      </c>
      <c r="AG70">
        <v>24</v>
      </c>
      <c r="AH70">
        <v>15</v>
      </c>
      <c r="AI70">
        <v>23</v>
      </c>
      <c r="AJ70">
        <v>53</v>
      </c>
      <c r="AK70">
        <v>43</v>
      </c>
      <c r="AL70">
        <v>51</v>
      </c>
      <c r="AM70">
        <v>57</v>
      </c>
      <c r="AN70">
        <v>47</v>
      </c>
      <c r="AO70">
        <v>34</v>
      </c>
      <c r="AP70">
        <v>44</v>
      </c>
      <c r="AQ70">
        <v>40</v>
      </c>
      <c r="AR70">
        <v>29</v>
      </c>
      <c r="AS70">
        <v>14</v>
      </c>
      <c r="AT70">
        <v>17</v>
      </c>
      <c r="AU70">
        <v>21</v>
      </c>
      <c r="AV70">
        <v>32</v>
      </c>
      <c r="AW70">
        <v>18</v>
      </c>
      <c r="AX70">
        <v>13</v>
      </c>
      <c r="AY70">
        <v>28</v>
      </c>
      <c r="AZ70">
        <v>24</v>
      </c>
      <c r="BA70">
        <v>15</v>
      </c>
      <c r="BB70">
        <v>23</v>
      </c>
      <c r="BC70" s="2">
        <v>53</v>
      </c>
      <c r="BD70" s="2">
        <v>43</v>
      </c>
      <c r="BE70" s="2">
        <v>51</v>
      </c>
      <c r="BF70" s="2">
        <v>57</v>
      </c>
      <c r="BG70" s="2">
        <v>47</v>
      </c>
      <c r="BH70" s="2">
        <v>34</v>
      </c>
      <c r="BI70" s="2">
        <v>44</v>
      </c>
      <c r="BJ70" s="2">
        <v>40</v>
      </c>
      <c r="BK70" s="2">
        <v>29</v>
      </c>
      <c r="BL70" s="2">
        <v>14</v>
      </c>
      <c r="BM70" s="2">
        <v>17</v>
      </c>
      <c r="BN70" s="2">
        <v>21</v>
      </c>
      <c r="BO70" s="2">
        <v>32</v>
      </c>
      <c r="BP70" s="2">
        <v>18</v>
      </c>
      <c r="BQ70" s="2">
        <v>13</v>
      </c>
      <c r="BR70" s="2">
        <v>28</v>
      </c>
      <c r="BS70" s="2">
        <v>24</v>
      </c>
      <c r="BT70" s="2">
        <v>15</v>
      </c>
      <c r="BU70" s="2">
        <v>23</v>
      </c>
      <c r="BV70" s="2">
        <f t="shared" si="5"/>
        <v>603</v>
      </c>
      <c r="BW70" s="16">
        <f t="shared" ref="BW70:BW133" si="7">AVERAGE(BC70:BU70)</f>
        <v>31.736842105263158</v>
      </c>
      <c r="BX70" s="16">
        <f>COUNTIF($BC$6:BU70, "=0") / COUNTIF($BC$6:BU70, "&gt;-1")</f>
        <v>1.9433198380566803E-2</v>
      </c>
      <c r="BY70" s="18">
        <f>SUM($BC$6:BU70) / $BY$4</f>
        <v>0.48726045538520874</v>
      </c>
      <c r="BZ70" s="14">
        <f t="shared" ref="BZ70:BZ133" si="8">19-COUNTIF(BC70:BU70, "&gt;0")</f>
        <v>0</v>
      </c>
      <c r="CA70" t="s">
        <v>5831</v>
      </c>
      <c r="CB70" s="36">
        <v>64.217099979240601</v>
      </c>
      <c r="CC70" s="36">
        <v>41.411757189130199</v>
      </c>
      <c r="CD70" s="36">
        <v>81.640680752425098</v>
      </c>
      <c r="CE70" s="36">
        <v>86.179540271734098</v>
      </c>
      <c r="CF70" s="36">
        <v>40.428288917033903</v>
      </c>
      <c r="CG70" s="36">
        <v>31.610726385742701</v>
      </c>
      <c r="CH70" s="36">
        <v>46.378740446044198</v>
      </c>
      <c r="CI70" s="36">
        <v>38.927343919292198</v>
      </c>
      <c r="CJ70" s="37">
        <v>23.047990504103801</v>
      </c>
      <c r="CK70" s="37">
        <v>10.7210439971009</v>
      </c>
      <c r="CL70" s="37">
        <v>16.801141313614199</v>
      </c>
      <c r="CM70" s="37">
        <v>27.0895054911981</v>
      </c>
      <c r="CN70" s="37">
        <v>11.944303355596499</v>
      </c>
      <c r="CO70" s="37">
        <v>22.097335970783501</v>
      </c>
      <c r="CP70" s="37">
        <v>36.204961148698096</v>
      </c>
      <c r="CQ70" s="37">
        <v>35.020647468916202</v>
      </c>
      <c r="CR70" s="45">
        <v>-1.2479064678857399</v>
      </c>
      <c r="CS70" s="45">
        <v>-2.3550068851364401</v>
      </c>
      <c r="CT70" s="46">
        <v>2.5155237034424002E-4</v>
      </c>
      <c r="CU70" s="47">
        <v>6.44783661916846E-4</v>
      </c>
      <c r="CV70" s="48">
        <v>53.849272232580397</v>
      </c>
      <c r="CW70" s="49">
        <v>22.8658661562514</v>
      </c>
      <c r="CX70" s="31" t="s">
        <v>5875</v>
      </c>
      <c r="CY70" s="31" t="s">
        <v>5876</v>
      </c>
      <c r="CZ70" t="s">
        <v>13532</v>
      </c>
      <c r="DA70" t="s">
        <v>5904</v>
      </c>
      <c r="DB70">
        <v>696</v>
      </c>
      <c r="DC70" t="s">
        <v>36066</v>
      </c>
      <c r="DD70" t="s">
        <v>36067</v>
      </c>
      <c r="DE70" t="s">
        <v>36068</v>
      </c>
      <c r="DF70" t="s">
        <v>36069</v>
      </c>
      <c r="DG70" t="s">
        <v>36070</v>
      </c>
      <c r="DH70" t="str">
        <f>"VTN"</f>
        <v>VTN</v>
      </c>
      <c r="DI70" t="s">
        <v>13772</v>
      </c>
      <c r="DJ70" t="s">
        <v>13777</v>
      </c>
      <c r="DK70">
        <v>9606</v>
      </c>
      <c r="DL70" s="34" t="str">
        <f>HYPERLINK("http://www.uniprot.org/uniprot/P04004", "P04004")</f>
        <v>P04004</v>
      </c>
      <c r="DM70" t="s">
        <v>36071</v>
      </c>
      <c r="DN70" t="s">
        <v>13949</v>
      </c>
      <c r="DO70" t="s">
        <v>14321</v>
      </c>
      <c r="DP70" t="s">
        <v>13793</v>
      </c>
      <c r="DQ70" t="s">
        <v>13772</v>
      </c>
      <c r="DR70" t="s">
        <v>13772</v>
      </c>
      <c r="DS70" t="s">
        <v>14404</v>
      </c>
      <c r="DT70" t="s">
        <v>13772</v>
      </c>
      <c r="DU70" t="s">
        <v>14073</v>
      </c>
      <c r="DV70" t="s">
        <v>14159</v>
      </c>
      <c r="DW70" t="s">
        <v>13812</v>
      </c>
      <c r="DX70" t="s">
        <v>36072</v>
      </c>
      <c r="DY70" t="s">
        <v>36073</v>
      </c>
      <c r="DZ70" t="s">
        <v>36074</v>
      </c>
      <c r="EA70" t="s">
        <v>13772</v>
      </c>
      <c r="EB70" t="s">
        <v>36075</v>
      </c>
    </row>
    <row r="71" spans="1:132">
      <c r="A71">
        <v>1110</v>
      </c>
      <c r="B71">
        <v>1</v>
      </c>
      <c r="C71" t="s">
        <v>2670</v>
      </c>
      <c r="D71" t="s">
        <v>73</v>
      </c>
      <c r="E71" t="s">
        <v>73</v>
      </c>
      <c r="F71" t="s">
        <v>73</v>
      </c>
      <c r="G71" t="s">
        <v>73</v>
      </c>
      <c r="H71">
        <v>61.7</v>
      </c>
      <c r="I71">
        <v>287</v>
      </c>
      <c r="J71">
        <v>30916</v>
      </c>
      <c r="K71" t="s">
        <v>2671</v>
      </c>
      <c r="L71">
        <f t="shared" si="6"/>
        <v>597</v>
      </c>
      <c r="N71">
        <v>597</v>
      </c>
      <c r="O71">
        <v>597</v>
      </c>
      <c r="P71">
        <v>1</v>
      </c>
      <c r="Q71">
        <v>10</v>
      </c>
      <c r="R71">
        <v>3</v>
      </c>
      <c r="S71">
        <v>3</v>
      </c>
      <c r="T71">
        <v>2</v>
      </c>
      <c r="U71">
        <v>2</v>
      </c>
      <c r="V71">
        <v>3</v>
      </c>
      <c r="W71">
        <v>4</v>
      </c>
      <c r="X71">
        <v>1</v>
      </c>
      <c r="Y71">
        <v>80</v>
      </c>
      <c r="Z71">
        <v>31</v>
      </c>
      <c r="AA71">
        <v>115</v>
      </c>
      <c r="AB71">
        <v>61</v>
      </c>
      <c r="AC71">
        <v>54</v>
      </c>
      <c r="AD71">
        <v>12</v>
      </c>
      <c r="AE71">
        <v>43</v>
      </c>
      <c r="AF71">
        <v>48</v>
      </c>
      <c r="AG71">
        <v>43</v>
      </c>
      <c r="AH71">
        <v>8</v>
      </c>
      <c r="AI71">
        <v>74</v>
      </c>
      <c r="AJ71">
        <v>10</v>
      </c>
      <c r="AK71">
        <v>3</v>
      </c>
      <c r="AL71">
        <v>3</v>
      </c>
      <c r="AM71">
        <v>2</v>
      </c>
      <c r="AN71">
        <v>2</v>
      </c>
      <c r="AO71">
        <v>3</v>
      </c>
      <c r="AP71">
        <v>4</v>
      </c>
      <c r="AQ71">
        <v>1</v>
      </c>
      <c r="AR71">
        <v>80</v>
      </c>
      <c r="AS71">
        <v>31</v>
      </c>
      <c r="AT71">
        <v>115</v>
      </c>
      <c r="AU71">
        <v>61</v>
      </c>
      <c r="AV71">
        <v>54</v>
      </c>
      <c r="AW71">
        <v>12</v>
      </c>
      <c r="AX71">
        <v>43</v>
      </c>
      <c r="AY71">
        <v>48</v>
      </c>
      <c r="AZ71">
        <v>43</v>
      </c>
      <c r="BA71">
        <v>8</v>
      </c>
      <c r="BB71">
        <v>74</v>
      </c>
      <c r="BC71" s="2">
        <v>10</v>
      </c>
      <c r="BD71" s="2">
        <v>3</v>
      </c>
      <c r="BE71" s="2">
        <v>3</v>
      </c>
      <c r="BF71" s="2">
        <v>2</v>
      </c>
      <c r="BG71" s="2">
        <v>2</v>
      </c>
      <c r="BH71" s="2">
        <v>3</v>
      </c>
      <c r="BI71" s="2">
        <v>4</v>
      </c>
      <c r="BJ71" s="2">
        <v>1</v>
      </c>
      <c r="BK71" s="2">
        <v>80</v>
      </c>
      <c r="BL71" s="2">
        <v>31</v>
      </c>
      <c r="BM71" s="2">
        <v>115</v>
      </c>
      <c r="BN71" s="2">
        <v>61</v>
      </c>
      <c r="BO71" s="2">
        <v>54</v>
      </c>
      <c r="BP71" s="2">
        <v>12</v>
      </c>
      <c r="BQ71" s="2">
        <v>43</v>
      </c>
      <c r="BR71" s="2">
        <v>48</v>
      </c>
      <c r="BS71" s="2">
        <v>43</v>
      </c>
      <c r="BT71" s="2">
        <v>8</v>
      </c>
      <c r="BU71" s="2">
        <v>74</v>
      </c>
      <c r="BV71" s="2">
        <f t="shared" ref="BV71:BV134" si="9">SUM(BC71:BU71)</f>
        <v>597</v>
      </c>
      <c r="BW71" s="16">
        <f t="shared" si="7"/>
        <v>31.421052631578949</v>
      </c>
      <c r="BX71" s="16">
        <f>COUNTIF($BC$6:BU71, "=0") / COUNTIF($BC$6:BU71, "&gt;-1")</f>
        <v>1.9138755980861243E-2</v>
      </c>
      <c r="BY71" s="18">
        <f>SUM($BC$6:BU71) / $BY$4</f>
        <v>0.48981778659582292</v>
      </c>
      <c r="BZ71" s="14">
        <f t="shared" si="8"/>
        <v>0</v>
      </c>
      <c r="CA71" t="s">
        <v>5831</v>
      </c>
      <c r="CB71" s="36">
        <v>12.116433958347301</v>
      </c>
      <c r="CC71" s="36">
        <v>2.8891923620323401</v>
      </c>
      <c r="CD71" s="36">
        <v>4.8023929854367697</v>
      </c>
      <c r="CE71" s="36">
        <v>3.0238435183064598</v>
      </c>
      <c r="CF71" s="36">
        <v>1.72035271987378</v>
      </c>
      <c r="CG71" s="36">
        <v>2.7891817399184702</v>
      </c>
      <c r="CH71" s="36">
        <v>4.21624913145856</v>
      </c>
      <c r="CI71" s="36">
        <v>0.97318359798230603</v>
      </c>
      <c r="CJ71" s="37">
        <v>63.5806634595966</v>
      </c>
      <c r="CK71" s="37">
        <v>72.524709392152801</v>
      </c>
      <c r="CL71" s="37">
        <v>48.803315244307903</v>
      </c>
      <c r="CM71" s="37">
        <v>45.713540516396797</v>
      </c>
      <c r="CN71" s="37">
        <v>39.5080803300499</v>
      </c>
      <c r="CO71" s="37">
        <v>37.881147378485998</v>
      </c>
      <c r="CP71" s="37">
        <v>64.867222058084195</v>
      </c>
      <c r="CQ71" s="37">
        <v>112.675126639122</v>
      </c>
      <c r="CR71" s="45">
        <v>3.9030791855854998</v>
      </c>
      <c r="CS71" s="45">
        <v>14.9259580778863</v>
      </c>
      <c r="CT71" s="46">
        <v>1.99081713660675E-19</v>
      </c>
      <c r="CU71" s="47">
        <v>4.4395222146330497E-17</v>
      </c>
      <c r="CV71" s="48">
        <v>4.0663537516695003</v>
      </c>
      <c r="CW71" s="49">
        <v>60.694225627274498</v>
      </c>
      <c r="CX71" s="31" t="s">
        <v>5874</v>
      </c>
      <c r="CY71" s="31" t="s">
        <v>5876</v>
      </c>
      <c r="CZ71" t="s">
        <v>9435</v>
      </c>
      <c r="DA71" t="s">
        <v>5904</v>
      </c>
      <c r="DB71">
        <v>367.5</v>
      </c>
      <c r="DC71" t="s">
        <v>24546</v>
      </c>
      <c r="DD71" t="s">
        <v>13772</v>
      </c>
      <c r="DE71" t="s">
        <v>24547</v>
      </c>
      <c r="DF71" t="s">
        <v>24548</v>
      </c>
      <c r="DG71" t="s">
        <v>24549</v>
      </c>
      <c r="DH71" t="str">
        <f>"IGFBP6"</f>
        <v>IGFBP6</v>
      </c>
      <c r="DI71" t="s">
        <v>24550</v>
      </c>
      <c r="DJ71" t="s">
        <v>13777</v>
      </c>
      <c r="DK71">
        <v>9606</v>
      </c>
      <c r="DL71" s="34" t="str">
        <f>HYPERLINK("http://www.uniprot.org/uniprot/P24592", "P24592")</f>
        <v>P24592</v>
      </c>
      <c r="DM71" t="s">
        <v>24551</v>
      </c>
      <c r="DN71" t="s">
        <v>13772</v>
      </c>
      <c r="DO71" t="s">
        <v>14321</v>
      </c>
      <c r="DP71" t="s">
        <v>13793</v>
      </c>
      <c r="DQ71" t="s">
        <v>13772</v>
      </c>
      <c r="DR71" t="s">
        <v>13772</v>
      </c>
      <c r="DS71" t="s">
        <v>13808</v>
      </c>
      <c r="DT71" t="s">
        <v>13772</v>
      </c>
      <c r="DU71" t="s">
        <v>16896</v>
      </c>
      <c r="DV71" t="s">
        <v>13796</v>
      </c>
      <c r="DW71" t="s">
        <v>13812</v>
      </c>
      <c r="DX71" t="s">
        <v>24552</v>
      </c>
      <c r="DY71" t="s">
        <v>24553</v>
      </c>
      <c r="DZ71" t="s">
        <v>24554</v>
      </c>
      <c r="EA71" t="s">
        <v>13772</v>
      </c>
      <c r="EB71" t="s">
        <v>23670</v>
      </c>
    </row>
    <row r="72" spans="1:132">
      <c r="A72">
        <v>1517</v>
      </c>
      <c r="B72">
        <v>1</v>
      </c>
      <c r="C72" t="s">
        <v>3611</v>
      </c>
      <c r="D72" t="s">
        <v>73</v>
      </c>
      <c r="E72" t="s">
        <v>73</v>
      </c>
      <c r="F72" t="s">
        <v>73</v>
      </c>
      <c r="G72" t="s">
        <v>73</v>
      </c>
      <c r="H72">
        <v>62.8</v>
      </c>
      <c r="I72">
        <v>843</v>
      </c>
      <c r="J72">
        <v>92746</v>
      </c>
      <c r="K72" t="s">
        <v>3612</v>
      </c>
      <c r="L72">
        <f t="shared" si="6"/>
        <v>597</v>
      </c>
      <c r="N72">
        <v>597</v>
      </c>
      <c r="O72">
        <v>597</v>
      </c>
      <c r="P72">
        <v>1</v>
      </c>
      <c r="Q72">
        <v>25</v>
      </c>
      <c r="R72">
        <v>31</v>
      </c>
      <c r="S72">
        <v>15</v>
      </c>
      <c r="T72">
        <v>25</v>
      </c>
      <c r="U72">
        <v>32</v>
      </c>
      <c r="V72">
        <v>25</v>
      </c>
      <c r="W72">
        <v>19</v>
      </c>
      <c r="X72">
        <v>28</v>
      </c>
      <c r="Y72">
        <v>26</v>
      </c>
      <c r="Z72">
        <v>54</v>
      </c>
      <c r="AA72">
        <v>24</v>
      </c>
      <c r="AB72">
        <v>23</v>
      </c>
      <c r="AC72">
        <v>53</v>
      </c>
      <c r="AD72">
        <v>55</v>
      </c>
      <c r="AE72">
        <v>40</v>
      </c>
      <c r="AF72">
        <v>30</v>
      </c>
      <c r="AG72">
        <v>34</v>
      </c>
      <c r="AH72">
        <v>21</v>
      </c>
      <c r="AI72">
        <v>37</v>
      </c>
      <c r="AJ72">
        <v>25</v>
      </c>
      <c r="AK72">
        <v>31</v>
      </c>
      <c r="AL72">
        <v>15</v>
      </c>
      <c r="AM72">
        <v>25</v>
      </c>
      <c r="AN72">
        <v>32</v>
      </c>
      <c r="AO72">
        <v>25</v>
      </c>
      <c r="AP72">
        <v>19</v>
      </c>
      <c r="AQ72">
        <v>28</v>
      </c>
      <c r="AR72">
        <v>26</v>
      </c>
      <c r="AS72">
        <v>54</v>
      </c>
      <c r="AT72">
        <v>24</v>
      </c>
      <c r="AU72">
        <v>23</v>
      </c>
      <c r="AV72">
        <v>53</v>
      </c>
      <c r="AW72">
        <v>55</v>
      </c>
      <c r="AX72">
        <v>40</v>
      </c>
      <c r="AY72">
        <v>30</v>
      </c>
      <c r="AZ72">
        <v>34</v>
      </c>
      <c r="BA72">
        <v>21</v>
      </c>
      <c r="BB72">
        <v>37</v>
      </c>
      <c r="BC72" s="2">
        <v>25</v>
      </c>
      <c r="BD72" s="2">
        <v>31</v>
      </c>
      <c r="BE72" s="2">
        <v>15</v>
      </c>
      <c r="BF72" s="2">
        <v>25</v>
      </c>
      <c r="BG72" s="2">
        <v>32</v>
      </c>
      <c r="BH72" s="2">
        <v>25</v>
      </c>
      <c r="BI72" s="2">
        <v>19</v>
      </c>
      <c r="BJ72" s="2">
        <v>28</v>
      </c>
      <c r="BK72" s="2">
        <v>26</v>
      </c>
      <c r="BL72" s="2">
        <v>54</v>
      </c>
      <c r="BM72" s="2">
        <v>24</v>
      </c>
      <c r="BN72" s="2">
        <v>23</v>
      </c>
      <c r="BO72" s="2">
        <v>53</v>
      </c>
      <c r="BP72" s="2">
        <v>55</v>
      </c>
      <c r="BQ72" s="2">
        <v>40</v>
      </c>
      <c r="BR72" s="2">
        <v>30</v>
      </c>
      <c r="BS72" s="2">
        <v>34</v>
      </c>
      <c r="BT72" s="2">
        <v>21</v>
      </c>
      <c r="BU72" s="2">
        <v>37</v>
      </c>
      <c r="BV72" s="2">
        <f t="shared" si="9"/>
        <v>597</v>
      </c>
      <c r="BW72" s="16">
        <f t="shared" si="7"/>
        <v>31.421052631578949</v>
      </c>
      <c r="BX72" s="16">
        <f>COUNTIF($BC$6:BU72, "=0") / COUNTIF($BC$6:BU72, "&gt;-1")</f>
        <v>1.8853102906520033E-2</v>
      </c>
      <c r="BY72" s="18">
        <f>SUM($BC$6:BU72) / $BY$4</f>
        <v>0.49237511780643711</v>
      </c>
      <c r="BZ72" s="14">
        <f t="shared" si="8"/>
        <v>0</v>
      </c>
      <c r="CA72" t="s">
        <v>5831</v>
      </c>
      <c r="CB72" s="36">
        <v>30.291084895868199</v>
      </c>
      <c r="CC72" s="36">
        <v>29.854987741000802</v>
      </c>
      <c r="CD72" s="36">
        <v>24.0119649271839</v>
      </c>
      <c r="CE72" s="36">
        <v>37.798043978830698</v>
      </c>
      <c r="CF72" s="36">
        <v>27.525643517980502</v>
      </c>
      <c r="CG72" s="36">
        <v>23.243181165987298</v>
      </c>
      <c r="CH72" s="36">
        <v>20.027183374428201</v>
      </c>
      <c r="CI72" s="36">
        <v>27.249140743504601</v>
      </c>
      <c r="CJ72" s="37">
        <v>20.663715624368901</v>
      </c>
      <c r="CK72" s="37">
        <v>15.135591525318899</v>
      </c>
      <c r="CL72" s="37">
        <v>18.4012500101489</v>
      </c>
      <c r="CM72" s="37">
        <v>44.866993469796903</v>
      </c>
      <c r="CN72" s="37">
        <v>36.751702632604598</v>
      </c>
      <c r="CO72" s="37">
        <v>23.675717111553698</v>
      </c>
      <c r="CP72" s="37">
        <v>51.290361627322397</v>
      </c>
      <c r="CQ72" s="37">
        <v>56.3375633195608</v>
      </c>
      <c r="CR72" s="45">
        <v>0.25504633495719198</v>
      </c>
      <c r="CS72" s="45">
        <v>1.2141881884116801</v>
      </c>
      <c r="CT72" s="46">
        <v>0.41293241538826497</v>
      </c>
      <c r="CU72" s="47">
        <v>0.49596370896723402</v>
      </c>
      <c r="CV72" s="48">
        <v>27.500153793098001</v>
      </c>
      <c r="CW72" s="49">
        <v>33.390361915084398</v>
      </c>
      <c r="CX72" s="31" t="s">
        <v>5874</v>
      </c>
      <c r="CY72" s="31" t="s">
        <v>5832</v>
      </c>
      <c r="CZ72" t="s">
        <v>10791</v>
      </c>
      <c r="DA72" t="s">
        <v>5904</v>
      </c>
      <c r="DB72">
        <v>1432.9</v>
      </c>
      <c r="DC72" t="s">
        <v>28358</v>
      </c>
      <c r="DD72" t="s">
        <v>13772</v>
      </c>
      <c r="DE72" t="s">
        <v>28359</v>
      </c>
      <c r="DF72" t="s">
        <v>28360</v>
      </c>
      <c r="DG72" t="s">
        <v>28361</v>
      </c>
      <c r="DH72" t="str">
        <f>"C7"</f>
        <v>C7</v>
      </c>
      <c r="DI72" t="s">
        <v>13772</v>
      </c>
      <c r="DJ72" t="s">
        <v>13777</v>
      </c>
      <c r="DK72">
        <v>9606</v>
      </c>
      <c r="DL72" s="34" t="str">
        <f>HYPERLINK("http://www.uniprot.org/uniprot/P10643", "P10643")</f>
        <v>P10643</v>
      </c>
      <c r="DM72" t="s">
        <v>28362</v>
      </c>
      <c r="DN72" t="s">
        <v>16369</v>
      </c>
      <c r="DO72" t="s">
        <v>20220</v>
      </c>
      <c r="DP72" t="s">
        <v>13793</v>
      </c>
      <c r="DQ72" t="s">
        <v>13772</v>
      </c>
      <c r="DR72" t="s">
        <v>13807</v>
      </c>
      <c r="DS72" t="s">
        <v>21282</v>
      </c>
      <c r="DT72" t="s">
        <v>13772</v>
      </c>
      <c r="DU72" t="s">
        <v>13772</v>
      </c>
      <c r="DV72" t="s">
        <v>13796</v>
      </c>
      <c r="DW72" t="s">
        <v>13812</v>
      </c>
      <c r="DX72" t="s">
        <v>28363</v>
      </c>
      <c r="DY72" t="s">
        <v>28364</v>
      </c>
      <c r="DZ72" t="s">
        <v>13772</v>
      </c>
      <c r="EA72" t="s">
        <v>13772</v>
      </c>
      <c r="EB72" t="s">
        <v>16375</v>
      </c>
    </row>
    <row r="73" spans="1:132">
      <c r="A73">
        <v>1356</v>
      </c>
      <c r="B73">
        <v>1</v>
      </c>
      <c r="C73" t="s">
        <v>3241</v>
      </c>
      <c r="D73" t="s">
        <v>3242</v>
      </c>
      <c r="E73" t="s">
        <v>73</v>
      </c>
      <c r="F73" t="s">
        <v>73</v>
      </c>
      <c r="G73" t="s">
        <v>73</v>
      </c>
      <c r="H73">
        <v>61.6</v>
      </c>
      <c r="I73">
        <v>604</v>
      </c>
      <c r="J73">
        <v>69006</v>
      </c>
      <c r="K73" t="s">
        <v>3243</v>
      </c>
      <c r="L73">
        <f t="shared" si="6"/>
        <v>593</v>
      </c>
      <c r="N73">
        <v>593</v>
      </c>
      <c r="O73">
        <v>593</v>
      </c>
      <c r="P73">
        <v>1</v>
      </c>
      <c r="Q73">
        <v>41</v>
      </c>
      <c r="R73">
        <v>26</v>
      </c>
      <c r="S73">
        <v>19</v>
      </c>
      <c r="T73">
        <v>14</v>
      </c>
      <c r="U73">
        <v>20</v>
      </c>
      <c r="V73">
        <v>18</v>
      </c>
      <c r="W73">
        <v>28</v>
      </c>
      <c r="X73">
        <v>35</v>
      </c>
      <c r="Y73">
        <v>16</v>
      </c>
      <c r="Z73">
        <v>54</v>
      </c>
      <c r="AA73">
        <v>18</v>
      </c>
      <c r="AB73">
        <v>19</v>
      </c>
      <c r="AC73">
        <v>45</v>
      </c>
      <c r="AD73">
        <v>56</v>
      </c>
      <c r="AE73">
        <v>45</v>
      </c>
      <c r="AF73">
        <v>32</v>
      </c>
      <c r="AG73">
        <v>38</v>
      </c>
      <c r="AH73">
        <v>33</v>
      </c>
      <c r="AI73">
        <v>36</v>
      </c>
      <c r="AJ73">
        <v>41</v>
      </c>
      <c r="AK73">
        <v>26</v>
      </c>
      <c r="AL73">
        <v>19</v>
      </c>
      <c r="AM73">
        <v>14</v>
      </c>
      <c r="AN73">
        <v>20</v>
      </c>
      <c r="AO73">
        <v>18</v>
      </c>
      <c r="AP73">
        <v>28</v>
      </c>
      <c r="AQ73">
        <v>35</v>
      </c>
      <c r="AR73">
        <v>16</v>
      </c>
      <c r="AS73">
        <v>54</v>
      </c>
      <c r="AT73">
        <v>18</v>
      </c>
      <c r="AU73">
        <v>19</v>
      </c>
      <c r="AV73">
        <v>45</v>
      </c>
      <c r="AW73">
        <v>56</v>
      </c>
      <c r="AX73">
        <v>45</v>
      </c>
      <c r="AY73">
        <v>32</v>
      </c>
      <c r="AZ73">
        <v>38</v>
      </c>
      <c r="BA73">
        <v>33</v>
      </c>
      <c r="BB73">
        <v>36</v>
      </c>
      <c r="BC73" s="2">
        <v>41</v>
      </c>
      <c r="BD73" s="2">
        <v>26</v>
      </c>
      <c r="BE73" s="2">
        <v>19</v>
      </c>
      <c r="BF73" s="2">
        <v>14</v>
      </c>
      <c r="BG73" s="2">
        <v>20</v>
      </c>
      <c r="BH73" s="2">
        <v>18</v>
      </c>
      <c r="BI73" s="2">
        <v>28</v>
      </c>
      <c r="BJ73" s="2">
        <v>35</v>
      </c>
      <c r="BK73" s="2">
        <v>16</v>
      </c>
      <c r="BL73" s="2">
        <v>54</v>
      </c>
      <c r="BM73" s="2">
        <v>18</v>
      </c>
      <c r="BN73" s="2">
        <v>19</v>
      </c>
      <c r="BO73" s="2">
        <v>45</v>
      </c>
      <c r="BP73" s="2">
        <v>56</v>
      </c>
      <c r="BQ73" s="2">
        <v>45</v>
      </c>
      <c r="BR73" s="2">
        <v>32</v>
      </c>
      <c r="BS73" s="2">
        <v>38</v>
      </c>
      <c r="BT73" s="2">
        <v>33</v>
      </c>
      <c r="BU73" s="2">
        <v>36</v>
      </c>
      <c r="BV73" s="2">
        <f t="shared" si="9"/>
        <v>593</v>
      </c>
      <c r="BW73" s="16">
        <f t="shared" si="7"/>
        <v>31.210526315789473</v>
      </c>
      <c r="BX73" s="16">
        <f>COUNTIF($BC$6:BU73, "=0") / COUNTIF($BC$6:BU73, "&gt;-1")</f>
        <v>1.8575851393188854E-2</v>
      </c>
      <c r="BY73" s="18">
        <f>SUM($BC$6:BU73) / $BY$4</f>
        <v>0.49491531446957648</v>
      </c>
      <c r="BZ73" s="14">
        <f t="shared" si="8"/>
        <v>0</v>
      </c>
      <c r="CA73" t="s">
        <v>5831</v>
      </c>
      <c r="CB73" s="36">
        <v>49.677379229223902</v>
      </c>
      <c r="CC73" s="36">
        <v>25.039667137613598</v>
      </c>
      <c r="CD73" s="36">
        <v>30.415155574432902</v>
      </c>
      <c r="CE73" s="36">
        <v>21.1669046281452</v>
      </c>
      <c r="CF73" s="36">
        <v>17.203527198737799</v>
      </c>
      <c r="CG73" s="36">
        <v>16.735090439510799</v>
      </c>
      <c r="CH73" s="36">
        <v>29.513743920209901</v>
      </c>
      <c r="CI73" s="36">
        <v>34.061425929380697</v>
      </c>
      <c r="CJ73" s="37">
        <v>12.716132691919301</v>
      </c>
      <c r="CK73" s="37">
        <v>11.351693643989099</v>
      </c>
      <c r="CL73" s="37">
        <v>15.2010326170795</v>
      </c>
      <c r="CM73" s="37">
        <v>38.094617096997297</v>
      </c>
      <c r="CN73" s="37">
        <v>41.345665461680099</v>
      </c>
      <c r="CO73" s="37">
        <v>25.254098252323999</v>
      </c>
      <c r="CP73" s="37">
        <v>57.324521818772098</v>
      </c>
      <c r="CQ73" s="37">
        <v>54.814926473086203</v>
      </c>
      <c r="CR73" s="45">
        <v>0.17286343718479899</v>
      </c>
      <c r="CS73" s="45">
        <v>1.14427137513504</v>
      </c>
      <c r="CT73" s="46">
        <v>0.64180113528805804</v>
      </c>
      <c r="CU73" s="47">
        <v>0.71323082974702801</v>
      </c>
      <c r="CV73" s="48">
        <v>27.976611757156899</v>
      </c>
      <c r="CW73" s="49">
        <v>32.012836006980997</v>
      </c>
      <c r="CX73" s="31" t="s">
        <v>5874</v>
      </c>
      <c r="CY73" s="31" t="s">
        <v>5832</v>
      </c>
      <c r="CZ73" t="s">
        <v>10264</v>
      </c>
      <c r="DA73" t="s">
        <v>5904</v>
      </c>
      <c r="DB73">
        <v>937.2</v>
      </c>
      <c r="DC73" t="s">
        <v>26892</v>
      </c>
      <c r="DD73" t="s">
        <v>26893</v>
      </c>
      <c r="DE73" t="s">
        <v>26894</v>
      </c>
      <c r="DF73" t="s">
        <v>26895</v>
      </c>
      <c r="DG73" t="s">
        <v>26896</v>
      </c>
      <c r="DH73" t="str">
        <f>"AFM"</f>
        <v>AFM</v>
      </c>
      <c r="DI73" t="s">
        <v>26897</v>
      </c>
      <c r="DJ73" t="s">
        <v>13777</v>
      </c>
      <c r="DK73">
        <v>9606</v>
      </c>
      <c r="DL73" s="34" t="str">
        <f>HYPERLINK("http://www.uniprot.org/uniprot/P43652", "P43652")</f>
        <v>P43652</v>
      </c>
      <c r="DM73" t="s">
        <v>26898</v>
      </c>
      <c r="DN73" t="s">
        <v>14347</v>
      </c>
      <c r="DO73" t="s">
        <v>14321</v>
      </c>
      <c r="DP73" t="s">
        <v>13793</v>
      </c>
      <c r="DQ73" t="s">
        <v>13772</v>
      </c>
      <c r="DR73" t="s">
        <v>13772</v>
      </c>
      <c r="DS73" t="s">
        <v>14404</v>
      </c>
      <c r="DT73" t="s">
        <v>13772</v>
      </c>
      <c r="DU73" t="s">
        <v>13772</v>
      </c>
      <c r="DV73" t="s">
        <v>13796</v>
      </c>
      <c r="DW73" t="s">
        <v>13812</v>
      </c>
      <c r="DX73" t="s">
        <v>26899</v>
      </c>
      <c r="DY73" t="s">
        <v>24704</v>
      </c>
      <c r="DZ73" t="s">
        <v>26900</v>
      </c>
      <c r="EA73" t="s">
        <v>13772</v>
      </c>
      <c r="EB73" t="s">
        <v>13772</v>
      </c>
    </row>
    <row r="74" spans="1:132">
      <c r="A74">
        <v>915</v>
      </c>
      <c r="B74">
        <v>1</v>
      </c>
      <c r="C74" t="s">
        <v>2229</v>
      </c>
      <c r="D74" t="s">
        <v>73</v>
      </c>
      <c r="E74" t="s">
        <v>73</v>
      </c>
      <c r="F74" t="s">
        <v>73</v>
      </c>
      <c r="G74" t="s">
        <v>73</v>
      </c>
      <c r="H74">
        <v>35.200000000000003</v>
      </c>
      <c r="I74">
        <v>3179</v>
      </c>
      <c r="J74">
        <v>343308</v>
      </c>
      <c r="K74" t="s">
        <v>2230</v>
      </c>
      <c r="L74">
        <f t="shared" si="6"/>
        <v>581</v>
      </c>
      <c r="N74">
        <v>581</v>
      </c>
      <c r="O74">
        <v>581</v>
      </c>
      <c r="P74">
        <v>1</v>
      </c>
      <c r="Q74">
        <v>26</v>
      </c>
      <c r="R74">
        <v>25</v>
      </c>
      <c r="S74">
        <v>23</v>
      </c>
      <c r="T74">
        <v>17</v>
      </c>
      <c r="U74">
        <v>27</v>
      </c>
      <c r="V74">
        <v>64</v>
      </c>
      <c r="W74">
        <v>26</v>
      </c>
      <c r="X74">
        <v>57</v>
      </c>
      <c r="Y74">
        <v>21</v>
      </c>
      <c r="Z74">
        <v>6</v>
      </c>
      <c r="AA74">
        <v>66</v>
      </c>
      <c r="AB74">
        <v>48</v>
      </c>
      <c r="AC74">
        <v>38</v>
      </c>
      <c r="AD74">
        <v>1</v>
      </c>
      <c r="AE74">
        <v>24</v>
      </c>
      <c r="AF74">
        <v>47</v>
      </c>
      <c r="AG74">
        <v>31</v>
      </c>
      <c r="AH74">
        <v>8</v>
      </c>
      <c r="AI74">
        <v>26</v>
      </c>
      <c r="AJ74">
        <v>26</v>
      </c>
      <c r="AK74">
        <v>25</v>
      </c>
      <c r="AL74">
        <v>23</v>
      </c>
      <c r="AM74">
        <v>17</v>
      </c>
      <c r="AN74">
        <v>27</v>
      </c>
      <c r="AO74">
        <v>64</v>
      </c>
      <c r="AP74">
        <v>26</v>
      </c>
      <c r="AQ74">
        <v>57</v>
      </c>
      <c r="AR74">
        <v>21</v>
      </c>
      <c r="AS74">
        <v>6</v>
      </c>
      <c r="AT74">
        <v>66</v>
      </c>
      <c r="AU74">
        <v>48</v>
      </c>
      <c r="AV74">
        <v>38</v>
      </c>
      <c r="AW74">
        <v>1</v>
      </c>
      <c r="AX74">
        <v>24</v>
      </c>
      <c r="AY74">
        <v>47</v>
      </c>
      <c r="AZ74">
        <v>31</v>
      </c>
      <c r="BA74">
        <v>8</v>
      </c>
      <c r="BB74">
        <v>26</v>
      </c>
      <c r="BC74" s="2">
        <v>26</v>
      </c>
      <c r="BD74" s="2">
        <v>25</v>
      </c>
      <c r="BE74" s="2">
        <v>23</v>
      </c>
      <c r="BF74" s="2">
        <v>17</v>
      </c>
      <c r="BG74" s="2">
        <v>27</v>
      </c>
      <c r="BH74" s="2">
        <v>64</v>
      </c>
      <c r="BI74" s="2">
        <v>26</v>
      </c>
      <c r="BJ74" s="2">
        <v>57</v>
      </c>
      <c r="BK74" s="2">
        <v>21</v>
      </c>
      <c r="BL74" s="2">
        <v>6</v>
      </c>
      <c r="BM74" s="2">
        <v>66</v>
      </c>
      <c r="BN74" s="2">
        <v>48</v>
      </c>
      <c r="BO74" s="2">
        <v>38</v>
      </c>
      <c r="BP74" s="2">
        <v>1</v>
      </c>
      <c r="BQ74" s="2">
        <v>24</v>
      </c>
      <c r="BR74" s="2">
        <v>47</v>
      </c>
      <c r="BS74" s="2">
        <v>31</v>
      </c>
      <c r="BT74" s="2">
        <v>8</v>
      </c>
      <c r="BU74" s="2">
        <v>26</v>
      </c>
      <c r="BV74" s="2">
        <f t="shared" si="9"/>
        <v>581</v>
      </c>
      <c r="BW74" s="16">
        <f t="shared" si="7"/>
        <v>30.578947368421051</v>
      </c>
      <c r="BX74" s="16">
        <f>COUNTIF($BC$6:BU74, "=0") / COUNTIF($BC$6:BU74, "&gt;-1")</f>
        <v>1.8306636155606407E-2</v>
      </c>
      <c r="BY74" s="18">
        <f>SUM($BC$6:BU74) / $BY$4</f>
        <v>0.49740410749029146</v>
      </c>
      <c r="BZ74" s="14">
        <f t="shared" si="8"/>
        <v>0</v>
      </c>
      <c r="CA74" t="s">
        <v>5831</v>
      </c>
      <c r="CB74" s="36">
        <v>31.502728291703001</v>
      </c>
      <c r="CC74" s="36">
        <v>24.0766030169362</v>
      </c>
      <c r="CD74" s="36">
        <v>36.8183462216819</v>
      </c>
      <c r="CE74" s="36">
        <v>25.7026699056049</v>
      </c>
      <c r="CF74" s="36">
        <v>23.224761718296101</v>
      </c>
      <c r="CG74" s="36">
        <v>59.502543784927397</v>
      </c>
      <c r="CH74" s="36">
        <v>27.405619354480699</v>
      </c>
      <c r="CI74" s="36">
        <v>55.471465084991401</v>
      </c>
      <c r="CJ74" s="37">
        <v>16.689924158144098</v>
      </c>
      <c r="CK74" s="37">
        <v>41.622876694626903</v>
      </c>
      <c r="CL74" s="37">
        <v>38.402608716832397</v>
      </c>
      <c r="CM74" s="37">
        <v>32.168787770797699</v>
      </c>
      <c r="CN74" s="37">
        <v>22.0510215795627</v>
      </c>
      <c r="CO74" s="37">
        <v>37.091956808100903</v>
      </c>
      <c r="CP74" s="37">
        <v>46.764741483735101</v>
      </c>
      <c r="CQ74" s="37">
        <v>39.588558008340001</v>
      </c>
      <c r="CR74" s="45">
        <v>-5.9941611060804402E-2</v>
      </c>
      <c r="CS74" s="45">
        <v>-1.0339829652638399</v>
      </c>
      <c r="CT74" s="46">
        <v>0.87754381860154596</v>
      </c>
      <c r="CU74" s="47">
        <v>0.91444986704740505</v>
      </c>
      <c r="CV74" s="48">
        <v>35.463092172327698</v>
      </c>
      <c r="CW74" s="49">
        <v>34.2975594025175</v>
      </c>
      <c r="CX74" s="31" t="s">
        <v>5875</v>
      </c>
      <c r="CY74" s="31" t="s">
        <v>5832</v>
      </c>
      <c r="CZ74" t="s">
        <v>8829</v>
      </c>
      <c r="DA74" t="s">
        <v>5904</v>
      </c>
      <c r="DB74">
        <v>5504.1</v>
      </c>
      <c r="DC74" t="s">
        <v>22807</v>
      </c>
      <c r="DD74" t="s">
        <v>13772</v>
      </c>
      <c r="DE74" t="s">
        <v>22808</v>
      </c>
      <c r="DF74" t="s">
        <v>22809</v>
      </c>
      <c r="DG74" t="s">
        <v>22810</v>
      </c>
      <c r="DH74" t="str">
        <f>"COL6A3"</f>
        <v>COL6A3</v>
      </c>
      <c r="DI74" t="s">
        <v>13772</v>
      </c>
      <c r="DJ74" t="s">
        <v>13777</v>
      </c>
      <c r="DK74">
        <v>9606</v>
      </c>
      <c r="DL74" s="34" t="str">
        <f>HYPERLINK("http://www.uniprot.org/uniprot/P12111", "P12111")</f>
        <v>P12111</v>
      </c>
      <c r="DM74" t="s">
        <v>22811</v>
      </c>
      <c r="DN74" t="s">
        <v>13949</v>
      </c>
      <c r="DO74" t="s">
        <v>13869</v>
      </c>
      <c r="DP74" t="s">
        <v>13780</v>
      </c>
      <c r="DQ74" t="s">
        <v>13772</v>
      </c>
      <c r="DR74" t="s">
        <v>22812</v>
      </c>
      <c r="DS74" t="s">
        <v>13872</v>
      </c>
      <c r="DT74" t="s">
        <v>13772</v>
      </c>
      <c r="DU74" t="s">
        <v>14375</v>
      </c>
      <c r="DV74" t="s">
        <v>14770</v>
      </c>
      <c r="DW74" t="s">
        <v>13812</v>
      </c>
      <c r="DX74" t="s">
        <v>22813</v>
      </c>
      <c r="DY74" t="s">
        <v>22814</v>
      </c>
      <c r="DZ74" t="s">
        <v>22525</v>
      </c>
      <c r="EA74" t="s">
        <v>13772</v>
      </c>
      <c r="EB74" t="s">
        <v>21930</v>
      </c>
    </row>
    <row r="75" spans="1:132">
      <c r="A75">
        <v>2145</v>
      </c>
      <c r="B75">
        <v>1</v>
      </c>
      <c r="C75" t="s">
        <v>5028</v>
      </c>
      <c r="D75" t="s">
        <v>73</v>
      </c>
      <c r="E75" t="s">
        <v>73</v>
      </c>
      <c r="F75" t="s">
        <v>73</v>
      </c>
      <c r="G75" t="s">
        <v>73</v>
      </c>
      <c r="H75">
        <v>68.900000000000006</v>
      </c>
      <c r="I75">
        <v>502</v>
      </c>
      <c r="J75">
        <v>55110</v>
      </c>
      <c r="K75" t="s">
        <v>5029</v>
      </c>
      <c r="L75">
        <f t="shared" si="6"/>
        <v>575</v>
      </c>
      <c r="N75">
        <v>575</v>
      </c>
      <c r="O75">
        <v>575</v>
      </c>
      <c r="P75">
        <v>1</v>
      </c>
      <c r="Q75">
        <v>26</v>
      </c>
      <c r="R75">
        <v>32</v>
      </c>
      <c r="S75">
        <v>16</v>
      </c>
      <c r="T75">
        <v>24</v>
      </c>
      <c r="U75">
        <v>26</v>
      </c>
      <c r="V75">
        <v>21</v>
      </c>
      <c r="W75">
        <v>20</v>
      </c>
      <c r="X75">
        <v>21</v>
      </c>
      <c r="Y75">
        <v>46</v>
      </c>
      <c r="Z75">
        <v>11</v>
      </c>
      <c r="AA75">
        <v>72</v>
      </c>
      <c r="AB75">
        <v>52</v>
      </c>
      <c r="AC75">
        <v>33</v>
      </c>
      <c r="AD75">
        <v>17</v>
      </c>
      <c r="AE75">
        <v>36</v>
      </c>
      <c r="AF75">
        <v>43</v>
      </c>
      <c r="AG75">
        <v>28</v>
      </c>
      <c r="AH75">
        <v>14</v>
      </c>
      <c r="AI75">
        <v>37</v>
      </c>
      <c r="AJ75">
        <v>26</v>
      </c>
      <c r="AK75">
        <v>32</v>
      </c>
      <c r="AL75">
        <v>16</v>
      </c>
      <c r="AM75">
        <v>24</v>
      </c>
      <c r="AN75">
        <v>26</v>
      </c>
      <c r="AO75">
        <v>21</v>
      </c>
      <c r="AP75">
        <v>20</v>
      </c>
      <c r="AQ75">
        <v>21</v>
      </c>
      <c r="AR75">
        <v>46</v>
      </c>
      <c r="AS75">
        <v>11</v>
      </c>
      <c r="AT75">
        <v>72</v>
      </c>
      <c r="AU75">
        <v>52</v>
      </c>
      <c r="AV75">
        <v>33</v>
      </c>
      <c r="AW75">
        <v>17</v>
      </c>
      <c r="AX75">
        <v>36</v>
      </c>
      <c r="AY75">
        <v>43</v>
      </c>
      <c r="AZ75">
        <v>28</v>
      </c>
      <c r="BA75">
        <v>14</v>
      </c>
      <c r="BB75">
        <v>37</v>
      </c>
      <c r="BC75" s="2">
        <v>26</v>
      </c>
      <c r="BD75" s="2">
        <v>32</v>
      </c>
      <c r="BE75" s="2">
        <v>16</v>
      </c>
      <c r="BF75" s="2">
        <v>24</v>
      </c>
      <c r="BG75" s="2">
        <v>26</v>
      </c>
      <c r="BH75" s="2">
        <v>21</v>
      </c>
      <c r="BI75" s="2">
        <v>20</v>
      </c>
      <c r="BJ75" s="2">
        <v>21</v>
      </c>
      <c r="BK75" s="2">
        <v>46</v>
      </c>
      <c r="BL75" s="2">
        <v>11</v>
      </c>
      <c r="BM75" s="2">
        <v>72</v>
      </c>
      <c r="BN75" s="2">
        <v>52</v>
      </c>
      <c r="BO75" s="2">
        <v>33</v>
      </c>
      <c r="BP75" s="2">
        <v>17</v>
      </c>
      <c r="BQ75" s="2">
        <v>36</v>
      </c>
      <c r="BR75" s="2">
        <v>43</v>
      </c>
      <c r="BS75" s="2">
        <v>28</v>
      </c>
      <c r="BT75" s="2">
        <v>14</v>
      </c>
      <c r="BU75" s="2">
        <v>37</v>
      </c>
      <c r="BV75" s="2">
        <f t="shared" si="9"/>
        <v>575</v>
      </c>
      <c r="BW75" s="16">
        <f t="shared" si="7"/>
        <v>30.263157894736842</v>
      </c>
      <c r="BX75" s="16">
        <f>COUNTIF($BC$6:BU75, "=0") / COUNTIF($BC$6:BU75, "&gt;-1")</f>
        <v>1.8045112781954888E-2</v>
      </c>
      <c r="BY75" s="18">
        <f>SUM($BC$6:BU75) / $BY$4</f>
        <v>0.49986719868979429</v>
      </c>
      <c r="BZ75" s="14">
        <f t="shared" si="8"/>
        <v>0</v>
      </c>
      <c r="CA75" t="s">
        <v>5831</v>
      </c>
      <c r="CB75" s="36">
        <v>31.502728291703001</v>
      </c>
      <c r="CC75" s="36">
        <v>30.818051861678299</v>
      </c>
      <c r="CD75" s="36">
        <v>25.612762588996102</v>
      </c>
      <c r="CE75" s="36">
        <v>36.286122219677502</v>
      </c>
      <c r="CF75" s="36">
        <v>22.3645853583592</v>
      </c>
      <c r="CG75" s="36">
        <v>19.5242721794293</v>
      </c>
      <c r="CH75" s="36">
        <v>21.081245657292801</v>
      </c>
      <c r="CI75" s="36">
        <v>20.436855557628402</v>
      </c>
      <c r="CJ75" s="37">
        <v>36.558881489268003</v>
      </c>
      <c r="CK75" s="37">
        <v>45.406774575956597</v>
      </c>
      <c r="CL75" s="37">
        <v>41.602826109901798</v>
      </c>
      <c r="CM75" s="37">
        <v>27.936052537797998</v>
      </c>
      <c r="CN75" s="37">
        <v>33.0765323693441</v>
      </c>
      <c r="CO75" s="37">
        <v>33.935194526560402</v>
      </c>
      <c r="CP75" s="37">
        <v>42.239121340147797</v>
      </c>
      <c r="CQ75" s="37">
        <v>56.3375633195608</v>
      </c>
      <c r="CR75" s="45">
        <v>0.61145337013274104</v>
      </c>
      <c r="CS75" s="45">
        <v>1.5272268102965301</v>
      </c>
      <c r="CT75" s="46">
        <v>1.86658407596299E-2</v>
      </c>
      <c r="CU75" s="47">
        <v>3.2519394448417699E-2</v>
      </c>
      <c r="CV75" s="48">
        <v>25.953327964345601</v>
      </c>
      <c r="CW75" s="49">
        <v>39.636618283567202</v>
      </c>
      <c r="CX75" s="31" t="s">
        <v>5874</v>
      </c>
      <c r="CY75" s="31" t="s">
        <v>5878</v>
      </c>
      <c r="CZ75" t="s">
        <v>12897</v>
      </c>
      <c r="DA75" t="s">
        <v>5904</v>
      </c>
      <c r="DB75">
        <v>978.4</v>
      </c>
      <c r="DC75" t="s">
        <v>34277</v>
      </c>
      <c r="DD75" t="s">
        <v>34278</v>
      </c>
      <c r="DE75" t="s">
        <v>34279</v>
      </c>
      <c r="DF75" t="s">
        <v>34280</v>
      </c>
      <c r="DG75" t="s">
        <v>34281</v>
      </c>
      <c r="DH75" t="str">
        <f>"EFEMP1"</f>
        <v>EFEMP1</v>
      </c>
      <c r="DI75" t="s">
        <v>34282</v>
      </c>
      <c r="DJ75" t="s">
        <v>13777</v>
      </c>
      <c r="DK75">
        <v>9606</v>
      </c>
      <c r="DL75" s="34" t="str">
        <f>HYPERLINK("http://www.uniprot.org/uniprot/Q12805", "Q12805")</f>
        <v>Q12805</v>
      </c>
      <c r="DM75" t="s">
        <v>34283</v>
      </c>
      <c r="DN75" t="s">
        <v>13772</v>
      </c>
      <c r="DO75" t="s">
        <v>13869</v>
      </c>
      <c r="DP75" t="s">
        <v>13780</v>
      </c>
      <c r="DQ75" t="s">
        <v>13772</v>
      </c>
      <c r="DR75" t="s">
        <v>13807</v>
      </c>
      <c r="DS75" t="s">
        <v>14768</v>
      </c>
      <c r="DT75" t="s">
        <v>14465</v>
      </c>
      <c r="DU75" t="s">
        <v>15740</v>
      </c>
      <c r="DV75" t="s">
        <v>13796</v>
      </c>
      <c r="DW75" t="s">
        <v>13772</v>
      </c>
      <c r="DX75" t="s">
        <v>34284</v>
      </c>
      <c r="DY75" t="s">
        <v>27026</v>
      </c>
      <c r="DZ75" t="s">
        <v>34285</v>
      </c>
      <c r="EA75" t="s">
        <v>13772</v>
      </c>
      <c r="EB75" t="s">
        <v>14774</v>
      </c>
    </row>
    <row r="76" spans="1:132">
      <c r="A76">
        <v>570</v>
      </c>
      <c r="B76">
        <v>1</v>
      </c>
      <c r="C76" t="s">
        <v>1420</v>
      </c>
      <c r="D76" t="s">
        <v>73</v>
      </c>
      <c r="E76" t="s">
        <v>73</v>
      </c>
      <c r="F76" t="s">
        <v>73</v>
      </c>
      <c r="G76" t="s">
        <v>73</v>
      </c>
      <c r="H76">
        <v>53.9</v>
      </c>
      <c r="I76">
        <v>410</v>
      </c>
      <c r="J76">
        <v>44385</v>
      </c>
      <c r="K76" t="s">
        <v>1421</v>
      </c>
      <c r="L76">
        <f t="shared" si="6"/>
        <v>572</v>
      </c>
      <c r="N76">
        <v>572</v>
      </c>
      <c r="O76">
        <v>572</v>
      </c>
      <c r="P76">
        <v>1</v>
      </c>
      <c r="Q76">
        <v>48</v>
      </c>
      <c r="R76">
        <v>47</v>
      </c>
      <c r="S76">
        <v>31</v>
      </c>
      <c r="T76">
        <v>47</v>
      </c>
      <c r="U76">
        <v>50</v>
      </c>
      <c r="V76">
        <v>32</v>
      </c>
      <c r="W76">
        <v>36</v>
      </c>
      <c r="X76">
        <v>28</v>
      </c>
      <c r="Y76">
        <v>27</v>
      </c>
      <c r="Z76">
        <v>17</v>
      </c>
      <c r="AA76">
        <v>33</v>
      </c>
      <c r="AB76">
        <v>31</v>
      </c>
      <c r="AC76">
        <v>31</v>
      </c>
      <c r="AD76">
        <v>14</v>
      </c>
      <c r="AE76">
        <v>28</v>
      </c>
      <c r="AF76">
        <v>21</v>
      </c>
      <c r="AG76">
        <v>15</v>
      </c>
      <c r="AH76">
        <v>11</v>
      </c>
      <c r="AI76">
        <v>25</v>
      </c>
      <c r="AJ76">
        <v>48</v>
      </c>
      <c r="AK76">
        <v>47</v>
      </c>
      <c r="AL76">
        <v>31</v>
      </c>
      <c r="AM76">
        <v>47</v>
      </c>
      <c r="AN76">
        <v>50</v>
      </c>
      <c r="AO76">
        <v>32</v>
      </c>
      <c r="AP76">
        <v>36</v>
      </c>
      <c r="AQ76">
        <v>28</v>
      </c>
      <c r="AR76">
        <v>27</v>
      </c>
      <c r="AS76">
        <v>17</v>
      </c>
      <c r="AT76">
        <v>33</v>
      </c>
      <c r="AU76">
        <v>31</v>
      </c>
      <c r="AV76">
        <v>31</v>
      </c>
      <c r="AW76">
        <v>14</v>
      </c>
      <c r="AX76">
        <v>28</v>
      </c>
      <c r="AY76">
        <v>21</v>
      </c>
      <c r="AZ76">
        <v>15</v>
      </c>
      <c r="BA76">
        <v>11</v>
      </c>
      <c r="BB76">
        <v>25</v>
      </c>
      <c r="BC76" s="2">
        <v>48</v>
      </c>
      <c r="BD76" s="2">
        <v>47</v>
      </c>
      <c r="BE76" s="2">
        <v>31</v>
      </c>
      <c r="BF76" s="2">
        <v>47</v>
      </c>
      <c r="BG76" s="2">
        <v>50</v>
      </c>
      <c r="BH76" s="2">
        <v>32</v>
      </c>
      <c r="BI76" s="2">
        <v>36</v>
      </c>
      <c r="BJ76" s="2">
        <v>28</v>
      </c>
      <c r="BK76" s="2">
        <v>27</v>
      </c>
      <c r="BL76" s="2">
        <v>17</v>
      </c>
      <c r="BM76" s="2">
        <v>33</v>
      </c>
      <c r="BN76" s="2">
        <v>31</v>
      </c>
      <c r="BO76" s="2">
        <v>31</v>
      </c>
      <c r="BP76" s="2">
        <v>14</v>
      </c>
      <c r="BQ76" s="2">
        <v>28</v>
      </c>
      <c r="BR76" s="2">
        <v>21</v>
      </c>
      <c r="BS76" s="2">
        <v>15</v>
      </c>
      <c r="BT76" s="2">
        <v>11</v>
      </c>
      <c r="BU76" s="2">
        <v>25</v>
      </c>
      <c r="BV76" s="2">
        <f t="shared" si="9"/>
        <v>572</v>
      </c>
      <c r="BW76" s="16">
        <f t="shared" si="7"/>
        <v>30.105263157894736</v>
      </c>
      <c r="BX76" s="16">
        <f>COUNTIF($BC$6:BU76, "=0") / COUNTIF($BC$6:BU76, "&gt;-1")</f>
        <v>1.7790956263899184E-2</v>
      </c>
      <c r="BY76" s="18">
        <f>SUM($BC$6:BU76) / $BY$4</f>
        <v>0.50231743897869097</v>
      </c>
      <c r="BZ76" s="14">
        <f t="shared" si="8"/>
        <v>0</v>
      </c>
      <c r="CA76" t="s">
        <v>5831</v>
      </c>
      <c r="CB76" s="36">
        <v>58.158883000067</v>
      </c>
      <c r="CC76" s="36">
        <v>45.264013671839997</v>
      </c>
      <c r="CD76" s="36">
        <v>49.624727516180002</v>
      </c>
      <c r="CE76" s="36">
        <v>71.060322680201807</v>
      </c>
      <c r="CF76" s="36">
        <v>43.008817996844598</v>
      </c>
      <c r="CG76" s="36">
        <v>29.751271892463699</v>
      </c>
      <c r="CH76" s="36">
        <v>37.946242183127097</v>
      </c>
      <c r="CI76" s="36">
        <v>27.249140743504601</v>
      </c>
      <c r="CJ76" s="37">
        <v>21.458473917613802</v>
      </c>
      <c r="CK76" s="37">
        <v>20.811438347313398</v>
      </c>
      <c r="CL76" s="37">
        <v>24.801684796287599</v>
      </c>
      <c r="CM76" s="37">
        <v>26.242958444598202</v>
      </c>
      <c r="CN76" s="37">
        <v>25.726191842823201</v>
      </c>
      <c r="CO76" s="37">
        <v>16.5730019780876</v>
      </c>
      <c r="CP76" s="37">
        <v>22.628100717936299</v>
      </c>
      <c r="CQ76" s="37">
        <v>38.065921161865397</v>
      </c>
      <c r="CR76" s="45">
        <v>-0.88440767122850095</v>
      </c>
      <c r="CS76" s="45">
        <v>-1.8443662085252801</v>
      </c>
      <c r="CT76" s="46">
        <v>1.9267657888783899E-3</v>
      </c>
      <c r="CU76" s="47">
        <v>4.1182310311809597E-3</v>
      </c>
      <c r="CV76" s="48">
        <v>45.257927460528599</v>
      </c>
      <c r="CW76" s="49">
        <v>24.538471400815698</v>
      </c>
      <c r="CX76" s="31" t="s">
        <v>5875</v>
      </c>
      <c r="CY76" s="31" t="s">
        <v>5876</v>
      </c>
      <c r="CZ76" t="s">
        <v>7672</v>
      </c>
      <c r="DA76" t="s">
        <v>5904</v>
      </c>
      <c r="DB76">
        <v>725.7</v>
      </c>
      <c r="DC76" t="s">
        <v>19389</v>
      </c>
      <c r="DD76" t="s">
        <v>13772</v>
      </c>
      <c r="DE76" t="s">
        <v>19390</v>
      </c>
      <c r="DF76" t="s">
        <v>19391</v>
      </c>
      <c r="DG76" t="s">
        <v>19392</v>
      </c>
      <c r="DH76" t="str">
        <f>"CTSD"</f>
        <v>CTSD</v>
      </c>
      <c r="DI76" t="s">
        <v>19393</v>
      </c>
      <c r="DJ76" t="s">
        <v>13777</v>
      </c>
      <c r="DK76">
        <v>9606</v>
      </c>
      <c r="DL76" s="34" t="str">
        <f>HYPERLINK("http://www.uniprot.org/uniprot/P07339", "P07339")</f>
        <v>P07339</v>
      </c>
      <c r="DM76" t="s">
        <v>19394</v>
      </c>
      <c r="DN76" t="s">
        <v>13772</v>
      </c>
      <c r="DO76" t="s">
        <v>14402</v>
      </c>
      <c r="DP76" t="s">
        <v>13793</v>
      </c>
      <c r="DQ76" t="s">
        <v>13772</v>
      </c>
      <c r="DR76" t="s">
        <v>19395</v>
      </c>
      <c r="DS76" t="s">
        <v>13808</v>
      </c>
      <c r="DT76" t="s">
        <v>13772</v>
      </c>
      <c r="DU76" t="s">
        <v>15386</v>
      </c>
      <c r="DV76" t="s">
        <v>15472</v>
      </c>
      <c r="DW76" t="s">
        <v>13812</v>
      </c>
      <c r="DX76" t="s">
        <v>19396</v>
      </c>
      <c r="DY76" t="s">
        <v>19397</v>
      </c>
      <c r="DZ76" t="s">
        <v>19398</v>
      </c>
      <c r="EA76" t="s">
        <v>13772</v>
      </c>
      <c r="EB76" t="s">
        <v>19399</v>
      </c>
    </row>
    <row r="77" spans="1:132">
      <c r="A77">
        <v>618</v>
      </c>
      <c r="B77">
        <v>1</v>
      </c>
      <c r="C77" t="s">
        <v>1530</v>
      </c>
      <c r="D77" t="s">
        <v>73</v>
      </c>
      <c r="E77" t="s">
        <v>73</v>
      </c>
      <c r="F77" t="s">
        <v>1531</v>
      </c>
      <c r="G77" t="s">
        <v>73</v>
      </c>
      <c r="H77">
        <v>94.7</v>
      </c>
      <c r="I77">
        <v>133</v>
      </c>
      <c r="J77">
        <v>14819</v>
      </c>
      <c r="K77" t="s">
        <v>1532</v>
      </c>
      <c r="L77">
        <f t="shared" si="6"/>
        <v>562</v>
      </c>
      <c r="N77">
        <v>562</v>
      </c>
      <c r="O77">
        <v>554</v>
      </c>
      <c r="P77">
        <v>0.98599999999999999</v>
      </c>
      <c r="Q77">
        <v>4</v>
      </c>
      <c r="R77">
        <v>3</v>
      </c>
      <c r="S77">
        <v>2</v>
      </c>
      <c r="T77">
        <v>3</v>
      </c>
      <c r="U77">
        <v>5</v>
      </c>
      <c r="V77">
        <v>9</v>
      </c>
      <c r="W77">
        <v>33</v>
      </c>
      <c r="X77">
        <v>74</v>
      </c>
      <c r="Y77">
        <v>42</v>
      </c>
      <c r="Z77">
        <v>16</v>
      </c>
      <c r="AA77">
        <v>56</v>
      </c>
      <c r="AB77">
        <v>33</v>
      </c>
      <c r="AC77">
        <v>59</v>
      </c>
      <c r="AD77">
        <v>13</v>
      </c>
      <c r="AE77">
        <v>83</v>
      </c>
      <c r="AF77">
        <v>78</v>
      </c>
      <c r="AG77">
        <v>16</v>
      </c>
      <c r="AH77">
        <v>12</v>
      </c>
      <c r="AI77">
        <v>21</v>
      </c>
      <c r="AJ77">
        <v>3</v>
      </c>
      <c r="AK77">
        <v>3</v>
      </c>
      <c r="AL77">
        <v>2</v>
      </c>
      <c r="AM77">
        <v>3</v>
      </c>
      <c r="AN77">
        <v>5</v>
      </c>
      <c r="AO77">
        <v>9</v>
      </c>
      <c r="AP77">
        <v>32</v>
      </c>
      <c r="AQ77">
        <v>71</v>
      </c>
      <c r="AR77">
        <v>42</v>
      </c>
      <c r="AS77">
        <v>16</v>
      </c>
      <c r="AT77">
        <v>56</v>
      </c>
      <c r="AU77">
        <v>32</v>
      </c>
      <c r="AV77">
        <v>59</v>
      </c>
      <c r="AW77">
        <v>13</v>
      </c>
      <c r="AX77">
        <v>82</v>
      </c>
      <c r="AY77">
        <v>78</v>
      </c>
      <c r="AZ77">
        <v>16</v>
      </c>
      <c r="BA77">
        <v>11</v>
      </c>
      <c r="BB77">
        <v>21</v>
      </c>
      <c r="BC77" s="2">
        <v>4</v>
      </c>
      <c r="BD77" s="2">
        <v>3</v>
      </c>
      <c r="BE77" s="2">
        <v>2</v>
      </c>
      <c r="BF77" s="2">
        <v>3</v>
      </c>
      <c r="BG77" s="2">
        <v>5</v>
      </c>
      <c r="BH77" s="2">
        <v>9</v>
      </c>
      <c r="BI77" s="2">
        <v>33</v>
      </c>
      <c r="BJ77" s="2">
        <v>74</v>
      </c>
      <c r="BK77" s="2">
        <v>42</v>
      </c>
      <c r="BL77" s="2">
        <v>16</v>
      </c>
      <c r="BM77" s="2">
        <v>56</v>
      </c>
      <c r="BN77" s="2">
        <v>33</v>
      </c>
      <c r="BO77" s="2">
        <v>59</v>
      </c>
      <c r="BP77" s="2">
        <v>13</v>
      </c>
      <c r="BQ77" s="2">
        <v>82.706999999999994</v>
      </c>
      <c r="BR77" s="2">
        <v>78</v>
      </c>
      <c r="BS77" s="2">
        <v>16</v>
      </c>
      <c r="BT77" s="2">
        <v>12</v>
      </c>
      <c r="BU77" s="2">
        <v>21</v>
      </c>
      <c r="BV77" s="2">
        <f t="shared" si="9"/>
        <v>561.70699999999999</v>
      </c>
      <c r="BW77" s="16">
        <f t="shared" si="7"/>
        <v>29.563526315789474</v>
      </c>
      <c r="BX77" s="16">
        <f>COUNTIF($BC$6:BU77, "=0") / COUNTIF($BC$6:BU77, "&gt;-1")</f>
        <v>1.7543859649122806E-2</v>
      </c>
      <c r="BY77" s="18">
        <f>SUM($BC$6:BU77) / $BY$4</f>
        <v>0.50472358779329807</v>
      </c>
      <c r="BZ77" s="14">
        <f t="shared" si="8"/>
        <v>0</v>
      </c>
      <c r="CA77" t="s">
        <v>5831</v>
      </c>
      <c r="CB77" s="36">
        <v>4.8465735833389196</v>
      </c>
      <c r="CC77" s="36">
        <v>2.8891923620323401</v>
      </c>
      <c r="CD77" s="36">
        <v>3.2015953236245198</v>
      </c>
      <c r="CE77" s="36">
        <v>4.5357652774596904</v>
      </c>
      <c r="CF77" s="36">
        <v>4.3008817996844604</v>
      </c>
      <c r="CG77" s="36">
        <v>8.3675452197554208</v>
      </c>
      <c r="CH77" s="36">
        <v>34.7840553345331</v>
      </c>
      <c r="CI77" s="36">
        <v>72.015586250690603</v>
      </c>
      <c r="CJ77" s="37">
        <v>33.379848316288196</v>
      </c>
      <c r="CK77" s="37">
        <v>35.316380225743998</v>
      </c>
      <c r="CL77" s="37">
        <v>26.4017934928223</v>
      </c>
      <c r="CM77" s="37">
        <v>49.946275749396499</v>
      </c>
      <c r="CN77" s="37">
        <v>75.984145192909907</v>
      </c>
      <c r="CO77" s="37">
        <v>61.5568644900398</v>
      </c>
      <c r="CP77" s="37">
        <v>24.136640765798798</v>
      </c>
      <c r="CQ77" s="37">
        <v>31.975373775967</v>
      </c>
      <c r="CR77" s="45">
        <v>1.3106471030079001</v>
      </c>
      <c r="CS77" s="45">
        <v>2.5099623701247298</v>
      </c>
      <c r="CT77" s="46">
        <v>2.6439763073241501E-2</v>
      </c>
      <c r="CU77" s="47">
        <v>4.3782676970293498E-2</v>
      </c>
      <c r="CV77" s="48">
        <v>16.867649393889899</v>
      </c>
      <c r="CW77" s="49">
        <v>42.337165251120801</v>
      </c>
      <c r="CX77" s="31" t="s">
        <v>5874</v>
      </c>
      <c r="CY77" s="31" t="s">
        <v>5878</v>
      </c>
      <c r="CZ77" t="s">
        <v>7834</v>
      </c>
      <c r="DA77" t="s">
        <v>5904</v>
      </c>
      <c r="DB77">
        <v>250.4</v>
      </c>
      <c r="DC77" t="s">
        <v>19899</v>
      </c>
      <c r="DD77" t="s">
        <v>19900</v>
      </c>
      <c r="DE77" t="s">
        <v>19901</v>
      </c>
      <c r="DF77" t="s">
        <v>19902</v>
      </c>
      <c r="DG77" t="s">
        <v>19903</v>
      </c>
      <c r="DH77" t="str">
        <f>"FABP3"</f>
        <v>FABP3</v>
      </c>
      <c r="DI77" t="s">
        <v>19904</v>
      </c>
      <c r="DJ77" t="s">
        <v>13777</v>
      </c>
      <c r="DK77">
        <v>9606</v>
      </c>
      <c r="DL77" s="34" t="str">
        <f>HYPERLINK("http://www.uniprot.org/uniprot/P05413", "P05413")</f>
        <v>P05413</v>
      </c>
      <c r="DM77" t="s">
        <v>19905</v>
      </c>
      <c r="DN77" t="s">
        <v>14192</v>
      </c>
      <c r="DO77" t="s">
        <v>13899</v>
      </c>
      <c r="DP77" t="s">
        <v>13793</v>
      </c>
      <c r="DQ77" t="s">
        <v>13772</v>
      </c>
      <c r="DR77" t="s">
        <v>13772</v>
      </c>
      <c r="DS77" t="s">
        <v>13772</v>
      </c>
      <c r="DT77" t="s">
        <v>13900</v>
      </c>
      <c r="DU77" t="s">
        <v>13772</v>
      </c>
      <c r="DV77" t="s">
        <v>13886</v>
      </c>
      <c r="DW77" t="s">
        <v>13812</v>
      </c>
      <c r="DX77" t="s">
        <v>19906</v>
      </c>
      <c r="DY77" t="s">
        <v>19907</v>
      </c>
      <c r="DZ77" t="s">
        <v>19908</v>
      </c>
      <c r="EA77" t="s">
        <v>13772</v>
      </c>
      <c r="EB77" t="s">
        <v>17696</v>
      </c>
    </row>
    <row r="78" spans="1:132">
      <c r="A78">
        <v>108</v>
      </c>
      <c r="B78">
        <v>1</v>
      </c>
      <c r="C78" t="s">
        <v>283</v>
      </c>
      <c r="D78" t="s">
        <v>284</v>
      </c>
      <c r="E78" t="s">
        <v>73</v>
      </c>
      <c r="F78" t="s">
        <v>73</v>
      </c>
      <c r="G78" t="s">
        <v>73</v>
      </c>
      <c r="H78">
        <v>57</v>
      </c>
      <c r="I78">
        <v>588</v>
      </c>
      <c r="J78">
        <v>65862</v>
      </c>
      <c r="K78" t="s">
        <v>285</v>
      </c>
      <c r="L78">
        <f t="shared" si="6"/>
        <v>554</v>
      </c>
      <c r="N78">
        <v>554</v>
      </c>
      <c r="O78">
        <v>554</v>
      </c>
      <c r="P78">
        <v>1</v>
      </c>
      <c r="Q78">
        <v>38</v>
      </c>
      <c r="R78">
        <v>21</v>
      </c>
      <c r="S78">
        <v>5</v>
      </c>
      <c r="T78">
        <v>2</v>
      </c>
      <c r="U78">
        <v>3</v>
      </c>
      <c r="V78">
        <v>7</v>
      </c>
      <c r="W78">
        <v>10</v>
      </c>
      <c r="X78">
        <v>27</v>
      </c>
      <c r="Y78">
        <v>47</v>
      </c>
      <c r="Z78">
        <v>40</v>
      </c>
      <c r="AA78">
        <v>57</v>
      </c>
      <c r="AB78">
        <v>45</v>
      </c>
      <c r="AC78">
        <v>67</v>
      </c>
      <c r="AD78">
        <v>22</v>
      </c>
      <c r="AE78">
        <v>31</v>
      </c>
      <c r="AF78">
        <v>47</v>
      </c>
      <c r="AG78">
        <v>32</v>
      </c>
      <c r="AH78">
        <v>24</v>
      </c>
      <c r="AI78">
        <v>29</v>
      </c>
      <c r="AJ78">
        <v>38</v>
      </c>
      <c r="AK78">
        <v>21</v>
      </c>
      <c r="AL78">
        <v>5</v>
      </c>
      <c r="AM78">
        <v>2</v>
      </c>
      <c r="AN78">
        <v>3</v>
      </c>
      <c r="AO78">
        <v>7</v>
      </c>
      <c r="AP78">
        <v>10</v>
      </c>
      <c r="AQ78">
        <v>27</v>
      </c>
      <c r="AR78">
        <v>47</v>
      </c>
      <c r="AS78">
        <v>40</v>
      </c>
      <c r="AT78">
        <v>57</v>
      </c>
      <c r="AU78">
        <v>45</v>
      </c>
      <c r="AV78">
        <v>67</v>
      </c>
      <c r="AW78">
        <v>22</v>
      </c>
      <c r="AX78">
        <v>31</v>
      </c>
      <c r="AY78">
        <v>47</v>
      </c>
      <c r="AZ78">
        <v>32</v>
      </c>
      <c r="BA78">
        <v>24</v>
      </c>
      <c r="BB78">
        <v>29</v>
      </c>
      <c r="BC78" s="2">
        <v>38</v>
      </c>
      <c r="BD78" s="2">
        <v>21</v>
      </c>
      <c r="BE78" s="2">
        <v>5</v>
      </c>
      <c r="BF78" s="2">
        <v>2</v>
      </c>
      <c r="BG78" s="2">
        <v>3</v>
      </c>
      <c r="BH78" s="2">
        <v>7</v>
      </c>
      <c r="BI78" s="2">
        <v>10</v>
      </c>
      <c r="BJ78" s="2">
        <v>27</v>
      </c>
      <c r="BK78" s="2">
        <v>47</v>
      </c>
      <c r="BL78" s="2">
        <v>40</v>
      </c>
      <c r="BM78" s="2">
        <v>57</v>
      </c>
      <c r="BN78" s="2">
        <v>45</v>
      </c>
      <c r="BO78" s="2">
        <v>67</v>
      </c>
      <c r="BP78" s="2">
        <v>22</v>
      </c>
      <c r="BQ78" s="2">
        <v>31</v>
      </c>
      <c r="BR78" s="2">
        <v>47</v>
      </c>
      <c r="BS78" s="2">
        <v>32</v>
      </c>
      <c r="BT78" s="2">
        <v>24</v>
      </c>
      <c r="BU78" s="2">
        <v>29</v>
      </c>
      <c r="BV78" s="2">
        <f t="shared" si="9"/>
        <v>554</v>
      </c>
      <c r="BW78" s="16">
        <f t="shared" si="7"/>
        <v>29.157894736842106</v>
      </c>
      <c r="BX78" s="16">
        <f>COUNTIF($BC$6:BU78, "=0") / COUNTIF($BC$6:BU78, "&gt;-1")</f>
        <v>1.7303532804614274E-2</v>
      </c>
      <c r="BY78" s="18">
        <f>SUM($BC$6:BU78) / $BY$4</f>
        <v>0.5070967226185582</v>
      </c>
      <c r="BZ78" s="14">
        <f t="shared" si="8"/>
        <v>0</v>
      </c>
      <c r="CA78" t="s">
        <v>5831</v>
      </c>
      <c r="CB78" s="36">
        <v>46.042449041719699</v>
      </c>
      <c r="CC78" s="36">
        <v>20.224346534226399</v>
      </c>
      <c r="CD78" s="36">
        <v>8.00398830906129</v>
      </c>
      <c r="CE78" s="36">
        <v>3.0238435183064598</v>
      </c>
      <c r="CF78" s="36">
        <v>2.5805290798106801</v>
      </c>
      <c r="CG78" s="36">
        <v>6.50809072647644</v>
      </c>
      <c r="CH78" s="36">
        <v>10.5406228286464</v>
      </c>
      <c r="CI78" s="36">
        <v>26.275957145522302</v>
      </c>
      <c r="CJ78" s="37">
        <v>37.353639782513</v>
      </c>
      <c r="CK78" s="37">
        <v>35.947029872632299</v>
      </c>
      <c r="CL78" s="37">
        <v>36.002445672030397</v>
      </c>
      <c r="CM78" s="37">
        <v>56.718652122195998</v>
      </c>
      <c r="CN78" s="37">
        <v>28.4825695402685</v>
      </c>
      <c r="CO78" s="37">
        <v>37.091956808100903</v>
      </c>
      <c r="CP78" s="37">
        <v>48.273281531597497</v>
      </c>
      <c r="CQ78" s="37">
        <v>44.1564685477639</v>
      </c>
      <c r="CR78" s="45">
        <v>1.3820217766174101</v>
      </c>
      <c r="CS78" s="45">
        <v>2.6300852142736599</v>
      </c>
      <c r="CT78" s="46">
        <v>2.63019618850682E-3</v>
      </c>
      <c r="CU78" s="47">
        <v>5.3810435783212896E-3</v>
      </c>
      <c r="CV78" s="48">
        <v>15.3999783979712</v>
      </c>
      <c r="CW78" s="49">
        <v>40.503255484637798</v>
      </c>
      <c r="CX78" s="31" t="s">
        <v>5874</v>
      </c>
      <c r="CY78" s="31" t="s">
        <v>5876</v>
      </c>
      <c r="CZ78" t="s">
        <v>6064</v>
      </c>
      <c r="DA78" t="s">
        <v>5904</v>
      </c>
      <c r="DB78">
        <v>791.2</v>
      </c>
      <c r="DC78" t="s">
        <v>14367</v>
      </c>
      <c r="DD78" t="s">
        <v>14368</v>
      </c>
      <c r="DE78" t="s">
        <v>14369</v>
      </c>
      <c r="DF78" t="s">
        <v>14370</v>
      </c>
      <c r="DG78" t="s">
        <v>14371</v>
      </c>
      <c r="DH78" t="str">
        <f>"SERPINF2"</f>
        <v>SERPINF2</v>
      </c>
      <c r="DI78" t="s">
        <v>14372</v>
      </c>
      <c r="DJ78" t="s">
        <v>13777</v>
      </c>
      <c r="DK78">
        <v>9606</v>
      </c>
      <c r="DL78" s="34" t="str">
        <f>HYPERLINK("http://www.uniprot.org/uniprot/P08697", "P08697")</f>
        <v>P08697</v>
      </c>
      <c r="DM78" t="s">
        <v>14373</v>
      </c>
      <c r="DN78" t="s">
        <v>14374</v>
      </c>
      <c r="DO78" t="s">
        <v>14321</v>
      </c>
      <c r="DP78" t="s">
        <v>13780</v>
      </c>
      <c r="DQ78" t="s">
        <v>13772</v>
      </c>
      <c r="DR78" t="s">
        <v>13807</v>
      </c>
      <c r="DS78" t="s">
        <v>13808</v>
      </c>
      <c r="DT78" t="s">
        <v>13772</v>
      </c>
      <c r="DU78" t="s">
        <v>14375</v>
      </c>
      <c r="DV78" t="s">
        <v>14376</v>
      </c>
      <c r="DW78" t="s">
        <v>13772</v>
      </c>
      <c r="DX78" t="s">
        <v>14377</v>
      </c>
      <c r="DY78" t="s">
        <v>14378</v>
      </c>
      <c r="DZ78" t="s">
        <v>14379</v>
      </c>
      <c r="EA78" t="s">
        <v>13772</v>
      </c>
      <c r="EB78" t="s">
        <v>14380</v>
      </c>
    </row>
    <row r="79" spans="1:132">
      <c r="A79">
        <v>143</v>
      </c>
      <c r="B79">
        <v>1</v>
      </c>
      <c r="C79" t="s">
        <v>373</v>
      </c>
      <c r="D79" t="s">
        <v>73</v>
      </c>
      <c r="E79" t="s">
        <v>73</v>
      </c>
      <c r="F79" t="s">
        <v>73</v>
      </c>
      <c r="G79" t="s">
        <v>73</v>
      </c>
      <c r="H79">
        <v>41.5</v>
      </c>
      <c r="I79">
        <v>1170</v>
      </c>
      <c r="J79">
        <v>129261</v>
      </c>
      <c r="K79" t="s">
        <v>374</v>
      </c>
      <c r="L79">
        <f t="shared" si="6"/>
        <v>550</v>
      </c>
      <c r="N79">
        <v>550</v>
      </c>
      <c r="O79">
        <v>550</v>
      </c>
      <c r="P79">
        <v>1</v>
      </c>
      <c r="Q79">
        <v>15</v>
      </c>
      <c r="R79">
        <v>22</v>
      </c>
      <c r="S79">
        <v>11</v>
      </c>
      <c r="T79">
        <v>15</v>
      </c>
      <c r="U79">
        <v>17</v>
      </c>
      <c r="V79">
        <v>14</v>
      </c>
      <c r="W79">
        <v>19</v>
      </c>
      <c r="X79">
        <v>15</v>
      </c>
      <c r="Y79">
        <v>46</v>
      </c>
      <c r="Z79">
        <v>27</v>
      </c>
      <c r="AA79">
        <v>62</v>
      </c>
      <c r="AB79">
        <v>38</v>
      </c>
      <c r="AC79">
        <v>57</v>
      </c>
      <c r="AD79">
        <v>13</v>
      </c>
      <c r="AE79">
        <v>57</v>
      </c>
      <c r="AF79">
        <v>56</v>
      </c>
      <c r="AG79">
        <v>14</v>
      </c>
      <c r="AH79">
        <v>19</v>
      </c>
      <c r="AI79">
        <v>33</v>
      </c>
      <c r="AJ79">
        <v>15</v>
      </c>
      <c r="AK79">
        <v>22</v>
      </c>
      <c r="AL79">
        <v>11</v>
      </c>
      <c r="AM79">
        <v>15</v>
      </c>
      <c r="AN79">
        <v>17</v>
      </c>
      <c r="AO79">
        <v>14</v>
      </c>
      <c r="AP79">
        <v>19</v>
      </c>
      <c r="AQ79">
        <v>15</v>
      </c>
      <c r="AR79">
        <v>46</v>
      </c>
      <c r="AS79">
        <v>27</v>
      </c>
      <c r="AT79">
        <v>62</v>
      </c>
      <c r="AU79">
        <v>38</v>
      </c>
      <c r="AV79">
        <v>57</v>
      </c>
      <c r="AW79">
        <v>13</v>
      </c>
      <c r="AX79">
        <v>57</v>
      </c>
      <c r="AY79">
        <v>56</v>
      </c>
      <c r="AZ79">
        <v>14</v>
      </c>
      <c r="BA79">
        <v>19</v>
      </c>
      <c r="BB79">
        <v>33</v>
      </c>
      <c r="BC79" s="2">
        <v>15</v>
      </c>
      <c r="BD79" s="2">
        <v>22</v>
      </c>
      <c r="BE79" s="2">
        <v>11</v>
      </c>
      <c r="BF79" s="2">
        <v>15</v>
      </c>
      <c r="BG79" s="2">
        <v>17</v>
      </c>
      <c r="BH79" s="2">
        <v>14</v>
      </c>
      <c r="BI79" s="2">
        <v>19</v>
      </c>
      <c r="BJ79" s="2">
        <v>15</v>
      </c>
      <c r="BK79" s="2">
        <v>46</v>
      </c>
      <c r="BL79" s="2">
        <v>27</v>
      </c>
      <c r="BM79" s="2">
        <v>62</v>
      </c>
      <c r="BN79" s="2">
        <v>38</v>
      </c>
      <c r="BO79" s="2">
        <v>57</v>
      </c>
      <c r="BP79" s="2">
        <v>13</v>
      </c>
      <c r="BQ79" s="2">
        <v>57</v>
      </c>
      <c r="BR79" s="2">
        <v>56</v>
      </c>
      <c r="BS79" s="2">
        <v>14</v>
      </c>
      <c r="BT79" s="2">
        <v>19</v>
      </c>
      <c r="BU79" s="2">
        <v>33</v>
      </c>
      <c r="BV79" s="2">
        <f t="shared" si="9"/>
        <v>550</v>
      </c>
      <c r="BW79" s="16">
        <f t="shared" si="7"/>
        <v>28.94736842105263</v>
      </c>
      <c r="BX79" s="16">
        <f>COUNTIF($BC$6:BU79, "=0") / COUNTIF($BC$6:BU79, "&gt;-1")</f>
        <v>1.7069701280227598E-2</v>
      </c>
      <c r="BY79" s="18">
        <f>SUM($BC$6:BU79) / $BY$4</f>
        <v>0.50945272289634347</v>
      </c>
      <c r="BZ79" s="14">
        <f t="shared" si="8"/>
        <v>0</v>
      </c>
      <c r="CA79" t="s">
        <v>5831</v>
      </c>
      <c r="CB79" s="36">
        <v>18.174650937520902</v>
      </c>
      <c r="CC79" s="36">
        <v>21.1874106549038</v>
      </c>
      <c r="CD79" s="36">
        <v>17.608774279934799</v>
      </c>
      <c r="CE79" s="36">
        <v>22.6788263872984</v>
      </c>
      <c r="CF79" s="36">
        <v>14.6229981189272</v>
      </c>
      <c r="CG79" s="36">
        <v>13.0161814529529</v>
      </c>
      <c r="CH79" s="36">
        <v>20.027183374428201</v>
      </c>
      <c r="CI79" s="36">
        <v>14.597753969734599</v>
      </c>
      <c r="CJ79" s="37">
        <v>36.558881489268003</v>
      </c>
      <c r="CK79" s="37">
        <v>39.100278107073699</v>
      </c>
      <c r="CL79" s="37">
        <v>30.402065234159</v>
      </c>
      <c r="CM79" s="37">
        <v>48.253181656196602</v>
      </c>
      <c r="CN79" s="37">
        <v>52.371176251461499</v>
      </c>
      <c r="CO79" s="37">
        <v>44.194671941567002</v>
      </c>
      <c r="CP79" s="37">
        <v>21.119560670073898</v>
      </c>
      <c r="CQ79" s="37">
        <v>50.247015933662396</v>
      </c>
      <c r="CR79" s="45">
        <v>1.19257106435841</v>
      </c>
      <c r="CS79" s="45">
        <v>2.27072263986779</v>
      </c>
      <c r="CT79" s="46">
        <v>1.5188672851486E-5</v>
      </c>
      <c r="CU79" s="47">
        <v>5.30332033223086E-5</v>
      </c>
      <c r="CV79" s="48">
        <v>17.7392223969626</v>
      </c>
      <c r="CW79" s="49">
        <v>40.280853910432803</v>
      </c>
      <c r="CX79" s="31" t="s">
        <v>5874</v>
      </c>
      <c r="CY79" s="31" t="s">
        <v>5876</v>
      </c>
      <c r="CZ79" t="s">
        <v>6192</v>
      </c>
      <c r="DA79" t="s">
        <v>5904</v>
      </c>
      <c r="DB79">
        <v>2356.1999999999998</v>
      </c>
      <c r="DC79" t="s">
        <v>14805</v>
      </c>
      <c r="DD79" t="s">
        <v>14806</v>
      </c>
      <c r="DE79" t="s">
        <v>14807</v>
      </c>
      <c r="DF79" t="s">
        <v>14808</v>
      </c>
      <c r="DG79" t="s">
        <v>14809</v>
      </c>
      <c r="DH79" t="str">
        <f>"THBS1"</f>
        <v>THBS1</v>
      </c>
      <c r="DI79" t="s">
        <v>14810</v>
      </c>
      <c r="DJ79" t="s">
        <v>13777</v>
      </c>
      <c r="DK79">
        <v>9606</v>
      </c>
      <c r="DL79" s="34" t="str">
        <f>HYPERLINK("http://www.uniprot.org/uniprot/P07996", "P07996")</f>
        <v>P07996</v>
      </c>
      <c r="DM79" t="s">
        <v>14811</v>
      </c>
      <c r="DN79" t="s">
        <v>14812</v>
      </c>
      <c r="DO79" t="s">
        <v>14813</v>
      </c>
      <c r="DP79" t="s">
        <v>13780</v>
      </c>
      <c r="DQ79" t="s">
        <v>13772</v>
      </c>
      <c r="DR79" t="s">
        <v>13772</v>
      </c>
      <c r="DS79" t="s">
        <v>14768</v>
      </c>
      <c r="DT79" t="s">
        <v>14465</v>
      </c>
      <c r="DU79" t="s">
        <v>14073</v>
      </c>
      <c r="DV79" t="s">
        <v>13796</v>
      </c>
      <c r="DW79" t="s">
        <v>13812</v>
      </c>
      <c r="DX79" t="s">
        <v>14814</v>
      </c>
      <c r="DY79" t="s">
        <v>14815</v>
      </c>
      <c r="DZ79" t="s">
        <v>14816</v>
      </c>
      <c r="EA79" t="s">
        <v>13772</v>
      </c>
      <c r="EB79" t="s">
        <v>14817</v>
      </c>
    </row>
    <row r="80" spans="1:132" hidden="1">
      <c r="A80">
        <v>71</v>
      </c>
      <c r="B80">
        <v>1</v>
      </c>
      <c r="C80" t="s">
        <v>201</v>
      </c>
      <c r="D80" t="s">
        <v>73</v>
      </c>
      <c r="E80" t="s">
        <v>73</v>
      </c>
      <c r="F80" t="s">
        <v>73</v>
      </c>
      <c r="G80" t="s">
        <v>73</v>
      </c>
      <c r="H80">
        <v>91.4</v>
      </c>
      <c r="I80">
        <v>140</v>
      </c>
      <c r="J80">
        <v>15043</v>
      </c>
      <c r="K80" t="s">
        <v>202</v>
      </c>
      <c r="L80">
        <f t="shared" si="6"/>
        <v>544</v>
      </c>
      <c r="N80">
        <v>544</v>
      </c>
      <c r="O80">
        <v>544</v>
      </c>
      <c r="P80">
        <v>1</v>
      </c>
      <c r="Q80">
        <v>16</v>
      </c>
      <c r="R80">
        <v>12</v>
      </c>
      <c r="S80">
        <v>6</v>
      </c>
      <c r="T80">
        <v>0</v>
      </c>
      <c r="U80">
        <v>8</v>
      </c>
      <c r="V80">
        <v>11</v>
      </c>
      <c r="W80">
        <v>13</v>
      </c>
      <c r="X80">
        <v>12</v>
      </c>
      <c r="Y80">
        <v>45</v>
      </c>
      <c r="Z80">
        <v>15</v>
      </c>
      <c r="AA80">
        <v>115</v>
      </c>
      <c r="AB80">
        <v>45</v>
      </c>
      <c r="AC80">
        <v>44</v>
      </c>
      <c r="AD80">
        <v>15</v>
      </c>
      <c r="AE80">
        <v>49</v>
      </c>
      <c r="AF80">
        <v>51</v>
      </c>
      <c r="AG80">
        <v>28</v>
      </c>
      <c r="AH80">
        <v>16</v>
      </c>
      <c r="AI80">
        <v>43</v>
      </c>
      <c r="AJ80">
        <v>16</v>
      </c>
      <c r="AK80">
        <v>12</v>
      </c>
      <c r="AL80">
        <v>6</v>
      </c>
      <c r="AM80">
        <v>0</v>
      </c>
      <c r="AN80">
        <v>8</v>
      </c>
      <c r="AO80">
        <v>11</v>
      </c>
      <c r="AP80">
        <v>13</v>
      </c>
      <c r="AQ80">
        <v>12</v>
      </c>
      <c r="AR80">
        <v>45</v>
      </c>
      <c r="AS80">
        <v>15</v>
      </c>
      <c r="AT80">
        <v>115</v>
      </c>
      <c r="AU80">
        <v>45</v>
      </c>
      <c r="AV80">
        <v>44</v>
      </c>
      <c r="AW80">
        <v>15</v>
      </c>
      <c r="AX80">
        <v>49</v>
      </c>
      <c r="AY80">
        <v>51</v>
      </c>
      <c r="AZ80">
        <v>28</v>
      </c>
      <c r="BA80">
        <v>16</v>
      </c>
      <c r="BB80">
        <v>43</v>
      </c>
      <c r="BC80" s="2">
        <v>16</v>
      </c>
      <c r="BD80" s="2">
        <v>12</v>
      </c>
      <c r="BE80" s="2">
        <v>6</v>
      </c>
      <c r="BF80" s="2">
        <v>0</v>
      </c>
      <c r="BG80" s="2">
        <v>8</v>
      </c>
      <c r="BH80" s="2">
        <v>11</v>
      </c>
      <c r="BI80" s="2">
        <v>13</v>
      </c>
      <c r="BJ80" s="2">
        <v>12</v>
      </c>
      <c r="BK80" s="2">
        <v>45</v>
      </c>
      <c r="BL80" s="2">
        <v>15</v>
      </c>
      <c r="BM80" s="2">
        <v>115</v>
      </c>
      <c r="BN80" s="2">
        <v>45</v>
      </c>
      <c r="BO80" s="2">
        <v>44</v>
      </c>
      <c r="BP80" s="2">
        <v>15</v>
      </c>
      <c r="BQ80" s="2">
        <v>49</v>
      </c>
      <c r="BR80" s="2">
        <v>51</v>
      </c>
      <c r="BS80" s="2">
        <v>28</v>
      </c>
      <c r="BT80" s="2">
        <v>16</v>
      </c>
      <c r="BU80" s="2">
        <v>43</v>
      </c>
      <c r="BV80" s="2">
        <f t="shared" si="9"/>
        <v>544</v>
      </c>
      <c r="BW80" s="16">
        <f t="shared" si="7"/>
        <v>28.631578947368421</v>
      </c>
      <c r="BX80" s="16">
        <f>COUNTIF($BC$6:BU80, "=0") / COUNTIF($BC$6:BU80, "&gt;-1")</f>
        <v>1.7543859649122806E-2</v>
      </c>
      <c r="BY80" s="18">
        <f>SUM($BC$6:BU80) / $BY$4</f>
        <v>0.51178302135291653</v>
      </c>
      <c r="BZ80" s="14">
        <f t="shared" si="8"/>
        <v>1</v>
      </c>
      <c r="CA80" t="s">
        <v>5831</v>
      </c>
      <c r="CB80" s="36">
        <v>19.3862943333557</v>
      </c>
      <c r="CC80" s="36">
        <v>11.556769448129399</v>
      </c>
      <c r="CD80" s="36">
        <v>9.6047859708735501</v>
      </c>
      <c r="CE80" s="36">
        <v>0.37798043978830698</v>
      </c>
      <c r="CF80" s="36">
        <v>6.8814108794951396</v>
      </c>
      <c r="CG80" s="36">
        <v>10.226999713034401</v>
      </c>
      <c r="CH80" s="36">
        <v>13.7028096772403</v>
      </c>
      <c r="CI80" s="36">
        <v>11.678203175787701</v>
      </c>
      <c r="CJ80" s="37">
        <v>35.7641231960231</v>
      </c>
      <c r="CK80" s="37">
        <v>72.524709392152801</v>
      </c>
      <c r="CL80" s="37">
        <v>36.002445672030397</v>
      </c>
      <c r="CM80" s="37">
        <v>37.248070050397402</v>
      </c>
      <c r="CN80" s="37">
        <v>45.020835724940603</v>
      </c>
      <c r="CO80" s="37">
        <v>40.248719089641398</v>
      </c>
      <c r="CP80" s="37">
        <v>42.239121340147797</v>
      </c>
      <c r="CQ80" s="37">
        <v>65.473384398408498</v>
      </c>
      <c r="CR80" s="45">
        <v>2.13705593623326</v>
      </c>
      <c r="CS80" s="45">
        <v>4.4898431945120301</v>
      </c>
      <c r="CT80" s="46">
        <v>1.7159296737611599E-9</v>
      </c>
      <c r="CU80" s="47">
        <v>2.01395956446705E-8</v>
      </c>
      <c r="CV80" s="48">
        <v>10.426906704713099</v>
      </c>
      <c r="CW80" s="49">
        <v>46.815176107967801</v>
      </c>
      <c r="CX80" s="31" t="s">
        <v>5874</v>
      </c>
      <c r="CY80" s="31" t="s">
        <v>5876</v>
      </c>
      <c r="CZ80" t="s">
        <v>5952</v>
      </c>
      <c r="DA80" t="s">
        <v>5904</v>
      </c>
      <c r="DB80">
        <v>283.5</v>
      </c>
      <c r="DC80" t="s">
        <v>13982</v>
      </c>
      <c r="DD80" t="s">
        <v>13983</v>
      </c>
      <c r="DE80" t="s">
        <v>13984</v>
      </c>
      <c r="DF80" t="s">
        <v>13985</v>
      </c>
      <c r="DG80" t="s">
        <v>13986</v>
      </c>
      <c r="DH80" t="str">
        <f>"PFN1"</f>
        <v>PFN1</v>
      </c>
      <c r="DI80" t="s">
        <v>13772</v>
      </c>
      <c r="DJ80" t="s">
        <v>13777</v>
      </c>
      <c r="DK80">
        <v>9606</v>
      </c>
      <c r="DL80" s="34" t="str">
        <f>HYPERLINK("http://www.uniprot.org/uniprot/P07737", "P07737")</f>
        <v>P07737</v>
      </c>
      <c r="DM80" t="s">
        <v>13987</v>
      </c>
      <c r="DN80" t="s">
        <v>13772</v>
      </c>
      <c r="DO80" t="s">
        <v>13988</v>
      </c>
      <c r="DP80" t="s">
        <v>13772</v>
      </c>
      <c r="DQ80" t="s">
        <v>13772</v>
      </c>
      <c r="DR80" t="s">
        <v>13989</v>
      </c>
      <c r="DS80" t="s">
        <v>13772</v>
      </c>
      <c r="DT80" t="s">
        <v>13772</v>
      </c>
      <c r="DU80" t="s">
        <v>13990</v>
      </c>
      <c r="DV80" t="s">
        <v>13991</v>
      </c>
      <c r="DW80" t="s">
        <v>13812</v>
      </c>
      <c r="DX80" t="s">
        <v>13992</v>
      </c>
      <c r="DY80" t="s">
        <v>13993</v>
      </c>
      <c r="DZ80" t="s">
        <v>13994</v>
      </c>
      <c r="EA80" t="s">
        <v>13772</v>
      </c>
      <c r="EB80" t="s">
        <v>13995</v>
      </c>
    </row>
    <row r="81" spans="1:132">
      <c r="A81">
        <v>2446</v>
      </c>
      <c r="B81">
        <v>1</v>
      </c>
      <c r="C81" t="s">
        <v>5742</v>
      </c>
      <c r="D81" t="s">
        <v>73</v>
      </c>
      <c r="E81" t="s">
        <v>5743</v>
      </c>
      <c r="F81" t="s">
        <v>73</v>
      </c>
      <c r="G81" t="s">
        <v>73</v>
      </c>
      <c r="H81">
        <v>63.1</v>
      </c>
      <c r="I81">
        <v>333</v>
      </c>
      <c r="J81">
        <v>35794</v>
      </c>
      <c r="K81" t="s">
        <v>5744</v>
      </c>
      <c r="L81">
        <f t="shared" si="6"/>
        <v>544</v>
      </c>
      <c r="N81">
        <v>544</v>
      </c>
      <c r="O81">
        <v>544</v>
      </c>
      <c r="P81">
        <v>1</v>
      </c>
      <c r="Q81">
        <v>17</v>
      </c>
      <c r="R81">
        <v>26</v>
      </c>
      <c r="S81">
        <v>13</v>
      </c>
      <c r="T81">
        <v>13</v>
      </c>
      <c r="U81">
        <v>33</v>
      </c>
      <c r="V81">
        <v>33</v>
      </c>
      <c r="W81">
        <v>20</v>
      </c>
      <c r="X81">
        <v>31</v>
      </c>
      <c r="Y81">
        <v>95</v>
      </c>
      <c r="Z81">
        <v>15</v>
      </c>
      <c r="AA81">
        <v>54</v>
      </c>
      <c r="AB81">
        <v>44</v>
      </c>
      <c r="AC81">
        <v>40</v>
      </c>
      <c r="AD81">
        <v>13</v>
      </c>
      <c r="AE81">
        <v>37</v>
      </c>
      <c r="AF81">
        <v>32</v>
      </c>
      <c r="AG81">
        <v>10</v>
      </c>
      <c r="AH81">
        <v>7</v>
      </c>
      <c r="AI81">
        <v>11</v>
      </c>
      <c r="AJ81">
        <v>17</v>
      </c>
      <c r="AK81">
        <v>26</v>
      </c>
      <c r="AL81">
        <v>13</v>
      </c>
      <c r="AM81">
        <v>13</v>
      </c>
      <c r="AN81">
        <v>33</v>
      </c>
      <c r="AO81">
        <v>33</v>
      </c>
      <c r="AP81">
        <v>20</v>
      </c>
      <c r="AQ81">
        <v>31</v>
      </c>
      <c r="AR81">
        <v>95</v>
      </c>
      <c r="AS81">
        <v>15</v>
      </c>
      <c r="AT81">
        <v>54</v>
      </c>
      <c r="AU81">
        <v>44</v>
      </c>
      <c r="AV81">
        <v>40</v>
      </c>
      <c r="AW81">
        <v>13</v>
      </c>
      <c r="AX81">
        <v>37</v>
      </c>
      <c r="AY81">
        <v>32</v>
      </c>
      <c r="AZ81">
        <v>10</v>
      </c>
      <c r="BA81">
        <v>7</v>
      </c>
      <c r="BB81">
        <v>11</v>
      </c>
      <c r="BC81" s="2">
        <v>17</v>
      </c>
      <c r="BD81" s="2">
        <v>26</v>
      </c>
      <c r="BE81" s="2">
        <v>13</v>
      </c>
      <c r="BF81" s="2">
        <v>13</v>
      </c>
      <c r="BG81" s="2">
        <v>33</v>
      </c>
      <c r="BH81" s="2">
        <v>33</v>
      </c>
      <c r="BI81" s="2">
        <v>20</v>
      </c>
      <c r="BJ81" s="2">
        <v>31</v>
      </c>
      <c r="BK81" s="2">
        <v>95</v>
      </c>
      <c r="BL81" s="2">
        <v>15</v>
      </c>
      <c r="BM81" s="2">
        <v>54</v>
      </c>
      <c r="BN81" s="2">
        <v>44</v>
      </c>
      <c r="BO81" s="2">
        <v>40</v>
      </c>
      <c r="BP81" s="2">
        <v>13</v>
      </c>
      <c r="BQ81" s="2">
        <v>37</v>
      </c>
      <c r="BR81" s="2">
        <v>32</v>
      </c>
      <c r="BS81" s="2">
        <v>10</v>
      </c>
      <c r="BT81" s="2">
        <v>7</v>
      </c>
      <c r="BU81" s="2">
        <v>11</v>
      </c>
      <c r="BV81" s="2">
        <f t="shared" si="9"/>
        <v>544</v>
      </c>
      <c r="BW81" s="16">
        <f t="shared" si="7"/>
        <v>28.631578947368421</v>
      </c>
      <c r="BX81" s="16">
        <f>COUNTIF($BC$6:BU81, "=0") / COUNTIF($BC$6:BU81, "&gt;-1")</f>
        <v>1.7313019390581719E-2</v>
      </c>
      <c r="BY81" s="18">
        <f>SUM($BC$6:BU81) / $BY$4</f>
        <v>0.5141133198094896</v>
      </c>
      <c r="BZ81" s="14">
        <f t="shared" si="8"/>
        <v>0</v>
      </c>
      <c r="CA81" t="s">
        <v>5831</v>
      </c>
      <c r="CB81" s="36">
        <v>20.597937729190399</v>
      </c>
      <c r="CC81" s="36">
        <v>25.039667137613598</v>
      </c>
      <c r="CD81" s="36">
        <v>20.810369603559401</v>
      </c>
      <c r="CE81" s="36">
        <v>19.654982868992001</v>
      </c>
      <c r="CF81" s="36">
        <v>28.385819877917399</v>
      </c>
      <c r="CG81" s="36">
        <v>30.6809991391032</v>
      </c>
      <c r="CH81" s="36">
        <v>21.081245657292801</v>
      </c>
      <c r="CI81" s="36">
        <v>30.168691537451501</v>
      </c>
      <c r="CJ81" s="37">
        <v>75.502037858270896</v>
      </c>
      <c r="CK81" s="37">
        <v>34.055080931967403</v>
      </c>
      <c r="CL81" s="37">
        <v>35.202391323763102</v>
      </c>
      <c r="CM81" s="37">
        <v>33.861881863997603</v>
      </c>
      <c r="CN81" s="37">
        <v>33.995324935159204</v>
      </c>
      <c r="CO81" s="37">
        <v>25.254098252323999</v>
      </c>
      <c r="CP81" s="37">
        <v>15.0854004786242</v>
      </c>
      <c r="CQ81" s="37">
        <v>16.749005311220799</v>
      </c>
      <c r="CR81" s="45">
        <v>0.465404652124421</v>
      </c>
      <c r="CS81" s="45">
        <v>1.37310668099072</v>
      </c>
      <c r="CT81" s="46">
        <v>0.162074501729707</v>
      </c>
      <c r="CU81" s="47">
        <v>0.21772658967304101</v>
      </c>
      <c r="CV81" s="48">
        <v>24.55246419389</v>
      </c>
      <c r="CW81" s="49">
        <v>33.713152619415901</v>
      </c>
      <c r="CX81" s="31" t="s">
        <v>5874</v>
      </c>
      <c r="CY81" s="31" t="s">
        <v>5832</v>
      </c>
      <c r="CZ81" t="s">
        <v>9579</v>
      </c>
      <c r="DA81" t="s">
        <v>5904</v>
      </c>
      <c r="DB81">
        <v>659.1</v>
      </c>
      <c r="DC81" t="s">
        <v>24938</v>
      </c>
      <c r="DD81" t="s">
        <v>24939</v>
      </c>
      <c r="DE81" t="s">
        <v>24940</v>
      </c>
      <c r="DF81" t="s">
        <v>24941</v>
      </c>
      <c r="DG81" t="s">
        <v>24942</v>
      </c>
      <c r="DH81" t="str">
        <f>"GAPDH"</f>
        <v>GAPDH</v>
      </c>
      <c r="DI81" t="s">
        <v>24943</v>
      </c>
      <c r="DJ81" t="s">
        <v>13777</v>
      </c>
      <c r="DK81">
        <v>9606</v>
      </c>
      <c r="DL81" s="34" t="str">
        <f>HYPERLINK("http://www.uniprot.org/uniprot/P04406", "P04406")</f>
        <v>P04406</v>
      </c>
      <c r="DM81" t="s">
        <v>24944</v>
      </c>
      <c r="DN81" t="s">
        <v>24945</v>
      </c>
      <c r="DO81" t="s">
        <v>22446</v>
      </c>
      <c r="DP81" t="s">
        <v>13780</v>
      </c>
      <c r="DQ81" t="s">
        <v>13772</v>
      </c>
      <c r="DR81" t="s">
        <v>13772</v>
      </c>
      <c r="DS81" t="s">
        <v>13772</v>
      </c>
      <c r="DT81" t="s">
        <v>14492</v>
      </c>
      <c r="DU81" t="s">
        <v>24946</v>
      </c>
      <c r="DV81" t="s">
        <v>24947</v>
      </c>
      <c r="DW81" t="s">
        <v>13812</v>
      </c>
      <c r="DX81" t="s">
        <v>24948</v>
      </c>
      <c r="DY81" t="s">
        <v>24949</v>
      </c>
      <c r="DZ81" t="s">
        <v>24950</v>
      </c>
      <c r="EA81" t="s">
        <v>24951</v>
      </c>
      <c r="EB81" t="s">
        <v>16800</v>
      </c>
    </row>
    <row r="82" spans="1:132" hidden="1">
      <c r="A82">
        <v>1188</v>
      </c>
      <c r="B82">
        <v>1</v>
      </c>
      <c r="C82" t="s">
        <v>2852</v>
      </c>
      <c r="D82" t="s">
        <v>73</v>
      </c>
      <c r="E82" t="s">
        <v>73</v>
      </c>
      <c r="F82" t="s">
        <v>2853</v>
      </c>
      <c r="G82" t="s">
        <v>73</v>
      </c>
      <c r="H82">
        <v>26.5</v>
      </c>
      <c r="I82">
        <v>3620</v>
      </c>
      <c r="J82">
        <v>397107</v>
      </c>
      <c r="K82" t="s">
        <v>2854</v>
      </c>
      <c r="L82">
        <f t="shared" si="6"/>
        <v>541</v>
      </c>
      <c r="M82" s="3">
        <v>15</v>
      </c>
      <c r="N82">
        <v>541</v>
      </c>
      <c r="O82">
        <v>540</v>
      </c>
      <c r="P82">
        <v>0.998</v>
      </c>
      <c r="Q82">
        <v>45</v>
      </c>
      <c r="R82">
        <v>83</v>
      </c>
      <c r="S82">
        <v>33</v>
      </c>
      <c r="T82">
        <v>71</v>
      </c>
      <c r="U82">
        <v>104</v>
      </c>
      <c r="V82">
        <v>67</v>
      </c>
      <c r="W82">
        <v>43</v>
      </c>
      <c r="X82">
        <v>42</v>
      </c>
      <c r="Y82">
        <v>0</v>
      </c>
      <c r="Z82">
        <v>0</v>
      </c>
      <c r="AA82">
        <v>14</v>
      </c>
      <c r="AB82">
        <v>3</v>
      </c>
      <c r="AC82">
        <v>2</v>
      </c>
      <c r="AD82">
        <v>0</v>
      </c>
      <c r="AE82">
        <v>5</v>
      </c>
      <c r="AF82">
        <v>18</v>
      </c>
      <c r="AG82">
        <v>4</v>
      </c>
      <c r="AH82">
        <v>0</v>
      </c>
      <c r="AI82">
        <v>7</v>
      </c>
      <c r="AJ82">
        <v>45</v>
      </c>
      <c r="AK82">
        <v>83</v>
      </c>
      <c r="AL82">
        <v>33</v>
      </c>
      <c r="AM82">
        <v>71</v>
      </c>
      <c r="AN82">
        <v>104</v>
      </c>
      <c r="AO82">
        <v>66</v>
      </c>
      <c r="AP82">
        <v>43</v>
      </c>
      <c r="AQ82">
        <v>42</v>
      </c>
      <c r="AR82">
        <v>0</v>
      </c>
      <c r="AS82">
        <v>0</v>
      </c>
      <c r="AT82">
        <v>14</v>
      </c>
      <c r="AU82">
        <v>3</v>
      </c>
      <c r="AV82">
        <v>2</v>
      </c>
      <c r="AW82">
        <v>0</v>
      </c>
      <c r="AX82">
        <v>5</v>
      </c>
      <c r="AY82">
        <v>18</v>
      </c>
      <c r="AZ82">
        <v>4</v>
      </c>
      <c r="BA82">
        <v>0</v>
      </c>
      <c r="BB82">
        <v>7</v>
      </c>
      <c r="BC82" s="2">
        <v>45</v>
      </c>
      <c r="BD82" s="2">
        <v>83</v>
      </c>
      <c r="BE82" s="2">
        <v>33</v>
      </c>
      <c r="BF82" s="2">
        <v>71</v>
      </c>
      <c r="BG82" s="2">
        <v>104</v>
      </c>
      <c r="BH82" s="2">
        <v>67</v>
      </c>
      <c r="BI82" s="2">
        <v>43</v>
      </c>
      <c r="BJ82" s="2">
        <v>42</v>
      </c>
      <c r="BK82" s="2">
        <v>0</v>
      </c>
      <c r="BL82" s="2">
        <v>0</v>
      </c>
      <c r="BM82" s="2">
        <v>14</v>
      </c>
      <c r="BN82" s="2">
        <v>3</v>
      </c>
      <c r="BO82" s="2">
        <v>2</v>
      </c>
      <c r="BP82" s="2">
        <v>0</v>
      </c>
      <c r="BQ82" s="2">
        <v>5</v>
      </c>
      <c r="BR82" s="2">
        <v>18</v>
      </c>
      <c r="BS82" s="2">
        <v>4</v>
      </c>
      <c r="BT82" s="2">
        <v>0</v>
      </c>
      <c r="BU82" s="2">
        <v>7</v>
      </c>
      <c r="BV82" s="2">
        <f t="shared" si="9"/>
        <v>541</v>
      </c>
      <c r="BW82" s="16">
        <f t="shared" si="7"/>
        <v>28.473684210526315</v>
      </c>
      <c r="BX82" s="16">
        <f>COUNTIF($BC$6:BU82, "=0") / COUNTIF($BC$6:BU82, "&gt;-1")</f>
        <v>1.9822282980177717E-2</v>
      </c>
      <c r="BY82" s="18">
        <f>SUM($BC$6:BU82) / $BY$4</f>
        <v>0.51643076735545657</v>
      </c>
      <c r="BZ82" s="14">
        <f t="shared" si="8"/>
        <v>4</v>
      </c>
      <c r="CA82" t="s">
        <v>5831</v>
      </c>
      <c r="CB82" s="36">
        <v>54.523952812562797</v>
      </c>
      <c r="CC82" s="36">
        <v>79.934322016228094</v>
      </c>
      <c r="CD82" s="36">
        <v>52.826322839804497</v>
      </c>
      <c r="CE82" s="36">
        <v>107.346444899879</v>
      </c>
      <c r="CF82" s="36">
        <v>89.4583414334368</v>
      </c>
      <c r="CG82" s="36">
        <v>62.291725524845901</v>
      </c>
      <c r="CH82" s="36">
        <v>45.324678163179499</v>
      </c>
      <c r="CI82" s="36">
        <v>40.873711115256903</v>
      </c>
      <c r="CJ82" s="37">
        <v>0.19868957331123899</v>
      </c>
      <c r="CK82" s="37">
        <v>8.8290950564359996</v>
      </c>
      <c r="CL82" s="37">
        <v>2.4001630448020301</v>
      </c>
      <c r="CM82" s="37">
        <v>1.6930940931998799</v>
      </c>
      <c r="CN82" s="37">
        <v>4.5939628290755703</v>
      </c>
      <c r="CO82" s="37">
        <v>14.2054302669323</v>
      </c>
      <c r="CP82" s="37">
        <v>6.0341601914496898</v>
      </c>
      <c r="CQ82" s="37">
        <v>10.658457925322301</v>
      </c>
      <c r="CR82" s="45">
        <v>-3.4470806853681699</v>
      </c>
      <c r="CS82" s="45">
        <v>-10.955483479272701</v>
      </c>
      <c r="CT82" s="46">
        <v>1.1444508485822199E-14</v>
      </c>
      <c r="CU82" s="47">
        <v>5.6423012481090399E-13</v>
      </c>
      <c r="CV82" s="48">
        <v>66.572437350649196</v>
      </c>
      <c r="CW82" s="49">
        <v>6.0766316225661203</v>
      </c>
      <c r="CX82" s="31" t="s">
        <v>5875</v>
      </c>
      <c r="CY82" s="31" t="s">
        <v>5876</v>
      </c>
      <c r="CZ82" t="s">
        <v>9683</v>
      </c>
      <c r="DA82" t="s">
        <v>5904</v>
      </c>
      <c r="DB82">
        <v>6266.4</v>
      </c>
      <c r="DC82" t="s">
        <v>25232</v>
      </c>
      <c r="DD82" t="s">
        <v>25233</v>
      </c>
      <c r="DE82" t="s">
        <v>25234</v>
      </c>
      <c r="DF82" t="s">
        <v>25235</v>
      </c>
      <c r="DG82" t="s">
        <v>25236</v>
      </c>
      <c r="DH82" t="str">
        <f>"CUBN"</f>
        <v>CUBN</v>
      </c>
      <c r="DI82" t="s">
        <v>25237</v>
      </c>
      <c r="DJ82" t="s">
        <v>13777</v>
      </c>
      <c r="DK82">
        <v>9606</v>
      </c>
      <c r="DL82" s="34" t="str">
        <f>HYPERLINK("http://www.uniprot.org/uniprot/O60494", "O60494")</f>
        <v>O60494</v>
      </c>
      <c r="DM82" t="s">
        <v>25238</v>
      </c>
      <c r="DN82" t="s">
        <v>25239</v>
      </c>
      <c r="DO82" t="s">
        <v>25240</v>
      </c>
      <c r="DP82" t="s">
        <v>13793</v>
      </c>
      <c r="DQ82" t="s">
        <v>13772</v>
      </c>
      <c r="DR82" t="s">
        <v>13807</v>
      </c>
      <c r="DS82" t="s">
        <v>14768</v>
      </c>
      <c r="DT82" t="s">
        <v>25241</v>
      </c>
      <c r="DU82" t="s">
        <v>13795</v>
      </c>
      <c r="DV82" t="s">
        <v>15920</v>
      </c>
      <c r="DW82" t="s">
        <v>13812</v>
      </c>
      <c r="DX82" t="s">
        <v>25242</v>
      </c>
      <c r="DY82" t="s">
        <v>25243</v>
      </c>
      <c r="DZ82" t="s">
        <v>25244</v>
      </c>
      <c r="EA82" t="s">
        <v>13772</v>
      </c>
      <c r="EB82" t="s">
        <v>25245</v>
      </c>
    </row>
    <row r="83" spans="1:132">
      <c r="A83">
        <v>1382</v>
      </c>
      <c r="B83">
        <v>1</v>
      </c>
      <c r="C83" t="s">
        <v>3302</v>
      </c>
      <c r="D83" t="s">
        <v>73</v>
      </c>
      <c r="E83" t="s">
        <v>73</v>
      </c>
      <c r="F83" t="s">
        <v>1219</v>
      </c>
      <c r="G83" t="s">
        <v>73</v>
      </c>
      <c r="H83">
        <v>67.900000000000006</v>
      </c>
      <c r="I83">
        <v>586</v>
      </c>
      <c r="J83">
        <v>69393</v>
      </c>
      <c r="K83" t="s">
        <v>3303</v>
      </c>
      <c r="L83">
        <f t="shared" si="6"/>
        <v>597</v>
      </c>
      <c r="M83" s="3">
        <v>12</v>
      </c>
      <c r="N83">
        <v>597</v>
      </c>
      <c r="O83">
        <v>377</v>
      </c>
      <c r="P83">
        <v>0.63100000000000001</v>
      </c>
      <c r="Q83">
        <v>28</v>
      </c>
      <c r="R83">
        <v>60</v>
      </c>
      <c r="S83">
        <v>6</v>
      </c>
      <c r="T83">
        <v>51</v>
      </c>
      <c r="U83">
        <v>97</v>
      </c>
      <c r="V83">
        <v>79</v>
      </c>
      <c r="W83">
        <v>37</v>
      </c>
      <c r="X83">
        <v>42</v>
      </c>
      <c r="Y83">
        <v>35</v>
      </c>
      <c r="Z83">
        <v>5</v>
      </c>
      <c r="AA83">
        <v>44</v>
      </c>
      <c r="AB83">
        <v>27</v>
      </c>
      <c r="AC83">
        <v>19</v>
      </c>
      <c r="AD83">
        <v>12</v>
      </c>
      <c r="AE83">
        <v>15</v>
      </c>
      <c r="AF83">
        <v>19</v>
      </c>
      <c r="AG83">
        <v>8</v>
      </c>
      <c r="AH83">
        <v>3</v>
      </c>
      <c r="AI83">
        <v>10</v>
      </c>
      <c r="AJ83">
        <v>20</v>
      </c>
      <c r="AK83">
        <v>36</v>
      </c>
      <c r="AL83">
        <v>1</v>
      </c>
      <c r="AM83">
        <v>35</v>
      </c>
      <c r="AN83">
        <v>69</v>
      </c>
      <c r="AO83">
        <v>51</v>
      </c>
      <c r="AP83">
        <v>27</v>
      </c>
      <c r="AQ83">
        <v>28</v>
      </c>
      <c r="AR83">
        <v>16</v>
      </c>
      <c r="AS83">
        <v>2</v>
      </c>
      <c r="AT83">
        <v>29</v>
      </c>
      <c r="AU83">
        <v>15</v>
      </c>
      <c r="AV83">
        <v>8</v>
      </c>
      <c r="AW83">
        <v>3</v>
      </c>
      <c r="AX83">
        <v>11</v>
      </c>
      <c r="AY83">
        <v>15</v>
      </c>
      <c r="AZ83">
        <v>5</v>
      </c>
      <c r="BA83">
        <v>1</v>
      </c>
      <c r="BB83">
        <v>5</v>
      </c>
      <c r="BC83" s="2">
        <v>27.216999999999999</v>
      </c>
      <c r="BD83" s="2">
        <v>52.134</v>
      </c>
      <c r="BE83" s="2">
        <v>6</v>
      </c>
      <c r="BF83" s="2">
        <v>49.213000000000001</v>
      </c>
      <c r="BG83" s="2">
        <v>89.539000000000001</v>
      </c>
      <c r="BH83" s="2">
        <v>70.698999999999998</v>
      </c>
      <c r="BI83" s="2">
        <v>35.408000000000001</v>
      </c>
      <c r="BJ83" s="2">
        <v>39.988</v>
      </c>
      <c r="BK83" s="2">
        <v>27.827999999999999</v>
      </c>
      <c r="BL83" s="2">
        <v>4</v>
      </c>
      <c r="BM83" s="2">
        <v>40.667000000000002</v>
      </c>
      <c r="BN83" s="2">
        <v>23.87</v>
      </c>
      <c r="BO83" s="2">
        <v>12.178000000000001</v>
      </c>
      <c r="BP83" s="2">
        <v>8.5</v>
      </c>
      <c r="BQ83" s="2">
        <v>13.65</v>
      </c>
      <c r="BR83" s="2">
        <v>17.308</v>
      </c>
      <c r="BS83" s="2">
        <v>7.1429999999999998</v>
      </c>
      <c r="BT83" s="2">
        <v>2.3330000000000002</v>
      </c>
      <c r="BU83" s="2">
        <v>8.5709999999999997</v>
      </c>
      <c r="BV83" s="2">
        <f t="shared" si="9"/>
        <v>536.24599999999998</v>
      </c>
      <c r="BW83" s="16">
        <f t="shared" si="7"/>
        <v>28.223473684210525</v>
      </c>
      <c r="BX83" s="16">
        <f>COUNTIF($BC$6:BU83, "=0") / COUNTIF($BC$6:BU83, "&gt;-1")</f>
        <v>1.9568151147098516E-2</v>
      </c>
      <c r="BY83" s="18">
        <f>SUM($BC$6:BU83) / $BY$4</f>
        <v>0.51872785049174963</v>
      </c>
      <c r="BZ83" s="14">
        <f t="shared" si="8"/>
        <v>0</v>
      </c>
      <c r="CA83" t="s">
        <v>5831</v>
      </c>
      <c r="CB83" s="36">
        <v>32.956700366704602</v>
      </c>
      <c r="CC83" s="36">
        <v>50.175640687295001</v>
      </c>
      <c r="CD83" s="36">
        <v>9.6047859708735501</v>
      </c>
      <c r="CE83" s="36">
        <v>74.386550550338896</v>
      </c>
      <c r="CF83" s="36">
        <v>76.985784214351796</v>
      </c>
      <c r="CG83" s="36">
        <v>65.731716337411996</v>
      </c>
      <c r="CH83" s="36">
        <v>37.313804813408296</v>
      </c>
      <c r="CI83" s="36">
        <v>38.927343919292198</v>
      </c>
      <c r="CJ83" s="37">
        <v>22.094280552209799</v>
      </c>
      <c r="CK83" s="37">
        <v>25.667440628353202</v>
      </c>
      <c r="CL83" s="37">
        <v>19.121298923589499</v>
      </c>
      <c r="CM83" s="37">
        <v>10.327873968519301</v>
      </c>
      <c r="CN83" s="37">
        <v>12.5874581516671</v>
      </c>
      <c r="CO83" s="37">
        <v>13.652996867662701</v>
      </c>
      <c r="CP83" s="37">
        <v>10.7106343398232</v>
      </c>
      <c r="CQ83" s="37">
        <v>13.0946768796817</v>
      </c>
      <c r="CR83" s="45">
        <v>-1.58038865434981</v>
      </c>
      <c r="CS83" s="45">
        <v>-3.0338869958916201</v>
      </c>
      <c r="CT83" s="46">
        <v>2.2296615371015298E-5</v>
      </c>
      <c r="CU83" s="47">
        <v>7.3479978735020796E-5</v>
      </c>
      <c r="CV83" s="48">
        <v>48.260290857459601</v>
      </c>
      <c r="CW83" s="49">
        <v>15.907082538938299</v>
      </c>
      <c r="CX83" s="31" t="s">
        <v>5875</v>
      </c>
      <c r="CY83" s="31" t="s">
        <v>5876</v>
      </c>
      <c r="CZ83" t="s">
        <v>10351</v>
      </c>
      <c r="DA83" t="s">
        <v>5904</v>
      </c>
      <c r="DB83">
        <v>1162.5</v>
      </c>
      <c r="DC83" t="s">
        <v>27125</v>
      </c>
      <c r="DD83" t="s">
        <v>27126</v>
      </c>
      <c r="DE83" t="s">
        <v>27127</v>
      </c>
      <c r="DF83" t="s">
        <v>27128</v>
      </c>
      <c r="DG83" t="s">
        <v>27129</v>
      </c>
      <c r="DH83" t="str">
        <f>"EZR"</f>
        <v>EZR</v>
      </c>
      <c r="DI83" t="s">
        <v>27130</v>
      </c>
      <c r="DJ83" t="s">
        <v>13777</v>
      </c>
      <c r="DK83">
        <v>9606</v>
      </c>
      <c r="DL83" s="34" t="str">
        <f>HYPERLINK("http://www.uniprot.org/uniprot/P15311", "P15311")</f>
        <v>P15311</v>
      </c>
      <c r="DM83" t="s">
        <v>27131</v>
      </c>
      <c r="DN83" t="s">
        <v>27132</v>
      </c>
      <c r="DO83" t="s">
        <v>14215</v>
      </c>
      <c r="DP83" t="s">
        <v>13793</v>
      </c>
      <c r="DQ83" t="s">
        <v>13772</v>
      </c>
      <c r="DR83" t="s">
        <v>13772</v>
      </c>
      <c r="DS83" t="s">
        <v>13772</v>
      </c>
      <c r="DT83" t="s">
        <v>13772</v>
      </c>
      <c r="DU83" t="s">
        <v>13772</v>
      </c>
      <c r="DV83" t="s">
        <v>26450</v>
      </c>
      <c r="DW83" t="s">
        <v>13812</v>
      </c>
      <c r="DX83" t="s">
        <v>27133</v>
      </c>
      <c r="DY83" t="s">
        <v>27134</v>
      </c>
      <c r="DZ83" t="s">
        <v>27135</v>
      </c>
      <c r="EA83" t="s">
        <v>13772</v>
      </c>
      <c r="EB83" t="s">
        <v>27136</v>
      </c>
    </row>
    <row r="84" spans="1:132">
      <c r="A84">
        <v>1881</v>
      </c>
      <c r="B84">
        <v>1</v>
      </c>
      <c r="C84" t="s">
        <v>4440</v>
      </c>
      <c r="D84" t="s">
        <v>4441</v>
      </c>
      <c r="E84" t="s">
        <v>73</v>
      </c>
      <c r="F84" t="s">
        <v>73</v>
      </c>
      <c r="G84" t="s">
        <v>73</v>
      </c>
      <c r="H84">
        <v>48.6</v>
      </c>
      <c r="I84">
        <v>625</v>
      </c>
      <c r="J84">
        <v>71027</v>
      </c>
      <c r="K84" t="s">
        <v>4442</v>
      </c>
      <c r="L84">
        <f t="shared" si="6"/>
        <v>536</v>
      </c>
      <c r="N84">
        <v>536</v>
      </c>
      <c r="O84">
        <v>536</v>
      </c>
      <c r="P84">
        <v>1</v>
      </c>
      <c r="Q84">
        <v>32</v>
      </c>
      <c r="R84">
        <v>46</v>
      </c>
      <c r="S84">
        <v>30</v>
      </c>
      <c r="T84">
        <v>43</v>
      </c>
      <c r="U84">
        <v>35</v>
      </c>
      <c r="V84">
        <v>40</v>
      </c>
      <c r="W84">
        <v>29</v>
      </c>
      <c r="X84">
        <v>13</v>
      </c>
      <c r="Y84">
        <v>32</v>
      </c>
      <c r="Z84">
        <v>31</v>
      </c>
      <c r="AA84">
        <v>12</v>
      </c>
      <c r="AB84">
        <v>23</v>
      </c>
      <c r="AC84">
        <v>20</v>
      </c>
      <c r="AD84">
        <v>25</v>
      </c>
      <c r="AE84">
        <v>18</v>
      </c>
      <c r="AF84">
        <v>35</v>
      </c>
      <c r="AG84">
        <v>19</v>
      </c>
      <c r="AH84">
        <v>18</v>
      </c>
      <c r="AI84">
        <v>35</v>
      </c>
      <c r="AJ84">
        <v>32</v>
      </c>
      <c r="AK84">
        <v>46</v>
      </c>
      <c r="AL84">
        <v>30</v>
      </c>
      <c r="AM84">
        <v>43</v>
      </c>
      <c r="AN84">
        <v>35</v>
      </c>
      <c r="AO84">
        <v>40</v>
      </c>
      <c r="AP84">
        <v>29</v>
      </c>
      <c r="AQ84">
        <v>13</v>
      </c>
      <c r="AR84">
        <v>32</v>
      </c>
      <c r="AS84">
        <v>31</v>
      </c>
      <c r="AT84">
        <v>12</v>
      </c>
      <c r="AU84">
        <v>23</v>
      </c>
      <c r="AV84">
        <v>20</v>
      </c>
      <c r="AW84">
        <v>25</v>
      </c>
      <c r="AX84">
        <v>18</v>
      </c>
      <c r="AY84">
        <v>35</v>
      </c>
      <c r="AZ84">
        <v>19</v>
      </c>
      <c r="BA84">
        <v>18</v>
      </c>
      <c r="BB84">
        <v>35</v>
      </c>
      <c r="BC84" s="2">
        <v>32</v>
      </c>
      <c r="BD84" s="2">
        <v>46</v>
      </c>
      <c r="BE84" s="2">
        <v>30</v>
      </c>
      <c r="BF84" s="2">
        <v>43</v>
      </c>
      <c r="BG84" s="2">
        <v>35</v>
      </c>
      <c r="BH84" s="2">
        <v>40</v>
      </c>
      <c r="BI84" s="2">
        <v>29</v>
      </c>
      <c r="BJ84" s="2">
        <v>13</v>
      </c>
      <c r="BK84" s="2">
        <v>32</v>
      </c>
      <c r="BL84" s="2">
        <v>31</v>
      </c>
      <c r="BM84" s="2">
        <v>12</v>
      </c>
      <c r="BN84" s="2">
        <v>23</v>
      </c>
      <c r="BO84" s="2">
        <v>20</v>
      </c>
      <c r="BP84" s="2">
        <v>25</v>
      </c>
      <c r="BQ84" s="2">
        <v>18</v>
      </c>
      <c r="BR84" s="2">
        <v>35</v>
      </c>
      <c r="BS84" s="2">
        <v>19</v>
      </c>
      <c r="BT84" s="2">
        <v>18</v>
      </c>
      <c r="BU84" s="2">
        <v>35</v>
      </c>
      <c r="BV84" s="2">
        <f t="shared" si="9"/>
        <v>536</v>
      </c>
      <c r="BW84" s="16">
        <f t="shared" si="7"/>
        <v>28.210526315789473</v>
      </c>
      <c r="BX84" s="16">
        <f>COUNTIF($BC$6:BU84, "=0") / COUNTIF($BC$6:BU84, "&gt;-1")</f>
        <v>1.9320453031312457E-2</v>
      </c>
      <c r="BY84" s="18">
        <f>SUM($BC$6:BU84) / $BY$4</f>
        <v>0.52102387985337306</v>
      </c>
      <c r="BZ84" s="14">
        <f t="shared" si="8"/>
        <v>0</v>
      </c>
      <c r="CA84" t="s">
        <v>5831</v>
      </c>
      <c r="CB84" s="36">
        <v>38.7725886667113</v>
      </c>
      <c r="CC84" s="36">
        <v>44.300949551162603</v>
      </c>
      <c r="CD84" s="36">
        <v>48.023929854367701</v>
      </c>
      <c r="CE84" s="36">
        <v>65.012635643588894</v>
      </c>
      <c r="CF84" s="36">
        <v>30.1061725977912</v>
      </c>
      <c r="CG84" s="36">
        <v>37.189089865579597</v>
      </c>
      <c r="CH84" s="36">
        <v>30.5678062030746</v>
      </c>
      <c r="CI84" s="36">
        <v>12.65138677377</v>
      </c>
      <c r="CJ84" s="37">
        <v>25.432265383838601</v>
      </c>
      <c r="CK84" s="37">
        <v>7.5677957626594301</v>
      </c>
      <c r="CL84" s="37">
        <v>18.4012500101489</v>
      </c>
      <c r="CM84" s="37">
        <v>16.930940931998801</v>
      </c>
      <c r="CN84" s="37">
        <v>16.5382661846721</v>
      </c>
      <c r="CO84" s="37">
        <v>27.621669963479398</v>
      </c>
      <c r="CP84" s="37">
        <v>28.662260909385999</v>
      </c>
      <c r="CQ84" s="37">
        <v>53.292289626611598</v>
      </c>
      <c r="CR84" s="45">
        <v>-0.67291418655365498</v>
      </c>
      <c r="CS84" s="45">
        <v>-1.57690769766176</v>
      </c>
      <c r="CT84" s="46">
        <v>7.9825328894918501E-2</v>
      </c>
      <c r="CU84" s="47">
        <v>0.116600753342141</v>
      </c>
      <c r="CV84" s="48">
        <v>38.328069894505703</v>
      </c>
      <c r="CW84" s="49">
        <v>24.305842346599299</v>
      </c>
      <c r="CX84" s="31" t="s">
        <v>5875</v>
      </c>
      <c r="CY84" s="31" t="s">
        <v>5832</v>
      </c>
      <c r="CZ84" t="s">
        <v>11968</v>
      </c>
      <c r="DA84" t="s">
        <v>5904</v>
      </c>
      <c r="DB84">
        <v>772.3</v>
      </c>
      <c r="DC84" t="s">
        <v>31681</v>
      </c>
      <c r="DD84" t="s">
        <v>31682</v>
      </c>
      <c r="DE84" t="s">
        <v>31683</v>
      </c>
      <c r="DF84" t="s">
        <v>31684</v>
      </c>
      <c r="DG84" t="s">
        <v>31685</v>
      </c>
      <c r="DH84" t="str">
        <f>"C4BPA"</f>
        <v>C4BPA</v>
      </c>
      <c r="DI84" t="s">
        <v>31686</v>
      </c>
      <c r="DJ84" t="s">
        <v>13777</v>
      </c>
      <c r="DK84">
        <v>9606</v>
      </c>
      <c r="DL84" s="34" t="str">
        <f>HYPERLINK("http://www.uniprot.org/uniprot/P04003", "P04003")</f>
        <v>P04003</v>
      </c>
      <c r="DM84" t="s">
        <v>31687</v>
      </c>
      <c r="DN84" t="s">
        <v>20457</v>
      </c>
      <c r="DO84" t="s">
        <v>14321</v>
      </c>
      <c r="DP84" t="s">
        <v>13793</v>
      </c>
      <c r="DQ84" t="s">
        <v>13772</v>
      </c>
      <c r="DR84" t="s">
        <v>13772</v>
      </c>
      <c r="DS84" t="s">
        <v>28012</v>
      </c>
      <c r="DT84" t="s">
        <v>13772</v>
      </c>
      <c r="DU84" t="s">
        <v>13772</v>
      </c>
      <c r="DV84" t="s">
        <v>13796</v>
      </c>
      <c r="DW84" t="s">
        <v>13812</v>
      </c>
      <c r="DX84" t="s">
        <v>31688</v>
      </c>
      <c r="DY84" t="s">
        <v>31689</v>
      </c>
      <c r="DZ84" t="s">
        <v>14235</v>
      </c>
      <c r="EA84" t="s">
        <v>13772</v>
      </c>
      <c r="EB84" t="s">
        <v>22277</v>
      </c>
    </row>
    <row r="85" spans="1:132">
      <c r="A85">
        <v>2105</v>
      </c>
      <c r="B85">
        <v>1</v>
      </c>
      <c r="C85" t="s">
        <v>4942</v>
      </c>
      <c r="D85" t="s">
        <v>73</v>
      </c>
      <c r="E85" t="s">
        <v>73</v>
      </c>
      <c r="F85" t="s">
        <v>73</v>
      </c>
      <c r="G85" t="s">
        <v>73</v>
      </c>
      <c r="H85">
        <v>65</v>
      </c>
      <c r="I85">
        <v>329</v>
      </c>
      <c r="J85">
        <v>37946</v>
      </c>
      <c r="K85" t="s">
        <v>4943</v>
      </c>
      <c r="L85">
        <f t="shared" si="6"/>
        <v>526</v>
      </c>
      <c r="N85">
        <v>526</v>
      </c>
      <c r="O85">
        <v>526</v>
      </c>
      <c r="P85">
        <v>1</v>
      </c>
      <c r="Q85">
        <v>27</v>
      </c>
      <c r="R85">
        <v>17</v>
      </c>
      <c r="S85">
        <v>20</v>
      </c>
      <c r="T85">
        <v>28</v>
      </c>
      <c r="U85">
        <v>30</v>
      </c>
      <c r="V85">
        <v>24</v>
      </c>
      <c r="W85">
        <v>17</v>
      </c>
      <c r="X85">
        <v>18</v>
      </c>
      <c r="Y85">
        <v>60</v>
      </c>
      <c r="Z85">
        <v>35</v>
      </c>
      <c r="AA85">
        <v>46</v>
      </c>
      <c r="AB85">
        <v>19</v>
      </c>
      <c r="AC85">
        <v>22</v>
      </c>
      <c r="AD85">
        <v>35</v>
      </c>
      <c r="AE85">
        <v>38</v>
      </c>
      <c r="AF85">
        <v>31</v>
      </c>
      <c r="AG85">
        <v>18</v>
      </c>
      <c r="AH85">
        <v>19</v>
      </c>
      <c r="AI85">
        <v>22</v>
      </c>
      <c r="AJ85">
        <v>27</v>
      </c>
      <c r="AK85">
        <v>17</v>
      </c>
      <c r="AL85">
        <v>20</v>
      </c>
      <c r="AM85">
        <v>28</v>
      </c>
      <c r="AN85">
        <v>30</v>
      </c>
      <c r="AO85">
        <v>24</v>
      </c>
      <c r="AP85">
        <v>17</v>
      </c>
      <c r="AQ85">
        <v>18</v>
      </c>
      <c r="AR85">
        <v>60</v>
      </c>
      <c r="AS85">
        <v>35</v>
      </c>
      <c r="AT85">
        <v>46</v>
      </c>
      <c r="AU85">
        <v>19</v>
      </c>
      <c r="AV85">
        <v>22</v>
      </c>
      <c r="AW85">
        <v>35</v>
      </c>
      <c r="AX85">
        <v>38</v>
      </c>
      <c r="AY85">
        <v>31</v>
      </c>
      <c r="AZ85">
        <v>18</v>
      </c>
      <c r="BA85">
        <v>19</v>
      </c>
      <c r="BB85">
        <v>22</v>
      </c>
      <c r="BC85" s="2">
        <v>27</v>
      </c>
      <c r="BD85" s="2">
        <v>17</v>
      </c>
      <c r="BE85" s="2">
        <v>20</v>
      </c>
      <c r="BF85" s="2">
        <v>28</v>
      </c>
      <c r="BG85" s="2">
        <v>30</v>
      </c>
      <c r="BH85" s="2">
        <v>24</v>
      </c>
      <c r="BI85" s="2">
        <v>17</v>
      </c>
      <c r="BJ85" s="2">
        <v>18</v>
      </c>
      <c r="BK85" s="2">
        <v>60</v>
      </c>
      <c r="BL85" s="2">
        <v>35</v>
      </c>
      <c r="BM85" s="2">
        <v>46</v>
      </c>
      <c r="BN85" s="2">
        <v>19</v>
      </c>
      <c r="BO85" s="2">
        <v>22</v>
      </c>
      <c r="BP85" s="2">
        <v>35</v>
      </c>
      <c r="BQ85" s="2">
        <v>38</v>
      </c>
      <c r="BR85" s="2">
        <v>31</v>
      </c>
      <c r="BS85" s="2">
        <v>18</v>
      </c>
      <c r="BT85" s="2">
        <v>19</v>
      </c>
      <c r="BU85" s="2">
        <v>22</v>
      </c>
      <c r="BV85" s="2">
        <f t="shared" si="9"/>
        <v>526</v>
      </c>
      <c r="BW85" s="16">
        <f t="shared" si="7"/>
        <v>27.684210526315791</v>
      </c>
      <c r="BX85" s="16">
        <f>COUNTIF($BC$6:BU85, "=0") / COUNTIF($BC$6:BU85, "&gt;-1")</f>
        <v>1.9078947368421053E-2</v>
      </c>
      <c r="BY85" s="18">
        <f>SUM($BC$6:BU85) / $BY$4</f>
        <v>0.52327707284630953</v>
      </c>
      <c r="BZ85" s="14">
        <f t="shared" si="8"/>
        <v>0</v>
      </c>
      <c r="CA85" t="s">
        <v>5831</v>
      </c>
      <c r="CB85" s="36">
        <v>32.7143716875377</v>
      </c>
      <c r="CC85" s="36">
        <v>16.372090051516601</v>
      </c>
      <c r="CD85" s="36">
        <v>32.015953236245203</v>
      </c>
      <c r="CE85" s="36">
        <v>42.333809256290401</v>
      </c>
      <c r="CF85" s="36">
        <v>25.8052907981068</v>
      </c>
      <c r="CG85" s="36">
        <v>22.313453919347801</v>
      </c>
      <c r="CH85" s="36">
        <v>17.9190588086989</v>
      </c>
      <c r="CI85" s="36">
        <v>17.517304763681501</v>
      </c>
      <c r="CJ85" s="37">
        <v>47.685497594697402</v>
      </c>
      <c r="CK85" s="37">
        <v>29.0098837568611</v>
      </c>
      <c r="CL85" s="37">
        <v>15.2010326170795</v>
      </c>
      <c r="CM85" s="37">
        <v>18.624035025198701</v>
      </c>
      <c r="CN85" s="37">
        <v>34.914117500974299</v>
      </c>
      <c r="CO85" s="37">
        <v>24.4649076819389</v>
      </c>
      <c r="CP85" s="37">
        <v>27.153720861523599</v>
      </c>
      <c r="CQ85" s="37">
        <v>33.498010622441598</v>
      </c>
      <c r="CR85" s="45">
        <v>0.17152429022711199</v>
      </c>
      <c r="CS85" s="45">
        <v>1.1138205781483701</v>
      </c>
      <c r="CT85" s="46">
        <v>0.59940863052428806</v>
      </c>
      <c r="CU85" s="47">
        <v>0.67395693079117402</v>
      </c>
      <c r="CV85" s="48">
        <v>25.873916565178099</v>
      </c>
      <c r="CW85" s="49">
        <v>28.8189007075894</v>
      </c>
      <c r="CX85" s="31" t="s">
        <v>5874</v>
      </c>
      <c r="CY85" s="31" t="s">
        <v>5832</v>
      </c>
      <c r="CZ85" t="s">
        <v>12767</v>
      </c>
      <c r="DA85" t="s">
        <v>5904</v>
      </c>
      <c r="DB85">
        <v>411.8</v>
      </c>
      <c r="DC85" t="s">
        <v>33925</v>
      </c>
      <c r="DD85" t="s">
        <v>13772</v>
      </c>
      <c r="DE85" t="s">
        <v>33926</v>
      </c>
      <c r="DF85" t="s">
        <v>33927</v>
      </c>
      <c r="DG85" t="s">
        <v>33928</v>
      </c>
      <c r="DH85" t="str">
        <f>"APOE"</f>
        <v>APOE</v>
      </c>
      <c r="DI85" t="s">
        <v>13772</v>
      </c>
      <c r="DJ85" t="s">
        <v>13777</v>
      </c>
      <c r="DK85">
        <v>9606</v>
      </c>
      <c r="DL85" s="34" t="str">
        <f>HYPERLINK("http://www.uniprot.org/uniprot/P02649", "P02649")</f>
        <v>P02649</v>
      </c>
      <c r="DM85" t="s">
        <v>33929</v>
      </c>
      <c r="DN85" t="s">
        <v>16169</v>
      </c>
      <c r="DO85" t="s">
        <v>33930</v>
      </c>
      <c r="DP85" t="s">
        <v>13793</v>
      </c>
      <c r="DQ85" t="s">
        <v>13772</v>
      </c>
      <c r="DR85" t="s">
        <v>33931</v>
      </c>
      <c r="DS85" t="s">
        <v>14404</v>
      </c>
      <c r="DT85" t="s">
        <v>13900</v>
      </c>
      <c r="DU85" t="s">
        <v>14073</v>
      </c>
      <c r="DV85" t="s">
        <v>33932</v>
      </c>
      <c r="DW85" t="s">
        <v>13812</v>
      </c>
      <c r="DX85" t="s">
        <v>33933</v>
      </c>
      <c r="DY85" t="s">
        <v>33934</v>
      </c>
      <c r="DZ85" t="s">
        <v>33935</v>
      </c>
      <c r="EA85" t="s">
        <v>13772</v>
      </c>
      <c r="EB85" t="s">
        <v>33936</v>
      </c>
    </row>
    <row r="86" spans="1:132">
      <c r="A86">
        <v>2252</v>
      </c>
      <c r="B86">
        <v>1</v>
      </c>
      <c r="C86" t="s">
        <v>5264</v>
      </c>
      <c r="D86" t="s">
        <v>73</v>
      </c>
      <c r="E86" t="s">
        <v>73</v>
      </c>
      <c r="F86" t="s">
        <v>73</v>
      </c>
      <c r="G86" t="s">
        <v>73</v>
      </c>
      <c r="H86">
        <v>72.400000000000006</v>
      </c>
      <c r="I86">
        <v>543</v>
      </c>
      <c r="J86">
        <v>60606</v>
      </c>
      <c r="K86" t="s">
        <v>5265</v>
      </c>
      <c r="L86">
        <f t="shared" si="6"/>
        <v>524</v>
      </c>
      <c r="N86">
        <v>524</v>
      </c>
      <c r="O86">
        <v>524</v>
      </c>
      <c r="P86">
        <v>1</v>
      </c>
      <c r="Q86">
        <v>13</v>
      </c>
      <c r="R86">
        <v>7</v>
      </c>
      <c r="S86">
        <v>8</v>
      </c>
      <c r="T86">
        <v>12</v>
      </c>
      <c r="U86">
        <v>13</v>
      </c>
      <c r="V86">
        <v>17</v>
      </c>
      <c r="W86">
        <v>18</v>
      </c>
      <c r="X86">
        <v>14</v>
      </c>
      <c r="Y86">
        <v>30</v>
      </c>
      <c r="Z86">
        <v>29</v>
      </c>
      <c r="AA86">
        <v>54</v>
      </c>
      <c r="AB86">
        <v>44</v>
      </c>
      <c r="AC86">
        <v>41</v>
      </c>
      <c r="AD86">
        <v>35</v>
      </c>
      <c r="AE86">
        <v>48</v>
      </c>
      <c r="AF86">
        <v>49</v>
      </c>
      <c r="AG86">
        <v>38</v>
      </c>
      <c r="AH86">
        <v>16</v>
      </c>
      <c r="AI86">
        <v>38</v>
      </c>
      <c r="AJ86">
        <v>13</v>
      </c>
      <c r="AK86">
        <v>7</v>
      </c>
      <c r="AL86">
        <v>8</v>
      </c>
      <c r="AM86">
        <v>12</v>
      </c>
      <c r="AN86">
        <v>13</v>
      </c>
      <c r="AO86">
        <v>17</v>
      </c>
      <c r="AP86">
        <v>18</v>
      </c>
      <c r="AQ86">
        <v>14</v>
      </c>
      <c r="AR86">
        <v>30</v>
      </c>
      <c r="AS86">
        <v>29</v>
      </c>
      <c r="AT86">
        <v>54</v>
      </c>
      <c r="AU86">
        <v>44</v>
      </c>
      <c r="AV86">
        <v>41</v>
      </c>
      <c r="AW86">
        <v>35</v>
      </c>
      <c r="AX86">
        <v>48</v>
      </c>
      <c r="AY86">
        <v>49</v>
      </c>
      <c r="AZ86">
        <v>38</v>
      </c>
      <c r="BA86">
        <v>16</v>
      </c>
      <c r="BB86">
        <v>38</v>
      </c>
      <c r="BC86" s="2">
        <v>13</v>
      </c>
      <c r="BD86" s="2">
        <v>7</v>
      </c>
      <c r="BE86" s="2">
        <v>8</v>
      </c>
      <c r="BF86" s="2">
        <v>12</v>
      </c>
      <c r="BG86" s="2">
        <v>13</v>
      </c>
      <c r="BH86" s="2">
        <v>17</v>
      </c>
      <c r="BI86" s="2">
        <v>18</v>
      </c>
      <c r="BJ86" s="2">
        <v>14</v>
      </c>
      <c r="BK86" s="2">
        <v>30</v>
      </c>
      <c r="BL86" s="2">
        <v>29</v>
      </c>
      <c r="BM86" s="2">
        <v>54</v>
      </c>
      <c r="BN86" s="2">
        <v>44</v>
      </c>
      <c r="BO86" s="2">
        <v>41</v>
      </c>
      <c r="BP86" s="2">
        <v>35</v>
      </c>
      <c r="BQ86" s="2">
        <v>48</v>
      </c>
      <c r="BR86" s="2">
        <v>49</v>
      </c>
      <c r="BS86" s="2">
        <v>38</v>
      </c>
      <c r="BT86" s="2">
        <v>16</v>
      </c>
      <c r="BU86" s="2">
        <v>38</v>
      </c>
      <c r="BV86" s="2">
        <f t="shared" si="9"/>
        <v>524</v>
      </c>
      <c r="BW86" s="16">
        <f t="shared" si="7"/>
        <v>27.578947368421051</v>
      </c>
      <c r="BX86" s="16">
        <f>COUNTIF($BC$6:BU86, "=0") / COUNTIF($BC$6:BU86, "&gt;-1")</f>
        <v>1.8843404808317088E-2</v>
      </c>
      <c r="BY86" s="18">
        <f>SUM($BC$6:BU86) / $BY$4</f>
        <v>0.52552169856550868</v>
      </c>
      <c r="BZ86" s="14">
        <f t="shared" si="8"/>
        <v>0</v>
      </c>
      <c r="CA86" t="s">
        <v>5831</v>
      </c>
      <c r="CB86" s="36">
        <v>15.7513641458515</v>
      </c>
      <c r="CC86" s="36">
        <v>6.7414488447421297</v>
      </c>
      <c r="CD86" s="36">
        <v>12.806381294498101</v>
      </c>
      <c r="CE86" s="36">
        <v>18.143061109838801</v>
      </c>
      <c r="CF86" s="36">
        <v>11.1822926791796</v>
      </c>
      <c r="CG86" s="36">
        <v>15.805363192871299</v>
      </c>
      <c r="CH86" s="36">
        <v>18.973121091563499</v>
      </c>
      <c r="CI86" s="36">
        <v>13.6245703717523</v>
      </c>
      <c r="CJ86" s="37">
        <v>23.842748797348701</v>
      </c>
      <c r="CK86" s="37">
        <v>34.055080931967403</v>
      </c>
      <c r="CL86" s="37">
        <v>35.202391323763102</v>
      </c>
      <c r="CM86" s="37">
        <v>34.708428910597597</v>
      </c>
      <c r="CN86" s="37">
        <v>44.1020431591255</v>
      </c>
      <c r="CO86" s="37">
        <v>38.670337948871101</v>
      </c>
      <c r="CP86" s="37">
        <v>57.324521818772098</v>
      </c>
      <c r="CQ86" s="37">
        <v>57.860200166035398</v>
      </c>
      <c r="CR86" s="45">
        <v>1.5113130132868</v>
      </c>
      <c r="CS86" s="45">
        <v>2.8821787349928401</v>
      </c>
      <c r="CT86" s="46">
        <v>3.2307540283800998E-7</v>
      </c>
      <c r="CU86" s="47">
        <v>1.77161839752974E-6</v>
      </c>
      <c r="CV86" s="48">
        <v>14.128450341287101</v>
      </c>
      <c r="CW86" s="49">
        <v>40.720719132060097</v>
      </c>
      <c r="CX86" s="31" t="s">
        <v>5874</v>
      </c>
      <c r="CY86" s="31" t="s">
        <v>5876</v>
      </c>
      <c r="CZ86" t="s">
        <v>13251</v>
      </c>
      <c r="DA86" t="s">
        <v>5904</v>
      </c>
      <c r="DB86">
        <v>859.4</v>
      </c>
      <c r="DC86" t="s">
        <v>35273</v>
      </c>
      <c r="DD86" t="s">
        <v>35274</v>
      </c>
      <c r="DE86" t="s">
        <v>35275</v>
      </c>
      <c r="DF86" t="s">
        <v>35276</v>
      </c>
      <c r="DG86" t="s">
        <v>35277</v>
      </c>
      <c r="DH86" t="str">
        <f>"ECM1"</f>
        <v>ECM1</v>
      </c>
      <c r="DI86" t="s">
        <v>13772</v>
      </c>
      <c r="DJ86" t="s">
        <v>13777</v>
      </c>
      <c r="DK86">
        <v>9606</v>
      </c>
      <c r="DL86" s="34" t="str">
        <f>HYPERLINK("http://www.uniprot.org/uniprot/Q16610", "Q16610")</f>
        <v>Q16610</v>
      </c>
      <c r="DM86" t="s">
        <v>35278</v>
      </c>
      <c r="DN86" t="s">
        <v>35279</v>
      </c>
      <c r="DO86" t="s">
        <v>13869</v>
      </c>
      <c r="DP86" t="s">
        <v>13780</v>
      </c>
      <c r="DQ86" t="s">
        <v>13772</v>
      </c>
      <c r="DR86" t="s">
        <v>13807</v>
      </c>
      <c r="DS86" t="s">
        <v>14404</v>
      </c>
      <c r="DT86" t="s">
        <v>13772</v>
      </c>
      <c r="DU86" t="s">
        <v>13772</v>
      </c>
      <c r="DV86" t="s">
        <v>13858</v>
      </c>
      <c r="DW86" t="s">
        <v>13772</v>
      </c>
      <c r="DX86" t="s">
        <v>35280</v>
      </c>
      <c r="DY86" t="s">
        <v>35281</v>
      </c>
      <c r="DZ86" t="s">
        <v>35282</v>
      </c>
      <c r="EA86" t="s">
        <v>13772</v>
      </c>
      <c r="EB86" t="s">
        <v>15665</v>
      </c>
    </row>
    <row r="87" spans="1:132">
      <c r="A87">
        <v>2171</v>
      </c>
      <c r="B87">
        <v>1</v>
      </c>
      <c r="C87" t="s">
        <v>5084</v>
      </c>
      <c r="D87" t="s">
        <v>5085</v>
      </c>
      <c r="E87" t="s">
        <v>73</v>
      </c>
      <c r="F87" t="s">
        <v>73</v>
      </c>
      <c r="G87" t="s">
        <v>73</v>
      </c>
      <c r="H87">
        <v>43.4</v>
      </c>
      <c r="I87">
        <v>1718</v>
      </c>
      <c r="J87">
        <v>186384</v>
      </c>
      <c r="K87" t="s">
        <v>5086</v>
      </c>
      <c r="L87">
        <f t="shared" si="6"/>
        <v>521</v>
      </c>
      <c r="M87" s="3" t="s">
        <v>5827</v>
      </c>
      <c r="N87">
        <v>521</v>
      </c>
      <c r="O87">
        <v>521</v>
      </c>
      <c r="P87">
        <v>1</v>
      </c>
      <c r="Q87">
        <v>33</v>
      </c>
      <c r="R87">
        <v>82</v>
      </c>
      <c r="S87">
        <v>35</v>
      </c>
      <c r="T87">
        <v>76</v>
      </c>
      <c r="U87">
        <v>65</v>
      </c>
      <c r="V87">
        <v>48</v>
      </c>
      <c r="W87">
        <v>39</v>
      </c>
      <c r="X87">
        <v>26</v>
      </c>
      <c r="Y87">
        <v>12</v>
      </c>
      <c r="Z87">
        <v>3</v>
      </c>
      <c r="AA87">
        <v>14</v>
      </c>
      <c r="AB87">
        <v>10</v>
      </c>
      <c r="AC87">
        <v>12</v>
      </c>
      <c r="AD87">
        <v>5</v>
      </c>
      <c r="AE87">
        <v>8</v>
      </c>
      <c r="AF87">
        <v>19</v>
      </c>
      <c r="AG87">
        <v>12</v>
      </c>
      <c r="AH87">
        <v>7</v>
      </c>
      <c r="AI87">
        <v>15</v>
      </c>
      <c r="AJ87">
        <v>33</v>
      </c>
      <c r="AK87">
        <v>82</v>
      </c>
      <c r="AL87">
        <v>35</v>
      </c>
      <c r="AM87">
        <v>76</v>
      </c>
      <c r="AN87">
        <v>65</v>
      </c>
      <c r="AO87">
        <v>48</v>
      </c>
      <c r="AP87">
        <v>39</v>
      </c>
      <c r="AQ87">
        <v>26</v>
      </c>
      <c r="AR87">
        <v>12</v>
      </c>
      <c r="AS87">
        <v>3</v>
      </c>
      <c r="AT87">
        <v>14</v>
      </c>
      <c r="AU87">
        <v>10</v>
      </c>
      <c r="AV87">
        <v>12</v>
      </c>
      <c r="AW87">
        <v>5</v>
      </c>
      <c r="AX87">
        <v>8</v>
      </c>
      <c r="AY87">
        <v>19</v>
      </c>
      <c r="AZ87">
        <v>12</v>
      </c>
      <c r="BA87">
        <v>7</v>
      </c>
      <c r="BB87">
        <v>15</v>
      </c>
      <c r="BC87" s="2">
        <v>33</v>
      </c>
      <c r="BD87" s="2">
        <v>82</v>
      </c>
      <c r="BE87" s="2">
        <v>35</v>
      </c>
      <c r="BF87" s="2">
        <v>76</v>
      </c>
      <c r="BG87" s="2">
        <v>65</v>
      </c>
      <c r="BH87" s="2">
        <v>48</v>
      </c>
      <c r="BI87" s="2">
        <v>39</v>
      </c>
      <c r="BJ87" s="2">
        <v>26</v>
      </c>
      <c r="BK87" s="2">
        <v>12</v>
      </c>
      <c r="BL87" s="2">
        <v>3</v>
      </c>
      <c r="BM87" s="2">
        <v>14</v>
      </c>
      <c r="BN87" s="2">
        <v>10</v>
      </c>
      <c r="BO87" s="2">
        <v>12</v>
      </c>
      <c r="BP87" s="2">
        <v>5</v>
      </c>
      <c r="BQ87" s="2">
        <v>8</v>
      </c>
      <c r="BR87" s="2">
        <v>19</v>
      </c>
      <c r="BS87" s="2">
        <v>12</v>
      </c>
      <c r="BT87" s="2">
        <v>7</v>
      </c>
      <c r="BU87" s="2">
        <v>15</v>
      </c>
      <c r="BV87" s="2">
        <f t="shared" si="9"/>
        <v>521</v>
      </c>
      <c r="BW87" s="16">
        <f t="shared" si="7"/>
        <v>27.421052631578949</v>
      </c>
      <c r="BX87" s="16">
        <f>COUNTIF($BC$6:BU87, "=0") / COUNTIF($BC$6:BU87, "&gt;-1")</f>
        <v>1.8613607188703467E-2</v>
      </c>
      <c r="BY87" s="18">
        <f>SUM($BC$6:BU87) / $BY$4</f>
        <v>0.52775347337410161</v>
      </c>
      <c r="BZ87" s="14">
        <f t="shared" si="8"/>
        <v>0</v>
      </c>
      <c r="CA87" t="s">
        <v>5831</v>
      </c>
      <c r="CB87" s="36">
        <v>39.984232062546099</v>
      </c>
      <c r="CC87" s="36">
        <v>78.971257895550593</v>
      </c>
      <c r="CD87" s="36">
        <v>56.027918163429</v>
      </c>
      <c r="CE87" s="36">
        <v>114.906053695645</v>
      </c>
      <c r="CF87" s="36">
        <v>55.911463395897997</v>
      </c>
      <c r="CG87" s="36">
        <v>44.626907838695601</v>
      </c>
      <c r="CH87" s="36">
        <v>41.108429031721002</v>
      </c>
      <c r="CI87" s="36">
        <v>25.302773547539999</v>
      </c>
      <c r="CJ87" s="37">
        <v>9.53709951893949</v>
      </c>
      <c r="CK87" s="37">
        <v>8.8290950564359996</v>
      </c>
      <c r="CL87" s="37">
        <v>8.0005434826734305</v>
      </c>
      <c r="CM87" s="37">
        <v>10.1585645591993</v>
      </c>
      <c r="CN87" s="37">
        <v>7.3503405265209096</v>
      </c>
      <c r="CO87" s="37">
        <v>14.994620837317401</v>
      </c>
      <c r="CP87" s="37">
        <v>18.102480574349102</v>
      </c>
      <c r="CQ87" s="37">
        <v>22.839552697119299</v>
      </c>
      <c r="CR87" s="45">
        <v>-2.2206852553699199</v>
      </c>
      <c r="CS87" s="45">
        <v>-4.5769814762913104</v>
      </c>
      <c r="CT87" s="46">
        <v>3.1043994166061698E-9</v>
      </c>
      <c r="CU87" s="47">
        <v>3.4589461848453201E-8</v>
      </c>
      <c r="CV87" s="48">
        <v>57.104879453878198</v>
      </c>
      <c r="CW87" s="49">
        <v>12.4765371565694</v>
      </c>
      <c r="CX87" s="31" t="s">
        <v>5875</v>
      </c>
      <c r="CY87" s="31" t="s">
        <v>5876</v>
      </c>
      <c r="CZ87" t="s">
        <v>12985</v>
      </c>
      <c r="DA87" t="s">
        <v>5904</v>
      </c>
      <c r="DB87">
        <v>3249.9</v>
      </c>
      <c r="DC87" t="s">
        <v>34516</v>
      </c>
      <c r="DD87" t="s">
        <v>34517</v>
      </c>
      <c r="DE87" t="s">
        <v>34518</v>
      </c>
      <c r="DF87" t="s">
        <v>34519</v>
      </c>
      <c r="DG87" t="s">
        <v>34520</v>
      </c>
      <c r="DH87" t="str">
        <f>"LTBP1"</f>
        <v>LTBP1</v>
      </c>
      <c r="DI87" t="s">
        <v>13772</v>
      </c>
      <c r="DJ87" t="s">
        <v>13777</v>
      </c>
      <c r="DK87">
        <v>9606</v>
      </c>
      <c r="DL87" s="34" t="str">
        <f>HYPERLINK("http://www.uniprot.org/uniprot/Q14766", "Q14766")</f>
        <v>Q14766</v>
      </c>
      <c r="DM87" t="s">
        <v>34521</v>
      </c>
      <c r="DN87" t="s">
        <v>13772</v>
      </c>
      <c r="DO87" t="s">
        <v>13869</v>
      </c>
      <c r="DP87" t="s">
        <v>13841</v>
      </c>
      <c r="DQ87" t="s">
        <v>13772</v>
      </c>
      <c r="DR87" t="s">
        <v>13772</v>
      </c>
      <c r="DS87" t="s">
        <v>14768</v>
      </c>
      <c r="DT87" t="s">
        <v>13772</v>
      </c>
      <c r="DU87" t="s">
        <v>16896</v>
      </c>
      <c r="DV87" t="s">
        <v>14770</v>
      </c>
      <c r="DW87" t="s">
        <v>13812</v>
      </c>
      <c r="DX87" t="s">
        <v>34522</v>
      </c>
      <c r="DY87" t="s">
        <v>34523</v>
      </c>
      <c r="DZ87" t="s">
        <v>34524</v>
      </c>
      <c r="EA87" t="s">
        <v>13772</v>
      </c>
      <c r="EB87" t="s">
        <v>34525</v>
      </c>
    </row>
    <row r="88" spans="1:132">
      <c r="A88">
        <v>562</v>
      </c>
      <c r="B88">
        <v>1</v>
      </c>
      <c r="C88" t="s">
        <v>1402</v>
      </c>
      <c r="D88" t="s">
        <v>73</v>
      </c>
      <c r="E88" t="s">
        <v>73</v>
      </c>
      <c r="F88" t="s">
        <v>73</v>
      </c>
      <c r="G88" t="s">
        <v>73</v>
      </c>
      <c r="H88">
        <v>78.5</v>
      </c>
      <c r="I88">
        <v>382</v>
      </c>
      <c r="J88">
        <v>43964</v>
      </c>
      <c r="K88" t="s">
        <v>1403</v>
      </c>
      <c r="L88">
        <f t="shared" si="6"/>
        <v>518</v>
      </c>
      <c r="N88">
        <v>518</v>
      </c>
      <c r="O88">
        <v>518</v>
      </c>
      <c r="P88">
        <v>1</v>
      </c>
      <c r="Q88">
        <v>10</v>
      </c>
      <c r="R88">
        <v>10</v>
      </c>
      <c r="S88">
        <v>11</v>
      </c>
      <c r="T88">
        <v>2</v>
      </c>
      <c r="U88">
        <v>13</v>
      </c>
      <c r="V88">
        <v>11</v>
      </c>
      <c r="W88">
        <v>8</v>
      </c>
      <c r="X88">
        <v>18</v>
      </c>
      <c r="Y88">
        <v>38</v>
      </c>
      <c r="Z88">
        <v>60</v>
      </c>
      <c r="AA88">
        <v>36</v>
      </c>
      <c r="AB88">
        <v>21</v>
      </c>
      <c r="AC88">
        <v>56</v>
      </c>
      <c r="AD88">
        <v>71</v>
      </c>
      <c r="AE88">
        <v>49</v>
      </c>
      <c r="AF88">
        <v>40</v>
      </c>
      <c r="AG88">
        <v>22</v>
      </c>
      <c r="AH88">
        <v>22</v>
      </c>
      <c r="AI88">
        <v>20</v>
      </c>
      <c r="AJ88">
        <v>10</v>
      </c>
      <c r="AK88">
        <v>10</v>
      </c>
      <c r="AL88">
        <v>11</v>
      </c>
      <c r="AM88">
        <v>2</v>
      </c>
      <c r="AN88">
        <v>13</v>
      </c>
      <c r="AO88">
        <v>11</v>
      </c>
      <c r="AP88">
        <v>8</v>
      </c>
      <c r="AQ88">
        <v>18</v>
      </c>
      <c r="AR88">
        <v>38</v>
      </c>
      <c r="AS88">
        <v>60</v>
      </c>
      <c r="AT88">
        <v>36</v>
      </c>
      <c r="AU88">
        <v>21</v>
      </c>
      <c r="AV88">
        <v>56</v>
      </c>
      <c r="AW88">
        <v>71</v>
      </c>
      <c r="AX88">
        <v>49</v>
      </c>
      <c r="AY88">
        <v>40</v>
      </c>
      <c r="AZ88">
        <v>22</v>
      </c>
      <c r="BA88">
        <v>22</v>
      </c>
      <c r="BB88">
        <v>20</v>
      </c>
      <c r="BC88" s="2">
        <v>10</v>
      </c>
      <c r="BD88" s="2">
        <v>10</v>
      </c>
      <c r="BE88" s="2">
        <v>11</v>
      </c>
      <c r="BF88" s="2">
        <v>2</v>
      </c>
      <c r="BG88" s="2">
        <v>13</v>
      </c>
      <c r="BH88" s="2">
        <v>11</v>
      </c>
      <c r="BI88" s="2">
        <v>8</v>
      </c>
      <c r="BJ88" s="2">
        <v>18</v>
      </c>
      <c r="BK88" s="2">
        <v>38</v>
      </c>
      <c r="BL88" s="2">
        <v>60</v>
      </c>
      <c r="BM88" s="2">
        <v>36</v>
      </c>
      <c r="BN88" s="2">
        <v>21</v>
      </c>
      <c r="BO88" s="2">
        <v>56</v>
      </c>
      <c r="BP88" s="2">
        <v>71</v>
      </c>
      <c r="BQ88" s="2">
        <v>49</v>
      </c>
      <c r="BR88" s="2">
        <v>40</v>
      </c>
      <c r="BS88" s="2">
        <v>22</v>
      </c>
      <c r="BT88" s="2">
        <v>22</v>
      </c>
      <c r="BU88" s="2">
        <v>20</v>
      </c>
      <c r="BV88" s="2">
        <f t="shared" si="9"/>
        <v>518</v>
      </c>
      <c r="BW88" s="16">
        <f t="shared" si="7"/>
        <v>27.263157894736842</v>
      </c>
      <c r="BX88" s="16">
        <f>COUNTIF($BC$6:BU88, "=0") / COUNTIF($BC$6:BU88, "&gt;-1")</f>
        <v>1.8389346861128725E-2</v>
      </c>
      <c r="BY88" s="18">
        <f>SUM($BC$6:BU88) / $BY$4</f>
        <v>0.52997239727208845</v>
      </c>
      <c r="BZ88" s="14">
        <f t="shared" si="8"/>
        <v>0</v>
      </c>
      <c r="CA88" t="s">
        <v>5831</v>
      </c>
      <c r="CB88" s="36">
        <v>12.116433958347301</v>
      </c>
      <c r="CC88" s="36">
        <v>9.6306412067744702</v>
      </c>
      <c r="CD88" s="36">
        <v>17.608774279934799</v>
      </c>
      <c r="CE88" s="36">
        <v>3.0238435183064598</v>
      </c>
      <c r="CF88" s="36">
        <v>11.1822926791796</v>
      </c>
      <c r="CG88" s="36">
        <v>10.226999713034401</v>
      </c>
      <c r="CH88" s="36">
        <v>8.4324982629171306</v>
      </c>
      <c r="CI88" s="36">
        <v>17.517304763681501</v>
      </c>
      <c r="CJ88" s="37">
        <v>30.2008151433084</v>
      </c>
      <c r="CK88" s="37">
        <v>22.703387287978298</v>
      </c>
      <c r="CL88" s="37">
        <v>16.801141313614199</v>
      </c>
      <c r="CM88" s="37">
        <v>47.406634609596701</v>
      </c>
      <c r="CN88" s="37">
        <v>45.020835724940603</v>
      </c>
      <c r="CO88" s="37">
        <v>31.567622815404999</v>
      </c>
      <c r="CP88" s="37">
        <v>33.187881052973303</v>
      </c>
      <c r="CQ88" s="37">
        <v>30.4527369294923</v>
      </c>
      <c r="CR88" s="45">
        <v>1.5038082836264</v>
      </c>
      <c r="CS88" s="45">
        <v>2.8676680342658001</v>
      </c>
      <c r="CT88" s="46">
        <v>6.8232102348210399E-6</v>
      </c>
      <c r="CU88" s="47">
        <v>2.64703884671654E-5</v>
      </c>
      <c r="CV88" s="48">
        <v>11.217348547772</v>
      </c>
      <c r="CW88" s="49">
        <v>32.167631859663601</v>
      </c>
      <c r="CX88" s="31" t="s">
        <v>5874</v>
      </c>
      <c r="CY88" s="31" t="s">
        <v>5876</v>
      </c>
      <c r="CZ88" t="s">
        <v>7644</v>
      </c>
      <c r="DA88" t="s">
        <v>5904</v>
      </c>
      <c r="DB88">
        <v>609.79999999999995</v>
      </c>
      <c r="DC88" t="s">
        <v>19311</v>
      </c>
      <c r="DD88" t="s">
        <v>19312</v>
      </c>
      <c r="DE88" t="s">
        <v>19313</v>
      </c>
      <c r="DF88" t="s">
        <v>19314</v>
      </c>
      <c r="DG88" t="s">
        <v>19315</v>
      </c>
      <c r="DH88" t="str">
        <f>"APOA4"</f>
        <v>APOA4</v>
      </c>
      <c r="DI88" t="s">
        <v>13772</v>
      </c>
      <c r="DJ88" t="s">
        <v>13777</v>
      </c>
      <c r="DK88">
        <v>9606</v>
      </c>
      <c r="DL88" s="34" t="str">
        <f>HYPERLINK("http://www.uniprot.org/uniprot/P06727", "P06727")</f>
        <v>P06727</v>
      </c>
      <c r="DM88" t="s">
        <v>19316</v>
      </c>
      <c r="DN88" t="s">
        <v>13898</v>
      </c>
      <c r="DO88" t="s">
        <v>19317</v>
      </c>
      <c r="DP88" t="s">
        <v>13793</v>
      </c>
      <c r="DQ88" t="s">
        <v>13772</v>
      </c>
      <c r="DR88" t="s">
        <v>13772</v>
      </c>
      <c r="DS88" t="s">
        <v>14404</v>
      </c>
      <c r="DT88" t="s">
        <v>13772</v>
      </c>
      <c r="DU88" t="s">
        <v>13772</v>
      </c>
      <c r="DV88" t="s">
        <v>13782</v>
      </c>
      <c r="DW88" t="s">
        <v>13812</v>
      </c>
      <c r="DX88" t="s">
        <v>19318</v>
      </c>
      <c r="DY88" t="s">
        <v>19319</v>
      </c>
      <c r="DZ88" t="s">
        <v>19320</v>
      </c>
      <c r="EA88" t="s">
        <v>13772</v>
      </c>
      <c r="EB88" t="s">
        <v>19321</v>
      </c>
    </row>
    <row r="89" spans="1:132" hidden="1">
      <c r="A89">
        <v>1403</v>
      </c>
      <c r="B89">
        <v>1</v>
      </c>
      <c r="C89" t="s">
        <v>3349</v>
      </c>
      <c r="D89" t="s">
        <v>3350</v>
      </c>
      <c r="E89" t="s">
        <v>73</v>
      </c>
      <c r="F89" t="s">
        <v>73</v>
      </c>
      <c r="G89" t="s">
        <v>73</v>
      </c>
      <c r="H89">
        <v>27.8</v>
      </c>
      <c r="I89">
        <v>3120</v>
      </c>
      <c r="J89">
        <v>338953</v>
      </c>
      <c r="K89" t="s">
        <v>3351</v>
      </c>
      <c r="L89">
        <f t="shared" si="6"/>
        <v>514</v>
      </c>
      <c r="M89" s="3">
        <v>23</v>
      </c>
      <c r="N89">
        <v>514</v>
      </c>
      <c r="O89">
        <v>514</v>
      </c>
      <c r="P89">
        <v>1</v>
      </c>
      <c r="Q89">
        <v>21</v>
      </c>
      <c r="R89">
        <v>48</v>
      </c>
      <c r="S89">
        <v>61</v>
      </c>
      <c r="T89">
        <v>68</v>
      </c>
      <c r="U89">
        <v>73</v>
      </c>
      <c r="V89">
        <v>80</v>
      </c>
      <c r="W89">
        <v>39</v>
      </c>
      <c r="X89">
        <v>32</v>
      </c>
      <c r="Y89">
        <v>3</v>
      </c>
      <c r="Z89">
        <v>0</v>
      </c>
      <c r="AA89">
        <v>13</v>
      </c>
      <c r="AB89">
        <v>15</v>
      </c>
      <c r="AC89">
        <v>8</v>
      </c>
      <c r="AD89">
        <v>1</v>
      </c>
      <c r="AE89">
        <v>12</v>
      </c>
      <c r="AF89">
        <v>28</v>
      </c>
      <c r="AG89">
        <v>6</v>
      </c>
      <c r="AH89">
        <v>3</v>
      </c>
      <c r="AI89">
        <v>3</v>
      </c>
      <c r="AJ89">
        <v>21</v>
      </c>
      <c r="AK89">
        <v>48</v>
      </c>
      <c r="AL89">
        <v>61</v>
      </c>
      <c r="AM89">
        <v>68</v>
      </c>
      <c r="AN89">
        <v>73</v>
      </c>
      <c r="AO89">
        <v>80</v>
      </c>
      <c r="AP89">
        <v>39</v>
      </c>
      <c r="AQ89">
        <v>32</v>
      </c>
      <c r="AR89">
        <v>3</v>
      </c>
      <c r="AS89">
        <v>0</v>
      </c>
      <c r="AT89">
        <v>13</v>
      </c>
      <c r="AU89">
        <v>15</v>
      </c>
      <c r="AV89">
        <v>8</v>
      </c>
      <c r="AW89">
        <v>1</v>
      </c>
      <c r="AX89">
        <v>12</v>
      </c>
      <c r="AY89">
        <v>28</v>
      </c>
      <c r="AZ89">
        <v>6</v>
      </c>
      <c r="BA89">
        <v>3</v>
      </c>
      <c r="BB89">
        <v>3</v>
      </c>
      <c r="BC89" s="2">
        <v>21</v>
      </c>
      <c r="BD89" s="2">
        <v>48</v>
      </c>
      <c r="BE89" s="2">
        <v>61</v>
      </c>
      <c r="BF89" s="2">
        <v>68</v>
      </c>
      <c r="BG89" s="2">
        <v>73</v>
      </c>
      <c r="BH89" s="2">
        <v>80</v>
      </c>
      <c r="BI89" s="2">
        <v>39</v>
      </c>
      <c r="BJ89" s="2">
        <v>32</v>
      </c>
      <c r="BK89" s="2">
        <v>3</v>
      </c>
      <c r="BL89" s="2">
        <v>0</v>
      </c>
      <c r="BM89" s="2">
        <v>13</v>
      </c>
      <c r="BN89" s="2">
        <v>15</v>
      </c>
      <c r="BO89" s="2">
        <v>8</v>
      </c>
      <c r="BP89" s="2">
        <v>1</v>
      </c>
      <c r="BQ89" s="2">
        <v>12</v>
      </c>
      <c r="BR89" s="2">
        <v>28</v>
      </c>
      <c r="BS89" s="2">
        <v>6</v>
      </c>
      <c r="BT89" s="2">
        <v>3</v>
      </c>
      <c r="BU89" s="2">
        <v>3</v>
      </c>
      <c r="BV89" s="2">
        <f t="shared" si="9"/>
        <v>514</v>
      </c>
      <c r="BW89" s="16">
        <f t="shared" si="7"/>
        <v>27.05263157894737</v>
      </c>
      <c r="BX89" s="16">
        <f>COUNTIF($BC$6:BU89, "=0") / COUNTIF($BC$6:BU89, "&gt;-1")</f>
        <v>1.8796992481203006E-2</v>
      </c>
      <c r="BY89" s="18">
        <f>SUM($BC$6:BU89) / $BY$4</f>
        <v>0.53217418662260052</v>
      </c>
      <c r="BZ89" s="14">
        <f t="shared" si="8"/>
        <v>1</v>
      </c>
      <c r="CA89" t="s">
        <v>5831</v>
      </c>
      <c r="CB89" s="36">
        <v>25.444511312529301</v>
      </c>
      <c r="CC89" s="36">
        <v>46.227077792517399</v>
      </c>
      <c r="CD89" s="36">
        <v>97.648657370547696</v>
      </c>
      <c r="CE89" s="36">
        <v>102.81067962242</v>
      </c>
      <c r="CF89" s="36">
        <v>62.792874275393103</v>
      </c>
      <c r="CG89" s="36">
        <v>74.378179731159307</v>
      </c>
      <c r="CH89" s="36">
        <v>41.108429031721002</v>
      </c>
      <c r="CI89" s="36">
        <v>31.1418751354338</v>
      </c>
      <c r="CJ89" s="37">
        <v>2.3842748797348698</v>
      </c>
      <c r="CK89" s="37">
        <v>8.1984454095477108</v>
      </c>
      <c r="CL89" s="37">
        <v>12.0008152240101</v>
      </c>
      <c r="CM89" s="37">
        <v>6.7723763727995303</v>
      </c>
      <c r="CN89" s="37">
        <v>11.0255107897814</v>
      </c>
      <c r="CO89" s="37">
        <v>22.097335970783501</v>
      </c>
      <c r="CP89" s="37">
        <v>9.0512402871745401</v>
      </c>
      <c r="CQ89" s="37">
        <v>4.5679105394238499</v>
      </c>
      <c r="CR89" s="45">
        <v>-2.6225244328047599</v>
      </c>
      <c r="CS89" s="45">
        <v>-6.3280619350123199</v>
      </c>
      <c r="CT89" s="46">
        <v>5.6518716488343099E-10</v>
      </c>
      <c r="CU89" s="47">
        <v>8.2197872458046799E-9</v>
      </c>
      <c r="CV89" s="48">
        <v>60.194035533965199</v>
      </c>
      <c r="CW89" s="49">
        <v>9.5122386841569408</v>
      </c>
      <c r="CX89" s="31" t="s">
        <v>5875</v>
      </c>
      <c r="CY89" s="31" t="s">
        <v>5876</v>
      </c>
      <c r="CZ89" t="s">
        <v>10421</v>
      </c>
      <c r="DA89" t="s">
        <v>5904</v>
      </c>
      <c r="DB89">
        <v>5522.2</v>
      </c>
      <c r="DC89" t="s">
        <v>27324</v>
      </c>
      <c r="DD89" t="s">
        <v>13772</v>
      </c>
      <c r="DE89" t="s">
        <v>27325</v>
      </c>
      <c r="DF89" t="s">
        <v>27326</v>
      </c>
      <c r="DG89" t="s">
        <v>27327</v>
      </c>
      <c r="DH89" t="str">
        <f>"COL12A1"</f>
        <v>COL12A1</v>
      </c>
      <c r="DI89" t="s">
        <v>27328</v>
      </c>
      <c r="DJ89" t="s">
        <v>13777</v>
      </c>
      <c r="DK89">
        <v>9606</v>
      </c>
      <c r="DL89" s="34" t="str">
        <f>HYPERLINK("http://www.uniprot.org/uniprot/Q99715", "Q99715")</f>
        <v>Q99715</v>
      </c>
      <c r="DM89" t="s">
        <v>27329</v>
      </c>
      <c r="DN89" t="s">
        <v>13949</v>
      </c>
      <c r="DO89" t="s">
        <v>13869</v>
      </c>
      <c r="DP89" t="s">
        <v>13780</v>
      </c>
      <c r="DQ89" t="s">
        <v>13772</v>
      </c>
      <c r="DR89" t="s">
        <v>27330</v>
      </c>
      <c r="DS89" t="s">
        <v>13872</v>
      </c>
      <c r="DT89" t="s">
        <v>13772</v>
      </c>
      <c r="DU89" t="s">
        <v>13772</v>
      </c>
      <c r="DV89" t="s">
        <v>27331</v>
      </c>
      <c r="DW89" t="s">
        <v>13772</v>
      </c>
      <c r="DX89" t="s">
        <v>27332</v>
      </c>
      <c r="DY89" t="s">
        <v>27333</v>
      </c>
      <c r="DZ89" t="s">
        <v>21929</v>
      </c>
      <c r="EA89" t="s">
        <v>13772</v>
      </c>
      <c r="EB89" t="s">
        <v>27334</v>
      </c>
    </row>
    <row r="90" spans="1:132" hidden="1">
      <c r="A90">
        <v>2432</v>
      </c>
      <c r="B90">
        <v>1</v>
      </c>
      <c r="C90" t="s">
        <v>5695</v>
      </c>
      <c r="D90" t="s">
        <v>73</v>
      </c>
      <c r="E90" t="s">
        <v>5696</v>
      </c>
      <c r="F90" t="s">
        <v>5697</v>
      </c>
      <c r="G90" t="s">
        <v>73</v>
      </c>
      <c r="H90">
        <v>34.9</v>
      </c>
      <c r="I90">
        <v>1837</v>
      </c>
      <c r="J90">
        <v>208091</v>
      </c>
      <c r="K90" t="s">
        <v>5698</v>
      </c>
      <c r="L90">
        <f t="shared" si="6"/>
        <v>512</v>
      </c>
      <c r="M90" s="3">
        <v>25</v>
      </c>
      <c r="N90">
        <v>512</v>
      </c>
      <c r="O90">
        <v>500</v>
      </c>
      <c r="P90">
        <v>0.97699999999999998</v>
      </c>
      <c r="Q90">
        <v>38</v>
      </c>
      <c r="R90">
        <v>62</v>
      </c>
      <c r="S90">
        <v>16</v>
      </c>
      <c r="T90">
        <v>44</v>
      </c>
      <c r="U90">
        <v>92</v>
      </c>
      <c r="V90">
        <v>75</v>
      </c>
      <c r="W90">
        <v>35</v>
      </c>
      <c r="X90">
        <v>38</v>
      </c>
      <c r="Y90">
        <v>0</v>
      </c>
      <c r="Z90">
        <v>0</v>
      </c>
      <c r="AA90">
        <v>21</v>
      </c>
      <c r="AB90">
        <v>4</v>
      </c>
      <c r="AC90">
        <v>2</v>
      </c>
      <c r="AD90">
        <v>9</v>
      </c>
      <c r="AE90">
        <v>2</v>
      </c>
      <c r="AF90">
        <v>24</v>
      </c>
      <c r="AG90">
        <v>29</v>
      </c>
      <c r="AH90">
        <v>5</v>
      </c>
      <c r="AI90">
        <v>16</v>
      </c>
      <c r="AJ90">
        <v>38</v>
      </c>
      <c r="AK90">
        <v>61</v>
      </c>
      <c r="AL90">
        <v>15</v>
      </c>
      <c r="AM90">
        <v>43</v>
      </c>
      <c r="AN90">
        <v>87</v>
      </c>
      <c r="AO90">
        <v>74</v>
      </c>
      <c r="AP90">
        <v>34</v>
      </c>
      <c r="AQ90">
        <v>37</v>
      </c>
      <c r="AR90">
        <v>0</v>
      </c>
      <c r="AS90">
        <v>0</v>
      </c>
      <c r="AT90">
        <v>21</v>
      </c>
      <c r="AU90">
        <v>4</v>
      </c>
      <c r="AV90">
        <v>2</v>
      </c>
      <c r="AW90">
        <v>9</v>
      </c>
      <c r="AX90">
        <v>2</v>
      </c>
      <c r="AY90">
        <v>24</v>
      </c>
      <c r="AZ90">
        <v>28</v>
      </c>
      <c r="BA90">
        <v>5</v>
      </c>
      <c r="BB90">
        <v>16</v>
      </c>
      <c r="BC90" s="2">
        <v>38</v>
      </c>
      <c r="BD90" s="2">
        <v>61.75</v>
      </c>
      <c r="BE90" s="2">
        <v>15.75</v>
      </c>
      <c r="BF90" s="2">
        <v>43.75</v>
      </c>
      <c r="BG90" s="2">
        <v>90.748000000000005</v>
      </c>
      <c r="BH90" s="2">
        <v>74.75</v>
      </c>
      <c r="BI90" s="2">
        <v>34.75</v>
      </c>
      <c r="BJ90" s="2">
        <v>37.75</v>
      </c>
      <c r="BK90" s="2">
        <v>0</v>
      </c>
      <c r="BL90" s="2">
        <v>0</v>
      </c>
      <c r="BM90" s="2">
        <v>21</v>
      </c>
      <c r="BN90" s="2">
        <v>4</v>
      </c>
      <c r="BO90" s="2">
        <v>2</v>
      </c>
      <c r="BP90" s="2">
        <v>9</v>
      </c>
      <c r="BQ90" s="2">
        <v>2</v>
      </c>
      <c r="BR90" s="2">
        <v>24</v>
      </c>
      <c r="BS90" s="2">
        <v>28.75</v>
      </c>
      <c r="BT90" s="2">
        <v>5</v>
      </c>
      <c r="BU90" s="2">
        <v>16</v>
      </c>
      <c r="BV90" s="2">
        <f t="shared" si="9"/>
        <v>508.99799999999999</v>
      </c>
      <c r="BW90" s="16">
        <f t="shared" si="7"/>
        <v>26.789368421052632</v>
      </c>
      <c r="BX90" s="16">
        <f>COUNTIF($BC$6:BU90, "=0") / COUNTIF($BC$6:BU90, "&gt;-1")</f>
        <v>1.9814241486068113E-2</v>
      </c>
      <c r="BY90" s="18">
        <f>SUM($BC$6:BU90) / $BY$4</f>
        <v>0.53435454922149539</v>
      </c>
      <c r="BZ90" s="14">
        <f t="shared" si="8"/>
        <v>2</v>
      </c>
      <c r="CA90" t="s">
        <v>5831</v>
      </c>
      <c r="CB90" s="36">
        <v>46.042449041719699</v>
      </c>
      <c r="CC90" s="36">
        <v>59.517362657866201</v>
      </c>
      <c r="CD90" s="36">
        <v>25.292603056633698</v>
      </c>
      <c r="CE90" s="36">
        <v>66.222173050911493</v>
      </c>
      <c r="CF90" s="36">
        <v>78.017995846276094</v>
      </c>
      <c r="CG90" s="36">
        <v>69.543598048633896</v>
      </c>
      <c r="CH90" s="36">
        <v>36.681367443689503</v>
      </c>
      <c r="CI90" s="36">
        <v>36.786340003731198</v>
      </c>
      <c r="CJ90" s="37">
        <v>0.19868957331123899</v>
      </c>
      <c r="CK90" s="37">
        <v>13.243642584653999</v>
      </c>
      <c r="CL90" s="37">
        <v>3.2002173930693698</v>
      </c>
      <c r="CM90" s="37">
        <v>1.6930940931998799</v>
      </c>
      <c r="CN90" s="37">
        <v>1.8375851316302301</v>
      </c>
      <c r="CO90" s="37">
        <v>18.940573689242999</v>
      </c>
      <c r="CP90" s="37">
        <v>43.4459533784378</v>
      </c>
      <c r="CQ90" s="37">
        <v>24.3621895435939</v>
      </c>
      <c r="CR90" s="45">
        <v>-1.9990024356246401</v>
      </c>
      <c r="CS90" s="45">
        <v>-3.9103655253896199</v>
      </c>
      <c r="CT90" s="46">
        <v>1.1961017343789699E-3</v>
      </c>
      <c r="CU90" s="47">
        <v>2.6235805255722402E-3</v>
      </c>
      <c r="CV90" s="48">
        <v>52.262986143682703</v>
      </c>
      <c r="CW90" s="49">
        <v>13.3652431733924</v>
      </c>
      <c r="CX90" s="31" t="s">
        <v>5875</v>
      </c>
      <c r="CY90" s="31" t="s">
        <v>5876</v>
      </c>
      <c r="CZ90" t="s">
        <v>6968</v>
      </c>
      <c r="DA90" t="s">
        <v>5904</v>
      </c>
      <c r="DB90">
        <v>3341.2</v>
      </c>
      <c r="DC90" t="s">
        <v>17242</v>
      </c>
      <c r="DD90" t="s">
        <v>17243</v>
      </c>
      <c r="DE90" t="s">
        <v>17244</v>
      </c>
      <c r="DF90" t="s">
        <v>17245</v>
      </c>
      <c r="DG90" t="s">
        <v>17246</v>
      </c>
      <c r="DH90" t="str">
        <f>"MGAM"</f>
        <v>MGAM</v>
      </c>
      <c r="DI90" t="s">
        <v>17247</v>
      </c>
      <c r="DJ90" t="s">
        <v>13777</v>
      </c>
      <c r="DK90">
        <v>9606</v>
      </c>
      <c r="DL90" s="34" t="str">
        <f>HYPERLINK("http://www.uniprot.org/uniprot/O43451", "O43451")</f>
        <v>O43451</v>
      </c>
      <c r="DM90" t="s">
        <v>17248</v>
      </c>
      <c r="DN90" t="s">
        <v>13772</v>
      </c>
      <c r="DO90" t="s">
        <v>13792</v>
      </c>
      <c r="DP90" t="s">
        <v>13793</v>
      </c>
      <c r="DQ90" t="s">
        <v>13772</v>
      </c>
      <c r="DR90" t="s">
        <v>13772</v>
      </c>
      <c r="DS90" t="s">
        <v>17249</v>
      </c>
      <c r="DT90" t="s">
        <v>13772</v>
      </c>
      <c r="DU90" t="s">
        <v>17250</v>
      </c>
      <c r="DV90" t="s">
        <v>16429</v>
      </c>
      <c r="DW90" t="s">
        <v>13812</v>
      </c>
      <c r="DX90" t="s">
        <v>17251</v>
      </c>
      <c r="DY90" t="s">
        <v>17252</v>
      </c>
      <c r="DZ90" t="s">
        <v>17253</v>
      </c>
      <c r="EA90" t="s">
        <v>13772</v>
      </c>
      <c r="EB90" t="s">
        <v>17254</v>
      </c>
    </row>
    <row r="91" spans="1:132" hidden="1">
      <c r="A91">
        <v>1243</v>
      </c>
      <c r="B91">
        <v>1</v>
      </c>
      <c r="C91" t="s">
        <v>2981</v>
      </c>
      <c r="D91" t="s">
        <v>73</v>
      </c>
      <c r="E91" t="s">
        <v>73</v>
      </c>
      <c r="F91" t="s">
        <v>73</v>
      </c>
      <c r="G91" t="s">
        <v>73</v>
      </c>
      <c r="H91">
        <v>63</v>
      </c>
      <c r="I91">
        <v>432</v>
      </c>
      <c r="J91">
        <v>48472</v>
      </c>
      <c r="K91" t="s">
        <v>2982</v>
      </c>
      <c r="L91">
        <f t="shared" si="6"/>
        <v>492</v>
      </c>
      <c r="N91">
        <v>492</v>
      </c>
      <c r="O91">
        <v>492</v>
      </c>
      <c r="P91">
        <v>1</v>
      </c>
      <c r="Q91">
        <v>49</v>
      </c>
      <c r="R91">
        <v>78</v>
      </c>
      <c r="S91">
        <v>73</v>
      </c>
      <c r="T91">
        <v>65</v>
      </c>
      <c r="U91">
        <v>69</v>
      </c>
      <c r="V91">
        <v>33</v>
      </c>
      <c r="W91">
        <v>45</v>
      </c>
      <c r="X91">
        <v>27</v>
      </c>
      <c r="Y91">
        <v>1</v>
      </c>
      <c r="Z91">
        <v>0</v>
      </c>
      <c r="AA91">
        <v>4</v>
      </c>
      <c r="AB91">
        <v>12</v>
      </c>
      <c r="AC91">
        <v>7</v>
      </c>
      <c r="AD91">
        <v>0</v>
      </c>
      <c r="AE91">
        <v>9</v>
      </c>
      <c r="AF91">
        <v>14</v>
      </c>
      <c r="AG91">
        <v>0</v>
      </c>
      <c r="AH91">
        <v>0</v>
      </c>
      <c r="AI91">
        <v>6</v>
      </c>
      <c r="AJ91">
        <v>49</v>
      </c>
      <c r="AK91">
        <v>78</v>
      </c>
      <c r="AL91">
        <v>73</v>
      </c>
      <c r="AM91">
        <v>65</v>
      </c>
      <c r="AN91">
        <v>69</v>
      </c>
      <c r="AO91">
        <v>33</v>
      </c>
      <c r="AP91">
        <v>45</v>
      </c>
      <c r="AQ91">
        <v>27</v>
      </c>
      <c r="AR91">
        <v>1</v>
      </c>
      <c r="AS91">
        <v>0</v>
      </c>
      <c r="AT91">
        <v>4</v>
      </c>
      <c r="AU91">
        <v>12</v>
      </c>
      <c r="AV91">
        <v>7</v>
      </c>
      <c r="AW91">
        <v>0</v>
      </c>
      <c r="AX91">
        <v>9</v>
      </c>
      <c r="AY91">
        <v>14</v>
      </c>
      <c r="AZ91">
        <v>0</v>
      </c>
      <c r="BA91">
        <v>0</v>
      </c>
      <c r="BB91">
        <v>6</v>
      </c>
      <c r="BC91" s="2">
        <v>49</v>
      </c>
      <c r="BD91" s="2">
        <v>78</v>
      </c>
      <c r="BE91" s="2">
        <v>73</v>
      </c>
      <c r="BF91" s="2">
        <v>65</v>
      </c>
      <c r="BG91" s="2">
        <v>69</v>
      </c>
      <c r="BH91" s="2">
        <v>33</v>
      </c>
      <c r="BI91" s="2">
        <v>45</v>
      </c>
      <c r="BJ91" s="2">
        <v>27</v>
      </c>
      <c r="BK91" s="2">
        <v>1</v>
      </c>
      <c r="BL91" s="2">
        <v>0</v>
      </c>
      <c r="BM91" s="2">
        <v>4</v>
      </c>
      <c r="BN91" s="2">
        <v>12</v>
      </c>
      <c r="BO91" s="2">
        <v>7</v>
      </c>
      <c r="BP91" s="2">
        <v>0</v>
      </c>
      <c r="BQ91" s="2">
        <v>9</v>
      </c>
      <c r="BR91" s="2">
        <v>14</v>
      </c>
      <c r="BS91" s="2">
        <v>0</v>
      </c>
      <c r="BT91" s="2">
        <v>0</v>
      </c>
      <c r="BU91" s="2">
        <v>6</v>
      </c>
      <c r="BV91" s="2">
        <f t="shared" si="9"/>
        <v>492</v>
      </c>
      <c r="BW91" s="16">
        <f t="shared" si="7"/>
        <v>25.894736842105264</v>
      </c>
      <c r="BX91" s="16">
        <f>COUNTIF($BC$6:BU91, "=0") / COUNTIF($BC$6:BU91, "&gt;-1")</f>
        <v>2.2031823745410038E-2</v>
      </c>
      <c r="BY91" s="18">
        <f>SUM($BC$6:BU91) / $BY$4</f>
        <v>0.53646209856089599</v>
      </c>
      <c r="BZ91" s="14">
        <f t="shared" si="8"/>
        <v>4</v>
      </c>
      <c r="CA91" t="s">
        <v>5831</v>
      </c>
      <c r="CB91" s="36">
        <v>59.370526395901699</v>
      </c>
      <c r="CC91" s="36">
        <v>75.119001412840802</v>
      </c>
      <c r="CD91" s="36">
        <v>116.85822931229499</v>
      </c>
      <c r="CE91" s="36">
        <v>98.274914344959896</v>
      </c>
      <c r="CF91" s="36">
        <v>59.3521688356456</v>
      </c>
      <c r="CG91" s="36">
        <v>30.6809991391032</v>
      </c>
      <c r="CH91" s="36">
        <v>47.432802728908797</v>
      </c>
      <c r="CI91" s="36">
        <v>26.275957145522302</v>
      </c>
      <c r="CJ91" s="37">
        <v>0.79475829324495695</v>
      </c>
      <c r="CK91" s="37">
        <v>2.5225985875531398</v>
      </c>
      <c r="CL91" s="37">
        <v>9.6006521792081099</v>
      </c>
      <c r="CM91" s="37">
        <v>5.9258293261995796</v>
      </c>
      <c r="CN91" s="37">
        <v>8.2691330923360304</v>
      </c>
      <c r="CO91" s="37">
        <v>11.048667985391701</v>
      </c>
      <c r="CP91" s="37">
        <v>0.377135011965606</v>
      </c>
      <c r="CQ91" s="37">
        <v>9.1358210788476999</v>
      </c>
      <c r="CR91" s="45">
        <v>-3.3900001400155002</v>
      </c>
      <c r="CS91" s="45">
        <v>-10.7680955305779</v>
      </c>
      <c r="CT91" s="46">
        <v>1.6066307428016601E-12</v>
      </c>
      <c r="CU91" s="47">
        <v>4.6736805526667397E-11</v>
      </c>
      <c r="CV91" s="48">
        <v>64.170574914397207</v>
      </c>
      <c r="CW91" s="49">
        <v>5.9593244443433599</v>
      </c>
      <c r="CX91" s="31" t="s">
        <v>5875</v>
      </c>
      <c r="CY91" s="31" t="s">
        <v>5876</v>
      </c>
      <c r="CZ91" t="s">
        <v>9873</v>
      </c>
      <c r="DA91" t="s">
        <v>5904</v>
      </c>
      <c r="DB91">
        <v>698.4</v>
      </c>
      <c r="DC91" t="s">
        <v>25779</v>
      </c>
      <c r="DD91" t="s">
        <v>13772</v>
      </c>
      <c r="DE91" t="s">
        <v>25780</v>
      </c>
      <c r="DF91" t="s">
        <v>25781</v>
      </c>
      <c r="DG91" t="s">
        <v>25782</v>
      </c>
      <c r="DH91" t="str">
        <f>"PLAU"</f>
        <v>PLAU</v>
      </c>
      <c r="DI91" t="s">
        <v>13772</v>
      </c>
      <c r="DJ91" t="s">
        <v>13777</v>
      </c>
      <c r="DK91">
        <v>9606</v>
      </c>
      <c r="DL91" s="34" t="str">
        <f>HYPERLINK("http://www.uniprot.org/uniprot/P00749", "P00749")</f>
        <v>P00749</v>
      </c>
      <c r="DM91" t="s">
        <v>25783</v>
      </c>
      <c r="DN91" t="s">
        <v>25784</v>
      </c>
      <c r="DO91" t="s">
        <v>14321</v>
      </c>
      <c r="DP91" t="s">
        <v>13780</v>
      </c>
      <c r="DQ91" t="s">
        <v>13772</v>
      </c>
      <c r="DR91" t="s">
        <v>13772</v>
      </c>
      <c r="DS91" t="s">
        <v>25785</v>
      </c>
      <c r="DT91" t="s">
        <v>13772</v>
      </c>
      <c r="DU91" t="s">
        <v>15176</v>
      </c>
      <c r="DV91" t="s">
        <v>25786</v>
      </c>
      <c r="DW91" t="s">
        <v>14324</v>
      </c>
      <c r="DX91" t="s">
        <v>25787</v>
      </c>
      <c r="DY91" t="s">
        <v>25788</v>
      </c>
      <c r="DZ91" t="s">
        <v>25219</v>
      </c>
      <c r="EA91" t="s">
        <v>13772</v>
      </c>
      <c r="EB91" t="s">
        <v>25789</v>
      </c>
    </row>
    <row r="92" spans="1:132">
      <c r="A92">
        <v>1267</v>
      </c>
      <c r="B92">
        <v>1</v>
      </c>
      <c r="C92" t="s">
        <v>3037</v>
      </c>
      <c r="D92" t="s">
        <v>73</v>
      </c>
      <c r="E92" t="s">
        <v>73</v>
      </c>
      <c r="F92" t="s">
        <v>73</v>
      </c>
      <c r="G92" t="s">
        <v>73</v>
      </c>
      <c r="H92">
        <v>59.6</v>
      </c>
      <c r="I92">
        <v>270</v>
      </c>
      <c r="J92">
        <v>27855</v>
      </c>
      <c r="K92" t="s">
        <v>3038</v>
      </c>
      <c r="L92">
        <f t="shared" si="6"/>
        <v>492</v>
      </c>
      <c r="N92">
        <v>492</v>
      </c>
      <c r="O92">
        <v>492</v>
      </c>
      <c r="P92">
        <v>1</v>
      </c>
      <c r="Q92">
        <v>29</v>
      </c>
      <c r="R92">
        <v>46</v>
      </c>
      <c r="S92">
        <v>32</v>
      </c>
      <c r="T92">
        <v>44</v>
      </c>
      <c r="U92">
        <v>42</v>
      </c>
      <c r="V92">
        <v>34</v>
      </c>
      <c r="W92">
        <v>33</v>
      </c>
      <c r="X92">
        <v>21</v>
      </c>
      <c r="Y92">
        <v>27</v>
      </c>
      <c r="Z92">
        <v>10</v>
      </c>
      <c r="AA92">
        <v>20</v>
      </c>
      <c r="AB92">
        <v>31</v>
      </c>
      <c r="AC92">
        <v>23</v>
      </c>
      <c r="AD92">
        <v>10</v>
      </c>
      <c r="AE92">
        <v>24</v>
      </c>
      <c r="AF92">
        <v>20</v>
      </c>
      <c r="AG92">
        <v>15</v>
      </c>
      <c r="AH92">
        <v>13</v>
      </c>
      <c r="AI92">
        <v>18</v>
      </c>
      <c r="AJ92">
        <v>29</v>
      </c>
      <c r="AK92">
        <v>46</v>
      </c>
      <c r="AL92">
        <v>32</v>
      </c>
      <c r="AM92">
        <v>44</v>
      </c>
      <c r="AN92">
        <v>42</v>
      </c>
      <c r="AO92">
        <v>34</v>
      </c>
      <c r="AP92">
        <v>33</v>
      </c>
      <c r="AQ92">
        <v>21</v>
      </c>
      <c r="AR92">
        <v>27</v>
      </c>
      <c r="AS92">
        <v>10</v>
      </c>
      <c r="AT92">
        <v>20</v>
      </c>
      <c r="AU92">
        <v>31</v>
      </c>
      <c r="AV92">
        <v>23</v>
      </c>
      <c r="AW92">
        <v>10</v>
      </c>
      <c r="AX92">
        <v>24</v>
      </c>
      <c r="AY92">
        <v>20</v>
      </c>
      <c r="AZ92">
        <v>15</v>
      </c>
      <c r="BA92">
        <v>13</v>
      </c>
      <c r="BB92">
        <v>18</v>
      </c>
      <c r="BC92" s="2">
        <v>29</v>
      </c>
      <c r="BD92" s="2">
        <v>46</v>
      </c>
      <c r="BE92" s="2">
        <v>32</v>
      </c>
      <c r="BF92" s="2">
        <v>44</v>
      </c>
      <c r="BG92" s="2">
        <v>42</v>
      </c>
      <c r="BH92" s="2">
        <v>34</v>
      </c>
      <c r="BI92" s="2">
        <v>33</v>
      </c>
      <c r="BJ92" s="2">
        <v>21</v>
      </c>
      <c r="BK92" s="2">
        <v>27</v>
      </c>
      <c r="BL92" s="2">
        <v>10</v>
      </c>
      <c r="BM92" s="2">
        <v>20</v>
      </c>
      <c r="BN92" s="2">
        <v>31</v>
      </c>
      <c r="BO92" s="2">
        <v>23</v>
      </c>
      <c r="BP92" s="2">
        <v>10</v>
      </c>
      <c r="BQ92" s="2">
        <v>24</v>
      </c>
      <c r="BR92" s="2">
        <v>20</v>
      </c>
      <c r="BS92" s="2">
        <v>15</v>
      </c>
      <c r="BT92" s="2">
        <v>13</v>
      </c>
      <c r="BU92" s="2">
        <v>18</v>
      </c>
      <c r="BV92" s="2">
        <f t="shared" si="9"/>
        <v>492</v>
      </c>
      <c r="BW92" s="16">
        <f t="shared" si="7"/>
        <v>25.894736842105264</v>
      </c>
      <c r="BX92" s="16">
        <f>COUNTIF($BC$6:BU92, "=0") / COUNTIF($BC$6:BU92, "&gt;-1")</f>
        <v>2.1778584392014518E-2</v>
      </c>
      <c r="BY92" s="18">
        <f>SUM($BC$6:BU92) / $BY$4</f>
        <v>0.5385696479002966</v>
      </c>
      <c r="BZ92" s="14">
        <f t="shared" si="8"/>
        <v>0</v>
      </c>
      <c r="CA92" t="s">
        <v>5831</v>
      </c>
      <c r="CB92" s="36">
        <v>35.137658479207097</v>
      </c>
      <c r="CC92" s="36">
        <v>44.300949551162603</v>
      </c>
      <c r="CD92" s="36">
        <v>51.225525177992203</v>
      </c>
      <c r="CE92" s="36">
        <v>66.524557402742104</v>
      </c>
      <c r="CF92" s="36">
        <v>36.127407117349499</v>
      </c>
      <c r="CG92" s="36">
        <v>31.610726385742701</v>
      </c>
      <c r="CH92" s="36">
        <v>34.7840553345331</v>
      </c>
      <c r="CI92" s="36">
        <v>20.436855557628402</v>
      </c>
      <c r="CJ92" s="37">
        <v>21.458473917613802</v>
      </c>
      <c r="CK92" s="37">
        <v>12.6129929377657</v>
      </c>
      <c r="CL92" s="37">
        <v>24.801684796287599</v>
      </c>
      <c r="CM92" s="37">
        <v>19.470582071798599</v>
      </c>
      <c r="CN92" s="37">
        <v>22.0510215795627</v>
      </c>
      <c r="CO92" s="37">
        <v>15.783811407702499</v>
      </c>
      <c r="CP92" s="37">
        <v>22.628100717936299</v>
      </c>
      <c r="CQ92" s="37">
        <v>27.407463236543101</v>
      </c>
      <c r="CR92" s="45">
        <v>-0.94483358082319102</v>
      </c>
      <c r="CS92" s="45">
        <v>-1.92611623166505</v>
      </c>
      <c r="CT92" s="46">
        <v>1.19235617855923E-3</v>
      </c>
      <c r="CU92" s="47">
        <v>2.6235805255722402E-3</v>
      </c>
      <c r="CV92" s="48">
        <v>40.018466875794701</v>
      </c>
      <c r="CW92" s="49">
        <v>20.776766333151301</v>
      </c>
      <c r="CX92" s="31" t="s">
        <v>5875</v>
      </c>
      <c r="CY92" s="31" t="s">
        <v>5876</v>
      </c>
      <c r="CZ92" t="s">
        <v>9953</v>
      </c>
      <c r="DA92" t="s">
        <v>5904</v>
      </c>
      <c r="DB92">
        <v>366.7</v>
      </c>
      <c r="DC92" t="s">
        <v>26002</v>
      </c>
      <c r="DD92" t="s">
        <v>26003</v>
      </c>
      <c r="DE92" t="s">
        <v>26004</v>
      </c>
      <c r="DF92" t="s">
        <v>26005</v>
      </c>
      <c r="DG92" t="s">
        <v>26006</v>
      </c>
      <c r="DH92" t="str">
        <f>"IGFBP7"</f>
        <v>IGFBP7</v>
      </c>
      <c r="DI92" t="s">
        <v>26007</v>
      </c>
      <c r="DJ92" t="s">
        <v>13777</v>
      </c>
      <c r="DK92">
        <v>9606</v>
      </c>
      <c r="DL92" s="34" t="str">
        <f>HYPERLINK("http://www.uniprot.org/uniprot/Q16270", "Q16270")</f>
        <v>Q16270</v>
      </c>
      <c r="DM92" t="s">
        <v>26008</v>
      </c>
      <c r="DN92" t="s">
        <v>13949</v>
      </c>
      <c r="DO92" t="s">
        <v>14321</v>
      </c>
      <c r="DP92" t="s">
        <v>26009</v>
      </c>
      <c r="DQ92" t="s">
        <v>13772</v>
      </c>
      <c r="DR92" t="s">
        <v>13772</v>
      </c>
      <c r="DS92" t="s">
        <v>15698</v>
      </c>
      <c r="DT92" t="s">
        <v>13772</v>
      </c>
      <c r="DU92" t="s">
        <v>16896</v>
      </c>
      <c r="DV92" t="s">
        <v>13964</v>
      </c>
      <c r="DW92" t="s">
        <v>13772</v>
      </c>
      <c r="DX92" t="s">
        <v>26010</v>
      </c>
      <c r="DY92" t="s">
        <v>26011</v>
      </c>
      <c r="DZ92" t="s">
        <v>26012</v>
      </c>
      <c r="EA92" t="s">
        <v>13772</v>
      </c>
      <c r="EB92" t="s">
        <v>26013</v>
      </c>
    </row>
    <row r="93" spans="1:132">
      <c r="A93">
        <v>2463</v>
      </c>
      <c r="B93">
        <v>1</v>
      </c>
      <c r="C93" t="s">
        <v>5797</v>
      </c>
      <c r="D93" t="s">
        <v>73</v>
      </c>
      <c r="E93" t="s">
        <v>5798</v>
      </c>
      <c r="F93" t="s">
        <v>73</v>
      </c>
      <c r="G93" t="s">
        <v>73</v>
      </c>
      <c r="H93">
        <v>33.299999999999997</v>
      </c>
      <c r="I93">
        <v>862</v>
      </c>
      <c r="J93">
        <v>95877</v>
      </c>
      <c r="K93" t="s">
        <v>5799</v>
      </c>
      <c r="L93">
        <f t="shared" si="6"/>
        <v>485</v>
      </c>
      <c r="N93">
        <v>485</v>
      </c>
      <c r="O93">
        <v>485</v>
      </c>
      <c r="P93">
        <v>1</v>
      </c>
      <c r="Q93">
        <v>25</v>
      </c>
      <c r="R93">
        <v>47</v>
      </c>
      <c r="S93">
        <v>29</v>
      </c>
      <c r="T93">
        <v>36</v>
      </c>
      <c r="U93">
        <v>40</v>
      </c>
      <c r="V93">
        <v>35</v>
      </c>
      <c r="W93">
        <v>32</v>
      </c>
      <c r="X93">
        <v>19</v>
      </c>
      <c r="Y93">
        <v>17</v>
      </c>
      <c r="Z93">
        <v>11</v>
      </c>
      <c r="AA93">
        <v>19</v>
      </c>
      <c r="AB93">
        <v>27</v>
      </c>
      <c r="AC93">
        <v>26</v>
      </c>
      <c r="AD93">
        <v>21</v>
      </c>
      <c r="AE93">
        <v>9</v>
      </c>
      <c r="AF93">
        <v>23</v>
      </c>
      <c r="AG93">
        <v>25</v>
      </c>
      <c r="AH93">
        <v>10</v>
      </c>
      <c r="AI93">
        <v>34</v>
      </c>
      <c r="AJ93">
        <v>25</v>
      </c>
      <c r="AK93">
        <v>47</v>
      </c>
      <c r="AL93">
        <v>29</v>
      </c>
      <c r="AM93">
        <v>36</v>
      </c>
      <c r="AN93">
        <v>40</v>
      </c>
      <c r="AO93">
        <v>35</v>
      </c>
      <c r="AP93">
        <v>32</v>
      </c>
      <c r="AQ93">
        <v>19</v>
      </c>
      <c r="AR93">
        <v>17</v>
      </c>
      <c r="AS93">
        <v>11</v>
      </c>
      <c r="AT93">
        <v>19</v>
      </c>
      <c r="AU93">
        <v>27</v>
      </c>
      <c r="AV93">
        <v>26</v>
      </c>
      <c r="AW93">
        <v>21</v>
      </c>
      <c r="AX93">
        <v>9</v>
      </c>
      <c r="AY93">
        <v>23</v>
      </c>
      <c r="AZ93">
        <v>25</v>
      </c>
      <c r="BA93">
        <v>10</v>
      </c>
      <c r="BB93">
        <v>34</v>
      </c>
      <c r="BC93" s="2">
        <v>25</v>
      </c>
      <c r="BD93" s="2">
        <v>47</v>
      </c>
      <c r="BE93" s="2">
        <v>29</v>
      </c>
      <c r="BF93" s="2">
        <v>36</v>
      </c>
      <c r="BG93" s="2">
        <v>40</v>
      </c>
      <c r="BH93" s="2">
        <v>35</v>
      </c>
      <c r="BI93" s="2">
        <v>32</v>
      </c>
      <c r="BJ93" s="2">
        <v>19</v>
      </c>
      <c r="BK93" s="2">
        <v>17</v>
      </c>
      <c r="BL93" s="2">
        <v>11</v>
      </c>
      <c r="BM93" s="2">
        <v>19</v>
      </c>
      <c r="BN93" s="2">
        <v>27</v>
      </c>
      <c r="BO93" s="2">
        <v>26</v>
      </c>
      <c r="BP93" s="2">
        <v>21</v>
      </c>
      <c r="BQ93" s="2">
        <v>9</v>
      </c>
      <c r="BR93" s="2">
        <v>23</v>
      </c>
      <c r="BS93" s="2">
        <v>25</v>
      </c>
      <c r="BT93" s="2">
        <v>10</v>
      </c>
      <c r="BU93" s="2">
        <v>34</v>
      </c>
      <c r="BV93" s="2">
        <f t="shared" si="9"/>
        <v>485</v>
      </c>
      <c r="BW93" s="16">
        <f t="shared" si="7"/>
        <v>25.526315789473685</v>
      </c>
      <c r="BX93" s="16">
        <f>COUNTIF($BC$6:BU93, "=0") / COUNTIF($BC$6:BU93, "&gt;-1")</f>
        <v>2.1531100478468901E-2</v>
      </c>
      <c r="BY93" s="18">
        <f>SUM($BC$6:BU93) / $BY$4</f>
        <v>0.54064721178161634</v>
      </c>
      <c r="BZ93" s="14">
        <f t="shared" si="8"/>
        <v>0</v>
      </c>
      <c r="CA93" t="s">
        <v>5831</v>
      </c>
      <c r="CB93" s="36">
        <v>30.291084895868199</v>
      </c>
      <c r="CC93" s="36">
        <v>45.264013671839997</v>
      </c>
      <c r="CD93" s="36">
        <v>46.423132192555499</v>
      </c>
      <c r="CE93" s="36">
        <v>54.429183329516299</v>
      </c>
      <c r="CF93" s="36">
        <v>34.407054397475697</v>
      </c>
      <c r="CG93" s="36">
        <v>32.540453632382203</v>
      </c>
      <c r="CH93" s="36">
        <v>33.729993051668501</v>
      </c>
      <c r="CI93" s="36">
        <v>18.4904883616638</v>
      </c>
      <c r="CJ93" s="37">
        <v>13.5108909851643</v>
      </c>
      <c r="CK93" s="37">
        <v>11.982343290877401</v>
      </c>
      <c r="CL93" s="37">
        <v>21.601467403218301</v>
      </c>
      <c r="CM93" s="37">
        <v>22.0102232115985</v>
      </c>
      <c r="CN93" s="37">
        <v>8.2691330923360304</v>
      </c>
      <c r="CO93" s="37">
        <v>18.1513831188579</v>
      </c>
      <c r="CP93" s="37">
        <v>37.7135011965606</v>
      </c>
      <c r="CQ93" s="37">
        <v>51.769652780137001</v>
      </c>
      <c r="CR93" s="45">
        <v>-0.70544603305359099</v>
      </c>
      <c r="CS93" s="45">
        <v>-1.5976306582251301</v>
      </c>
      <c r="CT93" s="46">
        <v>6.3122869068544293E-2</v>
      </c>
      <c r="CU93" s="47">
        <v>9.4472481894532806E-2</v>
      </c>
      <c r="CV93" s="48">
        <v>36.946925441621303</v>
      </c>
      <c r="CW93" s="49">
        <v>23.126074384843701</v>
      </c>
      <c r="CX93" s="31" t="s">
        <v>5875</v>
      </c>
      <c r="CY93" s="31" t="s">
        <v>5877</v>
      </c>
      <c r="CZ93" t="s">
        <v>13469</v>
      </c>
      <c r="DA93" t="s">
        <v>5904</v>
      </c>
      <c r="DB93">
        <v>842.8</v>
      </c>
      <c r="DC93" t="s">
        <v>35896</v>
      </c>
      <c r="DD93" t="s">
        <v>35897</v>
      </c>
      <c r="DE93" t="s">
        <v>35898</v>
      </c>
      <c r="DF93" t="s">
        <v>35899</v>
      </c>
      <c r="DG93" t="s">
        <v>35900</v>
      </c>
      <c r="DH93" t="str">
        <f>"LGALS3BP"</f>
        <v>LGALS3BP</v>
      </c>
      <c r="DI93" t="s">
        <v>35901</v>
      </c>
      <c r="DJ93" t="s">
        <v>13777</v>
      </c>
      <c r="DK93">
        <v>9606</v>
      </c>
      <c r="DL93" s="34" t="str">
        <f>HYPERLINK("http://www.uniprot.org/uniprot/Q08380", "Q08380")</f>
        <v>Q08380</v>
      </c>
      <c r="DM93" t="s">
        <v>35902</v>
      </c>
      <c r="DN93" t="s">
        <v>13949</v>
      </c>
      <c r="DO93" t="s">
        <v>13869</v>
      </c>
      <c r="DP93" t="s">
        <v>13772</v>
      </c>
      <c r="DQ93" t="s">
        <v>13772</v>
      </c>
      <c r="DR93" t="s">
        <v>13772</v>
      </c>
      <c r="DS93" t="s">
        <v>13808</v>
      </c>
      <c r="DT93" t="s">
        <v>13772</v>
      </c>
      <c r="DU93" t="s">
        <v>13772</v>
      </c>
      <c r="DV93" t="s">
        <v>13796</v>
      </c>
      <c r="DW93" t="s">
        <v>13812</v>
      </c>
      <c r="DX93" t="s">
        <v>35903</v>
      </c>
      <c r="DY93" t="s">
        <v>35904</v>
      </c>
      <c r="DZ93" t="s">
        <v>24576</v>
      </c>
      <c r="EA93" t="s">
        <v>13772</v>
      </c>
      <c r="EB93" t="s">
        <v>15665</v>
      </c>
    </row>
    <row r="94" spans="1:132">
      <c r="A94">
        <v>2450</v>
      </c>
      <c r="B94">
        <v>1</v>
      </c>
      <c r="C94" t="s">
        <v>5755</v>
      </c>
      <c r="D94" t="s">
        <v>73</v>
      </c>
      <c r="E94" t="s">
        <v>5756</v>
      </c>
      <c r="F94" t="s">
        <v>73</v>
      </c>
      <c r="G94" t="s">
        <v>73</v>
      </c>
      <c r="H94">
        <v>71.7</v>
      </c>
      <c r="I94">
        <v>272</v>
      </c>
      <c r="J94">
        <v>30286</v>
      </c>
      <c r="K94" t="s">
        <v>5757</v>
      </c>
      <c r="L94">
        <f t="shared" si="6"/>
        <v>477</v>
      </c>
      <c r="N94">
        <v>477</v>
      </c>
      <c r="O94">
        <v>477</v>
      </c>
      <c r="P94">
        <v>1</v>
      </c>
      <c r="Q94">
        <v>10</v>
      </c>
      <c r="R94">
        <v>5</v>
      </c>
      <c r="S94">
        <v>5</v>
      </c>
      <c r="T94">
        <v>3</v>
      </c>
      <c r="U94">
        <v>10</v>
      </c>
      <c r="V94">
        <v>5</v>
      </c>
      <c r="W94">
        <v>5</v>
      </c>
      <c r="X94">
        <v>7</v>
      </c>
      <c r="Y94">
        <v>44</v>
      </c>
      <c r="Z94">
        <v>22</v>
      </c>
      <c r="AA94">
        <v>57</v>
      </c>
      <c r="AB94">
        <v>57</v>
      </c>
      <c r="AC94">
        <v>49</v>
      </c>
      <c r="AD94">
        <v>3</v>
      </c>
      <c r="AE94">
        <v>21</v>
      </c>
      <c r="AF94">
        <v>62</v>
      </c>
      <c r="AG94">
        <v>44</v>
      </c>
      <c r="AH94">
        <v>18</v>
      </c>
      <c r="AI94">
        <v>50</v>
      </c>
      <c r="AJ94">
        <v>10</v>
      </c>
      <c r="AK94">
        <v>5</v>
      </c>
      <c r="AL94">
        <v>5</v>
      </c>
      <c r="AM94">
        <v>3</v>
      </c>
      <c r="AN94">
        <v>10</v>
      </c>
      <c r="AO94">
        <v>5</v>
      </c>
      <c r="AP94">
        <v>5</v>
      </c>
      <c r="AQ94">
        <v>7</v>
      </c>
      <c r="AR94">
        <v>44</v>
      </c>
      <c r="AS94">
        <v>22</v>
      </c>
      <c r="AT94">
        <v>57</v>
      </c>
      <c r="AU94">
        <v>57</v>
      </c>
      <c r="AV94">
        <v>49</v>
      </c>
      <c r="AW94">
        <v>3</v>
      </c>
      <c r="AX94">
        <v>21</v>
      </c>
      <c r="AY94">
        <v>62</v>
      </c>
      <c r="AZ94">
        <v>44</v>
      </c>
      <c r="BA94">
        <v>18</v>
      </c>
      <c r="BB94">
        <v>50</v>
      </c>
      <c r="BC94" s="2">
        <v>10</v>
      </c>
      <c r="BD94" s="2">
        <v>5</v>
      </c>
      <c r="BE94" s="2">
        <v>5</v>
      </c>
      <c r="BF94" s="2">
        <v>3</v>
      </c>
      <c r="BG94" s="2">
        <v>10</v>
      </c>
      <c r="BH94" s="2">
        <v>5</v>
      </c>
      <c r="BI94" s="2">
        <v>5</v>
      </c>
      <c r="BJ94" s="2">
        <v>7</v>
      </c>
      <c r="BK94" s="2">
        <v>44</v>
      </c>
      <c r="BL94" s="2">
        <v>22</v>
      </c>
      <c r="BM94" s="2">
        <v>57</v>
      </c>
      <c r="BN94" s="2">
        <v>57</v>
      </c>
      <c r="BO94" s="2">
        <v>49</v>
      </c>
      <c r="BP94" s="2">
        <v>3</v>
      </c>
      <c r="BQ94" s="2">
        <v>21</v>
      </c>
      <c r="BR94" s="2">
        <v>62</v>
      </c>
      <c r="BS94" s="2">
        <v>44</v>
      </c>
      <c r="BT94" s="2">
        <v>18</v>
      </c>
      <c r="BU94" s="2">
        <v>50</v>
      </c>
      <c r="BV94" s="2">
        <f t="shared" si="9"/>
        <v>477</v>
      </c>
      <c r="BW94" s="16">
        <f t="shared" si="7"/>
        <v>25.105263157894736</v>
      </c>
      <c r="BX94" s="16">
        <f>COUNTIF($BC$6:BU94, "=0") / COUNTIF($BC$6:BU94, "&gt;-1")</f>
        <v>2.1289178001182733E-2</v>
      </c>
      <c r="BY94" s="18">
        <f>SUM($BC$6:BU94) / $BY$4</f>
        <v>0.54269050656798656</v>
      </c>
      <c r="BZ94" s="14">
        <f t="shared" si="8"/>
        <v>0</v>
      </c>
      <c r="CA94" t="s">
        <v>5831</v>
      </c>
      <c r="CB94" s="36">
        <v>12.116433958347301</v>
      </c>
      <c r="CC94" s="36">
        <v>4.8153206033872298</v>
      </c>
      <c r="CD94" s="36">
        <v>8.00398830906129</v>
      </c>
      <c r="CE94" s="36">
        <v>4.5357652774596904</v>
      </c>
      <c r="CF94" s="36">
        <v>8.6017635993689208</v>
      </c>
      <c r="CG94" s="36">
        <v>4.6486362331974602</v>
      </c>
      <c r="CH94" s="36">
        <v>5.2703114143232002</v>
      </c>
      <c r="CI94" s="36">
        <v>6.8122851858761404</v>
      </c>
      <c r="CJ94" s="37">
        <v>34.969364902778103</v>
      </c>
      <c r="CK94" s="37">
        <v>35.947029872632299</v>
      </c>
      <c r="CL94" s="37">
        <v>45.603097851238502</v>
      </c>
      <c r="CM94" s="37">
        <v>41.480805283397103</v>
      </c>
      <c r="CN94" s="37">
        <v>19.294643882117398</v>
      </c>
      <c r="CO94" s="37">
        <v>48.9298153638778</v>
      </c>
      <c r="CP94" s="37">
        <v>66.375762105946606</v>
      </c>
      <c r="CQ94" s="37">
        <v>76.131842323730794</v>
      </c>
      <c r="CR94" s="45">
        <v>2.7194148741142201</v>
      </c>
      <c r="CS94" s="45">
        <v>6.7281396740042902</v>
      </c>
      <c r="CT94" s="46">
        <v>7.4082114027294003E-14</v>
      </c>
      <c r="CU94" s="47">
        <v>2.9153490755446899E-12</v>
      </c>
      <c r="CV94" s="48">
        <v>6.8505630726276499</v>
      </c>
      <c r="CW94" s="49">
        <v>46.091545198214803</v>
      </c>
      <c r="CX94" s="31" t="s">
        <v>5874</v>
      </c>
      <c r="CY94" s="31" t="s">
        <v>5876</v>
      </c>
      <c r="CZ94" t="s">
        <v>10212</v>
      </c>
      <c r="DA94" t="s">
        <v>5904</v>
      </c>
      <c r="DB94">
        <v>279.3</v>
      </c>
      <c r="DC94" t="s">
        <v>26740</v>
      </c>
      <c r="DD94" t="s">
        <v>26741</v>
      </c>
      <c r="DE94" t="s">
        <v>26742</v>
      </c>
      <c r="DF94" t="s">
        <v>26743</v>
      </c>
      <c r="DG94" t="s">
        <v>26744</v>
      </c>
      <c r="DH94" t="str">
        <f>"SPP1"</f>
        <v>SPP1</v>
      </c>
      <c r="DI94" t="s">
        <v>26745</v>
      </c>
      <c r="DJ94" t="s">
        <v>13777</v>
      </c>
      <c r="DK94">
        <v>9606</v>
      </c>
      <c r="DL94" s="34" t="str">
        <f>HYPERLINK("http://www.uniprot.org/uniprot/P10451", "P10451")</f>
        <v>P10451</v>
      </c>
      <c r="DM94" t="s">
        <v>26746</v>
      </c>
      <c r="DN94" t="s">
        <v>26747</v>
      </c>
      <c r="DO94" t="s">
        <v>14321</v>
      </c>
      <c r="DP94" t="s">
        <v>13780</v>
      </c>
      <c r="DQ94" t="s">
        <v>13772</v>
      </c>
      <c r="DR94" t="s">
        <v>13772</v>
      </c>
      <c r="DS94" t="s">
        <v>13808</v>
      </c>
      <c r="DT94" t="s">
        <v>17535</v>
      </c>
      <c r="DU94" t="s">
        <v>14405</v>
      </c>
      <c r="DV94" t="s">
        <v>13978</v>
      </c>
      <c r="DW94" t="s">
        <v>13812</v>
      </c>
      <c r="DX94" t="s">
        <v>26748</v>
      </c>
      <c r="DY94" t="s">
        <v>26749</v>
      </c>
      <c r="DZ94" t="s">
        <v>26750</v>
      </c>
      <c r="EA94" t="s">
        <v>13772</v>
      </c>
      <c r="EB94" t="s">
        <v>26751</v>
      </c>
    </row>
    <row r="95" spans="1:132">
      <c r="A95">
        <v>1536</v>
      </c>
      <c r="B95">
        <v>1</v>
      </c>
      <c r="C95" t="s">
        <v>3647</v>
      </c>
      <c r="D95" t="s">
        <v>73</v>
      </c>
      <c r="E95" t="s">
        <v>73</v>
      </c>
      <c r="F95" t="s">
        <v>73</v>
      </c>
      <c r="G95" t="s">
        <v>73</v>
      </c>
      <c r="H95">
        <v>69.599999999999994</v>
      </c>
      <c r="I95">
        <v>322</v>
      </c>
      <c r="J95">
        <v>36015</v>
      </c>
      <c r="K95" t="s">
        <v>3648</v>
      </c>
      <c r="L95">
        <f t="shared" si="6"/>
        <v>476</v>
      </c>
      <c r="N95">
        <v>476</v>
      </c>
      <c r="O95">
        <v>476</v>
      </c>
      <c r="P95">
        <v>1</v>
      </c>
      <c r="Q95">
        <v>32</v>
      </c>
      <c r="R95">
        <v>27</v>
      </c>
      <c r="S95">
        <v>24</v>
      </c>
      <c r="T95">
        <v>9</v>
      </c>
      <c r="U95">
        <v>27</v>
      </c>
      <c r="V95">
        <v>39</v>
      </c>
      <c r="W95">
        <v>44</v>
      </c>
      <c r="X95">
        <v>34</v>
      </c>
      <c r="Y95">
        <v>22</v>
      </c>
      <c r="Z95">
        <v>2</v>
      </c>
      <c r="AA95">
        <v>45</v>
      </c>
      <c r="AB95">
        <v>27</v>
      </c>
      <c r="AC95">
        <v>35</v>
      </c>
      <c r="AD95">
        <v>6</v>
      </c>
      <c r="AE95">
        <v>21</v>
      </c>
      <c r="AF95">
        <v>33</v>
      </c>
      <c r="AG95">
        <v>15</v>
      </c>
      <c r="AH95">
        <v>13</v>
      </c>
      <c r="AI95">
        <v>21</v>
      </c>
      <c r="AJ95">
        <v>32</v>
      </c>
      <c r="AK95">
        <v>27</v>
      </c>
      <c r="AL95">
        <v>24</v>
      </c>
      <c r="AM95">
        <v>9</v>
      </c>
      <c r="AN95">
        <v>27</v>
      </c>
      <c r="AO95">
        <v>39</v>
      </c>
      <c r="AP95">
        <v>44</v>
      </c>
      <c r="AQ95">
        <v>34</v>
      </c>
      <c r="AR95">
        <v>22</v>
      </c>
      <c r="AS95">
        <v>2</v>
      </c>
      <c r="AT95">
        <v>45</v>
      </c>
      <c r="AU95">
        <v>27</v>
      </c>
      <c r="AV95">
        <v>35</v>
      </c>
      <c r="AW95">
        <v>6</v>
      </c>
      <c r="AX95">
        <v>21</v>
      </c>
      <c r="AY95">
        <v>33</v>
      </c>
      <c r="AZ95">
        <v>15</v>
      </c>
      <c r="BA95">
        <v>13</v>
      </c>
      <c r="BB95">
        <v>21</v>
      </c>
      <c r="BC95" s="2">
        <v>32</v>
      </c>
      <c r="BD95" s="2">
        <v>27</v>
      </c>
      <c r="BE95" s="2">
        <v>24</v>
      </c>
      <c r="BF95" s="2">
        <v>9</v>
      </c>
      <c r="BG95" s="2">
        <v>27</v>
      </c>
      <c r="BH95" s="2">
        <v>39</v>
      </c>
      <c r="BI95" s="2">
        <v>44</v>
      </c>
      <c r="BJ95" s="2">
        <v>34</v>
      </c>
      <c r="BK95" s="2">
        <v>22</v>
      </c>
      <c r="BL95" s="2">
        <v>2</v>
      </c>
      <c r="BM95" s="2">
        <v>45</v>
      </c>
      <c r="BN95" s="2">
        <v>27</v>
      </c>
      <c r="BO95" s="2">
        <v>35</v>
      </c>
      <c r="BP95" s="2">
        <v>6</v>
      </c>
      <c r="BQ95" s="2">
        <v>21</v>
      </c>
      <c r="BR95" s="2">
        <v>33</v>
      </c>
      <c r="BS95" s="2">
        <v>15</v>
      </c>
      <c r="BT95" s="2">
        <v>13</v>
      </c>
      <c r="BU95" s="2">
        <v>21</v>
      </c>
      <c r="BV95" s="2">
        <f t="shared" si="9"/>
        <v>476</v>
      </c>
      <c r="BW95" s="16">
        <f t="shared" si="7"/>
        <v>25.05263157894737</v>
      </c>
      <c r="BX95" s="16">
        <f>COUNTIF($BC$6:BU95, "=0") / COUNTIF($BC$6:BU95, "&gt;-1")</f>
        <v>2.1052631578947368E-2</v>
      </c>
      <c r="BY95" s="18">
        <f>SUM($BC$6:BU95) / $BY$4</f>
        <v>0.5447295177174879</v>
      </c>
      <c r="BZ95" s="14">
        <f t="shared" si="8"/>
        <v>0</v>
      </c>
      <c r="CA95" t="s">
        <v>5831</v>
      </c>
      <c r="CB95" s="36">
        <v>38.7725886667113</v>
      </c>
      <c r="CC95" s="36">
        <v>26.002731258291099</v>
      </c>
      <c r="CD95" s="36">
        <v>38.419143883494201</v>
      </c>
      <c r="CE95" s="36">
        <v>13.6072958323791</v>
      </c>
      <c r="CF95" s="36">
        <v>23.224761718296101</v>
      </c>
      <c r="CG95" s="36">
        <v>36.259362618940202</v>
      </c>
      <c r="CH95" s="36">
        <v>46.378740446044198</v>
      </c>
      <c r="CI95" s="36">
        <v>33.088242331398398</v>
      </c>
      <c r="CJ95" s="37">
        <v>17.484682451389101</v>
      </c>
      <c r="CK95" s="37">
        <v>28.379234109972899</v>
      </c>
      <c r="CL95" s="37">
        <v>21.601467403218301</v>
      </c>
      <c r="CM95" s="37">
        <v>29.629146630997901</v>
      </c>
      <c r="CN95" s="37">
        <v>19.294643882117398</v>
      </c>
      <c r="CO95" s="37">
        <v>26.043288822709101</v>
      </c>
      <c r="CP95" s="37">
        <v>22.628100717936299</v>
      </c>
      <c r="CQ95" s="37">
        <v>31.975373775967</v>
      </c>
      <c r="CR95" s="45">
        <v>-0.38139531088371398</v>
      </c>
      <c r="CS95" s="45">
        <v>-1.29800111400258</v>
      </c>
      <c r="CT95" s="46">
        <v>0.18677242826439899</v>
      </c>
      <c r="CU95" s="47">
        <v>0.24791816370810099</v>
      </c>
      <c r="CV95" s="48">
        <v>31.969108344444301</v>
      </c>
      <c r="CW95" s="49">
        <v>24.629492224288501</v>
      </c>
      <c r="CX95" s="31" t="s">
        <v>5875</v>
      </c>
      <c r="CY95" s="31" t="s">
        <v>5832</v>
      </c>
      <c r="CZ95" t="s">
        <v>10856</v>
      </c>
      <c r="DA95" t="s">
        <v>5904</v>
      </c>
      <c r="DB95">
        <v>611.70000000000005</v>
      </c>
      <c r="DC95" t="s">
        <v>28532</v>
      </c>
      <c r="DD95" t="s">
        <v>28533</v>
      </c>
      <c r="DE95" t="s">
        <v>28534</v>
      </c>
      <c r="DF95" t="s">
        <v>28535</v>
      </c>
      <c r="DG95" t="s">
        <v>28536</v>
      </c>
      <c r="DH95" t="str">
        <f>"LMAN2"</f>
        <v>LMAN2</v>
      </c>
      <c r="DI95" t="s">
        <v>28537</v>
      </c>
      <c r="DJ95" t="s">
        <v>13777</v>
      </c>
      <c r="DK95">
        <v>9606</v>
      </c>
      <c r="DL95" s="34" t="str">
        <f>HYPERLINK("http://www.uniprot.org/uniprot/Q12907", "Q12907")</f>
        <v>Q12907</v>
      </c>
      <c r="DM95" t="s">
        <v>28538</v>
      </c>
      <c r="DN95" t="s">
        <v>14347</v>
      </c>
      <c r="DO95" t="s">
        <v>17766</v>
      </c>
      <c r="DP95" t="s">
        <v>13772</v>
      </c>
      <c r="DQ95" t="s">
        <v>13772</v>
      </c>
      <c r="DR95" t="s">
        <v>13772</v>
      </c>
      <c r="DS95" t="s">
        <v>13855</v>
      </c>
      <c r="DT95" t="s">
        <v>14519</v>
      </c>
      <c r="DU95" t="s">
        <v>13772</v>
      </c>
      <c r="DV95" t="s">
        <v>13796</v>
      </c>
      <c r="DW95" t="s">
        <v>13772</v>
      </c>
      <c r="DX95" t="s">
        <v>28539</v>
      </c>
      <c r="DY95" t="s">
        <v>28540</v>
      </c>
      <c r="DZ95" t="s">
        <v>28541</v>
      </c>
      <c r="EA95" t="s">
        <v>13772</v>
      </c>
      <c r="EB95" t="s">
        <v>28542</v>
      </c>
    </row>
    <row r="96" spans="1:132" hidden="1">
      <c r="A96">
        <v>217</v>
      </c>
      <c r="B96">
        <v>1</v>
      </c>
      <c r="C96" t="s">
        <v>551</v>
      </c>
      <c r="D96" t="s">
        <v>73</v>
      </c>
      <c r="E96" t="s">
        <v>73</v>
      </c>
      <c r="F96" t="s">
        <v>552</v>
      </c>
      <c r="G96" t="s">
        <v>73</v>
      </c>
      <c r="H96">
        <v>31</v>
      </c>
      <c r="I96">
        <v>1939</v>
      </c>
      <c r="J96">
        <v>223034</v>
      </c>
      <c r="K96" t="s">
        <v>553</v>
      </c>
      <c r="L96">
        <f t="shared" si="6"/>
        <v>497</v>
      </c>
      <c r="N96">
        <v>497</v>
      </c>
      <c r="O96">
        <v>387</v>
      </c>
      <c r="P96">
        <v>0.77900000000000003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17</v>
      </c>
      <c r="X96">
        <v>16</v>
      </c>
      <c r="Y96">
        <v>39</v>
      </c>
      <c r="Z96">
        <v>24</v>
      </c>
      <c r="AA96">
        <v>58</v>
      </c>
      <c r="AB96">
        <v>38</v>
      </c>
      <c r="AC96">
        <v>25</v>
      </c>
      <c r="AD96">
        <v>0</v>
      </c>
      <c r="AE96">
        <v>133</v>
      </c>
      <c r="AF96">
        <v>104</v>
      </c>
      <c r="AG96">
        <v>9</v>
      </c>
      <c r="AH96">
        <v>12</v>
      </c>
      <c r="AI96">
        <v>20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11</v>
      </c>
      <c r="AQ96">
        <v>5</v>
      </c>
      <c r="AR96">
        <v>34</v>
      </c>
      <c r="AS96">
        <v>21</v>
      </c>
      <c r="AT96">
        <v>48</v>
      </c>
      <c r="AU96">
        <v>25</v>
      </c>
      <c r="AV96">
        <v>19</v>
      </c>
      <c r="AW96">
        <v>0</v>
      </c>
      <c r="AX96">
        <v>112</v>
      </c>
      <c r="AY96">
        <v>80</v>
      </c>
      <c r="AZ96">
        <v>5</v>
      </c>
      <c r="BA96">
        <v>9</v>
      </c>
      <c r="BB96">
        <v>18</v>
      </c>
      <c r="BC96" s="2">
        <v>0</v>
      </c>
      <c r="BD96" s="2">
        <v>0</v>
      </c>
      <c r="BE96" s="2">
        <v>0</v>
      </c>
      <c r="BF96" s="2">
        <v>0</v>
      </c>
      <c r="BG96" s="2">
        <v>0.2</v>
      </c>
      <c r="BH96" s="2">
        <v>0</v>
      </c>
      <c r="BI96" s="2">
        <v>14.619</v>
      </c>
      <c r="BJ96" s="2">
        <v>9.2309999999999999</v>
      </c>
      <c r="BK96" s="2">
        <v>38.615000000000002</v>
      </c>
      <c r="BL96" s="2">
        <v>23.954999999999998</v>
      </c>
      <c r="BM96" s="2">
        <v>55.12</v>
      </c>
      <c r="BN96" s="2">
        <v>33.692</v>
      </c>
      <c r="BO96" s="2">
        <v>23.41</v>
      </c>
      <c r="BP96" s="2">
        <v>0</v>
      </c>
      <c r="BQ96" s="2">
        <v>129.37100000000001</v>
      </c>
      <c r="BR96" s="2">
        <v>97.283000000000001</v>
      </c>
      <c r="BS96" s="2">
        <v>7.8570000000000002</v>
      </c>
      <c r="BT96" s="2">
        <v>11.455</v>
      </c>
      <c r="BU96" s="2">
        <v>19.783000000000001</v>
      </c>
      <c r="BV96" s="2">
        <f t="shared" si="9"/>
        <v>464.59100000000007</v>
      </c>
      <c r="BW96" s="16">
        <f t="shared" si="7"/>
        <v>24.452157894736846</v>
      </c>
      <c r="BX96" s="16">
        <f>COUNTIF($BC$6:BU96, "=0") / COUNTIF($BC$6:BU96, "&gt;-1")</f>
        <v>2.4291497975708502E-2</v>
      </c>
      <c r="BY96" s="18">
        <f>SUM($BC$6:BU96) / $BY$4</f>
        <v>0.54671965685395441</v>
      </c>
      <c r="BZ96" s="14">
        <f t="shared" si="8"/>
        <v>6</v>
      </c>
      <c r="CA96" t="s">
        <v>5831</v>
      </c>
      <c r="CB96" s="36">
        <v>0.30291084895868198</v>
      </c>
      <c r="CC96" s="36">
        <v>0.24076603016936199</v>
      </c>
      <c r="CD96" s="36">
        <v>0.40019941545306398</v>
      </c>
      <c r="CE96" s="36">
        <v>0.37798043978830698</v>
      </c>
      <c r="CF96" s="36">
        <v>0.172035271987378</v>
      </c>
      <c r="CG96" s="36">
        <v>0.23243181165987301</v>
      </c>
      <c r="CH96" s="36">
        <v>15.389309329823799</v>
      </c>
      <c r="CI96" s="36">
        <v>8.9532891014372105</v>
      </c>
      <c r="CJ96" s="37">
        <v>30.677670119255399</v>
      </c>
      <c r="CK96" s="37">
        <v>34.748795543544503</v>
      </c>
      <c r="CL96" s="37">
        <v>26.961831536609498</v>
      </c>
      <c r="CM96" s="37">
        <v>19.8092008904386</v>
      </c>
      <c r="CN96" s="37">
        <v>118.891758016476</v>
      </c>
      <c r="CO96" s="37">
        <v>76.788242498472698</v>
      </c>
      <c r="CP96" s="37">
        <v>11.917466378113099</v>
      </c>
      <c r="CQ96" s="37">
        <v>30.148209560197401</v>
      </c>
      <c r="CR96" s="45">
        <v>3.6702855935374799</v>
      </c>
      <c r="CS96" s="45">
        <v>13.4237683935247</v>
      </c>
      <c r="CT96" s="46">
        <v>2.03661931046549E-6</v>
      </c>
      <c r="CU96" s="47">
        <v>8.9052177692902903E-6</v>
      </c>
      <c r="CV96" s="48">
        <v>3.2586152811596998</v>
      </c>
      <c r="CW96" s="49">
        <v>43.742896817888401</v>
      </c>
      <c r="CX96" s="31" t="s">
        <v>5874</v>
      </c>
      <c r="CY96" s="31" t="s">
        <v>5876</v>
      </c>
      <c r="CZ96" t="s">
        <v>6446</v>
      </c>
      <c r="DA96" t="s">
        <v>5904</v>
      </c>
      <c r="DB96">
        <v>3816.5</v>
      </c>
      <c r="DC96" t="s">
        <v>15644</v>
      </c>
      <c r="DD96" t="s">
        <v>15645</v>
      </c>
      <c r="DE96" t="s">
        <v>15646</v>
      </c>
      <c r="DF96" t="s">
        <v>15647</v>
      </c>
      <c r="DG96" t="s">
        <v>15648</v>
      </c>
      <c r="DH96" t="str">
        <f>"MYH6"</f>
        <v>MYH6</v>
      </c>
      <c r="DI96" t="s">
        <v>15649</v>
      </c>
      <c r="DJ96" t="s">
        <v>13777</v>
      </c>
      <c r="DK96">
        <v>9606</v>
      </c>
      <c r="DL96" s="34" t="str">
        <f>HYPERLINK("http://www.uniprot.org/uniprot/P13533", "P13533")</f>
        <v>P13533</v>
      </c>
      <c r="DM96" t="s">
        <v>15650</v>
      </c>
      <c r="DN96" t="s">
        <v>13772</v>
      </c>
      <c r="DO96" t="s">
        <v>15651</v>
      </c>
      <c r="DP96" t="s">
        <v>13793</v>
      </c>
      <c r="DQ96" t="s">
        <v>13772</v>
      </c>
      <c r="DR96" t="s">
        <v>15652</v>
      </c>
      <c r="DS96" t="s">
        <v>14245</v>
      </c>
      <c r="DT96" t="s">
        <v>14005</v>
      </c>
      <c r="DU96" t="s">
        <v>15653</v>
      </c>
      <c r="DV96" t="s">
        <v>14478</v>
      </c>
      <c r="DW96" t="s">
        <v>13772</v>
      </c>
      <c r="DX96" t="s">
        <v>15654</v>
      </c>
      <c r="DY96" t="s">
        <v>15655</v>
      </c>
      <c r="DZ96" t="s">
        <v>15656</v>
      </c>
      <c r="EA96" t="s">
        <v>13772</v>
      </c>
      <c r="EB96" t="s">
        <v>15657</v>
      </c>
    </row>
    <row r="97" spans="1:132">
      <c r="A97">
        <v>2058</v>
      </c>
      <c r="B97">
        <v>1</v>
      </c>
      <c r="C97" t="s">
        <v>4838</v>
      </c>
      <c r="D97" t="s">
        <v>73</v>
      </c>
      <c r="E97" t="s">
        <v>73</v>
      </c>
      <c r="F97" t="s">
        <v>4839</v>
      </c>
      <c r="G97" t="s">
        <v>73</v>
      </c>
      <c r="H97">
        <v>37.4</v>
      </c>
      <c r="I97">
        <v>882</v>
      </c>
      <c r="J97">
        <v>97818</v>
      </c>
      <c r="K97" t="s">
        <v>4840</v>
      </c>
      <c r="L97">
        <f t="shared" si="6"/>
        <v>465</v>
      </c>
      <c r="N97">
        <v>465</v>
      </c>
      <c r="O97">
        <v>455</v>
      </c>
      <c r="P97">
        <v>0.97799999999999998</v>
      </c>
      <c r="Q97">
        <v>69</v>
      </c>
      <c r="R97">
        <v>26</v>
      </c>
      <c r="S97">
        <v>15</v>
      </c>
      <c r="T97">
        <v>10</v>
      </c>
      <c r="U97">
        <v>46</v>
      </c>
      <c r="V97">
        <v>30</v>
      </c>
      <c r="W97">
        <v>30</v>
      </c>
      <c r="X97">
        <v>31</v>
      </c>
      <c r="Y97">
        <v>21</v>
      </c>
      <c r="Z97">
        <v>2</v>
      </c>
      <c r="AA97">
        <v>32</v>
      </c>
      <c r="AB97">
        <v>30</v>
      </c>
      <c r="AC97">
        <v>11</v>
      </c>
      <c r="AD97">
        <v>6</v>
      </c>
      <c r="AE97">
        <v>17</v>
      </c>
      <c r="AF97">
        <v>31</v>
      </c>
      <c r="AG97">
        <v>27</v>
      </c>
      <c r="AH97">
        <v>5</v>
      </c>
      <c r="AI97">
        <v>26</v>
      </c>
      <c r="AJ97">
        <v>68</v>
      </c>
      <c r="AK97">
        <v>25</v>
      </c>
      <c r="AL97">
        <v>14</v>
      </c>
      <c r="AM97">
        <v>10</v>
      </c>
      <c r="AN97">
        <v>46</v>
      </c>
      <c r="AO97">
        <v>29</v>
      </c>
      <c r="AP97">
        <v>30</v>
      </c>
      <c r="AQ97">
        <v>30</v>
      </c>
      <c r="AR97">
        <v>21</v>
      </c>
      <c r="AS97">
        <v>2</v>
      </c>
      <c r="AT97">
        <v>32</v>
      </c>
      <c r="AU97">
        <v>29</v>
      </c>
      <c r="AV97">
        <v>11</v>
      </c>
      <c r="AW97">
        <v>6</v>
      </c>
      <c r="AX97">
        <v>17</v>
      </c>
      <c r="AY97">
        <v>30</v>
      </c>
      <c r="AZ97">
        <v>26</v>
      </c>
      <c r="BA97">
        <v>4</v>
      </c>
      <c r="BB97">
        <v>25</v>
      </c>
      <c r="BC97" s="2">
        <v>68.882999999999996</v>
      </c>
      <c r="BD97" s="2">
        <v>25.780999999999999</v>
      </c>
      <c r="BE97" s="2">
        <v>14.737</v>
      </c>
      <c r="BF97" s="2">
        <v>10</v>
      </c>
      <c r="BG97" s="2">
        <v>46</v>
      </c>
      <c r="BH97" s="2">
        <v>29.879000000000001</v>
      </c>
      <c r="BI97" s="2">
        <v>30</v>
      </c>
      <c r="BJ97" s="2">
        <v>30.968</v>
      </c>
      <c r="BK97" s="2">
        <v>21</v>
      </c>
      <c r="BL97" s="2">
        <v>2</v>
      </c>
      <c r="BM97" s="2">
        <v>32</v>
      </c>
      <c r="BN97" s="2">
        <v>29.673999999999999</v>
      </c>
      <c r="BO97" s="2">
        <v>11</v>
      </c>
      <c r="BP97" s="2">
        <v>6</v>
      </c>
      <c r="BQ97" s="2">
        <v>17</v>
      </c>
      <c r="BR97" s="2">
        <v>30.75</v>
      </c>
      <c r="BS97" s="2">
        <v>26.838999999999999</v>
      </c>
      <c r="BT97" s="2">
        <v>4.444</v>
      </c>
      <c r="BU97" s="2">
        <v>25.780999999999999</v>
      </c>
      <c r="BV97" s="2">
        <f t="shared" si="9"/>
        <v>462.73599999999999</v>
      </c>
      <c r="BW97" s="16">
        <f t="shared" si="7"/>
        <v>24.354526315789474</v>
      </c>
      <c r="BX97" s="16">
        <f>COUNTIF($BC$6:BU97, "=0") / COUNTIF($BC$6:BU97, "&gt;-1")</f>
        <v>2.4027459954233409E-2</v>
      </c>
      <c r="BY97" s="18">
        <f>SUM($BC$6:BU97) / $BY$4</f>
        <v>0.54870184984402937</v>
      </c>
      <c r="BZ97" s="14">
        <f t="shared" si="8"/>
        <v>0</v>
      </c>
      <c r="CA97" t="s">
        <v>5831</v>
      </c>
      <c r="CB97" s="36">
        <v>83.482229973012807</v>
      </c>
      <c r="CC97" s="36">
        <v>24.8470543134781</v>
      </c>
      <c r="CD97" s="36">
        <v>23.531725628640199</v>
      </c>
      <c r="CE97" s="36">
        <v>15.119217591532299</v>
      </c>
      <c r="CF97" s="36">
        <v>39.568112557097002</v>
      </c>
      <c r="CG97" s="36">
        <v>27.798844674520801</v>
      </c>
      <c r="CH97" s="36">
        <v>31.621868485939199</v>
      </c>
      <c r="CI97" s="36">
        <v>30.168691537451501</v>
      </c>
      <c r="CJ97" s="37">
        <v>16.689924158144098</v>
      </c>
      <c r="CK97" s="37">
        <v>20.180788700425101</v>
      </c>
      <c r="CL97" s="37">
        <v>23.7616141435401</v>
      </c>
      <c r="CM97" s="37">
        <v>9.3120175125993505</v>
      </c>
      <c r="CN97" s="37">
        <v>15.619473618856899</v>
      </c>
      <c r="CO97" s="37">
        <v>24.307069567861799</v>
      </c>
      <c r="CP97" s="37">
        <v>40.4288732827129</v>
      </c>
      <c r="CQ97" s="37">
        <v>39.284030639045099</v>
      </c>
      <c r="CR97" s="45">
        <v>-0.56818829930706005</v>
      </c>
      <c r="CS97" s="45">
        <v>-1.4565472206111401</v>
      </c>
      <c r="CT97" s="46">
        <v>0.147653311506246</v>
      </c>
      <c r="CU97" s="47">
        <v>0.19955568767207699</v>
      </c>
      <c r="CV97" s="48">
        <v>34.517218095209003</v>
      </c>
      <c r="CW97" s="49">
        <v>23.697973952898199</v>
      </c>
      <c r="CX97" s="31" t="s">
        <v>5875</v>
      </c>
      <c r="CY97" s="31" t="s">
        <v>5832</v>
      </c>
      <c r="CZ97" t="s">
        <v>12614</v>
      </c>
      <c r="DA97" t="s">
        <v>5904</v>
      </c>
      <c r="DB97">
        <v>1361.3</v>
      </c>
      <c r="DC97" t="s">
        <v>33480</v>
      </c>
      <c r="DD97" t="s">
        <v>33481</v>
      </c>
      <c r="DE97" t="s">
        <v>33482</v>
      </c>
      <c r="DF97" t="s">
        <v>33483</v>
      </c>
      <c r="DG97" t="s">
        <v>33484</v>
      </c>
      <c r="DH97" t="str">
        <f>"CDH1"</f>
        <v>CDH1</v>
      </c>
      <c r="DI97" t="s">
        <v>33485</v>
      </c>
      <c r="DJ97" t="s">
        <v>13777</v>
      </c>
      <c r="DK97">
        <v>9606</v>
      </c>
      <c r="DL97" s="34" t="str">
        <f>HYPERLINK("http://www.uniprot.org/uniprot/P12830", "P12830")</f>
        <v>P12830</v>
      </c>
      <c r="DM97" t="s">
        <v>33486</v>
      </c>
      <c r="DN97" t="s">
        <v>13949</v>
      </c>
      <c r="DO97" t="s">
        <v>33487</v>
      </c>
      <c r="DP97" t="s">
        <v>13780</v>
      </c>
      <c r="DQ97" t="s">
        <v>13772</v>
      </c>
      <c r="DR97" t="s">
        <v>19583</v>
      </c>
      <c r="DS97" t="s">
        <v>13826</v>
      </c>
      <c r="DT97" t="s">
        <v>13873</v>
      </c>
      <c r="DU97" t="s">
        <v>13772</v>
      </c>
      <c r="DV97" t="s">
        <v>33488</v>
      </c>
      <c r="DW97" t="s">
        <v>13812</v>
      </c>
      <c r="DX97" t="s">
        <v>33489</v>
      </c>
      <c r="DY97" t="s">
        <v>33490</v>
      </c>
      <c r="DZ97" t="s">
        <v>33491</v>
      </c>
      <c r="EA97" t="s">
        <v>13772</v>
      </c>
      <c r="EB97" t="s">
        <v>33492</v>
      </c>
    </row>
    <row r="98" spans="1:132">
      <c r="A98">
        <v>115</v>
      </c>
      <c r="B98">
        <v>1</v>
      </c>
      <c r="C98" t="s">
        <v>301</v>
      </c>
      <c r="D98" t="s">
        <v>73</v>
      </c>
      <c r="E98" t="s">
        <v>73</v>
      </c>
      <c r="F98" t="s">
        <v>73</v>
      </c>
      <c r="G98" t="s">
        <v>73</v>
      </c>
      <c r="H98">
        <v>75.7</v>
      </c>
      <c r="I98">
        <v>449</v>
      </c>
      <c r="J98">
        <v>49767</v>
      </c>
      <c r="K98" t="s">
        <v>302</v>
      </c>
      <c r="L98">
        <f t="shared" si="6"/>
        <v>458</v>
      </c>
      <c r="N98">
        <v>458</v>
      </c>
      <c r="O98">
        <v>458</v>
      </c>
      <c r="P98">
        <v>1</v>
      </c>
      <c r="Q98">
        <v>17</v>
      </c>
      <c r="R98">
        <v>8</v>
      </c>
      <c r="S98">
        <v>7</v>
      </c>
      <c r="T98">
        <v>11</v>
      </c>
      <c r="U98">
        <v>8</v>
      </c>
      <c r="V98">
        <v>6</v>
      </c>
      <c r="W98">
        <v>16</v>
      </c>
      <c r="X98">
        <v>9</v>
      </c>
      <c r="Y98">
        <v>52</v>
      </c>
      <c r="Z98">
        <v>11</v>
      </c>
      <c r="AA98">
        <v>66</v>
      </c>
      <c r="AB98">
        <v>35</v>
      </c>
      <c r="AC98">
        <v>28</v>
      </c>
      <c r="AD98">
        <v>3</v>
      </c>
      <c r="AE98">
        <v>26</v>
      </c>
      <c r="AF98">
        <v>59</v>
      </c>
      <c r="AG98">
        <v>28</v>
      </c>
      <c r="AH98">
        <v>4</v>
      </c>
      <c r="AI98">
        <v>64</v>
      </c>
      <c r="AJ98">
        <v>17</v>
      </c>
      <c r="AK98">
        <v>8</v>
      </c>
      <c r="AL98">
        <v>7</v>
      </c>
      <c r="AM98">
        <v>11</v>
      </c>
      <c r="AN98">
        <v>8</v>
      </c>
      <c r="AO98">
        <v>6</v>
      </c>
      <c r="AP98">
        <v>16</v>
      </c>
      <c r="AQ98">
        <v>9</v>
      </c>
      <c r="AR98">
        <v>52</v>
      </c>
      <c r="AS98">
        <v>11</v>
      </c>
      <c r="AT98">
        <v>66</v>
      </c>
      <c r="AU98">
        <v>35</v>
      </c>
      <c r="AV98">
        <v>28</v>
      </c>
      <c r="AW98">
        <v>3</v>
      </c>
      <c r="AX98">
        <v>26</v>
      </c>
      <c r="AY98">
        <v>59</v>
      </c>
      <c r="AZ98">
        <v>28</v>
      </c>
      <c r="BA98">
        <v>4</v>
      </c>
      <c r="BB98">
        <v>64</v>
      </c>
      <c r="BC98" s="2">
        <v>17</v>
      </c>
      <c r="BD98" s="2">
        <v>8</v>
      </c>
      <c r="BE98" s="2">
        <v>7</v>
      </c>
      <c r="BF98" s="2">
        <v>11</v>
      </c>
      <c r="BG98" s="2">
        <v>8</v>
      </c>
      <c r="BH98" s="2">
        <v>6</v>
      </c>
      <c r="BI98" s="2">
        <v>16</v>
      </c>
      <c r="BJ98" s="2">
        <v>9</v>
      </c>
      <c r="BK98" s="2">
        <v>52</v>
      </c>
      <c r="BL98" s="2">
        <v>11</v>
      </c>
      <c r="BM98" s="2">
        <v>66</v>
      </c>
      <c r="BN98" s="2">
        <v>35</v>
      </c>
      <c r="BO98" s="2">
        <v>28</v>
      </c>
      <c r="BP98" s="2">
        <v>3</v>
      </c>
      <c r="BQ98" s="2">
        <v>26</v>
      </c>
      <c r="BR98" s="2">
        <v>59</v>
      </c>
      <c r="BS98" s="2">
        <v>28</v>
      </c>
      <c r="BT98" s="2">
        <v>4</v>
      </c>
      <c r="BU98" s="2">
        <v>64</v>
      </c>
      <c r="BV98" s="2">
        <f t="shared" si="9"/>
        <v>458</v>
      </c>
      <c r="BW98" s="16">
        <f t="shared" si="7"/>
        <v>24.105263157894736</v>
      </c>
      <c r="BX98" s="16">
        <f>COUNTIF($BC$6:BU98, "=0") / COUNTIF($BC$6:BU98, "&gt;-1")</f>
        <v>2.3769100169779286E-2</v>
      </c>
      <c r="BY98" s="18">
        <f>SUM($BC$6:BU98) / $BY$4</f>
        <v>0.55066375552989422</v>
      </c>
      <c r="BZ98" s="14">
        <f t="shared" si="8"/>
        <v>0</v>
      </c>
      <c r="CA98" t="s">
        <v>5831</v>
      </c>
      <c r="CB98" s="36">
        <v>20.597937729190399</v>
      </c>
      <c r="CC98" s="36">
        <v>7.7045129654195703</v>
      </c>
      <c r="CD98" s="36">
        <v>11.2055836326858</v>
      </c>
      <c r="CE98" s="36">
        <v>16.631139350685501</v>
      </c>
      <c r="CF98" s="36">
        <v>6.8814108794951396</v>
      </c>
      <c r="CG98" s="36">
        <v>5.5783634798369501</v>
      </c>
      <c r="CH98" s="36">
        <v>16.8649965258343</v>
      </c>
      <c r="CI98" s="36">
        <v>8.7586523818407507</v>
      </c>
      <c r="CJ98" s="37">
        <v>41.327431248737803</v>
      </c>
      <c r="CK98" s="37">
        <v>41.622876694626903</v>
      </c>
      <c r="CL98" s="37">
        <v>28.001902189357001</v>
      </c>
      <c r="CM98" s="37">
        <v>23.703317304798301</v>
      </c>
      <c r="CN98" s="37">
        <v>23.888606711192999</v>
      </c>
      <c r="CO98" s="37">
        <v>46.562243652722401</v>
      </c>
      <c r="CP98" s="37">
        <v>42.239121340147797</v>
      </c>
      <c r="CQ98" s="37">
        <v>97.448758174375499</v>
      </c>
      <c r="CR98" s="45">
        <v>1.8704321907920101</v>
      </c>
      <c r="CS98" s="45">
        <v>3.6593584606595599</v>
      </c>
      <c r="CT98" s="46">
        <v>1.2366994444173499E-6</v>
      </c>
      <c r="CU98" s="47">
        <v>5.9953038283710596E-6</v>
      </c>
      <c r="CV98" s="48">
        <v>11.7778246181235</v>
      </c>
      <c r="CW98" s="49">
        <v>43.099282164494802</v>
      </c>
      <c r="CX98" s="31" t="s">
        <v>5874</v>
      </c>
      <c r="CY98" s="31" t="s">
        <v>5876</v>
      </c>
      <c r="CZ98" t="s">
        <v>6090</v>
      </c>
      <c r="DA98" t="s">
        <v>5904</v>
      </c>
      <c r="DB98">
        <v>599</v>
      </c>
      <c r="DC98" t="s">
        <v>14458</v>
      </c>
      <c r="DD98" t="s">
        <v>14459</v>
      </c>
      <c r="DE98" t="s">
        <v>14460</v>
      </c>
      <c r="DF98" t="s">
        <v>14461</v>
      </c>
      <c r="DG98" t="s">
        <v>14462</v>
      </c>
      <c r="DH98" t="str">
        <f>"CHGA"</f>
        <v>CHGA</v>
      </c>
      <c r="DI98" t="s">
        <v>13772</v>
      </c>
      <c r="DJ98" t="s">
        <v>13777</v>
      </c>
      <c r="DK98">
        <v>9606</v>
      </c>
      <c r="DL98" s="34" t="str">
        <f>HYPERLINK("http://www.uniprot.org/uniprot/P10645", "P10645")</f>
        <v>P10645</v>
      </c>
      <c r="DM98" t="s">
        <v>14463</v>
      </c>
      <c r="DN98" t="s">
        <v>13772</v>
      </c>
      <c r="DO98" t="s">
        <v>14464</v>
      </c>
      <c r="DP98" t="s">
        <v>13793</v>
      </c>
      <c r="DQ98" t="s">
        <v>13772</v>
      </c>
      <c r="DR98" t="s">
        <v>13772</v>
      </c>
      <c r="DS98" t="s">
        <v>13808</v>
      </c>
      <c r="DT98" t="s">
        <v>14465</v>
      </c>
      <c r="DU98" t="s">
        <v>14466</v>
      </c>
      <c r="DV98" t="s">
        <v>14467</v>
      </c>
      <c r="DW98" t="s">
        <v>13812</v>
      </c>
      <c r="DX98" t="s">
        <v>14468</v>
      </c>
      <c r="DY98" t="s">
        <v>14469</v>
      </c>
      <c r="DZ98" t="s">
        <v>13772</v>
      </c>
      <c r="EA98" t="s">
        <v>13772</v>
      </c>
      <c r="EB98" t="s">
        <v>14470</v>
      </c>
    </row>
    <row r="99" spans="1:132" hidden="1">
      <c r="A99">
        <v>289</v>
      </c>
      <c r="B99">
        <v>1</v>
      </c>
      <c r="C99" t="s">
        <v>729</v>
      </c>
      <c r="D99" t="s">
        <v>73</v>
      </c>
      <c r="E99" t="s">
        <v>73</v>
      </c>
      <c r="F99" t="s">
        <v>73</v>
      </c>
      <c r="G99" t="s">
        <v>73</v>
      </c>
      <c r="H99">
        <v>45</v>
      </c>
      <c r="I99">
        <v>974</v>
      </c>
      <c r="J99">
        <v>110109</v>
      </c>
      <c r="K99" t="s">
        <v>730</v>
      </c>
      <c r="L99">
        <f t="shared" si="6"/>
        <v>454</v>
      </c>
      <c r="N99">
        <v>454</v>
      </c>
      <c r="O99">
        <v>454</v>
      </c>
      <c r="P99">
        <v>1</v>
      </c>
      <c r="Q99">
        <v>22</v>
      </c>
      <c r="R99">
        <v>35</v>
      </c>
      <c r="S99">
        <v>23</v>
      </c>
      <c r="T99">
        <v>29</v>
      </c>
      <c r="U99">
        <v>43</v>
      </c>
      <c r="V99">
        <v>58</v>
      </c>
      <c r="W99">
        <v>41</v>
      </c>
      <c r="X99">
        <v>26</v>
      </c>
      <c r="Y99">
        <v>4</v>
      </c>
      <c r="Z99">
        <v>0</v>
      </c>
      <c r="AA99">
        <v>12</v>
      </c>
      <c r="AB99">
        <v>11</v>
      </c>
      <c r="AC99">
        <v>9</v>
      </c>
      <c r="AD99">
        <v>6</v>
      </c>
      <c r="AE99">
        <v>1</v>
      </c>
      <c r="AF99">
        <v>10</v>
      </c>
      <c r="AG99">
        <v>110</v>
      </c>
      <c r="AH99">
        <v>6</v>
      </c>
      <c r="AI99">
        <v>8</v>
      </c>
      <c r="AJ99">
        <v>22</v>
      </c>
      <c r="AK99">
        <v>35</v>
      </c>
      <c r="AL99">
        <v>23</v>
      </c>
      <c r="AM99">
        <v>29</v>
      </c>
      <c r="AN99">
        <v>43</v>
      </c>
      <c r="AO99">
        <v>58</v>
      </c>
      <c r="AP99">
        <v>41</v>
      </c>
      <c r="AQ99">
        <v>26</v>
      </c>
      <c r="AR99">
        <v>4</v>
      </c>
      <c r="AS99">
        <v>0</v>
      </c>
      <c r="AT99">
        <v>12</v>
      </c>
      <c r="AU99">
        <v>11</v>
      </c>
      <c r="AV99">
        <v>9</v>
      </c>
      <c r="AW99">
        <v>6</v>
      </c>
      <c r="AX99">
        <v>1</v>
      </c>
      <c r="AY99">
        <v>10</v>
      </c>
      <c r="AZ99">
        <v>110</v>
      </c>
      <c r="BA99">
        <v>6</v>
      </c>
      <c r="BB99">
        <v>8</v>
      </c>
      <c r="BC99" s="2">
        <v>22</v>
      </c>
      <c r="BD99" s="2">
        <v>35</v>
      </c>
      <c r="BE99" s="2">
        <v>23</v>
      </c>
      <c r="BF99" s="2">
        <v>29</v>
      </c>
      <c r="BG99" s="2">
        <v>43</v>
      </c>
      <c r="BH99" s="2">
        <v>58</v>
      </c>
      <c r="BI99" s="2">
        <v>41</v>
      </c>
      <c r="BJ99" s="2">
        <v>26</v>
      </c>
      <c r="BK99" s="2">
        <v>4</v>
      </c>
      <c r="BL99" s="2">
        <v>0</v>
      </c>
      <c r="BM99" s="2">
        <v>12</v>
      </c>
      <c r="BN99" s="2">
        <v>11</v>
      </c>
      <c r="BO99" s="2">
        <v>9</v>
      </c>
      <c r="BP99" s="2">
        <v>6</v>
      </c>
      <c r="BQ99" s="2">
        <v>1</v>
      </c>
      <c r="BR99" s="2">
        <v>10</v>
      </c>
      <c r="BS99" s="2">
        <v>110</v>
      </c>
      <c r="BT99" s="2">
        <v>6</v>
      </c>
      <c r="BU99" s="2">
        <v>8</v>
      </c>
      <c r="BV99" s="2">
        <f t="shared" si="9"/>
        <v>454</v>
      </c>
      <c r="BW99" s="16">
        <f t="shared" si="7"/>
        <v>23.894736842105264</v>
      </c>
      <c r="BX99" s="16">
        <f>COUNTIF($BC$6:BU99, "=0") / COUNTIF($BC$6:BU99, "&gt;-1")</f>
        <v>2.4076147816349383E-2</v>
      </c>
      <c r="BY99" s="18">
        <f>SUM($BC$6:BU99) / $BY$4</f>
        <v>0.55260852666828431</v>
      </c>
      <c r="BZ99" s="14">
        <f t="shared" si="8"/>
        <v>1</v>
      </c>
      <c r="CA99" t="s">
        <v>5831</v>
      </c>
      <c r="CB99" s="36">
        <v>26.656154708363999</v>
      </c>
      <c r="CC99" s="36">
        <v>33.707244223710603</v>
      </c>
      <c r="CD99" s="36">
        <v>36.8183462216819</v>
      </c>
      <c r="CE99" s="36">
        <v>43.845731015443697</v>
      </c>
      <c r="CF99" s="36">
        <v>36.9875834772864</v>
      </c>
      <c r="CG99" s="36">
        <v>53.924180305090502</v>
      </c>
      <c r="CH99" s="36">
        <v>43.2165535974503</v>
      </c>
      <c r="CI99" s="36">
        <v>25.302773547539999</v>
      </c>
      <c r="CJ99" s="37">
        <v>3.17903317297983</v>
      </c>
      <c r="CK99" s="37">
        <v>7.5677957626594301</v>
      </c>
      <c r="CL99" s="37">
        <v>8.8005978309407702</v>
      </c>
      <c r="CM99" s="37">
        <v>7.6189234193994704</v>
      </c>
      <c r="CN99" s="37">
        <v>0.91879256581511404</v>
      </c>
      <c r="CO99" s="37">
        <v>7.8919057038512497</v>
      </c>
      <c r="CP99" s="37">
        <v>165.93940526486699</v>
      </c>
      <c r="CQ99" s="37">
        <v>12.1810947717969</v>
      </c>
      <c r="CR99" s="45">
        <v>-0.51163966115341397</v>
      </c>
      <c r="CS99" s="45">
        <v>-1.40337229086656</v>
      </c>
      <c r="CT99" s="46">
        <v>0.47794811704460899</v>
      </c>
      <c r="CU99" s="47">
        <v>0.55705102840216603</v>
      </c>
      <c r="CV99" s="48">
        <v>37.557320887070901</v>
      </c>
      <c r="CW99" s="49">
        <v>26.762193561538702</v>
      </c>
      <c r="CX99" s="31" t="s">
        <v>5875</v>
      </c>
      <c r="CY99" s="31" t="s">
        <v>5832</v>
      </c>
      <c r="CZ99" t="s">
        <v>6696</v>
      </c>
      <c r="DA99" t="s">
        <v>5904</v>
      </c>
      <c r="DB99">
        <v>1545.4</v>
      </c>
      <c r="DC99" t="s">
        <v>16420</v>
      </c>
      <c r="DD99" t="s">
        <v>16421</v>
      </c>
      <c r="DE99" t="s">
        <v>16422</v>
      </c>
      <c r="DF99" t="s">
        <v>16423</v>
      </c>
      <c r="DG99" t="s">
        <v>16424</v>
      </c>
      <c r="DH99" t="str">
        <f>"ANPEP"</f>
        <v>ANPEP</v>
      </c>
      <c r="DI99" t="s">
        <v>16425</v>
      </c>
      <c r="DJ99" t="s">
        <v>13777</v>
      </c>
      <c r="DK99">
        <v>9606</v>
      </c>
      <c r="DL99" s="34" t="str">
        <f>HYPERLINK("http://www.uniprot.org/uniprot/P15144", "P15144")</f>
        <v>P15144</v>
      </c>
      <c r="DM99" t="s">
        <v>16426</v>
      </c>
      <c r="DN99" t="s">
        <v>16427</v>
      </c>
      <c r="DO99" t="s">
        <v>13792</v>
      </c>
      <c r="DP99" t="s">
        <v>13793</v>
      </c>
      <c r="DQ99" t="s">
        <v>13772</v>
      </c>
      <c r="DR99" t="s">
        <v>13772</v>
      </c>
      <c r="DS99" t="s">
        <v>14417</v>
      </c>
      <c r="DT99" t="s">
        <v>13856</v>
      </c>
      <c r="DU99" t="s">
        <v>16428</v>
      </c>
      <c r="DV99" t="s">
        <v>16429</v>
      </c>
      <c r="DW99" t="s">
        <v>13812</v>
      </c>
      <c r="DX99" t="s">
        <v>16430</v>
      </c>
      <c r="DY99" t="s">
        <v>16431</v>
      </c>
      <c r="DZ99" t="s">
        <v>16432</v>
      </c>
      <c r="EA99" t="s">
        <v>13772</v>
      </c>
      <c r="EB99" t="s">
        <v>16433</v>
      </c>
    </row>
    <row r="100" spans="1:132" hidden="1">
      <c r="A100">
        <v>1361</v>
      </c>
      <c r="B100">
        <v>1</v>
      </c>
      <c r="C100" t="s">
        <v>3254</v>
      </c>
      <c r="D100" t="s">
        <v>73</v>
      </c>
      <c r="E100" t="s">
        <v>73</v>
      </c>
      <c r="F100" t="s">
        <v>73</v>
      </c>
      <c r="G100" t="s">
        <v>73</v>
      </c>
      <c r="H100">
        <v>43.8</v>
      </c>
      <c r="I100">
        <v>1206</v>
      </c>
      <c r="J100">
        <v>133324</v>
      </c>
      <c r="K100" t="s">
        <v>3255</v>
      </c>
      <c r="L100">
        <f t="shared" si="6"/>
        <v>452</v>
      </c>
      <c r="M100" s="3">
        <v>30</v>
      </c>
      <c r="N100">
        <v>452</v>
      </c>
      <c r="O100">
        <v>452</v>
      </c>
      <c r="P100">
        <v>1</v>
      </c>
      <c r="Q100">
        <v>43</v>
      </c>
      <c r="R100">
        <v>82</v>
      </c>
      <c r="S100">
        <v>33</v>
      </c>
      <c r="T100">
        <v>49</v>
      </c>
      <c r="U100">
        <v>48</v>
      </c>
      <c r="V100">
        <v>38</v>
      </c>
      <c r="W100">
        <v>64</v>
      </c>
      <c r="X100">
        <v>31</v>
      </c>
      <c r="Y100">
        <v>3</v>
      </c>
      <c r="Z100">
        <v>0</v>
      </c>
      <c r="AA100">
        <v>10</v>
      </c>
      <c r="AB100">
        <v>6</v>
      </c>
      <c r="AC100">
        <v>5</v>
      </c>
      <c r="AD100">
        <v>3</v>
      </c>
      <c r="AE100">
        <v>6</v>
      </c>
      <c r="AF100">
        <v>13</v>
      </c>
      <c r="AG100">
        <v>0</v>
      </c>
      <c r="AH100">
        <v>1</v>
      </c>
      <c r="AI100">
        <v>17</v>
      </c>
      <c r="AJ100">
        <v>43</v>
      </c>
      <c r="AK100">
        <v>82</v>
      </c>
      <c r="AL100">
        <v>33</v>
      </c>
      <c r="AM100">
        <v>49</v>
      </c>
      <c r="AN100">
        <v>48</v>
      </c>
      <c r="AO100">
        <v>38</v>
      </c>
      <c r="AP100">
        <v>64</v>
      </c>
      <c r="AQ100">
        <v>31</v>
      </c>
      <c r="AR100">
        <v>3</v>
      </c>
      <c r="AS100">
        <v>0</v>
      </c>
      <c r="AT100">
        <v>10</v>
      </c>
      <c r="AU100">
        <v>6</v>
      </c>
      <c r="AV100">
        <v>5</v>
      </c>
      <c r="AW100">
        <v>3</v>
      </c>
      <c r="AX100">
        <v>6</v>
      </c>
      <c r="AY100">
        <v>13</v>
      </c>
      <c r="AZ100">
        <v>0</v>
      </c>
      <c r="BA100">
        <v>1</v>
      </c>
      <c r="BB100">
        <v>17</v>
      </c>
      <c r="BC100" s="2">
        <v>43</v>
      </c>
      <c r="BD100" s="2">
        <v>82</v>
      </c>
      <c r="BE100" s="2">
        <v>33</v>
      </c>
      <c r="BF100" s="2">
        <v>49</v>
      </c>
      <c r="BG100" s="2">
        <v>48</v>
      </c>
      <c r="BH100" s="2">
        <v>38</v>
      </c>
      <c r="BI100" s="2">
        <v>64</v>
      </c>
      <c r="BJ100" s="2">
        <v>31</v>
      </c>
      <c r="BK100" s="2">
        <v>3</v>
      </c>
      <c r="BL100" s="2">
        <v>0</v>
      </c>
      <c r="BM100" s="2">
        <v>10</v>
      </c>
      <c r="BN100" s="2">
        <v>6</v>
      </c>
      <c r="BO100" s="2">
        <v>5</v>
      </c>
      <c r="BP100" s="2">
        <v>3</v>
      </c>
      <c r="BQ100" s="2">
        <v>6</v>
      </c>
      <c r="BR100" s="2">
        <v>13</v>
      </c>
      <c r="BS100" s="2">
        <v>0</v>
      </c>
      <c r="BT100" s="2">
        <v>1</v>
      </c>
      <c r="BU100" s="2">
        <v>17</v>
      </c>
      <c r="BV100" s="2">
        <f t="shared" si="9"/>
        <v>452</v>
      </c>
      <c r="BW100" s="16">
        <f t="shared" si="7"/>
        <v>23.789473684210527</v>
      </c>
      <c r="BX100" s="16">
        <f>COUNTIF($BC$6:BU100, "=0") / COUNTIF($BC$6:BU100, "&gt;-1")</f>
        <v>2.4930747922437674E-2</v>
      </c>
      <c r="BY100" s="18">
        <f>SUM($BC$6:BU100) / $BY$4</f>
        <v>0.55454473053293685</v>
      </c>
      <c r="BZ100" s="14">
        <f t="shared" si="8"/>
        <v>2</v>
      </c>
      <c r="CA100" t="s">
        <v>5831</v>
      </c>
      <c r="CB100" s="36">
        <v>52.100666020893399</v>
      </c>
      <c r="CC100" s="36">
        <v>78.971257895550593</v>
      </c>
      <c r="CD100" s="36">
        <v>52.826322839804497</v>
      </c>
      <c r="CE100" s="36">
        <v>74.084166198508299</v>
      </c>
      <c r="CF100" s="36">
        <v>41.288465276970797</v>
      </c>
      <c r="CG100" s="36">
        <v>35.3296353723007</v>
      </c>
      <c r="CH100" s="36">
        <v>67.459986103337002</v>
      </c>
      <c r="CI100" s="36">
        <v>30.168691537451501</v>
      </c>
      <c r="CJ100" s="37">
        <v>2.3842748797348698</v>
      </c>
      <c r="CK100" s="37">
        <v>6.3064964688828598</v>
      </c>
      <c r="CL100" s="37">
        <v>4.8003260896040603</v>
      </c>
      <c r="CM100" s="37">
        <v>4.2327352329997003</v>
      </c>
      <c r="CN100" s="37">
        <v>5.5127553948906796</v>
      </c>
      <c r="CO100" s="37">
        <v>10.2594774150066</v>
      </c>
      <c r="CP100" s="37">
        <v>0.377135011965606</v>
      </c>
      <c r="CQ100" s="37">
        <v>25.884826390068501</v>
      </c>
      <c r="CR100" s="45">
        <v>-2.88669301714233</v>
      </c>
      <c r="CS100" s="45">
        <v>-7.2329896716631996</v>
      </c>
      <c r="CT100" s="46">
        <v>6.7562825071215798E-10</v>
      </c>
      <c r="CU100" s="47">
        <v>9.2243938719680404E-9</v>
      </c>
      <c r="CV100" s="48">
        <v>54.028648905602097</v>
      </c>
      <c r="CW100" s="49">
        <v>7.46975336039411</v>
      </c>
      <c r="CX100" s="31" t="s">
        <v>5875</v>
      </c>
      <c r="CY100" s="31" t="s">
        <v>5876</v>
      </c>
      <c r="CZ100" t="s">
        <v>10281</v>
      </c>
      <c r="DA100" t="s">
        <v>5904</v>
      </c>
      <c r="DB100">
        <v>1928.7</v>
      </c>
      <c r="DC100" t="s">
        <v>26941</v>
      </c>
      <c r="DD100" t="s">
        <v>26942</v>
      </c>
      <c r="DE100" t="s">
        <v>26943</v>
      </c>
      <c r="DF100" t="s">
        <v>26944</v>
      </c>
      <c r="DG100" t="s">
        <v>26945</v>
      </c>
      <c r="DH100" t="str">
        <f>"EGF"</f>
        <v>EGF</v>
      </c>
      <c r="DI100" t="s">
        <v>13772</v>
      </c>
      <c r="DJ100" t="s">
        <v>13777</v>
      </c>
      <c r="DK100">
        <v>9606</v>
      </c>
      <c r="DL100" s="34" t="str">
        <f>HYPERLINK("http://www.uniprot.org/uniprot/P01133", "P01133")</f>
        <v>P01133</v>
      </c>
      <c r="DM100" t="s">
        <v>26946</v>
      </c>
      <c r="DN100" t="s">
        <v>13772</v>
      </c>
      <c r="DO100" t="s">
        <v>13825</v>
      </c>
      <c r="DP100" t="s">
        <v>13780</v>
      </c>
      <c r="DQ100" t="s">
        <v>13772</v>
      </c>
      <c r="DR100" t="s">
        <v>19050</v>
      </c>
      <c r="DS100" t="s">
        <v>13963</v>
      </c>
      <c r="DT100" t="s">
        <v>13772</v>
      </c>
      <c r="DU100" t="s">
        <v>15740</v>
      </c>
      <c r="DV100" t="s">
        <v>13796</v>
      </c>
      <c r="DW100" t="s">
        <v>13812</v>
      </c>
      <c r="DX100" t="s">
        <v>26947</v>
      </c>
      <c r="DY100" t="s">
        <v>26948</v>
      </c>
      <c r="DZ100" t="s">
        <v>26949</v>
      </c>
      <c r="EA100" t="s">
        <v>13772</v>
      </c>
      <c r="EB100" t="s">
        <v>26950</v>
      </c>
    </row>
    <row r="101" spans="1:132">
      <c r="A101">
        <v>2430</v>
      </c>
      <c r="B101">
        <v>1</v>
      </c>
      <c r="C101" t="s">
        <v>5688</v>
      </c>
      <c r="D101" t="s">
        <v>73</v>
      </c>
      <c r="E101" t="s">
        <v>5689</v>
      </c>
      <c r="F101" t="s">
        <v>5690</v>
      </c>
      <c r="G101" t="s">
        <v>73</v>
      </c>
      <c r="H101">
        <v>64.5</v>
      </c>
      <c r="I101">
        <v>377</v>
      </c>
      <c r="J101">
        <v>38822</v>
      </c>
      <c r="K101" t="s">
        <v>5691</v>
      </c>
      <c r="L101">
        <f t="shared" si="6"/>
        <v>860</v>
      </c>
      <c r="N101">
        <v>860</v>
      </c>
      <c r="O101">
        <v>261</v>
      </c>
      <c r="P101">
        <v>0.30299999999999999</v>
      </c>
      <c r="Q101">
        <v>30</v>
      </c>
      <c r="R101">
        <v>43</v>
      </c>
      <c r="S101">
        <v>13</v>
      </c>
      <c r="T101">
        <v>35</v>
      </c>
      <c r="U101">
        <v>74</v>
      </c>
      <c r="V101">
        <v>50</v>
      </c>
      <c r="W101">
        <v>26</v>
      </c>
      <c r="X101">
        <v>31</v>
      </c>
      <c r="Y101">
        <v>66</v>
      </c>
      <c r="Z101">
        <v>16</v>
      </c>
      <c r="AA101">
        <v>80</v>
      </c>
      <c r="AB101">
        <v>76</v>
      </c>
      <c r="AC101">
        <v>62</v>
      </c>
      <c r="AD101">
        <v>16</v>
      </c>
      <c r="AE101">
        <v>98</v>
      </c>
      <c r="AF101">
        <v>74</v>
      </c>
      <c r="AG101">
        <v>23</v>
      </c>
      <c r="AH101">
        <v>19</v>
      </c>
      <c r="AI101">
        <v>28</v>
      </c>
      <c r="AJ101">
        <v>5</v>
      </c>
      <c r="AK101">
        <v>11</v>
      </c>
      <c r="AL101">
        <v>2</v>
      </c>
      <c r="AM101">
        <v>12</v>
      </c>
      <c r="AN101">
        <v>12</v>
      </c>
      <c r="AO101">
        <v>19</v>
      </c>
      <c r="AP101">
        <v>7</v>
      </c>
      <c r="AQ101">
        <v>9</v>
      </c>
      <c r="AR101">
        <v>23</v>
      </c>
      <c r="AS101">
        <v>4</v>
      </c>
      <c r="AT101">
        <v>37</v>
      </c>
      <c r="AU101">
        <v>17</v>
      </c>
      <c r="AV101">
        <v>16</v>
      </c>
      <c r="AW101">
        <v>4</v>
      </c>
      <c r="AX101">
        <v>43</v>
      </c>
      <c r="AY101">
        <v>28</v>
      </c>
      <c r="AZ101">
        <v>3</v>
      </c>
      <c r="BA101">
        <v>1</v>
      </c>
      <c r="BB101">
        <v>8</v>
      </c>
      <c r="BC101" s="2">
        <v>12.913</v>
      </c>
      <c r="BD101" s="2">
        <v>21.137</v>
      </c>
      <c r="BE101" s="2">
        <v>5.4820000000000002</v>
      </c>
      <c r="BF101" s="2">
        <v>19.257999999999999</v>
      </c>
      <c r="BG101" s="2">
        <v>31.55</v>
      </c>
      <c r="BH101" s="2">
        <v>28.722999999999999</v>
      </c>
      <c r="BI101" s="2">
        <v>12.999000000000001</v>
      </c>
      <c r="BJ101" s="2">
        <v>15.896000000000001</v>
      </c>
      <c r="BK101" s="2">
        <v>36.756</v>
      </c>
      <c r="BL101" s="2">
        <v>7.7930000000000001</v>
      </c>
      <c r="BM101" s="2">
        <v>50.704999999999998</v>
      </c>
      <c r="BN101" s="2">
        <v>35.686999999999998</v>
      </c>
      <c r="BO101" s="2">
        <v>30.533000000000001</v>
      </c>
      <c r="BP101" s="2">
        <v>7.7930000000000001</v>
      </c>
      <c r="BQ101" s="2">
        <v>60.668999999999997</v>
      </c>
      <c r="BR101" s="2">
        <v>42.619</v>
      </c>
      <c r="BS101" s="2">
        <v>9.2929999999999993</v>
      </c>
      <c r="BT101" s="2">
        <v>6.7060000000000004</v>
      </c>
      <c r="BU101" s="2">
        <v>14.292999999999999</v>
      </c>
      <c r="BV101" s="2">
        <f t="shared" si="9"/>
        <v>450.80500000000006</v>
      </c>
      <c r="BW101" s="16">
        <f t="shared" si="7"/>
        <v>23.726578947368424</v>
      </c>
      <c r="BX101" s="16">
        <f>COUNTIF($BC$6:BU101, "=0") / COUNTIF($BC$6:BU101, "&gt;-1")</f>
        <v>2.4671052631578948E-2</v>
      </c>
      <c r="BY101" s="18">
        <f>SUM($BC$6:BU101) / $BY$4</f>
        <v>0.55647581545153146</v>
      </c>
      <c r="BZ101" s="14">
        <f t="shared" si="8"/>
        <v>0</v>
      </c>
      <c r="CA101" t="s">
        <v>5831</v>
      </c>
      <c r="CB101" s="36">
        <v>15.630199806267999</v>
      </c>
      <c r="CC101" s="36">
        <v>20.3206529462941</v>
      </c>
      <c r="CD101" s="36">
        <v>8.8043871399674192</v>
      </c>
      <c r="CE101" s="36">
        <v>29.180089951657301</v>
      </c>
      <c r="CF101" s="36">
        <v>27.1815729740058</v>
      </c>
      <c r="CG101" s="36">
        <v>26.6831719785534</v>
      </c>
      <c r="CH101" s="36">
        <v>13.7028096772403</v>
      </c>
      <c r="CI101" s="36">
        <v>15.4736192079187</v>
      </c>
      <c r="CJ101" s="37">
        <v>29.247105191414398</v>
      </c>
      <c r="CK101" s="37">
        <v>31.973937097236099</v>
      </c>
      <c r="CL101" s="37">
        <v>28.561940233144099</v>
      </c>
      <c r="CM101" s="37">
        <v>25.819684921298201</v>
      </c>
      <c r="CN101" s="37">
        <v>55.770708744977398</v>
      </c>
      <c r="CO101" s="37">
        <v>33.619518298406298</v>
      </c>
      <c r="CP101" s="37">
        <v>14.029422445120501</v>
      </c>
      <c r="CQ101" s="37">
        <v>21.773706904587002</v>
      </c>
      <c r="CR101" s="45">
        <v>0.61929020046691496</v>
      </c>
      <c r="CS101" s="45">
        <v>1.5339622057332201</v>
      </c>
      <c r="CT101" s="46">
        <v>6.0312820497132602E-2</v>
      </c>
      <c r="CU101" s="47">
        <v>9.1081889193186605E-2</v>
      </c>
      <c r="CV101" s="48">
        <v>19.6220629602381</v>
      </c>
      <c r="CW101" s="49">
        <v>30.099502979522999</v>
      </c>
      <c r="CX101" s="31" t="s">
        <v>5874</v>
      </c>
      <c r="CY101" s="31" t="s">
        <v>5877</v>
      </c>
      <c r="CZ101" t="s">
        <v>9860</v>
      </c>
      <c r="DA101" t="s">
        <v>5904</v>
      </c>
      <c r="DB101">
        <v>716.5</v>
      </c>
      <c r="DC101" t="s">
        <v>25737</v>
      </c>
      <c r="DD101" t="s">
        <v>25738</v>
      </c>
      <c r="DE101" t="s">
        <v>25739</v>
      </c>
      <c r="DF101" t="s">
        <v>25740</v>
      </c>
      <c r="DG101" t="s">
        <v>25741</v>
      </c>
      <c r="DH101" t="str">
        <f>"ACTA1"</f>
        <v>ACTA1</v>
      </c>
      <c r="DI101" t="s">
        <v>25742</v>
      </c>
      <c r="DJ101" t="s">
        <v>13777</v>
      </c>
      <c r="DK101">
        <v>9606</v>
      </c>
      <c r="DL101" s="34" t="str">
        <f>HYPERLINK("http://www.uniprot.org/uniprot/P68133", "P68133")</f>
        <v>P68133</v>
      </c>
      <c r="DM101" t="s">
        <v>25743</v>
      </c>
      <c r="DN101" t="s">
        <v>13772</v>
      </c>
      <c r="DO101" t="s">
        <v>13988</v>
      </c>
      <c r="DP101" t="s">
        <v>13772</v>
      </c>
      <c r="DQ101" t="s">
        <v>13772</v>
      </c>
      <c r="DR101" t="s">
        <v>15844</v>
      </c>
      <c r="DS101" t="s">
        <v>13772</v>
      </c>
      <c r="DT101" t="s">
        <v>14005</v>
      </c>
      <c r="DU101" t="s">
        <v>17512</v>
      </c>
      <c r="DV101" t="s">
        <v>25744</v>
      </c>
      <c r="DW101" t="s">
        <v>13772</v>
      </c>
      <c r="DX101" t="s">
        <v>25745</v>
      </c>
      <c r="DY101" t="s">
        <v>25746</v>
      </c>
      <c r="DZ101" t="s">
        <v>25747</v>
      </c>
      <c r="EA101" t="s">
        <v>13772</v>
      </c>
      <c r="EB101" t="s">
        <v>15657</v>
      </c>
    </row>
    <row r="102" spans="1:132" hidden="1">
      <c r="A102">
        <v>1975</v>
      </c>
      <c r="B102">
        <v>1</v>
      </c>
      <c r="C102" t="s">
        <v>4652</v>
      </c>
      <c r="D102" t="s">
        <v>73</v>
      </c>
      <c r="E102" t="s">
        <v>73</v>
      </c>
      <c r="F102" t="s">
        <v>73</v>
      </c>
      <c r="G102" t="s">
        <v>73</v>
      </c>
      <c r="H102">
        <v>44.3</v>
      </c>
      <c r="I102">
        <v>1679</v>
      </c>
      <c r="J102">
        <v>189093</v>
      </c>
      <c r="K102" t="s">
        <v>4653</v>
      </c>
      <c r="L102">
        <f t="shared" si="6"/>
        <v>450</v>
      </c>
      <c r="N102">
        <v>450</v>
      </c>
      <c r="O102">
        <v>450</v>
      </c>
      <c r="P102">
        <v>1</v>
      </c>
      <c r="Q102">
        <v>5</v>
      </c>
      <c r="R102">
        <v>17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4</v>
      </c>
      <c r="Y102">
        <v>1</v>
      </c>
      <c r="Z102">
        <v>83</v>
      </c>
      <c r="AA102">
        <v>11</v>
      </c>
      <c r="AB102">
        <v>6</v>
      </c>
      <c r="AC102">
        <v>68</v>
      </c>
      <c r="AD102">
        <v>104</v>
      </c>
      <c r="AE102">
        <v>25</v>
      </c>
      <c r="AF102">
        <v>12</v>
      </c>
      <c r="AG102">
        <v>39</v>
      </c>
      <c r="AH102">
        <v>31</v>
      </c>
      <c r="AI102">
        <v>42</v>
      </c>
      <c r="AJ102">
        <v>5</v>
      </c>
      <c r="AK102">
        <v>17</v>
      </c>
      <c r="AL102">
        <v>0</v>
      </c>
      <c r="AM102">
        <v>0</v>
      </c>
      <c r="AN102">
        <v>2</v>
      </c>
      <c r="AO102">
        <v>0</v>
      </c>
      <c r="AP102">
        <v>0</v>
      </c>
      <c r="AQ102">
        <v>4</v>
      </c>
      <c r="AR102">
        <v>1</v>
      </c>
      <c r="AS102">
        <v>83</v>
      </c>
      <c r="AT102">
        <v>11</v>
      </c>
      <c r="AU102">
        <v>6</v>
      </c>
      <c r="AV102">
        <v>68</v>
      </c>
      <c r="AW102">
        <v>104</v>
      </c>
      <c r="AX102">
        <v>25</v>
      </c>
      <c r="AY102">
        <v>12</v>
      </c>
      <c r="AZ102">
        <v>39</v>
      </c>
      <c r="BA102">
        <v>31</v>
      </c>
      <c r="BB102">
        <v>42</v>
      </c>
      <c r="BC102" s="2">
        <v>5</v>
      </c>
      <c r="BD102" s="2">
        <v>17</v>
      </c>
      <c r="BE102" s="2">
        <v>0</v>
      </c>
      <c r="BF102" s="2">
        <v>0</v>
      </c>
      <c r="BG102" s="2">
        <v>2</v>
      </c>
      <c r="BH102" s="2">
        <v>0</v>
      </c>
      <c r="BI102" s="2">
        <v>0</v>
      </c>
      <c r="BJ102" s="2">
        <v>4</v>
      </c>
      <c r="BK102" s="2">
        <v>1</v>
      </c>
      <c r="BL102" s="2">
        <v>83</v>
      </c>
      <c r="BM102" s="2">
        <v>11</v>
      </c>
      <c r="BN102" s="2">
        <v>6</v>
      </c>
      <c r="BO102" s="2">
        <v>68</v>
      </c>
      <c r="BP102" s="2">
        <v>104</v>
      </c>
      <c r="BQ102" s="2">
        <v>25</v>
      </c>
      <c r="BR102" s="2">
        <v>12</v>
      </c>
      <c r="BS102" s="2">
        <v>39</v>
      </c>
      <c r="BT102" s="2">
        <v>31</v>
      </c>
      <c r="BU102" s="2">
        <v>42</v>
      </c>
      <c r="BV102" s="2">
        <f t="shared" si="9"/>
        <v>450</v>
      </c>
      <c r="BW102" s="16">
        <f t="shared" si="7"/>
        <v>23.684210526315791</v>
      </c>
      <c r="BX102" s="16">
        <f>COUNTIF($BC$6:BU102, "=0") / COUNTIF($BC$6:BU102, "&gt;-1")</f>
        <v>2.6587086272381984E-2</v>
      </c>
      <c r="BY102" s="18">
        <f>SUM($BC$6:BU102) / $BY$4</f>
        <v>0.55840345204244668</v>
      </c>
      <c r="BZ102" s="14">
        <f t="shared" si="8"/>
        <v>4</v>
      </c>
      <c r="CA102" t="s">
        <v>5831</v>
      </c>
      <c r="CB102" s="36">
        <v>6.0582169791736504</v>
      </c>
      <c r="CC102" s="36">
        <v>16.372090051516601</v>
      </c>
      <c r="CD102" s="36">
        <v>0.40019941545306398</v>
      </c>
      <c r="CE102" s="36">
        <v>0.37798043978830698</v>
      </c>
      <c r="CF102" s="36">
        <v>1.72035271987378</v>
      </c>
      <c r="CG102" s="36">
        <v>0.23243181165987301</v>
      </c>
      <c r="CH102" s="36">
        <v>0.26351557071616</v>
      </c>
      <c r="CI102" s="36">
        <v>3.8927343919292201</v>
      </c>
      <c r="CJ102" s="37">
        <v>0.79475829324495695</v>
      </c>
      <c r="CK102" s="37">
        <v>6.9371461157711396</v>
      </c>
      <c r="CL102" s="37">
        <v>4.8003260896040603</v>
      </c>
      <c r="CM102" s="37">
        <v>57.565199168795999</v>
      </c>
      <c r="CN102" s="37">
        <v>22.9698141453778</v>
      </c>
      <c r="CO102" s="37">
        <v>9.4702868446214996</v>
      </c>
      <c r="CP102" s="37">
        <v>58.833061866634502</v>
      </c>
      <c r="CQ102" s="37">
        <v>63.950747551933901</v>
      </c>
      <c r="CR102" s="45">
        <v>2.8624980099075401</v>
      </c>
      <c r="CS102" s="45">
        <v>7.6855521704793404</v>
      </c>
      <c r="CT102" s="46">
        <v>6.5867213823180904E-4</v>
      </c>
      <c r="CU102" s="47">
        <v>1.5673268991058299E-3</v>
      </c>
      <c r="CV102" s="48">
        <v>3.6646901725138301</v>
      </c>
      <c r="CW102" s="49">
        <v>28.165167509498001</v>
      </c>
      <c r="CX102" s="31" t="s">
        <v>5874</v>
      </c>
      <c r="CY102" s="31" t="s">
        <v>5876</v>
      </c>
      <c r="CZ102" t="s">
        <v>12339</v>
      </c>
      <c r="DA102" t="s">
        <v>5904</v>
      </c>
      <c r="DB102">
        <v>2947.5</v>
      </c>
      <c r="DC102" t="s">
        <v>32710</v>
      </c>
      <c r="DD102" t="s">
        <v>32711</v>
      </c>
      <c r="DE102" t="s">
        <v>32712</v>
      </c>
      <c r="DF102" t="s">
        <v>32713</v>
      </c>
      <c r="DG102" t="s">
        <v>32714</v>
      </c>
      <c r="DH102" t="str">
        <f>"C5"</f>
        <v>C5</v>
      </c>
      <c r="DI102" t="s">
        <v>32715</v>
      </c>
      <c r="DJ102" t="s">
        <v>13777</v>
      </c>
      <c r="DK102">
        <v>9606</v>
      </c>
      <c r="DL102" s="34" t="str">
        <f>HYPERLINK("http://www.uniprot.org/uniprot/P01031", "P01031")</f>
        <v>P01031</v>
      </c>
      <c r="DM102" t="s">
        <v>32716</v>
      </c>
      <c r="DN102" t="s">
        <v>32717</v>
      </c>
      <c r="DO102" t="s">
        <v>20220</v>
      </c>
      <c r="DP102" t="s">
        <v>13793</v>
      </c>
      <c r="DQ102" t="s">
        <v>13772</v>
      </c>
      <c r="DR102" t="s">
        <v>13772</v>
      </c>
      <c r="DS102" t="s">
        <v>13808</v>
      </c>
      <c r="DT102" t="s">
        <v>13772</v>
      </c>
      <c r="DU102" t="s">
        <v>13772</v>
      </c>
      <c r="DV102" t="s">
        <v>14629</v>
      </c>
      <c r="DW102" t="s">
        <v>13812</v>
      </c>
      <c r="DX102" t="s">
        <v>32718</v>
      </c>
      <c r="DY102" t="s">
        <v>32719</v>
      </c>
      <c r="DZ102" t="s">
        <v>32720</v>
      </c>
      <c r="EA102" t="s">
        <v>13772</v>
      </c>
      <c r="EB102" t="s">
        <v>32721</v>
      </c>
    </row>
    <row r="103" spans="1:132" hidden="1">
      <c r="A103">
        <v>624</v>
      </c>
      <c r="B103">
        <v>1</v>
      </c>
      <c r="C103" t="s">
        <v>1544</v>
      </c>
      <c r="D103" t="s">
        <v>73</v>
      </c>
      <c r="E103" t="s">
        <v>73</v>
      </c>
      <c r="F103" t="s">
        <v>1545</v>
      </c>
      <c r="G103" t="s">
        <v>73</v>
      </c>
      <c r="H103">
        <v>78.3</v>
      </c>
      <c r="I103">
        <v>129</v>
      </c>
      <c r="J103">
        <v>14402</v>
      </c>
      <c r="K103" t="s">
        <v>1546</v>
      </c>
      <c r="L103">
        <f t="shared" si="6"/>
        <v>830</v>
      </c>
      <c r="N103">
        <v>830</v>
      </c>
      <c r="O103">
        <v>154</v>
      </c>
      <c r="P103">
        <v>0.186</v>
      </c>
      <c r="Q103">
        <v>51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238</v>
      </c>
      <c r="Z103">
        <v>173</v>
      </c>
      <c r="AA103">
        <v>104</v>
      </c>
      <c r="AB103">
        <v>37</v>
      </c>
      <c r="AC103">
        <v>36</v>
      </c>
      <c r="AD103">
        <v>20</v>
      </c>
      <c r="AE103">
        <v>31</v>
      </c>
      <c r="AF103">
        <v>33</v>
      </c>
      <c r="AG103">
        <v>21</v>
      </c>
      <c r="AH103">
        <v>26</v>
      </c>
      <c r="AI103">
        <v>57</v>
      </c>
      <c r="AJ103">
        <v>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40</v>
      </c>
      <c r="AS103">
        <v>44</v>
      </c>
      <c r="AT103">
        <v>15</v>
      </c>
      <c r="AU103">
        <v>7</v>
      </c>
      <c r="AV103">
        <v>5</v>
      </c>
      <c r="AW103">
        <v>7</v>
      </c>
      <c r="AX103">
        <v>5</v>
      </c>
      <c r="AY103">
        <v>5</v>
      </c>
      <c r="AZ103">
        <v>3</v>
      </c>
      <c r="BA103">
        <v>3</v>
      </c>
      <c r="BB103">
        <v>13</v>
      </c>
      <c r="BC103" s="2">
        <v>25.35</v>
      </c>
      <c r="BD103" s="2">
        <v>0</v>
      </c>
      <c r="BE103" s="2">
        <v>0.33300000000000002</v>
      </c>
      <c r="BF103" s="2">
        <v>0</v>
      </c>
      <c r="BG103" s="2">
        <v>0</v>
      </c>
      <c r="BH103" s="2">
        <v>0</v>
      </c>
      <c r="BI103" s="2">
        <v>0.16700000000000001</v>
      </c>
      <c r="BJ103" s="2">
        <v>0</v>
      </c>
      <c r="BK103" s="2">
        <v>115.84</v>
      </c>
      <c r="BL103" s="2">
        <v>108.524</v>
      </c>
      <c r="BM103" s="2">
        <v>55.908000000000001</v>
      </c>
      <c r="BN103" s="2">
        <v>19.581</v>
      </c>
      <c r="BO103" s="2">
        <v>16.332000000000001</v>
      </c>
      <c r="BP103" s="2">
        <v>14.593999999999999</v>
      </c>
      <c r="BQ103" s="2">
        <v>16.265000000000001</v>
      </c>
      <c r="BR103" s="2">
        <v>17.373999999999999</v>
      </c>
      <c r="BS103" s="2">
        <v>7.4470000000000001</v>
      </c>
      <c r="BT103" s="2">
        <v>13.946</v>
      </c>
      <c r="BU103" s="2">
        <v>33.514000000000003</v>
      </c>
      <c r="BV103" s="2">
        <f t="shared" si="9"/>
        <v>445.17500000000007</v>
      </c>
      <c r="BW103" s="16">
        <f t="shared" si="7"/>
        <v>23.430263157894739</v>
      </c>
      <c r="BX103" s="16">
        <f>COUNTIF($BC$6:BU103, "=0") / COUNTIF($BC$6:BU103, "&gt;-1")</f>
        <v>2.9001074113856069E-2</v>
      </c>
      <c r="BY103" s="18">
        <f>SUM($BC$6:BU103) / $BY$4</f>
        <v>0.56031042008547038</v>
      </c>
      <c r="BZ103" s="14">
        <f t="shared" si="8"/>
        <v>5</v>
      </c>
      <c r="CA103" t="s">
        <v>5831</v>
      </c>
      <c r="CB103" s="36">
        <v>30.7757422542021</v>
      </c>
      <c r="CC103" s="36">
        <v>0.24076603016936199</v>
      </c>
      <c r="CD103" s="36">
        <v>0.48023929854367697</v>
      </c>
      <c r="CE103" s="36">
        <v>0.37798043978830698</v>
      </c>
      <c r="CF103" s="36">
        <v>0.215044089984223</v>
      </c>
      <c r="CG103" s="36">
        <v>0.23243181165987301</v>
      </c>
      <c r="CH103" s="36">
        <v>0.21081245657292799</v>
      </c>
      <c r="CI103" s="36">
        <v>0.24329589949557701</v>
      </c>
      <c r="CJ103" s="37">
        <v>92.033010357766003</v>
      </c>
      <c r="CK103" s="37">
        <v>35.253315261055199</v>
      </c>
      <c r="CL103" s="37">
        <v>15.6810652260399</v>
      </c>
      <c r="CM103" s="37">
        <v>13.798716859579001</v>
      </c>
      <c r="CN103" s="37">
        <v>14.9763188227864</v>
      </c>
      <c r="CO103" s="37">
        <v>13.7319159247012</v>
      </c>
      <c r="CP103" s="37">
        <v>11.163196354181901</v>
      </c>
      <c r="CQ103" s="37">
        <v>51.008334356899702</v>
      </c>
      <c r="CR103" s="45">
        <v>2.8988592288814501</v>
      </c>
      <c r="CS103" s="45">
        <v>7.5556356384540004</v>
      </c>
      <c r="CT103" s="46">
        <v>1.79586141189389E-3</v>
      </c>
      <c r="CU103" s="47">
        <v>3.8507412966570999E-3</v>
      </c>
      <c r="CV103" s="48">
        <v>4.0970390350520098</v>
      </c>
      <c r="CW103" s="49">
        <v>30.955734145376201</v>
      </c>
      <c r="CX103" s="31" t="s">
        <v>5874</v>
      </c>
      <c r="CY103" s="31" t="s">
        <v>5876</v>
      </c>
      <c r="CZ103" t="s">
        <v>7762</v>
      </c>
      <c r="DA103" t="s">
        <v>5904</v>
      </c>
      <c r="DB103">
        <v>191</v>
      </c>
      <c r="DC103" t="s">
        <v>19672</v>
      </c>
      <c r="DD103" t="s">
        <v>19673</v>
      </c>
      <c r="DE103" t="s">
        <v>19674</v>
      </c>
      <c r="DF103" t="s">
        <v>19675</v>
      </c>
      <c r="DG103" t="s">
        <v>19676</v>
      </c>
      <c r="DH103" t="str">
        <f>"SAA1"</f>
        <v>SAA1</v>
      </c>
      <c r="DI103" t="s">
        <v>13772</v>
      </c>
      <c r="DJ103" t="s">
        <v>13777</v>
      </c>
      <c r="DK103">
        <v>9606</v>
      </c>
      <c r="DL103" s="34" t="str">
        <f>HYPERLINK("http://www.uniprot.org/uniprot/P0DJI8", "P0DJI8")</f>
        <v>P0DJI8</v>
      </c>
      <c r="DM103" t="s">
        <v>19677</v>
      </c>
      <c r="DN103" t="s">
        <v>14374</v>
      </c>
      <c r="DO103" t="s">
        <v>19678</v>
      </c>
      <c r="DP103" t="s">
        <v>13793</v>
      </c>
      <c r="DQ103" t="s">
        <v>13772</v>
      </c>
      <c r="DR103" t="s">
        <v>19679</v>
      </c>
      <c r="DS103" t="s">
        <v>13808</v>
      </c>
      <c r="DT103" t="s">
        <v>13772</v>
      </c>
      <c r="DU103" t="s">
        <v>14073</v>
      </c>
      <c r="DV103" t="s">
        <v>17914</v>
      </c>
      <c r="DW103" t="s">
        <v>13812</v>
      </c>
      <c r="DX103" t="s">
        <v>19680</v>
      </c>
      <c r="DY103" t="s">
        <v>19681</v>
      </c>
      <c r="DZ103" t="s">
        <v>19682</v>
      </c>
      <c r="EA103" t="s">
        <v>13772</v>
      </c>
      <c r="EB103" t="s">
        <v>19683</v>
      </c>
    </row>
    <row r="104" spans="1:132" hidden="1">
      <c r="A104">
        <v>1915</v>
      </c>
      <c r="B104">
        <v>1</v>
      </c>
      <c r="C104" t="s">
        <v>4511</v>
      </c>
      <c r="D104" t="s">
        <v>73</v>
      </c>
      <c r="E104" t="s">
        <v>73</v>
      </c>
      <c r="F104" t="s">
        <v>73</v>
      </c>
      <c r="G104" t="s">
        <v>73</v>
      </c>
      <c r="H104">
        <v>36.5</v>
      </c>
      <c r="I104">
        <v>2151</v>
      </c>
      <c r="J104">
        <v>234512</v>
      </c>
      <c r="K104" t="s">
        <v>4512</v>
      </c>
      <c r="L104">
        <f t="shared" si="6"/>
        <v>445</v>
      </c>
      <c r="M104" s="3" t="s">
        <v>5828</v>
      </c>
      <c r="N104">
        <v>445</v>
      </c>
      <c r="O104">
        <v>445</v>
      </c>
      <c r="P104">
        <v>1</v>
      </c>
      <c r="Q104">
        <v>28</v>
      </c>
      <c r="R104">
        <v>34</v>
      </c>
      <c r="S104">
        <v>54</v>
      </c>
      <c r="T104">
        <v>62</v>
      </c>
      <c r="U104">
        <v>66</v>
      </c>
      <c r="V104">
        <v>51</v>
      </c>
      <c r="W104">
        <v>43</v>
      </c>
      <c r="X104">
        <v>26</v>
      </c>
      <c r="Y104">
        <v>6</v>
      </c>
      <c r="Z104">
        <v>2</v>
      </c>
      <c r="AA104">
        <v>12</v>
      </c>
      <c r="AB104">
        <v>10</v>
      </c>
      <c r="AC104">
        <v>10</v>
      </c>
      <c r="AD104">
        <v>0</v>
      </c>
      <c r="AE104">
        <v>9</v>
      </c>
      <c r="AF104">
        <v>17</v>
      </c>
      <c r="AG104">
        <v>9</v>
      </c>
      <c r="AH104">
        <v>3</v>
      </c>
      <c r="AI104">
        <v>3</v>
      </c>
      <c r="AJ104">
        <v>28</v>
      </c>
      <c r="AK104">
        <v>34</v>
      </c>
      <c r="AL104">
        <v>54</v>
      </c>
      <c r="AM104">
        <v>62</v>
      </c>
      <c r="AN104">
        <v>66</v>
      </c>
      <c r="AO104">
        <v>51</v>
      </c>
      <c r="AP104">
        <v>43</v>
      </c>
      <c r="AQ104">
        <v>26</v>
      </c>
      <c r="AR104">
        <v>6</v>
      </c>
      <c r="AS104">
        <v>2</v>
      </c>
      <c r="AT104">
        <v>12</v>
      </c>
      <c r="AU104">
        <v>10</v>
      </c>
      <c r="AV104">
        <v>10</v>
      </c>
      <c r="AW104">
        <v>0</v>
      </c>
      <c r="AX104">
        <v>9</v>
      </c>
      <c r="AY104">
        <v>17</v>
      </c>
      <c r="AZ104">
        <v>9</v>
      </c>
      <c r="BA104">
        <v>3</v>
      </c>
      <c r="BB104">
        <v>3</v>
      </c>
      <c r="BC104" s="2">
        <v>28</v>
      </c>
      <c r="BD104" s="2">
        <v>34</v>
      </c>
      <c r="BE104" s="2">
        <v>54</v>
      </c>
      <c r="BF104" s="2">
        <v>62</v>
      </c>
      <c r="BG104" s="2">
        <v>66</v>
      </c>
      <c r="BH104" s="2">
        <v>51</v>
      </c>
      <c r="BI104" s="2">
        <v>43</v>
      </c>
      <c r="BJ104" s="2">
        <v>26</v>
      </c>
      <c r="BK104" s="2">
        <v>6</v>
      </c>
      <c r="BL104" s="2">
        <v>2</v>
      </c>
      <c r="BM104" s="2">
        <v>12</v>
      </c>
      <c r="BN104" s="2">
        <v>10</v>
      </c>
      <c r="BO104" s="2">
        <v>10</v>
      </c>
      <c r="BP104" s="2">
        <v>0</v>
      </c>
      <c r="BQ104" s="2">
        <v>9</v>
      </c>
      <c r="BR104" s="2">
        <v>17</v>
      </c>
      <c r="BS104" s="2">
        <v>9</v>
      </c>
      <c r="BT104" s="2">
        <v>3</v>
      </c>
      <c r="BU104" s="2">
        <v>3</v>
      </c>
      <c r="BV104" s="2">
        <f t="shared" si="9"/>
        <v>445</v>
      </c>
      <c r="BW104" s="16">
        <f t="shared" si="7"/>
        <v>23.421052631578949</v>
      </c>
      <c r="BX104" s="16">
        <f>COUNTIF($BC$6:BU104, "=0") / COUNTIF($BC$6:BU104, "&gt;-1")</f>
        <v>2.9239766081871343E-2</v>
      </c>
      <c r="BY104" s="18">
        <f>SUM($BC$6:BU104) / $BY$4</f>
        <v>0.56221663849204218</v>
      </c>
      <c r="BZ104" s="14">
        <f t="shared" si="8"/>
        <v>1</v>
      </c>
      <c r="CA104" t="s">
        <v>5831</v>
      </c>
      <c r="CB104" s="36">
        <v>33.926015083372398</v>
      </c>
      <c r="CC104" s="36">
        <v>32.744180103033202</v>
      </c>
      <c r="CD104" s="36">
        <v>86.443073737861894</v>
      </c>
      <c r="CE104" s="36">
        <v>93.739149067500193</v>
      </c>
      <c r="CF104" s="36">
        <v>56.771639755834897</v>
      </c>
      <c r="CG104" s="36">
        <v>47.416089578613999</v>
      </c>
      <c r="CH104" s="36">
        <v>45.324678163179499</v>
      </c>
      <c r="CI104" s="36">
        <v>25.302773547539999</v>
      </c>
      <c r="CJ104" s="37">
        <v>4.7685497594697397</v>
      </c>
      <c r="CK104" s="37">
        <v>7.5677957626594301</v>
      </c>
      <c r="CL104" s="37">
        <v>8.0005434826734305</v>
      </c>
      <c r="CM104" s="37">
        <v>8.4654704659994096</v>
      </c>
      <c r="CN104" s="37">
        <v>8.2691330923360304</v>
      </c>
      <c r="CO104" s="37">
        <v>13.4162396965471</v>
      </c>
      <c r="CP104" s="37">
        <v>13.576860430761799</v>
      </c>
      <c r="CQ104" s="37">
        <v>4.5679105394238499</v>
      </c>
      <c r="CR104" s="45">
        <v>-2.5961568116081701</v>
      </c>
      <c r="CS104" s="45">
        <v>-6.1438469994988401</v>
      </c>
      <c r="CT104" s="46">
        <v>4.1968853601723498E-12</v>
      </c>
      <c r="CU104" s="47">
        <v>1.0398949281315899E-10</v>
      </c>
      <c r="CV104" s="48">
        <v>52.708449879617</v>
      </c>
      <c r="CW104" s="49">
        <v>8.5790629037338508</v>
      </c>
      <c r="CX104" s="31" t="s">
        <v>5875</v>
      </c>
      <c r="CY104" s="31" t="s">
        <v>5876</v>
      </c>
      <c r="CZ104" t="s">
        <v>12133</v>
      </c>
      <c r="DA104" t="s">
        <v>5904</v>
      </c>
      <c r="DB104">
        <v>3917.8</v>
      </c>
      <c r="DC104" t="s">
        <v>32116</v>
      </c>
      <c r="DD104" t="s">
        <v>32117</v>
      </c>
      <c r="DE104" t="s">
        <v>32118</v>
      </c>
      <c r="DF104" t="s">
        <v>32119</v>
      </c>
      <c r="DG104" t="s">
        <v>32120</v>
      </c>
      <c r="DH104" t="str">
        <f>"TNC"</f>
        <v>TNC</v>
      </c>
      <c r="DI104" t="s">
        <v>32121</v>
      </c>
      <c r="DJ104" t="s">
        <v>13777</v>
      </c>
      <c r="DK104">
        <v>9606</v>
      </c>
      <c r="DL104" s="34" t="str">
        <f>HYPERLINK("http://www.uniprot.org/uniprot/P24821", "P24821")</f>
        <v>P24821</v>
      </c>
      <c r="DM104" t="s">
        <v>32122</v>
      </c>
      <c r="DN104" t="s">
        <v>13949</v>
      </c>
      <c r="DO104" t="s">
        <v>13869</v>
      </c>
      <c r="DP104" t="s">
        <v>13780</v>
      </c>
      <c r="DQ104" t="s">
        <v>13772</v>
      </c>
      <c r="DR104" t="s">
        <v>14255</v>
      </c>
      <c r="DS104" t="s">
        <v>27024</v>
      </c>
      <c r="DT104" t="s">
        <v>13772</v>
      </c>
      <c r="DU104" t="s">
        <v>13772</v>
      </c>
      <c r="DV104" t="s">
        <v>13964</v>
      </c>
      <c r="DW104" t="s">
        <v>13812</v>
      </c>
      <c r="DX104" t="s">
        <v>32123</v>
      </c>
      <c r="DY104" t="s">
        <v>32124</v>
      </c>
      <c r="DZ104" t="s">
        <v>32125</v>
      </c>
      <c r="EA104" t="s">
        <v>13772</v>
      </c>
      <c r="EB104" t="s">
        <v>32126</v>
      </c>
    </row>
    <row r="105" spans="1:132">
      <c r="A105">
        <v>292</v>
      </c>
      <c r="B105">
        <v>1</v>
      </c>
      <c r="C105" t="s">
        <v>733</v>
      </c>
      <c r="D105" t="s">
        <v>73</v>
      </c>
      <c r="E105" t="s">
        <v>73</v>
      </c>
      <c r="F105" t="s">
        <v>73</v>
      </c>
      <c r="G105" t="s">
        <v>73</v>
      </c>
      <c r="H105">
        <v>78.5</v>
      </c>
      <c r="I105">
        <v>121</v>
      </c>
      <c r="J105">
        <v>13194</v>
      </c>
      <c r="K105" t="s">
        <v>734</v>
      </c>
      <c r="L105">
        <f t="shared" si="6"/>
        <v>438</v>
      </c>
      <c r="N105">
        <v>438</v>
      </c>
      <c r="O105">
        <v>438</v>
      </c>
      <c r="P105">
        <v>1</v>
      </c>
      <c r="Q105">
        <v>8</v>
      </c>
      <c r="R105">
        <v>13</v>
      </c>
      <c r="S105">
        <v>3</v>
      </c>
      <c r="T105">
        <v>6</v>
      </c>
      <c r="U105">
        <v>10</v>
      </c>
      <c r="V105">
        <v>11</v>
      </c>
      <c r="W105">
        <v>6</v>
      </c>
      <c r="X105">
        <v>23</v>
      </c>
      <c r="Y105">
        <v>59</v>
      </c>
      <c r="Z105">
        <v>3</v>
      </c>
      <c r="AA105">
        <v>84</v>
      </c>
      <c r="AB105">
        <v>30</v>
      </c>
      <c r="AC105">
        <v>52</v>
      </c>
      <c r="AD105">
        <v>6</v>
      </c>
      <c r="AE105">
        <v>49</v>
      </c>
      <c r="AF105">
        <v>53</v>
      </c>
      <c r="AG105">
        <v>10</v>
      </c>
      <c r="AH105">
        <v>2</v>
      </c>
      <c r="AI105">
        <v>10</v>
      </c>
      <c r="AJ105">
        <v>8</v>
      </c>
      <c r="AK105">
        <v>13</v>
      </c>
      <c r="AL105">
        <v>3</v>
      </c>
      <c r="AM105">
        <v>6</v>
      </c>
      <c r="AN105">
        <v>10</v>
      </c>
      <c r="AO105">
        <v>11</v>
      </c>
      <c r="AP105">
        <v>6</v>
      </c>
      <c r="AQ105">
        <v>23</v>
      </c>
      <c r="AR105">
        <v>59</v>
      </c>
      <c r="AS105">
        <v>3</v>
      </c>
      <c r="AT105">
        <v>84</v>
      </c>
      <c r="AU105">
        <v>30</v>
      </c>
      <c r="AV105">
        <v>52</v>
      </c>
      <c r="AW105">
        <v>6</v>
      </c>
      <c r="AX105">
        <v>49</v>
      </c>
      <c r="AY105">
        <v>53</v>
      </c>
      <c r="AZ105">
        <v>10</v>
      </c>
      <c r="BA105">
        <v>2</v>
      </c>
      <c r="BB105">
        <v>10</v>
      </c>
      <c r="BC105" s="2">
        <v>8</v>
      </c>
      <c r="BD105" s="2">
        <v>13</v>
      </c>
      <c r="BE105" s="2">
        <v>3</v>
      </c>
      <c r="BF105" s="2">
        <v>6</v>
      </c>
      <c r="BG105" s="2">
        <v>10</v>
      </c>
      <c r="BH105" s="2">
        <v>11</v>
      </c>
      <c r="BI105" s="2">
        <v>6</v>
      </c>
      <c r="BJ105" s="2">
        <v>23</v>
      </c>
      <c r="BK105" s="2">
        <v>59</v>
      </c>
      <c r="BL105" s="2">
        <v>3</v>
      </c>
      <c r="BM105" s="2">
        <v>84</v>
      </c>
      <c r="BN105" s="2">
        <v>30</v>
      </c>
      <c r="BO105" s="2">
        <v>52</v>
      </c>
      <c r="BP105" s="2">
        <v>6</v>
      </c>
      <c r="BQ105" s="2">
        <v>49</v>
      </c>
      <c r="BR105" s="2">
        <v>53</v>
      </c>
      <c r="BS105" s="2">
        <v>10</v>
      </c>
      <c r="BT105" s="2">
        <v>2</v>
      </c>
      <c r="BU105" s="2">
        <v>10</v>
      </c>
      <c r="BV105" s="2">
        <f t="shared" si="9"/>
        <v>438</v>
      </c>
      <c r="BW105" s="16">
        <f t="shared" si="7"/>
        <v>23.05263157894737</v>
      </c>
      <c r="BX105" s="16">
        <f>COUNTIF($BC$6:BU105, "=0") / COUNTIF($BC$6:BU105, "&gt;-1")</f>
        <v>2.8947368421052631E-2</v>
      </c>
      <c r="BY105" s="18">
        <f>SUM($BC$6:BU105) / $BY$4</f>
        <v>0.56409287144053299</v>
      </c>
      <c r="BZ105" s="14">
        <f t="shared" si="8"/>
        <v>0</v>
      </c>
      <c r="CA105" t="s">
        <v>5831</v>
      </c>
      <c r="CB105" s="36">
        <v>9.6931471666778304</v>
      </c>
      <c r="CC105" s="36">
        <v>12.519833568806799</v>
      </c>
      <c r="CD105" s="36">
        <v>4.8023929854367697</v>
      </c>
      <c r="CE105" s="36">
        <v>9.0715305549193808</v>
      </c>
      <c r="CF105" s="36">
        <v>8.6017635993689208</v>
      </c>
      <c r="CG105" s="36">
        <v>10.226999713034401</v>
      </c>
      <c r="CH105" s="36">
        <v>6.3243736971878404</v>
      </c>
      <c r="CI105" s="36">
        <v>22.383222753593</v>
      </c>
      <c r="CJ105" s="37">
        <v>46.890739301452498</v>
      </c>
      <c r="CK105" s="37">
        <v>52.974570338615997</v>
      </c>
      <c r="CL105" s="37">
        <v>24.0016304480203</v>
      </c>
      <c r="CM105" s="37">
        <v>44.020446423196901</v>
      </c>
      <c r="CN105" s="37">
        <v>45.020835724940603</v>
      </c>
      <c r="CO105" s="37">
        <v>41.827100230411602</v>
      </c>
      <c r="CP105" s="37">
        <v>15.0854004786242</v>
      </c>
      <c r="CQ105" s="37">
        <v>15.2263684647462</v>
      </c>
      <c r="CR105" s="45">
        <v>1.7534651620597499</v>
      </c>
      <c r="CS105" s="45">
        <v>3.4087056357544698</v>
      </c>
      <c r="CT105" s="46">
        <v>3.33371216702802E-6</v>
      </c>
      <c r="CU105" s="47">
        <v>1.40267511933443E-5</v>
      </c>
      <c r="CV105" s="48">
        <v>10.4529080048781</v>
      </c>
      <c r="CW105" s="49">
        <v>35.630886426251003</v>
      </c>
      <c r="CX105" s="31" t="s">
        <v>5874</v>
      </c>
      <c r="CY105" s="31" t="s">
        <v>5876</v>
      </c>
      <c r="CZ105" t="s">
        <v>6702</v>
      </c>
      <c r="DA105" t="s">
        <v>5904</v>
      </c>
      <c r="DB105">
        <v>251.5</v>
      </c>
      <c r="DC105" t="s">
        <v>16442</v>
      </c>
      <c r="DD105" t="s">
        <v>16443</v>
      </c>
      <c r="DE105" t="s">
        <v>16444</v>
      </c>
      <c r="DF105" t="s">
        <v>16445</v>
      </c>
      <c r="DG105" t="s">
        <v>16446</v>
      </c>
      <c r="DH105" t="str">
        <f>"PPIA"</f>
        <v>PPIA</v>
      </c>
      <c r="DI105" t="s">
        <v>16447</v>
      </c>
      <c r="DJ105" t="s">
        <v>13777</v>
      </c>
      <c r="DK105">
        <v>9606</v>
      </c>
      <c r="DL105" s="34" t="str">
        <f>HYPERLINK("http://www.uniprot.org/uniprot/P62937", "P62937")</f>
        <v>P62937</v>
      </c>
      <c r="DM105" t="s">
        <v>16448</v>
      </c>
      <c r="DN105" t="s">
        <v>14563</v>
      </c>
      <c r="DO105" t="s">
        <v>16449</v>
      </c>
      <c r="DP105" t="s">
        <v>13841</v>
      </c>
      <c r="DQ105" t="s">
        <v>13772</v>
      </c>
      <c r="DR105" t="s">
        <v>13772</v>
      </c>
      <c r="DS105" t="s">
        <v>13772</v>
      </c>
      <c r="DT105" t="s">
        <v>13772</v>
      </c>
      <c r="DU105" t="s">
        <v>15050</v>
      </c>
      <c r="DV105" t="s">
        <v>16450</v>
      </c>
      <c r="DW105" t="s">
        <v>13812</v>
      </c>
      <c r="DX105" t="s">
        <v>16451</v>
      </c>
      <c r="DY105" t="s">
        <v>16452</v>
      </c>
      <c r="DZ105" t="s">
        <v>16453</v>
      </c>
      <c r="EA105" t="s">
        <v>13772</v>
      </c>
      <c r="EB105" t="s">
        <v>16454</v>
      </c>
    </row>
    <row r="106" spans="1:132" hidden="1">
      <c r="A106">
        <v>2138</v>
      </c>
      <c r="B106">
        <v>1</v>
      </c>
      <c r="C106" t="s">
        <v>5014</v>
      </c>
      <c r="D106" t="s">
        <v>73</v>
      </c>
      <c r="E106" t="s">
        <v>73</v>
      </c>
      <c r="F106" t="s">
        <v>73</v>
      </c>
      <c r="G106" t="s">
        <v>73</v>
      </c>
      <c r="H106">
        <v>85</v>
      </c>
      <c r="I106">
        <v>127</v>
      </c>
      <c r="J106">
        <v>14226</v>
      </c>
      <c r="K106" t="s">
        <v>5015</v>
      </c>
      <c r="L106">
        <f t="shared" si="6"/>
        <v>438</v>
      </c>
      <c r="N106">
        <v>438</v>
      </c>
      <c r="O106">
        <v>438</v>
      </c>
      <c r="P106">
        <v>1</v>
      </c>
      <c r="Q106">
        <v>5</v>
      </c>
      <c r="R106">
        <v>17</v>
      </c>
      <c r="S106">
        <v>6</v>
      </c>
      <c r="T106">
        <v>12</v>
      </c>
      <c r="U106">
        <v>17</v>
      </c>
      <c r="V106">
        <v>14</v>
      </c>
      <c r="W106">
        <v>9</v>
      </c>
      <c r="X106">
        <v>34</v>
      </c>
      <c r="Y106">
        <v>18</v>
      </c>
      <c r="Z106">
        <v>0</v>
      </c>
      <c r="AA106">
        <v>21</v>
      </c>
      <c r="AB106">
        <v>36</v>
      </c>
      <c r="AC106">
        <v>20</v>
      </c>
      <c r="AD106">
        <v>4</v>
      </c>
      <c r="AE106">
        <v>17</v>
      </c>
      <c r="AF106">
        <v>166</v>
      </c>
      <c r="AG106">
        <v>24</v>
      </c>
      <c r="AH106">
        <v>7</v>
      </c>
      <c r="AI106">
        <v>11</v>
      </c>
      <c r="AJ106">
        <v>5</v>
      </c>
      <c r="AK106">
        <v>17</v>
      </c>
      <c r="AL106">
        <v>6</v>
      </c>
      <c r="AM106">
        <v>12</v>
      </c>
      <c r="AN106">
        <v>17</v>
      </c>
      <c r="AO106">
        <v>14</v>
      </c>
      <c r="AP106">
        <v>9</v>
      </c>
      <c r="AQ106">
        <v>34</v>
      </c>
      <c r="AR106">
        <v>18</v>
      </c>
      <c r="AS106">
        <v>0</v>
      </c>
      <c r="AT106">
        <v>21</v>
      </c>
      <c r="AU106">
        <v>36</v>
      </c>
      <c r="AV106">
        <v>20</v>
      </c>
      <c r="AW106">
        <v>4</v>
      </c>
      <c r="AX106">
        <v>17</v>
      </c>
      <c r="AY106">
        <v>166</v>
      </c>
      <c r="AZ106">
        <v>24</v>
      </c>
      <c r="BA106">
        <v>7</v>
      </c>
      <c r="BB106">
        <v>11</v>
      </c>
      <c r="BC106" s="2">
        <v>5</v>
      </c>
      <c r="BD106" s="2">
        <v>17</v>
      </c>
      <c r="BE106" s="2">
        <v>6</v>
      </c>
      <c r="BF106" s="2">
        <v>12</v>
      </c>
      <c r="BG106" s="2">
        <v>17</v>
      </c>
      <c r="BH106" s="2">
        <v>14</v>
      </c>
      <c r="BI106" s="2">
        <v>9</v>
      </c>
      <c r="BJ106" s="2">
        <v>34</v>
      </c>
      <c r="BK106" s="2">
        <v>18</v>
      </c>
      <c r="BL106" s="2">
        <v>0</v>
      </c>
      <c r="BM106" s="2">
        <v>21</v>
      </c>
      <c r="BN106" s="2">
        <v>36</v>
      </c>
      <c r="BO106" s="2">
        <v>20</v>
      </c>
      <c r="BP106" s="2">
        <v>4</v>
      </c>
      <c r="BQ106" s="2">
        <v>17</v>
      </c>
      <c r="BR106" s="2">
        <v>166</v>
      </c>
      <c r="BS106" s="2">
        <v>24</v>
      </c>
      <c r="BT106" s="2">
        <v>7</v>
      </c>
      <c r="BU106" s="2">
        <v>11</v>
      </c>
      <c r="BV106" s="2">
        <f t="shared" si="9"/>
        <v>438</v>
      </c>
      <c r="BW106" s="16">
        <f t="shared" si="7"/>
        <v>23.05263157894737</v>
      </c>
      <c r="BX106" s="16">
        <f>COUNTIF($BC$6:BU106, "=0") / COUNTIF($BC$6:BU106, "&gt;-1")</f>
        <v>2.9181865554976549E-2</v>
      </c>
      <c r="BY106" s="18">
        <f>SUM($BC$6:BU106) / $BY$4</f>
        <v>0.56596910438902381</v>
      </c>
      <c r="BZ106" s="14">
        <f t="shared" si="8"/>
        <v>1</v>
      </c>
      <c r="CA106" t="s">
        <v>5831</v>
      </c>
      <c r="CB106" s="36">
        <v>6.0582169791736504</v>
      </c>
      <c r="CC106" s="36">
        <v>16.372090051516601</v>
      </c>
      <c r="CD106" s="36">
        <v>9.6047859708735501</v>
      </c>
      <c r="CE106" s="36">
        <v>18.143061109838801</v>
      </c>
      <c r="CF106" s="36">
        <v>14.6229981189272</v>
      </c>
      <c r="CG106" s="36">
        <v>13.0161814529529</v>
      </c>
      <c r="CH106" s="36">
        <v>9.4865605457817708</v>
      </c>
      <c r="CI106" s="36">
        <v>33.088242331398398</v>
      </c>
      <c r="CJ106" s="37">
        <v>14.3056492784092</v>
      </c>
      <c r="CK106" s="37">
        <v>13.243642584653999</v>
      </c>
      <c r="CL106" s="37">
        <v>28.801956537624299</v>
      </c>
      <c r="CM106" s="37">
        <v>16.930940931998801</v>
      </c>
      <c r="CN106" s="37">
        <v>15.619473618856899</v>
      </c>
      <c r="CO106" s="37">
        <v>131.00563468393099</v>
      </c>
      <c r="CP106" s="37">
        <v>36.204961148698096</v>
      </c>
      <c r="CQ106" s="37">
        <v>16.749005311220799</v>
      </c>
      <c r="CR106" s="45">
        <v>1.17119858078813</v>
      </c>
      <c r="CS106" s="45">
        <v>2.2664375921126498</v>
      </c>
      <c r="CT106" s="46">
        <v>2.1191294997777398E-2</v>
      </c>
      <c r="CU106" s="47">
        <v>3.6351221419264397E-2</v>
      </c>
      <c r="CV106" s="48">
        <v>15.049017070057801</v>
      </c>
      <c r="CW106" s="49">
        <v>34.107658011924102</v>
      </c>
      <c r="CX106" s="31" t="s">
        <v>5874</v>
      </c>
      <c r="CY106" s="31" t="s">
        <v>5878</v>
      </c>
      <c r="CZ106" t="s">
        <v>12874</v>
      </c>
      <c r="DA106" t="s">
        <v>5904</v>
      </c>
      <c r="DB106">
        <v>234.2</v>
      </c>
      <c r="DC106" t="s">
        <v>34210</v>
      </c>
      <c r="DD106" t="s">
        <v>34211</v>
      </c>
      <c r="DE106" t="s">
        <v>34212</v>
      </c>
      <c r="DF106" t="s">
        <v>34213</v>
      </c>
      <c r="DG106" t="s">
        <v>13772</v>
      </c>
      <c r="DH106" t="str">
        <f>"FABP1"</f>
        <v>FABP1</v>
      </c>
      <c r="DI106" t="s">
        <v>34214</v>
      </c>
      <c r="DJ106" t="s">
        <v>13777</v>
      </c>
      <c r="DK106">
        <v>9606</v>
      </c>
      <c r="DL106" s="34" t="str">
        <f>HYPERLINK("http://www.uniprot.org/uniprot/P07148", "P07148")</f>
        <v>P07148</v>
      </c>
      <c r="DM106" t="s">
        <v>19905</v>
      </c>
      <c r="DN106" t="s">
        <v>14192</v>
      </c>
      <c r="DO106" t="s">
        <v>13899</v>
      </c>
      <c r="DP106" t="s">
        <v>13793</v>
      </c>
      <c r="DQ106" t="s">
        <v>13772</v>
      </c>
      <c r="DR106" t="s">
        <v>13772</v>
      </c>
      <c r="DS106" t="s">
        <v>13772</v>
      </c>
      <c r="DT106" t="s">
        <v>13900</v>
      </c>
      <c r="DU106" t="s">
        <v>13772</v>
      </c>
      <c r="DV106" t="s">
        <v>13886</v>
      </c>
      <c r="DW106" t="s">
        <v>13812</v>
      </c>
      <c r="DX106" t="s">
        <v>34215</v>
      </c>
      <c r="DY106" t="s">
        <v>34216</v>
      </c>
      <c r="DZ106" t="s">
        <v>34217</v>
      </c>
      <c r="EA106" t="s">
        <v>13772</v>
      </c>
      <c r="EB106" t="s">
        <v>34218</v>
      </c>
    </row>
    <row r="107" spans="1:132">
      <c r="A107">
        <v>2081</v>
      </c>
      <c r="B107">
        <v>1</v>
      </c>
      <c r="C107" t="s">
        <v>4891</v>
      </c>
      <c r="D107" t="s">
        <v>73</v>
      </c>
      <c r="E107" t="s">
        <v>73</v>
      </c>
      <c r="F107" t="s">
        <v>73</v>
      </c>
      <c r="G107" t="s">
        <v>73</v>
      </c>
      <c r="H107">
        <v>74.5</v>
      </c>
      <c r="I107">
        <v>458</v>
      </c>
      <c r="J107">
        <v>53115</v>
      </c>
      <c r="K107" t="s">
        <v>4892</v>
      </c>
      <c r="L107">
        <f t="shared" si="6"/>
        <v>435</v>
      </c>
      <c r="N107">
        <v>435</v>
      </c>
      <c r="O107">
        <v>435</v>
      </c>
      <c r="P107">
        <v>1</v>
      </c>
      <c r="Q107">
        <v>42</v>
      </c>
      <c r="R107">
        <v>49</v>
      </c>
      <c r="S107">
        <v>39</v>
      </c>
      <c r="T107">
        <v>38</v>
      </c>
      <c r="U107">
        <v>54</v>
      </c>
      <c r="V107">
        <v>34</v>
      </c>
      <c r="W107">
        <v>33</v>
      </c>
      <c r="X107">
        <v>23</v>
      </c>
      <c r="Y107">
        <v>16</v>
      </c>
      <c r="Z107">
        <v>1</v>
      </c>
      <c r="AA107">
        <v>20</v>
      </c>
      <c r="AB107">
        <v>15</v>
      </c>
      <c r="AC107">
        <v>13</v>
      </c>
      <c r="AD107">
        <v>1</v>
      </c>
      <c r="AE107">
        <v>10</v>
      </c>
      <c r="AF107">
        <v>22</v>
      </c>
      <c r="AG107">
        <v>7</v>
      </c>
      <c r="AH107">
        <v>10</v>
      </c>
      <c r="AI107">
        <v>8</v>
      </c>
      <c r="AJ107">
        <v>42</v>
      </c>
      <c r="AK107">
        <v>49</v>
      </c>
      <c r="AL107">
        <v>39</v>
      </c>
      <c r="AM107">
        <v>38</v>
      </c>
      <c r="AN107">
        <v>54</v>
      </c>
      <c r="AO107">
        <v>34</v>
      </c>
      <c r="AP107">
        <v>33</v>
      </c>
      <c r="AQ107">
        <v>23</v>
      </c>
      <c r="AR107">
        <v>16</v>
      </c>
      <c r="AS107">
        <v>1</v>
      </c>
      <c r="AT107">
        <v>20</v>
      </c>
      <c r="AU107">
        <v>15</v>
      </c>
      <c r="AV107">
        <v>13</v>
      </c>
      <c r="AW107">
        <v>1</v>
      </c>
      <c r="AX107">
        <v>10</v>
      </c>
      <c r="AY107">
        <v>22</v>
      </c>
      <c r="AZ107">
        <v>7</v>
      </c>
      <c r="BA107">
        <v>10</v>
      </c>
      <c r="BB107">
        <v>8</v>
      </c>
      <c r="BC107" s="2">
        <v>42</v>
      </c>
      <c r="BD107" s="2">
        <v>49</v>
      </c>
      <c r="BE107" s="2">
        <v>39</v>
      </c>
      <c r="BF107" s="2">
        <v>38</v>
      </c>
      <c r="BG107" s="2">
        <v>54</v>
      </c>
      <c r="BH107" s="2">
        <v>34</v>
      </c>
      <c r="BI107" s="2">
        <v>33</v>
      </c>
      <c r="BJ107" s="2">
        <v>23</v>
      </c>
      <c r="BK107" s="2">
        <v>16</v>
      </c>
      <c r="BL107" s="2">
        <v>1</v>
      </c>
      <c r="BM107" s="2">
        <v>20</v>
      </c>
      <c r="BN107" s="2">
        <v>15</v>
      </c>
      <c r="BO107" s="2">
        <v>13</v>
      </c>
      <c r="BP107" s="2">
        <v>1</v>
      </c>
      <c r="BQ107" s="2">
        <v>10</v>
      </c>
      <c r="BR107" s="2">
        <v>22</v>
      </c>
      <c r="BS107" s="2">
        <v>7</v>
      </c>
      <c r="BT107" s="2">
        <v>10</v>
      </c>
      <c r="BU107" s="2">
        <v>8</v>
      </c>
      <c r="BV107" s="2">
        <f t="shared" si="9"/>
        <v>435</v>
      </c>
      <c r="BW107" s="16">
        <f t="shared" si="7"/>
        <v>22.894736842105264</v>
      </c>
      <c r="BX107" s="16">
        <f>COUNTIF($BC$6:BU107, "=0") / COUNTIF($BC$6:BU107, "&gt;-1")</f>
        <v>2.8895768833849329E-2</v>
      </c>
      <c r="BY107" s="18">
        <f>SUM($BC$6:BU107) / $BY$4</f>
        <v>0.56783248642690853</v>
      </c>
      <c r="BZ107" s="14">
        <f t="shared" si="8"/>
        <v>0</v>
      </c>
      <c r="CA107" t="s">
        <v>5831</v>
      </c>
      <c r="CB107" s="36">
        <v>50.889022625058601</v>
      </c>
      <c r="CC107" s="36">
        <v>47.1901419131949</v>
      </c>
      <c r="CD107" s="36">
        <v>62.431108810677998</v>
      </c>
      <c r="CE107" s="36">
        <v>57.453026847822699</v>
      </c>
      <c r="CF107" s="36">
        <v>46.449523436592202</v>
      </c>
      <c r="CG107" s="36">
        <v>31.610726385742701</v>
      </c>
      <c r="CH107" s="36">
        <v>34.7840553345331</v>
      </c>
      <c r="CI107" s="36">
        <v>22.383222753593</v>
      </c>
      <c r="CJ107" s="37">
        <v>12.716132691919301</v>
      </c>
      <c r="CK107" s="37">
        <v>12.6129929377657</v>
      </c>
      <c r="CL107" s="37">
        <v>12.0008152240101</v>
      </c>
      <c r="CM107" s="37">
        <v>11.0051116057992</v>
      </c>
      <c r="CN107" s="37">
        <v>9.1879256581511406</v>
      </c>
      <c r="CO107" s="37">
        <v>17.362192548472699</v>
      </c>
      <c r="CP107" s="37">
        <v>10.559780335037001</v>
      </c>
      <c r="CQ107" s="37">
        <v>12.1810947717969</v>
      </c>
      <c r="CR107" s="45">
        <v>-1.8221109898751799</v>
      </c>
      <c r="CS107" s="45">
        <v>-3.6177930316734099</v>
      </c>
      <c r="CT107" s="46">
        <v>4.9846529425688396E-10</v>
      </c>
      <c r="CU107" s="47">
        <v>7.5789382240421697E-9</v>
      </c>
      <c r="CV107" s="48">
        <v>44.148853513401903</v>
      </c>
      <c r="CW107" s="49">
        <v>12.203255721619</v>
      </c>
      <c r="CX107" s="31" t="s">
        <v>5875</v>
      </c>
      <c r="CY107" s="31" t="s">
        <v>5876</v>
      </c>
      <c r="CZ107" t="s">
        <v>12691</v>
      </c>
      <c r="DA107" t="s">
        <v>5904</v>
      </c>
      <c r="DB107">
        <v>733.4</v>
      </c>
      <c r="DC107" t="s">
        <v>33708</v>
      </c>
      <c r="DD107" t="s">
        <v>33709</v>
      </c>
      <c r="DE107" t="s">
        <v>33710</v>
      </c>
      <c r="DF107" t="s">
        <v>33711</v>
      </c>
      <c r="DG107" t="s">
        <v>33712</v>
      </c>
      <c r="DH107" t="str">
        <f>"NUCB1"</f>
        <v>NUCB1</v>
      </c>
      <c r="DI107" t="s">
        <v>33713</v>
      </c>
      <c r="DJ107" t="s">
        <v>13777</v>
      </c>
      <c r="DK107">
        <v>9606</v>
      </c>
      <c r="DL107" s="34" t="str">
        <f>HYPERLINK("http://www.uniprot.org/uniprot/Q02818", "Q02818")</f>
        <v>Q02818</v>
      </c>
      <c r="DM107" t="s">
        <v>33714</v>
      </c>
      <c r="DN107" t="s">
        <v>13772</v>
      </c>
      <c r="DO107" t="s">
        <v>33715</v>
      </c>
      <c r="DP107" t="s">
        <v>13793</v>
      </c>
      <c r="DQ107" t="s">
        <v>13772</v>
      </c>
      <c r="DR107" t="s">
        <v>13772</v>
      </c>
      <c r="DS107" t="s">
        <v>33716</v>
      </c>
      <c r="DT107" t="s">
        <v>13873</v>
      </c>
      <c r="DU107" t="s">
        <v>15871</v>
      </c>
      <c r="DV107" t="s">
        <v>13978</v>
      </c>
      <c r="DW107" t="s">
        <v>13812</v>
      </c>
      <c r="DX107" t="s">
        <v>33717</v>
      </c>
      <c r="DY107" t="s">
        <v>33718</v>
      </c>
      <c r="DZ107" t="s">
        <v>33719</v>
      </c>
      <c r="EA107" t="s">
        <v>13772</v>
      </c>
      <c r="EB107" t="s">
        <v>17241</v>
      </c>
    </row>
    <row r="108" spans="1:132" hidden="1">
      <c r="A108">
        <v>2049</v>
      </c>
      <c r="B108">
        <v>1</v>
      </c>
      <c r="C108" t="s">
        <v>4816</v>
      </c>
      <c r="D108" t="s">
        <v>73</v>
      </c>
      <c r="E108" t="s">
        <v>73</v>
      </c>
      <c r="F108" t="s">
        <v>73</v>
      </c>
      <c r="G108" t="s">
        <v>73</v>
      </c>
      <c r="H108">
        <v>77.8</v>
      </c>
      <c r="I108">
        <v>519</v>
      </c>
      <c r="J108">
        <v>56887</v>
      </c>
      <c r="K108" t="s">
        <v>4817</v>
      </c>
      <c r="L108">
        <f t="shared" si="6"/>
        <v>433</v>
      </c>
      <c r="N108">
        <v>433</v>
      </c>
      <c r="O108">
        <v>433</v>
      </c>
      <c r="P108">
        <v>1</v>
      </c>
      <c r="Q108">
        <v>24</v>
      </c>
      <c r="R108">
        <v>60</v>
      </c>
      <c r="S108">
        <v>6</v>
      </c>
      <c r="T108">
        <v>43</v>
      </c>
      <c r="U108">
        <v>112</v>
      </c>
      <c r="V108">
        <v>84</v>
      </c>
      <c r="W108">
        <v>29</v>
      </c>
      <c r="X108">
        <v>39</v>
      </c>
      <c r="Y108">
        <v>0</v>
      </c>
      <c r="Z108">
        <v>0</v>
      </c>
      <c r="AA108">
        <v>9</v>
      </c>
      <c r="AB108">
        <v>0</v>
      </c>
      <c r="AC108">
        <v>0</v>
      </c>
      <c r="AD108">
        <v>4</v>
      </c>
      <c r="AE108">
        <v>0</v>
      </c>
      <c r="AF108">
        <v>13</v>
      </c>
      <c r="AG108">
        <v>0</v>
      </c>
      <c r="AH108">
        <v>1</v>
      </c>
      <c r="AI108">
        <v>9</v>
      </c>
      <c r="AJ108">
        <v>24</v>
      </c>
      <c r="AK108">
        <v>60</v>
      </c>
      <c r="AL108">
        <v>6</v>
      </c>
      <c r="AM108">
        <v>43</v>
      </c>
      <c r="AN108">
        <v>112</v>
      </c>
      <c r="AO108">
        <v>84</v>
      </c>
      <c r="AP108">
        <v>29</v>
      </c>
      <c r="AQ108">
        <v>39</v>
      </c>
      <c r="AR108">
        <v>0</v>
      </c>
      <c r="AS108">
        <v>0</v>
      </c>
      <c r="AT108">
        <v>9</v>
      </c>
      <c r="AU108">
        <v>0</v>
      </c>
      <c r="AV108">
        <v>0</v>
      </c>
      <c r="AW108">
        <v>4</v>
      </c>
      <c r="AX108">
        <v>0</v>
      </c>
      <c r="AY108">
        <v>13</v>
      </c>
      <c r="AZ108">
        <v>0</v>
      </c>
      <c r="BA108">
        <v>1</v>
      </c>
      <c r="BB108">
        <v>9</v>
      </c>
      <c r="BC108" s="2">
        <v>24</v>
      </c>
      <c r="BD108" s="2">
        <v>60</v>
      </c>
      <c r="BE108" s="2">
        <v>6</v>
      </c>
      <c r="BF108" s="2">
        <v>43</v>
      </c>
      <c r="BG108" s="2">
        <v>112</v>
      </c>
      <c r="BH108" s="2">
        <v>84</v>
      </c>
      <c r="BI108" s="2">
        <v>29</v>
      </c>
      <c r="BJ108" s="2">
        <v>39</v>
      </c>
      <c r="BK108" s="2">
        <v>0</v>
      </c>
      <c r="BL108" s="2">
        <v>0</v>
      </c>
      <c r="BM108" s="2">
        <v>9</v>
      </c>
      <c r="BN108" s="2">
        <v>0</v>
      </c>
      <c r="BO108" s="2">
        <v>0</v>
      </c>
      <c r="BP108" s="2">
        <v>4</v>
      </c>
      <c r="BQ108" s="2">
        <v>0</v>
      </c>
      <c r="BR108" s="2">
        <v>13</v>
      </c>
      <c r="BS108" s="2">
        <v>0</v>
      </c>
      <c r="BT108" s="2">
        <v>1</v>
      </c>
      <c r="BU108" s="2">
        <v>9</v>
      </c>
      <c r="BV108" s="2">
        <f t="shared" si="9"/>
        <v>433</v>
      </c>
      <c r="BW108" s="16">
        <f t="shared" si="7"/>
        <v>22.789473684210527</v>
      </c>
      <c r="BX108" s="16">
        <f>COUNTIF($BC$6:BU108, "=0") / COUNTIF($BC$6:BU108, "&gt;-1")</f>
        <v>3.1681144609095553E-2</v>
      </c>
      <c r="BY108" s="18">
        <f>SUM($BC$6:BU108) / $BY$4</f>
        <v>0.56968730119105582</v>
      </c>
      <c r="BZ108" s="14">
        <f t="shared" si="8"/>
        <v>6</v>
      </c>
      <c r="CA108" t="s">
        <v>5831</v>
      </c>
      <c r="CB108" s="36">
        <v>29.0794415000335</v>
      </c>
      <c r="CC108" s="36">
        <v>57.7838472406468</v>
      </c>
      <c r="CD108" s="36">
        <v>9.6047859708735501</v>
      </c>
      <c r="CE108" s="36">
        <v>65.012635643588894</v>
      </c>
      <c r="CF108" s="36">
        <v>96.339752312931907</v>
      </c>
      <c r="CG108" s="36">
        <v>78.097088717717298</v>
      </c>
      <c r="CH108" s="36">
        <v>30.5678062030746</v>
      </c>
      <c r="CI108" s="36">
        <v>37.954160321309899</v>
      </c>
      <c r="CJ108" s="37">
        <v>0.19868957331123899</v>
      </c>
      <c r="CK108" s="37">
        <v>5.6758468219945701</v>
      </c>
      <c r="CL108" s="37">
        <v>0.200013587066836</v>
      </c>
      <c r="CM108" s="37">
        <v>0.21163676164998499</v>
      </c>
      <c r="CN108" s="37">
        <v>0.22969814145377901</v>
      </c>
      <c r="CO108" s="37">
        <v>10.2594774150066</v>
      </c>
      <c r="CP108" s="37">
        <v>0.377135011965606</v>
      </c>
      <c r="CQ108" s="37">
        <v>13.7037316182716</v>
      </c>
      <c r="CR108" s="45">
        <v>-3.7126848608143002</v>
      </c>
      <c r="CS108" s="45">
        <v>-13.107224438159401</v>
      </c>
      <c r="CT108" s="46">
        <v>2.6112624064748498E-7</v>
      </c>
      <c r="CU108" s="47">
        <v>1.51907352167972E-6</v>
      </c>
      <c r="CV108" s="48">
        <v>50.554939738772099</v>
      </c>
      <c r="CW108" s="49">
        <v>3.85702861634002</v>
      </c>
      <c r="CX108" s="31" t="s">
        <v>5875</v>
      </c>
      <c r="CY108" s="31" t="s">
        <v>5876</v>
      </c>
      <c r="CZ108" t="s">
        <v>12582</v>
      </c>
      <c r="DA108" t="s">
        <v>5904</v>
      </c>
      <c r="DB108">
        <v>905.2</v>
      </c>
      <c r="DC108" t="s">
        <v>33390</v>
      </c>
      <c r="DD108" t="s">
        <v>33391</v>
      </c>
      <c r="DE108" t="s">
        <v>33392</v>
      </c>
      <c r="DF108" t="s">
        <v>33393</v>
      </c>
      <c r="DG108" t="s">
        <v>33394</v>
      </c>
      <c r="DH108" t="str">
        <f>"PDZK1"</f>
        <v>PDZK1</v>
      </c>
      <c r="DI108" t="s">
        <v>33395</v>
      </c>
      <c r="DJ108" t="s">
        <v>13777</v>
      </c>
      <c r="DK108">
        <v>9606</v>
      </c>
      <c r="DL108" s="34" t="str">
        <f>HYPERLINK("http://www.uniprot.org/uniprot/Q5T2W1", "Q5T2W1")</f>
        <v>Q5T2W1</v>
      </c>
      <c r="DM108" t="s">
        <v>33396</v>
      </c>
      <c r="DN108" t="s">
        <v>13772</v>
      </c>
      <c r="DO108" t="s">
        <v>13792</v>
      </c>
      <c r="DP108" t="s">
        <v>13841</v>
      </c>
      <c r="DQ108" t="s">
        <v>13772</v>
      </c>
      <c r="DR108" t="s">
        <v>13772</v>
      </c>
      <c r="DS108" t="s">
        <v>14096</v>
      </c>
      <c r="DT108" t="s">
        <v>13772</v>
      </c>
      <c r="DU108" t="s">
        <v>13772</v>
      </c>
      <c r="DV108" t="s">
        <v>13782</v>
      </c>
      <c r="DW108" t="s">
        <v>13812</v>
      </c>
      <c r="DX108" t="s">
        <v>33397</v>
      </c>
      <c r="DY108" t="s">
        <v>33398</v>
      </c>
      <c r="DZ108" t="s">
        <v>33399</v>
      </c>
      <c r="EA108" t="s">
        <v>13772</v>
      </c>
      <c r="EB108" t="s">
        <v>13772</v>
      </c>
    </row>
    <row r="109" spans="1:132" hidden="1">
      <c r="A109">
        <v>2108</v>
      </c>
      <c r="B109">
        <v>1</v>
      </c>
      <c r="C109" t="s">
        <v>4948</v>
      </c>
      <c r="D109" t="s">
        <v>73</v>
      </c>
      <c r="E109" t="s">
        <v>73</v>
      </c>
      <c r="F109" t="s">
        <v>73</v>
      </c>
      <c r="G109" t="s">
        <v>73</v>
      </c>
      <c r="H109">
        <v>37.700000000000003</v>
      </c>
      <c r="I109">
        <v>1548</v>
      </c>
      <c r="J109">
        <v>164173</v>
      </c>
      <c r="K109" t="s">
        <v>4949</v>
      </c>
      <c r="L109">
        <f t="shared" si="6"/>
        <v>431</v>
      </c>
      <c r="N109">
        <v>431</v>
      </c>
      <c r="O109">
        <v>431</v>
      </c>
      <c r="P109">
        <v>1</v>
      </c>
      <c r="Q109">
        <v>28</v>
      </c>
      <c r="R109">
        <v>44</v>
      </c>
      <c r="S109">
        <v>27</v>
      </c>
      <c r="T109">
        <v>50</v>
      </c>
      <c r="U109">
        <v>56</v>
      </c>
      <c r="V109">
        <v>38</v>
      </c>
      <c r="W109">
        <v>28</v>
      </c>
      <c r="X109">
        <v>15</v>
      </c>
      <c r="Y109">
        <v>12</v>
      </c>
      <c r="Z109">
        <v>0</v>
      </c>
      <c r="AA109">
        <v>24</v>
      </c>
      <c r="AB109">
        <v>22</v>
      </c>
      <c r="AC109">
        <v>10</v>
      </c>
      <c r="AD109">
        <v>0</v>
      </c>
      <c r="AE109">
        <v>14</v>
      </c>
      <c r="AF109">
        <v>24</v>
      </c>
      <c r="AG109">
        <v>13</v>
      </c>
      <c r="AH109">
        <v>2</v>
      </c>
      <c r="AI109">
        <v>24</v>
      </c>
      <c r="AJ109">
        <v>28</v>
      </c>
      <c r="AK109">
        <v>44</v>
      </c>
      <c r="AL109">
        <v>27</v>
      </c>
      <c r="AM109">
        <v>50</v>
      </c>
      <c r="AN109">
        <v>56</v>
      </c>
      <c r="AO109">
        <v>38</v>
      </c>
      <c r="AP109">
        <v>28</v>
      </c>
      <c r="AQ109">
        <v>15</v>
      </c>
      <c r="AR109">
        <v>12</v>
      </c>
      <c r="AS109">
        <v>0</v>
      </c>
      <c r="AT109">
        <v>24</v>
      </c>
      <c r="AU109">
        <v>22</v>
      </c>
      <c r="AV109">
        <v>10</v>
      </c>
      <c r="AW109">
        <v>0</v>
      </c>
      <c r="AX109">
        <v>14</v>
      </c>
      <c r="AY109">
        <v>24</v>
      </c>
      <c r="AZ109">
        <v>13</v>
      </c>
      <c r="BA109">
        <v>2</v>
      </c>
      <c r="BB109">
        <v>24</v>
      </c>
      <c r="BC109" s="2">
        <v>28</v>
      </c>
      <c r="BD109" s="2">
        <v>44</v>
      </c>
      <c r="BE109" s="2">
        <v>27</v>
      </c>
      <c r="BF109" s="2">
        <v>50</v>
      </c>
      <c r="BG109" s="2">
        <v>56</v>
      </c>
      <c r="BH109" s="2">
        <v>38</v>
      </c>
      <c r="BI109" s="2">
        <v>28</v>
      </c>
      <c r="BJ109" s="2">
        <v>15</v>
      </c>
      <c r="BK109" s="2">
        <v>12</v>
      </c>
      <c r="BL109" s="2">
        <v>0</v>
      </c>
      <c r="BM109" s="2">
        <v>24</v>
      </c>
      <c r="BN109" s="2">
        <v>22</v>
      </c>
      <c r="BO109" s="2">
        <v>10</v>
      </c>
      <c r="BP109" s="2">
        <v>0</v>
      </c>
      <c r="BQ109" s="2">
        <v>14</v>
      </c>
      <c r="BR109" s="2">
        <v>24</v>
      </c>
      <c r="BS109" s="2">
        <v>13</v>
      </c>
      <c r="BT109" s="2">
        <v>2</v>
      </c>
      <c r="BU109" s="2">
        <v>24</v>
      </c>
      <c r="BV109" s="2">
        <f t="shared" si="9"/>
        <v>431</v>
      </c>
      <c r="BW109" s="16">
        <f t="shared" si="7"/>
        <v>22.684210526315791</v>
      </c>
      <c r="BX109" s="16">
        <f>COUNTIF($BC$6:BU109, "=0") / COUNTIF($BC$6:BU109, "&gt;-1")</f>
        <v>3.2388663967611336E-2</v>
      </c>
      <c r="BY109" s="18">
        <f>SUM($BC$6:BU109) / $BY$4</f>
        <v>0.57153354868146566</v>
      </c>
      <c r="BZ109" s="14">
        <f t="shared" si="8"/>
        <v>2</v>
      </c>
      <c r="CA109" t="s">
        <v>5831</v>
      </c>
      <c r="CB109" s="36">
        <v>33.926015083372398</v>
      </c>
      <c r="CC109" s="36">
        <v>42.3748213098077</v>
      </c>
      <c r="CD109" s="36">
        <v>43.221536868930997</v>
      </c>
      <c r="CE109" s="36">
        <v>75.596087957661496</v>
      </c>
      <c r="CF109" s="36">
        <v>48.169876156466003</v>
      </c>
      <c r="CG109" s="36">
        <v>35.3296353723007</v>
      </c>
      <c r="CH109" s="36">
        <v>29.513743920209901</v>
      </c>
      <c r="CI109" s="36">
        <v>14.597753969734599</v>
      </c>
      <c r="CJ109" s="37">
        <v>9.53709951893949</v>
      </c>
      <c r="CK109" s="37">
        <v>15.135591525318899</v>
      </c>
      <c r="CL109" s="37">
        <v>17.601195661881501</v>
      </c>
      <c r="CM109" s="37">
        <v>8.4654704659994096</v>
      </c>
      <c r="CN109" s="37">
        <v>12.863095921411601</v>
      </c>
      <c r="CO109" s="37">
        <v>18.940573689242999</v>
      </c>
      <c r="CP109" s="37">
        <v>19.611020622211502</v>
      </c>
      <c r="CQ109" s="37">
        <v>36.5432843153908</v>
      </c>
      <c r="CR109" s="45">
        <v>-1.23671063278516</v>
      </c>
      <c r="CS109" s="45">
        <v>-2.3268614228937201</v>
      </c>
      <c r="CT109" s="46">
        <v>7.51558586335265E-4</v>
      </c>
      <c r="CU109" s="47">
        <v>1.7458079661746299E-3</v>
      </c>
      <c r="CV109" s="48">
        <v>40.341183829810497</v>
      </c>
      <c r="CW109" s="49">
        <v>17.337166465049499</v>
      </c>
      <c r="CX109" s="31" t="s">
        <v>5875</v>
      </c>
      <c r="CY109" s="31" t="s">
        <v>5876</v>
      </c>
      <c r="CZ109" t="s">
        <v>12776</v>
      </c>
      <c r="DA109" t="s">
        <v>5904</v>
      </c>
      <c r="DB109">
        <v>2560.4</v>
      </c>
      <c r="DC109" t="s">
        <v>33957</v>
      </c>
      <c r="DD109" t="s">
        <v>13772</v>
      </c>
      <c r="DE109" t="s">
        <v>33958</v>
      </c>
      <c r="DF109" t="s">
        <v>33959</v>
      </c>
      <c r="DG109" t="s">
        <v>33960</v>
      </c>
      <c r="DH109" t="str">
        <f>"LTBP4"</f>
        <v>LTBP4</v>
      </c>
      <c r="DI109" t="s">
        <v>13772</v>
      </c>
      <c r="DJ109" t="s">
        <v>13777</v>
      </c>
      <c r="DK109">
        <v>9606</v>
      </c>
      <c r="DL109" s="34" t="str">
        <f>HYPERLINK("http://www.uniprot.org/uniprot/Q8N2S1", "Q8N2S1")</f>
        <v>Q8N2S1</v>
      </c>
      <c r="DM109" t="s">
        <v>33961</v>
      </c>
      <c r="DN109" t="s">
        <v>13772</v>
      </c>
      <c r="DO109" t="s">
        <v>13869</v>
      </c>
      <c r="DP109" t="s">
        <v>13780</v>
      </c>
      <c r="DQ109" t="s">
        <v>13772</v>
      </c>
      <c r="DR109" t="s">
        <v>13807</v>
      </c>
      <c r="DS109" t="s">
        <v>14768</v>
      </c>
      <c r="DT109" t="s">
        <v>13772</v>
      </c>
      <c r="DU109" t="s">
        <v>16896</v>
      </c>
      <c r="DV109" t="s">
        <v>13796</v>
      </c>
      <c r="DW109" t="s">
        <v>13772</v>
      </c>
      <c r="DX109" t="s">
        <v>33962</v>
      </c>
      <c r="DY109" t="s">
        <v>33963</v>
      </c>
      <c r="DZ109" t="s">
        <v>33964</v>
      </c>
      <c r="EA109" t="s">
        <v>13772</v>
      </c>
      <c r="EB109" t="s">
        <v>14774</v>
      </c>
    </row>
    <row r="110" spans="1:132" hidden="1">
      <c r="A110">
        <v>2440</v>
      </c>
      <c r="B110">
        <v>1</v>
      </c>
      <c r="C110" t="s">
        <v>5724</v>
      </c>
      <c r="D110" t="s">
        <v>73</v>
      </c>
      <c r="E110" t="s">
        <v>5725</v>
      </c>
      <c r="F110" t="s">
        <v>73</v>
      </c>
      <c r="G110" t="s">
        <v>73</v>
      </c>
      <c r="H110">
        <v>57</v>
      </c>
      <c r="I110">
        <v>921</v>
      </c>
      <c r="J110">
        <v>101311</v>
      </c>
      <c r="K110" t="s">
        <v>5726</v>
      </c>
      <c r="L110">
        <f t="shared" si="6"/>
        <v>423</v>
      </c>
      <c r="N110">
        <v>423</v>
      </c>
      <c r="O110">
        <v>423</v>
      </c>
      <c r="P110">
        <v>1</v>
      </c>
      <c r="Q110">
        <v>7</v>
      </c>
      <c r="R110">
        <v>0</v>
      </c>
      <c r="S110">
        <v>1</v>
      </c>
      <c r="T110">
        <v>0</v>
      </c>
      <c r="U110">
        <v>0</v>
      </c>
      <c r="V110">
        <v>3</v>
      </c>
      <c r="W110">
        <v>8</v>
      </c>
      <c r="X110">
        <v>16</v>
      </c>
      <c r="Y110">
        <v>38</v>
      </c>
      <c r="Z110">
        <v>41</v>
      </c>
      <c r="AA110">
        <v>40</v>
      </c>
      <c r="AB110">
        <v>29</v>
      </c>
      <c r="AC110">
        <v>74</v>
      </c>
      <c r="AD110">
        <v>37</v>
      </c>
      <c r="AE110">
        <v>22</v>
      </c>
      <c r="AF110">
        <v>27</v>
      </c>
      <c r="AG110">
        <v>29</v>
      </c>
      <c r="AH110">
        <v>17</v>
      </c>
      <c r="AI110">
        <v>34</v>
      </c>
      <c r="AJ110">
        <v>7</v>
      </c>
      <c r="AK110">
        <v>0</v>
      </c>
      <c r="AL110">
        <v>1</v>
      </c>
      <c r="AM110">
        <v>0</v>
      </c>
      <c r="AN110">
        <v>0</v>
      </c>
      <c r="AO110">
        <v>3</v>
      </c>
      <c r="AP110">
        <v>8</v>
      </c>
      <c r="AQ110">
        <v>16</v>
      </c>
      <c r="AR110">
        <v>38</v>
      </c>
      <c r="AS110">
        <v>41</v>
      </c>
      <c r="AT110">
        <v>40</v>
      </c>
      <c r="AU110">
        <v>29</v>
      </c>
      <c r="AV110">
        <v>74</v>
      </c>
      <c r="AW110">
        <v>37</v>
      </c>
      <c r="AX110">
        <v>22</v>
      </c>
      <c r="AY110">
        <v>27</v>
      </c>
      <c r="AZ110">
        <v>29</v>
      </c>
      <c r="BA110">
        <v>17</v>
      </c>
      <c r="BB110">
        <v>34</v>
      </c>
      <c r="BC110" s="2">
        <v>7</v>
      </c>
      <c r="BD110" s="2">
        <v>0</v>
      </c>
      <c r="BE110" s="2">
        <v>1</v>
      </c>
      <c r="BF110" s="2">
        <v>0</v>
      </c>
      <c r="BG110" s="2">
        <v>0</v>
      </c>
      <c r="BH110" s="2">
        <v>3</v>
      </c>
      <c r="BI110" s="2">
        <v>8</v>
      </c>
      <c r="BJ110" s="2">
        <v>16</v>
      </c>
      <c r="BK110" s="2">
        <v>38</v>
      </c>
      <c r="BL110" s="2">
        <v>41</v>
      </c>
      <c r="BM110" s="2">
        <v>40</v>
      </c>
      <c r="BN110" s="2">
        <v>29</v>
      </c>
      <c r="BO110" s="2">
        <v>74</v>
      </c>
      <c r="BP110" s="2">
        <v>37</v>
      </c>
      <c r="BQ110" s="2">
        <v>22</v>
      </c>
      <c r="BR110" s="2">
        <v>27</v>
      </c>
      <c r="BS110" s="2">
        <v>29</v>
      </c>
      <c r="BT110" s="2">
        <v>17</v>
      </c>
      <c r="BU110" s="2">
        <v>34</v>
      </c>
      <c r="BV110" s="2">
        <f t="shared" si="9"/>
        <v>423</v>
      </c>
      <c r="BW110" s="16">
        <f t="shared" si="7"/>
        <v>22.263157894736842</v>
      </c>
      <c r="BX110" s="16">
        <f>COUNTIF($BC$6:BU110, "=0") / COUNTIF($BC$6:BU110, "&gt;-1")</f>
        <v>3.3583959899749376E-2</v>
      </c>
      <c r="BY110" s="18">
        <f>SUM($BC$6:BU110) / $BY$4</f>
        <v>0.57334552707692599</v>
      </c>
      <c r="BZ110" s="14">
        <f t="shared" si="8"/>
        <v>3</v>
      </c>
      <c r="CA110" t="s">
        <v>5831</v>
      </c>
      <c r="CB110" s="36">
        <v>8.4815037708430996</v>
      </c>
      <c r="CC110" s="36">
        <v>0.24076603016936199</v>
      </c>
      <c r="CD110" s="36">
        <v>1.6007976618122599</v>
      </c>
      <c r="CE110" s="36">
        <v>0.37798043978830698</v>
      </c>
      <c r="CF110" s="36">
        <v>0.215044089984223</v>
      </c>
      <c r="CG110" s="36">
        <v>2.7891817399184702</v>
      </c>
      <c r="CH110" s="36">
        <v>8.4324982629171306</v>
      </c>
      <c r="CI110" s="36">
        <v>15.5709375677169</v>
      </c>
      <c r="CJ110" s="37">
        <v>30.2008151433084</v>
      </c>
      <c r="CK110" s="37">
        <v>25.2259858755314</v>
      </c>
      <c r="CL110" s="37">
        <v>23.201576099752899</v>
      </c>
      <c r="CM110" s="37">
        <v>62.644481448395602</v>
      </c>
      <c r="CN110" s="37">
        <v>20.213436447932501</v>
      </c>
      <c r="CO110" s="37">
        <v>21.308145400398399</v>
      </c>
      <c r="CP110" s="37">
        <v>43.7476613880103</v>
      </c>
      <c r="CQ110" s="37">
        <v>51.769652780137001</v>
      </c>
      <c r="CR110" s="45">
        <v>2.8233572135553602</v>
      </c>
      <c r="CS110" s="45">
        <v>7.38056957683437</v>
      </c>
      <c r="CT110" s="46">
        <v>6.2668781431549798E-7</v>
      </c>
      <c r="CU110" s="47">
        <v>3.2754290392144802E-6</v>
      </c>
      <c r="CV110" s="48">
        <v>4.7135886953937201</v>
      </c>
      <c r="CW110" s="49">
        <v>34.788969322933298</v>
      </c>
      <c r="CX110" s="31" t="s">
        <v>5874</v>
      </c>
      <c r="CY110" s="31" t="s">
        <v>5876</v>
      </c>
      <c r="CZ110" t="s">
        <v>8157</v>
      </c>
      <c r="DA110" t="s">
        <v>5904</v>
      </c>
      <c r="DB110">
        <v>1333.5</v>
      </c>
      <c r="DC110" t="s">
        <v>20842</v>
      </c>
      <c r="DD110" t="s">
        <v>20843</v>
      </c>
      <c r="DE110" t="s">
        <v>20844</v>
      </c>
      <c r="DF110" t="s">
        <v>20845</v>
      </c>
      <c r="DG110" t="s">
        <v>20846</v>
      </c>
      <c r="DH110" t="str">
        <f>"ITIH4"</f>
        <v>ITIH4</v>
      </c>
      <c r="DI110" t="s">
        <v>20847</v>
      </c>
      <c r="DJ110" t="s">
        <v>13777</v>
      </c>
      <c r="DK110">
        <v>9606</v>
      </c>
      <c r="DL110" s="34" t="str">
        <f>HYPERLINK("http://www.uniprot.org/uniprot/Q14624", "Q14624")</f>
        <v>Q14624</v>
      </c>
      <c r="DM110" t="s">
        <v>20848</v>
      </c>
      <c r="DN110" t="s">
        <v>14374</v>
      </c>
      <c r="DO110" t="s">
        <v>14321</v>
      </c>
      <c r="DP110" t="s">
        <v>13780</v>
      </c>
      <c r="DQ110" t="s">
        <v>13772</v>
      </c>
      <c r="DR110" t="s">
        <v>13772</v>
      </c>
      <c r="DS110" t="s">
        <v>13808</v>
      </c>
      <c r="DT110" t="s">
        <v>13772</v>
      </c>
      <c r="DU110" t="s">
        <v>14375</v>
      </c>
      <c r="DV110" t="s">
        <v>13796</v>
      </c>
      <c r="DW110" t="s">
        <v>13772</v>
      </c>
      <c r="DX110" t="s">
        <v>20849</v>
      </c>
      <c r="DY110" t="s">
        <v>20850</v>
      </c>
      <c r="DZ110" t="s">
        <v>20851</v>
      </c>
      <c r="EA110" t="s">
        <v>13772</v>
      </c>
      <c r="EB110" t="s">
        <v>15665</v>
      </c>
    </row>
    <row r="111" spans="1:132">
      <c r="A111">
        <v>703</v>
      </c>
      <c r="B111">
        <v>1</v>
      </c>
      <c r="C111" t="s">
        <v>1731</v>
      </c>
      <c r="D111" t="s">
        <v>1732</v>
      </c>
      <c r="E111" t="s">
        <v>73</v>
      </c>
      <c r="F111" t="s">
        <v>1733</v>
      </c>
      <c r="G111" t="s">
        <v>73</v>
      </c>
      <c r="H111">
        <v>25.3</v>
      </c>
      <c r="I111">
        <v>1733</v>
      </c>
      <c r="J111">
        <v>175986</v>
      </c>
      <c r="K111" t="s">
        <v>1734</v>
      </c>
      <c r="L111">
        <f t="shared" si="6"/>
        <v>420</v>
      </c>
      <c r="N111">
        <v>420</v>
      </c>
      <c r="O111">
        <v>417</v>
      </c>
      <c r="P111">
        <v>0.99299999999999999</v>
      </c>
      <c r="Q111">
        <v>15</v>
      </c>
      <c r="R111">
        <v>22</v>
      </c>
      <c r="S111">
        <v>22</v>
      </c>
      <c r="T111">
        <v>34</v>
      </c>
      <c r="U111">
        <v>28</v>
      </c>
      <c r="V111">
        <v>25</v>
      </c>
      <c r="W111">
        <v>23</v>
      </c>
      <c r="X111">
        <v>13</v>
      </c>
      <c r="Y111">
        <v>26</v>
      </c>
      <c r="Z111">
        <v>17</v>
      </c>
      <c r="AA111">
        <v>38</v>
      </c>
      <c r="AB111">
        <v>28</v>
      </c>
      <c r="AC111">
        <v>26</v>
      </c>
      <c r="AD111">
        <v>5</v>
      </c>
      <c r="AE111">
        <v>20</v>
      </c>
      <c r="AF111">
        <v>29</v>
      </c>
      <c r="AG111">
        <v>14</v>
      </c>
      <c r="AH111">
        <v>10</v>
      </c>
      <c r="AI111">
        <v>25</v>
      </c>
      <c r="AJ111">
        <v>14</v>
      </c>
      <c r="AK111">
        <v>21</v>
      </c>
      <c r="AL111">
        <v>21</v>
      </c>
      <c r="AM111">
        <v>34</v>
      </c>
      <c r="AN111">
        <v>28</v>
      </c>
      <c r="AO111">
        <v>25</v>
      </c>
      <c r="AP111">
        <v>23</v>
      </c>
      <c r="AQ111">
        <v>13</v>
      </c>
      <c r="AR111">
        <v>26</v>
      </c>
      <c r="AS111">
        <v>17</v>
      </c>
      <c r="AT111">
        <v>38</v>
      </c>
      <c r="AU111">
        <v>28</v>
      </c>
      <c r="AV111">
        <v>26</v>
      </c>
      <c r="AW111">
        <v>5</v>
      </c>
      <c r="AX111">
        <v>20</v>
      </c>
      <c r="AY111">
        <v>29</v>
      </c>
      <c r="AZ111">
        <v>14</v>
      </c>
      <c r="BA111">
        <v>10</v>
      </c>
      <c r="BB111">
        <v>25</v>
      </c>
      <c r="BC111" s="2">
        <v>14.609</v>
      </c>
      <c r="BD111" s="2">
        <v>21.677</v>
      </c>
      <c r="BE111" s="2">
        <v>21.617999999999999</v>
      </c>
      <c r="BF111" s="2">
        <v>34</v>
      </c>
      <c r="BG111" s="2">
        <v>28</v>
      </c>
      <c r="BH111" s="2">
        <v>25</v>
      </c>
      <c r="BI111" s="2">
        <v>23</v>
      </c>
      <c r="BJ111" s="2">
        <v>13</v>
      </c>
      <c r="BK111" s="2">
        <v>26</v>
      </c>
      <c r="BL111" s="2">
        <v>17</v>
      </c>
      <c r="BM111" s="2">
        <v>38</v>
      </c>
      <c r="BN111" s="2">
        <v>28</v>
      </c>
      <c r="BO111" s="2">
        <v>26</v>
      </c>
      <c r="BP111" s="2">
        <v>5</v>
      </c>
      <c r="BQ111" s="2">
        <v>20</v>
      </c>
      <c r="BR111" s="2">
        <v>29</v>
      </c>
      <c r="BS111" s="2">
        <v>14</v>
      </c>
      <c r="BT111" s="2">
        <v>10</v>
      </c>
      <c r="BU111" s="2">
        <v>25</v>
      </c>
      <c r="BV111" s="2">
        <f t="shared" si="9"/>
        <v>418.904</v>
      </c>
      <c r="BW111" s="16">
        <f t="shared" si="7"/>
        <v>22.047578947368422</v>
      </c>
      <c r="BX111" s="16">
        <f>COUNTIF($BC$6:BU111, "=0") / COUNTIF($BC$6:BU111, "&gt;-1")</f>
        <v>3.3267130089374382E-2</v>
      </c>
      <c r="BY111" s="18">
        <f>SUM($BC$6:BU111) / $BY$4</f>
        <v>0.57513995969577203</v>
      </c>
      <c r="BZ111" s="14">
        <f t="shared" si="8"/>
        <v>0</v>
      </c>
      <c r="CA111" t="s">
        <v>5831</v>
      </c>
      <c r="CB111" s="36">
        <v>17.689993579187</v>
      </c>
      <c r="CC111" s="36">
        <v>20.898491418700601</v>
      </c>
      <c r="CD111" s="36">
        <v>34.577229495144799</v>
      </c>
      <c r="CE111" s="36">
        <v>51.405339811209799</v>
      </c>
      <c r="CF111" s="36">
        <v>24.084938078233002</v>
      </c>
      <c r="CG111" s="36">
        <v>23.243181165987298</v>
      </c>
      <c r="CH111" s="36">
        <v>24.243432505886702</v>
      </c>
      <c r="CI111" s="36">
        <v>12.65138677377</v>
      </c>
      <c r="CJ111" s="37">
        <v>20.663715624368901</v>
      </c>
      <c r="CK111" s="37">
        <v>23.964686581754901</v>
      </c>
      <c r="CL111" s="37">
        <v>22.4015217514856</v>
      </c>
      <c r="CM111" s="37">
        <v>22.0102232115985</v>
      </c>
      <c r="CN111" s="37">
        <v>18.375851316302299</v>
      </c>
      <c r="CO111" s="37">
        <v>22.8865265411686</v>
      </c>
      <c r="CP111" s="37">
        <v>21.119560670073898</v>
      </c>
      <c r="CQ111" s="37">
        <v>38.065921161865397</v>
      </c>
      <c r="CR111" s="45">
        <v>-0.127974082767494</v>
      </c>
      <c r="CS111" s="45">
        <v>-1.10188500206193</v>
      </c>
      <c r="CT111" s="46">
        <v>0.67925260377858099</v>
      </c>
      <c r="CU111" s="47">
        <v>0.74863260614146798</v>
      </c>
      <c r="CV111" s="48">
        <v>26.0992491035149</v>
      </c>
      <c r="CW111" s="49">
        <v>23.686000857327301</v>
      </c>
      <c r="CX111" s="31" t="s">
        <v>5875</v>
      </c>
      <c r="CY111" s="31" t="s">
        <v>5832</v>
      </c>
      <c r="CZ111" t="s">
        <v>8118</v>
      </c>
      <c r="DA111" t="s">
        <v>5904</v>
      </c>
      <c r="DB111">
        <v>1818.5</v>
      </c>
      <c r="DC111" t="s">
        <v>20729</v>
      </c>
      <c r="DD111" t="s">
        <v>13772</v>
      </c>
      <c r="DE111" t="s">
        <v>20730</v>
      </c>
      <c r="DF111" t="s">
        <v>20731</v>
      </c>
      <c r="DG111" t="s">
        <v>20732</v>
      </c>
      <c r="DH111" t="str">
        <f>"COL18A1"</f>
        <v>COL18A1</v>
      </c>
      <c r="DI111" t="s">
        <v>13772</v>
      </c>
      <c r="DJ111" t="s">
        <v>13777</v>
      </c>
      <c r="DK111">
        <v>9606</v>
      </c>
      <c r="DL111" s="34" t="str">
        <f>HYPERLINK("http://www.uniprot.org/uniprot/P39060", "P39060")</f>
        <v>P39060</v>
      </c>
      <c r="DM111" t="s">
        <v>20733</v>
      </c>
      <c r="DN111" t="s">
        <v>13949</v>
      </c>
      <c r="DO111" t="s">
        <v>15002</v>
      </c>
      <c r="DP111" t="s">
        <v>14942</v>
      </c>
      <c r="DQ111" t="s">
        <v>13772</v>
      </c>
      <c r="DR111" t="s">
        <v>13772</v>
      </c>
      <c r="DS111" t="s">
        <v>13872</v>
      </c>
      <c r="DT111" t="s">
        <v>13856</v>
      </c>
      <c r="DU111" t="s">
        <v>13772</v>
      </c>
      <c r="DV111" t="s">
        <v>14770</v>
      </c>
      <c r="DW111" t="s">
        <v>13812</v>
      </c>
      <c r="DX111" t="s">
        <v>20734</v>
      </c>
      <c r="DY111" t="s">
        <v>20735</v>
      </c>
      <c r="DZ111" t="s">
        <v>20736</v>
      </c>
      <c r="EA111" t="s">
        <v>13772</v>
      </c>
      <c r="EB111" t="s">
        <v>20737</v>
      </c>
    </row>
    <row r="112" spans="1:132">
      <c r="A112">
        <v>1764</v>
      </c>
      <c r="B112">
        <v>1</v>
      </c>
      <c r="C112" t="s">
        <v>4173</v>
      </c>
      <c r="D112" t="s">
        <v>73</v>
      </c>
      <c r="E112" t="s">
        <v>73</v>
      </c>
      <c r="F112" t="s">
        <v>73</v>
      </c>
      <c r="G112" t="s">
        <v>73</v>
      </c>
      <c r="H112">
        <v>79.599999999999994</v>
      </c>
      <c r="I112">
        <v>240</v>
      </c>
      <c r="J112">
        <v>26185</v>
      </c>
      <c r="K112" t="s">
        <v>4174</v>
      </c>
      <c r="L112">
        <f t="shared" si="6"/>
        <v>416</v>
      </c>
      <c r="N112">
        <v>416</v>
      </c>
      <c r="O112">
        <v>416</v>
      </c>
      <c r="P112">
        <v>1</v>
      </c>
      <c r="Q112">
        <v>29</v>
      </c>
      <c r="R112">
        <v>11</v>
      </c>
      <c r="S112">
        <v>21</v>
      </c>
      <c r="T112">
        <v>4</v>
      </c>
      <c r="U112">
        <v>7</v>
      </c>
      <c r="V112">
        <v>25</v>
      </c>
      <c r="W112">
        <v>34</v>
      </c>
      <c r="X112">
        <v>40</v>
      </c>
      <c r="Y112">
        <v>26</v>
      </c>
      <c r="Z112">
        <v>12</v>
      </c>
      <c r="AA112">
        <v>24</v>
      </c>
      <c r="AB112">
        <v>45</v>
      </c>
      <c r="AC112">
        <v>23</v>
      </c>
      <c r="AD112">
        <v>2</v>
      </c>
      <c r="AE112">
        <v>18</v>
      </c>
      <c r="AF112">
        <v>54</v>
      </c>
      <c r="AG112">
        <v>15</v>
      </c>
      <c r="AH112">
        <v>9</v>
      </c>
      <c r="AI112">
        <v>17</v>
      </c>
      <c r="AJ112">
        <v>29</v>
      </c>
      <c r="AK112">
        <v>11</v>
      </c>
      <c r="AL112">
        <v>21</v>
      </c>
      <c r="AM112">
        <v>4</v>
      </c>
      <c r="AN112">
        <v>7</v>
      </c>
      <c r="AO112">
        <v>25</v>
      </c>
      <c r="AP112">
        <v>34</v>
      </c>
      <c r="AQ112">
        <v>40</v>
      </c>
      <c r="AR112">
        <v>26</v>
      </c>
      <c r="AS112">
        <v>12</v>
      </c>
      <c r="AT112">
        <v>24</v>
      </c>
      <c r="AU112">
        <v>45</v>
      </c>
      <c r="AV112">
        <v>23</v>
      </c>
      <c r="AW112">
        <v>2</v>
      </c>
      <c r="AX112">
        <v>18</v>
      </c>
      <c r="AY112">
        <v>54</v>
      </c>
      <c r="AZ112">
        <v>15</v>
      </c>
      <c r="BA112">
        <v>9</v>
      </c>
      <c r="BB112">
        <v>17</v>
      </c>
      <c r="BC112" s="2">
        <v>29</v>
      </c>
      <c r="BD112" s="2">
        <v>11</v>
      </c>
      <c r="BE112" s="2">
        <v>21</v>
      </c>
      <c r="BF112" s="2">
        <v>4</v>
      </c>
      <c r="BG112" s="2">
        <v>7</v>
      </c>
      <c r="BH112" s="2">
        <v>25</v>
      </c>
      <c r="BI112" s="2">
        <v>34</v>
      </c>
      <c r="BJ112" s="2">
        <v>40</v>
      </c>
      <c r="BK112" s="2">
        <v>26</v>
      </c>
      <c r="BL112" s="2">
        <v>12</v>
      </c>
      <c r="BM112" s="2">
        <v>24</v>
      </c>
      <c r="BN112" s="2">
        <v>45</v>
      </c>
      <c r="BO112" s="2">
        <v>23</v>
      </c>
      <c r="BP112" s="2">
        <v>2</v>
      </c>
      <c r="BQ112" s="2">
        <v>18</v>
      </c>
      <c r="BR112" s="2">
        <v>54</v>
      </c>
      <c r="BS112" s="2">
        <v>15</v>
      </c>
      <c r="BT112" s="2">
        <v>9</v>
      </c>
      <c r="BU112" s="2">
        <v>17</v>
      </c>
      <c r="BV112" s="2">
        <f t="shared" si="9"/>
        <v>416</v>
      </c>
      <c r="BW112" s="16">
        <f t="shared" si="7"/>
        <v>21.894736842105264</v>
      </c>
      <c r="BX112" s="16">
        <f>COUNTIF($BC$6:BU112, "=0") / COUNTIF($BC$6:BU112, "&gt;-1")</f>
        <v>3.2956222331529762E-2</v>
      </c>
      <c r="BY112" s="18">
        <f>SUM($BC$6:BU112) / $BY$4</f>
        <v>0.57692195263315149</v>
      </c>
      <c r="BZ112" s="14">
        <f t="shared" si="8"/>
        <v>0</v>
      </c>
      <c r="CA112" t="s">
        <v>5831</v>
      </c>
      <c r="CB112" s="36">
        <v>35.137658479207097</v>
      </c>
      <c r="CC112" s="36">
        <v>10.5937053274519</v>
      </c>
      <c r="CD112" s="36">
        <v>33.616750898057397</v>
      </c>
      <c r="CE112" s="36">
        <v>6.0476870366129196</v>
      </c>
      <c r="CF112" s="36">
        <v>6.0212345195582504</v>
      </c>
      <c r="CG112" s="36">
        <v>23.243181165987298</v>
      </c>
      <c r="CH112" s="36">
        <v>35.838117617397799</v>
      </c>
      <c r="CI112" s="36">
        <v>38.927343919292198</v>
      </c>
      <c r="CJ112" s="37">
        <v>20.663715624368901</v>
      </c>
      <c r="CK112" s="37">
        <v>15.135591525318899</v>
      </c>
      <c r="CL112" s="37">
        <v>36.002445672030397</v>
      </c>
      <c r="CM112" s="37">
        <v>19.470582071798599</v>
      </c>
      <c r="CN112" s="37">
        <v>16.5382661846721</v>
      </c>
      <c r="CO112" s="37">
        <v>42.616290800796698</v>
      </c>
      <c r="CP112" s="37">
        <v>22.628100717936299</v>
      </c>
      <c r="CQ112" s="37">
        <v>25.884826390068501</v>
      </c>
      <c r="CR112" s="45">
        <v>7.3581184537070396E-2</v>
      </c>
      <c r="CS112" s="45">
        <v>1.0502262421625299</v>
      </c>
      <c r="CT112" s="46">
        <v>0.86781470994163201</v>
      </c>
      <c r="CU112" s="47">
        <v>0.90998125540901598</v>
      </c>
      <c r="CV112" s="48">
        <v>23.678209870445599</v>
      </c>
      <c r="CW112" s="49">
        <v>24.867477373373799</v>
      </c>
      <c r="CX112" s="31" t="s">
        <v>5874</v>
      </c>
      <c r="CY112" s="31" t="s">
        <v>5832</v>
      </c>
      <c r="CZ112" t="s">
        <v>11635</v>
      </c>
      <c r="DA112" t="s">
        <v>5904</v>
      </c>
      <c r="DB112">
        <v>371.7</v>
      </c>
      <c r="DC112" t="s">
        <v>30726</v>
      </c>
      <c r="DD112" t="s">
        <v>30727</v>
      </c>
      <c r="DE112" t="s">
        <v>30728</v>
      </c>
      <c r="DF112" t="s">
        <v>30729</v>
      </c>
      <c r="DG112" t="s">
        <v>30730</v>
      </c>
      <c r="DH112" t="str">
        <f>"F11R"</f>
        <v>F11R</v>
      </c>
      <c r="DI112" t="s">
        <v>30731</v>
      </c>
      <c r="DJ112" t="s">
        <v>13777</v>
      </c>
      <c r="DK112">
        <v>9606</v>
      </c>
      <c r="DL112" s="34" t="str">
        <f>HYPERLINK("http://www.uniprot.org/uniprot/Q9Y624", "Q9Y624")</f>
        <v>Q9Y624</v>
      </c>
      <c r="DM112" t="s">
        <v>30732</v>
      </c>
      <c r="DN112" t="s">
        <v>14563</v>
      </c>
      <c r="DO112" t="s">
        <v>18913</v>
      </c>
      <c r="DP112" t="s">
        <v>13841</v>
      </c>
      <c r="DQ112" t="s">
        <v>13772</v>
      </c>
      <c r="DR112" t="s">
        <v>13772</v>
      </c>
      <c r="DS112" t="s">
        <v>13951</v>
      </c>
      <c r="DT112" t="s">
        <v>13772</v>
      </c>
      <c r="DU112" t="s">
        <v>18791</v>
      </c>
      <c r="DV112" t="s">
        <v>13964</v>
      </c>
      <c r="DW112" t="s">
        <v>13812</v>
      </c>
      <c r="DX112" t="s">
        <v>30733</v>
      </c>
      <c r="DY112" t="s">
        <v>30734</v>
      </c>
      <c r="DZ112" t="s">
        <v>30735</v>
      </c>
      <c r="EA112" t="s">
        <v>13772</v>
      </c>
      <c r="EB112" t="s">
        <v>30736</v>
      </c>
    </row>
    <row r="113" spans="1:132">
      <c r="A113">
        <v>1025</v>
      </c>
      <c r="B113">
        <v>1</v>
      </c>
      <c r="C113" t="s">
        <v>2480</v>
      </c>
      <c r="D113" t="s">
        <v>73</v>
      </c>
      <c r="E113" t="s">
        <v>73</v>
      </c>
      <c r="F113" t="s">
        <v>73</v>
      </c>
      <c r="G113" t="s">
        <v>73</v>
      </c>
      <c r="H113">
        <v>72.400000000000006</v>
      </c>
      <c r="I113">
        <v>286</v>
      </c>
      <c r="J113">
        <v>30711</v>
      </c>
      <c r="K113" t="s">
        <v>2481</v>
      </c>
      <c r="L113">
        <f t="shared" si="6"/>
        <v>412</v>
      </c>
      <c r="N113">
        <v>412</v>
      </c>
      <c r="O113">
        <v>412</v>
      </c>
      <c r="P113">
        <v>1</v>
      </c>
      <c r="Q113">
        <v>11</v>
      </c>
      <c r="R113">
        <v>15</v>
      </c>
      <c r="S113">
        <v>11</v>
      </c>
      <c r="T113">
        <v>10</v>
      </c>
      <c r="U113">
        <v>29</v>
      </c>
      <c r="V113">
        <v>27</v>
      </c>
      <c r="W113">
        <v>16</v>
      </c>
      <c r="X113">
        <v>55</v>
      </c>
      <c r="Y113">
        <v>50</v>
      </c>
      <c r="Z113">
        <v>10</v>
      </c>
      <c r="AA113">
        <v>39</v>
      </c>
      <c r="AB113">
        <v>17</v>
      </c>
      <c r="AC113">
        <v>22</v>
      </c>
      <c r="AD113">
        <v>12</v>
      </c>
      <c r="AE113">
        <v>33</v>
      </c>
      <c r="AF113">
        <v>17</v>
      </c>
      <c r="AG113">
        <v>28</v>
      </c>
      <c r="AH113">
        <v>4</v>
      </c>
      <c r="AI113">
        <v>6</v>
      </c>
      <c r="AJ113">
        <v>11</v>
      </c>
      <c r="AK113">
        <v>15</v>
      </c>
      <c r="AL113">
        <v>11</v>
      </c>
      <c r="AM113">
        <v>10</v>
      </c>
      <c r="AN113">
        <v>29</v>
      </c>
      <c r="AO113">
        <v>27</v>
      </c>
      <c r="AP113">
        <v>16</v>
      </c>
      <c r="AQ113">
        <v>55</v>
      </c>
      <c r="AR113">
        <v>50</v>
      </c>
      <c r="AS113">
        <v>10</v>
      </c>
      <c r="AT113">
        <v>39</v>
      </c>
      <c r="AU113">
        <v>17</v>
      </c>
      <c r="AV113">
        <v>22</v>
      </c>
      <c r="AW113">
        <v>12</v>
      </c>
      <c r="AX113">
        <v>33</v>
      </c>
      <c r="AY113">
        <v>17</v>
      </c>
      <c r="AZ113">
        <v>28</v>
      </c>
      <c r="BA113">
        <v>4</v>
      </c>
      <c r="BB113">
        <v>6</v>
      </c>
      <c r="BC113" s="2">
        <v>11</v>
      </c>
      <c r="BD113" s="2">
        <v>15</v>
      </c>
      <c r="BE113" s="2">
        <v>11</v>
      </c>
      <c r="BF113" s="2">
        <v>10</v>
      </c>
      <c r="BG113" s="2">
        <v>29</v>
      </c>
      <c r="BH113" s="2">
        <v>27</v>
      </c>
      <c r="BI113" s="2">
        <v>16</v>
      </c>
      <c r="BJ113" s="2">
        <v>55</v>
      </c>
      <c r="BK113" s="2">
        <v>50</v>
      </c>
      <c r="BL113" s="2">
        <v>10</v>
      </c>
      <c r="BM113" s="2">
        <v>39</v>
      </c>
      <c r="BN113" s="2">
        <v>17</v>
      </c>
      <c r="BO113" s="2">
        <v>22</v>
      </c>
      <c r="BP113" s="2">
        <v>12</v>
      </c>
      <c r="BQ113" s="2">
        <v>33</v>
      </c>
      <c r="BR113" s="2">
        <v>17</v>
      </c>
      <c r="BS113" s="2">
        <v>28</v>
      </c>
      <c r="BT113" s="2">
        <v>4</v>
      </c>
      <c r="BU113" s="2">
        <v>6</v>
      </c>
      <c r="BV113" s="2">
        <f t="shared" si="9"/>
        <v>412</v>
      </c>
      <c r="BW113" s="16">
        <f t="shared" si="7"/>
        <v>21.684210526315791</v>
      </c>
      <c r="BX113" s="16">
        <f>COUNTIF($BC$6:BU113, "=0") / COUNTIF($BC$6:BU113, "&gt;-1")</f>
        <v>3.2651072124756333E-2</v>
      </c>
      <c r="BY113" s="18">
        <f>SUM($BC$6:BU113) / $BY$4</f>
        <v>0.57868681102305608</v>
      </c>
      <c r="BZ113" s="14">
        <f t="shared" si="8"/>
        <v>0</v>
      </c>
      <c r="CA113" t="s">
        <v>5831</v>
      </c>
      <c r="CB113" s="36">
        <v>13.328077354182</v>
      </c>
      <c r="CC113" s="36">
        <v>14.4459618101617</v>
      </c>
      <c r="CD113" s="36">
        <v>17.608774279934799</v>
      </c>
      <c r="CE113" s="36">
        <v>15.119217591532299</v>
      </c>
      <c r="CF113" s="36">
        <v>24.945114438169899</v>
      </c>
      <c r="CG113" s="36">
        <v>25.102635659266301</v>
      </c>
      <c r="CH113" s="36">
        <v>16.8649965258343</v>
      </c>
      <c r="CI113" s="36">
        <v>53.525097889026803</v>
      </c>
      <c r="CJ113" s="37">
        <v>39.737914662247903</v>
      </c>
      <c r="CK113" s="37">
        <v>24.595336228643099</v>
      </c>
      <c r="CL113" s="37">
        <v>13.600923920544799</v>
      </c>
      <c r="CM113" s="37">
        <v>18.624035025198701</v>
      </c>
      <c r="CN113" s="37">
        <v>30.320154671898798</v>
      </c>
      <c r="CO113" s="37">
        <v>13.4162396965471</v>
      </c>
      <c r="CP113" s="37">
        <v>42.239121340147797</v>
      </c>
      <c r="CQ113" s="37">
        <v>9.1358210788476999</v>
      </c>
      <c r="CR113" s="45">
        <v>6.8107304524714904E-2</v>
      </c>
      <c r="CS113" s="45">
        <v>1.05929964881133</v>
      </c>
      <c r="CT113" s="46">
        <v>0.87110756346309903</v>
      </c>
      <c r="CU113" s="47">
        <v>0.91061655703079902</v>
      </c>
      <c r="CV113" s="48">
        <v>22.617484443513501</v>
      </c>
      <c r="CW113" s="49">
        <v>23.958693328009499</v>
      </c>
      <c r="CX113" s="31" t="s">
        <v>5874</v>
      </c>
      <c r="CY113" s="31" t="s">
        <v>5832</v>
      </c>
      <c r="CZ113" t="s">
        <v>9194</v>
      </c>
      <c r="DA113" t="s">
        <v>5904</v>
      </c>
      <c r="DB113">
        <v>554.29999999999995</v>
      </c>
      <c r="DC113" t="s">
        <v>23836</v>
      </c>
      <c r="DD113" t="s">
        <v>23837</v>
      </c>
      <c r="DE113" t="s">
        <v>23838</v>
      </c>
      <c r="DF113" t="s">
        <v>23839</v>
      </c>
      <c r="DG113" t="s">
        <v>23840</v>
      </c>
      <c r="DH113" t="str">
        <f>"TPI1"</f>
        <v>TPI1</v>
      </c>
      <c r="DI113" t="s">
        <v>23841</v>
      </c>
      <c r="DJ113" t="s">
        <v>13777</v>
      </c>
      <c r="DK113">
        <v>9606</v>
      </c>
      <c r="DL113" s="34" t="str">
        <f>HYPERLINK("http://www.uniprot.org/uniprot/P60174", "P60174")</f>
        <v>P60174</v>
      </c>
      <c r="DM113" t="s">
        <v>23842</v>
      </c>
      <c r="DN113" t="s">
        <v>23843</v>
      </c>
      <c r="DO113" t="s">
        <v>13899</v>
      </c>
      <c r="DP113" t="s">
        <v>14942</v>
      </c>
      <c r="DQ113" t="s">
        <v>13772</v>
      </c>
      <c r="DR113" t="s">
        <v>17205</v>
      </c>
      <c r="DS113" t="s">
        <v>13772</v>
      </c>
      <c r="DT113" t="s">
        <v>13772</v>
      </c>
      <c r="DU113" t="s">
        <v>23844</v>
      </c>
      <c r="DV113" t="s">
        <v>23845</v>
      </c>
      <c r="DW113" t="s">
        <v>13812</v>
      </c>
      <c r="DX113" t="s">
        <v>23846</v>
      </c>
      <c r="DY113" t="s">
        <v>23847</v>
      </c>
      <c r="DZ113" t="s">
        <v>23848</v>
      </c>
      <c r="EA113" t="s">
        <v>14959</v>
      </c>
      <c r="EB113" t="s">
        <v>16800</v>
      </c>
    </row>
    <row r="114" spans="1:132">
      <c r="A114">
        <v>2421</v>
      </c>
      <c r="B114">
        <v>1</v>
      </c>
      <c r="C114" t="s">
        <v>5656</v>
      </c>
      <c r="D114" t="s">
        <v>73</v>
      </c>
      <c r="E114" t="s">
        <v>5657</v>
      </c>
      <c r="F114" t="s">
        <v>73</v>
      </c>
      <c r="G114" t="s">
        <v>73</v>
      </c>
      <c r="H114">
        <v>66.8</v>
      </c>
      <c r="I114">
        <v>434</v>
      </c>
      <c r="J114">
        <v>47311</v>
      </c>
      <c r="K114" t="s">
        <v>5658</v>
      </c>
      <c r="L114">
        <f t="shared" si="6"/>
        <v>406</v>
      </c>
      <c r="N114">
        <v>406</v>
      </c>
      <c r="O114">
        <v>406</v>
      </c>
      <c r="P114">
        <v>1</v>
      </c>
      <c r="Q114">
        <v>13</v>
      </c>
      <c r="R114">
        <v>25</v>
      </c>
      <c r="S114">
        <v>15</v>
      </c>
      <c r="T114">
        <v>11</v>
      </c>
      <c r="U114">
        <v>38</v>
      </c>
      <c r="V114">
        <v>39</v>
      </c>
      <c r="W114">
        <v>20</v>
      </c>
      <c r="X114">
        <v>18</v>
      </c>
      <c r="Y114">
        <v>40</v>
      </c>
      <c r="Z114">
        <v>8</v>
      </c>
      <c r="AA114">
        <v>42</v>
      </c>
      <c r="AB114">
        <v>27</v>
      </c>
      <c r="AC114">
        <v>29</v>
      </c>
      <c r="AD114">
        <v>9</v>
      </c>
      <c r="AE114">
        <v>24</v>
      </c>
      <c r="AF114">
        <v>18</v>
      </c>
      <c r="AG114">
        <v>16</v>
      </c>
      <c r="AH114">
        <v>5</v>
      </c>
      <c r="AI114">
        <v>9</v>
      </c>
      <c r="AJ114">
        <v>13</v>
      </c>
      <c r="AK114">
        <v>25</v>
      </c>
      <c r="AL114">
        <v>15</v>
      </c>
      <c r="AM114">
        <v>11</v>
      </c>
      <c r="AN114">
        <v>38</v>
      </c>
      <c r="AO114">
        <v>39</v>
      </c>
      <c r="AP114">
        <v>20</v>
      </c>
      <c r="AQ114">
        <v>18</v>
      </c>
      <c r="AR114">
        <v>40</v>
      </c>
      <c r="AS114">
        <v>8</v>
      </c>
      <c r="AT114">
        <v>42</v>
      </c>
      <c r="AU114">
        <v>27</v>
      </c>
      <c r="AV114">
        <v>29</v>
      </c>
      <c r="AW114">
        <v>9</v>
      </c>
      <c r="AX114">
        <v>24</v>
      </c>
      <c r="AY114">
        <v>18</v>
      </c>
      <c r="AZ114">
        <v>16</v>
      </c>
      <c r="BA114">
        <v>5</v>
      </c>
      <c r="BB114">
        <v>9</v>
      </c>
      <c r="BC114" s="2">
        <v>13</v>
      </c>
      <c r="BD114" s="2">
        <v>25</v>
      </c>
      <c r="BE114" s="2">
        <v>15</v>
      </c>
      <c r="BF114" s="2">
        <v>11</v>
      </c>
      <c r="BG114" s="2">
        <v>38</v>
      </c>
      <c r="BH114" s="2">
        <v>39</v>
      </c>
      <c r="BI114" s="2">
        <v>20</v>
      </c>
      <c r="BJ114" s="2">
        <v>18</v>
      </c>
      <c r="BK114" s="2">
        <v>40</v>
      </c>
      <c r="BL114" s="2">
        <v>8</v>
      </c>
      <c r="BM114" s="2">
        <v>42</v>
      </c>
      <c r="BN114" s="2">
        <v>27</v>
      </c>
      <c r="BO114" s="2">
        <v>29</v>
      </c>
      <c r="BP114" s="2">
        <v>9</v>
      </c>
      <c r="BQ114" s="2">
        <v>24</v>
      </c>
      <c r="BR114" s="2">
        <v>18</v>
      </c>
      <c r="BS114" s="2">
        <v>16</v>
      </c>
      <c r="BT114" s="2">
        <v>5</v>
      </c>
      <c r="BU114" s="2">
        <v>9</v>
      </c>
      <c r="BV114" s="2">
        <f t="shared" si="9"/>
        <v>406</v>
      </c>
      <c r="BW114" s="16">
        <f t="shared" si="7"/>
        <v>21.368421052631579</v>
      </c>
      <c r="BX114" s="16">
        <f>COUNTIF($BC$6:BU114, "=0") / COUNTIF($BC$6:BU114, "&gt;-1")</f>
        <v>3.2351521004345726E-2</v>
      </c>
      <c r="BY114" s="18">
        <f>SUM($BC$6:BU114) / $BY$4</f>
        <v>0.58042596759174847</v>
      </c>
      <c r="BZ114" s="14">
        <f t="shared" si="8"/>
        <v>0</v>
      </c>
      <c r="CA114" t="s">
        <v>5831</v>
      </c>
      <c r="CB114" s="36">
        <v>15.7513641458515</v>
      </c>
      <c r="CC114" s="36">
        <v>24.0766030169362</v>
      </c>
      <c r="CD114" s="36">
        <v>24.0119649271839</v>
      </c>
      <c r="CE114" s="36">
        <v>16.631139350685501</v>
      </c>
      <c r="CF114" s="36">
        <v>32.686701677601903</v>
      </c>
      <c r="CG114" s="36">
        <v>36.259362618940202</v>
      </c>
      <c r="CH114" s="36">
        <v>21.081245657292801</v>
      </c>
      <c r="CI114" s="36">
        <v>17.517304763681501</v>
      </c>
      <c r="CJ114" s="37">
        <v>31.7903317297983</v>
      </c>
      <c r="CK114" s="37">
        <v>26.487285169307999</v>
      </c>
      <c r="CL114" s="37">
        <v>21.601467403218301</v>
      </c>
      <c r="CM114" s="37">
        <v>24.549864351398298</v>
      </c>
      <c r="CN114" s="37">
        <v>22.0510215795627</v>
      </c>
      <c r="CO114" s="37">
        <v>14.2054302669323</v>
      </c>
      <c r="CP114" s="37">
        <v>24.136640765798798</v>
      </c>
      <c r="CQ114" s="37">
        <v>13.7037316182716</v>
      </c>
      <c r="CR114" s="45">
        <v>-7.6676774196902206E-2</v>
      </c>
      <c r="CS114" s="45">
        <v>-1.05315710510905</v>
      </c>
      <c r="CT114" s="46">
        <v>0.80248884300419798</v>
      </c>
      <c r="CU114" s="47">
        <v>0.85488063052517305</v>
      </c>
      <c r="CV114" s="48">
        <v>23.501960769771699</v>
      </c>
      <c r="CW114" s="49">
        <v>22.315721610535999</v>
      </c>
      <c r="CX114" s="31" t="s">
        <v>5875</v>
      </c>
      <c r="CY114" s="31" t="s">
        <v>5832</v>
      </c>
      <c r="CZ114" t="s">
        <v>12041</v>
      </c>
      <c r="DA114" t="s">
        <v>5904</v>
      </c>
      <c r="DB114">
        <v>869.4</v>
      </c>
      <c r="DC114" t="s">
        <v>31868</v>
      </c>
      <c r="DD114" t="s">
        <v>31869</v>
      </c>
      <c r="DE114" t="s">
        <v>31870</v>
      </c>
      <c r="DF114" t="s">
        <v>31871</v>
      </c>
      <c r="DG114" t="s">
        <v>31872</v>
      </c>
      <c r="DH114" t="str">
        <f>"ENO1"</f>
        <v>ENO1</v>
      </c>
      <c r="DI114" t="s">
        <v>31873</v>
      </c>
      <c r="DJ114" t="s">
        <v>13777</v>
      </c>
      <c r="DK114">
        <v>9606</v>
      </c>
      <c r="DL114" s="34" t="str">
        <f>HYPERLINK("http://www.uniprot.org/uniprot/P06733", "P06733")</f>
        <v>P06733</v>
      </c>
      <c r="DM114" t="s">
        <v>31874</v>
      </c>
      <c r="DN114" t="s">
        <v>31875</v>
      </c>
      <c r="DO114" t="s">
        <v>14968</v>
      </c>
      <c r="DP114" t="s">
        <v>29290</v>
      </c>
      <c r="DQ114" t="s">
        <v>13772</v>
      </c>
      <c r="DR114" t="s">
        <v>13772</v>
      </c>
      <c r="DS114" t="s">
        <v>13772</v>
      </c>
      <c r="DT114" t="s">
        <v>14784</v>
      </c>
      <c r="DU114" t="s">
        <v>31876</v>
      </c>
      <c r="DV114" t="s">
        <v>13991</v>
      </c>
      <c r="DW114" t="s">
        <v>13812</v>
      </c>
      <c r="DX114" t="s">
        <v>31877</v>
      </c>
      <c r="DY114" t="s">
        <v>31878</v>
      </c>
      <c r="DZ114" t="s">
        <v>31879</v>
      </c>
      <c r="EA114" t="s">
        <v>31880</v>
      </c>
      <c r="EB114" t="s">
        <v>16800</v>
      </c>
    </row>
    <row r="115" spans="1:132">
      <c r="A115">
        <v>2101</v>
      </c>
      <c r="B115">
        <v>1</v>
      </c>
      <c r="C115" t="s">
        <v>4933</v>
      </c>
      <c r="D115" t="s">
        <v>73</v>
      </c>
      <c r="E115" t="s">
        <v>73</v>
      </c>
      <c r="F115" t="s">
        <v>73</v>
      </c>
      <c r="G115" t="s">
        <v>73</v>
      </c>
      <c r="H115">
        <v>66.7</v>
      </c>
      <c r="I115">
        <v>505</v>
      </c>
      <c r="J115">
        <v>54489</v>
      </c>
      <c r="K115" t="s">
        <v>4934</v>
      </c>
      <c r="L115">
        <f t="shared" si="6"/>
        <v>395</v>
      </c>
      <c r="N115">
        <v>395</v>
      </c>
      <c r="O115">
        <v>395</v>
      </c>
      <c r="P115">
        <v>1</v>
      </c>
      <c r="Q115">
        <v>42</v>
      </c>
      <c r="R115">
        <v>18</v>
      </c>
      <c r="S115">
        <v>21</v>
      </c>
      <c r="T115">
        <v>9</v>
      </c>
      <c r="U115">
        <v>21</v>
      </c>
      <c r="V115">
        <v>39</v>
      </c>
      <c r="W115">
        <v>28</v>
      </c>
      <c r="X115">
        <v>25</v>
      </c>
      <c r="Y115">
        <v>9</v>
      </c>
      <c r="Z115">
        <v>21</v>
      </c>
      <c r="AA115">
        <v>8</v>
      </c>
      <c r="AB115">
        <v>5</v>
      </c>
      <c r="AC115">
        <v>35</v>
      </c>
      <c r="AD115">
        <v>27</v>
      </c>
      <c r="AE115">
        <v>17</v>
      </c>
      <c r="AF115">
        <v>17</v>
      </c>
      <c r="AG115">
        <v>15</v>
      </c>
      <c r="AH115">
        <v>16</v>
      </c>
      <c r="AI115">
        <v>22</v>
      </c>
      <c r="AJ115">
        <v>42</v>
      </c>
      <c r="AK115">
        <v>18</v>
      </c>
      <c r="AL115">
        <v>21</v>
      </c>
      <c r="AM115">
        <v>9</v>
      </c>
      <c r="AN115">
        <v>21</v>
      </c>
      <c r="AO115">
        <v>39</v>
      </c>
      <c r="AP115">
        <v>28</v>
      </c>
      <c r="AQ115">
        <v>25</v>
      </c>
      <c r="AR115">
        <v>9</v>
      </c>
      <c r="AS115">
        <v>21</v>
      </c>
      <c r="AT115">
        <v>8</v>
      </c>
      <c r="AU115">
        <v>5</v>
      </c>
      <c r="AV115">
        <v>35</v>
      </c>
      <c r="AW115">
        <v>27</v>
      </c>
      <c r="AX115">
        <v>17</v>
      </c>
      <c r="AY115">
        <v>17</v>
      </c>
      <c r="AZ115">
        <v>15</v>
      </c>
      <c r="BA115">
        <v>16</v>
      </c>
      <c r="BB115">
        <v>22</v>
      </c>
      <c r="BC115" s="2">
        <v>42</v>
      </c>
      <c r="BD115" s="2">
        <v>18</v>
      </c>
      <c r="BE115" s="2">
        <v>21</v>
      </c>
      <c r="BF115" s="2">
        <v>9</v>
      </c>
      <c r="BG115" s="2">
        <v>21</v>
      </c>
      <c r="BH115" s="2">
        <v>39</v>
      </c>
      <c r="BI115" s="2">
        <v>28</v>
      </c>
      <c r="BJ115" s="2">
        <v>25</v>
      </c>
      <c r="BK115" s="2">
        <v>9</v>
      </c>
      <c r="BL115" s="2">
        <v>21</v>
      </c>
      <c r="BM115" s="2">
        <v>8</v>
      </c>
      <c r="BN115" s="2">
        <v>5</v>
      </c>
      <c r="BO115" s="2">
        <v>35</v>
      </c>
      <c r="BP115" s="2">
        <v>27</v>
      </c>
      <c r="BQ115" s="2">
        <v>17</v>
      </c>
      <c r="BR115" s="2">
        <v>17</v>
      </c>
      <c r="BS115" s="2">
        <v>15</v>
      </c>
      <c r="BT115" s="2">
        <v>16</v>
      </c>
      <c r="BU115" s="2">
        <v>22</v>
      </c>
      <c r="BV115" s="2">
        <f t="shared" si="9"/>
        <v>395</v>
      </c>
      <c r="BW115" s="16">
        <f t="shared" si="7"/>
        <v>20.789473684210527</v>
      </c>
      <c r="BX115" s="16">
        <f>COUNTIF($BC$6:BU115, "=0") / COUNTIF($BC$6:BU115, "&gt;-1")</f>
        <v>3.2057416267942583E-2</v>
      </c>
      <c r="BY115" s="18">
        <f>SUM($BC$6:BU115) / $BY$4</f>
        <v>0.58211800415488513</v>
      </c>
      <c r="BZ115" s="14">
        <f t="shared" si="8"/>
        <v>0</v>
      </c>
      <c r="CA115" t="s">
        <v>5831</v>
      </c>
      <c r="CB115" s="36">
        <v>50.889022625058601</v>
      </c>
      <c r="CC115" s="36">
        <v>17.335154172193999</v>
      </c>
      <c r="CD115" s="36">
        <v>33.616750898057397</v>
      </c>
      <c r="CE115" s="36">
        <v>13.6072958323791</v>
      </c>
      <c r="CF115" s="36">
        <v>18.0637035586747</v>
      </c>
      <c r="CG115" s="36">
        <v>36.259362618940202</v>
      </c>
      <c r="CH115" s="36">
        <v>29.513743920209901</v>
      </c>
      <c r="CI115" s="36">
        <v>24.3295899495577</v>
      </c>
      <c r="CJ115" s="37">
        <v>7.1528246392046197</v>
      </c>
      <c r="CK115" s="37">
        <v>5.0451971751062796</v>
      </c>
      <c r="CL115" s="37">
        <v>4.0002717413367099</v>
      </c>
      <c r="CM115" s="37">
        <v>29.629146630997901</v>
      </c>
      <c r="CN115" s="37">
        <v>15.619473618856899</v>
      </c>
      <c r="CO115" s="37">
        <v>13.4162396965471</v>
      </c>
      <c r="CP115" s="37">
        <v>22.628100717936299</v>
      </c>
      <c r="CQ115" s="37">
        <v>33.498010622441598</v>
      </c>
      <c r="CR115" s="45">
        <v>-0.80054730629800097</v>
      </c>
      <c r="CS115" s="45">
        <v>-1.7071217541686901</v>
      </c>
      <c r="CT115" s="46">
        <v>7.6059989248634899E-2</v>
      </c>
      <c r="CU115" s="47">
        <v>0.11207958768135801</v>
      </c>
      <c r="CV115" s="48">
        <v>27.951827946883999</v>
      </c>
      <c r="CW115" s="49">
        <v>16.373658105303399</v>
      </c>
      <c r="CX115" s="31" t="s">
        <v>5875</v>
      </c>
      <c r="CY115" s="31" t="s">
        <v>5832</v>
      </c>
      <c r="CZ115" t="s">
        <v>12753</v>
      </c>
      <c r="DA115" t="s">
        <v>5904</v>
      </c>
      <c r="DB115">
        <v>625.9</v>
      </c>
      <c r="DC115" t="s">
        <v>33889</v>
      </c>
      <c r="DD115" t="s">
        <v>33890</v>
      </c>
      <c r="DE115" t="s">
        <v>33891</v>
      </c>
      <c r="DF115" t="s">
        <v>33892</v>
      </c>
      <c r="DG115" t="s">
        <v>33893</v>
      </c>
      <c r="DH115" t="str">
        <f>"A1BG"</f>
        <v>A1BG</v>
      </c>
      <c r="DI115" t="s">
        <v>13772</v>
      </c>
      <c r="DJ115" t="s">
        <v>13777</v>
      </c>
      <c r="DK115">
        <v>9606</v>
      </c>
      <c r="DL115" s="34" t="str">
        <f>HYPERLINK("http://www.uniprot.org/uniprot/P04217", "P04217")</f>
        <v>P04217</v>
      </c>
      <c r="DM115" t="s">
        <v>33894</v>
      </c>
      <c r="DN115" t="s">
        <v>13772</v>
      </c>
      <c r="DO115" t="s">
        <v>14321</v>
      </c>
      <c r="DP115" t="s">
        <v>13780</v>
      </c>
      <c r="DQ115" t="s">
        <v>13772</v>
      </c>
      <c r="DR115" t="s">
        <v>13772</v>
      </c>
      <c r="DS115" t="s">
        <v>16182</v>
      </c>
      <c r="DT115" t="s">
        <v>13772</v>
      </c>
      <c r="DU115" t="s">
        <v>13772</v>
      </c>
      <c r="DV115" t="s">
        <v>13796</v>
      </c>
      <c r="DW115" t="s">
        <v>13772</v>
      </c>
      <c r="DX115" t="s">
        <v>33895</v>
      </c>
      <c r="DY115" t="s">
        <v>33896</v>
      </c>
      <c r="DZ115" t="s">
        <v>13772</v>
      </c>
      <c r="EA115" t="s">
        <v>13772</v>
      </c>
      <c r="EB115" t="s">
        <v>14706</v>
      </c>
    </row>
    <row r="116" spans="1:132">
      <c r="A116">
        <v>264</v>
      </c>
      <c r="B116">
        <v>1</v>
      </c>
      <c r="C116" t="s">
        <v>669</v>
      </c>
      <c r="D116" t="s">
        <v>73</v>
      </c>
      <c r="E116" t="s">
        <v>73</v>
      </c>
      <c r="F116" t="s">
        <v>73</v>
      </c>
      <c r="G116" t="s">
        <v>73</v>
      </c>
      <c r="H116">
        <v>87.2</v>
      </c>
      <c r="I116">
        <v>149</v>
      </c>
      <c r="J116">
        <v>16264</v>
      </c>
      <c r="K116" t="s">
        <v>670</v>
      </c>
      <c r="L116">
        <f t="shared" si="6"/>
        <v>393</v>
      </c>
      <c r="N116">
        <v>393</v>
      </c>
      <c r="O116">
        <v>393</v>
      </c>
      <c r="P116">
        <v>1</v>
      </c>
      <c r="Q116">
        <v>19</v>
      </c>
      <c r="R116">
        <v>14</v>
      </c>
      <c r="S116">
        <v>22</v>
      </c>
      <c r="T116">
        <v>9</v>
      </c>
      <c r="U116">
        <v>13</v>
      </c>
      <c r="V116">
        <v>22</v>
      </c>
      <c r="W116">
        <v>29</v>
      </c>
      <c r="X116">
        <v>38</v>
      </c>
      <c r="Y116">
        <v>18</v>
      </c>
      <c r="Z116">
        <v>6</v>
      </c>
      <c r="AA116">
        <v>36</v>
      </c>
      <c r="AB116">
        <v>35</v>
      </c>
      <c r="AC116">
        <v>20</v>
      </c>
      <c r="AD116">
        <v>12</v>
      </c>
      <c r="AE116">
        <v>24</v>
      </c>
      <c r="AF116">
        <v>29</v>
      </c>
      <c r="AG116">
        <v>13</v>
      </c>
      <c r="AH116">
        <v>18</v>
      </c>
      <c r="AI116">
        <v>16</v>
      </c>
      <c r="AJ116">
        <v>19</v>
      </c>
      <c r="AK116">
        <v>14</v>
      </c>
      <c r="AL116">
        <v>22</v>
      </c>
      <c r="AM116">
        <v>9</v>
      </c>
      <c r="AN116">
        <v>13</v>
      </c>
      <c r="AO116">
        <v>22</v>
      </c>
      <c r="AP116">
        <v>29</v>
      </c>
      <c r="AQ116">
        <v>38</v>
      </c>
      <c r="AR116">
        <v>18</v>
      </c>
      <c r="AS116">
        <v>6</v>
      </c>
      <c r="AT116">
        <v>36</v>
      </c>
      <c r="AU116">
        <v>35</v>
      </c>
      <c r="AV116">
        <v>20</v>
      </c>
      <c r="AW116">
        <v>12</v>
      </c>
      <c r="AX116">
        <v>24</v>
      </c>
      <c r="AY116">
        <v>29</v>
      </c>
      <c r="AZ116">
        <v>13</v>
      </c>
      <c r="BA116">
        <v>18</v>
      </c>
      <c r="BB116">
        <v>16</v>
      </c>
      <c r="BC116" s="2">
        <v>19</v>
      </c>
      <c r="BD116" s="2">
        <v>14</v>
      </c>
      <c r="BE116" s="2">
        <v>22</v>
      </c>
      <c r="BF116" s="2">
        <v>9</v>
      </c>
      <c r="BG116" s="2">
        <v>13</v>
      </c>
      <c r="BH116" s="2">
        <v>22</v>
      </c>
      <c r="BI116" s="2">
        <v>29</v>
      </c>
      <c r="BJ116" s="2">
        <v>38</v>
      </c>
      <c r="BK116" s="2">
        <v>18</v>
      </c>
      <c r="BL116" s="2">
        <v>6</v>
      </c>
      <c r="BM116" s="2">
        <v>36</v>
      </c>
      <c r="BN116" s="2">
        <v>35</v>
      </c>
      <c r="BO116" s="2">
        <v>20</v>
      </c>
      <c r="BP116" s="2">
        <v>12</v>
      </c>
      <c r="BQ116" s="2">
        <v>24</v>
      </c>
      <c r="BR116" s="2">
        <v>29</v>
      </c>
      <c r="BS116" s="2">
        <v>13</v>
      </c>
      <c r="BT116" s="2">
        <v>18</v>
      </c>
      <c r="BU116" s="2">
        <v>16</v>
      </c>
      <c r="BV116" s="2">
        <f t="shared" si="9"/>
        <v>393</v>
      </c>
      <c r="BW116" s="16">
        <f t="shared" si="7"/>
        <v>20.684210526315791</v>
      </c>
      <c r="BX116" s="16">
        <f>COUNTIF($BC$6:BU116, "=0") / COUNTIF($BC$6:BU116, "&gt;-1")</f>
        <v>3.176861071597914E-2</v>
      </c>
      <c r="BY116" s="18">
        <f>SUM($BC$6:BU116) / $BY$4</f>
        <v>0.58380147344428446</v>
      </c>
      <c r="BZ116" s="14">
        <f t="shared" si="8"/>
        <v>0</v>
      </c>
      <c r="CA116" t="s">
        <v>5831</v>
      </c>
      <c r="CB116" s="36">
        <v>23.021224520859899</v>
      </c>
      <c r="CC116" s="36">
        <v>13.4828976894843</v>
      </c>
      <c r="CD116" s="36">
        <v>35.217548559869698</v>
      </c>
      <c r="CE116" s="36">
        <v>13.6072958323791</v>
      </c>
      <c r="CF116" s="36">
        <v>11.1822926791796</v>
      </c>
      <c r="CG116" s="36">
        <v>20.453999426068801</v>
      </c>
      <c r="CH116" s="36">
        <v>30.5678062030746</v>
      </c>
      <c r="CI116" s="36">
        <v>36.980976723327601</v>
      </c>
      <c r="CJ116" s="37">
        <v>14.3056492784092</v>
      </c>
      <c r="CK116" s="37">
        <v>22.703387287978298</v>
      </c>
      <c r="CL116" s="37">
        <v>28.001902189357001</v>
      </c>
      <c r="CM116" s="37">
        <v>16.930940931998801</v>
      </c>
      <c r="CN116" s="37">
        <v>22.0510215795627</v>
      </c>
      <c r="CO116" s="37">
        <v>22.8865265411686</v>
      </c>
      <c r="CP116" s="37">
        <v>19.611020622211502</v>
      </c>
      <c r="CQ116" s="37">
        <v>24.3621895435939</v>
      </c>
      <c r="CR116" s="45">
        <v>-0.10311993271584299</v>
      </c>
      <c r="CS116" s="45">
        <v>-1.07996015643621</v>
      </c>
      <c r="CT116" s="46">
        <v>0.75024496551409803</v>
      </c>
      <c r="CU116" s="47">
        <v>0.81215838499827198</v>
      </c>
      <c r="CV116" s="48">
        <v>23.0642552042804</v>
      </c>
      <c r="CW116" s="49">
        <v>21.356579746784998</v>
      </c>
      <c r="CX116" s="31" t="s">
        <v>5875</v>
      </c>
      <c r="CY116" s="31" t="s">
        <v>5832</v>
      </c>
      <c r="CZ116" t="s">
        <v>6613</v>
      </c>
      <c r="DA116" t="s">
        <v>5904</v>
      </c>
      <c r="DB116">
        <v>233</v>
      </c>
      <c r="DC116" t="s">
        <v>16162</v>
      </c>
      <c r="DD116" t="s">
        <v>16163</v>
      </c>
      <c r="DE116" t="s">
        <v>16164</v>
      </c>
      <c r="DF116" t="s">
        <v>16165</v>
      </c>
      <c r="DG116" t="s">
        <v>16166</v>
      </c>
      <c r="DH116" t="str">
        <f>"NPC2"</f>
        <v>NPC2</v>
      </c>
      <c r="DI116" t="s">
        <v>16167</v>
      </c>
      <c r="DJ116" t="s">
        <v>13777</v>
      </c>
      <c r="DK116">
        <v>9606</v>
      </c>
      <c r="DL116" s="34" t="str">
        <f>HYPERLINK("http://www.uniprot.org/uniprot/P61916", "P61916")</f>
        <v>P61916</v>
      </c>
      <c r="DM116" t="s">
        <v>16168</v>
      </c>
      <c r="DN116" t="s">
        <v>16169</v>
      </c>
      <c r="DO116" t="s">
        <v>16170</v>
      </c>
      <c r="DP116" t="s">
        <v>13780</v>
      </c>
      <c r="DQ116" t="s">
        <v>13772</v>
      </c>
      <c r="DR116" t="s">
        <v>16171</v>
      </c>
      <c r="DS116" t="s">
        <v>13808</v>
      </c>
      <c r="DT116" t="s">
        <v>13772</v>
      </c>
      <c r="DU116" t="s">
        <v>13772</v>
      </c>
      <c r="DV116" t="s">
        <v>16172</v>
      </c>
      <c r="DW116" t="s">
        <v>13812</v>
      </c>
      <c r="DX116" t="s">
        <v>16173</v>
      </c>
      <c r="DY116" t="s">
        <v>16174</v>
      </c>
      <c r="DZ116" t="s">
        <v>16175</v>
      </c>
      <c r="EA116" t="s">
        <v>13772</v>
      </c>
      <c r="EB116" t="s">
        <v>16176</v>
      </c>
    </row>
    <row r="117" spans="1:132">
      <c r="A117">
        <v>554</v>
      </c>
      <c r="B117">
        <v>1</v>
      </c>
      <c r="C117" t="s">
        <v>1382</v>
      </c>
      <c r="D117" t="s">
        <v>73</v>
      </c>
      <c r="E117" t="s">
        <v>73</v>
      </c>
      <c r="F117" t="s">
        <v>73</v>
      </c>
      <c r="G117" t="s">
        <v>73</v>
      </c>
      <c r="H117">
        <v>80</v>
      </c>
      <c r="I117">
        <v>100</v>
      </c>
      <c r="J117">
        <v>11044</v>
      </c>
      <c r="K117" t="s">
        <v>1383</v>
      </c>
      <c r="L117">
        <f t="shared" si="6"/>
        <v>393</v>
      </c>
      <c r="N117">
        <v>393</v>
      </c>
      <c r="O117">
        <v>393</v>
      </c>
      <c r="P117">
        <v>1</v>
      </c>
      <c r="Q117">
        <v>9</v>
      </c>
      <c r="R117">
        <v>7</v>
      </c>
      <c r="S117">
        <v>6</v>
      </c>
      <c r="T117">
        <v>6</v>
      </c>
      <c r="U117">
        <v>9</v>
      </c>
      <c r="V117">
        <v>7</v>
      </c>
      <c r="W117">
        <v>9</v>
      </c>
      <c r="X117">
        <v>5</v>
      </c>
      <c r="Y117">
        <v>21</v>
      </c>
      <c r="Z117">
        <v>13</v>
      </c>
      <c r="AA117">
        <v>43</v>
      </c>
      <c r="AB117">
        <v>88</v>
      </c>
      <c r="AC117">
        <v>27</v>
      </c>
      <c r="AD117">
        <v>17</v>
      </c>
      <c r="AE117">
        <v>25</v>
      </c>
      <c r="AF117">
        <v>22</v>
      </c>
      <c r="AG117">
        <v>48</v>
      </c>
      <c r="AH117">
        <v>4</v>
      </c>
      <c r="AI117">
        <v>27</v>
      </c>
      <c r="AJ117">
        <v>9</v>
      </c>
      <c r="AK117">
        <v>7</v>
      </c>
      <c r="AL117">
        <v>6</v>
      </c>
      <c r="AM117">
        <v>6</v>
      </c>
      <c r="AN117">
        <v>9</v>
      </c>
      <c r="AO117">
        <v>7</v>
      </c>
      <c r="AP117">
        <v>9</v>
      </c>
      <c r="AQ117">
        <v>5</v>
      </c>
      <c r="AR117">
        <v>21</v>
      </c>
      <c r="AS117">
        <v>13</v>
      </c>
      <c r="AT117">
        <v>43</v>
      </c>
      <c r="AU117">
        <v>88</v>
      </c>
      <c r="AV117">
        <v>27</v>
      </c>
      <c r="AW117">
        <v>17</v>
      </c>
      <c r="AX117">
        <v>25</v>
      </c>
      <c r="AY117">
        <v>22</v>
      </c>
      <c r="AZ117">
        <v>48</v>
      </c>
      <c r="BA117">
        <v>4</v>
      </c>
      <c r="BB117">
        <v>27</v>
      </c>
      <c r="BC117" s="2">
        <v>9</v>
      </c>
      <c r="BD117" s="2">
        <v>7</v>
      </c>
      <c r="BE117" s="2">
        <v>6</v>
      </c>
      <c r="BF117" s="2">
        <v>6</v>
      </c>
      <c r="BG117" s="2">
        <v>9</v>
      </c>
      <c r="BH117" s="2">
        <v>7</v>
      </c>
      <c r="BI117" s="2">
        <v>9</v>
      </c>
      <c r="BJ117" s="2">
        <v>5</v>
      </c>
      <c r="BK117" s="2">
        <v>21</v>
      </c>
      <c r="BL117" s="2">
        <v>13</v>
      </c>
      <c r="BM117" s="2">
        <v>43</v>
      </c>
      <c r="BN117" s="2">
        <v>88</v>
      </c>
      <c r="BO117" s="2">
        <v>27</v>
      </c>
      <c r="BP117" s="2">
        <v>17</v>
      </c>
      <c r="BQ117" s="2">
        <v>25</v>
      </c>
      <c r="BR117" s="2">
        <v>22</v>
      </c>
      <c r="BS117" s="2">
        <v>48</v>
      </c>
      <c r="BT117" s="2">
        <v>4</v>
      </c>
      <c r="BU117" s="2">
        <v>27</v>
      </c>
      <c r="BV117" s="2">
        <f t="shared" si="9"/>
        <v>393</v>
      </c>
      <c r="BW117" s="16">
        <f t="shared" si="7"/>
        <v>20.684210526315791</v>
      </c>
      <c r="BX117" s="16">
        <f>COUNTIF($BC$6:BU117, "=0") / COUNTIF($BC$6:BU117, "&gt;-1")</f>
        <v>3.1484962406015039E-2</v>
      </c>
      <c r="BY117" s="18">
        <f>SUM($BC$6:BU117) / $BY$4</f>
        <v>0.58548494273368379</v>
      </c>
      <c r="BZ117" s="14">
        <f t="shared" si="8"/>
        <v>0</v>
      </c>
      <c r="CA117" t="s">
        <v>5831</v>
      </c>
      <c r="CB117" s="36">
        <v>10.9047905625126</v>
      </c>
      <c r="CC117" s="36">
        <v>6.7414488447421297</v>
      </c>
      <c r="CD117" s="36">
        <v>9.6047859708735501</v>
      </c>
      <c r="CE117" s="36">
        <v>9.0715305549193808</v>
      </c>
      <c r="CF117" s="36">
        <v>7.7415872394320298</v>
      </c>
      <c r="CG117" s="36">
        <v>6.50809072647644</v>
      </c>
      <c r="CH117" s="36">
        <v>9.4865605457817708</v>
      </c>
      <c r="CI117" s="36">
        <v>4.8659179899115301</v>
      </c>
      <c r="CJ117" s="37">
        <v>16.689924158144098</v>
      </c>
      <c r="CK117" s="37">
        <v>27.1179348161963</v>
      </c>
      <c r="CL117" s="37">
        <v>70.404782647526204</v>
      </c>
      <c r="CM117" s="37">
        <v>22.856770258198399</v>
      </c>
      <c r="CN117" s="37">
        <v>22.9698141453778</v>
      </c>
      <c r="CO117" s="37">
        <v>17.362192548472699</v>
      </c>
      <c r="CP117" s="37">
        <v>72.409922297396307</v>
      </c>
      <c r="CQ117" s="37">
        <v>41.111194854814599</v>
      </c>
      <c r="CR117" s="45">
        <v>2.1488940895128699</v>
      </c>
      <c r="CS117" s="45">
        <v>4.4809214367943104</v>
      </c>
      <c r="CT117" s="46">
        <v>1.6669764863720099E-7</v>
      </c>
      <c r="CU117" s="47">
        <v>1.04224978446998E-6</v>
      </c>
      <c r="CV117" s="48">
        <v>8.1155890543311706</v>
      </c>
      <c r="CW117" s="49">
        <v>36.3653169657658</v>
      </c>
      <c r="CX117" s="31" t="s">
        <v>5874</v>
      </c>
      <c r="CY117" s="31" t="s">
        <v>5876</v>
      </c>
      <c r="CZ117" t="s">
        <v>7614</v>
      </c>
      <c r="DA117" t="s">
        <v>5904</v>
      </c>
      <c r="DB117">
        <v>116.7</v>
      </c>
      <c r="DC117" t="s">
        <v>19232</v>
      </c>
      <c r="DD117" t="s">
        <v>19233</v>
      </c>
      <c r="DE117" t="s">
        <v>19234</v>
      </c>
      <c r="DF117" t="s">
        <v>19235</v>
      </c>
      <c r="DG117" t="s">
        <v>19236</v>
      </c>
      <c r="DH117" t="str">
        <f>"APOC3"</f>
        <v>APOC3</v>
      </c>
      <c r="DI117" t="s">
        <v>13772</v>
      </c>
      <c r="DJ117" t="s">
        <v>13777</v>
      </c>
      <c r="DK117">
        <v>9606</v>
      </c>
      <c r="DL117" s="34" t="str">
        <f>HYPERLINK("http://www.uniprot.org/uniprot/P02656", "P02656")</f>
        <v>P02656</v>
      </c>
      <c r="DM117" t="s">
        <v>19237</v>
      </c>
      <c r="DN117" t="s">
        <v>19238</v>
      </c>
      <c r="DO117" t="s">
        <v>19239</v>
      </c>
      <c r="DP117" t="s">
        <v>13793</v>
      </c>
      <c r="DQ117" t="s">
        <v>13772</v>
      </c>
      <c r="DR117" t="s">
        <v>13807</v>
      </c>
      <c r="DS117" t="s">
        <v>13808</v>
      </c>
      <c r="DT117" t="s">
        <v>17535</v>
      </c>
      <c r="DU117" t="s">
        <v>13772</v>
      </c>
      <c r="DV117" t="s">
        <v>13858</v>
      </c>
      <c r="DW117" t="s">
        <v>13812</v>
      </c>
      <c r="DX117" t="s">
        <v>19240</v>
      </c>
      <c r="DY117" t="s">
        <v>19241</v>
      </c>
      <c r="DZ117" t="s">
        <v>19242</v>
      </c>
      <c r="EA117" t="s">
        <v>13772</v>
      </c>
      <c r="EB117" t="s">
        <v>19243</v>
      </c>
    </row>
    <row r="118" spans="1:132">
      <c r="A118">
        <v>1575</v>
      </c>
      <c r="B118">
        <v>1</v>
      </c>
      <c r="C118" t="s">
        <v>3732</v>
      </c>
      <c r="D118" t="s">
        <v>3733</v>
      </c>
      <c r="E118" t="s">
        <v>73</v>
      </c>
      <c r="F118" t="s">
        <v>73</v>
      </c>
      <c r="G118" t="s">
        <v>73</v>
      </c>
      <c r="H118">
        <v>45.2</v>
      </c>
      <c r="I118">
        <v>558</v>
      </c>
      <c r="J118">
        <v>63224</v>
      </c>
      <c r="K118" t="s">
        <v>3734</v>
      </c>
      <c r="L118">
        <f t="shared" si="6"/>
        <v>385</v>
      </c>
      <c r="N118">
        <v>385</v>
      </c>
      <c r="O118">
        <v>385</v>
      </c>
      <c r="P118">
        <v>1</v>
      </c>
      <c r="Q118">
        <v>30</v>
      </c>
      <c r="R118">
        <v>11</v>
      </c>
      <c r="S118">
        <v>5</v>
      </c>
      <c r="T118">
        <v>8</v>
      </c>
      <c r="U118">
        <v>8</v>
      </c>
      <c r="V118">
        <v>10</v>
      </c>
      <c r="W118">
        <v>6</v>
      </c>
      <c r="X118">
        <v>12</v>
      </c>
      <c r="Y118">
        <v>27</v>
      </c>
      <c r="Z118">
        <v>41</v>
      </c>
      <c r="AA118">
        <v>25</v>
      </c>
      <c r="AB118">
        <v>20</v>
      </c>
      <c r="AC118">
        <v>37</v>
      </c>
      <c r="AD118">
        <v>37</v>
      </c>
      <c r="AE118">
        <v>22</v>
      </c>
      <c r="AF118">
        <v>19</v>
      </c>
      <c r="AG118">
        <v>16</v>
      </c>
      <c r="AH118">
        <v>20</v>
      </c>
      <c r="AI118">
        <v>31</v>
      </c>
      <c r="AJ118">
        <v>30</v>
      </c>
      <c r="AK118">
        <v>11</v>
      </c>
      <c r="AL118">
        <v>5</v>
      </c>
      <c r="AM118">
        <v>8</v>
      </c>
      <c r="AN118">
        <v>8</v>
      </c>
      <c r="AO118">
        <v>10</v>
      </c>
      <c r="AP118">
        <v>6</v>
      </c>
      <c r="AQ118">
        <v>12</v>
      </c>
      <c r="AR118">
        <v>27</v>
      </c>
      <c r="AS118">
        <v>41</v>
      </c>
      <c r="AT118">
        <v>25</v>
      </c>
      <c r="AU118">
        <v>20</v>
      </c>
      <c r="AV118">
        <v>37</v>
      </c>
      <c r="AW118">
        <v>37</v>
      </c>
      <c r="AX118">
        <v>22</v>
      </c>
      <c r="AY118">
        <v>19</v>
      </c>
      <c r="AZ118">
        <v>16</v>
      </c>
      <c r="BA118">
        <v>20</v>
      </c>
      <c r="BB118">
        <v>31</v>
      </c>
      <c r="BC118" s="2">
        <v>30</v>
      </c>
      <c r="BD118" s="2">
        <v>11</v>
      </c>
      <c r="BE118" s="2">
        <v>5</v>
      </c>
      <c r="BF118" s="2">
        <v>8</v>
      </c>
      <c r="BG118" s="2">
        <v>8</v>
      </c>
      <c r="BH118" s="2">
        <v>10</v>
      </c>
      <c r="BI118" s="2">
        <v>6</v>
      </c>
      <c r="BJ118" s="2">
        <v>12</v>
      </c>
      <c r="BK118" s="2">
        <v>27</v>
      </c>
      <c r="BL118" s="2">
        <v>41</v>
      </c>
      <c r="BM118" s="2">
        <v>25</v>
      </c>
      <c r="BN118" s="2">
        <v>20</v>
      </c>
      <c r="BO118" s="2">
        <v>37</v>
      </c>
      <c r="BP118" s="2">
        <v>37</v>
      </c>
      <c r="BQ118" s="2">
        <v>22</v>
      </c>
      <c r="BR118" s="2">
        <v>19</v>
      </c>
      <c r="BS118" s="2">
        <v>16</v>
      </c>
      <c r="BT118" s="2">
        <v>20</v>
      </c>
      <c r="BU118" s="2">
        <v>31</v>
      </c>
      <c r="BV118" s="2">
        <f t="shared" si="9"/>
        <v>385</v>
      </c>
      <c r="BW118" s="16">
        <f t="shared" si="7"/>
        <v>20.263157894736842</v>
      </c>
      <c r="BX118" s="16">
        <f>COUNTIF($BC$6:BU118, "=0") / COUNTIF($BC$6:BU118, "&gt;-1")</f>
        <v>3.12063344201211E-2</v>
      </c>
      <c r="BY118" s="18">
        <f>SUM($BC$6:BU118) / $BY$4</f>
        <v>0.58713414292813348</v>
      </c>
      <c r="BZ118" s="14">
        <f t="shared" si="8"/>
        <v>0</v>
      </c>
      <c r="CA118" t="s">
        <v>5831</v>
      </c>
      <c r="CB118" s="36">
        <v>36.349301875041903</v>
      </c>
      <c r="CC118" s="36">
        <v>10.5937053274519</v>
      </c>
      <c r="CD118" s="36">
        <v>8.00398830906129</v>
      </c>
      <c r="CE118" s="36">
        <v>12.0953740732258</v>
      </c>
      <c r="CF118" s="36">
        <v>6.8814108794951396</v>
      </c>
      <c r="CG118" s="36">
        <v>9.2972724663949098</v>
      </c>
      <c r="CH118" s="36">
        <v>6.3243736971878404</v>
      </c>
      <c r="CI118" s="36">
        <v>11.678203175787701</v>
      </c>
      <c r="CJ118" s="37">
        <v>21.458473917613802</v>
      </c>
      <c r="CK118" s="37">
        <v>15.766241172207099</v>
      </c>
      <c r="CL118" s="37">
        <v>16.0010869653469</v>
      </c>
      <c r="CM118" s="37">
        <v>31.322240724197801</v>
      </c>
      <c r="CN118" s="37">
        <v>20.213436447932501</v>
      </c>
      <c r="CO118" s="37">
        <v>14.994620837317401</v>
      </c>
      <c r="CP118" s="37">
        <v>24.136640765798798</v>
      </c>
      <c r="CQ118" s="37">
        <v>47.201742240713102</v>
      </c>
      <c r="CR118" s="45">
        <v>0.90069483424286401</v>
      </c>
      <c r="CS118" s="45">
        <v>1.8878446015205399</v>
      </c>
      <c r="CT118" s="46">
        <v>2.6287823710008301E-2</v>
      </c>
      <c r="CU118" s="47">
        <v>4.37476469203869E-2</v>
      </c>
      <c r="CV118" s="48">
        <v>12.6529537254558</v>
      </c>
      <c r="CW118" s="49">
        <v>23.8868103838909</v>
      </c>
      <c r="CX118" s="31" t="s">
        <v>5874</v>
      </c>
      <c r="CY118" s="31" t="s">
        <v>5878</v>
      </c>
      <c r="CZ118" t="s">
        <v>10990</v>
      </c>
      <c r="DA118" t="s">
        <v>5904</v>
      </c>
      <c r="DB118">
        <v>825.5</v>
      </c>
      <c r="DC118" t="s">
        <v>28906</v>
      </c>
      <c r="DD118" t="s">
        <v>13772</v>
      </c>
      <c r="DE118" t="s">
        <v>28907</v>
      </c>
      <c r="DF118" t="s">
        <v>28908</v>
      </c>
      <c r="DG118" t="s">
        <v>13772</v>
      </c>
      <c r="DH118" t="str">
        <f>"C9"</f>
        <v>C9</v>
      </c>
      <c r="DI118" t="s">
        <v>13772</v>
      </c>
      <c r="DJ118" t="s">
        <v>13777</v>
      </c>
      <c r="DK118">
        <v>9606</v>
      </c>
      <c r="DL118" s="34" t="str">
        <f>HYPERLINK("http://www.uniprot.org/uniprot/P02748", "P02748")</f>
        <v>P02748</v>
      </c>
      <c r="DM118" t="s">
        <v>28909</v>
      </c>
      <c r="DN118" t="s">
        <v>16369</v>
      </c>
      <c r="DO118" t="s">
        <v>28910</v>
      </c>
      <c r="DP118" t="s">
        <v>13793</v>
      </c>
      <c r="DQ118" t="s">
        <v>13772</v>
      </c>
      <c r="DR118" t="s">
        <v>25532</v>
      </c>
      <c r="DS118" t="s">
        <v>28911</v>
      </c>
      <c r="DT118" t="s">
        <v>13772</v>
      </c>
      <c r="DU118" t="s">
        <v>13772</v>
      </c>
      <c r="DV118" t="s">
        <v>13964</v>
      </c>
      <c r="DW118" t="s">
        <v>13812</v>
      </c>
      <c r="DX118" t="s">
        <v>28912</v>
      </c>
      <c r="DY118" t="s">
        <v>28913</v>
      </c>
      <c r="DZ118" t="s">
        <v>13772</v>
      </c>
      <c r="EA118" t="s">
        <v>13772</v>
      </c>
      <c r="EB118" t="s">
        <v>16375</v>
      </c>
    </row>
    <row r="119" spans="1:132">
      <c r="A119">
        <v>1468</v>
      </c>
      <c r="B119">
        <v>1</v>
      </c>
      <c r="C119" t="s">
        <v>3492</v>
      </c>
      <c r="D119" t="s">
        <v>73</v>
      </c>
      <c r="E119" t="s">
        <v>73</v>
      </c>
      <c r="F119" t="s">
        <v>73</v>
      </c>
      <c r="G119" t="s">
        <v>73</v>
      </c>
      <c r="H119">
        <v>39.700000000000003</v>
      </c>
      <c r="I119">
        <v>494</v>
      </c>
      <c r="J119">
        <v>55205</v>
      </c>
      <c r="K119" t="s">
        <v>3493</v>
      </c>
      <c r="L119">
        <f t="shared" si="6"/>
        <v>384</v>
      </c>
      <c r="N119">
        <v>384</v>
      </c>
      <c r="O119">
        <v>384</v>
      </c>
      <c r="P119">
        <v>1</v>
      </c>
      <c r="Q119">
        <v>25</v>
      </c>
      <c r="R119">
        <v>39</v>
      </c>
      <c r="S119">
        <v>20</v>
      </c>
      <c r="T119">
        <v>24</v>
      </c>
      <c r="U119">
        <v>34</v>
      </c>
      <c r="V119">
        <v>28</v>
      </c>
      <c r="W119">
        <v>38</v>
      </c>
      <c r="X119">
        <v>27</v>
      </c>
      <c r="Y119">
        <v>7</v>
      </c>
      <c r="Z119">
        <v>4</v>
      </c>
      <c r="AA119">
        <v>13</v>
      </c>
      <c r="AB119">
        <v>17</v>
      </c>
      <c r="AC119">
        <v>14</v>
      </c>
      <c r="AD119">
        <v>10</v>
      </c>
      <c r="AE119">
        <v>12</v>
      </c>
      <c r="AF119">
        <v>21</v>
      </c>
      <c r="AG119">
        <v>15</v>
      </c>
      <c r="AH119">
        <v>10</v>
      </c>
      <c r="AI119">
        <v>26</v>
      </c>
      <c r="AJ119">
        <v>25</v>
      </c>
      <c r="AK119">
        <v>39</v>
      </c>
      <c r="AL119">
        <v>20</v>
      </c>
      <c r="AM119">
        <v>24</v>
      </c>
      <c r="AN119">
        <v>34</v>
      </c>
      <c r="AO119">
        <v>28</v>
      </c>
      <c r="AP119">
        <v>38</v>
      </c>
      <c r="AQ119">
        <v>27</v>
      </c>
      <c r="AR119">
        <v>7</v>
      </c>
      <c r="AS119">
        <v>4</v>
      </c>
      <c r="AT119">
        <v>13</v>
      </c>
      <c r="AU119">
        <v>17</v>
      </c>
      <c r="AV119">
        <v>14</v>
      </c>
      <c r="AW119">
        <v>10</v>
      </c>
      <c r="AX119">
        <v>12</v>
      </c>
      <c r="AY119">
        <v>21</v>
      </c>
      <c r="AZ119">
        <v>15</v>
      </c>
      <c r="BA119">
        <v>10</v>
      </c>
      <c r="BB119">
        <v>26</v>
      </c>
      <c r="BC119" s="2">
        <v>25</v>
      </c>
      <c r="BD119" s="2">
        <v>39</v>
      </c>
      <c r="BE119" s="2">
        <v>20</v>
      </c>
      <c r="BF119" s="2">
        <v>24</v>
      </c>
      <c r="BG119" s="2">
        <v>34</v>
      </c>
      <c r="BH119" s="2">
        <v>28</v>
      </c>
      <c r="BI119" s="2">
        <v>38</v>
      </c>
      <c r="BJ119" s="2">
        <v>27</v>
      </c>
      <c r="BK119" s="2">
        <v>7</v>
      </c>
      <c r="BL119" s="2">
        <v>4</v>
      </c>
      <c r="BM119" s="2">
        <v>13</v>
      </c>
      <c r="BN119" s="2">
        <v>17</v>
      </c>
      <c r="BO119" s="2">
        <v>14</v>
      </c>
      <c r="BP119" s="2">
        <v>10</v>
      </c>
      <c r="BQ119" s="2">
        <v>12</v>
      </c>
      <c r="BR119" s="2">
        <v>21</v>
      </c>
      <c r="BS119" s="2">
        <v>15</v>
      </c>
      <c r="BT119" s="2">
        <v>10</v>
      </c>
      <c r="BU119" s="2">
        <v>26</v>
      </c>
      <c r="BV119" s="2">
        <f t="shared" si="9"/>
        <v>384</v>
      </c>
      <c r="BW119" s="16">
        <f t="shared" si="7"/>
        <v>20.210526315789473</v>
      </c>
      <c r="BX119" s="16">
        <f>COUNTIF($BC$6:BU119, "=0") / COUNTIF($BC$6:BU119, "&gt;-1")</f>
        <v>3.0932594644506001E-2</v>
      </c>
      <c r="BY119" s="18">
        <f>SUM($BC$6:BU119) / $BY$4</f>
        <v>0.58877905948571441</v>
      </c>
      <c r="BZ119" s="14">
        <f t="shared" si="8"/>
        <v>0</v>
      </c>
      <c r="CA119" t="s">
        <v>5831</v>
      </c>
      <c r="CB119" s="36">
        <v>30.291084895868199</v>
      </c>
      <c r="CC119" s="36">
        <v>37.559500706420401</v>
      </c>
      <c r="CD119" s="36">
        <v>32.015953236245203</v>
      </c>
      <c r="CE119" s="36">
        <v>36.286122219677502</v>
      </c>
      <c r="CF119" s="36">
        <v>29.2459962378543</v>
      </c>
      <c r="CG119" s="36">
        <v>26.032362905905799</v>
      </c>
      <c r="CH119" s="36">
        <v>40.054366748856303</v>
      </c>
      <c r="CI119" s="36">
        <v>26.275957145522302</v>
      </c>
      <c r="CJ119" s="37">
        <v>5.5633080527147003</v>
      </c>
      <c r="CK119" s="37">
        <v>8.1984454095477108</v>
      </c>
      <c r="CL119" s="37">
        <v>13.600923920544799</v>
      </c>
      <c r="CM119" s="37">
        <v>11.8516586523992</v>
      </c>
      <c r="CN119" s="37">
        <v>11.0255107897814</v>
      </c>
      <c r="CO119" s="37">
        <v>16.5730019780876</v>
      </c>
      <c r="CP119" s="37">
        <v>22.628100717936299</v>
      </c>
      <c r="CQ119" s="37">
        <v>39.588558008340001</v>
      </c>
      <c r="CR119" s="45">
        <v>-1.0518421517346901</v>
      </c>
      <c r="CS119" s="45">
        <v>-1.9976930008642699</v>
      </c>
      <c r="CT119" s="46">
        <v>3.5681619645771701E-3</v>
      </c>
      <c r="CU119" s="47">
        <v>7.1684695324388103E-3</v>
      </c>
      <c r="CV119" s="48">
        <v>32.2201680120438</v>
      </c>
      <c r="CW119" s="49">
        <v>16.128688441169</v>
      </c>
      <c r="CX119" s="31" t="s">
        <v>5875</v>
      </c>
      <c r="CY119" s="31" t="s">
        <v>5876</v>
      </c>
      <c r="CZ119" t="s">
        <v>10623</v>
      </c>
      <c r="DA119" t="s">
        <v>5904</v>
      </c>
      <c r="DB119">
        <v>863.6</v>
      </c>
      <c r="DC119" t="s">
        <v>27899</v>
      </c>
      <c r="DD119" t="s">
        <v>27900</v>
      </c>
      <c r="DE119" t="s">
        <v>27901</v>
      </c>
      <c r="DF119" t="s">
        <v>27902</v>
      </c>
      <c r="DG119" t="s">
        <v>27903</v>
      </c>
      <c r="DH119" t="str">
        <f>"VNN1"</f>
        <v>VNN1</v>
      </c>
      <c r="DI119" t="s">
        <v>13772</v>
      </c>
      <c r="DJ119" t="s">
        <v>13777</v>
      </c>
      <c r="DK119">
        <v>9606</v>
      </c>
      <c r="DL119" s="34" t="str">
        <f>HYPERLINK("http://www.uniprot.org/uniprot/O95497", "O95497")</f>
        <v>O95497</v>
      </c>
      <c r="DM119" t="s">
        <v>27904</v>
      </c>
      <c r="DN119" t="s">
        <v>13772</v>
      </c>
      <c r="DO119" t="s">
        <v>13792</v>
      </c>
      <c r="DP119" t="s">
        <v>13793</v>
      </c>
      <c r="DQ119" t="s">
        <v>13772</v>
      </c>
      <c r="DR119" t="s">
        <v>13772</v>
      </c>
      <c r="DS119" t="s">
        <v>13808</v>
      </c>
      <c r="DT119" t="s">
        <v>13772</v>
      </c>
      <c r="DU119" t="s">
        <v>13857</v>
      </c>
      <c r="DV119" t="s">
        <v>27905</v>
      </c>
      <c r="DW119" t="s">
        <v>13812</v>
      </c>
      <c r="DX119" t="s">
        <v>27906</v>
      </c>
      <c r="DY119" t="s">
        <v>27907</v>
      </c>
      <c r="DZ119" t="s">
        <v>27908</v>
      </c>
      <c r="EA119" t="s">
        <v>13772</v>
      </c>
      <c r="EB119" t="s">
        <v>27909</v>
      </c>
    </row>
    <row r="120" spans="1:132" hidden="1">
      <c r="A120">
        <v>2110</v>
      </c>
      <c r="B120">
        <v>1</v>
      </c>
      <c r="C120" t="s">
        <v>4953</v>
      </c>
      <c r="D120" t="s">
        <v>4954</v>
      </c>
      <c r="E120" t="s">
        <v>73</v>
      </c>
      <c r="F120" t="s">
        <v>73</v>
      </c>
      <c r="G120" t="s">
        <v>73</v>
      </c>
      <c r="H120">
        <v>44.7</v>
      </c>
      <c r="I120">
        <v>2974</v>
      </c>
      <c r="J120">
        <v>315552</v>
      </c>
      <c r="K120" t="s">
        <v>4955</v>
      </c>
      <c r="L120">
        <f t="shared" si="6"/>
        <v>377</v>
      </c>
      <c r="N120">
        <v>377</v>
      </c>
      <c r="O120">
        <v>377</v>
      </c>
      <c r="P120">
        <v>1</v>
      </c>
      <c r="Q120">
        <v>8</v>
      </c>
      <c r="R120">
        <v>16</v>
      </c>
      <c r="S120">
        <v>8</v>
      </c>
      <c r="T120">
        <v>16</v>
      </c>
      <c r="U120">
        <v>20</v>
      </c>
      <c r="V120">
        <v>10</v>
      </c>
      <c r="W120">
        <v>1</v>
      </c>
      <c r="X120">
        <v>7</v>
      </c>
      <c r="Y120">
        <v>0</v>
      </c>
      <c r="Z120">
        <v>0</v>
      </c>
      <c r="AA120">
        <v>19</v>
      </c>
      <c r="AB120">
        <v>29</v>
      </c>
      <c r="AC120">
        <v>2</v>
      </c>
      <c r="AD120">
        <v>3</v>
      </c>
      <c r="AE120">
        <v>12</v>
      </c>
      <c r="AF120">
        <v>38</v>
      </c>
      <c r="AG120">
        <v>185</v>
      </c>
      <c r="AH120">
        <v>0</v>
      </c>
      <c r="AI120">
        <v>3</v>
      </c>
      <c r="AJ120">
        <v>8</v>
      </c>
      <c r="AK120">
        <v>16</v>
      </c>
      <c r="AL120">
        <v>8</v>
      </c>
      <c r="AM120">
        <v>16</v>
      </c>
      <c r="AN120">
        <v>20</v>
      </c>
      <c r="AO120">
        <v>10</v>
      </c>
      <c r="AP120">
        <v>1</v>
      </c>
      <c r="AQ120">
        <v>7</v>
      </c>
      <c r="AR120">
        <v>0</v>
      </c>
      <c r="AS120">
        <v>0</v>
      </c>
      <c r="AT120">
        <v>19</v>
      </c>
      <c r="AU120">
        <v>29</v>
      </c>
      <c r="AV120">
        <v>2</v>
      </c>
      <c r="AW120">
        <v>3</v>
      </c>
      <c r="AX120">
        <v>12</v>
      </c>
      <c r="AY120">
        <v>38</v>
      </c>
      <c r="AZ120">
        <v>185</v>
      </c>
      <c r="BA120">
        <v>0</v>
      </c>
      <c r="BB120">
        <v>3</v>
      </c>
      <c r="BC120" s="2">
        <v>8</v>
      </c>
      <c r="BD120" s="2">
        <v>16</v>
      </c>
      <c r="BE120" s="2">
        <v>8</v>
      </c>
      <c r="BF120" s="2">
        <v>16</v>
      </c>
      <c r="BG120" s="2">
        <v>20</v>
      </c>
      <c r="BH120" s="2">
        <v>10</v>
      </c>
      <c r="BI120" s="2">
        <v>1</v>
      </c>
      <c r="BJ120" s="2">
        <v>7</v>
      </c>
      <c r="BK120" s="2">
        <v>0</v>
      </c>
      <c r="BL120" s="2">
        <v>0</v>
      </c>
      <c r="BM120" s="2">
        <v>19</v>
      </c>
      <c r="BN120" s="2">
        <v>29</v>
      </c>
      <c r="BO120" s="2">
        <v>2</v>
      </c>
      <c r="BP120" s="2">
        <v>3</v>
      </c>
      <c r="BQ120" s="2">
        <v>12</v>
      </c>
      <c r="BR120" s="2">
        <v>38</v>
      </c>
      <c r="BS120" s="2">
        <v>185</v>
      </c>
      <c r="BT120" s="2">
        <v>0</v>
      </c>
      <c r="BU120" s="2">
        <v>3</v>
      </c>
      <c r="BV120" s="2">
        <f t="shared" si="9"/>
        <v>377</v>
      </c>
      <c r="BW120" s="16">
        <f t="shared" si="7"/>
        <v>19.842105263157894</v>
      </c>
      <c r="BX120" s="16">
        <f>COUNTIF($BC$6:BU120, "=0") / COUNTIF($BC$6:BU120, "&gt;-1")</f>
        <v>3.2036613272311214E-2</v>
      </c>
      <c r="BY120" s="18">
        <f>SUM($BC$6:BU120) / $BY$4</f>
        <v>0.59039399058521458</v>
      </c>
      <c r="BZ120" s="14">
        <f t="shared" si="8"/>
        <v>3</v>
      </c>
      <c r="CA120" t="s">
        <v>5831</v>
      </c>
      <c r="CB120" s="36">
        <v>9.6931471666778304</v>
      </c>
      <c r="CC120" s="36">
        <v>15.4090259308391</v>
      </c>
      <c r="CD120" s="36">
        <v>12.806381294498101</v>
      </c>
      <c r="CE120" s="36">
        <v>24.1907481464517</v>
      </c>
      <c r="CF120" s="36">
        <v>17.203527198737799</v>
      </c>
      <c r="CG120" s="36">
        <v>9.2972724663949098</v>
      </c>
      <c r="CH120" s="36">
        <v>1.05406228286464</v>
      </c>
      <c r="CI120" s="36">
        <v>6.8122851858761404</v>
      </c>
      <c r="CJ120" s="37">
        <v>0.19868957331123899</v>
      </c>
      <c r="CK120" s="37">
        <v>11.982343290877401</v>
      </c>
      <c r="CL120" s="37">
        <v>23.201576099752899</v>
      </c>
      <c r="CM120" s="37">
        <v>1.6930940931998799</v>
      </c>
      <c r="CN120" s="37">
        <v>11.0255107897814</v>
      </c>
      <c r="CO120" s="37">
        <v>29.989241674634702</v>
      </c>
      <c r="CP120" s="37">
        <v>279.07990885454802</v>
      </c>
      <c r="CQ120" s="37">
        <v>4.5679105394238499</v>
      </c>
      <c r="CR120" s="45">
        <v>1.89120880089126</v>
      </c>
      <c r="CS120" s="45">
        <v>3.74988688963071</v>
      </c>
      <c r="CT120" s="46">
        <v>2.9262617838748999E-2</v>
      </c>
      <c r="CU120" s="47">
        <v>4.7982086603242803E-2</v>
      </c>
      <c r="CV120" s="48">
        <v>12.058306209042501</v>
      </c>
      <c r="CW120" s="49">
        <v>45.217284364441198</v>
      </c>
      <c r="CX120" s="31" t="s">
        <v>5874</v>
      </c>
      <c r="CY120" s="31" t="s">
        <v>5878</v>
      </c>
      <c r="CZ120" t="s">
        <v>12784</v>
      </c>
      <c r="DA120" t="s">
        <v>5904</v>
      </c>
      <c r="DB120">
        <v>4234.1000000000004</v>
      </c>
      <c r="DC120" t="s">
        <v>33978</v>
      </c>
      <c r="DD120" t="s">
        <v>33979</v>
      </c>
      <c r="DE120" t="s">
        <v>33980</v>
      </c>
      <c r="DF120" t="s">
        <v>33981</v>
      </c>
      <c r="DG120" t="s">
        <v>33982</v>
      </c>
      <c r="DH120" t="str">
        <f>"FCGBP"</f>
        <v>FCGBP</v>
      </c>
      <c r="DI120" t="s">
        <v>13772</v>
      </c>
      <c r="DJ120" t="s">
        <v>13777</v>
      </c>
      <c r="DK120">
        <v>9606</v>
      </c>
      <c r="DL120" s="34" t="str">
        <f>HYPERLINK("http://www.uniprot.org/uniprot/Q9Y6R7", "Q9Y6R7")</f>
        <v>Q9Y6R7</v>
      </c>
      <c r="DM120" t="s">
        <v>19087</v>
      </c>
      <c r="DN120" t="s">
        <v>13772</v>
      </c>
      <c r="DO120" t="s">
        <v>14321</v>
      </c>
      <c r="DP120" t="s">
        <v>13793</v>
      </c>
      <c r="DQ120" t="s">
        <v>13772</v>
      </c>
      <c r="DR120" t="s">
        <v>13772</v>
      </c>
      <c r="DS120" t="s">
        <v>14404</v>
      </c>
      <c r="DT120" t="s">
        <v>13772</v>
      </c>
      <c r="DU120" t="s">
        <v>13772</v>
      </c>
      <c r="DV120" t="s">
        <v>13796</v>
      </c>
      <c r="DW120" t="s">
        <v>13772</v>
      </c>
      <c r="DX120" t="s">
        <v>13772</v>
      </c>
      <c r="DY120" t="s">
        <v>15835</v>
      </c>
      <c r="DZ120" t="s">
        <v>13772</v>
      </c>
      <c r="EA120" t="s">
        <v>13772</v>
      </c>
      <c r="EB120" t="s">
        <v>13772</v>
      </c>
    </row>
    <row r="121" spans="1:132">
      <c r="A121">
        <v>1688</v>
      </c>
      <c r="B121">
        <v>1</v>
      </c>
      <c r="C121" t="s">
        <v>4004</v>
      </c>
      <c r="D121" t="s">
        <v>73</v>
      </c>
      <c r="E121" t="s">
        <v>73</v>
      </c>
      <c r="F121" t="s">
        <v>73</v>
      </c>
      <c r="G121" t="s">
        <v>73</v>
      </c>
      <c r="H121">
        <v>70.3</v>
      </c>
      <c r="I121">
        <v>417</v>
      </c>
      <c r="J121">
        <v>44589</v>
      </c>
      <c r="K121" t="s">
        <v>4005</v>
      </c>
      <c r="L121">
        <f t="shared" si="6"/>
        <v>365</v>
      </c>
      <c r="N121">
        <v>365</v>
      </c>
      <c r="O121">
        <v>365</v>
      </c>
      <c r="P121">
        <v>1</v>
      </c>
      <c r="Q121">
        <v>12</v>
      </c>
      <c r="R121">
        <v>36</v>
      </c>
      <c r="S121">
        <v>4</v>
      </c>
      <c r="T121">
        <v>9</v>
      </c>
      <c r="U121">
        <v>44</v>
      </c>
      <c r="V121">
        <v>35</v>
      </c>
      <c r="W121">
        <v>17</v>
      </c>
      <c r="X121">
        <v>23</v>
      </c>
      <c r="Y121">
        <v>45</v>
      </c>
      <c r="Z121">
        <v>7</v>
      </c>
      <c r="AA121">
        <v>24</v>
      </c>
      <c r="AB121">
        <v>20</v>
      </c>
      <c r="AC121">
        <v>27</v>
      </c>
      <c r="AD121">
        <v>5</v>
      </c>
      <c r="AE121">
        <v>28</v>
      </c>
      <c r="AF121">
        <v>19</v>
      </c>
      <c r="AG121">
        <v>3</v>
      </c>
      <c r="AH121">
        <v>1</v>
      </c>
      <c r="AI121">
        <v>6</v>
      </c>
      <c r="AJ121">
        <v>12</v>
      </c>
      <c r="AK121">
        <v>36</v>
      </c>
      <c r="AL121">
        <v>4</v>
      </c>
      <c r="AM121">
        <v>9</v>
      </c>
      <c r="AN121">
        <v>44</v>
      </c>
      <c r="AO121">
        <v>35</v>
      </c>
      <c r="AP121">
        <v>17</v>
      </c>
      <c r="AQ121">
        <v>23</v>
      </c>
      <c r="AR121">
        <v>45</v>
      </c>
      <c r="AS121">
        <v>7</v>
      </c>
      <c r="AT121">
        <v>24</v>
      </c>
      <c r="AU121">
        <v>20</v>
      </c>
      <c r="AV121">
        <v>27</v>
      </c>
      <c r="AW121">
        <v>5</v>
      </c>
      <c r="AX121">
        <v>28</v>
      </c>
      <c r="AY121">
        <v>19</v>
      </c>
      <c r="AZ121">
        <v>3</v>
      </c>
      <c r="BA121">
        <v>1</v>
      </c>
      <c r="BB121">
        <v>6</v>
      </c>
      <c r="BC121" s="2">
        <v>12</v>
      </c>
      <c r="BD121" s="2">
        <v>36</v>
      </c>
      <c r="BE121" s="2">
        <v>4</v>
      </c>
      <c r="BF121" s="2">
        <v>9</v>
      </c>
      <c r="BG121" s="2">
        <v>44</v>
      </c>
      <c r="BH121" s="2">
        <v>35</v>
      </c>
      <c r="BI121" s="2">
        <v>17</v>
      </c>
      <c r="BJ121" s="2">
        <v>23</v>
      </c>
      <c r="BK121" s="2">
        <v>45</v>
      </c>
      <c r="BL121" s="2">
        <v>7</v>
      </c>
      <c r="BM121" s="2">
        <v>24</v>
      </c>
      <c r="BN121" s="2">
        <v>20</v>
      </c>
      <c r="BO121" s="2">
        <v>27</v>
      </c>
      <c r="BP121" s="2">
        <v>5</v>
      </c>
      <c r="BQ121" s="2">
        <v>28</v>
      </c>
      <c r="BR121" s="2">
        <v>19</v>
      </c>
      <c r="BS121" s="2">
        <v>3</v>
      </c>
      <c r="BT121" s="2">
        <v>1</v>
      </c>
      <c r="BU121" s="2">
        <v>6</v>
      </c>
      <c r="BV121" s="2">
        <f t="shared" si="9"/>
        <v>365</v>
      </c>
      <c r="BW121" s="16">
        <f t="shared" si="7"/>
        <v>19.210526315789473</v>
      </c>
      <c r="BX121" s="16">
        <f>COUNTIF($BC$6:BU121, "=0") / COUNTIF($BC$6:BU121, "&gt;-1")</f>
        <v>3.1760435571687839E-2</v>
      </c>
      <c r="BY121" s="18">
        <f>SUM($BC$6:BU121) / $BY$4</f>
        <v>0.59195751804229024</v>
      </c>
      <c r="BZ121" s="14">
        <f t="shared" si="8"/>
        <v>0</v>
      </c>
      <c r="CA121" t="s">
        <v>5831</v>
      </c>
      <c r="CB121" s="36">
        <v>14.5397207500168</v>
      </c>
      <c r="CC121" s="36">
        <v>34.670308344388097</v>
      </c>
      <c r="CD121" s="36">
        <v>6.4031906472490299</v>
      </c>
      <c r="CE121" s="36">
        <v>13.6072958323791</v>
      </c>
      <c r="CF121" s="36">
        <v>37.8477598372233</v>
      </c>
      <c r="CG121" s="36">
        <v>32.540453632382203</v>
      </c>
      <c r="CH121" s="36">
        <v>17.9190588086989</v>
      </c>
      <c r="CI121" s="36">
        <v>22.383222753593</v>
      </c>
      <c r="CJ121" s="37">
        <v>35.7641231960231</v>
      </c>
      <c r="CK121" s="37">
        <v>15.135591525318899</v>
      </c>
      <c r="CL121" s="37">
        <v>16.0010869653469</v>
      </c>
      <c r="CM121" s="37">
        <v>22.856770258198399</v>
      </c>
      <c r="CN121" s="37">
        <v>25.726191842823201</v>
      </c>
      <c r="CO121" s="37">
        <v>14.994620837317401</v>
      </c>
      <c r="CP121" s="37">
        <v>4.5256201435872701</v>
      </c>
      <c r="CQ121" s="37">
        <v>9.1358210788476999</v>
      </c>
      <c r="CR121" s="45">
        <v>-0.31626539587827701</v>
      </c>
      <c r="CS121" s="45">
        <v>-1.2481700289850699</v>
      </c>
      <c r="CT121" s="46">
        <v>0.43644438721589202</v>
      </c>
      <c r="CU121" s="47">
        <v>0.52046576657296295</v>
      </c>
      <c r="CV121" s="48">
        <v>22.488876325741298</v>
      </c>
      <c r="CW121" s="49">
        <v>18.017478230932799</v>
      </c>
      <c r="CX121" s="31" t="s">
        <v>5875</v>
      </c>
      <c r="CY121" s="31" t="s">
        <v>5832</v>
      </c>
      <c r="CZ121" t="s">
        <v>11381</v>
      </c>
      <c r="DA121" t="s">
        <v>5904</v>
      </c>
      <c r="DB121">
        <v>827.8</v>
      </c>
      <c r="DC121" t="s">
        <v>29999</v>
      </c>
      <c r="DD121" t="s">
        <v>30000</v>
      </c>
      <c r="DE121" t="s">
        <v>30001</v>
      </c>
      <c r="DF121" t="s">
        <v>30002</v>
      </c>
      <c r="DG121" t="s">
        <v>30003</v>
      </c>
      <c r="DH121" t="str">
        <f>"PGK1"</f>
        <v>PGK1</v>
      </c>
      <c r="DI121" t="s">
        <v>30004</v>
      </c>
      <c r="DJ121" t="s">
        <v>13777</v>
      </c>
      <c r="DK121">
        <v>9606</v>
      </c>
      <c r="DL121" s="34" t="str">
        <f>HYPERLINK("http://www.uniprot.org/uniprot/P00558", "P00558")</f>
        <v>P00558</v>
      </c>
      <c r="DM121" t="s">
        <v>30005</v>
      </c>
      <c r="DN121" t="s">
        <v>15772</v>
      </c>
      <c r="DO121" t="s">
        <v>13899</v>
      </c>
      <c r="DP121" t="s">
        <v>13780</v>
      </c>
      <c r="DQ121" t="s">
        <v>13772</v>
      </c>
      <c r="DR121" t="s">
        <v>17205</v>
      </c>
      <c r="DS121" t="s">
        <v>13772</v>
      </c>
      <c r="DT121" t="s">
        <v>14005</v>
      </c>
      <c r="DU121" t="s">
        <v>14006</v>
      </c>
      <c r="DV121" t="s">
        <v>13886</v>
      </c>
      <c r="DW121" t="s">
        <v>13812</v>
      </c>
      <c r="DX121" t="s">
        <v>30006</v>
      </c>
      <c r="DY121" t="s">
        <v>30007</v>
      </c>
      <c r="DZ121" t="s">
        <v>30008</v>
      </c>
      <c r="EA121" t="s">
        <v>30009</v>
      </c>
      <c r="EB121" t="s">
        <v>16800</v>
      </c>
    </row>
    <row r="122" spans="1:132" hidden="1">
      <c r="A122">
        <v>2462</v>
      </c>
      <c r="B122">
        <v>1</v>
      </c>
      <c r="C122" t="s">
        <v>5794</v>
      </c>
      <c r="D122" t="s">
        <v>73</v>
      </c>
      <c r="E122" t="s">
        <v>5795</v>
      </c>
      <c r="F122" t="s">
        <v>73</v>
      </c>
      <c r="G122" t="s">
        <v>73</v>
      </c>
      <c r="H122">
        <v>69.7</v>
      </c>
      <c r="I122">
        <v>175</v>
      </c>
      <c r="J122">
        <v>19378</v>
      </c>
      <c r="K122" t="s">
        <v>5796</v>
      </c>
      <c r="L122">
        <f t="shared" si="6"/>
        <v>364</v>
      </c>
      <c r="N122">
        <v>364</v>
      </c>
      <c r="O122">
        <v>364</v>
      </c>
      <c r="P122">
        <v>1</v>
      </c>
      <c r="Q122">
        <v>0</v>
      </c>
      <c r="R122">
        <v>3</v>
      </c>
      <c r="S122">
        <v>8</v>
      </c>
      <c r="T122">
        <v>0</v>
      </c>
      <c r="U122">
        <v>0</v>
      </c>
      <c r="V122">
        <v>0</v>
      </c>
      <c r="W122">
        <v>1</v>
      </c>
      <c r="X122">
        <v>9</v>
      </c>
      <c r="Y122">
        <v>26</v>
      </c>
      <c r="Z122">
        <v>25</v>
      </c>
      <c r="AA122">
        <v>35</v>
      </c>
      <c r="AB122">
        <v>33</v>
      </c>
      <c r="AC122">
        <v>13</v>
      </c>
      <c r="AD122">
        <v>9</v>
      </c>
      <c r="AE122">
        <v>58</v>
      </c>
      <c r="AF122">
        <v>59</v>
      </c>
      <c r="AG122">
        <v>54</v>
      </c>
      <c r="AH122">
        <v>11</v>
      </c>
      <c r="AI122">
        <v>20</v>
      </c>
      <c r="AJ122">
        <v>0</v>
      </c>
      <c r="AK122">
        <v>3</v>
      </c>
      <c r="AL122">
        <v>8</v>
      </c>
      <c r="AM122">
        <v>0</v>
      </c>
      <c r="AN122">
        <v>0</v>
      </c>
      <c r="AO122">
        <v>0</v>
      </c>
      <c r="AP122">
        <v>1</v>
      </c>
      <c r="AQ122">
        <v>9</v>
      </c>
      <c r="AR122">
        <v>26</v>
      </c>
      <c r="AS122">
        <v>25</v>
      </c>
      <c r="AT122">
        <v>35</v>
      </c>
      <c r="AU122">
        <v>33</v>
      </c>
      <c r="AV122">
        <v>13</v>
      </c>
      <c r="AW122">
        <v>9</v>
      </c>
      <c r="AX122">
        <v>58</v>
      </c>
      <c r="AY122">
        <v>59</v>
      </c>
      <c r="AZ122">
        <v>54</v>
      </c>
      <c r="BA122">
        <v>11</v>
      </c>
      <c r="BB122">
        <v>20</v>
      </c>
      <c r="BC122" s="2">
        <v>0</v>
      </c>
      <c r="BD122" s="2">
        <v>3</v>
      </c>
      <c r="BE122" s="2">
        <v>8</v>
      </c>
      <c r="BF122" s="2">
        <v>0</v>
      </c>
      <c r="BG122" s="2">
        <v>0</v>
      </c>
      <c r="BH122" s="2">
        <v>0</v>
      </c>
      <c r="BI122" s="2">
        <v>1</v>
      </c>
      <c r="BJ122" s="2">
        <v>9</v>
      </c>
      <c r="BK122" s="2">
        <v>26</v>
      </c>
      <c r="BL122" s="2">
        <v>25</v>
      </c>
      <c r="BM122" s="2">
        <v>35</v>
      </c>
      <c r="BN122" s="2">
        <v>33</v>
      </c>
      <c r="BO122" s="2">
        <v>13</v>
      </c>
      <c r="BP122" s="2">
        <v>9</v>
      </c>
      <c r="BQ122" s="2">
        <v>58</v>
      </c>
      <c r="BR122" s="2">
        <v>59</v>
      </c>
      <c r="BS122" s="2">
        <v>54</v>
      </c>
      <c r="BT122" s="2">
        <v>11</v>
      </c>
      <c r="BU122" s="2">
        <v>20</v>
      </c>
      <c r="BV122" s="2">
        <f t="shared" si="9"/>
        <v>364</v>
      </c>
      <c r="BW122" s="16">
        <f t="shared" si="7"/>
        <v>19.157894736842106</v>
      </c>
      <c r="BX122" s="16">
        <f>COUNTIF($BC$6:BU122, "=0") / COUNTIF($BC$6:BU122, "&gt;-1")</f>
        <v>3.3288349077822764E-2</v>
      </c>
      <c r="BY122" s="18">
        <f>SUM($BC$6:BU122) / $BY$4</f>
        <v>0.59351676186249724</v>
      </c>
      <c r="BZ122" s="14">
        <f t="shared" si="8"/>
        <v>4</v>
      </c>
      <c r="CA122" t="s">
        <v>5831</v>
      </c>
      <c r="CB122" s="36">
        <v>0.30291084895868198</v>
      </c>
      <c r="CC122" s="36">
        <v>2.8891923620323401</v>
      </c>
      <c r="CD122" s="36">
        <v>12.806381294498101</v>
      </c>
      <c r="CE122" s="36">
        <v>0.37798043978830698</v>
      </c>
      <c r="CF122" s="36">
        <v>0.215044089984223</v>
      </c>
      <c r="CG122" s="36">
        <v>0.23243181165987301</v>
      </c>
      <c r="CH122" s="36">
        <v>1.05406228286464</v>
      </c>
      <c r="CI122" s="36">
        <v>8.7586523818407507</v>
      </c>
      <c r="CJ122" s="37">
        <v>20.663715624368901</v>
      </c>
      <c r="CK122" s="37">
        <v>22.072737641090001</v>
      </c>
      <c r="CL122" s="37">
        <v>26.4017934928223</v>
      </c>
      <c r="CM122" s="37">
        <v>11.0051116057992</v>
      </c>
      <c r="CN122" s="37">
        <v>53.289968817276602</v>
      </c>
      <c r="CO122" s="37">
        <v>46.562243652722401</v>
      </c>
      <c r="CP122" s="37">
        <v>81.461162584570801</v>
      </c>
      <c r="CQ122" s="37">
        <v>30.4527369294923</v>
      </c>
      <c r="CR122" s="45">
        <v>3.4632591061136102</v>
      </c>
      <c r="CS122" s="45">
        <v>10.958938528176899</v>
      </c>
      <c r="CT122" s="46">
        <v>1.5287569214411201E-7</v>
      </c>
      <c r="CU122" s="47">
        <v>9.7403655280391107E-7</v>
      </c>
      <c r="CV122" s="48">
        <v>3.3295819389533601</v>
      </c>
      <c r="CW122" s="49">
        <v>36.488683793517801</v>
      </c>
      <c r="CX122" s="31" t="s">
        <v>5874</v>
      </c>
      <c r="CY122" s="31" t="s">
        <v>5876</v>
      </c>
      <c r="CZ122" t="s">
        <v>13244</v>
      </c>
      <c r="DA122" t="s">
        <v>5904</v>
      </c>
      <c r="DB122">
        <v>287.3</v>
      </c>
      <c r="DC122" t="s">
        <v>35253</v>
      </c>
      <c r="DD122" t="s">
        <v>35254</v>
      </c>
      <c r="DE122" t="s">
        <v>35255</v>
      </c>
      <c r="DF122" t="s">
        <v>35256</v>
      </c>
      <c r="DG122" t="s">
        <v>35257</v>
      </c>
      <c r="DH122" t="str">
        <f>"REG3G"</f>
        <v>REG3G</v>
      </c>
      <c r="DI122" t="s">
        <v>35258</v>
      </c>
      <c r="DJ122" t="s">
        <v>13777</v>
      </c>
      <c r="DK122">
        <v>9606</v>
      </c>
      <c r="DL122" s="34" t="str">
        <f>HYPERLINK("http://www.uniprot.org/uniprot/Q6UW15", "Q6UW15")</f>
        <v>Q6UW15</v>
      </c>
      <c r="DM122" t="s">
        <v>35259</v>
      </c>
      <c r="DN122" t="s">
        <v>24573</v>
      </c>
      <c r="DO122" t="s">
        <v>16449</v>
      </c>
      <c r="DP122" t="s">
        <v>13841</v>
      </c>
      <c r="DQ122" t="s">
        <v>13772</v>
      </c>
      <c r="DR122" t="s">
        <v>13772</v>
      </c>
      <c r="DS122" t="s">
        <v>13808</v>
      </c>
      <c r="DT122" t="s">
        <v>14277</v>
      </c>
      <c r="DU122" t="s">
        <v>31406</v>
      </c>
      <c r="DV122" t="s">
        <v>14506</v>
      </c>
      <c r="DW122" t="s">
        <v>13772</v>
      </c>
      <c r="DX122" t="s">
        <v>35260</v>
      </c>
      <c r="DY122" t="s">
        <v>14326</v>
      </c>
      <c r="DZ122" t="s">
        <v>35261</v>
      </c>
      <c r="EA122" t="s">
        <v>13772</v>
      </c>
      <c r="EB122" t="s">
        <v>14470</v>
      </c>
    </row>
    <row r="123" spans="1:132">
      <c r="A123">
        <v>1008</v>
      </c>
      <c r="B123">
        <v>1</v>
      </c>
      <c r="C123" t="s">
        <v>2436</v>
      </c>
      <c r="D123" t="s">
        <v>73</v>
      </c>
      <c r="E123" t="s">
        <v>73</v>
      </c>
      <c r="F123" t="s">
        <v>73</v>
      </c>
      <c r="G123" t="s">
        <v>73</v>
      </c>
      <c r="H123">
        <v>76.5</v>
      </c>
      <c r="I123">
        <v>327</v>
      </c>
      <c r="J123">
        <v>34798</v>
      </c>
      <c r="K123" t="s">
        <v>2437</v>
      </c>
      <c r="L123">
        <f t="shared" si="6"/>
        <v>363</v>
      </c>
      <c r="N123">
        <v>363</v>
      </c>
      <c r="O123">
        <v>363</v>
      </c>
      <c r="P123">
        <v>1</v>
      </c>
      <c r="Q123">
        <v>10</v>
      </c>
      <c r="R123">
        <v>19</v>
      </c>
      <c r="S123">
        <v>6</v>
      </c>
      <c r="T123">
        <v>11</v>
      </c>
      <c r="U123">
        <v>8</v>
      </c>
      <c r="V123">
        <v>11</v>
      </c>
      <c r="W123">
        <v>5</v>
      </c>
      <c r="X123">
        <v>7</v>
      </c>
      <c r="Y123">
        <v>52</v>
      </c>
      <c r="Z123">
        <v>25</v>
      </c>
      <c r="AA123">
        <v>47</v>
      </c>
      <c r="AB123">
        <v>24</v>
      </c>
      <c r="AC123">
        <v>36</v>
      </c>
      <c r="AD123">
        <v>11</v>
      </c>
      <c r="AE123">
        <v>23</v>
      </c>
      <c r="AF123">
        <v>26</v>
      </c>
      <c r="AG123">
        <v>16</v>
      </c>
      <c r="AH123">
        <v>9</v>
      </c>
      <c r="AI123">
        <v>17</v>
      </c>
      <c r="AJ123">
        <v>10</v>
      </c>
      <c r="AK123">
        <v>19</v>
      </c>
      <c r="AL123">
        <v>6</v>
      </c>
      <c r="AM123">
        <v>11</v>
      </c>
      <c r="AN123">
        <v>8</v>
      </c>
      <c r="AO123">
        <v>11</v>
      </c>
      <c r="AP123">
        <v>5</v>
      </c>
      <c r="AQ123">
        <v>7</v>
      </c>
      <c r="AR123">
        <v>52</v>
      </c>
      <c r="AS123">
        <v>25</v>
      </c>
      <c r="AT123">
        <v>47</v>
      </c>
      <c r="AU123">
        <v>24</v>
      </c>
      <c r="AV123">
        <v>36</v>
      </c>
      <c r="AW123">
        <v>11</v>
      </c>
      <c r="AX123">
        <v>23</v>
      </c>
      <c r="AY123">
        <v>26</v>
      </c>
      <c r="AZ123">
        <v>16</v>
      </c>
      <c r="BA123">
        <v>9</v>
      </c>
      <c r="BB123">
        <v>17</v>
      </c>
      <c r="BC123" s="2">
        <v>10</v>
      </c>
      <c r="BD123" s="2">
        <v>19</v>
      </c>
      <c r="BE123" s="2">
        <v>6</v>
      </c>
      <c r="BF123" s="2">
        <v>11</v>
      </c>
      <c r="BG123" s="2">
        <v>8</v>
      </c>
      <c r="BH123" s="2">
        <v>11</v>
      </c>
      <c r="BI123" s="2">
        <v>5</v>
      </c>
      <c r="BJ123" s="2">
        <v>7</v>
      </c>
      <c r="BK123" s="2">
        <v>52</v>
      </c>
      <c r="BL123" s="2">
        <v>25</v>
      </c>
      <c r="BM123" s="2">
        <v>47</v>
      </c>
      <c r="BN123" s="2">
        <v>24</v>
      </c>
      <c r="BO123" s="2">
        <v>36</v>
      </c>
      <c r="BP123" s="2">
        <v>11</v>
      </c>
      <c r="BQ123" s="2">
        <v>23</v>
      </c>
      <c r="BR123" s="2">
        <v>26</v>
      </c>
      <c r="BS123" s="2">
        <v>16</v>
      </c>
      <c r="BT123" s="2">
        <v>9</v>
      </c>
      <c r="BU123" s="2">
        <v>17</v>
      </c>
      <c r="BV123" s="2">
        <f t="shared" si="9"/>
        <v>363</v>
      </c>
      <c r="BW123" s="16">
        <f t="shared" si="7"/>
        <v>19.105263157894736</v>
      </c>
      <c r="BX123" s="16">
        <f>COUNTIF($BC$6:BU123, "=0") / COUNTIF($BC$6:BU123, "&gt;-1")</f>
        <v>3.3006244424620877E-2</v>
      </c>
      <c r="BY123" s="18">
        <f>SUM($BC$6:BU123) / $BY$4</f>
        <v>0.59507172204583547</v>
      </c>
      <c r="BZ123" s="14">
        <f t="shared" si="8"/>
        <v>0</v>
      </c>
      <c r="CA123" t="s">
        <v>5831</v>
      </c>
      <c r="CB123" s="36">
        <v>12.116433958347301</v>
      </c>
      <c r="CC123" s="36">
        <v>18.2982182928715</v>
      </c>
      <c r="CD123" s="36">
        <v>9.6047859708735501</v>
      </c>
      <c r="CE123" s="36">
        <v>16.631139350685501</v>
      </c>
      <c r="CF123" s="36">
        <v>6.8814108794951396</v>
      </c>
      <c r="CG123" s="36">
        <v>10.226999713034401</v>
      </c>
      <c r="CH123" s="36">
        <v>5.2703114143232002</v>
      </c>
      <c r="CI123" s="36">
        <v>6.8122851858761404</v>
      </c>
      <c r="CJ123" s="37">
        <v>41.327431248737803</v>
      </c>
      <c r="CK123" s="37">
        <v>29.640533403749401</v>
      </c>
      <c r="CL123" s="37">
        <v>19.201304358416198</v>
      </c>
      <c r="CM123" s="37">
        <v>30.475693677597899</v>
      </c>
      <c r="CN123" s="37">
        <v>21.132229013747601</v>
      </c>
      <c r="CO123" s="37">
        <v>20.5189548300133</v>
      </c>
      <c r="CP123" s="37">
        <v>24.136640765798798</v>
      </c>
      <c r="CQ123" s="37">
        <v>25.884826390068501</v>
      </c>
      <c r="CR123" s="45">
        <v>1.3187771774682799</v>
      </c>
      <c r="CS123" s="45">
        <v>2.4733654937536</v>
      </c>
      <c r="CT123" s="46">
        <v>4.9753791290259997E-5</v>
      </c>
      <c r="CU123" s="47">
        <v>1.5214270737968699E-4</v>
      </c>
      <c r="CV123" s="48">
        <v>10.7301980956883</v>
      </c>
      <c r="CW123" s="49">
        <v>26.5397017110162</v>
      </c>
      <c r="CX123" s="31" t="s">
        <v>5874</v>
      </c>
      <c r="CY123" s="31" t="s">
        <v>5876</v>
      </c>
      <c r="CZ123" t="s">
        <v>9130</v>
      </c>
      <c r="DA123" t="s">
        <v>5904</v>
      </c>
      <c r="DB123">
        <v>518.5</v>
      </c>
      <c r="DC123" t="s">
        <v>23660</v>
      </c>
      <c r="DD123" t="s">
        <v>13772</v>
      </c>
      <c r="DE123" t="s">
        <v>23661</v>
      </c>
      <c r="DF123" t="s">
        <v>23662</v>
      </c>
      <c r="DG123" t="s">
        <v>23663</v>
      </c>
      <c r="DH123" t="str">
        <f>"IGFBP2"</f>
        <v>IGFBP2</v>
      </c>
      <c r="DI123" t="s">
        <v>23664</v>
      </c>
      <c r="DJ123" t="s">
        <v>13777</v>
      </c>
      <c r="DK123">
        <v>9606</v>
      </c>
      <c r="DL123" s="34" t="str">
        <f>HYPERLINK("http://www.uniprot.org/uniprot/P18065", "P18065")</f>
        <v>P18065</v>
      </c>
      <c r="DM123" t="s">
        <v>23665</v>
      </c>
      <c r="DN123" t="s">
        <v>23666</v>
      </c>
      <c r="DO123" t="s">
        <v>14321</v>
      </c>
      <c r="DP123" t="s">
        <v>13793</v>
      </c>
      <c r="DQ123" t="s">
        <v>13772</v>
      </c>
      <c r="DR123" t="s">
        <v>13772</v>
      </c>
      <c r="DS123" t="s">
        <v>13808</v>
      </c>
      <c r="DT123" t="s">
        <v>13772</v>
      </c>
      <c r="DU123" t="s">
        <v>16896</v>
      </c>
      <c r="DV123" t="s">
        <v>13796</v>
      </c>
      <c r="DW123" t="s">
        <v>13812</v>
      </c>
      <c r="DX123" t="s">
        <v>23667</v>
      </c>
      <c r="DY123" t="s">
        <v>23668</v>
      </c>
      <c r="DZ123" t="s">
        <v>23669</v>
      </c>
      <c r="EA123" t="s">
        <v>13772</v>
      </c>
      <c r="EB123" t="s">
        <v>23670</v>
      </c>
    </row>
    <row r="124" spans="1:132">
      <c r="A124">
        <v>187</v>
      </c>
      <c r="B124">
        <v>1</v>
      </c>
      <c r="C124" t="s">
        <v>470</v>
      </c>
      <c r="D124" t="s">
        <v>471</v>
      </c>
      <c r="E124" t="s">
        <v>73</v>
      </c>
      <c r="F124" t="s">
        <v>73</v>
      </c>
      <c r="G124" t="s">
        <v>73</v>
      </c>
      <c r="H124">
        <v>63.5</v>
      </c>
      <c r="I124">
        <v>351</v>
      </c>
      <c r="J124">
        <v>40057</v>
      </c>
      <c r="K124" t="s">
        <v>472</v>
      </c>
      <c r="L124">
        <f t="shared" si="6"/>
        <v>358</v>
      </c>
      <c r="N124">
        <v>358</v>
      </c>
      <c r="O124">
        <v>358</v>
      </c>
      <c r="P124">
        <v>1</v>
      </c>
      <c r="Q124">
        <v>6</v>
      </c>
      <c r="R124">
        <v>12</v>
      </c>
      <c r="S124">
        <v>5</v>
      </c>
      <c r="T124">
        <v>11</v>
      </c>
      <c r="U124">
        <v>20</v>
      </c>
      <c r="V124">
        <v>12</v>
      </c>
      <c r="W124">
        <v>14</v>
      </c>
      <c r="X124">
        <v>12</v>
      </c>
      <c r="Y124">
        <v>31</v>
      </c>
      <c r="Z124">
        <v>11</v>
      </c>
      <c r="AA124">
        <v>31</v>
      </c>
      <c r="AB124">
        <v>42</v>
      </c>
      <c r="AC124">
        <v>36</v>
      </c>
      <c r="AD124">
        <v>20</v>
      </c>
      <c r="AE124">
        <v>29</v>
      </c>
      <c r="AF124">
        <v>24</v>
      </c>
      <c r="AG124">
        <v>22</v>
      </c>
      <c r="AH124">
        <v>6</v>
      </c>
      <c r="AI124">
        <v>14</v>
      </c>
      <c r="AJ124">
        <v>6</v>
      </c>
      <c r="AK124">
        <v>12</v>
      </c>
      <c r="AL124">
        <v>5</v>
      </c>
      <c r="AM124">
        <v>11</v>
      </c>
      <c r="AN124">
        <v>20</v>
      </c>
      <c r="AO124">
        <v>12</v>
      </c>
      <c r="AP124">
        <v>14</v>
      </c>
      <c r="AQ124">
        <v>12</v>
      </c>
      <c r="AR124">
        <v>31</v>
      </c>
      <c r="AS124">
        <v>11</v>
      </c>
      <c r="AT124">
        <v>31</v>
      </c>
      <c r="AU124">
        <v>42</v>
      </c>
      <c r="AV124">
        <v>36</v>
      </c>
      <c r="AW124">
        <v>20</v>
      </c>
      <c r="AX124">
        <v>29</v>
      </c>
      <c r="AY124">
        <v>24</v>
      </c>
      <c r="AZ124">
        <v>22</v>
      </c>
      <c r="BA124">
        <v>6</v>
      </c>
      <c r="BB124">
        <v>14</v>
      </c>
      <c r="BC124" s="2">
        <v>6</v>
      </c>
      <c r="BD124" s="2">
        <v>12</v>
      </c>
      <c r="BE124" s="2">
        <v>5</v>
      </c>
      <c r="BF124" s="2">
        <v>11</v>
      </c>
      <c r="BG124" s="2">
        <v>20</v>
      </c>
      <c r="BH124" s="2">
        <v>12</v>
      </c>
      <c r="BI124" s="2">
        <v>14</v>
      </c>
      <c r="BJ124" s="2">
        <v>12</v>
      </c>
      <c r="BK124" s="2">
        <v>31</v>
      </c>
      <c r="BL124" s="2">
        <v>11</v>
      </c>
      <c r="BM124" s="2">
        <v>31</v>
      </c>
      <c r="BN124" s="2">
        <v>42</v>
      </c>
      <c r="BO124" s="2">
        <v>36</v>
      </c>
      <c r="BP124" s="2">
        <v>20</v>
      </c>
      <c r="BQ124" s="2">
        <v>29</v>
      </c>
      <c r="BR124" s="2">
        <v>24</v>
      </c>
      <c r="BS124" s="2">
        <v>22</v>
      </c>
      <c r="BT124" s="2">
        <v>6</v>
      </c>
      <c r="BU124" s="2">
        <v>14</v>
      </c>
      <c r="BV124" s="2">
        <f t="shared" si="9"/>
        <v>358</v>
      </c>
      <c r="BW124" s="16">
        <f t="shared" si="7"/>
        <v>18.842105263157894</v>
      </c>
      <c r="BX124" s="16">
        <f>COUNTIF($BC$6:BU124, "=0") / COUNTIF($BC$6:BU124, "&gt;-1")</f>
        <v>3.2728881026094649E-2</v>
      </c>
      <c r="BY124" s="18">
        <f>SUM($BC$6:BU124) / $BY$4</f>
        <v>0.59660526404483027</v>
      </c>
      <c r="BZ124" s="14">
        <f t="shared" si="8"/>
        <v>0</v>
      </c>
      <c r="CA124" t="s">
        <v>5831</v>
      </c>
      <c r="CB124" s="36">
        <v>7.2698603750083803</v>
      </c>
      <c r="CC124" s="36">
        <v>11.556769448129399</v>
      </c>
      <c r="CD124" s="36">
        <v>8.00398830906129</v>
      </c>
      <c r="CE124" s="36">
        <v>16.631139350685501</v>
      </c>
      <c r="CF124" s="36">
        <v>17.203527198737799</v>
      </c>
      <c r="CG124" s="36">
        <v>11.1567269596739</v>
      </c>
      <c r="CH124" s="36">
        <v>14.756871960105</v>
      </c>
      <c r="CI124" s="36">
        <v>11.678203175787701</v>
      </c>
      <c r="CJ124" s="37">
        <v>24.637507090593701</v>
      </c>
      <c r="CK124" s="37">
        <v>19.550139053536899</v>
      </c>
      <c r="CL124" s="37">
        <v>33.602282627228398</v>
      </c>
      <c r="CM124" s="37">
        <v>30.475693677597899</v>
      </c>
      <c r="CN124" s="37">
        <v>26.644984408638301</v>
      </c>
      <c r="CO124" s="37">
        <v>18.940573689242999</v>
      </c>
      <c r="CP124" s="37">
        <v>33.187881052973303</v>
      </c>
      <c r="CQ124" s="37">
        <v>21.316915850644602</v>
      </c>
      <c r="CR124" s="45">
        <v>1.0590194253513801</v>
      </c>
      <c r="CS124" s="45">
        <v>2.1205185731074101</v>
      </c>
      <c r="CT124" s="46">
        <v>2.07364225554015E-4</v>
      </c>
      <c r="CU124" s="47">
        <v>5.3987415568573099E-4</v>
      </c>
      <c r="CV124" s="48">
        <v>12.2821358471486</v>
      </c>
      <c r="CW124" s="49">
        <v>26.044497181307001</v>
      </c>
      <c r="CX124" s="31" t="s">
        <v>5874</v>
      </c>
      <c r="CY124" s="31" t="s">
        <v>5876</v>
      </c>
      <c r="CZ124" t="s">
        <v>6342</v>
      </c>
      <c r="DA124" t="s">
        <v>5904</v>
      </c>
      <c r="DB124">
        <v>684.1</v>
      </c>
      <c r="DC124" t="s">
        <v>15315</v>
      </c>
      <c r="DD124" t="s">
        <v>15316</v>
      </c>
      <c r="DE124" t="s">
        <v>15317</v>
      </c>
      <c r="DF124" t="s">
        <v>15318</v>
      </c>
      <c r="DG124" t="s">
        <v>15319</v>
      </c>
      <c r="DH124" t="str">
        <f>"ANXA2"</f>
        <v>ANXA2</v>
      </c>
      <c r="DI124" t="s">
        <v>15320</v>
      </c>
      <c r="DJ124" t="s">
        <v>13777</v>
      </c>
      <c r="DK124">
        <v>9606</v>
      </c>
      <c r="DL124" s="34" t="str">
        <f>HYPERLINK("http://www.uniprot.org/uniprot/P07355", "P07355")</f>
        <v>P07355</v>
      </c>
      <c r="DM124" t="s">
        <v>15321</v>
      </c>
      <c r="DN124" t="s">
        <v>13772</v>
      </c>
      <c r="DO124" t="s">
        <v>15002</v>
      </c>
      <c r="DP124" t="s">
        <v>13780</v>
      </c>
      <c r="DQ124" t="s">
        <v>13772</v>
      </c>
      <c r="DR124" t="s">
        <v>13772</v>
      </c>
      <c r="DS124" t="s">
        <v>15322</v>
      </c>
      <c r="DT124" t="s">
        <v>15323</v>
      </c>
      <c r="DU124" t="s">
        <v>14826</v>
      </c>
      <c r="DV124" t="s">
        <v>13991</v>
      </c>
      <c r="DW124" t="s">
        <v>13812</v>
      </c>
      <c r="DX124" t="s">
        <v>15324</v>
      </c>
      <c r="DY124" t="s">
        <v>15325</v>
      </c>
      <c r="DZ124" t="s">
        <v>15326</v>
      </c>
      <c r="EA124" t="s">
        <v>13772</v>
      </c>
      <c r="EB124" t="s">
        <v>15327</v>
      </c>
    </row>
    <row r="125" spans="1:132">
      <c r="A125">
        <v>725</v>
      </c>
      <c r="B125">
        <v>1</v>
      </c>
      <c r="C125" t="s">
        <v>1774</v>
      </c>
      <c r="D125" t="s">
        <v>1775</v>
      </c>
      <c r="E125" t="s">
        <v>73</v>
      </c>
      <c r="F125" t="s">
        <v>73</v>
      </c>
      <c r="G125" t="s">
        <v>73</v>
      </c>
      <c r="H125">
        <v>21.6</v>
      </c>
      <c r="I125">
        <v>264</v>
      </c>
      <c r="J125">
        <v>28506</v>
      </c>
      <c r="K125" t="s">
        <v>1776</v>
      </c>
      <c r="L125">
        <f t="shared" si="6"/>
        <v>352</v>
      </c>
      <c r="N125">
        <v>352</v>
      </c>
      <c r="O125">
        <v>352</v>
      </c>
      <c r="P125">
        <v>1</v>
      </c>
      <c r="Q125">
        <v>35</v>
      </c>
      <c r="R125">
        <v>30</v>
      </c>
      <c r="S125">
        <v>25</v>
      </c>
      <c r="T125">
        <v>39</v>
      </c>
      <c r="U125">
        <v>30</v>
      </c>
      <c r="V125">
        <v>33</v>
      </c>
      <c r="W125">
        <v>32</v>
      </c>
      <c r="X125">
        <v>11</v>
      </c>
      <c r="Y125">
        <v>15</v>
      </c>
      <c r="Z125">
        <v>4</v>
      </c>
      <c r="AA125">
        <v>20</v>
      </c>
      <c r="AB125">
        <v>17</v>
      </c>
      <c r="AC125">
        <v>8</v>
      </c>
      <c r="AD125">
        <v>2</v>
      </c>
      <c r="AE125">
        <v>10</v>
      </c>
      <c r="AF125">
        <v>13</v>
      </c>
      <c r="AG125">
        <v>13</v>
      </c>
      <c r="AH125">
        <v>8</v>
      </c>
      <c r="AI125">
        <v>7</v>
      </c>
      <c r="AJ125">
        <v>35</v>
      </c>
      <c r="AK125">
        <v>30</v>
      </c>
      <c r="AL125">
        <v>25</v>
      </c>
      <c r="AM125">
        <v>39</v>
      </c>
      <c r="AN125">
        <v>30</v>
      </c>
      <c r="AO125">
        <v>33</v>
      </c>
      <c r="AP125">
        <v>32</v>
      </c>
      <c r="AQ125">
        <v>11</v>
      </c>
      <c r="AR125">
        <v>15</v>
      </c>
      <c r="AS125">
        <v>4</v>
      </c>
      <c r="AT125">
        <v>20</v>
      </c>
      <c r="AU125">
        <v>17</v>
      </c>
      <c r="AV125">
        <v>8</v>
      </c>
      <c r="AW125">
        <v>2</v>
      </c>
      <c r="AX125">
        <v>10</v>
      </c>
      <c r="AY125">
        <v>13</v>
      </c>
      <c r="AZ125">
        <v>13</v>
      </c>
      <c r="BA125">
        <v>8</v>
      </c>
      <c r="BB125">
        <v>7</v>
      </c>
      <c r="BC125" s="2">
        <v>35</v>
      </c>
      <c r="BD125" s="2">
        <v>30</v>
      </c>
      <c r="BE125" s="2">
        <v>25</v>
      </c>
      <c r="BF125" s="2">
        <v>39</v>
      </c>
      <c r="BG125" s="2">
        <v>30</v>
      </c>
      <c r="BH125" s="2">
        <v>33</v>
      </c>
      <c r="BI125" s="2">
        <v>32</v>
      </c>
      <c r="BJ125" s="2">
        <v>11</v>
      </c>
      <c r="BK125" s="2">
        <v>15</v>
      </c>
      <c r="BL125" s="2">
        <v>4</v>
      </c>
      <c r="BM125" s="2">
        <v>20</v>
      </c>
      <c r="BN125" s="2">
        <v>17</v>
      </c>
      <c r="BO125" s="2">
        <v>8</v>
      </c>
      <c r="BP125" s="2">
        <v>2</v>
      </c>
      <c r="BQ125" s="2">
        <v>10</v>
      </c>
      <c r="BR125" s="2">
        <v>13</v>
      </c>
      <c r="BS125" s="2">
        <v>13</v>
      </c>
      <c r="BT125" s="2">
        <v>8</v>
      </c>
      <c r="BU125" s="2">
        <v>7</v>
      </c>
      <c r="BV125" s="2">
        <f t="shared" si="9"/>
        <v>352</v>
      </c>
      <c r="BW125" s="16">
        <f t="shared" si="7"/>
        <v>18.526315789473685</v>
      </c>
      <c r="BX125" s="16">
        <f>COUNTIF($BC$6:BU125, "=0") / COUNTIF($BC$6:BU125, "&gt;-1")</f>
        <v>3.245614035087719E-2</v>
      </c>
      <c r="BY125" s="18">
        <f>SUM($BC$6:BU125) / $BY$4</f>
        <v>0.59811310422261288</v>
      </c>
      <c r="BZ125" s="14">
        <f t="shared" si="8"/>
        <v>0</v>
      </c>
      <c r="CA125" t="s">
        <v>5831</v>
      </c>
      <c r="CB125" s="36">
        <v>42.407518854215503</v>
      </c>
      <c r="CC125" s="36">
        <v>28.8919236203234</v>
      </c>
      <c r="CD125" s="36">
        <v>40.019941545306402</v>
      </c>
      <c r="CE125" s="36">
        <v>58.964948606976002</v>
      </c>
      <c r="CF125" s="36">
        <v>25.8052907981068</v>
      </c>
      <c r="CG125" s="36">
        <v>30.6809991391032</v>
      </c>
      <c r="CH125" s="36">
        <v>33.729993051668501</v>
      </c>
      <c r="CI125" s="36">
        <v>10.7050195778054</v>
      </c>
      <c r="CJ125" s="37">
        <v>11.9213743986744</v>
      </c>
      <c r="CK125" s="37">
        <v>12.6129929377657</v>
      </c>
      <c r="CL125" s="37">
        <v>13.600923920544799</v>
      </c>
      <c r="CM125" s="37">
        <v>6.7723763727995303</v>
      </c>
      <c r="CN125" s="37">
        <v>9.1879256581511406</v>
      </c>
      <c r="CO125" s="37">
        <v>10.2594774150066</v>
      </c>
      <c r="CP125" s="37">
        <v>19.611020622211502</v>
      </c>
      <c r="CQ125" s="37">
        <v>10.658457925322301</v>
      </c>
      <c r="CR125" s="45">
        <v>-1.51129436722679</v>
      </c>
      <c r="CS125" s="45">
        <v>-2.8661234039341101</v>
      </c>
      <c r="CT125" s="46">
        <v>1.1717218827024201E-5</v>
      </c>
      <c r="CU125" s="47">
        <v>4.21441902971998E-5</v>
      </c>
      <c r="CV125" s="48">
        <v>33.900704399188101</v>
      </c>
      <c r="CW125" s="49">
        <v>11.828068656309499</v>
      </c>
      <c r="CX125" s="31" t="s">
        <v>5875</v>
      </c>
      <c r="CY125" s="31" t="s">
        <v>5876</v>
      </c>
      <c r="CZ125" t="s">
        <v>8178</v>
      </c>
      <c r="DA125" t="s">
        <v>5904</v>
      </c>
      <c r="DB125">
        <v>242.7</v>
      </c>
      <c r="DC125" t="s">
        <v>20909</v>
      </c>
      <c r="DD125" t="s">
        <v>20910</v>
      </c>
      <c r="DE125" t="s">
        <v>20911</v>
      </c>
      <c r="DF125" t="s">
        <v>20912</v>
      </c>
      <c r="DG125" t="s">
        <v>20913</v>
      </c>
      <c r="DH125" t="str">
        <f>"SHISA5"</f>
        <v>SHISA5</v>
      </c>
      <c r="DI125" t="s">
        <v>20914</v>
      </c>
      <c r="DJ125" t="s">
        <v>13777</v>
      </c>
      <c r="DK125">
        <v>9606</v>
      </c>
      <c r="DL125" s="34" t="str">
        <f>HYPERLINK("http://www.uniprot.org/uniprot/Q8N114", "Q8N114")</f>
        <v>Q8N114</v>
      </c>
      <c r="DM125" t="s">
        <v>20915</v>
      </c>
      <c r="DN125" t="s">
        <v>17109</v>
      </c>
      <c r="DO125" t="s">
        <v>20410</v>
      </c>
      <c r="DP125" t="s">
        <v>13780</v>
      </c>
      <c r="DQ125" t="s">
        <v>13772</v>
      </c>
      <c r="DR125" t="s">
        <v>13772</v>
      </c>
      <c r="DS125" t="s">
        <v>13855</v>
      </c>
      <c r="DT125" t="s">
        <v>13772</v>
      </c>
      <c r="DU125" t="s">
        <v>13772</v>
      </c>
      <c r="DV125" t="s">
        <v>13772</v>
      </c>
      <c r="DW125" t="s">
        <v>13772</v>
      </c>
      <c r="DX125" t="s">
        <v>20916</v>
      </c>
      <c r="DY125" t="s">
        <v>20917</v>
      </c>
      <c r="DZ125" t="s">
        <v>20918</v>
      </c>
      <c r="EA125" t="s">
        <v>13772</v>
      </c>
      <c r="EB125" t="s">
        <v>17241</v>
      </c>
    </row>
    <row r="126" spans="1:132">
      <c r="A126">
        <v>35</v>
      </c>
      <c r="B126">
        <v>1</v>
      </c>
      <c r="C126" t="s">
        <v>125</v>
      </c>
      <c r="D126" t="s">
        <v>73</v>
      </c>
      <c r="E126" t="s">
        <v>73</v>
      </c>
      <c r="F126" t="s">
        <v>73</v>
      </c>
      <c r="G126" t="s">
        <v>73</v>
      </c>
      <c r="H126">
        <v>37.9</v>
      </c>
      <c r="I126">
        <v>285</v>
      </c>
      <c r="J126">
        <v>32956</v>
      </c>
      <c r="K126" t="s">
        <v>126</v>
      </c>
      <c r="L126">
        <f t="shared" si="6"/>
        <v>347</v>
      </c>
      <c r="N126">
        <v>347</v>
      </c>
      <c r="O126">
        <v>347</v>
      </c>
      <c r="P126">
        <v>1</v>
      </c>
      <c r="Q126">
        <v>18</v>
      </c>
      <c r="R126">
        <v>17</v>
      </c>
      <c r="S126">
        <v>23</v>
      </c>
      <c r="T126">
        <v>20</v>
      </c>
      <c r="U126">
        <v>19</v>
      </c>
      <c r="V126">
        <v>22</v>
      </c>
      <c r="W126">
        <v>20</v>
      </c>
      <c r="X126">
        <v>17</v>
      </c>
      <c r="Y126">
        <v>10</v>
      </c>
      <c r="Z126">
        <v>18</v>
      </c>
      <c r="AA126">
        <v>11</v>
      </c>
      <c r="AB126">
        <v>22</v>
      </c>
      <c r="AC126">
        <v>11</v>
      </c>
      <c r="AD126">
        <v>14</v>
      </c>
      <c r="AE126">
        <v>17</v>
      </c>
      <c r="AF126">
        <v>14</v>
      </c>
      <c r="AG126">
        <v>18</v>
      </c>
      <c r="AH126">
        <v>29</v>
      </c>
      <c r="AI126">
        <v>27</v>
      </c>
      <c r="AJ126">
        <v>18</v>
      </c>
      <c r="AK126">
        <v>17</v>
      </c>
      <c r="AL126">
        <v>23</v>
      </c>
      <c r="AM126">
        <v>20</v>
      </c>
      <c r="AN126">
        <v>19</v>
      </c>
      <c r="AO126">
        <v>22</v>
      </c>
      <c r="AP126">
        <v>20</v>
      </c>
      <c r="AQ126">
        <v>17</v>
      </c>
      <c r="AR126">
        <v>10</v>
      </c>
      <c r="AS126">
        <v>18</v>
      </c>
      <c r="AT126">
        <v>11</v>
      </c>
      <c r="AU126">
        <v>22</v>
      </c>
      <c r="AV126">
        <v>11</v>
      </c>
      <c r="AW126">
        <v>14</v>
      </c>
      <c r="AX126">
        <v>17</v>
      </c>
      <c r="AY126">
        <v>14</v>
      </c>
      <c r="AZ126">
        <v>18</v>
      </c>
      <c r="BA126">
        <v>29</v>
      </c>
      <c r="BB126">
        <v>27</v>
      </c>
      <c r="BC126" s="2">
        <v>18</v>
      </c>
      <c r="BD126" s="2">
        <v>17</v>
      </c>
      <c r="BE126" s="2">
        <v>23</v>
      </c>
      <c r="BF126" s="2">
        <v>20</v>
      </c>
      <c r="BG126" s="2">
        <v>19</v>
      </c>
      <c r="BH126" s="2">
        <v>22</v>
      </c>
      <c r="BI126" s="2">
        <v>20</v>
      </c>
      <c r="BJ126" s="2">
        <v>17</v>
      </c>
      <c r="BK126" s="2">
        <v>10</v>
      </c>
      <c r="BL126" s="2">
        <v>18</v>
      </c>
      <c r="BM126" s="2">
        <v>11</v>
      </c>
      <c r="BN126" s="2">
        <v>22</v>
      </c>
      <c r="BO126" s="2">
        <v>11</v>
      </c>
      <c r="BP126" s="2">
        <v>14</v>
      </c>
      <c r="BQ126" s="2">
        <v>17</v>
      </c>
      <c r="BR126" s="2">
        <v>14</v>
      </c>
      <c r="BS126" s="2">
        <v>18</v>
      </c>
      <c r="BT126" s="2">
        <v>29</v>
      </c>
      <c r="BU126" s="2">
        <v>27</v>
      </c>
      <c r="BV126" s="2">
        <f t="shared" si="9"/>
        <v>347</v>
      </c>
      <c r="BW126" s="16">
        <f t="shared" si="7"/>
        <v>18.263157894736842</v>
      </c>
      <c r="BX126" s="16">
        <f>COUNTIF($BC$6:BU126, "=0") / COUNTIF($BC$6:BU126, "&gt;-1")</f>
        <v>3.2187907785993911E-2</v>
      </c>
      <c r="BY126" s="18">
        <f>SUM($BC$6:BU126) / $BY$4</f>
        <v>0.59959952621605195</v>
      </c>
      <c r="BZ126" s="14">
        <f t="shared" si="8"/>
        <v>0</v>
      </c>
      <c r="CA126" t="s">
        <v>5831</v>
      </c>
      <c r="CB126" s="36">
        <v>21.809581125025101</v>
      </c>
      <c r="CC126" s="36">
        <v>16.372090051516601</v>
      </c>
      <c r="CD126" s="36">
        <v>36.8183462216819</v>
      </c>
      <c r="CE126" s="36">
        <v>30.238435183064599</v>
      </c>
      <c r="CF126" s="36">
        <v>16.343350838801001</v>
      </c>
      <c r="CG126" s="36">
        <v>20.453999426068801</v>
      </c>
      <c r="CH126" s="36">
        <v>21.081245657292801</v>
      </c>
      <c r="CI126" s="36">
        <v>16.544121165699199</v>
      </c>
      <c r="CJ126" s="37">
        <v>7.9475829324495697</v>
      </c>
      <c r="CK126" s="37">
        <v>6.9371461157711396</v>
      </c>
      <c r="CL126" s="37">
        <v>17.601195661881501</v>
      </c>
      <c r="CM126" s="37">
        <v>9.3120175125993505</v>
      </c>
      <c r="CN126" s="37">
        <v>15.619473618856899</v>
      </c>
      <c r="CO126" s="37">
        <v>11.048667985391701</v>
      </c>
      <c r="CP126" s="37">
        <v>27.153720861523599</v>
      </c>
      <c r="CQ126" s="37">
        <v>41.111194854814599</v>
      </c>
      <c r="CR126" s="45">
        <v>-0.42926127018412402</v>
      </c>
      <c r="CS126" s="45">
        <v>-1.3139753989165399</v>
      </c>
      <c r="CT126" s="46">
        <v>0.29690680935559699</v>
      </c>
      <c r="CU126" s="47">
        <v>0.37548328064063302</v>
      </c>
      <c r="CV126" s="48">
        <v>22.457646208643801</v>
      </c>
      <c r="CW126" s="49">
        <v>17.091374942911099</v>
      </c>
      <c r="CX126" s="31" t="s">
        <v>5875</v>
      </c>
      <c r="CY126" s="31" t="s">
        <v>5832</v>
      </c>
      <c r="CZ126" t="s">
        <v>5897</v>
      </c>
      <c r="DA126" t="s">
        <v>5900</v>
      </c>
      <c r="DB126">
        <v>27.7</v>
      </c>
      <c r="DC126" t="s">
        <v>13772</v>
      </c>
      <c r="DD126" t="s">
        <v>13772</v>
      </c>
      <c r="DE126" t="s">
        <v>13772</v>
      </c>
      <c r="DF126" t="s">
        <v>13772</v>
      </c>
      <c r="DG126" t="s">
        <v>13772</v>
      </c>
      <c r="DH126" t="s">
        <v>13772</v>
      </c>
      <c r="DI126" t="s">
        <v>13772</v>
      </c>
      <c r="DJ126" t="s">
        <v>13772</v>
      </c>
      <c r="DK126" t="s">
        <v>13772</v>
      </c>
      <c r="DL126" s="34" t="s">
        <v>13772</v>
      </c>
      <c r="DM126" t="s">
        <v>13772</v>
      </c>
      <c r="DN126" t="s">
        <v>13772</v>
      </c>
      <c r="DO126" t="s">
        <v>13772</v>
      </c>
      <c r="DP126" t="s">
        <v>13772</v>
      </c>
      <c r="DQ126" t="s">
        <v>13772</v>
      </c>
      <c r="DR126" t="s">
        <v>13772</v>
      </c>
      <c r="DS126" t="s">
        <v>13772</v>
      </c>
      <c r="DT126" t="s">
        <v>13772</v>
      </c>
      <c r="DU126" t="s">
        <v>13772</v>
      </c>
      <c r="DV126" t="s">
        <v>13772</v>
      </c>
      <c r="DW126" t="s">
        <v>13772</v>
      </c>
      <c r="DX126" t="s">
        <v>13772</v>
      </c>
      <c r="DY126" t="s">
        <v>13772</v>
      </c>
      <c r="DZ126" t="s">
        <v>13772</v>
      </c>
      <c r="EA126" t="s">
        <v>13772</v>
      </c>
      <c r="EB126" t="s">
        <v>13772</v>
      </c>
    </row>
    <row r="127" spans="1:132" hidden="1">
      <c r="A127">
        <v>182</v>
      </c>
      <c r="B127">
        <v>1</v>
      </c>
      <c r="C127" t="s">
        <v>461</v>
      </c>
      <c r="D127" t="s">
        <v>73</v>
      </c>
      <c r="E127" t="s">
        <v>73</v>
      </c>
      <c r="F127" t="s">
        <v>73</v>
      </c>
      <c r="G127" t="s">
        <v>73</v>
      </c>
      <c r="H127">
        <v>39</v>
      </c>
      <c r="I127">
        <v>426</v>
      </c>
      <c r="J127">
        <v>47750</v>
      </c>
      <c r="K127" t="s">
        <v>462</v>
      </c>
      <c r="L127">
        <f t="shared" si="6"/>
        <v>347</v>
      </c>
      <c r="N127">
        <v>347</v>
      </c>
      <c r="O127">
        <v>347</v>
      </c>
      <c r="P127">
        <v>1</v>
      </c>
      <c r="Q127">
        <v>17</v>
      </c>
      <c r="R127">
        <v>35</v>
      </c>
      <c r="S127">
        <v>28</v>
      </c>
      <c r="T127">
        <v>45</v>
      </c>
      <c r="U127">
        <v>37</v>
      </c>
      <c r="V127">
        <v>36</v>
      </c>
      <c r="W127">
        <v>26</v>
      </c>
      <c r="X127">
        <v>15</v>
      </c>
      <c r="Y127">
        <v>10</v>
      </c>
      <c r="Z127">
        <v>0</v>
      </c>
      <c r="AA127">
        <v>16</v>
      </c>
      <c r="AB127">
        <v>15</v>
      </c>
      <c r="AC127">
        <v>19</v>
      </c>
      <c r="AD127">
        <v>3</v>
      </c>
      <c r="AE127">
        <v>11</v>
      </c>
      <c r="AF127">
        <v>17</v>
      </c>
      <c r="AG127">
        <v>6</v>
      </c>
      <c r="AH127">
        <v>3</v>
      </c>
      <c r="AI127">
        <v>8</v>
      </c>
      <c r="AJ127">
        <v>17</v>
      </c>
      <c r="AK127">
        <v>35</v>
      </c>
      <c r="AL127">
        <v>28</v>
      </c>
      <c r="AM127">
        <v>45</v>
      </c>
      <c r="AN127">
        <v>37</v>
      </c>
      <c r="AO127">
        <v>36</v>
      </c>
      <c r="AP127">
        <v>26</v>
      </c>
      <c r="AQ127">
        <v>15</v>
      </c>
      <c r="AR127">
        <v>10</v>
      </c>
      <c r="AS127">
        <v>0</v>
      </c>
      <c r="AT127">
        <v>16</v>
      </c>
      <c r="AU127">
        <v>15</v>
      </c>
      <c r="AV127">
        <v>19</v>
      </c>
      <c r="AW127">
        <v>3</v>
      </c>
      <c r="AX127">
        <v>11</v>
      </c>
      <c r="AY127">
        <v>17</v>
      </c>
      <c r="AZ127">
        <v>6</v>
      </c>
      <c r="BA127">
        <v>3</v>
      </c>
      <c r="BB127">
        <v>8</v>
      </c>
      <c r="BC127" s="2">
        <v>17</v>
      </c>
      <c r="BD127" s="2">
        <v>35</v>
      </c>
      <c r="BE127" s="2">
        <v>28</v>
      </c>
      <c r="BF127" s="2">
        <v>45</v>
      </c>
      <c r="BG127" s="2">
        <v>37</v>
      </c>
      <c r="BH127" s="2">
        <v>36</v>
      </c>
      <c r="BI127" s="2">
        <v>26</v>
      </c>
      <c r="BJ127" s="2">
        <v>15</v>
      </c>
      <c r="BK127" s="2">
        <v>10</v>
      </c>
      <c r="BL127" s="2">
        <v>0</v>
      </c>
      <c r="BM127" s="2">
        <v>16</v>
      </c>
      <c r="BN127" s="2">
        <v>15</v>
      </c>
      <c r="BO127" s="2">
        <v>19</v>
      </c>
      <c r="BP127" s="2">
        <v>3</v>
      </c>
      <c r="BQ127" s="2">
        <v>11</v>
      </c>
      <c r="BR127" s="2">
        <v>17</v>
      </c>
      <c r="BS127" s="2">
        <v>6</v>
      </c>
      <c r="BT127" s="2">
        <v>3</v>
      </c>
      <c r="BU127" s="2">
        <v>8</v>
      </c>
      <c r="BV127" s="2">
        <f t="shared" si="9"/>
        <v>347</v>
      </c>
      <c r="BW127" s="16">
        <f t="shared" si="7"/>
        <v>18.263157894736842</v>
      </c>
      <c r="BX127" s="16">
        <f>COUNTIF($BC$6:BU127, "=0") / COUNTIF($BC$6:BU127, "&gt;-1")</f>
        <v>3.2355478861087146E-2</v>
      </c>
      <c r="BY127" s="18">
        <f>SUM($BC$6:BU127) / $BY$4</f>
        <v>0.60108594820949102</v>
      </c>
      <c r="BZ127" s="14">
        <f t="shared" si="8"/>
        <v>1</v>
      </c>
      <c r="CA127" t="s">
        <v>5831</v>
      </c>
      <c r="CB127" s="36">
        <v>20.597937729190399</v>
      </c>
      <c r="CC127" s="36">
        <v>33.707244223710603</v>
      </c>
      <c r="CD127" s="36">
        <v>44.822334530743198</v>
      </c>
      <c r="CE127" s="36">
        <v>68.036479161895301</v>
      </c>
      <c r="CF127" s="36">
        <v>31.826525317664998</v>
      </c>
      <c r="CG127" s="36">
        <v>33.470180879021697</v>
      </c>
      <c r="CH127" s="36">
        <v>27.405619354480699</v>
      </c>
      <c r="CI127" s="36">
        <v>14.597753969734599</v>
      </c>
      <c r="CJ127" s="37">
        <v>7.9475829324495697</v>
      </c>
      <c r="CK127" s="37">
        <v>10.0903943502126</v>
      </c>
      <c r="CL127" s="37">
        <v>12.0008152240101</v>
      </c>
      <c r="CM127" s="37">
        <v>16.084393885398899</v>
      </c>
      <c r="CN127" s="37">
        <v>10.1067182239663</v>
      </c>
      <c r="CO127" s="37">
        <v>13.4162396965471</v>
      </c>
      <c r="CP127" s="37">
        <v>9.0512402871745401</v>
      </c>
      <c r="CQ127" s="37">
        <v>12.1810947717969</v>
      </c>
      <c r="CR127" s="45">
        <v>-1.5646348014789599</v>
      </c>
      <c r="CS127" s="45">
        <v>-3.0201217831154201</v>
      </c>
      <c r="CT127" s="46">
        <v>3.9408049942473096E-6</v>
      </c>
      <c r="CU127" s="47">
        <v>1.6075600860679599E-5</v>
      </c>
      <c r="CV127" s="48">
        <v>34.3080093958052</v>
      </c>
      <c r="CW127" s="49">
        <v>11.3598099214445</v>
      </c>
      <c r="CX127" s="31" t="s">
        <v>5875</v>
      </c>
      <c r="CY127" s="31" t="s">
        <v>5876</v>
      </c>
      <c r="CZ127" t="s">
        <v>6325</v>
      </c>
      <c r="DA127" t="s">
        <v>5904</v>
      </c>
      <c r="DB127">
        <v>844</v>
      </c>
      <c r="DC127" t="s">
        <v>15261</v>
      </c>
      <c r="DD127" t="s">
        <v>15262</v>
      </c>
      <c r="DE127" t="s">
        <v>15263</v>
      </c>
      <c r="DF127" t="s">
        <v>15264</v>
      </c>
      <c r="DG127" t="s">
        <v>15265</v>
      </c>
      <c r="DH127" t="str">
        <f>"FBLN5"</f>
        <v>FBLN5</v>
      </c>
      <c r="DI127" t="s">
        <v>15266</v>
      </c>
      <c r="DJ127" t="s">
        <v>13777</v>
      </c>
      <c r="DK127">
        <v>9606</v>
      </c>
      <c r="DL127" s="34" t="str">
        <f>HYPERLINK("http://www.uniprot.org/uniprot/Q9UBX5", "Q9UBX5")</f>
        <v>Q9UBX5</v>
      </c>
      <c r="DM127" t="s">
        <v>15267</v>
      </c>
      <c r="DN127" t="s">
        <v>13949</v>
      </c>
      <c r="DO127" t="s">
        <v>13869</v>
      </c>
      <c r="DP127" t="s">
        <v>13772</v>
      </c>
      <c r="DQ127" t="s">
        <v>13772</v>
      </c>
      <c r="DR127" t="s">
        <v>15268</v>
      </c>
      <c r="DS127" t="s">
        <v>14768</v>
      </c>
      <c r="DT127" t="s">
        <v>14465</v>
      </c>
      <c r="DU127" t="s">
        <v>13772</v>
      </c>
      <c r="DV127" t="s">
        <v>13796</v>
      </c>
      <c r="DW127" t="s">
        <v>13772</v>
      </c>
      <c r="DX127" t="s">
        <v>15269</v>
      </c>
      <c r="DY127" t="s">
        <v>15270</v>
      </c>
      <c r="DZ127" t="s">
        <v>15271</v>
      </c>
      <c r="EA127" t="s">
        <v>13772</v>
      </c>
      <c r="EB127" t="s">
        <v>15272</v>
      </c>
    </row>
    <row r="128" spans="1:132">
      <c r="A128">
        <v>1542</v>
      </c>
      <c r="B128">
        <v>1</v>
      </c>
      <c r="C128" t="s">
        <v>3662</v>
      </c>
      <c r="D128" t="s">
        <v>73</v>
      </c>
      <c r="E128" t="s">
        <v>73</v>
      </c>
      <c r="F128" t="s">
        <v>73</v>
      </c>
      <c r="G128" t="s">
        <v>73</v>
      </c>
      <c r="H128">
        <v>89.7</v>
      </c>
      <c r="I128">
        <v>68</v>
      </c>
      <c r="J128">
        <v>7437</v>
      </c>
      <c r="K128" t="s">
        <v>3663</v>
      </c>
      <c r="L128">
        <f t="shared" si="6"/>
        <v>347</v>
      </c>
      <c r="N128">
        <v>347</v>
      </c>
      <c r="O128">
        <v>347</v>
      </c>
      <c r="P128">
        <v>1</v>
      </c>
      <c r="Q128">
        <v>11</v>
      </c>
      <c r="R128">
        <v>15</v>
      </c>
      <c r="S128">
        <v>18</v>
      </c>
      <c r="T128">
        <v>22</v>
      </c>
      <c r="U128">
        <v>49</v>
      </c>
      <c r="V128">
        <v>47</v>
      </c>
      <c r="W128">
        <v>38</v>
      </c>
      <c r="X128">
        <v>27</v>
      </c>
      <c r="Y128">
        <v>18</v>
      </c>
      <c r="Z128">
        <v>4</v>
      </c>
      <c r="AA128">
        <v>13</v>
      </c>
      <c r="AB128">
        <v>17</v>
      </c>
      <c r="AC128">
        <v>9</v>
      </c>
      <c r="AD128">
        <v>6</v>
      </c>
      <c r="AE128">
        <v>15</v>
      </c>
      <c r="AF128">
        <v>19</v>
      </c>
      <c r="AG128">
        <v>7</v>
      </c>
      <c r="AH128">
        <v>5</v>
      </c>
      <c r="AI128">
        <v>7</v>
      </c>
      <c r="AJ128">
        <v>11</v>
      </c>
      <c r="AK128">
        <v>15</v>
      </c>
      <c r="AL128">
        <v>18</v>
      </c>
      <c r="AM128">
        <v>22</v>
      </c>
      <c r="AN128">
        <v>49</v>
      </c>
      <c r="AO128">
        <v>47</v>
      </c>
      <c r="AP128">
        <v>38</v>
      </c>
      <c r="AQ128">
        <v>27</v>
      </c>
      <c r="AR128">
        <v>18</v>
      </c>
      <c r="AS128">
        <v>4</v>
      </c>
      <c r="AT128">
        <v>13</v>
      </c>
      <c r="AU128">
        <v>17</v>
      </c>
      <c r="AV128">
        <v>9</v>
      </c>
      <c r="AW128">
        <v>6</v>
      </c>
      <c r="AX128">
        <v>15</v>
      </c>
      <c r="AY128">
        <v>19</v>
      </c>
      <c r="AZ128">
        <v>7</v>
      </c>
      <c r="BA128">
        <v>5</v>
      </c>
      <c r="BB128">
        <v>7</v>
      </c>
      <c r="BC128" s="2">
        <v>11</v>
      </c>
      <c r="BD128" s="2">
        <v>15</v>
      </c>
      <c r="BE128" s="2">
        <v>18</v>
      </c>
      <c r="BF128" s="2">
        <v>22</v>
      </c>
      <c r="BG128" s="2">
        <v>49</v>
      </c>
      <c r="BH128" s="2">
        <v>47</v>
      </c>
      <c r="BI128" s="2">
        <v>38</v>
      </c>
      <c r="BJ128" s="2">
        <v>27</v>
      </c>
      <c r="BK128" s="2">
        <v>18</v>
      </c>
      <c r="BL128" s="2">
        <v>4</v>
      </c>
      <c r="BM128" s="2">
        <v>13</v>
      </c>
      <c r="BN128" s="2">
        <v>17</v>
      </c>
      <c r="BO128" s="2">
        <v>9</v>
      </c>
      <c r="BP128" s="2">
        <v>6</v>
      </c>
      <c r="BQ128" s="2">
        <v>15</v>
      </c>
      <c r="BR128" s="2">
        <v>19</v>
      </c>
      <c r="BS128" s="2">
        <v>7</v>
      </c>
      <c r="BT128" s="2">
        <v>5</v>
      </c>
      <c r="BU128" s="2">
        <v>7</v>
      </c>
      <c r="BV128" s="2">
        <f t="shared" si="9"/>
        <v>347</v>
      </c>
      <c r="BW128" s="16">
        <f t="shared" si="7"/>
        <v>18.263157894736842</v>
      </c>
      <c r="BX128" s="16">
        <f>COUNTIF($BC$6:BU128, "=0") / COUNTIF($BC$6:BU128, "&gt;-1")</f>
        <v>3.2092426187419767E-2</v>
      </c>
      <c r="BY128" s="18">
        <f>SUM($BC$6:BU128) / $BY$4</f>
        <v>0.60257237020293009</v>
      </c>
      <c r="BZ128" s="14">
        <f t="shared" si="8"/>
        <v>0</v>
      </c>
      <c r="CA128" t="s">
        <v>5831</v>
      </c>
      <c r="CB128" s="36">
        <v>13.328077354182</v>
      </c>
      <c r="CC128" s="36">
        <v>14.4459618101617</v>
      </c>
      <c r="CD128" s="36">
        <v>28.814357912620601</v>
      </c>
      <c r="CE128" s="36">
        <v>33.262278701371102</v>
      </c>
      <c r="CF128" s="36">
        <v>42.148641636907698</v>
      </c>
      <c r="CG128" s="36">
        <v>43.6971805920561</v>
      </c>
      <c r="CH128" s="36">
        <v>40.054366748856303</v>
      </c>
      <c r="CI128" s="36">
        <v>26.275957145522302</v>
      </c>
      <c r="CJ128" s="37">
        <v>14.3056492784092</v>
      </c>
      <c r="CK128" s="37">
        <v>8.1984454095477108</v>
      </c>
      <c r="CL128" s="37">
        <v>13.600923920544799</v>
      </c>
      <c r="CM128" s="37">
        <v>7.6189234193994704</v>
      </c>
      <c r="CN128" s="37">
        <v>13.7818884872267</v>
      </c>
      <c r="CO128" s="37">
        <v>14.994620837317401</v>
      </c>
      <c r="CP128" s="37">
        <v>10.559780335037001</v>
      </c>
      <c r="CQ128" s="37">
        <v>10.658457925322301</v>
      </c>
      <c r="CR128" s="45">
        <v>-1.3604879786606701</v>
      </c>
      <c r="CS128" s="45">
        <v>-2.5824819243803199</v>
      </c>
      <c r="CT128" s="46">
        <v>3.91358361557321E-5</v>
      </c>
      <c r="CU128" s="47">
        <v>1.2291959806659501E-4</v>
      </c>
      <c r="CV128" s="48">
        <v>30.253352737709701</v>
      </c>
      <c r="CW128" s="49">
        <v>11.714836201600599</v>
      </c>
      <c r="CX128" s="31" t="s">
        <v>5875</v>
      </c>
      <c r="CY128" s="31" t="s">
        <v>5876</v>
      </c>
      <c r="CZ128" t="s">
        <v>10877</v>
      </c>
      <c r="DA128" t="s">
        <v>5904</v>
      </c>
      <c r="DB128">
        <v>117.1</v>
      </c>
      <c r="DC128" t="s">
        <v>28588</v>
      </c>
      <c r="DD128" t="s">
        <v>28589</v>
      </c>
      <c r="DE128" t="s">
        <v>28590</v>
      </c>
      <c r="DF128" t="s">
        <v>28591</v>
      </c>
      <c r="DG128" t="s">
        <v>28592</v>
      </c>
      <c r="DH128" t="str">
        <f>"ATOX1"</f>
        <v>ATOX1</v>
      </c>
      <c r="DI128" t="s">
        <v>28593</v>
      </c>
      <c r="DJ128" t="s">
        <v>13777</v>
      </c>
      <c r="DK128">
        <v>9606</v>
      </c>
      <c r="DL128" s="34" t="str">
        <f>HYPERLINK("http://www.uniprot.org/uniprot/O00244", "O00244")</f>
        <v>O00244</v>
      </c>
      <c r="DM128" t="s">
        <v>28594</v>
      </c>
      <c r="DN128" t="s">
        <v>20300</v>
      </c>
      <c r="DO128" t="s">
        <v>13772</v>
      </c>
      <c r="DP128" t="s">
        <v>13772</v>
      </c>
      <c r="DQ128" t="s">
        <v>13772</v>
      </c>
      <c r="DR128" t="s">
        <v>13772</v>
      </c>
      <c r="DS128" t="s">
        <v>13772</v>
      </c>
      <c r="DT128" t="s">
        <v>15982</v>
      </c>
      <c r="DU128" t="s">
        <v>14477</v>
      </c>
      <c r="DV128" t="s">
        <v>13886</v>
      </c>
      <c r="DW128" t="s">
        <v>13812</v>
      </c>
      <c r="DX128" t="s">
        <v>28595</v>
      </c>
      <c r="DY128" t="s">
        <v>13902</v>
      </c>
      <c r="DZ128" t="s">
        <v>28596</v>
      </c>
      <c r="EA128" t="s">
        <v>13772</v>
      </c>
      <c r="EB128" t="s">
        <v>28597</v>
      </c>
    </row>
    <row r="129" spans="1:132">
      <c r="A129">
        <v>1963</v>
      </c>
      <c r="B129">
        <v>1</v>
      </c>
      <c r="C129" t="s">
        <v>4628</v>
      </c>
      <c r="D129" t="s">
        <v>73</v>
      </c>
      <c r="E129" t="s">
        <v>73</v>
      </c>
      <c r="F129" t="s">
        <v>73</v>
      </c>
      <c r="G129" t="s">
        <v>73</v>
      </c>
      <c r="H129">
        <v>45</v>
      </c>
      <c r="I129">
        <v>191</v>
      </c>
      <c r="J129">
        <v>21264</v>
      </c>
      <c r="K129" t="s">
        <v>4629</v>
      </c>
      <c r="L129">
        <f t="shared" si="6"/>
        <v>343</v>
      </c>
      <c r="N129">
        <v>343</v>
      </c>
      <c r="O129">
        <v>343</v>
      </c>
      <c r="P129">
        <v>1</v>
      </c>
      <c r="Q129">
        <v>41</v>
      </c>
      <c r="R129">
        <v>38</v>
      </c>
      <c r="S129">
        <v>23</v>
      </c>
      <c r="T129">
        <v>15</v>
      </c>
      <c r="U129">
        <v>26</v>
      </c>
      <c r="V129">
        <v>25</v>
      </c>
      <c r="W129">
        <v>37</v>
      </c>
      <c r="X129">
        <v>23</v>
      </c>
      <c r="Y129">
        <v>7</v>
      </c>
      <c r="Z129">
        <v>4</v>
      </c>
      <c r="AA129">
        <v>13</v>
      </c>
      <c r="AB129">
        <v>22</v>
      </c>
      <c r="AC129">
        <v>11</v>
      </c>
      <c r="AD129">
        <v>7</v>
      </c>
      <c r="AE129">
        <v>12</v>
      </c>
      <c r="AF129">
        <v>13</v>
      </c>
      <c r="AG129">
        <v>12</v>
      </c>
      <c r="AH129">
        <v>5</v>
      </c>
      <c r="AI129">
        <v>9</v>
      </c>
      <c r="AJ129">
        <v>41</v>
      </c>
      <c r="AK129">
        <v>38</v>
      </c>
      <c r="AL129">
        <v>23</v>
      </c>
      <c r="AM129">
        <v>15</v>
      </c>
      <c r="AN129">
        <v>26</v>
      </c>
      <c r="AO129">
        <v>25</v>
      </c>
      <c r="AP129">
        <v>37</v>
      </c>
      <c r="AQ129">
        <v>23</v>
      </c>
      <c r="AR129">
        <v>7</v>
      </c>
      <c r="AS129">
        <v>4</v>
      </c>
      <c r="AT129">
        <v>13</v>
      </c>
      <c r="AU129">
        <v>22</v>
      </c>
      <c r="AV129">
        <v>11</v>
      </c>
      <c r="AW129">
        <v>7</v>
      </c>
      <c r="AX129">
        <v>12</v>
      </c>
      <c r="AY129">
        <v>13</v>
      </c>
      <c r="AZ129">
        <v>12</v>
      </c>
      <c r="BA129">
        <v>5</v>
      </c>
      <c r="BB129">
        <v>9</v>
      </c>
      <c r="BC129" s="2">
        <v>41</v>
      </c>
      <c r="BD129" s="2">
        <v>38</v>
      </c>
      <c r="BE129" s="2">
        <v>23</v>
      </c>
      <c r="BF129" s="2">
        <v>15</v>
      </c>
      <c r="BG129" s="2">
        <v>26</v>
      </c>
      <c r="BH129" s="2">
        <v>25</v>
      </c>
      <c r="BI129" s="2">
        <v>37</v>
      </c>
      <c r="BJ129" s="2">
        <v>23</v>
      </c>
      <c r="BK129" s="2">
        <v>7</v>
      </c>
      <c r="BL129" s="2">
        <v>4</v>
      </c>
      <c r="BM129" s="2">
        <v>13</v>
      </c>
      <c r="BN129" s="2">
        <v>22</v>
      </c>
      <c r="BO129" s="2">
        <v>11</v>
      </c>
      <c r="BP129" s="2">
        <v>7</v>
      </c>
      <c r="BQ129" s="2">
        <v>12</v>
      </c>
      <c r="BR129" s="2">
        <v>13</v>
      </c>
      <c r="BS129" s="2">
        <v>12</v>
      </c>
      <c r="BT129" s="2">
        <v>5</v>
      </c>
      <c r="BU129" s="2">
        <v>9</v>
      </c>
      <c r="BV129" s="2">
        <f t="shared" si="9"/>
        <v>343</v>
      </c>
      <c r="BW129" s="16">
        <f t="shared" si="7"/>
        <v>18.05263157894737</v>
      </c>
      <c r="BX129" s="16">
        <f>COUNTIF($BC$6:BU129, "=0") / COUNTIF($BC$6:BU129, "&gt;-1")</f>
        <v>3.1833616298811547E-2</v>
      </c>
      <c r="BY129" s="18">
        <f>SUM($BC$6:BU129) / $BY$4</f>
        <v>0.60404165764889428</v>
      </c>
      <c r="BZ129" s="14">
        <f t="shared" si="8"/>
        <v>0</v>
      </c>
      <c r="CA129" t="s">
        <v>5831</v>
      </c>
      <c r="CB129" s="36">
        <v>49.677379229223902</v>
      </c>
      <c r="CC129" s="36">
        <v>36.596436585743</v>
      </c>
      <c r="CD129" s="36">
        <v>36.8183462216819</v>
      </c>
      <c r="CE129" s="36">
        <v>22.6788263872984</v>
      </c>
      <c r="CF129" s="36">
        <v>22.3645853583592</v>
      </c>
      <c r="CG129" s="36">
        <v>23.243181165987298</v>
      </c>
      <c r="CH129" s="36">
        <v>39.000304465991697</v>
      </c>
      <c r="CI129" s="36">
        <v>22.383222753593</v>
      </c>
      <c r="CJ129" s="37">
        <v>5.5633080527147003</v>
      </c>
      <c r="CK129" s="37">
        <v>8.1984454095477108</v>
      </c>
      <c r="CL129" s="37">
        <v>17.601195661881501</v>
      </c>
      <c r="CM129" s="37">
        <v>9.3120175125993505</v>
      </c>
      <c r="CN129" s="37">
        <v>11.0255107897814</v>
      </c>
      <c r="CO129" s="37">
        <v>10.2594774150066</v>
      </c>
      <c r="CP129" s="37">
        <v>18.102480574349102</v>
      </c>
      <c r="CQ129" s="37">
        <v>13.7037316182716</v>
      </c>
      <c r="CR129" s="45">
        <v>-1.4508834610111301</v>
      </c>
      <c r="CS129" s="45">
        <v>-2.69566614657306</v>
      </c>
      <c r="CT129" s="46">
        <v>8.5157461508553105E-6</v>
      </c>
      <c r="CU129" s="47">
        <v>3.1650189860678899E-5</v>
      </c>
      <c r="CV129" s="48">
        <v>31.5952852709848</v>
      </c>
      <c r="CW129" s="49">
        <v>11.720770879269001</v>
      </c>
      <c r="CX129" s="31" t="s">
        <v>5875</v>
      </c>
      <c r="CY129" s="31" t="s">
        <v>5876</v>
      </c>
      <c r="CZ129" t="s">
        <v>12300</v>
      </c>
      <c r="DA129" t="s">
        <v>5904</v>
      </c>
      <c r="DB129">
        <v>302.8</v>
      </c>
      <c r="DC129" t="s">
        <v>32595</v>
      </c>
      <c r="DD129" t="s">
        <v>32596</v>
      </c>
      <c r="DE129" t="s">
        <v>32597</v>
      </c>
      <c r="DF129" t="s">
        <v>32598</v>
      </c>
      <c r="DG129" t="s">
        <v>32599</v>
      </c>
      <c r="DH129" t="str">
        <f>"PTGDS"</f>
        <v>PTGDS</v>
      </c>
      <c r="DI129" t="s">
        <v>32600</v>
      </c>
      <c r="DJ129" t="s">
        <v>13777</v>
      </c>
      <c r="DK129">
        <v>9606</v>
      </c>
      <c r="DL129" s="34" t="str">
        <f>HYPERLINK("http://www.uniprot.org/uniprot/P41222", "P41222")</f>
        <v>P41222</v>
      </c>
      <c r="DM129" t="s">
        <v>32601</v>
      </c>
      <c r="DN129" t="s">
        <v>32602</v>
      </c>
      <c r="DO129" t="s">
        <v>20069</v>
      </c>
      <c r="DP129" t="s">
        <v>13793</v>
      </c>
      <c r="DQ129" t="s">
        <v>13772</v>
      </c>
      <c r="DR129" t="s">
        <v>13772</v>
      </c>
      <c r="DS129" t="s">
        <v>13808</v>
      </c>
      <c r="DT129" t="s">
        <v>13772</v>
      </c>
      <c r="DU129" t="s">
        <v>14910</v>
      </c>
      <c r="DV129" t="s">
        <v>13796</v>
      </c>
      <c r="DW129" t="s">
        <v>13812</v>
      </c>
      <c r="DX129" t="s">
        <v>32603</v>
      </c>
      <c r="DY129" t="s">
        <v>32604</v>
      </c>
      <c r="DZ129" t="s">
        <v>32605</v>
      </c>
      <c r="EA129" t="s">
        <v>13772</v>
      </c>
      <c r="EB129" t="s">
        <v>15910</v>
      </c>
    </row>
    <row r="130" spans="1:132" hidden="1">
      <c r="A130">
        <v>365</v>
      </c>
      <c r="B130">
        <v>1</v>
      </c>
      <c r="C130" t="s">
        <v>912</v>
      </c>
      <c r="D130" t="s">
        <v>913</v>
      </c>
      <c r="E130" t="s">
        <v>73</v>
      </c>
      <c r="F130" t="s">
        <v>73</v>
      </c>
      <c r="G130" t="s">
        <v>73</v>
      </c>
      <c r="H130">
        <v>49.2</v>
      </c>
      <c r="I130">
        <v>445</v>
      </c>
      <c r="J130">
        <v>49750</v>
      </c>
      <c r="K130" t="s">
        <v>914</v>
      </c>
      <c r="L130">
        <f t="shared" si="6"/>
        <v>341</v>
      </c>
      <c r="N130">
        <v>341</v>
      </c>
      <c r="O130">
        <v>341</v>
      </c>
      <c r="P130">
        <v>1</v>
      </c>
      <c r="Q130">
        <v>33</v>
      </c>
      <c r="R130">
        <v>27</v>
      </c>
      <c r="S130">
        <v>33</v>
      </c>
      <c r="T130">
        <v>30</v>
      </c>
      <c r="U130">
        <v>41</v>
      </c>
      <c r="V130">
        <v>36</v>
      </c>
      <c r="W130">
        <v>30</v>
      </c>
      <c r="X130">
        <v>17</v>
      </c>
      <c r="Y130">
        <v>9</v>
      </c>
      <c r="Z130">
        <v>0</v>
      </c>
      <c r="AA130">
        <v>14</v>
      </c>
      <c r="AB130">
        <v>22</v>
      </c>
      <c r="AC130">
        <v>11</v>
      </c>
      <c r="AD130">
        <v>0</v>
      </c>
      <c r="AE130">
        <v>5</v>
      </c>
      <c r="AF130">
        <v>14</v>
      </c>
      <c r="AG130">
        <v>7</v>
      </c>
      <c r="AH130">
        <v>5</v>
      </c>
      <c r="AI130">
        <v>7</v>
      </c>
      <c r="AJ130">
        <v>33</v>
      </c>
      <c r="AK130">
        <v>27</v>
      </c>
      <c r="AL130">
        <v>33</v>
      </c>
      <c r="AM130">
        <v>30</v>
      </c>
      <c r="AN130">
        <v>41</v>
      </c>
      <c r="AO130">
        <v>36</v>
      </c>
      <c r="AP130">
        <v>30</v>
      </c>
      <c r="AQ130">
        <v>17</v>
      </c>
      <c r="AR130">
        <v>9</v>
      </c>
      <c r="AS130">
        <v>0</v>
      </c>
      <c r="AT130">
        <v>14</v>
      </c>
      <c r="AU130">
        <v>22</v>
      </c>
      <c r="AV130">
        <v>11</v>
      </c>
      <c r="AW130">
        <v>0</v>
      </c>
      <c r="AX130">
        <v>5</v>
      </c>
      <c r="AY130">
        <v>14</v>
      </c>
      <c r="AZ130">
        <v>7</v>
      </c>
      <c r="BA130">
        <v>5</v>
      </c>
      <c r="BB130">
        <v>7</v>
      </c>
      <c r="BC130" s="2">
        <v>33</v>
      </c>
      <c r="BD130" s="2">
        <v>27</v>
      </c>
      <c r="BE130" s="2">
        <v>33</v>
      </c>
      <c r="BF130" s="2">
        <v>30</v>
      </c>
      <c r="BG130" s="2">
        <v>41</v>
      </c>
      <c r="BH130" s="2">
        <v>36</v>
      </c>
      <c r="BI130" s="2">
        <v>30</v>
      </c>
      <c r="BJ130" s="2">
        <v>17</v>
      </c>
      <c r="BK130" s="2">
        <v>9</v>
      </c>
      <c r="BL130" s="2">
        <v>0</v>
      </c>
      <c r="BM130" s="2">
        <v>14</v>
      </c>
      <c r="BN130" s="2">
        <v>22</v>
      </c>
      <c r="BO130" s="2">
        <v>11</v>
      </c>
      <c r="BP130" s="2">
        <v>0</v>
      </c>
      <c r="BQ130" s="2">
        <v>5</v>
      </c>
      <c r="BR130" s="2">
        <v>14</v>
      </c>
      <c r="BS130" s="2">
        <v>7</v>
      </c>
      <c r="BT130" s="2">
        <v>5</v>
      </c>
      <c r="BU130" s="2">
        <v>7</v>
      </c>
      <c r="BV130" s="2">
        <f t="shared" si="9"/>
        <v>341</v>
      </c>
      <c r="BW130" s="16">
        <f t="shared" si="7"/>
        <v>17.94736842105263</v>
      </c>
      <c r="BX130" s="16">
        <f>COUNTIF($BC$6:BU130, "=0") / COUNTIF($BC$6:BU130, "&gt;-1")</f>
        <v>3.2421052631578948E-2</v>
      </c>
      <c r="BY130" s="18">
        <f>SUM($BC$6:BU130) / $BY$4</f>
        <v>0.60550237782112115</v>
      </c>
      <c r="BZ130" s="14">
        <f t="shared" si="8"/>
        <v>2</v>
      </c>
      <c r="CA130" t="s">
        <v>5831</v>
      </c>
      <c r="CB130" s="36">
        <v>39.984232062546099</v>
      </c>
      <c r="CC130" s="36">
        <v>26.002731258291099</v>
      </c>
      <c r="CD130" s="36">
        <v>52.826322839804497</v>
      </c>
      <c r="CE130" s="36">
        <v>45.3576527745969</v>
      </c>
      <c r="CF130" s="36">
        <v>35.267230757412598</v>
      </c>
      <c r="CG130" s="36">
        <v>33.470180879021697</v>
      </c>
      <c r="CH130" s="36">
        <v>31.621868485939199</v>
      </c>
      <c r="CI130" s="36">
        <v>16.544121165699199</v>
      </c>
      <c r="CJ130" s="37">
        <v>7.1528246392046197</v>
      </c>
      <c r="CK130" s="37">
        <v>8.8290950564359996</v>
      </c>
      <c r="CL130" s="37">
        <v>17.601195661881501</v>
      </c>
      <c r="CM130" s="37">
        <v>9.3120175125993505</v>
      </c>
      <c r="CN130" s="37">
        <v>4.5939628290755703</v>
      </c>
      <c r="CO130" s="37">
        <v>11.048667985391701</v>
      </c>
      <c r="CP130" s="37">
        <v>10.559780335037001</v>
      </c>
      <c r="CQ130" s="37">
        <v>10.658457925322301</v>
      </c>
      <c r="CR130" s="45">
        <v>-1.7924906649874299</v>
      </c>
      <c r="CS130" s="45">
        <v>-3.5241779097368</v>
      </c>
      <c r="CT130" s="46">
        <v>4.2462251596292002E-8</v>
      </c>
      <c r="CU130" s="47">
        <v>3.2280961724908301E-7</v>
      </c>
      <c r="CV130" s="48">
        <v>35.1342925279139</v>
      </c>
      <c r="CW130" s="49">
        <v>9.9695002431185102</v>
      </c>
      <c r="CX130" s="31" t="s">
        <v>5875</v>
      </c>
      <c r="CY130" s="31" t="s">
        <v>5876</v>
      </c>
      <c r="CZ130" t="s">
        <v>6964</v>
      </c>
      <c r="DA130" t="s">
        <v>5904</v>
      </c>
      <c r="DB130">
        <v>691.8</v>
      </c>
      <c r="DC130" t="s">
        <v>17232</v>
      </c>
      <c r="DD130" t="s">
        <v>17233</v>
      </c>
      <c r="DE130" t="s">
        <v>17234</v>
      </c>
      <c r="DF130" t="s">
        <v>17235</v>
      </c>
      <c r="DG130" t="s">
        <v>17236</v>
      </c>
      <c r="DH130" t="str">
        <f>"MXRA8"</f>
        <v>MXRA8</v>
      </c>
      <c r="DI130" t="s">
        <v>13772</v>
      </c>
      <c r="DJ130" t="s">
        <v>13777</v>
      </c>
      <c r="DK130">
        <v>9606</v>
      </c>
      <c r="DL130" s="34" t="str">
        <f>HYPERLINK("http://www.uniprot.org/uniprot/Q9BRK3", "Q9BRK3")</f>
        <v>Q9BRK3</v>
      </c>
      <c r="DM130" t="s">
        <v>17237</v>
      </c>
      <c r="DN130" t="s">
        <v>16592</v>
      </c>
      <c r="DO130" t="s">
        <v>17238</v>
      </c>
      <c r="DP130" t="s">
        <v>13780</v>
      </c>
      <c r="DQ130" t="s">
        <v>13772</v>
      </c>
      <c r="DR130" t="s">
        <v>13772</v>
      </c>
      <c r="DS130" t="s">
        <v>13951</v>
      </c>
      <c r="DT130" t="s">
        <v>13772</v>
      </c>
      <c r="DU130" t="s">
        <v>13772</v>
      </c>
      <c r="DV130" t="s">
        <v>13964</v>
      </c>
      <c r="DW130" t="s">
        <v>13772</v>
      </c>
      <c r="DX130" t="s">
        <v>17239</v>
      </c>
      <c r="DY130" t="s">
        <v>17240</v>
      </c>
      <c r="DZ130" t="s">
        <v>13772</v>
      </c>
      <c r="EA130" t="s">
        <v>13772</v>
      </c>
      <c r="EB130" t="s">
        <v>17241</v>
      </c>
    </row>
    <row r="131" spans="1:132" hidden="1">
      <c r="A131">
        <v>1028</v>
      </c>
      <c r="B131">
        <v>1</v>
      </c>
      <c r="C131" t="s">
        <v>2487</v>
      </c>
      <c r="D131" t="s">
        <v>73</v>
      </c>
      <c r="E131" t="s">
        <v>73</v>
      </c>
      <c r="F131" t="s">
        <v>552</v>
      </c>
      <c r="G131" t="s">
        <v>73</v>
      </c>
      <c r="H131">
        <v>49.5</v>
      </c>
      <c r="I131">
        <v>1960</v>
      </c>
      <c r="J131">
        <v>226409</v>
      </c>
      <c r="K131" t="s">
        <v>2488</v>
      </c>
      <c r="L131">
        <f t="shared" si="6"/>
        <v>345</v>
      </c>
      <c r="N131">
        <v>345</v>
      </c>
      <c r="O131">
        <v>305</v>
      </c>
      <c r="P131">
        <v>0.88400000000000001</v>
      </c>
      <c r="Q131">
        <v>2</v>
      </c>
      <c r="R131">
        <v>4</v>
      </c>
      <c r="S131">
        <v>0</v>
      </c>
      <c r="T131">
        <v>1</v>
      </c>
      <c r="U131">
        <v>3</v>
      </c>
      <c r="V131">
        <v>9</v>
      </c>
      <c r="W131">
        <v>1</v>
      </c>
      <c r="X131">
        <v>2</v>
      </c>
      <c r="Y131">
        <v>40</v>
      </c>
      <c r="Z131">
        <v>2</v>
      </c>
      <c r="AA131">
        <v>76</v>
      </c>
      <c r="AB131">
        <v>93</v>
      </c>
      <c r="AC131">
        <v>58</v>
      </c>
      <c r="AD131">
        <v>0</v>
      </c>
      <c r="AE131">
        <v>12</v>
      </c>
      <c r="AF131">
        <v>37</v>
      </c>
      <c r="AG131">
        <v>3</v>
      </c>
      <c r="AH131">
        <v>0</v>
      </c>
      <c r="AI131">
        <v>2</v>
      </c>
      <c r="AJ131">
        <v>2</v>
      </c>
      <c r="AK131">
        <v>3</v>
      </c>
      <c r="AL131">
        <v>0</v>
      </c>
      <c r="AM131">
        <v>0</v>
      </c>
      <c r="AN131">
        <v>2</v>
      </c>
      <c r="AO131">
        <v>8</v>
      </c>
      <c r="AP131">
        <v>1</v>
      </c>
      <c r="AQ131">
        <v>1</v>
      </c>
      <c r="AR131">
        <v>35</v>
      </c>
      <c r="AS131">
        <v>0</v>
      </c>
      <c r="AT131">
        <v>69</v>
      </c>
      <c r="AU131">
        <v>87</v>
      </c>
      <c r="AV131">
        <v>51</v>
      </c>
      <c r="AW131">
        <v>0</v>
      </c>
      <c r="AX131">
        <v>10</v>
      </c>
      <c r="AY131">
        <v>32</v>
      </c>
      <c r="AZ131">
        <v>2</v>
      </c>
      <c r="BA131">
        <v>0</v>
      </c>
      <c r="BB131">
        <v>2</v>
      </c>
      <c r="BC131" s="2">
        <v>2</v>
      </c>
      <c r="BD131" s="2">
        <v>3.6</v>
      </c>
      <c r="BE131" s="2">
        <v>0</v>
      </c>
      <c r="BF131" s="2">
        <v>0.33300000000000002</v>
      </c>
      <c r="BG131" s="2">
        <v>3</v>
      </c>
      <c r="BH131" s="2">
        <v>8.8889999999999993</v>
      </c>
      <c r="BI131" s="2">
        <v>1</v>
      </c>
      <c r="BJ131" s="2">
        <v>2</v>
      </c>
      <c r="BK131" s="2">
        <v>40</v>
      </c>
      <c r="BL131" s="2">
        <v>0</v>
      </c>
      <c r="BM131" s="2">
        <v>75.591999999999999</v>
      </c>
      <c r="BN131" s="2">
        <v>92.738</v>
      </c>
      <c r="BO131" s="2">
        <v>57.393000000000001</v>
      </c>
      <c r="BP131" s="2">
        <v>0</v>
      </c>
      <c r="BQ131" s="2">
        <v>11.769</v>
      </c>
      <c r="BR131" s="2">
        <v>36.743000000000002</v>
      </c>
      <c r="BS131" s="2">
        <v>2.6669999999999998</v>
      </c>
      <c r="BT131" s="2">
        <v>0</v>
      </c>
      <c r="BU131" s="2">
        <v>2</v>
      </c>
      <c r="BV131" s="2">
        <f t="shared" si="9"/>
        <v>339.72399999999993</v>
      </c>
      <c r="BW131" s="16">
        <f t="shared" si="7"/>
        <v>17.880210526315786</v>
      </c>
      <c r="BX131" s="16">
        <f>COUNTIF($BC$6:BU131, "=0") / COUNTIF($BC$6:BU131, "&gt;-1")</f>
        <v>3.3834586466165412E-2</v>
      </c>
      <c r="BY131" s="18">
        <f>SUM($BC$6:BU131) / $BY$4</f>
        <v>0.6069576320727037</v>
      </c>
      <c r="BZ131" s="14">
        <f t="shared" si="8"/>
        <v>4</v>
      </c>
      <c r="CA131" t="s">
        <v>5831</v>
      </c>
      <c r="CB131" s="36">
        <v>2.4232867916694598</v>
      </c>
      <c r="CC131" s="36">
        <v>3.4670308344388099</v>
      </c>
      <c r="CD131" s="36">
        <v>0.40019941545306398</v>
      </c>
      <c r="CE131" s="36">
        <v>0.45357652774596902</v>
      </c>
      <c r="CF131" s="36">
        <v>2.5805290798106801</v>
      </c>
      <c r="CG131" s="36">
        <v>8.2745724950914692</v>
      </c>
      <c r="CH131" s="36">
        <v>1.05406228286464</v>
      </c>
      <c r="CI131" s="36">
        <v>1.9463671959646101</v>
      </c>
      <c r="CJ131" s="37">
        <v>31.7903317297983</v>
      </c>
      <c r="CK131" s="37">
        <v>47.6771133047544</v>
      </c>
      <c r="CL131" s="37">
        <v>74.165038084382701</v>
      </c>
      <c r="CM131" s="37">
        <v>48.591800474836603</v>
      </c>
      <c r="CN131" s="37">
        <v>10.841752276618299</v>
      </c>
      <c r="CO131" s="37">
        <v>28.9632939331341</v>
      </c>
      <c r="CP131" s="37">
        <v>4.0730581292285404</v>
      </c>
      <c r="CQ131" s="37">
        <v>3.0452736929492299</v>
      </c>
      <c r="CR131" s="45">
        <v>3.4826049565095798</v>
      </c>
      <c r="CS131" s="45">
        <v>12.0947670739133</v>
      </c>
      <c r="CT131" s="46">
        <v>1.2481026280410099E-7</v>
      </c>
      <c r="CU131" s="47">
        <v>8.10660833164504E-7</v>
      </c>
      <c r="CV131" s="48">
        <v>2.5749530778798402</v>
      </c>
      <c r="CW131" s="49">
        <v>31.1434577032128</v>
      </c>
      <c r="CX131" s="31" t="s">
        <v>5874</v>
      </c>
      <c r="CY131" s="31" t="s">
        <v>5876</v>
      </c>
      <c r="CZ131" t="s">
        <v>9204</v>
      </c>
      <c r="DA131" t="s">
        <v>5904</v>
      </c>
      <c r="DB131">
        <v>3897.8</v>
      </c>
      <c r="DC131" t="s">
        <v>23872</v>
      </c>
      <c r="DD131" t="s">
        <v>23873</v>
      </c>
      <c r="DE131" t="s">
        <v>23874</v>
      </c>
      <c r="DF131" t="s">
        <v>23875</v>
      </c>
      <c r="DG131" t="s">
        <v>23876</v>
      </c>
      <c r="DH131" t="str">
        <f>"MYH9"</f>
        <v>MYH9</v>
      </c>
      <c r="DI131" t="s">
        <v>13772</v>
      </c>
      <c r="DJ131" t="s">
        <v>13777</v>
      </c>
      <c r="DK131">
        <v>9606</v>
      </c>
      <c r="DL131" s="34" t="str">
        <f>HYPERLINK("http://www.uniprot.org/uniprot/P35579", "P35579")</f>
        <v>P35579</v>
      </c>
      <c r="DM131" t="s">
        <v>23877</v>
      </c>
      <c r="DN131" t="s">
        <v>23878</v>
      </c>
      <c r="DO131" t="s">
        <v>13988</v>
      </c>
      <c r="DP131" t="s">
        <v>13780</v>
      </c>
      <c r="DQ131" t="s">
        <v>13772</v>
      </c>
      <c r="DR131" t="s">
        <v>23879</v>
      </c>
      <c r="DS131" t="s">
        <v>14245</v>
      </c>
      <c r="DT131" t="s">
        <v>14005</v>
      </c>
      <c r="DU131" t="s">
        <v>14097</v>
      </c>
      <c r="DV131" t="s">
        <v>23880</v>
      </c>
      <c r="DW131" t="s">
        <v>13812</v>
      </c>
      <c r="DX131" t="s">
        <v>23881</v>
      </c>
      <c r="DY131" t="s">
        <v>23882</v>
      </c>
      <c r="DZ131" t="s">
        <v>23883</v>
      </c>
      <c r="EA131" t="s">
        <v>13772</v>
      </c>
      <c r="EB131" t="s">
        <v>23884</v>
      </c>
    </row>
    <row r="132" spans="1:132" hidden="1">
      <c r="A132">
        <v>162</v>
      </c>
      <c r="B132">
        <v>1</v>
      </c>
      <c r="C132" t="s">
        <v>411</v>
      </c>
      <c r="D132" t="s">
        <v>412</v>
      </c>
      <c r="E132" t="s">
        <v>73</v>
      </c>
      <c r="F132" t="s">
        <v>73</v>
      </c>
      <c r="G132" t="s">
        <v>73</v>
      </c>
      <c r="H132">
        <v>25.7</v>
      </c>
      <c r="I132">
        <v>2868</v>
      </c>
      <c r="J132">
        <v>311428</v>
      </c>
      <c r="K132" t="s">
        <v>413</v>
      </c>
      <c r="L132">
        <f t="shared" si="6"/>
        <v>338</v>
      </c>
      <c r="N132">
        <v>338</v>
      </c>
      <c r="O132">
        <v>338</v>
      </c>
      <c r="P132">
        <v>1</v>
      </c>
      <c r="Q132">
        <v>14</v>
      </c>
      <c r="R132">
        <v>25</v>
      </c>
      <c r="S132">
        <v>26</v>
      </c>
      <c r="T132">
        <v>51</v>
      </c>
      <c r="U132">
        <v>50</v>
      </c>
      <c r="V132">
        <v>46</v>
      </c>
      <c r="W132">
        <v>24</v>
      </c>
      <c r="X132">
        <v>23</v>
      </c>
      <c r="Y132">
        <v>3</v>
      </c>
      <c r="Z132">
        <v>0</v>
      </c>
      <c r="AA132">
        <v>18</v>
      </c>
      <c r="AB132">
        <v>13</v>
      </c>
      <c r="AC132">
        <v>2</v>
      </c>
      <c r="AD132">
        <v>0</v>
      </c>
      <c r="AE132">
        <v>8</v>
      </c>
      <c r="AF132">
        <v>14</v>
      </c>
      <c r="AG132">
        <v>11</v>
      </c>
      <c r="AH132">
        <v>3</v>
      </c>
      <c r="AI132">
        <v>7</v>
      </c>
      <c r="AJ132">
        <v>14</v>
      </c>
      <c r="AK132">
        <v>25</v>
      </c>
      <c r="AL132">
        <v>26</v>
      </c>
      <c r="AM132">
        <v>51</v>
      </c>
      <c r="AN132">
        <v>50</v>
      </c>
      <c r="AO132">
        <v>46</v>
      </c>
      <c r="AP132">
        <v>24</v>
      </c>
      <c r="AQ132">
        <v>23</v>
      </c>
      <c r="AR132">
        <v>3</v>
      </c>
      <c r="AS132">
        <v>0</v>
      </c>
      <c r="AT132">
        <v>18</v>
      </c>
      <c r="AU132">
        <v>13</v>
      </c>
      <c r="AV132">
        <v>2</v>
      </c>
      <c r="AW132">
        <v>0</v>
      </c>
      <c r="AX132">
        <v>8</v>
      </c>
      <c r="AY132">
        <v>14</v>
      </c>
      <c r="AZ132">
        <v>11</v>
      </c>
      <c r="BA132">
        <v>3</v>
      </c>
      <c r="BB132">
        <v>7</v>
      </c>
      <c r="BC132" s="2">
        <v>14</v>
      </c>
      <c r="BD132" s="2">
        <v>25</v>
      </c>
      <c r="BE132" s="2">
        <v>26</v>
      </c>
      <c r="BF132" s="2">
        <v>51</v>
      </c>
      <c r="BG132" s="2">
        <v>50</v>
      </c>
      <c r="BH132" s="2">
        <v>46</v>
      </c>
      <c r="BI132" s="2">
        <v>24</v>
      </c>
      <c r="BJ132" s="2">
        <v>23</v>
      </c>
      <c r="BK132" s="2">
        <v>3</v>
      </c>
      <c r="BL132" s="2">
        <v>0</v>
      </c>
      <c r="BM132" s="2">
        <v>18</v>
      </c>
      <c r="BN132" s="2">
        <v>13</v>
      </c>
      <c r="BO132" s="2">
        <v>2</v>
      </c>
      <c r="BP132" s="2">
        <v>0</v>
      </c>
      <c r="BQ132" s="2">
        <v>8</v>
      </c>
      <c r="BR132" s="2">
        <v>14</v>
      </c>
      <c r="BS132" s="2">
        <v>11</v>
      </c>
      <c r="BT132" s="2">
        <v>3</v>
      </c>
      <c r="BU132" s="2">
        <v>7</v>
      </c>
      <c r="BV132" s="2">
        <f t="shared" si="9"/>
        <v>338</v>
      </c>
      <c r="BW132" s="16">
        <f t="shared" si="7"/>
        <v>17.789473684210527</v>
      </c>
      <c r="BX132" s="16">
        <f>COUNTIF($BC$6:BU132, "=0") / COUNTIF($BC$6:BU132, "&gt;-1")</f>
        <v>3.439701616245338E-2</v>
      </c>
      <c r="BY132" s="18">
        <f>SUM($BC$6:BU132) / $BY$4</f>
        <v>0.60840550133432447</v>
      </c>
      <c r="BZ132" s="14">
        <f t="shared" si="8"/>
        <v>2</v>
      </c>
      <c r="CA132" t="s">
        <v>5831</v>
      </c>
      <c r="CB132" s="36">
        <v>16.963007541686199</v>
      </c>
      <c r="CC132" s="36">
        <v>24.0766030169362</v>
      </c>
      <c r="CD132" s="36">
        <v>41.620739207118703</v>
      </c>
      <c r="CE132" s="36">
        <v>77.108009716814706</v>
      </c>
      <c r="CF132" s="36">
        <v>43.008817996844598</v>
      </c>
      <c r="CG132" s="36">
        <v>42.767453345416598</v>
      </c>
      <c r="CH132" s="36">
        <v>25.297494788751401</v>
      </c>
      <c r="CI132" s="36">
        <v>22.383222753593</v>
      </c>
      <c r="CJ132" s="37">
        <v>2.3842748797348698</v>
      </c>
      <c r="CK132" s="37">
        <v>11.351693643989099</v>
      </c>
      <c r="CL132" s="37">
        <v>10.400706527475499</v>
      </c>
      <c r="CM132" s="37">
        <v>1.6930940931998799</v>
      </c>
      <c r="CN132" s="37">
        <v>7.3503405265209096</v>
      </c>
      <c r="CO132" s="37">
        <v>11.048667985391701</v>
      </c>
      <c r="CP132" s="37">
        <v>16.593940526486598</v>
      </c>
      <c r="CQ132" s="37">
        <v>10.658457925322301</v>
      </c>
      <c r="CR132" s="45">
        <v>-2.0436481141543501</v>
      </c>
      <c r="CS132" s="45">
        <v>-4.10213379706616</v>
      </c>
      <c r="CT132" s="46">
        <v>2.0357887842943698E-6</v>
      </c>
      <c r="CU132" s="47">
        <v>8.9052177692902903E-6</v>
      </c>
      <c r="CV132" s="48">
        <v>36.653168545895198</v>
      </c>
      <c r="CW132" s="49">
        <v>8.9351470135151203</v>
      </c>
      <c r="CX132" s="31" t="s">
        <v>5875</v>
      </c>
      <c r="CY132" s="31" t="s">
        <v>5876</v>
      </c>
      <c r="CZ132" t="s">
        <v>6254</v>
      </c>
      <c r="DA132" t="s">
        <v>5904</v>
      </c>
      <c r="DB132">
        <v>5631.6</v>
      </c>
      <c r="DC132" t="s">
        <v>15008</v>
      </c>
      <c r="DD132" t="s">
        <v>13772</v>
      </c>
      <c r="DE132" t="s">
        <v>15009</v>
      </c>
      <c r="DF132" t="s">
        <v>15010</v>
      </c>
      <c r="DG132" t="s">
        <v>15011</v>
      </c>
      <c r="DH132" t="str">
        <f>"FBN1"</f>
        <v>FBN1</v>
      </c>
      <c r="DI132" t="s">
        <v>15012</v>
      </c>
      <c r="DJ132" t="s">
        <v>13777</v>
      </c>
      <c r="DK132">
        <v>9606</v>
      </c>
      <c r="DL132" s="34" t="str">
        <f>HYPERLINK("http://www.uniprot.org/uniprot/P35555", "P35555")</f>
        <v>P35555</v>
      </c>
      <c r="DM132" t="s">
        <v>15013</v>
      </c>
      <c r="DN132" t="s">
        <v>13772</v>
      </c>
      <c r="DO132" t="s">
        <v>13869</v>
      </c>
      <c r="DP132" t="s">
        <v>13793</v>
      </c>
      <c r="DQ132" t="s">
        <v>13772</v>
      </c>
      <c r="DR132" t="s">
        <v>15014</v>
      </c>
      <c r="DS132" t="s">
        <v>14768</v>
      </c>
      <c r="DT132" t="s">
        <v>14465</v>
      </c>
      <c r="DU132" t="s">
        <v>15015</v>
      </c>
      <c r="DV132" t="s">
        <v>13964</v>
      </c>
      <c r="DW132" t="s">
        <v>13812</v>
      </c>
      <c r="DX132" t="s">
        <v>15016</v>
      </c>
      <c r="DY132" t="s">
        <v>15017</v>
      </c>
      <c r="DZ132" t="s">
        <v>15018</v>
      </c>
      <c r="EA132" t="s">
        <v>13772</v>
      </c>
      <c r="EB132" t="s">
        <v>15019</v>
      </c>
    </row>
    <row r="133" spans="1:132">
      <c r="A133">
        <v>2018</v>
      </c>
      <c r="B133">
        <v>1</v>
      </c>
      <c r="C133" t="s">
        <v>4748</v>
      </c>
      <c r="D133" t="s">
        <v>4749</v>
      </c>
      <c r="E133" t="s">
        <v>73</v>
      </c>
      <c r="F133" t="s">
        <v>2355</v>
      </c>
      <c r="G133" t="s">
        <v>73</v>
      </c>
      <c r="H133">
        <v>31.6</v>
      </c>
      <c r="I133">
        <v>553</v>
      </c>
      <c r="J133">
        <v>60068</v>
      </c>
      <c r="K133" t="s">
        <v>4750</v>
      </c>
      <c r="L133">
        <f t="shared" si="6"/>
        <v>335</v>
      </c>
      <c r="N133">
        <v>335</v>
      </c>
      <c r="O133">
        <v>334</v>
      </c>
      <c r="P133">
        <v>0.997</v>
      </c>
      <c r="Q133">
        <v>25</v>
      </c>
      <c r="R133">
        <v>31</v>
      </c>
      <c r="S133">
        <v>24</v>
      </c>
      <c r="T133">
        <v>28</v>
      </c>
      <c r="U133">
        <v>38</v>
      </c>
      <c r="V133">
        <v>30</v>
      </c>
      <c r="W133">
        <v>24</v>
      </c>
      <c r="X133">
        <v>20</v>
      </c>
      <c r="Y133">
        <v>11</v>
      </c>
      <c r="Z133">
        <v>2</v>
      </c>
      <c r="AA133">
        <v>13</v>
      </c>
      <c r="AB133">
        <v>15</v>
      </c>
      <c r="AC133">
        <v>12</v>
      </c>
      <c r="AD133">
        <v>1</v>
      </c>
      <c r="AE133">
        <v>14</v>
      </c>
      <c r="AF133">
        <v>19</v>
      </c>
      <c r="AG133">
        <v>8</v>
      </c>
      <c r="AH133">
        <v>4</v>
      </c>
      <c r="AI133">
        <v>16</v>
      </c>
      <c r="AJ133">
        <v>25</v>
      </c>
      <c r="AK133">
        <v>31</v>
      </c>
      <c r="AL133">
        <v>24</v>
      </c>
      <c r="AM133">
        <v>28</v>
      </c>
      <c r="AN133">
        <v>38</v>
      </c>
      <c r="AO133">
        <v>30</v>
      </c>
      <c r="AP133">
        <v>24</v>
      </c>
      <c r="AQ133">
        <v>20</v>
      </c>
      <c r="AR133">
        <v>10</v>
      </c>
      <c r="AS133">
        <v>2</v>
      </c>
      <c r="AT133">
        <v>13</v>
      </c>
      <c r="AU133">
        <v>15</v>
      </c>
      <c r="AV133">
        <v>12</v>
      </c>
      <c r="AW133">
        <v>1</v>
      </c>
      <c r="AX133">
        <v>14</v>
      </c>
      <c r="AY133">
        <v>19</v>
      </c>
      <c r="AZ133">
        <v>8</v>
      </c>
      <c r="BA133">
        <v>4</v>
      </c>
      <c r="BB133">
        <v>16</v>
      </c>
      <c r="BC133" s="2">
        <v>25</v>
      </c>
      <c r="BD133" s="2">
        <v>31</v>
      </c>
      <c r="BE133" s="2">
        <v>24</v>
      </c>
      <c r="BF133" s="2">
        <v>28</v>
      </c>
      <c r="BG133" s="2">
        <v>38</v>
      </c>
      <c r="BH133" s="2">
        <v>30</v>
      </c>
      <c r="BI133" s="2">
        <v>24</v>
      </c>
      <c r="BJ133" s="2">
        <v>20</v>
      </c>
      <c r="BK133" s="2">
        <v>10.909000000000001</v>
      </c>
      <c r="BL133" s="2">
        <v>2</v>
      </c>
      <c r="BM133" s="2">
        <v>13</v>
      </c>
      <c r="BN133" s="2">
        <v>15</v>
      </c>
      <c r="BO133" s="2">
        <v>12</v>
      </c>
      <c r="BP133" s="2">
        <v>1</v>
      </c>
      <c r="BQ133" s="2">
        <v>14</v>
      </c>
      <c r="BR133" s="2">
        <v>19</v>
      </c>
      <c r="BS133" s="2">
        <v>8</v>
      </c>
      <c r="BT133" s="2">
        <v>4</v>
      </c>
      <c r="BU133" s="2">
        <v>16</v>
      </c>
      <c r="BV133" s="2">
        <f t="shared" si="9"/>
        <v>334.90899999999999</v>
      </c>
      <c r="BW133" s="16">
        <f t="shared" si="7"/>
        <v>17.626789473684209</v>
      </c>
      <c r="BX133" s="16">
        <f>COUNTIF($BC$6:BU133, "=0") / COUNTIF($BC$6:BU133, "&gt;-1")</f>
        <v>3.4128289473684209E-2</v>
      </c>
      <c r="BY133" s="18">
        <f>SUM($BC$6:BU133) / $BY$4</f>
        <v>0.60984012987438407</v>
      </c>
      <c r="BZ133" s="14">
        <f t="shared" si="8"/>
        <v>0</v>
      </c>
      <c r="CA133" t="s">
        <v>5831</v>
      </c>
      <c r="CB133" s="36">
        <v>30.291084895868199</v>
      </c>
      <c r="CC133" s="36">
        <v>29.854987741000802</v>
      </c>
      <c r="CD133" s="36">
        <v>38.419143883494201</v>
      </c>
      <c r="CE133" s="36">
        <v>42.333809256290401</v>
      </c>
      <c r="CF133" s="36">
        <v>32.686701677601903</v>
      </c>
      <c r="CG133" s="36">
        <v>27.891817399184699</v>
      </c>
      <c r="CH133" s="36">
        <v>25.297494788751401</v>
      </c>
      <c r="CI133" s="36">
        <v>19.463671959646099</v>
      </c>
      <c r="CJ133" s="37">
        <v>8.6628653963700408</v>
      </c>
      <c r="CK133" s="37">
        <v>8.1984454095477108</v>
      </c>
      <c r="CL133" s="37">
        <v>12.0008152240101</v>
      </c>
      <c r="CM133" s="37">
        <v>10.1585645591993</v>
      </c>
      <c r="CN133" s="37">
        <v>12.863095921411601</v>
      </c>
      <c r="CO133" s="37">
        <v>14.994620837317401</v>
      </c>
      <c r="CP133" s="37">
        <v>12.068320382899399</v>
      </c>
      <c r="CQ133" s="37">
        <v>24.3621895435939</v>
      </c>
      <c r="CR133" s="45">
        <v>-1.27667797762354</v>
      </c>
      <c r="CS133" s="45">
        <v>-2.3835184618954099</v>
      </c>
      <c r="CT133" s="46">
        <v>2.44227230705826E-5</v>
      </c>
      <c r="CU133" s="47">
        <v>7.9701471874242806E-5</v>
      </c>
      <c r="CV133" s="48">
        <v>30.779838950229699</v>
      </c>
      <c r="CW133" s="49">
        <v>12.9136146592937</v>
      </c>
      <c r="CX133" s="31" t="s">
        <v>5875</v>
      </c>
      <c r="CY133" s="31" t="s">
        <v>5876</v>
      </c>
      <c r="CZ133" t="s">
        <v>12479</v>
      </c>
      <c r="DA133" t="s">
        <v>5904</v>
      </c>
      <c r="DB133">
        <v>751.1</v>
      </c>
      <c r="DC133" t="s">
        <v>33113</v>
      </c>
      <c r="DD133" t="s">
        <v>33114</v>
      </c>
      <c r="DE133" t="s">
        <v>33115</v>
      </c>
      <c r="DF133" t="s">
        <v>33116</v>
      </c>
      <c r="DG133" t="s">
        <v>33117</v>
      </c>
      <c r="DH133" t="str">
        <f>"CSF1"</f>
        <v>CSF1</v>
      </c>
      <c r="DI133" t="s">
        <v>13772</v>
      </c>
      <c r="DJ133" t="s">
        <v>13777</v>
      </c>
      <c r="DK133">
        <v>9606</v>
      </c>
      <c r="DL133" s="34" t="str">
        <f>HYPERLINK("http://www.uniprot.org/uniprot/P09603", "P09603")</f>
        <v>P09603</v>
      </c>
      <c r="DM133" t="s">
        <v>33118</v>
      </c>
      <c r="DN133" t="s">
        <v>20696</v>
      </c>
      <c r="DO133" t="s">
        <v>14336</v>
      </c>
      <c r="DP133" t="s">
        <v>13780</v>
      </c>
      <c r="DQ133" t="s">
        <v>13772</v>
      </c>
      <c r="DR133" t="s">
        <v>13772</v>
      </c>
      <c r="DS133" t="s">
        <v>13855</v>
      </c>
      <c r="DT133" t="s">
        <v>13772</v>
      </c>
      <c r="DU133" t="s">
        <v>22745</v>
      </c>
      <c r="DV133" t="s">
        <v>15858</v>
      </c>
      <c r="DW133" t="s">
        <v>13812</v>
      </c>
      <c r="DX133" t="s">
        <v>33119</v>
      </c>
      <c r="DY133" t="s">
        <v>33120</v>
      </c>
      <c r="DZ133" t="s">
        <v>33121</v>
      </c>
      <c r="EA133" t="s">
        <v>13772</v>
      </c>
      <c r="EB133" t="s">
        <v>33122</v>
      </c>
    </row>
    <row r="134" spans="1:132">
      <c r="A134">
        <v>1961</v>
      </c>
      <c r="B134">
        <v>1</v>
      </c>
      <c r="C134" t="s">
        <v>4624</v>
      </c>
      <c r="D134" t="s">
        <v>73</v>
      </c>
      <c r="E134" t="s">
        <v>73</v>
      </c>
      <c r="F134" t="s">
        <v>73</v>
      </c>
      <c r="G134" t="s">
        <v>73</v>
      </c>
      <c r="H134">
        <v>50.5</v>
      </c>
      <c r="I134">
        <v>184</v>
      </c>
      <c r="J134">
        <v>20137</v>
      </c>
      <c r="K134" t="s">
        <v>4625</v>
      </c>
      <c r="L134">
        <f t="shared" ref="L134:L197" si="10">N134</f>
        <v>334</v>
      </c>
      <c r="N134">
        <v>334</v>
      </c>
      <c r="O134">
        <v>334</v>
      </c>
      <c r="P134">
        <v>1</v>
      </c>
      <c r="Q134">
        <v>16</v>
      </c>
      <c r="R134">
        <v>17</v>
      </c>
      <c r="S134">
        <v>23</v>
      </c>
      <c r="T134">
        <v>14</v>
      </c>
      <c r="U134">
        <v>24</v>
      </c>
      <c r="V134">
        <v>23</v>
      </c>
      <c r="W134">
        <v>30</v>
      </c>
      <c r="X134">
        <v>19</v>
      </c>
      <c r="Y134">
        <v>20</v>
      </c>
      <c r="Z134">
        <v>2</v>
      </c>
      <c r="AA134">
        <v>34</v>
      </c>
      <c r="AB134">
        <v>8</v>
      </c>
      <c r="AC134">
        <v>25</v>
      </c>
      <c r="AD134">
        <v>9</v>
      </c>
      <c r="AE134">
        <v>11</v>
      </c>
      <c r="AF134">
        <v>32</v>
      </c>
      <c r="AG134">
        <v>8</v>
      </c>
      <c r="AH134">
        <v>8</v>
      </c>
      <c r="AI134">
        <v>11</v>
      </c>
      <c r="AJ134">
        <v>16</v>
      </c>
      <c r="AK134">
        <v>17</v>
      </c>
      <c r="AL134">
        <v>23</v>
      </c>
      <c r="AM134">
        <v>14</v>
      </c>
      <c r="AN134">
        <v>24</v>
      </c>
      <c r="AO134">
        <v>23</v>
      </c>
      <c r="AP134">
        <v>30</v>
      </c>
      <c r="AQ134">
        <v>19</v>
      </c>
      <c r="AR134">
        <v>20</v>
      </c>
      <c r="AS134">
        <v>2</v>
      </c>
      <c r="AT134">
        <v>34</v>
      </c>
      <c r="AU134">
        <v>8</v>
      </c>
      <c r="AV134">
        <v>25</v>
      </c>
      <c r="AW134">
        <v>9</v>
      </c>
      <c r="AX134">
        <v>11</v>
      </c>
      <c r="AY134">
        <v>32</v>
      </c>
      <c r="AZ134">
        <v>8</v>
      </c>
      <c r="BA134">
        <v>8</v>
      </c>
      <c r="BB134">
        <v>11</v>
      </c>
      <c r="BC134" s="2">
        <v>16</v>
      </c>
      <c r="BD134" s="2">
        <v>17</v>
      </c>
      <c r="BE134" s="2">
        <v>23</v>
      </c>
      <c r="BF134" s="2">
        <v>14</v>
      </c>
      <c r="BG134" s="2">
        <v>24</v>
      </c>
      <c r="BH134" s="2">
        <v>23</v>
      </c>
      <c r="BI134" s="2">
        <v>30</v>
      </c>
      <c r="BJ134" s="2">
        <v>19</v>
      </c>
      <c r="BK134" s="2">
        <v>20</v>
      </c>
      <c r="BL134" s="2">
        <v>2</v>
      </c>
      <c r="BM134" s="2">
        <v>34</v>
      </c>
      <c r="BN134" s="2">
        <v>8</v>
      </c>
      <c r="BO134" s="2">
        <v>25</v>
      </c>
      <c r="BP134" s="2">
        <v>9</v>
      </c>
      <c r="BQ134" s="2">
        <v>11</v>
      </c>
      <c r="BR134" s="2">
        <v>32</v>
      </c>
      <c r="BS134" s="2">
        <v>8</v>
      </c>
      <c r="BT134" s="2">
        <v>8</v>
      </c>
      <c r="BU134" s="2">
        <v>11</v>
      </c>
      <c r="BV134" s="2">
        <f t="shared" si="9"/>
        <v>334</v>
      </c>
      <c r="BW134" s="16">
        <f t="shared" ref="BW134:BW197" si="11">AVERAGE(BC134:BU134)</f>
        <v>17.578947368421051</v>
      </c>
      <c r="BX134" s="16">
        <f>COUNTIF($BC$6:BU134, "=0") / COUNTIF($BC$6:BU134, "&gt;-1")</f>
        <v>3.3863729090167279E-2</v>
      </c>
      <c r="BY134" s="18">
        <f>SUM($BC$6:BU134) / $BY$4</f>
        <v>0.61127086458853008</v>
      </c>
      <c r="BZ134" s="14">
        <f t="shared" ref="BZ134:BZ197" si="12">19-COUNTIF(BC134:BU134, "&gt;0")</f>
        <v>0</v>
      </c>
      <c r="CA134" t="s">
        <v>5831</v>
      </c>
      <c r="CB134" s="36">
        <v>19.3862943333557</v>
      </c>
      <c r="CC134" s="36">
        <v>16.372090051516601</v>
      </c>
      <c r="CD134" s="36">
        <v>36.8183462216819</v>
      </c>
      <c r="CE134" s="36">
        <v>21.1669046281452</v>
      </c>
      <c r="CF134" s="36">
        <v>20.644232638485398</v>
      </c>
      <c r="CG134" s="36">
        <v>21.383726672708299</v>
      </c>
      <c r="CH134" s="36">
        <v>31.621868485939199</v>
      </c>
      <c r="CI134" s="36">
        <v>18.4904883616638</v>
      </c>
      <c r="CJ134" s="37">
        <v>15.8951658648991</v>
      </c>
      <c r="CK134" s="37">
        <v>21.4420879942017</v>
      </c>
      <c r="CL134" s="37">
        <v>6.4004347861387396</v>
      </c>
      <c r="CM134" s="37">
        <v>21.163676164998499</v>
      </c>
      <c r="CN134" s="37">
        <v>10.1067182239663</v>
      </c>
      <c r="CO134" s="37">
        <v>25.254098252323999</v>
      </c>
      <c r="CP134" s="37">
        <v>12.068320382899399</v>
      </c>
      <c r="CQ134" s="37">
        <v>16.749005311220799</v>
      </c>
      <c r="CR134" s="45">
        <v>-0.496858458823699</v>
      </c>
      <c r="CS134" s="45">
        <v>-1.4400732985551601</v>
      </c>
      <c r="CT134" s="46">
        <v>0.11364511069012</v>
      </c>
      <c r="CU134" s="47">
        <v>0.15872354708077299</v>
      </c>
      <c r="CV134" s="48">
        <v>23.235493924187001</v>
      </c>
      <c r="CW134" s="49">
        <v>16.1349383725811</v>
      </c>
      <c r="CX134" s="31" t="s">
        <v>5875</v>
      </c>
      <c r="CY134" s="31" t="s">
        <v>5832</v>
      </c>
      <c r="CZ134" t="s">
        <v>12294</v>
      </c>
      <c r="DA134" t="s">
        <v>5904</v>
      </c>
      <c r="DB134">
        <v>163.69999999999999</v>
      </c>
      <c r="DC134" t="s">
        <v>32582</v>
      </c>
      <c r="DD134" t="s">
        <v>13772</v>
      </c>
      <c r="DE134" t="s">
        <v>32583</v>
      </c>
      <c r="DF134" t="s">
        <v>32584</v>
      </c>
      <c r="DG134" t="s">
        <v>13772</v>
      </c>
      <c r="DH134" t="str">
        <f>"LCNL1"</f>
        <v>LCNL1</v>
      </c>
      <c r="DI134" t="s">
        <v>13772</v>
      </c>
      <c r="DJ134" t="s">
        <v>13777</v>
      </c>
      <c r="DK134">
        <v>9606</v>
      </c>
      <c r="DL134" s="34" t="str">
        <f>HYPERLINK("http://www.uniprot.org/uniprot/Q6ZST4", "Q6ZST4")</f>
        <v>Q6ZST4</v>
      </c>
      <c r="DM134" t="s">
        <v>13793</v>
      </c>
      <c r="DN134" t="s">
        <v>13772</v>
      </c>
      <c r="DO134" t="s">
        <v>13772</v>
      </c>
      <c r="DP134" t="s">
        <v>13793</v>
      </c>
      <c r="DQ134" t="s">
        <v>13772</v>
      </c>
      <c r="DR134" t="s">
        <v>13772</v>
      </c>
      <c r="DS134" t="s">
        <v>13772</v>
      </c>
      <c r="DT134" t="s">
        <v>13772</v>
      </c>
      <c r="DU134" t="s">
        <v>13772</v>
      </c>
      <c r="DV134" t="s">
        <v>13772</v>
      </c>
      <c r="DW134" t="s">
        <v>13772</v>
      </c>
      <c r="DX134" t="s">
        <v>13772</v>
      </c>
      <c r="DY134" t="s">
        <v>13772</v>
      </c>
      <c r="DZ134" t="s">
        <v>32585</v>
      </c>
      <c r="EA134" t="s">
        <v>13772</v>
      </c>
      <c r="EB134" t="s">
        <v>13772</v>
      </c>
    </row>
    <row r="135" spans="1:132">
      <c r="A135">
        <v>430</v>
      </c>
      <c r="B135">
        <v>1</v>
      </c>
      <c r="C135" t="s">
        <v>1077</v>
      </c>
      <c r="D135" t="s">
        <v>73</v>
      </c>
      <c r="E135" t="s">
        <v>73</v>
      </c>
      <c r="F135" t="s">
        <v>1078</v>
      </c>
      <c r="G135" t="s">
        <v>73</v>
      </c>
      <c r="H135">
        <v>81.3</v>
      </c>
      <c r="I135">
        <v>187</v>
      </c>
      <c r="J135">
        <v>20969</v>
      </c>
      <c r="K135" t="s">
        <v>1079</v>
      </c>
      <c r="L135">
        <f t="shared" si="10"/>
        <v>328</v>
      </c>
      <c r="N135">
        <v>328</v>
      </c>
      <c r="O135">
        <v>311</v>
      </c>
      <c r="P135">
        <v>0.94799999999999995</v>
      </c>
      <c r="Q135">
        <v>10</v>
      </c>
      <c r="R135">
        <v>9</v>
      </c>
      <c r="S135">
        <v>4</v>
      </c>
      <c r="T135">
        <v>2</v>
      </c>
      <c r="U135">
        <v>15</v>
      </c>
      <c r="V135">
        <v>17</v>
      </c>
      <c r="W135">
        <v>8</v>
      </c>
      <c r="X135">
        <v>36</v>
      </c>
      <c r="Y135">
        <v>26</v>
      </c>
      <c r="Z135">
        <v>6</v>
      </c>
      <c r="AA135">
        <v>27</v>
      </c>
      <c r="AB135">
        <v>24</v>
      </c>
      <c r="AC135">
        <v>19</v>
      </c>
      <c r="AD135">
        <v>6</v>
      </c>
      <c r="AE135">
        <v>54</v>
      </c>
      <c r="AF135">
        <v>27</v>
      </c>
      <c r="AG135">
        <v>13</v>
      </c>
      <c r="AH135">
        <v>4</v>
      </c>
      <c r="AI135">
        <v>21</v>
      </c>
      <c r="AJ135">
        <v>9</v>
      </c>
      <c r="AK135">
        <v>8</v>
      </c>
      <c r="AL135">
        <v>4</v>
      </c>
      <c r="AM135">
        <v>2</v>
      </c>
      <c r="AN135">
        <v>13</v>
      </c>
      <c r="AO135">
        <v>15</v>
      </c>
      <c r="AP135">
        <v>7</v>
      </c>
      <c r="AQ135">
        <v>33</v>
      </c>
      <c r="AR135">
        <v>26</v>
      </c>
      <c r="AS135">
        <v>6</v>
      </c>
      <c r="AT135">
        <v>27</v>
      </c>
      <c r="AU135">
        <v>21</v>
      </c>
      <c r="AV135">
        <v>19</v>
      </c>
      <c r="AW135">
        <v>6</v>
      </c>
      <c r="AX135">
        <v>52</v>
      </c>
      <c r="AY135">
        <v>25</v>
      </c>
      <c r="AZ135">
        <v>13</v>
      </c>
      <c r="BA135">
        <v>4</v>
      </c>
      <c r="BB135">
        <v>21</v>
      </c>
      <c r="BC135" s="2">
        <v>9.9969999999999999</v>
      </c>
      <c r="BD135" s="2">
        <v>8.9969999999999999</v>
      </c>
      <c r="BE135" s="2">
        <v>4</v>
      </c>
      <c r="BF135" s="2">
        <v>2</v>
      </c>
      <c r="BG135" s="2">
        <v>14.994</v>
      </c>
      <c r="BH135" s="2">
        <v>16.994</v>
      </c>
      <c r="BI135" s="2">
        <v>7.9969999999999999</v>
      </c>
      <c r="BJ135" s="2">
        <v>35.99</v>
      </c>
      <c r="BK135" s="2">
        <v>26</v>
      </c>
      <c r="BL135" s="2">
        <v>6</v>
      </c>
      <c r="BM135" s="2">
        <v>27</v>
      </c>
      <c r="BN135" s="2">
        <v>23.99</v>
      </c>
      <c r="BO135" s="2">
        <v>19</v>
      </c>
      <c r="BP135" s="2">
        <v>6</v>
      </c>
      <c r="BQ135" s="2">
        <v>53.994</v>
      </c>
      <c r="BR135" s="2">
        <v>26.994</v>
      </c>
      <c r="BS135" s="2">
        <v>13</v>
      </c>
      <c r="BT135" s="2">
        <v>4</v>
      </c>
      <c r="BU135" s="2">
        <v>21</v>
      </c>
      <c r="BV135" s="2">
        <f t="shared" ref="BV135:BV198" si="13">SUM(BC135:BU135)</f>
        <v>327.947</v>
      </c>
      <c r="BW135" s="16">
        <f t="shared" si="11"/>
        <v>17.260368421052632</v>
      </c>
      <c r="BX135" s="16">
        <f>COUNTIF($BC$6:BU135, "=0") / COUNTIF($BC$6:BU135, "&gt;-1")</f>
        <v>3.360323886639676E-2</v>
      </c>
      <c r="BY135" s="18">
        <f>SUM($BC$6:BU135) / $BY$4</f>
        <v>0.61267567044870985</v>
      </c>
      <c r="BZ135" s="14">
        <f t="shared" si="12"/>
        <v>0</v>
      </c>
      <c r="CA135" t="s">
        <v>5831</v>
      </c>
      <c r="CB135" s="36">
        <v>12.116433958347301</v>
      </c>
      <c r="CC135" s="36">
        <v>8.6675770860970207</v>
      </c>
      <c r="CD135" s="36">
        <v>6.4031906472490299</v>
      </c>
      <c r="CE135" s="36">
        <v>3.0238435183064598</v>
      </c>
      <c r="CF135" s="36">
        <v>12.9026453990534</v>
      </c>
      <c r="CG135" s="36">
        <v>15.805363192871299</v>
      </c>
      <c r="CH135" s="36">
        <v>8.4324982629171306</v>
      </c>
      <c r="CI135" s="36">
        <v>35.034609527363003</v>
      </c>
      <c r="CJ135" s="37">
        <v>20.663715624368901</v>
      </c>
      <c r="CK135" s="37">
        <v>17.027540465983702</v>
      </c>
      <c r="CL135" s="37">
        <v>19.201304358416198</v>
      </c>
      <c r="CM135" s="37">
        <v>16.084393885398899</v>
      </c>
      <c r="CN135" s="37">
        <v>49.614798554016197</v>
      </c>
      <c r="CO135" s="37">
        <v>21.308145400398399</v>
      </c>
      <c r="CP135" s="37">
        <v>19.611020622211502</v>
      </c>
      <c r="CQ135" s="37">
        <v>31.975373775967</v>
      </c>
      <c r="CR135" s="45">
        <v>0.89198245268229603</v>
      </c>
      <c r="CS135" s="45">
        <v>1.90930385168033</v>
      </c>
      <c r="CT135" s="46">
        <v>2.8525841813728098E-2</v>
      </c>
      <c r="CU135" s="47">
        <v>4.6888914430919103E-2</v>
      </c>
      <c r="CV135" s="48">
        <v>12.7982701990256</v>
      </c>
      <c r="CW135" s="49">
        <v>24.435786585845101</v>
      </c>
      <c r="CX135" s="31" t="s">
        <v>5874</v>
      </c>
      <c r="CY135" s="31" t="s">
        <v>5878</v>
      </c>
      <c r="CZ135" t="s">
        <v>7192</v>
      </c>
      <c r="DA135" t="s">
        <v>5904</v>
      </c>
      <c r="DB135">
        <v>353.6</v>
      </c>
      <c r="DC135" t="s">
        <v>17946</v>
      </c>
      <c r="DD135" t="s">
        <v>17947</v>
      </c>
      <c r="DE135" t="s">
        <v>17948</v>
      </c>
      <c r="DF135" t="s">
        <v>17949</v>
      </c>
      <c r="DG135" t="s">
        <v>17950</v>
      </c>
      <c r="DH135" t="str">
        <f>"PEBP1"</f>
        <v>PEBP1</v>
      </c>
      <c r="DI135" t="s">
        <v>17951</v>
      </c>
      <c r="DJ135" t="s">
        <v>13777</v>
      </c>
      <c r="DK135">
        <v>9606</v>
      </c>
      <c r="DL135" s="34" t="str">
        <f>HYPERLINK("http://www.uniprot.org/uniprot/P30086", "P30086")</f>
        <v>P30086</v>
      </c>
      <c r="DM135" t="s">
        <v>17952</v>
      </c>
      <c r="DN135" t="s">
        <v>13772</v>
      </c>
      <c r="DO135" t="s">
        <v>13899</v>
      </c>
      <c r="DP135" t="s">
        <v>13772</v>
      </c>
      <c r="DQ135" t="s">
        <v>13772</v>
      </c>
      <c r="DR135" t="s">
        <v>13772</v>
      </c>
      <c r="DS135" t="s">
        <v>13772</v>
      </c>
      <c r="DT135" t="s">
        <v>17953</v>
      </c>
      <c r="DU135" t="s">
        <v>14375</v>
      </c>
      <c r="DV135" t="s">
        <v>15554</v>
      </c>
      <c r="DW135" t="s">
        <v>13812</v>
      </c>
      <c r="DX135" t="s">
        <v>17954</v>
      </c>
      <c r="DY135" t="s">
        <v>14135</v>
      </c>
      <c r="DZ135" t="s">
        <v>17955</v>
      </c>
      <c r="EA135" t="s">
        <v>13772</v>
      </c>
      <c r="EB135" t="s">
        <v>17956</v>
      </c>
    </row>
    <row r="136" spans="1:132" hidden="1">
      <c r="A136">
        <v>1456</v>
      </c>
      <c r="B136">
        <v>1</v>
      </c>
      <c r="C136" t="s">
        <v>3466</v>
      </c>
      <c r="D136" t="s">
        <v>73</v>
      </c>
      <c r="E136" t="s">
        <v>73</v>
      </c>
      <c r="F136" t="s">
        <v>999</v>
      </c>
      <c r="G136" t="s">
        <v>73</v>
      </c>
      <c r="H136">
        <v>70.900000000000006</v>
      </c>
      <c r="I136">
        <v>378</v>
      </c>
      <c r="J136">
        <v>42773</v>
      </c>
      <c r="K136" t="s">
        <v>3467</v>
      </c>
      <c r="L136">
        <f t="shared" si="10"/>
        <v>325</v>
      </c>
      <c r="N136">
        <v>325</v>
      </c>
      <c r="O136">
        <v>321</v>
      </c>
      <c r="P136">
        <v>0.98799999999999999</v>
      </c>
      <c r="Q136">
        <v>12</v>
      </c>
      <c r="R136">
        <v>0</v>
      </c>
      <c r="S136">
        <v>0</v>
      </c>
      <c r="T136">
        <v>0</v>
      </c>
      <c r="U136">
        <v>0</v>
      </c>
      <c r="V136">
        <v>3</v>
      </c>
      <c r="W136">
        <v>12</v>
      </c>
      <c r="X136">
        <v>56</v>
      </c>
      <c r="Y136">
        <v>23</v>
      </c>
      <c r="Z136">
        <v>8</v>
      </c>
      <c r="AA136">
        <v>54</v>
      </c>
      <c r="AB136">
        <v>29</v>
      </c>
      <c r="AC136">
        <v>32</v>
      </c>
      <c r="AD136">
        <v>1</v>
      </c>
      <c r="AE136">
        <v>13</v>
      </c>
      <c r="AF136">
        <v>32</v>
      </c>
      <c r="AG136">
        <v>30</v>
      </c>
      <c r="AH136">
        <v>15</v>
      </c>
      <c r="AI136">
        <v>5</v>
      </c>
      <c r="AJ136">
        <v>12</v>
      </c>
      <c r="AK136">
        <v>0</v>
      </c>
      <c r="AL136">
        <v>0</v>
      </c>
      <c r="AM136">
        <v>0</v>
      </c>
      <c r="AN136">
        <v>0</v>
      </c>
      <c r="AO136">
        <v>3</v>
      </c>
      <c r="AP136">
        <v>12</v>
      </c>
      <c r="AQ136">
        <v>55</v>
      </c>
      <c r="AR136">
        <v>23</v>
      </c>
      <c r="AS136">
        <v>8</v>
      </c>
      <c r="AT136">
        <v>52</v>
      </c>
      <c r="AU136">
        <v>29</v>
      </c>
      <c r="AV136">
        <v>31</v>
      </c>
      <c r="AW136">
        <v>1</v>
      </c>
      <c r="AX136">
        <v>13</v>
      </c>
      <c r="AY136">
        <v>32</v>
      </c>
      <c r="AZ136">
        <v>30</v>
      </c>
      <c r="BA136">
        <v>15</v>
      </c>
      <c r="BB136">
        <v>5</v>
      </c>
      <c r="BC136" s="2">
        <v>12</v>
      </c>
      <c r="BD136" s="2">
        <v>0</v>
      </c>
      <c r="BE136" s="2">
        <v>0</v>
      </c>
      <c r="BF136" s="2">
        <v>0</v>
      </c>
      <c r="BG136" s="2">
        <v>0</v>
      </c>
      <c r="BH136" s="2">
        <v>3</v>
      </c>
      <c r="BI136" s="2">
        <v>12</v>
      </c>
      <c r="BJ136" s="2">
        <v>55.981999999999999</v>
      </c>
      <c r="BK136" s="2">
        <v>23</v>
      </c>
      <c r="BL136" s="2">
        <v>8</v>
      </c>
      <c r="BM136" s="2">
        <v>53.926000000000002</v>
      </c>
      <c r="BN136" s="2">
        <v>29</v>
      </c>
      <c r="BO136" s="2">
        <v>32</v>
      </c>
      <c r="BP136" s="2">
        <v>1</v>
      </c>
      <c r="BQ136" s="2">
        <v>13</v>
      </c>
      <c r="BR136" s="2">
        <v>32</v>
      </c>
      <c r="BS136" s="2">
        <v>30</v>
      </c>
      <c r="BT136" s="2">
        <v>15</v>
      </c>
      <c r="BU136" s="2">
        <v>5</v>
      </c>
      <c r="BV136" s="2">
        <f t="shared" si="13"/>
        <v>324.90800000000002</v>
      </c>
      <c r="BW136" s="16">
        <f t="shared" si="11"/>
        <v>17.100421052631578</v>
      </c>
      <c r="BX136" s="16">
        <f>COUNTIF($BC$6:BU136, "=0") / COUNTIF($BC$6:BU136, "&gt;-1")</f>
        <v>3.495379670550422E-2</v>
      </c>
      <c r="BY136" s="18">
        <f>SUM($BC$6:BU136) / $BY$4</f>
        <v>0.6140674583364456</v>
      </c>
      <c r="BZ136" s="14">
        <f t="shared" si="12"/>
        <v>4</v>
      </c>
      <c r="CA136" t="s">
        <v>5831</v>
      </c>
      <c r="CB136" s="36">
        <v>14.5397207500168</v>
      </c>
      <c r="CC136" s="36">
        <v>0.24076603016936199</v>
      </c>
      <c r="CD136" s="36">
        <v>0.40019941545306398</v>
      </c>
      <c r="CE136" s="36">
        <v>0.37798043978830698</v>
      </c>
      <c r="CF136" s="36">
        <v>0.215044089984223</v>
      </c>
      <c r="CG136" s="36">
        <v>2.7891817399184702</v>
      </c>
      <c r="CH136" s="36">
        <v>12.6487473943757</v>
      </c>
      <c r="CI136" s="36">
        <v>54.498281487009102</v>
      </c>
      <c r="CJ136" s="37">
        <v>18.279440744634002</v>
      </c>
      <c r="CK136" s="37">
        <v>33.992015967278597</v>
      </c>
      <c r="CL136" s="37">
        <v>23.201576099752899</v>
      </c>
      <c r="CM136" s="37">
        <v>27.0895054911981</v>
      </c>
      <c r="CN136" s="37">
        <v>11.944303355596499</v>
      </c>
      <c r="CO136" s="37">
        <v>25.254098252323999</v>
      </c>
      <c r="CP136" s="37">
        <v>45.256201435872697</v>
      </c>
      <c r="CQ136" s="37">
        <v>7.6131842323730803</v>
      </c>
      <c r="CR136" s="45">
        <v>1.1469156260437801</v>
      </c>
      <c r="CS136" s="45">
        <v>2.2474682341592498</v>
      </c>
      <c r="CT136" s="46">
        <v>0.137764369582145</v>
      </c>
      <c r="CU136" s="47">
        <v>0.18847518047127901</v>
      </c>
      <c r="CV136" s="48">
        <v>10.713740168339401</v>
      </c>
      <c r="CW136" s="49">
        <v>24.0787906973787</v>
      </c>
      <c r="CX136" s="31" t="s">
        <v>5874</v>
      </c>
      <c r="CY136" s="31" t="s">
        <v>5832</v>
      </c>
      <c r="CZ136" t="s">
        <v>10585</v>
      </c>
      <c r="DA136" t="s">
        <v>5904</v>
      </c>
      <c r="DB136">
        <v>635.20000000000005</v>
      </c>
      <c r="DC136" t="s">
        <v>27778</v>
      </c>
      <c r="DD136" t="s">
        <v>27779</v>
      </c>
      <c r="DE136" t="s">
        <v>27780</v>
      </c>
      <c r="DF136" t="s">
        <v>27781</v>
      </c>
      <c r="DG136" t="s">
        <v>27782</v>
      </c>
      <c r="DH136" t="str">
        <f>"SERPINB1"</f>
        <v>SERPINB1</v>
      </c>
      <c r="DI136" t="s">
        <v>27783</v>
      </c>
      <c r="DJ136" t="s">
        <v>13777</v>
      </c>
      <c r="DK136">
        <v>9606</v>
      </c>
      <c r="DL136" s="34" t="str">
        <f>HYPERLINK("http://www.uniprot.org/uniprot/P30740", "P30740")</f>
        <v>P30740</v>
      </c>
      <c r="DM136" t="s">
        <v>27784</v>
      </c>
      <c r="DN136" t="s">
        <v>13772</v>
      </c>
      <c r="DO136" t="s">
        <v>16449</v>
      </c>
      <c r="DP136" t="s">
        <v>13780</v>
      </c>
      <c r="DQ136" t="s">
        <v>13772</v>
      </c>
      <c r="DR136" t="s">
        <v>13772</v>
      </c>
      <c r="DS136" t="s">
        <v>13772</v>
      </c>
      <c r="DT136" t="s">
        <v>13772</v>
      </c>
      <c r="DU136" t="s">
        <v>14375</v>
      </c>
      <c r="DV136" t="s">
        <v>13886</v>
      </c>
      <c r="DW136" t="s">
        <v>13812</v>
      </c>
      <c r="DX136" t="s">
        <v>27785</v>
      </c>
      <c r="DY136" t="s">
        <v>27786</v>
      </c>
      <c r="DZ136" t="s">
        <v>27787</v>
      </c>
      <c r="EA136" t="s">
        <v>13772</v>
      </c>
      <c r="EB136" t="s">
        <v>13890</v>
      </c>
    </row>
    <row r="137" spans="1:132" hidden="1">
      <c r="A137">
        <v>1897</v>
      </c>
      <c r="B137">
        <v>1</v>
      </c>
      <c r="C137" t="s">
        <v>4475</v>
      </c>
      <c r="D137" t="s">
        <v>73</v>
      </c>
      <c r="E137" t="s">
        <v>73</v>
      </c>
      <c r="F137" t="s">
        <v>1480</v>
      </c>
      <c r="G137" t="s">
        <v>73</v>
      </c>
      <c r="H137">
        <v>71.3</v>
      </c>
      <c r="I137">
        <v>129</v>
      </c>
      <c r="J137">
        <v>14472</v>
      </c>
      <c r="K137" t="s">
        <v>1546</v>
      </c>
      <c r="L137">
        <f t="shared" si="10"/>
        <v>574</v>
      </c>
      <c r="N137">
        <v>574</v>
      </c>
      <c r="O137">
        <v>93</v>
      </c>
      <c r="P137">
        <v>0.16200000000000001</v>
      </c>
      <c r="Q137">
        <v>47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167</v>
      </c>
      <c r="Z137">
        <v>131</v>
      </c>
      <c r="AA137">
        <v>71</v>
      </c>
      <c r="AB137">
        <v>23</v>
      </c>
      <c r="AC137">
        <v>22</v>
      </c>
      <c r="AD137">
        <v>15</v>
      </c>
      <c r="AE137">
        <v>27</v>
      </c>
      <c r="AF137">
        <v>15</v>
      </c>
      <c r="AG137">
        <v>15</v>
      </c>
      <c r="AH137">
        <v>7</v>
      </c>
      <c r="AI137">
        <v>31</v>
      </c>
      <c r="AJ137">
        <v>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33</v>
      </c>
      <c r="AS137">
        <v>29</v>
      </c>
      <c r="AT137">
        <v>6</v>
      </c>
      <c r="AU137">
        <v>1</v>
      </c>
      <c r="AV137">
        <v>3</v>
      </c>
      <c r="AW137">
        <v>4</v>
      </c>
      <c r="AX137">
        <v>3</v>
      </c>
      <c r="AY137">
        <v>0</v>
      </c>
      <c r="AZ137">
        <v>0</v>
      </c>
      <c r="BA137">
        <v>1</v>
      </c>
      <c r="BB137">
        <v>6</v>
      </c>
      <c r="BC137" s="2">
        <v>32.625</v>
      </c>
      <c r="BD137" s="2">
        <v>0</v>
      </c>
      <c r="BE137" s="2">
        <v>0.33300000000000002</v>
      </c>
      <c r="BF137" s="2">
        <v>0</v>
      </c>
      <c r="BG137" s="2">
        <v>0</v>
      </c>
      <c r="BH137" s="2">
        <v>0</v>
      </c>
      <c r="BI137" s="2">
        <v>0.16700000000000001</v>
      </c>
      <c r="BJ137" s="2">
        <v>0</v>
      </c>
      <c r="BK137" s="2">
        <v>99.326999999999998</v>
      </c>
      <c r="BL137" s="2">
        <v>84.539000000000001</v>
      </c>
      <c r="BM137" s="2">
        <v>33.655000000000001</v>
      </c>
      <c r="BN137" s="2">
        <v>7.165</v>
      </c>
      <c r="BO137" s="2">
        <v>11.298999999999999</v>
      </c>
      <c r="BP137" s="2">
        <v>11.002000000000001</v>
      </c>
      <c r="BQ137" s="2">
        <v>15.500999999999999</v>
      </c>
      <c r="BR137" s="2">
        <v>0.75</v>
      </c>
      <c r="BS137" s="2">
        <v>1.5</v>
      </c>
      <c r="BT137" s="2">
        <v>4.625</v>
      </c>
      <c r="BU137" s="2">
        <v>19.829999999999998</v>
      </c>
      <c r="BV137" s="2">
        <f t="shared" si="13"/>
        <v>322.31799999999993</v>
      </c>
      <c r="BW137" s="16">
        <f t="shared" si="11"/>
        <v>16.96410526315789</v>
      </c>
      <c r="BX137" s="16">
        <f>COUNTIF($BC$6:BU137, "=0") / COUNTIF($BC$6:BU137, "&gt;-1")</f>
        <v>3.6682615629984053E-2</v>
      </c>
      <c r="BY137" s="18">
        <f>SUM($BC$6:BU137) / $BY$4</f>
        <v>0.61544815160469124</v>
      </c>
      <c r="BZ137" s="14">
        <f t="shared" si="12"/>
        <v>5</v>
      </c>
      <c r="CA137" t="s">
        <v>5831</v>
      </c>
      <c r="CB137" s="36">
        <v>39.499574704212201</v>
      </c>
      <c r="CC137" s="36">
        <v>0.24076603016936199</v>
      </c>
      <c r="CD137" s="36">
        <v>0.48023929854367697</v>
      </c>
      <c r="CE137" s="36">
        <v>0.37798043978830698</v>
      </c>
      <c r="CF137" s="36">
        <v>0.215044089984223</v>
      </c>
      <c r="CG137" s="36">
        <v>0.23243181165987301</v>
      </c>
      <c r="CH137" s="36">
        <v>0.21081245657292799</v>
      </c>
      <c r="CI137" s="36">
        <v>0.24329589949557701</v>
      </c>
      <c r="CJ137" s="37">
        <v>78.919498519224305</v>
      </c>
      <c r="CK137" s="37">
        <v>21.2528931001352</v>
      </c>
      <c r="CL137" s="37">
        <v>5.7603913075248698</v>
      </c>
      <c r="CM137" s="37">
        <v>9.5659816265793296</v>
      </c>
      <c r="CN137" s="37">
        <v>14.2412847701343</v>
      </c>
      <c r="CO137" s="37">
        <v>0.6313524563081</v>
      </c>
      <c r="CP137" s="37">
        <v>2.2628100717936301</v>
      </c>
      <c r="CQ137" s="37">
        <v>30.148209560197401</v>
      </c>
      <c r="CR137" s="45">
        <v>1.95854542012734</v>
      </c>
      <c r="CS137" s="45">
        <v>3.9224543063473201</v>
      </c>
      <c r="CT137" s="46">
        <v>7.0773148893829699E-2</v>
      </c>
      <c r="CU137" s="47">
        <v>0.104982786274883</v>
      </c>
      <c r="CV137" s="48">
        <v>5.1875180913032697</v>
      </c>
      <c r="CW137" s="49">
        <v>20.347802676487099</v>
      </c>
      <c r="CX137" s="31" t="s">
        <v>5874</v>
      </c>
      <c r="CY137" s="31" t="s">
        <v>5832</v>
      </c>
      <c r="CZ137" t="s">
        <v>7762</v>
      </c>
      <c r="DA137" t="s">
        <v>5904</v>
      </c>
      <c r="DB137">
        <v>188.7</v>
      </c>
      <c r="DC137" t="s">
        <v>19672</v>
      </c>
      <c r="DD137" t="s">
        <v>19673</v>
      </c>
      <c r="DE137" t="s">
        <v>19674</v>
      </c>
      <c r="DF137" t="s">
        <v>19675</v>
      </c>
      <c r="DG137" t="s">
        <v>19676</v>
      </c>
      <c r="DH137" t="str">
        <f>"SAA1"</f>
        <v>SAA1</v>
      </c>
      <c r="DI137" t="s">
        <v>13772</v>
      </c>
      <c r="DJ137" t="s">
        <v>13777</v>
      </c>
      <c r="DK137">
        <v>9606</v>
      </c>
      <c r="DL137" s="34" t="str">
        <f>HYPERLINK("http://www.uniprot.org/uniprot/P0DJI8", "P0DJI8")</f>
        <v>P0DJI8</v>
      </c>
      <c r="DM137" t="s">
        <v>19677</v>
      </c>
      <c r="DN137" t="s">
        <v>14374</v>
      </c>
      <c r="DO137" t="s">
        <v>19678</v>
      </c>
      <c r="DP137" t="s">
        <v>13793</v>
      </c>
      <c r="DQ137" t="s">
        <v>13772</v>
      </c>
      <c r="DR137" t="s">
        <v>19679</v>
      </c>
      <c r="DS137" t="s">
        <v>13808</v>
      </c>
      <c r="DT137" t="s">
        <v>13772</v>
      </c>
      <c r="DU137" t="s">
        <v>14073</v>
      </c>
      <c r="DV137" t="s">
        <v>17914</v>
      </c>
      <c r="DW137" t="s">
        <v>13812</v>
      </c>
      <c r="DX137" t="s">
        <v>19680</v>
      </c>
      <c r="DY137" t="s">
        <v>19681</v>
      </c>
      <c r="DZ137" t="s">
        <v>19682</v>
      </c>
      <c r="EA137" t="s">
        <v>13772</v>
      </c>
      <c r="EB137" t="s">
        <v>19683</v>
      </c>
    </row>
    <row r="138" spans="1:132">
      <c r="A138">
        <v>2211</v>
      </c>
      <c r="B138">
        <v>1</v>
      </c>
      <c r="C138" t="s">
        <v>5172</v>
      </c>
      <c r="D138" t="s">
        <v>73</v>
      </c>
      <c r="E138" t="s">
        <v>73</v>
      </c>
      <c r="F138" t="s">
        <v>73</v>
      </c>
      <c r="G138" t="s">
        <v>73</v>
      </c>
      <c r="H138">
        <v>64.400000000000006</v>
      </c>
      <c r="I138">
        <v>101</v>
      </c>
      <c r="J138">
        <v>10582</v>
      </c>
      <c r="K138" t="s">
        <v>5173</v>
      </c>
      <c r="L138">
        <f t="shared" si="10"/>
        <v>318</v>
      </c>
      <c r="N138">
        <v>318</v>
      </c>
      <c r="O138">
        <v>318</v>
      </c>
      <c r="P138">
        <v>1</v>
      </c>
      <c r="Q138">
        <v>16</v>
      </c>
      <c r="R138">
        <v>8</v>
      </c>
      <c r="S138">
        <v>8</v>
      </c>
      <c r="T138">
        <v>8</v>
      </c>
      <c r="U138">
        <v>9</v>
      </c>
      <c r="V138">
        <v>6</v>
      </c>
      <c r="W138">
        <v>6</v>
      </c>
      <c r="X138">
        <v>2</v>
      </c>
      <c r="Y138">
        <v>93</v>
      </c>
      <c r="Z138">
        <v>11</v>
      </c>
      <c r="AA138">
        <v>27</v>
      </c>
      <c r="AB138">
        <v>25</v>
      </c>
      <c r="AC138">
        <v>14</v>
      </c>
      <c r="AD138">
        <v>3</v>
      </c>
      <c r="AE138">
        <v>25</v>
      </c>
      <c r="AF138">
        <v>22</v>
      </c>
      <c r="AG138">
        <v>20</v>
      </c>
      <c r="AH138">
        <v>2</v>
      </c>
      <c r="AI138">
        <v>13</v>
      </c>
      <c r="AJ138">
        <v>16</v>
      </c>
      <c r="AK138">
        <v>8</v>
      </c>
      <c r="AL138">
        <v>8</v>
      </c>
      <c r="AM138">
        <v>8</v>
      </c>
      <c r="AN138">
        <v>9</v>
      </c>
      <c r="AO138">
        <v>6</v>
      </c>
      <c r="AP138">
        <v>6</v>
      </c>
      <c r="AQ138">
        <v>2</v>
      </c>
      <c r="AR138">
        <v>93</v>
      </c>
      <c r="AS138">
        <v>11</v>
      </c>
      <c r="AT138">
        <v>27</v>
      </c>
      <c r="AU138">
        <v>25</v>
      </c>
      <c r="AV138">
        <v>14</v>
      </c>
      <c r="AW138">
        <v>3</v>
      </c>
      <c r="AX138">
        <v>25</v>
      </c>
      <c r="AY138">
        <v>22</v>
      </c>
      <c r="AZ138">
        <v>20</v>
      </c>
      <c r="BA138">
        <v>2</v>
      </c>
      <c r="BB138">
        <v>13</v>
      </c>
      <c r="BC138" s="2">
        <v>16</v>
      </c>
      <c r="BD138" s="2">
        <v>8</v>
      </c>
      <c r="BE138" s="2">
        <v>8</v>
      </c>
      <c r="BF138" s="2">
        <v>8</v>
      </c>
      <c r="BG138" s="2">
        <v>9</v>
      </c>
      <c r="BH138" s="2">
        <v>6</v>
      </c>
      <c r="BI138" s="2">
        <v>6</v>
      </c>
      <c r="BJ138" s="2">
        <v>2</v>
      </c>
      <c r="BK138" s="2">
        <v>93</v>
      </c>
      <c r="BL138" s="2">
        <v>11</v>
      </c>
      <c r="BM138" s="2">
        <v>27</v>
      </c>
      <c r="BN138" s="2">
        <v>25</v>
      </c>
      <c r="BO138" s="2">
        <v>14</v>
      </c>
      <c r="BP138" s="2">
        <v>3</v>
      </c>
      <c r="BQ138" s="2">
        <v>25</v>
      </c>
      <c r="BR138" s="2">
        <v>22</v>
      </c>
      <c r="BS138" s="2">
        <v>20</v>
      </c>
      <c r="BT138" s="2">
        <v>2</v>
      </c>
      <c r="BU138" s="2">
        <v>13</v>
      </c>
      <c r="BV138" s="2">
        <f t="shared" si="13"/>
        <v>318</v>
      </c>
      <c r="BW138" s="16">
        <f t="shared" si="11"/>
        <v>16.736842105263158</v>
      </c>
      <c r="BX138" s="16">
        <f>COUNTIF($BC$6:BU138, "=0") / COUNTIF($BC$6:BU138, "&gt;-1")</f>
        <v>3.6406806489908981E-2</v>
      </c>
      <c r="BY138" s="18">
        <f>SUM($BC$6:BU138) / $BY$4</f>
        <v>0.61681034812893798</v>
      </c>
      <c r="BZ138" s="14">
        <f t="shared" si="12"/>
        <v>0</v>
      </c>
      <c r="CA138" t="s">
        <v>5831</v>
      </c>
      <c r="CB138" s="36">
        <v>19.3862943333557</v>
      </c>
      <c r="CC138" s="36">
        <v>7.7045129654195703</v>
      </c>
      <c r="CD138" s="36">
        <v>12.806381294498101</v>
      </c>
      <c r="CE138" s="36">
        <v>12.0953740732258</v>
      </c>
      <c r="CF138" s="36">
        <v>7.7415872394320298</v>
      </c>
      <c r="CG138" s="36">
        <v>5.5783634798369501</v>
      </c>
      <c r="CH138" s="36">
        <v>6.3243736971878404</v>
      </c>
      <c r="CI138" s="36">
        <v>1.9463671959646101</v>
      </c>
      <c r="CJ138" s="37">
        <v>73.912521271781003</v>
      </c>
      <c r="CK138" s="37">
        <v>17.027540465983702</v>
      </c>
      <c r="CL138" s="37">
        <v>20.0013587066836</v>
      </c>
      <c r="CM138" s="37">
        <v>11.8516586523992</v>
      </c>
      <c r="CN138" s="37">
        <v>22.9698141453778</v>
      </c>
      <c r="CO138" s="37">
        <v>17.362192548472699</v>
      </c>
      <c r="CP138" s="37">
        <v>30.170800957248499</v>
      </c>
      <c r="CQ138" s="37">
        <v>19.794279004170001</v>
      </c>
      <c r="CR138" s="45">
        <v>1.55391073518711</v>
      </c>
      <c r="CS138" s="45">
        <v>2.8959057035502802</v>
      </c>
      <c r="CT138" s="46">
        <v>7.7450526059197702E-4</v>
      </c>
      <c r="CU138" s="47">
        <v>1.79288588005548E-3</v>
      </c>
      <c r="CV138" s="48">
        <v>9.1979067848650704</v>
      </c>
      <c r="CW138" s="49">
        <v>26.6362707190146</v>
      </c>
      <c r="CX138" s="31" t="s">
        <v>5874</v>
      </c>
      <c r="CY138" s="31" t="s">
        <v>5876</v>
      </c>
      <c r="CZ138" t="s">
        <v>13118</v>
      </c>
      <c r="DA138" t="s">
        <v>5904</v>
      </c>
      <c r="DB138">
        <v>134.4</v>
      </c>
      <c r="DC138" t="s">
        <v>34888</v>
      </c>
      <c r="DD138" t="s">
        <v>34889</v>
      </c>
      <c r="DE138" t="s">
        <v>34890</v>
      </c>
      <c r="DF138" t="s">
        <v>34891</v>
      </c>
      <c r="DG138" t="s">
        <v>34892</v>
      </c>
      <c r="DH138" t="str">
        <f>"PI3"</f>
        <v>PI3</v>
      </c>
      <c r="DI138" t="s">
        <v>34893</v>
      </c>
      <c r="DJ138" t="s">
        <v>13777</v>
      </c>
      <c r="DK138">
        <v>9606</v>
      </c>
      <c r="DL138" s="34" t="str">
        <f>HYPERLINK("http://www.uniprot.org/uniprot/P19957", "P19957")</f>
        <v>P19957</v>
      </c>
      <c r="DM138" t="s">
        <v>34894</v>
      </c>
      <c r="DN138" t="s">
        <v>13772</v>
      </c>
      <c r="DO138" t="s">
        <v>14321</v>
      </c>
      <c r="DP138" t="s">
        <v>13793</v>
      </c>
      <c r="DQ138" t="s">
        <v>13772</v>
      </c>
      <c r="DR138" t="s">
        <v>13772</v>
      </c>
      <c r="DS138" t="s">
        <v>14404</v>
      </c>
      <c r="DT138" t="s">
        <v>13772</v>
      </c>
      <c r="DU138" t="s">
        <v>14375</v>
      </c>
      <c r="DV138" t="s">
        <v>14506</v>
      </c>
      <c r="DW138" t="s">
        <v>13812</v>
      </c>
      <c r="DX138" t="s">
        <v>34895</v>
      </c>
      <c r="DY138" t="s">
        <v>34896</v>
      </c>
      <c r="DZ138" t="s">
        <v>34897</v>
      </c>
      <c r="EA138" t="s">
        <v>13772</v>
      </c>
      <c r="EB138" t="s">
        <v>34898</v>
      </c>
    </row>
    <row r="139" spans="1:132" hidden="1">
      <c r="A139">
        <v>190</v>
      </c>
      <c r="B139">
        <v>1</v>
      </c>
      <c r="C139" t="s">
        <v>479</v>
      </c>
      <c r="D139" t="s">
        <v>73</v>
      </c>
      <c r="E139" t="s">
        <v>73</v>
      </c>
      <c r="F139" t="s">
        <v>73</v>
      </c>
      <c r="G139" t="s">
        <v>73</v>
      </c>
      <c r="H139">
        <v>74.7</v>
      </c>
      <c r="I139">
        <v>146</v>
      </c>
      <c r="J139">
        <v>16381</v>
      </c>
      <c r="K139" t="s">
        <v>480</v>
      </c>
      <c r="L139">
        <f t="shared" si="10"/>
        <v>313</v>
      </c>
      <c r="N139">
        <v>313</v>
      </c>
      <c r="O139">
        <v>313</v>
      </c>
      <c r="P139">
        <v>1</v>
      </c>
      <c r="Q139">
        <v>2</v>
      </c>
      <c r="R139">
        <v>1</v>
      </c>
      <c r="S139">
        <v>0</v>
      </c>
      <c r="T139">
        <v>2</v>
      </c>
      <c r="U139">
        <v>4</v>
      </c>
      <c r="V139">
        <v>0</v>
      </c>
      <c r="W139">
        <v>2</v>
      </c>
      <c r="X139">
        <v>1</v>
      </c>
      <c r="Y139">
        <v>55</v>
      </c>
      <c r="Z139">
        <v>5</v>
      </c>
      <c r="AA139">
        <v>63</v>
      </c>
      <c r="AB139">
        <v>31</v>
      </c>
      <c r="AC139">
        <v>45</v>
      </c>
      <c r="AD139">
        <v>6</v>
      </c>
      <c r="AE139">
        <v>26</v>
      </c>
      <c r="AF139">
        <v>31</v>
      </c>
      <c r="AG139">
        <v>10</v>
      </c>
      <c r="AH139">
        <v>4</v>
      </c>
      <c r="AI139">
        <v>25</v>
      </c>
      <c r="AJ139">
        <v>2</v>
      </c>
      <c r="AK139">
        <v>1</v>
      </c>
      <c r="AL139">
        <v>0</v>
      </c>
      <c r="AM139">
        <v>2</v>
      </c>
      <c r="AN139">
        <v>4</v>
      </c>
      <c r="AO139">
        <v>0</v>
      </c>
      <c r="AP139">
        <v>2</v>
      </c>
      <c r="AQ139">
        <v>1</v>
      </c>
      <c r="AR139">
        <v>55</v>
      </c>
      <c r="AS139">
        <v>5</v>
      </c>
      <c r="AT139">
        <v>63</v>
      </c>
      <c r="AU139">
        <v>31</v>
      </c>
      <c r="AV139">
        <v>45</v>
      </c>
      <c r="AW139">
        <v>6</v>
      </c>
      <c r="AX139">
        <v>26</v>
      </c>
      <c r="AY139">
        <v>31</v>
      </c>
      <c r="AZ139">
        <v>10</v>
      </c>
      <c r="BA139">
        <v>4</v>
      </c>
      <c r="BB139">
        <v>25</v>
      </c>
      <c r="BC139" s="2">
        <v>2</v>
      </c>
      <c r="BD139" s="2">
        <v>1</v>
      </c>
      <c r="BE139" s="2">
        <v>0</v>
      </c>
      <c r="BF139" s="2">
        <v>2</v>
      </c>
      <c r="BG139" s="2">
        <v>4</v>
      </c>
      <c r="BH139" s="2">
        <v>0</v>
      </c>
      <c r="BI139" s="2">
        <v>2</v>
      </c>
      <c r="BJ139" s="2">
        <v>1</v>
      </c>
      <c r="BK139" s="2">
        <v>55</v>
      </c>
      <c r="BL139" s="2">
        <v>5</v>
      </c>
      <c r="BM139" s="2">
        <v>63</v>
      </c>
      <c r="BN139" s="2">
        <v>31</v>
      </c>
      <c r="BO139" s="2">
        <v>45</v>
      </c>
      <c r="BP139" s="2">
        <v>6</v>
      </c>
      <c r="BQ139" s="2">
        <v>26</v>
      </c>
      <c r="BR139" s="2">
        <v>31</v>
      </c>
      <c r="BS139" s="2">
        <v>10</v>
      </c>
      <c r="BT139" s="2">
        <v>4</v>
      </c>
      <c r="BU139" s="2">
        <v>25</v>
      </c>
      <c r="BV139" s="2">
        <f t="shared" si="13"/>
        <v>313</v>
      </c>
      <c r="BW139" s="16">
        <f t="shared" si="11"/>
        <v>16.473684210526315</v>
      </c>
      <c r="BX139" s="16">
        <f>COUNTIF($BC$6:BU139, "=0") / COUNTIF($BC$6:BU139, "&gt;-1")</f>
        <v>3.6920659858601726E-2</v>
      </c>
      <c r="BY139" s="18">
        <f>SUM($BC$6:BU139) / $BY$4</f>
        <v>0.61815112646884129</v>
      </c>
      <c r="BZ139" s="14">
        <f t="shared" si="12"/>
        <v>2</v>
      </c>
      <c r="CA139" t="s">
        <v>5831</v>
      </c>
      <c r="CB139" s="36">
        <v>2.4232867916694598</v>
      </c>
      <c r="CC139" s="36">
        <v>0.96306412067744696</v>
      </c>
      <c r="CD139" s="36">
        <v>0.40019941545306398</v>
      </c>
      <c r="CE139" s="36">
        <v>3.0238435183064598</v>
      </c>
      <c r="CF139" s="36">
        <v>3.4407054397475698</v>
      </c>
      <c r="CG139" s="36">
        <v>0.23243181165987301</v>
      </c>
      <c r="CH139" s="36">
        <v>2.10812456572928</v>
      </c>
      <c r="CI139" s="36">
        <v>0.97318359798230603</v>
      </c>
      <c r="CJ139" s="37">
        <v>43.711706128472599</v>
      </c>
      <c r="CK139" s="37">
        <v>39.730927753962</v>
      </c>
      <c r="CL139" s="37">
        <v>24.801684796287599</v>
      </c>
      <c r="CM139" s="37">
        <v>38.094617096997297</v>
      </c>
      <c r="CN139" s="37">
        <v>23.888606711192999</v>
      </c>
      <c r="CO139" s="37">
        <v>24.4649076819389</v>
      </c>
      <c r="CP139" s="37">
        <v>15.0854004786242</v>
      </c>
      <c r="CQ139" s="37">
        <v>38.065921161865397</v>
      </c>
      <c r="CR139" s="45">
        <v>4.1033830798479896</v>
      </c>
      <c r="CS139" s="45">
        <v>18.271043765169601</v>
      </c>
      <c r="CT139" s="46">
        <v>1.5571851517659601E-20</v>
      </c>
      <c r="CU139" s="47">
        <v>5.2087843326571499E-18</v>
      </c>
      <c r="CV139" s="48">
        <v>1.6956049076531801</v>
      </c>
      <c r="CW139" s="49">
        <v>30.980471476167601</v>
      </c>
      <c r="CX139" s="31" t="s">
        <v>5874</v>
      </c>
      <c r="CY139" s="31" t="s">
        <v>5876</v>
      </c>
      <c r="CZ139" t="s">
        <v>6353</v>
      </c>
      <c r="DA139" t="s">
        <v>5904</v>
      </c>
      <c r="DB139">
        <v>213</v>
      </c>
      <c r="DC139" t="s">
        <v>15348</v>
      </c>
      <c r="DD139" t="s">
        <v>15349</v>
      </c>
      <c r="DE139" t="s">
        <v>15350</v>
      </c>
      <c r="DF139" t="s">
        <v>15351</v>
      </c>
      <c r="DG139" t="s">
        <v>15352</v>
      </c>
      <c r="DH139" t="str">
        <f>"ANG"</f>
        <v>ANG</v>
      </c>
      <c r="DI139" t="s">
        <v>15353</v>
      </c>
      <c r="DJ139" t="s">
        <v>13777</v>
      </c>
      <c r="DK139">
        <v>9606</v>
      </c>
      <c r="DL139" s="34" t="str">
        <f>HYPERLINK("http://www.uniprot.org/uniprot/P03950", "P03950")</f>
        <v>P03950</v>
      </c>
      <c r="DM139" t="s">
        <v>15354</v>
      </c>
      <c r="DN139" t="s">
        <v>15355</v>
      </c>
      <c r="DO139" t="s">
        <v>15356</v>
      </c>
      <c r="DP139" t="s">
        <v>13793</v>
      </c>
      <c r="DQ139" t="s">
        <v>13772</v>
      </c>
      <c r="DR139" t="s">
        <v>13989</v>
      </c>
      <c r="DS139" t="s">
        <v>13808</v>
      </c>
      <c r="DT139" t="s">
        <v>13772</v>
      </c>
      <c r="DU139" t="s">
        <v>15357</v>
      </c>
      <c r="DV139" t="s">
        <v>15344</v>
      </c>
      <c r="DW139" t="s">
        <v>13812</v>
      </c>
      <c r="DX139" t="s">
        <v>15358</v>
      </c>
      <c r="DY139" t="s">
        <v>15359</v>
      </c>
      <c r="DZ139" t="s">
        <v>15360</v>
      </c>
      <c r="EA139" t="s">
        <v>13772</v>
      </c>
      <c r="EB139" t="s">
        <v>15361</v>
      </c>
    </row>
    <row r="140" spans="1:132">
      <c r="A140">
        <v>231</v>
      </c>
      <c r="B140">
        <v>1</v>
      </c>
      <c r="C140" t="s">
        <v>585</v>
      </c>
      <c r="D140" t="s">
        <v>73</v>
      </c>
      <c r="E140" t="s">
        <v>73</v>
      </c>
      <c r="F140" t="s">
        <v>73</v>
      </c>
      <c r="G140" t="s">
        <v>73</v>
      </c>
      <c r="H140">
        <v>76.2</v>
      </c>
      <c r="I140">
        <v>189</v>
      </c>
      <c r="J140">
        <v>19993</v>
      </c>
      <c r="K140" t="s">
        <v>586</v>
      </c>
      <c r="L140">
        <f t="shared" si="10"/>
        <v>312</v>
      </c>
      <c r="N140">
        <v>312</v>
      </c>
      <c r="O140">
        <v>312</v>
      </c>
      <c r="P140">
        <v>1</v>
      </c>
      <c r="Q140">
        <v>12</v>
      </c>
      <c r="R140">
        <v>11</v>
      </c>
      <c r="S140">
        <v>4</v>
      </c>
      <c r="T140">
        <v>2</v>
      </c>
      <c r="U140">
        <v>19</v>
      </c>
      <c r="V140">
        <v>11</v>
      </c>
      <c r="W140">
        <v>9</v>
      </c>
      <c r="X140">
        <v>74</v>
      </c>
      <c r="Y140">
        <v>46</v>
      </c>
      <c r="Z140">
        <v>1</v>
      </c>
      <c r="AA140">
        <v>23</v>
      </c>
      <c r="AB140">
        <v>12</v>
      </c>
      <c r="AC140">
        <v>15</v>
      </c>
      <c r="AD140">
        <v>5</v>
      </c>
      <c r="AE140">
        <v>35</v>
      </c>
      <c r="AF140">
        <v>17</v>
      </c>
      <c r="AG140">
        <v>4</v>
      </c>
      <c r="AH140">
        <v>3</v>
      </c>
      <c r="AI140">
        <v>9</v>
      </c>
      <c r="AJ140">
        <v>12</v>
      </c>
      <c r="AK140">
        <v>11</v>
      </c>
      <c r="AL140">
        <v>4</v>
      </c>
      <c r="AM140">
        <v>2</v>
      </c>
      <c r="AN140">
        <v>19</v>
      </c>
      <c r="AO140">
        <v>11</v>
      </c>
      <c r="AP140">
        <v>9</v>
      </c>
      <c r="AQ140">
        <v>74</v>
      </c>
      <c r="AR140">
        <v>46</v>
      </c>
      <c r="AS140">
        <v>1</v>
      </c>
      <c r="AT140">
        <v>23</v>
      </c>
      <c r="AU140">
        <v>12</v>
      </c>
      <c r="AV140">
        <v>15</v>
      </c>
      <c r="AW140">
        <v>5</v>
      </c>
      <c r="AX140">
        <v>35</v>
      </c>
      <c r="AY140">
        <v>17</v>
      </c>
      <c r="AZ140">
        <v>4</v>
      </c>
      <c r="BA140">
        <v>3</v>
      </c>
      <c r="BB140">
        <v>9</v>
      </c>
      <c r="BC140" s="2">
        <v>12</v>
      </c>
      <c r="BD140" s="2">
        <v>11</v>
      </c>
      <c r="BE140" s="2">
        <v>4</v>
      </c>
      <c r="BF140" s="2">
        <v>2</v>
      </c>
      <c r="BG140" s="2">
        <v>19</v>
      </c>
      <c r="BH140" s="2">
        <v>11</v>
      </c>
      <c r="BI140" s="2">
        <v>9</v>
      </c>
      <c r="BJ140" s="2">
        <v>74</v>
      </c>
      <c r="BK140" s="2">
        <v>46</v>
      </c>
      <c r="BL140" s="2">
        <v>1</v>
      </c>
      <c r="BM140" s="2">
        <v>23</v>
      </c>
      <c r="BN140" s="2">
        <v>12</v>
      </c>
      <c r="BO140" s="2">
        <v>15</v>
      </c>
      <c r="BP140" s="2">
        <v>5</v>
      </c>
      <c r="BQ140" s="2">
        <v>35</v>
      </c>
      <c r="BR140" s="2">
        <v>17</v>
      </c>
      <c r="BS140" s="2">
        <v>4</v>
      </c>
      <c r="BT140" s="2">
        <v>3</v>
      </c>
      <c r="BU140" s="2">
        <v>9</v>
      </c>
      <c r="BV140" s="2">
        <f t="shared" si="13"/>
        <v>312</v>
      </c>
      <c r="BW140" s="16">
        <f t="shared" si="11"/>
        <v>16.421052631578949</v>
      </c>
      <c r="BX140" s="16">
        <f>COUNTIF($BC$6:BU140, "=0") / COUNTIF($BC$6:BU140, "&gt;-1")</f>
        <v>3.6647173489278755E-2</v>
      </c>
      <c r="BY140" s="18">
        <f>SUM($BC$6:BU140) / $BY$4</f>
        <v>0.61948762117187584</v>
      </c>
      <c r="BZ140" s="14">
        <f t="shared" si="12"/>
        <v>0</v>
      </c>
      <c r="CA140" t="s">
        <v>5831</v>
      </c>
      <c r="CB140" s="36">
        <v>14.5397207500168</v>
      </c>
      <c r="CC140" s="36">
        <v>10.5937053274519</v>
      </c>
      <c r="CD140" s="36">
        <v>6.4031906472490299</v>
      </c>
      <c r="CE140" s="36">
        <v>3.0238435183064598</v>
      </c>
      <c r="CF140" s="36">
        <v>16.343350838801001</v>
      </c>
      <c r="CG140" s="36">
        <v>10.226999713034401</v>
      </c>
      <c r="CH140" s="36">
        <v>9.4865605457817708</v>
      </c>
      <c r="CI140" s="36">
        <v>72.015586250690603</v>
      </c>
      <c r="CJ140" s="37">
        <v>36.558881489268003</v>
      </c>
      <c r="CK140" s="37">
        <v>14.5049418784306</v>
      </c>
      <c r="CL140" s="37">
        <v>9.6006521792081099</v>
      </c>
      <c r="CM140" s="37">
        <v>12.6982056989991</v>
      </c>
      <c r="CN140" s="37">
        <v>32.157739803528997</v>
      </c>
      <c r="CO140" s="37">
        <v>13.4162396965471</v>
      </c>
      <c r="CP140" s="37">
        <v>6.0341601914496898</v>
      </c>
      <c r="CQ140" s="37">
        <v>13.7037316182716</v>
      </c>
      <c r="CR140" s="45">
        <v>-4.7134345304332401E-2</v>
      </c>
      <c r="CS140" s="45">
        <v>-1.0285445668486199</v>
      </c>
      <c r="CT140" s="46">
        <v>0.95369550097357003</v>
      </c>
      <c r="CU140" s="47">
        <v>0.97111459688176305</v>
      </c>
      <c r="CV140" s="48">
        <v>17.8291196989165</v>
      </c>
      <c r="CW140" s="49">
        <v>17.3343190694629</v>
      </c>
      <c r="CX140" s="31" t="s">
        <v>5875</v>
      </c>
      <c r="CY140" s="31" t="s">
        <v>5832</v>
      </c>
      <c r="CZ140" t="s">
        <v>6495</v>
      </c>
      <c r="DA140" t="s">
        <v>5904</v>
      </c>
      <c r="DB140">
        <v>370.2</v>
      </c>
      <c r="DC140" t="s">
        <v>15799</v>
      </c>
      <c r="DD140" t="s">
        <v>15800</v>
      </c>
      <c r="DE140" t="s">
        <v>15801</v>
      </c>
      <c r="DF140" t="s">
        <v>15802</v>
      </c>
      <c r="DG140" t="s">
        <v>15803</v>
      </c>
      <c r="DH140" t="str">
        <f>"PARK7"</f>
        <v>PARK7</v>
      </c>
      <c r="DI140" t="s">
        <v>13772</v>
      </c>
      <c r="DJ140" t="s">
        <v>13777</v>
      </c>
      <c r="DK140">
        <v>9606</v>
      </c>
      <c r="DL140" s="34" t="str">
        <f>HYPERLINK("http://www.uniprot.org/uniprot/Q99497", "Q99497")</f>
        <v>Q99497</v>
      </c>
      <c r="DM140" t="s">
        <v>15804</v>
      </c>
      <c r="DN140" t="s">
        <v>15805</v>
      </c>
      <c r="DO140" t="s">
        <v>15806</v>
      </c>
      <c r="DP140" t="s">
        <v>13793</v>
      </c>
      <c r="DQ140" t="s">
        <v>13772</v>
      </c>
      <c r="DR140" t="s">
        <v>15807</v>
      </c>
      <c r="DS140" t="s">
        <v>13772</v>
      </c>
      <c r="DT140" t="s">
        <v>15808</v>
      </c>
      <c r="DU140" t="s">
        <v>15809</v>
      </c>
      <c r="DV140" t="s">
        <v>15810</v>
      </c>
      <c r="DW140" t="s">
        <v>13812</v>
      </c>
      <c r="DX140" t="s">
        <v>15811</v>
      </c>
      <c r="DY140" t="s">
        <v>15812</v>
      </c>
      <c r="DZ140" t="s">
        <v>15813</v>
      </c>
      <c r="EA140" t="s">
        <v>13772</v>
      </c>
      <c r="EB140" t="s">
        <v>15814</v>
      </c>
    </row>
    <row r="141" spans="1:132">
      <c r="A141">
        <v>1733</v>
      </c>
      <c r="B141">
        <v>1</v>
      </c>
      <c r="C141" t="s">
        <v>4099</v>
      </c>
      <c r="D141" t="s">
        <v>73</v>
      </c>
      <c r="E141" t="s">
        <v>73</v>
      </c>
      <c r="F141" t="s">
        <v>73</v>
      </c>
      <c r="G141" t="s">
        <v>73</v>
      </c>
      <c r="H141">
        <v>64.7</v>
      </c>
      <c r="I141">
        <v>665</v>
      </c>
      <c r="J141">
        <v>74124</v>
      </c>
      <c r="K141" t="s">
        <v>4100</v>
      </c>
      <c r="L141">
        <f t="shared" si="10"/>
        <v>311</v>
      </c>
      <c r="N141">
        <v>311</v>
      </c>
      <c r="O141">
        <v>311</v>
      </c>
      <c r="P141">
        <v>1</v>
      </c>
      <c r="Q141">
        <v>7</v>
      </c>
      <c r="R141">
        <v>6</v>
      </c>
      <c r="S141">
        <v>3</v>
      </c>
      <c r="T141">
        <v>12</v>
      </c>
      <c r="U141">
        <v>20</v>
      </c>
      <c r="V141">
        <v>12</v>
      </c>
      <c r="W141">
        <v>6</v>
      </c>
      <c r="X141">
        <v>16</v>
      </c>
      <c r="Y141">
        <v>33</v>
      </c>
      <c r="Z141">
        <v>3</v>
      </c>
      <c r="AA141">
        <v>41</v>
      </c>
      <c r="AB141">
        <v>37</v>
      </c>
      <c r="AC141">
        <v>29</v>
      </c>
      <c r="AD141">
        <v>3</v>
      </c>
      <c r="AE141">
        <v>28</v>
      </c>
      <c r="AF141">
        <v>34</v>
      </c>
      <c r="AG141">
        <v>8</v>
      </c>
      <c r="AH141">
        <v>4</v>
      </c>
      <c r="AI141">
        <v>9</v>
      </c>
      <c r="AJ141">
        <v>7</v>
      </c>
      <c r="AK141">
        <v>6</v>
      </c>
      <c r="AL141">
        <v>3</v>
      </c>
      <c r="AM141">
        <v>12</v>
      </c>
      <c r="AN141">
        <v>20</v>
      </c>
      <c r="AO141">
        <v>12</v>
      </c>
      <c r="AP141">
        <v>6</v>
      </c>
      <c r="AQ141">
        <v>16</v>
      </c>
      <c r="AR141">
        <v>33</v>
      </c>
      <c r="AS141">
        <v>3</v>
      </c>
      <c r="AT141">
        <v>41</v>
      </c>
      <c r="AU141">
        <v>37</v>
      </c>
      <c r="AV141">
        <v>29</v>
      </c>
      <c r="AW141">
        <v>3</v>
      </c>
      <c r="AX141">
        <v>28</v>
      </c>
      <c r="AY141">
        <v>34</v>
      </c>
      <c r="AZ141">
        <v>8</v>
      </c>
      <c r="BA141">
        <v>4</v>
      </c>
      <c r="BB141">
        <v>9</v>
      </c>
      <c r="BC141" s="2">
        <v>7</v>
      </c>
      <c r="BD141" s="2">
        <v>6</v>
      </c>
      <c r="BE141" s="2">
        <v>3</v>
      </c>
      <c r="BF141" s="2">
        <v>12</v>
      </c>
      <c r="BG141" s="2">
        <v>20</v>
      </c>
      <c r="BH141" s="2">
        <v>12</v>
      </c>
      <c r="BI141" s="2">
        <v>6</v>
      </c>
      <c r="BJ141" s="2">
        <v>16</v>
      </c>
      <c r="BK141" s="2">
        <v>33</v>
      </c>
      <c r="BL141" s="2">
        <v>3</v>
      </c>
      <c r="BM141" s="2">
        <v>41</v>
      </c>
      <c r="BN141" s="2">
        <v>37</v>
      </c>
      <c r="BO141" s="2">
        <v>29</v>
      </c>
      <c r="BP141" s="2">
        <v>3</v>
      </c>
      <c r="BQ141" s="2">
        <v>28</v>
      </c>
      <c r="BR141" s="2">
        <v>34</v>
      </c>
      <c r="BS141" s="2">
        <v>8</v>
      </c>
      <c r="BT141" s="2">
        <v>4</v>
      </c>
      <c r="BU141" s="2">
        <v>9</v>
      </c>
      <c r="BV141" s="2">
        <f t="shared" si="13"/>
        <v>311</v>
      </c>
      <c r="BW141" s="16">
        <f t="shared" si="11"/>
        <v>16.368421052631579</v>
      </c>
      <c r="BX141" s="16">
        <f>COUNTIF($BC$6:BU141, "=0") / COUNTIF($BC$6:BU141, "&gt;-1")</f>
        <v>3.637770897832817E-2</v>
      </c>
      <c r="BY141" s="18">
        <f>SUM($BC$6:BU141) / $BY$4</f>
        <v>0.62081983223804171</v>
      </c>
      <c r="BZ141" s="14">
        <f t="shared" si="12"/>
        <v>0</v>
      </c>
      <c r="CA141" t="s">
        <v>5831</v>
      </c>
      <c r="CB141" s="36">
        <v>8.4815037708430996</v>
      </c>
      <c r="CC141" s="36">
        <v>5.7783847240646802</v>
      </c>
      <c r="CD141" s="36">
        <v>4.8023929854367697</v>
      </c>
      <c r="CE141" s="36">
        <v>18.143061109838801</v>
      </c>
      <c r="CF141" s="36">
        <v>17.203527198737799</v>
      </c>
      <c r="CG141" s="36">
        <v>11.1567269596739</v>
      </c>
      <c r="CH141" s="36">
        <v>6.3243736971878404</v>
      </c>
      <c r="CI141" s="36">
        <v>15.5709375677169</v>
      </c>
      <c r="CJ141" s="37">
        <v>26.227023677083601</v>
      </c>
      <c r="CK141" s="37">
        <v>25.856635522419701</v>
      </c>
      <c r="CL141" s="37">
        <v>29.602010885891701</v>
      </c>
      <c r="CM141" s="37">
        <v>24.549864351398298</v>
      </c>
      <c r="CN141" s="37">
        <v>25.726191842823201</v>
      </c>
      <c r="CO141" s="37">
        <v>26.8324793930942</v>
      </c>
      <c r="CP141" s="37">
        <v>12.068320382899399</v>
      </c>
      <c r="CQ141" s="37">
        <v>13.7037316182716</v>
      </c>
      <c r="CR141" s="45">
        <v>1.0824638363483601</v>
      </c>
      <c r="CS141" s="45">
        <v>2.1102714557387601</v>
      </c>
      <c r="CT141" s="46">
        <v>1.70850713474654E-3</v>
      </c>
      <c r="CU141" s="47">
        <v>3.6990008839658099E-3</v>
      </c>
      <c r="CV141" s="48">
        <v>10.9326135016875</v>
      </c>
      <c r="CW141" s="49">
        <v>23.070782209235201</v>
      </c>
      <c r="CX141" s="31" t="s">
        <v>5874</v>
      </c>
      <c r="CY141" s="31" t="s">
        <v>5876</v>
      </c>
      <c r="CZ141" t="s">
        <v>11525</v>
      </c>
      <c r="DA141" t="s">
        <v>5904</v>
      </c>
      <c r="DB141">
        <v>1311.6</v>
      </c>
      <c r="DC141" t="s">
        <v>30411</v>
      </c>
      <c r="DD141" t="s">
        <v>30412</v>
      </c>
      <c r="DE141" t="s">
        <v>30413</v>
      </c>
      <c r="DF141" t="s">
        <v>30414</v>
      </c>
      <c r="DG141" t="s">
        <v>30415</v>
      </c>
      <c r="DH141" t="str">
        <f>"LMNA"</f>
        <v>LMNA</v>
      </c>
      <c r="DI141" t="s">
        <v>30416</v>
      </c>
      <c r="DJ141" t="s">
        <v>13777</v>
      </c>
      <c r="DK141">
        <v>9606</v>
      </c>
      <c r="DL141" s="34" t="str">
        <f>HYPERLINK("http://www.uniprot.org/uniprot/P02545", "P02545")</f>
        <v>P02545</v>
      </c>
      <c r="DM141" t="s">
        <v>30417</v>
      </c>
      <c r="DN141" t="s">
        <v>13772</v>
      </c>
      <c r="DO141" t="s">
        <v>30418</v>
      </c>
      <c r="DP141" t="s">
        <v>13780</v>
      </c>
      <c r="DQ141" t="s">
        <v>13772</v>
      </c>
      <c r="DR141" t="s">
        <v>30419</v>
      </c>
      <c r="DS141" t="s">
        <v>14245</v>
      </c>
      <c r="DT141" t="s">
        <v>13772</v>
      </c>
      <c r="DU141" t="s">
        <v>13772</v>
      </c>
      <c r="DV141" t="s">
        <v>20601</v>
      </c>
      <c r="DW141" t="s">
        <v>13812</v>
      </c>
      <c r="DX141" t="s">
        <v>30420</v>
      </c>
      <c r="DY141" t="s">
        <v>30421</v>
      </c>
      <c r="DZ141" t="s">
        <v>30422</v>
      </c>
      <c r="EA141" t="s">
        <v>13772</v>
      </c>
      <c r="EB141" t="s">
        <v>30423</v>
      </c>
    </row>
    <row r="142" spans="1:132" hidden="1">
      <c r="A142">
        <v>1442</v>
      </c>
      <c r="B142">
        <v>1</v>
      </c>
      <c r="C142" t="s">
        <v>3435</v>
      </c>
      <c r="D142" t="s">
        <v>73</v>
      </c>
      <c r="E142" t="s">
        <v>73</v>
      </c>
      <c r="F142" t="s">
        <v>73</v>
      </c>
      <c r="G142" t="s">
        <v>73</v>
      </c>
      <c r="H142">
        <v>46.8</v>
      </c>
      <c r="I142">
        <v>735</v>
      </c>
      <c r="J142">
        <v>80872</v>
      </c>
      <c r="K142" t="s">
        <v>3436</v>
      </c>
      <c r="L142">
        <f t="shared" si="10"/>
        <v>306</v>
      </c>
      <c r="N142">
        <v>306</v>
      </c>
      <c r="O142">
        <v>306</v>
      </c>
      <c r="P142">
        <v>1</v>
      </c>
      <c r="Q142">
        <v>23</v>
      </c>
      <c r="R142">
        <v>9</v>
      </c>
      <c r="S142">
        <v>12</v>
      </c>
      <c r="T142">
        <v>0</v>
      </c>
      <c r="U142">
        <v>14</v>
      </c>
      <c r="V142">
        <v>27</v>
      </c>
      <c r="W142">
        <v>42</v>
      </c>
      <c r="X142">
        <v>47</v>
      </c>
      <c r="Y142">
        <v>14</v>
      </c>
      <c r="Z142">
        <v>10</v>
      </c>
      <c r="AA142">
        <v>17</v>
      </c>
      <c r="AB142">
        <v>17</v>
      </c>
      <c r="AC142">
        <v>9</v>
      </c>
      <c r="AD142">
        <v>9</v>
      </c>
      <c r="AE142">
        <v>11</v>
      </c>
      <c r="AF142">
        <v>16</v>
      </c>
      <c r="AG142">
        <v>11</v>
      </c>
      <c r="AH142">
        <v>11</v>
      </c>
      <c r="AI142">
        <v>7</v>
      </c>
      <c r="AJ142">
        <v>23</v>
      </c>
      <c r="AK142">
        <v>9</v>
      </c>
      <c r="AL142">
        <v>12</v>
      </c>
      <c r="AM142">
        <v>0</v>
      </c>
      <c r="AN142">
        <v>14</v>
      </c>
      <c r="AO142">
        <v>27</v>
      </c>
      <c r="AP142">
        <v>42</v>
      </c>
      <c r="AQ142">
        <v>47</v>
      </c>
      <c r="AR142">
        <v>14</v>
      </c>
      <c r="AS142">
        <v>10</v>
      </c>
      <c r="AT142">
        <v>17</v>
      </c>
      <c r="AU142">
        <v>17</v>
      </c>
      <c r="AV142">
        <v>9</v>
      </c>
      <c r="AW142">
        <v>9</v>
      </c>
      <c r="AX142">
        <v>11</v>
      </c>
      <c r="AY142">
        <v>16</v>
      </c>
      <c r="AZ142">
        <v>11</v>
      </c>
      <c r="BA142">
        <v>11</v>
      </c>
      <c r="BB142">
        <v>7</v>
      </c>
      <c r="BC142" s="2">
        <v>23</v>
      </c>
      <c r="BD142" s="2">
        <v>9</v>
      </c>
      <c r="BE142" s="2">
        <v>12</v>
      </c>
      <c r="BF142" s="2">
        <v>0</v>
      </c>
      <c r="BG142" s="2">
        <v>14</v>
      </c>
      <c r="BH142" s="2">
        <v>27</v>
      </c>
      <c r="BI142" s="2">
        <v>42</v>
      </c>
      <c r="BJ142" s="2">
        <v>47</v>
      </c>
      <c r="BK142" s="2">
        <v>14</v>
      </c>
      <c r="BL142" s="2">
        <v>10</v>
      </c>
      <c r="BM142" s="2">
        <v>17</v>
      </c>
      <c r="BN142" s="2">
        <v>17</v>
      </c>
      <c r="BO142" s="2">
        <v>9</v>
      </c>
      <c r="BP142" s="2">
        <v>9</v>
      </c>
      <c r="BQ142" s="2">
        <v>11</v>
      </c>
      <c r="BR142" s="2">
        <v>16</v>
      </c>
      <c r="BS142" s="2">
        <v>11</v>
      </c>
      <c r="BT142" s="2">
        <v>11</v>
      </c>
      <c r="BU142" s="2">
        <v>7</v>
      </c>
      <c r="BV142" s="2">
        <f t="shared" si="13"/>
        <v>306</v>
      </c>
      <c r="BW142" s="16">
        <f t="shared" si="11"/>
        <v>16.105263157894736</v>
      </c>
      <c r="BX142" s="16">
        <f>COUNTIF($BC$6:BU142, "=0") / COUNTIF($BC$6:BU142, "&gt;-1")</f>
        <v>3.6496350364963501E-2</v>
      </c>
      <c r="BY142" s="18">
        <f>SUM($BC$6:BU142) / $BY$4</f>
        <v>0.62213062511986406</v>
      </c>
      <c r="BZ142" s="14">
        <f t="shared" si="12"/>
        <v>1</v>
      </c>
      <c r="CA142" t="s">
        <v>5831</v>
      </c>
      <c r="CB142" s="36">
        <v>27.867798104198801</v>
      </c>
      <c r="CC142" s="36">
        <v>8.6675770860970207</v>
      </c>
      <c r="CD142" s="36">
        <v>19.2095719417471</v>
      </c>
      <c r="CE142" s="36">
        <v>0.37798043978830698</v>
      </c>
      <c r="CF142" s="36">
        <v>12.042469039116501</v>
      </c>
      <c r="CG142" s="36">
        <v>25.102635659266301</v>
      </c>
      <c r="CH142" s="36">
        <v>44.270615880314899</v>
      </c>
      <c r="CI142" s="36">
        <v>45.739629105168397</v>
      </c>
      <c r="CJ142" s="37">
        <v>11.126616105429401</v>
      </c>
      <c r="CK142" s="37">
        <v>10.7210439971009</v>
      </c>
      <c r="CL142" s="37">
        <v>13.600923920544799</v>
      </c>
      <c r="CM142" s="37">
        <v>7.6189234193994704</v>
      </c>
      <c r="CN142" s="37">
        <v>10.1067182239663</v>
      </c>
      <c r="CO142" s="37">
        <v>12.627049126161999</v>
      </c>
      <c r="CP142" s="37">
        <v>16.593940526486598</v>
      </c>
      <c r="CQ142" s="37">
        <v>10.658457925322301</v>
      </c>
      <c r="CR142" s="45">
        <v>-0.98603342805608296</v>
      </c>
      <c r="CS142" s="45">
        <v>-1.96959744699497</v>
      </c>
      <c r="CT142" s="46">
        <v>3.8774372699359301E-2</v>
      </c>
      <c r="CU142" s="47">
        <v>6.17620365139794E-2</v>
      </c>
      <c r="CV142" s="48">
        <v>22.909784656962199</v>
      </c>
      <c r="CW142" s="49">
        <v>11.6317091555515</v>
      </c>
      <c r="CX142" s="31" t="s">
        <v>5875</v>
      </c>
      <c r="CY142" s="31" t="s">
        <v>5877</v>
      </c>
      <c r="CZ142" t="s">
        <v>10538</v>
      </c>
      <c r="DA142" t="s">
        <v>5904</v>
      </c>
      <c r="DB142">
        <v>1242.2</v>
      </c>
      <c r="DC142" t="s">
        <v>27635</v>
      </c>
      <c r="DD142" t="s">
        <v>27636</v>
      </c>
      <c r="DE142" t="s">
        <v>27637</v>
      </c>
      <c r="DF142" t="s">
        <v>27638</v>
      </c>
      <c r="DG142" t="s">
        <v>27639</v>
      </c>
      <c r="DH142" t="str">
        <f>"VCAM1"</f>
        <v>VCAM1</v>
      </c>
      <c r="DI142" t="s">
        <v>13772</v>
      </c>
      <c r="DJ142" t="s">
        <v>13777</v>
      </c>
      <c r="DK142">
        <v>9606</v>
      </c>
      <c r="DL142" s="34" t="str">
        <f>HYPERLINK("http://www.uniprot.org/uniprot/P19320", "P19320")</f>
        <v>P19320</v>
      </c>
      <c r="DM142" t="s">
        <v>21496</v>
      </c>
      <c r="DN142" t="s">
        <v>13949</v>
      </c>
      <c r="DO142" t="s">
        <v>13825</v>
      </c>
      <c r="DP142" t="s">
        <v>13780</v>
      </c>
      <c r="DQ142" t="s">
        <v>13772</v>
      </c>
      <c r="DR142" t="s">
        <v>13772</v>
      </c>
      <c r="DS142" t="s">
        <v>13951</v>
      </c>
      <c r="DT142" t="s">
        <v>13772</v>
      </c>
      <c r="DU142" t="s">
        <v>13772</v>
      </c>
      <c r="DV142" t="s">
        <v>13796</v>
      </c>
      <c r="DW142" t="s">
        <v>13812</v>
      </c>
      <c r="DX142" t="s">
        <v>27640</v>
      </c>
      <c r="DY142" t="s">
        <v>27641</v>
      </c>
      <c r="DZ142" t="s">
        <v>27642</v>
      </c>
      <c r="EA142" t="s">
        <v>13772</v>
      </c>
      <c r="EB142" t="s">
        <v>27643</v>
      </c>
    </row>
    <row r="143" spans="1:132">
      <c r="A143">
        <v>140</v>
      </c>
      <c r="B143">
        <v>1</v>
      </c>
      <c r="C143" t="s">
        <v>365</v>
      </c>
      <c r="D143" t="s">
        <v>366</v>
      </c>
      <c r="E143" t="s">
        <v>73</v>
      </c>
      <c r="F143" t="s">
        <v>73</v>
      </c>
      <c r="G143" t="s">
        <v>73</v>
      </c>
      <c r="H143">
        <v>11.7</v>
      </c>
      <c r="I143">
        <v>1817</v>
      </c>
      <c r="J143">
        <v>194359</v>
      </c>
      <c r="K143" t="s">
        <v>367</v>
      </c>
      <c r="L143">
        <f t="shared" si="10"/>
        <v>302</v>
      </c>
      <c r="N143">
        <v>302</v>
      </c>
      <c r="O143">
        <v>302</v>
      </c>
      <c r="P143">
        <v>1</v>
      </c>
      <c r="Q143">
        <v>19</v>
      </c>
      <c r="R143">
        <v>25</v>
      </c>
      <c r="S143">
        <v>30</v>
      </c>
      <c r="T143">
        <v>35</v>
      </c>
      <c r="U143">
        <v>28</v>
      </c>
      <c r="V143">
        <v>31</v>
      </c>
      <c r="W143">
        <v>16</v>
      </c>
      <c r="X143">
        <v>15</v>
      </c>
      <c r="Y143">
        <v>14</v>
      </c>
      <c r="Z143">
        <v>1</v>
      </c>
      <c r="AA143">
        <v>15</v>
      </c>
      <c r="AB143">
        <v>11</v>
      </c>
      <c r="AC143">
        <v>9</v>
      </c>
      <c r="AD143">
        <v>5</v>
      </c>
      <c r="AE143">
        <v>10</v>
      </c>
      <c r="AF143">
        <v>14</v>
      </c>
      <c r="AG143">
        <v>8</v>
      </c>
      <c r="AH143">
        <v>5</v>
      </c>
      <c r="AI143">
        <v>11</v>
      </c>
      <c r="AJ143">
        <v>19</v>
      </c>
      <c r="AK143">
        <v>25</v>
      </c>
      <c r="AL143">
        <v>30</v>
      </c>
      <c r="AM143">
        <v>35</v>
      </c>
      <c r="AN143">
        <v>28</v>
      </c>
      <c r="AO143">
        <v>31</v>
      </c>
      <c r="AP143">
        <v>16</v>
      </c>
      <c r="AQ143">
        <v>15</v>
      </c>
      <c r="AR143">
        <v>14</v>
      </c>
      <c r="AS143">
        <v>1</v>
      </c>
      <c r="AT143">
        <v>15</v>
      </c>
      <c r="AU143">
        <v>11</v>
      </c>
      <c r="AV143">
        <v>9</v>
      </c>
      <c r="AW143">
        <v>5</v>
      </c>
      <c r="AX143">
        <v>10</v>
      </c>
      <c r="AY143">
        <v>14</v>
      </c>
      <c r="AZ143">
        <v>8</v>
      </c>
      <c r="BA143">
        <v>5</v>
      </c>
      <c r="BB143">
        <v>11</v>
      </c>
      <c r="BC143" s="2">
        <v>19</v>
      </c>
      <c r="BD143" s="2">
        <v>25</v>
      </c>
      <c r="BE143" s="2">
        <v>30</v>
      </c>
      <c r="BF143" s="2">
        <v>35</v>
      </c>
      <c r="BG143" s="2">
        <v>28</v>
      </c>
      <c r="BH143" s="2">
        <v>31</v>
      </c>
      <c r="BI143" s="2">
        <v>16</v>
      </c>
      <c r="BJ143" s="2">
        <v>15</v>
      </c>
      <c r="BK143" s="2">
        <v>14</v>
      </c>
      <c r="BL143" s="2">
        <v>1</v>
      </c>
      <c r="BM143" s="2">
        <v>15</v>
      </c>
      <c r="BN143" s="2">
        <v>11</v>
      </c>
      <c r="BO143" s="2">
        <v>9</v>
      </c>
      <c r="BP143" s="2">
        <v>5</v>
      </c>
      <c r="BQ143" s="2">
        <v>10</v>
      </c>
      <c r="BR143" s="2">
        <v>14</v>
      </c>
      <c r="BS143" s="2">
        <v>8</v>
      </c>
      <c r="BT143" s="2">
        <v>5</v>
      </c>
      <c r="BU143" s="2">
        <v>11</v>
      </c>
      <c r="BV143" s="2">
        <f t="shared" si="13"/>
        <v>302</v>
      </c>
      <c r="BW143" s="16">
        <f t="shared" si="11"/>
        <v>15.894736842105264</v>
      </c>
      <c r="BX143" s="16">
        <f>COUNTIF($BC$6:BU143, "=0") / COUNTIF($BC$6:BU143, "&gt;-1")</f>
        <v>3.6231884057971016E-2</v>
      </c>
      <c r="BY143" s="18">
        <f>SUM($BC$6:BU143) / $BY$4</f>
        <v>0.62342428345421164</v>
      </c>
      <c r="BZ143" s="14">
        <f t="shared" si="12"/>
        <v>0</v>
      </c>
      <c r="CA143" t="s">
        <v>5831</v>
      </c>
      <c r="CB143" s="36">
        <v>23.021224520859899</v>
      </c>
      <c r="CC143" s="36">
        <v>24.0766030169362</v>
      </c>
      <c r="CD143" s="36">
        <v>48.023929854367701</v>
      </c>
      <c r="CE143" s="36">
        <v>52.917261570363003</v>
      </c>
      <c r="CF143" s="36">
        <v>24.084938078233002</v>
      </c>
      <c r="CG143" s="36">
        <v>28.821544645824201</v>
      </c>
      <c r="CH143" s="36">
        <v>16.8649965258343</v>
      </c>
      <c r="CI143" s="36">
        <v>14.597753969734599</v>
      </c>
      <c r="CJ143" s="37">
        <v>11.126616105429401</v>
      </c>
      <c r="CK143" s="37">
        <v>9.4597447033242794</v>
      </c>
      <c r="CL143" s="37">
        <v>8.8005978309407702</v>
      </c>
      <c r="CM143" s="37">
        <v>7.6189234193994704</v>
      </c>
      <c r="CN143" s="37">
        <v>9.1879256581511406</v>
      </c>
      <c r="CO143" s="37">
        <v>11.048667985391701</v>
      </c>
      <c r="CP143" s="37">
        <v>12.068320382899399</v>
      </c>
      <c r="CQ143" s="37">
        <v>16.749005311220799</v>
      </c>
      <c r="CR143" s="45">
        <v>-1.4273094741900201</v>
      </c>
      <c r="CS143" s="45">
        <v>-2.7005436732382599</v>
      </c>
      <c r="CT143" s="46">
        <v>4.0284748026812003E-5</v>
      </c>
      <c r="CU143" s="47">
        <v>1.2535114618575499E-4</v>
      </c>
      <c r="CV143" s="48">
        <v>29.051031522769101</v>
      </c>
      <c r="CW143" s="49">
        <v>10.7574751745946</v>
      </c>
      <c r="CX143" s="31" t="s">
        <v>5875</v>
      </c>
      <c r="CY143" s="31" t="s">
        <v>5876</v>
      </c>
      <c r="CZ143" t="s">
        <v>6180</v>
      </c>
      <c r="DA143" t="s">
        <v>5904</v>
      </c>
      <c r="DB143">
        <v>3123.9</v>
      </c>
      <c r="DC143" t="s">
        <v>14761</v>
      </c>
      <c r="DD143" t="s">
        <v>13772</v>
      </c>
      <c r="DE143" t="s">
        <v>14762</v>
      </c>
      <c r="DF143" t="s">
        <v>14763</v>
      </c>
      <c r="DG143" t="s">
        <v>14764</v>
      </c>
      <c r="DH143" t="str">
        <f>"LTBP2"</f>
        <v>LTBP2</v>
      </c>
      <c r="DI143" t="s">
        <v>14765</v>
      </c>
      <c r="DJ143" t="s">
        <v>13777</v>
      </c>
      <c r="DK143">
        <v>9606</v>
      </c>
      <c r="DL143" s="34" t="str">
        <f>HYPERLINK("http://www.uniprot.org/uniprot/Q14767", "Q14767")</f>
        <v>Q14767</v>
      </c>
      <c r="DM143" t="s">
        <v>14766</v>
      </c>
      <c r="DN143" t="s">
        <v>13772</v>
      </c>
      <c r="DO143" t="s">
        <v>13869</v>
      </c>
      <c r="DP143" t="s">
        <v>13793</v>
      </c>
      <c r="DQ143" t="s">
        <v>13772</v>
      </c>
      <c r="DR143" t="s">
        <v>14767</v>
      </c>
      <c r="DS143" t="s">
        <v>14768</v>
      </c>
      <c r="DT143" t="s">
        <v>13772</v>
      </c>
      <c r="DU143" t="s">
        <v>14769</v>
      </c>
      <c r="DV143" t="s">
        <v>14770</v>
      </c>
      <c r="DW143" t="s">
        <v>13772</v>
      </c>
      <c r="DX143" t="s">
        <v>14771</v>
      </c>
      <c r="DY143" t="s">
        <v>14772</v>
      </c>
      <c r="DZ143" t="s">
        <v>14773</v>
      </c>
      <c r="EA143" t="s">
        <v>13772</v>
      </c>
      <c r="EB143" t="s">
        <v>14774</v>
      </c>
    </row>
    <row r="144" spans="1:132">
      <c r="A144">
        <v>1303</v>
      </c>
      <c r="B144">
        <v>1</v>
      </c>
      <c r="C144" t="s">
        <v>3124</v>
      </c>
      <c r="D144" t="s">
        <v>73</v>
      </c>
      <c r="E144" t="s">
        <v>73</v>
      </c>
      <c r="F144" t="s">
        <v>73</v>
      </c>
      <c r="G144" t="s">
        <v>73</v>
      </c>
      <c r="H144">
        <v>42.2</v>
      </c>
      <c r="I144">
        <v>339</v>
      </c>
      <c r="J144">
        <v>37641</v>
      </c>
      <c r="K144" t="s">
        <v>3125</v>
      </c>
      <c r="L144">
        <f t="shared" si="10"/>
        <v>302</v>
      </c>
      <c r="N144">
        <v>302</v>
      </c>
      <c r="O144">
        <v>302</v>
      </c>
      <c r="P144">
        <v>1</v>
      </c>
      <c r="Q144">
        <v>13</v>
      </c>
      <c r="R144">
        <v>16</v>
      </c>
      <c r="S144">
        <v>13</v>
      </c>
      <c r="T144">
        <v>16</v>
      </c>
      <c r="U144">
        <v>19</v>
      </c>
      <c r="V144">
        <v>9</v>
      </c>
      <c r="W144">
        <v>14</v>
      </c>
      <c r="X144">
        <v>20</v>
      </c>
      <c r="Y144">
        <v>23</v>
      </c>
      <c r="Z144">
        <v>2</v>
      </c>
      <c r="AA144">
        <v>28</v>
      </c>
      <c r="AB144">
        <v>24</v>
      </c>
      <c r="AC144">
        <v>16</v>
      </c>
      <c r="AD144">
        <v>3</v>
      </c>
      <c r="AE144">
        <v>24</v>
      </c>
      <c r="AF144">
        <v>32</v>
      </c>
      <c r="AG144">
        <v>11</v>
      </c>
      <c r="AH144">
        <v>8</v>
      </c>
      <c r="AI144">
        <v>11</v>
      </c>
      <c r="AJ144">
        <v>13</v>
      </c>
      <c r="AK144">
        <v>16</v>
      </c>
      <c r="AL144">
        <v>13</v>
      </c>
      <c r="AM144">
        <v>16</v>
      </c>
      <c r="AN144">
        <v>19</v>
      </c>
      <c r="AO144">
        <v>9</v>
      </c>
      <c r="AP144">
        <v>14</v>
      </c>
      <c r="AQ144">
        <v>20</v>
      </c>
      <c r="AR144">
        <v>23</v>
      </c>
      <c r="AS144">
        <v>2</v>
      </c>
      <c r="AT144">
        <v>28</v>
      </c>
      <c r="AU144">
        <v>24</v>
      </c>
      <c r="AV144">
        <v>16</v>
      </c>
      <c r="AW144">
        <v>3</v>
      </c>
      <c r="AX144">
        <v>24</v>
      </c>
      <c r="AY144">
        <v>32</v>
      </c>
      <c r="AZ144">
        <v>11</v>
      </c>
      <c r="BA144">
        <v>8</v>
      </c>
      <c r="BB144">
        <v>11</v>
      </c>
      <c r="BC144" s="2">
        <v>13</v>
      </c>
      <c r="BD144" s="2">
        <v>16</v>
      </c>
      <c r="BE144" s="2">
        <v>13</v>
      </c>
      <c r="BF144" s="2">
        <v>16</v>
      </c>
      <c r="BG144" s="2">
        <v>19</v>
      </c>
      <c r="BH144" s="2">
        <v>9</v>
      </c>
      <c r="BI144" s="2">
        <v>14</v>
      </c>
      <c r="BJ144" s="2">
        <v>20</v>
      </c>
      <c r="BK144" s="2">
        <v>23</v>
      </c>
      <c r="BL144" s="2">
        <v>2</v>
      </c>
      <c r="BM144" s="2">
        <v>28</v>
      </c>
      <c r="BN144" s="2">
        <v>24</v>
      </c>
      <c r="BO144" s="2">
        <v>16</v>
      </c>
      <c r="BP144" s="2">
        <v>3</v>
      </c>
      <c r="BQ144" s="2">
        <v>24</v>
      </c>
      <c r="BR144" s="2">
        <v>32</v>
      </c>
      <c r="BS144" s="2">
        <v>11</v>
      </c>
      <c r="BT144" s="2">
        <v>8</v>
      </c>
      <c r="BU144" s="2">
        <v>11</v>
      </c>
      <c r="BV144" s="2">
        <f t="shared" si="13"/>
        <v>302</v>
      </c>
      <c r="BW144" s="16">
        <f t="shared" si="11"/>
        <v>15.894736842105264</v>
      </c>
      <c r="BX144" s="16">
        <f>COUNTIF($BC$6:BU144, "=0") / COUNTIF($BC$6:BU144, "&gt;-1")</f>
        <v>3.5971223021582732E-2</v>
      </c>
      <c r="BY144" s="18">
        <f>SUM($BC$6:BU144) / $BY$4</f>
        <v>0.62471794178855911</v>
      </c>
      <c r="BZ144" s="14">
        <f t="shared" si="12"/>
        <v>0</v>
      </c>
      <c r="CA144" t="s">
        <v>5831</v>
      </c>
      <c r="CB144" s="36">
        <v>15.7513641458515</v>
      </c>
      <c r="CC144" s="36">
        <v>15.4090259308391</v>
      </c>
      <c r="CD144" s="36">
        <v>20.810369603559401</v>
      </c>
      <c r="CE144" s="36">
        <v>24.1907481464517</v>
      </c>
      <c r="CF144" s="36">
        <v>16.343350838801001</v>
      </c>
      <c r="CG144" s="36">
        <v>8.3675452197554208</v>
      </c>
      <c r="CH144" s="36">
        <v>14.756871960105</v>
      </c>
      <c r="CI144" s="36">
        <v>19.463671959646099</v>
      </c>
      <c r="CJ144" s="37">
        <v>18.279440744634002</v>
      </c>
      <c r="CK144" s="37">
        <v>17.658190112871999</v>
      </c>
      <c r="CL144" s="37">
        <v>19.201304358416198</v>
      </c>
      <c r="CM144" s="37">
        <v>13.5447527455991</v>
      </c>
      <c r="CN144" s="37">
        <v>22.0510215795627</v>
      </c>
      <c r="CO144" s="37">
        <v>25.254098252323999</v>
      </c>
      <c r="CP144" s="37">
        <v>16.593940526486598</v>
      </c>
      <c r="CQ144" s="37">
        <v>16.749005311220799</v>
      </c>
      <c r="CR144" s="45">
        <v>0.17578717472695299</v>
      </c>
      <c r="CS144" s="45">
        <v>1.1054000675642801</v>
      </c>
      <c r="CT144" s="46">
        <v>0.59872908798995705</v>
      </c>
      <c r="CU144" s="47">
        <v>0.67395693079117402</v>
      </c>
      <c r="CV144" s="48">
        <v>16.886618475626101</v>
      </c>
      <c r="CW144" s="49">
        <v>18.666469203889399</v>
      </c>
      <c r="CX144" s="31" t="s">
        <v>5874</v>
      </c>
      <c r="CY144" s="31" t="s">
        <v>5832</v>
      </c>
      <c r="CZ144" t="s">
        <v>10086</v>
      </c>
      <c r="DA144" t="s">
        <v>5904</v>
      </c>
      <c r="DB144">
        <v>609</v>
      </c>
      <c r="DC144" t="s">
        <v>26386</v>
      </c>
      <c r="DD144" t="s">
        <v>26387</v>
      </c>
      <c r="DE144" t="s">
        <v>26388</v>
      </c>
      <c r="DF144" t="s">
        <v>26389</v>
      </c>
      <c r="DG144" t="s">
        <v>26390</v>
      </c>
      <c r="DH144" t="str">
        <f>"CTSB"</f>
        <v>CTSB</v>
      </c>
      <c r="DI144" t="s">
        <v>15516</v>
      </c>
      <c r="DJ144" t="s">
        <v>13777</v>
      </c>
      <c r="DK144">
        <v>9606</v>
      </c>
      <c r="DL144" s="34" t="str">
        <f>HYPERLINK("http://www.uniprot.org/uniprot/P07858", "P07858")</f>
        <v>P07858</v>
      </c>
      <c r="DM144" t="s">
        <v>26391</v>
      </c>
      <c r="DN144" t="s">
        <v>13772</v>
      </c>
      <c r="DO144" t="s">
        <v>14402</v>
      </c>
      <c r="DP144" t="s">
        <v>13793</v>
      </c>
      <c r="DQ144" t="s">
        <v>13772</v>
      </c>
      <c r="DR144" t="s">
        <v>13772</v>
      </c>
      <c r="DS144" t="s">
        <v>13808</v>
      </c>
      <c r="DT144" t="s">
        <v>13772</v>
      </c>
      <c r="DU144" t="s">
        <v>14083</v>
      </c>
      <c r="DV144" t="s">
        <v>26392</v>
      </c>
      <c r="DW144" t="s">
        <v>13812</v>
      </c>
      <c r="DX144" t="s">
        <v>26393</v>
      </c>
      <c r="DY144" t="s">
        <v>26394</v>
      </c>
      <c r="DZ144" t="s">
        <v>26395</v>
      </c>
      <c r="EA144" t="s">
        <v>13772</v>
      </c>
      <c r="EB144" t="s">
        <v>26396</v>
      </c>
    </row>
    <row r="145" spans="1:132" hidden="1">
      <c r="A145">
        <v>973</v>
      </c>
      <c r="B145">
        <v>1</v>
      </c>
      <c r="C145" t="s">
        <v>2361</v>
      </c>
      <c r="D145" t="s">
        <v>73</v>
      </c>
      <c r="E145" t="s">
        <v>73</v>
      </c>
      <c r="F145" t="s">
        <v>73</v>
      </c>
      <c r="G145" t="s">
        <v>73</v>
      </c>
      <c r="H145">
        <v>44.4</v>
      </c>
      <c r="I145">
        <v>423</v>
      </c>
      <c r="J145">
        <v>49157</v>
      </c>
      <c r="K145" t="s">
        <v>2362</v>
      </c>
      <c r="L145">
        <f t="shared" si="10"/>
        <v>299</v>
      </c>
      <c r="N145">
        <v>299</v>
      </c>
      <c r="O145">
        <v>299</v>
      </c>
      <c r="P145">
        <v>1</v>
      </c>
      <c r="Q145">
        <v>16</v>
      </c>
      <c r="R145">
        <v>1</v>
      </c>
      <c r="S145">
        <v>1</v>
      </c>
      <c r="T145">
        <v>0</v>
      </c>
      <c r="U145">
        <v>0</v>
      </c>
      <c r="V145">
        <v>3</v>
      </c>
      <c r="W145">
        <v>6</v>
      </c>
      <c r="X145">
        <v>54</v>
      </c>
      <c r="Y145">
        <v>12</v>
      </c>
      <c r="Z145">
        <v>21</v>
      </c>
      <c r="AA145">
        <v>23</v>
      </c>
      <c r="AB145">
        <v>24</v>
      </c>
      <c r="AC145">
        <v>26</v>
      </c>
      <c r="AD145">
        <v>14</v>
      </c>
      <c r="AE145">
        <v>21</v>
      </c>
      <c r="AF145">
        <v>24</v>
      </c>
      <c r="AG145">
        <v>16</v>
      </c>
      <c r="AH145">
        <v>18</v>
      </c>
      <c r="AI145">
        <v>19</v>
      </c>
      <c r="AJ145">
        <v>16</v>
      </c>
      <c r="AK145">
        <v>1</v>
      </c>
      <c r="AL145">
        <v>1</v>
      </c>
      <c r="AM145">
        <v>0</v>
      </c>
      <c r="AN145">
        <v>0</v>
      </c>
      <c r="AO145">
        <v>3</v>
      </c>
      <c r="AP145">
        <v>6</v>
      </c>
      <c r="AQ145">
        <v>54</v>
      </c>
      <c r="AR145">
        <v>12</v>
      </c>
      <c r="AS145">
        <v>21</v>
      </c>
      <c r="AT145">
        <v>23</v>
      </c>
      <c r="AU145">
        <v>24</v>
      </c>
      <c r="AV145">
        <v>26</v>
      </c>
      <c r="AW145">
        <v>14</v>
      </c>
      <c r="AX145">
        <v>21</v>
      </c>
      <c r="AY145">
        <v>24</v>
      </c>
      <c r="AZ145">
        <v>16</v>
      </c>
      <c r="BA145">
        <v>18</v>
      </c>
      <c r="BB145">
        <v>19</v>
      </c>
      <c r="BC145" s="2">
        <v>16</v>
      </c>
      <c r="BD145" s="2">
        <v>1</v>
      </c>
      <c r="BE145" s="2">
        <v>1</v>
      </c>
      <c r="BF145" s="2">
        <v>0</v>
      </c>
      <c r="BG145" s="2">
        <v>0</v>
      </c>
      <c r="BH145" s="2">
        <v>3</v>
      </c>
      <c r="BI145" s="2">
        <v>6</v>
      </c>
      <c r="BJ145" s="2">
        <v>54</v>
      </c>
      <c r="BK145" s="2">
        <v>12</v>
      </c>
      <c r="BL145" s="2">
        <v>21</v>
      </c>
      <c r="BM145" s="2">
        <v>23</v>
      </c>
      <c r="BN145" s="2">
        <v>24</v>
      </c>
      <c r="BO145" s="2">
        <v>26</v>
      </c>
      <c r="BP145" s="2">
        <v>14</v>
      </c>
      <c r="BQ145" s="2">
        <v>21</v>
      </c>
      <c r="BR145" s="2">
        <v>24</v>
      </c>
      <c r="BS145" s="2">
        <v>16</v>
      </c>
      <c r="BT145" s="2">
        <v>18</v>
      </c>
      <c r="BU145" s="2">
        <v>19</v>
      </c>
      <c r="BV145" s="2">
        <f t="shared" si="13"/>
        <v>299</v>
      </c>
      <c r="BW145" s="16">
        <f t="shared" si="11"/>
        <v>15.736842105263158</v>
      </c>
      <c r="BX145" s="16">
        <f>COUNTIF($BC$6:BU145, "=0") / COUNTIF($BC$6:BU145, "&gt;-1")</f>
        <v>3.6466165413533834E-2</v>
      </c>
      <c r="BY145" s="18">
        <f>SUM($BC$6:BU145) / $BY$4</f>
        <v>0.62599874921230059</v>
      </c>
      <c r="BZ145" s="14">
        <f t="shared" si="12"/>
        <v>2</v>
      </c>
      <c r="CA145" t="s">
        <v>5831</v>
      </c>
      <c r="CB145" s="36">
        <v>19.3862943333557</v>
      </c>
      <c r="CC145" s="36">
        <v>0.96306412067744696</v>
      </c>
      <c r="CD145" s="36">
        <v>1.6007976618122599</v>
      </c>
      <c r="CE145" s="36">
        <v>0.37798043978830698</v>
      </c>
      <c r="CF145" s="36">
        <v>0.215044089984223</v>
      </c>
      <c r="CG145" s="36">
        <v>2.7891817399184702</v>
      </c>
      <c r="CH145" s="36">
        <v>6.3243736971878404</v>
      </c>
      <c r="CI145" s="36">
        <v>52.551914291044497</v>
      </c>
      <c r="CJ145" s="37">
        <v>9.53709951893949</v>
      </c>
      <c r="CK145" s="37">
        <v>14.5049418784306</v>
      </c>
      <c r="CL145" s="37">
        <v>19.201304358416198</v>
      </c>
      <c r="CM145" s="37">
        <v>22.0102232115985</v>
      </c>
      <c r="CN145" s="37">
        <v>19.294643882117398</v>
      </c>
      <c r="CO145" s="37">
        <v>18.940573689242999</v>
      </c>
      <c r="CP145" s="37">
        <v>24.136640765798798</v>
      </c>
      <c r="CQ145" s="37">
        <v>28.930100083017699</v>
      </c>
      <c r="CR145" s="45">
        <v>0.86930008409832904</v>
      </c>
      <c r="CS145" s="45">
        <v>1.85913830340082</v>
      </c>
      <c r="CT145" s="46">
        <v>0.214864970099966</v>
      </c>
      <c r="CU145" s="47">
        <v>0.28020402533504402</v>
      </c>
      <c r="CV145" s="48">
        <v>10.526081296721101</v>
      </c>
      <c r="CW145" s="49">
        <v>19.5694409234452</v>
      </c>
      <c r="CX145" s="31" t="s">
        <v>5874</v>
      </c>
      <c r="CY145" s="31" t="s">
        <v>5832</v>
      </c>
      <c r="CZ145" t="s">
        <v>9027</v>
      </c>
      <c r="DA145" t="s">
        <v>5904</v>
      </c>
      <c r="DB145">
        <v>718.8</v>
      </c>
      <c r="DC145" t="s">
        <v>23369</v>
      </c>
      <c r="DD145" t="s">
        <v>23370</v>
      </c>
      <c r="DE145" t="s">
        <v>23371</v>
      </c>
      <c r="DF145" t="s">
        <v>23372</v>
      </c>
      <c r="DG145" t="s">
        <v>23373</v>
      </c>
      <c r="DH145" t="str">
        <f>"CPB2"</f>
        <v>CPB2</v>
      </c>
      <c r="DI145" t="s">
        <v>13772</v>
      </c>
      <c r="DJ145" t="s">
        <v>13777</v>
      </c>
      <c r="DK145">
        <v>9606</v>
      </c>
      <c r="DL145" s="34" t="str">
        <f>HYPERLINK("http://www.uniprot.org/uniprot/Q96IY4", "Q96IY4")</f>
        <v>Q96IY4</v>
      </c>
      <c r="DM145" t="s">
        <v>23374</v>
      </c>
      <c r="DN145" t="s">
        <v>21175</v>
      </c>
      <c r="DO145" t="s">
        <v>14321</v>
      </c>
      <c r="DP145" t="s">
        <v>13780</v>
      </c>
      <c r="DQ145" t="s">
        <v>13772</v>
      </c>
      <c r="DR145" t="s">
        <v>13772</v>
      </c>
      <c r="DS145" t="s">
        <v>13808</v>
      </c>
      <c r="DT145" t="s">
        <v>13856</v>
      </c>
      <c r="DU145" t="s">
        <v>16539</v>
      </c>
      <c r="DV145" t="s">
        <v>15472</v>
      </c>
      <c r="DW145" t="s">
        <v>13812</v>
      </c>
      <c r="DX145" t="s">
        <v>23375</v>
      </c>
      <c r="DY145" t="s">
        <v>23376</v>
      </c>
      <c r="DZ145" t="s">
        <v>17127</v>
      </c>
      <c r="EA145" t="s">
        <v>13772</v>
      </c>
      <c r="EB145" t="s">
        <v>23377</v>
      </c>
    </row>
    <row r="146" spans="1:132" hidden="1">
      <c r="A146">
        <v>726</v>
      </c>
      <c r="B146">
        <v>1</v>
      </c>
      <c r="C146" t="s">
        <v>1777</v>
      </c>
      <c r="D146" t="s">
        <v>1778</v>
      </c>
      <c r="E146" t="s">
        <v>73</v>
      </c>
      <c r="F146" t="s">
        <v>1779</v>
      </c>
      <c r="G146" t="s">
        <v>73</v>
      </c>
      <c r="H146">
        <v>51.4</v>
      </c>
      <c r="I146">
        <v>699</v>
      </c>
      <c r="J146">
        <v>77108</v>
      </c>
      <c r="K146" t="s">
        <v>1780</v>
      </c>
      <c r="L146">
        <f t="shared" si="10"/>
        <v>298</v>
      </c>
      <c r="N146">
        <v>298</v>
      </c>
      <c r="O146">
        <v>296</v>
      </c>
      <c r="P146">
        <v>0.99299999999999999</v>
      </c>
      <c r="Q146">
        <v>23</v>
      </c>
      <c r="R146">
        <v>13</v>
      </c>
      <c r="S146">
        <v>17</v>
      </c>
      <c r="T146">
        <v>0</v>
      </c>
      <c r="U146">
        <v>0</v>
      </c>
      <c r="V146">
        <v>7</v>
      </c>
      <c r="W146">
        <v>38</v>
      </c>
      <c r="X146">
        <v>24</v>
      </c>
      <c r="Y146">
        <v>4</v>
      </c>
      <c r="Z146">
        <v>23</v>
      </c>
      <c r="AA146">
        <v>8</v>
      </c>
      <c r="AB146">
        <v>11</v>
      </c>
      <c r="AC146">
        <v>32</v>
      </c>
      <c r="AD146">
        <v>26</v>
      </c>
      <c r="AE146">
        <v>13</v>
      </c>
      <c r="AF146">
        <v>19</v>
      </c>
      <c r="AG146">
        <v>12</v>
      </c>
      <c r="AH146">
        <v>19</v>
      </c>
      <c r="AI146">
        <v>9</v>
      </c>
      <c r="AJ146">
        <v>23</v>
      </c>
      <c r="AK146">
        <v>12</v>
      </c>
      <c r="AL146">
        <v>16</v>
      </c>
      <c r="AM146">
        <v>0</v>
      </c>
      <c r="AN146">
        <v>0</v>
      </c>
      <c r="AO146">
        <v>7</v>
      </c>
      <c r="AP146">
        <v>38</v>
      </c>
      <c r="AQ146">
        <v>24</v>
      </c>
      <c r="AR146">
        <v>4</v>
      </c>
      <c r="AS146">
        <v>23</v>
      </c>
      <c r="AT146">
        <v>8</v>
      </c>
      <c r="AU146">
        <v>11</v>
      </c>
      <c r="AV146">
        <v>32</v>
      </c>
      <c r="AW146">
        <v>26</v>
      </c>
      <c r="AX146">
        <v>13</v>
      </c>
      <c r="AY146">
        <v>19</v>
      </c>
      <c r="AZ146">
        <v>12</v>
      </c>
      <c r="BA146">
        <v>19</v>
      </c>
      <c r="BB146">
        <v>9</v>
      </c>
      <c r="BC146" s="2">
        <v>23</v>
      </c>
      <c r="BD146" s="2">
        <v>12.074</v>
      </c>
      <c r="BE146" s="2">
        <v>16.099</v>
      </c>
      <c r="BF146" s="2">
        <v>0</v>
      </c>
      <c r="BG146" s="2">
        <v>0</v>
      </c>
      <c r="BH146" s="2">
        <v>7</v>
      </c>
      <c r="BI146" s="2">
        <v>38</v>
      </c>
      <c r="BJ146" s="2">
        <v>24</v>
      </c>
      <c r="BK146" s="2">
        <v>4</v>
      </c>
      <c r="BL146" s="2">
        <v>23</v>
      </c>
      <c r="BM146" s="2">
        <v>8</v>
      </c>
      <c r="BN146" s="2">
        <v>11</v>
      </c>
      <c r="BO146" s="2">
        <v>32</v>
      </c>
      <c r="BP146" s="2">
        <v>26</v>
      </c>
      <c r="BQ146" s="2">
        <v>13</v>
      </c>
      <c r="BR146" s="2">
        <v>19</v>
      </c>
      <c r="BS146" s="2">
        <v>12</v>
      </c>
      <c r="BT146" s="2">
        <v>19</v>
      </c>
      <c r="BU146" s="2">
        <v>9</v>
      </c>
      <c r="BV146" s="2">
        <f t="shared" si="13"/>
        <v>296.173</v>
      </c>
      <c r="BW146" s="16">
        <f t="shared" si="11"/>
        <v>15.588052631578947</v>
      </c>
      <c r="BX146" s="16">
        <f>COUNTIF($BC$6:BU146, "=0") / COUNTIF($BC$6:BU146, "&gt;-1")</f>
        <v>3.6954087346024636E-2</v>
      </c>
      <c r="BY146" s="18">
        <f>SUM($BC$6:BU146) / $BY$4</f>
        <v>0.6272674467946141</v>
      </c>
      <c r="BZ146" s="14">
        <f t="shared" si="12"/>
        <v>2</v>
      </c>
      <c r="CA146" t="s">
        <v>5831</v>
      </c>
      <c r="CB146" s="36">
        <v>27.867798104198801</v>
      </c>
      <c r="CC146" s="36">
        <v>11.653075860197101</v>
      </c>
      <c r="CD146" s="36">
        <v>25.7728423551773</v>
      </c>
      <c r="CE146" s="36">
        <v>0.37798043978830698</v>
      </c>
      <c r="CF146" s="36">
        <v>0.215044089984223</v>
      </c>
      <c r="CG146" s="36">
        <v>6.50809072647644</v>
      </c>
      <c r="CH146" s="36">
        <v>40.054366748856303</v>
      </c>
      <c r="CI146" s="36">
        <v>23.356406351575298</v>
      </c>
      <c r="CJ146" s="37">
        <v>3.17903317297983</v>
      </c>
      <c r="CK146" s="37">
        <v>5.0451971751062796</v>
      </c>
      <c r="CL146" s="37">
        <v>8.8005978309407702</v>
      </c>
      <c r="CM146" s="37">
        <v>27.0895054911981</v>
      </c>
      <c r="CN146" s="37">
        <v>11.944303355596499</v>
      </c>
      <c r="CO146" s="37">
        <v>14.994620837317401</v>
      </c>
      <c r="CP146" s="37">
        <v>18.102480574349102</v>
      </c>
      <c r="CQ146" s="37">
        <v>13.7037316182716</v>
      </c>
      <c r="CR146" s="45">
        <v>-0.40357543374140098</v>
      </c>
      <c r="CS146" s="45">
        <v>-1.3203023951283701</v>
      </c>
      <c r="CT146" s="46">
        <v>0.53628372354373999</v>
      </c>
      <c r="CU146" s="47">
        <v>0.61539247178518397</v>
      </c>
      <c r="CV146" s="48">
        <v>16.975700584531701</v>
      </c>
      <c r="CW146" s="49">
        <v>12.8574337569699</v>
      </c>
      <c r="CX146" s="31" t="s">
        <v>5875</v>
      </c>
      <c r="CY146" s="31" t="s">
        <v>5832</v>
      </c>
      <c r="CZ146" t="s">
        <v>8182</v>
      </c>
      <c r="DA146" t="s">
        <v>5904</v>
      </c>
      <c r="DB146">
        <v>903.7</v>
      </c>
      <c r="DC146" t="s">
        <v>20919</v>
      </c>
      <c r="DD146" t="s">
        <v>20920</v>
      </c>
      <c r="DE146" t="s">
        <v>20921</v>
      </c>
      <c r="DF146" t="s">
        <v>20922</v>
      </c>
      <c r="DG146" t="s">
        <v>20923</v>
      </c>
      <c r="DH146" t="str">
        <f>"TF"</f>
        <v>TF</v>
      </c>
      <c r="DI146" t="s">
        <v>13772</v>
      </c>
      <c r="DJ146" t="s">
        <v>13777</v>
      </c>
      <c r="DK146">
        <v>9606</v>
      </c>
      <c r="DL146" s="34" t="str">
        <f>HYPERLINK("http://www.uniprot.org/uniprot/P02787", "P02787")</f>
        <v>P02787</v>
      </c>
      <c r="DM146" t="s">
        <v>20924</v>
      </c>
      <c r="DN146" t="s">
        <v>20925</v>
      </c>
      <c r="DO146" t="s">
        <v>14321</v>
      </c>
      <c r="DP146" t="s">
        <v>13793</v>
      </c>
      <c r="DQ146" t="s">
        <v>13772</v>
      </c>
      <c r="DR146" t="s">
        <v>13807</v>
      </c>
      <c r="DS146" t="s">
        <v>14404</v>
      </c>
      <c r="DT146" t="s">
        <v>17802</v>
      </c>
      <c r="DU146" t="s">
        <v>13772</v>
      </c>
      <c r="DV146" t="s">
        <v>20926</v>
      </c>
      <c r="DW146" t="s">
        <v>13812</v>
      </c>
      <c r="DX146" t="s">
        <v>20927</v>
      </c>
      <c r="DY146" t="s">
        <v>20928</v>
      </c>
      <c r="DZ146" t="s">
        <v>20929</v>
      </c>
      <c r="EA146" t="s">
        <v>13772</v>
      </c>
      <c r="EB146" t="s">
        <v>20930</v>
      </c>
    </row>
    <row r="147" spans="1:132">
      <c r="A147">
        <v>1257</v>
      </c>
      <c r="B147">
        <v>1</v>
      </c>
      <c r="C147" t="s">
        <v>3009</v>
      </c>
      <c r="D147" t="s">
        <v>73</v>
      </c>
      <c r="E147" t="s">
        <v>73</v>
      </c>
      <c r="F147" t="s">
        <v>3010</v>
      </c>
      <c r="G147" t="s">
        <v>73</v>
      </c>
      <c r="H147">
        <v>51.2</v>
      </c>
      <c r="I147">
        <v>303</v>
      </c>
      <c r="J147">
        <v>32137</v>
      </c>
      <c r="K147" t="s">
        <v>3011</v>
      </c>
      <c r="L147">
        <f t="shared" si="10"/>
        <v>296</v>
      </c>
      <c r="N147">
        <v>296</v>
      </c>
      <c r="O147">
        <v>295</v>
      </c>
      <c r="P147">
        <v>0.997</v>
      </c>
      <c r="Q147">
        <v>21</v>
      </c>
      <c r="R147">
        <v>7</v>
      </c>
      <c r="S147">
        <v>25</v>
      </c>
      <c r="T147">
        <v>28</v>
      </c>
      <c r="U147">
        <v>31</v>
      </c>
      <c r="V147">
        <v>26</v>
      </c>
      <c r="W147">
        <v>22</v>
      </c>
      <c r="X147">
        <v>18</v>
      </c>
      <c r="Y147">
        <v>12</v>
      </c>
      <c r="Z147">
        <v>5</v>
      </c>
      <c r="AA147">
        <v>17</v>
      </c>
      <c r="AB147">
        <v>14</v>
      </c>
      <c r="AC147">
        <v>6</v>
      </c>
      <c r="AD147">
        <v>12</v>
      </c>
      <c r="AE147">
        <v>18</v>
      </c>
      <c r="AF147">
        <v>12</v>
      </c>
      <c r="AG147">
        <v>10</v>
      </c>
      <c r="AH147">
        <v>4</v>
      </c>
      <c r="AI147">
        <v>8</v>
      </c>
      <c r="AJ147">
        <v>21</v>
      </c>
      <c r="AK147">
        <v>7</v>
      </c>
      <c r="AL147">
        <v>25</v>
      </c>
      <c r="AM147">
        <v>28</v>
      </c>
      <c r="AN147">
        <v>31</v>
      </c>
      <c r="AO147">
        <v>26</v>
      </c>
      <c r="AP147">
        <v>22</v>
      </c>
      <c r="AQ147">
        <v>18</v>
      </c>
      <c r="AR147">
        <v>12</v>
      </c>
      <c r="AS147">
        <v>5</v>
      </c>
      <c r="AT147">
        <v>16</v>
      </c>
      <c r="AU147">
        <v>14</v>
      </c>
      <c r="AV147">
        <v>6</v>
      </c>
      <c r="AW147">
        <v>12</v>
      </c>
      <c r="AX147">
        <v>18</v>
      </c>
      <c r="AY147">
        <v>12</v>
      </c>
      <c r="AZ147">
        <v>10</v>
      </c>
      <c r="BA147">
        <v>4</v>
      </c>
      <c r="BB147">
        <v>8</v>
      </c>
      <c r="BC147" s="2">
        <v>21</v>
      </c>
      <c r="BD147" s="2">
        <v>7</v>
      </c>
      <c r="BE147" s="2">
        <v>25</v>
      </c>
      <c r="BF147" s="2">
        <v>28</v>
      </c>
      <c r="BG147" s="2">
        <v>31</v>
      </c>
      <c r="BH147" s="2">
        <v>26</v>
      </c>
      <c r="BI147" s="2">
        <v>22</v>
      </c>
      <c r="BJ147" s="2">
        <v>18</v>
      </c>
      <c r="BK147" s="2">
        <v>12</v>
      </c>
      <c r="BL147" s="2">
        <v>5</v>
      </c>
      <c r="BM147" s="2">
        <v>16.242000000000001</v>
      </c>
      <c r="BN147" s="2">
        <v>14</v>
      </c>
      <c r="BO147" s="2">
        <v>6</v>
      </c>
      <c r="BP147" s="2">
        <v>12</v>
      </c>
      <c r="BQ147" s="2">
        <v>18</v>
      </c>
      <c r="BR147" s="2">
        <v>12</v>
      </c>
      <c r="BS147" s="2">
        <v>10</v>
      </c>
      <c r="BT147" s="2">
        <v>4</v>
      </c>
      <c r="BU147" s="2">
        <v>8</v>
      </c>
      <c r="BV147" s="2">
        <f t="shared" si="13"/>
        <v>295.24199999999996</v>
      </c>
      <c r="BW147" s="16">
        <f t="shared" si="11"/>
        <v>15.539052631578945</v>
      </c>
      <c r="BX147" s="16">
        <f>COUNTIF($BC$6:BU147, "=0") / COUNTIF($BC$6:BU147, "&gt;-1")</f>
        <v>3.6693847294292072E-2</v>
      </c>
      <c r="BY147" s="18">
        <f>SUM($BC$6:BU147) / $BY$4</f>
        <v>0.62853215631100301</v>
      </c>
      <c r="BZ147" s="14">
        <f t="shared" si="12"/>
        <v>0</v>
      </c>
      <c r="CA147" t="s">
        <v>5831</v>
      </c>
      <c r="CB147" s="36">
        <v>25.444511312529301</v>
      </c>
      <c r="CC147" s="36">
        <v>6.7414488447421297</v>
      </c>
      <c r="CD147" s="36">
        <v>40.019941545306402</v>
      </c>
      <c r="CE147" s="36">
        <v>42.333809256290401</v>
      </c>
      <c r="CF147" s="36">
        <v>26.6654671580437</v>
      </c>
      <c r="CG147" s="36">
        <v>24.1729084126268</v>
      </c>
      <c r="CH147" s="36">
        <v>23.189370223022099</v>
      </c>
      <c r="CI147" s="36">
        <v>17.517304763681501</v>
      </c>
      <c r="CJ147" s="37">
        <v>9.53709951893949</v>
      </c>
      <c r="CK147" s="37">
        <v>10.2165242795902</v>
      </c>
      <c r="CL147" s="37">
        <v>11.2007608757428</v>
      </c>
      <c r="CM147" s="37">
        <v>5.0792822795996404</v>
      </c>
      <c r="CN147" s="37">
        <v>16.5382661846721</v>
      </c>
      <c r="CO147" s="37">
        <v>9.4702868446214996</v>
      </c>
      <c r="CP147" s="37">
        <v>15.0854004786242</v>
      </c>
      <c r="CQ147" s="37">
        <v>12.1810947717969</v>
      </c>
      <c r="CR147" s="45">
        <v>-1.1968241864220399</v>
      </c>
      <c r="CS147" s="45">
        <v>-2.3075548783478501</v>
      </c>
      <c r="CT147" s="46">
        <v>1.0026363476503301E-3</v>
      </c>
      <c r="CU147" s="47">
        <v>2.25846369218206E-3</v>
      </c>
      <c r="CV147" s="48">
        <v>25.760595189530299</v>
      </c>
      <c r="CW147" s="49">
        <v>11.163589404198399</v>
      </c>
      <c r="CX147" s="31" t="s">
        <v>5875</v>
      </c>
      <c r="CY147" s="31" t="s">
        <v>5876</v>
      </c>
      <c r="CZ147" t="s">
        <v>9915</v>
      </c>
      <c r="DA147" t="s">
        <v>5904</v>
      </c>
      <c r="DB147">
        <v>367.5</v>
      </c>
      <c r="DC147" t="s">
        <v>25903</v>
      </c>
      <c r="DD147" t="s">
        <v>13772</v>
      </c>
      <c r="DE147" t="s">
        <v>25904</v>
      </c>
      <c r="DF147" t="s">
        <v>25905</v>
      </c>
      <c r="DG147" t="s">
        <v>25906</v>
      </c>
      <c r="DH147" t="str">
        <f>"SOD3"</f>
        <v>SOD3</v>
      </c>
      <c r="DI147" t="s">
        <v>13772</v>
      </c>
      <c r="DJ147" t="s">
        <v>13777</v>
      </c>
      <c r="DK147">
        <v>9606</v>
      </c>
      <c r="DL147" s="34" t="str">
        <f>HYPERLINK("http://www.uniprot.org/uniprot/P08294", "P08294")</f>
        <v>P08294</v>
      </c>
      <c r="DM147" t="s">
        <v>25907</v>
      </c>
      <c r="DN147" t="s">
        <v>13772</v>
      </c>
      <c r="DO147" t="s">
        <v>14321</v>
      </c>
      <c r="DP147" t="s">
        <v>13793</v>
      </c>
      <c r="DQ147" t="s">
        <v>13772</v>
      </c>
      <c r="DR147" t="s">
        <v>13772</v>
      </c>
      <c r="DS147" t="s">
        <v>13808</v>
      </c>
      <c r="DT147" t="s">
        <v>20010</v>
      </c>
      <c r="DU147" t="s">
        <v>25908</v>
      </c>
      <c r="DV147" t="s">
        <v>25909</v>
      </c>
      <c r="DW147" t="s">
        <v>13812</v>
      </c>
      <c r="DX147" t="s">
        <v>25910</v>
      </c>
      <c r="DY147" t="s">
        <v>25911</v>
      </c>
      <c r="DZ147" t="s">
        <v>25912</v>
      </c>
      <c r="EA147" t="s">
        <v>13772</v>
      </c>
      <c r="EB147" t="s">
        <v>17385</v>
      </c>
    </row>
    <row r="148" spans="1:132">
      <c r="A148">
        <v>1454</v>
      </c>
      <c r="B148">
        <v>1</v>
      </c>
      <c r="C148" t="s">
        <v>3462</v>
      </c>
      <c r="D148" t="s">
        <v>73</v>
      </c>
      <c r="E148" t="s">
        <v>73</v>
      </c>
      <c r="F148" t="s">
        <v>73</v>
      </c>
      <c r="G148" t="s">
        <v>73</v>
      </c>
      <c r="H148">
        <v>36.5</v>
      </c>
      <c r="I148">
        <v>351</v>
      </c>
      <c r="J148">
        <v>37950</v>
      </c>
      <c r="K148" t="s">
        <v>3463</v>
      </c>
      <c r="L148">
        <f t="shared" si="10"/>
        <v>292</v>
      </c>
      <c r="N148">
        <v>292</v>
      </c>
      <c r="O148">
        <v>292</v>
      </c>
      <c r="P148">
        <v>1</v>
      </c>
      <c r="Q148">
        <v>14</v>
      </c>
      <c r="R148">
        <v>13</v>
      </c>
      <c r="S148">
        <v>8</v>
      </c>
      <c r="T148">
        <v>5</v>
      </c>
      <c r="U148">
        <v>9</v>
      </c>
      <c r="V148">
        <v>14</v>
      </c>
      <c r="W148">
        <v>13</v>
      </c>
      <c r="X148">
        <v>15</v>
      </c>
      <c r="Y148">
        <v>23</v>
      </c>
      <c r="Z148">
        <v>7</v>
      </c>
      <c r="AA148">
        <v>24</v>
      </c>
      <c r="AB148">
        <v>26</v>
      </c>
      <c r="AC148">
        <v>21</v>
      </c>
      <c r="AD148">
        <v>2</v>
      </c>
      <c r="AE148">
        <v>23</v>
      </c>
      <c r="AF148">
        <v>23</v>
      </c>
      <c r="AG148">
        <v>16</v>
      </c>
      <c r="AH148">
        <v>16</v>
      </c>
      <c r="AI148">
        <v>20</v>
      </c>
      <c r="AJ148">
        <v>14</v>
      </c>
      <c r="AK148">
        <v>13</v>
      </c>
      <c r="AL148">
        <v>8</v>
      </c>
      <c r="AM148">
        <v>5</v>
      </c>
      <c r="AN148">
        <v>9</v>
      </c>
      <c r="AO148">
        <v>14</v>
      </c>
      <c r="AP148">
        <v>13</v>
      </c>
      <c r="AQ148">
        <v>15</v>
      </c>
      <c r="AR148">
        <v>23</v>
      </c>
      <c r="AS148">
        <v>7</v>
      </c>
      <c r="AT148">
        <v>24</v>
      </c>
      <c r="AU148">
        <v>26</v>
      </c>
      <c r="AV148">
        <v>21</v>
      </c>
      <c r="AW148">
        <v>2</v>
      </c>
      <c r="AX148">
        <v>23</v>
      </c>
      <c r="AY148">
        <v>23</v>
      </c>
      <c r="AZ148">
        <v>16</v>
      </c>
      <c r="BA148">
        <v>16</v>
      </c>
      <c r="BB148">
        <v>20</v>
      </c>
      <c r="BC148" s="2">
        <v>14</v>
      </c>
      <c r="BD148" s="2">
        <v>13</v>
      </c>
      <c r="BE148" s="2">
        <v>8</v>
      </c>
      <c r="BF148" s="2">
        <v>5</v>
      </c>
      <c r="BG148" s="2">
        <v>9</v>
      </c>
      <c r="BH148" s="2">
        <v>14</v>
      </c>
      <c r="BI148" s="2">
        <v>13</v>
      </c>
      <c r="BJ148" s="2">
        <v>15</v>
      </c>
      <c r="BK148" s="2">
        <v>23</v>
      </c>
      <c r="BL148" s="2">
        <v>7</v>
      </c>
      <c r="BM148" s="2">
        <v>24</v>
      </c>
      <c r="BN148" s="2">
        <v>26</v>
      </c>
      <c r="BO148" s="2">
        <v>21</v>
      </c>
      <c r="BP148" s="2">
        <v>2</v>
      </c>
      <c r="BQ148" s="2">
        <v>23</v>
      </c>
      <c r="BR148" s="2">
        <v>23</v>
      </c>
      <c r="BS148" s="2">
        <v>16</v>
      </c>
      <c r="BT148" s="2">
        <v>16</v>
      </c>
      <c r="BU148" s="2">
        <v>20</v>
      </c>
      <c r="BV148" s="2">
        <f t="shared" si="13"/>
        <v>292</v>
      </c>
      <c r="BW148" s="16">
        <f t="shared" si="11"/>
        <v>15.368421052631579</v>
      </c>
      <c r="BX148" s="16">
        <f>COUNTIF($BC$6:BU148, "=0") / COUNTIF($BC$6:BU148, "&gt;-1")</f>
        <v>3.643724696356275E-2</v>
      </c>
      <c r="BY148" s="18">
        <f>SUM($BC$6:BU148) / $BY$4</f>
        <v>0.62978297827666352</v>
      </c>
      <c r="BZ148" s="14">
        <f t="shared" si="12"/>
        <v>0</v>
      </c>
      <c r="CA148" t="s">
        <v>5831</v>
      </c>
      <c r="CB148" s="36">
        <v>16.963007541686199</v>
      </c>
      <c r="CC148" s="36">
        <v>12.519833568806799</v>
      </c>
      <c r="CD148" s="36">
        <v>12.806381294498101</v>
      </c>
      <c r="CE148" s="36">
        <v>7.5596087957661497</v>
      </c>
      <c r="CF148" s="36">
        <v>7.7415872394320298</v>
      </c>
      <c r="CG148" s="36">
        <v>13.0161814529529</v>
      </c>
      <c r="CH148" s="36">
        <v>13.7028096772403</v>
      </c>
      <c r="CI148" s="36">
        <v>14.597753969734599</v>
      </c>
      <c r="CJ148" s="37">
        <v>18.279440744634002</v>
      </c>
      <c r="CK148" s="37">
        <v>15.135591525318899</v>
      </c>
      <c r="CL148" s="37">
        <v>20.801413054950899</v>
      </c>
      <c r="CM148" s="37">
        <v>17.777487978598799</v>
      </c>
      <c r="CN148" s="37">
        <v>21.132229013747601</v>
      </c>
      <c r="CO148" s="37">
        <v>18.1513831188579</v>
      </c>
      <c r="CP148" s="37">
        <v>24.136640765798798</v>
      </c>
      <c r="CQ148" s="37">
        <v>30.4527369294923</v>
      </c>
      <c r="CR148" s="45">
        <v>0.70845159316266804</v>
      </c>
      <c r="CS148" s="45">
        <v>1.6769960556408301</v>
      </c>
      <c r="CT148" s="46">
        <v>1.21478669143016E-2</v>
      </c>
      <c r="CU148" s="47">
        <v>2.1964656663966999E-2</v>
      </c>
      <c r="CV148" s="48">
        <v>12.3633954425146</v>
      </c>
      <c r="CW148" s="49">
        <v>20.733365391424901</v>
      </c>
      <c r="CX148" s="31" t="s">
        <v>5874</v>
      </c>
      <c r="CY148" s="31" t="s">
        <v>5878</v>
      </c>
      <c r="CZ148" t="s">
        <v>10578</v>
      </c>
      <c r="DA148" t="s">
        <v>5904</v>
      </c>
      <c r="DB148">
        <v>664.1</v>
      </c>
      <c r="DC148" t="s">
        <v>27755</v>
      </c>
      <c r="DD148" t="s">
        <v>27756</v>
      </c>
      <c r="DE148" t="s">
        <v>27757</v>
      </c>
      <c r="DF148" t="s">
        <v>27758</v>
      </c>
      <c r="DG148" t="s">
        <v>27759</v>
      </c>
      <c r="DH148" t="str">
        <f>"CCN2"</f>
        <v>CCN2</v>
      </c>
      <c r="DI148" t="s">
        <v>13772</v>
      </c>
      <c r="DJ148" t="s">
        <v>13777</v>
      </c>
      <c r="DK148">
        <v>9606</v>
      </c>
      <c r="DL148" s="34" t="str">
        <f>HYPERLINK("http://www.uniprot.org/uniprot/P29279", "P29279")</f>
        <v>P29279</v>
      </c>
      <c r="DM148" t="s">
        <v>27760</v>
      </c>
      <c r="DN148" t="s">
        <v>27761</v>
      </c>
      <c r="DO148" t="s">
        <v>13869</v>
      </c>
      <c r="DP148" t="s">
        <v>13780</v>
      </c>
      <c r="DQ148" t="s">
        <v>13772</v>
      </c>
      <c r="DR148" t="s">
        <v>13772</v>
      </c>
      <c r="DS148" t="s">
        <v>13808</v>
      </c>
      <c r="DT148" t="s">
        <v>13772</v>
      </c>
      <c r="DU148" t="s">
        <v>14073</v>
      </c>
      <c r="DV148" t="s">
        <v>13796</v>
      </c>
      <c r="DW148" t="s">
        <v>13772</v>
      </c>
      <c r="DX148" t="s">
        <v>27762</v>
      </c>
      <c r="DY148" t="s">
        <v>27763</v>
      </c>
      <c r="DZ148" t="s">
        <v>27764</v>
      </c>
      <c r="EA148" t="s">
        <v>13772</v>
      </c>
      <c r="EB148" t="s">
        <v>27765</v>
      </c>
    </row>
    <row r="149" spans="1:132">
      <c r="A149">
        <v>174</v>
      </c>
      <c r="B149">
        <v>1</v>
      </c>
      <c r="C149" t="s">
        <v>442</v>
      </c>
      <c r="D149" t="s">
        <v>73</v>
      </c>
      <c r="E149" t="s">
        <v>73</v>
      </c>
      <c r="F149" t="s">
        <v>73</v>
      </c>
      <c r="G149" t="s">
        <v>73</v>
      </c>
      <c r="H149">
        <v>78.2</v>
      </c>
      <c r="I149">
        <v>110</v>
      </c>
      <c r="J149">
        <v>11976</v>
      </c>
      <c r="K149" t="s">
        <v>443</v>
      </c>
      <c r="L149">
        <f t="shared" si="10"/>
        <v>290</v>
      </c>
      <c r="N149">
        <v>290</v>
      </c>
      <c r="O149">
        <v>290</v>
      </c>
      <c r="P149">
        <v>1</v>
      </c>
      <c r="Q149">
        <v>15</v>
      </c>
      <c r="R149">
        <v>33</v>
      </c>
      <c r="S149">
        <v>28</v>
      </c>
      <c r="T149">
        <v>16</v>
      </c>
      <c r="U149">
        <v>20</v>
      </c>
      <c r="V149">
        <v>10</v>
      </c>
      <c r="W149">
        <v>8</v>
      </c>
      <c r="X149">
        <v>20</v>
      </c>
      <c r="Y149">
        <v>18</v>
      </c>
      <c r="Z149">
        <v>3</v>
      </c>
      <c r="AA149">
        <v>13</v>
      </c>
      <c r="AB149">
        <v>30</v>
      </c>
      <c r="AC149">
        <v>9</v>
      </c>
      <c r="AD149">
        <v>2</v>
      </c>
      <c r="AE149">
        <v>6</v>
      </c>
      <c r="AF149">
        <v>18</v>
      </c>
      <c r="AG149">
        <v>18</v>
      </c>
      <c r="AH149">
        <v>7</v>
      </c>
      <c r="AI149">
        <v>16</v>
      </c>
      <c r="AJ149">
        <v>15</v>
      </c>
      <c r="AK149">
        <v>33</v>
      </c>
      <c r="AL149">
        <v>28</v>
      </c>
      <c r="AM149">
        <v>16</v>
      </c>
      <c r="AN149">
        <v>20</v>
      </c>
      <c r="AO149">
        <v>10</v>
      </c>
      <c r="AP149">
        <v>8</v>
      </c>
      <c r="AQ149">
        <v>20</v>
      </c>
      <c r="AR149">
        <v>18</v>
      </c>
      <c r="AS149">
        <v>3</v>
      </c>
      <c r="AT149">
        <v>13</v>
      </c>
      <c r="AU149">
        <v>30</v>
      </c>
      <c r="AV149">
        <v>9</v>
      </c>
      <c r="AW149">
        <v>2</v>
      </c>
      <c r="AX149">
        <v>6</v>
      </c>
      <c r="AY149">
        <v>18</v>
      </c>
      <c r="AZ149">
        <v>18</v>
      </c>
      <c r="BA149">
        <v>7</v>
      </c>
      <c r="BB149">
        <v>16</v>
      </c>
      <c r="BC149" s="2">
        <v>15</v>
      </c>
      <c r="BD149" s="2">
        <v>33</v>
      </c>
      <c r="BE149" s="2">
        <v>28</v>
      </c>
      <c r="BF149" s="2">
        <v>16</v>
      </c>
      <c r="BG149" s="2">
        <v>20</v>
      </c>
      <c r="BH149" s="2">
        <v>10</v>
      </c>
      <c r="BI149" s="2">
        <v>8</v>
      </c>
      <c r="BJ149" s="2">
        <v>20</v>
      </c>
      <c r="BK149" s="2">
        <v>18</v>
      </c>
      <c r="BL149" s="2">
        <v>3</v>
      </c>
      <c r="BM149" s="2">
        <v>13</v>
      </c>
      <c r="BN149" s="2">
        <v>30</v>
      </c>
      <c r="BO149" s="2">
        <v>9</v>
      </c>
      <c r="BP149" s="2">
        <v>2</v>
      </c>
      <c r="BQ149" s="2">
        <v>6</v>
      </c>
      <c r="BR149" s="2">
        <v>18</v>
      </c>
      <c r="BS149" s="2">
        <v>18</v>
      </c>
      <c r="BT149" s="2">
        <v>7</v>
      </c>
      <c r="BU149" s="2">
        <v>16</v>
      </c>
      <c r="BV149" s="2">
        <f t="shared" si="13"/>
        <v>290</v>
      </c>
      <c r="BW149" s="16">
        <f t="shared" si="11"/>
        <v>15.263157894736842</v>
      </c>
      <c r="BX149" s="16">
        <f>COUNTIF($BC$6:BU149, "=0") / COUNTIF($BC$6:BU149, "&gt;-1")</f>
        <v>3.6184210526315791E-2</v>
      </c>
      <c r="BY149" s="18">
        <f>SUM($BC$6:BU149) / $BY$4</f>
        <v>0.6310252329685867</v>
      </c>
      <c r="BZ149" s="14">
        <f t="shared" si="12"/>
        <v>0</v>
      </c>
      <c r="CA149" t="s">
        <v>5831</v>
      </c>
      <c r="CB149" s="36">
        <v>18.174650937520902</v>
      </c>
      <c r="CC149" s="36">
        <v>31.781115982355701</v>
      </c>
      <c r="CD149" s="36">
        <v>44.822334530743198</v>
      </c>
      <c r="CE149" s="36">
        <v>24.1907481464517</v>
      </c>
      <c r="CF149" s="36">
        <v>17.203527198737799</v>
      </c>
      <c r="CG149" s="36">
        <v>9.2972724663949098</v>
      </c>
      <c r="CH149" s="36">
        <v>8.4324982629171306</v>
      </c>
      <c r="CI149" s="36">
        <v>19.463671959646099</v>
      </c>
      <c r="CJ149" s="37">
        <v>14.3056492784092</v>
      </c>
      <c r="CK149" s="37">
        <v>8.1984454095477108</v>
      </c>
      <c r="CL149" s="37">
        <v>24.0016304480203</v>
      </c>
      <c r="CM149" s="37">
        <v>7.6189234193994704</v>
      </c>
      <c r="CN149" s="37">
        <v>5.5127553948906796</v>
      </c>
      <c r="CO149" s="37">
        <v>14.2054302669323</v>
      </c>
      <c r="CP149" s="37">
        <v>27.153720861523599</v>
      </c>
      <c r="CQ149" s="37">
        <v>24.3621895435939</v>
      </c>
      <c r="CR149" s="45">
        <v>-0.47715529139333701</v>
      </c>
      <c r="CS149" s="45">
        <v>-1.38295752727173</v>
      </c>
      <c r="CT149" s="46">
        <v>0.26709639893688902</v>
      </c>
      <c r="CU149" s="47">
        <v>0.34165868238772201</v>
      </c>
      <c r="CV149" s="48">
        <v>21.6707274355959</v>
      </c>
      <c r="CW149" s="49">
        <v>15.669843077789601</v>
      </c>
      <c r="CX149" s="31" t="s">
        <v>5875</v>
      </c>
      <c r="CY149" s="31" t="s">
        <v>5832</v>
      </c>
      <c r="CZ149" t="s">
        <v>6298</v>
      </c>
      <c r="DA149" t="s">
        <v>5904</v>
      </c>
      <c r="DB149">
        <v>146</v>
      </c>
      <c r="DC149" t="s">
        <v>15158</v>
      </c>
      <c r="DD149" t="s">
        <v>15159</v>
      </c>
      <c r="DE149" t="s">
        <v>15160</v>
      </c>
      <c r="DF149" t="s">
        <v>15161</v>
      </c>
      <c r="DG149" t="s">
        <v>15162</v>
      </c>
      <c r="DH149" t="str">
        <f>"GUCA2B"</f>
        <v>GUCA2B</v>
      </c>
      <c r="DI149" t="s">
        <v>13772</v>
      </c>
      <c r="DJ149" t="s">
        <v>13777</v>
      </c>
      <c r="DK149">
        <v>9606</v>
      </c>
      <c r="DL149" s="34" t="str">
        <f>HYPERLINK("http://www.uniprot.org/uniprot/Q16661", "Q16661")</f>
        <v>Q16661</v>
      </c>
      <c r="DM149" t="s">
        <v>15163</v>
      </c>
      <c r="DN149" t="s">
        <v>13772</v>
      </c>
      <c r="DO149" t="s">
        <v>14321</v>
      </c>
      <c r="DP149" t="s">
        <v>13793</v>
      </c>
      <c r="DQ149" t="s">
        <v>13772</v>
      </c>
      <c r="DR149" t="s">
        <v>13772</v>
      </c>
      <c r="DS149" t="s">
        <v>13808</v>
      </c>
      <c r="DT149" t="s">
        <v>13772</v>
      </c>
      <c r="DU149" t="s">
        <v>13772</v>
      </c>
      <c r="DV149" t="s">
        <v>14506</v>
      </c>
      <c r="DW149" t="s">
        <v>13812</v>
      </c>
      <c r="DX149" t="s">
        <v>15164</v>
      </c>
      <c r="DY149" t="s">
        <v>15165</v>
      </c>
      <c r="DZ149" t="s">
        <v>15166</v>
      </c>
      <c r="EA149" t="s">
        <v>13772</v>
      </c>
      <c r="EB149" t="s">
        <v>15167</v>
      </c>
    </row>
    <row r="150" spans="1:132">
      <c r="A150">
        <v>818</v>
      </c>
      <c r="B150">
        <v>1</v>
      </c>
      <c r="C150" t="s">
        <v>2007</v>
      </c>
      <c r="D150" t="s">
        <v>73</v>
      </c>
      <c r="E150" t="s">
        <v>73</v>
      </c>
      <c r="F150" t="s">
        <v>73</v>
      </c>
      <c r="G150" t="s">
        <v>73</v>
      </c>
      <c r="H150">
        <v>73.8</v>
      </c>
      <c r="I150">
        <v>80</v>
      </c>
      <c r="J150">
        <v>8910</v>
      </c>
      <c r="K150" t="s">
        <v>2008</v>
      </c>
      <c r="L150">
        <f t="shared" si="10"/>
        <v>289</v>
      </c>
      <c r="N150">
        <v>289</v>
      </c>
      <c r="O150">
        <v>289</v>
      </c>
      <c r="P150">
        <v>1</v>
      </c>
      <c r="Q150">
        <v>18</v>
      </c>
      <c r="R150">
        <v>17</v>
      </c>
      <c r="S150">
        <v>13</v>
      </c>
      <c r="T150">
        <v>22</v>
      </c>
      <c r="U150">
        <v>36</v>
      </c>
      <c r="V150">
        <v>18</v>
      </c>
      <c r="W150">
        <v>27</v>
      </c>
      <c r="X150">
        <v>16</v>
      </c>
      <c r="Y150">
        <v>13</v>
      </c>
      <c r="Z150">
        <v>4</v>
      </c>
      <c r="AA150">
        <v>11</v>
      </c>
      <c r="AB150">
        <v>14</v>
      </c>
      <c r="AC150">
        <v>6</v>
      </c>
      <c r="AD150">
        <v>4</v>
      </c>
      <c r="AE150">
        <v>14</v>
      </c>
      <c r="AF150">
        <v>20</v>
      </c>
      <c r="AG150">
        <v>14</v>
      </c>
      <c r="AH150">
        <v>10</v>
      </c>
      <c r="AI150">
        <v>12</v>
      </c>
      <c r="AJ150">
        <v>18</v>
      </c>
      <c r="AK150">
        <v>17</v>
      </c>
      <c r="AL150">
        <v>13</v>
      </c>
      <c r="AM150">
        <v>22</v>
      </c>
      <c r="AN150">
        <v>36</v>
      </c>
      <c r="AO150">
        <v>18</v>
      </c>
      <c r="AP150">
        <v>27</v>
      </c>
      <c r="AQ150">
        <v>16</v>
      </c>
      <c r="AR150">
        <v>13</v>
      </c>
      <c r="AS150">
        <v>4</v>
      </c>
      <c r="AT150">
        <v>11</v>
      </c>
      <c r="AU150">
        <v>14</v>
      </c>
      <c r="AV150">
        <v>6</v>
      </c>
      <c r="AW150">
        <v>4</v>
      </c>
      <c r="AX150">
        <v>14</v>
      </c>
      <c r="AY150">
        <v>20</v>
      </c>
      <c r="AZ150">
        <v>14</v>
      </c>
      <c r="BA150">
        <v>10</v>
      </c>
      <c r="BB150">
        <v>12</v>
      </c>
      <c r="BC150" s="2">
        <v>18</v>
      </c>
      <c r="BD150" s="2">
        <v>17</v>
      </c>
      <c r="BE150" s="2">
        <v>13</v>
      </c>
      <c r="BF150" s="2">
        <v>22</v>
      </c>
      <c r="BG150" s="2">
        <v>36</v>
      </c>
      <c r="BH150" s="2">
        <v>18</v>
      </c>
      <c r="BI150" s="2">
        <v>27</v>
      </c>
      <c r="BJ150" s="2">
        <v>16</v>
      </c>
      <c r="BK150" s="2">
        <v>13</v>
      </c>
      <c r="BL150" s="2">
        <v>4</v>
      </c>
      <c r="BM150" s="2">
        <v>11</v>
      </c>
      <c r="BN150" s="2">
        <v>14</v>
      </c>
      <c r="BO150" s="2">
        <v>6</v>
      </c>
      <c r="BP150" s="2">
        <v>4</v>
      </c>
      <c r="BQ150" s="2">
        <v>14</v>
      </c>
      <c r="BR150" s="2">
        <v>20</v>
      </c>
      <c r="BS150" s="2">
        <v>14</v>
      </c>
      <c r="BT150" s="2">
        <v>10</v>
      </c>
      <c r="BU150" s="2">
        <v>12</v>
      </c>
      <c r="BV150" s="2">
        <f t="shared" si="13"/>
        <v>289</v>
      </c>
      <c r="BW150" s="16">
        <f t="shared" si="11"/>
        <v>15.210526315789474</v>
      </c>
      <c r="BX150" s="16">
        <f>COUNTIF($BC$6:BU150, "=0") / COUNTIF($BC$6:BU150, "&gt;-1")</f>
        <v>3.5934664246823955E-2</v>
      </c>
      <c r="BY150" s="18">
        <f>SUM($BC$6:BU150) / $BY$4</f>
        <v>0.63226320402364111</v>
      </c>
      <c r="BZ150" s="14">
        <f t="shared" si="12"/>
        <v>0</v>
      </c>
      <c r="CA150" t="s">
        <v>5831</v>
      </c>
      <c r="CB150" s="36">
        <v>21.809581125025101</v>
      </c>
      <c r="CC150" s="36">
        <v>16.372090051516601</v>
      </c>
      <c r="CD150" s="36">
        <v>20.810369603559401</v>
      </c>
      <c r="CE150" s="36">
        <v>33.262278701371102</v>
      </c>
      <c r="CF150" s="36">
        <v>30.966348957728101</v>
      </c>
      <c r="CG150" s="36">
        <v>16.735090439510799</v>
      </c>
      <c r="CH150" s="36">
        <v>28.459681637345302</v>
      </c>
      <c r="CI150" s="36">
        <v>15.5709375677169</v>
      </c>
      <c r="CJ150" s="37">
        <v>10.331857812184399</v>
      </c>
      <c r="CK150" s="37">
        <v>6.9371461157711396</v>
      </c>
      <c r="CL150" s="37">
        <v>11.2007608757428</v>
      </c>
      <c r="CM150" s="37">
        <v>5.0792822795996404</v>
      </c>
      <c r="CN150" s="37">
        <v>12.863095921411601</v>
      </c>
      <c r="CO150" s="37">
        <v>15.783811407702499</v>
      </c>
      <c r="CP150" s="37">
        <v>21.119560670073898</v>
      </c>
      <c r="CQ150" s="37">
        <v>18.2716421576954</v>
      </c>
      <c r="CR150" s="45">
        <v>-0.89404161635354396</v>
      </c>
      <c r="CS150" s="45">
        <v>-1.81111848271112</v>
      </c>
      <c r="CT150" s="46">
        <v>8.7051047267152192E-3</v>
      </c>
      <c r="CU150" s="47">
        <v>1.6176986283812499E-2</v>
      </c>
      <c r="CV150" s="48">
        <v>22.998297260471698</v>
      </c>
      <c r="CW150" s="49">
        <v>12.6983946550227</v>
      </c>
      <c r="CX150" s="31" t="s">
        <v>5875</v>
      </c>
      <c r="CY150" s="31" t="s">
        <v>5878</v>
      </c>
      <c r="CZ150" t="s">
        <v>8501</v>
      </c>
      <c r="DA150" t="s">
        <v>5904</v>
      </c>
      <c r="DB150">
        <v>107.8</v>
      </c>
      <c r="DC150" t="s">
        <v>21862</v>
      </c>
      <c r="DD150" t="s">
        <v>21863</v>
      </c>
      <c r="DE150" t="s">
        <v>21864</v>
      </c>
      <c r="DF150" t="s">
        <v>21865</v>
      </c>
      <c r="DG150" t="s">
        <v>21866</v>
      </c>
      <c r="DH150" t="str">
        <f>"TFF3"</f>
        <v>TFF3</v>
      </c>
      <c r="DI150" t="s">
        <v>21867</v>
      </c>
      <c r="DJ150" t="s">
        <v>13777</v>
      </c>
      <c r="DK150">
        <v>9606</v>
      </c>
      <c r="DL150" s="34" t="str">
        <f>HYPERLINK("http://www.uniprot.org/uniprot/Q07654", "Q07654")</f>
        <v>Q07654</v>
      </c>
      <c r="DM150" t="s">
        <v>21868</v>
      </c>
      <c r="DN150" t="s">
        <v>13772</v>
      </c>
      <c r="DO150" t="s">
        <v>21869</v>
      </c>
      <c r="DP150" t="s">
        <v>13772</v>
      </c>
      <c r="DQ150" t="s">
        <v>13772</v>
      </c>
      <c r="DR150" t="s">
        <v>13772</v>
      </c>
      <c r="DS150" t="s">
        <v>13808</v>
      </c>
      <c r="DT150" t="s">
        <v>13772</v>
      </c>
      <c r="DU150" t="s">
        <v>13772</v>
      </c>
      <c r="DV150" t="s">
        <v>14506</v>
      </c>
      <c r="DW150" t="s">
        <v>13812</v>
      </c>
      <c r="DX150" t="s">
        <v>21870</v>
      </c>
      <c r="DY150" t="s">
        <v>21871</v>
      </c>
      <c r="DZ150" t="s">
        <v>13772</v>
      </c>
      <c r="EA150" t="s">
        <v>13772</v>
      </c>
      <c r="EB150" t="s">
        <v>21872</v>
      </c>
    </row>
    <row r="151" spans="1:132" hidden="1">
      <c r="A151">
        <v>1479</v>
      </c>
      <c r="B151">
        <v>1</v>
      </c>
      <c r="C151" t="s">
        <v>3520</v>
      </c>
      <c r="D151" t="s">
        <v>73</v>
      </c>
      <c r="E151" t="s">
        <v>73</v>
      </c>
      <c r="F151" t="s">
        <v>73</v>
      </c>
      <c r="G151" t="s">
        <v>73</v>
      </c>
      <c r="H151">
        <v>48</v>
      </c>
      <c r="I151">
        <v>769</v>
      </c>
      <c r="J151">
        <v>85052</v>
      </c>
      <c r="K151" t="s">
        <v>3521</v>
      </c>
      <c r="L151">
        <f t="shared" si="10"/>
        <v>285</v>
      </c>
      <c r="N151">
        <v>285</v>
      </c>
      <c r="O151">
        <v>285</v>
      </c>
      <c r="P151">
        <v>1</v>
      </c>
      <c r="Q151">
        <v>21</v>
      </c>
      <c r="R151">
        <v>4</v>
      </c>
      <c r="S151">
        <v>0</v>
      </c>
      <c r="T151">
        <v>0</v>
      </c>
      <c r="U151">
        <v>0</v>
      </c>
      <c r="V151">
        <v>2</v>
      </c>
      <c r="W151">
        <v>2</v>
      </c>
      <c r="X151">
        <v>11</v>
      </c>
      <c r="Y151">
        <v>17</v>
      </c>
      <c r="Z151">
        <v>29</v>
      </c>
      <c r="AA151">
        <v>34</v>
      </c>
      <c r="AB151">
        <v>21</v>
      </c>
      <c r="AC151">
        <v>24</v>
      </c>
      <c r="AD151">
        <v>30</v>
      </c>
      <c r="AE151">
        <v>17</v>
      </c>
      <c r="AF151">
        <v>28</v>
      </c>
      <c r="AG151">
        <v>17</v>
      </c>
      <c r="AH151">
        <v>8</v>
      </c>
      <c r="AI151">
        <v>20</v>
      </c>
      <c r="AJ151">
        <v>21</v>
      </c>
      <c r="AK151">
        <v>4</v>
      </c>
      <c r="AL151">
        <v>0</v>
      </c>
      <c r="AM151">
        <v>0</v>
      </c>
      <c r="AN151">
        <v>0</v>
      </c>
      <c r="AO151">
        <v>2</v>
      </c>
      <c r="AP151">
        <v>2</v>
      </c>
      <c r="AQ151">
        <v>11</v>
      </c>
      <c r="AR151">
        <v>17</v>
      </c>
      <c r="AS151">
        <v>29</v>
      </c>
      <c r="AT151">
        <v>34</v>
      </c>
      <c r="AU151">
        <v>21</v>
      </c>
      <c r="AV151">
        <v>24</v>
      </c>
      <c r="AW151">
        <v>30</v>
      </c>
      <c r="AX151">
        <v>17</v>
      </c>
      <c r="AY151">
        <v>28</v>
      </c>
      <c r="AZ151">
        <v>17</v>
      </c>
      <c r="BA151">
        <v>8</v>
      </c>
      <c r="BB151">
        <v>20</v>
      </c>
      <c r="BC151" s="2">
        <v>21</v>
      </c>
      <c r="BD151" s="2">
        <v>4</v>
      </c>
      <c r="BE151" s="2">
        <v>0</v>
      </c>
      <c r="BF151" s="2">
        <v>0</v>
      </c>
      <c r="BG151" s="2">
        <v>0</v>
      </c>
      <c r="BH151" s="2">
        <v>2</v>
      </c>
      <c r="BI151" s="2">
        <v>2</v>
      </c>
      <c r="BJ151" s="2">
        <v>11</v>
      </c>
      <c r="BK151" s="2">
        <v>17</v>
      </c>
      <c r="BL151" s="2">
        <v>29</v>
      </c>
      <c r="BM151" s="2">
        <v>34</v>
      </c>
      <c r="BN151" s="2">
        <v>21</v>
      </c>
      <c r="BO151" s="2">
        <v>24</v>
      </c>
      <c r="BP151" s="2">
        <v>30</v>
      </c>
      <c r="BQ151" s="2">
        <v>17</v>
      </c>
      <c r="BR151" s="2">
        <v>28</v>
      </c>
      <c r="BS151" s="2">
        <v>17</v>
      </c>
      <c r="BT151" s="2">
        <v>8</v>
      </c>
      <c r="BU151" s="2">
        <v>20</v>
      </c>
      <c r="BV151" s="2">
        <f t="shared" si="13"/>
        <v>285</v>
      </c>
      <c r="BW151" s="16">
        <f t="shared" si="11"/>
        <v>15</v>
      </c>
      <c r="BX151" s="16">
        <f>COUNTIF($BC$6:BU151, "=0") / COUNTIF($BC$6:BU151, "&gt;-1")</f>
        <v>3.6770007209805333E-2</v>
      </c>
      <c r="BY151" s="18">
        <f>SUM($BC$6:BU151) / $BY$4</f>
        <v>0.63348404053122076</v>
      </c>
      <c r="BZ151" s="14">
        <f t="shared" si="12"/>
        <v>3</v>
      </c>
      <c r="CA151" t="s">
        <v>5831</v>
      </c>
      <c r="CB151" s="36">
        <v>25.444511312529301</v>
      </c>
      <c r="CC151" s="36">
        <v>3.85225648270979</v>
      </c>
      <c r="CD151" s="36">
        <v>0.40019941545306398</v>
      </c>
      <c r="CE151" s="36">
        <v>0.37798043978830698</v>
      </c>
      <c r="CF151" s="36">
        <v>0.215044089984223</v>
      </c>
      <c r="CG151" s="36">
        <v>1.85945449327898</v>
      </c>
      <c r="CH151" s="36">
        <v>2.10812456572928</v>
      </c>
      <c r="CI151" s="36">
        <v>10.7050195778054</v>
      </c>
      <c r="CJ151" s="37">
        <v>13.5108909851643</v>
      </c>
      <c r="CK151" s="37">
        <v>21.4420879942017</v>
      </c>
      <c r="CL151" s="37">
        <v>16.801141313614199</v>
      </c>
      <c r="CM151" s="37">
        <v>20.317129118398601</v>
      </c>
      <c r="CN151" s="37">
        <v>15.619473618856899</v>
      </c>
      <c r="CO151" s="37">
        <v>22.097335970783501</v>
      </c>
      <c r="CP151" s="37">
        <v>25.645180813661199</v>
      </c>
      <c r="CQ151" s="37">
        <v>30.4527369294923</v>
      </c>
      <c r="CR151" s="45">
        <v>1.8515095032070601</v>
      </c>
      <c r="CS151" s="45">
        <v>3.6894221474393198</v>
      </c>
      <c r="CT151" s="46">
        <v>1.9989420532986E-3</v>
      </c>
      <c r="CU151" s="47">
        <v>4.2453721703389303E-3</v>
      </c>
      <c r="CV151" s="48">
        <v>5.6203237971597897</v>
      </c>
      <c r="CW151" s="49">
        <v>20.735747093021601</v>
      </c>
      <c r="CX151" s="31" t="s">
        <v>5874</v>
      </c>
      <c r="CY151" s="31" t="s">
        <v>5876</v>
      </c>
      <c r="CZ151" t="s">
        <v>10662</v>
      </c>
      <c r="DA151" t="s">
        <v>5904</v>
      </c>
      <c r="DB151">
        <v>1325.1</v>
      </c>
      <c r="DC151" t="s">
        <v>28006</v>
      </c>
      <c r="DD151" t="s">
        <v>28007</v>
      </c>
      <c r="DE151" t="s">
        <v>28008</v>
      </c>
      <c r="DF151" t="s">
        <v>28009</v>
      </c>
      <c r="DG151" t="s">
        <v>28010</v>
      </c>
      <c r="DH151" t="str">
        <f>"C2"</f>
        <v>C2</v>
      </c>
      <c r="DI151" t="s">
        <v>13772</v>
      </c>
      <c r="DJ151" t="s">
        <v>13777</v>
      </c>
      <c r="DK151">
        <v>9606</v>
      </c>
      <c r="DL151" s="34" t="str">
        <f>HYPERLINK("http://www.uniprot.org/uniprot/P06681", "P06681")</f>
        <v>P06681</v>
      </c>
      <c r="DM151" t="s">
        <v>28011</v>
      </c>
      <c r="DN151" t="s">
        <v>20457</v>
      </c>
      <c r="DO151" t="s">
        <v>14321</v>
      </c>
      <c r="DP151" t="s">
        <v>13780</v>
      </c>
      <c r="DQ151" t="s">
        <v>13772</v>
      </c>
      <c r="DR151" t="s">
        <v>13807</v>
      </c>
      <c r="DS151" t="s">
        <v>28012</v>
      </c>
      <c r="DT151" t="s">
        <v>18390</v>
      </c>
      <c r="DU151" t="s">
        <v>15176</v>
      </c>
      <c r="DV151" t="s">
        <v>13796</v>
      </c>
      <c r="DW151" t="s">
        <v>13812</v>
      </c>
      <c r="DX151" t="s">
        <v>28013</v>
      </c>
      <c r="DY151" t="s">
        <v>16659</v>
      </c>
      <c r="DZ151" t="s">
        <v>16638</v>
      </c>
      <c r="EA151" t="s">
        <v>13772</v>
      </c>
      <c r="EB151" t="s">
        <v>27676</v>
      </c>
    </row>
    <row r="152" spans="1:132">
      <c r="A152">
        <v>1266</v>
      </c>
      <c r="B152">
        <v>1</v>
      </c>
      <c r="C152" t="s">
        <v>3035</v>
      </c>
      <c r="D152" t="s">
        <v>73</v>
      </c>
      <c r="E152" t="s">
        <v>73</v>
      </c>
      <c r="F152" t="s">
        <v>73</v>
      </c>
      <c r="G152" t="s">
        <v>73</v>
      </c>
      <c r="H152">
        <v>41.7</v>
      </c>
      <c r="I152">
        <v>635</v>
      </c>
      <c r="J152">
        <v>71825</v>
      </c>
      <c r="K152" t="s">
        <v>3036</v>
      </c>
      <c r="L152">
        <f t="shared" si="10"/>
        <v>284</v>
      </c>
      <c r="N152">
        <v>284</v>
      </c>
      <c r="O152">
        <v>284</v>
      </c>
      <c r="P152">
        <v>1</v>
      </c>
      <c r="Q152">
        <v>2</v>
      </c>
      <c r="R152">
        <v>9</v>
      </c>
      <c r="S152">
        <v>3</v>
      </c>
      <c r="T152">
        <v>6</v>
      </c>
      <c r="U152">
        <v>10</v>
      </c>
      <c r="V152">
        <v>3</v>
      </c>
      <c r="W152">
        <v>2</v>
      </c>
      <c r="X152">
        <v>5</v>
      </c>
      <c r="Y152">
        <v>18</v>
      </c>
      <c r="Z152">
        <v>34</v>
      </c>
      <c r="AA152">
        <v>4</v>
      </c>
      <c r="AB152">
        <v>13</v>
      </c>
      <c r="AC152">
        <v>31</v>
      </c>
      <c r="AD152">
        <v>37</v>
      </c>
      <c r="AE152">
        <v>27</v>
      </c>
      <c r="AF152">
        <v>16</v>
      </c>
      <c r="AG152">
        <v>19</v>
      </c>
      <c r="AH152">
        <v>25</v>
      </c>
      <c r="AI152">
        <v>20</v>
      </c>
      <c r="AJ152">
        <v>2</v>
      </c>
      <c r="AK152">
        <v>9</v>
      </c>
      <c r="AL152">
        <v>3</v>
      </c>
      <c r="AM152">
        <v>6</v>
      </c>
      <c r="AN152">
        <v>10</v>
      </c>
      <c r="AO152">
        <v>3</v>
      </c>
      <c r="AP152">
        <v>2</v>
      </c>
      <c r="AQ152">
        <v>5</v>
      </c>
      <c r="AR152">
        <v>18</v>
      </c>
      <c r="AS152">
        <v>34</v>
      </c>
      <c r="AT152">
        <v>4</v>
      </c>
      <c r="AU152">
        <v>13</v>
      </c>
      <c r="AV152">
        <v>31</v>
      </c>
      <c r="AW152">
        <v>37</v>
      </c>
      <c r="AX152">
        <v>27</v>
      </c>
      <c r="AY152">
        <v>16</v>
      </c>
      <c r="AZ152">
        <v>19</v>
      </c>
      <c r="BA152">
        <v>25</v>
      </c>
      <c r="BB152">
        <v>20</v>
      </c>
      <c r="BC152" s="2">
        <v>2</v>
      </c>
      <c r="BD152" s="2">
        <v>9</v>
      </c>
      <c r="BE152" s="2">
        <v>3</v>
      </c>
      <c r="BF152" s="2">
        <v>6</v>
      </c>
      <c r="BG152" s="2">
        <v>10</v>
      </c>
      <c r="BH152" s="2">
        <v>3</v>
      </c>
      <c r="BI152" s="2">
        <v>2</v>
      </c>
      <c r="BJ152" s="2">
        <v>5</v>
      </c>
      <c r="BK152" s="2">
        <v>18</v>
      </c>
      <c r="BL152" s="2">
        <v>34</v>
      </c>
      <c r="BM152" s="2">
        <v>4</v>
      </c>
      <c r="BN152" s="2">
        <v>13</v>
      </c>
      <c r="BO152" s="2">
        <v>31</v>
      </c>
      <c r="BP152" s="2">
        <v>37</v>
      </c>
      <c r="BQ152" s="2">
        <v>27</v>
      </c>
      <c r="BR152" s="2">
        <v>16</v>
      </c>
      <c r="BS152" s="2">
        <v>19</v>
      </c>
      <c r="BT152" s="2">
        <v>25</v>
      </c>
      <c r="BU152" s="2">
        <v>20</v>
      </c>
      <c r="BV152" s="2">
        <f t="shared" si="13"/>
        <v>284</v>
      </c>
      <c r="BW152" s="16">
        <f t="shared" si="11"/>
        <v>14.947368421052632</v>
      </c>
      <c r="BX152" s="16">
        <f>COUNTIF($BC$6:BU152, "=0") / COUNTIF($BC$6:BU152, "&gt;-1")</f>
        <v>3.6519871106337275E-2</v>
      </c>
      <c r="BY152" s="18">
        <f>SUM($BC$6:BU152) / $BY$4</f>
        <v>0.63470059340193175</v>
      </c>
      <c r="BZ152" s="14">
        <f t="shared" si="12"/>
        <v>0</v>
      </c>
      <c r="CA152" t="s">
        <v>5831</v>
      </c>
      <c r="CB152" s="36">
        <v>2.4232867916694598</v>
      </c>
      <c r="CC152" s="36">
        <v>8.6675770860970207</v>
      </c>
      <c r="CD152" s="36">
        <v>4.8023929854367697</v>
      </c>
      <c r="CE152" s="36">
        <v>9.0715305549193808</v>
      </c>
      <c r="CF152" s="36">
        <v>8.6017635993689208</v>
      </c>
      <c r="CG152" s="36">
        <v>2.7891817399184702</v>
      </c>
      <c r="CH152" s="36">
        <v>2.10812456572928</v>
      </c>
      <c r="CI152" s="36">
        <v>4.8659179899115301</v>
      </c>
      <c r="CJ152" s="37">
        <v>14.3056492784092</v>
      </c>
      <c r="CK152" s="37">
        <v>2.5225985875531398</v>
      </c>
      <c r="CL152" s="37">
        <v>10.400706527475499</v>
      </c>
      <c r="CM152" s="37">
        <v>26.242958444598202</v>
      </c>
      <c r="CN152" s="37">
        <v>24.807399277008098</v>
      </c>
      <c r="CO152" s="37">
        <v>12.627049126161999</v>
      </c>
      <c r="CP152" s="37">
        <v>28.662260909385999</v>
      </c>
      <c r="CQ152" s="37">
        <v>30.4527369294923</v>
      </c>
      <c r="CR152" s="45">
        <v>1.7428391225784501</v>
      </c>
      <c r="CS152" s="45">
        <v>3.4623156477550001</v>
      </c>
      <c r="CT152" s="46">
        <v>2.34270474035716E-4</v>
      </c>
      <c r="CU152" s="47">
        <v>6.0512334799186899E-4</v>
      </c>
      <c r="CV152" s="48">
        <v>5.4162219141313503</v>
      </c>
      <c r="CW152" s="49">
        <v>18.752669885010601</v>
      </c>
      <c r="CX152" s="31" t="s">
        <v>5874</v>
      </c>
      <c r="CY152" s="31" t="s">
        <v>5876</v>
      </c>
      <c r="CZ152" t="s">
        <v>9950</v>
      </c>
      <c r="DA152" t="s">
        <v>5904</v>
      </c>
      <c r="DB152">
        <v>881.3</v>
      </c>
      <c r="DC152" t="s">
        <v>25992</v>
      </c>
      <c r="DD152" t="s">
        <v>25993</v>
      </c>
      <c r="DE152" t="s">
        <v>25994</v>
      </c>
      <c r="DF152" t="s">
        <v>25995</v>
      </c>
      <c r="DG152" t="s">
        <v>25996</v>
      </c>
      <c r="DH152" t="str">
        <f>"CFI"</f>
        <v>CFI</v>
      </c>
      <c r="DI152" t="s">
        <v>25997</v>
      </c>
      <c r="DJ152" t="s">
        <v>13777</v>
      </c>
      <c r="DK152">
        <v>9606</v>
      </c>
      <c r="DL152" s="34" t="str">
        <f>HYPERLINK("http://www.uniprot.org/uniprot/P05156", "P05156")</f>
        <v>P05156</v>
      </c>
      <c r="DM152" t="s">
        <v>25998</v>
      </c>
      <c r="DN152" t="s">
        <v>25999</v>
      </c>
      <c r="DO152" t="s">
        <v>14321</v>
      </c>
      <c r="DP152" t="s">
        <v>13793</v>
      </c>
      <c r="DQ152" t="s">
        <v>13772</v>
      </c>
      <c r="DR152" t="s">
        <v>21037</v>
      </c>
      <c r="DS152" t="s">
        <v>14404</v>
      </c>
      <c r="DT152" t="s">
        <v>13873</v>
      </c>
      <c r="DU152" t="s">
        <v>15176</v>
      </c>
      <c r="DV152" t="s">
        <v>14629</v>
      </c>
      <c r="DW152" t="s">
        <v>13812</v>
      </c>
      <c r="DX152" t="s">
        <v>26000</v>
      </c>
      <c r="DY152" t="s">
        <v>21951</v>
      </c>
      <c r="DZ152" t="s">
        <v>26001</v>
      </c>
      <c r="EA152" t="s">
        <v>13772</v>
      </c>
      <c r="EB152" t="s">
        <v>22277</v>
      </c>
    </row>
    <row r="153" spans="1:132">
      <c r="A153">
        <v>892</v>
      </c>
      <c r="B153">
        <v>1</v>
      </c>
      <c r="C153" t="s">
        <v>2180</v>
      </c>
      <c r="D153" t="s">
        <v>73</v>
      </c>
      <c r="E153" t="s">
        <v>73</v>
      </c>
      <c r="F153" t="s">
        <v>73</v>
      </c>
      <c r="G153" t="s">
        <v>73</v>
      </c>
      <c r="H153">
        <v>67.599999999999994</v>
      </c>
      <c r="I153">
        <v>411</v>
      </c>
      <c r="J153">
        <v>47381</v>
      </c>
      <c r="K153" t="s">
        <v>2181</v>
      </c>
      <c r="L153">
        <f t="shared" si="10"/>
        <v>283</v>
      </c>
      <c r="N153">
        <v>283</v>
      </c>
      <c r="O153">
        <v>283</v>
      </c>
      <c r="P153">
        <v>1</v>
      </c>
      <c r="Q153">
        <v>14</v>
      </c>
      <c r="R153">
        <v>5</v>
      </c>
      <c r="S153">
        <v>5</v>
      </c>
      <c r="T153">
        <v>1</v>
      </c>
      <c r="U153">
        <v>5</v>
      </c>
      <c r="V153">
        <v>10</v>
      </c>
      <c r="W153">
        <v>26</v>
      </c>
      <c r="X153">
        <v>32</v>
      </c>
      <c r="Y153">
        <v>47</v>
      </c>
      <c r="Z153">
        <v>2</v>
      </c>
      <c r="AA153">
        <v>23</v>
      </c>
      <c r="AB153">
        <v>26</v>
      </c>
      <c r="AC153">
        <v>25</v>
      </c>
      <c r="AD153">
        <v>6</v>
      </c>
      <c r="AE153">
        <v>17</v>
      </c>
      <c r="AF153">
        <v>15</v>
      </c>
      <c r="AG153">
        <v>11</v>
      </c>
      <c r="AH153">
        <v>6</v>
      </c>
      <c r="AI153">
        <v>7</v>
      </c>
      <c r="AJ153">
        <v>14</v>
      </c>
      <c r="AK153">
        <v>5</v>
      </c>
      <c r="AL153">
        <v>5</v>
      </c>
      <c r="AM153">
        <v>1</v>
      </c>
      <c r="AN153">
        <v>5</v>
      </c>
      <c r="AO153">
        <v>10</v>
      </c>
      <c r="AP153">
        <v>26</v>
      </c>
      <c r="AQ153">
        <v>32</v>
      </c>
      <c r="AR153">
        <v>47</v>
      </c>
      <c r="AS153">
        <v>2</v>
      </c>
      <c r="AT153">
        <v>23</v>
      </c>
      <c r="AU153">
        <v>26</v>
      </c>
      <c r="AV153">
        <v>25</v>
      </c>
      <c r="AW153">
        <v>6</v>
      </c>
      <c r="AX153">
        <v>17</v>
      </c>
      <c r="AY153">
        <v>15</v>
      </c>
      <c r="AZ153">
        <v>11</v>
      </c>
      <c r="BA153">
        <v>6</v>
      </c>
      <c r="BB153">
        <v>7</v>
      </c>
      <c r="BC153" s="2">
        <v>14</v>
      </c>
      <c r="BD153" s="2">
        <v>5</v>
      </c>
      <c r="BE153" s="2">
        <v>5</v>
      </c>
      <c r="BF153" s="2">
        <v>1</v>
      </c>
      <c r="BG153" s="2">
        <v>5</v>
      </c>
      <c r="BH153" s="2">
        <v>10</v>
      </c>
      <c r="BI153" s="2">
        <v>26</v>
      </c>
      <c r="BJ153" s="2">
        <v>32</v>
      </c>
      <c r="BK153" s="2">
        <v>47</v>
      </c>
      <c r="BL153" s="2">
        <v>2</v>
      </c>
      <c r="BM153" s="2">
        <v>23</v>
      </c>
      <c r="BN153" s="2">
        <v>26</v>
      </c>
      <c r="BO153" s="2">
        <v>25</v>
      </c>
      <c r="BP153" s="2">
        <v>6</v>
      </c>
      <c r="BQ153" s="2">
        <v>17</v>
      </c>
      <c r="BR153" s="2">
        <v>15</v>
      </c>
      <c r="BS153" s="2">
        <v>11</v>
      </c>
      <c r="BT153" s="2">
        <v>6</v>
      </c>
      <c r="BU153" s="2">
        <v>7</v>
      </c>
      <c r="BV153" s="2">
        <f t="shared" si="13"/>
        <v>283</v>
      </c>
      <c r="BW153" s="16">
        <f t="shared" si="11"/>
        <v>14.894736842105264</v>
      </c>
      <c r="BX153" s="16">
        <f>COUNTIF($BC$6:BU153, "=0") / COUNTIF($BC$6:BU153, "&gt;-1")</f>
        <v>3.627311522048364E-2</v>
      </c>
      <c r="BY153" s="18">
        <f>SUM($BC$6:BU153) / $BY$4</f>
        <v>0.63591286263577396</v>
      </c>
      <c r="BZ153" s="14">
        <f t="shared" si="12"/>
        <v>0</v>
      </c>
      <c r="CA153" t="s">
        <v>5831</v>
      </c>
      <c r="CB153" s="36">
        <v>16.963007541686199</v>
      </c>
      <c r="CC153" s="36">
        <v>4.8153206033872298</v>
      </c>
      <c r="CD153" s="36">
        <v>8.00398830906129</v>
      </c>
      <c r="CE153" s="36">
        <v>1.5119217591532299</v>
      </c>
      <c r="CF153" s="36">
        <v>4.3008817996844604</v>
      </c>
      <c r="CG153" s="36">
        <v>9.2972724663949098</v>
      </c>
      <c r="CH153" s="36">
        <v>27.405619354480699</v>
      </c>
      <c r="CI153" s="36">
        <v>31.1418751354338</v>
      </c>
      <c r="CJ153" s="37">
        <v>37.353639782513</v>
      </c>
      <c r="CK153" s="37">
        <v>14.5049418784306</v>
      </c>
      <c r="CL153" s="37">
        <v>20.801413054950899</v>
      </c>
      <c r="CM153" s="37">
        <v>21.163676164998499</v>
      </c>
      <c r="CN153" s="37">
        <v>15.619473618856899</v>
      </c>
      <c r="CO153" s="37">
        <v>11.837858555776901</v>
      </c>
      <c r="CP153" s="37">
        <v>16.593940526486598</v>
      </c>
      <c r="CQ153" s="37">
        <v>10.658457925322301</v>
      </c>
      <c r="CR153" s="45">
        <v>0.51316664954577096</v>
      </c>
      <c r="CS153" s="45">
        <v>1.4359393253343899</v>
      </c>
      <c r="CT153" s="46">
        <v>0.279875246723024</v>
      </c>
      <c r="CU153" s="47">
        <v>0.35664102868134001</v>
      </c>
      <c r="CV153" s="48">
        <v>12.9299858711602</v>
      </c>
      <c r="CW153" s="49">
        <v>18.566675188417001</v>
      </c>
      <c r="CX153" s="31" t="s">
        <v>5874</v>
      </c>
      <c r="CY153" s="31" t="s">
        <v>5832</v>
      </c>
      <c r="CZ153" t="s">
        <v>8754</v>
      </c>
      <c r="DA153" t="s">
        <v>5904</v>
      </c>
      <c r="DB153">
        <v>694.1</v>
      </c>
      <c r="DC153" t="s">
        <v>22581</v>
      </c>
      <c r="DD153" t="s">
        <v>22582</v>
      </c>
      <c r="DE153" t="s">
        <v>22583</v>
      </c>
      <c r="DF153" t="s">
        <v>22584</v>
      </c>
      <c r="DG153" t="s">
        <v>22585</v>
      </c>
      <c r="DH153" t="str">
        <f>"CALR"</f>
        <v>CALR</v>
      </c>
      <c r="DI153" t="s">
        <v>22586</v>
      </c>
      <c r="DJ153" t="s">
        <v>13777</v>
      </c>
      <c r="DK153">
        <v>9606</v>
      </c>
      <c r="DL153" s="34" t="str">
        <f>HYPERLINK("http://www.uniprot.org/uniprot/P27797", "P27797")</f>
        <v>P27797</v>
      </c>
      <c r="DM153" t="s">
        <v>22587</v>
      </c>
      <c r="DN153" t="s">
        <v>13772</v>
      </c>
      <c r="DO153" t="s">
        <v>22588</v>
      </c>
      <c r="DP153" t="s">
        <v>13772</v>
      </c>
      <c r="DQ153" t="s">
        <v>13772</v>
      </c>
      <c r="DR153" t="s">
        <v>13772</v>
      </c>
      <c r="DS153" t="s">
        <v>14404</v>
      </c>
      <c r="DT153" t="s">
        <v>22589</v>
      </c>
      <c r="DU153" t="s">
        <v>14477</v>
      </c>
      <c r="DV153" t="s">
        <v>16172</v>
      </c>
      <c r="DW153" t="s">
        <v>13812</v>
      </c>
      <c r="DX153" t="s">
        <v>22590</v>
      </c>
      <c r="DY153" t="s">
        <v>22591</v>
      </c>
      <c r="DZ153" t="s">
        <v>22592</v>
      </c>
      <c r="EA153" t="s">
        <v>13772</v>
      </c>
      <c r="EB153" t="s">
        <v>22593</v>
      </c>
    </row>
    <row r="154" spans="1:132" hidden="1">
      <c r="A154">
        <v>1251</v>
      </c>
      <c r="B154">
        <v>1</v>
      </c>
      <c r="C154" t="s">
        <v>3000</v>
      </c>
      <c r="D154" t="s">
        <v>73</v>
      </c>
      <c r="E154" t="s">
        <v>73</v>
      </c>
      <c r="F154" t="s">
        <v>73</v>
      </c>
      <c r="G154" t="s">
        <v>73</v>
      </c>
      <c r="H154">
        <v>69.7</v>
      </c>
      <c r="I154">
        <v>132</v>
      </c>
      <c r="J154">
        <v>15117</v>
      </c>
      <c r="K154" t="s">
        <v>3001</v>
      </c>
      <c r="L154">
        <f t="shared" si="10"/>
        <v>283</v>
      </c>
      <c r="N154">
        <v>283</v>
      </c>
      <c r="O154">
        <v>283</v>
      </c>
      <c r="P154">
        <v>1</v>
      </c>
      <c r="Q154">
        <v>12</v>
      </c>
      <c r="R154">
        <v>8</v>
      </c>
      <c r="S154">
        <v>21</v>
      </c>
      <c r="T154">
        <v>0</v>
      </c>
      <c r="U154">
        <v>2</v>
      </c>
      <c r="V154">
        <v>7</v>
      </c>
      <c r="W154">
        <v>7</v>
      </c>
      <c r="X154">
        <v>20</v>
      </c>
      <c r="Y154">
        <v>14</v>
      </c>
      <c r="Z154">
        <v>4</v>
      </c>
      <c r="AA154">
        <v>18</v>
      </c>
      <c r="AB154">
        <v>26</v>
      </c>
      <c r="AC154">
        <v>11</v>
      </c>
      <c r="AD154">
        <v>3</v>
      </c>
      <c r="AE154">
        <v>14</v>
      </c>
      <c r="AF154">
        <v>78</v>
      </c>
      <c r="AG154">
        <v>16</v>
      </c>
      <c r="AH154">
        <v>9</v>
      </c>
      <c r="AI154">
        <v>13</v>
      </c>
      <c r="AJ154">
        <v>12</v>
      </c>
      <c r="AK154">
        <v>8</v>
      </c>
      <c r="AL154">
        <v>21</v>
      </c>
      <c r="AM154">
        <v>0</v>
      </c>
      <c r="AN154">
        <v>2</v>
      </c>
      <c r="AO154">
        <v>7</v>
      </c>
      <c r="AP154">
        <v>7</v>
      </c>
      <c r="AQ154">
        <v>20</v>
      </c>
      <c r="AR154">
        <v>14</v>
      </c>
      <c r="AS154">
        <v>4</v>
      </c>
      <c r="AT154">
        <v>18</v>
      </c>
      <c r="AU154">
        <v>26</v>
      </c>
      <c r="AV154">
        <v>11</v>
      </c>
      <c r="AW154">
        <v>3</v>
      </c>
      <c r="AX154">
        <v>14</v>
      </c>
      <c r="AY154">
        <v>78</v>
      </c>
      <c r="AZ154">
        <v>16</v>
      </c>
      <c r="BA154">
        <v>9</v>
      </c>
      <c r="BB154">
        <v>13</v>
      </c>
      <c r="BC154" s="2">
        <v>12</v>
      </c>
      <c r="BD154" s="2">
        <v>8</v>
      </c>
      <c r="BE154" s="2">
        <v>21</v>
      </c>
      <c r="BF154" s="2">
        <v>0</v>
      </c>
      <c r="BG154" s="2">
        <v>2</v>
      </c>
      <c r="BH154" s="2">
        <v>7</v>
      </c>
      <c r="BI154" s="2">
        <v>7</v>
      </c>
      <c r="BJ154" s="2">
        <v>20</v>
      </c>
      <c r="BK154" s="2">
        <v>14</v>
      </c>
      <c r="BL154" s="2">
        <v>4</v>
      </c>
      <c r="BM154" s="2">
        <v>18</v>
      </c>
      <c r="BN154" s="2">
        <v>26</v>
      </c>
      <c r="BO154" s="2">
        <v>11</v>
      </c>
      <c r="BP154" s="2">
        <v>3</v>
      </c>
      <c r="BQ154" s="2">
        <v>14</v>
      </c>
      <c r="BR154" s="2">
        <v>78</v>
      </c>
      <c r="BS154" s="2">
        <v>16</v>
      </c>
      <c r="BT154" s="2">
        <v>9</v>
      </c>
      <c r="BU154" s="2">
        <v>13</v>
      </c>
      <c r="BV154" s="2">
        <f t="shared" si="13"/>
        <v>283</v>
      </c>
      <c r="BW154" s="16">
        <f t="shared" si="11"/>
        <v>14.894736842105264</v>
      </c>
      <c r="BX154" s="16">
        <f>COUNTIF($BC$6:BU154, "=0") / COUNTIF($BC$6:BU154, "&gt;-1")</f>
        <v>3.638290356764394E-2</v>
      </c>
      <c r="BY154" s="18">
        <f>SUM($BC$6:BU154) / $BY$4</f>
        <v>0.63712513186961617</v>
      </c>
      <c r="BZ154" s="14">
        <f t="shared" si="12"/>
        <v>1</v>
      </c>
      <c r="CA154" t="s">
        <v>5831</v>
      </c>
      <c r="CB154" s="36">
        <v>14.5397207500168</v>
      </c>
      <c r="CC154" s="36">
        <v>7.7045129654195703</v>
      </c>
      <c r="CD154" s="36">
        <v>33.616750898057397</v>
      </c>
      <c r="CE154" s="36">
        <v>0.37798043978830698</v>
      </c>
      <c r="CF154" s="36">
        <v>1.72035271987378</v>
      </c>
      <c r="CG154" s="36">
        <v>6.50809072647644</v>
      </c>
      <c r="CH154" s="36">
        <v>7.3784359800524904</v>
      </c>
      <c r="CI154" s="36">
        <v>19.463671959646099</v>
      </c>
      <c r="CJ154" s="37">
        <v>11.126616105429401</v>
      </c>
      <c r="CK154" s="37">
        <v>11.351693643989099</v>
      </c>
      <c r="CL154" s="37">
        <v>20.801413054950899</v>
      </c>
      <c r="CM154" s="37">
        <v>9.3120175125993505</v>
      </c>
      <c r="CN154" s="37">
        <v>12.863095921411601</v>
      </c>
      <c r="CO154" s="37">
        <v>61.5568644900398</v>
      </c>
      <c r="CP154" s="37">
        <v>24.136640765798798</v>
      </c>
      <c r="CQ154" s="37">
        <v>19.794279004170001</v>
      </c>
      <c r="CR154" s="45">
        <v>0.91807729952352102</v>
      </c>
      <c r="CS154" s="45">
        <v>1.8721227224105299</v>
      </c>
      <c r="CT154" s="46">
        <v>0.108180800841263</v>
      </c>
      <c r="CU154" s="47">
        <v>0.15266546479389501</v>
      </c>
      <c r="CV154" s="48">
        <v>11.413689554916401</v>
      </c>
      <c r="CW154" s="49">
        <v>21.367827562298601</v>
      </c>
      <c r="CX154" s="31" t="s">
        <v>5874</v>
      </c>
      <c r="CY154" s="31" t="s">
        <v>5832</v>
      </c>
      <c r="CZ154" t="s">
        <v>9900</v>
      </c>
      <c r="DA154" t="s">
        <v>5904</v>
      </c>
      <c r="DB154">
        <v>233.4</v>
      </c>
      <c r="DC154" t="s">
        <v>25860</v>
      </c>
      <c r="DD154" t="s">
        <v>25861</v>
      </c>
      <c r="DE154" t="s">
        <v>25862</v>
      </c>
      <c r="DF154" t="s">
        <v>25863</v>
      </c>
      <c r="DG154" t="s">
        <v>25864</v>
      </c>
      <c r="DH154" t="str">
        <f>"FABP2"</f>
        <v>FABP2</v>
      </c>
      <c r="DI154" t="s">
        <v>25865</v>
      </c>
      <c r="DJ154" t="s">
        <v>13777</v>
      </c>
      <c r="DK154">
        <v>9606</v>
      </c>
      <c r="DL154" s="34" t="str">
        <f>HYPERLINK("http://www.uniprot.org/uniprot/P12104", "P12104")</f>
        <v>P12104</v>
      </c>
      <c r="DM154" t="s">
        <v>25866</v>
      </c>
      <c r="DN154" t="s">
        <v>14192</v>
      </c>
      <c r="DO154" t="s">
        <v>13899</v>
      </c>
      <c r="DP154" t="s">
        <v>13793</v>
      </c>
      <c r="DQ154" t="s">
        <v>13772</v>
      </c>
      <c r="DR154" t="s">
        <v>13772</v>
      </c>
      <c r="DS154" t="s">
        <v>13772</v>
      </c>
      <c r="DT154" t="s">
        <v>13900</v>
      </c>
      <c r="DU154" t="s">
        <v>13772</v>
      </c>
      <c r="DV154" t="s">
        <v>14020</v>
      </c>
      <c r="DW154" t="s">
        <v>13812</v>
      </c>
      <c r="DX154" t="s">
        <v>25867</v>
      </c>
      <c r="DY154" t="s">
        <v>13902</v>
      </c>
      <c r="DZ154" t="s">
        <v>25868</v>
      </c>
      <c r="EA154" t="s">
        <v>13772</v>
      </c>
      <c r="EB154" t="s">
        <v>17696</v>
      </c>
    </row>
    <row r="155" spans="1:132">
      <c r="A155">
        <v>2347</v>
      </c>
      <c r="B155">
        <v>1</v>
      </c>
      <c r="C155" t="s">
        <v>5476</v>
      </c>
      <c r="D155" t="s">
        <v>73</v>
      </c>
      <c r="E155" t="s">
        <v>73</v>
      </c>
      <c r="F155" t="s">
        <v>73</v>
      </c>
      <c r="G155" t="s">
        <v>73</v>
      </c>
      <c r="H155">
        <v>34.700000000000003</v>
      </c>
      <c r="I155">
        <v>957</v>
      </c>
      <c r="J155">
        <v>107019</v>
      </c>
      <c r="K155" t="s">
        <v>5477</v>
      </c>
      <c r="L155">
        <f t="shared" si="10"/>
        <v>283</v>
      </c>
      <c r="N155">
        <v>283</v>
      </c>
      <c r="O155">
        <v>283</v>
      </c>
      <c r="P155">
        <v>1</v>
      </c>
      <c r="Q155">
        <v>25</v>
      </c>
      <c r="R155">
        <v>24</v>
      </c>
      <c r="S155">
        <v>12</v>
      </c>
      <c r="T155">
        <v>40</v>
      </c>
      <c r="U155">
        <v>62</v>
      </c>
      <c r="V155">
        <v>38</v>
      </c>
      <c r="W155">
        <v>19</v>
      </c>
      <c r="X155">
        <v>17</v>
      </c>
      <c r="Y155">
        <v>1</v>
      </c>
      <c r="Z155">
        <v>1</v>
      </c>
      <c r="AA155">
        <v>9</v>
      </c>
      <c r="AB155">
        <v>9</v>
      </c>
      <c r="AC155">
        <v>1</v>
      </c>
      <c r="AD155">
        <v>1</v>
      </c>
      <c r="AE155">
        <v>2</v>
      </c>
      <c r="AF155">
        <v>6</v>
      </c>
      <c r="AG155">
        <v>4</v>
      </c>
      <c r="AH155">
        <v>6</v>
      </c>
      <c r="AI155">
        <v>6</v>
      </c>
      <c r="AJ155">
        <v>25</v>
      </c>
      <c r="AK155">
        <v>24</v>
      </c>
      <c r="AL155">
        <v>12</v>
      </c>
      <c r="AM155">
        <v>40</v>
      </c>
      <c r="AN155">
        <v>62</v>
      </c>
      <c r="AO155">
        <v>38</v>
      </c>
      <c r="AP155">
        <v>19</v>
      </c>
      <c r="AQ155">
        <v>17</v>
      </c>
      <c r="AR155">
        <v>1</v>
      </c>
      <c r="AS155">
        <v>1</v>
      </c>
      <c r="AT155">
        <v>9</v>
      </c>
      <c r="AU155">
        <v>9</v>
      </c>
      <c r="AV155">
        <v>1</v>
      </c>
      <c r="AW155">
        <v>1</v>
      </c>
      <c r="AX155">
        <v>2</v>
      </c>
      <c r="AY155">
        <v>6</v>
      </c>
      <c r="AZ155">
        <v>4</v>
      </c>
      <c r="BA155">
        <v>6</v>
      </c>
      <c r="BB155">
        <v>6</v>
      </c>
      <c r="BC155" s="2">
        <v>25</v>
      </c>
      <c r="BD155" s="2">
        <v>24</v>
      </c>
      <c r="BE155" s="2">
        <v>12</v>
      </c>
      <c r="BF155" s="2">
        <v>40</v>
      </c>
      <c r="BG155" s="2">
        <v>62</v>
      </c>
      <c r="BH155" s="2">
        <v>38</v>
      </c>
      <c r="BI155" s="2">
        <v>19</v>
      </c>
      <c r="BJ155" s="2">
        <v>17</v>
      </c>
      <c r="BK155" s="2">
        <v>1</v>
      </c>
      <c r="BL155" s="2">
        <v>1</v>
      </c>
      <c r="BM155" s="2">
        <v>9</v>
      </c>
      <c r="BN155" s="2">
        <v>9</v>
      </c>
      <c r="BO155" s="2">
        <v>1</v>
      </c>
      <c r="BP155" s="2">
        <v>1</v>
      </c>
      <c r="BQ155" s="2">
        <v>2</v>
      </c>
      <c r="BR155" s="2">
        <v>6</v>
      </c>
      <c r="BS155" s="2">
        <v>4</v>
      </c>
      <c r="BT155" s="2">
        <v>6</v>
      </c>
      <c r="BU155" s="2">
        <v>6</v>
      </c>
      <c r="BV155" s="2">
        <f t="shared" si="13"/>
        <v>283</v>
      </c>
      <c r="BW155" s="16">
        <f t="shared" si="11"/>
        <v>14.894736842105264</v>
      </c>
      <c r="BX155" s="16">
        <f>COUNTIF($BC$6:BU155, "=0") / COUNTIF($BC$6:BU155, "&gt;-1")</f>
        <v>3.614035087719298E-2</v>
      </c>
      <c r="BY155" s="18">
        <f>SUM($BC$6:BU155) / $BY$4</f>
        <v>0.63833740110345838</v>
      </c>
      <c r="BZ155" s="14">
        <f t="shared" si="12"/>
        <v>0</v>
      </c>
      <c r="CA155" t="s">
        <v>5831</v>
      </c>
      <c r="CB155" s="36">
        <v>30.291084895868199</v>
      </c>
      <c r="CC155" s="36">
        <v>23.113538896258699</v>
      </c>
      <c r="CD155" s="36">
        <v>19.2095719417471</v>
      </c>
      <c r="CE155" s="36">
        <v>60.476870366129198</v>
      </c>
      <c r="CF155" s="36">
        <v>53.330934316087301</v>
      </c>
      <c r="CG155" s="36">
        <v>35.3296353723007</v>
      </c>
      <c r="CH155" s="36">
        <v>20.027183374428201</v>
      </c>
      <c r="CI155" s="36">
        <v>16.544121165699199</v>
      </c>
      <c r="CJ155" s="37">
        <v>0.79475829324495695</v>
      </c>
      <c r="CK155" s="37">
        <v>5.6758468219945701</v>
      </c>
      <c r="CL155" s="37">
        <v>7.2004891344060802</v>
      </c>
      <c r="CM155" s="37">
        <v>0.84654704659994096</v>
      </c>
      <c r="CN155" s="37">
        <v>1.8375851316302301</v>
      </c>
      <c r="CO155" s="37">
        <v>4.7351434223107498</v>
      </c>
      <c r="CP155" s="37">
        <v>6.0341601914496898</v>
      </c>
      <c r="CQ155" s="37">
        <v>9.1358210788476999</v>
      </c>
      <c r="CR155" s="45">
        <v>-2.85205670511206</v>
      </c>
      <c r="CS155" s="45">
        <v>-7.1241157999319196</v>
      </c>
      <c r="CT155" s="46">
        <v>7.3985411399312899E-10</v>
      </c>
      <c r="CU155" s="47">
        <v>9.8992480452280599E-9</v>
      </c>
      <c r="CV155" s="48">
        <v>32.290367541064803</v>
      </c>
      <c r="CW155" s="49">
        <v>4.5325438900604897</v>
      </c>
      <c r="CX155" s="31" t="s">
        <v>5875</v>
      </c>
      <c r="CY155" s="31" t="s">
        <v>5876</v>
      </c>
      <c r="CZ155" t="s">
        <v>13553</v>
      </c>
      <c r="DA155" t="s">
        <v>5904</v>
      </c>
      <c r="DB155">
        <v>1607</v>
      </c>
      <c r="DC155" t="s">
        <v>36123</v>
      </c>
      <c r="DD155" t="s">
        <v>36124</v>
      </c>
      <c r="DE155" t="s">
        <v>36125</v>
      </c>
      <c r="DF155" t="s">
        <v>36126</v>
      </c>
      <c r="DG155" t="s">
        <v>36127</v>
      </c>
      <c r="DH155" t="str">
        <f>"GAA"</f>
        <v>GAA</v>
      </c>
      <c r="DI155" t="s">
        <v>13772</v>
      </c>
      <c r="DJ155" t="s">
        <v>13777</v>
      </c>
      <c r="DK155">
        <v>9606</v>
      </c>
      <c r="DL155" s="34" t="str">
        <f>HYPERLINK("http://www.uniprot.org/uniprot/P10253", "P10253")</f>
        <v>P10253</v>
      </c>
      <c r="DM155" t="s">
        <v>36128</v>
      </c>
      <c r="DN155" t="s">
        <v>13772</v>
      </c>
      <c r="DO155" t="s">
        <v>18613</v>
      </c>
      <c r="DP155" t="s">
        <v>13793</v>
      </c>
      <c r="DQ155" t="s">
        <v>13772</v>
      </c>
      <c r="DR155" t="s">
        <v>16230</v>
      </c>
      <c r="DS155" t="s">
        <v>13808</v>
      </c>
      <c r="DT155" t="s">
        <v>13772</v>
      </c>
      <c r="DU155" t="s">
        <v>15471</v>
      </c>
      <c r="DV155" t="s">
        <v>13964</v>
      </c>
      <c r="DW155" t="s">
        <v>13812</v>
      </c>
      <c r="DX155" t="s">
        <v>36129</v>
      </c>
      <c r="DY155" t="s">
        <v>36130</v>
      </c>
      <c r="DZ155" t="s">
        <v>36131</v>
      </c>
      <c r="EA155" t="s">
        <v>13772</v>
      </c>
      <c r="EB155" t="s">
        <v>36132</v>
      </c>
    </row>
    <row r="156" spans="1:132">
      <c r="A156">
        <v>1643</v>
      </c>
      <c r="B156">
        <v>1</v>
      </c>
      <c r="C156" t="s">
        <v>3895</v>
      </c>
      <c r="D156" t="s">
        <v>3896</v>
      </c>
      <c r="E156" t="s">
        <v>73</v>
      </c>
      <c r="F156" t="s">
        <v>879</v>
      </c>
      <c r="G156" t="s">
        <v>73</v>
      </c>
      <c r="H156">
        <v>36.200000000000003</v>
      </c>
      <c r="I156">
        <v>2646</v>
      </c>
      <c r="J156">
        <v>280357</v>
      </c>
      <c r="K156" t="s">
        <v>3897</v>
      </c>
      <c r="L156">
        <f t="shared" si="10"/>
        <v>284</v>
      </c>
      <c r="N156">
        <v>284</v>
      </c>
      <c r="O156">
        <v>280</v>
      </c>
      <c r="P156">
        <v>0.98599999999999999</v>
      </c>
      <c r="Q156">
        <v>1</v>
      </c>
      <c r="R156">
        <v>5</v>
      </c>
      <c r="S156">
        <v>3</v>
      </c>
      <c r="T156">
        <v>10</v>
      </c>
      <c r="U156">
        <v>4</v>
      </c>
      <c r="V156">
        <v>15</v>
      </c>
      <c r="W156">
        <v>9</v>
      </c>
      <c r="X156">
        <v>9</v>
      </c>
      <c r="Y156">
        <v>16</v>
      </c>
      <c r="Z156">
        <v>2</v>
      </c>
      <c r="AA156">
        <v>47</v>
      </c>
      <c r="AB156">
        <v>14</v>
      </c>
      <c r="AC156">
        <v>30</v>
      </c>
      <c r="AD156">
        <v>2</v>
      </c>
      <c r="AE156">
        <v>43</v>
      </c>
      <c r="AF156">
        <v>54</v>
      </c>
      <c r="AG156">
        <v>6</v>
      </c>
      <c r="AH156">
        <v>5</v>
      </c>
      <c r="AI156">
        <v>9</v>
      </c>
      <c r="AJ156">
        <v>1</v>
      </c>
      <c r="AK156">
        <v>5</v>
      </c>
      <c r="AL156">
        <v>3</v>
      </c>
      <c r="AM156">
        <v>10</v>
      </c>
      <c r="AN156">
        <v>4</v>
      </c>
      <c r="AO156">
        <v>15</v>
      </c>
      <c r="AP156">
        <v>9</v>
      </c>
      <c r="AQ156">
        <v>9</v>
      </c>
      <c r="AR156">
        <v>16</v>
      </c>
      <c r="AS156">
        <v>2</v>
      </c>
      <c r="AT156">
        <v>47</v>
      </c>
      <c r="AU156">
        <v>13</v>
      </c>
      <c r="AV156">
        <v>30</v>
      </c>
      <c r="AW156">
        <v>2</v>
      </c>
      <c r="AX156">
        <v>41</v>
      </c>
      <c r="AY156">
        <v>53</v>
      </c>
      <c r="AZ156">
        <v>6</v>
      </c>
      <c r="BA156">
        <v>5</v>
      </c>
      <c r="BB156">
        <v>9</v>
      </c>
      <c r="BC156" s="2">
        <v>1</v>
      </c>
      <c r="BD156" s="2">
        <v>5</v>
      </c>
      <c r="BE156" s="2">
        <v>3</v>
      </c>
      <c r="BF156" s="2">
        <v>10</v>
      </c>
      <c r="BG156" s="2">
        <v>4</v>
      </c>
      <c r="BH156" s="2">
        <v>15</v>
      </c>
      <c r="BI156" s="2">
        <v>9</v>
      </c>
      <c r="BJ156" s="2">
        <v>9</v>
      </c>
      <c r="BK156" s="2">
        <v>16</v>
      </c>
      <c r="BL156" s="2">
        <v>2</v>
      </c>
      <c r="BM156" s="2">
        <v>47</v>
      </c>
      <c r="BN156" s="2">
        <v>13.52</v>
      </c>
      <c r="BO156" s="2">
        <v>30</v>
      </c>
      <c r="BP156" s="2">
        <v>2</v>
      </c>
      <c r="BQ156" s="2">
        <v>41.951000000000001</v>
      </c>
      <c r="BR156" s="2">
        <v>53.716000000000001</v>
      </c>
      <c r="BS156" s="2">
        <v>6</v>
      </c>
      <c r="BT156" s="2">
        <v>5</v>
      </c>
      <c r="BU156" s="2">
        <v>9</v>
      </c>
      <c r="BV156" s="2">
        <f t="shared" si="13"/>
        <v>282.18700000000001</v>
      </c>
      <c r="BW156" s="16">
        <f t="shared" si="11"/>
        <v>14.851947368421053</v>
      </c>
      <c r="BX156" s="16">
        <f>COUNTIF($BC$6:BU156, "=0") / COUNTIF($BC$6:BU156, "&gt;-1")</f>
        <v>3.590101080515859E-2</v>
      </c>
      <c r="BY156" s="18">
        <f>SUM($BC$6:BU156) / $BY$4</f>
        <v>0.6395461877405263</v>
      </c>
      <c r="BZ156" s="14">
        <f t="shared" si="12"/>
        <v>0</v>
      </c>
      <c r="CA156" t="s">
        <v>5831</v>
      </c>
      <c r="CB156" s="36">
        <v>1.2116433958347299</v>
      </c>
      <c r="CC156" s="36">
        <v>4.8153206033872298</v>
      </c>
      <c r="CD156" s="36">
        <v>4.8023929854367697</v>
      </c>
      <c r="CE156" s="36">
        <v>15.119217591532299</v>
      </c>
      <c r="CF156" s="36">
        <v>3.4407054397475698</v>
      </c>
      <c r="CG156" s="36">
        <v>13.945908699592399</v>
      </c>
      <c r="CH156" s="36">
        <v>9.4865605457817708</v>
      </c>
      <c r="CI156" s="36">
        <v>8.7586523818407507</v>
      </c>
      <c r="CJ156" s="37">
        <v>12.716132691919301</v>
      </c>
      <c r="CK156" s="37">
        <v>29.640533403749401</v>
      </c>
      <c r="CL156" s="37">
        <v>10.800733701609101</v>
      </c>
      <c r="CM156" s="37">
        <v>25.3964113979982</v>
      </c>
      <c r="CN156" s="37">
        <v>38.589287764234797</v>
      </c>
      <c r="CO156" s="37">
        <v>42.379533629681198</v>
      </c>
      <c r="CP156" s="37">
        <v>9.0512402871745401</v>
      </c>
      <c r="CQ156" s="37">
        <v>13.7037316182716</v>
      </c>
      <c r="CR156" s="45">
        <v>1.57085468769336</v>
      </c>
      <c r="CS156" s="45">
        <v>2.9599937582561</v>
      </c>
      <c r="CT156" s="46">
        <v>7.9289507734663805E-4</v>
      </c>
      <c r="CU156" s="47">
        <v>1.8228412602917599E-3</v>
      </c>
      <c r="CV156" s="48">
        <v>7.6975502053941902</v>
      </c>
      <c r="CW156" s="49">
        <v>22.784700561829801</v>
      </c>
      <c r="CX156" s="31" t="s">
        <v>5874</v>
      </c>
      <c r="CY156" s="31" t="s">
        <v>5876</v>
      </c>
      <c r="CZ156" t="s">
        <v>11224</v>
      </c>
      <c r="DA156" t="s">
        <v>5904</v>
      </c>
      <c r="DB156">
        <v>5279.1</v>
      </c>
      <c r="DC156" t="s">
        <v>29537</v>
      </c>
      <c r="DD156" t="s">
        <v>29538</v>
      </c>
      <c r="DE156" t="s">
        <v>29539</v>
      </c>
      <c r="DF156" t="s">
        <v>29540</v>
      </c>
      <c r="DG156" t="s">
        <v>29541</v>
      </c>
      <c r="DH156" t="str">
        <f>"FLNA"</f>
        <v>FLNA</v>
      </c>
      <c r="DI156" t="s">
        <v>29542</v>
      </c>
      <c r="DJ156" t="s">
        <v>13777</v>
      </c>
      <c r="DK156">
        <v>9606</v>
      </c>
      <c r="DL156" s="34" t="str">
        <f>HYPERLINK("http://www.uniprot.org/uniprot/P21333", "P21333")</f>
        <v>P21333</v>
      </c>
      <c r="DM156" t="s">
        <v>29543</v>
      </c>
      <c r="DN156" t="s">
        <v>21905</v>
      </c>
      <c r="DO156" t="s">
        <v>13988</v>
      </c>
      <c r="DP156" t="s">
        <v>13780</v>
      </c>
      <c r="DQ156" t="s">
        <v>13772</v>
      </c>
      <c r="DR156" t="s">
        <v>26462</v>
      </c>
      <c r="DS156" t="s">
        <v>14096</v>
      </c>
      <c r="DT156" t="s">
        <v>13772</v>
      </c>
      <c r="DU156" t="s">
        <v>13990</v>
      </c>
      <c r="DV156" t="s">
        <v>13991</v>
      </c>
      <c r="DW156" t="s">
        <v>13812</v>
      </c>
      <c r="DX156" t="s">
        <v>29544</v>
      </c>
      <c r="DY156" t="s">
        <v>29545</v>
      </c>
      <c r="DZ156" t="s">
        <v>29546</v>
      </c>
      <c r="EA156" t="s">
        <v>13772</v>
      </c>
      <c r="EB156" t="s">
        <v>29547</v>
      </c>
    </row>
    <row r="157" spans="1:132" hidden="1">
      <c r="A157">
        <v>1541</v>
      </c>
      <c r="B157">
        <v>1</v>
      </c>
      <c r="C157" t="s">
        <v>3659</v>
      </c>
      <c r="D157" t="s">
        <v>3660</v>
      </c>
      <c r="E157" t="s">
        <v>73</v>
      </c>
      <c r="F157" t="s">
        <v>73</v>
      </c>
      <c r="G157" t="s">
        <v>73</v>
      </c>
      <c r="H157">
        <v>36.5</v>
      </c>
      <c r="I157">
        <v>304</v>
      </c>
      <c r="J157">
        <v>34708</v>
      </c>
      <c r="K157" t="s">
        <v>3661</v>
      </c>
      <c r="L157">
        <f t="shared" si="10"/>
        <v>282</v>
      </c>
      <c r="N157">
        <v>282</v>
      </c>
      <c r="O157">
        <v>282</v>
      </c>
      <c r="P157">
        <v>1</v>
      </c>
      <c r="Q157">
        <v>26</v>
      </c>
      <c r="R157">
        <v>23</v>
      </c>
      <c r="S157">
        <v>44</v>
      </c>
      <c r="T157">
        <v>28</v>
      </c>
      <c r="U157">
        <v>38</v>
      </c>
      <c r="V157">
        <v>33</v>
      </c>
      <c r="W157">
        <v>15</v>
      </c>
      <c r="X157">
        <v>11</v>
      </c>
      <c r="Y157">
        <v>9</v>
      </c>
      <c r="Z157">
        <v>0</v>
      </c>
      <c r="AA157">
        <v>8</v>
      </c>
      <c r="AB157">
        <v>13</v>
      </c>
      <c r="AC157">
        <v>6</v>
      </c>
      <c r="AD157">
        <v>0</v>
      </c>
      <c r="AE157">
        <v>8</v>
      </c>
      <c r="AF157">
        <v>15</v>
      </c>
      <c r="AG157">
        <v>0</v>
      </c>
      <c r="AH157">
        <v>0</v>
      </c>
      <c r="AI157">
        <v>5</v>
      </c>
      <c r="AJ157">
        <v>26</v>
      </c>
      <c r="AK157">
        <v>23</v>
      </c>
      <c r="AL157">
        <v>44</v>
      </c>
      <c r="AM157">
        <v>28</v>
      </c>
      <c r="AN157">
        <v>38</v>
      </c>
      <c r="AO157">
        <v>33</v>
      </c>
      <c r="AP157">
        <v>15</v>
      </c>
      <c r="AQ157">
        <v>11</v>
      </c>
      <c r="AR157">
        <v>9</v>
      </c>
      <c r="AS157">
        <v>0</v>
      </c>
      <c r="AT157">
        <v>8</v>
      </c>
      <c r="AU157">
        <v>13</v>
      </c>
      <c r="AV157">
        <v>6</v>
      </c>
      <c r="AW157">
        <v>0</v>
      </c>
      <c r="AX157">
        <v>8</v>
      </c>
      <c r="AY157">
        <v>15</v>
      </c>
      <c r="AZ157">
        <v>0</v>
      </c>
      <c r="BA157">
        <v>0</v>
      </c>
      <c r="BB157">
        <v>5</v>
      </c>
      <c r="BC157" s="2">
        <v>26</v>
      </c>
      <c r="BD157" s="2">
        <v>23</v>
      </c>
      <c r="BE157" s="2">
        <v>44</v>
      </c>
      <c r="BF157" s="2">
        <v>28</v>
      </c>
      <c r="BG157" s="2">
        <v>38</v>
      </c>
      <c r="BH157" s="2">
        <v>33</v>
      </c>
      <c r="BI157" s="2">
        <v>15</v>
      </c>
      <c r="BJ157" s="2">
        <v>11</v>
      </c>
      <c r="BK157" s="2">
        <v>9</v>
      </c>
      <c r="BL157" s="2">
        <v>0</v>
      </c>
      <c r="BM157" s="2">
        <v>8</v>
      </c>
      <c r="BN157" s="2">
        <v>13</v>
      </c>
      <c r="BO157" s="2">
        <v>6</v>
      </c>
      <c r="BP157" s="2">
        <v>0</v>
      </c>
      <c r="BQ157" s="2">
        <v>8</v>
      </c>
      <c r="BR157" s="2">
        <v>15</v>
      </c>
      <c r="BS157" s="2">
        <v>0</v>
      </c>
      <c r="BT157" s="2">
        <v>0</v>
      </c>
      <c r="BU157" s="2">
        <v>5</v>
      </c>
      <c r="BV157" s="2">
        <f t="shared" si="13"/>
        <v>282</v>
      </c>
      <c r="BW157" s="16">
        <f t="shared" si="11"/>
        <v>14.842105263157896</v>
      </c>
      <c r="BX157" s="16">
        <f>COUNTIF($BC$6:BU157, "=0") / COUNTIF($BC$6:BU157, "&gt;-1")</f>
        <v>3.7049861495844875E-2</v>
      </c>
      <c r="BY157" s="18">
        <f>SUM($BC$6:BU157) / $BY$4</f>
        <v>0.64075417333749984</v>
      </c>
      <c r="BZ157" s="14">
        <f t="shared" si="12"/>
        <v>4</v>
      </c>
      <c r="CA157" t="s">
        <v>5831</v>
      </c>
      <c r="CB157" s="36">
        <v>31.502728291703001</v>
      </c>
      <c r="CC157" s="36">
        <v>22.150474775581301</v>
      </c>
      <c r="CD157" s="36">
        <v>70.435097119739297</v>
      </c>
      <c r="CE157" s="36">
        <v>42.333809256290401</v>
      </c>
      <c r="CF157" s="36">
        <v>32.686701677601903</v>
      </c>
      <c r="CG157" s="36">
        <v>30.6809991391032</v>
      </c>
      <c r="CH157" s="36">
        <v>15.8109342429696</v>
      </c>
      <c r="CI157" s="36">
        <v>10.7050195778054</v>
      </c>
      <c r="CJ157" s="37">
        <v>7.1528246392046197</v>
      </c>
      <c r="CK157" s="37">
        <v>5.0451971751062796</v>
      </c>
      <c r="CL157" s="37">
        <v>10.400706527475499</v>
      </c>
      <c r="CM157" s="37">
        <v>5.0792822795996404</v>
      </c>
      <c r="CN157" s="37">
        <v>7.3503405265209096</v>
      </c>
      <c r="CO157" s="37">
        <v>11.837858555776901</v>
      </c>
      <c r="CP157" s="37">
        <v>0.377135011965606</v>
      </c>
      <c r="CQ157" s="37">
        <v>7.6131842323730803</v>
      </c>
      <c r="CR157" s="45">
        <v>-2.1587566108119298</v>
      </c>
      <c r="CS157" s="45">
        <v>-4.67229277892607</v>
      </c>
      <c r="CT157" s="46">
        <v>6.2668896415463895E-7</v>
      </c>
      <c r="CU157" s="47">
        <v>3.2754290392144802E-6</v>
      </c>
      <c r="CV157" s="48">
        <v>32.0382205100993</v>
      </c>
      <c r="CW157" s="49">
        <v>6.8570661185028099</v>
      </c>
      <c r="CX157" s="31" t="s">
        <v>5875</v>
      </c>
      <c r="CY157" s="31" t="s">
        <v>5876</v>
      </c>
      <c r="CZ157" t="s">
        <v>10874</v>
      </c>
      <c r="DA157" t="s">
        <v>5904</v>
      </c>
      <c r="DB157">
        <v>609.79999999999995</v>
      </c>
      <c r="DC157" t="s">
        <v>28578</v>
      </c>
      <c r="DD157" t="s">
        <v>28579</v>
      </c>
      <c r="DE157" t="s">
        <v>28580</v>
      </c>
      <c r="DF157" t="s">
        <v>28581</v>
      </c>
      <c r="DG157" t="s">
        <v>28582</v>
      </c>
      <c r="DH157" t="str">
        <f>"SPARC"</f>
        <v>SPARC</v>
      </c>
      <c r="DI157" t="s">
        <v>28583</v>
      </c>
      <c r="DJ157" t="s">
        <v>13777</v>
      </c>
      <c r="DK157">
        <v>9606</v>
      </c>
      <c r="DL157" s="34" t="str">
        <f>HYPERLINK("http://www.uniprot.org/uniprot/P09486", "P09486")</f>
        <v>P09486</v>
      </c>
      <c r="DM157" t="s">
        <v>28584</v>
      </c>
      <c r="DN157" t="s">
        <v>13772</v>
      </c>
      <c r="DO157" t="s">
        <v>15002</v>
      </c>
      <c r="DP157" t="s">
        <v>13793</v>
      </c>
      <c r="DQ157" t="s">
        <v>13772</v>
      </c>
      <c r="DR157" t="s">
        <v>22058</v>
      </c>
      <c r="DS157" t="s">
        <v>13808</v>
      </c>
      <c r="DT157" t="s">
        <v>22069</v>
      </c>
      <c r="DU157" t="s">
        <v>13772</v>
      </c>
      <c r="DV157" t="s">
        <v>13796</v>
      </c>
      <c r="DW157" t="s">
        <v>13812</v>
      </c>
      <c r="DX157" t="s">
        <v>28585</v>
      </c>
      <c r="DY157" t="s">
        <v>28586</v>
      </c>
      <c r="DZ157" t="s">
        <v>26022</v>
      </c>
      <c r="EA157" t="s">
        <v>13772</v>
      </c>
      <c r="EB157" t="s">
        <v>28587</v>
      </c>
    </row>
    <row r="158" spans="1:132">
      <c r="A158">
        <v>228</v>
      </c>
      <c r="B158">
        <v>1</v>
      </c>
      <c r="C158" t="s">
        <v>578</v>
      </c>
      <c r="D158" t="s">
        <v>73</v>
      </c>
      <c r="E158" t="s">
        <v>73</v>
      </c>
      <c r="F158" t="s">
        <v>579</v>
      </c>
      <c r="G158" t="s">
        <v>73</v>
      </c>
      <c r="H158">
        <v>68</v>
      </c>
      <c r="I158">
        <v>531</v>
      </c>
      <c r="J158">
        <v>58001</v>
      </c>
      <c r="K158" t="s">
        <v>580</v>
      </c>
      <c r="L158">
        <f t="shared" si="10"/>
        <v>274</v>
      </c>
      <c r="N158">
        <v>274</v>
      </c>
      <c r="O158">
        <v>265</v>
      </c>
      <c r="P158">
        <v>0.96699999999999997</v>
      </c>
      <c r="Q158">
        <v>3</v>
      </c>
      <c r="R158">
        <v>3</v>
      </c>
      <c r="S158">
        <v>1</v>
      </c>
      <c r="T158">
        <v>2</v>
      </c>
      <c r="U158">
        <v>6</v>
      </c>
      <c r="V158">
        <v>7</v>
      </c>
      <c r="W158">
        <v>6</v>
      </c>
      <c r="X158">
        <v>13</v>
      </c>
      <c r="Y158">
        <v>45</v>
      </c>
      <c r="Z158">
        <v>7</v>
      </c>
      <c r="AA158">
        <v>39</v>
      </c>
      <c r="AB158">
        <v>28</v>
      </c>
      <c r="AC158">
        <v>44</v>
      </c>
      <c r="AD158">
        <v>16</v>
      </c>
      <c r="AE158">
        <v>10</v>
      </c>
      <c r="AF158">
        <v>28</v>
      </c>
      <c r="AG158">
        <v>7</v>
      </c>
      <c r="AH158">
        <v>2</v>
      </c>
      <c r="AI158">
        <v>7</v>
      </c>
      <c r="AJ158">
        <v>3</v>
      </c>
      <c r="AK158">
        <v>3</v>
      </c>
      <c r="AL158">
        <v>1</v>
      </c>
      <c r="AM158">
        <v>1</v>
      </c>
      <c r="AN158">
        <v>5</v>
      </c>
      <c r="AO158">
        <v>6</v>
      </c>
      <c r="AP158">
        <v>5</v>
      </c>
      <c r="AQ158">
        <v>12</v>
      </c>
      <c r="AR158">
        <v>45</v>
      </c>
      <c r="AS158">
        <v>7</v>
      </c>
      <c r="AT158">
        <v>38</v>
      </c>
      <c r="AU158">
        <v>27</v>
      </c>
      <c r="AV158">
        <v>42</v>
      </c>
      <c r="AW158">
        <v>16</v>
      </c>
      <c r="AX158">
        <v>10</v>
      </c>
      <c r="AY158">
        <v>28</v>
      </c>
      <c r="AZ158">
        <v>7</v>
      </c>
      <c r="BA158">
        <v>2</v>
      </c>
      <c r="BB158">
        <v>7</v>
      </c>
      <c r="BC158" s="2">
        <v>3</v>
      </c>
      <c r="BD158" s="2">
        <v>3</v>
      </c>
      <c r="BE158" s="2">
        <v>1</v>
      </c>
      <c r="BF158" s="2">
        <v>2</v>
      </c>
      <c r="BG158" s="2">
        <v>5.7140000000000004</v>
      </c>
      <c r="BH158" s="2">
        <v>6.6</v>
      </c>
      <c r="BI158" s="2">
        <v>6</v>
      </c>
      <c r="BJ158" s="2">
        <v>13</v>
      </c>
      <c r="BK158" s="2">
        <v>45</v>
      </c>
      <c r="BL158" s="2">
        <v>7</v>
      </c>
      <c r="BM158" s="2">
        <v>39</v>
      </c>
      <c r="BN158" s="2">
        <v>28</v>
      </c>
      <c r="BO158" s="2">
        <v>44</v>
      </c>
      <c r="BP158" s="2">
        <v>16</v>
      </c>
      <c r="BQ158" s="2">
        <v>10</v>
      </c>
      <c r="BR158" s="2">
        <v>28</v>
      </c>
      <c r="BS158" s="2">
        <v>7</v>
      </c>
      <c r="BT158" s="2">
        <v>2</v>
      </c>
      <c r="BU158" s="2">
        <v>7</v>
      </c>
      <c r="BV158" s="2">
        <f t="shared" si="13"/>
        <v>273.31399999999996</v>
      </c>
      <c r="BW158" s="16">
        <f t="shared" si="11"/>
        <v>14.38494736842105</v>
      </c>
      <c r="BX158" s="16">
        <f>COUNTIF($BC$6:BU158, "=0") / COUNTIF($BC$6:BU158, "&gt;-1")</f>
        <v>3.6807705538355696E-2</v>
      </c>
      <c r="BY158" s="18">
        <f>SUM($BC$6:BU158) / $BY$4</f>
        <v>0.64192495126463189</v>
      </c>
      <c r="BZ158" s="14">
        <f t="shared" si="12"/>
        <v>0</v>
      </c>
      <c r="CA158" t="s">
        <v>5831</v>
      </c>
      <c r="CB158" s="36">
        <v>3.6349301875041902</v>
      </c>
      <c r="CC158" s="36">
        <v>2.8891923620323401</v>
      </c>
      <c r="CD158" s="36">
        <v>1.6007976618122599</v>
      </c>
      <c r="CE158" s="36">
        <v>3.0238435183064598</v>
      </c>
      <c r="CF158" s="36">
        <v>4.9030052516402796</v>
      </c>
      <c r="CG158" s="36">
        <v>6.13619982782064</v>
      </c>
      <c r="CH158" s="36">
        <v>6.3243736971878404</v>
      </c>
      <c r="CI158" s="36">
        <v>12.65138677377</v>
      </c>
      <c r="CJ158" s="37">
        <v>35.7641231960231</v>
      </c>
      <c r="CK158" s="37">
        <v>24.595336228643099</v>
      </c>
      <c r="CL158" s="37">
        <v>22.4015217514856</v>
      </c>
      <c r="CM158" s="37">
        <v>37.248070050397402</v>
      </c>
      <c r="CN158" s="37">
        <v>9.1879256581511406</v>
      </c>
      <c r="CO158" s="37">
        <v>22.097335970783501</v>
      </c>
      <c r="CP158" s="37">
        <v>10.559780335037001</v>
      </c>
      <c r="CQ158" s="37">
        <v>10.658457925322301</v>
      </c>
      <c r="CR158" s="45">
        <v>2.0176698353895</v>
      </c>
      <c r="CS158" s="45">
        <v>4.1908873207790398</v>
      </c>
      <c r="CT158" s="46">
        <v>3.79966355767782E-6</v>
      </c>
      <c r="CU158" s="47">
        <v>1.5691203210410199E-5</v>
      </c>
      <c r="CV158" s="48">
        <v>5.1454661600092502</v>
      </c>
      <c r="CW158" s="49">
        <v>21.564068889480399</v>
      </c>
      <c r="CX158" s="31" t="s">
        <v>5874</v>
      </c>
      <c r="CY158" s="31" t="s">
        <v>5876</v>
      </c>
      <c r="CZ158" t="s">
        <v>6485</v>
      </c>
      <c r="DA158" t="s">
        <v>5904</v>
      </c>
      <c r="DB158">
        <v>1077</v>
      </c>
      <c r="DC158" t="s">
        <v>15765</v>
      </c>
      <c r="DD158" t="s">
        <v>15766</v>
      </c>
      <c r="DE158" t="s">
        <v>15767</v>
      </c>
      <c r="DF158" t="s">
        <v>15768</v>
      </c>
      <c r="DG158" t="s">
        <v>15769</v>
      </c>
      <c r="DH158" t="str">
        <f>"PKM"</f>
        <v>PKM</v>
      </c>
      <c r="DI158" t="s">
        <v>15770</v>
      </c>
      <c r="DJ158" t="s">
        <v>13777</v>
      </c>
      <c r="DK158">
        <v>9606</v>
      </c>
      <c r="DL158" s="34" t="str">
        <f>HYPERLINK("http://www.uniprot.org/uniprot/P14618", "P14618")</f>
        <v>P14618</v>
      </c>
      <c r="DM158" t="s">
        <v>15771</v>
      </c>
      <c r="DN158" t="s">
        <v>15772</v>
      </c>
      <c r="DO158" t="s">
        <v>13912</v>
      </c>
      <c r="DP158" t="s">
        <v>13780</v>
      </c>
      <c r="DQ158" t="s">
        <v>13772</v>
      </c>
      <c r="DR158" t="s">
        <v>13772</v>
      </c>
      <c r="DS158" t="s">
        <v>13772</v>
      </c>
      <c r="DT158" t="s">
        <v>15773</v>
      </c>
      <c r="DU158" t="s">
        <v>15774</v>
      </c>
      <c r="DV158" t="s">
        <v>15775</v>
      </c>
      <c r="DW158" t="s">
        <v>13812</v>
      </c>
      <c r="DX158" t="s">
        <v>15776</v>
      </c>
      <c r="DY158" t="s">
        <v>15777</v>
      </c>
      <c r="DZ158" t="s">
        <v>15778</v>
      </c>
      <c r="EA158" t="s">
        <v>15779</v>
      </c>
      <c r="EB158" t="s">
        <v>15780</v>
      </c>
    </row>
    <row r="159" spans="1:132" hidden="1">
      <c r="A159">
        <v>1964</v>
      </c>
      <c r="B159">
        <v>1</v>
      </c>
      <c r="C159" t="s">
        <v>4630</v>
      </c>
      <c r="D159" t="s">
        <v>73</v>
      </c>
      <c r="E159" t="s">
        <v>73</v>
      </c>
      <c r="F159" t="s">
        <v>73</v>
      </c>
      <c r="G159" t="s">
        <v>73</v>
      </c>
      <c r="H159">
        <v>80</v>
      </c>
      <c r="I159">
        <v>125</v>
      </c>
      <c r="J159">
        <v>13888</v>
      </c>
      <c r="K159" t="s">
        <v>4631</v>
      </c>
      <c r="L159">
        <f t="shared" si="10"/>
        <v>272</v>
      </c>
      <c r="N159">
        <v>272</v>
      </c>
      <c r="O159">
        <v>272</v>
      </c>
      <c r="P159">
        <v>1</v>
      </c>
      <c r="Q159">
        <v>12</v>
      </c>
      <c r="R159">
        <v>18</v>
      </c>
      <c r="S159">
        <v>14</v>
      </c>
      <c r="T159">
        <v>23</v>
      </c>
      <c r="U159">
        <v>51</v>
      </c>
      <c r="V159">
        <v>36</v>
      </c>
      <c r="W159">
        <v>22</v>
      </c>
      <c r="X159">
        <v>21</v>
      </c>
      <c r="Y159">
        <v>11</v>
      </c>
      <c r="Z159">
        <v>0</v>
      </c>
      <c r="AA159">
        <v>17</v>
      </c>
      <c r="AB159">
        <v>9</v>
      </c>
      <c r="AC159">
        <v>10</v>
      </c>
      <c r="AD159">
        <v>1</v>
      </c>
      <c r="AE159">
        <v>11</v>
      </c>
      <c r="AF159">
        <v>11</v>
      </c>
      <c r="AG159">
        <v>0</v>
      </c>
      <c r="AH159">
        <v>4</v>
      </c>
      <c r="AI159">
        <v>1</v>
      </c>
      <c r="AJ159">
        <v>12</v>
      </c>
      <c r="AK159">
        <v>18</v>
      </c>
      <c r="AL159">
        <v>14</v>
      </c>
      <c r="AM159">
        <v>23</v>
      </c>
      <c r="AN159">
        <v>51</v>
      </c>
      <c r="AO159">
        <v>36</v>
      </c>
      <c r="AP159">
        <v>22</v>
      </c>
      <c r="AQ159">
        <v>21</v>
      </c>
      <c r="AR159">
        <v>11</v>
      </c>
      <c r="AS159">
        <v>0</v>
      </c>
      <c r="AT159">
        <v>17</v>
      </c>
      <c r="AU159">
        <v>9</v>
      </c>
      <c r="AV159">
        <v>10</v>
      </c>
      <c r="AW159">
        <v>1</v>
      </c>
      <c r="AX159">
        <v>11</v>
      </c>
      <c r="AY159">
        <v>11</v>
      </c>
      <c r="AZ159">
        <v>0</v>
      </c>
      <c r="BA159">
        <v>4</v>
      </c>
      <c r="BB159">
        <v>1</v>
      </c>
      <c r="BC159" s="2">
        <v>12</v>
      </c>
      <c r="BD159" s="2">
        <v>18</v>
      </c>
      <c r="BE159" s="2">
        <v>14</v>
      </c>
      <c r="BF159" s="2">
        <v>23</v>
      </c>
      <c r="BG159" s="2">
        <v>51</v>
      </c>
      <c r="BH159" s="2">
        <v>36</v>
      </c>
      <c r="BI159" s="2">
        <v>22</v>
      </c>
      <c r="BJ159" s="2">
        <v>21</v>
      </c>
      <c r="BK159" s="2">
        <v>11</v>
      </c>
      <c r="BL159" s="2">
        <v>0</v>
      </c>
      <c r="BM159" s="2">
        <v>17</v>
      </c>
      <c r="BN159" s="2">
        <v>9</v>
      </c>
      <c r="BO159" s="2">
        <v>10</v>
      </c>
      <c r="BP159" s="2">
        <v>1</v>
      </c>
      <c r="BQ159" s="2">
        <v>11</v>
      </c>
      <c r="BR159" s="2">
        <v>11</v>
      </c>
      <c r="BS159" s="2">
        <v>0</v>
      </c>
      <c r="BT159" s="2">
        <v>4</v>
      </c>
      <c r="BU159" s="2">
        <v>1</v>
      </c>
      <c r="BV159" s="2">
        <f t="shared" si="13"/>
        <v>272</v>
      </c>
      <c r="BW159" s="16">
        <f t="shared" si="11"/>
        <v>14.315789473684211</v>
      </c>
      <c r="BX159" s="16">
        <f>COUNTIF($BC$6:BU159, "=0") / COUNTIF($BC$6:BU159, "&gt;-1")</f>
        <v>3.725222146274778E-2</v>
      </c>
      <c r="BY159" s="18">
        <f>SUM($BC$6:BU159) / $BY$4</f>
        <v>0.64309010049291848</v>
      </c>
      <c r="BZ159" s="14">
        <f t="shared" si="12"/>
        <v>2</v>
      </c>
      <c r="CA159" t="s">
        <v>5831</v>
      </c>
      <c r="CB159" s="36">
        <v>14.5397207500168</v>
      </c>
      <c r="CC159" s="36">
        <v>17.335154172193999</v>
      </c>
      <c r="CD159" s="36">
        <v>22.411167265371599</v>
      </c>
      <c r="CE159" s="36">
        <v>34.774200460524298</v>
      </c>
      <c r="CF159" s="36">
        <v>43.868994356781499</v>
      </c>
      <c r="CG159" s="36">
        <v>33.470180879021697</v>
      </c>
      <c r="CH159" s="36">
        <v>23.189370223022099</v>
      </c>
      <c r="CI159" s="36">
        <v>20.436855557628402</v>
      </c>
      <c r="CJ159" s="37">
        <v>8.7423412256945294</v>
      </c>
      <c r="CK159" s="37">
        <v>10.7210439971009</v>
      </c>
      <c r="CL159" s="37">
        <v>7.2004891344060802</v>
      </c>
      <c r="CM159" s="37">
        <v>8.4654704659994096</v>
      </c>
      <c r="CN159" s="37">
        <v>10.1067182239663</v>
      </c>
      <c r="CO159" s="37">
        <v>8.6810962742363706</v>
      </c>
      <c r="CP159" s="37">
        <v>0.377135011965606</v>
      </c>
      <c r="CQ159" s="37">
        <v>1.5226368464746201</v>
      </c>
      <c r="CR159" s="45">
        <v>-1.8196827151634001</v>
      </c>
      <c r="CS159" s="45">
        <v>-3.7627587046634998</v>
      </c>
      <c r="CT159" s="46">
        <v>1.8053585249286799E-6</v>
      </c>
      <c r="CU159" s="47">
        <v>8.1059386119281094E-6</v>
      </c>
      <c r="CV159" s="48">
        <v>26.253205458069999</v>
      </c>
      <c r="CW159" s="49">
        <v>6.9771163974804704</v>
      </c>
      <c r="CX159" s="31" t="s">
        <v>5875</v>
      </c>
      <c r="CY159" s="31" t="s">
        <v>5876</v>
      </c>
      <c r="CZ159" t="s">
        <v>12303</v>
      </c>
      <c r="DA159" t="s">
        <v>5904</v>
      </c>
      <c r="DB159">
        <v>221.5</v>
      </c>
      <c r="DC159" t="s">
        <v>32606</v>
      </c>
      <c r="DD159" t="s">
        <v>32607</v>
      </c>
      <c r="DE159" t="s">
        <v>32608</v>
      </c>
      <c r="DF159" t="s">
        <v>32609</v>
      </c>
      <c r="DG159" t="s">
        <v>32610</v>
      </c>
      <c r="DH159" t="str">
        <f>"PHPT1"</f>
        <v>PHPT1</v>
      </c>
      <c r="DI159" t="s">
        <v>32611</v>
      </c>
      <c r="DJ159" t="s">
        <v>13777</v>
      </c>
      <c r="DK159">
        <v>9606</v>
      </c>
      <c r="DL159" s="34" t="str">
        <f>HYPERLINK("http://www.uniprot.org/uniprot/Q9NRX4", "Q9NRX4")</f>
        <v>Q9NRX4</v>
      </c>
      <c r="DM159" t="s">
        <v>32612</v>
      </c>
      <c r="DN159" t="s">
        <v>13772</v>
      </c>
      <c r="DO159" t="s">
        <v>13899</v>
      </c>
      <c r="DP159" t="s">
        <v>13841</v>
      </c>
      <c r="DQ159" t="s">
        <v>13772</v>
      </c>
      <c r="DR159" t="s">
        <v>13772</v>
      </c>
      <c r="DS159" t="s">
        <v>13772</v>
      </c>
      <c r="DT159" t="s">
        <v>13772</v>
      </c>
      <c r="DU159" t="s">
        <v>16320</v>
      </c>
      <c r="DV159" t="s">
        <v>14020</v>
      </c>
      <c r="DW159" t="s">
        <v>13812</v>
      </c>
      <c r="DX159" t="s">
        <v>32613</v>
      </c>
      <c r="DY159" t="s">
        <v>15111</v>
      </c>
      <c r="DZ159" t="s">
        <v>32614</v>
      </c>
      <c r="EA159" t="s">
        <v>13772</v>
      </c>
      <c r="EB159" t="s">
        <v>13772</v>
      </c>
    </row>
    <row r="160" spans="1:132" hidden="1">
      <c r="A160">
        <v>2367</v>
      </c>
      <c r="B160">
        <v>1</v>
      </c>
      <c r="C160" t="s">
        <v>5516</v>
      </c>
      <c r="D160" t="s">
        <v>73</v>
      </c>
      <c r="E160" t="s">
        <v>73</v>
      </c>
      <c r="F160" t="s">
        <v>73</v>
      </c>
      <c r="G160" t="s">
        <v>73</v>
      </c>
      <c r="H160">
        <v>62.7</v>
      </c>
      <c r="I160">
        <v>367</v>
      </c>
      <c r="J160">
        <v>39403</v>
      </c>
      <c r="K160" t="s">
        <v>5517</v>
      </c>
      <c r="L160">
        <f t="shared" si="10"/>
        <v>272</v>
      </c>
      <c r="N160">
        <v>272</v>
      </c>
      <c r="O160">
        <v>272</v>
      </c>
      <c r="P160">
        <v>1</v>
      </c>
      <c r="Q160">
        <v>22</v>
      </c>
      <c r="R160">
        <v>39</v>
      </c>
      <c r="S160">
        <v>6</v>
      </c>
      <c r="T160">
        <v>25</v>
      </c>
      <c r="U160">
        <v>52</v>
      </c>
      <c r="V160">
        <v>39</v>
      </c>
      <c r="W160">
        <v>14</v>
      </c>
      <c r="X160">
        <v>23</v>
      </c>
      <c r="Y160">
        <v>7</v>
      </c>
      <c r="Z160">
        <v>0</v>
      </c>
      <c r="AA160">
        <v>9</v>
      </c>
      <c r="AB160">
        <v>10</v>
      </c>
      <c r="AC160">
        <v>3</v>
      </c>
      <c r="AD160">
        <v>3</v>
      </c>
      <c r="AE160">
        <v>3</v>
      </c>
      <c r="AF160">
        <v>11</v>
      </c>
      <c r="AG160">
        <v>2</v>
      </c>
      <c r="AH160">
        <v>1</v>
      </c>
      <c r="AI160">
        <v>3</v>
      </c>
      <c r="AJ160">
        <v>22</v>
      </c>
      <c r="AK160">
        <v>39</v>
      </c>
      <c r="AL160">
        <v>6</v>
      </c>
      <c r="AM160">
        <v>25</v>
      </c>
      <c r="AN160">
        <v>52</v>
      </c>
      <c r="AO160">
        <v>39</v>
      </c>
      <c r="AP160">
        <v>14</v>
      </c>
      <c r="AQ160">
        <v>23</v>
      </c>
      <c r="AR160">
        <v>7</v>
      </c>
      <c r="AS160">
        <v>0</v>
      </c>
      <c r="AT160">
        <v>9</v>
      </c>
      <c r="AU160">
        <v>10</v>
      </c>
      <c r="AV160">
        <v>3</v>
      </c>
      <c r="AW160">
        <v>3</v>
      </c>
      <c r="AX160">
        <v>3</v>
      </c>
      <c r="AY160">
        <v>11</v>
      </c>
      <c r="AZ160">
        <v>2</v>
      </c>
      <c r="BA160">
        <v>1</v>
      </c>
      <c r="BB160">
        <v>3</v>
      </c>
      <c r="BC160" s="2">
        <v>22</v>
      </c>
      <c r="BD160" s="2">
        <v>39</v>
      </c>
      <c r="BE160" s="2">
        <v>6</v>
      </c>
      <c r="BF160" s="2">
        <v>25</v>
      </c>
      <c r="BG160" s="2">
        <v>52</v>
      </c>
      <c r="BH160" s="2">
        <v>39</v>
      </c>
      <c r="BI160" s="2">
        <v>14</v>
      </c>
      <c r="BJ160" s="2">
        <v>23</v>
      </c>
      <c r="BK160" s="2">
        <v>7</v>
      </c>
      <c r="BL160" s="2">
        <v>0</v>
      </c>
      <c r="BM160" s="2">
        <v>9</v>
      </c>
      <c r="BN160" s="2">
        <v>10</v>
      </c>
      <c r="BO160" s="2">
        <v>3</v>
      </c>
      <c r="BP160" s="2">
        <v>3</v>
      </c>
      <c r="BQ160" s="2">
        <v>3</v>
      </c>
      <c r="BR160" s="2">
        <v>11</v>
      </c>
      <c r="BS160" s="2">
        <v>2</v>
      </c>
      <c r="BT160" s="2">
        <v>1</v>
      </c>
      <c r="BU160" s="2">
        <v>3</v>
      </c>
      <c r="BV160" s="2">
        <f t="shared" si="13"/>
        <v>272</v>
      </c>
      <c r="BW160" s="16">
        <f t="shared" si="11"/>
        <v>14.315789473684211</v>
      </c>
      <c r="BX160" s="16">
        <f>COUNTIF($BC$6:BU160, "=0") / COUNTIF($BC$6:BU160, "&gt;-1")</f>
        <v>3.7351443123938878E-2</v>
      </c>
      <c r="BY160" s="18">
        <f>SUM($BC$6:BU160) / $BY$4</f>
        <v>0.64425524972120496</v>
      </c>
      <c r="BZ160" s="14">
        <f t="shared" si="12"/>
        <v>1</v>
      </c>
      <c r="CA160" t="s">
        <v>5831</v>
      </c>
      <c r="CB160" s="36">
        <v>26.656154708363999</v>
      </c>
      <c r="CC160" s="36">
        <v>37.559500706420401</v>
      </c>
      <c r="CD160" s="36">
        <v>9.6047859708735501</v>
      </c>
      <c r="CE160" s="36">
        <v>37.798043978830698</v>
      </c>
      <c r="CF160" s="36">
        <v>44.7291707167184</v>
      </c>
      <c r="CG160" s="36">
        <v>36.259362618940202</v>
      </c>
      <c r="CH160" s="36">
        <v>14.756871960105</v>
      </c>
      <c r="CI160" s="36">
        <v>22.383222753593</v>
      </c>
      <c r="CJ160" s="37">
        <v>5.5633080527147003</v>
      </c>
      <c r="CK160" s="37">
        <v>5.6758468219945701</v>
      </c>
      <c r="CL160" s="37">
        <v>8.0005434826734305</v>
      </c>
      <c r="CM160" s="37">
        <v>2.5396411397998202</v>
      </c>
      <c r="CN160" s="37">
        <v>2.7563776974453398</v>
      </c>
      <c r="CO160" s="37">
        <v>8.6810962742363706</v>
      </c>
      <c r="CP160" s="37">
        <v>3.0170800957248498</v>
      </c>
      <c r="CQ160" s="37">
        <v>4.5679105394238499</v>
      </c>
      <c r="CR160" s="45">
        <v>-2.4384317558750701</v>
      </c>
      <c r="CS160" s="45">
        <v>-5.6308077169374302</v>
      </c>
      <c r="CT160" s="46">
        <v>1.1724619536587E-9</v>
      </c>
      <c r="CU160" s="47">
        <v>1.4799566924484301E-8</v>
      </c>
      <c r="CV160" s="48">
        <v>28.7183891767307</v>
      </c>
      <c r="CW160" s="49">
        <v>5.1002255130016199</v>
      </c>
      <c r="CX160" s="31" t="s">
        <v>5875</v>
      </c>
      <c r="CY160" s="31" t="s">
        <v>5876</v>
      </c>
      <c r="CZ160" t="s">
        <v>13619</v>
      </c>
      <c r="DA160" t="s">
        <v>5904</v>
      </c>
      <c r="DB160">
        <v>606.29999999999995</v>
      </c>
      <c r="DC160" t="s">
        <v>36302</v>
      </c>
      <c r="DD160" t="s">
        <v>36303</v>
      </c>
      <c r="DE160" t="s">
        <v>36304</v>
      </c>
      <c r="DF160" t="s">
        <v>36305</v>
      </c>
      <c r="DG160" t="s">
        <v>36306</v>
      </c>
      <c r="DH160" t="str">
        <f>"SLC9A3R1"</f>
        <v>SLC9A3R1</v>
      </c>
      <c r="DI160" t="s">
        <v>36307</v>
      </c>
      <c r="DJ160" t="s">
        <v>13777</v>
      </c>
      <c r="DK160">
        <v>9606</v>
      </c>
      <c r="DL160" s="34" t="str">
        <f>HYPERLINK("http://www.uniprot.org/uniprot/O14745", "O14745")</f>
        <v>O14745</v>
      </c>
      <c r="DM160" t="s">
        <v>36308</v>
      </c>
      <c r="DN160" t="s">
        <v>14072</v>
      </c>
      <c r="DO160" t="s">
        <v>30708</v>
      </c>
      <c r="DP160" t="s">
        <v>13780</v>
      </c>
      <c r="DQ160" t="s">
        <v>13772</v>
      </c>
      <c r="DR160" t="s">
        <v>13807</v>
      </c>
      <c r="DS160" t="s">
        <v>14096</v>
      </c>
      <c r="DT160" t="s">
        <v>13772</v>
      </c>
      <c r="DU160" t="s">
        <v>13772</v>
      </c>
      <c r="DV160" t="s">
        <v>13886</v>
      </c>
      <c r="DW160" t="s">
        <v>13812</v>
      </c>
      <c r="DX160" t="s">
        <v>36309</v>
      </c>
      <c r="DY160" t="s">
        <v>36310</v>
      </c>
      <c r="DZ160" t="s">
        <v>36311</v>
      </c>
      <c r="EA160" t="s">
        <v>13772</v>
      </c>
      <c r="EB160" t="s">
        <v>13772</v>
      </c>
    </row>
    <row r="161" spans="1:132" hidden="1">
      <c r="A161">
        <v>189</v>
      </c>
      <c r="B161">
        <v>1</v>
      </c>
      <c r="C161" t="s">
        <v>476</v>
      </c>
      <c r="D161" t="s">
        <v>477</v>
      </c>
      <c r="E161" t="s">
        <v>73</v>
      </c>
      <c r="F161" t="s">
        <v>73</v>
      </c>
      <c r="G161" t="s">
        <v>73</v>
      </c>
      <c r="H161">
        <v>24.6</v>
      </c>
      <c r="I161">
        <v>309</v>
      </c>
      <c r="J161">
        <v>33378</v>
      </c>
      <c r="K161" t="s">
        <v>478</v>
      </c>
      <c r="L161">
        <f t="shared" si="10"/>
        <v>271</v>
      </c>
      <c r="N161">
        <v>271</v>
      </c>
      <c r="O161">
        <v>271</v>
      </c>
      <c r="P161">
        <v>1</v>
      </c>
      <c r="Q161">
        <v>7</v>
      </c>
      <c r="R161">
        <v>6</v>
      </c>
      <c r="S161">
        <v>2</v>
      </c>
      <c r="T161">
        <v>2</v>
      </c>
      <c r="U161">
        <v>2</v>
      </c>
      <c r="V161">
        <v>0</v>
      </c>
      <c r="W161">
        <v>1</v>
      </c>
      <c r="X161">
        <v>0</v>
      </c>
      <c r="Y161">
        <v>59</v>
      </c>
      <c r="Z161">
        <v>12</v>
      </c>
      <c r="AA161">
        <v>47</v>
      </c>
      <c r="AB161">
        <v>23</v>
      </c>
      <c r="AC161">
        <v>16</v>
      </c>
      <c r="AD161">
        <v>3</v>
      </c>
      <c r="AE161">
        <v>22</v>
      </c>
      <c r="AF161">
        <v>40</v>
      </c>
      <c r="AG161">
        <v>9</v>
      </c>
      <c r="AH161">
        <v>4</v>
      </c>
      <c r="AI161">
        <v>16</v>
      </c>
      <c r="AJ161">
        <v>7</v>
      </c>
      <c r="AK161">
        <v>6</v>
      </c>
      <c r="AL161">
        <v>2</v>
      </c>
      <c r="AM161">
        <v>2</v>
      </c>
      <c r="AN161">
        <v>2</v>
      </c>
      <c r="AO161">
        <v>0</v>
      </c>
      <c r="AP161">
        <v>1</v>
      </c>
      <c r="AQ161">
        <v>0</v>
      </c>
      <c r="AR161">
        <v>59</v>
      </c>
      <c r="AS161">
        <v>12</v>
      </c>
      <c r="AT161">
        <v>47</v>
      </c>
      <c r="AU161">
        <v>23</v>
      </c>
      <c r="AV161">
        <v>16</v>
      </c>
      <c r="AW161">
        <v>3</v>
      </c>
      <c r="AX161">
        <v>22</v>
      </c>
      <c r="AY161">
        <v>40</v>
      </c>
      <c r="AZ161">
        <v>9</v>
      </c>
      <c r="BA161">
        <v>4</v>
      </c>
      <c r="BB161">
        <v>16</v>
      </c>
      <c r="BC161" s="2">
        <v>7</v>
      </c>
      <c r="BD161" s="2">
        <v>6</v>
      </c>
      <c r="BE161" s="2">
        <v>2</v>
      </c>
      <c r="BF161" s="2">
        <v>2</v>
      </c>
      <c r="BG161" s="2">
        <v>2</v>
      </c>
      <c r="BH161" s="2">
        <v>0</v>
      </c>
      <c r="BI161" s="2">
        <v>1</v>
      </c>
      <c r="BJ161" s="2">
        <v>0</v>
      </c>
      <c r="BK161" s="2">
        <v>59</v>
      </c>
      <c r="BL161" s="2">
        <v>12</v>
      </c>
      <c r="BM161" s="2">
        <v>47</v>
      </c>
      <c r="BN161" s="2">
        <v>23</v>
      </c>
      <c r="BO161" s="2">
        <v>16</v>
      </c>
      <c r="BP161" s="2">
        <v>3</v>
      </c>
      <c r="BQ161" s="2">
        <v>22</v>
      </c>
      <c r="BR161" s="2">
        <v>40</v>
      </c>
      <c r="BS161" s="2">
        <v>9</v>
      </c>
      <c r="BT161" s="2">
        <v>4</v>
      </c>
      <c r="BU161" s="2">
        <v>16</v>
      </c>
      <c r="BV161" s="2">
        <f t="shared" si="13"/>
        <v>271</v>
      </c>
      <c r="BW161" s="16">
        <f t="shared" si="11"/>
        <v>14.263157894736842</v>
      </c>
      <c r="BX161" s="16">
        <f>COUNTIF($BC$6:BU161, "=0") / COUNTIF($BC$6:BU161, "&gt;-1")</f>
        <v>3.7786774628879895E-2</v>
      </c>
      <c r="BY161" s="18">
        <f>SUM($BC$6:BU161) / $BY$4</f>
        <v>0.64541611531262277</v>
      </c>
      <c r="BZ161" s="14">
        <f t="shared" si="12"/>
        <v>2</v>
      </c>
      <c r="CA161" t="s">
        <v>5831</v>
      </c>
      <c r="CB161" s="36">
        <v>8.4815037708430996</v>
      </c>
      <c r="CC161" s="36">
        <v>5.7783847240646802</v>
      </c>
      <c r="CD161" s="36">
        <v>3.2015953236245198</v>
      </c>
      <c r="CE161" s="36">
        <v>3.0238435183064598</v>
      </c>
      <c r="CF161" s="36">
        <v>1.72035271987378</v>
      </c>
      <c r="CG161" s="36">
        <v>0.23243181165987301</v>
      </c>
      <c r="CH161" s="36">
        <v>1.05406228286464</v>
      </c>
      <c r="CI161" s="36">
        <v>0.24329589949557701</v>
      </c>
      <c r="CJ161" s="37">
        <v>46.890739301452498</v>
      </c>
      <c r="CK161" s="37">
        <v>29.640533403749401</v>
      </c>
      <c r="CL161" s="37">
        <v>18.4012500101489</v>
      </c>
      <c r="CM161" s="37">
        <v>13.5447527455991</v>
      </c>
      <c r="CN161" s="37">
        <v>20.213436447932501</v>
      </c>
      <c r="CO161" s="37">
        <v>31.567622815404999</v>
      </c>
      <c r="CP161" s="37">
        <v>13.576860430761799</v>
      </c>
      <c r="CQ161" s="37">
        <v>24.3621895435939</v>
      </c>
      <c r="CR161" s="45">
        <v>3.0691630460664299</v>
      </c>
      <c r="CS161" s="45">
        <v>8.3502616242700203</v>
      </c>
      <c r="CT161" s="46">
        <v>6.4965407128410397E-10</v>
      </c>
      <c r="CU161" s="47">
        <v>9.0545536185222008E-9</v>
      </c>
      <c r="CV161" s="48">
        <v>2.9669337563415801</v>
      </c>
      <c r="CW161" s="49">
        <v>24.774673087330399</v>
      </c>
      <c r="CX161" s="31" t="s">
        <v>5874</v>
      </c>
      <c r="CY161" s="31" t="s">
        <v>5876</v>
      </c>
      <c r="CZ161" t="s">
        <v>6349</v>
      </c>
      <c r="DA161" t="s">
        <v>5900</v>
      </c>
      <c r="DB161">
        <v>243.4</v>
      </c>
      <c r="DC161" t="s">
        <v>15338</v>
      </c>
      <c r="DD161" t="s">
        <v>13772</v>
      </c>
      <c r="DE161" t="s">
        <v>15339</v>
      </c>
      <c r="DF161" t="s">
        <v>15340</v>
      </c>
      <c r="DG161" t="s">
        <v>13772</v>
      </c>
      <c r="DH161" t="str">
        <f>"RNASE4"</f>
        <v>RNASE4</v>
      </c>
      <c r="DI161" t="s">
        <v>15341</v>
      </c>
      <c r="DJ161" t="s">
        <v>13777</v>
      </c>
      <c r="DK161">
        <v>9606</v>
      </c>
      <c r="DL161" s="34" t="str">
        <f>HYPERLINK("http://www.uniprot.org/uniprot/P34096", "P34096")</f>
        <v>P34096</v>
      </c>
      <c r="DM161" t="s">
        <v>15342</v>
      </c>
      <c r="DN161" t="s">
        <v>13772</v>
      </c>
      <c r="DO161" t="s">
        <v>14321</v>
      </c>
      <c r="DP161" t="s">
        <v>13793</v>
      </c>
      <c r="DQ161" t="s">
        <v>13772</v>
      </c>
      <c r="DR161" t="s">
        <v>13772</v>
      </c>
      <c r="DS161" t="s">
        <v>13808</v>
      </c>
      <c r="DT161" t="s">
        <v>13772</v>
      </c>
      <c r="DU161" t="s">
        <v>15343</v>
      </c>
      <c r="DV161" t="s">
        <v>15344</v>
      </c>
      <c r="DW161" t="s">
        <v>13812</v>
      </c>
      <c r="DX161" t="s">
        <v>15345</v>
      </c>
      <c r="DY161" t="s">
        <v>15346</v>
      </c>
      <c r="DZ161" t="s">
        <v>15347</v>
      </c>
      <c r="EA161" t="s">
        <v>13772</v>
      </c>
      <c r="EB161" t="s">
        <v>13772</v>
      </c>
    </row>
    <row r="162" spans="1:132">
      <c r="A162">
        <v>574</v>
      </c>
      <c r="B162">
        <v>1</v>
      </c>
      <c r="C162" t="s">
        <v>1428</v>
      </c>
      <c r="D162" t="s">
        <v>73</v>
      </c>
      <c r="E162" t="s">
        <v>73</v>
      </c>
      <c r="F162" t="s">
        <v>73</v>
      </c>
      <c r="G162" t="s">
        <v>73</v>
      </c>
      <c r="H162">
        <v>42.9</v>
      </c>
      <c r="I162">
        <v>476</v>
      </c>
      <c r="J162">
        <v>52857</v>
      </c>
      <c r="K162" t="s">
        <v>1429</v>
      </c>
      <c r="L162">
        <f t="shared" si="10"/>
        <v>270</v>
      </c>
      <c r="N162">
        <v>270</v>
      </c>
      <c r="O162">
        <v>270</v>
      </c>
      <c r="P162">
        <v>1</v>
      </c>
      <c r="Q162">
        <v>10</v>
      </c>
      <c r="R162">
        <v>10</v>
      </c>
      <c r="S162">
        <v>5</v>
      </c>
      <c r="T162">
        <v>3</v>
      </c>
      <c r="U162">
        <v>4</v>
      </c>
      <c r="V162">
        <v>8</v>
      </c>
      <c r="W162">
        <v>4</v>
      </c>
      <c r="X162">
        <v>9</v>
      </c>
      <c r="Y162">
        <v>14</v>
      </c>
      <c r="Z162">
        <v>26</v>
      </c>
      <c r="AA162">
        <v>16</v>
      </c>
      <c r="AB162">
        <v>15</v>
      </c>
      <c r="AC162">
        <v>36</v>
      </c>
      <c r="AD162">
        <v>26</v>
      </c>
      <c r="AE162">
        <v>18</v>
      </c>
      <c r="AF162">
        <v>12</v>
      </c>
      <c r="AG162">
        <v>20</v>
      </c>
      <c r="AH162">
        <v>14</v>
      </c>
      <c r="AI162">
        <v>20</v>
      </c>
      <c r="AJ162">
        <v>10</v>
      </c>
      <c r="AK162">
        <v>10</v>
      </c>
      <c r="AL162">
        <v>5</v>
      </c>
      <c r="AM162">
        <v>3</v>
      </c>
      <c r="AN162">
        <v>4</v>
      </c>
      <c r="AO162">
        <v>8</v>
      </c>
      <c r="AP162">
        <v>4</v>
      </c>
      <c r="AQ162">
        <v>9</v>
      </c>
      <c r="AR162">
        <v>14</v>
      </c>
      <c r="AS162">
        <v>26</v>
      </c>
      <c r="AT162">
        <v>16</v>
      </c>
      <c r="AU162">
        <v>15</v>
      </c>
      <c r="AV162">
        <v>36</v>
      </c>
      <c r="AW162">
        <v>26</v>
      </c>
      <c r="AX162">
        <v>18</v>
      </c>
      <c r="AY162">
        <v>12</v>
      </c>
      <c r="AZ162">
        <v>20</v>
      </c>
      <c r="BA162">
        <v>14</v>
      </c>
      <c r="BB162">
        <v>20</v>
      </c>
      <c r="BC162" s="2">
        <v>10</v>
      </c>
      <c r="BD162" s="2">
        <v>10</v>
      </c>
      <c r="BE162" s="2">
        <v>5</v>
      </c>
      <c r="BF162" s="2">
        <v>3</v>
      </c>
      <c r="BG162" s="2">
        <v>4</v>
      </c>
      <c r="BH162" s="2">
        <v>8</v>
      </c>
      <c r="BI162" s="2">
        <v>4</v>
      </c>
      <c r="BJ162" s="2">
        <v>9</v>
      </c>
      <c r="BK162" s="2">
        <v>14</v>
      </c>
      <c r="BL162" s="2">
        <v>26</v>
      </c>
      <c r="BM162" s="2">
        <v>16</v>
      </c>
      <c r="BN162" s="2">
        <v>15</v>
      </c>
      <c r="BO162" s="2">
        <v>36</v>
      </c>
      <c r="BP162" s="2">
        <v>26</v>
      </c>
      <c r="BQ162" s="2">
        <v>18</v>
      </c>
      <c r="BR162" s="2">
        <v>12</v>
      </c>
      <c r="BS162" s="2">
        <v>20</v>
      </c>
      <c r="BT162" s="2">
        <v>14</v>
      </c>
      <c r="BU162" s="2">
        <v>20</v>
      </c>
      <c r="BV162" s="2">
        <f t="shared" si="13"/>
        <v>270</v>
      </c>
      <c r="BW162" s="16">
        <f t="shared" si="11"/>
        <v>14.210526315789474</v>
      </c>
      <c r="BX162" s="16">
        <f>COUNTIF($BC$6:BU162, "=0") / COUNTIF($BC$6:BU162, "&gt;-1")</f>
        <v>3.7546094535702311E-2</v>
      </c>
      <c r="BY162" s="18">
        <f>SUM($BC$6:BU162) / $BY$4</f>
        <v>0.64657269726717193</v>
      </c>
      <c r="BZ162" s="14">
        <f t="shared" si="12"/>
        <v>0</v>
      </c>
      <c r="CA162" t="s">
        <v>5831</v>
      </c>
      <c r="CB162" s="36">
        <v>12.116433958347301</v>
      </c>
      <c r="CC162" s="36">
        <v>9.6306412067744702</v>
      </c>
      <c r="CD162" s="36">
        <v>8.00398830906129</v>
      </c>
      <c r="CE162" s="36">
        <v>4.5357652774596904</v>
      </c>
      <c r="CF162" s="36">
        <v>3.4407054397475698</v>
      </c>
      <c r="CG162" s="36">
        <v>7.43781797311593</v>
      </c>
      <c r="CH162" s="36">
        <v>4.21624913145856</v>
      </c>
      <c r="CI162" s="36">
        <v>8.7586523818407507</v>
      </c>
      <c r="CJ162" s="37">
        <v>11.126616105429401</v>
      </c>
      <c r="CK162" s="37">
        <v>10.0903943502126</v>
      </c>
      <c r="CL162" s="37">
        <v>12.0008152240101</v>
      </c>
      <c r="CM162" s="37">
        <v>30.475693677597899</v>
      </c>
      <c r="CN162" s="37">
        <v>16.5382661846721</v>
      </c>
      <c r="CO162" s="37">
        <v>9.4702868446214996</v>
      </c>
      <c r="CP162" s="37">
        <v>30.170800957248499</v>
      </c>
      <c r="CQ162" s="37">
        <v>30.4527369294923</v>
      </c>
      <c r="CR162" s="45">
        <v>1.32514198415178</v>
      </c>
      <c r="CS162" s="45">
        <v>2.5855685306490099</v>
      </c>
      <c r="CT162" s="46">
        <v>1.0264346890437701E-3</v>
      </c>
      <c r="CU162" s="47">
        <v>2.30431143278619E-3</v>
      </c>
      <c r="CV162" s="48">
        <v>7.2675317097256897</v>
      </c>
      <c r="CW162" s="49">
        <v>18.790701284160502</v>
      </c>
      <c r="CX162" s="31" t="s">
        <v>5874</v>
      </c>
      <c r="CY162" s="31" t="s">
        <v>5876</v>
      </c>
      <c r="CZ162" t="s">
        <v>7686</v>
      </c>
      <c r="DA162" t="s">
        <v>5904</v>
      </c>
      <c r="DB162">
        <v>629.79999999999995</v>
      </c>
      <c r="DC162" t="s">
        <v>19434</v>
      </c>
      <c r="DD162" t="s">
        <v>19435</v>
      </c>
      <c r="DE162" t="s">
        <v>19436</v>
      </c>
      <c r="DF162" t="s">
        <v>19437</v>
      </c>
      <c r="DG162" t="s">
        <v>19438</v>
      </c>
      <c r="DH162" t="str">
        <f>"SERPING1"</f>
        <v>SERPING1</v>
      </c>
      <c r="DI162" t="s">
        <v>19439</v>
      </c>
      <c r="DJ162" t="s">
        <v>13777</v>
      </c>
      <c r="DK162">
        <v>9606</v>
      </c>
      <c r="DL162" s="34" t="str">
        <f>HYPERLINK("http://www.uniprot.org/uniprot/P05155", "P05155")</f>
        <v>P05155</v>
      </c>
      <c r="DM162" t="s">
        <v>19440</v>
      </c>
      <c r="DN162" t="s">
        <v>19441</v>
      </c>
      <c r="DO162" t="s">
        <v>14321</v>
      </c>
      <c r="DP162" t="s">
        <v>13780</v>
      </c>
      <c r="DQ162" t="s">
        <v>13772</v>
      </c>
      <c r="DR162" t="s">
        <v>13807</v>
      </c>
      <c r="DS162" t="s">
        <v>14404</v>
      </c>
      <c r="DT162" t="s">
        <v>13772</v>
      </c>
      <c r="DU162" t="s">
        <v>14375</v>
      </c>
      <c r="DV162" t="s">
        <v>13796</v>
      </c>
      <c r="DW162" t="s">
        <v>13812</v>
      </c>
      <c r="DX162" t="s">
        <v>19442</v>
      </c>
      <c r="DY162" t="s">
        <v>19443</v>
      </c>
      <c r="DZ162" t="s">
        <v>16362</v>
      </c>
      <c r="EA162" t="s">
        <v>13772</v>
      </c>
      <c r="EB162" t="s">
        <v>19444</v>
      </c>
    </row>
    <row r="163" spans="1:132">
      <c r="A163">
        <v>1690</v>
      </c>
      <c r="B163">
        <v>1</v>
      </c>
      <c r="C163" t="s">
        <v>4008</v>
      </c>
      <c r="D163" t="s">
        <v>4009</v>
      </c>
      <c r="E163" t="s">
        <v>73</v>
      </c>
      <c r="F163" t="s">
        <v>73</v>
      </c>
      <c r="G163" t="s">
        <v>73</v>
      </c>
      <c r="H163">
        <v>44.6</v>
      </c>
      <c r="I163">
        <v>399</v>
      </c>
      <c r="J163">
        <v>44171</v>
      </c>
      <c r="K163" t="s">
        <v>4010</v>
      </c>
      <c r="L163">
        <f t="shared" si="10"/>
        <v>266</v>
      </c>
      <c r="N163">
        <v>266</v>
      </c>
      <c r="O163">
        <v>266</v>
      </c>
      <c r="P163">
        <v>1</v>
      </c>
      <c r="Q163">
        <v>10</v>
      </c>
      <c r="R163">
        <v>17</v>
      </c>
      <c r="S163">
        <v>7</v>
      </c>
      <c r="T163">
        <v>11</v>
      </c>
      <c r="U163">
        <v>11</v>
      </c>
      <c r="V163">
        <v>14</v>
      </c>
      <c r="W163">
        <v>14</v>
      </c>
      <c r="X163">
        <v>17</v>
      </c>
      <c r="Y163">
        <v>17</v>
      </c>
      <c r="Z163">
        <v>1</v>
      </c>
      <c r="AA163">
        <v>32</v>
      </c>
      <c r="AB163">
        <v>13</v>
      </c>
      <c r="AC163">
        <v>16</v>
      </c>
      <c r="AD163">
        <v>6</v>
      </c>
      <c r="AE163">
        <v>30</v>
      </c>
      <c r="AF163">
        <v>27</v>
      </c>
      <c r="AG163">
        <v>8</v>
      </c>
      <c r="AH163">
        <v>4</v>
      </c>
      <c r="AI163">
        <v>11</v>
      </c>
      <c r="AJ163">
        <v>10</v>
      </c>
      <c r="AK163">
        <v>17</v>
      </c>
      <c r="AL163">
        <v>7</v>
      </c>
      <c r="AM163">
        <v>11</v>
      </c>
      <c r="AN163">
        <v>11</v>
      </c>
      <c r="AO163">
        <v>14</v>
      </c>
      <c r="AP163">
        <v>14</v>
      </c>
      <c r="AQ163">
        <v>17</v>
      </c>
      <c r="AR163">
        <v>17</v>
      </c>
      <c r="AS163">
        <v>1</v>
      </c>
      <c r="AT163">
        <v>32</v>
      </c>
      <c r="AU163">
        <v>13</v>
      </c>
      <c r="AV163">
        <v>16</v>
      </c>
      <c r="AW163">
        <v>6</v>
      </c>
      <c r="AX163">
        <v>30</v>
      </c>
      <c r="AY163">
        <v>27</v>
      </c>
      <c r="AZ163">
        <v>8</v>
      </c>
      <c r="BA163">
        <v>4</v>
      </c>
      <c r="BB163">
        <v>11</v>
      </c>
      <c r="BC163" s="2">
        <v>10</v>
      </c>
      <c r="BD163" s="2">
        <v>17</v>
      </c>
      <c r="BE163" s="2">
        <v>7</v>
      </c>
      <c r="BF163" s="2">
        <v>11</v>
      </c>
      <c r="BG163" s="2">
        <v>11</v>
      </c>
      <c r="BH163" s="2">
        <v>14</v>
      </c>
      <c r="BI163" s="2">
        <v>14</v>
      </c>
      <c r="BJ163" s="2">
        <v>17</v>
      </c>
      <c r="BK163" s="2">
        <v>17</v>
      </c>
      <c r="BL163" s="2">
        <v>1</v>
      </c>
      <c r="BM163" s="2">
        <v>32</v>
      </c>
      <c r="BN163" s="2">
        <v>13</v>
      </c>
      <c r="BO163" s="2">
        <v>16</v>
      </c>
      <c r="BP163" s="2">
        <v>6</v>
      </c>
      <c r="BQ163" s="2">
        <v>30</v>
      </c>
      <c r="BR163" s="2">
        <v>27</v>
      </c>
      <c r="BS163" s="2">
        <v>8</v>
      </c>
      <c r="BT163" s="2">
        <v>4</v>
      </c>
      <c r="BU163" s="2">
        <v>11</v>
      </c>
      <c r="BV163" s="2">
        <f t="shared" si="13"/>
        <v>266</v>
      </c>
      <c r="BW163" s="16">
        <f t="shared" si="11"/>
        <v>14</v>
      </c>
      <c r="BX163" s="16">
        <f>COUNTIF($BC$6:BU163, "=0") / COUNTIF($BC$6:BU163, "&gt;-1")</f>
        <v>3.7308461025982675E-2</v>
      </c>
      <c r="BY163" s="18">
        <f>SUM($BC$6:BU163) / $BY$4</f>
        <v>0.64771214467424632</v>
      </c>
      <c r="BZ163" s="14">
        <f t="shared" si="12"/>
        <v>0</v>
      </c>
      <c r="CA163" t="s">
        <v>5831</v>
      </c>
      <c r="CB163" s="36">
        <v>12.116433958347301</v>
      </c>
      <c r="CC163" s="36">
        <v>16.372090051516601</v>
      </c>
      <c r="CD163" s="36">
        <v>11.2055836326858</v>
      </c>
      <c r="CE163" s="36">
        <v>16.631139350685501</v>
      </c>
      <c r="CF163" s="36">
        <v>9.4619399593058091</v>
      </c>
      <c r="CG163" s="36">
        <v>13.0161814529529</v>
      </c>
      <c r="CH163" s="36">
        <v>14.756871960105</v>
      </c>
      <c r="CI163" s="36">
        <v>16.544121165699199</v>
      </c>
      <c r="CJ163" s="37">
        <v>13.5108909851643</v>
      </c>
      <c r="CK163" s="37">
        <v>20.180788700425101</v>
      </c>
      <c r="CL163" s="37">
        <v>10.400706527475499</v>
      </c>
      <c r="CM163" s="37">
        <v>13.5447527455991</v>
      </c>
      <c r="CN163" s="37">
        <v>27.5637769744534</v>
      </c>
      <c r="CO163" s="37">
        <v>21.308145400398399</v>
      </c>
      <c r="CP163" s="37">
        <v>12.068320382899399</v>
      </c>
      <c r="CQ163" s="37">
        <v>16.749005311220799</v>
      </c>
      <c r="CR163" s="45">
        <v>0.306905626746518</v>
      </c>
      <c r="CS163" s="45">
        <v>1.2290738091167099</v>
      </c>
      <c r="CT163" s="46">
        <v>0.331929148338444</v>
      </c>
      <c r="CU163" s="47">
        <v>0.41352067083504501</v>
      </c>
      <c r="CV163" s="48">
        <v>13.763045191412299</v>
      </c>
      <c r="CW163" s="49">
        <v>16.9157983784545</v>
      </c>
      <c r="CX163" s="31" t="s">
        <v>5874</v>
      </c>
      <c r="CY163" s="31" t="s">
        <v>5832</v>
      </c>
      <c r="CZ163" t="s">
        <v>11389</v>
      </c>
      <c r="DA163" t="s">
        <v>5904</v>
      </c>
      <c r="DB163">
        <v>654.1</v>
      </c>
      <c r="DC163" t="s">
        <v>30021</v>
      </c>
      <c r="DD163" t="s">
        <v>30022</v>
      </c>
      <c r="DE163" t="s">
        <v>30023</v>
      </c>
      <c r="DF163" t="s">
        <v>30024</v>
      </c>
      <c r="DG163" t="s">
        <v>30025</v>
      </c>
      <c r="DH163" t="str">
        <f>"VSIG4"</f>
        <v>VSIG4</v>
      </c>
      <c r="DI163" t="s">
        <v>30026</v>
      </c>
      <c r="DJ163" t="s">
        <v>13777</v>
      </c>
      <c r="DK163">
        <v>9606</v>
      </c>
      <c r="DL163" s="34" t="str">
        <f>HYPERLINK("http://www.uniprot.org/uniprot/Q9Y279", "Q9Y279")</f>
        <v>Q9Y279</v>
      </c>
      <c r="DM163" t="s">
        <v>30027</v>
      </c>
      <c r="DN163" t="s">
        <v>21849</v>
      </c>
      <c r="DO163" t="s">
        <v>13825</v>
      </c>
      <c r="DP163" t="s">
        <v>13780</v>
      </c>
      <c r="DQ163" t="s">
        <v>13772</v>
      </c>
      <c r="DR163" t="s">
        <v>13772</v>
      </c>
      <c r="DS163" t="s">
        <v>13951</v>
      </c>
      <c r="DT163" t="s">
        <v>13772</v>
      </c>
      <c r="DU163" t="s">
        <v>13772</v>
      </c>
      <c r="DV163" t="s">
        <v>14506</v>
      </c>
      <c r="DW163" t="s">
        <v>13812</v>
      </c>
      <c r="DX163" t="s">
        <v>30028</v>
      </c>
      <c r="DY163" t="s">
        <v>30029</v>
      </c>
      <c r="DZ163" t="s">
        <v>30030</v>
      </c>
      <c r="EA163" t="s">
        <v>13772</v>
      </c>
      <c r="EB163" t="s">
        <v>13772</v>
      </c>
    </row>
    <row r="164" spans="1:132" hidden="1">
      <c r="A164">
        <v>1431</v>
      </c>
      <c r="B164">
        <v>1</v>
      </c>
      <c r="C164" t="s">
        <v>3410</v>
      </c>
      <c r="D164" t="s">
        <v>73</v>
      </c>
      <c r="E164" t="s">
        <v>73</v>
      </c>
      <c r="F164" t="s">
        <v>73</v>
      </c>
      <c r="G164" t="s">
        <v>73</v>
      </c>
      <c r="H164">
        <v>37.5</v>
      </c>
      <c r="I164">
        <v>456</v>
      </c>
      <c r="J164">
        <v>48524</v>
      </c>
      <c r="K164" t="s">
        <v>3411</v>
      </c>
      <c r="L164">
        <f t="shared" si="10"/>
        <v>264</v>
      </c>
      <c r="N164">
        <v>264</v>
      </c>
      <c r="O164">
        <v>264</v>
      </c>
      <c r="P164">
        <v>1</v>
      </c>
      <c r="Q164">
        <v>18</v>
      </c>
      <c r="R164">
        <v>23</v>
      </c>
      <c r="S164">
        <v>25</v>
      </c>
      <c r="T164">
        <v>10</v>
      </c>
      <c r="U164">
        <v>22</v>
      </c>
      <c r="V164">
        <v>51</v>
      </c>
      <c r="W164">
        <v>33</v>
      </c>
      <c r="X164">
        <v>35</v>
      </c>
      <c r="Y164">
        <v>2</v>
      </c>
      <c r="Z164">
        <v>0</v>
      </c>
      <c r="AA164">
        <v>5</v>
      </c>
      <c r="AB164">
        <v>8</v>
      </c>
      <c r="AC164">
        <v>2</v>
      </c>
      <c r="AD164">
        <v>0</v>
      </c>
      <c r="AE164">
        <v>4</v>
      </c>
      <c r="AF164">
        <v>13</v>
      </c>
      <c r="AG164">
        <v>4</v>
      </c>
      <c r="AH164">
        <v>1</v>
      </c>
      <c r="AI164">
        <v>8</v>
      </c>
      <c r="AJ164">
        <v>18</v>
      </c>
      <c r="AK164">
        <v>23</v>
      </c>
      <c r="AL164">
        <v>25</v>
      </c>
      <c r="AM164">
        <v>10</v>
      </c>
      <c r="AN164">
        <v>22</v>
      </c>
      <c r="AO164">
        <v>51</v>
      </c>
      <c r="AP164">
        <v>33</v>
      </c>
      <c r="AQ164">
        <v>35</v>
      </c>
      <c r="AR164">
        <v>2</v>
      </c>
      <c r="AS164">
        <v>0</v>
      </c>
      <c r="AT164">
        <v>5</v>
      </c>
      <c r="AU164">
        <v>8</v>
      </c>
      <c r="AV164">
        <v>2</v>
      </c>
      <c r="AW164">
        <v>0</v>
      </c>
      <c r="AX164">
        <v>4</v>
      </c>
      <c r="AY164">
        <v>13</v>
      </c>
      <c r="AZ164">
        <v>4</v>
      </c>
      <c r="BA164">
        <v>1</v>
      </c>
      <c r="BB164">
        <v>8</v>
      </c>
      <c r="BC164" s="2">
        <v>18</v>
      </c>
      <c r="BD164" s="2">
        <v>23</v>
      </c>
      <c r="BE164" s="2">
        <v>25</v>
      </c>
      <c r="BF164" s="2">
        <v>10</v>
      </c>
      <c r="BG164" s="2">
        <v>22</v>
      </c>
      <c r="BH164" s="2">
        <v>51</v>
      </c>
      <c r="BI164" s="2">
        <v>33</v>
      </c>
      <c r="BJ164" s="2">
        <v>35</v>
      </c>
      <c r="BK164" s="2">
        <v>2</v>
      </c>
      <c r="BL164" s="2">
        <v>0</v>
      </c>
      <c r="BM164" s="2">
        <v>5</v>
      </c>
      <c r="BN164" s="2">
        <v>8</v>
      </c>
      <c r="BO164" s="2">
        <v>2</v>
      </c>
      <c r="BP164" s="2">
        <v>0</v>
      </c>
      <c r="BQ164" s="2">
        <v>4</v>
      </c>
      <c r="BR164" s="2">
        <v>13</v>
      </c>
      <c r="BS164" s="2">
        <v>4</v>
      </c>
      <c r="BT164" s="2">
        <v>1</v>
      </c>
      <c r="BU164" s="2">
        <v>8</v>
      </c>
      <c r="BV164" s="2">
        <f t="shared" si="13"/>
        <v>264</v>
      </c>
      <c r="BW164" s="16">
        <f t="shared" si="11"/>
        <v>13.894736842105264</v>
      </c>
      <c r="BX164" s="16">
        <f>COUNTIF($BC$6:BU164, "=0") / COUNTIF($BC$6:BU164, "&gt;-1")</f>
        <v>3.7735849056603772E-2</v>
      </c>
      <c r="BY164" s="18">
        <f>SUM($BC$6:BU164) / $BY$4</f>
        <v>0.64884302480758327</v>
      </c>
      <c r="BZ164" s="14">
        <f t="shared" si="12"/>
        <v>2</v>
      </c>
      <c r="CA164" t="s">
        <v>5831</v>
      </c>
      <c r="CB164" s="36">
        <v>21.809581125025101</v>
      </c>
      <c r="CC164" s="36">
        <v>22.150474775581301</v>
      </c>
      <c r="CD164" s="36">
        <v>40.019941545306402</v>
      </c>
      <c r="CE164" s="36">
        <v>15.119217591532299</v>
      </c>
      <c r="CF164" s="36">
        <v>18.9238799186116</v>
      </c>
      <c r="CG164" s="36">
        <v>47.416089578613999</v>
      </c>
      <c r="CH164" s="36">
        <v>34.7840553345331</v>
      </c>
      <c r="CI164" s="36">
        <v>34.061425929380697</v>
      </c>
      <c r="CJ164" s="37">
        <v>1.5895165864899099</v>
      </c>
      <c r="CK164" s="37">
        <v>3.1532482344414299</v>
      </c>
      <c r="CL164" s="37">
        <v>6.4004347861387396</v>
      </c>
      <c r="CM164" s="37">
        <v>1.6930940931998799</v>
      </c>
      <c r="CN164" s="37">
        <v>3.6751702632604601</v>
      </c>
      <c r="CO164" s="37">
        <v>10.2594774150066</v>
      </c>
      <c r="CP164" s="37">
        <v>6.0341601914496898</v>
      </c>
      <c r="CQ164" s="37">
        <v>12.1810947717969</v>
      </c>
      <c r="CR164" s="45">
        <v>-2.42010497868577</v>
      </c>
      <c r="CS164" s="45">
        <v>-5.2079234265240304</v>
      </c>
      <c r="CT164" s="46">
        <v>1.6052726547968699E-8</v>
      </c>
      <c r="CU164" s="47">
        <v>1.4319032080788099E-7</v>
      </c>
      <c r="CV164" s="48">
        <v>29.2855832248231</v>
      </c>
      <c r="CW164" s="49">
        <v>5.6232745427229602</v>
      </c>
      <c r="CX164" s="31" t="s">
        <v>5875</v>
      </c>
      <c r="CY164" s="31" t="s">
        <v>5876</v>
      </c>
      <c r="CZ164" t="s">
        <v>10504</v>
      </c>
      <c r="DA164" t="s">
        <v>5904</v>
      </c>
      <c r="DB164">
        <v>665.2</v>
      </c>
      <c r="DC164" t="s">
        <v>27549</v>
      </c>
      <c r="DD164" t="s">
        <v>27550</v>
      </c>
      <c r="DE164" t="s">
        <v>27551</v>
      </c>
      <c r="DF164" t="s">
        <v>27552</v>
      </c>
      <c r="DG164" t="s">
        <v>27553</v>
      </c>
      <c r="DH164" t="str">
        <f>"PI16"</f>
        <v>PI16</v>
      </c>
      <c r="DI164" t="s">
        <v>27554</v>
      </c>
      <c r="DJ164" t="s">
        <v>13777</v>
      </c>
      <c r="DK164">
        <v>9606</v>
      </c>
      <c r="DL164" s="34" t="str">
        <f>HYPERLINK("http://www.uniprot.org/uniprot/Q6UXB8", "Q6UXB8")</f>
        <v>Q6UXB8</v>
      </c>
      <c r="DM164" t="s">
        <v>27555</v>
      </c>
      <c r="DN164" t="s">
        <v>13772</v>
      </c>
      <c r="DO164" t="s">
        <v>14321</v>
      </c>
      <c r="DP164" t="s">
        <v>13780</v>
      </c>
      <c r="DQ164" t="s">
        <v>13772</v>
      </c>
      <c r="DR164" t="s">
        <v>13772</v>
      </c>
      <c r="DS164" t="s">
        <v>13808</v>
      </c>
      <c r="DT164" t="s">
        <v>13772</v>
      </c>
      <c r="DU164" t="s">
        <v>27556</v>
      </c>
      <c r="DV164" t="s">
        <v>13858</v>
      </c>
      <c r="DW164" t="s">
        <v>13772</v>
      </c>
      <c r="DX164" t="s">
        <v>27557</v>
      </c>
      <c r="DY164" t="s">
        <v>14508</v>
      </c>
      <c r="DZ164" t="s">
        <v>27558</v>
      </c>
      <c r="EA164" t="s">
        <v>13772</v>
      </c>
      <c r="EB164" t="s">
        <v>13772</v>
      </c>
    </row>
    <row r="165" spans="1:132">
      <c r="A165">
        <v>422</v>
      </c>
      <c r="B165">
        <v>1</v>
      </c>
      <c r="C165" t="s">
        <v>1057</v>
      </c>
      <c r="D165" t="s">
        <v>73</v>
      </c>
      <c r="E165" t="s">
        <v>73</v>
      </c>
      <c r="F165" t="s">
        <v>73</v>
      </c>
      <c r="G165" t="s">
        <v>73</v>
      </c>
      <c r="H165">
        <v>77.599999999999994</v>
      </c>
      <c r="I165">
        <v>147</v>
      </c>
      <c r="J165">
        <v>15757</v>
      </c>
      <c r="K165" t="s">
        <v>1058</v>
      </c>
      <c r="L165">
        <f t="shared" si="10"/>
        <v>262</v>
      </c>
      <c r="N165">
        <v>262</v>
      </c>
      <c r="O165">
        <v>262</v>
      </c>
      <c r="P165">
        <v>1</v>
      </c>
      <c r="Q165">
        <v>7</v>
      </c>
      <c r="R165">
        <v>7</v>
      </c>
      <c r="S165">
        <v>6</v>
      </c>
      <c r="T165">
        <v>3</v>
      </c>
      <c r="U165">
        <v>6</v>
      </c>
      <c r="V165">
        <v>9</v>
      </c>
      <c r="W165">
        <v>5</v>
      </c>
      <c r="X165">
        <v>36</v>
      </c>
      <c r="Y165">
        <v>9</v>
      </c>
      <c r="Z165">
        <v>9</v>
      </c>
      <c r="AA165">
        <v>15</v>
      </c>
      <c r="AB165">
        <v>11</v>
      </c>
      <c r="AC165">
        <v>24</v>
      </c>
      <c r="AD165">
        <v>24</v>
      </c>
      <c r="AE165">
        <v>13</v>
      </c>
      <c r="AF165">
        <v>26</v>
      </c>
      <c r="AG165">
        <v>17</v>
      </c>
      <c r="AH165">
        <v>18</v>
      </c>
      <c r="AI165">
        <v>17</v>
      </c>
      <c r="AJ165">
        <v>7</v>
      </c>
      <c r="AK165">
        <v>7</v>
      </c>
      <c r="AL165">
        <v>6</v>
      </c>
      <c r="AM165">
        <v>3</v>
      </c>
      <c r="AN165">
        <v>6</v>
      </c>
      <c r="AO165">
        <v>9</v>
      </c>
      <c r="AP165">
        <v>5</v>
      </c>
      <c r="AQ165">
        <v>36</v>
      </c>
      <c r="AR165">
        <v>9</v>
      </c>
      <c r="AS165">
        <v>9</v>
      </c>
      <c r="AT165">
        <v>15</v>
      </c>
      <c r="AU165">
        <v>11</v>
      </c>
      <c r="AV165">
        <v>24</v>
      </c>
      <c r="AW165">
        <v>24</v>
      </c>
      <c r="AX165">
        <v>13</v>
      </c>
      <c r="AY165">
        <v>26</v>
      </c>
      <c r="AZ165">
        <v>17</v>
      </c>
      <c r="BA165">
        <v>18</v>
      </c>
      <c r="BB165">
        <v>17</v>
      </c>
      <c r="BC165" s="2">
        <v>7</v>
      </c>
      <c r="BD165" s="2">
        <v>7</v>
      </c>
      <c r="BE165" s="2">
        <v>6</v>
      </c>
      <c r="BF165" s="2">
        <v>3</v>
      </c>
      <c r="BG165" s="2">
        <v>6</v>
      </c>
      <c r="BH165" s="2">
        <v>9</v>
      </c>
      <c r="BI165" s="2">
        <v>5</v>
      </c>
      <c r="BJ165" s="2">
        <v>36</v>
      </c>
      <c r="BK165" s="2">
        <v>9</v>
      </c>
      <c r="BL165" s="2">
        <v>9</v>
      </c>
      <c r="BM165" s="2">
        <v>15</v>
      </c>
      <c r="BN165" s="2">
        <v>11</v>
      </c>
      <c r="BO165" s="2">
        <v>24</v>
      </c>
      <c r="BP165" s="2">
        <v>24</v>
      </c>
      <c r="BQ165" s="2">
        <v>13</v>
      </c>
      <c r="BR165" s="2">
        <v>26</v>
      </c>
      <c r="BS165" s="2">
        <v>17</v>
      </c>
      <c r="BT165" s="2">
        <v>18</v>
      </c>
      <c r="BU165" s="2">
        <v>17</v>
      </c>
      <c r="BV165" s="2">
        <f t="shared" si="13"/>
        <v>262</v>
      </c>
      <c r="BW165" s="16">
        <f t="shared" si="11"/>
        <v>13.789473684210526</v>
      </c>
      <c r="BX165" s="16">
        <f>COUNTIF($BC$6:BU165, "=0") / COUNTIF($BC$6:BU165, "&gt;-1")</f>
        <v>3.7499999999999999E-2</v>
      </c>
      <c r="BY165" s="18">
        <f>SUM($BC$6:BU165) / $BY$4</f>
        <v>0.64996533766718279</v>
      </c>
      <c r="BZ165" s="14">
        <f t="shared" si="12"/>
        <v>0</v>
      </c>
      <c r="CA165" t="s">
        <v>5831</v>
      </c>
      <c r="CB165" s="36">
        <v>8.4815037708430996</v>
      </c>
      <c r="CC165" s="36">
        <v>6.7414488447421297</v>
      </c>
      <c r="CD165" s="36">
        <v>9.6047859708735501</v>
      </c>
      <c r="CE165" s="36">
        <v>4.5357652774596904</v>
      </c>
      <c r="CF165" s="36">
        <v>5.1610581596213496</v>
      </c>
      <c r="CG165" s="36">
        <v>8.3675452197554208</v>
      </c>
      <c r="CH165" s="36">
        <v>5.2703114143232002</v>
      </c>
      <c r="CI165" s="36">
        <v>35.034609527363003</v>
      </c>
      <c r="CJ165" s="37">
        <v>7.1528246392046197</v>
      </c>
      <c r="CK165" s="37">
        <v>9.4597447033242794</v>
      </c>
      <c r="CL165" s="37">
        <v>8.8005978309407702</v>
      </c>
      <c r="CM165" s="37">
        <v>20.317129118398601</v>
      </c>
      <c r="CN165" s="37">
        <v>11.944303355596499</v>
      </c>
      <c r="CO165" s="37">
        <v>20.5189548300133</v>
      </c>
      <c r="CP165" s="37">
        <v>25.645180813661199</v>
      </c>
      <c r="CQ165" s="37">
        <v>25.884826390068501</v>
      </c>
      <c r="CR165" s="45">
        <v>0.59669754513772</v>
      </c>
      <c r="CS165" s="45">
        <v>1.55923311819238</v>
      </c>
      <c r="CT165" s="46">
        <v>0.19135500877150399</v>
      </c>
      <c r="CU165" s="47">
        <v>0.25299703728880701</v>
      </c>
      <c r="CV165" s="48">
        <v>10.399628523122701</v>
      </c>
      <c r="CW165" s="49">
        <v>16.215445210151</v>
      </c>
      <c r="CX165" s="31" t="s">
        <v>5874</v>
      </c>
      <c r="CY165" s="31" t="s">
        <v>5832</v>
      </c>
      <c r="CZ165" t="s">
        <v>7164</v>
      </c>
      <c r="DA165" t="s">
        <v>5904</v>
      </c>
      <c r="DB165">
        <v>244.2</v>
      </c>
      <c r="DC165" t="s">
        <v>17864</v>
      </c>
      <c r="DD165" t="s">
        <v>17865</v>
      </c>
      <c r="DE165" t="s">
        <v>17866</v>
      </c>
      <c r="DF165" t="s">
        <v>17867</v>
      </c>
      <c r="DG165" t="s">
        <v>17868</v>
      </c>
      <c r="DH165" t="str">
        <f>"TTR"</f>
        <v>TTR</v>
      </c>
      <c r="DI165" t="s">
        <v>17869</v>
      </c>
      <c r="DJ165" t="s">
        <v>13777</v>
      </c>
      <c r="DK165">
        <v>9606</v>
      </c>
      <c r="DL165" s="34" t="str">
        <f>HYPERLINK("http://www.uniprot.org/uniprot/P02766", "P02766")</f>
        <v>P02766</v>
      </c>
      <c r="DM165" t="s">
        <v>17870</v>
      </c>
      <c r="DN165" t="s">
        <v>14192</v>
      </c>
      <c r="DO165" t="s">
        <v>17871</v>
      </c>
      <c r="DP165" t="s">
        <v>13793</v>
      </c>
      <c r="DQ165" t="s">
        <v>13772</v>
      </c>
      <c r="DR165" t="s">
        <v>17872</v>
      </c>
      <c r="DS165" t="s">
        <v>13808</v>
      </c>
      <c r="DT165" t="s">
        <v>13772</v>
      </c>
      <c r="DU165" t="s">
        <v>17873</v>
      </c>
      <c r="DV165" t="s">
        <v>17874</v>
      </c>
      <c r="DW165" t="s">
        <v>13812</v>
      </c>
      <c r="DX165" t="s">
        <v>17875</v>
      </c>
      <c r="DY165" t="s">
        <v>17876</v>
      </c>
      <c r="DZ165" t="s">
        <v>17877</v>
      </c>
      <c r="EA165" t="s">
        <v>13772</v>
      </c>
      <c r="EB165" t="s">
        <v>17878</v>
      </c>
    </row>
    <row r="166" spans="1:132" hidden="1">
      <c r="A166">
        <v>2333</v>
      </c>
      <c r="B166">
        <v>1</v>
      </c>
      <c r="C166" t="s">
        <v>5440</v>
      </c>
      <c r="D166" t="s">
        <v>5441</v>
      </c>
      <c r="E166" t="s">
        <v>73</v>
      </c>
      <c r="F166" t="s">
        <v>552</v>
      </c>
      <c r="G166" t="s">
        <v>73</v>
      </c>
      <c r="H166">
        <v>32.5</v>
      </c>
      <c r="I166">
        <v>1939</v>
      </c>
      <c r="J166">
        <v>223461</v>
      </c>
      <c r="K166" t="s">
        <v>5442</v>
      </c>
      <c r="L166">
        <f t="shared" si="10"/>
        <v>473</v>
      </c>
      <c r="N166">
        <v>473</v>
      </c>
      <c r="O166">
        <v>74</v>
      </c>
      <c r="P166">
        <v>0.156</v>
      </c>
      <c r="Q166">
        <v>0</v>
      </c>
      <c r="R166">
        <v>1</v>
      </c>
      <c r="S166">
        <v>0</v>
      </c>
      <c r="T166">
        <v>0</v>
      </c>
      <c r="U166">
        <v>3</v>
      </c>
      <c r="V166">
        <v>1</v>
      </c>
      <c r="W166">
        <v>31</v>
      </c>
      <c r="X166">
        <v>42</v>
      </c>
      <c r="Y166">
        <v>39</v>
      </c>
      <c r="Z166">
        <v>10</v>
      </c>
      <c r="AA166">
        <v>66</v>
      </c>
      <c r="AB166">
        <v>45</v>
      </c>
      <c r="AC166">
        <v>16</v>
      </c>
      <c r="AD166">
        <v>2</v>
      </c>
      <c r="AE166">
        <v>85</v>
      </c>
      <c r="AF166">
        <v>103</v>
      </c>
      <c r="AG166">
        <v>9</v>
      </c>
      <c r="AH166">
        <v>7</v>
      </c>
      <c r="AI166">
        <v>13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</v>
      </c>
      <c r="AQ166">
        <v>4</v>
      </c>
      <c r="AR166">
        <v>3</v>
      </c>
      <c r="AS166">
        <v>0</v>
      </c>
      <c r="AT166">
        <v>12</v>
      </c>
      <c r="AU166">
        <v>8</v>
      </c>
      <c r="AV166">
        <v>3</v>
      </c>
      <c r="AW166">
        <v>0</v>
      </c>
      <c r="AX166">
        <v>16</v>
      </c>
      <c r="AY166">
        <v>24</v>
      </c>
      <c r="AZ166">
        <v>0</v>
      </c>
      <c r="BA166">
        <v>0</v>
      </c>
      <c r="BB166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0.86699999999999999</v>
      </c>
      <c r="BH166" s="2">
        <v>0.33300000000000002</v>
      </c>
      <c r="BI166" s="2">
        <v>13.164</v>
      </c>
      <c r="BJ166" s="2">
        <v>22.385000000000002</v>
      </c>
      <c r="BK166" s="2">
        <v>25.581</v>
      </c>
      <c r="BL166" s="2">
        <v>0</v>
      </c>
      <c r="BM166" s="2">
        <v>37.058</v>
      </c>
      <c r="BN166" s="2">
        <v>25.776</v>
      </c>
      <c r="BO166" s="2">
        <v>8.7379999999999995</v>
      </c>
      <c r="BP166" s="2">
        <v>0.5</v>
      </c>
      <c r="BQ166" s="2">
        <v>50.898000000000003</v>
      </c>
      <c r="BR166" s="2">
        <v>68.661000000000001</v>
      </c>
      <c r="BS166" s="2">
        <v>0.5</v>
      </c>
      <c r="BT166" s="2">
        <v>0</v>
      </c>
      <c r="BU166" s="2">
        <v>4.4930000000000003</v>
      </c>
      <c r="BV166" s="2">
        <f t="shared" si="13"/>
        <v>258.95400000000001</v>
      </c>
      <c r="BW166" s="16">
        <f t="shared" si="11"/>
        <v>13.629157894736842</v>
      </c>
      <c r="BX166" s="16">
        <f>COUNTIF($BC$6:BU166, "=0") / COUNTIF($BC$6:BU166, "&gt;-1")</f>
        <v>3.9228506047728012E-2</v>
      </c>
      <c r="BY166" s="18">
        <f>SUM($BC$6:BU166) / $BY$4</f>
        <v>0.65107460256888017</v>
      </c>
      <c r="BZ166" s="14">
        <f t="shared" si="12"/>
        <v>6</v>
      </c>
      <c r="CA166" t="s">
        <v>5831</v>
      </c>
      <c r="CB166" s="36">
        <v>0.30291084895868198</v>
      </c>
      <c r="CC166" s="36">
        <v>0.24076603016936199</v>
      </c>
      <c r="CD166" s="36">
        <v>0.40019941545306398</v>
      </c>
      <c r="CE166" s="36">
        <v>0.37798043978830698</v>
      </c>
      <c r="CF166" s="36">
        <v>0.77415872394320295</v>
      </c>
      <c r="CG166" s="36">
        <v>0.27891817399184698</v>
      </c>
      <c r="CH166" s="36">
        <v>13.9136221338133</v>
      </c>
      <c r="CI166" s="36">
        <v>21.799312594803698</v>
      </c>
      <c r="CJ166" s="37">
        <v>20.345812307070901</v>
      </c>
      <c r="CK166" s="37">
        <v>23.397101899555398</v>
      </c>
      <c r="CL166" s="37">
        <v>20.641402185297402</v>
      </c>
      <c r="CM166" s="37">
        <v>7.3649593054194797</v>
      </c>
      <c r="CN166" s="37">
        <v>46.766541599989303</v>
      </c>
      <c r="CO166" s="37">
        <v>54.217392185458102</v>
      </c>
      <c r="CP166" s="37">
        <v>0.75427002393121101</v>
      </c>
      <c r="CQ166" s="37">
        <v>6.8518658091357798</v>
      </c>
      <c r="CR166" s="45">
        <v>2.1979777615867402</v>
      </c>
      <c r="CS166" s="45">
        <v>4.7348237923676502</v>
      </c>
      <c r="CT166" s="46">
        <v>1.1018755262374899E-2</v>
      </c>
      <c r="CU166" s="47">
        <v>2.0085959865201099E-2</v>
      </c>
      <c r="CV166" s="48">
        <v>4.7609835451151703</v>
      </c>
      <c r="CW166" s="49">
        <v>22.5424181644822</v>
      </c>
      <c r="CX166" s="31" t="s">
        <v>5874</v>
      </c>
      <c r="CY166" s="31" t="s">
        <v>5878</v>
      </c>
      <c r="CZ166" t="s">
        <v>13504</v>
      </c>
      <c r="DA166" t="s">
        <v>5904</v>
      </c>
      <c r="DB166">
        <v>3842.3</v>
      </c>
      <c r="DC166" t="s">
        <v>35991</v>
      </c>
      <c r="DD166" t="s">
        <v>35992</v>
      </c>
      <c r="DE166" t="s">
        <v>35993</v>
      </c>
      <c r="DF166" t="s">
        <v>35994</v>
      </c>
      <c r="DG166" t="s">
        <v>35995</v>
      </c>
      <c r="DH166" t="str">
        <f>"MYH1"</f>
        <v>MYH1</v>
      </c>
      <c r="DI166" t="s">
        <v>13772</v>
      </c>
      <c r="DJ166" t="s">
        <v>13777</v>
      </c>
      <c r="DK166">
        <v>9606</v>
      </c>
      <c r="DL166" s="34" t="str">
        <f>HYPERLINK("http://www.uniprot.org/uniprot/P12882", "P12882")</f>
        <v>P12882</v>
      </c>
      <c r="DM166" t="s">
        <v>35978</v>
      </c>
      <c r="DN166" t="s">
        <v>13772</v>
      </c>
      <c r="DO166" t="s">
        <v>15651</v>
      </c>
      <c r="DP166" t="s">
        <v>13793</v>
      </c>
      <c r="DQ166" t="s">
        <v>13772</v>
      </c>
      <c r="DR166" t="s">
        <v>13772</v>
      </c>
      <c r="DS166" t="s">
        <v>14245</v>
      </c>
      <c r="DT166" t="s">
        <v>14005</v>
      </c>
      <c r="DU166" t="s">
        <v>15653</v>
      </c>
      <c r="DV166" t="s">
        <v>14478</v>
      </c>
      <c r="DW166" t="s">
        <v>13772</v>
      </c>
      <c r="DX166" t="s">
        <v>17017</v>
      </c>
      <c r="DY166" t="s">
        <v>35996</v>
      </c>
      <c r="DZ166" t="s">
        <v>35997</v>
      </c>
      <c r="EA166" t="s">
        <v>13772</v>
      </c>
      <c r="EB166" t="s">
        <v>13772</v>
      </c>
    </row>
    <row r="167" spans="1:132" hidden="1">
      <c r="A167">
        <v>692</v>
      </c>
      <c r="B167">
        <v>1</v>
      </c>
      <c r="C167" t="s">
        <v>1704</v>
      </c>
      <c r="D167" t="s">
        <v>1705</v>
      </c>
      <c r="E167" t="s">
        <v>73</v>
      </c>
      <c r="F167" t="s">
        <v>879</v>
      </c>
      <c r="G167" t="s">
        <v>73</v>
      </c>
      <c r="H167">
        <v>40.700000000000003</v>
      </c>
      <c r="I167">
        <v>2602</v>
      </c>
      <c r="J167">
        <v>277745</v>
      </c>
      <c r="K167" t="s">
        <v>1706</v>
      </c>
      <c r="L167">
        <f t="shared" si="10"/>
        <v>260</v>
      </c>
      <c r="N167">
        <v>260</v>
      </c>
      <c r="O167">
        <v>251</v>
      </c>
      <c r="P167">
        <v>0.96499999999999997</v>
      </c>
      <c r="Q167">
        <v>1</v>
      </c>
      <c r="R167">
        <v>2</v>
      </c>
      <c r="S167">
        <v>1</v>
      </c>
      <c r="T167">
        <v>0</v>
      </c>
      <c r="U167">
        <v>3</v>
      </c>
      <c r="V167">
        <v>1</v>
      </c>
      <c r="W167">
        <v>0</v>
      </c>
      <c r="X167">
        <v>9</v>
      </c>
      <c r="Y167">
        <v>26</v>
      </c>
      <c r="Z167">
        <v>0</v>
      </c>
      <c r="AA167">
        <v>38</v>
      </c>
      <c r="AB167">
        <v>24</v>
      </c>
      <c r="AC167">
        <v>21</v>
      </c>
      <c r="AD167">
        <v>0</v>
      </c>
      <c r="AE167">
        <v>53</v>
      </c>
      <c r="AF167">
        <v>69</v>
      </c>
      <c r="AG167">
        <v>11</v>
      </c>
      <c r="AH167">
        <v>0</v>
      </c>
      <c r="AI167">
        <v>1</v>
      </c>
      <c r="AJ167">
        <v>1</v>
      </c>
      <c r="AK167">
        <v>2</v>
      </c>
      <c r="AL167">
        <v>1</v>
      </c>
      <c r="AM167">
        <v>0</v>
      </c>
      <c r="AN167">
        <v>3</v>
      </c>
      <c r="AO167">
        <v>1</v>
      </c>
      <c r="AP167">
        <v>0</v>
      </c>
      <c r="AQ167">
        <v>9</v>
      </c>
      <c r="AR167">
        <v>25</v>
      </c>
      <c r="AS167">
        <v>0</v>
      </c>
      <c r="AT167">
        <v>37</v>
      </c>
      <c r="AU167">
        <v>23</v>
      </c>
      <c r="AV167">
        <v>20</v>
      </c>
      <c r="AW167">
        <v>0</v>
      </c>
      <c r="AX167">
        <v>50</v>
      </c>
      <c r="AY167">
        <v>67</v>
      </c>
      <c r="AZ167">
        <v>11</v>
      </c>
      <c r="BA167">
        <v>0</v>
      </c>
      <c r="BB167">
        <v>1</v>
      </c>
      <c r="BC167" s="2">
        <v>1</v>
      </c>
      <c r="BD167" s="2">
        <v>2</v>
      </c>
      <c r="BE167" s="2">
        <v>1</v>
      </c>
      <c r="BF167" s="2">
        <v>0</v>
      </c>
      <c r="BG167" s="2">
        <v>3</v>
      </c>
      <c r="BH167" s="2">
        <v>1</v>
      </c>
      <c r="BI167" s="2">
        <v>0</v>
      </c>
      <c r="BJ167" s="2">
        <v>9</v>
      </c>
      <c r="BK167" s="2">
        <v>25.806000000000001</v>
      </c>
      <c r="BL167" s="2">
        <v>0</v>
      </c>
      <c r="BM167" s="2">
        <v>37.536000000000001</v>
      </c>
      <c r="BN167" s="2">
        <v>23.657</v>
      </c>
      <c r="BO167" s="2">
        <v>20.69</v>
      </c>
      <c r="BP167" s="2">
        <v>0</v>
      </c>
      <c r="BQ167" s="2">
        <v>51.648000000000003</v>
      </c>
      <c r="BR167" s="2">
        <v>68.522999999999996</v>
      </c>
      <c r="BS167" s="2">
        <v>11</v>
      </c>
      <c r="BT167" s="2">
        <v>0</v>
      </c>
      <c r="BU167" s="2">
        <v>1</v>
      </c>
      <c r="BV167" s="2">
        <f t="shared" si="13"/>
        <v>256.86</v>
      </c>
      <c r="BW167" s="16">
        <f t="shared" si="11"/>
        <v>13.518947368421053</v>
      </c>
      <c r="BX167" s="16">
        <f>COUNTIF($BC$6:BU167, "=0") / COUNTIF($BC$6:BU167, "&gt;-1")</f>
        <v>4.061078622482131E-2</v>
      </c>
      <c r="BY167" s="18">
        <f>SUM($BC$6:BU167) / $BY$4</f>
        <v>0.6521748975349746</v>
      </c>
      <c r="BZ167" s="14">
        <f t="shared" si="12"/>
        <v>5</v>
      </c>
      <c r="CA167" t="s">
        <v>5831</v>
      </c>
      <c r="CB167" s="36">
        <v>1.2116433958347299</v>
      </c>
      <c r="CC167" s="36">
        <v>1.9261282413548899</v>
      </c>
      <c r="CD167" s="36">
        <v>1.6007976618122599</v>
      </c>
      <c r="CE167" s="36">
        <v>0.37798043978830698</v>
      </c>
      <c r="CF167" s="36">
        <v>2.5805290798106801</v>
      </c>
      <c r="CG167" s="36">
        <v>0.92972724663949102</v>
      </c>
      <c r="CH167" s="36">
        <v>0.26351557071616</v>
      </c>
      <c r="CI167" s="36">
        <v>8.7586523818407507</v>
      </c>
      <c r="CJ167" s="37">
        <v>20.504763965719899</v>
      </c>
      <c r="CK167" s="37">
        <v>23.6493617583107</v>
      </c>
      <c r="CL167" s="37">
        <v>18.961288053935998</v>
      </c>
      <c r="CM167" s="37">
        <v>17.523523864618799</v>
      </c>
      <c r="CN167" s="37">
        <v>47.4096963960599</v>
      </c>
      <c r="CO167" s="37">
        <v>54.0595540713811</v>
      </c>
      <c r="CP167" s="37">
        <v>16.593940526486598</v>
      </c>
      <c r="CQ167" s="37">
        <v>1.5226368464746201</v>
      </c>
      <c r="CR167" s="45">
        <v>3.3901673702466502</v>
      </c>
      <c r="CS167" s="45">
        <v>11.3448388150541</v>
      </c>
      <c r="CT167" s="46">
        <v>6.5290292571418999E-8</v>
      </c>
      <c r="CU167" s="47">
        <v>4.69668878820208E-7</v>
      </c>
      <c r="CV167" s="48">
        <v>2.2061217522246599</v>
      </c>
      <c r="CW167" s="49">
        <v>25.028095685373501</v>
      </c>
      <c r="CX167" s="31" t="s">
        <v>5874</v>
      </c>
      <c r="CY167" s="31" t="s">
        <v>5876</v>
      </c>
      <c r="CZ167" t="s">
        <v>8080</v>
      </c>
      <c r="DA167" t="s">
        <v>5904</v>
      </c>
      <c r="DB167">
        <v>5194.8</v>
      </c>
      <c r="DC167" t="s">
        <v>20614</v>
      </c>
      <c r="DD167" t="s">
        <v>20615</v>
      </c>
      <c r="DE167" t="s">
        <v>20616</v>
      </c>
      <c r="DF167" t="s">
        <v>20617</v>
      </c>
      <c r="DG167" t="s">
        <v>20618</v>
      </c>
      <c r="DH167" t="str">
        <f>"FLNB"</f>
        <v>FLNB</v>
      </c>
      <c r="DI167" t="s">
        <v>20619</v>
      </c>
      <c r="DJ167" t="s">
        <v>13777</v>
      </c>
      <c r="DK167">
        <v>9606</v>
      </c>
      <c r="DL167" s="34" t="str">
        <f>HYPERLINK("http://www.uniprot.org/uniprot/O75369", "O75369")</f>
        <v>O75369</v>
      </c>
      <c r="DM167" t="s">
        <v>20620</v>
      </c>
      <c r="DN167" t="s">
        <v>20621</v>
      </c>
      <c r="DO167" t="s">
        <v>13988</v>
      </c>
      <c r="DP167" t="s">
        <v>13780</v>
      </c>
      <c r="DQ167" t="s">
        <v>13772</v>
      </c>
      <c r="DR167" t="s">
        <v>14517</v>
      </c>
      <c r="DS167" t="s">
        <v>14096</v>
      </c>
      <c r="DT167" t="s">
        <v>13772</v>
      </c>
      <c r="DU167" t="s">
        <v>19657</v>
      </c>
      <c r="DV167" t="s">
        <v>13991</v>
      </c>
      <c r="DW167" t="s">
        <v>13812</v>
      </c>
      <c r="DX167" t="s">
        <v>20622</v>
      </c>
      <c r="DY167" t="s">
        <v>20623</v>
      </c>
      <c r="DZ167" t="s">
        <v>20624</v>
      </c>
      <c r="EA167" t="s">
        <v>13772</v>
      </c>
      <c r="EB167" t="s">
        <v>20625</v>
      </c>
    </row>
    <row r="168" spans="1:132">
      <c r="A168">
        <v>1250</v>
      </c>
      <c r="B168">
        <v>1</v>
      </c>
      <c r="C168" t="s">
        <v>2998</v>
      </c>
      <c r="D168" t="s">
        <v>73</v>
      </c>
      <c r="E168" t="s">
        <v>73</v>
      </c>
      <c r="F168" t="s">
        <v>73</v>
      </c>
      <c r="G168" t="s">
        <v>73</v>
      </c>
      <c r="H168">
        <v>63.8</v>
      </c>
      <c r="I168">
        <v>69</v>
      </c>
      <c r="J168">
        <v>7502</v>
      </c>
      <c r="K168" t="s">
        <v>2999</v>
      </c>
      <c r="L168">
        <f t="shared" si="10"/>
        <v>256</v>
      </c>
      <c r="N168">
        <v>256</v>
      </c>
      <c r="O168">
        <v>256</v>
      </c>
      <c r="P168">
        <v>1</v>
      </c>
      <c r="Q168">
        <v>21</v>
      </c>
      <c r="R168">
        <v>34</v>
      </c>
      <c r="S168">
        <v>38</v>
      </c>
      <c r="T168">
        <v>44</v>
      </c>
      <c r="U168">
        <v>30</v>
      </c>
      <c r="V168">
        <v>17</v>
      </c>
      <c r="W168">
        <v>19</v>
      </c>
      <c r="X168">
        <v>7</v>
      </c>
      <c r="Y168">
        <v>5</v>
      </c>
      <c r="Z168">
        <v>3</v>
      </c>
      <c r="AA168">
        <v>6</v>
      </c>
      <c r="AB168">
        <v>8</v>
      </c>
      <c r="AC168">
        <v>3</v>
      </c>
      <c r="AD168">
        <v>4</v>
      </c>
      <c r="AE168">
        <v>3</v>
      </c>
      <c r="AF168">
        <v>4</v>
      </c>
      <c r="AG168">
        <v>2</v>
      </c>
      <c r="AH168">
        <v>4</v>
      </c>
      <c r="AI168">
        <v>4</v>
      </c>
      <c r="AJ168">
        <v>21</v>
      </c>
      <c r="AK168">
        <v>34</v>
      </c>
      <c r="AL168">
        <v>38</v>
      </c>
      <c r="AM168">
        <v>44</v>
      </c>
      <c r="AN168">
        <v>30</v>
      </c>
      <c r="AO168">
        <v>17</v>
      </c>
      <c r="AP168">
        <v>19</v>
      </c>
      <c r="AQ168">
        <v>7</v>
      </c>
      <c r="AR168">
        <v>5</v>
      </c>
      <c r="AS168">
        <v>3</v>
      </c>
      <c r="AT168">
        <v>6</v>
      </c>
      <c r="AU168">
        <v>8</v>
      </c>
      <c r="AV168">
        <v>3</v>
      </c>
      <c r="AW168">
        <v>4</v>
      </c>
      <c r="AX168">
        <v>3</v>
      </c>
      <c r="AY168">
        <v>4</v>
      </c>
      <c r="AZ168">
        <v>2</v>
      </c>
      <c r="BA168">
        <v>4</v>
      </c>
      <c r="BB168">
        <v>4</v>
      </c>
      <c r="BC168" s="2">
        <v>21</v>
      </c>
      <c r="BD168" s="2">
        <v>34</v>
      </c>
      <c r="BE168" s="2">
        <v>38</v>
      </c>
      <c r="BF168" s="2">
        <v>44</v>
      </c>
      <c r="BG168" s="2">
        <v>30</v>
      </c>
      <c r="BH168" s="2">
        <v>17</v>
      </c>
      <c r="BI168" s="2">
        <v>19</v>
      </c>
      <c r="BJ168" s="2">
        <v>7</v>
      </c>
      <c r="BK168" s="2">
        <v>5</v>
      </c>
      <c r="BL168" s="2">
        <v>3</v>
      </c>
      <c r="BM168" s="2">
        <v>6</v>
      </c>
      <c r="BN168" s="2">
        <v>8</v>
      </c>
      <c r="BO168" s="2">
        <v>3</v>
      </c>
      <c r="BP168" s="2">
        <v>4</v>
      </c>
      <c r="BQ168" s="2">
        <v>3</v>
      </c>
      <c r="BR168" s="2">
        <v>4</v>
      </c>
      <c r="BS168" s="2">
        <v>2</v>
      </c>
      <c r="BT168" s="2">
        <v>4</v>
      </c>
      <c r="BU168" s="2">
        <v>4</v>
      </c>
      <c r="BV168" s="2">
        <f t="shared" si="13"/>
        <v>256</v>
      </c>
      <c r="BW168" s="16">
        <f t="shared" si="11"/>
        <v>13.473684210526315</v>
      </c>
      <c r="BX168" s="16">
        <f>COUNTIF($BC$6:BU168, "=0") / COUNTIF($BC$6:BU168, "&gt;-1")</f>
        <v>4.0361640297061671E-2</v>
      </c>
      <c r="BY168" s="18">
        <f>SUM($BC$6:BU168) / $BY$4</f>
        <v>0.65327150857336191</v>
      </c>
      <c r="BZ168" s="14">
        <f t="shared" si="12"/>
        <v>0</v>
      </c>
      <c r="CA168" t="s">
        <v>5831</v>
      </c>
      <c r="CB168" s="36">
        <v>25.444511312529301</v>
      </c>
      <c r="CC168" s="36">
        <v>32.744180103033202</v>
      </c>
      <c r="CD168" s="36">
        <v>60.830311148865803</v>
      </c>
      <c r="CE168" s="36">
        <v>66.524557402742104</v>
      </c>
      <c r="CF168" s="36">
        <v>25.8052907981068</v>
      </c>
      <c r="CG168" s="36">
        <v>15.805363192871299</v>
      </c>
      <c r="CH168" s="36">
        <v>20.027183374428201</v>
      </c>
      <c r="CI168" s="36">
        <v>6.8122851858761404</v>
      </c>
      <c r="CJ168" s="37">
        <v>3.9737914662247902</v>
      </c>
      <c r="CK168" s="37">
        <v>3.7838978813297102</v>
      </c>
      <c r="CL168" s="37">
        <v>6.4004347861387396</v>
      </c>
      <c r="CM168" s="37">
        <v>2.5396411397998202</v>
      </c>
      <c r="CN168" s="37">
        <v>2.7563776974453398</v>
      </c>
      <c r="CO168" s="37">
        <v>3.1567622815404999</v>
      </c>
      <c r="CP168" s="37">
        <v>3.0170800957248498</v>
      </c>
      <c r="CQ168" s="37">
        <v>6.0905473858984696</v>
      </c>
      <c r="CR168" s="45">
        <v>-2.9549927557445499</v>
      </c>
      <c r="CS168" s="45">
        <v>-8.0077374526650509</v>
      </c>
      <c r="CT168" s="46">
        <v>8.8236794226585496E-10</v>
      </c>
      <c r="CU168" s="47">
        <v>1.15745912426639E-8</v>
      </c>
      <c r="CV168" s="48">
        <v>31.7492103148066</v>
      </c>
      <c r="CW168" s="49">
        <v>3.96481659176278</v>
      </c>
      <c r="CX168" s="31" t="s">
        <v>5875</v>
      </c>
      <c r="CY168" s="31" t="s">
        <v>5876</v>
      </c>
      <c r="CZ168" t="s">
        <v>9897</v>
      </c>
      <c r="DA168" t="s">
        <v>5904</v>
      </c>
      <c r="DB168">
        <v>75.099999999999994</v>
      </c>
      <c r="DC168" t="s">
        <v>25848</v>
      </c>
      <c r="DD168" t="s">
        <v>25849</v>
      </c>
      <c r="DE168" t="s">
        <v>25850</v>
      </c>
      <c r="DF168" t="s">
        <v>25851</v>
      </c>
      <c r="DG168" t="s">
        <v>25852</v>
      </c>
      <c r="DH168" t="str">
        <f>"DEFB1"</f>
        <v>DEFB1</v>
      </c>
      <c r="DI168" t="s">
        <v>25853</v>
      </c>
      <c r="DJ168" t="s">
        <v>13777</v>
      </c>
      <c r="DK168">
        <v>9606</v>
      </c>
      <c r="DL168" s="34" t="str">
        <f>HYPERLINK("http://www.uniprot.org/uniprot/P60022", "P60022")</f>
        <v>P60022</v>
      </c>
      <c r="DM168" t="s">
        <v>25854</v>
      </c>
      <c r="DN168" t="s">
        <v>13772</v>
      </c>
      <c r="DO168" t="s">
        <v>17261</v>
      </c>
      <c r="DP168" t="s">
        <v>13793</v>
      </c>
      <c r="DQ168" t="s">
        <v>13772</v>
      </c>
      <c r="DR168" t="s">
        <v>13772</v>
      </c>
      <c r="DS168" t="s">
        <v>13808</v>
      </c>
      <c r="DT168" t="s">
        <v>13772</v>
      </c>
      <c r="DU168" t="s">
        <v>25855</v>
      </c>
      <c r="DV168" t="s">
        <v>14506</v>
      </c>
      <c r="DW168" t="s">
        <v>13812</v>
      </c>
      <c r="DX168" t="s">
        <v>25856</v>
      </c>
      <c r="DY168" t="s">
        <v>25857</v>
      </c>
      <c r="DZ168" t="s">
        <v>25858</v>
      </c>
      <c r="EA168" t="s">
        <v>13772</v>
      </c>
      <c r="EB168" t="s">
        <v>25859</v>
      </c>
    </row>
    <row r="169" spans="1:132" hidden="1">
      <c r="A169">
        <v>769</v>
      </c>
      <c r="B169">
        <v>1</v>
      </c>
      <c r="C169" t="s">
        <v>1889</v>
      </c>
      <c r="D169" t="s">
        <v>1890</v>
      </c>
      <c r="E169" t="s">
        <v>73</v>
      </c>
      <c r="F169" t="s">
        <v>73</v>
      </c>
      <c r="G169" t="s">
        <v>73</v>
      </c>
      <c r="H169">
        <v>40.4</v>
      </c>
      <c r="I169">
        <v>768</v>
      </c>
      <c r="J169">
        <v>87788</v>
      </c>
      <c r="K169" t="s">
        <v>1891</v>
      </c>
      <c r="L169">
        <f t="shared" si="10"/>
        <v>255</v>
      </c>
      <c r="N169">
        <v>255</v>
      </c>
      <c r="O169">
        <v>255</v>
      </c>
      <c r="P169">
        <v>1</v>
      </c>
      <c r="Q169">
        <v>20</v>
      </c>
      <c r="R169">
        <v>36</v>
      </c>
      <c r="S169">
        <v>8</v>
      </c>
      <c r="T169">
        <v>16</v>
      </c>
      <c r="U169">
        <v>47</v>
      </c>
      <c r="V169">
        <v>54</v>
      </c>
      <c r="W169">
        <v>28</v>
      </c>
      <c r="X169">
        <v>18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3</v>
      </c>
      <c r="AE169">
        <v>0</v>
      </c>
      <c r="AF169">
        <v>6</v>
      </c>
      <c r="AG169">
        <v>14</v>
      </c>
      <c r="AH169">
        <v>0</v>
      </c>
      <c r="AI169">
        <v>3</v>
      </c>
      <c r="AJ169">
        <v>20</v>
      </c>
      <c r="AK169">
        <v>36</v>
      </c>
      <c r="AL169">
        <v>8</v>
      </c>
      <c r="AM169">
        <v>16</v>
      </c>
      <c r="AN169">
        <v>47</v>
      </c>
      <c r="AO169">
        <v>54</v>
      </c>
      <c r="AP169">
        <v>28</v>
      </c>
      <c r="AQ169">
        <v>18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3</v>
      </c>
      <c r="AX169">
        <v>0</v>
      </c>
      <c r="AY169">
        <v>6</v>
      </c>
      <c r="AZ169">
        <v>14</v>
      </c>
      <c r="BA169">
        <v>0</v>
      </c>
      <c r="BB169">
        <v>3</v>
      </c>
      <c r="BC169" s="2">
        <v>20</v>
      </c>
      <c r="BD169" s="2">
        <v>36</v>
      </c>
      <c r="BE169" s="2">
        <v>8</v>
      </c>
      <c r="BF169" s="2">
        <v>16</v>
      </c>
      <c r="BG169" s="2">
        <v>47</v>
      </c>
      <c r="BH169" s="2">
        <v>54</v>
      </c>
      <c r="BI169" s="2">
        <v>28</v>
      </c>
      <c r="BJ169" s="2">
        <v>18</v>
      </c>
      <c r="BK169" s="2">
        <v>0</v>
      </c>
      <c r="BL169" s="2">
        <v>0</v>
      </c>
      <c r="BM169" s="2">
        <v>2</v>
      </c>
      <c r="BN169" s="2">
        <v>0</v>
      </c>
      <c r="BO169" s="2">
        <v>0</v>
      </c>
      <c r="BP169" s="2">
        <v>3</v>
      </c>
      <c r="BQ169" s="2">
        <v>0</v>
      </c>
      <c r="BR169" s="2">
        <v>6</v>
      </c>
      <c r="BS169" s="2">
        <v>14</v>
      </c>
      <c r="BT169" s="2">
        <v>0</v>
      </c>
      <c r="BU169" s="2">
        <v>3</v>
      </c>
      <c r="BV169" s="2">
        <f t="shared" si="13"/>
        <v>255</v>
      </c>
      <c r="BW169" s="16">
        <f t="shared" si="11"/>
        <v>13.421052631578947</v>
      </c>
      <c r="BX169" s="16">
        <f>COUNTIF($BC$6:BU169, "=0") / COUNTIF($BC$6:BU169, "&gt;-1")</f>
        <v>4.2041078305519897E-2</v>
      </c>
      <c r="BY169" s="18">
        <f>SUM($BC$6:BU169) / $BY$4</f>
        <v>0.65436383597488057</v>
      </c>
      <c r="BZ169" s="14">
        <f t="shared" si="12"/>
        <v>6</v>
      </c>
      <c r="CA169" t="s">
        <v>5831</v>
      </c>
      <c r="CB169" s="36">
        <v>24.232867916694602</v>
      </c>
      <c r="CC169" s="36">
        <v>34.670308344388097</v>
      </c>
      <c r="CD169" s="36">
        <v>12.806381294498101</v>
      </c>
      <c r="CE169" s="36">
        <v>24.1907481464517</v>
      </c>
      <c r="CF169" s="36">
        <v>40.428288917033903</v>
      </c>
      <c r="CG169" s="36">
        <v>50.205271318532503</v>
      </c>
      <c r="CH169" s="36">
        <v>29.513743920209901</v>
      </c>
      <c r="CI169" s="36">
        <v>17.517304763681501</v>
      </c>
      <c r="CJ169" s="37">
        <v>0.19868957331123899</v>
      </c>
      <c r="CK169" s="37">
        <v>1.2612992937765699</v>
      </c>
      <c r="CL169" s="37">
        <v>0.200013587066836</v>
      </c>
      <c r="CM169" s="37">
        <v>0.21163676164998499</v>
      </c>
      <c r="CN169" s="37">
        <v>0.22969814145377901</v>
      </c>
      <c r="CO169" s="37">
        <v>4.7351434223107498</v>
      </c>
      <c r="CP169" s="37">
        <v>21.119560670073898</v>
      </c>
      <c r="CQ169" s="37">
        <v>4.5679105394238499</v>
      </c>
      <c r="CR169" s="45">
        <v>-2.9592850644395301</v>
      </c>
      <c r="CS169" s="45">
        <v>-7.18132023746697</v>
      </c>
      <c r="CT169" s="46">
        <v>2.7577439780647399E-5</v>
      </c>
      <c r="CU169" s="47">
        <v>8.8274197192598502E-5</v>
      </c>
      <c r="CV169" s="48">
        <v>29.1956143276863</v>
      </c>
      <c r="CW169" s="49">
        <v>4.0654939986333698</v>
      </c>
      <c r="CX169" s="31" t="s">
        <v>5875</v>
      </c>
      <c r="CY169" s="31" t="s">
        <v>5876</v>
      </c>
      <c r="CZ169" t="s">
        <v>8335</v>
      </c>
      <c r="DA169" t="s">
        <v>5904</v>
      </c>
      <c r="DB169">
        <v>1454.1</v>
      </c>
      <c r="DC169" t="s">
        <v>21357</v>
      </c>
      <c r="DD169" t="s">
        <v>21358</v>
      </c>
      <c r="DE169" t="s">
        <v>21359</v>
      </c>
      <c r="DF169" t="s">
        <v>21360</v>
      </c>
      <c r="DG169" t="s">
        <v>21361</v>
      </c>
      <c r="DH169" t="str">
        <f>"MME"</f>
        <v>MME</v>
      </c>
      <c r="DI169" t="s">
        <v>21362</v>
      </c>
      <c r="DJ169" t="s">
        <v>13777</v>
      </c>
      <c r="DK169">
        <v>9606</v>
      </c>
      <c r="DL169" s="34" t="str">
        <f>HYPERLINK("http://www.uniprot.org/uniprot/P08473", "P08473")</f>
        <v>P08473</v>
      </c>
      <c r="DM169" t="s">
        <v>21363</v>
      </c>
      <c r="DN169" t="s">
        <v>13772</v>
      </c>
      <c r="DO169" t="s">
        <v>13792</v>
      </c>
      <c r="DP169" t="s">
        <v>13772</v>
      </c>
      <c r="DQ169" t="s">
        <v>13772</v>
      </c>
      <c r="DR169" t="s">
        <v>21364</v>
      </c>
      <c r="DS169" t="s">
        <v>14417</v>
      </c>
      <c r="DT169" t="s">
        <v>13856</v>
      </c>
      <c r="DU169" t="s">
        <v>15139</v>
      </c>
      <c r="DV169" t="s">
        <v>21365</v>
      </c>
      <c r="DW169" t="s">
        <v>13812</v>
      </c>
      <c r="DX169" t="s">
        <v>21366</v>
      </c>
      <c r="DY169" t="s">
        <v>21367</v>
      </c>
      <c r="DZ169" t="s">
        <v>21368</v>
      </c>
      <c r="EA169" t="s">
        <v>13772</v>
      </c>
      <c r="EB169" t="s">
        <v>16433</v>
      </c>
    </row>
    <row r="170" spans="1:132" hidden="1">
      <c r="A170">
        <v>1003</v>
      </c>
      <c r="B170">
        <v>1</v>
      </c>
      <c r="C170" t="s">
        <v>2432</v>
      </c>
      <c r="D170" t="s">
        <v>73</v>
      </c>
      <c r="E170" t="s">
        <v>73</v>
      </c>
      <c r="F170" t="s">
        <v>73</v>
      </c>
      <c r="G170" t="s">
        <v>73</v>
      </c>
      <c r="H170">
        <v>45.9</v>
      </c>
      <c r="I170">
        <v>765</v>
      </c>
      <c r="J170">
        <v>88182</v>
      </c>
      <c r="K170" t="s">
        <v>2433</v>
      </c>
      <c r="L170">
        <f t="shared" si="10"/>
        <v>254</v>
      </c>
      <c r="N170">
        <v>254</v>
      </c>
      <c r="O170">
        <v>254</v>
      </c>
      <c r="P170">
        <v>1</v>
      </c>
      <c r="Q170">
        <v>13</v>
      </c>
      <c r="R170">
        <v>23</v>
      </c>
      <c r="S170">
        <v>11</v>
      </c>
      <c r="T170">
        <v>21</v>
      </c>
      <c r="U170">
        <v>38</v>
      </c>
      <c r="V170">
        <v>25</v>
      </c>
      <c r="W170">
        <v>31</v>
      </c>
      <c r="X170">
        <v>28</v>
      </c>
      <c r="Y170">
        <v>0</v>
      </c>
      <c r="Z170">
        <v>0</v>
      </c>
      <c r="AA170">
        <v>6</v>
      </c>
      <c r="AB170">
        <v>5</v>
      </c>
      <c r="AC170">
        <v>1</v>
      </c>
      <c r="AD170">
        <v>1</v>
      </c>
      <c r="AE170">
        <v>4</v>
      </c>
      <c r="AF170">
        <v>2</v>
      </c>
      <c r="AG170">
        <v>37</v>
      </c>
      <c r="AH170">
        <v>0</v>
      </c>
      <c r="AI170">
        <v>8</v>
      </c>
      <c r="AJ170">
        <v>13</v>
      </c>
      <c r="AK170">
        <v>23</v>
      </c>
      <c r="AL170">
        <v>11</v>
      </c>
      <c r="AM170">
        <v>21</v>
      </c>
      <c r="AN170">
        <v>38</v>
      </c>
      <c r="AO170">
        <v>25</v>
      </c>
      <c r="AP170">
        <v>31</v>
      </c>
      <c r="AQ170">
        <v>28</v>
      </c>
      <c r="AR170">
        <v>0</v>
      </c>
      <c r="AS170">
        <v>0</v>
      </c>
      <c r="AT170">
        <v>6</v>
      </c>
      <c r="AU170">
        <v>5</v>
      </c>
      <c r="AV170">
        <v>1</v>
      </c>
      <c r="AW170">
        <v>1</v>
      </c>
      <c r="AX170">
        <v>4</v>
      </c>
      <c r="AY170">
        <v>2</v>
      </c>
      <c r="AZ170">
        <v>37</v>
      </c>
      <c r="BA170">
        <v>0</v>
      </c>
      <c r="BB170">
        <v>8</v>
      </c>
      <c r="BC170" s="2">
        <v>13</v>
      </c>
      <c r="BD170" s="2">
        <v>23</v>
      </c>
      <c r="BE170" s="2">
        <v>11</v>
      </c>
      <c r="BF170" s="2">
        <v>21</v>
      </c>
      <c r="BG170" s="2">
        <v>38</v>
      </c>
      <c r="BH170" s="2">
        <v>25</v>
      </c>
      <c r="BI170" s="2">
        <v>31</v>
      </c>
      <c r="BJ170" s="2">
        <v>28</v>
      </c>
      <c r="BK170" s="2">
        <v>0</v>
      </c>
      <c r="BL170" s="2">
        <v>0</v>
      </c>
      <c r="BM170" s="2">
        <v>6</v>
      </c>
      <c r="BN170" s="2">
        <v>5</v>
      </c>
      <c r="BO170" s="2">
        <v>1</v>
      </c>
      <c r="BP170" s="2">
        <v>1</v>
      </c>
      <c r="BQ170" s="2">
        <v>4</v>
      </c>
      <c r="BR170" s="2">
        <v>2</v>
      </c>
      <c r="BS170" s="2">
        <v>37</v>
      </c>
      <c r="BT170" s="2">
        <v>0</v>
      </c>
      <c r="BU170" s="2">
        <v>8</v>
      </c>
      <c r="BV170" s="2">
        <f t="shared" si="13"/>
        <v>254</v>
      </c>
      <c r="BW170" s="16">
        <f t="shared" si="11"/>
        <v>13.368421052631579</v>
      </c>
      <c r="BX170" s="16">
        <f>COUNTIF($BC$6:BU170, "=0") / COUNTIF($BC$6:BU170, "&gt;-1")</f>
        <v>4.2743221690590111E-2</v>
      </c>
      <c r="BY170" s="18">
        <f>SUM($BC$6:BU170) / $BY$4</f>
        <v>0.65545187973953045</v>
      </c>
      <c r="BZ170" s="14">
        <f t="shared" si="12"/>
        <v>3</v>
      </c>
      <c r="CA170" t="s">
        <v>5831</v>
      </c>
      <c r="CB170" s="36">
        <v>15.7513641458515</v>
      </c>
      <c r="CC170" s="36">
        <v>22.150474775581301</v>
      </c>
      <c r="CD170" s="36">
        <v>17.608774279934799</v>
      </c>
      <c r="CE170" s="36">
        <v>31.750356942217799</v>
      </c>
      <c r="CF170" s="36">
        <v>32.686701677601903</v>
      </c>
      <c r="CG170" s="36">
        <v>23.243181165987298</v>
      </c>
      <c r="CH170" s="36">
        <v>32.675930768803902</v>
      </c>
      <c r="CI170" s="36">
        <v>27.249140743504601</v>
      </c>
      <c r="CJ170" s="37">
        <v>0.19868957331123899</v>
      </c>
      <c r="CK170" s="37">
        <v>3.7838978813297102</v>
      </c>
      <c r="CL170" s="37">
        <v>4.0002717413367099</v>
      </c>
      <c r="CM170" s="37">
        <v>0.84654704659994096</v>
      </c>
      <c r="CN170" s="37">
        <v>3.6751702632604601</v>
      </c>
      <c r="CO170" s="37">
        <v>1.5783811407702499</v>
      </c>
      <c r="CP170" s="37">
        <v>55.815981770909602</v>
      </c>
      <c r="CQ170" s="37">
        <v>12.1810947717969</v>
      </c>
      <c r="CR170" s="45">
        <v>-1.3657822246029401</v>
      </c>
      <c r="CS170" s="45">
        <v>-2.4746081858470301</v>
      </c>
      <c r="CT170" s="46">
        <v>5.2165081307153E-2</v>
      </c>
      <c r="CU170" s="47">
        <v>8.0226297458587004E-2</v>
      </c>
      <c r="CV170" s="48">
        <v>25.389490562435402</v>
      </c>
      <c r="CW170" s="49">
        <v>10.2600042736644</v>
      </c>
      <c r="CX170" s="31" t="s">
        <v>5875</v>
      </c>
      <c r="CY170" s="31" t="s">
        <v>5877</v>
      </c>
      <c r="CZ170" t="s">
        <v>9124</v>
      </c>
      <c r="DA170" t="s">
        <v>5904</v>
      </c>
      <c r="DB170">
        <v>1423.7</v>
      </c>
      <c r="DC170" t="s">
        <v>23635</v>
      </c>
      <c r="DD170" t="s">
        <v>23636</v>
      </c>
      <c r="DE170" t="s">
        <v>23637</v>
      </c>
      <c r="DF170" t="s">
        <v>23638</v>
      </c>
      <c r="DG170" t="s">
        <v>23639</v>
      </c>
      <c r="DH170" t="str">
        <f>"DPP4"</f>
        <v>DPP4</v>
      </c>
      <c r="DI170" t="s">
        <v>23640</v>
      </c>
      <c r="DJ170" t="s">
        <v>13777</v>
      </c>
      <c r="DK170">
        <v>9606</v>
      </c>
      <c r="DL170" s="34" t="str">
        <f>HYPERLINK("http://www.uniprot.org/uniprot/P27487", "P27487")</f>
        <v>P27487</v>
      </c>
      <c r="DM170" t="s">
        <v>23641</v>
      </c>
      <c r="DN170" t="s">
        <v>13949</v>
      </c>
      <c r="DO170" t="s">
        <v>23642</v>
      </c>
      <c r="DP170" t="s">
        <v>13772</v>
      </c>
      <c r="DQ170" t="s">
        <v>13772</v>
      </c>
      <c r="DR170" t="s">
        <v>13772</v>
      </c>
      <c r="DS170" t="s">
        <v>14417</v>
      </c>
      <c r="DT170" t="s">
        <v>13772</v>
      </c>
      <c r="DU170" t="s">
        <v>23643</v>
      </c>
      <c r="DV170" t="s">
        <v>13796</v>
      </c>
      <c r="DW170" t="s">
        <v>13812</v>
      </c>
      <c r="DX170" t="s">
        <v>23644</v>
      </c>
      <c r="DY170" t="s">
        <v>23645</v>
      </c>
      <c r="DZ170" t="s">
        <v>23646</v>
      </c>
      <c r="EA170" t="s">
        <v>13772</v>
      </c>
      <c r="EB170" t="s">
        <v>23647</v>
      </c>
    </row>
    <row r="171" spans="1:132" hidden="1">
      <c r="A171">
        <v>1242</v>
      </c>
      <c r="B171">
        <v>1</v>
      </c>
      <c r="C171" t="s">
        <v>2979</v>
      </c>
      <c r="D171" t="s">
        <v>73</v>
      </c>
      <c r="E171" t="s">
        <v>73</v>
      </c>
      <c r="F171" t="s">
        <v>73</v>
      </c>
      <c r="G171" t="s">
        <v>73</v>
      </c>
      <c r="H171">
        <v>50.3</v>
      </c>
      <c r="I171">
        <v>477</v>
      </c>
      <c r="J171">
        <v>51722</v>
      </c>
      <c r="K171" t="s">
        <v>2980</v>
      </c>
      <c r="L171">
        <f t="shared" si="10"/>
        <v>254</v>
      </c>
      <c r="N171">
        <v>254</v>
      </c>
      <c r="O171">
        <v>254</v>
      </c>
      <c r="P171">
        <v>1</v>
      </c>
      <c r="Q171">
        <v>14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8</v>
      </c>
      <c r="X171">
        <v>48</v>
      </c>
      <c r="Y171">
        <v>9</v>
      </c>
      <c r="Z171">
        <v>17</v>
      </c>
      <c r="AA171">
        <v>17</v>
      </c>
      <c r="AB171">
        <v>19</v>
      </c>
      <c r="AC171">
        <v>23</v>
      </c>
      <c r="AD171">
        <v>11</v>
      </c>
      <c r="AE171">
        <v>14</v>
      </c>
      <c r="AF171">
        <v>11</v>
      </c>
      <c r="AG171">
        <v>25</v>
      </c>
      <c r="AH171">
        <v>14</v>
      </c>
      <c r="AI171">
        <v>22</v>
      </c>
      <c r="AJ171">
        <v>14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8</v>
      </c>
      <c r="AQ171">
        <v>48</v>
      </c>
      <c r="AR171">
        <v>9</v>
      </c>
      <c r="AS171">
        <v>17</v>
      </c>
      <c r="AT171">
        <v>17</v>
      </c>
      <c r="AU171">
        <v>19</v>
      </c>
      <c r="AV171">
        <v>23</v>
      </c>
      <c r="AW171">
        <v>11</v>
      </c>
      <c r="AX171">
        <v>14</v>
      </c>
      <c r="AY171">
        <v>11</v>
      </c>
      <c r="AZ171">
        <v>25</v>
      </c>
      <c r="BA171">
        <v>14</v>
      </c>
      <c r="BB171">
        <v>22</v>
      </c>
      <c r="BC171" s="2">
        <v>14</v>
      </c>
      <c r="BD171" s="2">
        <v>1</v>
      </c>
      <c r="BE171" s="2">
        <v>0</v>
      </c>
      <c r="BF171" s="2">
        <v>0</v>
      </c>
      <c r="BG171" s="2">
        <v>0</v>
      </c>
      <c r="BH171" s="2">
        <v>1</v>
      </c>
      <c r="BI171" s="2">
        <v>8</v>
      </c>
      <c r="BJ171" s="2">
        <v>48</v>
      </c>
      <c r="BK171" s="2">
        <v>9</v>
      </c>
      <c r="BL171" s="2">
        <v>17</v>
      </c>
      <c r="BM171" s="2">
        <v>17</v>
      </c>
      <c r="BN171" s="2">
        <v>19</v>
      </c>
      <c r="BO171" s="2">
        <v>23</v>
      </c>
      <c r="BP171" s="2">
        <v>11</v>
      </c>
      <c r="BQ171" s="2">
        <v>14</v>
      </c>
      <c r="BR171" s="2">
        <v>11</v>
      </c>
      <c r="BS171" s="2">
        <v>25</v>
      </c>
      <c r="BT171" s="2">
        <v>14</v>
      </c>
      <c r="BU171" s="2">
        <v>22</v>
      </c>
      <c r="BV171" s="2">
        <f t="shared" si="13"/>
        <v>254</v>
      </c>
      <c r="BW171" s="16">
        <f t="shared" si="11"/>
        <v>13.368421052631579</v>
      </c>
      <c r="BX171" s="16">
        <f>COUNTIF($BC$6:BU171, "=0") / COUNTIF($BC$6:BU171, "&gt;-1")</f>
        <v>4.3436905516804056E-2</v>
      </c>
      <c r="BY171" s="18">
        <f>SUM($BC$6:BU171) / $BY$4</f>
        <v>0.65653992350418033</v>
      </c>
      <c r="BZ171" s="14">
        <f t="shared" si="12"/>
        <v>3</v>
      </c>
      <c r="CA171" t="s">
        <v>5831</v>
      </c>
      <c r="CB171" s="36">
        <v>16.963007541686199</v>
      </c>
      <c r="CC171" s="36">
        <v>0.96306412067744696</v>
      </c>
      <c r="CD171" s="36">
        <v>0.40019941545306398</v>
      </c>
      <c r="CE171" s="36">
        <v>0.37798043978830698</v>
      </c>
      <c r="CF171" s="36">
        <v>0.215044089984223</v>
      </c>
      <c r="CG171" s="36">
        <v>0.92972724663949102</v>
      </c>
      <c r="CH171" s="36">
        <v>8.4324982629171306</v>
      </c>
      <c r="CI171" s="36">
        <v>46.712812703150703</v>
      </c>
      <c r="CJ171" s="37">
        <v>7.1528246392046197</v>
      </c>
      <c r="CK171" s="37">
        <v>10.7210439971009</v>
      </c>
      <c r="CL171" s="37">
        <v>15.2010326170795</v>
      </c>
      <c r="CM171" s="37">
        <v>19.470582071798599</v>
      </c>
      <c r="CN171" s="37">
        <v>12.863095921411601</v>
      </c>
      <c r="CO171" s="37">
        <v>8.6810962742363706</v>
      </c>
      <c r="CP171" s="37">
        <v>37.7135011965606</v>
      </c>
      <c r="CQ171" s="37">
        <v>33.498010622441598</v>
      </c>
      <c r="CR171" s="45">
        <v>0.92021823200035402</v>
      </c>
      <c r="CS171" s="45">
        <v>1.9374955405032099</v>
      </c>
      <c r="CT171" s="46">
        <v>0.232220564291471</v>
      </c>
      <c r="CU171" s="47">
        <v>0.30224816636380197</v>
      </c>
      <c r="CV171" s="48">
        <v>9.3742917275370701</v>
      </c>
      <c r="CW171" s="49">
        <v>18.1626484174792</v>
      </c>
      <c r="CX171" s="31" t="s">
        <v>5874</v>
      </c>
      <c r="CY171" s="31" t="s">
        <v>5832</v>
      </c>
      <c r="CZ171" t="s">
        <v>9870</v>
      </c>
      <c r="DA171" t="s">
        <v>5904</v>
      </c>
      <c r="DB171">
        <v>684.9</v>
      </c>
      <c r="DC171" t="s">
        <v>25767</v>
      </c>
      <c r="DD171" t="s">
        <v>25768</v>
      </c>
      <c r="DE171" t="s">
        <v>25769</v>
      </c>
      <c r="DF171" t="s">
        <v>25770</v>
      </c>
      <c r="DG171" t="s">
        <v>25771</v>
      </c>
      <c r="DH171" t="str">
        <f>"AGT"</f>
        <v>AGT</v>
      </c>
      <c r="DI171" t="s">
        <v>25772</v>
      </c>
      <c r="DJ171" t="s">
        <v>13777</v>
      </c>
      <c r="DK171">
        <v>9606</v>
      </c>
      <c r="DL171" s="34" t="str">
        <f>HYPERLINK("http://www.uniprot.org/uniprot/P01019", "P01019")</f>
        <v>P01019</v>
      </c>
      <c r="DM171" t="s">
        <v>25773</v>
      </c>
      <c r="DN171" t="s">
        <v>13772</v>
      </c>
      <c r="DO171" t="s">
        <v>14321</v>
      </c>
      <c r="DP171" t="s">
        <v>13793</v>
      </c>
      <c r="DQ171" t="s">
        <v>13772</v>
      </c>
      <c r="DR171" t="s">
        <v>13807</v>
      </c>
      <c r="DS171" t="s">
        <v>13808</v>
      </c>
      <c r="DT171" t="s">
        <v>13772</v>
      </c>
      <c r="DU171" t="s">
        <v>25774</v>
      </c>
      <c r="DV171" t="s">
        <v>13796</v>
      </c>
      <c r="DW171" t="s">
        <v>13812</v>
      </c>
      <c r="DX171" t="s">
        <v>25775</v>
      </c>
      <c r="DY171" t="s">
        <v>25776</v>
      </c>
      <c r="DZ171" t="s">
        <v>25777</v>
      </c>
      <c r="EA171" t="s">
        <v>13772</v>
      </c>
      <c r="EB171" t="s">
        <v>25778</v>
      </c>
    </row>
    <row r="172" spans="1:132" hidden="1">
      <c r="A172">
        <v>1351</v>
      </c>
      <c r="B172">
        <v>1</v>
      </c>
      <c r="C172" t="s">
        <v>3232</v>
      </c>
      <c r="D172" t="s">
        <v>73</v>
      </c>
      <c r="E172" t="s">
        <v>73</v>
      </c>
      <c r="F172" t="s">
        <v>73</v>
      </c>
      <c r="G172" t="s">
        <v>73</v>
      </c>
      <c r="H172">
        <v>76.599999999999994</v>
      </c>
      <c r="I172">
        <v>261</v>
      </c>
      <c r="J172">
        <v>29126</v>
      </c>
      <c r="K172" t="s">
        <v>3233</v>
      </c>
      <c r="L172">
        <f t="shared" si="10"/>
        <v>251</v>
      </c>
      <c r="N172">
        <v>251</v>
      </c>
      <c r="O172">
        <v>251</v>
      </c>
      <c r="P172">
        <v>1</v>
      </c>
      <c r="Q172">
        <v>9</v>
      </c>
      <c r="R172">
        <v>1</v>
      </c>
      <c r="S172">
        <v>1</v>
      </c>
      <c r="T172">
        <v>0</v>
      </c>
      <c r="U172">
        <v>0</v>
      </c>
      <c r="V172">
        <v>13</v>
      </c>
      <c r="W172">
        <v>12</v>
      </c>
      <c r="X172">
        <v>82</v>
      </c>
      <c r="Y172">
        <v>17</v>
      </c>
      <c r="Z172">
        <v>2</v>
      </c>
      <c r="AA172">
        <v>32</v>
      </c>
      <c r="AB172">
        <v>18</v>
      </c>
      <c r="AC172">
        <v>11</v>
      </c>
      <c r="AD172">
        <v>1</v>
      </c>
      <c r="AE172">
        <v>18</v>
      </c>
      <c r="AF172">
        <v>18</v>
      </c>
      <c r="AG172">
        <v>4</v>
      </c>
      <c r="AH172">
        <v>8</v>
      </c>
      <c r="AI172">
        <v>4</v>
      </c>
      <c r="AJ172">
        <v>9</v>
      </c>
      <c r="AK172">
        <v>1</v>
      </c>
      <c r="AL172">
        <v>1</v>
      </c>
      <c r="AM172">
        <v>0</v>
      </c>
      <c r="AN172">
        <v>0</v>
      </c>
      <c r="AO172">
        <v>13</v>
      </c>
      <c r="AP172">
        <v>12</v>
      </c>
      <c r="AQ172">
        <v>82</v>
      </c>
      <c r="AR172">
        <v>17</v>
      </c>
      <c r="AS172">
        <v>2</v>
      </c>
      <c r="AT172">
        <v>32</v>
      </c>
      <c r="AU172">
        <v>18</v>
      </c>
      <c r="AV172">
        <v>11</v>
      </c>
      <c r="AW172">
        <v>1</v>
      </c>
      <c r="AX172">
        <v>18</v>
      </c>
      <c r="AY172">
        <v>18</v>
      </c>
      <c r="AZ172">
        <v>4</v>
      </c>
      <c r="BA172">
        <v>8</v>
      </c>
      <c r="BB172">
        <v>4</v>
      </c>
      <c r="BC172" s="2">
        <v>9</v>
      </c>
      <c r="BD172" s="2">
        <v>1</v>
      </c>
      <c r="BE172" s="2">
        <v>1</v>
      </c>
      <c r="BF172" s="2">
        <v>0</v>
      </c>
      <c r="BG172" s="2">
        <v>0</v>
      </c>
      <c r="BH172" s="2">
        <v>13</v>
      </c>
      <c r="BI172" s="2">
        <v>12</v>
      </c>
      <c r="BJ172" s="2">
        <v>82</v>
      </c>
      <c r="BK172" s="2">
        <v>17</v>
      </c>
      <c r="BL172" s="2">
        <v>2</v>
      </c>
      <c r="BM172" s="2">
        <v>32</v>
      </c>
      <c r="BN172" s="2">
        <v>18</v>
      </c>
      <c r="BO172" s="2">
        <v>11</v>
      </c>
      <c r="BP172" s="2">
        <v>1</v>
      </c>
      <c r="BQ172" s="2">
        <v>18</v>
      </c>
      <c r="BR172" s="2">
        <v>18</v>
      </c>
      <c r="BS172" s="2">
        <v>4</v>
      </c>
      <c r="BT172" s="2">
        <v>8</v>
      </c>
      <c r="BU172" s="2">
        <v>4</v>
      </c>
      <c r="BV172" s="2">
        <f t="shared" si="13"/>
        <v>251</v>
      </c>
      <c r="BW172" s="16">
        <f t="shared" si="11"/>
        <v>13.210526315789474</v>
      </c>
      <c r="BX172" s="16">
        <f>COUNTIF($BC$6:BU172, "=0") / COUNTIF($BC$6:BU172, "&gt;-1")</f>
        <v>4.3807122596911441E-2</v>
      </c>
      <c r="BY172" s="18">
        <f>SUM($BC$6:BU172) / $BY$4</f>
        <v>0.65761511635822423</v>
      </c>
      <c r="BZ172" s="14">
        <f t="shared" si="12"/>
        <v>2</v>
      </c>
      <c r="CA172" t="s">
        <v>5831</v>
      </c>
      <c r="CB172" s="36">
        <v>10.9047905625126</v>
      </c>
      <c r="CC172" s="36">
        <v>0.96306412067744696</v>
      </c>
      <c r="CD172" s="36">
        <v>1.6007976618122599</v>
      </c>
      <c r="CE172" s="36">
        <v>0.37798043978830698</v>
      </c>
      <c r="CF172" s="36">
        <v>0.215044089984223</v>
      </c>
      <c r="CG172" s="36">
        <v>12.0864542063134</v>
      </c>
      <c r="CH172" s="36">
        <v>12.6487473943757</v>
      </c>
      <c r="CI172" s="36">
        <v>79.801055034549094</v>
      </c>
      <c r="CJ172" s="37">
        <v>13.5108909851643</v>
      </c>
      <c r="CK172" s="37">
        <v>20.180788700425101</v>
      </c>
      <c r="CL172" s="37">
        <v>14.400978268812199</v>
      </c>
      <c r="CM172" s="37">
        <v>9.3120175125993505</v>
      </c>
      <c r="CN172" s="37">
        <v>16.5382661846721</v>
      </c>
      <c r="CO172" s="37">
        <v>14.2054302669323</v>
      </c>
      <c r="CP172" s="37">
        <v>6.0341601914496898</v>
      </c>
      <c r="CQ172" s="37">
        <v>6.0905473858984696</v>
      </c>
      <c r="CR172" s="45">
        <v>-0.24072237840944899</v>
      </c>
      <c r="CS172" s="45">
        <v>-1.18274948875784</v>
      </c>
      <c r="CT172" s="46">
        <v>0.76018890645823001</v>
      </c>
      <c r="CU172" s="47">
        <v>0.82026835229121897</v>
      </c>
      <c r="CV172" s="48">
        <v>14.824741688751599</v>
      </c>
      <c r="CW172" s="49">
        <v>12.534134936994199</v>
      </c>
      <c r="CX172" s="31" t="s">
        <v>5875</v>
      </c>
      <c r="CY172" s="31" t="s">
        <v>5832</v>
      </c>
      <c r="CZ172" t="s">
        <v>10246</v>
      </c>
      <c r="DA172" t="s">
        <v>5904</v>
      </c>
      <c r="DB172">
        <v>473</v>
      </c>
      <c r="DC172" t="s">
        <v>26839</v>
      </c>
      <c r="DD172" t="s">
        <v>26840</v>
      </c>
      <c r="DE172" t="s">
        <v>26841</v>
      </c>
      <c r="DF172" t="s">
        <v>26842</v>
      </c>
      <c r="DG172" t="s">
        <v>13772</v>
      </c>
      <c r="DH172" t="str">
        <f>"CA1"</f>
        <v>CA1</v>
      </c>
      <c r="DI172" t="s">
        <v>13772</v>
      </c>
      <c r="DJ172" t="s">
        <v>13777</v>
      </c>
      <c r="DK172">
        <v>9606</v>
      </c>
      <c r="DL172" s="34" t="str">
        <f>HYPERLINK("http://www.uniprot.org/uniprot/P00915", "P00915")</f>
        <v>P00915</v>
      </c>
      <c r="DM172" t="s">
        <v>26843</v>
      </c>
      <c r="DN172" t="s">
        <v>13772</v>
      </c>
      <c r="DO172" t="s">
        <v>13899</v>
      </c>
      <c r="DP172" t="s">
        <v>13793</v>
      </c>
      <c r="DQ172" t="s">
        <v>13772</v>
      </c>
      <c r="DR172" t="s">
        <v>13772</v>
      </c>
      <c r="DS172" t="s">
        <v>13772</v>
      </c>
      <c r="DT172" t="s">
        <v>13856</v>
      </c>
      <c r="DU172" t="s">
        <v>15788</v>
      </c>
      <c r="DV172" t="s">
        <v>14020</v>
      </c>
      <c r="DW172" t="s">
        <v>13812</v>
      </c>
      <c r="DX172" t="s">
        <v>26844</v>
      </c>
      <c r="DY172" t="s">
        <v>15111</v>
      </c>
      <c r="DZ172" t="s">
        <v>26845</v>
      </c>
      <c r="EA172" t="s">
        <v>13772</v>
      </c>
      <c r="EB172" t="s">
        <v>26846</v>
      </c>
    </row>
    <row r="173" spans="1:132">
      <c r="A173">
        <v>826</v>
      </c>
      <c r="B173">
        <v>1</v>
      </c>
      <c r="C173" t="s">
        <v>2022</v>
      </c>
      <c r="D173" t="s">
        <v>73</v>
      </c>
      <c r="E173" t="s">
        <v>73</v>
      </c>
      <c r="F173" t="s">
        <v>73</v>
      </c>
      <c r="G173" t="s">
        <v>73</v>
      </c>
      <c r="H173">
        <v>97.4</v>
      </c>
      <c r="I173">
        <v>153</v>
      </c>
      <c r="J173">
        <v>15733</v>
      </c>
      <c r="K173" t="s">
        <v>2023</v>
      </c>
      <c r="L173">
        <f t="shared" si="10"/>
        <v>250</v>
      </c>
      <c r="N173">
        <v>250</v>
      </c>
      <c r="O173">
        <v>250</v>
      </c>
      <c r="P173">
        <v>1</v>
      </c>
      <c r="Q173">
        <v>9</v>
      </c>
      <c r="R173">
        <v>12</v>
      </c>
      <c r="S173">
        <v>15</v>
      </c>
      <c r="T173">
        <v>11</v>
      </c>
      <c r="U173">
        <v>13</v>
      </c>
      <c r="V173">
        <v>13</v>
      </c>
      <c r="W173">
        <v>31</v>
      </c>
      <c r="X173">
        <v>38</v>
      </c>
      <c r="Y173">
        <v>17</v>
      </c>
      <c r="Z173">
        <v>2</v>
      </c>
      <c r="AA173">
        <v>17</v>
      </c>
      <c r="AB173">
        <v>10</v>
      </c>
      <c r="AC173">
        <v>7</v>
      </c>
      <c r="AD173">
        <v>3</v>
      </c>
      <c r="AE173">
        <v>17</v>
      </c>
      <c r="AF173">
        <v>13</v>
      </c>
      <c r="AG173">
        <v>7</v>
      </c>
      <c r="AH173">
        <v>4</v>
      </c>
      <c r="AI173">
        <v>11</v>
      </c>
      <c r="AJ173">
        <v>9</v>
      </c>
      <c r="AK173">
        <v>12</v>
      </c>
      <c r="AL173">
        <v>15</v>
      </c>
      <c r="AM173">
        <v>11</v>
      </c>
      <c r="AN173">
        <v>13</v>
      </c>
      <c r="AO173">
        <v>13</v>
      </c>
      <c r="AP173">
        <v>31</v>
      </c>
      <c r="AQ173">
        <v>38</v>
      </c>
      <c r="AR173">
        <v>17</v>
      </c>
      <c r="AS173">
        <v>2</v>
      </c>
      <c r="AT173">
        <v>17</v>
      </c>
      <c r="AU173">
        <v>10</v>
      </c>
      <c r="AV173">
        <v>7</v>
      </c>
      <c r="AW173">
        <v>3</v>
      </c>
      <c r="AX173">
        <v>17</v>
      </c>
      <c r="AY173">
        <v>13</v>
      </c>
      <c r="AZ173">
        <v>7</v>
      </c>
      <c r="BA173">
        <v>4</v>
      </c>
      <c r="BB173">
        <v>11</v>
      </c>
      <c r="BC173" s="2">
        <v>9</v>
      </c>
      <c r="BD173" s="2">
        <v>12</v>
      </c>
      <c r="BE173" s="2">
        <v>15</v>
      </c>
      <c r="BF173" s="2">
        <v>11</v>
      </c>
      <c r="BG173" s="2">
        <v>13</v>
      </c>
      <c r="BH173" s="2">
        <v>13</v>
      </c>
      <c r="BI173" s="2">
        <v>31</v>
      </c>
      <c r="BJ173" s="2">
        <v>38</v>
      </c>
      <c r="BK173" s="2">
        <v>17</v>
      </c>
      <c r="BL173" s="2">
        <v>2</v>
      </c>
      <c r="BM173" s="2">
        <v>17</v>
      </c>
      <c r="BN173" s="2">
        <v>10</v>
      </c>
      <c r="BO173" s="2">
        <v>7</v>
      </c>
      <c r="BP173" s="2">
        <v>3</v>
      </c>
      <c r="BQ173" s="2">
        <v>17</v>
      </c>
      <c r="BR173" s="2">
        <v>13</v>
      </c>
      <c r="BS173" s="2">
        <v>7</v>
      </c>
      <c r="BT173" s="2">
        <v>4</v>
      </c>
      <c r="BU173" s="2">
        <v>11</v>
      </c>
      <c r="BV173" s="2">
        <f t="shared" si="13"/>
        <v>250</v>
      </c>
      <c r="BW173" s="16">
        <f t="shared" si="11"/>
        <v>13.157894736842104</v>
      </c>
      <c r="BX173" s="16">
        <f>COUNTIF($BC$6:BU173, "=0") / COUNTIF($BC$6:BU173, "&gt;-1")</f>
        <v>4.3546365914786965E-2</v>
      </c>
      <c r="BY173" s="18">
        <f>SUM($BC$6:BU173) / $BY$4</f>
        <v>0.65868602557539935</v>
      </c>
      <c r="BZ173" s="14">
        <f t="shared" si="12"/>
        <v>0</v>
      </c>
      <c r="CA173" t="s">
        <v>5831</v>
      </c>
      <c r="CB173" s="36">
        <v>10.9047905625126</v>
      </c>
      <c r="CC173" s="36">
        <v>11.556769448129399</v>
      </c>
      <c r="CD173" s="36">
        <v>24.0119649271839</v>
      </c>
      <c r="CE173" s="36">
        <v>16.631139350685501</v>
      </c>
      <c r="CF173" s="36">
        <v>11.1822926791796</v>
      </c>
      <c r="CG173" s="36">
        <v>12.0864542063134</v>
      </c>
      <c r="CH173" s="36">
        <v>32.675930768803902</v>
      </c>
      <c r="CI173" s="36">
        <v>36.980976723327601</v>
      </c>
      <c r="CJ173" s="37">
        <v>13.5108909851643</v>
      </c>
      <c r="CK173" s="37">
        <v>10.7210439971009</v>
      </c>
      <c r="CL173" s="37">
        <v>8.0005434826734305</v>
      </c>
      <c r="CM173" s="37">
        <v>5.9258293261995796</v>
      </c>
      <c r="CN173" s="37">
        <v>15.619473618856899</v>
      </c>
      <c r="CO173" s="37">
        <v>10.2594774150066</v>
      </c>
      <c r="CP173" s="37">
        <v>10.559780335037001</v>
      </c>
      <c r="CQ173" s="37">
        <v>16.749005311220799</v>
      </c>
      <c r="CR173" s="45">
        <v>-0.77938334451344005</v>
      </c>
      <c r="CS173" s="45">
        <v>-1.7081234285435101</v>
      </c>
      <c r="CT173" s="46">
        <v>3.7085967587386699E-2</v>
      </c>
      <c r="CU173" s="47">
        <v>5.9355292621917903E-2</v>
      </c>
      <c r="CV173" s="48">
        <v>19.503789833267</v>
      </c>
      <c r="CW173" s="49">
        <v>11.418255558907401</v>
      </c>
      <c r="CX173" s="31" t="s">
        <v>5875</v>
      </c>
      <c r="CY173" s="31" t="s">
        <v>5877</v>
      </c>
      <c r="CZ173" t="s">
        <v>8524</v>
      </c>
      <c r="DA173" t="s">
        <v>5904</v>
      </c>
      <c r="DB173">
        <v>248.8</v>
      </c>
      <c r="DC173" t="s">
        <v>21931</v>
      </c>
      <c r="DD173" t="s">
        <v>21932</v>
      </c>
      <c r="DE173" t="s">
        <v>21933</v>
      </c>
      <c r="DF173" t="s">
        <v>21934</v>
      </c>
      <c r="DG173" t="s">
        <v>21935</v>
      </c>
      <c r="DH173" t="str">
        <f>"SOD1"</f>
        <v>SOD1</v>
      </c>
      <c r="DI173" t="s">
        <v>13772</v>
      </c>
      <c r="DJ173" t="s">
        <v>13777</v>
      </c>
      <c r="DK173">
        <v>9606</v>
      </c>
      <c r="DL173" s="34" t="str">
        <f>HYPERLINK("http://www.uniprot.org/uniprot/P00441", "P00441")</f>
        <v>P00441</v>
      </c>
      <c r="DM173" t="s">
        <v>21936</v>
      </c>
      <c r="DN173" t="s">
        <v>13772</v>
      </c>
      <c r="DO173" t="s">
        <v>19098</v>
      </c>
      <c r="DP173" t="s">
        <v>13772</v>
      </c>
      <c r="DQ173" t="s">
        <v>13772</v>
      </c>
      <c r="DR173" t="s">
        <v>13989</v>
      </c>
      <c r="DS173" t="s">
        <v>13772</v>
      </c>
      <c r="DT173" t="s">
        <v>20010</v>
      </c>
      <c r="DU173" t="s">
        <v>21937</v>
      </c>
      <c r="DV173" t="s">
        <v>21938</v>
      </c>
      <c r="DW173" t="s">
        <v>13812</v>
      </c>
      <c r="DX173" t="s">
        <v>21939</v>
      </c>
      <c r="DY173" t="s">
        <v>21940</v>
      </c>
      <c r="DZ173" t="s">
        <v>21941</v>
      </c>
      <c r="EA173" t="s">
        <v>13772</v>
      </c>
      <c r="EB173" t="s">
        <v>21942</v>
      </c>
    </row>
    <row r="174" spans="1:132">
      <c r="A174">
        <v>1415</v>
      </c>
      <c r="B174">
        <v>1</v>
      </c>
      <c r="C174" t="s">
        <v>3374</v>
      </c>
      <c r="D174" t="s">
        <v>3375</v>
      </c>
      <c r="E174" t="s">
        <v>73</v>
      </c>
      <c r="F174" t="s">
        <v>3376</v>
      </c>
      <c r="G174" t="s">
        <v>73</v>
      </c>
      <c r="H174">
        <v>55.4</v>
      </c>
      <c r="I174">
        <v>224</v>
      </c>
      <c r="J174">
        <v>25046</v>
      </c>
      <c r="K174" t="s">
        <v>3377</v>
      </c>
      <c r="L174">
        <f t="shared" si="10"/>
        <v>255</v>
      </c>
      <c r="N174">
        <v>255</v>
      </c>
      <c r="O174">
        <v>198</v>
      </c>
      <c r="P174">
        <v>0.77600000000000002</v>
      </c>
      <c r="Q174">
        <v>1</v>
      </c>
      <c r="R174">
        <v>7</v>
      </c>
      <c r="S174">
        <v>3</v>
      </c>
      <c r="T174">
        <v>1</v>
      </c>
      <c r="U174">
        <v>12</v>
      </c>
      <c r="V174">
        <v>6</v>
      </c>
      <c r="W174">
        <v>5</v>
      </c>
      <c r="X174">
        <v>9</v>
      </c>
      <c r="Y174">
        <v>35</v>
      </c>
      <c r="Z174">
        <v>10</v>
      </c>
      <c r="AA174">
        <v>22</v>
      </c>
      <c r="AB174">
        <v>30</v>
      </c>
      <c r="AC174">
        <v>55</v>
      </c>
      <c r="AD174">
        <v>3</v>
      </c>
      <c r="AE174">
        <v>14</v>
      </c>
      <c r="AF174">
        <v>14</v>
      </c>
      <c r="AG174">
        <v>12</v>
      </c>
      <c r="AH174">
        <v>11</v>
      </c>
      <c r="AI174">
        <v>5</v>
      </c>
      <c r="AJ174">
        <v>0</v>
      </c>
      <c r="AK174">
        <v>4</v>
      </c>
      <c r="AL174">
        <v>3</v>
      </c>
      <c r="AM174">
        <v>1</v>
      </c>
      <c r="AN174">
        <v>10</v>
      </c>
      <c r="AO174">
        <v>6</v>
      </c>
      <c r="AP174">
        <v>4</v>
      </c>
      <c r="AQ174">
        <v>8</v>
      </c>
      <c r="AR174">
        <v>26</v>
      </c>
      <c r="AS174">
        <v>9</v>
      </c>
      <c r="AT174">
        <v>14</v>
      </c>
      <c r="AU174">
        <v>26</v>
      </c>
      <c r="AV174">
        <v>42</v>
      </c>
      <c r="AW174">
        <v>2</v>
      </c>
      <c r="AX174">
        <v>10</v>
      </c>
      <c r="AY174">
        <v>12</v>
      </c>
      <c r="AZ174">
        <v>7</v>
      </c>
      <c r="BA174">
        <v>10</v>
      </c>
      <c r="BB174">
        <v>4</v>
      </c>
      <c r="BC174" s="2">
        <v>0.91200000000000003</v>
      </c>
      <c r="BD174" s="2">
        <v>6.7329999999999997</v>
      </c>
      <c r="BE174" s="2">
        <v>3</v>
      </c>
      <c r="BF174" s="2">
        <v>1</v>
      </c>
      <c r="BG174" s="2">
        <v>11.821</v>
      </c>
      <c r="BH174" s="2">
        <v>6</v>
      </c>
      <c r="BI174" s="2">
        <v>4.9080000000000004</v>
      </c>
      <c r="BJ174" s="2">
        <v>8.9120000000000008</v>
      </c>
      <c r="BK174" s="2">
        <v>34.207999999999998</v>
      </c>
      <c r="BL174" s="2">
        <v>9.9079999999999995</v>
      </c>
      <c r="BM174" s="2">
        <v>21.291</v>
      </c>
      <c r="BN174" s="2">
        <v>29.65</v>
      </c>
      <c r="BO174" s="2">
        <v>53.857999999999997</v>
      </c>
      <c r="BP174" s="2">
        <v>2.9079999999999999</v>
      </c>
      <c r="BQ174" s="2">
        <v>13.65</v>
      </c>
      <c r="BR174" s="2">
        <v>13.821</v>
      </c>
      <c r="BS174" s="2">
        <v>11.558</v>
      </c>
      <c r="BT174" s="2">
        <v>10.912000000000001</v>
      </c>
      <c r="BU174" s="2">
        <v>4.9119999999999999</v>
      </c>
      <c r="BV174" s="2">
        <f t="shared" si="13"/>
        <v>249.96199999999999</v>
      </c>
      <c r="BW174" s="16">
        <f t="shared" si="11"/>
        <v>13.155894736842106</v>
      </c>
      <c r="BX174" s="16">
        <f>COUNTIF($BC$6:BU174, "=0") / COUNTIF($BC$6:BU174, "&gt;-1")</f>
        <v>4.3288695110557461E-2</v>
      </c>
      <c r="BY174" s="18">
        <f>SUM($BC$6:BU174) / $BY$4</f>
        <v>0.65975677201437355</v>
      </c>
      <c r="BZ174" s="14">
        <f t="shared" si="12"/>
        <v>0</v>
      </c>
      <c r="CA174" t="s">
        <v>5831</v>
      </c>
      <c r="CB174" s="36">
        <v>1.0904790562512601</v>
      </c>
      <c r="CC174" s="36">
        <v>6.4525296085388897</v>
      </c>
      <c r="CD174" s="36">
        <v>4.8023929854367697</v>
      </c>
      <c r="CE174" s="36">
        <v>1.5119217591532299</v>
      </c>
      <c r="CF174" s="36">
        <v>10.1500810472553</v>
      </c>
      <c r="CG174" s="36">
        <v>5.5783634798369501</v>
      </c>
      <c r="CH174" s="36">
        <v>5.1649051860367399</v>
      </c>
      <c r="CI174" s="36">
        <v>8.6613340220425208</v>
      </c>
      <c r="CJ174" s="37">
        <v>27.180733628977499</v>
      </c>
      <c r="CK174" s="37">
        <v>13.432837478720501</v>
      </c>
      <c r="CL174" s="37">
        <v>23.7616141435401</v>
      </c>
      <c r="CM174" s="37">
        <v>45.628885811736801</v>
      </c>
      <c r="CN174" s="37">
        <v>12.5874581516671</v>
      </c>
      <c r="CO174" s="37">
        <v>10.8908298713147</v>
      </c>
      <c r="CP174" s="37">
        <v>17.4990645552041</v>
      </c>
      <c r="CQ174" s="37">
        <v>7.4609205477256202</v>
      </c>
      <c r="CR174" s="45">
        <v>1.8087711465549901</v>
      </c>
      <c r="CS174" s="45">
        <v>3.64973551352535</v>
      </c>
      <c r="CT174" s="46">
        <v>7.1533675557509599E-5</v>
      </c>
      <c r="CU174" s="47">
        <v>2.11752340477761E-4</v>
      </c>
      <c r="CV174" s="48">
        <v>5.42650089306896</v>
      </c>
      <c r="CW174" s="49">
        <v>19.805293023610801</v>
      </c>
      <c r="CX174" s="31" t="s">
        <v>5874</v>
      </c>
      <c r="CY174" s="31" t="s">
        <v>5876</v>
      </c>
      <c r="CZ174" t="s">
        <v>10452</v>
      </c>
      <c r="DA174" t="s">
        <v>5904</v>
      </c>
      <c r="DB174">
        <v>235.7</v>
      </c>
      <c r="DC174" t="s">
        <v>27411</v>
      </c>
      <c r="DD174" t="s">
        <v>27412</v>
      </c>
      <c r="DE174" t="s">
        <v>27413</v>
      </c>
      <c r="DF174" t="s">
        <v>27414</v>
      </c>
      <c r="DG174" t="s">
        <v>27415</v>
      </c>
      <c r="DH174" t="str">
        <f>"HIST1H3A"</f>
        <v>HIST1H3A</v>
      </c>
      <c r="DI174" t="s">
        <v>27416</v>
      </c>
      <c r="DJ174" t="s">
        <v>13777</v>
      </c>
      <c r="DK174">
        <v>9606</v>
      </c>
      <c r="DL174" s="34" t="str">
        <f>HYPERLINK("http://www.uniprot.org/uniprot/P68431", "P68431")</f>
        <v>P68431</v>
      </c>
      <c r="DM174" t="s">
        <v>25083</v>
      </c>
      <c r="DN174" t="s">
        <v>13772</v>
      </c>
      <c r="DO174" t="s">
        <v>15870</v>
      </c>
      <c r="DP174" t="s">
        <v>13772</v>
      </c>
      <c r="DQ174" t="s">
        <v>13772</v>
      </c>
      <c r="DR174" t="s">
        <v>13807</v>
      </c>
      <c r="DS174" t="s">
        <v>13772</v>
      </c>
      <c r="DT174" t="s">
        <v>13772</v>
      </c>
      <c r="DU174" t="s">
        <v>15871</v>
      </c>
      <c r="DV174" t="s">
        <v>25084</v>
      </c>
      <c r="DW174" t="s">
        <v>13812</v>
      </c>
      <c r="DX174" t="s">
        <v>27417</v>
      </c>
      <c r="DY174" t="s">
        <v>27418</v>
      </c>
      <c r="DZ174" t="s">
        <v>27419</v>
      </c>
      <c r="EA174" t="s">
        <v>13772</v>
      </c>
      <c r="EB174" t="s">
        <v>27420</v>
      </c>
    </row>
    <row r="175" spans="1:132">
      <c r="A175">
        <v>1930</v>
      </c>
      <c r="B175">
        <v>1</v>
      </c>
      <c r="C175" t="s">
        <v>4546</v>
      </c>
      <c r="D175" t="s">
        <v>73</v>
      </c>
      <c r="E175" t="s">
        <v>73</v>
      </c>
      <c r="F175" t="s">
        <v>1199</v>
      </c>
      <c r="G175" t="s">
        <v>73</v>
      </c>
      <c r="H175">
        <v>49.8</v>
      </c>
      <c r="I175">
        <v>654</v>
      </c>
      <c r="J175">
        <v>72252</v>
      </c>
      <c r="K175" t="s">
        <v>4547</v>
      </c>
      <c r="L175">
        <f t="shared" si="10"/>
        <v>261</v>
      </c>
      <c r="N175">
        <v>261</v>
      </c>
      <c r="O175">
        <v>224</v>
      </c>
      <c r="P175">
        <v>0.85799999999999998</v>
      </c>
      <c r="Q175">
        <v>12</v>
      </c>
      <c r="R175">
        <v>13</v>
      </c>
      <c r="S175">
        <v>5</v>
      </c>
      <c r="T175">
        <v>3</v>
      </c>
      <c r="U175">
        <v>9</v>
      </c>
      <c r="V175">
        <v>12</v>
      </c>
      <c r="W175">
        <v>13</v>
      </c>
      <c r="X175">
        <v>9</v>
      </c>
      <c r="Y175">
        <v>28</v>
      </c>
      <c r="Z175">
        <v>6</v>
      </c>
      <c r="AA175">
        <v>16</v>
      </c>
      <c r="AB175">
        <v>38</v>
      </c>
      <c r="AC175">
        <v>28</v>
      </c>
      <c r="AD175">
        <v>8</v>
      </c>
      <c r="AE175">
        <v>17</v>
      </c>
      <c r="AF175">
        <v>18</v>
      </c>
      <c r="AG175">
        <v>14</v>
      </c>
      <c r="AH175">
        <v>5</v>
      </c>
      <c r="AI175">
        <v>7</v>
      </c>
      <c r="AJ175">
        <v>10</v>
      </c>
      <c r="AK175">
        <v>10</v>
      </c>
      <c r="AL175">
        <v>4</v>
      </c>
      <c r="AM175">
        <v>1</v>
      </c>
      <c r="AN175">
        <v>5</v>
      </c>
      <c r="AO175">
        <v>8</v>
      </c>
      <c r="AP175">
        <v>10</v>
      </c>
      <c r="AQ175">
        <v>7</v>
      </c>
      <c r="AR175">
        <v>26</v>
      </c>
      <c r="AS175">
        <v>6</v>
      </c>
      <c r="AT175">
        <v>14</v>
      </c>
      <c r="AU175">
        <v>34</v>
      </c>
      <c r="AV175">
        <v>27</v>
      </c>
      <c r="AW175">
        <v>7</v>
      </c>
      <c r="AX175">
        <v>14</v>
      </c>
      <c r="AY175">
        <v>17</v>
      </c>
      <c r="AZ175">
        <v>14</v>
      </c>
      <c r="BA175">
        <v>4</v>
      </c>
      <c r="BB175">
        <v>6</v>
      </c>
      <c r="BC175" s="2">
        <v>11.484</v>
      </c>
      <c r="BD175" s="2">
        <v>11.86</v>
      </c>
      <c r="BE175" s="2">
        <v>4.6669999999999998</v>
      </c>
      <c r="BF175" s="2">
        <v>2.5</v>
      </c>
      <c r="BG175" s="2">
        <v>6.3570000000000002</v>
      </c>
      <c r="BH175" s="2">
        <v>10.379</v>
      </c>
      <c r="BI175" s="2">
        <v>12.436</v>
      </c>
      <c r="BJ175" s="2">
        <v>8.6530000000000005</v>
      </c>
      <c r="BK175" s="2">
        <v>27.209</v>
      </c>
      <c r="BL175" s="2">
        <v>6</v>
      </c>
      <c r="BM175" s="2">
        <v>14.933</v>
      </c>
      <c r="BN175" s="2">
        <v>37.323</v>
      </c>
      <c r="BO175" s="2">
        <v>27.818000000000001</v>
      </c>
      <c r="BP175" s="2">
        <v>7.7779999999999996</v>
      </c>
      <c r="BQ175" s="2">
        <v>16.157</v>
      </c>
      <c r="BR175" s="2">
        <v>17.850000000000001</v>
      </c>
      <c r="BS175" s="2">
        <v>14</v>
      </c>
      <c r="BT175" s="2">
        <v>5</v>
      </c>
      <c r="BU175" s="2">
        <v>6.75</v>
      </c>
      <c r="BV175" s="2">
        <f t="shared" si="13"/>
        <v>249.15400000000002</v>
      </c>
      <c r="BW175" s="16">
        <f t="shared" si="11"/>
        <v>13.113368421052632</v>
      </c>
      <c r="BX175" s="16">
        <f>COUNTIF($BC$6:BU175, "=0") / COUNTIF($BC$6:BU175, "&gt;-1")</f>
        <v>4.3034055727554178E-2</v>
      </c>
      <c r="BY175" s="18">
        <f>SUM($BC$6:BU175) / $BY$4</f>
        <v>0.66082405727475746</v>
      </c>
      <c r="BZ175" s="14">
        <f t="shared" si="12"/>
        <v>0</v>
      </c>
      <c r="CA175" t="s">
        <v>5831</v>
      </c>
      <c r="CB175" s="36">
        <v>13.933899052099401</v>
      </c>
      <c r="CC175" s="36">
        <v>11.460463036061601</v>
      </c>
      <c r="CD175" s="36">
        <v>7.5237490105176104</v>
      </c>
      <c r="CE175" s="36">
        <v>3.77980439788307</v>
      </c>
      <c r="CF175" s="36">
        <v>5.5051287035961103</v>
      </c>
      <c r="CG175" s="36">
        <v>9.6691633650507107</v>
      </c>
      <c r="CH175" s="36">
        <v>13.070372307521501</v>
      </c>
      <c r="CI175" s="36">
        <v>8.4666973024460592</v>
      </c>
      <c r="CJ175" s="37">
        <v>21.6174255762628</v>
      </c>
      <c r="CK175" s="37">
        <v>9.3966797386354592</v>
      </c>
      <c r="CL175" s="37">
        <v>29.842027190371901</v>
      </c>
      <c r="CM175" s="37">
        <v>23.5340078954784</v>
      </c>
      <c r="CN175" s="37">
        <v>14.884439566204801</v>
      </c>
      <c r="CO175" s="37">
        <v>14.1265112098937</v>
      </c>
      <c r="CP175" s="37">
        <v>21.119560670073898</v>
      </c>
      <c r="CQ175" s="37">
        <v>10.3539305560274</v>
      </c>
      <c r="CR175" s="45">
        <v>0.96301848419041902</v>
      </c>
      <c r="CS175" s="45">
        <v>1.9735187155873399</v>
      </c>
      <c r="CT175" s="46">
        <v>6.6888237321798697E-3</v>
      </c>
      <c r="CU175" s="47">
        <v>1.2895743737257499E-2</v>
      </c>
      <c r="CV175" s="48">
        <v>9.1761596468970108</v>
      </c>
      <c r="CW175" s="49">
        <v>18.109322800368599</v>
      </c>
      <c r="CX175" s="31" t="s">
        <v>5874</v>
      </c>
      <c r="CY175" s="31" t="s">
        <v>5878</v>
      </c>
      <c r="CZ175" t="s">
        <v>12185</v>
      </c>
      <c r="DA175" t="s">
        <v>5904</v>
      </c>
      <c r="DB175">
        <v>1315.4</v>
      </c>
      <c r="DC175" t="s">
        <v>32277</v>
      </c>
      <c r="DD175" t="s">
        <v>32278</v>
      </c>
      <c r="DE175" t="s">
        <v>32279</v>
      </c>
      <c r="DF175" t="s">
        <v>32280</v>
      </c>
      <c r="DG175" t="s">
        <v>32281</v>
      </c>
      <c r="DH175" t="str">
        <f>"HSPA5"</f>
        <v>HSPA5</v>
      </c>
      <c r="DI175" t="s">
        <v>13772</v>
      </c>
      <c r="DJ175" t="s">
        <v>13777</v>
      </c>
      <c r="DK175">
        <v>9606</v>
      </c>
      <c r="DL175" s="34" t="str">
        <f>HYPERLINK("http://www.uniprot.org/uniprot/P11021", "P11021")</f>
        <v>P11021</v>
      </c>
      <c r="DM175" t="s">
        <v>32282</v>
      </c>
      <c r="DN175" t="s">
        <v>13772</v>
      </c>
      <c r="DO175" t="s">
        <v>14265</v>
      </c>
      <c r="DP175" t="s">
        <v>13793</v>
      </c>
      <c r="DQ175" t="s">
        <v>13772</v>
      </c>
      <c r="DR175" t="s">
        <v>13772</v>
      </c>
      <c r="DS175" t="s">
        <v>13808</v>
      </c>
      <c r="DT175" t="s">
        <v>14005</v>
      </c>
      <c r="DU175" t="s">
        <v>32283</v>
      </c>
      <c r="DV175" t="s">
        <v>23845</v>
      </c>
      <c r="DW175" t="s">
        <v>13812</v>
      </c>
      <c r="DX175" t="s">
        <v>32284</v>
      </c>
      <c r="DY175" t="s">
        <v>32285</v>
      </c>
      <c r="DZ175" t="s">
        <v>32286</v>
      </c>
      <c r="EA175" t="s">
        <v>13772</v>
      </c>
      <c r="EB175" t="s">
        <v>32287</v>
      </c>
    </row>
    <row r="176" spans="1:132">
      <c r="A176">
        <v>382</v>
      </c>
      <c r="B176">
        <v>1</v>
      </c>
      <c r="C176" t="s">
        <v>953</v>
      </c>
      <c r="D176" t="s">
        <v>73</v>
      </c>
      <c r="E176" t="s">
        <v>73</v>
      </c>
      <c r="F176" t="s">
        <v>73</v>
      </c>
      <c r="G176" t="s">
        <v>73</v>
      </c>
      <c r="H176">
        <v>14.9</v>
      </c>
      <c r="I176">
        <v>1001</v>
      </c>
      <c r="J176">
        <v>112176</v>
      </c>
      <c r="K176" t="s">
        <v>954</v>
      </c>
      <c r="L176">
        <f t="shared" si="10"/>
        <v>246</v>
      </c>
      <c r="N176">
        <v>246</v>
      </c>
      <c r="O176">
        <v>246</v>
      </c>
      <c r="P176">
        <v>1</v>
      </c>
      <c r="Q176">
        <v>27</v>
      </c>
      <c r="R176">
        <v>17</v>
      </c>
      <c r="S176">
        <v>17</v>
      </c>
      <c r="T176">
        <v>11</v>
      </c>
      <c r="U176">
        <v>6</v>
      </c>
      <c r="V176">
        <v>19</v>
      </c>
      <c r="W176">
        <v>12</v>
      </c>
      <c r="X176">
        <v>15</v>
      </c>
      <c r="Y176">
        <v>12</v>
      </c>
      <c r="Z176">
        <v>1</v>
      </c>
      <c r="AA176">
        <v>15</v>
      </c>
      <c r="AB176">
        <v>19</v>
      </c>
      <c r="AC176">
        <v>12</v>
      </c>
      <c r="AD176">
        <v>1</v>
      </c>
      <c r="AE176">
        <v>8</v>
      </c>
      <c r="AF176">
        <v>19</v>
      </c>
      <c r="AG176">
        <v>19</v>
      </c>
      <c r="AH176">
        <v>8</v>
      </c>
      <c r="AI176">
        <v>8</v>
      </c>
      <c r="AJ176">
        <v>27</v>
      </c>
      <c r="AK176">
        <v>17</v>
      </c>
      <c r="AL176">
        <v>17</v>
      </c>
      <c r="AM176">
        <v>11</v>
      </c>
      <c r="AN176">
        <v>6</v>
      </c>
      <c r="AO176">
        <v>19</v>
      </c>
      <c r="AP176">
        <v>12</v>
      </c>
      <c r="AQ176">
        <v>15</v>
      </c>
      <c r="AR176">
        <v>12</v>
      </c>
      <c r="AS176">
        <v>1</v>
      </c>
      <c r="AT176">
        <v>15</v>
      </c>
      <c r="AU176">
        <v>19</v>
      </c>
      <c r="AV176">
        <v>12</v>
      </c>
      <c r="AW176">
        <v>1</v>
      </c>
      <c r="AX176">
        <v>8</v>
      </c>
      <c r="AY176">
        <v>19</v>
      </c>
      <c r="AZ176">
        <v>19</v>
      </c>
      <c r="BA176">
        <v>8</v>
      </c>
      <c r="BB176">
        <v>8</v>
      </c>
      <c r="BC176" s="2">
        <v>27</v>
      </c>
      <c r="BD176" s="2">
        <v>17</v>
      </c>
      <c r="BE176" s="2">
        <v>17</v>
      </c>
      <c r="BF176" s="2">
        <v>11</v>
      </c>
      <c r="BG176" s="2">
        <v>6</v>
      </c>
      <c r="BH176" s="2">
        <v>19</v>
      </c>
      <c r="BI176" s="2">
        <v>12</v>
      </c>
      <c r="BJ176" s="2">
        <v>15</v>
      </c>
      <c r="BK176" s="2">
        <v>12</v>
      </c>
      <c r="BL176" s="2">
        <v>1</v>
      </c>
      <c r="BM176" s="2">
        <v>15</v>
      </c>
      <c r="BN176" s="2">
        <v>19</v>
      </c>
      <c r="BO176" s="2">
        <v>12</v>
      </c>
      <c r="BP176" s="2">
        <v>1</v>
      </c>
      <c r="BQ176" s="2">
        <v>8</v>
      </c>
      <c r="BR176" s="2">
        <v>19</v>
      </c>
      <c r="BS176" s="2">
        <v>19</v>
      </c>
      <c r="BT176" s="2">
        <v>8</v>
      </c>
      <c r="BU176" s="2">
        <v>8</v>
      </c>
      <c r="BV176" s="2">
        <f t="shared" si="13"/>
        <v>246</v>
      </c>
      <c r="BW176" s="16">
        <f t="shared" si="11"/>
        <v>12.947368421052632</v>
      </c>
      <c r="BX176" s="16">
        <f>COUNTIF($BC$6:BU176, "=0") / COUNTIF($BC$6:BU176, "&gt;-1")</f>
        <v>4.27823945829486E-2</v>
      </c>
      <c r="BY176" s="18">
        <f>SUM($BC$6:BU176) / $BY$4</f>
        <v>0.66187783194445771</v>
      </c>
      <c r="BZ176" s="14">
        <f t="shared" si="12"/>
        <v>0</v>
      </c>
      <c r="CA176" t="s">
        <v>5831</v>
      </c>
      <c r="CB176" s="36">
        <v>32.7143716875377</v>
      </c>
      <c r="CC176" s="36">
        <v>16.372090051516601</v>
      </c>
      <c r="CD176" s="36">
        <v>27.213560250808399</v>
      </c>
      <c r="CE176" s="36">
        <v>16.631139350685501</v>
      </c>
      <c r="CF176" s="36">
        <v>5.1610581596213496</v>
      </c>
      <c r="CG176" s="36">
        <v>17.6648176861503</v>
      </c>
      <c r="CH176" s="36">
        <v>12.6487473943757</v>
      </c>
      <c r="CI176" s="36">
        <v>14.597753969734599</v>
      </c>
      <c r="CJ176" s="37">
        <v>9.53709951893949</v>
      </c>
      <c r="CK176" s="37">
        <v>9.4597447033242794</v>
      </c>
      <c r="CL176" s="37">
        <v>15.2010326170795</v>
      </c>
      <c r="CM176" s="37">
        <v>10.1585645591993</v>
      </c>
      <c r="CN176" s="37">
        <v>7.3503405265209096</v>
      </c>
      <c r="CO176" s="37">
        <v>14.994620837317401</v>
      </c>
      <c r="CP176" s="37">
        <v>28.662260909385999</v>
      </c>
      <c r="CQ176" s="37">
        <v>12.1810947717969</v>
      </c>
      <c r="CR176" s="45">
        <v>-0.41966450582115</v>
      </c>
      <c r="CS176" s="45">
        <v>-1.3297118392383001</v>
      </c>
      <c r="CT176" s="46">
        <v>0.29948967152669698</v>
      </c>
      <c r="CU176" s="47">
        <v>0.37785756326945402</v>
      </c>
      <c r="CV176" s="48">
        <v>17.875442318803799</v>
      </c>
      <c r="CW176" s="49">
        <v>13.443094805445501</v>
      </c>
      <c r="CX176" s="31" t="s">
        <v>5875</v>
      </c>
      <c r="CY176" s="31" t="s">
        <v>5832</v>
      </c>
      <c r="CZ176" t="s">
        <v>7024</v>
      </c>
      <c r="DA176" t="s">
        <v>5904</v>
      </c>
      <c r="DB176">
        <v>1538.1</v>
      </c>
      <c r="DC176" t="s">
        <v>17417</v>
      </c>
      <c r="DD176" t="s">
        <v>17418</v>
      </c>
      <c r="DE176" t="s">
        <v>17419</v>
      </c>
      <c r="DF176" t="s">
        <v>17420</v>
      </c>
      <c r="DG176" t="s">
        <v>17421</v>
      </c>
      <c r="DH176" t="str">
        <f>"DSC1"</f>
        <v>DSC1</v>
      </c>
      <c r="DI176" t="s">
        <v>17422</v>
      </c>
      <c r="DJ176" t="s">
        <v>13777</v>
      </c>
      <c r="DK176">
        <v>9606</v>
      </c>
      <c r="DL176" s="34" t="str">
        <f>HYPERLINK("http://www.uniprot.org/uniprot/Q08554", "Q08554")</f>
        <v>Q08554</v>
      </c>
      <c r="DM176" t="s">
        <v>17423</v>
      </c>
      <c r="DN176" t="s">
        <v>13949</v>
      </c>
      <c r="DO176" t="s">
        <v>17424</v>
      </c>
      <c r="DP176" t="s">
        <v>13780</v>
      </c>
      <c r="DQ176" t="s">
        <v>13772</v>
      </c>
      <c r="DR176" t="s">
        <v>13772</v>
      </c>
      <c r="DS176" t="s">
        <v>13826</v>
      </c>
      <c r="DT176" t="s">
        <v>13873</v>
      </c>
      <c r="DU176" t="s">
        <v>13772</v>
      </c>
      <c r="DV176" t="s">
        <v>17425</v>
      </c>
      <c r="DW176" t="s">
        <v>13812</v>
      </c>
      <c r="DX176" t="s">
        <v>17426</v>
      </c>
      <c r="DY176" t="s">
        <v>17427</v>
      </c>
      <c r="DZ176" t="s">
        <v>15899</v>
      </c>
      <c r="EA176" t="s">
        <v>13772</v>
      </c>
      <c r="EB176" t="s">
        <v>17428</v>
      </c>
    </row>
    <row r="177" spans="1:132">
      <c r="A177">
        <v>851</v>
      </c>
      <c r="B177">
        <v>1</v>
      </c>
      <c r="C177" t="s">
        <v>2087</v>
      </c>
      <c r="D177" t="s">
        <v>2088</v>
      </c>
      <c r="E177" t="s">
        <v>73</v>
      </c>
      <c r="F177" t="s">
        <v>73</v>
      </c>
      <c r="G177" t="s">
        <v>73</v>
      </c>
      <c r="H177">
        <v>11.2</v>
      </c>
      <c r="I177">
        <v>1228</v>
      </c>
      <c r="J177">
        <v>131065</v>
      </c>
      <c r="K177" t="s">
        <v>2089</v>
      </c>
      <c r="L177">
        <f t="shared" si="10"/>
        <v>246</v>
      </c>
      <c r="N177">
        <v>246</v>
      </c>
      <c r="O177">
        <v>246</v>
      </c>
      <c r="P177">
        <v>1</v>
      </c>
      <c r="Q177">
        <v>19</v>
      </c>
      <c r="R177">
        <v>17</v>
      </c>
      <c r="S177">
        <v>12</v>
      </c>
      <c r="T177">
        <v>7</v>
      </c>
      <c r="U177">
        <v>11</v>
      </c>
      <c r="V177">
        <v>17</v>
      </c>
      <c r="W177">
        <v>14</v>
      </c>
      <c r="X177">
        <v>6</v>
      </c>
      <c r="Y177">
        <v>12</v>
      </c>
      <c r="Z177">
        <v>1</v>
      </c>
      <c r="AA177">
        <v>21</v>
      </c>
      <c r="AB177">
        <v>19</v>
      </c>
      <c r="AC177">
        <v>18</v>
      </c>
      <c r="AD177">
        <v>5</v>
      </c>
      <c r="AE177">
        <v>7</v>
      </c>
      <c r="AF177">
        <v>20</v>
      </c>
      <c r="AG177">
        <v>14</v>
      </c>
      <c r="AH177">
        <v>11</v>
      </c>
      <c r="AI177">
        <v>15</v>
      </c>
      <c r="AJ177">
        <v>19</v>
      </c>
      <c r="AK177">
        <v>17</v>
      </c>
      <c r="AL177">
        <v>12</v>
      </c>
      <c r="AM177">
        <v>7</v>
      </c>
      <c r="AN177">
        <v>11</v>
      </c>
      <c r="AO177">
        <v>17</v>
      </c>
      <c r="AP177">
        <v>14</v>
      </c>
      <c r="AQ177">
        <v>6</v>
      </c>
      <c r="AR177">
        <v>12</v>
      </c>
      <c r="AS177">
        <v>1</v>
      </c>
      <c r="AT177">
        <v>21</v>
      </c>
      <c r="AU177">
        <v>19</v>
      </c>
      <c r="AV177">
        <v>18</v>
      </c>
      <c r="AW177">
        <v>5</v>
      </c>
      <c r="AX177">
        <v>7</v>
      </c>
      <c r="AY177">
        <v>20</v>
      </c>
      <c r="AZ177">
        <v>14</v>
      </c>
      <c r="BA177">
        <v>11</v>
      </c>
      <c r="BB177">
        <v>15</v>
      </c>
      <c r="BC177" s="2">
        <v>19</v>
      </c>
      <c r="BD177" s="2">
        <v>17</v>
      </c>
      <c r="BE177" s="2">
        <v>12</v>
      </c>
      <c r="BF177" s="2">
        <v>7</v>
      </c>
      <c r="BG177" s="2">
        <v>11</v>
      </c>
      <c r="BH177" s="2">
        <v>17</v>
      </c>
      <c r="BI177" s="2">
        <v>14</v>
      </c>
      <c r="BJ177" s="2">
        <v>6</v>
      </c>
      <c r="BK177" s="2">
        <v>12</v>
      </c>
      <c r="BL177" s="2">
        <v>1</v>
      </c>
      <c r="BM177" s="2">
        <v>21</v>
      </c>
      <c r="BN177" s="2">
        <v>19</v>
      </c>
      <c r="BO177" s="2">
        <v>18</v>
      </c>
      <c r="BP177" s="2">
        <v>5</v>
      </c>
      <c r="BQ177" s="2">
        <v>7</v>
      </c>
      <c r="BR177" s="2">
        <v>20</v>
      </c>
      <c r="BS177" s="2">
        <v>14</v>
      </c>
      <c r="BT177" s="2">
        <v>11</v>
      </c>
      <c r="BU177" s="2">
        <v>15</v>
      </c>
      <c r="BV177" s="2">
        <f t="shared" si="13"/>
        <v>246</v>
      </c>
      <c r="BW177" s="16">
        <f t="shared" si="11"/>
        <v>12.947368421052632</v>
      </c>
      <c r="BX177" s="16">
        <f>COUNTIF($BC$6:BU177, "=0") / COUNTIF($BC$6:BU177, "&gt;-1")</f>
        <v>4.2533659730722151E-2</v>
      </c>
      <c r="BY177" s="18">
        <f>SUM($BC$6:BU177) / $BY$4</f>
        <v>0.66293160661415806</v>
      </c>
      <c r="BZ177" s="14">
        <f t="shared" si="12"/>
        <v>0</v>
      </c>
      <c r="CA177" t="s">
        <v>5831</v>
      </c>
      <c r="CB177" s="36">
        <v>23.021224520859899</v>
      </c>
      <c r="CC177" s="36">
        <v>16.372090051516601</v>
      </c>
      <c r="CD177" s="36">
        <v>19.2095719417471</v>
      </c>
      <c r="CE177" s="36">
        <v>10.5834523140726</v>
      </c>
      <c r="CF177" s="36">
        <v>9.4619399593058091</v>
      </c>
      <c r="CG177" s="36">
        <v>15.805363192871299</v>
      </c>
      <c r="CH177" s="36">
        <v>14.756871960105</v>
      </c>
      <c r="CI177" s="36">
        <v>5.8391015878938397</v>
      </c>
      <c r="CJ177" s="37">
        <v>9.53709951893949</v>
      </c>
      <c r="CK177" s="37">
        <v>13.243642584653999</v>
      </c>
      <c r="CL177" s="37">
        <v>15.2010326170795</v>
      </c>
      <c r="CM177" s="37">
        <v>15.2378468387989</v>
      </c>
      <c r="CN177" s="37">
        <v>6.4315479607058004</v>
      </c>
      <c r="CO177" s="37">
        <v>15.783811407702499</v>
      </c>
      <c r="CP177" s="37">
        <v>21.119560670073898</v>
      </c>
      <c r="CQ177" s="37">
        <v>22.839552697119299</v>
      </c>
      <c r="CR177" s="45">
        <v>3.4861387010906401E-2</v>
      </c>
      <c r="CS177" s="45">
        <v>1.0377617843114799</v>
      </c>
      <c r="CT177" s="46">
        <v>0.94112983412250495</v>
      </c>
      <c r="CU177" s="47">
        <v>0.96156153915847598</v>
      </c>
      <c r="CV177" s="48">
        <v>14.3812019410465</v>
      </c>
      <c r="CW177" s="49">
        <v>14.9242617868842</v>
      </c>
      <c r="CX177" s="31" t="s">
        <v>5874</v>
      </c>
      <c r="CY177" s="31" t="s">
        <v>5832</v>
      </c>
      <c r="CZ177" t="s">
        <v>8617</v>
      </c>
      <c r="DA177" t="s">
        <v>5904</v>
      </c>
      <c r="DB177">
        <v>1476.8</v>
      </c>
      <c r="DC177" t="s">
        <v>22177</v>
      </c>
      <c r="DD177" t="s">
        <v>13772</v>
      </c>
      <c r="DE177" t="s">
        <v>22178</v>
      </c>
      <c r="DF177" t="s">
        <v>22179</v>
      </c>
      <c r="DG177" t="s">
        <v>22180</v>
      </c>
      <c r="DH177" t="str">
        <f>"FBLN2"</f>
        <v>FBLN2</v>
      </c>
      <c r="DI177" t="s">
        <v>13772</v>
      </c>
      <c r="DJ177" t="s">
        <v>13777</v>
      </c>
      <c r="DK177">
        <v>9606</v>
      </c>
      <c r="DL177" s="34" t="str">
        <f>HYPERLINK("http://www.uniprot.org/uniprot/P98095", "P98095")</f>
        <v>P98095</v>
      </c>
      <c r="DM177" t="s">
        <v>22181</v>
      </c>
      <c r="DN177" t="s">
        <v>13772</v>
      </c>
      <c r="DO177" t="s">
        <v>13869</v>
      </c>
      <c r="DP177" t="s">
        <v>13780</v>
      </c>
      <c r="DQ177" t="s">
        <v>13772</v>
      </c>
      <c r="DR177" t="s">
        <v>13772</v>
      </c>
      <c r="DS177" t="s">
        <v>14768</v>
      </c>
      <c r="DT177" t="s">
        <v>14465</v>
      </c>
      <c r="DU177" t="s">
        <v>13772</v>
      </c>
      <c r="DV177" t="s">
        <v>13964</v>
      </c>
      <c r="DW177" t="s">
        <v>13772</v>
      </c>
      <c r="DX177" t="s">
        <v>22182</v>
      </c>
      <c r="DY177" t="s">
        <v>22183</v>
      </c>
      <c r="DZ177" t="s">
        <v>22184</v>
      </c>
      <c r="EA177" t="s">
        <v>13772</v>
      </c>
      <c r="EB177" t="s">
        <v>14774</v>
      </c>
    </row>
    <row r="178" spans="1:132">
      <c r="A178">
        <v>977</v>
      </c>
      <c r="B178">
        <v>1</v>
      </c>
      <c r="C178" t="s">
        <v>2371</v>
      </c>
      <c r="D178" t="s">
        <v>73</v>
      </c>
      <c r="E178" t="s">
        <v>73</v>
      </c>
      <c r="F178" t="s">
        <v>73</v>
      </c>
      <c r="G178" t="s">
        <v>73</v>
      </c>
      <c r="H178">
        <v>84.1</v>
      </c>
      <c r="I178">
        <v>44</v>
      </c>
      <c r="J178">
        <v>5053</v>
      </c>
      <c r="K178" t="s">
        <v>2372</v>
      </c>
      <c r="L178">
        <f t="shared" si="10"/>
        <v>246</v>
      </c>
      <c r="N178">
        <v>246</v>
      </c>
      <c r="O178">
        <v>246</v>
      </c>
      <c r="P178">
        <v>1</v>
      </c>
      <c r="Q178">
        <v>9</v>
      </c>
      <c r="R178">
        <v>11</v>
      </c>
      <c r="S178">
        <v>7</v>
      </c>
      <c r="T178">
        <v>10</v>
      </c>
      <c r="U178">
        <v>7</v>
      </c>
      <c r="V178">
        <v>4</v>
      </c>
      <c r="W178">
        <v>3</v>
      </c>
      <c r="X178">
        <v>11</v>
      </c>
      <c r="Y178">
        <v>22</v>
      </c>
      <c r="Z178">
        <v>10</v>
      </c>
      <c r="AA178">
        <v>20</v>
      </c>
      <c r="AB178">
        <v>24</v>
      </c>
      <c r="AC178">
        <v>14</v>
      </c>
      <c r="AD178">
        <v>6</v>
      </c>
      <c r="AE178">
        <v>26</v>
      </c>
      <c r="AF178">
        <v>29</v>
      </c>
      <c r="AG178">
        <v>13</v>
      </c>
      <c r="AH178">
        <v>8</v>
      </c>
      <c r="AI178">
        <v>12</v>
      </c>
      <c r="AJ178">
        <v>9</v>
      </c>
      <c r="AK178">
        <v>11</v>
      </c>
      <c r="AL178">
        <v>7</v>
      </c>
      <c r="AM178">
        <v>10</v>
      </c>
      <c r="AN178">
        <v>7</v>
      </c>
      <c r="AO178">
        <v>4</v>
      </c>
      <c r="AP178">
        <v>3</v>
      </c>
      <c r="AQ178">
        <v>11</v>
      </c>
      <c r="AR178">
        <v>22</v>
      </c>
      <c r="AS178">
        <v>10</v>
      </c>
      <c r="AT178">
        <v>20</v>
      </c>
      <c r="AU178">
        <v>24</v>
      </c>
      <c r="AV178">
        <v>14</v>
      </c>
      <c r="AW178">
        <v>6</v>
      </c>
      <c r="AX178">
        <v>26</v>
      </c>
      <c r="AY178">
        <v>29</v>
      </c>
      <c r="AZ178">
        <v>13</v>
      </c>
      <c r="BA178">
        <v>8</v>
      </c>
      <c r="BB178">
        <v>12</v>
      </c>
      <c r="BC178" s="2">
        <v>9</v>
      </c>
      <c r="BD178" s="2">
        <v>11</v>
      </c>
      <c r="BE178" s="2">
        <v>7</v>
      </c>
      <c r="BF178" s="2">
        <v>10</v>
      </c>
      <c r="BG178" s="2">
        <v>7</v>
      </c>
      <c r="BH178" s="2">
        <v>4</v>
      </c>
      <c r="BI178" s="2">
        <v>3</v>
      </c>
      <c r="BJ178" s="2">
        <v>11</v>
      </c>
      <c r="BK178" s="2">
        <v>22</v>
      </c>
      <c r="BL178" s="2">
        <v>10</v>
      </c>
      <c r="BM178" s="2">
        <v>20</v>
      </c>
      <c r="BN178" s="2">
        <v>24</v>
      </c>
      <c r="BO178" s="2">
        <v>14</v>
      </c>
      <c r="BP178" s="2">
        <v>6</v>
      </c>
      <c r="BQ178" s="2">
        <v>26</v>
      </c>
      <c r="BR178" s="2">
        <v>29</v>
      </c>
      <c r="BS178" s="2">
        <v>13</v>
      </c>
      <c r="BT178" s="2">
        <v>8</v>
      </c>
      <c r="BU178" s="2">
        <v>12</v>
      </c>
      <c r="BV178" s="2">
        <f t="shared" si="13"/>
        <v>246</v>
      </c>
      <c r="BW178" s="16">
        <f t="shared" si="11"/>
        <v>12.947368421052632</v>
      </c>
      <c r="BX178" s="16">
        <f>COUNTIF($BC$6:BU178, "=0") / COUNTIF($BC$6:BU178, "&gt;-1")</f>
        <v>4.2287800425920292E-2</v>
      </c>
      <c r="BY178" s="18">
        <f>SUM($BC$6:BU178) / $BY$4</f>
        <v>0.66398538128385842</v>
      </c>
      <c r="BZ178" s="14">
        <f t="shared" si="12"/>
        <v>0</v>
      </c>
      <c r="CA178" t="s">
        <v>5831</v>
      </c>
      <c r="CB178" s="36">
        <v>10.9047905625126</v>
      </c>
      <c r="CC178" s="36">
        <v>10.5937053274519</v>
      </c>
      <c r="CD178" s="36">
        <v>11.2055836326858</v>
      </c>
      <c r="CE178" s="36">
        <v>15.119217591532299</v>
      </c>
      <c r="CF178" s="36">
        <v>6.0212345195582504</v>
      </c>
      <c r="CG178" s="36">
        <v>3.7189089865579601</v>
      </c>
      <c r="CH178" s="36">
        <v>3.1621868485939202</v>
      </c>
      <c r="CI178" s="36">
        <v>10.7050195778054</v>
      </c>
      <c r="CJ178" s="37">
        <v>17.484682451389101</v>
      </c>
      <c r="CK178" s="37">
        <v>12.6129929377657</v>
      </c>
      <c r="CL178" s="37">
        <v>19.201304358416198</v>
      </c>
      <c r="CM178" s="37">
        <v>11.8516586523992</v>
      </c>
      <c r="CN178" s="37">
        <v>23.888606711192999</v>
      </c>
      <c r="CO178" s="37">
        <v>22.8865265411686</v>
      </c>
      <c r="CP178" s="37">
        <v>19.611020622211502</v>
      </c>
      <c r="CQ178" s="37">
        <v>18.2716421576954</v>
      </c>
      <c r="CR178" s="45">
        <v>1.05583293511059</v>
      </c>
      <c r="CS178" s="45">
        <v>2.0412587658196002</v>
      </c>
      <c r="CT178" s="46">
        <v>2.57270866198489E-3</v>
      </c>
      <c r="CU178" s="47">
        <v>5.2795769781223698E-3</v>
      </c>
      <c r="CV178" s="48">
        <v>8.9288308808372605</v>
      </c>
      <c r="CW178" s="49">
        <v>18.226054304029802</v>
      </c>
      <c r="CX178" s="31" t="s">
        <v>5874</v>
      </c>
      <c r="CY178" s="31" t="s">
        <v>5876</v>
      </c>
      <c r="CZ178" t="s">
        <v>9042</v>
      </c>
      <c r="DA178" t="s">
        <v>5904</v>
      </c>
      <c r="DB178">
        <v>85.5</v>
      </c>
      <c r="DC178" t="s">
        <v>23412</v>
      </c>
      <c r="DD178" t="s">
        <v>23413</v>
      </c>
      <c r="DE178" t="s">
        <v>23414</v>
      </c>
      <c r="DF178" t="s">
        <v>23415</v>
      </c>
      <c r="DG178" t="s">
        <v>23416</v>
      </c>
      <c r="DH178" t="str">
        <f>"TMSB4X"</f>
        <v>TMSB4X</v>
      </c>
      <c r="DI178" t="s">
        <v>23417</v>
      </c>
      <c r="DJ178" t="s">
        <v>13777</v>
      </c>
      <c r="DK178">
        <v>9606</v>
      </c>
      <c r="DL178" s="34" t="str">
        <f>HYPERLINK("http://www.uniprot.org/uniprot/P62328", "P62328")</f>
        <v>P62328</v>
      </c>
      <c r="DM178" t="s">
        <v>23418</v>
      </c>
      <c r="DN178" t="s">
        <v>13772</v>
      </c>
      <c r="DO178" t="s">
        <v>13988</v>
      </c>
      <c r="DP178" t="s">
        <v>13772</v>
      </c>
      <c r="DQ178" t="s">
        <v>13772</v>
      </c>
      <c r="DR178" t="s">
        <v>13772</v>
      </c>
      <c r="DS178" t="s">
        <v>13772</v>
      </c>
      <c r="DT178" t="s">
        <v>13772</v>
      </c>
      <c r="DU178" t="s">
        <v>13990</v>
      </c>
      <c r="DV178" t="s">
        <v>13991</v>
      </c>
      <c r="DW178" t="s">
        <v>13812</v>
      </c>
      <c r="DX178" t="s">
        <v>23419</v>
      </c>
      <c r="DY178" t="s">
        <v>23420</v>
      </c>
      <c r="DZ178" t="s">
        <v>23421</v>
      </c>
      <c r="EA178" t="s">
        <v>13772</v>
      </c>
      <c r="EB178" t="s">
        <v>15665</v>
      </c>
    </row>
    <row r="179" spans="1:132">
      <c r="A179">
        <v>2019</v>
      </c>
      <c r="B179">
        <v>1</v>
      </c>
      <c r="C179" t="s">
        <v>4751</v>
      </c>
      <c r="D179" t="s">
        <v>73</v>
      </c>
      <c r="E179" t="s">
        <v>73</v>
      </c>
      <c r="F179" t="s">
        <v>73</v>
      </c>
      <c r="G179" t="s">
        <v>73</v>
      </c>
      <c r="H179">
        <v>60.4</v>
      </c>
      <c r="I179">
        <v>500</v>
      </c>
      <c r="J179">
        <v>49202</v>
      </c>
      <c r="K179" t="s">
        <v>4752</v>
      </c>
      <c r="L179">
        <f t="shared" si="10"/>
        <v>245</v>
      </c>
      <c r="N179">
        <v>245</v>
      </c>
      <c r="O179">
        <v>245</v>
      </c>
      <c r="P179">
        <v>1</v>
      </c>
      <c r="Q179">
        <v>19</v>
      </c>
      <c r="R179">
        <v>13</v>
      </c>
      <c r="S179">
        <v>12</v>
      </c>
      <c r="T179">
        <v>17</v>
      </c>
      <c r="U179">
        <v>5</v>
      </c>
      <c r="V179">
        <v>9</v>
      </c>
      <c r="W179">
        <v>3</v>
      </c>
      <c r="X179">
        <v>6</v>
      </c>
      <c r="Y179">
        <v>13</v>
      </c>
      <c r="Z179">
        <v>7</v>
      </c>
      <c r="AA179">
        <v>36</v>
      </c>
      <c r="AB179">
        <v>24</v>
      </c>
      <c r="AC179">
        <v>7</v>
      </c>
      <c r="AD179">
        <v>3</v>
      </c>
      <c r="AE179">
        <v>10</v>
      </c>
      <c r="AF179">
        <v>23</v>
      </c>
      <c r="AG179">
        <v>14</v>
      </c>
      <c r="AH179">
        <v>10</v>
      </c>
      <c r="AI179">
        <v>14</v>
      </c>
      <c r="AJ179">
        <v>19</v>
      </c>
      <c r="AK179">
        <v>13</v>
      </c>
      <c r="AL179">
        <v>12</v>
      </c>
      <c r="AM179">
        <v>17</v>
      </c>
      <c r="AN179">
        <v>5</v>
      </c>
      <c r="AO179">
        <v>9</v>
      </c>
      <c r="AP179">
        <v>3</v>
      </c>
      <c r="AQ179">
        <v>6</v>
      </c>
      <c r="AR179">
        <v>13</v>
      </c>
      <c r="AS179">
        <v>7</v>
      </c>
      <c r="AT179">
        <v>36</v>
      </c>
      <c r="AU179">
        <v>24</v>
      </c>
      <c r="AV179">
        <v>7</v>
      </c>
      <c r="AW179">
        <v>3</v>
      </c>
      <c r="AX179">
        <v>10</v>
      </c>
      <c r="AY179">
        <v>23</v>
      </c>
      <c r="AZ179">
        <v>14</v>
      </c>
      <c r="BA179">
        <v>10</v>
      </c>
      <c r="BB179">
        <v>14</v>
      </c>
      <c r="BC179" s="2">
        <v>19</v>
      </c>
      <c r="BD179" s="2">
        <v>13</v>
      </c>
      <c r="BE179" s="2">
        <v>12</v>
      </c>
      <c r="BF179" s="2">
        <v>17</v>
      </c>
      <c r="BG179" s="2">
        <v>5</v>
      </c>
      <c r="BH179" s="2">
        <v>9</v>
      </c>
      <c r="BI179" s="2">
        <v>3</v>
      </c>
      <c r="BJ179" s="2">
        <v>6</v>
      </c>
      <c r="BK179" s="2">
        <v>13</v>
      </c>
      <c r="BL179" s="2">
        <v>7</v>
      </c>
      <c r="BM179" s="2">
        <v>36</v>
      </c>
      <c r="BN179" s="2">
        <v>24</v>
      </c>
      <c r="BO179" s="2">
        <v>7</v>
      </c>
      <c r="BP179" s="2">
        <v>3</v>
      </c>
      <c r="BQ179" s="2">
        <v>10</v>
      </c>
      <c r="BR179" s="2">
        <v>23</v>
      </c>
      <c r="BS179" s="2">
        <v>14</v>
      </c>
      <c r="BT179" s="2">
        <v>10</v>
      </c>
      <c r="BU179" s="2">
        <v>14</v>
      </c>
      <c r="BV179" s="2">
        <f t="shared" si="13"/>
        <v>245</v>
      </c>
      <c r="BW179" s="16">
        <f t="shared" si="11"/>
        <v>12.894736842105264</v>
      </c>
      <c r="BX179" s="16">
        <f>COUNTIF($BC$6:BU179, "=0") / COUNTIF($BC$6:BU179, "&gt;-1")</f>
        <v>4.2044767090139143E-2</v>
      </c>
      <c r="BY179" s="18">
        <f>SUM($BC$6:BU179) / $BY$4</f>
        <v>0.66503487231669001</v>
      </c>
      <c r="BZ179" s="14">
        <f t="shared" si="12"/>
        <v>0</v>
      </c>
      <c r="CA179" t="s">
        <v>5831</v>
      </c>
      <c r="CB179" s="36">
        <v>23.021224520859899</v>
      </c>
      <c r="CC179" s="36">
        <v>12.519833568806799</v>
      </c>
      <c r="CD179" s="36">
        <v>19.2095719417471</v>
      </c>
      <c r="CE179" s="36">
        <v>25.7026699056049</v>
      </c>
      <c r="CF179" s="36">
        <v>4.3008817996844604</v>
      </c>
      <c r="CG179" s="36">
        <v>8.3675452197554208</v>
      </c>
      <c r="CH179" s="36">
        <v>3.1621868485939202</v>
      </c>
      <c r="CI179" s="36">
        <v>5.8391015878938397</v>
      </c>
      <c r="CJ179" s="37">
        <v>10.331857812184399</v>
      </c>
      <c r="CK179" s="37">
        <v>22.703387287978298</v>
      </c>
      <c r="CL179" s="37">
        <v>19.201304358416198</v>
      </c>
      <c r="CM179" s="37">
        <v>5.9258293261995796</v>
      </c>
      <c r="CN179" s="37">
        <v>9.1879256581511406</v>
      </c>
      <c r="CO179" s="37">
        <v>18.1513831188579</v>
      </c>
      <c r="CP179" s="37">
        <v>21.119560670073898</v>
      </c>
      <c r="CQ179" s="37">
        <v>21.316915850644602</v>
      </c>
      <c r="CR179" s="45">
        <v>0.35261347636191398</v>
      </c>
      <c r="CS179" s="45">
        <v>1.25278482612591</v>
      </c>
      <c r="CT179" s="46">
        <v>0.46418404415169201</v>
      </c>
      <c r="CU179" s="47">
        <v>0.54576296228028498</v>
      </c>
      <c r="CV179" s="48">
        <v>12.7653769241183</v>
      </c>
      <c r="CW179" s="49">
        <v>15.9922705103133</v>
      </c>
      <c r="CX179" s="31" t="s">
        <v>5874</v>
      </c>
      <c r="CY179" s="31" t="s">
        <v>5832</v>
      </c>
      <c r="CZ179" t="s">
        <v>12482</v>
      </c>
      <c r="DA179" t="s">
        <v>6054</v>
      </c>
      <c r="DB179">
        <v>230.3</v>
      </c>
      <c r="DC179" t="s">
        <v>33123</v>
      </c>
      <c r="DD179" t="s">
        <v>33124</v>
      </c>
      <c r="DE179" t="s">
        <v>33125</v>
      </c>
      <c r="DF179" t="s">
        <v>33126</v>
      </c>
      <c r="DG179" t="s">
        <v>33127</v>
      </c>
      <c r="DH179" t="str">
        <f>"DMKN"</f>
        <v>DMKN</v>
      </c>
      <c r="DI179" t="s">
        <v>13772</v>
      </c>
      <c r="DJ179" t="s">
        <v>13777</v>
      </c>
      <c r="DK179">
        <v>9606</v>
      </c>
      <c r="DL179" s="34" t="str">
        <f>HYPERLINK("http://www.uniprot.org/uniprot/Q6E0U4", "Q6E0U4")</f>
        <v>Q6E0U4</v>
      </c>
      <c r="DM179" t="s">
        <v>33128</v>
      </c>
      <c r="DN179" t="s">
        <v>13772</v>
      </c>
      <c r="DO179" t="s">
        <v>14321</v>
      </c>
      <c r="DP179" t="s">
        <v>13780</v>
      </c>
      <c r="DQ179" t="s">
        <v>13772</v>
      </c>
      <c r="DR179" t="s">
        <v>13772</v>
      </c>
      <c r="DS179" t="s">
        <v>13808</v>
      </c>
      <c r="DT179" t="s">
        <v>13772</v>
      </c>
      <c r="DU179" t="s">
        <v>13772</v>
      </c>
      <c r="DV179" t="s">
        <v>13858</v>
      </c>
      <c r="DW179" t="s">
        <v>13812</v>
      </c>
      <c r="DX179" t="s">
        <v>33129</v>
      </c>
      <c r="DY179" t="s">
        <v>14508</v>
      </c>
      <c r="DZ179" t="s">
        <v>13772</v>
      </c>
      <c r="EA179" t="s">
        <v>13772</v>
      </c>
      <c r="EB179" t="s">
        <v>13772</v>
      </c>
    </row>
    <row r="180" spans="1:132">
      <c r="A180">
        <v>2452</v>
      </c>
      <c r="B180">
        <v>1</v>
      </c>
      <c r="C180" t="s">
        <v>5762</v>
      </c>
      <c r="D180" t="s">
        <v>73</v>
      </c>
      <c r="E180" t="s">
        <v>5763</v>
      </c>
      <c r="F180" t="s">
        <v>5764</v>
      </c>
      <c r="G180" t="s">
        <v>73</v>
      </c>
      <c r="H180">
        <v>44.2</v>
      </c>
      <c r="I180">
        <v>226</v>
      </c>
      <c r="J180">
        <v>25504</v>
      </c>
      <c r="K180" t="s">
        <v>5765</v>
      </c>
      <c r="L180">
        <f t="shared" si="10"/>
        <v>243</v>
      </c>
      <c r="N180">
        <v>243</v>
      </c>
      <c r="O180">
        <v>242</v>
      </c>
      <c r="P180">
        <v>0.996</v>
      </c>
      <c r="Q180">
        <v>21</v>
      </c>
      <c r="R180">
        <v>6</v>
      </c>
      <c r="S180">
        <v>4</v>
      </c>
      <c r="T180">
        <v>1</v>
      </c>
      <c r="U180">
        <v>4</v>
      </c>
      <c r="V180">
        <v>13</v>
      </c>
      <c r="W180">
        <v>18</v>
      </c>
      <c r="X180">
        <v>58</v>
      </c>
      <c r="Y180">
        <v>6</v>
      </c>
      <c r="Z180">
        <v>14</v>
      </c>
      <c r="AA180">
        <v>11</v>
      </c>
      <c r="AB180">
        <v>8</v>
      </c>
      <c r="AC180">
        <v>13</v>
      </c>
      <c r="AD180">
        <v>10</v>
      </c>
      <c r="AE180">
        <v>13</v>
      </c>
      <c r="AF180">
        <v>9</v>
      </c>
      <c r="AG180">
        <v>16</v>
      </c>
      <c r="AH180">
        <v>8</v>
      </c>
      <c r="AI180">
        <v>10</v>
      </c>
      <c r="AJ180">
        <v>21</v>
      </c>
      <c r="AK180">
        <v>6</v>
      </c>
      <c r="AL180">
        <v>4</v>
      </c>
      <c r="AM180">
        <v>1</v>
      </c>
      <c r="AN180">
        <v>4</v>
      </c>
      <c r="AO180">
        <v>13</v>
      </c>
      <c r="AP180">
        <v>18</v>
      </c>
      <c r="AQ180">
        <v>58</v>
      </c>
      <c r="AR180">
        <v>6</v>
      </c>
      <c r="AS180">
        <v>14</v>
      </c>
      <c r="AT180">
        <v>10</v>
      </c>
      <c r="AU180">
        <v>8</v>
      </c>
      <c r="AV180">
        <v>13</v>
      </c>
      <c r="AW180">
        <v>10</v>
      </c>
      <c r="AX180">
        <v>13</v>
      </c>
      <c r="AY180">
        <v>9</v>
      </c>
      <c r="AZ180">
        <v>16</v>
      </c>
      <c r="BA180">
        <v>8</v>
      </c>
      <c r="BB180">
        <v>10</v>
      </c>
      <c r="BC180" s="2">
        <v>21</v>
      </c>
      <c r="BD180" s="2">
        <v>6</v>
      </c>
      <c r="BE180" s="2">
        <v>4</v>
      </c>
      <c r="BF180" s="2">
        <v>1</v>
      </c>
      <c r="BG180" s="2">
        <v>4</v>
      </c>
      <c r="BH180" s="2">
        <v>13</v>
      </c>
      <c r="BI180" s="2">
        <v>18</v>
      </c>
      <c r="BJ180" s="2">
        <v>58</v>
      </c>
      <c r="BK180" s="2">
        <v>6</v>
      </c>
      <c r="BL180" s="2">
        <v>14</v>
      </c>
      <c r="BM180" s="2">
        <v>10.996</v>
      </c>
      <c r="BN180" s="2">
        <v>8</v>
      </c>
      <c r="BO180" s="2">
        <v>13</v>
      </c>
      <c r="BP180" s="2">
        <v>10</v>
      </c>
      <c r="BQ180" s="2">
        <v>13</v>
      </c>
      <c r="BR180" s="2">
        <v>9</v>
      </c>
      <c r="BS180" s="2">
        <v>16</v>
      </c>
      <c r="BT180" s="2">
        <v>8</v>
      </c>
      <c r="BU180" s="2">
        <v>10</v>
      </c>
      <c r="BV180" s="2">
        <f t="shared" si="13"/>
        <v>242.99600000000001</v>
      </c>
      <c r="BW180" s="16">
        <f t="shared" si="11"/>
        <v>12.789263157894737</v>
      </c>
      <c r="BX180" s="16">
        <f>COUNTIF($BC$6:BU180, "=0") / COUNTIF($BC$6:BU180, "&gt;-1")</f>
        <v>4.180451127819549E-2</v>
      </c>
      <c r="BY180" s="18">
        <f>SUM($BC$6:BU180) / $BY$4</f>
        <v>0.66607577894123682</v>
      </c>
      <c r="BZ180" s="14">
        <f t="shared" si="12"/>
        <v>0</v>
      </c>
      <c r="CA180" t="s">
        <v>5831</v>
      </c>
      <c r="CB180" s="36">
        <v>25.444511312529301</v>
      </c>
      <c r="CC180" s="36">
        <v>5.7783847240646802</v>
      </c>
      <c r="CD180" s="36">
        <v>6.4031906472490299</v>
      </c>
      <c r="CE180" s="36">
        <v>1.5119217591532299</v>
      </c>
      <c r="CF180" s="36">
        <v>3.4407054397475698</v>
      </c>
      <c r="CG180" s="36">
        <v>12.0864542063134</v>
      </c>
      <c r="CH180" s="36">
        <v>18.973121091563499</v>
      </c>
      <c r="CI180" s="36">
        <v>56.4446486829737</v>
      </c>
      <c r="CJ180" s="37">
        <v>4.7685497594697397</v>
      </c>
      <c r="CK180" s="37">
        <v>6.9371461157711396</v>
      </c>
      <c r="CL180" s="37">
        <v>6.4004347861387396</v>
      </c>
      <c r="CM180" s="37">
        <v>11.0051116057992</v>
      </c>
      <c r="CN180" s="37">
        <v>11.944303355596499</v>
      </c>
      <c r="CO180" s="37">
        <v>7.1027151334661296</v>
      </c>
      <c r="CP180" s="37">
        <v>24.136640765798798</v>
      </c>
      <c r="CQ180" s="37">
        <v>15.2263684647462</v>
      </c>
      <c r="CR180" s="45">
        <v>-0.60830361652997</v>
      </c>
      <c r="CS180" s="45">
        <v>-1.4863008487335001</v>
      </c>
      <c r="CT180" s="46">
        <v>0.31079368383455203</v>
      </c>
      <c r="CU180" s="47">
        <v>0.389996103873263</v>
      </c>
      <c r="CV180" s="48">
        <v>16.260367232949299</v>
      </c>
      <c r="CW180" s="49">
        <v>10.940158748348299</v>
      </c>
      <c r="CX180" s="31" t="s">
        <v>5875</v>
      </c>
      <c r="CY180" s="31" t="s">
        <v>5832</v>
      </c>
      <c r="CZ180" t="s">
        <v>10896</v>
      </c>
      <c r="DA180" t="s">
        <v>5904</v>
      </c>
      <c r="DB180">
        <v>402.9</v>
      </c>
      <c r="DC180" t="s">
        <v>28642</v>
      </c>
      <c r="DD180" t="s">
        <v>28643</v>
      </c>
      <c r="DE180" t="s">
        <v>28644</v>
      </c>
      <c r="DF180" t="s">
        <v>28645</v>
      </c>
      <c r="DG180" t="s">
        <v>28646</v>
      </c>
      <c r="DH180" t="str">
        <f>"GPX3"</f>
        <v>GPX3</v>
      </c>
      <c r="DI180" t="s">
        <v>28647</v>
      </c>
      <c r="DJ180" t="s">
        <v>13777</v>
      </c>
      <c r="DK180">
        <v>9606</v>
      </c>
      <c r="DL180" s="34" t="str">
        <f>HYPERLINK("http://www.uniprot.org/uniprot/P22352", "P22352")</f>
        <v>P22352</v>
      </c>
      <c r="DM180" t="s">
        <v>28648</v>
      </c>
      <c r="DN180" t="s">
        <v>13772</v>
      </c>
      <c r="DO180" t="s">
        <v>14321</v>
      </c>
      <c r="DP180" t="s">
        <v>14757</v>
      </c>
      <c r="DQ180" t="s">
        <v>13772</v>
      </c>
      <c r="DR180" t="s">
        <v>13772</v>
      </c>
      <c r="DS180" t="s">
        <v>13808</v>
      </c>
      <c r="DT180" t="s">
        <v>13772</v>
      </c>
      <c r="DU180" t="s">
        <v>13810</v>
      </c>
      <c r="DV180" t="s">
        <v>13772</v>
      </c>
      <c r="DW180" t="s">
        <v>13812</v>
      </c>
      <c r="DX180" t="s">
        <v>28649</v>
      </c>
      <c r="DY180" t="s">
        <v>16659</v>
      </c>
      <c r="DZ180" t="s">
        <v>28650</v>
      </c>
      <c r="EA180" t="s">
        <v>13772</v>
      </c>
      <c r="EB180" t="s">
        <v>17385</v>
      </c>
    </row>
    <row r="181" spans="1:132" hidden="1">
      <c r="A181">
        <v>945</v>
      </c>
      <c r="B181">
        <v>1</v>
      </c>
      <c r="C181" t="s">
        <v>2301</v>
      </c>
      <c r="D181" t="s">
        <v>73</v>
      </c>
      <c r="E181" t="s">
        <v>73</v>
      </c>
      <c r="F181" t="s">
        <v>2302</v>
      </c>
      <c r="G181" t="s">
        <v>73</v>
      </c>
      <c r="H181">
        <v>17.399999999999999</v>
      </c>
      <c r="I181">
        <v>6674</v>
      </c>
      <c r="J181">
        <v>773472</v>
      </c>
      <c r="K181" t="s">
        <v>2303</v>
      </c>
      <c r="L181">
        <f t="shared" si="10"/>
        <v>242</v>
      </c>
      <c r="N181">
        <v>242</v>
      </c>
      <c r="O181">
        <v>241</v>
      </c>
      <c r="P181">
        <v>0.996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11</v>
      </c>
      <c r="X181">
        <v>9</v>
      </c>
      <c r="Y181">
        <v>23</v>
      </c>
      <c r="Z181">
        <v>1</v>
      </c>
      <c r="AA181">
        <v>28</v>
      </c>
      <c r="AB181">
        <v>5</v>
      </c>
      <c r="AC181">
        <v>5</v>
      </c>
      <c r="AD181">
        <v>0</v>
      </c>
      <c r="AE181">
        <v>105</v>
      </c>
      <c r="AF181">
        <v>43</v>
      </c>
      <c r="AG181">
        <v>0</v>
      </c>
      <c r="AH181">
        <v>1</v>
      </c>
      <c r="AI181">
        <v>9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11</v>
      </c>
      <c r="AQ181">
        <v>9</v>
      </c>
      <c r="AR181">
        <v>23</v>
      </c>
      <c r="AS181">
        <v>1</v>
      </c>
      <c r="AT181">
        <v>28</v>
      </c>
      <c r="AU181">
        <v>5</v>
      </c>
      <c r="AV181">
        <v>5</v>
      </c>
      <c r="AW181">
        <v>0</v>
      </c>
      <c r="AX181">
        <v>104</v>
      </c>
      <c r="AY181">
        <v>43</v>
      </c>
      <c r="AZ181">
        <v>0</v>
      </c>
      <c r="BA181">
        <v>1</v>
      </c>
      <c r="BB181">
        <v>9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11</v>
      </c>
      <c r="BJ181" s="2">
        <v>9</v>
      </c>
      <c r="BK181" s="2">
        <v>23</v>
      </c>
      <c r="BL181" s="2">
        <v>1</v>
      </c>
      <c r="BM181" s="2">
        <v>28</v>
      </c>
      <c r="BN181" s="2">
        <v>5</v>
      </c>
      <c r="BO181" s="2">
        <v>5</v>
      </c>
      <c r="BP181" s="2">
        <v>0</v>
      </c>
      <c r="BQ181" s="2">
        <v>104.96299999999999</v>
      </c>
      <c r="BR181" s="2">
        <v>43</v>
      </c>
      <c r="BS181" s="2">
        <v>0</v>
      </c>
      <c r="BT181" s="2">
        <v>1</v>
      </c>
      <c r="BU181" s="2">
        <v>9</v>
      </c>
      <c r="BV181" s="2">
        <f t="shared" si="13"/>
        <v>241.96299999999999</v>
      </c>
      <c r="BW181" s="16">
        <f t="shared" si="11"/>
        <v>12.734894736842104</v>
      </c>
      <c r="BX181" s="16">
        <f>COUNTIF($BC$6:BU181, "=0") / COUNTIF($BC$6:BU181, "&gt;-1")</f>
        <v>4.3361244019138753E-2</v>
      </c>
      <c r="BY181" s="18">
        <f>SUM($BC$6:BU181) / $BY$4</f>
        <v>0.66711226056889816</v>
      </c>
      <c r="BZ181" s="14">
        <f t="shared" si="12"/>
        <v>6</v>
      </c>
      <c r="CA181" t="s">
        <v>5831</v>
      </c>
      <c r="CB181" s="36">
        <v>0.30291084895868198</v>
      </c>
      <c r="CC181" s="36">
        <v>0.24076603016936199</v>
      </c>
      <c r="CD181" s="36">
        <v>0.40019941545306398</v>
      </c>
      <c r="CE181" s="36">
        <v>0.37798043978830698</v>
      </c>
      <c r="CF181" s="36">
        <v>0.86017635993689201</v>
      </c>
      <c r="CG181" s="36">
        <v>0.92972724663949102</v>
      </c>
      <c r="CH181" s="36">
        <v>11.594685111511</v>
      </c>
      <c r="CI181" s="36">
        <v>8.7586523818407507</v>
      </c>
      <c r="CJ181" s="37">
        <v>18.279440744634002</v>
      </c>
      <c r="CK181" s="37">
        <v>17.658190112871999</v>
      </c>
      <c r="CL181" s="37">
        <v>4.0002717413367099</v>
      </c>
      <c r="CM181" s="37">
        <v>4.2327352329997003</v>
      </c>
      <c r="CN181" s="37">
        <v>96.473219410587006</v>
      </c>
      <c r="CO181" s="37">
        <v>33.935194526560402</v>
      </c>
      <c r="CP181" s="37">
        <v>0.377135011965606</v>
      </c>
      <c r="CQ181" s="37">
        <v>13.7037316182716</v>
      </c>
      <c r="CR181" s="45">
        <v>2.9303362785348099</v>
      </c>
      <c r="CS181" s="45">
        <v>8.0400226639359396</v>
      </c>
      <c r="CT181" s="46">
        <v>7.5129759774381901E-4</v>
      </c>
      <c r="CU181" s="47">
        <v>1.7458079661746299E-3</v>
      </c>
      <c r="CV181" s="48">
        <v>2.9331372292872002</v>
      </c>
      <c r="CW181" s="49">
        <v>23.582489799903399</v>
      </c>
      <c r="CX181" s="31" t="s">
        <v>5874</v>
      </c>
      <c r="CY181" s="31" t="s">
        <v>5876</v>
      </c>
      <c r="CZ181" t="s">
        <v>8937</v>
      </c>
      <c r="DA181" t="s">
        <v>5904</v>
      </c>
      <c r="DB181">
        <v>13006.2</v>
      </c>
      <c r="DC181" t="s">
        <v>23111</v>
      </c>
      <c r="DD181" t="s">
        <v>13772</v>
      </c>
      <c r="DE181" t="s">
        <v>23112</v>
      </c>
      <c r="DF181" t="s">
        <v>23113</v>
      </c>
      <c r="DG181" t="s">
        <v>23114</v>
      </c>
      <c r="DH181" t="str">
        <f>"NEB"</f>
        <v>NEB</v>
      </c>
      <c r="DI181" t="s">
        <v>13772</v>
      </c>
      <c r="DJ181" t="s">
        <v>13777</v>
      </c>
      <c r="DK181">
        <v>9606</v>
      </c>
      <c r="DL181" s="34" t="str">
        <f>HYPERLINK("http://www.uniprot.org/uniprot/P20929", "P20929")</f>
        <v>P20929</v>
      </c>
      <c r="DM181" t="s">
        <v>23115</v>
      </c>
      <c r="DN181" t="s">
        <v>13772</v>
      </c>
      <c r="DO181" t="s">
        <v>13988</v>
      </c>
      <c r="DP181" t="s">
        <v>13780</v>
      </c>
      <c r="DQ181" t="s">
        <v>13772</v>
      </c>
      <c r="DR181" t="s">
        <v>23116</v>
      </c>
      <c r="DS181" t="s">
        <v>15028</v>
      </c>
      <c r="DT181" t="s">
        <v>13772</v>
      </c>
      <c r="DU181" t="s">
        <v>14849</v>
      </c>
      <c r="DV181" t="s">
        <v>13772</v>
      </c>
      <c r="DW181" t="s">
        <v>13812</v>
      </c>
      <c r="DX181" t="s">
        <v>23117</v>
      </c>
      <c r="DY181" t="s">
        <v>23118</v>
      </c>
      <c r="DZ181" t="s">
        <v>23119</v>
      </c>
      <c r="EA181" t="s">
        <v>13772</v>
      </c>
      <c r="EB181" t="s">
        <v>15657</v>
      </c>
    </row>
    <row r="182" spans="1:132" hidden="1">
      <c r="A182">
        <v>596</v>
      </c>
      <c r="B182">
        <v>1</v>
      </c>
      <c r="C182" t="s">
        <v>1477</v>
      </c>
      <c r="D182" t="s">
        <v>73</v>
      </c>
      <c r="E182" t="s">
        <v>73</v>
      </c>
      <c r="F182" t="s">
        <v>73</v>
      </c>
      <c r="G182" t="s">
        <v>73</v>
      </c>
      <c r="H182">
        <v>79.3</v>
      </c>
      <c r="I182">
        <v>135</v>
      </c>
      <c r="J182">
        <v>15104</v>
      </c>
      <c r="K182" t="s">
        <v>1478</v>
      </c>
      <c r="L182">
        <f t="shared" si="10"/>
        <v>240</v>
      </c>
      <c r="N182">
        <v>240</v>
      </c>
      <c r="O182">
        <v>240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9</v>
      </c>
      <c r="Y182">
        <v>19</v>
      </c>
      <c r="Z182">
        <v>4</v>
      </c>
      <c r="AA182">
        <v>46</v>
      </c>
      <c r="AB182">
        <v>5</v>
      </c>
      <c r="AC182">
        <v>23</v>
      </c>
      <c r="AD182">
        <v>5</v>
      </c>
      <c r="AE182">
        <v>32</v>
      </c>
      <c r="AF182">
        <v>56</v>
      </c>
      <c r="AG182">
        <v>18</v>
      </c>
      <c r="AH182">
        <v>5</v>
      </c>
      <c r="AI182">
        <v>17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9</v>
      </c>
      <c r="AR182">
        <v>19</v>
      </c>
      <c r="AS182">
        <v>4</v>
      </c>
      <c r="AT182">
        <v>46</v>
      </c>
      <c r="AU182">
        <v>5</v>
      </c>
      <c r="AV182">
        <v>23</v>
      </c>
      <c r="AW182">
        <v>5</v>
      </c>
      <c r="AX182">
        <v>32</v>
      </c>
      <c r="AY182">
        <v>56</v>
      </c>
      <c r="AZ182">
        <v>18</v>
      </c>
      <c r="BA182">
        <v>5</v>
      </c>
      <c r="BB182">
        <v>17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9</v>
      </c>
      <c r="BK182" s="2">
        <v>19</v>
      </c>
      <c r="BL182" s="2">
        <v>4</v>
      </c>
      <c r="BM182" s="2">
        <v>46</v>
      </c>
      <c r="BN182" s="2">
        <v>5</v>
      </c>
      <c r="BO182" s="2">
        <v>23</v>
      </c>
      <c r="BP182" s="2">
        <v>5</v>
      </c>
      <c r="BQ182" s="2">
        <v>32</v>
      </c>
      <c r="BR182" s="2">
        <v>56</v>
      </c>
      <c r="BS182" s="2">
        <v>18</v>
      </c>
      <c r="BT182" s="2">
        <v>5</v>
      </c>
      <c r="BU182" s="2">
        <v>17</v>
      </c>
      <c r="BV182" s="2">
        <f t="shared" si="13"/>
        <v>240</v>
      </c>
      <c r="BW182" s="16">
        <f t="shared" si="11"/>
        <v>12.631578947368421</v>
      </c>
      <c r="BX182" s="16">
        <f>COUNTIF($BC$6:BU182, "=0") / COUNTIF($BC$6:BU182, "&gt;-1")</f>
        <v>4.4900386559619386E-2</v>
      </c>
      <c r="BY182" s="18">
        <f>SUM($BC$6:BU182) / $BY$4</f>
        <v>0.66814033341738632</v>
      </c>
      <c r="BZ182" s="14">
        <f t="shared" si="12"/>
        <v>6</v>
      </c>
      <c r="CA182" t="s">
        <v>5831</v>
      </c>
      <c r="CB182" s="36">
        <v>1.2116433958347299</v>
      </c>
      <c r="CC182" s="36">
        <v>0.24076603016936199</v>
      </c>
      <c r="CD182" s="36">
        <v>0.40019941545306398</v>
      </c>
      <c r="CE182" s="36">
        <v>0.37798043978830698</v>
      </c>
      <c r="CF182" s="36">
        <v>0.215044089984223</v>
      </c>
      <c r="CG182" s="36">
        <v>0.23243181165987301</v>
      </c>
      <c r="CH182" s="36">
        <v>0.26351557071616</v>
      </c>
      <c r="CI182" s="36">
        <v>8.7586523818407507</v>
      </c>
      <c r="CJ182" s="37">
        <v>15.1004075716542</v>
      </c>
      <c r="CK182" s="37">
        <v>29.0098837568611</v>
      </c>
      <c r="CL182" s="37">
        <v>4.0002717413367099</v>
      </c>
      <c r="CM182" s="37">
        <v>19.470582071798599</v>
      </c>
      <c r="CN182" s="37">
        <v>29.401362106083599</v>
      </c>
      <c r="CO182" s="37">
        <v>44.194671941567002</v>
      </c>
      <c r="CP182" s="37">
        <v>27.153720861523599</v>
      </c>
      <c r="CQ182" s="37">
        <v>25.884826390068501</v>
      </c>
      <c r="CR182" s="45">
        <v>3.8845687446856201</v>
      </c>
      <c r="CS182" s="45">
        <v>16.5993039790384</v>
      </c>
      <c r="CT182" s="46">
        <v>3.15389711921621E-9</v>
      </c>
      <c r="CU182" s="47">
        <v>3.4589461848453201E-8</v>
      </c>
      <c r="CV182" s="48">
        <v>1.46252914193081</v>
      </c>
      <c r="CW182" s="49">
        <v>24.276965805111701</v>
      </c>
      <c r="CX182" s="31" t="s">
        <v>5874</v>
      </c>
      <c r="CY182" s="31" t="s">
        <v>5876</v>
      </c>
      <c r="CZ182" t="s">
        <v>7759</v>
      </c>
      <c r="DA182" t="s">
        <v>5904</v>
      </c>
      <c r="DB182">
        <v>256.10000000000002</v>
      </c>
      <c r="DC182" t="s">
        <v>19661</v>
      </c>
      <c r="DD182" t="s">
        <v>19662</v>
      </c>
      <c r="DE182" t="s">
        <v>19663</v>
      </c>
      <c r="DF182" t="s">
        <v>19664</v>
      </c>
      <c r="DG182" t="s">
        <v>19665</v>
      </c>
      <c r="DH182" t="str">
        <f>"FABP5"</f>
        <v>FABP5</v>
      </c>
      <c r="DI182" t="s">
        <v>13772</v>
      </c>
      <c r="DJ182" t="s">
        <v>13777</v>
      </c>
      <c r="DK182">
        <v>9606</v>
      </c>
      <c r="DL182" s="34" t="str">
        <f>HYPERLINK("http://www.uniprot.org/uniprot/Q01469", "Q01469")</f>
        <v>Q01469</v>
      </c>
      <c r="DM182" t="s">
        <v>19666</v>
      </c>
      <c r="DN182" t="s">
        <v>14192</v>
      </c>
      <c r="DO182" t="s">
        <v>19667</v>
      </c>
      <c r="DP182" t="s">
        <v>13772</v>
      </c>
      <c r="DQ182" t="s">
        <v>13772</v>
      </c>
      <c r="DR182" t="s">
        <v>13772</v>
      </c>
      <c r="DS182" t="s">
        <v>13772</v>
      </c>
      <c r="DT182" t="s">
        <v>13900</v>
      </c>
      <c r="DU182" t="s">
        <v>13772</v>
      </c>
      <c r="DV182" t="s">
        <v>15256</v>
      </c>
      <c r="DW182" t="s">
        <v>13812</v>
      </c>
      <c r="DX182" t="s">
        <v>19668</v>
      </c>
      <c r="DY182" t="s">
        <v>19669</v>
      </c>
      <c r="DZ182" t="s">
        <v>19670</v>
      </c>
      <c r="EA182" t="s">
        <v>13772</v>
      </c>
      <c r="EB182" t="s">
        <v>19671</v>
      </c>
    </row>
    <row r="183" spans="1:132" hidden="1">
      <c r="A183">
        <v>2313</v>
      </c>
      <c r="B183">
        <v>1</v>
      </c>
      <c r="C183" t="s">
        <v>5402</v>
      </c>
      <c r="D183" t="s">
        <v>73</v>
      </c>
      <c r="E183" t="s">
        <v>73</v>
      </c>
      <c r="F183" t="s">
        <v>73</v>
      </c>
      <c r="G183" t="s">
        <v>73</v>
      </c>
      <c r="H183">
        <v>67.8</v>
      </c>
      <c r="I183">
        <v>258</v>
      </c>
      <c r="J183">
        <v>28008</v>
      </c>
      <c r="K183" t="s">
        <v>5403</v>
      </c>
      <c r="L183">
        <f t="shared" si="10"/>
        <v>239</v>
      </c>
      <c r="N183">
        <v>239</v>
      </c>
      <c r="O183">
        <v>239</v>
      </c>
      <c r="P183">
        <v>1</v>
      </c>
      <c r="Q183">
        <v>8</v>
      </c>
      <c r="R183">
        <v>3</v>
      </c>
      <c r="S183">
        <v>3</v>
      </c>
      <c r="T183">
        <v>3</v>
      </c>
      <c r="U183">
        <v>4</v>
      </c>
      <c r="V183">
        <v>3</v>
      </c>
      <c r="W183">
        <v>0</v>
      </c>
      <c r="X183">
        <v>0</v>
      </c>
      <c r="Y183">
        <v>52</v>
      </c>
      <c r="Z183">
        <v>17</v>
      </c>
      <c r="AA183">
        <v>27</v>
      </c>
      <c r="AB183">
        <v>19</v>
      </c>
      <c r="AC183">
        <v>21</v>
      </c>
      <c r="AD183">
        <v>5</v>
      </c>
      <c r="AE183">
        <v>12</v>
      </c>
      <c r="AF183">
        <v>19</v>
      </c>
      <c r="AG183">
        <v>13</v>
      </c>
      <c r="AH183">
        <v>5</v>
      </c>
      <c r="AI183">
        <v>25</v>
      </c>
      <c r="AJ183">
        <v>8</v>
      </c>
      <c r="AK183">
        <v>3</v>
      </c>
      <c r="AL183">
        <v>3</v>
      </c>
      <c r="AM183">
        <v>3</v>
      </c>
      <c r="AN183">
        <v>4</v>
      </c>
      <c r="AO183">
        <v>3</v>
      </c>
      <c r="AP183">
        <v>0</v>
      </c>
      <c r="AQ183">
        <v>0</v>
      </c>
      <c r="AR183">
        <v>52</v>
      </c>
      <c r="AS183">
        <v>17</v>
      </c>
      <c r="AT183">
        <v>27</v>
      </c>
      <c r="AU183">
        <v>19</v>
      </c>
      <c r="AV183">
        <v>21</v>
      </c>
      <c r="AW183">
        <v>5</v>
      </c>
      <c r="AX183">
        <v>12</v>
      </c>
      <c r="AY183">
        <v>19</v>
      </c>
      <c r="AZ183">
        <v>13</v>
      </c>
      <c r="BA183">
        <v>5</v>
      </c>
      <c r="BB183">
        <v>25</v>
      </c>
      <c r="BC183" s="2">
        <v>8</v>
      </c>
      <c r="BD183" s="2">
        <v>3</v>
      </c>
      <c r="BE183" s="2">
        <v>3</v>
      </c>
      <c r="BF183" s="2">
        <v>3</v>
      </c>
      <c r="BG183" s="2">
        <v>4</v>
      </c>
      <c r="BH183" s="2">
        <v>3</v>
      </c>
      <c r="BI183" s="2">
        <v>0</v>
      </c>
      <c r="BJ183" s="2">
        <v>0</v>
      </c>
      <c r="BK183" s="2">
        <v>52</v>
      </c>
      <c r="BL183" s="2">
        <v>17</v>
      </c>
      <c r="BM183" s="2">
        <v>27</v>
      </c>
      <c r="BN183" s="2">
        <v>19</v>
      </c>
      <c r="BO183" s="2">
        <v>21</v>
      </c>
      <c r="BP183" s="2">
        <v>5</v>
      </c>
      <c r="BQ183" s="2">
        <v>12</v>
      </c>
      <c r="BR183" s="2">
        <v>19</v>
      </c>
      <c r="BS183" s="2">
        <v>13</v>
      </c>
      <c r="BT183" s="2">
        <v>5</v>
      </c>
      <c r="BU183" s="2">
        <v>25</v>
      </c>
      <c r="BV183" s="2">
        <f t="shared" si="13"/>
        <v>239</v>
      </c>
      <c r="BW183" s="16">
        <f t="shared" si="11"/>
        <v>12.578947368421053</v>
      </c>
      <c r="BX183" s="16">
        <f>COUNTIF($BC$6:BU183, "=0") / COUNTIF($BC$6:BU183, "&gt;-1")</f>
        <v>4.5239503252513302E-2</v>
      </c>
      <c r="BY183" s="18">
        <f>SUM($BC$6:BU183) / $BY$4</f>
        <v>0.66916412262900571</v>
      </c>
      <c r="BZ183" s="14">
        <f t="shared" si="12"/>
        <v>2</v>
      </c>
      <c r="CA183" t="s">
        <v>5831</v>
      </c>
      <c r="CB183" s="36">
        <v>9.6931471666778304</v>
      </c>
      <c r="CC183" s="36">
        <v>2.8891923620323401</v>
      </c>
      <c r="CD183" s="36">
        <v>4.8023929854367697</v>
      </c>
      <c r="CE183" s="36">
        <v>4.5357652774596904</v>
      </c>
      <c r="CF183" s="36">
        <v>3.4407054397475698</v>
      </c>
      <c r="CG183" s="36">
        <v>2.7891817399184702</v>
      </c>
      <c r="CH183" s="36">
        <v>0.26351557071616</v>
      </c>
      <c r="CI183" s="36">
        <v>0.24329589949557701</v>
      </c>
      <c r="CJ183" s="37">
        <v>41.327431248737803</v>
      </c>
      <c r="CK183" s="37">
        <v>17.027540465983702</v>
      </c>
      <c r="CL183" s="37">
        <v>15.2010326170795</v>
      </c>
      <c r="CM183" s="37">
        <v>17.777487978598799</v>
      </c>
      <c r="CN183" s="37">
        <v>11.0255107897814</v>
      </c>
      <c r="CO183" s="37">
        <v>14.994620837317401</v>
      </c>
      <c r="CP183" s="37">
        <v>19.611020622211502</v>
      </c>
      <c r="CQ183" s="37">
        <v>38.065921161865397</v>
      </c>
      <c r="CR183" s="45">
        <v>2.6160625264814699</v>
      </c>
      <c r="CS183" s="45">
        <v>6.10773514007112</v>
      </c>
      <c r="CT183" s="46">
        <v>1.17608934142177E-7</v>
      </c>
      <c r="CU183" s="47">
        <v>7.7137624452074902E-7</v>
      </c>
      <c r="CV183" s="48">
        <v>3.5821495551855498</v>
      </c>
      <c r="CW183" s="49">
        <v>21.878820715196898</v>
      </c>
      <c r="CX183" s="31" t="s">
        <v>5874</v>
      </c>
      <c r="CY183" s="31" t="s">
        <v>5876</v>
      </c>
      <c r="CZ183" t="s">
        <v>13447</v>
      </c>
      <c r="DA183" t="s">
        <v>5904</v>
      </c>
      <c r="DB183">
        <v>508.8</v>
      </c>
      <c r="DC183" t="s">
        <v>35842</v>
      </c>
      <c r="DD183" t="s">
        <v>13772</v>
      </c>
      <c r="DE183" t="s">
        <v>35843</v>
      </c>
      <c r="DF183" t="s">
        <v>35844</v>
      </c>
      <c r="DG183" t="s">
        <v>35845</v>
      </c>
      <c r="DH183" t="str">
        <f>"IGFBP4"</f>
        <v>IGFBP4</v>
      </c>
      <c r="DI183" t="s">
        <v>35846</v>
      </c>
      <c r="DJ183" t="s">
        <v>13777</v>
      </c>
      <c r="DK183">
        <v>9606</v>
      </c>
      <c r="DL183" s="34" t="str">
        <f>HYPERLINK("http://www.uniprot.org/uniprot/P22692", "P22692")</f>
        <v>P22692</v>
      </c>
      <c r="DM183" t="s">
        <v>35847</v>
      </c>
      <c r="DN183" t="s">
        <v>13772</v>
      </c>
      <c r="DO183" t="s">
        <v>14321</v>
      </c>
      <c r="DP183" t="s">
        <v>13780</v>
      </c>
      <c r="DQ183" t="s">
        <v>13772</v>
      </c>
      <c r="DR183" t="s">
        <v>13772</v>
      </c>
      <c r="DS183" t="s">
        <v>13808</v>
      </c>
      <c r="DT183" t="s">
        <v>13772</v>
      </c>
      <c r="DU183" t="s">
        <v>16896</v>
      </c>
      <c r="DV183" t="s">
        <v>13964</v>
      </c>
      <c r="DW183" t="s">
        <v>13812</v>
      </c>
      <c r="DX183" t="s">
        <v>35848</v>
      </c>
      <c r="DY183" t="s">
        <v>35849</v>
      </c>
      <c r="DZ183" t="s">
        <v>23669</v>
      </c>
      <c r="EA183" t="s">
        <v>13772</v>
      </c>
      <c r="EB183" t="s">
        <v>17241</v>
      </c>
    </row>
    <row r="184" spans="1:132">
      <c r="A184">
        <v>653</v>
      </c>
      <c r="B184">
        <v>1</v>
      </c>
      <c r="C184" t="s">
        <v>1611</v>
      </c>
      <c r="D184" t="s">
        <v>73</v>
      </c>
      <c r="E184" t="s">
        <v>73</v>
      </c>
      <c r="F184" t="s">
        <v>73</v>
      </c>
      <c r="G184" t="s">
        <v>73</v>
      </c>
      <c r="H184">
        <v>59.3</v>
      </c>
      <c r="I184">
        <v>590</v>
      </c>
      <c r="J184">
        <v>66482</v>
      </c>
      <c r="K184" t="s">
        <v>1612</v>
      </c>
      <c r="L184">
        <f t="shared" si="10"/>
        <v>238</v>
      </c>
      <c r="N184">
        <v>238</v>
      </c>
      <c r="O184">
        <v>238</v>
      </c>
      <c r="P184">
        <v>1</v>
      </c>
      <c r="Q184">
        <v>9</v>
      </c>
      <c r="R184">
        <v>4</v>
      </c>
      <c r="S184">
        <v>4</v>
      </c>
      <c r="T184">
        <v>6</v>
      </c>
      <c r="U184">
        <v>9</v>
      </c>
      <c r="V184">
        <v>6</v>
      </c>
      <c r="W184">
        <v>6</v>
      </c>
      <c r="X184">
        <v>10</v>
      </c>
      <c r="Y184">
        <v>7</v>
      </c>
      <c r="Z184">
        <v>25</v>
      </c>
      <c r="AA184">
        <v>5</v>
      </c>
      <c r="AB184">
        <v>6</v>
      </c>
      <c r="AC184">
        <v>41</v>
      </c>
      <c r="AD184">
        <v>32</v>
      </c>
      <c r="AE184">
        <v>14</v>
      </c>
      <c r="AF184">
        <v>10</v>
      </c>
      <c r="AG184">
        <v>18</v>
      </c>
      <c r="AH184">
        <v>13</v>
      </c>
      <c r="AI184">
        <v>13</v>
      </c>
      <c r="AJ184">
        <v>9</v>
      </c>
      <c r="AK184">
        <v>4</v>
      </c>
      <c r="AL184">
        <v>4</v>
      </c>
      <c r="AM184">
        <v>6</v>
      </c>
      <c r="AN184">
        <v>9</v>
      </c>
      <c r="AO184">
        <v>6</v>
      </c>
      <c r="AP184">
        <v>6</v>
      </c>
      <c r="AQ184">
        <v>10</v>
      </c>
      <c r="AR184">
        <v>7</v>
      </c>
      <c r="AS184">
        <v>25</v>
      </c>
      <c r="AT184">
        <v>5</v>
      </c>
      <c r="AU184">
        <v>6</v>
      </c>
      <c r="AV184">
        <v>41</v>
      </c>
      <c r="AW184">
        <v>32</v>
      </c>
      <c r="AX184">
        <v>14</v>
      </c>
      <c r="AY184">
        <v>10</v>
      </c>
      <c r="AZ184">
        <v>18</v>
      </c>
      <c r="BA184">
        <v>13</v>
      </c>
      <c r="BB184">
        <v>13</v>
      </c>
      <c r="BC184" s="2">
        <v>9</v>
      </c>
      <c r="BD184" s="2">
        <v>4</v>
      </c>
      <c r="BE184" s="2">
        <v>4</v>
      </c>
      <c r="BF184" s="2">
        <v>6</v>
      </c>
      <c r="BG184" s="2">
        <v>9</v>
      </c>
      <c r="BH184" s="2">
        <v>6</v>
      </c>
      <c r="BI184" s="2">
        <v>6</v>
      </c>
      <c r="BJ184" s="2">
        <v>10</v>
      </c>
      <c r="BK184" s="2">
        <v>7</v>
      </c>
      <c r="BL184" s="2">
        <v>25</v>
      </c>
      <c r="BM184" s="2">
        <v>5</v>
      </c>
      <c r="BN184" s="2">
        <v>6</v>
      </c>
      <c r="BO184" s="2">
        <v>41</v>
      </c>
      <c r="BP184" s="2">
        <v>32</v>
      </c>
      <c r="BQ184" s="2">
        <v>14</v>
      </c>
      <c r="BR184" s="2">
        <v>10</v>
      </c>
      <c r="BS184" s="2">
        <v>18</v>
      </c>
      <c r="BT184" s="2">
        <v>13</v>
      </c>
      <c r="BU184" s="2">
        <v>13</v>
      </c>
      <c r="BV184" s="2">
        <f t="shared" si="13"/>
        <v>238</v>
      </c>
      <c r="BW184" s="16">
        <f t="shared" si="11"/>
        <v>12.526315789473685</v>
      </c>
      <c r="BX184" s="16">
        <f>COUNTIF($BC$6:BU184, "=0") / COUNTIF($BC$6:BU184, "&gt;-1")</f>
        <v>4.4986768597471333E-2</v>
      </c>
      <c r="BY184" s="18">
        <f>SUM($BC$6:BU184) / $BY$4</f>
        <v>0.67018362820375643</v>
      </c>
      <c r="BZ184" s="14">
        <f t="shared" si="12"/>
        <v>0</v>
      </c>
      <c r="CA184" t="s">
        <v>5831</v>
      </c>
      <c r="CB184" s="36">
        <v>10.9047905625126</v>
      </c>
      <c r="CC184" s="36">
        <v>3.85225648270979</v>
      </c>
      <c r="CD184" s="36">
        <v>6.4031906472490299</v>
      </c>
      <c r="CE184" s="36">
        <v>9.0715305549193808</v>
      </c>
      <c r="CF184" s="36">
        <v>7.7415872394320298</v>
      </c>
      <c r="CG184" s="36">
        <v>5.5783634798369501</v>
      </c>
      <c r="CH184" s="36">
        <v>6.3243736971878404</v>
      </c>
      <c r="CI184" s="36">
        <v>9.7318359798230603</v>
      </c>
      <c r="CJ184" s="37">
        <v>5.5633080527147003</v>
      </c>
      <c r="CK184" s="37">
        <v>3.1532482344414299</v>
      </c>
      <c r="CL184" s="37">
        <v>4.8003260896040603</v>
      </c>
      <c r="CM184" s="37">
        <v>34.708428910597597</v>
      </c>
      <c r="CN184" s="37">
        <v>12.863095921411601</v>
      </c>
      <c r="CO184" s="37">
        <v>7.8919057038512497</v>
      </c>
      <c r="CP184" s="37">
        <v>27.153720861523599</v>
      </c>
      <c r="CQ184" s="37">
        <v>19.794279004170001</v>
      </c>
      <c r="CR184" s="45">
        <v>0.92249508063753405</v>
      </c>
      <c r="CS184" s="45">
        <v>1.94484719426035</v>
      </c>
      <c r="CT184" s="46">
        <v>5.5932382909106099E-2</v>
      </c>
      <c r="CU184" s="47">
        <v>8.5544992069530201E-2</v>
      </c>
      <c r="CV184" s="48">
        <v>7.45099108045883</v>
      </c>
      <c r="CW184" s="49">
        <v>14.491039097289301</v>
      </c>
      <c r="CX184" s="31" t="s">
        <v>5874</v>
      </c>
      <c r="CY184" s="31" t="s">
        <v>5877</v>
      </c>
      <c r="CZ184" t="s">
        <v>7941</v>
      </c>
      <c r="DA184" t="s">
        <v>5904</v>
      </c>
      <c r="DB184">
        <v>1049.7</v>
      </c>
      <c r="DC184" t="s">
        <v>20214</v>
      </c>
      <c r="DD184" t="s">
        <v>20215</v>
      </c>
      <c r="DE184" t="s">
        <v>20216</v>
      </c>
      <c r="DF184" t="s">
        <v>20217</v>
      </c>
      <c r="DG184" t="s">
        <v>20218</v>
      </c>
      <c r="DH184" t="str">
        <f>"C8B"</f>
        <v>C8B</v>
      </c>
      <c r="DI184" t="s">
        <v>13772</v>
      </c>
      <c r="DJ184" t="s">
        <v>13777</v>
      </c>
      <c r="DK184">
        <v>9606</v>
      </c>
      <c r="DL184" s="34" t="str">
        <f>HYPERLINK("http://www.uniprot.org/uniprot/P07358", "P07358")</f>
        <v>P07358</v>
      </c>
      <c r="DM184" t="s">
        <v>20219</v>
      </c>
      <c r="DN184" t="s">
        <v>16369</v>
      </c>
      <c r="DO184" t="s">
        <v>20220</v>
      </c>
      <c r="DP184" t="s">
        <v>13793</v>
      </c>
      <c r="DQ184" t="s">
        <v>13772</v>
      </c>
      <c r="DR184" t="s">
        <v>13772</v>
      </c>
      <c r="DS184" t="s">
        <v>14768</v>
      </c>
      <c r="DT184" t="s">
        <v>13772</v>
      </c>
      <c r="DU184" t="s">
        <v>13772</v>
      </c>
      <c r="DV184" t="s">
        <v>13964</v>
      </c>
      <c r="DW184" t="s">
        <v>13812</v>
      </c>
      <c r="DX184" t="s">
        <v>16372</v>
      </c>
      <c r="DY184" t="s">
        <v>20221</v>
      </c>
      <c r="DZ184" t="s">
        <v>20222</v>
      </c>
      <c r="EA184" t="s">
        <v>13772</v>
      </c>
      <c r="EB184" t="s">
        <v>16375</v>
      </c>
    </row>
    <row r="185" spans="1:132" hidden="1">
      <c r="A185">
        <v>1692</v>
      </c>
      <c r="B185">
        <v>1</v>
      </c>
      <c r="C185" t="s">
        <v>4013</v>
      </c>
      <c r="D185" t="s">
        <v>73</v>
      </c>
      <c r="E185" t="s">
        <v>73</v>
      </c>
      <c r="F185" t="s">
        <v>73</v>
      </c>
      <c r="G185" t="s">
        <v>73</v>
      </c>
      <c r="H185">
        <v>52.2</v>
      </c>
      <c r="I185">
        <v>201</v>
      </c>
      <c r="J185">
        <v>24012</v>
      </c>
      <c r="K185" t="s">
        <v>4014</v>
      </c>
      <c r="L185">
        <f t="shared" si="10"/>
        <v>238</v>
      </c>
      <c r="N185">
        <v>238</v>
      </c>
      <c r="O185">
        <v>238</v>
      </c>
      <c r="P185">
        <v>1</v>
      </c>
      <c r="Q185">
        <v>20</v>
      </c>
      <c r="R185">
        <v>30</v>
      </c>
      <c r="S185">
        <v>23</v>
      </c>
      <c r="T185">
        <v>23</v>
      </c>
      <c r="U185">
        <v>22</v>
      </c>
      <c r="V185">
        <v>27</v>
      </c>
      <c r="W185">
        <v>21</v>
      </c>
      <c r="X185">
        <v>5</v>
      </c>
      <c r="Y185">
        <v>4</v>
      </c>
      <c r="Z185">
        <v>0</v>
      </c>
      <c r="AA185">
        <v>10</v>
      </c>
      <c r="AB185">
        <v>13</v>
      </c>
      <c r="AC185">
        <v>7</v>
      </c>
      <c r="AD185">
        <v>5</v>
      </c>
      <c r="AE185">
        <v>3</v>
      </c>
      <c r="AF185">
        <v>13</v>
      </c>
      <c r="AG185">
        <v>7</v>
      </c>
      <c r="AH185">
        <v>3</v>
      </c>
      <c r="AI185">
        <v>2</v>
      </c>
      <c r="AJ185">
        <v>20</v>
      </c>
      <c r="AK185">
        <v>30</v>
      </c>
      <c r="AL185">
        <v>23</v>
      </c>
      <c r="AM185">
        <v>23</v>
      </c>
      <c r="AN185">
        <v>22</v>
      </c>
      <c r="AO185">
        <v>27</v>
      </c>
      <c r="AP185">
        <v>21</v>
      </c>
      <c r="AQ185">
        <v>5</v>
      </c>
      <c r="AR185">
        <v>4</v>
      </c>
      <c r="AS185">
        <v>0</v>
      </c>
      <c r="AT185">
        <v>10</v>
      </c>
      <c r="AU185">
        <v>13</v>
      </c>
      <c r="AV185">
        <v>7</v>
      </c>
      <c r="AW185">
        <v>5</v>
      </c>
      <c r="AX185">
        <v>3</v>
      </c>
      <c r="AY185">
        <v>13</v>
      </c>
      <c r="AZ185">
        <v>7</v>
      </c>
      <c r="BA185">
        <v>3</v>
      </c>
      <c r="BB185">
        <v>2</v>
      </c>
      <c r="BC185" s="2">
        <v>20</v>
      </c>
      <c r="BD185" s="2">
        <v>30</v>
      </c>
      <c r="BE185" s="2">
        <v>23</v>
      </c>
      <c r="BF185" s="2">
        <v>23</v>
      </c>
      <c r="BG185" s="2">
        <v>22</v>
      </c>
      <c r="BH185" s="2">
        <v>27</v>
      </c>
      <c r="BI185" s="2">
        <v>21</v>
      </c>
      <c r="BJ185" s="2">
        <v>5</v>
      </c>
      <c r="BK185" s="2">
        <v>4</v>
      </c>
      <c r="BL185" s="2">
        <v>0</v>
      </c>
      <c r="BM185" s="2">
        <v>10</v>
      </c>
      <c r="BN185" s="2">
        <v>13</v>
      </c>
      <c r="BO185" s="2">
        <v>7</v>
      </c>
      <c r="BP185" s="2">
        <v>5</v>
      </c>
      <c r="BQ185" s="2">
        <v>3</v>
      </c>
      <c r="BR185" s="2">
        <v>13</v>
      </c>
      <c r="BS185" s="2">
        <v>7</v>
      </c>
      <c r="BT185" s="2">
        <v>3</v>
      </c>
      <c r="BU185" s="2">
        <v>2</v>
      </c>
      <c r="BV185" s="2">
        <f t="shared" si="13"/>
        <v>238</v>
      </c>
      <c r="BW185" s="16">
        <f t="shared" si="11"/>
        <v>12.526315789473685</v>
      </c>
      <c r="BX185" s="16">
        <f>COUNTIF($BC$6:BU185, "=0") / COUNTIF($BC$6:BU185, "&gt;-1")</f>
        <v>4.502923976608187E-2</v>
      </c>
      <c r="BY185" s="18">
        <f>SUM($BC$6:BU185) / $BY$4</f>
        <v>0.67120313377850715</v>
      </c>
      <c r="BZ185" s="14">
        <f t="shared" si="12"/>
        <v>1</v>
      </c>
      <c r="CA185" t="s">
        <v>5831</v>
      </c>
      <c r="CB185" s="36">
        <v>24.232867916694602</v>
      </c>
      <c r="CC185" s="36">
        <v>28.8919236203234</v>
      </c>
      <c r="CD185" s="36">
        <v>36.8183462216819</v>
      </c>
      <c r="CE185" s="36">
        <v>34.774200460524298</v>
      </c>
      <c r="CF185" s="36">
        <v>18.9238799186116</v>
      </c>
      <c r="CG185" s="36">
        <v>25.102635659266301</v>
      </c>
      <c r="CH185" s="36">
        <v>22.135307940157499</v>
      </c>
      <c r="CI185" s="36">
        <v>4.8659179899115301</v>
      </c>
      <c r="CJ185" s="37">
        <v>3.17903317297983</v>
      </c>
      <c r="CK185" s="37">
        <v>6.3064964688828598</v>
      </c>
      <c r="CL185" s="37">
        <v>10.400706527475499</v>
      </c>
      <c r="CM185" s="37">
        <v>5.9258293261995796</v>
      </c>
      <c r="CN185" s="37">
        <v>2.7563776974453398</v>
      </c>
      <c r="CO185" s="37">
        <v>10.2594774150066</v>
      </c>
      <c r="CP185" s="37">
        <v>10.559780335037001</v>
      </c>
      <c r="CQ185" s="37">
        <v>3.0452736929492299</v>
      </c>
      <c r="CR185" s="45">
        <v>-1.86410641035033</v>
      </c>
      <c r="CS185" s="45">
        <v>-3.7332438429473398</v>
      </c>
      <c r="CT185" s="46">
        <v>6.2336047625340399E-6</v>
      </c>
      <c r="CU185" s="47">
        <v>2.4531068153736899E-5</v>
      </c>
      <c r="CV185" s="48">
        <v>24.4681349658964</v>
      </c>
      <c r="CW185" s="49">
        <v>6.5541218294969896</v>
      </c>
      <c r="CX185" s="31" t="s">
        <v>5875</v>
      </c>
      <c r="CY185" s="31" t="s">
        <v>5876</v>
      </c>
      <c r="CZ185" t="s">
        <v>11395</v>
      </c>
      <c r="DA185" t="s">
        <v>5904</v>
      </c>
      <c r="DB185">
        <v>387.5</v>
      </c>
      <c r="DC185" t="s">
        <v>30042</v>
      </c>
      <c r="DD185" t="s">
        <v>30043</v>
      </c>
      <c r="DE185" t="s">
        <v>30044</v>
      </c>
      <c r="DF185" t="s">
        <v>30045</v>
      </c>
      <c r="DG185" t="s">
        <v>30046</v>
      </c>
      <c r="DH185" t="str">
        <f>"DPT"</f>
        <v>DPT</v>
      </c>
      <c r="DI185" t="s">
        <v>13772</v>
      </c>
      <c r="DJ185" t="s">
        <v>13777</v>
      </c>
      <c r="DK185">
        <v>9606</v>
      </c>
      <c r="DL185" s="34" t="str">
        <f>HYPERLINK("http://www.uniprot.org/uniprot/Q07507", "Q07507")</f>
        <v>Q07507</v>
      </c>
      <c r="DM185" t="s">
        <v>30047</v>
      </c>
      <c r="DN185" t="s">
        <v>13949</v>
      </c>
      <c r="DO185" t="s">
        <v>13869</v>
      </c>
      <c r="DP185" t="s">
        <v>13793</v>
      </c>
      <c r="DQ185" t="s">
        <v>13772</v>
      </c>
      <c r="DR185" t="s">
        <v>13772</v>
      </c>
      <c r="DS185" t="s">
        <v>14404</v>
      </c>
      <c r="DT185" t="s">
        <v>13772</v>
      </c>
      <c r="DU185" t="s">
        <v>13772</v>
      </c>
      <c r="DV185" t="s">
        <v>30048</v>
      </c>
      <c r="DW185" t="s">
        <v>13772</v>
      </c>
      <c r="DX185" t="s">
        <v>30049</v>
      </c>
      <c r="DY185" t="s">
        <v>25312</v>
      </c>
      <c r="DZ185" t="s">
        <v>19629</v>
      </c>
      <c r="EA185" t="s">
        <v>13772</v>
      </c>
      <c r="EB185" t="s">
        <v>13772</v>
      </c>
    </row>
    <row r="186" spans="1:132" hidden="1">
      <c r="A186">
        <v>464</v>
      </c>
      <c r="B186">
        <v>1</v>
      </c>
      <c r="C186" t="s">
        <v>1162</v>
      </c>
      <c r="D186" t="s">
        <v>73</v>
      </c>
      <c r="E186" t="s">
        <v>73</v>
      </c>
      <c r="F186" t="s">
        <v>1163</v>
      </c>
      <c r="G186" t="s">
        <v>73</v>
      </c>
      <c r="H186">
        <v>70.400000000000006</v>
      </c>
      <c r="I186">
        <v>253</v>
      </c>
      <c r="J186">
        <v>28687</v>
      </c>
      <c r="K186" t="s">
        <v>1164</v>
      </c>
      <c r="L186">
        <f t="shared" si="10"/>
        <v>237</v>
      </c>
      <c r="N186">
        <v>237</v>
      </c>
      <c r="O186">
        <v>235</v>
      </c>
      <c r="P186">
        <v>0.99199999999999999</v>
      </c>
      <c r="Q186">
        <v>8</v>
      </c>
      <c r="R186">
        <v>30</v>
      </c>
      <c r="S186">
        <v>0</v>
      </c>
      <c r="T186">
        <v>19</v>
      </c>
      <c r="U186">
        <v>50</v>
      </c>
      <c r="V186">
        <v>28</v>
      </c>
      <c r="W186">
        <v>13</v>
      </c>
      <c r="X186">
        <v>19</v>
      </c>
      <c r="Y186">
        <v>1</v>
      </c>
      <c r="Z186">
        <v>0</v>
      </c>
      <c r="AA186">
        <v>25</v>
      </c>
      <c r="AB186">
        <v>4</v>
      </c>
      <c r="AC186">
        <v>9</v>
      </c>
      <c r="AD186">
        <v>1</v>
      </c>
      <c r="AE186">
        <v>12</v>
      </c>
      <c r="AF186">
        <v>14</v>
      </c>
      <c r="AG186">
        <v>1</v>
      </c>
      <c r="AH186">
        <v>1</v>
      </c>
      <c r="AI186">
        <v>2</v>
      </c>
      <c r="AJ186">
        <v>8</v>
      </c>
      <c r="AK186">
        <v>30</v>
      </c>
      <c r="AL186">
        <v>0</v>
      </c>
      <c r="AM186">
        <v>19</v>
      </c>
      <c r="AN186">
        <v>50</v>
      </c>
      <c r="AO186">
        <v>28</v>
      </c>
      <c r="AP186">
        <v>13</v>
      </c>
      <c r="AQ186">
        <v>18</v>
      </c>
      <c r="AR186">
        <v>1</v>
      </c>
      <c r="AS186">
        <v>0</v>
      </c>
      <c r="AT186">
        <v>24</v>
      </c>
      <c r="AU186">
        <v>4</v>
      </c>
      <c r="AV186">
        <v>9</v>
      </c>
      <c r="AW186">
        <v>1</v>
      </c>
      <c r="AX186">
        <v>12</v>
      </c>
      <c r="AY186">
        <v>14</v>
      </c>
      <c r="AZ186">
        <v>1</v>
      </c>
      <c r="BA186">
        <v>1</v>
      </c>
      <c r="BB186">
        <v>2</v>
      </c>
      <c r="BC186" s="2">
        <v>8</v>
      </c>
      <c r="BD186" s="2">
        <v>30</v>
      </c>
      <c r="BE186" s="2">
        <v>0</v>
      </c>
      <c r="BF186" s="2">
        <v>19</v>
      </c>
      <c r="BG186" s="2">
        <v>50</v>
      </c>
      <c r="BH186" s="2">
        <v>28</v>
      </c>
      <c r="BI186" s="2">
        <v>13</v>
      </c>
      <c r="BJ186" s="2">
        <v>18.529</v>
      </c>
      <c r="BK186" s="2">
        <v>1</v>
      </c>
      <c r="BL186" s="2">
        <v>0</v>
      </c>
      <c r="BM186" s="2">
        <v>24.6</v>
      </c>
      <c r="BN186" s="2">
        <v>4</v>
      </c>
      <c r="BO186" s="2">
        <v>9</v>
      </c>
      <c r="BP186" s="2">
        <v>1</v>
      </c>
      <c r="BQ186" s="2">
        <v>12</v>
      </c>
      <c r="BR186" s="2">
        <v>14</v>
      </c>
      <c r="BS186" s="2">
        <v>1</v>
      </c>
      <c r="BT186" s="2">
        <v>1</v>
      </c>
      <c r="BU186" s="2">
        <v>2</v>
      </c>
      <c r="BV186" s="2">
        <f t="shared" si="13"/>
        <v>236.12899999999999</v>
      </c>
      <c r="BW186" s="16">
        <f t="shared" si="11"/>
        <v>12.427842105263158</v>
      </c>
      <c r="BX186" s="16">
        <f>COUNTIF($BC$6:BU186, "=0") / COUNTIF($BC$6:BU186, "&gt;-1")</f>
        <v>4.5362023844140738E-2</v>
      </c>
      <c r="BY186" s="18">
        <f>SUM($BC$6:BU186) / $BY$4</f>
        <v>0.67221462466867654</v>
      </c>
      <c r="BZ186" s="14">
        <f t="shared" si="12"/>
        <v>2</v>
      </c>
      <c r="CA186" t="s">
        <v>5831</v>
      </c>
      <c r="CB186" s="36">
        <v>9.6931471666778304</v>
      </c>
      <c r="CC186" s="36">
        <v>28.8919236203234</v>
      </c>
      <c r="CD186" s="36">
        <v>0.40019941545306398</v>
      </c>
      <c r="CE186" s="36">
        <v>28.726513423911399</v>
      </c>
      <c r="CF186" s="36">
        <v>43.008817996844598</v>
      </c>
      <c r="CG186" s="36">
        <v>26.032362905905799</v>
      </c>
      <c r="CH186" s="36">
        <v>13.7028096772403</v>
      </c>
      <c r="CI186" s="36">
        <v>18.003896562672701</v>
      </c>
      <c r="CJ186" s="37">
        <v>0.79475829324495695</v>
      </c>
      <c r="CK186" s="37">
        <v>15.513981313451801</v>
      </c>
      <c r="CL186" s="37">
        <v>3.2002173930693698</v>
      </c>
      <c r="CM186" s="37">
        <v>7.6189234193994704</v>
      </c>
      <c r="CN186" s="37">
        <v>11.0255107897814</v>
      </c>
      <c r="CO186" s="37">
        <v>11.048667985391701</v>
      </c>
      <c r="CP186" s="37">
        <v>1.50854004786242</v>
      </c>
      <c r="CQ186" s="37">
        <v>3.0452736929492299</v>
      </c>
      <c r="CR186" s="45">
        <v>-1.6014831422520199</v>
      </c>
      <c r="CS186" s="45">
        <v>-3.13379099939934</v>
      </c>
      <c r="CT186" s="46">
        <v>5.1843425066867496E-3</v>
      </c>
      <c r="CU186" s="47">
        <v>1.0171041457400099E-2</v>
      </c>
      <c r="CV186" s="48">
        <v>21.057458846128601</v>
      </c>
      <c r="CW186" s="49">
        <v>6.7194841168938</v>
      </c>
      <c r="CX186" s="31" t="s">
        <v>5875</v>
      </c>
      <c r="CY186" s="31" t="s">
        <v>5878</v>
      </c>
      <c r="CZ186" t="s">
        <v>7311</v>
      </c>
      <c r="DA186" t="s">
        <v>5904</v>
      </c>
      <c r="DB186">
        <v>513.1</v>
      </c>
      <c r="DC186" t="s">
        <v>18314</v>
      </c>
      <c r="DD186" t="s">
        <v>18315</v>
      </c>
      <c r="DE186" t="s">
        <v>18316</v>
      </c>
      <c r="DF186" t="s">
        <v>18317</v>
      </c>
      <c r="DG186" t="s">
        <v>18318</v>
      </c>
      <c r="DH186" t="str">
        <f>"CLIC4"</f>
        <v>CLIC4</v>
      </c>
      <c r="DI186" t="s">
        <v>13772</v>
      </c>
      <c r="DJ186" t="s">
        <v>13777</v>
      </c>
      <c r="DK186">
        <v>9606</v>
      </c>
      <c r="DL186" s="34" t="str">
        <f>HYPERLINK("http://www.uniprot.org/uniprot/Q9Y696", "Q9Y696")</f>
        <v>Q9Y696</v>
      </c>
      <c r="DM186" t="s">
        <v>18319</v>
      </c>
      <c r="DN186" t="s">
        <v>14288</v>
      </c>
      <c r="DO186" t="s">
        <v>18320</v>
      </c>
      <c r="DP186" t="s">
        <v>13772</v>
      </c>
      <c r="DQ186" t="s">
        <v>13772</v>
      </c>
      <c r="DR186" t="s">
        <v>13772</v>
      </c>
      <c r="DS186" t="s">
        <v>13925</v>
      </c>
      <c r="DT186" t="s">
        <v>18321</v>
      </c>
      <c r="DU186" t="s">
        <v>18322</v>
      </c>
      <c r="DV186" t="s">
        <v>13886</v>
      </c>
      <c r="DW186" t="s">
        <v>13812</v>
      </c>
      <c r="DX186" t="s">
        <v>18323</v>
      </c>
      <c r="DY186" t="s">
        <v>18324</v>
      </c>
      <c r="DZ186" t="s">
        <v>18325</v>
      </c>
      <c r="EA186" t="s">
        <v>13772</v>
      </c>
      <c r="EB186" t="s">
        <v>13772</v>
      </c>
    </row>
    <row r="187" spans="1:132">
      <c r="A187">
        <v>2445</v>
      </c>
      <c r="B187">
        <v>1</v>
      </c>
      <c r="C187" t="s">
        <v>5739</v>
      </c>
      <c r="D187" t="s">
        <v>73</v>
      </c>
      <c r="E187" t="s">
        <v>5740</v>
      </c>
      <c r="F187" t="s">
        <v>73</v>
      </c>
      <c r="G187" t="s">
        <v>73</v>
      </c>
      <c r="H187">
        <v>82.8</v>
      </c>
      <c r="I187">
        <v>87</v>
      </c>
      <c r="J187">
        <v>10031</v>
      </c>
      <c r="K187" t="s">
        <v>5741</v>
      </c>
      <c r="L187">
        <f t="shared" si="10"/>
        <v>236</v>
      </c>
      <c r="N187">
        <v>236</v>
      </c>
      <c r="O187">
        <v>236</v>
      </c>
      <c r="P187">
        <v>1</v>
      </c>
      <c r="Q187">
        <v>2</v>
      </c>
      <c r="R187">
        <v>7</v>
      </c>
      <c r="S187">
        <v>3</v>
      </c>
      <c r="T187">
        <v>4</v>
      </c>
      <c r="U187">
        <v>9</v>
      </c>
      <c r="V187">
        <v>4</v>
      </c>
      <c r="W187">
        <v>6</v>
      </c>
      <c r="X187">
        <v>5</v>
      </c>
      <c r="Y187">
        <v>54</v>
      </c>
      <c r="Z187">
        <v>6</v>
      </c>
      <c r="AA187">
        <v>31</v>
      </c>
      <c r="AB187">
        <v>13</v>
      </c>
      <c r="AC187">
        <v>11</v>
      </c>
      <c r="AD187">
        <v>5</v>
      </c>
      <c r="AE187">
        <v>30</v>
      </c>
      <c r="AF187">
        <v>19</v>
      </c>
      <c r="AG187">
        <v>8</v>
      </c>
      <c r="AH187">
        <v>4</v>
      </c>
      <c r="AI187">
        <v>15</v>
      </c>
      <c r="AJ187">
        <v>2</v>
      </c>
      <c r="AK187">
        <v>7</v>
      </c>
      <c r="AL187">
        <v>3</v>
      </c>
      <c r="AM187">
        <v>4</v>
      </c>
      <c r="AN187">
        <v>9</v>
      </c>
      <c r="AO187">
        <v>4</v>
      </c>
      <c r="AP187">
        <v>6</v>
      </c>
      <c r="AQ187">
        <v>5</v>
      </c>
      <c r="AR187">
        <v>54</v>
      </c>
      <c r="AS187">
        <v>6</v>
      </c>
      <c r="AT187">
        <v>31</v>
      </c>
      <c r="AU187">
        <v>13</v>
      </c>
      <c r="AV187">
        <v>11</v>
      </c>
      <c r="AW187">
        <v>5</v>
      </c>
      <c r="AX187">
        <v>30</v>
      </c>
      <c r="AY187">
        <v>19</v>
      </c>
      <c r="AZ187">
        <v>8</v>
      </c>
      <c r="BA187">
        <v>4</v>
      </c>
      <c r="BB187">
        <v>15</v>
      </c>
      <c r="BC187" s="2">
        <v>2</v>
      </c>
      <c r="BD187" s="2">
        <v>7</v>
      </c>
      <c r="BE187" s="2">
        <v>3</v>
      </c>
      <c r="BF187" s="2">
        <v>4</v>
      </c>
      <c r="BG187" s="2">
        <v>9</v>
      </c>
      <c r="BH187" s="2">
        <v>4</v>
      </c>
      <c r="BI187" s="2">
        <v>6</v>
      </c>
      <c r="BJ187" s="2">
        <v>5</v>
      </c>
      <c r="BK187" s="2">
        <v>54</v>
      </c>
      <c r="BL187" s="2">
        <v>6</v>
      </c>
      <c r="BM187" s="2">
        <v>31</v>
      </c>
      <c r="BN187" s="2">
        <v>13</v>
      </c>
      <c r="BO187" s="2">
        <v>11</v>
      </c>
      <c r="BP187" s="2">
        <v>5</v>
      </c>
      <c r="BQ187" s="2">
        <v>30</v>
      </c>
      <c r="BR187" s="2">
        <v>19</v>
      </c>
      <c r="BS187" s="2">
        <v>8</v>
      </c>
      <c r="BT187" s="2">
        <v>4</v>
      </c>
      <c r="BU187" s="2">
        <v>15</v>
      </c>
      <c r="BV187" s="2">
        <f t="shared" si="13"/>
        <v>236</v>
      </c>
      <c r="BW187" s="16">
        <f t="shared" si="11"/>
        <v>12.421052631578947</v>
      </c>
      <c r="BX187" s="16">
        <f>COUNTIF($BC$6:BU187, "=0") / COUNTIF($BC$6:BU187, "&gt;-1")</f>
        <v>4.5112781954887216E-2</v>
      </c>
      <c r="BY187" s="18">
        <f>SUM($BC$6:BU187) / $BY$4</f>
        <v>0.67322556296968994</v>
      </c>
      <c r="BZ187" s="14">
        <f t="shared" si="12"/>
        <v>0</v>
      </c>
      <c r="CA187" t="s">
        <v>5831</v>
      </c>
      <c r="CB187" s="36">
        <v>2.4232867916694598</v>
      </c>
      <c r="CC187" s="36">
        <v>6.7414488447421297</v>
      </c>
      <c r="CD187" s="36">
        <v>4.8023929854367697</v>
      </c>
      <c r="CE187" s="36">
        <v>6.0476870366129196</v>
      </c>
      <c r="CF187" s="36">
        <v>7.7415872394320298</v>
      </c>
      <c r="CG187" s="36">
        <v>3.7189089865579601</v>
      </c>
      <c r="CH187" s="36">
        <v>6.3243736971878404</v>
      </c>
      <c r="CI187" s="36">
        <v>4.8659179899115301</v>
      </c>
      <c r="CJ187" s="37">
        <v>42.916947835227703</v>
      </c>
      <c r="CK187" s="37">
        <v>19.550139053536899</v>
      </c>
      <c r="CL187" s="37">
        <v>10.400706527475499</v>
      </c>
      <c r="CM187" s="37">
        <v>9.3120175125993505</v>
      </c>
      <c r="CN187" s="37">
        <v>27.5637769744534</v>
      </c>
      <c r="CO187" s="37">
        <v>14.994620837317401</v>
      </c>
      <c r="CP187" s="37">
        <v>12.068320382899399</v>
      </c>
      <c r="CQ187" s="37">
        <v>22.839552697119299</v>
      </c>
      <c r="CR187" s="45">
        <v>1.87267151507128</v>
      </c>
      <c r="CS187" s="45">
        <v>3.74179827440858</v>
      </c>
      <c r="CT187" s="46">
        <v>5.7283878698845599E-6</v>
      </c>
      <c r="CU187" s="47">
        <v>2.2676280976051902E-5</v>
      </c>
      <c r="CV187" s="48">
        <v>5.3332004464438301</v>
      </c>
      <c r="CW187" s="49">
        <v>19.955760227578601</v>
      </c>
      <c r="CX187" s="31" t="s">
        <v>5874</v>
      </c>
      <c r="CY187" s="31" t="s">
        <v>5876</v>
      </c>
      <c r="CZ187" t="s">
        <v>8970</v>
      </c>
      <c r="DA187" t="s">
        <v>5904</v>
      </c>
      <c r="DB187">
        <v>159.5</v>
      </c>
      <c r="DC187" t="s">
        <v>23194</v>
      </c>
      <c r="DD187" t="s">
        <v>23195</v>
      </c>
      <c r="DE187" t="s">
        <v>23196</v>
      </c>
      <c r="DF187" t="s">
        <v>23197</v>
      </c>
      <c r="DG187" t="s">
        <v>23198</v>
      </c>
      <c r="DH187" t="str">
        <f>"DBI"</f>
        <v>DBI</v>
      </c>
      <c r="DI187" t="s">
        <v>13772</v>
      </c>
      <c r="DJ187" t="s">
        <v>13777</v>
      </c>
      <c r="DK187">
        <v>9606</v>
      </c>
      <c r="DL187" s="34" t="str">
        <f>HYPERLINK("http://www.uniprot.org/uniprot/P07108", "P07108")</f>
        <v>P07108</v>
      </c>
      <c r="DM187" t="s">
        <v>23199</v>
      </c>
      <c r="DN187" t="s">
        <v>14192</v>
      </c>
      <c r="DO187" t="s">
        <v>18661</v>
      </c>
      <c r="DP187" t="s">
        <v>14942</v>
      </c>
      <c r="DQ187" t="s">
        <v>13772</v>
      </c>
      <c r="DR187" t="s">
        <v>13772</v>
      </c>
      <c r="DS187" t="s">
        <v>13772</v>
      </c>
      <c r="DT187" t="s">
        <v>13900</v>
      </c>
      <c r="DU187" t="s">
        <v>13772</v>
      </c>
      <c r="DV187" t="s">
        <v>13886</v>
      </c>
      <c r="DW187" t="s">
        <v>13812</v>
      </c>
      <c r="DX187" t="s">
        <v>23200</v>
      </c>
      <c r="DY187" t="s">
        <v>23201</v>
      </c>
      <c r="DZ187" t="s">
        <v>23202</v>
      </c>
      <c r="EA187" t="s">
        <v>13772</v>
      </c>
      <c r="EB187" t="s">
        <v>18151</v>
      </c>
    </row>
    <row r="188" spans="1:132">
      <c r="A188">
        <v>1334</v>
      </c>
      <c r="B188">
        <v>1</v>
      </c>
      <c r="C188" t="s">
        <v>3197</v>
      </c>
      <c r="D188" t="s">
        <v>73</v>
      </c>
      <c r="E188" t="s">
        <v>73</v>
      </c>
      <c r="F188" t="s">
        <v>73</v>
      </c>
      <c r="G188" t="s">
        <v>73</v>
      </c>
      <c r="H188">
        <v>70.900000000000006</v>
      </c>
      <c r="I188">
        <v>158</v>
      </c>
      <c r="J188">
        <v>17968</v>
      </c>
      <c r="K188" t="s">
        <v>3198</v>
      </c>
      <c r="L188">
        <f t="shared" si="10"/>
        <v>234</v>
      </c>
      <c r="N188">
        <v>234</v>
      </c>
      <c r="O188">
        <v>234</v>
      </c>
      <c r="P188">
        <v>1</v>
      </c>
      <c r="Q188">
        <v>20</v>
      </c>
      <c r="R188">
        <v>5</v>
      </c>
      <c r="S188">
        <v>16</v>
      </c>
      <c r="T188">
        <v>9</v>
      </c>
      <c r="U188">
        <v>16</v>
      </c>
      <c r="V188">
        <v>24</v>
      </c>
      <c r="W188">
        <v>9</v>
      </c>
      <c r="X188">
        <v>4</v>
      </c>
      <c r="Y188">
        <v>12</v>
      </c>
      <c r="Z188">
        <v>12</v>
      </c>
      <c r="AA188">
        <v>6</v>
      </c>
      <c r="AB188">
        <v>13</v>
      </c>
      <c r="AC188">
        <v>9</v>
      </c>
      <c r="AD188">
        <v>19</v>
      </c>
      <c r="AE188">
        <v>12</v>
      </c>
      <c r="AF188">
        <v>6</v>
      </c>
      <c r="AG188">
        <v>23</v>
      </c>
      <c r="AH188">
        <v>7</v>
      </c>
      <c r="AI188">
        <v>12</v>
      </c>
      <c r="AJ188">
        <v>20</v>
      </c>
      <c r="AK188">
        <v>5</v>
      </c>
      <c r="AL188">
        <v>16</v>
      </c>
      <c r="AM188">
        <v>9</v>
      </c>
      <c r="AN188">
        <v>16</v>
      </c>
      <c r="AO188">
        <v>24</v>
      </c>
      <c r="AP188">
        <v>9</v>
      </c>
      <c r="AQ188">
        <v>4</v>
      </c>
      <c r="AR188">
        <v>12</v>
      </c>
      <c r="AS188">
        <v>12</v>
      </c>
      <c r="AT188">
        <v>6</v>
      </c>
      <c r="AU188">
        <v>13</v>
      </c>
      <c r="AV188">
        <v>9</v>
      </c>
      <c r="AW188">
        <v>19</v>
      </c>
      <c r="AX188">
        <v>12</v>
      </c>
      <c r="AY188">
        <v>6</v>
      </c>
      <c r="AZ188">
        <v>23</v>
      </c>
      <c r="BA188">
        <v>7</v>
      </c>
      <c r="BB188">
        <v>12</v>
      </c>
      <c r="BC188" s="2">
        <v>20</v>
      </c>
      <c r="BD188" s="2">
        <v>5</v>
      </c>
      <c r="BE188" s="2">
        <v>16</v>
      </c>
      <c r="BF188" s="2">
        <v>9</v>
      </c>
      <c r="BG188" s="2">
        <v>16</v>
      </c>
      <c r="BH188" s="2">
        <v>24</v>
      </c>
      <c r="BI188" s="2">
        <v>9</v>
      </c>
      <c r="BJ188" s="2">
        <v>4</v>
      </c>
      <c r="BK188" s="2">
        <v>12</v>
      </c>
      <c r="BL188" s="2">
        <v>12</v>
      </c>
      <c r="BM188" s="2">
        <v>6</v>
      </c>
      <c r="BN188" s="2">
        <v>13</v>
      </c>
      <c r="BO188" s="2">
        <v>9</v>
      </c>
      <c r="BP188" s="2">
        <v>19</v>
      </c>
      <c r="BQ188" s="2">
        <v>12</v>
      </c>
      <c r="BR188" s="2">
        <v>6</v>
      </c>
      <c r="BS188" s="2">
        <v>23</v>
      </c>
      <c r="BT188" s="2">
        <v>7</v>
      </c>
      <c r="BU188" s="2">
        <v>12</v>
      </c>
      <c r="BV188" s="2">
        <f t="shared" si="13"/>
        <v>234</v>
      </c>
      <c r="BW188" s="16">
        <f t="shared" si="11"/>
        <v>12.315789473684211</v>
      </c>
      <c r="BX188" s="16">
        <f>COUNTIF($BC$6:BU188, "=0") / COUNTIF($BC$6:BU188, "&gt;-1")</f>
        <v>4.4866264020707508E-2</v>
      </c>
      <c r="BY188" s="18">
        <f>SUM($BC$6:BU188) / $BY$4</f>
        <v>0.67422793399696579</v>
      </c>
      <c r="BZ188" s="14">
        <f t="shared" si="12"/>
        <v>0</v>
      </c>
      <c r="CA188" t="s">
        <v>5831</v>
      </c>
      <c r="CB188" s="36">
        <v>24.232867916694602</v>
      </c>
      <c r="CC188" s="36">
        <v>4.8153206033872298</v>
      </c>
      <c r="CD188" s="36">
        <v>25.612762588996102</v>
      </c>
      <c r="CE188" s="36">
        <v>13.6072958323791</v>
      </c>
      <c r="CF188" s="36">
        <v>13.762821758990301</v>
      </c>
      <c r="CG188" s="36">
        <v>22.313453919347801</v>
      </c>
      <c r="CH188" s="36">
        <v>9.4865605457817708</v>
      </c>
      <c r="CI188" s="36">
        <v>3.8927343919292201</v>
      </c>
      <c r="CJ188" s="37">
        <v>9.53709951893949</v>
      </c>
      <c r="CK188" s="37">
        <v>3.7838978813297102</v>
      </c>
      <c r="CL188" s="37">
        <v>10.400706527475499</v>
      </c>
      <c r="CM188" s="37">
        <v>7.6189234193994704</v>
      </c>
      <c r="CN188" s="37">
        <v>11.0255107897814</v>
      </c>
      <c r="CO188" s="37">
        <v>4.7351434223107498</v>
      </c>
      <c r="CP188" s="37">
        <v>34.6964211008357</v>
      </c>
      <c r="CQ188" s="37">
        <v>18.2716421576954</v>
      </c>
      <c r="CR188" s="45">
        <v>-0.27096375089095498</v>
      </c>
      <c r="CS188" s="45">
        <v>-1.1764223876141999</v>
      </c>
      <c r="CT188" s="46">
        <v>0.63236743139700902</v>
      </c>
      <c r="CU188" s="47">
        <v>0.70626679733655895</v>
      </c>
      <c r="CV188" s="48">
        <v>14.715477194688299</v>
      </c>
      <c r="CW188" s="49">
        <v>12.5086681022209</v>
      </c>
      <c r="CX188" s="31" t="s">
        <v>5875</v>
      </c>
      <c r="CY188" s="31" t="s">
        <v>5832</v>
      </c>
      <c r="CZ188" t="s">
        <v>10190</v>
      </c>
      <c r="DA188" t="s">
        <v>5904</v>
      </c>
      <c r="DB188">
        <v>277.3</v>
      </c>
      <c r="DC188" t="s">
        <v>26681</v>
      </c>
      <c r="DD188" t="s">
        <v>26682</v>
      </c>
      <c r="DE188" t="s">
        <v>26683</v>
      </c>
      <c r="DF188" t="s">
        <v>26684</v>
      </c>
      <c r="DG188" t="s">
        <v>13772</v>
      </c>
      <c r="DH188" t="str">
        <f>"JCHAIN IGJ"</f>
        <v>JCHAIN IGJ</v>
      </c>
      <c r="DI188" t="s">
        <v>13772</v>
      </c>
      <c r="DJ188" t="s">
        <v>13777</v>
      </c>
      <c r="DK188">
        <v>9606</v>
      </c>
      <c r="DL188" s="34" t="str">
        <f>HYPERLINK("http://www.uniprot.org/uniprot/P01591", "P01591")</f>
        <v>P01591</v>
      </c>
      <c r="DM188" t="s">
        <v>26685</v>
      </c>
      <c r="DN188" t="s">
        <v>13772</v>
      </c>
      <c r="DO188" t="s">
        <v>14321</v>
      </c>
      <c r="DP188" t="s">
        <v>13772</v>
      </c>
      <c r="DQ188" t="s">
        <v>13772</v>
      </c>
      <c r="DR188" t="s">
        <v>13772</v>
      </c>
      <c r="DS188" t="s">
        <v>13808</v>
      </c>
      <c r="DT188" t="s">
        <v>13772</v>
      </c>
      <c r="DU188" t="s">
        <v>13772</v>
      </c>
      <c r="DV188" t="s">
        <v>16701</v>
      </c>
      <c r="DW188" t="s">
        <v>13772</v>
      </c>
      <c r="DX188" t="s">
        <v>26686</v>
      </c>
      <c r="DY188" t="s">
        <v>26687</v>
      </c>
      <c r="DZ188" t="s">
        <v>26688</v>
      </c>
      <c r="EA188" t="s">
        <v>13772</v>
      </c>
      <c r="EB188" t="s">
        <v>26689</v>
      </c>
    </row>
    <row r="189" spans="1:132">
      <c r="A189">
        <v>475</v>
      </c>
      <c r="B189">
        <v>1</v>
      </c>
      <c r="C189" t="s">
        <v>1194</v>
      </c>
      <c r="D189" t="s">
        <v>73</v>
      </c>
      <c r="E189" t="s">
        <v>73</v>
      </c>
      <c r="F189" t="s">
        <v>73</v>
      </c>
      <c r="G189" t="s">
        <v>73</v>
      </c>
      <c r="H189">
        <v>21.2</v>
      </c>
      <c r="I189">
        <v>160</v>
      </c>
      <c r="J189">
        <v>17472</v>
      </c>
      <c r="K189" t="s">
        <v>1195</v>
      </c>
      <c r="L189">
        <f t="shared" si="10"/>
        <v>232</v>
      </c>
      <c r="N189">
        <v>232</v>
      </c>
      <c r="O189">
        <v>232</v>
      </c>
      <c r="P189">
        <v>1</v>
      </c>
      <c r="Q189">
        <v>12</v>
      </c>
      <c r="R189">
        <v>23</v>
      </c>
      <c r="S189">
        <v>21</v>
      </c>
      <c r="T189">
        <v>24</v>
      </c>
      <c r="U189">
        <v>19</v>
      </c>
      <c r="V189">
        <v>16</v>
      </c>
      <c r="W189">
        <v>21</v>
      </c>
      <c r="X189">
        <v>9</v>
      </c>
      <c r="Y189">
        <v>7</v>
      </c>
      <c r="Z189">
        <v>6</v>
      </c>
      <c r="AA189">
        <v>10</v>
      </c>
      <c r="AB189">
        <v>9</v>
      </c>
      <c r="AC189">
        <v>8</v>
      </c>
      <c r="AD189">
        <v>5</v>
      </c>
      <c r="AE189">
        <v>8</v>
      </c>
      <c r="AF189">
        <v>12</v>
      </c>
      <c r="AG189">
        <v>7</v>
      </c>
      <c r="AH189">
        <v>6</v>
      </c>
      <c r="AI189">
        <v>9</v>
      </c>
      <c r="AJ189">
        <v>12</v>
      </c>
      <c r="AK189">
        <v>23</v>
      </c>
      <c r="AL189">
        <v>21</v>
      </c>
      <c r="AM189">
        <v>24</v>
      </c>
      <c r="AN189">
        <v>19</v>
      </c>
      <c r="AO189">
        <v>16</v>
      </c>
      <c r="AP189">
        <v>21</v>
      </c>
      <c r="AQ189">
        <v>9</v>
      </c>
      <c r="AR189">
        <v>7</v>
      </c>
      <c r="AS189">
        <v>6</v>
      </c>
      <c r="AT189">
        <v>10</v>
      </c>
      <c r="AU189">
        <v>9</v>
      </c>
      <c r="AV189">
        <v>8</v>
      </c>
      <c r="AW189">
        <v>5</v>
      </c>
      <c r="AX189">
        <v>8</v>
      </c>
      <c r="AY189">
        <v>12</v>
      </c>
      <c r="AZ189">
        <v>7</v>
      </c>
      <c r="BA189">
        <v>6</v>
      </c>
      <c r="BB189">
        <v>9</v>
      </c>
      <c r="BC189" s="2">
        <v>12</v>
      </c>
      <c r="BD189" s="2">
        <v>23</v>
      </c>
      <c r="BE189" s="2">
        <v>21</v>
      </c>
      <c r="BF189" s="2">
        <v>24</v>
      </c>
      <c r="BG189" s="2">
        <v>19</v>
      </c>
      <c r="BH189" s="2">
        <v>16</v>
      </c>
      <c r="BI189" s="2">
        <v>21</v>
      </c>
      <c r="BJ189" s="2">
        <v>9</v>
      </c>
      <c r="BK189" s="2">
        <v>7</v>
      </c>
      <c r="BL189" s="2">
        <v>6</v>
      </c>
      <c r="BM189" s="2">
        <v>10</v>
      </c>
      <c r="BN189" s="2">
        <v>9</v>
      </c>
      <c r="BO189" s="2">
        <v>8</v>
      </c>
      <c r="BP189" s="2">
        <v>5</v>
      </c>
      <c r="BQ189" s="2">
        <v>8</v>
      </c>
      <c r="BR189" s="2">
        <v>12</v>
      </c>
      <c r="BS189" s="2">
        <v>7</v>
      </c>
      <c r="BT189" s="2">
        <v>6</v>
      </c>
      <c r="BU189" s="2">
        <v>9</v>
      </c>
      <c r="BV189" s="2">
        <f t="shared" si="13"/>
        <v>232</v>
      </c>
      <c r="BW189" s="16">
        <f t="shared" si="11"/>
        <v>12.210526315789474</v>
      </c>
      <c r="BX189" s="16">
        <f>COUNTIF($BC$6:BU189, "=0") / COUNTIF($BC$6:BU189, "&gt;-1")</f>
        <v>4.462242562929062E-2</v>
      </c>
      <c r="BY189" s="18">
        <f>SUM($BC$6:BU189) / $BY$4</f>
        <v>0.67522173775050431</v>
      </c>
      <c r="BZ189" s="14">
        <f t="shared" si="12"/>
        <v>0</v>
      </c>
      <c r="CA189" t="s">
        <v>5831</v>
      </c>
      <c r="CB189" s="36">
        <v>14.5397207500168</v>
      </c>
      <c r="CC189" s="36">
        <v>22.150474775581301</v>
      </c>
      <c r="CD189" s="36">
        <v>33.616750898057397</v>
      </c>
      <c r="CE189" s="36">
        <v>36.286122219677502</v>
      </c>
      <c r="CF189" s="36">
        <v>16.343350838801001</v>
      </c>
      <c r="CG189" s="36">
        <v>14.875635946231901</v>
      </c>
      <c r="CH189" s="36">
        <v>22.135307940157499</v>
      </c>
      <c r="CI189" s="36">
        <v>8.7586523818407507</v>
      </c>
      <c r="CJ189" s="37">
        <v>5.5633080527147003</v>
      </c>
      <c r="CK189" s="37">
        <v>6.3064964688828598</v>
      </c>
      <c r="CL189" s="37">
        <v>7.2004891344060802</v>
      </c>
      <c r="CM189" s="37">
        <v>6.7723763727995303</v>
      </c>
      <c r="CN189" s="37">
        <v>7.3503405265209096</v>
      </c>
      <c r="CO189" s="37">
        <v>9.4702868446214996</v>
      </c>
      <c r="CP189" s="37">
        <v>10.559780335037001</v>
      </c>
      <c r="CQ189" s="37">
        <v>13.7037316182716</v>
      </c>
      <c r="CR189" s="45">
        <v>-1.3391887567285501</v>
      </c>
      <c r="CS189" s="45">
        <v>-2.5207539008754698</v>
      </c>
      <c r="CT189" s="46">
        <v>2.6339646087333499E-4</v>
      </c>
      <c r="CU189" s="47">
        <v>6.7000848792494799E-4</v>
      </c>
      <c r="CV189" s="48">
        <v>21.0882519687955</v>
      </c>
      <c r="CW189" s="49">
        <v>8.3658511691567607</v>
      </c>
      <c r="CX189" s="31" t="s">
        <v>5875</v>
      </c>
      <c r="CY189" s="31" t="s">
        <v>5876</v>
      </c>
      <c r="CZ189" t="s">
        <v>7353</v>
      </c>
      <c r="DA189" t="s">
        <v>6759</v>
      </c>
      <c r="DB189">
        <v>65.5</v>
      </c>
      <c r="DC189" t="s">
        <v>18430</v>
      </c>
      <c r="DD189" t="s">
        <v>18431</v>
      </c>
      <c r="DE189" t="s">
        <v>18432</v>
      </c>
      <c r="DF189" t="s">
        <v>18433</v>
      </c>
      <c r="DG189" t="s">
        <v>18434</v>
      </c>
      <c r="DH189" t="str">
        <f>"CD59"</f>
        <v>CD59</v>
      </c>
      <c r="DI189" t="s">
        <v>18435</v>
      </c>
      <c r="DJ189" t="s">
        <v>13777</v>
      </c>
      <c r="DK189">
        <v>9606</v>
      </c>
      <c r="DL189" s="34" t="str">
        <f>HYPERLINK("http://www.uniprot.org/uniprot/P13987", "P13987")</f>
        <v>P13987</v>
      </c>
      <c r="DM189" t="s">
        <v>18436</v>
      </c>
      <c r="DN189" t="s">
        <v>13772</v>
      </c>
      <c r="DO189" t="s">
        <v>14336</v>
      </c>
      <c r="DP189" t="s">
        <v>13841</v>
      </c>
      <c r="DQ189" t="s">
        <v>13772</v>
      </c>
      <c r="DR189" t="s">
        <v>17205</v>
      </c>
      <c r="DS189" t="s">
        <v>13808</v>
      </c>
      <c r="DT189" t="s">
        <v>13772</v>
      </c>
      <c r="DU189" t="s">
        <v>13772</v>
      </c>
      <c r="DV189" t="s">
        <v>18437</v>
      </c>
      <c r="DW189" t="s">
        <v>13812</v>
      </c>
      <c r="DX189" t="s">
        <v>18438</v>
      </c>
      <c r="DY189" t="s">
        <v>18439</v>
      </c>
      <c r="DZ189" t="s">
        <v>18440</v>
      </c>
      <c r="EA189" t="s">
        <v>13772</v>
      </c>
      <c r="EB189" t="s">
        <v>18441</v>
      </c>
    </row>
    <row r="190" spans="1:132">
      <c r="A190">
        <v>1537</v>
      </c>
      <c r="B190">
        <v>1</v>
      </c>
      <c r="C190" t="s">
        <v>3649</v>
      </c>
      <c r="D190" t="s">
        <v>73</v>
      </c>
      <c r="E190" t="s">
        <v>73</v>
      </c>
      <c r="F190" t="s">
        <v>73</v>
      </c>
      <c r="G190" t="s">
        <v>73</v>
      </c>
      <c r="H190">
        <v>55.3</v>
      </c>
      <c r="I190">
        <v>470</v>
      </c>
      <c r="J190">
        <v>50686</v>
      </c>
      <c r="K190" t="s">
        <v>3650</v>
      </c>
      <c r="L190">
        <f t="shared" si="10"/>
        <v>231</v>
      </c>
      <c r="N190">
        <v>231</v>
      </c>
      <c r="O190">
        <v>231</v>
      </c>
      <c r="P190">
        <v>1</v>
      </c>
      <c r="Q190">
        <v>12</v>
      </c>
      <c r="R190">
        <v>7</v>
      </c>
      <c r="S190">
        <v>6</v>
      </c>
      <c r="T190">
        <v>6</v>
      </c>
      <c r="U190">
        <v>7</v>
      </c>
      <c r="V190">
        <v>3</v>
      </c>
      <c r="W190">
        <v>7</v>
      </c>
      <c r="X190">
        <v>10</v>
      </c>
      <c r="Y190">
        <v>12</v>
      </c>
      <c r="Z190">
        <v>12</v>
      </c>
      <c r="AA190">
        <v>29</v>
      </c>
      <c r="AB190">
        <v>12</v>
      </c>
      <c r="AC190">
        <v>22</v>
      </c>
      <c r="AD190">
        <v>14</v>
      </c>
      <c r="AE190">
        <v>13</v>
      </c>
      <c r="AF190">
        <v>19</v>
      </c>
      <c r="AG190">
        <v>12</v>
      </c>
      <c r="AH190">
        <v>9</v>
      </c>
      <c r="AI190">
        <v>19</v>
      </c>
      <c r="AJ190">
        <v>12</v>
      </c>
      <c r="AK190">
        <v>7</v>
      </c>
      <c r="AL190">
        <v>6</v>
      </c>
      <c r="AM190">
        <v>6</v>
      </c>
      <c r="AN190">
        <v>7</v>
      </c>
      <c r="AO190">
        <v>3</v>
      </c>
      <c r="AP190">
        <v>7</v>
      </c>
      <c r="AQ190">
        <v>10</v>
      </c>
      <c r="AR190">
        <v>12</v>
      </c>
      <c r="AS190">
        <v>12</v>
      </c>
      <c r="AT190">
        <v>29</v>
      </c>
      <c r="AU190">
        <v>12</v>
      </c>
      <c r="AV190">
        <v>22</v>
      </c>
      <c r="AW190">
        <v>14</v>
      </c>
      <c r="AX190">
        <v>13</v>
      </c>
      <c r="AY190">
        <v>19</v>
      </c>
      <c r="AZ190">
        <v>12</v>
      </c>
      <c r="BA190">
        <v>9</v>
      </c>
      <c r="BB190">
        <v>19</v>
      </c>
      <c r="BC190" s="2">
        <v>12</v>
      </c>
      <c r="BD190" s="2">
        <v>7</v>
      </c>
      <c r="BE190" s="2">
        <v>6</v>
      </c>
      <c r="BF190" s="2">
        <v>6</v>
      </c>
      <c r="BG190" s="2">
        <v>7</v>
      </c>
      <c r="BH190" s="2">
        <v>3</v>
      </c>
      <c r="BI190" s="2">
        <v>7</v>
      </c>
      <c r="BJ190" s="2">
        <v>10</v>
      </c>
      <c r="BK190" s="2">
        <v>12</v>
      </c>
      <c r="BL190" s="2">
        <v>12</v>
      </c>
      <c r="BM190" s="2">
        <v>29</v>
      </c>
      <c r="BN190" s="2">
        <v>12</v>
      </c>
      <c r="BO190" s="2">
        <v>22</v>
      </c>
      <c r="BP190" s="2">
        <v>14</v>
      </c>
      <c r="BQ190" s="2">
        <v>13</v>
      </c>
      <c r="BR190" s="2">
        <v>19</v>
      </c>
      <c r="BS190" s="2">
        <v>12</v>
      </c>
      <c r="BT190" s="2">
        <v>9</v>
      </c>
      <c r="BU190" s="2">
        <v>19</v>
      </c>
      <c r="BV190" s="2">
        <f t="shared" si="13"/>
        <v>231</v>
      </c>
      <c r="BW190" s="16">
        <f t="shared" si="11"/>
        <v>12.157894736842104</v>
      </c>
      <c r="BX190" s="16">
        <f>COUNTIF($BC$6:BU190, "=0") / COUNTIF($BC$6:BU190, "&gt;-1")</f>
        <v>4.4381223328591748E-2</v>
      </c>
      <c r="BY190" s="18">
        <f>SUM($BC$6:BU190) / $BY$4</f>
        <v>0.67621125786717418</v>
      </c>
      <c r="BZ190" s="14">
        <f t="shared" si="12"/>
        <v>0</v>
      </c>
      <c r="CA190" t="s">
        <v>5831</v>
      </c>
      <c r="CB190" s="36">
        <v>14.5397207500168</v>
      </c>
      <c r="CC190" s="36">
        <v>6.7414488447421297</v>
      </c>
      <c r="CD190" s="36">
        <v>9.6047859708735501</v>
      </c>
      <c r="CE190" s="36">
        <v>9.0715305549193808</v>
      </c>
      <c r="CF190" s="36">
        <v>6.0212345195582504</v>
      </c>
      <c r="CG190" s="36">
        <v>2.7891817399184702</v>
      </c>
      <c r="CH190" s="36">
        <v>7.3784359800524904</v>
      </c>
      <c r="CI190" s="36">
        <v>9.7318359798230603</v>
      </c>
      <c r="CJ190" s="37">
        <v>9.53709951893949</v>
      </c>
      <c r="CK190" s="37">
        <v>18.2888397597603</v>
      </c>
      <c r="CL190" s="37">
        <v>9.6006521792081099</v>
      </c>
      <c r="CM190" s="37">
        <v>18.624035025198701</v>
      </c>
      <c r="CN190" s="37">
        <v>11.944303355596499</v>
      </c>
      <c r="CO190" s="37">
        <v>14.994620837317401</v>
      </c>
      <c r="CP190" s="37">
        <v>18.102480574349102</v>
      </c>
      <c r="CQ190" s="37">
        <v>28.930100083017699</v>
      </c>
      <c r="CR190" s="45">
        <v>0.97184150622521204</v>
      </c>
      <c r="CS190" s="45">
        <v>1.9736753884909899</v>
      </c>
      <c r="CT190" s="46">
        <v>7.52225849162303E-3</v>
      </c>
      <c r="CU190" s="47">
        <v>1.4175749101114901E-2</v>
      </c>
      <c r="CV190" s="48">
        <v>8.2347717924880097</v>
      </c>
      <c r="CW190" s="49">
        <v>16.252766416673399</v>
      </c>
      <c r="CX190" s="31" t="s">
        <v>5874</v>
      </c>
      <c r="CY190" s="31" t="s">
        <v>5878</v>
      </c>
      <c r="CZ190" t="s">
        <v>10859</v>
      </c>
      <c r="DA190" t="s">
        <v>5904</v>
      </c>
      <c r="DB190">
        <v>515</v>
      </c>
      <c r="DC190" t="s">
        <v>28543</v>
      </c>
      <c r="DD190" t="s">
        <v>28544</v>
      </c>
      <c r="DE190" t="s">
        <v>28545</v>
      </c>
      <c r="DF190" t="s">
        <v>28546</v>
      </c>
      <c r="DG190" t="s">
        <v>28547</v>
      </c>
      <c r="DH190" t="str">
        <f>"CD14"</f>
        <v>CD14</v>
      </c>
      <c r="DI190" t="s">
        <v>13772</v>
      </c>
      <c r="DJ190" t="s">
        <v>13777</v>
      </c>
      <c r="DK190">
        <v>9606</v>
      </c>
      <c r="DL190" s="34" t="str">
        <f>HYPERLINK("http://www.uniprot.org/uniprot/P08571", "P08571")</f>
        <v>P08571</v>
      </c>
      <c r="DM190" t="s">
        <v>28548</v>
      </c>
      <c r="DN190" t="s">
        <v>20696</v>
      </c>
      <c r="DO190" t="s">
        <v>24403</v>
      </c>
      <c r="DP190" t="s">
        <v>13793</v>
      </c>
      <c r="DQ190" t="s">
        <v>13772</v>
      </c>
      <c r="DR190" t="s">
        <v>13772</v>
      </c>
      <c r="DS190" t="s">
        <v>19328</v>
      </c>
      <c r="DT190" t="s">
        <v>13772</v>
      </c>
      <c r="DU190" t="s">
        <v>13772</v>
      </c>
      <c r="DV190" t="s">
        <v>15699</v>
      </c>
      <c r="DW190" t="s">
        <v>13812</v>
      </c>
      <c r="DX190" t="s">
        <v>28549</v>
      </c>
      <c r="DY190" t="s">
        <v>28550</v>
      </c>
      <c r="DZ190" t="s">
        <v>28551</v>
      </c>
      <c r="EA190" t="s">
        <v>13772</v>
      </c>
      <c r="EB190" t="s">
        <v>28552</v>
      </c>
    </row>
    <row r="191" spans="1:132" hidden="1">
      <c r="A191">
        <v>627</v>
      </c>
      <c r="B191">
        <v>1</v>
      </c>
      <c r="C191" t="s">
        <v>1551</v>
      </c>
      <c r="D191" t="s">
        <v>73</v>
      </c>
      <c r="E191" t="s">
        <v>73</v>
      </c>
      <c r="F191" t="s">
        <v>1552</v>
      </c>
      <c r="G191" t="s">
        <v>73</v>
      </c>
      <c r="H191">
        <v>62.3</v>
      </c>
      <c r="I191">
        <v>130</v>
      </c>
      <c r="J191">
        <v>14466</v>
      </c>
      <c r="K191" t="s">
        <v>1481</v>
      </c>
      <c r="L191">
        <f t="shared" si="10"/>
        <v>263</v>
      </c>
      <c r="N191">
        <v>263</v>
      </c>
      <c r="O191">
        <v>170</v>
      </c>
      <c r="P191">
        <v>0.64600000000000002</v>
      </c>
      <c r="Q191">
        <v>10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87</v>
      </c>
      <c r="Z191">
        <v>30</v>
      </c>
      <c r="AA191">
        <v>40</v>
      </c>
      <c r="AB191">
        <v>19</v>
      </c>
      <c r="AC191">
        <v>12</v>
      </c>
      <c r="AD191">
        <v>4</v>
      </c>
      <c r="AE191">
        <v>21</v>
      </c>
      <c r="AF191">
        <v>11</v>
      </c>
      <c r="AG191">
        <v>9</v>
      </c>
      <c r="AH191">
        <v>5</v>
      </c>
      <c r="AI191">
        <v>15</v>
      </c>
      <c r="AJ191">
        <v>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66</v>
      </c>
      <c r="AS191">
        <v>14</v>
      </c>
      <c r="AT191">
        <v>30</v>
      </c>
      <c r="AU191">
        <v>7</v>
      </c>
      <c r="AV191">
        <v>9</v>
      </c>
      <c r="AW191">
        <v>3</v>
      </c>
      <c r="AX191">
        <v>13</v>
      </c>
      <c r="AY191">
        <v>7</v>
      </c>
      <c r="AZ191">
        <v>5</v>
      </c>
      <c r="BA191">
        <v>1</v>
      </c>
      <c r="BB191">
        <v>10</v>
      </c>
      <c r="BC191" s="2">
        <v>7.6669999999999998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78.566999999999993</v>
      </c>
      <c r="BL191" s="2">
        <v>19.530999999999999</v>
      </c>
      <c r="BM191" s="2">
        <v>37.917000000000002</v>
      </c>
      <c r="BN191" s="2">
        <v>16.201000000000001</v>
      </c>
      <c r="BO191" s="2">
        <v>11.25</v>
      </c>
      <c r="BP191" s="2">
        <v>3.4289999999999998</v>
      </c>
      <c r="BQ191" s="2">
        <v>19.5</v>
      </c>
      <c r="BR191" s="2">
        <v>11</v>
      </c>
      <c r="BS191" s="2">
        <v>8.7140000000000004</v>
      </c>
      <c r="BT191" s="2">
        <v>3.5</v>
      </c>
      <c r="BU191" s="2">
        <v>12.794</v>
      </c>
      <c r="BV191" s="2">
        <f t="shared" si="13"/>
        <v>230.07</v>
      </c>
      <c r="BW191" s="16">
        <f t="shared" si="11"/>
        <v>12.108947368421052</v>
      </c>
      <c r="BX191" s="16">
        <f>COUNTIF($BC$6:BU191, "=0") / COUNTIF($BC$6:BU191, "&gt;-1")</f>
        <v>4.6123372948500281E-2</v>
      </c>
      <c r="BY191" s="18">
        <f>SUM($BC$6:BU191) / $BY$4</f>
        <v>0.67719679420155598</v>
      </c>
      <c r="BZ191" s="14">
        <f t="shared" si="12"/>
        <v>7</v>
      </c>
      <c r="CA191" t="s">
        <v>5831</v>
      </c>
      <c r="CB191" s="36">
        <v>9.3296541479274193</v>
      </c>
      <c r="CC191" s="36">
        <v>0.24076603016936199</v>
      </c>
      <c r="CD191" s="36">
        <v>0.40019941545306398</v>
      </c>
      <c r="CE191" s="36">
        <v>0.37798043978830698</v>
      </c>
      <c r="CF191" s="36">
        <v>0.215044089984223</v>
      </c>
      <c r="CG191" s="36">
        <v>0.23243181165987301</v>
      </c>
      <c r="CH191" s="36">
        <v>0.26351557071616</v>
      </c>
      <c r="CI191" s="36">
        <v>0.24329589949557701</v>
      </c>
      <c r="CJ191" s="37">
        <v>62.4680018490536</v>
      </c>
      <c r="CK191" s="37">
        <v>23.901621617065999</v>
      </c>
      <c r="CL191" s="37">
        <v>12.960880441931</v>
      </c>
      <c r="CM191" s="37">
        <v>9.5659816265793296</v>
      </c>
      <c r="CN191" s="37">
        <v>17.916455033394701</v>
      </c>
      <c r="CO191" s="37">
        <v>8.6810962742363706</v>
      </c>
      <c r="CP191" s="37">
        <v>13.1242984164031</v>
      </c>
      <c r="CQ191" s="37">
        <v>19.489751634875098</v>
      </c>
      <c r="CR191" s="45">
        <v>3.85005500758355</v>
      </c>
      <c r="CS191" s="45">
        <v>14.8730214561183</v>
      </c>
      <c r="CT191" s="46">
        <v>7.7088820039046001E-8</v>
      </c>
      <c r="CU191" s="47">
        <v>5.4286758532759705E-7</v>
      </c>
      <c r="CV191" s="48">
        <v>1.4128609256492499</v>
      </c>
      <c r="CW191" s="49">
        <v>21.013510861692399</v>
      </c>
      <c r="CX191" s="31" t="s">
        <v>5874</v>
      </c>
      <c r="CY191" s="31" t="s">
        <v>5876</v>
      </c>
      <c r="CZ191" t="s">
        <v>7762</v>
      </c>
      <c r="DA191" t="s">
        <v>5904</v>
      </c>
      <c r="DB191">
        <v>184.1</v>
      </c>
      <c r="DC191" t="s">
        <v>19672</v>
      </c>
      <c r="DD191" t="s">
        <v>19673</v>
      </c>
      <c r="DE191" t="s">
        <v>19674</v>
      </c>
      <c r="DF191" t="s">
        <v>19675</v>
      </c>
      <c r="DG191" t="s">
        <v>19676</v>
      </c>
      <c r="DH191" t="str">
        <f>"SAA1"</f>
        <v>SAA1</v>
      </c>
      <c r="DI191" t="s">
        <v>13772</v>
      </c>
      <c r="DJ191" t="s">
        <v>13777</v>
      </c>
      <c r="DK191">
        <v>9606</v>
      </c>
      <c r="DL191" s="34" t="str">
        <f>HYPERLINK("http://www.uniprot.org/uniprot/P0DJI8", "P0DJI8")</f>
        <v>P0DJI8</v>
      </c>
      <c r="DM191" t="s">
        <v>19677</v>
      </c>
      <c r="DN191" t="s">
        <v>14374</v>
      </c>
      <c r="DO191" t="s">
        <v>19678</v>
      </c>
      <c r="DP191" t="s">
        <v>13793</v>
      </c>
      <c r="DQ191" t="s">
        <v>13772</v>
      </c>
      <c r="DR191" t="s">
        <v>19679</v>
      </c>
      <c r="DS191" t="s">
        <v>13808</v>
      </c>
      <c r="DT191" t="s">
        <v>13772</v>
      </c>
      <c r="DU191" t="s">
        <v>14073</v>
      </c>
      <c r="DV191" t="s">
        <v>17914</v>
      </c>
      <c r="DW191" t="s">
        <v>13812</v>
      </c>
      <c r="DX191" t="s">
        <v>19680</v>
      </c>
      <c r="DY191" t="s">
        <v>19681</v>
      </c>
      <c r="DZ191" t="s">
        <v>19682</v>
      </c>
      <c r="EA191" t="s">
        <v>13772</v>
      </c>
      <c r="EB191" t="s">
        <v>19683</v>
      </c>
    </row>
    <row r="192" spans="1:132" hidden="1">
      <c r="A192">
        <v>405</v>
      </c>
      <c r="B192">
        <v>1</v>
      </c>
      <c r="C192" t="s">
        <v>1015</v>
      </c>
      <c r="D192" t="s">
        <v>73</v>
      </c>
      <c r="E192" t="s">
        <v>73</v>
      </c>
      <c r="F192" t="s">
        <v>1016</v>
      </c>
      <c r="G192" t="s">
        <v>73</v>
      </c>
      <c r="H192">
        <v>75.8</v>
      </c>
      <c r="I192">
        <v>132</v>
      </c>
      <c r="J192">
        <v>14695</v>
      </c>
      <c r="K192" t="s">
        <v>1017</v>
      </c>
      <c r="L192">
        <f t="shared" si="10"/>
        <v>230</v>
      </c>
      <c r="N192">
        <v>230</v>
      </c>
      <c r="O192">
        <v>229</v>
      </c>
      <c r="P192">
        <v>0.996</v>
      </c>
      <c r="Q192">
        <v>6</v>
      </c>
      <c r="R192">
        <v>0</v>
      </c>
      <c r="S192">
        <v>0</v>
      </c>
      <c r="T192">
        <v>0</v>
      </c>
      <c r="U192">
        <v>0</v>
      </c>
      <c r="V192">
        <v>4</v>
      </c>
      <c r="W192">
        <v>0</v>
      </c>
      <c r="X192">
        <v>28</v>
      </c>
      <c r="Y192">
        <v>17</v>
      </c>
      <c r="Z192">
        <v>4</v>
      </c>
      <c r="AA192">
        <v>51</v>
      </c>
      <c r="AB192">
        <v>13</v>
      </c>
      <c r="AC192">
        <v>13</v>
      </c>
      <c r="AD192">
        <v>3</v>
      </c>
      <c r="AE192">
        <v>35</v>
      </c>
      <c r="AF192">
        <v>35</v>
      </c>
      <c r="AG192">
        <v>9</v>
      </c>
      <c r="AH192">
        <v>5</v>
      </c>
      <c r="AI192">
        <v>7</v>
      </c>
      <c r="AJ192">
        <v>6</v>
      </c>
      <c r="AK192">
        <v>0</v>
      </c>
      <c r="AL192">
        <v>0</v>
      </c>
      <c r="AM192">
        <v>0</v>
      </c>
      <c r="AN192">
        <v>0</v>
      </c>
      <c r="AO192">
        <v>4</v>
      </c>
      <c r="AP192">
        <v>0</v>
      </c>
      <c r="AQ192">
        <v>28</v>
      </c>
      <c r="AR192">
        <v>17</v>
      </c>
      <c r="AS192">
        <v>4</v>
      </c>
      <c r="AT192">
        <v>51</v>
      </c>
      <c r="AU192">
        <v>13</v>
      </c>
      <c r="AV192">
        <v>13</v>
      </c>
      <c r="AW192">
        <v>3</v>
      </c>
      <c r="AX192">
        <v>34</v>
      </c>
      <c r="AY192">
        <v>35</v>
      </c>
      <c r="AZ192">
        <v>9</v>
      </c>
      <c r="BA192">
        <v>5</v>
      </c>
      <c r="BB192">
        <v>7</v>
      </c>
      <c r="BC192" s="2">
        <v>6</v>
      </c>
      <c r="BD192" s="2">
        <v>0</v>
      </c>
      <c r="BE192" s="2">
        <v>0</v>
      </c>
      <c r="BF192" s="2">
        <v>0</v>
      </c>
      <c r="BG192" s="2">
        <v>0</v>
      </c>
      <c r="BH192" s="2">
        <v>4</v>
      </c>
      <c r="BI192" s="2">
        <v>0</v>
      </c>
      <c r="BJ192" s="2">
        <v>28</v>
      </c>
      <c r="BK192" s="2">
        <v>17</v>
      </c>
      <c r="BL192" s="2">
        <v>4</v>
      </c>
      <c r="BM192" s="2">
        <v>51</v>
      </c>
      <c r="BN192" s="2">
        <v>13</v>
      </c>
      <c r="BO192" s="2">
        <v>13</v>
      </c>
      <c r="BP192" s="2">
        <v>3</v>
      </c>
      <c r="BQ192" s="2">
        <v>34.292999999999999</v>
      </c>
      <c r="BR192" s="2">
        <v>35</v>
      </c>
      <c r="BS192" s="2">
        <v>9</v>
      </c>
      <c r="BT192" s="2">
        <v>5</v>
      </c>
      <c r="BU192" s="2">
        <v>7</v>
      </c>
      <c r="BV192" s="2">
        <f t="shared" si="13"/>
        <v>229.29300000000001</v>
      </c>
      <c r="BW192" s="16">
        <f t="shared" si="11"/>
        <v>12.068052631578947</v>
      </c>
      <c r="BX192" s="16">
        <f>COUNTIF($BC$6:BU192, "=0") / COUNTIF($BC$6:BU192, "&gt;-1")</f>
        <v>4.7283985364480724E-2</v>
      </c>
      <c r="BY192" s="18">
        <f>SUM($BC$6:BU192) / $BY$4</f>
        <v>0.67817900215009097</v>
      </c>
      <c r="BZ192" s="14">
        <f t="shared" si="12"/>
        <v>5</v>
      </c>
      <c r="CA192" t="s">
        <v>5831</v>
      </c>
      <c r="CB192" s="36">
        <v>7.2698603750083803</v>
      </c>
      <c r="CC192" s="36">
        <v>0.24076603016936199</v>
      </c>
      <c r="CD192" s="36">
        <v>0.40019941545306398</v>
      </c>
      <c r="CE192" s="36">
        <v>0.37798043978830698</v>
      </c>
      <c r="CF192" s="36">
        <v>0.215044089984223</v>
      </c>
      <c r="CG192" s="36">
        <v>3.7189089865579601</v>
      </c>
      <c r="CH192" s="36">
        <v>0.26351557071616</v>
      </c>
      <c r="CI192" s="36">
        <v>27.249140743504601</v>
      </c>
      <c r="CJ192" s="37">
        <v>13.5108909851643</v>
      </c>
      <c r="CK192" s="37">
        <v>32.163131991302599</v>
      </c>
      <c r="CL192" s="37">
        <v>10.400706527475499</v>
      </c>
      <c r="CM192" s="37">
        <v>11.0051116057992</v>
      </c>
      <c r="CN192" s="37">
        <v>31.5145850074584</v>
      </c>
      <c r="CO192" s="37">
        <v>27.621669963479398</v>
      </c>
      <c r="CP192" s="37">
        <v>13.576860430761799</v>
      </c>
      <c r="CQ192" s="37">
        <v>10.658457925322301</v>
      </c>
      <c r="CR192" s="45">
        <v>1.87390273725878</v>
      </c>
      <c r="CS192" s="45">
        <v>3.78633045536766</v>
      </c>
      <c r="CT192" s="46">
        <v>9.4846890146574499E-3</v>
      </c>
      <c r="CU192" s="47">
        <v>1.7528334118248199E-2</v>
      </c>
      <c r="CV192" s="48">
        <v>4.9669269563977503</v>
      </c>
      <c r="CW192" s="49">
        <v>18.8064268045954</v>
      </c>
      <c r="CX192" s="31" t="s">
        <v>5874</v>
      </c>
      <c r="CY192" s="31" t="s">
        <v>5878</v>
      </c>
      <c r="CZ192" t="s">
        <v>7108</v>
      </c>
      <c r="DA192" t="s">
        <v>5904</v>
      </c>
      <c r="DB192">
        <v>253.4</v>
      </c>
      <c r="DC192" t="s">
        <v>17680</v>
      </c>
      <c r="DD192" t="s">
        <v>17681</v>
      </c>
      <c r="DE192" t="s">
        <v>17682</v>
      </c>
      <c r="DF192" t="s">
        <v>17683</v>
      </c>
      <c r="DG192" t="s">
        <v>17684</v>
      </c>
      <c r="DH192" t="str">
        <f>"FABP4"</f>
        <v>FABP4</v>
      </c>
      <c r="DI192" t="s">
        <v>13772</v>
      </c>
      <c r="DJ192" t="s">
        <v>13777</v>
      </c>
      <c r="DK192">
        <v>9606</v>
      </c>
      <c r="DL192" s="34" t="str">
        <f>HYPERLINK("http://www.uniprot.org/uniprot/P15090", "P15090")</f>
        <v>P15090</v>
      </c>
      <c r="DM192" t="s">
        <v>17685</v>
      </c>
      <c r="DN192" t="s">
        <v>14192</v>
      </c>
      <c r="DO192" t="s">
        <v>13912</v>
      </c>
      <c r="DP192" t="s">
        <v>13793</v>
      </c>
      <c r="DQ192" t="s">
        <v>13772</v>
      </c>
      <c r="DR192" t="s">
        <v>13772</v>
      </c>
      <c r="DS192" t="s">
        <v>13772</v>
      </c>
      <c r="DT192" t="s">
        <v>13900</v>
      </c>
      <c r="DU192" t="s">
        <v>13772</v>
      </c>
      <c r="DV192" t="s">
        <v>13886</v>
      </c>
      <c r="DW192" t="s">
        <v>13812</v>
      </c>
      <c r="DX192" t="s">
        <v>17686</v>
      </c>
      <c r="DY192" t="s">
        <v>17687</v>
      </c>
      <c r="DZ192" t="s">
        <v>17688</v>
      </c>
      <c r="EA192" t="s">
        <v>13772</v>
      </c>
      <c r="EB192" t="s">
        <v>16161</v>
      </c>
    </row>
    <row r="193" spans="1:132">
      <c r="A193">
        <v>1805</v>
      </c>
      <c r="B193">
        <v>1</v>
      </c>
      <c r="C193" t="s">
        <v>4267</v>
      </c>
      <c r="D193" t="s">
        <v>73</v>
      </c>
      <c r="E193" t="s">
        <v>73</v>
      </c>
      <c r="F193" t="s">
        <v>73</v>
      </c>
      <c r="G193" t="s">
        <v>73</v>
      </c>
      <c r="H193">
        <v>37.6</v>
      </c>
      <c r="I193">
        <v>93</v>
      </c>
      <c r="J193">
        <v>10495</v>
      </c>
      <c r="K193" t="s">
        <v>4268</v>
      </c>
      <c r="L193">
        <f t="shared" si="10"/>
        <v>227</v>
      </c>
      <c r="N193">
        <v>227</v>
      </c>
      <c r="O193">
        <v>227</v>
      </c>
      <c r="P193">
        <v>1</v>
      </c>
      <c r="Q193">
        <v>16</v>
      </c>
      <c r="R193">
        <v>8</v>
      </c>
      <c r="S193">
        <v>10</v>
      </c>
      <c r="T193">
        <v>6</v>
      </c>
      <c r="U193">
        <v>21</v>
      </c>
      <c r="V193">
        <v>28</v>
      </c>
      <c r="W193">
        <v>30</v>
      </c>
      <c r="X193">
        <v>22</v>
      </c>
      <c r="Y193">
        <v>10</v>
      </c>
      <c r="Z193">
        <v>3</v>
      </c>
      <c r="AA193">
        <v>11</v>
      </c>
      <c r="AB193">
        <v>10</v>
      </c>
      <c r="AC193">
        <v>8</v>
      </c>
      <c r="AD193">
        <v>2</v>
      </c>
      <c r="AE193">
        <v>11</v>
      </c>
      <c r="AF193">
        <v>12</v>
      </c>
      <c r="AG193">
        <v>8</v>
      </c>
      <c r="AH193">
        <v>2</v>
      </c>
      <c r="AI193">
        <v>9</v>
      </c>
      <c r="AJ193">
        <v>16</v>
      </c>
      <c r="AK193">
        <v>8</v>
      </c>
      <c r="AL193">
        <v>10</v>
      </c>
      <c r="AM193">
        <v>6</v>
      </c>
      <c r="AN193">
        <v>21</v>
      </c>
      <c r="AO193">
        <v>28</v>
      </c>
      <c r="AP193">
        <v>30</v>
      </c>
      <c r="AQ193">
        <v>22</v>
      </c>
      <c r="AR193">
        <v>10</v>
      </c>
      <c r="AS193">
        <v>3</v>
      </c>
      <c r="AT193">
        <v>11</v>
      </c>
      <c r="AU193">
        <v>10</v>
      </c>
      <c r="AV193">
        <v>8</v>
      </c>
      <c r="AW193">
        <v>2</v>
      </c>
      <c r="AX193">
        <v>11</v>
      </c>
      <c r="AY193">
        <v>12</v>
      </c>
      <c r="AZ193">
        <v>8</v>
      </c>
      <c r="BA193">
        <v>2</v>
      </c>
      <c r="BB193">
        <v>9</v>
      </c>
      <c r="BC193" s="2">
        <v>16</v>
      </c>
      <c r="BD193" s="2">
        <v>8</v>
      </c>
      <c r="BE193" s="2">
        <v>10</v>
      </c>
      <c r="BF193" s="2">
        <v>6</v>
      </c>
      <c r="BG193" s="2">
        <v>21</v>
      </c>
      <c r="BH193" s="2">
        <v>28</v>
      </c>
      <c r="BI193" s="2">
        <v>30</v>
      </c>
      <c r="BJ193" s="2">
        <v>22</v>
      </c>
      <c r="BK193" s="2">
        <v>10</v>
      </c>
      <c r="BL193" s="2">
        <v>3</v>
      </c>
      <c r="BM193" s="2">
        <v>11</v>
      </c>
      <c r="BN193" s="2">
        <v>10</v>
      </c>
      <c r="BO193" s="2">
        <v>8</v>
      </c>
      <c r="BP193" s="2">
        <v>2</v>
      </c>
      <c r="BQ193" s="2">
        <v>11</v>
      </c>
      <c r="BR193" s="2">
        <v>12</v>
      </c>
      <c r="BS193" s="2">
        <v>8</v>
      </c>
      <c r="BT193" s="2">
        <v>2</v>
      </c>
      <c r="BU193" s="2">
        <v>9</v>
      </c>
      <c r="BV193" s="2">
        <f t="shared" si="13"/>
        <v>227</v>
      </c>
      <c r="BW193" s="16">
        <f t="shared" si="11"/>
        <v>11.947368421052632</v>
      </c>
      <c r="BX193" s="16">
        <f>COUNTIF($BC$6:BU193, "=0") / COUNTIF($BC$6:BU193, "&gt;-1")</f>
        <v>4.7032474804031353E-2</v>
      </c>
      <c r="BY193" s="18">
        <f>SUM($BC$6:BU193) / $BY$4</f>
        <v>0.67915138771928596</v>
      </c>
      <c r="BZ193" s="14">
        <f t="shared" si="12"/>
        <v>0</v>
      </c>
      <c r="CA193" t="s">
        <v>5831</v>
      </c>
      <c r="CB193" s="36">
        <v>19.3862943333557</v>
      </c>
      <c r="CC193" s="36">
        <v>7.7045129654195703</v>
      </c>
      <c r="CD193" s="36">
        <v>16.007976618122601</v>
      </c>
      <c r="CE193" s="36">
        <v>9.0715305549193808</v>
      </c>
      <c r="CF193" s="36">
        <v>18.0637035586747</v>
      </c>
      <c r="CG193" s="36">
        <v>26.032362905905799</v>
      </c>
      <c r="CH193" s="36">
        <v>31.621868485939199</v>
      </c>
      <c r="CI193" s="36">
        <v>21.410039155610701</v>
      </c>
      <c r="CJ193" s="37">
        <v>7.9475829324495697</v>
      </c>
      <c r="CK193" s="37">
        <v>6.9371461157711396</v>
      </c>
      <c r="CL193" s="37">
        <v>8.0005434826734305</v>
      </c>
      <c r="CM193" s="37">
        <v>6.7723763727995303</v>
      </c>
      <c r="CN193" s="37">
        <v>10.1067182239663</v>
      </c>
      <c r="CO193" s="37">
        <v>9.4702868446214996</v>
      </c>
      <c r="CP193" s="37">
        <v>12.068320382899399</v>
      </c>
      <c r="CQ193" s="37">
        <v>13.7037316182716</v>
      </c>
      <c r="CR193" s="45">
        <v>-1.0363285938823701</v>
      </c>
      <c r="CS193" s="45">
        <v>-1.99046587422183</v>
      </c>
      <c r="CT193" s="46">
        <v>4.0531030979023596E-3</v>
      </c>
      <c r="CU193" s="47">
        <v>8.04607113500499E-3</v>
      </c>
      <c r="CV193" s="48">
        <v>18.6622860722435</v>
      </c>
      <c r="CW193" s="49">
        <v>9.3758382466815409</v>
      </c>
      <c r="CX193" s="31" t="s">
        <v>5875</v>
      </c>
      <c r="CY193" s="31" t="s">
        <v>5876</v>
      </c>
      <c r="CZ193" t="s">
        <v>11768</v>
      </c>
      <c r="DA193" t="s">
        <v>5904</v>
      </c>
      <c r="DB193">
        <v>189.1</v>
      </c>
      <c r="DC193" t="s">
        <v>31132</v>
      </c>
      <c r="DD193" t="s">
        <v>31133</v>
      </c>
      <c r="DE193" t="s">
        <v>31134</v>
      </c>
      <c r="DF193" t="s">
        <v>31135</v>
      </c>
      <c r="DG193" t="s">
        <v>31136</v>
      </c>
      <c r="DH193" t="str">
        <f>"SH3BGRL3"</f>
        <v>SH3BGRL3</v>
      </c>
      <c r="DI193" t="s">
        <v>13772</v>
      </c>
      <c r="DJ193" t="s">
        <v>13777</v>
      </c>
      <c r="DK193">
        <v>9606</v>
      </c>
      <c r="DL193" s="34" t="str">
        <f>HYPERLINK("http://www.uniprot.org/uniprot/Q9H299", "Q9H299")</f>
        <v>Q9H299</v>
      </c>
      <c r="DM193" t="s">
        <v>31137</v>
      </c>
      <c r="DN193" t="s">
        <v>13772</v>
      </c>
      <c r="DO193" t="s">
        <v>13912</v>
      </c>
      <c r="DP193" t="s">
        <v>13772</v>
      </c>
      <c r="DQ193" t="s">
        <v>13772</v>
      </c>
      <c r="DR193" t="s">
        <v>13772</v>
      </c>
      <c r="DS193" t="s">
        <v>13772</v>
      </c>
      <c r="DT193" t="s">
        <v>13772</v>
      </c>
      <c r="DU193" t="s">
        <v>13772</v>
      </c>
      <c r="DV193" t="s">
        <v>14020</v>
      </c>
      <c r="DW193" t="s">
        <v>13812</v>
      </c>
      <c r="DX193" t="s">
        <v>18189</v>
      </c>
      <c r="DY193" t="s">
        <v>31138</v>
      </c>
      <c r="DZ193" t="s">
        <v>31139</v>
      </c>
      <c r="EA193" t="s">
        <v>13772</v>
      </c>
      <c r="EB193" t="s">
        <v>13772</v>
      </c>
    </row>
    <row r="194" spans="1:132" hidden="1">
      <c r="A194">
        <v>2095</v>
      </c>
      <c r="B194">
        <v>1</v>
      </c>
      <c r="C194" t="s">
        <v>4919</v>
      </c>
      <c r="D194" t="s">
        <v>73</v>
      </c>
      <c r="E194" t="s">
        <v>73</v>
      </c>
      <c r="F194" t="s">
        <v>73</v>
      </c>
      <c r="G194" t="s">
        <v>73</v>
      </c>
      <c r="H194">
        <v>73.2</v>
      </c>
      <c r="I194">
        <v>142</v>
      </c>
      <c r="J194">
        <v>15924</v>
      </c>
      <c r="K194" t="s">
        <v>4920</v>
      </c>
      <c r="L194">
        <f t="shared" si="10"/>
        <v>225</v>
      </c>
      <c r="N194">
        <v>225</v>
      </c>
      <c r="O194">
        <v>225</v>
      </c>
      <c r="P194">
        <v>1</v>
      </c>
      <c r="Q194">
        <v>11</v>
      </c>
      <c r="R194">
        <v>5</v>
      </c>
      <c r="S194">
        <v>7</v>
      </c>
      <c r="T194">
        <v>0</v>
      </c>
      <c r="U194">
        <v>5</v>
      </c>
      <c r="V194">
        <v>15</v>
      </c>
      <c r="W194">
        <v>19</v>
      </c>
      <c r="X194">
        <v>26</v>
      </c>
      <c r="Y194">
        <v>10</v>
      </c>
      <c r="Z194">
        <v>6</v>
      </c>
      <c r="AA194">
        <v>14</v>
      </c>
      <c r="AB194">
        <v>17</v>
      </c>
      <c r="AC194">
        <v>16</v>
      </c>
      <c r="AD194">
        <v>5</v>
      </c>
      <c r="AE194">
        <v>13</v>
      </c>
      <c r="AF194">
        <v>22</v>
      </c>
      <c r="AG194">
        <v>13</v>
      </c>
      <c r="AH194">
        <v>7</v>
      </c>
      <c r="AI194">
        <v>14</v>
      </c>
      <c r="AJ194">
        <v>11</v>
      </c>
      <c r="AK194">
        <v>5</v>
      </c>
      <c r="AL194">
        <v>7</v>
      </c>
      <c r="AM194">
        <v>0</v>
      </c>
      <c r="AN194">
        <v>5</v>
      </c>
      <c r="AO194">
        <v>15</v>
      </c>
      <c r="AP194">
        <v>19</v>
      </c>
      <c r="AQ194">
        <v>26</v>
      </c>
      <c r="AR194">
        <v>10</v>
      </c>
      <c r="AS194">
        <v>6</v>
      </c>
      <c r="AT194">
        <v>14</v>
      </c>
      <c r="AU194">
        <v>17</v>
      </c>
      <c r="AV194">
        <v>16</v>
      </c>
      <c r="AW194">
        <v>5</v>
      </c>
      <c r="AX194">
        <v>13</v>
      </c>
      <c r="AY194">
        <v>22</v>
      </c>
      <c r="AZ194">
        <v>13</v>
      </c>
      <c r="BA194">
        <v>7</v>
      </c>
      <c r="BB194">
        <v>14</v>
      </c>
      <c r="BC194" s="2">
        <v>11</v>
      </c>
      <c r="BD194" s="2">
        <v>5</v>
      </c>
      <c r="BE194" s="2">
        <v>7</v>
      </c>
      <c r="BF194" s="2">
        <v>0</v>
      </c>
      <c r="BG194" s="2">
        <v>5</v>
      </c>
      <c r="BH194" s="2">
        <v>15</v>
      </c>
      <c r="BI194" s="2">
        <v>19</v>
      </c>
      <c r="BJ194" s="2">
        <v>26</v>
      </c>
      <c r="BK194" s="2">
        <v>10</v>
      </c>
      <c r="BL194" s="2">
        <v>6</v>
      </c>
      <c r="BM194" s="2">
        <v>14</v>
      </c>
      <c r="BN194" s="2">
        <v>17</v>
      </c>
      <c r="BO194" s="2">
        <v>16</v>
      </c>
      <c r="BP194" s="2">
        <v>5</v>
      </c>
      <c r="BQ194" s="2">
        <v>13</v>
      </c>
      <c r="BR194" s="2">
        <v>22</v>
      </c>
      <c r="BS194" s="2">
        <v>13</v>
      </c>
      <c r="BT194" s="2">
        <v>7</v>
      </c>
      <c r="BU194" s="2">
        <v>14</v>
      </c>
      <c r="BV194" s="2">
        <f t="shared" si="13"/>
        <v>225</v>
      </c>
      <c r="BW194" s="16">
        <f t="shared" si="11"/>
        <v>11.842105263157896</v>
      </c>
      <c r="BX194" s="16">
        <f>COUNTIF($BC$6:BU194, "=0") / COUNTIF($BC$6:BU194, "&gt;-1")</f>
        <v>4.7062099693678638E-2</v>
      </c>
      <c r="BY194" s="18">
        <f>SUM($BC$6:BU194) / $BY$4</f>
        <v>0.68011520601474351</v>
      </c>
      <c r="BZ194" s="14">
        <f t="shared" si="12"/>
        <v>1</v>
      </c>
      <c r="CA194" t="s">
        <v>5831</v>
      </c>
      <c r="CB194" s="36">
        <v>13.328077354182</v>
      </c>
      <c r="CC194" s="36">
        <v>4.8153206033872298</v>
      </c>
      <c r="CD194" s="36">
        <v>11.2055836326858</v>
      </c>
      <c r="CE194" s="36">
        <v>0.37798043978830698</v>
      </c>
      <c r="CF194" s="36">
        <v>4.3008817996844604</v>
      </c>
      <c r="CG194" s="36">
        <v>13.945908699592399</v>
      </c>
      <c r="CH194" s="36">
        <v>20.027183374428201</v>
      </c>
      <c r="CI194" s="36">
        <v>25.302773547539999</v>
      </c>
      <c r="CJ194" s="37">
        <v>7.9475829324495697</v>
      </c>
      <c r="CK194" s="37">
        <v>8.8290950564359996</v>
      </c>
      <c r="CL194" s="37">
        <v>13.600923920544799</v>
      </c>
      <c r="CM194" s="37">
        <v>13.5447527455991</v>
      </c>
      <c r="CN194" s="37">
        <v>11.944303355596499</v>
      </c>
      <c r="CO194" s="37">
        <v>17.362192548472699</v>
      </c>
      <c r="CP194" s="37">
        <v>19.611020622211502</v>
      </c>
      <c r="CQ194" s="37">
        <v>21.316915850644602</v>
      </c>
      <c r="CR194" s="45">
        <v>0.25412776108153201</v>
      </c>
      <c r="CS194" s="45">
        <v>1.22349676881339</v>
      </c>
      <c r="CT194" s="46">
        <v>0.57056216939224003</v>
      </c>
      <c r="CU194" s="47">
        <v>0.64978349703476501</v>
      </c>
      <c r="CV194" s="48">
        <v>11.662963681411</v>
      </c>
      <c r="CW194" s="49">
        <v>14.269598378994401</v>
      </c>
      <c r="CX194" s="31" t="s">
        <v>5874</v>
      </c>
      <c r="CY194" s="31" t="s">
        <v>5832</v>
      </c>
      <c r="CZ194" t="s">
        <v>12734</v>
      </c>
      <c r="DA194" t="s">
        <v>5904</v>
      </c>
      <c r="DB194">
        <v>287</v>
      </c>
      <c r="DC194" t="s">
        <v>33823</v>
      </c>
      <c r="DD194" t="s">
        <v>13772</v>
      </c>
      <c r="DE194" t="s">
        <v>33824</v>
      </c>
      <c r="DF194" t="s">
        <v>33825</v>
      </c>
      <c r="DG194" t="s">
        <v>33826</v>
      </c>
      <c r="DH194" t="str">
        <f>"COTL1"</f>
        <v>COTL1</v>
      </c>
      <c r="DI194" t="s">
        <v>33827</v>
      </c>
      <c r="DJ194" t="s">
        <v>13777</v>
      </c>
      <c r="DK194">
        <v>9606</v>
      </c>
      <c r="DL194" s="34" t="str">
        <f>HYPERLINK("http://www.uniprot.org/uniprot/Q14019", "Q14019")</f>
        <v>Q14019</v>
      </c>
      <c r="DM194" t="s">
        <v>33828</v>
      </c>
      <c r="DN194" t="s">
        <v>13772</v>
      </c>
      <c r="DO194" t="s">
        <v>15843</v>
      </c>
      <c r="DP194" t="s">
        <v>13772</v>
      </c>
      <c r="DQ194" t="s">
        <v>13772</v>
      </c>
      <c r="DR194" t="s">
        <v>13772</v>
      </c>
      <c r="DS194" t="s">
        <v>13772</v>
      </c>
      <c r="DT194" t="s">
        <v>13772</v>
      </c>
      <c r="DU194" t="s">
        <v>33829</v>
      </c>
      <c r="DV194" t="s">
        <v>14020</v>
      </c>
      <c r="DW194" t="s">
        <v>13812</v>
      </c>
      <c r="DX194" t="s">
        <v>33830</v>
      </c>
      <c r="DY194" t="s">
        <v>33831</v>
      </c>
      <c r="DZ194" t="s">
        <v>33832</v>
      </c>
      <c r="EA194" t="s">
        <v>13772</v>
      </c>
      <c r="EB194" t="s">
        <v>13890</v>
      </c>
    </row>
    <row r="195" spans="1:132">
      <c r="A195">
        <v>1977</v>
      </c>
      <c r="B195">
        <v>1</v>
      </c>
      <c r="C195" t="s">
        <v>4656</v>
      </c>
      <c r="D195" t="s">
        <v>73</v>
      </c>
      <c r="E195" t="s">
        <v>73</v>
      </c>
      <c r="F195" t="s">
        <v>73</v>
      </c>
      <c r="G195" t="s">
        <v>73</v>
      </c>
      <c r="H195">
        <v>62</v>
      </c>
      <c r="I195">
        <v>345</v>
      </c>
      <c r="J195">
        <v>38595</v>
      </c>
      <c r="K195" t="s">
        <v>4657</v>
      </c>
      <c r="L195">
        <f t="shared" si="10"/>
        <v>224</v>
      </c>
      <c r="N195">
        <v>224</v>
      </c>
      <c r="O195">
        <v>224</v>
      </c>
      <c r="P195">
        <v>1</v>
      </c>
      <c r="Q195">
        <v>1</v>
      </c>
      <c r="R195">
        <v>5</v>
      </c>
      <c r="S195">
        <v>3</v>
      </c>
      <c r="T195">
        <v>3</v>
      </c>
      <c r="U195">
        <v>2</v>
      </c>
      <c r="V195">
        <v>11</v>
      </c>
      <c r="W195">
        <v>11</v>
      </c>
      <c r="X195">
        <v>10</v>
      </c>
      <c r="Y195">
        <v>36</v>
      </c>
      <c r="Z195">
        <v>6</v>
      </c>
      <c r="AA195">
        <v>41</v>
      </c>
      <c r="AB195">
        <v>34</v>
      </c>
      <c r="AC195">
        <v>21</v>
      </c>
      <c r="AD195">
        <v>6</v>
      </c>
      <c r="AE195">
        <v>6</v>
      </c>
      <c r="AF195">
        <v>12</v>
      </c>
      <c r="AG195">
        <v>9</v>
      </c>
      <c r="AH195">
        <v>3</v>
      </c>
      <c r="AI195">
        <v>4</v>
      </c>
      <c r="AJ195">
        <v>1</v>
      </c>
      <c r="AK195">
        <v>5</v>
      </c>
      <c r="AL195">
        <v>3</v>
      </c>
      <c r="AM195">
        <v>3</v>
      </c>
      <c r="AN195">
        <v>2</v>
      </c>
      <c r="AO195">
        <v>11</v>
      </c>
      <c r="AP195">
        <v>11</v>
      </c>
      <c r="AQ195">
        <v>10</v>
      </c>
      <c r="AR195">
        <v>36</v>
      </c>
      <c r="AS195">
        <v>6</v>
      </c>
      <c r="AT195">
        <v>41</v>
      </c>
      <c r="AU195">
        <v>34</v>
      </c>
      <c r="AV195">
        <v>21</v>
      </c>
      <c r="AW195">
        <v>6</v>
      </c>
      <c r="AX195">
        <v>6</v>
      </c>
      <c r="AY195">
        <v>12</v>
      </c>
      <c r="AZ195">
        <v>9</v>
      </c>
      <c r="BA195">
        <v>3</v>
      </c>
      <c r="BB195">
        <v>4</v>
      </c>
      <c r="BC195" s="2">
        <v>1</v>
      </c>
      <c r="BD195" s="2">
        <v>5</v>
      </c>
      <c r="BE195" s="2">
        <v>3</v>
      </c>
      <c r="BF195" s="2">
        <v>3</v>
      </c>
      <c r="BG195" s="2">
        <v>2</v>
      </c>
      <c r="BH195" s="2">
        <v>11</v>
      </c>
      <c r="BI195" s="2">
        <v>11</v>
      </c>
      <c r="BJ195" s="2">
        <v>10</v>
      </c>
      <c r="BK195" s="2">
        <v>36</v>
      </c>
      <c r="BL195" s="2">
        <v>6</v>
      </c>
      <c r="BM195" s="2">
        <v>41</v>
      </c>
      <c r="BN195" s="2">
        <v>34</v>
      </c>
      <c r="BO195" s="2">
        <v>21</v>
      </c>
      <c r="BP195" s="2">
        <v>6</v>
      </c>
      <c r="BQ195" s="2">
        <v>6</v>
      </c>
      <c r="BR195" s="2">
        <v>12</v>
      </c>
      <c r="BS195" s="2">
        <v>9</v>
      </c>
      <c r="BT195" s="2">
        <v>3</v>
      </c>
      <c r="BU195" s="2">
        <v>4</v>
      </c>
      <c r="BV195" s="2">
        <f t="shared" si="13"/>
        <v>224</v>
      </c>
      <c r="BW195" s="16">
        <f t="shared" si="11"/>
        <v>11.789473684210526</v>
      </c>
      <c r="BX195" s="16">
        <f>COUNTIF($BC$6:BU195, "=0") / COUNTIF($BC$6:BU195, "&gt;-1")</f>
        <v>4.6814404432132965E-2</v>
      </c>
      <c r="BY195" s="18">
        <f>SUM($BC$6:BU195) / $BY$4</f>
        <v>0.68107474067333251</v>
      </c>
      <c r="BZ195" s="14">
        <f t="shared" si="12"/>
        <v>0</v>
      </c>
      <c r="CA195" t="s">
        <v>5831</v>
      </c>
      <c r="CB195" s="36">
        <v>1.2116433958347299</v>
      </c>
      <c r="CC195" s="36">
        <v>4.8153206033872298</v>
      </c>
      <c r="CD195" s="36">
        <v>4.8023929854367697</v>
      </c>
      <c r="CE195" s="36">
        <v>4.5357652774596904</v>
      </c>
      <c r="CF195" s="36">
        <v>1.72035271987378</v>
      </c>
      <c r="CG195" s="36">
        <v>10.226999713034401</v>
      </c>
      <c r="CH195" s="36">
        <v>11.594685111511</v>
      </c>
      <c r="CI195" s="36">
        <v>9.7318359798230603</v>
      </c>
      <c r="CJ195" s="37">
        <v>28.6112985568185</v>
      </c>
      <c r="CK195" s="37">
        <v>25.856635522419701</v>
      </c>
      <c r="CL195" s="37">
        <v>27.201847841089702</v>
      </c>
      <c r="CM195" s="37">
        <v>17.777487978598799</v>
      </c>
      <c r="CN195" s="37">
        <v>5.5127553948906796</v>
      </c>
      <c r="CO195" s="37">
        <v>9.4702868446214996</v>
      </c>
      <c r="CP195" s="37">
        <v>13.576860430761799</v>
      </c>
      <c r="CQ195" s="37">
        <v>6.0905473858984696</v>
      </c>
      <c r="CR195" s="45">
        <v>1.4483341114997701</v>
      </c>
      <c r="CS195" s="45">
        <v>2.7570001762393002</v>
      </c>
      <c r="CT195" s="46">
        <v>2.2038174119191202E-3</v>
      </c>
      <c r="CU195" s="47">
        <v>4.5930026435323703E-3</v>
      </c>
      <c r="CV195" s="48">
        <v>6.0798744732950896</v>
      </c>
      <c r="CW195" s="49">
        <v>16.762214994387399</v>
      </c>
      <c r="CX195" s="31" t="s">
        <v>5874</v>
      </c>
      <c r="CY195" s="31" t="s">
        <v>5876</v>
      </c>
      <c r="CZ195" t="s">
        <v>12345</v>
      </c>
      <c r="DA195" t="s">
        <v>5904</v>
      </c>
      <c r="DB195">
        <v>659.4</v>
      </c>
      <c r="DC195" t="s">
        <v>32733</v>
      </c>
      <c r="DD195" t="s">
        <v>32734</v>
      </c>
      <c r="DE195" t="s">
        <v>32735</v>
      </c>
      <c r="DF195" t="s">
        <v>32736</v>
      </c>
      <c r="DG195" t="s">
        <v>32737</v>
      </c>
      <c r="DH195" t="str">
        <f>"ANXA1"</f>
        <v>ANXA1</v>
      </c>
      <c r="DI195" t="s">
        <v>32738</v>
      </c>
      <c r="DJ195" t="s">
        <v>13777</v>
      </c>
      <c r="DK195">
        <v>9606</v>
      </c>
      <c r="DL195" s="34" t="str">
        <f>HYPERLINK("http://www.uniprot.org/uniprot/P04083", "P04083")</f>
        <v>P04083</v>
      </c>
      <c r="DM195" t="s">
        <v>32739</v>
      </c>
      <c r="DN195" t="s">
        <v>32740</v>
      </c>
      <c r="DO195" t="s">
        <v>32741</v>
      </c>
      <c r="DP195" t="s">
        <v>13772</v>
      </c>
      <c r="DQ195" t="s">
        <v>13772</v>
      </c>
      <c r="DR195" t="s">
        <v>13772</v>
      </c>
      <c r="DS195" t="s">
        <v>15322</v>
      </c>
      <c r="DT195" t="s">
        <v>24991</v>
      </c>
      <c r="DU195" t="s">
        <v>19418</v>
      </c>
      <c r="DV195" t="s">
        <v>18756</v>
      </c>
      <c r="DW195" t="s">
        <v>14324</v>
      </c>
      <c r="DX195" t="s">
        <v>32742</v>
      </c>
      <c r="DY195" t="s">
        <v>32743</v>
      </c>
      <c r="DZ195" t="s">
        <v>32744</v>
      </c>
      <c r="EA195" t="s">
        <v>13772</v>
      </c>
      <c r="EB195" t="s">
        <v>32745</v>
      </c>
    </row>
    <row r="196" spans="1:132" hidden="1">
      <c r="A196">
        <v>1684</v>
      </c>
      <c r="B196">
        <v>1</v>
      </c>
      <c r="C196" t="s">
        <v>3993</v>
      </c>
      <c r="D196" t="s">
        <v>3994</v>
      </c>
      <c r="E196" t="s">
        <v>73</v>
      </c>
      <c r="F196" t="s">
        <v>3995</v>
      </c>
      <c r="G196" t="s">
        <v>73</v>
      </c>
      <c r="H196">
        <v>24.2</v>
      </c>
      <c r="I196">
        <v>4703</v>
      </c>
      <c r="J196">
        <v>534301</v>
      </c>
      <c r="K196" t="s">
        <v>3996</v>
      </c>
      <c r="L196">
        <f t="shared" si="10"/>
        <v>224</v>
      </c>
      <c r="N196">
        <v>224</v>
      </c>
      <c r="O196">
        <v>213</v>
      </c>
      <c r="P196">
        <v>0.95099999999999996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2</v>
      </c>
      <c r="Y196">
        <v>19</v>
      </c>
      <c r="Z196">
        <v>0</v>
      </c>
      <c r="AA196">
        <v>53</v>
      </c>
      <c r="AB196">
        <v>49</v>
      </c>
      <c r="AC196">
        <v>24</v>
      </c>
      <c r="AD196">
        <v>0</v>
      </c>
      <c r="AE196">
        <v>36</v>
      </c>
      <c r="AF196">
        <v>34</v>
      </c>
      <c r="AG196">
        <v>2</v>
      </c>
      <c r="AH196">
        <v>0</v>
      </c>
      <c r="AI196">
        <v>2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2</v>
      </c>
      <c r="AP196">
        <v>0</v>
      </c>
      <c r="AQ196">
        <v>2</v>
      </c>
      <c r="AR196">
        <v>19</v>
      </c>
      <c r="AS196">
        <v>0</v>
      </c>
      <c r="AT196">
        <v>50</v>
      </c>
      <c r="AU196">
        <v>43</v>
      </c>
      <c r="AV196">
        <v>23</v>
      </c>
      <c r="AW196">
        <v>0</v>
      </c>
      <c r="AX196">
        <v>36</v>
      </c>
      <c r="AY196">
        <v>33</v>
      </c>
      <c r="AZ196">
        <v>2</v>
      </c>
      <c r="BA196">
        <v>0</v>
      </c>
      <c r="BB196">
        <v>2</v>
      </c>
      <c r="BC196" s="2">
        <v>0</v>
      </c>
      <c r="BD196" s="2">
        <v>1</v>
      </c>
      <c r="BE196" s="2">
        <v>0</v>
      </c>
      <c r="BF196" s="2">
        <v>0</v>
      </c>
      <c r="BG196" s="2">
        <v>0</v>
      </c>
      <c r="BH196" s="2">
        <v>2</v>
      </c>
      <c r="BI196" s="2">
        <v>0</v>
      </c>
      <c r="BJ196" s="2">
        <v>2</v>
      </c>
      <c r="BK196" s="2">
        <v>19</v>
      </c>
      <c r="BL196" s="2">
        <v>0</v>
      </c>
      <c r="BM196" s="2">
        <v>52.631</v>
      </c>
      <c r="BN196" s="2">
        <v>49</v>
      </c>
      <c r="BO196" s="2">
        <v>24</v>
      </c>
      <c r="BP196" s="2">
        <v>0</v>
      </c>
      <c r="BQ196" s="2">
        <v>36</v>
      </c>
      <c r="BR196" s="2">
        <v>34</v>
      </c>
      <c r="BS196" s="2">
        <v>2</v>
      </c>
      <c r="BT196" s="2">
        <v>0</v>
      </c>
      <c r="BU196" s="2">
        <v>2</v>
      </c>
      <c r="BV196" s="2">
        <f t="shared" si="13"/>
        <v>223.631</v>
      </c>
      <c r="BW196" s="16">
        <f t="shared" si="11"/>
        <v>11.770052631578947</v>
      </c>
      <c r="BX196" s="16">
        <f>COUNTIF($BC$6:BU196, "=0") / COUNTIF($BC$6:BU196, "&gt;-1")</f>
        <v>4.8773766877927803E-2</v>
      </c>
      <c r="BY196" s="18">
        <f>SUM($BC$6:BU196) / $BY$4</f>
        <v>0.68203269466991678</v>
      </c>
      <c r="BZ196" s="14">
        <f t="shared" si="12"/>
        <v>8</v>
      </c>
      <c r="CA196" t="s">
        <v>5831</v>
      </c>
      <c r="CB196" s="36">
        <v>0.30291084895868198</v>
      </c>
      <c r="CC196" s="36">
        <v>0.96306412067744696</v>
      </c>
      <c r="CD196" s="36">
        <v>0.40019941545306398</v>
      </c>
      <c r="CE196" s="36">
        <v>0.37798043978830698</v>
      </c>
      <c r="CF196" s="36">
        <v>0.215044089984223</v>
      </c>
      <c r="CG196" s="36">
        <v>1.85945449327898</v>
      </c>
      <c r="CH196" s="36">
        <v>0.26351557071616</v>
      </c>
      <c r="CI196" s="36">
        <v>1.9463671959646101</v>
      </c>
      <c r="CJ196" s="37">
        <v>15.1004075716542</v>
      </c>
      <c r="CK196" s="37">
        <v>33.1721714263238</v>
      </c>
      <c r="CL196" s="37">
        <v>39.202663065099799</v>
      </c>
      <c r="CM196" s="37">
        <v>20.317129118398601</v>
      </c>
      <c r="CN196" s="37">
        <v>33.0765323693441</v>
      </c>
      <c r="CO196" s="37">
        <v>26.8324793930942</v>
      </c>
      <c r="CP196" s="37">
        <v>3.0170800957248498</v>
      </c>
      <c r="CQ196" s="37">
        <v>3.0452736929492299</v>
      </c>
      <c r="CR196" s="45">
        <v>4.5321935355707303</v>
      </c>
      <c r="CS196" s="45">
        <v>27.457176815061899</v>
      </c>
      <c r="CT196" s="46">
        <v>2.0434843117974E-11</v>
      </c>
      <c r="CU196" s="47">
        <v>4.27215938935143E-10</v>
      </c>
      <c r="CV196" s="48">
        <v>0.79106702185268496</v>
      </c>
      <c r="CW196" s="49">
        <v>21.7204670915736</v>
      </c>
      <c r="CX196" s="31" t="s">
        <v>5874</v>
      </c>
      <c r="CY196" s="31" t="s">
        <v>5876</v>
      </c>
      <c r="CZ196" t="s">
        <v>11367</v>
      </c>
      <c r="DA196" t="s">
        <v>5904</v>
      </c>
      <c r="DB196">
        <v>8178.2</v>
      </c>
      <c r="DC196" t="s">
        <v>29959</v>
      </c>
      <c r="DD196" t="s">
        <v>29960</v>
      </c>
      <c r="DE196" t="s">
        <v>29961</v>
      </c>
      <c r="DF196" t="s">
        <v>29962</v>
      </c>
      <c r="DG196" t="s">
        <v>29963</v>
      </c>
      <c r="DH196" t="str">
        <f>"PLEC"</f>
        <v>PLEC</v>
      </c>
      <c r="DI196" t="s">
        <v>29964</v>
      </c>
      <c r="DJ196" t="s">
        <v>13777</v>
      </c>
      <c r="DK196">
        <v>9606</v>
      </c>
      <c r="DL196" s="34" t="str">
        <f>HYPERLINK("http://www.uniprot.org/uniprot/Q15149", "Q15149")</f>
        <v>Q15149</v>
      </c>
      <c r="DM196" t="s">
        <v>29965</v>
      </c>
      <c r="DN196" t="s">
        <v>13772</v>
      </c>
      <c r="DO196" t="s">
        <v>29272</v>
      </c>
      <c r="DP196" t="s">
        <v>13780</v>
      </c>
      <c r="DQ196" t="s">
        <v>13772</v>
      </c>
      <c r="DR196" t="s">
        <v>29966</v>
      </c>
      <c r="DS196" t="s">
        <v>19296</v>
      </c>
      <c r="DT196" t="s">
        <v>13772</v>
      </c>
      <c r="DU196" t="s">
        <v>13990</v>
      </c>
      <c r="DV196" t="s">
        <v>14098</v>
      </c>
      <c r="DW196" t="s">
        <v>13812</v>
      </c>
      <c r="DX196" t="s">
        <v>29967</v>
      </c>
      <c r="DY196" t="s">
        <v>29968</v>
      </c>
      <c r="DZ196" t="s">
        <v>29969</v>
      </c>
      <c r="EA196" t="s">
        <v>13772</v>
      </c>
      <c r="EB196" t="s">
        <v>29970</v>
      </c>
    </row>
    <row r="197" spans="1:132">
      <c r="A197">
        <v>1802</v>
      </c>
      <c r="B197">
        <v>1</v>
      </c>
      <c r="C197" t="s">
        <v>4261</v>
      </c>
      <c r="D197" t="s">
        <v>73</v>
      </c>
      <c r="E197" t="s">
        <v>73</v>
      </c>
      <c r="F197" t="s">
        <v>73</v>
      </c>
      <c r="G197" t="s">
        <v>73</v>
      </c>
      <c r="H197">
        <v>44.2</v>
      </c>
      <c r="I197">
        <v>224</v>
      </c>
      <c r="J197">
        <v>24890</v>
      </c>
      <c r="K197" t="s">
        <v>4262</v>
      </c>
      <c r="L197">
        <f t="shared" si="10"/>
        <v>223</v>
      </c>
      <c r="N197">
        <v>223</v>
      </c>
      <c r="O197">
        <v>223</v>
      </c>
      <c r="P197">
        <v>1</v>
      </c>
      <c r="Q197">
        <v>17</v>
      </c>
      <c r="R197">
        <v>10</v>
      </c>
      <c r="S197">
        <v>7</v>
      </c>
      <c r="T197">
        <v>6</v>
      </c>
      <c r="U197">
        <v>8</v>
      </c>
      <c r="V197">
        <v>10</v>
      </c>
      <c r="W197">
        <v>19</v>
      </c>
      <c r="X197">
        <v>13</v>
      </c>
      <c r="Y197">
        <v>12</v>
      </c>
      <c r="Z197">
        <v>11</v>
      </c>
      <c r="AA197">
        <v>8</v>
      </c>
      <c r="AB197">
        <v>5</v>
      </c>
      <c r="AC197">
        <v>18</v>
      </c>
      <c r="AD197">
        <v>11</v>
      </c>
      <c r="AE197">
        <v>24</v>
      </c>
      <c r="AF197">
        <v>7</v>
      </c>
      <c r="AG197">
        <v>13</v>
      </c>
      <c r="AH197">
        <v>13</v>
      </c>
      <c r="AI197">
        <v>11</v>
      </c>
      <c r="AJ197">
        <v>17</v>
      </c>
      <c r="AK197">
        <v>10</v>
      </c>
      <c r="AL197">
        <v>7</v>
      </c>
      <c r="AM197">
        <v>6</v>
      </c>
      <c r="AN197">
        <v>8</v>
      </c>
      <c r="AO197">
        <v>10</v>
      </c>
      <c r="AP197">
        <v>19</v>
      </c>
      <c r="AQ197">
        <v>13</v>
      </c>
      <c r="AR197">
        <v>12</v>
      </c>
      <c r="AS197">
        <v>11</v>
      </c>
      <c r="AT197">
        <v>8</v>
      </c>
      <c r="AU197">
        <v>5</v>
      </c>
      <c r="AV197">
        <v>18</v>
      </c>
      <c r="AW197">
        <v>11</v>
      </c>
      <c r="AX197">
        <v>24</v>
      </c>
      <c r="AY197">
        <v>7</v>
      </c>
      <c r="AZ197">
        <v>13</v>
      </c>
      <c r="BA197">
        <v>13</v>
      </c>
      <c r="BB197">
        <v>11</v>
      </c>
      <c r="BC197" s="2">
        <v>17</v>
      </c>
      <c r="BD197" s="2">
        <v>10</v>
      </c>
      <c r="BE197" s="2">
        <v>7</v>
      </c>
      <c r="BF197" s="2">
        <v>6</v>
      </c>
      <c r="BG197" s="2">
        <v>8</v>
      </c>
      <c r="BH197" s="2">
        <v>10</v>
      </c>
      <c r="BI197" s="2">
        <v>19</v>
      </c>
      <c r="BJ197" s="2">
        <v>13</v>
      </c>
      <c r="BK197" s="2">
        <v>12</v>
      </c>
      <c r="BL197" s="2">
        <v>11</v>
      </c>
      <c r="BM197" s="2">
        <v>8</v>
      </c>
      <c r="BN197" s="2">
        <v>5</v>
      </c>
      <c r="BO197" s="2">
        <v>18</v>
      </c>
      <c r="BP197" s="2">
        <v>11</v>
      </c>
      <c r="BQ197" s="2">
        <v>24</v>
      </c>
      <c r="BR197" s="2">
        <v>7</v>
      </c>
      <c r="BS197" s="2">
        <v>13</v>
      </c>
      <c r="BT197" s="2">
        <v>13</v>
      </c>
      <c r="BU197" s="2">
        <v>11</v>
      </c>
      <c r="BV197" s="2">
        <f t="shared" si="13"/>
        <v>223</v>
      </c>
      <c r="BW197" s="16">
        <f t="shared" si="11"/>
        <v>11.736842105263158</v>
      </c>
      <c r="BX197" s="16">
        <f>COUNTIF($BC$6:BU197, "=0") / COUNTIF($BC$6:BU197, "&gt;-1")</f>
        <v>4.8519736842105261E-2</v>
      </c>
      <c r="BY197" s="18">
        <f>SUM($BC$6:BU197) / $BY$4</f>
        <v>0.68298794569163701</v>
      </c>
      <c r="BZ197" s="14">
        <f t="shared" si="12"/>
        <v>0</v>
      </c>
      <c r="CA197" t="s">
        <v>5831</v>
      </c>
      <c r="CB197" s="36">
        <v>20.597937729190399</v>
      </c>
      <c r="CC197" s="36">
        <v>9.6306412067744702</v>
      </c>
      <c r="CD197" s="36">
        <v>11.2055836326858</v>
      </c>
      <c r="CE197" s="36">
        <v>9.0715305549193808</v>
      </c>
      <c r="CF197" s="36">
        <v>6.8814108794951396</v>
      </c>
      <c r="CG197" s="36">
        <v>9.2972724663949098</v>
      </c>
      <c r="CH197" s="36">
        <v>20.027183374428201</v>
      </c>
      <c r="CI197" s="36">
        <v>12.65138677377</v>
      </c>
      <c r="CJ197" s="37">
        <v>9.53709951893949</v>
      </c>
      <c r="CK197" s="37">
        <v>5.0451971751062796</v>
      </c>
      <c r="CL197" s="37">
        <v>4.0002717413367099</v>
      </c>
      <c r="CM197" s="37">
        <v>15.2378468387989</v>
      </c>
      <c r="CN197" s="37">
        <v>22.0510215795627</v>
      </c>
      <c r="CO197" s="37">
        <v>5.5243339926958699</v>
      </c>
      <c r="CP197" s="37">
        <v>19.611020622211502</v>
      </c>
      <c r="CQ197" s="37">
        <v>16.749005311220799</v>
      </c>
      <c r="CR197" s="45">
        <v>-6.1230530619576E-2</v>
      </c>
      <c r="CS197" s="45">
        <v>-1.01644045561211</v>
      </c>
      <c r="CT197" s="46">
        <v>0.94143917511031605</v>
      </c>
      <c r="CU197" s="47">
        <v>0.96156153915847598</v>
      </c>
      <c r="CV197" s="48">
        <v>12.420368327207299</v>
      </c>
      <c r="CW197" s="49">
        <v>12.219474597484</v>
      </c>
      <c r="CX197" s="31" t="s">
        <v>5875</v>
      </c>
      <c r="CY197" s="31" t="s">
        <v>5832</v>
      </c>
      <c r="CZ197" t="s">
        <v>11759</v>
      </c>
      <c r="DA197" t="s">
        <v>5904</v>
      </c>
      <c r="DB197">
        <v>335.1</v>
      </c>
      <c r="DC197" t="s">
        <v>31098</v>
      </c>
      <c r="DD197" t="s">
        <v>31099</v>
      </c>
      <c r="DE197" t="s">
        <v>31100</v>
      </c>
      <c r="DF197" t="s">
        <v>31101</v>
      </c>
      <c r="DG197" t="s">
        <v>13772</v>
      </c>
      <c r="DH197" t="str">
        <f>"APCS"</f>
        <v>APCS</v>
      </c>
      <c r="DI197" t="s">
        <v>31102</v>
      </c>
      <c r="DJ197" t="s">
        <v>13777</v>
      </c>
      <c r="DK197">
        <v>9606</v>
      </c>
      <c r="DL197" s="34" t="str">
        <f>HYPERLINK("http://www.uniprot.org/uniprot/P02743", "P02743")</f>
        <v>P02743</v>
      </c>
      <c r="DM197" t="s">
        <v>31103</v>
      </c>
      <c r="DN197" t="s">
        <v>13772</v>
      </c>
      <c r="DO197" t="s">
        <v>20170</v>
      </c>
      <c r="DP197" t="s">
        <v>13793</v>
      </c>
      <c r="DQ197" t="s">
        <v>13772</v>
      </c>
      <c r="DR197" t="s">
        <v>13772</v>
      </c>
      <c r="DS197" t="s">
        <v>13808</v>
      </c>
      <c r="DT197" t="s">
        <v>14519</v>
      </c>
      <c r="DU197" t="s">
        <v>13772</v>
      </c>
      <c r="DV197" t="s">
        <v>13796</v>
      </c>
      <c r="DW197" t="s">
        <v>13812</v>
      </c>
      <c r="DX197" t="s">
        <v>31104</v>
      </c>
      <c r="DY197" t="s">
        <v>31105</v>
      </c>
      <c r="DZ197" t="s">
        <v>31106</v>
      </c>
      <c r="EA197" t="s">
        <v>13772</v>
      </c>
      <c r="EB197" t="s">
        <v>18773</v>
      </c>
    </row>
    <row r="198" spans="1:132" hidden="1">
      <c r="A198">
        <v>2231</v>
      </c>
      <c r="B198">
        <v>1</v>
      </c>
      <c r="C198" t="s">
        <v>5217</v>
      </c>
      <c r="D198" t="s">
        <v>5218</v>
      </c>
      <c r="E198" t="s">
        <v>73</v>
      </c>
      <c r="F198" t="s">
        <v>73</v>
      </c>
      <c r="G198" t="s">
        <v>73</v>
      </c>
      <c r="H198">
        <v>34.5</v>
      </c>
      <c r="I198">
        <v>2055</v>
      </c>
      <c r="J198">
        <v>217268</v>
      </c>
      <c r="K198" t="s">
        <v>5219</v>
      </c>
      <c r="L198">
        <f t="shared" ref="L198:L261" si="14">N198</f>
        <v>222</v>
      </c>
      <c r="N198">
        <v>222</v>
      </c>
      <c r="O198">
        <v>222</v>
      </c>
      <c r="P198">
        <v>1</v>
      </c>
      <c r="Q198">
        <v>10</v>
      </c>
      <c r="R198">
        <v>8</v>
      </c>
      <c r="S198">
        <v>8</v>
      </c>
      <c r="T198">
        <v>0</v>
      </c>
      <c r="U198">
        <v>8</v>
      </c>
      <c r="V198">
        <v>11</v>
      </c>
      <c r="W198">
        <v>18</v>
      </c>
      <c r="X198">
        <v>19</v>
      </c>
      <c r="Y198">
        <v>3</v>
      </c>
      <c r="Z198">
        <v>5</v>
      </c>
      <c r="AA198">
        <v>14</v>
      </c>
      <c r="AB198">
        <v>22</v>
      </c>
      <c r="AC198">
        <v>36</v>
      </c>
      <c r="AD198">
        <v>8</v>
      </c>
      <c r="AE198">
        <v>7</v>
      </c>
      <c r="AF198">
        <v>16</v>
      </c>
      <c r="AG198">
        <v>10</v>
      </c>
      <c r="AH198">
        <v>6</v>
      </c>
      <c r="AI198">
        <v>13</v>
      </c>
      <c r="AJ198">
        <v>10</v>
      </c>
      <c r="AK198">
        <v>8</v>
      </c>
      <c r="AL198">
        <v>8</v>
      </c>
      <c r="AM198">
        <v>0</v>
      </c>
      <c r="AN198">
        <v>8</v>
      </c>
      <c r="AO198">
        <v>11</v>
      </c>
      <c r="AP198">
        <v>18</v>
      </c>
      <c r="AQ198">
        <v>19</v>
      </c>
      <c r="AR198">
        <v>3</v>
      </c>
      <c r="AS198">
        <v>5</v>
      </c>
      <c r="AT198">
        <v>14</v>
      </c>
      <c r="AU198">
        <v>22</v>
      </c>
      <c r="AV198">
        <v>36</v>
      </c>
      <c r="AW198">
        <v>8</v>
      </c>
      <c r="AX198">
        <v>7</v>
      </c>
      <c r="AY198">
        <v>16</v>
      </c>
      <c r="AZ198">
        <v>10</v>
      </c>
      <c r="BA198">
        <v>6</v>
      </c>
      <c r="BB198">
        <v>13</v>
      </c>
      <c r="BC198" s="2">
        <v>10</v>
      </c>
      <c r="BD198" s="2">
        <v>8</v>
      </c>
      <c r="BE198" s="2">
        <v>8</v>
      </c>
      <c r="BF198" s="2">
        <v>0</v>
      </c>
      <c r="BG198" s="2">
        <v>8</v>
      </c>
      <c r="BH198" s="2">
        <v>11</v>
      </c>
      <c r="BI198" s="2">
        <v>18</v>
      </c>
      <c r="BJ198" s="2">
        <v>19</v>
      </c>
      <c r="BK198" s="2">
        <v>3</v>
      </c>
      <c r="BL198" s="2">
        <v>5</v>
      </c>
      <c r="BM198" s="2">
        <v>14</v>
      </c>
      <c r="BN198" s="2">
        <v>22</v>
      </c>
      <c r="BO198" s="2">
        <v>36</v>
      </c>
      <c r="BP198" s="2">
        <v>8</v>
      </c>
      <c r="BQ198" s="2">
        <v>7</v>
      </c>
      <c r="BR198" s="2">
        <v>16</v>
      </c>
      <c r="BS198" s="2">
        <v>10</v>
      </c>
      <c r="BT198" s="2">
        <v>6</v>
      </c>
      <c r="BU198" s="2">
        <v>13</v>
      </c>
      <c r="BV198" s="2">
        <f t="shared" si="13"/>
        <v>222</v>
      </c>
      <c r="BW198" s="16">
        <f t="shared" ref="BW198:BW261" si="15">AVERAGE(BC198:BU198)</f>
        <v>11.684210526315789</v>
      </c>
      <c r="BX198" s="16">
        <f>COUNTIF($BC$6:BU198, "=0") / COUNTIF($BC$6:BU198, "&gt;-1")</f>
        <v>4.8541041723479686E-2</v>
      </c>
      <c r="BY198" s="18">
        <f>SUM($BC$6:BU198) / $BY$4</f>
        <v>0.68393891307648857</v>
      </c>
      <c r="BZ198" s="14">
        <f t="shared" ref="BZ198:BZ261" si="16">19-COUNTIF(BC198:BU198, "&gt;0")</f>
        <v>1</v>
      </c>
      <c r="CA198" t="s">
        <v>5831</v>
      </c>
      <c r="CB198" s="36">
        <v>12.116433958347301</v>
      </c>
      <c r="CC198" s="36">
        <v>7.7045129654195703</v>
      </c>
      <c r="CD198" s="36">
        <v>12.806381294498101</v>
      </c>
      <c r="CE198" s="36">
        <v>0.37798043978830698</v>
      </c>
      <c r="CF198" s="36">
        <v>6.8814108794951396</v>
      </c>
      <c r="CG198" s="36">
        <v>10.226999713034401</v>
      </c>
      <c r="CH198" s="36">
        <v>18.973121091563499</v>
      </c>
      <c r="CI198" s="36">
        <v>18.4904883616638</v>
      </c>
      <c r="CJ198" s="37">
        <v>2.3842748797348698</v>
      </c>
      <c r="CK198" s="37">
        <v>8.8290950564359996</v>
      </c>
      <c r="CL198" s="37">
        <v>17.601195661881501</v>
      </c>
      <c r="CM198" s="37">
        <v>30.475693677597899</v>
      </c>
      <c r="CN198" s="37">
        <v>6.4315479607058004</v>
      </c>
      <c r="CO198" s="37">
        <v>12.627049126161999</v>
      </c>
      <c r="CP198" s="37">
        <v>15.0854004786242</v>
      </c>
      <c r="CQ198" s="37">
        <v>19.794279004170001</v>
      </c>
      <c r="CR198" s="45">
        <v>0.34702916069494399</v>
      </c>
      <c r="CS198" s="45">
        <v>1.2928978026751099</v>
      </c>
      <c r="CT198" s="46">
        <v>0.46683384109600801</v>
      </c>
      <c r="CU198" s="47">
        <v>0.54752488067127203</v>
      </c>
      <c r="CV198" s="48">
        <v>10.947166087976299</v>
      </c>
      <c r="CW198" s="49">
        <v>14.153566980663999</v>
      </c>
      <c r="CX198" s="31" t="s">
        <v>5874</v>
      </c>
      <c r="CY198" s="31" t="s">
        <v>5832</v>
      </c>
      <c r="CZ198" t="s">
        <v>13180</v>
      </c>
      <c r="DA198" t="s">
        <v>5904</v>
      </c>
      <c r="DB198">
        <v>3350.1</v>
      </c>
      <c r="DC198" t="s">
        <v>35059</v>
      </c>
      <c r="DD198" t="s">
        <v>13772</v>
      </c>
      <c r="DE198" t="s">
        <v>35060</v>
      </c>
      <c r="DF198" t="s">
        <v>35061</v>
      </c>
      <c r="DG198" t="s">
        <v>35062</v>
      </c>
      <c r="DH198" t="str">
        <f>"AGRN"</f>
        <v>AGRN</v>
      </c>
      <c r="DI198" t="s">
        <v>35063</v>
      </c>
      <c r="DJ198" t="s">
        <v>13777</v>
      </c>
      <c r="DK198">
        <v>9606</v>
      </c>
      <c r="DL198" s="34" t="str">
        <f>HYPERLINK("http://www.uniprot.org/uniprot/O00468", "O00468")</f>
        <v>O00468</v>
      </c>
      <c r="DM198" t="s">
        <v>35064</v>
      </c>
      <c r="DN198" t="s">
        <v>15591</v>
      </c>
      <c r="DO198" t="s">
        <v>35065</v>
      </c>
      <c r="DP198" t="s">
        <v>13780</v>
      </c>
      <c r="DQ198" t="s">
        <v>13772</v>
      </c>
      <c r="DR198" t="s">
        <v>34510</v>
      </c>
      <c r="DS198" t="s">
        <v>35066</v>
      </c>
      <c r="DT198" t="s">
        <v>14465</v>
      </c>
      <c r="DU198" t="s">
        <v>14727</v>
      </c>
      <c r="DV198" t="s">
        <v>25418</v>
      </c>
      <c r="DW198" t="s">
        <v>13772</v>
      </c>
      <c r="DX198" t="s">
        <v>35067</v>
      </c>
      <c r="DY198" t="s">
        <v>35068</v>
      </c>
      <c r="DZ198" t="s">
        <v>35069</v>
      </c>
      <c r="EA198" t="s">
        <v>13772</v>
      </c>
      <c r="EB198" t="s">
        <v>35070</v>
      </c>
    </row>
    <row r="199" spans="1:132">
      <c r="A199">
        <v>1540</v>
      </c>
      <c r="B199">
        <v>1</v>
      </c>
      <c r="C199" t="s">
        <v>3657</v>
      </c>
      <c r="D199" t="s">
        <v>73</v>
      </c>
      <c r="E199" t="s">
        <v>73</v>
      </c>
      <c r="F199" t="s">
        <v>73</v>
      </c>
      <c r="G199" t="s">
        <v>73</v>
      </c>
      <c r="H199">
        <v>40</v>
      </c>
      <c r="I199">
        <v>950</v>
      </c>
      <c r="J199">
        <v>107119</v>
      </c>
      <c r="K199" t="s">
        <v>3658</v>
      </c>
      <c r="L199">
        <f t="shared" si="14"/>
        <v>217</v>
      </c>
      <c r="N199">
        <v>217</v>
      </c>
      <c r="O199">
        <v>217</v>
      </c>
      <c r="P199">
        <v>1</v>
      </c>
      <c r="Q199">
        <v>2</v>
      </c>
      <c r="R199">
        <v>3</v>
      </c>
      <c r="S199">
        <v>3</v>
      </c>
      <c r="T199">
        <v>8</v>
      </c>
      <c r="U199">
        <v>2</v>
      </c>
      <c r="V199">
        <v>3</v>
      </c>
      <c r="W199">
        <v>1</v>
      </c>
      <c r="X199">
        <v>4</v>
      </c>
      <c r="Y199">
        <v>9</v>
      </c>
      <c r="Z199">
        <v>34</v>
      </c>
      <c r="AA199">
        <v>9</v>
      </c>
      <c r="AB199">
        <v>8</v>
      </c>
      <c r="AC199">
        <v>31</v>
      </c>
      <c r="AD199">
        <v>19</v>
      </c>
      <c r="AE199">
        <v>25</v>
      </c>
      <c r="AF199">
        <v>14</v>
      </c>
      <c r="AG199">
        <v>19</v>
      </c>
      <c r="AH199">
        <v>9</v>
      </c>
      <c r="AI199">
        <v>14</v>
      </c>
      <c r="AJ199">
        <v>2</v>
      </c>
      <c r="AK199">
        <v>3</v>
      </c>
      <c r="AL199">
        <v>3</v>
      </c>
      <c r="AM199">
        <v>8</v>
      </c>
      <c r="AN199">
        <v>2</v>
      </c>
      <c r="AO199">
        <v>3</v>
      </c>
      <c r="AP199">
        <v>1</v>
      </c>
      <c r="AQ199">
        <v>4</v>
      </c>
      <c r="AR199">
        <v>9</v>
      </c>
      <c r="AS199">
        <v>34</v>
      </c>
      <c r="AT199">
        <v>9</v>
      </c>
      <c r="AU199">
        <v>8</v>
      </c>
      <c r="AV199">
        <v>31</v>
      </c>
      <c r="AW199">
        <v>19</v>
      </c>
      <c r="AX199">
        <v>25</v>
      </c>
      <c r="AY199">
        <v>14</v>
      </c>
      <c r="AZ199">
        <v>19</v>
      </c>
      <c r="BA199">
        <v>9</v>
      </c>
      <c r="BB199">
        <v>14</v>
      </c>
      <c r="BC199" s="2">
        <v>2</v>
      </c>
      <c r="BD199" s="2">
        <v>3</v>
      </c>
      <c r="BE199" s="2">
        <v>3</v>
      </c>
      <c r="BF199" s="2">
        <v>8</v>
      </c>
      <c r="BG199" s="2">
        <v>2</v>
      </c>
      <c r="BH199" s="2">
        <v>3</v>
      </c>
      <c r="BI199" s="2">
        <v>1</v>
      </c>
      <c r="BJ199" s="2">
        <v>4</v>
      </c>
      <c r="BK199" s="2">
        <v>9</v>
      </c>
      <c r="BL199" s="2">
        <v>34</v>
      </c>
      <c r="BM199" s="2">
        <v>9</v>
      </c>
      <c r="BN199" s="2">
        <v>8</v>
      </c>
      <c r="BO199" s="2">
        <v>31</v>
      </c>
      <c r="BP199" s="2">
        <v>19</v>
      </c>
      <c r="BQ199" s="2">
        <v>25</v>
      </c>
      <c r="BR199" s="2">
        <v>14</v>
      </c>
      <c r="BS199" s="2">
        <v>19</v>
      </c>
      <c r="BT199" s="2">
        <v>9</v>
      </c>
      <c r="BU199" s="2">
        <v>14</v>
      </c>
      <c r="BV199" s="2">
        <f t="shared" ref="BV199:BV262" si="17">SUM(BC199:BU199)</f>
        <v>217</v>
      </c>
      <c r="BW199" s="16">
        <f t="shared" si="15"/>
        <v>11.421052631578947</v>
      </c>
      <c r="BX199" s="16">
        <f>COUNTIF($BC$6:BU199, "=0") / COUNTIF($BC$6:BU199, "&gt;-1")</f>
        <v>4.8290830168204013E-2</v>
      </c>
      <c r="BY199" s="18">
        <f>SUM($BC$6:BU199) / $BY$4</f>
        <v>0.68486846227699649</v>
      </c>
      <c r="BZ199" s="14">
        <f t="shared" si="16"/>
        <v>0</v>
      </c>
      <c r="CA199" t="s">
        <v>5831</v>
      </c>
      <c r="CB199" s="36">
        <v>2.4232867916694598</v>
      </c>
      <c r="CC199" s="36">
        <v>2.8891923620323401</v>
      </c>
      <c r="CD199" s="36">
        <v>4.8023929854367697</v>
      </c>
      <c r="CE199" s="36">
        <v>12.0953740732258</v>
      </c>
      <c r="CF199" s="36">
        <v>1.72035271987378</v>
      </c>
      <c r="CG199" s="36">
        <v>2.7891817399184702</v>
      </c>
      <c r="CH199" s="36">
        <v>1.05406228286464</v>
      </c>
      <c r="CI199" s="36">
        <v>3.8927343919292201</v>
      </c>
      <c r="CJ199" s="37">
        <v>7.1528246392046197</v>
      </c>
      <c r="CK199" s="37">
        <v>5.6758468219945701</v>
      </c>
      <c r="CL199" s="37">
        <v>6.4004347861387396</v>
      </c>
      <c r="CM199" s="37">
        <v>26.242958444598202</v>
      </c>
      <c r="CN199" s="37">
        <v>22.9698141453778</v>
      </c>
      <c r="CO199" s="37">
        <v>11.048667985391701</v>
      </c>
      <c r="CP199" s="37">
        <v>28.662260909385999</v>
      </c>
      <c r="CQ199" s="37">
        <v>21.316915850644602</v>
      </c>
      <c r="CR199" s="45">
        <v>2.0511741597704298</v>
      </c>
      <c r="CS199" s="45">
        <v>4.0885291190209498</v>
      </c>
      <c r="CT199" s="46">
        <v>8.4425715494598294E-5</v>
      </c>
      <c r="CU199" s="47">
        <v>2.43451739939165E-4</v>
      </c>
      <c r="CV199" s="48">
        <v>3.9583221683688201</v>
      </c>
      <c r="CW199" s="49">
        <v>16.183715447842001</v>
      </c>
      <c r="CX199" s="31" t="s">
        <v>5874</v>
      </c>
      <c r="CY199" s="31" t="s">
        <v>5876</v>
      </c>
      <c r="CZ199" t="s">
        <v>10869</v>
      </c>
      <c r="DA199" t="s">
        <v>5904</v>
      </c>
      <c r="DB199">
        <v>1609</v>
      </c>
      <c r="DC199" t="s">
        <v>28572</v>
      </c>
      <c r="DD199" t="s">
        <v>13772</v>
      </c>
      <c r="DE199" t="s">
        <v>28573</v>
      </c>
      <c r="DF199" t="s">
        <v>28574</v>
      </c>
      <c r="DG199" t="s">
        <v>13772</v>
      </c>
      <c r="DH199" t="str">
        <f>"C6"</f>
        <v>C6</v>
      </c>
      <c r="DI199" t="s">
        <v>13772</v>
      </c>
      <c r="DJ199" t="s">
        <v>13777</v>
      </c>
      <c r="DK199">
        <v>9606</v>
      </c>
      <c r="DL199" s="34" t="str">
        <f>HYPERLINK("http://www.uniprot.org/uniprot/P13671", "P13671")</f>
        <v>P13671</v>
      </c>
      <c r="DM199" t="s">
        <v>28575</v>
      </c>
      <c r="DN199" t="s">
        <v>28576</v>
      </c>
      <c r="DO199" t="s">
        <v>20220</v>
      </c>
      <c r="DP199" t="s">
        <v>13793</v>
      </c>
      <c r="DQ199" t="s">
        <v>13772</v>
      </c>
      <c r="DR199" t="s">
        <v>13772</v>
      </c>
      <c r="DS199" t="s">
        <v>21282</v>
      </c>
      <c r="DT199" t="s">
        <v>13772</v>
      </c>
      <c r="DU199" t="s">
        <v>13772</v>
      </c>
      <c r="DV199" t="s">
        <v>13796</v>
      </c>
      <c r="DW199" t="s">
        <v>13812</v>
      </c>
      <c r="DX199" t="s">
        <v>28577</v>
      </c>
      <c r="DY199" t="s">
        <v>28364</v>
      </c>
      <c r="DZ199" t="s">
        <v>13772</v>
      </c>
      <c r="EA199" t="s">
        <v>13772</v>
      </c>
      <c r="EB199" t="s">
        <v>16375</v>
      </c>
    </row>
    <row r="200" spans="1:132" hidden="1">
      <c r="A200">
        <v>2361</v>
      </c>
      <c r="B200">
        <v>1</v>
      </c>
      <c r="C200" t="s">
        <v>5502</v>
      </c>
      <c r="D200" t="s">
        <v>73</v>
      </c>
      <c r="E200" t="s">
        <v>73</v>
      </c>
      <c r="F200" t="s">
        <v>73</v>
      </c>
      <c r="G200" t="s">
        <v>73</v>
      </c>
      <c r="H200">
        <v>42.8</v>
      </c>
      <c r="I200">
        <v>418</v>
      </c>
      <c r="J200">
        <v>46601</v>
      </c>
      <c r="K200" t="s">
        <v>5503</v>
      </c>
      <c r="L200">
        <f t="shared" si="14"/>
        <v>213</v>
      </c>
      <c r="N200">
        <v>213</v>
      </c>
      <c r="O200">
        <v>213</v>
      </c>
      <c r="P200">
        <v>1</v>
      </c>
      <c r="Q200">
        <v>9</v>
      </c>
      <c r="R200">
        <v>3</v>
      </c>
      <c r="S200">
        <v>0</v>
      </c>
      <c r="T200">
        <v>1</v>
      </c>
      <c r="U200">
        <v>2</v>
      </c>
      <c r="V200">
        <v>8</v>
      </c>
      <c r="W200">
        <v>5</v>
      </c>
      <c r="X200">
        <v>10</v>
      </c>
      <c r="Y200">
        <v>17</v>
      </c>
      <c r="Z200">
        <v>19</v>
      </c>
      <c r="AA200">
        <v>21</v>
      </c>
      <c r="AB200">
        <v>15</v>
      </c>
      <c r="AC200">
        <v>20</v>
      </c>
      <c r="AD200">
        <v>13</v>
      </c>
      <c r="AE200">
        <v>19</v>
      </c>
      <c r="AF200">
        <v>14</v>
      </c>
      <c r="AG200">
        <v>9</v>
      </c>
      <c r="AH200">
        <v>11</v>
      </c>
      <c r="AI200">
        <v>17</v>
      </c>
      <c r="AJ200">
        <v>9</v>
      </c>
      <c r="AK200">
        <v>3</v>
      </c>
      <c r="AL200">
        <v>0</v>
      </c>
      <c r="AM200">
        <v>1</v>
      </c>
      <c r="AN200">
        <v>2</v>
      </c>
      <c r="AO200">
        <v>8</v>
      </c>
      <c r="AP200">
        <v>5</v>
      </c>
      <c r="AQ200">
        <v>10</v>
      </c>
      <c r="AR200">
        <v>17</v>
      </c>
      <c r="AS200">
        <v>19</v>
      </c>
      <c r="AT200">
        <v>21</v>
      </c>
      <c r="AU200">
        <v>15</v>
      </c>
      <c r="AV200">
        <v>20</v>
      </c>
      <c r="AW200">
        <v>13</v>
      </c>
      <c r="AX200">
        <v>19</v>
      </c>
      <c r="AY200">
        <v>14</v>
      </c>
      <c r="AZ200">
        <v>9</v>
      </c>
      <c r="BA200">
        <v>11</v>
      </c>
      <c r="BB200">
        <v>17</v>
      </c>
      <c r="BC200" s="2">
        <v>9</v>
      </c>
      <c r="BD200" s="2">
        <v>3</v>
      </c>
      <c r="BE200" s="2">
        <v>0</v>
      </c>
      <c r="BF200" s="2">
        <v>1</v>
      </c>
      <c r="BG200" s="2">
        <v>2</v>
      </c>
      <c r="BH200" s="2">
        <v>8</v>
      </c>
      <c r="BI200" s="2">
        <v>5</v>
      </c>
      <c r="BJ200" s="2">
        <v>10</v>
      </c>
      <c r="BK200" s="2">
        <v>17</v>
      </c>
      <c r="BL200" s="2">
        <v>19</v>
      </c>
      <c r="BM200" s="2">
        <v>21</v>
      </c>
      <c r="BN200" s="2">
        <v>15</v>
      </c>
      <c r="BO200" s="2">
        <v>20</v>
      </c>
      <c r="BP200" s="2">
        <v>13</v>
      </c>
      <c r="BQ200" s="2">
        <v>19</v>
      </c>
      <c r="BR200" s="2">
        <v>14</v>
      </c>
      <c r="BS200" s="2">
        <v>9</v>
      </c>
      <c r="BT200" s="2">
        <v>11</v>
      </c>
      <c r="BU200" s="2">
        <v>17</v>
      </c>
      <c r="BV200" s="2">
        <f t="shared" si="17"/>
        <v>213</v>
      </c>
      <c r="BW200" s="16">
        <f t="shared" si="15"/>
        <v>11.210526315789474</v>
      </c>
      <c r="BX200" s="16">
        <f>COUNTIF($BC$6:BU200, "=0") / COUNTIF($BC$6:BU200, "&gt;-1")</f>
        <v>4.8313090418353577E-2</v>
      </c>
      <c r="BY200" s="18">
        <f>SUM($BC$6:BU200) / $BY$4</f>
        <v>0.68578087693002976</v>
      </c>
      <c r="BZ200" s="14">
        <f t="shared" si="16"/>
        <v>1</v>
      </c>
      <c r="CA200" t="s">
        <v>5831</v>
      </c>
      <c r="CB200" s="36">
        <v>10.9047905625126</v>
      </c>
      <c r="CC200" s="36">
        <v>2.8891923620323401</v>
      </c>
      <c r="CD200" s="36">
        <v>0.40019941545306398</v>
      </c>
      <c r="CE200" s="36">
        <v>1.5119217591532299</v>
      </c>
      <c r="CF200" s="36">
        <v>1.72035271987378</v>
      </c>
      <c r="CG200" s="36">
        <v>7.43781797311593</v>
      </c>
      <c r="CH200" s="36">
        <v>5.2703114143232002</v>
      </c>
      <c r="CI200" s="36">
        <v>9.7318359798230603</v>
      </c>
      <c r="CJ200" s="37">
        <v>13.5108909851643</v>
      </c>
      <c r="CK200" s="37">
        <v>13.243642584653999</v>
      </c>
      <c r="CL200" s="37">
        <v>12.0008152240101</v>
      </c>
      <c r="CM200" s="37">
        <v>16.930940931998801</v>
      </c>
      <c r="CN200" s="37">
        <v>17.457058750487199</v>
      </c>
      <c r="CO200" s="37">
        <v>11.048667985391701</v>
      </c>
      <c r="CP200" s="37">
        <v>13.576860430761799</v>
      </c>
      <c r="CQ200" s="37">
        <v>25.884826390068501</v>
      </c>
      <c r="CR200" s="45">
        <v>1.5523255544569301</v>
      </c>
      <c r="CS200" s="45">
        <v>3.1017005414915202</v>
      </c>
      <c r="CT200" s="46">
        <v>1.44904601479413E-4</v>
      </c>
      <c r="CU200" s="47">
        <v>3.9247440643614301E-4</v>
      </c>
      <c r="CV200" s="48">
        <v>4.9833027732859003</v>
      </c>
      <c r="CW200" s="49">
        <v>15.456712910317099</v>
      </c>
      <c r="CX200" s="31" t="s">
        <v>5874</v>
      </c>
      <c r="CY200" s="31" t="s">
        <v>5876</v>
      </c>
      <c r="CZ200" t="s">
        <v>13597</v>
      </c>
      <c r="DA200" t="s">
        <v>5904</v>
      </c>
      <c r="DB200">
        <v>764.2</v>
      </c>
      <c r="DC200" t="s">
        <v>36245</v>
      </c>
      <c r="DD200" t="s">
        <v>36246</v>
      </c>
      <c r="DE200" t="s">
        <v>36247</v>
      </c>
      <c r="DF200" t="s">
        <v>36248</v>
      </c>
      <c r="DG200" t="s">
        <v>36249</v>
      </c>
      <c r="DH200" t="str">
        <f>"SERPINF1"</f>
        <v>SERPINF1</v>
      </c>
      <c r="DI200" t="s">
        <v>36250</v>
      </c>
      <c r="DJ200" t="s">
        <v>13777</v>
      </c>
      <c r="DK200">
        <v>9606</v>
      </c>
      <c r="DL200" s="34" t="str">
        <f>HYPERLINK("http://www.uniprot.org/uniprot/P36955", "P36955")</f>
        <v>P36955</v>
      </c>
      <c r="DM200" t="s">
        <v>36251</v>
      </c>
      <c r="DN200" t="s">
        <v>13772</v>
      </c>
      <c r="DO200" t="s">
        <v>14321</v>
      </c>
      <c r="DP200" t="s">
        <v>13793</v>
      </c>
      <c r="DQ200" t="s">
        <v>13772</v>
      </c>
      <c r="DR200" t="s">
        <v>36252</v>
      </c>
      <c r="DS200" t="s">
        <v>13808</v>
      </c>
      <c r="DT200" t="s">
        <v>13772</v>
      </c>
      <c r="DU200" t="s">
        <v>13772</v>
      </c>
      <c r="DV200" t="s">
        <v>36253</v>
      </c>
      <c r="DW200" t="s">
        <v>13812</v>
      </c>
      <c r="DX200" t="s">
        <v>36254</v>
      </c>
      <c r="DY200" t="s">
        <v>36255</v>
      </c>
      <c r="DZ200" t="s">
        <v>16362</v>
      </c>
      <c r="EA200" t="s">
        <v>13772</v>
      </c>
      <c r="EB200" t="s">
        <v>13772</v>
      </c>
    </row>
    <row r="201" spans="1:132">
      <c r="A201">
        <v>445</v>
      </c>
      <c r="B201">
        <v>1</v>
      </c>
      <c r="C201" t="s">
        <v>1114</v>
      </c>
      <c r="D201" t="s">
        <v>1115</v>
      </c>
      <c r="E201" t="s">
        <v>73</v>
      </c>
      <c r="F201" t="s">
        <v>73</v>
      </c>
      <c r="G201" t="s">
        <v>73</v>
      </c>
      <c r="H201">
        <v>25.5</v>
      </c>
      <c r="I201">
        <v>902</v>
      </c>
      <c r="J201">
        <v>100328</v>
      </c>
      <c r="K201" t="s">
        <v>1116</v>
      </c>
      <c r="L201">
        <f t="shared" si="14"/>
        <v>212</v>
      </c>
      <c r="N201">
        <v>212</v>
      </c>
      <c r="O201">
        <v>212</v>
      </c>
      <c r="P201">
        <v>1</v>
      </c>
      <c r="Q201">
        <v>18</v>
      </c>
      <c r="R201">
        <v>11</v>
      </c>
      <c r="S201">
        <v>10</v>
      </c>
      <c r="T201">
        <v>2</v>
      </c>
      <c r="U201">
        <v>6</v>
      </c>
      <c r="V201">
        <v>13</v>
      </c>
      <c r="W201">
        <v>18</v>
      </c>
      <c r="X201">
        <v>20</v>
      </c>
      <c r="Y201">
        <v>14</v>
      </c>
      <c r="Z201">
        <v>3</v>
      </c>
      <c r="AA201">
        <v>15</v>
      </c>
      <c r="AB201">
        <v>12</v>
      </c>
      <c r="AC201">
        <v>10</v>
      </c>
      <c r="AD201">
        <v>2</v>
      </c>
      <c r="AE201">
        <v>12</v>
      </c>
      <c r="AF201">
        <v>16</v>
      </c>
      <c r="AG201">
        <v>16</v>
      </c>
      <c r="AH201">
        <v>3</v>
      </c>
      <c r="AI201">
        <v>11</v>
      </c>
      <c r="AJ201">
        <v>18</v>
      </c>
      <c r="AK201">
        <v>11</v>
      </c>
      <c r="AL201">
        <v>10</v>
      </c>
      <c r="AM201">
        <v>2</v>
      </c>
      <c r="AN201">
        <v>6</v>
      </c>
      <c r="AO201">
        <v>13</v>
      </c>
      <c r="AP201">
        <v>18</v>
      </c>
      <c r="AQ201">
        <v>20</v>
      </c>
      <c r="AR201">
        <v>14</v>
      </c>
      <c r="AS201">
        <v>3</v>
      </c>
      <c r="AT201">
        <v>15</v>
      </c>
      <c r="AU201">
        <v>12</v>
      </c>
      <c r="AV201">
        <v>10</v>
      </c>
      <c r="AW201">
        <v>2</v>
      </c>
      <c r="AX201">
        <v>12</v>
      </c>
      <c r="AY201">
        <v>16</v>
      </c>
      <c r="AZ201">
        <v>16</v>
      </c>
      <c r="BA201">
        <v>3</v>
      </c>
      <c r="BB201">
        <v>11</v>
      </c>
      <c r="BC201" s="2">
        <v>18</v>
      </c>
      <c r="BD201" s="2">
        <v>11</v>
      </c>
      <c r="BE201" s="2">
        <v>10</v>
      </c>
      <c r="BF201" s="2">
        <v>2</v>
      </c>
      <c r="BG201" s="2">
        <v>6</v>
      </c>
      <c r="BH201" s="2">
        <v>13</v>
      </c>
      <c r="BI201" s="2">
        <v>18</v>
      </c>
      <c r="BJ201" s="2">
        <v>20</v>
      </c>
      <c r="BK201" s="2">
        <v>14</v>
      </c>
      <c r="BL201" s="2">
        <v>3</v>
      </c>
      <c r="BM201" s="2">
        <v>15</v>
      </c>
      <c r="BN201" s="2">
        <v>12</v>
      </c>
      <c r="BO201" s="2">
        <v>10</v>
      </c>
      <c r="BP201" s="2">
        <v>2</v>
      </c>
      <c r="BQ201" s="2">
        <v>12</v>
      </c>
      <c r="BR201" s="2">
        <v>16</v>
      </c>
      <c r="BS201" s="2">
        <v>16</v>
      </c>
      <c r="BT201" s="2">
        <v>3</v>
      </c>
      <c r="BU201" s="2">
        <v>11</v>
      </c>
      <c r="BV201" s="2">
        <f t="shared" si="17"/>
        <v>212</v>
      </c>
      <c r="BW201" s="16">
        <f t="shared" si="15"/>
        <v>11.157894736842104</v>
      </c>
      <c r="BX201" s="16">
        <f>COUNTIF($BC$6:BU201, "=0") / COUNTIF($BC$6:BU201, "&gt;-1")</f>
        <v>4.8066595059076261E-2</v>
      </c>
      <c r="BY201" s="18">
        <f>SUM($BC$6:BU201) / $BY$4</f>
        <v>0.68668900794619425</v>
      </c>
      <c r="BZ201" s="14">
        <f t="shared" si="16"/>
        <v>0</v>
      </c>
      <c r="CA201" t="s">
        <v>5831</v>
      </c>
      <c r="CB201" s="36">
        <v>21.809581125025101</v>
      </c>
      <c r="CC201" s="36">
        <v>10.5937053274519</v>
      </c>
      <c r="CD201" s="36">
        <v>16.007976618122601</v>
      </c>
      <c r="CE201" s="36">
        <v>3.0238435183064598</v>
      </c>
      <c r="CF201" s="36">
        <v>5.1610581596213496</v>
      </c>
      <c r="CG201" s="36">
        <v>12.0864542063134</v>
      </c>
      <c r="CH201" s="36">
        <v>18.973121091563499</v>
      </c>
      <c r="CI201" s="36">
        <v>19.463671959646099</v>
      </c>
      <c r="CJ201" s="37">
        <v>11.126616105429401</v>
      </c>
      <c r="CK201" s="37">
        <v>9.4597447033242794</v>
      </c>
      <c r="CL201" s="37">
        <v>9.6006521792081099</v>
      </c>
      <c r="CM201" s="37">
        <v>8.4654704659994096</v>
      </c>
      <c r="CN201" s="37">
        <v>11.0255107897814</v>
      </c>
      <c r="CO201" s="37">
        <v>12.627049126161999</v>
      </c>
      <c r="CP201" s="37">
        <v>24.136640765798798</v>
      </c>
      <c r="CQ201" s="37">
        <v>16.749005311220799</v>
      </c>
      <c r="CR201" s="45">
        <v>-9.2946350239933695E-2</v>
      </c>
      <c r="CS201" s="45">
        <v>-1.0380724518867299</v>
      </c>
      <c r="CT201" s="46">
        <v>0.88381636218839199</v>
      </c>
      <c r="CU201" s="47">
        <v>0.91812600357769203</v>
      </c>
      <c r="CV201" s="48">
        <v>13.3899265007563</v>
      </c>
      <c r="CW201" s="49">
        <v>12.8988361808655</v>
      </c>
      <c r="CX201" s="31" t="s">
        <v>5875</v>
      </c>
      <c r="CY201" s="31" t="s">
        <v>5832</v>
      </c>
      <c r="CZ201" t="s">
        <v>7244</v>
      </c>
      <c r="DA201" t="s">
        <v>5904</v>
      </c>
      <c r="DB201">
        <v>1503.4</v>
      </c>
      <c r="DC201" t="s">
        <v>18114</v>
      </c>
      <c r="DD201" t="s">
        <v>18115</v>
      </c>
      <c r="DE201" t="s">
        <v>18116</v>
      </c>
      <c r="DF201" t="s">
        <v>18117</v>
      </c>
      <c r="DG201" t="s">
        <v>13772</v>
      </c>
      <c r="DH201" t="str">
        <f>"DSC2 DSC3"</f>
        <v>DSC2 DSC3</v>
      </c>
      <c r="DI201" t="s">
        <v>13772</v>
      </c>
      <c r="DJ201" t="s">
        <v>13777</v>
      </c>
      <c r="DK201">
        <v>9606</v>
      </c>
      <c r="DL201" s="34" t="str">
        <f>HYPERLINK("http://www.uniprot.org/uniprot/Q02487", "Q02487")</f>
        <v>Q02487</v>
      </c>
      <c r="DM201" t="s">
        <v>18118</v>
      </c>
      <c r="DN201" t="s">
        <v>13949</v>
      </c>
      <c r="DO201" t="s">
        <v>17424</v>
      </c>
      <c r="DP201" t="s">
        <v>13780</v>
      </c>
      <c r="DQ201" t="s">
        <v>13772</v>
      </c>
      <c r="DR201" t="s">
        <v>14848</v>
      </c>
      <c r="DS201" t="s">
        <v>13826</v>
      </c>
      <c r="DT201" t="s">
        <v>13873</v>
      </c>
      <c r="DU201" t="s">
        <v>13772</v>
      </c>
      <c r="DV201" t="s">
        <v>17425</v>
      </c>
      <c r="DW201" t="s">
        <v>13812</v>
      </c>
      <c r="DX201" t="s">
        <v>18119</v>
      </c>
      <c r="DY201" t="s">
        <v>18120</v>
      </c>
      <c r="DZ201" t="s">
        <v>18121</v>
      </c>
      <c r="EA201" t="s">
        <v>13772</v>
      </c>
      <c r="EB201" t="s">
        <v>18122</v>
      </c>
    </row>
    <row r="202" spans="1:132" hidden="1">
      <c r="A202">
        <v>1766</v>
      </c>
      <c r="B202">
        <v>1</v>
      </c>
      <c r="C202" t="s">
        <v>4178</v>
      </c>
      <c r="D202" t="s">
        <v>4179</v>
      </c>
      <c r="E202" t="s">
        <v>73</v>
      </c>
      <c r="F202" t="s">
        <v>4180</v>
      </c>
      <c r="G202" t="s">
        <v>73</v>
      </c>
      <c r="H202">
        <v>68.3</v>
      </c>
      <c r="I202">
        <v>416</v>
      </c>
      <c r="J202">
        <v>45077</v>
      </c>
      <c r="K202" t="s">
        <v>4181</v>
      </c>
      <c r="L202">
        <f t="shared" si="14"/>
        <v>224</v>
      </c>
      <c r="N202">
        <v>224</v>
      </c>
      <c r="O202">
        <v>191</v>
      </c>
      <c r="P202">
        <v>0.85299999999999998</v>
      </c>
      <c r="Q202">
        <v>7</v>
      </c>
      <c r="R202">
        <v>8</v>
      </c>
      <c r="S202">
        <v>1</v>
      </c>
      <c r="T202">
        <v>1</v>
      </c>
      <c r="U202">
        <v>10</v>
      </c>
      <c r="V202">
        <v>16</v>
      </c>
      <c r="W202">
        <v>6</v>
      </c>
      <c r="X202">
        <v>15</v>
      </c>
      <c r="Y202">
        <v>22</v>
      </c>
      <c r="Z202">
        <v>8</v>
      </c>
      <c r="AA202">
        <v>22</v>
      </c>
      <c r="AB202">
        <v>18</v>
      </c>
      <c r="AC202">
        <v>18</v>
      </c>
      <c r="AD202">
        <v>17</v>
      </c>
      <c r="AE202">
        <v>19</v>
      </c>
      <c r="AF202">
        <v>11</v>
      </c>
      <c r="AG202">
        <v>12</v>
      </c>
      <c r="AH202">
        <v>5</v>
      </c>
      <c r="AI202">
        <v>8</v>
      </c>
      <c r="AJ202">
        <v>6</v>
      </c>
      <c r="AK202">
        <v>7</v>
      </c>
      <c r="AL202">
        <v>0</v>
      </c>
      <c r="AM202">
        <v>0</v>
      </c>
      <c r="AN202">
        <v>8</v>
      </c>
      <c r="AO202">
        <v>14</v>
      </c>
      <c r="AP202">
        <v>5</v>
      </c>
      <c r="AQ202">
        <v>14</v>
      </c>
      <c r="AR202">
        <v>17</v>
      </c>
      <c r="AS202">
        <v>8</v>
      </c>
      <c r="AT202">
        <v>20</v>
      </c>
      <c r="AU202">
        <v>16</v>
      </c>
      <c r="AV202">
        <v>14</v>
      </c>
      <c r="AW202">
        <v>15</v>
      </c>
      <c r="AX202">
        <v>15</v>
      </c>
      <c r="AY202">
        <v>10</v>
      </c>
      <c r="AZ202">
        <v>11</v>
      </c>
      <c r="BA202">
        <v>4</v>
      </c>
      <c r="BB202">
        <v>7</v>
      </c>
      <c r="BC202" s="2">
        <v>6.375</v>
      </c>
      <c r="BD202" s="2">
        <v>7.25</v>
      </c>
      <c r="BE202" s="2">
        <v>0</v>
      </c>
      <c r="BF202" s="2">
        <v>0</v>
      </c>
      <c r="BG202" s="2">
        <v>8.2910000000000004</v>
      </c>
      <c r="BH202" s="2">
        <v>14.8</v>
      </c>
      <c r="BI202" s="2">
        <v>5.2270000000000003</v>
      </c>
      <c r="BJ202" s="2">
        <v>14.388999999999999</v>
      </c>
      <c r="BK202" s="2">
        <v>20.696000000000002</v>
      </c>
      <c r="BL202" s="2">
        <v>8</v>
      </c>
      <c r="BM202" s="2">
        <v>21.739000000000001</v>
      </c>
      <c r="BN202" s="2">
        <v>17.600000000000001</v>
      </c>
      <c r="BO202" s="2">
        <v>17.111000000000001</v>
      </c>
      <c r="BP202" s="2">
        <v>16.667000000000002</v>
      </c>
      <c r="BQ202" s="2">
        <v>18.529</v>
      </c>
      <c r="BR202" s="2">
        <v>10.385</v>
      </c>
      <c r="BS202" s="2">
        <v>11.846</v>
      </c>
      <c r="BT202" s="2">
        <v>4.8</v>
      </c>
      <c r="BU202" s="2">
        <v>7.5380000000000003</v>
      </c>
      <c r="BV202" s="2">
        <f t="shared" si="17"/>
        <v>211.24299999999999</v>
      </c>
      <c r="BW202" s="16">
        <f t="shared" si="15"/>
        <v>11.118052631578948</v>
      </c>
      <c r="BX202" s="16">
        <f>COUNTIF($BC$6:BU202, "=0") / COUNTIF($BC$6:BU202, "&gt;-1")</f>
        <v>4.8356932941490779E-2</v>
      </c>
      <c r="BY202" s="18">
        <f>SUM($BC$6:BU202) / $BY$4</f>
        <v>0.68759389624924905</v>
      </c>
      <c r="BZ202" s="14">
        <f t="shared" si="16"/>
        <v>2</v>
      </c>
      <c r="CA202" t="s">
        <v>5831</v>
      </c>
      <c r="CB202" s="36">
        <v>7.7545177333422703</v>
      </c>
      <c r="CC202" s="36">
        <v>7.0303680809453599</v>
      </c>
      <c r="CD202" s="36">
        <v>0.40019941545306398</v>
      </c>
      <c r="CE202" s="36">
        <v>0.37798043978830698</v>
      </c>
      <c r="CF202" s="36">
        <v>7.1394637874762097</v>
      </c>
      <c r="CG202" s="36">
        <v>13.7599632502645</v>
      </c>
      <c r="CH202" s="36">
        <v>5.4811238708961296</v>
      </c>
      <c r="CI202" s="36">
        <v>14.0138438109452</v>
      </c>
      <c r="CJ202" s="37">
        <v>16.451496670170599</v>
      </c>
      <c r="CK202" s="37">
        <v>13.685097337475799</v>
      </c>
      <c r="CL202" s="37">
        <v>14.080956529505199</v>
      </c>
      <c r="CM202" s="37">
        <v>14.475954496859</v>
      </c>
      <c r="CN202" s="37">
        <v>16.997662467579602</v>
      </c>
      <c r="CO202" s="37">
        <v>8.2075819320053007</v>
      </c>
      <c r="CP202" s="37">
        <v>17.800772564776601</v>
      </c>
      <c r="CQ202" s="37">
        <v>11.4197763485596</v>
      </c>
      <c r="CR202" s="45">
        <v>0.93401815095975405</v>
      </c>
      <c r="CS202" s="45">
        <v>2.0215230920119498</v>
      </c>
      <c r="CT202" s="46">
        <v>1.9545785831097399E-2</v>
      </c>
      <c r="CU202" s="47">
        <v>3.3788451475462999E-2</v>
      </c>
      <c r="CV202" s="48">
        <v>6.9946825486388802</v>
      </c>
      <c r="CW202" s="49">
        <v>14.1399122933665</v>
      </c>
      <c r="CX202" s="31" t="s">
        <v>5874</v>
      </c>
      <c r="CY202" s="31" t="s">
        <v>5878</v>
      </c>
      <c r="CZ202" t="s">
        <v>11643</v>
      </c>
      <c r="DA202" t="s">
        <v>5904</v>
      </c>
      <c r="DB202">
        <v>749.2</v>
      </c>
      <c r="DC202" t="s">
        <v>30750</v>
      </c>
      <c r="DD202" t="s">
        <v>30751</v>
      </c>
      <c r="DE202" t="s">
        <v>30752</v>
      </c>
      <c r="DF202" t="s">
        <v>30753</v>
      </c>
      <c r="DG202" t="s">
        <v>30754</v>
      </c>
      <c r="DH202" t="str">
        <f>"ALDOA"</f>
        <v>ALDOA</v>
      </c>
      <c r="DI202" t="s">
        <v>30755</v>
      </c>
      <c r="DJ202" t="s">
        <v>13777</v>
      </c>
      <c r="DK202">
        <v>9606</v>
      </c>
      <c r="DL202" s="34" t="str">
        <f>HYPERLINK("http://www.uniprot.org/uniprot/P04075", "P04075")</f>
        <v>P04075</v>
      </c>
      <c r="DM202" t="s">
        <v>30756</v>
      </c>
      <c r="DN202" t="s">
        <v>15772</v>
      </c>
      <c r="DO202" t="s">
        <v>13899</v>
      </c>
      <c r="DP202" t="s">
        <v>13780</v>
      </c>
      <c r="DQ202" t="s">
        <v>13772</v>
      </c>
      <c r="DR202" t="s">
        <v>30757</v>
      </c>
      <c r="DS202" t="s">
        <v>13772</v>
      </c>
      <c r="DT202" t="s">
        <v>18902</v>
      </c>
      <c r="DU202" t="s">
        <v>15788</v>
      </c>
      <c r="DV202" t="s">
        <v>13991</v>
      </c>
      <c r="DW202" t="s">
        <v>13812</v>
      </c>
      <c r="DX202" t="s">
        <v>30758</v>
      </c>
      <c r="DY202" t="s">
        <v>30759</v>
      </c>
      <c r="DZ202" t="s">
        <v>30760</v>
      </c>
      <c r="EA202" t="s">
        <v>30761</v>
      </c>
      <c r="EB202" t="s">
        <v>30762</v>
      </c>
    </row>
    <row r="203" spans="1:132" hidden="1">
      <c r="A203">
        <v>1973</v>
      </c>
      <c r="B203">
        <v>1</v>
      </c>
      <c r="C203" t="s">
        <v>4648</v>
      </c>
      <c r="D203" t="s">
        <v>73</v>
      </c>
      <c r="E203" t="s">
        <v>73</v>
      </c>
      <c r="F203" t="s">
        <v>73</v>
      </c>
      <c r="G203" t="s">
        <v>73</v>
      </c>
      <c r="H203">
        <v>66.3</v>
      </c>
      <c r="I203">
        <v>208</v>
      </c>
      <c r="J203">
        <v>24026</v>
      </c>
      <c r="K203" t="s">
        <v>4649</v>
      </c>
      <c r="L203">
        <f t="shared" si="14"/>
        <v>210</v>
      </c>
      <c r="N203">
        <v>210</v>
      </c>
      <c r="O203">
        <v>210</v>
      </c>
      <c r="P203">
        <v>1</v>
      </c>
      <c r="Q203">
        <v>1</v>
      </c>
      <c r="R203">
        <v>2</v>
      </c>
      <c r="S203">
        <v>0</v>
      </c>
      <c r="T203">
        <v>0</v>
      </c>
      <c r="U203">
        <v>0</v>
      </c>
      <c r="V203">
        <v>2</v>
      </c>
      <c r="W203">
        <v>1</v>
      </c>
      <c r="X203">
        <v>1</v>
      </c>
      <c r="Y203">
        <v>34</v>
      </c>
      <c r="Z203">
        <v>8</v>
      </c>
      <c r="AA203">
        <v>31</v>
      </c>
      <c r="AB203">
        <v>17</v>
      </c>
      <c r="AC203">
        <v>18</v>
      </c>
      <c r="AD203">
        <v>3</v>
      </c>
      <c r="AE203">
        <v>26</v>
      </c>
      <c r="AF203">
        <v>30</v>
      </c>
      <c r="AG203">
        <v>9</v>
      </c>
      <c r="AH203">
        <v>6</v>
      </c>
      <c r="AI203">
        <v>21</v>
      </c>
      <c r="AJ203">
        <v>1</v>
      </c>
      <c r="AK203">
        <v>2</v>
      </c>
      <c r="AL203">
        <v>0</v>
      </c>
      <c r="AM203">
        <v>0</v>
      </c>
      <c r="AN203">
        <v>0</v>
      </c>
      <c r="AO203">
        <v>2</v>
      </c>
      <c r="AP203">
        <v>1</v>
      </c>
      <c r="AQ203">
        <v>1</v>
      </c>
      <c r="AR203">
        <v>34</v>
      </c>
      <c r="AS203">
        <v>8</v>
      </c>
      <c r="AT203">
        <v>31</v>
      </c>
      <c r="AU203">
        <v>17</v>
      </c>
      <c r="AV203">
        <v>18</v>
      </c>
      <c r="AW203">
        <v>3</v>
      </c>
      <c r="AX203">
        <v>26</v>
      </c>
      <c r="AY203">
        <v>30</v>
      </c>
      <c r="AZ203">
        <v>9</v>
      </c>
      <c r="BA203">
        <v>6</v>
      </c>
      <c r="BB203">
        <v>21</v>
      </c>
      <c r="BC203" s="2">
        <v>1</v>
      </c>
      <c r="BD203" s="2">
        <v>2</v>
      </c>
      <c r="BE203" s="2">
        <v>0</v>
      </c>
      <c r="BF203" s="2">
        <v>0</v>
      </c>
      <c r="BG203" s="2">
        <v>0</v>
      </c>
      <c r="BH203" s="2">
        <v>2</v>
      </c>
      <c r="BI203" s="2">
        <v>1</v>
      </c>
      <c r="BJ203" s="2">
        <v>1</v>
      </c>
      <c r="BK203" s="2">
        <v>34</v>
      </c>
      <c r="BL203" s="2">
        <v>8</v>
      </c>
      <c r="BM203" s="2">
        <v>31</v>
      </c>
      <c r="BN203" s="2">
        <v>17</v>
      </c>
      <c r="BO203" s="2">
        <v>18</v>
      </c>
      <c r="BP203" s="2">
        <v>3</v>
      </c>
      <c r="BQ203" s="2">
        <v>26</v>
      </c>
      <c r="BR203" s="2">
        <v>30</v>
      </c>
      <c r="BS203" s="2">
        <v>9</v>
      </c>
      <c r="BT203" s="2">
        <v>6</v>
      </c>
      <c r="BU203" s="2">
        <v>21</v>
      </c>
      <c r="BV203" s="2">
        <f t="shared" si="17"/>
        <v>210</v>
      </c>
      <c r="BW203" s="16">
        <f t="shared" si="15"/>
        <v>11.052631578947368</v>
      </c>
      <c r="BX203" s="16">
        <f>COUNTIF($BC$6:BU203, "=0") / COUNTIF($BC$6:BU203, "&gt;-1")</f>
        <v>4.891015417331207E-2</v>
      </c>
      <c r="BY203" s="18">
        <f>SUM($BC$6:BU203) / $BY$4</f>
        <v>0.68849345999167622</v>
      </c>
      <c r="BZ203" s="14">
        <f t="shared" si="16"/>
        <v>3</v>
      </c>
      <c r="CA203" t="s">
        <v>5831</v>
      </c>
      <c r="CB203" s="36">
        <v>1.2116433958347299</v>
      </c>
      <c r="CC203" s="36">
        <v>1.9261282413548899</v>
      </c>
      <c r="CD203" s="36">
        <v>0.40019941545306398</v>
      </c>
      <c r="CE203" s="36">
        <v>0.37798043978830698</v>
      </c>
      <c r="CF203" s="36">
        <v>0.215044089984223</v>
      </c>
      <c r="CG203" s="36">
        <v>1.85945449327898</v>
      </c>
      <c r="CH203" s="36">
        <v>1.05406228286464</v>
      </c>
      <c r="CI203" s="36">
        <v>0.97318359798230603</v>
      </c>
      <c r="CJ203" s="37">
        <v>27.021781970328501</v>
      </c>
      <c r="CK203" s="37">
        <v>19.550139053536899</v>
      </c>
      <c r="CL203" s="37">
        <v>13.600923920544799</v>
      </c>
      <c r="CM203" s="37">
        <v>15.2378468387989</v>
      </c>
      <c r="CN203" s="37">
        <v>23.888606711192999</v>
      </c>
      <c r="CO203" s="37">
        <v>23.675717111553698</v>
      </c>
      <c r="CP203" s="37">
        <v>13.576860430761799</v>
      </c>
      <c r="CQ203" s="37">
        <v>31.975373775967</v>
      </c>
      <c r="CR203" s="45">
        <v>4.1722317239708504</v>
      </c>
      <c r="CS203" s="45">
        <v>21.0194114027476</v>
      </c>
      <c r="CT203" s="46">
        <v>2.80024401321353E-19</v>
      </c>
      <c r="CU203" s="47">
        <v>4.6834081120996399E-17</v>
      </c>
      <c r="CV203" s="48">
        <v>1.00221199456764</v>
      </c>
      <c r="CW203" s="49">
        <v>21.0659062265856</v>
      </c>
      <c r="CX203" s="31" t="s">
        <v>5874</v>
      </c>
      <c r="CY203" s="31" t="s">
        <v>5876</v>
      </c>
      <c r="CZ203" t="s">
        <v>12333</v>
      </c>
      <c r="DA203" t="s">
        <v>5904</v>
      </c>
      <c r="DB203">
        <v>223.8</v>
      </c>
      <c r="DC203" t="s">
        <v>32689</v>
      </c>
      <c r="DD203" t="s">
        <v>32690</v>
      </c>
      <c r="DE203" t="s">
        <v>32691</v>
      </c>
      <c r="DF203" t="s">
        <v>32692</v>
      </c>
      <c r="DG203" t="s">
        <v>32693</v>
      </c>
      <c r="DH203" t="str">
        <f>"LCN2"</f>
        <v>LCN2</v>
      </c>
      <c r="DI203" t="s">
        <v>32694</v>
      </c>
      <c r="DJ203" t="s">
        <v>13777</v>
      </c>
      <c r="DK203">
        <v>9606</v>
      </c>
      <c r="DL203" s="34" t="str">
        <f>HYPERLINK("http://www.uniprot.org/uniprot/P80188", "P80188")</f>
        <v>P80188</v>
      </c>
      <c r="DM203" t="s">
        <v>32695</v>
      </c>
      <c r="DN203" t="s">
        <v>32696</v>
      </c>
      <c r="DO203" t="s">
        <v>16982</v>
      </c>
      <c r="DP203" t="s">
        <v>13841</v>
      </c>
      <c r="DQ203" t="s">
        <v>13772</v>
      </c>
      <c r="DR203" t="s">
        <v>13772</v>
      </c>
      <c r="DS203" t="s">
        <v>13808</v>
      </c>
      <c r="DT203" t="s">
        <v>26821</v>
      </c>
      <c r="DU203" t="s">
        <v>13772</v>
      </c>
      <c r="DV203" t="s">
        <v>16701</v>
      </c>
      <c r="DW203" t="s">
        <v>13812</v>
      </c>
      <c r="DX203" t="s">
        <v>32697</v>
      </c>
      <c r="DY203" t="s">
        <v>32698</v>
      </c>
      <c r="DZ203" t="s">
        <v>32699</v>
      </c>
      <c r="EA203" t="s">
        <v>13772</v>
      </c>
      <c r="EB203" t="s">
        <v>32700</v>
      </c>
    </row>
    <row r="204" spans="1:132" hidden="1">
      <c r="A204">
        <v>919</v>
      </c>
      <c r="B204">
        <v>1</v>
      </c>
      <c r="C204" t="s">
        <v>2234</v>
      </c>
      <c r="D204" t="s">
        <v>73</v>
      </c>
      <c r="E204" t="s">
        <v>73</v>
      </c>
      <c r="F204" t="s">
        <v>2235</v>
      </c>
      <c r="G204" t="s">
        <v>73</v>
      </c>
      <c r="H204">
        <v>81.2</v>
      </c>
      <c r="I204">
        <v>192</v>
      </c>
      <c r="J204">
        <v>20924</v>
      </c>
      <c r="K204" t="s">
        <v>2236</v>
      </c>
      <c r="L204">
        <f t="shared" si="14"/>
        <v>219</v>
      </c>
      <c r="N204">
        <v>219</v>
      </c>
      <c r="O204">
        <v>185</v>
      </c>
      <c r="P204">
        <v>0.84499999999999997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22</v>
      </c>
      <c r="X204">
        <v>8</v>
      </c>
      <c r="Y204">
        <v>38</v>
      </c>
      <c r="Z204">
        <v>8</v>
      </c>
      <c r="AA204">
        <v>29</v>
      </c>
      <c r="AB204">
        <v>18</v>
      </c>
      <c r="AC204">
        <v>13</v>
      </c>
      <c r="AD204">
        <v>8</v>
      </c>
      <c r="AE204">
        <v>37</v>
      </c>
      <c r="AF204">
        <v>20</v>
      </c>
      <c r="AG204">
        <v>5</v>
      </c>
      <c r="AH204">
        <v>5</v>
      </c>
      <c r="AI204">
        <v>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20</v>
      </c>
      <c r="AQ204">
        <v>8</v>
      </c>
      <c r="AR204">
        <v>29</v>
      </c>
      <c r="AS204">
        <v>7</v>
      </c>
      <c r="AT204">
        <v>26</v>
      </c>
      <c r="AU204">
        <v>13</v>
      </c>
      <c r="AV204">
        <v>11</v>
      </c>
      <c r="AW204">
        <v>8</v>
      </c>
      <c r="AX204">
        <v>29</v>
      </c>
      <c r="AY204">
        <v>16</v>
      </c>
      <c r="AZ204">
        <v>5</v>
      </c>
      <c r="BA204">
        <v>5</v>
      </c>
      <c r="BB204">
        <v>8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21.667000000000002</v>
      </c>
      <c r="BJ204" s="2">
        <v>8</v>
      </c>
      <c r="BK204" s="2">
        <v>35.395000000000003</v>
      </c>
      <c r="BL204" s="2">
        <v>8</v>
      </c>
      <c r="BM204" s="2">
        <v>28.268000000000001</v>
      </c>
      <c r="BN204" s="2">
        <v>16.309000000000001</v>
      </c>
      <c r="BO204" s="2">
        <v>12.579000000000001</v>
      </c>
      <c r="BP204" s="2">
        <v>8</v>
      </c>
      <c r="BQ204" s="2">
        <v>33.521000000000001</v>
      </c>
      <c r="BR204" s="2">
        <v>19.094999999999999</v>
      </c>
      <c r="BS204" s="2">
        <v>5</v>
      </c>
      <c r="BT204" s="2">
        <v>5</v>
      </c>
      <c r="BU204" s="2">
        <v>8</v>
      </c>
      <c r="BV204" s="2">
        <f t="shared" si="17"/>
        <v>208.83400000000003</v>
      </c>
      <c r="BW204" s="16">
        <f t="shared" si="15"/>
        <v>10.991263157894739</v>
      </c>
      <c r="BX204" s="16">
        <f>COUNTIF($BC$6:BU204, "=0") / COUNTIF($BC$6:BU204, "&gt;-1")</f>
        <v>5.0251256281407038E-2</v>
      </c>
      <c r="BY204" s="18">
        <f>SUM($BC$6:BU204) / $BY$4</f>
        <v>0.68938802901351437</v>
      </c>
      <c r="BZ204" s="14">
        <f t="shared" si="16"/>
        <v>6</v>
      </c>
      <c r="CA204" t="s">
        <v>5831</v>
      </c>
      <c r="CB204" s="36">
        <v>0.30291084895868198</v>
      </c>
      <c r="CC204" s="36">
        <v>0.24076603016936199</v>
      </c>
      <c r="CD204" s="36">
        <v>0.40019941545306398</v>
      </c>
      <c r="CE204" s="36">
        <v>0.37798043978830698</v>
      </c>
      <c r="CF204" s="36">
        <v>0.215044089984223</v>
      </c>
      <c r="CG204" s="36">
        <v>0.23243181165987301</v>
      </c>
      <c r="CH204" s="36">
        <v>22.873151538162698</v>
      </c>
      <c r="CI204" s="36">
        <v>7.78546878385845</v>
      </c>
      <c r="CJ204" s="37">
        <v>28.134443580871501</v>
      </c>
      <c r="CK204" s="37">
        <v>17.847385006938499</v>
      </c>
      <c r="CL204" s="37">
        <v>13.040885876757701</v>
      </c>
      <c r="CM204" s="37">
        <v>10.666492787159299</v>
      </c>
      <c r="CN204" s="37">
        <v>30.7795509548063</v>
      </c>
      <c r="CO204" s="37">
        <v>15.0735398943559</v>
      </c>
      <c r="CP204" s="37">
        <v>7.5427002393121096</v>
      </c>
      <c r="CQ204" s="37">
        <v>12.1810947717969</v>
      </c>
      <c r="CR204" s="45">
        <v>2.0099634061188101</v>
      </c>
      <c r="CS204" s="45">
        <v>4.1712806629221202</v>
      </c>
      <c r="CT204" s="46">
        <v>6.9052577604603697E-3</v>
      </c>
      <c r="CU204" s="47">
        <v>1.32747627636436E-2</v>
      </c>
      <c r="CV204" s="48">
        <v>4.0534941197543297</v>
      </c>
      <c r="CW204" s="49">
        <v>16.9082616389998</v>
      </c>
      <c r="CX204" s="31" t="s">
        <v>5874</v>
      </c>
      <c r="CY204" s="31" t="s">
        <v>5878</v>
      </c>
      <c r="CZ204" t="s">
        <v>8841</v>
      </c>
      <c r="DA204" t="s">
        <v>5904</v>
      </c>
      <c r="DB204">
        <v>317</v>
      </c>
      <c r="DC204" t="s">
        <v>22837</v>
      </c>
      <c r="DD204" t="s">
        <v>22838</v>
      </c>
      <c r="DE204" t="s">
        <v>22839</v>
      </c>
      <c r="DF204" t="s">
        <v>22840</v>
      </c>
      <c r="DG204" t="s">
        <v>22841</v>
      </c>
      <c r="DH204" t="str">
        <f>"MYL1"</f>
        <v>MYL1</v>
      </c>
      <c r="DI204" t="s">
        <v>13772</v>
      </c>
      <c r="DJ204" t="s">
        <v>13777</v>
      </c>
      <c r="DK204">
        <v>9606</v>
      </c>
      <c r="DL204" s="34" t="str">
        <f>HYPERLINK("http://www.uniprot.org/uniprot/P05976", "P05976")</f>
        <v>P05976</v>
      </c>
      <c r="DM204" t="s">
        <v>22842</v>
      </c>
      <c r="DN204" t="s">
        <v>13772</v>
      </c>
      <c r="DO204" t="s">
        <v>13772</v>
      </c>
      <c r="DP204" t="s">
        <v>13841</v>
      </c>
      <c r="DQ204" t="s">
        <v>13772</v>
      </c>
      <c r="DR204" t="s">
        <v>13772</v>
      </c>
      <c r="DS204" t="s">
        <v>14096</v>
      </c>
      <c r="DT204" t="s">
        <v>13772</v>
      </c>
      <c r="DU204" t="s">
        <v>17523</v>
      </c>
      <c r="DV204" t="s">
        <v>14098</v>
      </c>
      <c r="DW204" t="s">
        <v>13772</v>
      </c>
      <c r="DX204" t="s">
        <v>22843</v>
      </c>
      <c r="DY204" t="s">
        <v>22844</v>
      </c>
      <c r="DZ204" t="s">
        <v>22845</v>
      </c>
      <c r="EA204" t="s">
        <v>13772</v>
      </c>
      <c r="EB204" t="s">
        <v>15657</v>
      </c>
    </row>
    <row r="205" spans="1:132" hidden="1">
      <c r="A205">
        <v>541</v>
      </c>
      <c r="B205">
        <v>1</v>
      </c>
      <c r="C205" t="s">
        <v>1351</v>
      </c>
      <c r="D205" t="s">
        <v>73</v>
      </c>
      <c r="E205" t="s">
        <v>73</v>
      </c>
      <c r="F205" t="s">
        <v>73</v>
      </c>
      <c r="G205" t="s">
        <v>73</v>
      </c>
      <c r="H205">
        <v>66.7</v>
      </c>
      <c r="I205">
        <v>210</v>
      </c>
      <c r="J205">
        <v>23755</v>
      </c>
      <c r="K205" t="s">
        <v>1352</v>
      </c>
      <c r="L205">
        <f t="shared" si="14"/>
        <v>208</v>
      </c>
      <c r="N205">
        <v>208</v>
      </c>
      <c r="O205">
        <v>208</v>
      </c>
      <c r="P205">
        <v>1</v>
      </c>
      <c r="Q205">
        <v>6</v>
      </c>
      <c r="R205">
        <v>16</v>
      </c>
      <c r="S205">
        <v>8</v>
      </c>
      <c r="T205">
        <v>8</v>
      </c>
      <c r="U205">
        <v>18</v>
      </c>
      <c r="V205">
        <v>14</v>
      </c>
      <c r="W205">
        <v>8</v>
      </c>
      <c r="X205">
        <v>12</v>
      </c>
      <c r="Y205">
        <v>17</v>
      </c>
      <c r="Z205">
        <v>0</v>
      </c>
      <c r="AA205">
        <v>31</v>
      </c>
      <c r="AB205">
        <v>7</v>
      </c>
      <c r="AC205">
        <v>13</v>
      </c>
      <c r="AD205">
        <v>2</v>
      </c>
      <c r="AE205">
        <v>23</v>
      </c>
      <c r="AF205">
        <v>11</v>
      </c>
      <c r="AG205">
        <v>4</v>
      </c>
      <c r="AH205">
        <v>1</v>
      </c>
      <c r="AI205">
        <v>9</v>
      </c>
      <c r="AJ205">
        <v>6</v>
      </c>
      <c r="AK205">
        <v>16</v>
      </c>
      <c r="AL205">
        <v>8</v>
      </c>
      <c r="AM205">
        <v>8</v>
      </c>
      <c r="AN205">
        <v>18</v>
      </c>
      <c r="AO205">
        <v>14</v>
      </c>
      <c r="AP205">
        <v>8</v>
      </c>
      <c r="AQ205">
        <v>12</v>
      </c>
      <c r="AR205">
        <v>17</v>
      </c>
      <c r="AS205">
        <v>0</v>
      </c>
      <c r="AT205">
        <v>31</v>
      </c>
      <c r="AU205">
        <v>7</v>
      </c>
      <c r="AV205">
        <v>13</v>
      </c>
      <c r="AW205">
        <v>2</v>
      </c>
      <c r="AX205">
        <v>23</v>
      </c>
      <c r="AY205">
        <v>11</v>
      </c>
      <c r="AZ205">
        <v>4</v>
      </c>
      <c r="BA205">
        <v>1</v>
      </c>
      <c r="BB205">
        <v>9</v>
      </c>
      <c r="BC205" s="2">
        <v>6</v>
      </c>
      <c r="BD205" s="2">
        <v>16</v>
      </c>
      <c r="BE205" s="2">
        <v>8</v>
      </c>
      <c r="BF205" s="2">
        <v>8</v>
      </c>
      <c r="BG205" s="2">
        <v>18</v>
      </c>
      <c r="BH205" s="2">
        <v>14</v>
      </c>
      <c r="BI205" s="2">
        <v>8</v>
      </c>
      <c r="BJ205" s="2">
        <v>12</v>
      </c>
      <c r="BK205" s="2">
        <v>17</v>
      </c>
      <c r="BL205" s="2">
        <v>0</v>
      </c>
      <c r="BM205" s="2">
        <v>31</v>
      </c>
      <c r="BN205" s="2">
        <v>7</v>
      </c>
      <c r="BO205" s="2">
        <v>13</v>
      </c>
      <c r="BP205" s="2">
        <v>2</v>
      </c>
      <c r="BQ205" s="2">
        <v>23</v>
      </c>
      <c r="BR205" s="2">
        <v>11</v>
      </c>
      <c r="BS205" s="2">
        <v>4</v>
      </c>
      <c r="BT205" s="2">
        <v>1</v>
      </c>
      <c r="BU205" s="2">
        <v>9</v>
      </c>
      <c r="BV205" s="2">
        <f t="shared" si="17"/>
        <v>208</v>
      </c>
      <c r="BW205" s="16">
        <f t="shared" si="15"/>
        <v>10.947368421052632</v>
      </c>
      <c r="BX205" s="16">
        <f>COUNTIF($BC$6:BU205, "=0") / COUNTIF($BC$6:BU205, "&gt;-1")</f>
        <v>5.0263157894736843E-2</v>
      </c>
      <c r="BY205" s="18">
        <f>SUM($BC$6:BU205) / $BY$4</f>
        <v>0.6902790254822041</v>
      </c>
      <c r="BZ205" s="14">
        <f t="shared" si="16"/>
        <v>1</v>
      </c>
      <c r="CA205" t="s">
        <v>5831</v>
      </c>
      <c r="CB205" s="36">
        <v>7.2698603750083803</v>
      </c>
      <c r="CC205" s="36">
        <v>15.4090259308391</v>
      </c>
      <c r="CD205" s="36">
        <v>12.806381294498101</v>
      </c>
      <c r="CE205" s="36">
        <v>12.0953740732258</v>
      </c>
      <c r="CF205" s="36">
        <v>15.4831744788641</v>
      </c>
      <c r="CG205" s="36">
        <v>13.0161814529529</v>
      </c>
      <c r="CH205" s="36">
        <v>8.4324982629171306</v>
      </c>
      <c r="CI205" s="36">
        <v>11.678203175787701</v>
      </c>
      <c r="CJ205" s="37">
        <v>13.5108909851643</v>
      </c>
      <c r="CK205" s="37">
        <v>19.550139053536899</v>
      </c>
      <c r="CL205" s="37">
        <v>5.6003804378713999</v>
      </c>
      <c r="CM205" s="37">
        <v>11.0051116057992</v>
      </c>
      <c r="CN205" s="37">
        <v>21.132229013747601</v>
      </c>
      <c r="CO205" s="37">
        <v>8.6810962742363706</v>
      </c>
      <c r="CP205" s="37">
        <v>6.0341601914496898</v>
      </c>
      <c r="CQ205" s="37">
        <v>13.7037316182716</v>
      </c>
      <c r="CR205" s="45">
        <v>5.4646897026862797E-2</v>
      </c>
      <c r="CS205" s="45">
        <v>1.03146915622888</v>
      </c>
      <c r="CT205" s="46">
        <v>0.93016244763593003</v>
      </c>
      <c r="CU205" s="47">
        <v>0.95687611984778798</v>
      </c>
      <c r="CV205" s="48">
        <v>12.023837380511599</v>
      </c>
      <c r="CW205" s="49">
        <v>12.402217397509601</v>
      </c>
      <c r="CX205" s="31" t="s">
        <v>5874</v>
      </c>
      <c r="CY205" s="31" t="s">
        <v>5832</v>
      </c>
      <c r="CZ205" t="s">
        <v>7570</v>
      </c>
      <c r="DA205" t="s">
        <v>5904</v>
      </c>
      <c r="DB205">
        <v>372.9</v>
      </c>
      <c r="DC205" t="s">
        <v>19091</v>
      </c>
      <c r="DD205" t="s">
        <v>19092</v>
      </c>
      <c r="DE205" t="s">
        <v>19093</v>
      </c>
      <c r="DF205" t="s">
        <v>19094</v>
      </c>
      <c r="DG205" t="s">
        <v>19095</v>
      </c>
      <c r="DH205" t="str">
        <f>"GSTP1"</f>
        <v>GSTP1</v>
      </c>
      <c r="DI205" t="s">
        <v>19096</v>
      </c>
      <c r="DJ205" t="s">
        <v>13777</v>
      </c>
      <c r="DK205">
        <v>9606</v>
      </c>
      <c r="DL205" s="34" t="str">
        <f>HYPERLINK("http://www.uniprot.org/uniprot/P09211", "P09211")</f>
        <v>P09211</v>
      </c>
      <c r="DM205" t="s">
        <v>19097</v>
      </c>
      <c r="DN205" t="s">
        <v>13772</v>
      </c>
      <c r="DO205" t="s">
        <v>19098</v>
      </c>
      <c r="DP205" t="s">
        <v>13793</v>
      </c>
      <c r="DQ205" t="s">
        <v>13772</v>
      </c>
      <c r="DR205" t="s">
        <v>13772</v>
      </c>
      <c r="DS205" t="s">
        <v>13772</v>
      </c>
      <c r="DT205" t="s">
        <v>13772</v>
      </c>
      <c r="DU205" t="s">
        <v>14111</v>
      </c>
      <c r="DV205" t="s">
        <v>13886</v>
      </c>
      <c r="DW205" t="s">
        <v>13812</v>
      </c>
      <c r="DX205" t="s">
        <v>19099</v>
      </c>
      <c r="DY205" t="s">
        <v>19100</v>
      </c>
      <c r="DZ205" t="s">
        <v>19101</v>
      </c>
      <c r="EA205" t="s">
        <v>13772</v>
      </c>
      <c r="EB205" t="s">
        <v>19102</v>
      </c>
    </row>
    <row r="206" spans="1:132" hidden="1">
      <c r="A206">
        <v>1237</v>
      </c>
      <c r="B206">
        <v>1</v>
      </c>
      <c r="C206" t="s">
        <v>2970</v>
      </c>
      <c r="D206" t="s">
        <v>73</v>
      </c>
      <c r="E206" t="s">
        <v>73</v>
      </c>
      <c r="F206" t="s">
        <v>73</v>
      </c>
      <c r="G206" t="s">
        <v>73</v>
      </c>
      <c r="H206">
        <v>94.7</v>
      </c>
      <c r="I206">
        <v>75</v>
      </c>
      <c r="J206">
        <v>7774</v>
      </c>
      <c r="K206" t="s">
        <v>2971</v>
      </c>
      <c r="L206">
        <f t="shared" si="14"/>
        <v>208</v>
      </c>
      <c r="N206">
        <v>208</v>
      </c>
      <c r="O206">
        <v>208</v>
      </c>
      <c r="P206">
        <v>1</v>
      </c>
      <c r="Q206">
        <v>2</v>
      </c>
      <c r="R206">
        <v>3</v>
      </c>
      <c r="S206">
        <v>3</v>
      </c>
      <c r="T206">
        <v>0</v>
      </c>
      <c r="U206">
        <v>2</v>
      </c>
      <c r="V206">
        <v>4</v>
      </c>
      <c r="W206">
        <v>4</v>
      </c>
      <c r="X206">
        <v>12</v>
      </c>
      <c r="Y206">
        <v>67</v>
      </c>
      <c r="Z206">
        <v>4</v>
      </c>
      <c r="AA206">
        <v>22</v>
      </c>
      <c r="AB206">
        <v>16</v>
      </c>
      <c r="AC206">
        <v>10</v>
      </c>
      <c r="AD206">
        <v>5</v>
      </c>
      <c r="AE206">
        <v>13</v>
      </c>
      <c r="AF206">
        <v>15</v>
      </c>
      <c r="AG206">
        <v>10</v>
      </c>
      <c r="AH206">
        <v>4</v>
      </c>
      <c r="AI206">
        <v>12</v>
      </c>
      <c r="AJ206">
        <v>2</v>
      </c>
      <c r="AK206">
        <v>3</v>
      </c>
      <c r="AL206">
        <v>3</v>
      </c>
      <c r="AM206">
        <v>0</v>
      </c>
      <c r="AN206">
        <v>2</v>
      </c>
      <c r="AO206">
        <v>4</v>
      </c>
      <c r="AP206">
        <v>4</v>
      </c>
      <c r="AQ206">
        <v>12</v>
      </c>
      <c r="AR206">
        <v>67</v>
      </c>
      <c r="AS206">
        <v>4</v>
      </c>
      <c r="AT206">
        <v>22</v>
      </c>
      <c r="AU206">
        <v>16</v>
      </c>
      <c r="AV206">
        <v>10</v>
      </c>
      <c r="AW206">
        <v>5</v>
      </c>
      <c r="AX206">
        <v>13</v>
      </c>
      <c r="AY206">
        <v>15</v>
      </c>
      <c r="AZ206">
        <v>10</v>
      </c>
      <c r="BA206">
        <v>4</v>
      </c>
      <c r="BB206">
        <v>12</v>
      </c>
      <c r="BC206" s="2">
        <v>2</v>
      </c>
      <c r="BD206" s="2">
        <v>3</v>
      </c>
      <c r="BE206" s="2">
        <v>3</v>
      </c>
      <c r="BF206" s="2">
        <v>0</v>
      </c>
      <c r="BG206" s="2">
        <v>2</v>
      </c>
      <c r="BH206" s="2">
        <v>4</v>
      </c>
      <c r="BI206" s="2">
        <v>4</v>
      </c>
      <c r="BJ206" s="2">
        <v>12</v>
      </c>
      <c r="BK206" s="2">
        <v>67</v>
      </c>
      <c r="BL206" s="2">
        <v>4</v>
      </c>
      <c r="BM206" s="2">
        <v>22</v>
      </c>
      <c r="BN206" s="2">
        <v>16</v>
      </c>
      <c r="BO206" s="2">
        <v>10</v>
      </c>
      <c r="BP206" s="2">
        <v>5</v>
      </c>
      <c r="BQ206" s="2">
        <v>13</v>
      </c>
      <c r="BR206" s="2">
        <v>15</v>
      </c>
      <c r="BS206" s="2">
        <v>10</v>
      </c>
      <c r="BT206" s="2">
        <v>4</v>
      </c>
      <c r="BU206" s="2">
        <v>12</v>
      </c>
      <c r="BV206" s="2">
        <f t="shared" si="17"/>
        <v>208</v>
      </c>
      <c r="BW206" s="16">
        <f t="shared" si="15"/>
        <v>10.947368421052632</v>
      </c>
      <c r="BX206" s="16">
        <f>COUNTIF($BC$6:BU206, "=0") / COUNTIF($BC$6:BU206, "&gt;-1")</f>
        <v>5.0274941084053421E-2</v>
      </c>
      <c r="BY206" s="18">
        <f>SUM($BC$6:BU206) / $BY$4</f>
        <v>0.69117002195089383</v>
      </c>
      <c r="BZ206" s="14">
        <f t="shared" si="16"/>
        <v>1</v>
      </c>
      <c r="CA206" t="s">
        <v>5831</v>
      </c>
      <c r="CB206" s="36">
        <v>2.4232867916694598</v>
      </c>
      <c r="CC206" s="36">
        <v>2.8891923620323401</v>
      </c>
      <c r="CD206" s="36">
        <v>4.8023929854367697</v>
      </c>
      <c r="CE206" s="36">
        <v>0.37798043978830698</v>
      </c>
      <c r="CF206" s="36">
        <v>1.72035271987378</v>
      </c>
      <c r="CG206" s="36">
        <v>3.7189089865579601</v>
      </c>
      <c r="CH206" s="36">
        <v>4.21624913145856</v>
      </c>
      <c r="CI206" s="36">
        <v>11.678203175787701</v>
      </c>
      <c r="CJ206" s="37">
        <v>53.248805647412098</v>
      </c>
      <c r="CK206" s="37">
        <v>13.874292231542301</v>
      </c>
      <c r="CL206" s="37">
        <v>12.800869572277501</v>
      </c>
      <c r="CM206" s="37">
        <v>8.4654704659994096</v>
      </c>
      <c r="CN206" s="37">
        <v>11.944303355596499</v>
      </c>
      <c r="CO206" s="37">
        <v>11.837858555776901</v>
      </c>
      <c r="CP206" s="37">
        <v>15.0854004786242</v>
      </c>
      <c r="CQ206" s="37">
        <v>18.2716421576954</v>
      </c>
      <c r="CR206" s="45">
        <v>2.1393785710759001</v>
      </c>
      <c r="CS206" s="45">
        <v>4.5725523688357601</v>
      </c>
      <c r="CT206" s="46">
        <v>2.9758540561877299E-5</v>
      </c>
      <c r="CU206" s="47">
        <v>9.4352908226995002E-5</v>
      </c>
      <c r="CV206" s="48">
        <v>3.9783208240756101</v>
      </c>
      <c r="CW206" s="49">
        <v>18.191080308115499</v>
      </c>
      <c r="CX206" s="31" t="s">
        <v>5874</v>
      </c>
      <c r="CY206" s="31" t="s">
        <v>5876</v>
      </c>
      <c r="CZ206" t="s">
        <v>9853</v>
      </c>
      <c r="DA206" t="s">
        <v>5904</v>
      </c>
      <c r="DB206">
        <v>105.1</v>
      </c>
      <c r="DC206" t="s">
        <v>25713</v>
      </c>
      <c r="DD206" t="s">
        <v>25714</v>
      </c>
      <c r="DE206" t="s">
        <v>25715</v>
      </c>
      <c r="DF206" t="s">
        <v>25716</v>
      </c>
      <c r="DG206" t="s">
        <v>13772</v>
      </c>
      <c r="DH206" t="str">
        <f>"ADIRF"</f>
        <v>ADIRF</v>
      </c>
      <c r="DI206" t="s">
        <v>25717</v>
      </c>
      <c r="DJ206" t="s">
        <v>13777</v>
      </c>
      <c r="DK206">
        <v>9606</v>
      </c>
      <c r="DL206" s="34" t="str">
        <f>HYPERLINK("http://www.uniprot.org/uniprot/Q15847", "Q15847")</f>
        <v>Q15847</v>
      </c>
      <c r="DM206" t="s">
        <v>25718</v>
      </c>
      <c r="DN206" t="s">
        <v>25719</v>
      </c>
      <c r="DO206" t="s">
        <v>14825</v>
      </c>
      <c r="DP206" t="s">
        <v>13772</v>
      </c>
      <c r="DQ206" t="s">
        <v>13772</v>
      </c>
      <c r="DR206" t="s">
        <v>13772</v>
      </c>
      <c r="DS206" t="s">
        <v>13772</v>
      </c>
      <c r="DT206" t="s">
        <v>13772</v>
      </c>
      <c r="DU206" t="s">
        <v>13772</v>
      </c>
      <c r="DV206" t="s">
        <v>13772</v>
      </c>
      <c r="DW206" t="s">
        <v>13772</v>
      </c>
      <c r="DX206" t="s">
        <v>25720</v>
      </c>
      <c r="DY206" t="s">
        <v>18925</v>
      </c>
      <c r="DZ206" t="s">
        <v>13772</v>
      </c>
      <c r="EA206" t="s">
        <v>13772</v>
      </c>
      <c r="EB206" t="s">
        <v>25721</v>
      </c>
    </row>
    <row r="207" spans="1:132">
      <c r="A207">
        <v>1827</v>
      </c>
      <c r="B207">
        <v>1</v>
      </c>
      <c r="C207" t="s">
        <v>4319</v>
      </c>
      <c r="D207" t="s">
        <v>73</v>
      </c>
      <c r="E207" t="s">
        <v>73</v>
      </c>
      <c r="F207" t="s">
        <v>73</v>
      </c>
      <c r="G207" t="s">
        <v>73</v>
      </c>
      <c r="H207">
        <v>33.299999999999997</v>
      </c>
      <c r="I207">
        <v>868</v>
      </c>
      <c r="J207">
        <v>94890</v>
      </c>
      <c r="K207" t="s">
        <v>4320</v>
      </c>
      <c r="L207">
        <f t="shared" si="14"/>
        <v>208</v>
      </c>
      <c r="N207">
        <v>208</v>
      </c>
      <c r="O207">
        <v>208</v>
      </c>
      <c r="P207">
        <v>1</v>
      </c>
      <c r="Q207">
        <v>9</v>
      </c>
      <c r="R207">
        <v>13</v>
      </c>
      <c r="S207">
        <v>6</v>
      </c>
      <c r="T207">
        <v>7</v>
      </c>
      <c r="U207">
        <v>11</v>
      </c>
      <c r="V207">
        <v>9</v>
      </c>
      <c r="W207">
        <v>9</v>
      </c>
      <c r="X207">
        <v>7</v>
      </c>
      <c r="Y207">
        <v>6</v>
      </c>
      <c r="Z207">
        <v>19</v>
      </c>
      <c r="AA207">
        <v>16</v>
      </c>
      <c r="AB207">
        <v>10</v>
      </c>
      <c r="AC207">
        <v>11</v>
      </c>
      <c r="AD207">
        <v>22</v>
      </c>
      <c r="AE207">
        <v>10</v>
      </c>
      <c r="AF207">
        <v>10</v>
      </c>
      <c r="AG207">
        <v>13</v>
      </c>
      <c r="AH207">
        <v>5</v>
      </c>
      <c r="AI207">
        <v>15</v>
      </c>
      <c r="AJ207">
        <v>9</v>
      </c>
      <c r="AK207">
        <v>13</v>
      </c>
      <c r="AL207">
        <v>6</v>
      </c>
      <c r="AM207">
        <v>7</v>
      </c>
      <c r="AN207">
        <v>11</v>
      </c>
      <c r="AO207">
        <v>9</v>
      </c>
      <c r="AP207">
        <v>9</v>
      </c>
      <c r="AQ207">
        <v>7</v>
      </c>
      <c r="AR207">
        <v>6</v>
      </c>
      <c r="AS207">
        <v>19</v>
      </c>
      <c r="AT207">
        <v>16</v>
      </c>
      <c r="AU207">
        <v>10</v>
      </c>
      <c r="AV207">
        <v>11</v>
      </c>
      <c r="AW207">
        <v>22</v>
      </c>
      <c r="AX207">
        <v>10</v>
      </c>
      <c r="AY207">
        <v>10</v>
      </c>
      <c r="AZ207">
        <v>13</v>
      </c>
      <c r="BA207">
        <v>5</v>
      </c>
      <c r="BB207">
        <v>15</v>
      </c>
      <c r="BC207" s="2">
        <v>9</v>
      </c>
      <c r="BD207" s="2">
        <v>13</v>
      </c>
      <c r="BE207" s="2">
        <v>6</v>
      </c>
      <c r="BF207" s="2">
        <v>7</v>
      </c>
      <c r="BG207" s="2">
        <v>11</v>
      </c>
      <c r="BH207" s="2">
        <v>9</v>
      </c>
      <c r="BI207" s="2">
        <v>9</v>
      </c>
      <c r="BJ207" s="2">
        <v>7</v>
      </c>
      <c r="BK207" s="2">
        <v>6</v>
      </c>
      <c r="BL207" s="2">
        <v>19</v>
      </c>
      <c r="BM207" s="2">
        <v>16</v>
      </c>
      <c r="BN207" s="2">
        <v>10</v>
      </c>
      <c r="BO207" s="2">
        <v>11</v>
      </c>
      <c r="BP207" s="2">
        <v>22</v>
      </c>
      <c r="BQ207" s="2">
        <v>10</v>
      </c>
      <c r="BR207" s="2">
        <v>10</v>
      </c>
      <c r="BS207" s="2">
        <v>13</v>
      </c>
      <c r="BT207" s="2">
        <v>5</v>
      </c>
      <c r="BU207" s="2">
        <v>15</v>
      </c>
      <c r="BV207" s="2">
        <f t="shared" si="17"/>
        <v>208</v>
      </c>
      <c r="BW207" s="16">
        <f t="shared" si="15"/>
        <v>10.947368421052632</v>
      </c>
      <c r="BX207" s="16">
        <f>COUNTIF($BC$6:BU207, "=0") / COUNTIF($BC$6:BU207, "&gt;-1")</f>
        <v>5.0026055237102657E-2</v>
      </c>
      <c r="BY207" s="18">
        <f>SUM($BC$6:BU207) / $BY$4</f>
        <v>0.69206101841958356</v>
      </c>
      <c r="BZ207" s="14">
        <f t="shared" si="16"/>
        <v>0</v>
      </c>
      <c r="CA207" t="s">
        <v>5831</v>
      </c>
      <c r="CB207" s="36">
        <v>10.9047905625126</v>
      </c>
      <c r="CC207" s="36">
        <v>12.519833568806799</v>
      </c>
      <c r="CD207" s="36">
        <v>9.6047859708735501</v>
      </c>
      <c r="CE207" s="36">
        <v>10.5834523140726</v>
      </c>
      <c r="CF207" s="36">
        <v>9.4619399593058091</v>
      </c>
      <c r="CG207" s="36">
        <v>8.3675452197554208</v>
      </c>
      <c r="CH207" s="36">
        <v>9.4865605457817708</v>
      </c>
      <c r="CI207" s="36">
        <v>6.8122851858761404</v>
      </c>
      <c r="CJ207" s="37">
        <v>4.7685497594697397</v>
      </c>
      <c r="CK207" s="37">
        <v>10.0903943502126</v>
      </c>
      <c r="CL207" s="37">
        <v>8.0005434826734305</v>
      </c>
      <c r="CM207" s="37">
        <v>9.3120175125993505</v>
      </c>
      <c r="CN207" s="37">
        <v>9.1879256581511406</v>
      </c>
      <c r="CO207" s="37">
        <v>7.8919057038512497</v>
      </c>
      <c r="CP207" s="37">
        <v>19.611020622211502</v>
      </c>
      <c r="CQ207" s="37">
        <v>22.839552697119299</v>
      </c>
      <c r="CR207" s="45">
        <v>0.16223767193340599</v>
      </c>
      <c r="CS207" s="45">
        <v>1.1795793949365301</v>
      </c>
      <c r="CT207" s="46">
        <v>0.57978516554583304</v>
      </c>
      <c r="CU207" s="47">
        <v>0.65741741652569796</v>
      </c>
      <c r="CV207" s="48">
        <v>9.7176491658730804</v>
      </c>
      <c r="CW207" s="49">
        <v>11.462738723286</v>
      </c>
      <c r="CX207" s="31" t="s">
        <v>5874</v>
      </c>
      <c r="CY207" s="31" t="s">
        <v>5832</v>
      </c>
      <c r="CZ207" t="s">
        <v>11848</v>
      </c>
      <c r="DA207" t="s">
        <v>5904</v>
      </c>
      <c r="DB207">
        <v>1109.4000000000001</v>
      </c>
      <c r="DC207" t="s">
        <v>31347</v>
      </c>
      <c r="DD207" t="s">
        <v>31348</v>
      </c>
      <c r="DE207" t="s">
        <v>31349</v>
      </c>
      <c r="DF207" t="s">
        <v>31350</v>
      </c>
      <c r="DG207" t="s">
        <v>31351</v>
      </c>
      <c r="DH207" t="str">
        <f>"QSOX1"</f>
        <v>QSOX1</v>
      </c>
      <c r="DI207" t="s">
        <v>31352</v>
      </c>
      <c r="DJ207" t="s">
        <v>13777</v>
      </c>
      <c r="DK207">
        <v>9606</v>
      </c>
      <c r="DL207" s="34" t="str">
        <f>HYPERLINK("http://www.uniprot.org/uniprot/O00391", "O00391")</f>
        <v>O00391</v>
      </c>
      <c r="DM207" t="s">
        <v>31353</v>
      </c>
      <c r="DN207" t="s">
        <v>13772</v>
      </c>
      <c r="DO207" t="s">
        <v>23147</v>
      </c>
      <c r="DP207" t="s">
        <v>13780</v>
      </c>
      <c r="DQ207" t="s">
        <v>13772</v>
      </c>
      <c r="DR207" t="s">
        <v>13772</v>
      </c>
      <c r="DS207" t="s">
        <v>13855</v>
      </c>
      <c r="DT207" t="s">
        <v>15580</v>
      </c>
      <c r="DU207" t="s">
        <v>13885</v>
      </c>
      <c r="DV207" t="s">
        <v>13964</v>
      </c>
      <c r="DW207" t="s">
        <v>13812</v>
      </c>
      <c r="DX207" t="s">
        <v>31354</v>
      </c>
      <c r="DY207" t="s">
        <v>31355</v>
      </c>
      <c r="DZ207" t="s">
        <v>31356</v>
      </c>
      <c r="EA207" t="s">
        <v>13772</v>
      </c>
      <c r="EB207" t="s">
        <v>21772</v>
      </c>
    </row>
    <row r="208" spans="1:132" hidden="1">
      <c r="A208">
        <v>2398</v>
      </c>
      <c r="B208">
        <v>1</v>
      </c>
      <c r="C208" t="s">
        <v>5588</v>
      </c>
      <c r="D208" t="s">
        <v>73</v>
      </c>
      <c r="E208" t="s">
        <v>73</v>
      </c>
      <c r="F208" t="s">
        <v>73</v>
      </c>
      <c r="G208" t="s">
        <v>73</v>
      </c>
      <c r="H208">
        <v>50</v>
      </c>
      <c r="I208">
        <v>134</v>
      </c>
      <c r="J208">
        <v>14904</v>
      </c>
      <c r="K208" t="s">
        <v>5589</v>
      </c>
      <c r="L208">
        <f t="shared" si="14"/>
        <v>207</v>
      </c>
      <c r="N208">
        <v>207</v>
      </c>
      <c r="O208">
        <v>207</v>
      </c>
      <c r="P208">
        <v>1</v>
      </c>
      <c r="Q208">
        <v>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30</v>
      </c>
      <c r="Z208">
        <v>10</v>
      </c>
      <c r="AA208">
        <v>38</v>
      </c>
      <c r="AB208">
        <v>15</v>
      </c>
      <c r="AC208">
        <v>19</v>
      </c>
      <c r="AD208">
        <v>7</v>
      </c>
      <c r="AE208">
        <v>26</v>
      </c>
      <c r="AF208">
        <v>20</v>
      </c>
      <c r="AG208">
        <v>14</v>
      </c>
      <c r="AH208">
        <v>1</v>
      </c>
      <c r="AI208">
        <v>21</v>
      </c>
      <c r="AJ208">
        <v>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30</v>
      </c>
      <c r="AS208">
        <v>10</v>
      </c>
      <c r="AT208">
        <v>38</v>
      </c>
      <c r="AU208">
        <v>15</v>
      </c>
      <c r="AV208">
        <v>19</v>
      </c>
      <c r="AW208">
        <v>7</v>
      </c>
      <c r="AX208">
        <v>26</v>
      </c>
      <c r="AY208">
        <v>20</v>
      </c>
      <c r="AZ208">
        <v>14</v>
      </c>
      <c r="BA208">
        <v>1</v>
      </c>
      <c r="BB208">
        <v>21</v>
      </c>
      <c r="BC208" s="2">
        <v>6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30</v>
      </c>
      <c r="BL208" s="2">
        <v>10</v>
      </c>
      <c r="BM208" s="2">
        <v>38</v>
      </c>
      <c r="BN208" s="2">
        <v>15</v>
      </c>
      <c r="BO208" s="2">
        <v>19</v>
      </c>
      <c r="BP208" s="2">
        <v>7</v>
      </c>
      <c r="BQ208" s="2">
        <v>26</v>
      </c>
      <c r="BR208" s="2">
        <v>20</v>
      </c>
      <c r="BS208" s="2">
        <v>14</v>
      </c>
      <c r="BT208" s="2">
        <v>1</v>
      </c>
      <c r="BU208" s="2">
        <v>21</v>
      </c>
      <c r="BV208" s="2">
        <f t="shared" si="17"/>
        <v>207</v>
      </c>
      <c r="BW208" s="16">
        <f t="shared" si="15"/>
        <v>10.894736842105264</v>
      </c>
      <c r="BX208" s="16">
        <f>COUNTIF($BC$6:BU208, "=0") / COUNTIF($BC$6:BU208, "&gt;-1")</f>
        <v>5.1594503500129632E-2</v>
      </c>
      <c r="BY208" s="18">
        <f>SUM($BC$6:BU208) / $BY$4</f>
        <v>0.69294773125140452</v>
      </c>
      <c r="BZ208" s="14">
        <f t="shared" si="16"/>
        <v>7</v>
      </c>
      <c r="CA208" t="s">
        <v>5831</v>
      </c>
      <c r="CB208" s="36">
        <v>7.2698603750083803</v>
      </c>
      <c r="CC208" s="36">
        <v>0.24076603016936199</v>
      </c>
      <c r="CD208" s="36">
        <v>0.40019941545306398</v>
      </c>
      <c r="CE208" s="36">
        <v>0.37798043978830698</v>
      </c>
      <c r="CF208" s="36">
        <v>0.215044089984223</v>
      </c>
      <c r="CG208" s="36">
        <v>0.23243181165987301</v>
      </c>
      <c r="CH208" s="36">
        <v>0.26351557071616</v>
      </c>
      <c r="CI208" s="36">
        <v>0.24329589949557701</v>
      </c>
      <c r="CJ208" s="37">
        <v>23.842748797348701</v>
      </c>
      <c r="CK208" s="37">
        <v>23.964686581754901</v>
      </c>
      <c r="CL208" s="37">
        <v>12.0008152240101</v>
      </c>
      <c r="CM208" s="37">
        <v>16.084393885398899</v>
      </c>
      <c r="CN208" s="37">
        <v>23.888606711192999</v>
      </c>
      <c r="CO208" s="37">
        <v>15.783811407702499</v>
      </c>
      <c r="CP208" s="37">
        <v>21.119560670073898</v>
      </c>
      <c r="CQ208" s="37">
        <v>31.975373775967</v>
      </c>
      <c r="CR208" s="45">
        <v>4.1339348865051804</v>
      </c>
      <c r="CS208" s="45">
        <v>18.2471371343165</v>
      </c>
      <c r="CT208" s="46">
        <v>2.2850404702630001E-14</v>
      </c>
      <c r="CU208" s="47">
        <v>1.0191280497373001E-12</v>
      </c>
      <c r="CV208" s="48">
        <v>1.1553867040343699</v>
      </c>
      <c r="CW208" s="49">
        <v>21.082499631681099</v>
      </c>
      <c r="CX208" s="31" t="s">
        <v>5874</v>
      </c>
      <c r="CY208" s="31" t="s">
        <v>5876</v>
      </c>
      <c r="CZ208" t="s">
        <v>13707</v>
      </c>
      <c r="DA208" t="s">
        <v>5904</v>
      </c>
      <c r="DB208">
        <v>138.30000000000001</v>
      </c>
      <c r="DC208" t="s">
        <v>36551</v>
      </c>
      <c r="DD208" t="s">
        <v>36552</v>
      </c>
      <c r="DE208" t="s">
        <v>36553</v>
      </c>
      <c r="DF208" t="s">
        <v>36554</v>
      </c>
      <c r="DG208" t="s">
        <v>36555</v>
      </c>
      <c r="DH208" t="str">
        <f>"CCL14"</f>
        <v>CCL14</v>
      </c>
      <c r="DI208" t="s">
        <v>36556</v>
      </c>
      <c r="DJ208" t="s">
        <v>13777</v>
      </c>
      <c r="DK208">
        <v>9606</v>
      </c>
      <c r="DL208" s="34" t="str">
        <f>HYPERLINK("http://www.uniprot.org/uniprot/Q16627", "Q16627")</f>
        <v>Q16627</v>
      </c>
      <c r="DM208" t="s">
        <v>36557</v>
      </c>
      <c r="DN208" t="s">
        <v>13772</v>
      </c>
      <c r="DO208" t="s">
        <v>14321</v>
      </c>
      <c r="DP208" t="s">
        <v>13780</v>
      </c>
      <c r="DQ208" t="s">
        <v>13772</v>
      </c>
      <c r="DR208" t="s">
        <v>13772</v>
      </c>
      <c r="DS208" t="s">
        <v>13808</v>
      </c>
      <c r="DT208" t="s">
        <v>13772</v>
      </c>
      <c r="DU208" t="s">
        <v>14405</v>
      </c>
      <c r="DV208" t="s">
        <v>13796</v>
      </c>
      <c r="DW208" t="s">
        <v>13812</v>
      </c>
      <c r="DX208" t="s">
        <v>36558</v>
      </c>
      <c r="DY208" t="s">
        <v>36415</v>
      </c>
      <c r="DZ208" t="s">
        <v>36425</v>
      </c>
      <c r="EA208" t="s">
        <v>13772</v>
      </c>
      <c r="EB208" t="s">
        <v>13772</v>
      </c>
    </row>
    <row r="209" spans="1:132">
      <c r="A209">
        <v>284</v>
      </c>
      <c r="B209">
        <v>1</v>
      </c>
      <c r="C209" t="s">
        <v>716</v>
      </c>
      <c r="D209" t="s">
        <v>717</v>
      </c>
      <c r="E209" t="s">
        <v>73</v>
      </c>
      <c r="F209" t="s">
        <v>73</v>
      </c>
      <c r="G209" t="s">
        <v>73</v>
      </c>
      <c r="H209">
        <v>46.1</v>
      </c>
      <c r="I209">
        <v>605</v>
      </c>
      <c r="J209">
        <v>68003</v>
      </c>
      <c r="K209" t="s">
        <v>718</v>
      </c>
      <c r="L209">
        <f t="shared" si="14"/>
        <v>206</v>
      </c>
      <c r="N209">
        <v>206</v>
      </c>
      <c r="O209">
        <v>206</v>
      </c>
      <c r="P209">
        <v>1</v>
      </c>
      <c r="Q209">
        <v>2</v>
      </c>
      <c r="R209">
        <v>10</v>
      </c>
      <c r="S209">
        <v>7</v>
      </c>
      <c r="T209">
        <v>19</v>
      </c>
      <c r="U209">
        <v>3</v>
      </c>
      <c r="V209">
        <v>3</v>
      </c>
      <c r="W209">
        <v>1</v>
      </c>
      <c r="X209">
        <v>7</v>
      </c>
      <c r="Y209">
        <v>1</v>
      </c>
      <c r="Z209">
        <v>28</v>
      </c>
      <c r="AA209">
        <v>8</v>
      </c>
      <c r="AB209">
        <v>3</v>
      </c>
      <c r="AC209">
        <v>20</v>
      </c>
      <c r="AD209">
        <v>32</v>
      </c>
      <c r="AE209">
        <v>16</v>
      </c>
      <c r="AF209">
        <v>7</v>
      </c>
      <c r="AG209">
        <v>13</v>
      </c>
      <c r="AH209">
        <v>11</v>
      </c>
      <c r="AI209">
        <v>15</v>
      </c>
      <c r="AJ209">
        <v>2</v>
      </c>
      <c r="AK209">
        <v>10</v>
      </c>
      <c r="AL209">
        <v>7</v>
      </c>
      <c r="AM209">
        <v>19</v>
      </c>
      <c r="AN209">
        <v>3</v>
      </c>
      <c r="AO209">
        <v>3</v>
      </c>
      <c r="AP209">
        <v>1</v>
      </c>
      <c r="AQ209">
        <v>7</v>
      </c>
      <c r="AR209">
        <v>1</v>
      </c>
      <c r="AS209">
        <v>28</v>
      </c>
      <c r="AT209">
        <v>8</v>
      </c>
      <c r="AU209">
        <v>3</v>
      </c>
      <c r="AV209">
        <v>20</v>
      </c>
      <c r="AW209">
        <v>32</v>
      </c>
      <c r="AX209">
        <v>16</v>
      </c>
      <c r="AY209">
        <v>7</v>
      </c>
      <c r="AZ209">
        <v>13</v>
      </c>
      <c r="BA209">
        <v>11</v>
      </c>
      <c r="BB209">
        <v>15</v>
      </c>
      <c r="BC209" s="2">
        <v>2</v>
      </c>
      <c r="BD209" s="2">
        <v>10</v>
      </c>
      <c r="BE209" s="2">
        <v>7</v>
      </c>
      <c r="BF209" s="2">
        <v>19</v>
      </c>
      <c r="BG209" s="2">
        <v>3</v>
      </c>
      <c r="BH209" s="2">
        <v>3</v>
      </c>
      <c r="BI209" s="2">
        <v>1</v>
      </c>
      <c r="BJ209" s="2">
        <v>7</v>
      </c>
      <c r="BK209" s="2">
        <v>1</v>
      </c>
      <c r="BL209" s="2">
        <v>28</v>
      </c>
      <c r="BM209" s="2">
        <v>8</v>
      </c>
      <c r="BN209" s="2">
        <v>3</v>
      </c>
      <c r="BO209" s="2">
        <v>20</v>
      </c>
      <c r="BP209" s="2">
        <v>32</v>
      </c>
      <c r="BQ209" s="2">
        <v>16</v>
      </c>
      <c r="BR209" s="2">
        <v>7</v>
      </c>
      <c r="BS209" s="2">
        <v>13</v>
      </c>
      <c r="BT209" s="2">
        <v>11</v>
      </c>
      <c r="BU209" s="2">
        <v>15</v>
      </c>
      <c r="BV209" s="2">
        <f t="shared" si="17"/>
        <v>206</v>
      </c>
      <c r="BW209" s="16">
        <f t="shared" si="15"/>
        <v>10.842105263157896</v>
      </c>
      <c r="BX209" s="16">
        <f>COUNTIF($BC$6:BU209, "=0") / COUNTIF($BC$6:BU209, "&gt;-1")</f>
        <v>5.134158926728586E-2</v>
      </c>
      <c r="BY209" s="18">
        <f>SUM($BC$6:BU209) / $BY$4</f>
        <v>0.69383016044635681</v>
      </c>
      <c r="BZ209" s="14">
        <f t="shared" si="16"/>
        <v>0</v>
      </c>
      <c r="CA209" t="s">
        <v>5831</v>
      </c>
      <c r="CB209" s="36">
        <v>2.4232867916694598</v>
      </c>
      <c r="CC209" s="36">
        <v>9.6306412067744702</v>
      </c>
      <c r="CD209" s="36">
        <v>11.2055836326858</v>
      </c>
      <c r="CE209" s="36">
        <v>28.726513423911399</v>
      </c>
      <c r="CF209" s="36">
        <v>2.5805290798106801</v>
      </c>
      <c r="CG209" s="36">
        <v>2.7891817399184702</v>
      </c>
      <c r="CH209" s="36">
        <v>1.05406228286464</v>
      </c>
      <c r="CI209" s="36">
        <v>6.8122851858761404</v>
      </c>
      <c r="CJ209" s="37">
        <v>0.79475829324495695</v>
      </c>
      <c r="CK209" s="37">
        <v>5.0451971751062796</v>
      </c>
      <c r="CL209" s="37">
        <v>2.4001630448020301</v>
      </c>
      <c r="CM209" s="37">
        <v>16.930940931998801</v>
      </c>
      <c r="CN209" s="37">
        <v>14.7006810530418</v>
      </c>
      <c r="CO209" s="37">
        <v>5.5243339926958699</v>
      </c>
      <c r="CP209" s="37">
        <v>19.611020622211502</v>
      </c>
      <c r="CQ209" s="37">
        <v>22.839552697119299</v>
      </c>
      <c r="CR209" s="45">
        <v>0.431238075850708</v>
      </c>
      <c r="CS209" s="45">
        <v>1.3468850319845</v>
      </c>
      <c r="CT209" s="46">
        <v>0.51855785359276696</v>
      </c>
      <c r="CU209" s="47">
        <v>0.59916270130148697</v>
      </c>
      <c r="CV209" s="48">
        <v>8.1527604179388806</v>
      </c>
      <c r="CW209" s="49">
        <v>10.9808309762776</v>
      </c>
      <c r="CX209" s="31" t="s">
        <v>5874</v>
      </c>
      <c r="CY209" s="31" t="s">
        <v>5832</v>
      </c>
      <c r="CZ209" t="s">
        <v>6679</v>
      </c>
      <c r="DA209" t="s">
        <v>5904</v>
      </c>
      <c r="DB209">
        <v>958.7</v>
      </c>
      <c r="DC209" t="s">
        <v>16363</v>
      </c>
      <c r="DD209" t="s">
        <v>16364</v>
      </c>
      <c r="DE209" t="s">
        <v>16365</v>
      </c>
      <c r="DF209" t="s">
        <v>16366</v>
      </c>
      <c r="DG209" t="s">
        <v>16367</v>
      </c>
      <c r="DH209" t="str">
        <f>"C8A"</f>
        <v>C8A</v>
      </c>
      <c r="DI209" t="s">
        <v>13772</v>
      </c>
      <c r="DJ209" t="s">
        <v>13777</v>
      </c>
      <c r="DK209">
        <v>9606</v>
      </c>
      <c r="DL209" s="34" t="str">
        <f>HYPERLINK("http://www.uniprot.org/uniprot/P07357", "P07357")</f>
        <v>P07357</v>
      </c>
      <c r="DM209" t="s">
        <v>16368</v>
      </c>
      <c r="DN209" t="s">
        <v>16369</v>
      </c>
      <c r="DO209" t="s">
        <v>16370</v>
      </c>
      <c r="DP209" t="s">
        <v>13793</v>
      </c>
      <c r="DQ209" t="s">
        <v>13772</v>
      </c>
      <c r="DR209" t="s">
        <v>13772</v>
      </c>
      <c r="DS209" t="s">
        <v>16371</v>
      </c>
      <c r="DT209" t="s">
        <v>13772</v>
      </c>
      <c r="DU209" t="s">
        <v>13772</v>
      </c>
      <c r="DV209" t="s">
        <v>14629</v>
      </c>
      <c r="DW209" t="s">
        <v>13812</v>
      </c>
      <c r="DX209" t="s">
        <v>16372</v>
      </c>
      <c r="DY209" t="s">
        <v>16373</v>
      </c>
      <c r="DZ209" t="s">
        <v>16374</v>
      </c>
      <c r="EA209" t="s">
        <v>13772</v>
      </c>
      <c r="EB209" t="s">
        <v>16375</v>
      </c>
    </row>
    <row r="210" spans="1:132">
      <c r="A210">
        <v>514</v>
      </c>
      <c r="B210">
        <v>1</v>
      </c>
      <c r="C210" t="s">
        <v>1297</v>
      </c>
      <c r="D210" t="s">
        <v>73</v>
      </c>
      <c r="E210" t="s">
        <v>73</v>
      </c>
      <c r="F210" t="s">
        <v>73</v>
      </c>
      <c r="G210" t="s">
        <v>73</v>
      </c>
      <c r="H210">
        <v>41.6</v>
      </c>
      <c r="I210">
        <v>161</v>
      </c>
      <c r="J210">
        <v>17925</v>
      </c>
      <c r="K210" t="s">
        <v>1298</v>
      </c>
      <c r="L210">
        <f t="shared" si="14"/>
        <v>205</v>
      </c>
      <c r="N210">
        <v>205</v>
      </c>
      <c r="O210">
        <v>205</v>
      </c>
      <c r="P210">
        <v>1</v>
      </c>
      <c r="Q210">
        <v>9</v>
      </c>
      <c r="R210">
        <v>3</v>
      </c>
      <c r="S210">
        <v>12</v>
      </c>
      <c r="T210">
        <v>2</v>
      </c>
      <c r="U210">
        <v>4</v>
      </c>
      <c r="V210">
        <v>11</v>
      </c>
      <c r="W210">
        <v>21</v>
      </c>
      <c r="X210">
        <v>27</v>
      </c>
      <c r="Y210">
        <v>10</v>
      </c>
      <c r="Z210">
        <v>5</v>
      </c>
      <c r="AA210">
        <v>11</v>
      </c>
      <c r="AB210">
        <v>18</v>
      </c>
      <c r="AC210">
        <v>9</v>
      </c>
      <c r="AD210">
        <v>5</v>
      </c>
      <c r="AE210">
        <v>11</v>
      </c>
      <c r="AF210">
        <v>17</v>
      </c>
      <c r="AG210">
        <v>13</v>
      </c>
      <c r="AH210">
        <v>4</v>
      </c>
      <c r="AI210">
        <v>13</v>
      </c>
      <c r="AJ210">
        <v>9</v>
      </c>
      <c r="AK210">
        <v>3</v>
      </c>
      <c r="AL210">
        <v>12</v>
      </c>
      <c r="AM210">
        <v>2</v>
      </c>
      <c r="AN210">
        <v>4</v>
      </c>
      <c r="AO210">
        <v>11</v>
      </c>
      <c r="AP210">
        <v>21</v>
      </c>
      <c r="AQ210">
        <v>27</v>
      </c>
      <c r="AR210">
        <v>10</v>
      </c>
      <c r="AS210">
        <v>5</v>
      </c>
      <c r="AT210">
        <v>11</v>
      </c>
      <c r="AU210">
        <v>18</v>
      </c>
      <c r="AV210">
        <v>9</v>
      </c>
      <c r="AW210">
        <v>5</v>
      </c>
      <c r="AX210">
        <v>11</v>
      </c>
      <c r="AY210">
        <v>17</v>
      </c>
      <c r="AZ210">
        <v>13</v>
      </c>
      <c r="BA210">
        <v>4</v>
      </c>
      <c r="BB210">
        <v>13</v>
      </c>
      <c r="BC210" s="2">
        <v>9</v>
      </c>
      <c r="BD210" s="2">
        <v>3</v>
      </c>
      <c r="BE210" s="2">
        <v>12</v>
      </c>
      <c r="BF210" s="2">
        <v>2</v>
      </c>
      <c r="BG210" s="2">
        <v>4</v>
      </c>
      <c r="BH210" s="2">
        <v>11</v>
      </c>
      <c r="BI210" s="2">
        <v>21</v>
      </c>
      <c r="BJ210" s="2">
        <v>27</v>
      </c>
      <c r="BK210" s="2">
        <v>10</v>
      </c>
      <c r="BL210" s="2">
        <v>5</v>
      </c>
      <c r="BM210" s="2">
        <v>11</v>
      </c>
      <c r="BN210" s="2">
        <v>18</v>
      </c>
      <c r="BO210" s="2">
        <v>9</v>
      </c>
      <c r="BP210" s="2">
        <v>5</v>
      </c>
      <c r="BQ210" s="2">
        <v>11</v>
      </c>
      <c r="BR210" s="2">
        <v>17</v>
      </c>
      <c r="BS210" s="2">
        <v>13</v>
      </c>
      <c r="BT210" s="2">
        <v>4</v>
      </c>
      <c r="BU210" s="2">
        <v>13</v>
      </c>
      <c r="BV210" s="2">
        <f t="shared" si="17"/>
        <v>205</v>
      </c>
      <c r="BW210" s="16">
        <f t="shared" si="15"/>
        <v>10.789473684210526</v>
      </c>
      <c r="BX210" s="16">
        <f>COUNTIF($BC$6:BU210, "=0") / COUNTIF($BC$6:BU210, "&gt;-1")</f>
        <v>5.109114249037227E-2</v>
      </c>
      <c r="BY210" s="18">
        <f>SUM($BC$6:BU210) / $BY$4</f>
        <v>0.69470830600444045</v>
      </c>
      <c r="BZ210" s="14">
        <f t="shared" si="16"/>
        <v>0</v>
      </c>
      <c r="CA210" t="s">
        <v>5831</v>
      </c>
      <c r="CB210" s="36">
        <v>10.9047905625126</v>
      </c>
      <c r="CC210" s="36">
        <v>2.8891923620323401</v>
      </c>
      <c r="CD210" s="36">
        <v>19.2095719417471</v>
      </c>
      <c r="CE210" s="36">
        <v>3.0238435183064598</v>
      </c>
      <c r="CF210" s="36">
        <v>3.4407054397475698</v>
      </c>
      <c r="CG210" s="36">
        <v>10.226999713034401</v>
      </c>
      <c r="CH210" s="36">
        <v>22.135307940157499</v>
      </c>
      <c r="CI210" s="36">
        <v>26.275957145522302</v>
      </c>
      <c r="CJ210" s="37">
        <v>7.9475829324495697</v>
      </c>
      <c r="CK210" s="37">
        <v>6.9371461157711396</v>
      </c>
      <c r="CL210" s="37">
        <v>14.400978268812199</v>
      </c>
      <c r="CM210" s="37">
        <v>7.6189234193994704</v>
      </c>
      <c r="CN210" s="37">
        <v>10.1067182239663</v>
      </c>
      <c r="CO210" s="37">
        <v>13.4162396965471</v>
      </c>
      <c r="CP210" s="37">
        <v>19.611020622211502</v>
      </c>
      <c r="CQ210" s="37">
        <v>19.794279004170001</v>
      </c>
      <c r="CR210" s="45">
        <v>-9.4933340509654996E-4</v>
      </c>
      <c r="CS210" s="45">
        <v>1.01759844630373</v>
      </c>
      <c r="CT210" s="46">
        <v>1</v>
      </c>
      <c r="CU210" s="47">
        <v>1</v>
      </c>
      <c r="CV210" s="48">
        <v>12.263296077882501</v>
      </c>
      <c r="CW210" s="49">
        <v>12.479111035415899</v>
      </c>
      <c r="CX210" s="31" t="s">
        <v>5874</v>
      </c>
      <c r="CY210" s="31" t="s">
        <v>5832</v>
      </c>
      <c r="CZ210" t="s">
        <v>7497</v>
      </c>
      <c r="DA210" t="s">
        <v>5904</v>
      </c>
      <c r="DB210">
        <v>250</v>
      </c>
      <c r="DC210" t="s">
        <v>18851</v>
      </c>
      <c r="DD210" t="s">
        <v>18852</v>
      </c>
      <c r="DE210" t="s">
        <v>18853</v>
      </c>
      <c r="DF210" t="s">
        <v>18854</v>
      </c>
      <c r="DG210" t="s">
        <v>18855</v>
      </c>
      <c r="DH210" t="str">
        <f>"THY1"</f>
        <v>THY1</v>
      </c>
      <c r="DI210" t="s">
        <v>13772</v>
      </c>
      <c r="DJ210" t="s">
        <v>13777</v>
      </c>
      <c r="DK210">
        <v>9606</v>
      </c>
      <c r="DL210" s="34" t="str">
        <f>HYPERLINK("http://www.uniprot.org/uniprot/P04216", "P04216")</f>
        <v>P04216</v>
      </c>
      <c r="DM210" t="s">
        <v>18856</v>
      </c>
      <c r="DN210" t="s">
        <v>13772</v>
      </c>
      <c r="DO210" t="s">
        <v>13792</v>
      </c>
      <c r="DP210" t="s">
        <v>13772</v>
      </c>
      <c r="DQ210" t="s">
        <v>13772</v>
      </c>
      <c r="DR210" t="s">
        <v>13772</v>
      </c>
      <c r="DS210" t="s">
        <v>15698</v>
      </c>
      <c r="DT210" t="s">
        <v>13772</v>
      </c>
      <c r="DU210" t="s">
        <v>13772</v>
      </c>
      <c r="DV210" t="s">
        <v>18857</v>
      </c>
      <c r="DW210" t="s">
        <v>13772</v>
      </c>
      <c r="DX210" t="s">
        <v>18858</v>
      </c>
      <c r="DY210" t="s">
        <v>18859</v>
      </c>
      <c r="DZ210" t="s">
        <v>18860</v>
      </c>
      <c r="EA210" t="s">
        <v>13772</v>
      </c>
      <c r="EB210" t="s">
        <v>16280</v>
      </c>
    </row>
    <row r="211" spans="1:132">
      <c r="A211">
        <v>1780</v>
      </c>
      <c r="B211">
        <v>1</v>
      </c>
      <c r="C211" t="s">
        <v>4210</v>
      </c>
      <c r="D211" t="s">
        <v>73</v>
      </c>
      <c r="E211" t="s">
        <v>73</v>
      </c>
      <c r="F211" t="s">
        <v>73</v>
      </c>
      <c r="G211" t="s">
        <v>73</v>
      </c>
      <c r="H211">
        <v>73.2</v>
      </c>
      <c r="I211">
        <v>224</v>
      </c>
      <c r="J211">
        <v>24943</v>
      </c>
      <c r="K211" t="s">
        <v>4211</v>
      </c>
      <c r="L211">
        <f t="shared" si="14"/>
        <v>205</v>
      </c>
      <c r="N211">
        <v>205</v>
      </c>
      <c r="O211">
        <v>205</v>
      </c>
      <c r="P211">
        <v>1</v>
      </c>
      <c r="Q211">
        <v>9</v>
      </c>
      <c r="R211">
        <v>14</v>
      </c>
      <c r="S211">
        <v>11</v>
      </c>
      <c r="T211">
        <v>14</v>
      </c>
      <c r="U211">
        <v>13</v>
      </c>
      <c r="V211">
        <v>18</v>
      </c>
      <c r="W211">
        <v>6</v>
      </c>
      <c r="X211">
        <v>26</v>
      </c>
      <c r="Y211">
        <v>24</v>
      </c>
      <c r="Z211">
        <v>3</v>
      </c>
      <c r="AA211">
        <v>19</v>
      </c>
      <c r="AB211">
        <v>5</v>
      </c>
      <c r="AC211">
        <v>10</v>
      </c>
      <c r="AD211">
        <v>4</v>
      </c>
      <c r="AE211">
        <v>16</v>
      </c>
      <c r="AF211">
        <v>9</v>
      </c>
      <c r="AG211">
        <v>2</v>
      </c>
      <c r="AH211">
        <v>1</v>
      </c>
      <c r="AI211">
        <v>1</v>
      </c>
      <c r="AJ211">
        <v>9</v>
      </c>
      <c r="AK211">
        <v>14</v>
      </c>
      <c r="AL211">
        <v>11</v>
      </c>
      <c r="AM211">
        <v>14</v>
      </c>
      <c r="AN211">
        <v>13</v>
      </c>
      <c r="AO211">
        <v>18</v>
      </c>
      <c r="AP211">
        <v>6</v>
      </c>
      <c r="AQ211">
        <v>26</v>
      </c>
      <c r="AR211">
        <v>24</v>
      </c>
      <c r="AS211">
        <v>3</v>
      </c>
      <c r="AT211">
        <v>19</v>
      </c>
      <c r="AU211">
        <v>5</v>
      </c>
      <c r="AV211">
        <v>10</v>
      </c>
      <c r="AW211">
        <v>4</v>
      </c>
      <c r="AX211">
        <v>16</v>
      </c>
      <c r="AY211">
        <v>9</v>
      </c>
      <c r="AZ211">
        <v>2</v>
      </c>
      <c r="BA211">
        <v>1</v>
      </c>
      <c r="BB211">
        <v>1</v>
      </c>
      <c r="BC211" s="2">
        <v>9</v>
      </c>
      <c r="BD211" s="2">
        <v>14</v>
      </c>
      <c r="BE211" s="2">
        <v>11</v>
      </c>
      <c r="BF211" s="2">
        <v>14</v>
      </c>
      <c r="BG211" s="2">
        <v>13</v>
      </c>
      <c r="BH211" s="2">
        <v>18</v>
      </c>
      <c r="BI211" s="2">
        <v>6</v>
      </c>
      <c r="BJ211" s="2">
        <v>26</v>
      </c>
      <c r="BK211" s="2">
        <v>24</v>
      </c>
      <c r="BL211" s="2">
        <v>3</v>
      </c>
      <c r="BM211" s="2">
        <v>19</v>
      </c>
      <c r="BN211" s="2">
        <v>5</v>
      </c>
      <c r="BO211" s="2">
        <v>10</v>
      </c>
      <c r="BP211" s="2">
        <v>4</v>
      </c>
      <c r="BQ211" s="2">
        <v>16</v>
      </c>
      <c r="BR211" s="2">
        <v>9</v>
      </c>
      <c r="BS211" s="2">
        <v>2</v>
      </c>
      <c r="BT211" s="2">
        <v>1</v>
      </c>
      <c r="BU211" s="2">
        <v>1</v>
      </c>
      <c r="BV211" s="2">
        <f t="shared" si="17"/>
        <v>205</v>
      </c>
      <c r="BW211" s="16">
        <f t="shared" si="15"/>
        <v>10.789473684210526</v>
      </c>
      <c r="BX211" s="16">
        <f>COUNTIF($BC$6:BU211, "=0") / COUNTIF($BC$6:BU211, "&gt;-1")</f>
        <v>5.0843127235564639E-2</v>
      </c>
      <c r="BY211" s="18">
        <f>SUM($BC$6:BU211) / $BY$4</f>
        <v>0.69558645156252397</v>
      </c>
      <c r="BZ211" s="14">
        <f t="shared" si="16"/>
        <v>0</v>
      </c>
      <c r="CA211" t="s">
        <v>5831</v>
      </c>
      <c r="CB211" s="36">
        <v>10.9047905625126</v>
      </c>
      <c r="CC211" s="36">
        <v>13.4828976894843</v>
      </c>
      <c r="CD211" s="36">
        <v>17.608774279934799</v>
      </c>
      <c r="CE211" s="36">
        <v>21.1669046281452</v>
      </c>
      <c r="CF211" s="36">
        <v>11.1822926791796</v>
      </c>
      <c r="CG211" s="36">
        <v>16.735090439510799</v>
      </c>
      <c r="CH211" s="36">
        <v>6.3243736971878404</v>
      </c>
      <c r="CI211" s="36">
        <v>25.302773547539999</v>
      </c>
      <c r="CJ211" s="37">
        <v>19.074199037879001</v>
      </c>
      <c r="CK211" s="37">
        <v>11.982343290877401</v>
      </c>
      <c r="CL211" s="37">
        <v>4.0002717413367099</v>
      </c>
      <c r="CM211" s="37">
        <v>8.4654704659994096</v>
      </c>
      <c r="CN211" s="37">
        <v>14.7006810530418</v>
      </c>
      <c r="CO211" s="37">
        <v>7.1027151334661296</v>
      </c>
      <c r="CP211" s="37">
        <v>3.0170800957248498</v>
      </c>
      <c r="CQ211" s="37">
        <v>1.5226368464746201</v>
      </c>
      <c r="CR211" s="45">
        <v>-0.74786364060343202</v>
      </c>
      <c r="CS211" s="45">
        <v>-1.7563472280258501</v>
      </c>
      <c r="CT211" s="46">
        <v>6.9118515700730604E-2</v>
      </c>
      <c r="CU211" s="47">
        <v>0.102756193341753</v>
      </c>
      <c r="CV211" s="48">
        <v>15.338487190436901</v>
      </c>
      <c r="CW211" s="49">
        <v>8.7331747080999893</v>
      </c>
      <c r="CX211" s="31" t="s">
        <v>5875</v>
      </c>
      <c r="CY211" s="31" t="s">
        <v>5832</v>
      </c>
      <c r="CZ211" t="s">
        <v>11689</v>
      </c>
      <c r="DA211" t="s">
        <v>5904</v>
      </c>
      <c r="DB211">
        <v>435.6</v>
      </c>
      <c r="DC211" t="s">
        <v>30887</v>
      </c>
      <c r="DD211" t="s">
        <v>30888</v>
      </c>
      <c r="DE211" t="s">
        <v>30889</v>
      </c>
      <c r="DF211" t="s">
        <v>30890</v>
      </c>
      <c r="DG211" t="s">
        <v>30891</v>
      </c>
      <c r="DH211" t="str">
        <f>"PRDX6"</f>
        <v>PRDX6</v>
      </c>
      <c r="DI211" t="s">
        <v>30892</v>
      </c>
      <c r="DJ211" t="s">
        <v>13777</v>
      </c>
      <c r="DK211">
        <v>9606</v>
      </c>
      <c r="DL211" s="34" t="str">
        <f>HYPERLINK("http://www.uniprot.org/uniprot/P30041", "P30041")</f>
        <v>P30041</v>
      </c>
      <c r="DM211" t="s">
        <v>30893</v>
      </c>
      <c r="DN211" t="s">
        <v>17548</v>
      </c>
      <c r="DO211" t="s">
        <v>20125</v>
      </c>
      <c r="DP211" t="s">
        <v>13772</v>
      </c>
      <c r="DQ211" t="s">
        <v>13772</v>
      </c>
      <c r="DR211" t="s">
        <v>13772</v>
      </c>
      <c r="DS211" t="s">
        <v>18188</v>
      </c>
      <c r="DT211" t="s">
        <v>13772</v>
      </c>
      <c r="DU211" t="s">
        <v>30894</v>
      </c>
      <c r="DV211" t="s">
        <v>13886</v>
      </c>
      <c r="DW211" t="s">
        <v>13812</v>
      </c>
      <c r="DX211" t="s">
        <v>30895</v>
      </c>
      <c r="DY211" t="s">
        <v>30896</v>
      </c>
      <c r="DZ211" t="s">
        <v>30897</v>
      </c>
      <c r="EA211" t="s">
        <v>13772</v>
      </c>
      <c r="EB211" t="s">
        <v>30898</v>
      </c>
    </row>
    <row r="212" spans="1:132" hidden="1">
      <c r="A212">
        <v>1085</v>
      </c>
      <c r="B212">
        <v>1</v>
      </c>
      <c r="C212" t="s">
        <v>2611</v>
      </c>
      <c r="D212" t="s">
        <v>73</v>
      </c>
      <c r="E212" t="s">
        <v>73</v>
      </c>
      <c r="F212" t="s">
        <v>2286</v>
      </c>
      <c r="G212" t="s">
        <v>73</v>
      </c>
      <c r="H212">
        <v>62.7</v>
      </c>
      <c r="I212">
        <v>466</v>
      </c>
      <c r="J212">
        <v>53689</v>
      </c>
      <c r="K212" t="s">
        <v>2612</v>
      </c>
      <c r="L212">
        <f t="shared" si="14"/>
        <v>207</v>
      </c>
      <c r="N212">
        <v>207</v>
      </c>
      <c r="O212">
        <v>197</v>
      </c>
      <c r="P212">
        <v>0.95199999999999996</v>
      </c>
      <c r="Q212">
        <v>5</v>
      </c>
      <c r="R212">
        <v>0</v>
      </c>
      <c r="S212">
        <v>1</v>
      </c>
      <c r="T212">
        <v>0</v>
      </c>
      <c r="U212">
        <v>3</v>
      </c>
      <c r="V212">
        <v>4</v>
      </c>
      <c r="W212">
        <v>2</v>
      </c>
      <c r="X212">
        <v>3</v>
      </c>
      <c r="Y212">
        <v>29</v>
      </c>
      <c r="Z212">
        <v>1</v>
      </c>
      <c r="AA212">
        <v>25</v>
      </c>
      <c r="AB212">
        <v>21</v>
      </c>
      <c r="AC212">
        <v>39</v>
      </c>
      <c r="AD212">
        <v>2</v>
      </c>
      <c r="AE212">
        <v>16</v>
      </c>
      <c r="AF212">
        <v>33</v>
      </c>
      <c r="AG212">
        <v>8</v>
      </c>
      <c r="AH212">
        <v>5</v>
      </c>
      <c r="AI212">
        <v>10</v>
      </c>
      <c r="AJ212">
        <v>5</v>
      </c>
      <c r="AK212">
        <v>0</v>
      </c>
      <c r="AL212">
        <v>1</v>
      </c>
      <c r="AM212">
        <v>0</v>
      </c>
      <c r="AN212">
        <v>3</v>
      </c>
      <c r="AO212">
        <v>4</v>
      </c>
      <c r="AP212">
        <v>2</v>
      </c>
      <c r="AQ212">
        <v>3</v>
      </c>
      <c r="AR212">
        <v>28</v>
      </c>
      <c r="AS212">
        <v>1</v>
      </c>
      <c r="AT212">
        <v>22</v>
      </c>
      <c r="AU212">
        <v>20</v>
      </c>
      <c r="AV212">
        <v>37</v>
      </c>
      <c r="AW212">
        <v>2</v>
      </c>
      <c r="AX212">
        <v>15</v>
      </c>
      <c r="AY212">
        <v>32</v>
      </c>
      <c r="AZ212">
        <v>8</v>
      </c>
      <c r="BA212">
        <v>4</v>
      </c>
      <c r="BB212">
        <v>10</v>
      </c>
      <c r="BC212" s="2">
        <v>5</v>
      </c>
      <c r="BD212" s="2">
        <v>0</v>
      </c>
      <c r="BE212" s="2">
        <v>1</v>
      </c>
      <c r="BF212" s="2">
        <v>0</v>
      </c>
      <c r="BG212" s="2">
        <v>3</v>
      </c>
      <c r="BH212" s="2">
        <v>4</v>
      </c>
      <c r="BI212" s="2">
        <v>2</v>
      </c>
      <c r="BJ212" s="2">
        <v>3</v>
      </c>
      <c r="BK212" s="2">
        <v>28.773</v>
      </c>
      <c r="BL212" s="2">
        <v>1</v>
      </c>
      <c r="BM212" s="2">
        <v>24.318000000000001</v>
      </c>
      <c r="BN212" s="2">
        <v>20.773</v>
      </c>
      <c r="BO212" s="2">
        <v>38.545000000000002</v>
      </c>
      <c r="BP212" s="2">
        <v>2</v>
      </c>
      <c r="BQ212" s="2">
        <v>15.773</v>
      </c>
      <c r="BR212" s="2">
        <v>32.773000000000003</v>
      </c>
      <c r="BS212" s="2">
        <v>8</v>
      </c>
      <c r="BT212" s="2">
        <v>4.2869999999999999</v>
      </c>
      <c r="BU212" s="2">
        <v>10</v>
      </c>
      <c r="BV212" s="2">
        <f t="shared" si="17"/>
        <v>204.24199999999999</v>
      </c>
      <c r="BW212" s="16">
        <f t="shared" si="15"/>
        <v>10.74957894736842</v>
      </c>
      <c r="BX212" s="16">
        <f>COUNTIF($BC$6:BU212, "=0") / COUNTIF($BC$6:BU212, "&gt;-1")</f>
        <v>5.1106025934401222E-2</v>
      </c>
      <c r="BY212" s="18">
        <f>SUM($BC$6:BU212) / $BY$4</f>
        <v>0.69646135012386101</v>
      </c>
      <c r="BZ212" s="14">
        <f t="shared" si="16"/>
        <v>2</v>
      </c>
      <c r="CA212" t="s">
        <v>5831</v>
      </c>
      <c r="CB212" s="36">
        <v>6.0582169791736504</v>
      </c>
      <c r="CC212" s="36">
        <v>0.24076603016936199</v>
      </c>
      <c r="CD212" s="36">
        <v>1.6007976618122599</v>
      </c>
      <c r="CE212" s="36">
        <v>0.37798043978830698</v>
      </c>
      <c r="CF212" s="36">
        <v>2.5805290798106801</v>
      </c>
      <c r="CG212" s="36">
        <v>3.7189089865579601</v>
      </c>
      <c r="CH212" s="36">
        <v>2.10812456572928</v>
      </c>
      <c r="CI212" s="36">
        <v>2.9195507939469199</v>
      </c>
      <c r="CJ212" s="37">
        <v>22.889038845454799</v>
      </c>
      <c r="CK212" s="37">
        <v>15.324786419385299</v>
      </c>
      <c r="CL212" s="37">
        <v>16.641130443960702</v>
      </c>
      <c r="CM212" s="37">
        <v>32.592061294097697</v>
      </c>
      <c r="CN212" s="37">
        <v>14.5169225398788</v>
      </c>
      <c r="CO212" s="37">
        <v>25.885450708632099</v>
      </c>
      <c r="CP212" s="37">
        <v>12.068320382899399</v>
      </c>
      <c r="CQ212" s="37">
        <v>15.2263684647462</v>
      </c>
      <c r="CR212" s="45">
        <v>2.9100671313956399</v>
      </c>
      <c r="CS212" s="45">
        <v>7.9135461339650801</v>
      </c>
      <c r="CT212" s="46">
        <v>6.1938319910693999E-12</v>
      </c>
      <c r="CU212" s="47">
        <v>1.3366689038791699E-10</v>
      </c>
      <c r="CV212" s="48">
        <v>2.4506093171235501</v>
      </c>
      <c r="CW212" s="49">
        <v>19.393009887381901</v>
      </c>
      <c r="CX212" s="31" t="s">
        <v>5874</v>
      </c>
      <c r="CY212" s="31" t="s">
        <v>5876</v>
      </c>
      <c r="CZ212" t="s">
        <v>9350</v>
      </c>
      <c r="DA212" t="s">
        <v>5904</v>
      </c>
      <c r="DB212">
        <v>921</v>
      </c>
      <c r="DC212" t="s">
        <v>24283</v>
      </c>
      <c r="DD212" t="s">
        <v>13772</v>
      </c>
      <c r="DE212" t="s">
        <v>24284</v>
      </c>
      <c r="DF212" t="s">
        <v>24285</v>
      </c>
      <c r="DG212" t="s">
        <v>24286</v>
      </c>
      <c r="DH212" t="str">
        <f>"VIM"</f>
        <v>VIM</v>
      </c>
      <c r="DI212" t="s">
        <v>13772</v>
      </c>
      <c r="DJ212" t="s">
        <v>13777</v>
      </c>
      <c r="DK212">
        <v>9606</v>
      </c>
      <c r="DL212" s="34" t="str">
        <f>HYPERLINK("http://www.uniprot.org/uniprot/P08670", "P08670")</f>
        <v>P08670</v>
      </c>
      <c r="DM212" t="s">
        <v>24287</v>
      </c>
      <c r="DN212" t="s">
        <v>14563</v>
      </c>
      <c r="DO212" t="s">
        <v>24288</v>
      </c>
      <c r="DP212" t="s">
        <v>13772</v>
      </c>
      <c r="DQ212" t="s">
        <v>13772</v>
      </c>
      <c r="DR212" t="s">
        <v>14004</v>
      </c>
      <c r="DS212" t="s">
        <v>14245</v>
      </c>
      <c r="DT212" t="s">
        <v>13772</v>
      </c>
      <c r="DU212" t="s">
        <v>13772</v>
      </c>
      <c r="DV212" t="s">
        <v>24289</v>
      </c>
      <c r="DW212" t="s">
        <v>13812</v>
      </c>
      <c r="DX212" t="s">
        <v>24290</v>
      </c>
      <c r="DY212" t="s">
        <v>24291</v>
      </c>
      <c r="DZ212" t="s">
        <v>24292</v>
      </c>
      <c r="EA212" t="s">
        <v>13772</v>
      </c>
      <c r="EB212" t="s">
        <v>24293</v>
      </c>
    </row>
    <row r="213" spans="1:132">
      <c r="A213">
        <v>1024</v>
      </c>
      <c r="B213">
        <v>1</v>
      </c>
      <c r="C213" t="s">
        <v>2478</v>
      </c>
      <c r="D213" t="s">
        <v>73</v>
      </c>
      <c r="E213" t="s">
        <v>73</v>
      </c>
      <c r="F213" t="s">
        <v>815</v>
      </c>
      <c r="G213" t="s">
        <v>73</v>
      </c>
      <c r="H213">
        <v>58.7</v>
      </c>
      <c r="I213">
        <v>254</v>
      </c>
      <c r="J213">
        <v>28866</v>
      </c>
      <c r="K213" t="s">
        <v>2479</v>
      </c>
      <c r="L213">
        <f t="shared" si="14"/>
        <v>211</v>
      </c>
      <c r="N213">
        <v>211</v>
      </c>
      <c r="O213">
        <v>147</v>
      </c>
      <c r="P213">
        <v>0.69699999999999995</v>
      </c>
      <c r="Q213">
        <v>8</v>
      </c>
      <c r="R213">
        <v>7</v>
      </c>
      <c r="S213">
        <v>2</v>
      </c>
      <c r="T213">
        <v>4</v>
      </c>
      <c r="U213">
        <v>6</v>
      </c>
      <c r="V213">
        <v>14</v>
      </c>
      <c r="W213">
        <v>9</v>
      </c>
      <c r="X213">
        <v>30</v>
      </c>
      <c r="Y213">
        <v>23</v>
      </c>
      <c r="Z213">
        <v>5</v>
      </c>
      <c r="AA213">
        <v>25</v>
      </c>
      <c r="AB213">
        <v>14</v>
      </c>
      <c r="AC213">
        <v>17</v>
      </c>
      <c r="AD213">
        <v>8</v>
      </c>
      <c r="AE213">
        <v>11</v>
      </c>
      <c r="AF213">
        <v>13</v>
      </c>
      <c r="AG213">
        <v>6</v>
      </c>
      <c r="AH213">
        <v>2</v>
      </c>
      <c r="AI213">
        <v>7</v>
      </c>
      <c r="AJ213">
        <v>5</v>
      </c>
      <c r="AK213">
        <v>4</v>
      </c>
      <c r="AL213">
        <v>2</v>
      </c>
      <c r="AM213">
        <v>2</v>
      </c>
      <c r="AN213">
        <v>4</v>
      </c>
      <c r="AO213">
        <v>9</v>
      </c>
      <c r="AP213">
        <v>5</v>
      </c>
      <c r="AQ213">
        <v>24</v>
      </c>
      <c r="AR213">
        <v>17</v>
      </c>
      <c r="AS213">
        <v>4</v>
      </c>
      <c r="AT213">
        <v>20</v>
      </c>
      <c r="AU213">
        <v>11</v>
      </c>
      <c r="AV213">
        <v>12</v>
      </c>
      <c r="AW213">
        <v>4</v>
      </c>
      <c r="AX213">
        <v>6</v>
      </c>
      <c r="AY213">
        <v>11</v>
      </c>
      <c r="AZ213">
        <v>3</v>
      </c>
      <c r="BA213">
        <v>0</v>
      </c>
      <c r="BB213">
        <v>4</v>
      </c>
      <c r="BC213" s="2">
        <v>8</v>
      </c>
      <c r="BD213" s="2">
        <v>7</v>
      </c>
      <c r="BE213" s="2">
        <v>2</v>
      </c>
      <c r="BF213" s="2">
        <v>4</v>
      </c>
      <c r="BG213" s="2">
        <v>6</v>
      </c>
      <c r="BH213" s="2">
        <v>14</v>
      </c>
      <c r="BI213" s="2">
        <v>9</v>
      </c>
      <c r="BJ213" s="2">
        <v>27.891999999999999</v>
      </c>
      <c r="BK213" s="2">
        <v>23</v>
      </c>
      <c r="BL213" s="2">
        <v>4.8</v>
      </c>
      <c r="BM213" s="2">
        <v>24.545000000000002</v>
      </c>
      <c r="BN213" s="2">
        <v>14</v>
      </c>
      <c r="BO213" s="2">
        <v>16.614999999999998</v>
      </c>
      <c r="BP213" s="2">
        <v>6.6669999999999998</v>
      </c>
      <c r="BQ213" s="2">
        <v>8.5</v>
      </c>
      <c r="BR213" s="2">
        <v>13</v>
      </c>
      <c r="BS213" s="2">
        <v>6</v>
      </c>
      <c r="BT213" s="2">
        <v>1</v>
      </c>
      <c r="BU213" s="2">
        <v>7</v>
      </c>
      <c r="BV213" s="2">
        <f t="shared" si="17"/>
        <v>203.01900000000001</v>
      </c>
      <c r="BW213" s="16">
        <f t="shared" si="15"/>
        <v>10.685210526315791</v>
      </c>
      <c r="BX213" s="16">
        <f>COUNTIF($BC$6:BU213, "=0") / COUNTIF($BC$6:BU213, "&gt;-1")</f>
        <v>5.0860323886639677E-2</v>
      </c>
      <c r="BY213" s="18">
        <f>SUM($BC$6:BU213) / $BY$4</f>
        <v>0.69733100979730755</v>
      </c>
      <c r="BZ213" s="14">
        <f t="shared" si="16"/>
        <v>0</v>
      </c>
      <c r="CA213" t="s">
        <v>5831</v>
      </c>
      <c r="CB213" s="36">
        <v>9.6931471666778304</v>
      </c>
      <c r="CC213" s="36">
        <v>6.7414488447421297</v>
      </c>
      <c r="CD213" s="36">
        <v>3.2015953236245198</v>
      </c>
      <c r="CE213" s="36">
        <v>6.0476870366129196</v>
      </c>
      <c r="CF213" s="36">
        <v>5.1610581596213496</v>
      </c>
      <c r="CG213" s="36">
        <v>13.0161814529529</v>
      </c>
      <c r="CH213" s="36">
        <v>9.4865605457817708</v>
      </c>
      <c r="CI213" s="36">
        <v>27.1518223837063</v>
      </c>
      <c r="CJ213" s="37">
        <v>18.279440744634002</v>
      </c>
      <c r="CK213" s="37">
        <v>15.450916348763</v>
      </c>
      <c r="CL213" s="37">
        <v>11.2007608757428</v>
      </c>
      <c r="CM213" s="37">
        <v>14.052680973558999</v>
      </c>
      <c r="CN213" s="37">
        <v>7.80973680942847</v>
      </c>
      <c r="CO213" s="37">
        <v>10.2594774150066</v>
      </c>
      <c r="CP213" s="37">
        <v>9.0512402871745401</v>
      </c>
      <c r="CQ213" s="37">
        <v>10.658457925322301</v>
      </c>
      <c r="CR213" s="45">
        <v>0.249425140599488</v>
      </c>
      <c r="CS213" s="45">
        <v>1.20202871174744</v>
      </c>
      <c r="CT213" s="46">
        <v>0.533775912076626</v>
      </c>
      <c r="CU213" s="47">
        <v>0.61462321029133005</v>
      </c>
      <c r="CV213" s="48">
        <v>10.062437614215</v>
      </c>
      <c r="CW213" s="49">
        <v>12.0953389224538</v>
      </c>
      <c r="CX213" s="31" t="s">
        <v>5874</v>
      </c>
      <c r="CY213" s="31" t="s">
        <v>5832</v>
      </c>
      <c r="CZ213" t="s">
        <v>9191</v>
      </c>
      <c r="DA213" t="s">
        <v>5904</v>
      </c>
      <c r="DB213">
        <v>522.70000000000005</v>
      </c>
      <c r="DC213" t="s">
        <v>23825</v>
      </c>
      <c r="DD213" t="s">
        <v>23826</v>
      </c>
      <c r="DE213" t="s">
        <v>23827</v>
      </c>
      <c r="DF213" t="s">
        <v>23828</v>
      </c>
      <c r="DG213" t="s">
        <v>23829</v>
      </c>
      <c r="DH213" t="str">
        <f>"PGAM1"</f>
        <v>PGAM1</v>
      </c>
      <c r="DI213" t="s">
        <v>23830</v>
      </c>
      <c r="DJ213" t="s">
        <v>13777</v>
      </c>
      <c r="DK213">
        <v>9606</v>
      </c>
      <c r="DL213" s="34" t="str">
        <f>HYPERLINK("http://www.uniprot.org/uniprot/P18669", "P18669")</f>
        <v>P18669</v>
      </c>
      <c r="DM213" t="s">
        <v>23831</v>
      </c>
      <c r="DN213" t="s">
        <v>15772</v>
      </c>
      <c r="DO213" t="s">
        <v>13772</v>
      </c>
      <c r="DP213" t="s">
        <v>13772</v>
      </c>
      <c r="DQ213" t="s">
        <v>13772</v>
      </c>
      <c r="DR213" t="s">
        <v>13772</v>
      </c>
      <c r="DS213" t="s">
        <v>13772</v>
      </c>
      <c r="DT213" t="s">
        <v>13772</v>
      </c>
      <c r="DU213" t="s">
        <v>16797</v>
      </c>
      <c r="DV213" t="s">
        <v>13886</v>
      </c>
      <c r="DW213" t="s">
        <v>13812</v>
      </c>
      <c r="DX213" t="s">
        <v>23832</v>
      </c>
      <c r="DY213" t="s">
        <v>23833</v>
      </c>
      <c r="DZ213" t="s">
        <v>23834</v>
      </c>
      <c r="EA213" t="s">
        <v>13772</v>
      </c>
      <c r="EB213" t="s">
        <v>23835</v>
      </c>
    </row>
    <row r="214" spans="1:132">
      <c r="A214">
        <v>247</v>
      </c>
      <c r="B214">
        <v>1</v>
      </c>
      <c r="C214" t="s">
        <v>628</v>
      </c>
      <c r="D214" t="s">
        <v>73</v>
      </c>
      <c r="E214" t="s">
        <v>73</v>
      </c>
      <c r="F214" t="s">
        <v>73</v>
      </c>
      <c r="G214" t="s">
        <v>73</v>
      </c>
      <c r="H214">
        <v>60.2</v>
      </c>
      <c r="I214">
        <v>289</v>
      </c>
      <c r="J214">
        <v>32371</v>
      </c>
      <c r="K214" t="s">
        <v>629</v>
      </c>
      <c r="L214">
        <f t="shared" si="14"/>
        <v>203</v>
      </c>
      <c r="N214">
        <v>203</v>
      </c>
      <c r="O214">
        <v>203</v>
      </c>
      <c r="P214">
        <v>1</v>
      </c>
      <c r="Q214">
        <v>3</v>
      </c>
      <c r="R214">
        <v>5</v>
      </c>
      <c r="S214">
        <v>1</v>
      </c>
      <c r="T214">
        <v>2</v>
      </c>
      <c r="U214">
        <v>7</v>
      </c>
      <c r="V214">
        <v>13</v>
      </c>
      <c r="W214">
        <v>13</v>
      </c>
      <c r="X214">
        <v>18</v>
      </c>
      <c r="Y214">
        <v>25</v>
      </c>
      <c r="Z214">
        <v>2</v>
      </c>
      <c r="AA214">
        <v>26</v>
      </c>
      <c r="AB214">
        <v>13</v>
      </c>
      <c r="AC214">
        <v>19</v>
      </c>
      <c r="AD214">
        <v>2</v>
      </c>
      <c r="AE214">
        <v>25</v>
      </c>
      <c r="AF214">
        <v>12</v>
      </c>
      <c r="AG214">
        <v>7</v>
      </c>
      <c r="AH214">
        <v>3</v>
      </c>
      <c r="AI214">
        <v>7</v>
      </c>
      <c r="AJ214">
        <v>3</v>
      </c>
      <c r="AK214">
        <v>5</v>
      </c>
      <c r="AL214">
        <v>1</v>
      </c>
      <c r="AM214">
        <v>2</v>
      </c>
      <c r="AN214">
        <v>7</v>
      </c>
      <c r="AO214">
        <v>13</v>
      </c>
      <c r="AP214">
        <v>13</v>
      </c>
      <c r="AQ214">
        <v>18</v>
      </c>
      <c r="AR214">
        <v>25</v>
      </c>
      <c r="AS214">
        <v>2</v>
      </c>
      <c r="AT214">
        <v>26</v>
      </c>
      <c r="AU214">
        <v>13</v>
      </c>
      <c r="AV214">
        <v>19</v>
      </c>
      <c r="AW214">
        <v>2</v>
      </c>
      <c r="AX214">
        <v>25</v>
      </c>
      <c r="AY214">
        <v>12</v>
      </c>
      <c r="AZ214">
        <v>7</v>
      </c>
      <c r="BA214">
        <v>3</v>
      </c>
      <c r="BB214">
        <v>7</v>
      </c>
      <c r="BC214" s="2">
        <v>3</v>
      </c>
      <c r="BD214" s="2">
        <v>5</v>
      </c>
      <c r="BE214" s="2">
        <v>1</v>
      </c>
      <c r="BF214" s="2">
        <v>2</v>
      </c>
      <c r="BG214" s="2">
        <v>7</v>
      </c>
      <c r="BH214" s="2">
        <v>13</v>
      </c>
      <c r="BI214" s="2">
        <v>13</v>
      </c>
      <c r="BJ214" s="2">
        <v>18</v>
      </c>
      <c r="BK214" s="2">
        <v>25</v>
      </c>
      <c r="BL214" s="2">
        <v>2</v>
      </c>
      <c r="BM214" s="2">
        <v>26</v>
      </c>
      <c r="BN214" s="2">
        <v>13</v>
      </c>
      <c r="BO214" s="2">
        <v>19</v>
      </c>
      <c r="BP214" s="2">
        <v>2</v>
      </c>
      <c r="BQ214" s="2">
        <v>25</v>
      </c>
      <c r="BR214" s="2">
        <v>12</v>
      </c>
      <c r="BS214" s="2">
        <v>7</v>
      </c>
      <c r="BT214" s="2">
        <v>3</v>
      </c>
      <c r="BU214" s="2">
        <v>7</v>
      </c>
      <c r="BV214" s="2">
        <f t="shared" si="17"/>
        <v>203</v>
      </c>
      <c r="BW214" s="16">
        <f t="shared" si="15"/>
        <v>10.684210526315789</v>
      </c>
      <c r="BX214" s="16">
        <f>COUNTIF($BC$6:BU214, "=0") / COUNTIF($BC$6:BU214, "&gt;-1")</f>
        <v>5.0616973054646186E-2</v>
      </c>
      <c r="BY214" s="18">
        <f>SUM($BC$6:BU214) / $BY$4</f>
        <v>0.69820058808165375</v>
      </c>
      <c r="BZ214" s="14">
        <f t="shared" si="16"/>
        <v>0</v>
      </c>
      <c r="CA214" t="s">
        <v>5831</v>
      </c>
      <c r="CB214" s="36">
        <v>3.6349301875041902</v>
      </c>
      <c r="CC214" s="36">
        <v>4.8153206033872298</v>
      </c>
      <c r="CD214" s="36">
        <v>1.6007976618122599</v>
      </c>
      <c r="CE214" s="36">
        <v>3.0238435183064598</v>
      </c>
      <c r="CF214" s="36">
        <v>6.0212345195582504</v>
      </c>
      <c r="CG214" s="36">
        <v>12.0864542063134</v>
      </c>
      <c r="CH214" s="36">
        <v>13.7028096772403</v>
      </c>
      <c r="CI214" s="36">
        <v>17.517304763681501</v>
      </c>
      <c r="CJ214" s="37">
        <v>19.868957331123902</v>
      </c>
      <c r="CK214" s="37">
        <v>16.3968908190954</v>
      </c>
      <c r="CL214" s="37">
        <v>10.400706527475499</v>
      </c>
      <c r="CM214" s="37">
        <v>16.084393885398899</v>
      </c>
      <c r="CN214" s="37">
        <v>22.9698141453778</v>
      </c>
      <c r="CO214" s="37">
        <v>9.4702868446214996</v>
      </c>
      <c r="CP214" s="37">
        <v>10.559780335037001</v>
      </c>
      <c r="CQ214" s="37">
        <v>10.658457925322301</v>
      </c>
      <c r="CR214" s="45">
        <v>0.85435038519448403</v>
      </c>
      <c r="CS214" s="45">
        <v>1.8654528871931899</v>
      </c>
      <c r="CT214" s="46">
        <v>3.6658286265982797E-2</v>
      </c>
      <c r="CU214" s="47">
        <v>5.8811495232476099E-2</v>
      </c>
      <c r="CV214" s="48">
        <v>7.8003368922254497</v>
      </c>
      <c r="CW214" s="49">
        <v>14.5511609766815</v>
      </c>
      <c r="CX214" s="31" t="s">
        <v>5874</v>
      </c>
      <c r="CY214" s="31" t="s">
        <v>5877</v>
      </c>
      <c r="CZ214" t="s">
        <v>6554</v>
      </c>
      <c r="DA214" t="s">
        <v>5904</v>
      </c>
      <c r="DB214">
        <v>524.20000000000005</v>
      </c>
      <c r="DC214" t="s">
        <v>15988</v>
      </c>
      <c r="DD214" t="s">
        <v>15989</v>
      </c>
      <c r="DE214" t="s">
        <v>15990</v>
      </c>
      <c r="DF214" t="s">
        <v>15991</v>
      </c>
      <c r="DG214" t="s">
        <v>15992</v>
      </c>
      <c r="DH214" t="str">
        <f>"PNP"</f>
        <v>PNP</v>
      </c>
      <c r="DI214" t="s">
        <v>15993</v>
      </c>
      <c r="DJ214" t="s">
        <v>13777</v>
      </c>
      <c r="DK214">
        <v>9606</v>
      </c>
      <c r="DL214" s="34" t="str">
        <f>HYPERLINK("http://www.uniprot.org/uniprot/P00491", "P00491")</f>
        <v>P00491</v>
      </c>
      <c r="DM214" t="s">
        <v>15994</v>
      </c>
      <c r="DN214" t="s">
        <v>13772</v>
      </c>
      <c r="DO214" t="s">
        <v>13988</v>
      </c>
      <c r="DP214" t="s">
        <v>13793</v>
      </c>
      <c r="DQ214" t="s">
        <v>13772</v>
      </c>
      <c r="DR214" t="s">
        <v>13807</v>
      </c>
      <c r="DS214" t="s">
        <v>13772</v>
      </c>
      <c r="DT214" t="s">
        <v>13772</v>
      </c>
      <c r="DU214" t="s">
        <v>15995</v>
      </c>
      <c r="DV214" t="s">
        <v>13886</v>
      </c>
      <c r="DW214" t="s">
        <v>13812</v>
      </c>
      <c r="DX214" t="s">
        <v>15996</v>
      </c>
      <c r="DY214" t="s">
        <v>15997</v>
      </c>
      <c r="DZ214" t="s">
        <v>15998</v>
      </c>
      <c r="EA214" t="s">
        <v>15999</v>
      </c>
      <c r="EB214" t="s">
        <v>16000</v>
      </c>
    </row>
    <row r="215" spans="1:132" hidden="1">
      <c r="A215">
        <v>1249</v>
      </c>
      <c r="B215">
        <v>1</v>
      </c>
      <c r="C215" t="s">
        <v>2996</v>
      </c>
      <c r="D215" t="s">
        <v>73</v>
      </c>
      <c r="E215" t="s">
        <v>73</v>
      </c>
      <c r="F215" t="s">
        <v>73</v>
      </c>
      <c r="G215" t="s">
        <v>73</v>
      </c>
      <c r="H215">
        <v>64.900000000000006</v>
      </c>
      <c r="I215">
        <v>518</v>
      </c>
      <c r="J215">
        <v>56576</v>
      </c>
      <c r="K215" t="s">
        <v>2997</v>
      </c>
      <c r="L215">
        <f t="shared" si="14"/>
        <v>202</v>
      </c>
      <c r="N215">
        <v>202</v>
      </c>
      <c r="O215">
        <v>202</v>
      </c>
      <c r="P215">
        <v>1</v>
      </c>
      <c r="Q215">
        <v>28</v>
      </c>
      <c r="R215">
        <v>22</v>
      </c>
      <c r="S215">
        <v>35</v>
      </c>
      <c r="T215">
        <v>17</v>
      </c>
      <c r="U215">
        <v>25</v>
      </c>
      <c r="V215">
        <v>16</v>
      </c>
      <c r="W215">
        <v>12</v>
      </c>
      <c r="X215">
        <v>4</v>
      </c>
      <c r="Y215">
        <v>3</v>
      </c>
      <c r="Z215">
        <v>0</v>
      </c>
      <c r="AA215">
        <v>3</v>
      </c>
      <c r="AB215">
        <v>6</v>
      </c>
      <c r="AC215">
        <v>4</v>
      </c>
      <c r="AD215">
        <v>0</v>
      </c>
      <c r="AE215">
        <v>2</v>
      </c>
      <c r="AF215">
        <v>21</v>
      </c>
      <c r="AG215">
        <v>2</v>
      </c>
      <c r="AH215">
        <v>1</v>
      </c>
      <c r="AI215">
        <v>1</v>
      </c>
      <c r="AJ215">
        <v>28</v>
      </c>
      <c r="AK215">
        <v>22</v>
      </c>
      <c r="AL215">
        <v>35</v>
      </c>
      <c r="AM215">
        <v>17</v>
      </c>
      <c r="AN215">
        <v>25</v>
      </c>
      <c r="AO215">
        <v>16</v>
      </c>
      <c r="AP215">
        <v>12</v>
      </c>
      <c r="AQ215">
        <v>4</v>
      </c>
      <c r="AR215">
        <v>3</v>
      </c>
      <c r="AS215">
        <v>0</v>
      </c>
      <c r="AT215">
        <v>3</v>
      </c>
      <c r="AU215">
        <v>6</v>
      </c>
      <c r="AV215">
        <v>4</v>
      </c>
      <c r="AW215">
        <v>0</v>
      </c>
      <c r="AX215">
        <v>2</v>
      </c>
      <c r="AY215">
        <v>21</v>
      </c>
      <c r="AZ215">
        <v>2</v>
      </c>
      <c r="BA215">
        <v>1</v>
      </c>
      <c r="BB215">
        <v>1</v>
      </c>
      <c r="BC215" s="2">
        <v>28</v>
      </c>
      <c r="BD215" s="2">
        <v>22</v>
      </c>
      <c r="BE215" s="2">
        <v>35</v>
      </c>
      <c r="BF215" s="2">
        <v>17</v>
      </c>
      <c r="BG215" s="2">
        <v>25</v>
      </c>
      <c r="BH215" s="2">
        <v>16</v>
      </c>
      <c r="BI215" s="2">
        <v>12</v>
      </c>
      <c r="BJ215" s="2">
        <v>4</v>
      </c>
      <c r="BK215" s="2">
        <v>3</v>
      </c>
      <c r="BL215" s="2">
        <v>0</v>
      </c>
      <c r="BM215" s="2">
        <v>3</v>
      </c>
      <c r="BN215" s="2">
        <v>6</v>
      </c>
      <c r="BO215" s="2">
        <v>4</v>
      </c>
      <c r="BP215" s="2">
        <v>0</v>
      </c>
      <c r="BQ215" s="2">
        <v>2</v>
      </c>
      <c r="BR215" s="2">
        <v>21</v>
      </c>
      <c r="BS215" s="2">
        <v>2</v>
      </c>
      <c r="BT215" s="2">
        <v>1</v>
      </c>
      <c r="BU215" s="2">
        <v>1</v>
      </c>
      <c r="BV215" s="2">
        <f t="shared" si="17"/>
        <v>202</v>
      </c>
      <c r="BW215" s="16">
        <f t="shared" si="15"/>
        <v>10.631578947368421</v>
      </c>
      <c r="BX215" s="16">
        <f>COUNTIF($BC$6:BU215, "=0") / COUNTIF($BC$6:BU215, "&gt;-1")</f>
        <v>5.0877192982456139E-2</v>
      </c>
      <c r="BY215" s="18">
        <f>SUM($BC$6:BU215) / $BY$4</f>
        <v>0.69906588272913128</v>
      </c>
      <c r="BZ215" s="14">
        <f t="shared" si="16"/>
        <v>2</v>
      </c>
      <c r="CA215" t="s">
        <v>5831</v>
      </c>
      <c r="CB215" s="36">
        <v>33.926015083372398</v>
      </c>
      <c r="CC215" s="36">
        <v>21.1874106549038</v>
      </c>
      <c r="CD215" s="36">
        <v>56.027918163429</v>
      </c>
      <c r="CE215" s="36">
        <v>25.7026699056049</v>
      </c>
      <c r="CF215" s="36">
        <v>21.504408998422299</v>
      </c>
      <c r="CG215" s="36">
        <v>14.875635946231901</v>
      </c>
      <c r="CH215" s="36">
        <v>12.6487473943757</v>
      </c>
      <c r="CI215" s="36">
        <v>3.8927343919292201</v>
      </c>
      <c r="CJ215" s="37">
        <v>2.3842748797348698</v>
      </c>
      <c r="CK215" s="37">
        <v>1.89194894066486</v>
      </c>
      <c r="CL215" s="37">
        <v>4.8003260896040603</v>
      </c>
      <c r="CM215" s="37">
        <v>3.3861881863997598</v>
      </c>
      <c r="CN215" s="37">
        <v>1.8375851316302301</v>
      </c>
      <c r="CO215" s="37">
        <v>16.5730019780876</v>
      </c>
      <c r="CP215" s="37">
        <v>3.0170800957248498</v>
      </c>
      <c r="CQ215" s="37">
        <v>1.5226368464746201</v>
      </c>
      <c r="CR215" s="45">
        <v>-2.33932356347055</v>
      </c>
      <c r="CS215" s="45">
        <v>-5.3586342495928996</v>
      </c>
      <c r="CT215" s="46">
        <v>2.5872502607919299E-5</v>
      </c>
      <c r="CU215" s="47">
        <v>8.3642076234186806E-5</v>
      </c>
      <c r="CV215" s="48">
        <v>23.720692567283699</v>
      </c>
      <c r="CW215" s="49">
        <v>4.4266302685401104</v>
      </c>
      <c r="CX215" s="31" t="s">
        <v>5875</v>
      </c>
      <c r="CY215" s="31" t="s">
        <v>5876</v>
      </c>
      <c r="CZ215" t="s">
        <v>9894</v>
      </c>
      <c r="DA215" t="s">
        <v>5904</v>
      </c>
      <c r="DB215">
        <v>531.6</v>
      </c>
      <c r="DC215" t="s">
        <v>25838</v>
      </c>
      <c r="DD215" t="s">
        <v>13772</v>
      </c>
      <c r="DE215" t="s">
        <v>25839</v>
      </c>
      <c r="DF215" t="s">
        <v>25840</v>
      </c>
      <c r="DG215" t="s">
        <v>25841</v>
      </c>
      <c r="DH215" t="str">
        <f>"DMP1"</f>
        <v>DMP1</v>
      </c>
      <c r="DI215" t="s">
        <v>13772</v>
      </c>
      <c r="DJ215" t="s">
        <v>13777</v>
      </c>
      <c r="DK215">
        <v>9606</v>
      </c>
      <c r="DL215" s="34" t="str">
        <f>HYPERLINK("http://www.uniprot.org/uniprot/Q13316", "Q13316")</f>
        <v>Q13316</v>
      </c>
      <c r="DM215" t="s">
        <v>25842</v>
      </c>
      <c r="DN215" t="s">
        <v>16274</v>
      </c>
      <c r="DO215" t="s">
        <v>25843</v>
      </c>
      <c r="DP215" t="s">
        <v>13780</v>
      </c>
      <c r="DQ215" t="s">
        <v>13772</v>
      </c>
      <c r="DR215" t="s">
        <v>13772</v>
      </c>
      <c r="DS215" t="s">
        <v>13808</v>
      </c>
      <c r="DT215" t="s">
        <v>13772</v>
      </c>
      <c r="DU215" t="s">
        <v>13772</v>
      </c>
      <c r="DV215" t="s">
        <v>13978</v>
      </c>
      <c r="DW215" t="s">
        <v>13772</v>
      </c>
      <c r="DX215" t="s">
        <v>25844</v>
      </c>
      <c r="DY215" t="s">
        <v>25845</v>
      </c>
      <c r="DZ215" t="s">
        <v>25846</v>
      </c>
      <c r="EA215" t="s">
        <v>13772</v>
      </c>
      <c r="EB215" t="s">
        <v>25847</v>
      </c>
    </row>
    <row r="216" spans="1:132" hidden="1">
      <c r="A216">
        <v>1316</v>
      </c>
      <c r="B216">
        <v>1</v>
      </c>
      <c r="C216" t="s">
        <v>3156</v>
      </c>
      <c r="D216" t="s">
        <v>73</v>
      </c>
      <c r="E216" t="s">
        <v>73</v>
      </c>
      <c r="F216" t="s">
        <v>3157</v>
      </c>
      <c r="G216" t="s">
        <v>73</v>
      </c>
      <c r="H216">
        <v>44.5</v>
      </c>
      <c r="I216">
        <v>391</v>
      </c>
      <c r="J216">
        <v>43996</v>
      </c>
      <c r="K216" t="s">
        <v>3158</v>
      </c>
      <c r="L216">
        <f t="shared" si="14"/>
        <v>245</v>
      </c>
      <c r="N216">
        <v>245</v>
      </c>
      <c r="O216">
        <v>105</v>
      </c>
      <c r="P216">
        <v>0.42899999999999999</v>
      </c>
      <c r="Q216">
        <v>16</v>
      </c>
      <c r="R216">
        <v>12</v>
      </c>
      <c r="S216">
        <v>15</v>
      </c>
      <c r="T216">
        <v>10</v>
      </c>
      <c r="U216">
        <v>14</v>
      </c>
      <c r="V216">
        <v>9</v>
      </c>
      <c r="W216">
        <v>26</v>
      </c>
      <c r="X216">
        <v>50</v>
      </c>
      <c r="Y216">
        <v>8</v>
      </c>
      <c r="Z216">
        <v>0</v>
      </c>
      <c r="AA216">
        <v>19</v>
      </c>
      <c r="AB216">
        <v>18</v>
      </c>
      <c r="AC216">
        <v>4</v>
      </c>
      <c r="AD216">
        <v>1</v>
      </c>
      <c r="AE216">
        <v>14</v>
      </c>
      <c r="AF216">
        <v>13</v>
      </c>
      <c r="AG216">
        <v>7</v>
      </c>
      <c r="AH216">
        <v>4</v>
      </c>
      <c r="AI216">
        <v>5</v>
      </c>
      <c r="AJ216">
        <v>9</v>
      </c>
      <c r="AK216">
        <v>10</v>
      </c>
      <c r="AL216">
        <v>8</v>
      </c>
      <c r="AM216">
        <v>8</v>
      </c>
      <c r="AN216">
        <v>11</v>
      </c>
      <c r="AO216">
        <v>5</v>
      </c>
      <c r="AP216">
        <v>11</v>
      </c>
      <c r="AQ216">
        <v>9</v>
      </c>
      <c r="AR216">
        <v>3</v>
      </c>
      <c r="AS216">
        <v>0</v>
      </c>
      <c r="AT216">
        <v>7</v>
      </c>
      <c r="AU216">
        <v>6</v>
      </c>
      <c r="AV216">
        <v>1</v>
      </c>
      <c r="AW216">
        <v>1</v>
      </c>
      <c r="AX216">
        <v>5</v>
      </c>
      <c r="AY216">
        <v>5</v>
      </c>
      <c r="AZ216">
        <v>1</v>
      </c>
      <c r="BA216">
        <v>3</v>
      </c>
      <c r="BB216">
        <v>2</v>
      </c>
      <c r="BC216" s="2">
        <v>13.846</v>
      </c>
      <c r="BD216" s="2">
        <v>11.25</v>
      </c>
      <c r="BE216" s="2">
        <v>12.308</v>
      </c>
      <c r="BF216" s="2">
        <v>9.0670000000000002</v>
      </c>
      <c r="BG216" s="2">
        <v>13.061999999999999</v>
      </c>
      <c r="BH216" s="2">
        <v>7.8570000000000002</v>
      </c>
      <c r="BI216" s="2">
        <v>22.786000000000001</v>
      </c>
      <c r="BJ216" s="2">
        <v>37.384999999999998</v>
      </c>
      <c r="BK216" s="2">
        <v>6</v>
      </c>
      <c r="BL216" s="2">
        <v>0</v>
      </c>
      <c r="BM216" s="2">
        <v>16.332999999999998</v>
      </c>
      <c r="BN216" s="2">
        <v>14</v>
      </c>
      <c r="BO216" s="2">
        <v>2</v>
      </c>
      <c r="BP216" s="2">
        <v>1</v>
      </c>
      <c r="BQ216" s="2">
        <v>11.429</v>
      </c>
      <c r="BR216" s="2">
        <v>9</v>
      </c>
      <c r="BS216" s="2">
        <v>7</v>
      </c>
      <c r="BT216" s="2">
        <v>3.75</v>
      </c>
      <c r="BU216" s="2">
        <v>3.5</v>
      </c>
      <c r="BV216" s="2">
        <f t="shared" si="17"/>
        <v>201.57300000000001</v>
      </c>
      <c r="BW216" s="16">
        <f t="shared" si="15"/>
        <v>10.609105263157895</v>
      </c>
      <c r="BX216" s="16">
        <f>COUNTIF($BC$6:BU216, "=0") / COUNTIF($BC$6:BU216, "&gt;-1")</f>
        <v>5.0885507607882262E-2</v>
      </c>
      <c r="BY216" s="18">
        <f>SUM($BC$6:BU216) / $BY$4</f>
        <v>0.69992934826366593</v>
      </c>
      <c r="BZ216" s="14">
        <f t="shared" si="16"/>
        <v>1</v>
      </c>
      <c r="CA216" t="s">
        <v>5831</v>
      </c>
      <c r="CB216" s="36">
        <v>16.7206788625193</v>
      </c>
      <c r="CC216" s="36">
        <v>10.882624563655099</v>
      </c>
      <c r="CD216" s="36">
        <v>19.689811240290801</v>
      </c>
      <c r="CE216" s="36">
        <v>13.7584880082944</v>
      </c>
      <c r="CF216" s="36">
        <v>11.2683103151733</v>
      </c>
      <c r="CG216" s="36">
        <v>7.3448452484519802</v>
      </c>
      <c r="CH216" s="36">
        <v>24.032620049313799</v>
      </c>
      <c r="CI216" s="36">
        <v>36.3970665645382</v>
      </c>
      <c r="CJ216" s="37">
        <v>4.7685497594697397</v>
      </c>
      <c r="CK216" s="37">
        <v>10.2795892442791</v>
      </c>
      <c r="CL216" s="37">
        <v>11.2007608757428</v>
      </c>
      <c r="CM216" s="37">
        <v>1.6930940931998799</v>
      </c>
      <c r="CN216" s="37">
        <v>10.474235250292301</v>
      </c>
      <c r="CO216" s="37">
        <v>7.1027151334661296</v>
      </c>
      <c r="CP216" s="37">
        <v>10.559780335037001</v>
      </c>
      <c r="CQ216" s="37">
        <v>5.3292289626611602</v>
      </c>
      <c r="CR216" s="45">
        <v>-1.1737885541164199</v>
      </c>
      <c r="CS216" s="45">
        <v>-2.2813729576669202</v>
      </c>
      <c r="CT216" s="46">
        <v>4.0766510698610403E-3</v>
      </c>
      <c r="CU216" s="47">
        <v>8.0688744548433004E-3</v>
      </c>
      <c r="CV216" s="48">
        <v>17.511805606529599</v>
      </c>
      <c r="CW216" s="49">
        <v>7.6759942067685003</v>
      </c>
      <c r="CX216" s="31" t="s">
        <v>5875</v>
      </c>
      <c r="CY216" s="31" t="s">
        <v>5876</v>
      </c>
      <c r="CZ216" t="s">
        <v>10132</v>
      </c>
      <c r="DA216" t="s">
        <v>5904</v>
      </c>
      <c r="DB216">
        <v>573.20000000000005</v>
      </c>
      <c r="DC216" t="s">
        <v>26516</v>
      </c>
      <c r="DD216" t="s">
        <v>26517</v>
      </c>
      <c r="DE216" t="s">
        <v>26518</v>
      </c>
      <c r="DF216" t="s">
        <v>26519</v>
      </c>
      <c r="DG216" t="s">
        <v>26520</v>
      </c>
      <c r="DH216" t="str">
        <f>"ART3"</f>
        <v>ART3</v>
      </c>
      <c r="DI216" t="s">
        <v>26521</v>
      </c>
      <c r="DJ216" t="s">
        <v>13777</v>
      </c>
      <c r="DK216">
        <v>9606</v>
      </c>
      <c r="DL216" s="34" t="str">
        <f>HYPERLINK("http://www.uniprot.org/uniprot/Q13508", "Q13508")</f>
        <v>Q13508</v>
      </c>
      <c r="DM216" t="s">
        <v>26522</v>
      </c>
      <c r="DN216" t="s">
        <v>13772</v>
      </c>
      <c r="DO216" t="s">
        <v>13792</v>
      </c>
      <c r="DP216" t="s">
        <v>13780</v>
      </c>
      <c r="DQ216" t="s">
        <v>13772</v>
      </c>
      <c r="DR216" t="s">
        <v>13772</v>
      </c>
      <c r="DS216" t="s">
        <v>14404</v>
      </c>
      <c r="DT216" t="s">
        <v>26523</v>
      </c>
      <c r="DU216" t="s">
        <v>15995</v>
      </c>
      <c r="DV216" t="s">
        <v>15699</v>
      </c>
      <c r="DW216" t="s">
        <v>13772</v>
      </c>
      <c r="DX216" t="s">
        <v>26524</v>
      </c>
      <c r="DY216" t="s">
        <v>26525</v>
      </c>
      <c r="DZ216" t="s">
        <v>26526</v>
      </c>
      <c r="EA216" t="s">
        <v>13772</v>
      </c>
      <c r="EB216" t="s">
        <v>16280</v>
      </c>
    </row>
    <row r="217" spans="1:132" hidden="1">
      <c r="A217">
        <v>1369</v>
      </c>
      <c r="B217">
        <v>1</v>
      </c>
      <c r="C217" t="s">
        <v>3271</v>
      </c>
      <c r="D217" t="s">
        <v>73</v>
      </c>
      <c r="E217" t="s">
        <v>73</v>
      </c>
      <c r="F217" t="s">
        <v>3272</v>
      </c>
      <c r="G217" t="s">
        <v>73</v>
      </c>
      <c r="H217">
        <v>29.7</v>
      </c>
      <c r="I217">
        <v>3358</v>
      </c>
      <c r="J217">
        <v>361397</v>
      </c>
      <c r="K217" t="s">
        <v>3273</v>
      </c>
      <c r="L217">
        <f t="shared" si="14"/>
        <v>338</v>
      </c>
      <c r="N217">
        <v>338</v>
      </c>
      <c r="O217">
        <v>44</v>
      </c>
      <c r="P217">
        <v>0.13</v>
      </c>
      <c r="Q217">
        <v>16</v>
      </c>
      <c r="R217">
        <v>18</v>
      </c>
      <c r="S217">
        <v>16</v>
      </c>
      <c r="T217">
        <v>35</v>
      </c>
      <c r="U217">
        <v>48</v>
      </c>
      <c r="V217">
        <v>36</v>
      </c>
      <c r="W217">
        <v>19</v>
      </c>
      <c r="X217">
        <v>32</v>
      </c>
      <c r="Y217">
        <v>3</v>
      </c>
      <c r="Z217">
        <v>0</v>
      </c>
      <c r="AA217">
        <v>34</v>
      </c>
      <c r="AB217">
        <v>23</v>
      </c>
      <c r="AC217">
        <v>3</v>
      </c>
      <c r="AD217">
        <v>0</v>
      </c>
      <c r="AE217">
        <v>11</v>
      </c>
      <c r="AF217">
        <v>22</v>
      </c>
      <c r="AG217">
        <v>10</v>
      </c>
      <c r="AH217">
        <v>2</v>
      </c>
      <c r="AI217">
        <v>10</v>
      </c>
      <c r="AJ217">
        <v>1</v>
      </c>
      <c r="AK217">
        <v>3</v>
      </c>
      <c r="AL217">
        <v>2</v>
      </c>
      <c r="AM217">
        <v>4</v>
      </c>
      <c r="AN217">
        <v>3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12</v>
      </c>
      <c r="AU217">
        <v>3</v>
      </c>
      <c r="AV217">
        <v>0</v>
      </c>
      <c r="AW217">
        <v>0</v>
      </c>
      <c r="AX217">
        <v>4</v>
      </c>
      <c r="AY217">
        <v>5</v>
      </c>
      <c r="AZ217">
        <v>1</v>
      </c>
      <c r="BA217">
        <v>1</v>
      </c>
      <c r="BB217">
        <v>3</v>
      </c>
      <c r="BC217" s="2">
        <v>8.5</v>
      </c>
      <c r="BD217" s="2">
        <v>12</v>
      </c>
      <c r="BE217" s="2">
        <v>7.6</v>
      </c>
      <c r="BF217" s="2">
        <v>24.667000000000002</v>
      </c>
      <c r="BG217" s="2">
        <v>30</v>
      </c>
      <c r="BH217" s="2">
        <v>19</v>
      </c>
      <c r="BI217" s="2">
        <v>0</v>
      </c>
      <c r="BJ217" s="2">
        <v>0</v>
      </c>
      <c r="BK217" s="2">
        <v>1.5</v>
      </c>
      <c r="BL217" s="2">
        <v>0</v>
      </c>
      <c r="BM217" s="2">
        <v>32.308</v>
      </c>
      <c r="BN217" s="2">
        <v>18</v>
      </c>
      <c r="BO217" s="2">
        <v>0</v>
      </c>
      <c r="BP217" s="2">
        <v>0</v>
      </c>
      <c r="BQ217" s="2">
        <v>11</v>
      </c>
      <c r="BR217" s="2">
        <v>19.167000000000002</v>
      </c>
      <c r="BS217" s="2">
        <v>5.5</v>
      </c>
      <c r="BT217" s="2">
        <v>2</v>
      </c>
      <c r="BU217" s="2">
        <v>10</v>
      </c>
      <c r="BV217" s="2">
        <f t="shared" si="17"/>
        <v>201.24199999999999</v>
      </c>
      <c r="BW217" s="16">
        <f t="shared" si="15"/>
        <v>10.591684210526315</v>
      </c>
      <c r="BX217" s="16">
        <f>COUNTIF($BC$6:BU217, "=0") / COUNTIF($BC$6:BU217, "&gt;-1")</f>
        <v>5.1886792452830191E-2</v>
      </c>
      <c r="BY217" s="18">
        <f>SUM($BC$6:BU217) / $BY$4</f>
        <v>0.70079139591439676</v>
      </c>
      <c r="BZ217" s="14">
        <f t="shared" si="16"/>
        <v>5</v>
      </c>
      <c r="CA217" t="s">
        <v>5831</v>
      </c>
      <c r="CB217" s="36">
        <v>10.298968864595199</v>
      </c>
      <c r="CC217" s="36">
        <v>11.556769448129399</v>
      </c>
      <c r="CD217" s="36">
        <v>12.1660622297732</v>
      </c>
      <c r="CE217" s="36">
        <v>37.344467451084803</v>
      </c>
      <c r="CF217" s="36">
        <v>25.8052907981068</v>
      </c>
      <c r="CG217" s="36">
        <v>17.6648176861503</v>
      </c>
      <c r="CH217" s="36">
        <v>0.26351557071616</v>
      </c>
      <c r="CI217" s="36">
        <v>0.24329589949557701</v>
      </c>
      <c r="CJ217" s="37">
        <v>1.19213743986744</v>
      </c>
      <c r="CK217" s="37">
        <v>20.3699835944916</v>
      </c>
      <c r="CL217" s="37">
        <v>14.400978268812199</v>
      </c>
      <c r="CM217" s="37">
        <v>0.21163676164998499</v>
      </c>
      <c r="CN217" s="37">
        <v>10.1067182239663</v>
      </c>
      <c r="CO217" s="37">
        <v>15.152458951394401</v>
      </c>
      <c r="CP217" s="37">
        <v>8.2969702632433204</v>
      </c>
      <c r="CQ217" s="37">
        <v>15.2263684647462</v>
      </c>
      <c r="CR217" s="45">
        <v>-0.42885858120349502</v>
      </c>
      <c r="CS217" s="45">
        <v>-1.3576614741642501</v>
      </c>
      <c r="CT217" s="46">
        <v>0.55514894607268594</v>
      </c>
      <c r="CU217" s="47">
        <v>0.63486264089337896</v>
      </c>
      <c r="CV217" s="48">
        <v>14.417898493506399</v>
      </c>
      <c r="CW217" s="49">
        <v>10.619656496021401</v>
      </c>
      <c r="CX217" s="31" t="s">
        <v>5875</v>
      </c>
      <c r="CY217" s="31" t="s">
        <v>5832</v>
      </c>
      <c r="CZ217" t="s">
        <v>10307</v>
      </c>
      <c r="DA217" t="s">
        <v>5904</v>
      </c>
      <c r="DB217">
        <v>3014.9</v>
      </c>
      <c r="DC217" t="s">
        <v>27018</v>
      </c>
      <c r="DD217" t="s">
        <v>27019</v>
      </c>
      <c r="DE217" t="s">
        <v>27020</v>
      </c>
      <c r="DF217" t="s">
        <v>27021</v>
      </c>
      <c r="DG217" t="s">
        <v>27022</v>
      </c>
      <c r="DH217" t="str">
        <f>"TNXB"</f>
        <v>TNXB</v>
      </c>
      <c r="DI217" t="s">
        <v>13772</v>
      </c>
      <c r="DJ217" t="s">
        <v>13777</v>
      </c>
      <c r="DK217">
        <v>9606</v>
      </c>
      <c r="DL217" s="34" t="str">
        <f>HYPERLINK("http://www.uniprot.org/uniprot/P22105", "P22105")</f>
        <v>P22105</v>
      </c>
      <c r="DM217" t="s">
        <v>27023</v>
      </c>
      <c r="DN217" t="s">
        <v>13949</v>
      </c>
      <c r="DO217" t="s">
        <v>13869</v>
      </c>
      <c r="DP217" t="s">
        <v>13780</v>
      </c>
      <c r="DQ217" t="s">
        <v>13772</v>
      </c>
      <c r="DR217" t="s">
        <v>15310</v>
      </c>
      <c r="DS217" t="s">
        <v>27024</v>
      </c>
      <c r="DT217" t="s">
        <v>13772</v>
      </c>
      <c r="DU217" t="s">
        <v>13772</v>
      </c>
      <c r="DV217" t="s">
        <v>13796</v>
      </c>
      <c r="DW217" t="s">
        <v>13812</v>
      </c>
      <c r="DX217" t="s">
        <v>27025</v>
      </c>
      <c r="DY217" t="s">
        <v>27026</v>
      </c>
      <c r="DZ217" t="s">
        <v>27027</v>
      </c>
      <c r="EA217" t="s">
        <v>13772</v>
      </c>
      <c r="EB217" t="s">
        <v>27028</v>
      </c>
    </row>
    <row r="218" spans="1:132" hidden="1">
      <c r="A218">
        <v>844</v>
      </c>
      <c r="B218">
        <v>1</v>
      </c>
      <c r="C218" t="s">
        <v>2071</v>
      </c>
      <c r="D218" t="s">
        <v>2072</v>
      </c>
      <c r="E218" t="s">
        <v>73</v>
      </c>
      <c r="F218" t="s">
        <v>73</v>
      </c>
      <c r="G218" t="s">
        <v>73</v>
      </c>
      <c r="H218">
        <v>35.299999999999997</v>
      </c>
      <c r="I218">
        <v>674</v>
      </c>
      <c r="J218">
        <v>71813</v>
      </c>
      <c r="K218" t="s">
        <v>2073</v>
      </c>
      <c r="L218">
        <f t="shared" si="14"/>
        <v>200</v>
      </c>
      <c r="N218">
        <v>200</v>
      </c>
      <c r="O218">
        <v>200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40</v>
      </c>
      <c r="Z218">
        <v>8</v>
      </c>
      <c r="AA218">
        <v>30</v>
      </c>
      <c r="AB218">
        <v>1</v>
      </c>
      <c r="AC218">
        <v>19</v>
      </c>
      <c r="AD218">
        <v>4</v>
      </c>
      <c r="AE218">
        <v>55</v>
      </c>
      <c r="AF218">
        <v>28</v>
      </c>
      <c r="AG218">
        <v>2</v>
      </c>
      <c r="AH218">
        <v>1</v>
      </c>
      <c r="AI218">
        <v>12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40</v>
      </c>
      <c r="AS218">
        <v>8</v>
      </c>
      <c r="AT218">
        <v>30</v>
      </c>
      <c r="AU218">
        <v>1</v>
      </c>
      <c r="AV218">
        <v>19</v>
      </c>
      <c r="AW218">
        <v>4</v>
      </c>
      <c r="AX218">
        <v>55</v>
      </c>
      <c r="AY218">
        <v>28</v>
      </c>
      <c r="AZ218">
        <v>2</v>
      </c>
      <c r="BA218">
        <v>1</v>
      </c>
      <c r="BB218">
        <v>12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40</v>
      </c>
      <c r="BL218" s="2">
        <v>8</v>
      </c>
      <c r="BM218" s="2">
        <v>30</v>
      </c>
      <c r="BN218" s="2">
        <v>1</v>
      </c>
      <c r="BO218" s="2">
        <v>19</v>
      </c>
      <c r="BP218" s="2">
        <v>4</v>
      </c>
      <c r="BQ218" s="2">
        <v>55</v>
      </c>
      <c r="BR218" s="2">
        <v>28</v>
      </c>
      <c r="BS218" s="2">
        <v>2</v>
      </c>
      <c r="BT218" s="2">
        <v>1</v>
      </c>
      <c r="BU218" s="2">
        <v>12</v>
      </c>
      <c r="BV218" s="2">
        <f t="shared" si="17"/>
        <v>200</v>
      </c>
      <c r="BW218" s="16">
        <f t="shared" si="15"/>
        <v>10.526315789473685</v>
      </c>
      <c r="BX218" s="16">
        <f>COUNTIF($BC$6:BU218, "=0") / COUNTIF($BC$6:BU218, "&gt;-1")</f>
        <v>5.361996540647393E-2</v>
      </c>
      <c r="BY218" s="18">
        <f>SUM($BC$6:BU218) / $BY$4</f>
        <v>0.70164812328813686</v>
      </c>
      <c r="BZ218" s="14">
        <f t="shared" si="16"/>
        <v>8</v>
      </c>
      <c r="CA218" t="s">
        <v>5831</v>
      </c>
      <c r="CB218" s="36">
        <v>0.30291084895868198</v>
      </c>
      <c r="CC218" s="36">
        <v>0.24076603016936199</v>
      </c>
      <c r="CD218" s="36">
        <v>0.40019941545306398</v>
      </c>
      <c r="CE218" s="36">
        <v>0.37798043978830698</v>
      </c>
      <c r="CF218" s="36">
        <v>0.215044089984223</v>
      </c>
      <c r="CG218" s="36">
        <v>0.23243181165987301</v>
      </c>
      <c r="CH218" s="36">
        <v>0.26351557071616</v>
      </c>
      <c r="CI218" s="36">
        <v>0.24329589949557701</v>
      </c>
      <c r="CJ218" s="37">
        <v>31.7903317297983</v>
      </c>
      <c r="CK218" s="37">
        <v>18.919489406648601</v>
      </c>
      <c r="CL218" s="37">
        <v>0.80005434826734301</v>
      </c>
      <c r="CM218" s="37">
        <v>16.084393885398899</v>
      </c>
      <c r="CN218" s="37">
        <v>50.5335911198313</v>
      </c>
      <c r="CO218" s="37">
        <v>22.097335970783501</v>
      </c>
      <c r="CP218" s="37">
        <v>3.0170800957248498</v>
      </c>
      <c r="CQ218" s="37">
        <v>18.2716421576954</v>
      </c>
      <c r="CR218" s="45">
        <v>5.68702220400034</v>
      </c>
      <c r="CS218" s="45">
        <v>70.959443328920997</v>
      </c>
      <c r="CT218" s="46">
        <v>3.8215300221774799E-11</v>
      </c>
      <c r="CU218" s="47">
        <v>7.3045816709620996E-10</v>
      </c>
      <c r="CV218" s="48">
        <v>0.28451801327815601</v>
      </c>
      <c r="CW218" s="49">
        <v>20.189239839268499</v>
      </c>
      <c r="CX218" s="31" t="s">
        <v>5874</v>
      </c>
      <c r="CY218" s="31" t="s">
        <v>5876</v>
      </c>
      <c r="CZ218" t="s">
        <v>8594</v>
      </c>
      <c r="DA218" t="s">
        <v>5904</v>
      </c>
      <c r="DB218">
        <v>1056.2</v>
      </c>
      <c r="DC218" t="s">
        <v>22115</v>
      </c>
      <c r="DD218" t="s">
        <v>22116</v>
      </c>
      <c r="DE218" t="s">
        <v>22117</v>
      </c>
      <c r="DF218" t="s">
        <v>22118</v>
      </c>
      <c r="DG218" t="s">
        <v>22119</v>
      </c>
      <c r="DH218" t="str">
        <f>"LDB3"</f>
        <v>LDB3</v>
      </c>
      <c r="DI218" t="s">
        <v>13772</v>
      </c>
      <c r="DJ218" t="s">
        <v>13777</v>
      </c>
      <c r="DK218">
        <v>9606</v>
      </c>
      <c r="DL218" s="34" t="str">
        <f>HYPERLINK("http://www.uniprot.org/uniprot/O75112", "O75112")</f>
        <v>O75112</v>
      </c>
      <c r="DM218" t="s">
        <v>22120</v>
      </c>
      <c r="DN218" t="s">
        <v>13772</v>
      </c>
      <c r="DO218" t="s">
        <v>14870</v>
      </c>
      <c r="DP218" t="s">
        <v>13780</v>
      </c>
      <c r="DQ218" t="s">
        <v>13772</v>
      </c>
      <c r="DR218" t="s">
        <v>17082</v>
      </c>
      <c r="DS218" t="s">
        <v>15529</v>
      </c>
      <c r="DT218" t="s">
        <v>13856</v>
      </c>
      <c r="DU218" t="s">
        <v>13772</v>
      </c>
      <c r="DV218" t="s">
        <v>14478</v>
      </c>
      <c r="DW218" t="s">
        <v>13812</v>
      </c>
      <c r="DX218" t="s">
        <v>22121</v>
      </c>
      <c r="DY218" t="s">
        <v>22122</v>
      </c>
      <c r="DZ218" t="s">
        <v>22123</v>
      </c>
      <c r="EA218" t="s">
        <v>13772</v>
      </c>
      <c r="EB218" t="s">
        <v>13772</v>
      </c>
    </row>
    <row r="219" spans="1:132" hidden="1">
      <c r="A219">
        <v>1485</v>
      </c>
      <c r="B219">
        <v>1</v>
      </c>
      <c r="C219" t="s">
        <v>3534</v>
      </c>
      <c r="D219" t="s">
        <v>73</v>
      </c>
      <c r="E219" t="s">
        <v>73</v>
      </c>
      <c r="F219" t="s">
        <v>690</v>
      </c>
      <c r="G219" t="s">
        <v>73</v>
      </c>
      <c r="H219">
        <v>66</v>
      </c>
      <c r="I219">
        <v>285</v>
      </c>
      <c r="J219">
        <v>29722</v>
      </c>
      <c r="K219" t="s">
        <v>3535</v>
      </c>
      <c r="L219">
        <f t="shared" si="14"/>
        <v>199</v>
      </c>
      <c r="N219">
        <v>199</v>
      </c>
      <c r="O219">
        <v>194</v>
      </c>
      <c r="P219">
        <v>0.97499999999999998</v>
      </c>
      <c r="Q219">
        <v>11</v>
      </c>
      <c r="R219">
        <v>16</v>
      </c>
      <c r="S219">
        <v>7</v>
      </c>
      <c r="T219">
        <v>9</v>
      </c>
      <c r="U219">
        <v>41</v>
      </c>
      <c r="V219">
        <v>25</v>
      </c>
      <c r="W219">
        <v>10</v>
      </c>
      <c r="X219">
        <v>21</v>
      </c>
      <c r="Y219">
        <v>5</v>
      </c>
      <c r="Z219">
        <v>0</v>
      </c>
      <c r="AA219">
        <v>11</v>
      </c>
      <c r="AB219">
        <v>7</v>
      </c>
      <c r="AC219">
        <v>12</v>
      </c>
      <c r="AD219">
        <v>0</v>
      </c>
      <c r="AE219">
        <v>7</v>
      </c>
      <c r="AF219">
        <v>9</v>
      </c>
      <c r="AG219">
        <v>1</v>
      </c>
      <c r="AH219">
        <v>2</v>
      </c>
      <c r="AI219">
        <v>5</v>
      </c>
      <c r="AJ219">
        <v>11</v>
      </c>
      <c r="AK219">
        <v>16</v>
      </c>
      <c r="AL219">
        <v>7</v>
      </c>
      <c r="AM219">
        <v>9</v>
      </c>
      <c r="AN219">
        <v>40</v>
      </c>
      <c r="AO219">
        <v>24</v>
      </c>
      <c r="AP219">
        <v>10</v>
      </c>
      <c r="AQ219">
        <v>20</v>
      </c>
      <c r="AR219">
        <v>5</v>
      </c>
      <c r="AS219">
        <v>0</v>
      </c>
      <c r="AT219">
        <v>10</v>
      </c>
      <c r="AU219">
        <v>7</v>
      </c>
      <c r="AV219">
        <v>11</v>
      </c>
      <c r="AW219">
        <v>0</v>
      </c>
      <c r="AX219">
        <v>7</v>
      </c>
      <c r="AY219">
        <v>9</v>
      </c>
      <c r="AZ219">
        <v>1</v>
      </c>
      <c r="BA219">
        <v>2</v>
      </c>
      <c r="BB219">
        <v>5</v>
      </c>
      <c r="BC219" s="2">
        <v>11</v>
      </c>
      <c r="BD219" s="2">
        <v>16</v>
      </c>
      <c r="BE219" s="2">
        <v>7</v>
      </c>
      <c r="BF219" s="2">
        <v>9</v>
      </c>
      <c r="BG219" s="2">
        <v>41</v>
      </c>
      <c r="BH219" s="2">
        <v>24.888999999999999</v>
      </c>
      <c r="BI219" s="2">
        <v>10</v>
      </c>
      <c r="BJ219" s="2">
        <v>20.908999999999999</v>
      </c>
      <c r="BK219" s="2">
        <v>5</v>
      </c>
      <c r="BL219" s="2">
        <v>0</v>
      </c>
      <c r="BM219" s="2">
        <v>11</v>
      </c>
      <c r="BN219" s="2">
        <v>7</v>
      </c>
      <c r="BO219" s="2">
        <v>12</v>
      </c>
      <c r="BP219" s="2">
        <v>0</v>
      </c>
      <c r="BQ219" s="2">
        <v>7</v>
      </c>
      <c r="BR219" s="2">
        <v>9</v>
      </c>
      <c r="BS219" s="2">
        <v>1</v>
      </c>
      <c r="BT219" s="2">
        <v>2</v>
      </c>
      <c r="BU219" s="2">
        <v>5</v>
      </c>
      <c r="BV219" s="2">
        <f t="shared" si="17"/>
        <v>198.798</v>
      </c>
      <c r="BW219" s="16">
        <f t="shared" si="15"/>
        <v>10.463052631578947</v>
      </c>
      <c r="BX219" s="16">
        <f>COUNTIF($BC$6:BU219, "=0") / COUNTIF($BC$6:BU219, "&gt;-1")</f>
        <v>5.386128873585834E-2</v>
      </c>
      <c r="BY219" s="18">
        <f>SUM($BC$6:BU219) / $BY$4</f>
        <v>0.7024997017303608</v>
      </c>
      <c r="BZ219" s="14">
        <f t="shared" si="16"/>
        <v>2</v>
      </c>
      <c r="CA219" t="s">
        <v>5831</v>
      </c>
      <c r="CB219" s="36">
        <v>13.328077354182</v>
      </c>
      <c r="CC219" s="36">
        <v>15.4090259308391</v>
      </c>
      <c r="CD219" s="36">
        <v>11.2055836326858</v>
      </c>
      <c r="CE219" s="36">
        <v>13.6072958323791</v>
      </c>
      <c r="CF219" s="36">
        <v>35.267230757412598</v>
      </c>
      <c r="CG219" s="36">
        <v>23.150208441323301</v>
      </c>
      <c r="CH219" s="36">
        <v>10.5406228286464</v>
      </c>
      <c r="CI219" s="36">
        <v>20.3395371978302</v>
      </c>
      <c r="CJ219" s="37">
        <v>3.9737914662247902</v>
      </c>
      <c r="CK219" s="37">
        <v>6.9371461157711396</v>
      </c>
      <c r="CL219" s="37">
        <v>5.6003804378713999</v>
      </c>
      <c r="CM219" s="37">
        <v>10.1585645591993</v>
      </c>
      <c r="CN219" s="37">
        <v>6.4315479607058004</v>
      </c>
      <c r="CO219" s="37">
        <v>7.1027151334661296</v>
      </c>
      <c r="CP219" s="37">
        <v>1.50854004786242</v>
      </c>
      <c r="CQ219" s="37">
        <v>7.6131842323730803</v>
      </c>
      <c r="CR219" s="45">
        <v>-1.5141664466211899</v>
      </c>
      <c r="CS219" s="45">
        <v>-2.89599721424148</v>
      </c>
      <c r="CT219" s="46">
        <v>5.3089765594711697E-5</v>
      </c>
      <c r="CU219" s="47">
        <v>1.60710647886254E-4</v>
      </c>
      <c r="CV219" s="48">
        <v>17.8559477469123</v>
      </c>
      <c r="CW219" s="49">
        <v>6.1657337441842603</v>
      </c>
      <c r="CX219" s="31" t="s">
        <v>5875</v>
      </c>
      <c r="CY219" s="31" t="s">
        <v>5876</v>
      </c>
      <c r="CZ219" t="s">
        <v>10683</v>
      </c>
      <c r="DA219" t="s">
        <v>5904</v>
      </c>
      <c r="DB219">
        <v>555.1</v>
      </c>
      <c r="DC219" t="s">
        <v>28067</v>
      </c>
      <c r="DD219" t="s">
        <v>28068</v>
      </c>
      <c r="DE219" t="s">
        <v>28069</v>
      </c>
      <c r="DF219" t="s">
        <v>28070</v>
      </c>
      <c r="DG219" t="s">
        <v>28071</v>
      </c>
      <c r="DH219" t="str">
        <f>"DDAH2"</f>
        <v>DDAH2</v>
      </c>
      <c r="DI219" t="s">
        <v>28072</v>
      </c>
      <c r="DJ219" t="s">
        <v>13777</v>
      </c>
      <c r="DK219">
        <v>9606</v>
      </c>
      <c r="DL219" s="34" t="str">
        <f>HYPERLINK("http://www.uniprot.org/uniprot/O95865", "O95865")</f>
        <v>O95865</v>
      </c>
      <c r="DM219" t="s">
        <v>28073</v>
      </c>
      <c r="DN219" t="s">
        <v>13772</v>
      </c>
      <c r="DO219" t="s">
        <v>21204</v>
      </c>
      <c r="DP219" t="s">
        <v>13772</v>
      </c>
      <c r="DQ219" t="s">
        <v>13772</v>
      </c>
      <c r="DR219" t="s">
        <v>13772</v>
      </c>
      <c r="DS219" t="s">
        <v>13772</v>
      </c>
      <c r="DT219" t="s">
        <v>13772</v>
      </c>
      <c r="DU219" t="s">
        <v>13857</v>
      </c>
      <c r="DV219" t="s">
        <v>13772</v>
      </c>
      <c r="DW219" t="s">
        <v>13772</v>
      </c>
      <c r="DX219" t="s">
        <v>28074</v>
      </c>
      <c r="DY219" t="s">
        <v>28075</v>
      </c>
      <c r="DZ219" t="s">
        <v>28076</v>
      </c>
      <c r="EA219" t="s">
        <v>13772</v>
      </c>
      <c r="EB219" t="s">
        <v>16259</v>
      </c>
    </row>
    <row r="220" spans="1:132" hidden="1">
      <c r="A220">
        <v>2076</v>
      </c>
      <c r="B220">
        <v>1</v>
      </c>
      <c r="C220" t="s">
        <v>4879</v>
      </c>
      <c r="D220" t="s">
        <v>4880</v>
      </c>
      <c r="E220" t="s">
        <v>73</v>
      </c>
      <c r="F220" t="s">
        <v>73</v>
      </c>
      <c r="G220" t="s">
        <v>73</v>
      </c>
      <c r="H220">
        <v>31.7</v>
      </c>
      <c r="I220">
        <v>713</v>
      </c>
      <c r="J220">
        <v>78326</v>
      </c>
      <c r="K220" t="s">
        <v>4881</v>
      </c>
      <c r="L220">
        <f t="shared" si="14"/>
        <v>198</v>
      </c>
      <c r="N220">
        <v>198</v>
      </c>
      <c r="O220">
        <v>198</v>
      </c>
      <c r="P220">
        <v>1</v>
      </c>
      <c r="Q220">
        <v>10</v>
      </c>
      <c r="R220">
        <v>7</v>
      </c>
      <c r="S220">
        <v>4</v>
      </c>
      <c r="T220">
        <v>6</v>
      </c>
      <c r="U220">
        <v>13</v>
      </c>
      <c r="V220">
        <v>23</v>
      </c>
      <c r="W220">
        <v>19</v>
      </c>
      <c r="X220">
        <v>19</v>
      </c>
      <c r="Y220">
        <v>9</v>
      </c>
      <c r="Z220">
        <v>3</v>
      </c>
      <c r="AA220">
        <v>18</v>
      </c>
      <c r="AB220">
        <v>11</v>
      </c>
      <c r="AC220">
        <v>7</v>
      </c>
      <c r="AD220">
        <v>0</v>
      </c>
      <c r="AE220">
        <v>13</v>
      </c>
      <c r="AF220">
        <v>15</v>
      </c>
      <c r="AG220">
        <v>8</v>
      </c>
      <c r="AH220">
        <v>4</v>
      </c>
      <c r="AI220">
        <v>9</v>
      </c>
      <c r="AJ220">
        <v>10</v>
      </c>
      <c r="AK220">
        <v>7</v>
      </c>
      <c r="AL220">
        <v>4</v>
      </c>
      <c r="AM220">
        <v>6</v>
      </c>
      <c r="AN220">
        <v>13</v>
      </c>
      <c r="AO220">
        <v>23</v>
      </c>
      <c r="AP220">
        <v>19</v>
      </c>
      <c r="AQ220">
        <v>19</v>
      </c>
      <c r="AR220">
        <v>9</v>
      </c>
      <c r="AS220">
        <v>3</v>
      </c>
      <c r="AT220">
        <v>18</v>
      </c>
      <c r="AU220">
        <v>11</v>
      </c>
      <c r="AV220">
        <v>7</v>
      </c>
      <c r="AW220">
        <v>0</v>
      </c>
      <c r="AX220">
        <v>13</v>
      </c>
      <c r="AY220">
        <v>15</v>
      </c>
      <c r="AZ220">
        <v>8</v>
      </c>
      <c r="BA220">
        <v>4</v>
      </c>
      <c r="BB220">
        <v>9</v>
      </c>
      <c r="BC220" s="2">
        <v>10</v>
      </c>
      <c r="BD220" s="2">
        <v>7</v>
      </c>
      <c r="BE220" s="2">
        <v>4</v>
      </c>
      <c r="BF220" s="2">
        <v>6</v>
      </c>
      <c r="BG220" s="2">
        <v>13</v>
      </c>
      <c r="BH220" s="2">
        <v>23</v>
      </c>
      <c r="BI220" s="2">
        <v>19</v>
      </c>
      <c r="BJ220" s="2">
        <v>19</v>
      </c>
      <c r="BK220" s="2">
        <v>9</v>
      </c>
      <c r="BL220" s="2">
        <v>3</v>
      </c>
      <c r="BM220" s="2">
        <v>18</v>
      </c>
      <c r="BN220" s="2">
        <v>11</v>
      </c>
      <c r="BO220" s="2">
        <v>7</v>
      </c>
      <c r="BP220" s="2">
        <v>0</v>
      </c>
      <c r="BQ220" s="2">
        <v>13</v>
      </c>
      <c r="BR220" s="2">
        <v>15</v>
      </c>
      <c r="BS220" s="2">
        <v>8</v>
      </c>
      <c r="BT220" s="2">
        <v>4</v>
      </c>
      <c r="BU220" s="2">
        <v>9</v>
      </c>
      <c r="BV220" s="2">
        <f t="shared" si="17"/>
        <v>198</v>
      </c>
      <c r="BW220" s="16">
        <f t="shared" si="15"/>
        <v>10.421052631578947</v>
      </c>
      <c r="BX220" s="16">
        <f>COUNTIF($BC$6:BU220, "=0") / COUNTIF($BC$6:BU220, "&gt;-1")</f>
        <v>5.3855569155446759E-2</v>
      </c>
      <c r="BY220" s="18">
        <f>SUM($BC$6:BU220) / $BY$4</f>
        <v>0.70334786183036357</v>
      </c>
      <c r="BZ220" s="14">
        <f t="shared" si="16"/>
        <v>1</v>
      </c>
      <c r="CA220" t="s">
        <v>5831</v>
      </c>
      <c r="CB220" s="36">
        <v>12.116433958347301</v>
      </c>
      <c r="CC220" s="36">
        <v>6.7414488447421297</v>
      </c>
      <c r="CD220" s="36">
        <v>6.4031906472490299</v>
      </c>
      <c r="CE220" s="36">
        <v>9.0715305549193808</v>
      </c>
      <c r="CF220" s="36">
        <v>11.1822926791796</v>
      </c>
      <c r="CG220" s="36">
        <v>21.383726672708299</v>
      </c>
      <c r="CH220" s="36">
        <v>20.027183374428201</v>
      </c>
      <c r="CI220" s="36">
        <v>18.4904883616638</v>
      </c>
      <c r="CJ220" s="37">
        <v>7.1528246392046197</v>
      </c>
      <c r="CK220" s="37">
        <v>11.351693643989099</v>
      </c>
      <c r="CL220" s="37">
        <v>8.8005978309407702</v>
      </c>
      <c r="CM220" s="37">
        <v>5.9258293261995796</v>
      </c>
      <c r="CN220" s="37">
        <v>11.944303355596499</v>
      </c>
      <c r="CO220" s="37">
        <v>11.837858555776901</v>
      </c>
      <c r="CP220" s="37">
        <v>12.068320382899399</v>
      </c>
      <c r="CQ220" s="37">
        <v>13.7037316182716</v>
      </c>
      <c r="CR220" s="45">
        <v>-0.39129264810489001</v>
      </c>
      <c r="CS220" s="45">
        <v>-1.27337189319033</v>
      </c>
      <c r="CT220" s="46">
        <v>0.31656228747362702</v>
      </c>
      <c r="CU220" s="47">
        <v>0.39585078564459197</v>
      </c>
      <c r="CV220" s="48">
        <v>13.177036886654699</v>
      </c>
      <c r="CW220" s="49">
        <v>10.348144919109799</v>
      </c>
      <c r="CX220" s="31" t="s">
        <v>5875</v>
      </c>
      <c r="CY220" s="31" t="s">
        <v>5832</v>
      </c>
      <c r="CZ220" t="s">
        <v>12674</v>
      </c>
      <c r="DA220" t="s">
        <v>5904</v>
      </c>
      <c r="DB220">
        <v>1416.4</v>
      </c>
      <c r="DC220" t="s">
        <v>33656</v>
      </c>
      <c r="DD220" t="s">
        <v>33657</v>
      </c>
      <c r="DE220" t="s">
        <v>33658</v>
      </c>
      <c r="DF220" t="s">
        <v>33659</v>
      </c>
      <c r="DG220" t="s">
        <v>33660</v>
      </c>
      <c r="DH220" t="str">
        <f>"CDH13"</f>
        <v>CDH13</v>
      </c>
      <c r="DI220" t="s">
        <v>33661</v>
      </c>
      <c r="DJ220" t="s">
        <v>13777</v>
      </c>
      <c r="DK220">
        <v>9606</v>
      </c>
      <c r="DL220" s="34" t="str">
        <f>HYPERLINK("http://www.uniprot.org/uniprot/P55290", "P55290")</f>
        <v>P55290</v>
      </c>
      <c r="DM220" t="s">
        <v>33662</v>
      </c>
      <c r="DN220" t="s">
        <v>13949</v>
      </c>
      <c r="DO220" t="s">
        <v>13792</v>
      </c>
      <c r="DP220" t="s">
        <v>13780</v>
      </c>
      <c r="DQ220" t="s">
        <v>13772</v>
      </c>
      <c r="DR220" t="s">
        <v>13772</v>
      </c>
      <c r="DS220" t="s">
        <v>14404</v>
      </c>
      <c r="DT220" t="s">
        <v>13873</v>
      </c>
      <c r="DU220" t="s">
        <v>13772</v>
      </c>
      <c r="DV220" t="s">
        <v>33663</v>
      </c>
      <c r="DW220" t="s">
        <v>13812</v>
      </c>
      <c r="DX220" t="s">
        <v>33664</v>
      </c>
      <c r="DY220" t="s">
        <v>33665</v>
      </c>
      <c r="DZ220" t="s">
        <v>33666</v>
      </c>
      <c r="EA220" t="s">
        <v>13772</v>
      </c>
      <c r="EB220" t="s">
        <v>15361</v>
      </c>
    </row>
    <row r="221" spans="1:132" hidden="1">
      <c r="A221">
        <v>1377</v>
      </c>
      <c r="B221">
        <v>1</v>
      </c>
      <c r="C221" t="s">
        <v>3294</v>
      </c>
      <c r="D221" t="s">
        <v>73</v>
      </c>
      <c r="E221" t="s">
        <v>73</v>
      </c>
      <c r="F221" t="s">
        <v>73</v>
      </c>
      <c r="G221" t="s">
        <v>73</v>
      </c>
      <c r="H221">
        <v>33.299999999999997</v>
      </c>
      <c r="I221">
        <v>982</v>
      </c>
      <c r="J221">
        <v>108501</v>
      </c>
      <c r="K221" t="s">
        <v>3295</v>
      </c>
      <c r="L221">
        <f t="shared" si="14"/>
        <v>197</v>
      </c>
      <c r="N221">
        <v>197</v>
      </c>
      <c r="O221">
        <v>197</v>
      </c>
      <c r="P221">
        <v>1</v>
      </c>
      <c r="Q221">
        <v>13</v>
      </c>
      <c r="R221">
        <v>17</v>
      </c>
      <c r="S221">
        <v>4</v>
      </c>
      <c r="T221">
        <v>8</v>
      </c>
      <c r="U221">
        <v>15</v>
      </c>
      <c r="V221">
        <v>14</v>
      </c>
      <c r="W221">
        <v>16</v>
      </c>
      <c r="X221">
        <v>19</v>
      </c>
      <c r="Y221">
        <v>2</v>
      </c>
      <c r="Z221">
        <v>0</v>
      </c>
      <c r="AA221">
        <v>19</v>
      </c>
      <c r="AB221">
        <v>24</v>
      </c>
      <c r="AC221">
        <v>17</v>
      </c>
      <c r="AD221">
        <v>2</v>
      </c>
      <c r="AE221">
        <v>9</v>
      </c>
      <c r="AF221">
        <v>16</v>
      </c>
      <c r="AG221">
        <v>1</v>
      </c>
      <c r="AH221">
        <v>0</v>
      </c>
      <c r="AI221">
        <v>1</v>
      </c>
      <c r="AJ221">
        <v>13</v>
      </c>
      <c r="AK221">
        <v>17</v>
      </c>
      <c r="AL221">
        <v>4</v>
      </c>
      <c r="AM221">
        <v>8</v>
      </c>
      <c r="AN221">
        <v>15</v>
      </c>
      <c r="AO221">
        <v>14</v>
      </c>
      <c r="AP221">
        <v>16</v>
      </c>
      <c r="AQ221">
        <v>19</v>
      </c>
      <c r="AR221">
        <v>2</v>
      </c>
      <c r="AS221">
        <v>0</v>
      </c>
      <c r="AT221">
        <v>19</v>
      </c>
      <c r="AU221">
        <v>24</v>
      </c>
      <c r="AV221">
        <v>17</v>
      </c>
      <c r="AW221">
        <v>2</v>
      </c>
      <c r="AX221">
        <v>9</v>
      </c>
      <c r="AY221">
        <v>16</v>
      </c>
      <c r="AZ221">
        <v>1</v>
      </c>
      <c r="BA221">
        <v>0</v>
      </c>
      <c r="BB221">
        <v>1</v>
      </c>
      <c r="BC221" s="2">
        <v>13</v>
      </c>
      <c r="BD221" s="2">
        <v>17</v>
      </c>
      <c r="BE221" s="2">
        <v>4</v>
      </c>
      <c r="BF221" s="2">
        <v>8</v>
      </c>
      <c r="BG221" s="2">
        <v>15</v>
      </c>
      <c r="BH221" s="2">
        <v>14</v>
      </c>
      <c r="BI221" s="2">
        <v>16</v>
      </c>
      <c r="BJ221" s="2">
        <v>19</v>
      </c>
      <c r="BK221" s="2">
        <v>2</v>
      </c>
      <c r="BL221" s="2">
        <v>0</v>
      </c>
      <c r="BM221" s="2">
        <v>19</v>
      </c>
      <c r="BN221" s="2">
        <v>24</v>
      </c>
      <c r="BO221" s="2">
        <v>17</v>
      </c>
      <c r="BP221" s="2">
        <v>2</v>
      </c>
      <c r="BQ221" s="2">
        <v>9</v>
      </c>
      <c r="BR221" s="2">
        <v>16</v>
      </c>
      <c r="BS221" s="2">
        <v>1</v>
      </c>
      <c r="BT221" s="2">
        <v>0</v>
      </c>
      <c r="BU221" s="2">
        <v>1</v>
      </c>
      <c r="BV221" s="2">
        <f t="shared" si="17"/>
        <v>197</v>
      </c>
      <c r="BW221" s="16">
        <f t="shared" si="15"/>
        <v>10.368421052631579</v>
      </c>
      <c r="BX221" s="16">
        <f>COUNTIF($BC$6:BU221, "=0") / COUNTIF($BC$6:BU221, "&gt;-1")</f>
        <v>5.4093567251461985E-2</v>
      </c>
      <c r="BY221" s="18">
        <f>SUM($BC$6:BU221) / $BY$4</f>
        <v>0.70419173829349757</v>
      </c>
      <c r="BZ221" s="14">
        <f t="shared" si="16"/>
        <v>2</v>
      </c>
      <c r="CA221" t="s">
        <v>5831</v>
      </c>
      <c r="CB221" s="36">
        <v>15.7513641458515</v>
      </c>
      <c r="CC221" s="36">
        <v>16.372090051516601</v>
      </c>
      <c r="CD221" s="36">
        <v>6.4031906472490299</v>
      </c>
      <c r="CE221" s="36">
        <v>12.0953740732258</v>
      </c>
      <c r="CF221" s="36">
        <v>12.9026453990534</v>
      </c>
      <c r="CG221" s="36">
        <v>13.0161814529529</v>
      </c>
      <c r="CH221" s="36">
        <v>16.8649965258343</v>
      </c>
      <c r="CI221" s="36">
        <v>18.4904883616638</v>
      </c>
      <c r="CJ221" s="37">
        <v>1.5895165864899099</v>
      </c>
      <c r="CK221" s="37">
        <v>11.982343290877401</v>
      </c>
      <c r="CL221" s="37">
        <v>19.201304358416198</v>
      </c>
      <c r="CM221" s="37">
        <v>14.391299792199</v>
      </c>
      <c r="CN221" s="37">
        <v>8.2691330923360304</v>
      </c>
      <c r="CO221" s="37">
        <v>12.627049126161999</v>
      </c>
      <c r="CP221" s="37">
        <v>1.50854004786242</v>
      </c>
      <c r="CQ221" s="37">
        <v>1.5226368464746201</v>
      </c>
      <c r="CR221" s="45">
        <v>-0.60561072925200099</v>
      </c>
      <c r="CS221" s="45">
        <v>-1.5739690686466801</v>
      </c>
      <c r="CT221" s="46">
        <v>0.17300891646518601</v>
      </c>
      <c r="CU221" s="47">
        <v>0.23056367552830601</v>
      </c>
      <c r="CV221" s="48">
        <v>13.987041332168401</v>
      </c>
      <c r="CW221" s="49">
        <v>8.8864778926021994</v>
      </c>
      <c r="CX221" s="31" t="s">
        <v>5875</v>
      </c>
      <c r="CY221" s="31" t="s">
        <v>5832</v>
      </c>
      <c r="CZ221" t="s">
        <v>10336</v>
      </c>
      <c r="DA221" t="s">
        <v>5904</v>
      </c>
      <c r="DB221">
        <v>1993.8</v>
      </c>
      <c r="DC221" t="s">
        <v>27089</v>
      </c>
      <c r="DD221" t="s">
        <v>27090</v>
      </c>
      <c r="DE221" t="s">
        <v>27091</v>
      </c>
      <c r="DF221" t="s">
        <v>27092</v>
      </c>
      <c r="DG221" t="s">
        <v>27093</v>
      </c>
      <c r="DH221" t="str">
        <f>"ATP1A1"</f>
        <v>ATP1A1</v>
      </c>
      <c r="DI221" t="s">
        <v>13772</v>
      </c>
      <c r="DJ221" t="s">
        <v>13777</v>
      </c>
      <c r="DK221">
        <v>9606</v>
      </c>
      <c r="DL221" s="34" t="str">
        <f>HYPERLINK("http://www.uniprot.org/uniprot/P05023", "P05023")</f>
        <v>P05023</v>
      </c>
      <c r="DM221" t="s">
        <v>27094</v>
      </c>
      <c r="DN221" t="s">
        <v>19049</v>
      </c>
      <c r="DO221" t="s">
        <v>13792</v>
      </c>
      <c r="DP221" t="s">
        <v>13780</v>
      </c>
      <c r="DQ221" t="s">
        <v>13772</v>
      </c>
      <c r="DR221" t="s">
        <v>25952</v>
      </c>
      <c r="DS221" t="s">
        <v>13925</v>
      </c>
      <c r="DT221" t="s">
        <v>27095</v>
      </c>
      <c r="DU221" t="s">
        <v>16605</v>
      </c>
      <c r="DV221" t="s">
        <v>13886</v>
      </c>
      <c r="DW221" t="s">
        <v>13772</v>
      </c>
      <c r="DX221" t="s">
        <v>27096</v>
      </c>
      <c r="DY221" t="s">
        <v>27097</v>
      </c>
      <c r="DZ221" t="s">
        <v>27098</v>
      </c>
      <c r="EA221" t="s">
        <v>13772</v>
      </c>
      <c r="EB221" t="s">
        <v>19055</v>
      </c>
    </row>
    <row r="222" spans="1:132">
      <c r="A222">
        <v>2225</v>
      </c>
      <c r="B222">
        <v>1</v>
      </c>
      <c r="C222" t="s">
        <v>5202</v>
      </c>
      <c r="D222" t="s">
        <v>73</v>
      </c>
      <c r="E222" t="s">
        <v>73</v>
      </c>
      <c r="F222" t="s">
        <v>73</v>
      </c>
      <c r="G222" t="s">
        <v>73</v>
      </c>
      <c r="H222">
        <v>67.7</v>
      </c>
      <c r="I222">
        <v>124</v>
      </c>
      <c r="J222">
        <v>12963</v>
      </c>
      <c r="K222" t="s">
        <v>5203</v>
      </c>
      <c r="L222">
        <f t="shared" si="14"/>
        <v>197</v>
      </c>
      <c r="N222">
        <v>197</v>
      </c>
      <c r="O222">
        <v>197</v>
      </c>
      <c r="P222">
        <v>1</v>
      </c>
      <c r="Q222">
        <v>11</v>
      </c>
      <c r="R222">
        <v>6</v>
      </c>
      <c r="S222">
        <v>10</v>
      </c>
      <c r="T222">
        <v>7</v>
      </c>
      <c r="U222">
        <v>10</v>
      </c>
      <c r="V222">
        <v>7</v>
      </c>
      <c r="W222">
        <v>13</v>
      </c>
      <c r="X222">
        <v>8</v>
      </c>
      <c r="Y222">
        <v>9</v>
      </c>
      <c r="Z222">
        <v>7</v>
      </c>
      <c r="AA222">
        <v>9</v>
      </c>
      <c r="AB222">
        <v>12</v>
      </c>
      <c r="AC222">
        <v>11</v>
      </c>
      <c r="AD222">
        <v>8</v>
      </c>
      <c r="AE222">
        <v>12</v>
      </c>
      <c r="AF222">
        <v>15</v>
      </c>
      <c r="AG222">
        <v>18</v>
      </c>
      <c r="AH222">
        <v>8</v>
      </c>
      <c r="AI222">
        <v>16</v>
      </c>
      <c r="AJ222">
        <v>11</v>
      </c>
      <c r="AK222">
        <v>6</v>
      </c>
      <c r="AL222">
        <v>10</v>
      </c>
      <c r="AM222">
        <v>7</v>
      </c>
      <c r="AN222">
        <v>10</v>
      </c>
      <c r="AO222">
        <v>7</v>
      </c>
      <c r="AP222">
        <v>13</v>
      </c>
      <c r="AQ222">
        <v>8</v>
      </c>
      <c r="AR222">
        <v>9</v>
      </c>
      <c r="AS222">
        <v>7</v>
      </c>
      <c r="AT222">
        <v>9</v>
      </c>
      <c r="AU222">
        <v>12</v>
      </c>
      <c r="AV222">
        <v>11</v>
      </c>
      <c r="AW222">
        <v>8</v>
      </c>
      <c r="AX222">
        <v>12</v>
      </c>
      <c r="AY222">
        <v>15</v>
      </c>
      <c r="AZ222">
        <v>18</v>
      </c>
      <c r="BA222">
        <v>8</v>
      </c>
      <c r="BB222">
        <v>16</v>
      </c>
      <c r="BC222" s="2">
        <v>11</v>
      </c>
      <c r="BD222" s="2">
        <v>6</v>
      </c>
      <c r="BE222" s="2">
        <v>10</v>
      </c>
      <c r="BF222" s="2">
        <v>7</v>
      </c>
      <c r="BG222" s="2">
        <v>10</v>
      </c>
      <c r="BH222" s="2">
        <v>7</v>
      </c>
      <c r="BI222" s="2">
        <v>13</v>
      </c>
      <c r="BJ222" s="2">
        <v>8</v>
      </c>
      <c r="BK222" s="2">
        <v>9</v>
      </c>
      <c r="BL222" s="2">
        <v>7</v>
      </c>
      <c r="BM222" s="2">
        <v>9</v>
      </c>
      <c r="BN222" s="2">
        <v>12</v>
      </c>
      <c r="BO222" s="2">
        <v>11</v>
      </c>
      <c r="BP222" s="2">
        <v>8</v>
      </c>
      <c r="BQ222" s="2">
        <v>12</v>
      </c>
      <c r="BR222" s="2">
        <v>15</v>
      </c>
      <c r="BS222" s="2">
        <v>18</v>
      </c>
      <c r="BT222" s="2">
        <v>8</v>
      </c>
      <c r="BU222" s="2">
        <v>16</v>
      </c>
      <c r="BV222" s="2">
        <f t="shared" si="17"/>
        <v>197</v>
      </c>
      <c r="BW222" s="16">
        <f t="shared" si="15"/>
        <v>10.368421052631579</v>
      </c>
      <c r="BX222" s="16">
        <f>COUNTIF($BC$6:BU222, "=0") / COUNTIF($BC$6:BU222, "&gt;-1")</f>
        <v>5.38442881397041E-2</v>
      </c>
      <c r="BY222" s="18">
        <f>SUM($BC$6:BU222) / $BY$4</f>
        <v>0.70503561475663157</v>
      </c>
      <c r="BZ222" s="14">
        <f t="shared" si="16"/>
        <v>0</v>
      </c>
      <c r="CA222" t="s">
        <v>5831</v>
      </c>
      <c r="CB222" s="36">
        <v>13.328077354182</v>
      </c>
      <c r="CC222" s="36">
        <v>5.7783847240646802</v>
      </c>
      <c r="CD222" s="36">
        <v>16.007976618122601</v>
      </c>
      <c r="CE222" s="36">
        <v>10.5834523140726</v>
      </c>
      <c r="CF222" s="36">
        <v>8.6017635993689208</v>
      </c>
      <c r="CG222" s="36">
        <v>6.50809072647644</v>
      </c>
      <c r="CH222" s="36">
        <v>13.7028096772403</v>
      </c>
      <c r="CI222" s="36">
        <v>7.78546878385845</v>
      </c>
      <c r="CJ222" s="37">
        <v>7.1528246392046197</v>
      </c>
      <c r="CK222" s="37">
        <v>5.6758468219945701</v>
      </c>
      <c r="CL222" s="37">
        <v>9.6006521792081099</v>
      </c>
      <c r="CM222" s="37">
        <v>9.3120175125993505</v>
      </c>
      <c r="CN222" s="37">
        <v>11.0255107897814</v>
      </c>
      <c r="CO222" s="37">
        <v>11.837858555776901</v>
      </c>
      <c r="CP222" s="37">
        <v>27.153720861523599</v>
      </c>
      <c r="CQ222" s="37">
        <v>24.3621895435939</v>
      </c>
      <c r="CR222" s="45">
        <v>0.322579986084367</v>
      </c>
      <c r="CS222" s="45">
        <v>1.28949876320821</v>
      </c>
      <c r="CT222" s="46">
        <v>0.389135272969102</v>
      </c>
      <c r="CU222" s="47">
        <v>0.47247095756139601</v>
      </c>
      <c r="CV222" s="48">
        <v>10.2870029746733</v>
      </c>
      <c r="CW222" s="49">
        <v>13.265077612960299</v>
      </c>
      <c r="CX222" s="31" t="s">
        <v>5874</v>
      </c>
      <c r="CY222" s="31" t="s">
        <v>5832</v>
      </c>
      <c r="CZ222" t="s">
        <v>13158</v>
      </c>
      <c r="DA222" t="s">
        <v>5904</v>
      </c>
      <c r="DB222">
        <v>171</v>
      </c>
      <c r="DC222" t="s">
        <v>35002</v>
      </c>
      <c r="DD222" t="s">
        <v>35003</v>
      </c>
      <c r="DE222" t="s">
        <v>35004</v>
      </c>
      <c r="DF222" t="s">
        <v>35005</v>
      </c>
      <c r="DG222" t="s">
        <v>35006</v>
      </c>
      <c r="DH222" t="str">
        <f>"WFDC2"</f>
        <v>WFDC2</v>
      </c>
      <c r="DI222" t="s">
        <v>35007</v>
      </c>
      <c r="DJ222" t="s">
        <v>13777</v>
      </c>
      <c r="DK222">
        <v>9606</v>
      </c>
      <c r="DL222" s="34" t="str">
        <f>HYPERLINK("http://www.uniprot.org/uniprot/Q14508", "Q14508")</f>
        <v>Q14508</v>
      </c>
      <c r="DM222" t="s">
        <v>35008</v>
      </c>
      <c r="DN222" t="s">
        <v>13772</v>
      </c>
      <c r="DO222" t="s">
        <v>14321</v>
      </c>
      <c r="DP222" t="s">
        <v>13841</v>
      </c>
      <c r="DQ222" t="s">
        <v>13772</v>
      </c>
      <c r="DR222" t="s">
        <v>13772</v>
      </c>
      <c r="DS222" t="s">
        <v>14404</v>
      </c>
      <c r="DT222" t="s">
        <v>13772</v>
      </c>
      <c r="DU222" t="s">
        <v>35009</v>
      </c>
      <c r="DV222" t="s">
        <v>13796</v>
      </c>
      <c r="DW222" t="s">
        <v>13772</v>
      </c>
      <c r="DX222" t="s">
        <v>35010</v>
      </c>
      <c r="DY222" t="s">
        <v>15733</v>
      </c>
      <c r="DZ222" t="s">
        <v>35011</v>
      </c>
      <c r="EA222" t="s">
        <v>13772</v>
      </c>
      <c r="EB222" t="s">
        <v>13772</v>
      </c>
    </row>
    <row r="223" spans="1:132" hidden="1">
      <c r="A223">
        <v>2345</v>
      </c>
      <c r="B223">
        <v>1</v>
      </c>
      <c r="C223" t="s">
        <v>5471</v>
      </c>
      <c r="D223" t="s">
        <v>73</v>
      </c>
      <c r="E223" t="s">
        <v>73</v>
      </c>
      <c r="F223" t="s">
        <v>552</v>
      </c>
      <c r="G223" t="s">
        <v>73</v>
      </c>
      <c r="H223">
        <v>30</v>
      </c>
      <c r="I223">
        <v>1940</v>
      </c>
      <c r="J223">
        <v>222645</v>
      </c>
      <c r="K223" t="s">
        <v>5472</v>
      </c>
      <c r="L223">
        <f t="shared" si="14"/>
        <v>446</v>
      </c>
      <c r="N223">
        <v>446</v>
      </c>
      <c r="O223">
        <v>53</v>
      </c>
      <c r="P223">
        <v>0.11899999999999999</v>
      </c>
      <c r="Q223">
        <v>0</v>
      </c>
      <c r="R223">
        <v>1</v>
      </c>
      <c r="S223">
        <v>0</v>
      </c>
      <c r="T223">
        <v>0</v>
      </c>
      <c r="U223">
        <v>3</v>
      </c>
      <c r="V223">
        <v>1</v>
      </c>
      <c r="W223">
        <v>32</v>
      </c>
      <c r="X223">
        <v>40</v>
      </c>
      <c r="Y223">
        <v>37</v>
      </c>
      <c r="Z223">
        <v>11</v>
      </c>
      <c r="AA223">
        <v>62</v>
      </c>
      <c r="AB223">
        <v>40</v>
      </c>
      <c r="AC223">
        <v>14</v>
      </c>
      <c r="AD223">
        <v>2</v>
      </c>
      <c r="AE223">
        <v>82</v>
      </c>
      <c r="AF223">
        <v>88</v>
      </c>
      <c r="AG223">
        <v>10</v>
      </c>
      <c r="AH223">
        <v>9</v>
      </c>
      <c r="AI223">
        <v>14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6</v>
      </c>
      <c r="AQ223">
        <v>4</v>
      </c>
      <c r="AR223">
        <v>1</v>
      </c>
      <c r="AS223">
        <v>1</v>
      </c>
      <c r="AT223">
        <v>9</v>
      </c>
      <c r="AU223">
        <v>4</v>
      </c>
      <c r="AV223">
        <v>2</v>
      </c>
      <c r="AW223">
        <v>0</v>
      </c>
      <c r="AX223">
        <v>7</v>
      </c>
      <c r="AY223">
        <v>12</v>
      </c>
      <c r="AZ223">
        <v>2</v>
      </c>
      <c r="BA223">
        <v>2</v>
      </c>
      <c r="BB223">
        <v>3</v>
      </c>
      <c r="BC223" s="2">
        <v>0</v>
      </c>
      <c r="BD223" s="2">
        <v>0</v>
      </c>
      <c r="BE223" s="2">
        <v>0</v>
      </c>
      <c r="BF223" s="2">
        <v>0</v>
      </c>
      <c r="BG223" s="2">
        <v>0.86699999999999999</v>
      </c>
      <c r="BH223" s="2">
        <v>0.33300000000000002</v>
      </c>
      <c r="BI223" s="2">
        <v>20.829000000000001</v>
      </c>
      <c r="BJ223" s="2">
        <v>20.385000000000002</v>
      </c>
      <c r="BK223" s="2">
        <v>9.2769999999999992</v>
      </c>
      <c r="BL223" s="2">
        <v>10.045</v>
      </c>
      <c r="BM223" s="2">
        <v>27.893000000000001</v>
      </c>
      <c r="BN223" s="2">
        <v>13.087999999999999</v>
      </c>
      <c r="BO223" s="2">
        <v>5.1589999999999998</v>
      </c>
      <c r="BP223" s="2">
        <v>0.5</v>
      </c>
      <c r="BQ223" s="2">
        <v>28.238</v>
      </c>
      <c r="BR223" s="2">
        <v>35.183999999999997</v>
      </c>
      <c r="BS223" s="2">
        <v>7.1429999999999998</v>
      </c>
      <c r="BT223" s="2">
        <v>6.5449999999999999</v>
      </c>
      <c r="BU223" s="2">
        <v>10.48</v>
      </c>
      <c r="BV223" s="2">
        <f t="shared" si="17"/>
        <v>195.96599999999998</v>
      </c>
      <c r="BW223" s="16">
        <f t="shared" si="15"/>
        <v>10.313999999999998</v>
      </c>
      <c r="BX223" s="16">
        <f>COUNTIF($BC$6:BU223, "=0") / COUNTIF($BC$6:BU223, "&gt;-1")</f>
        <v>5.4563013037180107E-2</v>
      </c>
      <c r="BY223" s="18">
        <f>SUM($BC$6:BU223) / $BY$4</f>
        <v>0.70587506193924376</v>
      </c>
      <c r="BZ223" s="14">
        <f t="shared" si="16"/>
        <v>4</v>
      </c>
      <c r="CA223" t="s">
        <v>5831</v>
      </c>
      <c r="CB223" s="36">
        <v>0.30291084895868198</v>
      </c>
      <c r="CC223" s="36">
        <v>0.24076603016936199</v>
      </c>
      <c r="CD223" s="36">
        <v>0.40019941545306398</v>
      </c>
      <c r="CE223" s="36">
        <v>0.37798043978830698</v>
      </c>
      <c r="CF223" s="36">
        <v>0.77415872394320295</v>
      </c>
      <c r="CG223" s="36">
        <v>0.27891817399184698</v>
      </c>
      <c r="CH223" s="36">
        <v>21.924495483584501</v>
      </c>
      <c r="CI223" s="36">
        <v>19.852945398839001</v>
      </c>
      <c r="CJ223" s="37">
        <v>7.3912521271780998</v>
      </c>
      <c r="CK223" s="37">
        <v>17.5951251481832</v>
      </c>
      <c r="CL223" s="37">
        <v>10.4807119623022</v>
      </c>
      <c r="CM223" s="37">
        <v>4.4020446423196899</v>
      </c>
      <c r="CN223" s="37">
        <v>25.909950355986201</v>
      </c>
      <c r="CO223" s="37">
        <v>27.7795080775564</v>
      </c>
      <c r="CP223" s="37">
        <v>10.7106343398232</v>
      </c>
      <c r="CQ223" s="37">
        <v>15.9876868879835</v>
      </c>
      <c r="CR223" s="45">
        <v>1.4050579766056399</v>
      </c>
      <c r="CS223" s="45">
        <v>2.7236794139173202</v>
      </c>
      <c r="CT223" s="46">
        <v>7.5446808112021202E-2</v>
      </c>
      <c r="CU223" s="47">
        <v>0.111421445092588</v>
      </c>
      <c r="CV223" s="48">
        <v>5.5190468143410003</v>
      </c>
      <c r="CW223" s="49">
        <v>15.032114192666601</v>
      </c>
      <c r="CX223" s="31" t="s">
        <v>5874</v>
      </c>
      <c r="CY223" s="31" t="s">
        <v>5832</v>
      </c>
      <c r="CZ223" t="s">
        <v>13546</v>
      </c>
      <c r="DA223" t="s">
        <v>5904</v>
      </c>
      <c r="DB223">
        <v>3847</v>
      </c>
      <c r="DC223" t="s">
        <v>36105</v>
      </c>
      <c r="DD223" t="s">
        <v>36106</v>
      </c>
      <c r="DE223" t="s">
        <v>36107</v>
      </c>
      <c r="DF223" t="s">
        <v>36108</v>
      </c>
      <c r="DG223" t="s">
        <v>36109</v>
      </c>
      <c r="DH223" t="str">
        <f>"MYH2"</f>
        <v>MYH2</v>
      </c>
      <c r="DI223" t="s">
        <v>36110</v>
      </c>
      <c r="DJ223" t="s">
        <v>13777</v>
      </c>
      <c r="DK223">
        <v>9606</v>
      </c>
      <c r="DL223" s="34" t="str">
        <f>HYPERLINK("http://www.uniprot.org/uniprot/Q9UKX2", "Q9UKX2")</f>
        <v>Q9UKX2</v>
      </c>
      <c r="DM223" t="s">
        <v>36111</v>
      </c>
      <c r="DN223" t="s">
        <v>13772</v>
      </c>
      <c r="DO223" t="s">
        <v>15651</v>
      </c>
      <c r="DP223" t="s">
        <v>13780</v>
      </c>
      <c r="DQ223" t="s">
        <v>13772</v>
      </c>
      <c r="DR223" t="s">
        <v>13807</v>
      </c>
      <c r="DS223" t="s">
        <v>14245</v>
      </c>
      <c r="DT223" t="s">
        <v>14005</v>
      </c>
      <c r="DU223" t="s">
        <v>15653</v>
      </c>
      <c r="DV223" t="s">
        <v>14478</v>
      </c>
      <c r="DW223" t="s">
        <v>13772</v>
      </c>
      <c r="DX223" t="s">
        <v>36112</v>
      </c>
      <c r="DY223" t="s">
        <v>36113</v>
      </c>
      <c r="DZ223" t="s">
        <v>36006</v>
      </c>
      <c r="EA223" t="s">
        <v>13772</v>
      </c>
      <c r="EB223" t="s">
        <v>36114</v>
      </c>
    </row>
    <row r="224" spans="1:132">
      <c r="A224">
        <v>1146</v>
      </c>
      <c r="B224">
        <v>1</v>
      </c>
      <c r="C224" t="s">
        <v>2758</v>
      </c>
      <c r="D224" t="s">
        <v>73</v>
      </c>
      <c r="E224" t="s">
        <v>73</v>
      </c>
      <c r="F224" t="s">
        <v>73</v>
      </c>
      <c r="G224" t="s">
        <v>73</v>
      </c>
      <c r="H224">
        <v>55.9</v>
      </c>
      <c r="I224">
        <v>528</v>
      </c>
      <c r="J224">
        <v>56386</v>
      </c>
      <c r="K224" t="s">
        <v>2759</v>
      </c>
      <c r="L224">
        <f t="shared" si="14"/>
        <v>195</v>
      </c>
      <c r="N224">
        <v>195</v>
      </c>
      <c r="O224">
        <v>195</v>
      </c>
      <c r="P224">
        <v>1</v>
      </c>
      <c r="Q224">
        <v>12</v>
      </c>
      <c r="R224">
        <v>22</v>
      </c>
      <c r="S224">
        <v>2</v>
      </c>
      <c r="T224">
        <v>3</v>
      </c>
      <c r="U224">
        <v>17</v>
      </c>
      <c r="V224">
        <v>11</v>
      </c>
      <c r="W224">
        <v>6</v>
      </c>
      <c r="X224">
        <v>10</v>
      </c>
      <c r="Y224">
        <v>9</v>
      </c>
      <c r="Z224">
        <v>2</v>
      </c>
      <c r="AA224">
        <v>23</v>
      </c>
      <c r="AB224">
        <v>25</v>
      </c>
      <c r="AC224">
        <v>17</v>
      </c>
      <c r="AD224">
        <v>3</v>
      </c>
      <c r="AE224">
        <v>14</v>
      </c>
      <c r="AF224">
        <v>13</v>
      </c>
      <c r="AG224">
        <v>3</v>
      </c>
      <c r="AH224">
        <v>1</v>
      </c>
      <c r="AI224">
        <v>2</v>
      </c>
      <c r="AJ224">
        <v>12</v>
      </c>
      <c r="AK224">
        <v>22</v>
      </c>
      <c r="AL224">
        <v>2</v>
      </c>
      <c r="AM224">
        <v>3</v>
      </c>
      <c r="AN224">
        <v>17</v>
      </c>
      <c r="AO224">
        <v>11</v>
      </c>
      <c r="AP224">
        <v>6</v>
      </c>
      <c r="AQ224">
        <v>10</v>
      </c>
      <c r="AR224">
        <v>9</v>
      </c>
      <c r="AS224">
        <v>2</v>
      </c>
      <c r="AT224">
        <v>23</v>
      </c>
      <c r="AU224">
        <v>25</v>
      </c>
      <c r="AV224">
        <v>17</v>
      </c>
      <c r="AW224">
        <v>3</v>
      </c>
      <c r="AX224">
        <v>14</v>
      </c>
      <c r="AY224">
        <v>13</v>
      </c>
      <c r="AZ224">
        <v>3</v>
      </c>
      <c r="BA224">
        <v>1</v>
      </c>
      <c r="BB224">
        <v>2</v>
      </c>
      <c r="BC224" s="2">
        <v>12</v>
      </c>
      <c r="BD224" s="2">
        <v>22</v>
      </c>
      <c r="BE224" s="2">
        <v>2</v>
      </c>
      <c r="BF224" s="2">
        <v>3</v>
      </c>
      <c r="BG224" s="2">
        <v>17</v>
      </c>
      <c r="BH224" s="2">
        <v>11</v>
      </c>
      <c r="BI224" s="2">
        <v>6</v>
      </c>
      <c r="BJ224" s="2">
        <v>10</v>
      </c>
      <c r="BK224" s="2">
        <v>9</v>
      </c>
      <c r="BL224" s="2">
        <v>2</v>
      </c>
      <c r="BM224" s="2">
        <v>23</v>
      </c>
      <c r="BN224" s="2">
        <v>25</v>
      </c>
      <c r="BO224" s="2">
        <v>17</v>
      </c>
      <c r="BP224" s="2">
        <v>3</v>
      </c>
      <c r="BQ224" s="2">
        <v>14</v>
      </c>
      <c r="BR224" s="2">
        <v>13</v>
      </c>
      <c r="BS224" s="2">
        <v>3</v>
      </c>
      <c r="BT224" s="2">
        <v>1</v>
      </c>
      <c r="BU224" s="2">
        <v>2</v>
      </c>
      <c r="BV224" s="2">
        <f t="shared" si="17"/>
        <v>195</v>
      </c>
      <c r="BW224" s="16">
        <f t="shared" si="15"/>
        <v>10.263157894736842</v>
      </c>
      <c r="BX224" s="16">
        <f>COUNTIF($BC$6:BU224, "=0") / COUNTIF($BC$6:BU224, "&gt;-1")</f>
        <v>5.4313866858928139E-2</v>
      </c>
      <c r="BY224" s="18">
        <f>SUM($BC$6:BU224) / $BY$4</f>
        <v>0.70671037112864032</v>
      </c>
      <c r="BZ224" s="14">
        <f t="shared" si="16"/>
        <v>0</v>
      </c>
      <c r="CA224" t="s">
        <v>5831</v>
      </c>
      <c r="CB224" s="36">
        <v>14.5397207500168</v>
      </c>
      <c r="CC224" s="36">
        <v>21.1874106549038</v>
      </c>
      <c r="CD224" s="36">
        <v>3.2015953236245198</v>
      </c>
      <c r="CE224" s="36">
        <v>4.5357652774596904</v>
      </c>
      <c r="CF224" s="36">
        <v>14.6229981189272</v>
      </c>
      <c r="CG224" s="36">
        <v>10.226999713034401</v>
      </c>
      <c r="CH224" s="36">
        <v>6.3243736971878404</v>
      </c>
      <c r="CI224" s="36">
        <v>9.7318359798230603</v>
      </c>
      <c r="CJ224" s="37">
        <v>7.1528246392046197</v>
      </c>
      <c r="CK224" s="37">
        <v>14.5049418784306</v>
      </c>
      <c r="CL224" s="37">
        <v>20.0013587066836</v>
      </c>
      <c r="CM224" s="37">
        <v>14.391299792199</v>
      </c>
      <c r="CN224" s="37">
        <v>12.863095921411601</v>
      </c>
      <c r="CO224" s="37">
        <v>10.2594774150066</v>
      </c>
      <c r="CP224" s="37">
        <v>4.5256201435872701</v>
      </c>
      <c r="CQ224" s="37">
        <v>3.0452736929492299</v>
      </c>
      <c r="CR224" s="45">
        <v>4.8199741663737597E-2</v>
      </c>
      <c r="CS224" s="45">
        <v>1.0281281616501701</v>
      </c>
      <c r="CT224" s="46">
        <v>0.96811514869755</v>
      </c>
      <c r="CU224" s="47">
        <v>0.98280581863226302</v>
      </c>
      <c r="CV224" s="48">
        <v>10.5463374393722</v>
      </c>
      <c r="CW224" s="49">
        <v>10.8429865236841</v>
      </c>
      <c r="CX224" s="31" t="s">
        <v>5874</v>
      </c>
      <c r="CY224" s="31" t="s">
        <v>5832</v>
      </c>
      <c r="CZ224" t="s">
        <v>9541</v>
      </c>
      <c r="DA224" t="s">
        <v>5904</v>
      </c>
      <c r="DB224">
        <v>1020.8</v>
      </c>
      <c r="DC224" t="s">
        <v>24830</v>
      </c>
      <c r="DD224" t="s">
        <v>24831</v>
      </c>
      <c r="DE224" t="s">
        <v>24832</v>
      </c>
      <c r="DF224" t="s">
        <v>24833</v>
      </c>
      <c r="DG224" t="s">
        <v>24834</v>
      </c>
      <c r="DH224" t="str">
        <f>"ATP5F1B"</f>
        <v>ATP5F1B</v>
      </c>
      <c r="DI224" t="s">
        <v>13772</v>
      </c>
      <c r="DJ224" t="s">
        <v>13777</v>
      </c>
      <c r="DK224">
        <v>9606</v>
      </c>
      <c r="DL224" s="34" t="str">
        <f>HYPERLINK("http://www.uniprot.org/uniprot/P06576", "P06576")</f>
        <v>P06576</v>
      </c>
      <c r="DM224" t="s">
        <v>24835</v>
      </c>
      <c r="DN224" t="s">
        <v>17568</v>
      </c>
      <c r="DO224" t="s">
        <v>21311</v>
      </c>
      <c r="DP224" t="s">
        <v>13793</v>
      </c>
      <c r="DQ224" t="s">
        <v>13772</v>
      </c>
      <c r="DR224" t="s">
        <v>13772</v>
      </c>
      <c r="DS224" t="s">
        <v>14391</v>
      </c>
      <c r="DT224" t="s">
        <v>14005</v>
      </c>
      <c r="DU224" t="s">
        <v>16605</v>
      </c>
      <c r="DV224" t="s">
        <v>14182</v>
      </c>
      <c r="DW224" t="s">
        <v>13772</v>
      </c>
      <c r="DX224" t="s">
        <v>24836</v>
      </c>
      <c r="DY224" t="s">
        <v>24837</v>
      </c>
      <c r="DZ224" t="s">
        <v>24838</v>
      </c>
      <c r="EA224" t="s">
        <v>13772</v>
      </c>
      <c r="EB224" t="s">
        <v>24839</v>
      </c>
    </row>
    <row r="225" spans="1:132">
      <c r="A225">
        <v>1611</v>
      </c>
      <c r="B225">
        <v>1</v>
      </c>
      <c r="C225" t="s">
        <v>3819</v>
      </c>
      <c r="D225" t="s">
        <v>73</v>
      </c>
      <c r="E225" t="s">
        <v>73</v>
      </c>
      <c r="F225" t="s">
        <v>73</v>
      </c>
      <c r="G225" t="s">
        <v>73</v>
      </c>
      <c r="H225">
        <v>58.4</v>
      </c>
      <c r="I225">
        <v>77</v>
      </c>
      <c r="J225">
        <v>8897</v>
      </c>
      <c r="K225" t="s">
        <v>3820</v>
      </c>
      <c r="L225">
        <f t="shared" si="14"/>
        <v>195</v>
      </c>
      <c r="N225">
        <v>195</v>
      </c>
      <c r="O225">
        <v>195</v>
      </c>
      <c r="P225">
        <v>1</v>
      </c>
      <c r="Q225">
        <v>9</v>
      </c>
      <c r="R225">
        <v>12</v>
      </c>
      <c r="S225">
        <v>8</v>
      </c>
      <c r="T225">
        <v>20</v>
      </c>
      <c r="U225">
        <v>14</v>
      </c>
      <c r="V225">
        <v>8</v>
      </c>
      <c r="W225">
        <v>8</v>
      </c>
      <c r="X225">
        <v>8</v>
      </c>
      <c r="Y225">
        <v>14</v>
      </c>
      <c r="Z225">
        <v>3</v>
      </c>
      <c r="AA225">
        <v>8</v>
      </c>
      <c r="AB225">
        <v>15</v>
      </c>
      <c r="AC225">
        <v>15</v>
      </c>
      <c r="AD225">
        <v>1</v>
      </c>
      <c r="AE225">
        <v>6</v>
      </c>
      <c r="AF225">
        <v>21</v>
      </c>
      <c r="AG225">
        <v>11</v>
      </c>
      <c r="AH225">
        <v>2</v>
      </c>
      <c r="AI225">
        <v>12</v>
      </c>
      <c r="AJ225">
        <v>9</v>
      </c>
      <c r="AK225">
        <v>12</v>
      </c>
      <c r="AL225">
        <v>8</v>
      </c>
      <c r="AM225">
        <v>20</v>
      </c>
      <c r="AN225">
        <v>14</v>
      </c>
      <c r="AO225">
        <v>8</v>
      </c>
      <c r="AP225">
        <v>8</v>
      </c>
      <c r="AQ225">
        <v>8</v>
      </c>
      <c r="AR225">
        <v>14</v>
      </c>
      <c r="AS225">
        <v>3</v>
      </c>
      <c r="AT225">
        <v>8</v>
      </c>
      <c r="AU225">
        <v>15</v>
      </c>
      <c r="AV225">
        <v>15</v>
      </c>
      <c r="AW225">
        <v>1</v>
      </c>
      <c r="AX225">
        <v>6</v>
      </c>
      <c r="AY225">
        <v>21</v>
      </c>
      <c r="AZ225">
        <v>11</v>
      </c>
      <c r="BA225">
        <v>2</v>
      </c>
      <c r="BB225">
        <v>12</v>
      </c>
      <c r="BC225" s="2">
        <v>9</v>
      </c>
      <c r="BD225" s="2">
        <v>12</v>
      </c>
      <c r="BE225" s="2">
        <v>8</v>
      </c>
      <c r="BF225" s="2">
        <v>20</v>
      </c>
      <c r="BG225" s="2">
        <v>14</v>
      </c>
      <c r="BH225" s="2">
        <v>8</v>
      </c>
      <c r="BI225" s="2">
        <v>8</v>
      </c>
      <c r="BJ225" s="2">
        <v>8</v>
      </c>
      <c r="BK225" s="2">
        <v>14</v>
      </c>
      <c r="BL225" s="2">
        <v>3</v>
      </c>
      <c r="BM225" s="2">
        <v>8</v>
      </c>
      <c r="BN225" s="2">
        <v>15</v>
      </c>
      <c r="BO225" s="2">
        <v>15</v>
      </c>
      <c r="BP225" s="2">
        <v>1</v>
      </c>
      <c r="BQ225" s="2">
        <v>6</v>
      </c>
      <c r="BR225" s="2">
        <v>21</v>
      </c>
      <c r="BS225" s="2">
        <v>11</v>
      </c>
      <c r="BT225" s="2">
        <v>2</v>
      </c>
      <c r="BU225" s="2">
        <v>12</v>
      </c>
      <c r="BV225" s="2">
        <f t="shared" si="17"/>
        <v>195</v>
      </c>
      <c r="BW225" s="16">
        <f t="shared" si="15"/>
        <v>10.263157894736842</v>
      </c>
      <c r="BX225" s="16">
        <f>COUNTIF($BC$6:BU225, "=0") / COUNTIF($BC$6:BU225, "&gt;-1")</f>
        <v>5.4066985645933013E-2</v>
      </c>
      <c r="BY225" s="18">
        <f>SUM($BC$6:BU225) / $BY$4</f>
        <v>0.70754568031803688</v>
      </c>
      <c r="BZ225" s="14">
        <f t="shared" si="16"/>
        <v>0</v>
      </c>
      <c r="CA225" t="s">
        <v>5831</v>
      </c>
      <c r="CB225" s="36">
        <v>10.9047905625126</v>
      </c>
      <c r="CC225" s="36">
        <v>11.556769448129399</v>
      </c>
      <c r="CD225" s="36">
        <v>12.806381294498101</v>
      </c>
      <c r="CE225" s="36">
        <v>30.238435183064599</v>
      </c>
      <c r="CF225" s="36">
        <v>12.042469039116501</v>
      </c>
      <c r="CG225" s="36">
        <v>7.43781797311593</v>
      </c>
      <c r="CH225" s="36">
        <v>8.4324982629171306</v>
      </c>
      <c r="CI225" s="36">
        <v>7.78546878385845</v>
      </c>
      <c r="CJ225" s="37">
        <v>11.126616105429401</v>
      </c>
      <c r="CK225" s="37">
        <v>5.0451971751062796</v>
      </c>
      <c r="CL225" s="37">
        <v>12.0008152240101</v>
      </c>
      <c r="CM225" s="37">
        <v>12.6982056989991</v>
      </c>
      <c r="CN225" s="37">
        <v>5.5127553948906796</v>
      </c>
      <c r="CO225" s="37">
        <v>16.5730019780876</v>
      </c>
      <c r="CP225" s="37">
        <v>16.593940526486598</v>
      </c>
      <c r="CQ225" s="37">
        <v>18.2716421576954</v>
      </c>
      <c r="CR225" s="45">
        <v>-4.64192872807037E-2</v>
      </c>
      <c r="CS225" s="45">
        <v>-1.03457760279886</v>
      </c>
      <c r="CT225" s="46">
        <v>0.93754599971351804</v>
      </c>
      <c r="CU225" s="47">
        <v>0.96156153915847598</v>
      </c>
      <c r="CV225" s="48">
        <v>12.6505788184016</v>
      </c>
      <c r="CW225" s="49">
        <v>12.227771782588199</v>
      </c>
      <c r="CX225" s="31" t="s">
        <v>5875</v>
      </c>
      <c r="CY225" s="31" t="s">
        <v>5832</v>
      </c>
      <c r="CZ225" t="s">
        <v>11114</v>
      </c>
      <c r="DA225" t="s">
        <v>5904</v>
      </c>
      <c r="DB225">
        <v>132.9</v>
      </c>
      <c r="DC225" t="s">
        <v>29241</v>
      </c>
      <c r="DD225" t="s">
        <v>13772</v>
      </c>
      <c r="DE225" t="s">
        <v>29242</v>
      </c>
      <c r="DF225" t="s">
        <v>29243</v>
      </c>
      <c r="DG225" t="s">
        <v>29244</v>
      </c>
      <c r="DH225" t="str">
        <f>"LEAP2"</f>
        <v>LEAP2</v>
      </c>
      <c r="DI225" t="s">
        <v>13772</v>
      </c>
      <c r="DJ225" t="s">
        <v>13777</v>
      </c>
      <c r="DK225">
        <v>9606</v>
      </c>
      <c r="DL225" s="34" t="str">
        <f>HYPERLINK("http://www.uniprot.org/uniprot/Q969E1", "Q969E1")</f>
        <v>Q969E1</v>
      </c>
      <c r="DM225" t="s">
        <v>21729</v>
      </c>
      <c r="DN225" t="s">
        <v>13772</v>
      </c>
      <c r="DO225" t="s">
        <v>14321</v>
      </c>
      <c r="DP225" t="s">
        <v>13772</v>
      </c>
      <c r="DQ225" t="s">
        <v>13772</v>
      </c>
      <c r="DR225" t="s">
        <v>13772</v>
      </c>
      <c r="DS225" t="s">
        <v>13808</v>
      </c>
      <c r="DT225" t="s">
        <v>13772</v>
      </c>
      <c r="DU225" t="s">
        <v>21730</v>
      </c>
      <c r="DV225" t="s">
        <v>21731</v>
      </c>
      <c r="DW225" t="s">
        <v>13812</v>
      </c>
      <c r="DX225" t="s">
        <v>29245</v>
      </c>
      <c r="DY225" t="s">
        <v>15346</v>
      </c>
      <c r="DZ225" t="s">
        <v>13772</v>
      </c>
      <c r="EA225" t="s">
        <v>13772</v>
      </c>
      <c r="EB225" t="s">
        <v>14470</v>
      </c>
    </row>
    <row r="226" spans="1:132" hidden="1">
      <c r="A226">
        <v>2086</v>
      </c>
      <c r="B226">
        <v>1</v>
      </c>
      <c r="C226" t="s">
        <v>4902</v>
      </c>
      <c r="D226" t="s">
        <v>73</v>
      </c>
      <c r="E226" t="s">
        <v>73</v>
      </c>
      <c r="F226" t="s">
        <v>1024</v>
      </c>
      <c r="G226" t="s">
        <v>73</v>
      </c>
      <c r="H226">
        <v>40.200000000000003</v>
      </c>
      <c r="I226">
        <v>796</v>
      </c>
      <c r="J226">
        <v>88030</v>
      </c>
      <c r="K226" t="s">
        <v>4903</v>
      </c>
      <c r="L226">
        <f t="shared" si="14"/>
        <v>195</v>
      </c>
      <c r="N226">
        <v>195</v>
      </c>
      <c r="O226">
        <v>190</v>
      </c>
      <c r="P226">
        <v>0.97399999999999998</v>
      </c>
      <c r="Q226">
        <v>19</v>
      </c>
      <c r="R226">
        <v>2</v>
      </c>
      <c r="S226">
        <v>11</v>
      </c>
      <c r="T226">
        <v>0</v>
      </c>
      <c r="U226">
        <v>1</v>
      </c>
      <c r="V226">
        <v>29</v>
      </c>
      <c r="W226">
        <v>22</v>
      </c>
      <c r="X226">
        <v>34</v>
      </c>
      <c r="Y226">
        <v>15</v>
      </c>
      <c r="Z226">
        <v>0</v>
      </c>
      <c r="AA226">
        <v>9</v>
      </c>
      <c r="AB226">
        <v>13</v>
      </c>
      <c r="AC226">
        <v>10</v>
      </c>
      <c r="AD226">
        <v>0</v>
      </c>
      <c r="AE226">
        <v>3</v>
      </c>
      <c r="AF226">
        <v>11</v>
      </c>
      <c r="AG226">
        <v>6</v>
      </c>
      <c r="AH226">
        <v>4</v>
      </c>
      <c r="AI226">
        <v>6</v>
      </c>
      <c r="AJ226">
        <v>17</v>
      </c>
      <c r="AK226">
        <v>2</v>
      </c>
      <c r="AL226">
        <v>11</v>
      </c>
      <c r="AM226">
        <v>0</v>
      </c>
      <c r="AN226">
        <v>1</v>
      </c>
      <c r="AO226">
        <v>28</v>
      </c>
      <c r="AP226">
        <v>21</v>
      </c>
      <c r="AQ226">
        <v>33</v>
      </c>
      <c r="AR226">
        <v>15</v>
      </c>
      <c r="AS226">
        <v>0</v>
      </c>
      <c r="AT226">
        <v>9</v>
      </c>
      <c r="AU226">
        <v>13</v>
      </c>
      <c r="AV226">
        <v>10</v>
      </c>
      <c r="AW226">
        <v>0</v>
      </c>
      <c r="AX226">
        <v>3</v>
      </c>
      <c r="AY226">
        <v>11</v>
      </c>
      <c r="AZ226">
        <v>6</v>
      </c>
      <c r="BA226">
        <v>4</v>
      </c>
      <c r="BB226">
        <v>6</v>
      </c>
      <c r="BC226" s="2">
        <v>18.888999999999999</v>
      </c>
      <c r="BD226" s="2">
        <v>2</v>
      </c>
      <c r="BE226" s="2">
        <v>11</v>
      </c>
      <c r="BF226" s="2">
        <v>0</v>
      </c>
      <c r="BG226" s="2">
        <v>1</v>
      </c>
      <c r="BH226" s="2">
        <v>29</v>
      </c>
      <c r="BI226" s="2">
        <v>21.954999999999998</v>
      </c>
      <c r="BJ226" s="2">
        <v>34</v>
      </c>
      <c r="BK226" s="2">
        <v>15</v>
      </c>
      <c r="BL226" s="2">
        <v>0</v>
      </c>
      <c r="BM226" s="2">
        <v>9</v>
      </c>
      <c r="BN226" s="2">
        <v>13</v>
      </c>
      <c r="BO226" s="2">
        <v>10</v>
      </c>
      <c r="BP226" s="2">
        <v>0</v>
      </c>
      <c r="BQ226" s="2">
        <v>3</v>
      </c>
      <c r="BR226" s="2">
        <v>11</v>
      </c>
      <c r="BS226" s="2">
        <v>6</v>
      </c>
      <c r="BT226" s="2">
        <v>4</v>
      </c>
      <c r="BU226" s="2">
        <v>6</v>
      </c>
      <c r="BV226" s="2">
        <f t="shared" si="17"/>
        <v>194.84399999999999</v>
      </c>
      <c r="BW226" s="16">
        <f t="shared" si="15"/>
        <v>10.254947368421051</v>
      </c>
      <c r="BX226" s="16">
        <f>COUNTIF($BC$6:BU226, "=0") / COUNTIF($BC$6:BU226, "&gt;-1")</f>
        <v>5.4536794474874972E-2</v>
      </c>
      <c r="BY226" s="18">
        <f>SUM($BC$6:BU226) / $BY$4</f>
        <v>0.70838032126008188</v>
      </c>
      <c r="BZ226" s="14">
        <f t="shared" si="16"/>
        <v>3</v>
      </c>
      <c r="CA226" t="s">
        <v>5831</v>
      </c>
      <c r="CB226" s="36">
        <v>22.900060181276402</v>
      </c>
      <c r="CC226" s="36">
        <v>1.9261282413548899</v>
      </c>
      <c r="CD226" s="36">
        <v>17.608774279934799</v>
      </c>
      <c r="CE226" s="36">
        <v>0.37798043978830698</v>
      </c>
      <c r="CF226" s="36">
        <v>0.86017635993689201</v>
      </c>
      <c r="CG226" s="36">
        <v>26.962090152545201</v>
      </c>
      <c r="CH226" s="36">
        <v>23.189370223022099</v>
      </c>
      <c r="CI226" s="36">
        <v>33.088242331398398</v>
      </c>
      <c r="CJ226" s="37">
        <v>11.9213743986744</v>
      </c>
      <c r="CK226" s="37">
        <v>5.6758468219945701</v>
      </c>
      <c r="CL226" s="37">
        <v>10.400706527475499</v>
      </c>
      <c r="CM226" s="37">
        <v>8.4654704659994096</v>
      </c>
      <c r="CN226" s="37">
        <v>2.7563776974453398</v>
      </c>
      <c r="CO226" s="37">
        <v>8.6810962742363706</v>
      </c>
      <c r="CP226" s="37">
        <v>9.0512402871745401</v>
      </c>
      <c r="CQ226" s="37">
        <v>9.1358210788476999</v>
      </c>
      <c r="CR226" s="45">
        <v>-0.93830418991336695</v>
      </c>
      <c r="CS226" s="45">
        <v>-1.92036299803035</v>
      </c>
      <c r="CT226" s="46">
        <v>0.121171868556862</v>
      </c>
      <c r="CU226" s="47">
        <v>0.16783432725577799</v>
      </c>
      <c r="CV226" s="48">
        <v>15.8641027761571</v>
      </c>
      <c r="CW226" s="49">
        <v>8.2609916939809693</v>
      </c>
      <c r="CX226" s="31" t="s">
        <v>5875</v>
      </c>
      <c r="CY226" s="31" t="s">
        <v>5832</v>
      </c>
      <c r="CZ226" t="s">
        <v>12708</v>
      </c>
      <c r="DA226" t="s">
        <v>5904</v>
      </c>
      <c r="DB226">
        <v>1619.4</v>
      </c>
      <c r="DC226" t="s">
        <v>33755</v>
      </c>
      <c r="DD226" t="s">
        <v>33756</v>
      </c>
      <c r="DE226" t="s">
        <v>33757</v>
      </c>
      <c r="DF226" t="s">
        <v>33758</v>
      </c>
      <c r="DG226" t="s">
        <v>33759</v>
      </c>
      <c r="DH226" t="str">
        <f>"CDH11"</f>
        <v>CDH11</v>
      </c>
      <c r="DI226" t="s">
        <v>13772</v>
      </c>
      <c r="DJ226" t="s">
        <v>13777</v>
      </c>
      <c r="DK226">
        <v>9606</v>
      </c>
      <c r="DL226" s="34" t="str">
        <f>HYPERLINK("http://www.uniprot.org/uniprot/P55287", "P55287")</f>
        <v>P55287</v>
      </c>
      <c r="DM226" t="s">
        <v>33760</v>
      </c>
      <c r="DN226" t="s">
        <v>13949</v>
      </c>
      <c r="DO226" t="s">
        <v>13792</v>
      </c>
      <c r="DP226" t="s">
        <v>20333</v>
      </c>
      <c r="DQ226" t="s">
        <v>13772</v>
      </c>
      <c r="DR226" t="s">
        <v>18514</v>
      </c>
      <c r="DS226" t="s">
        <v>13826</v>
      </c>
      <c r="DT226" t="s">
        <v>13873</v>
      </c>
      <c r="DU226" t="s">
        <v>13772</v>
      </c>
      <c r="DV226" t="s">
        <v>17425</v>
      </c>
      <c r="DW226" t="s">
        <v>13772</v>
      </c>
      <c r="DX226" t="s">
        <v>33761</v>
      </c>
      <c r="DY226" t="s">
        <v>33762</v>
      </c>
      <c r="DZ226" t="s">
        <v>17716</v>
      </c>
      <c r="EA226" t="s">
        <v>13772</v>
      </c>
      <c r="EB226" t="s">
        <v>15361</v>
      </c>
    </row>
    <row r="227" spans="1:132">
      <c r="A227">
        <v>1163</v>
      </c>
      <c r="B227">
        <v>1</v>
      </c>
      <c r="C227" t="s">
        <v>2793</v>
      </c>
      <c r="D227" t="s">
        <v>73</v>
      </c>
      <c r="E227" t="s">
        <v>73</v>
      </c>
      <c r="F227" t="s">
        <v>2794</v>
      </c>
      <c r="G227" t="s">
        <v>73</v>
      </c>
      <c r="H227">
        <v>48.8</v>
      </c>
      <c r="I227">
        <v>334</v>
      </c>
      <c r="J227">
        <v>36652</v>
      </c>
      <c r="K227" t="s">
        <v>2795</v>
      </c>
      <c r="L227">
        <f t="shared" si="14"/>
        <v>200</v>
      </c>
      <c r="N227">
        <v>200</v>
      </c>
      <c r="O227">
        <v>179</v>
      </c>
      <c r="P227">
        <v>0.89500000000000002</v>
      </c>
      <c r="Q227">
        <v>12</v>
      </c>
      <c r="R227">
        <v>22</v>
      </c>
      <c r="S227">
        <v>4</v>
      </c>
      <c r="T227">
        <v>9</v>
      </c>
      <c r="U227">
        <v>17</v>
      </c>
      <c r="V227">
        <v>23</v>
      </c>
      <c r="W227">
        <v>10</v>
      </c>
      <c r="X227">
        <v>15</v>
      </c>
      <c r="Y227">
        <v>17</v>
      </c>
      <c r="Z227">
        <v>3</v>
      </c>
      <c r="AA227">
        <v>12</v>
      </c>
      <c r="AB227">
        <v>6</v>
      </c>
      <c r="AC227">
        <v>9</v>
      </c>
      <c r="AD227">
        <v>7</v>
      </c>
      <c r="AE227">
        <v>11</v>
      </c>
      <c r="AF227">
        <v>11</v>
      </c>
      <c r="AG227">
        <v>3</v>
      </c>
      <c r="AH227">
        <v>2</v>
      </c>
      <c r="AI227">
        <v>7</v>
      </c>
      <c r="AJ227">
        <v>11</v>
      </c>
      <c r="AK227">
        <v>21</v>
      </c>
      <c r="AL227">
        <v>3</v>
      </c>
      <c r="AM227">
        <v>8</v>
      </c>
      <c r="AN227">
        <v>15</v>
      </c>
      <c r="AO227">
        <v>23</v>
      </c>
      <c r="AP227">
        <v>9</v>
      </c>
      <c r="AQ227">
        <v>14</v>
      </c>
      <c r="AR227">
        <v>16</v>
      </c>
      <c r="AS227">
        <v>2</v>
      </c>
      <c r="AT227">
        <v>11</v>
      </c>
      <c r="AU227">
        <v>4</v>
      </c>
      <c r="AV227">
        <v>8</v>
      </c>
      <c r="AW227">
        <v>6</v>
      </c>
      <c r="AX227">
        <v>10</v>
      </c>
      <c r="AY227">
        <v>9</v>
      </c>
      <c r="AZ227">
        <v>2</v>
      </c>
      <c r="BA227">
        <v>1</v>
      </c>
      <c r="BB227">
        <v>6</v>
      </c>
      <c r="BC227" s="2">
        <v>11.688000000000001</v>
      </c>
      <c r="BD227" s="2">
        <v>21.687999999999999</v>
      </c>
      <c r="BE227" s="2">
        <v>3.6880000000000002</v>
      </c>
      <c r="BF227" s="2">
        <v>8.6880000000000006</v>
      </c>
      <c r="BG227" s="2">
        <v>16.376999999999999</v>
      </c>
      <c r="BH227" s="2">
        <v>23</v>
      </c>
      <c r="BI227" s="2">
        <v>9.6880000000000006</v>
      </c>
      <c r="BJ227" s="2">
        <v>14.688000000000001</v>
      </c>
      <c r="BK227" s="2">
        <v>16.687999999999999</v>
      </c>
      <c r="BL227" s="2">
        <v>2.6880000000000002</v>
      </c>
      <c r="BM227" s="2">
        <v>11.688000000000001</v>
      </c>
      <c r="BN227" s="2">
        <v>5.3769999999999998</v>
      </c>
      <c r="BO227" s="2">
        <v>8.6880000000000006</v>
      </c>
      <c r="BP227" s="2">
        <v>6.6879999999999997</v>
      </c>
      <c r="BQ227" s="2">
        <v>10.688000000000001</v>
      </c>
      <c r="BR227" s="2">
        <v>10.377000000000001</v>
      </c>
      <c r="BS227" s="2">
        <v>2.6880000000000002</v>
      </c>
      <c r="BT227" s="2">
        <v>1.6879999999999999</v>
      </c>
      <c r="BU227" s="2">
        <v>6.6879999999999997</v>
      </c>
      <c r="BV227" s="2">
        <f t="shared" si="17"/>
        <v>193.45099999999994</v>
      </c>
      <c r="BW227" s="16">
        <f t="shared" si="15"/>
        <v>10.181631578947366</v>
      </c>
      <c r="BX227" s="16">
        <f>COUNTIF($BC$6:BU227, "=0") / COUNTIF($BC$6:BU227, "&gt;-1")</f>
        <v>5.4291133238501661E-2</v>
      </c>
      <c r="BY227" s="18">
        <f>SUM($BC$6:BU227) / $BY$4</f>
        <v>0.70920899509596869</v>
      </c>
      <c r="BZ227" s="14">
        <f t="shared" si="16"/>
        <v>0</v>
      </c>
      <c r="CA227" t="s">
        <v>5831</v>
      </c>
      <c r="CB227" s="36">
        <v>14.1762277312663</v>
      </c>
      <c r="CC227" s="36">
        <v>20.898491418700601</v>
      </c>
      <c r="CD227" s="36">
        <v>5.9229513487053502</v>
      </c>
      <c r="CE227" s="36">
        <v>13.1537193046331</v>
      </c>
      <c r="CF227" s="36">
        <v>14.106892302965001</v>
      </c>
      <c r="CG227" s="36">
        <v>21.383726672708299</v>
      </c>
      <c r="CH227" s="36">
        <v>10.224404143787</v>
      </c>
      <c r="CI227" s="36">
        <v>14.305798890339901</v>
      </c>
      <c r="CJ227" s="37">
        <v>13.272463497190801</v>
      </c>
      <c r="CK227" s="37">
        <v>7.3786008685929403</v>
      </c>
      <c r="CL227" s="37">
        <v>4.3202934806436497</v>
      </c>
      <c r="CM227" s="37">
        <v>7.3649593054194797</v>
      </c>
      <c r="CN227" s="37">
        <v>9.8310804542217198</v>
      </c>
      <c r="CO227" s="37">
        <v>8.2075819320053007</v>
      </c>
      <c r="CP227" s="37">
        <v>4.0730581292285404</v>
      </c>
      <c r="CQ227" s="37">
        <v>10.201666871379899</v>
      </c>
      <c r="CR227" s="45">
        <v>-0.82756506293282095</v>
      </c>
      <c r="CS227" s="45">
        <v>-1.76601289406964</v>
      </c>
      <c r="CT227" s="46">
        <v>1.6298386386346401E-2</v>
      </c>
      <c r="CU227" s="47">
        <v>2.84689830090489E-2</v>
      </c>
      <c r="CV227" s="48">
        <v>14.271526476638201</v>
      </c>
      <c r="CW227" s="49">
        <v>8.0812130673352893</v>
      </c>
      <c r="CX227" s="31" t="s">
        <v>5875</v>
      </c>
      <c r="CY227" s="31" t="s">
        <v>5878</v>
      </c>
      <c r="CZ227" t="s">
        <v>9597</v>
      </c>
      <c r="DA227" t="s">
        <v>5904</v>
      </c>
      <c r="DB227">
        <v>680.2</v>
      </c>
      <c r="DC227" t="s">
        <v>24995</v>
      </c>
      <c r="DD227" t="s">
        <v>24996</v>
      </c>
      <c r="DE227" t="s">
        <v>24997</v>
      </c>
      <c r="DF227" t="s">
        <v>24998</v>
      </c>
      <c r="DG227" t="s">
        <v>13772</v>
      </c>
      <c r="DH227" t="str">
        <f>"LDHB"</f>
        <v>LDHB</v>
      </c>
      <c r="DI227" t="s">
        <v>13772</v>
      </c>
      <c r="DJ227" t="s">
        <v>13777</v>
      </c>
      <c r="DK227">
        <v>9606</v>
      </c>
      <c r="DL227" s="34" t="str">
        <f>HYPERLINK("http://www.uniprot.org/uniprot/P07195", "P07195")</f>
        <v>P07195</v>
      </c>
      <c r="DM227" t="s">
        <v>24999</v>
      </c>
      <c r="DN227" t="s">
        <v>13772</v>
      </c>
      <c r="DO227" t="s">
        <v>13899</v>
      </c>
      <c r="DP227" t="s">
        <v>13793</v>
      </c>
      <c r="DQ227" t="s">
        <v>13772</v>
      </c>
      <c r="DR227" t="s">
        <v>13807</v>
      </c>
      <c r="DS227" t="s">
        <v>13772</v>
      </c>
      <c r="DT227" t="s">
        <v>14492</v>
      </c>
      <c r="DU227" t="s">
        <v>13885</v>
      </c>
      <c r="DV227" t="s">
        <v>13886</v>
      </c>
      <c r="DW227" t="s">
        <v>13812</v>
      </c>
      <c r="DX227" t="s">
        <v>25000</v>
      </c>
      <c r="DY227" t="s">
        <v>25001</v>
      </c>
      <c r="DZ227" t="s">
        <v>25002</v>
      </c>
      <c r="EA227" t="s">
        <v>19372</v>
      </c>
      <c r="EB227" t="s">
        <v>19373</v>
      </c>
    </row>
    <row r="228" spans="1:132" hidden="1">
      <c r="A228">
        <v>1645</v>
      </c>
      <c r="B228">
        <v>1</v>
      </c>
      <c r="C228" t="s">
        <v>3901</v>
      </c>
      <c r="D228" t="s">
        <v>73</v>
      </c>
      <c r="E228" t="s">
        <v>73</v>
      </c>
      <c r="F228" t="s">
        <v>1219</v>
      </c>
      <c r="G228" t="s">
        <v>73</v>
      </c>
      <c r="H228">
        <v>54.8</v>
      </c>
      <c r="I228">
        <v>577</v>
      </c>
      <c r="J228">
        <v>67885</v>
      </c>
      <c r="K228" t="s">
        <v>3902</v>
      </c>
      <c r="L228">
        <f t="shared" si="14"/>
        <v>327</v>
      </c>
      <c r="N228">
        <v>327</v>
      </c>
      <c r="O228">
        <v>139</v>
      </c>
      <c r="P228">
        <v>0.42499999999999999</v>
      </c>
      <c r="Q228">
        <v>10</v>
      </c>
      <c r="R228">
        <v>36</v>
      </c>
      <c r="S228">
        <v>4</v>
      </c>
      <c r="T228">
        <v>16</v>
      </c>
      <c r="U228">
        <v>38</v>
      </c>
      <c r="V228">
        <v>37</v>
      </c>
      <c r="W228">
        <v>13</v>
      </c>
      <c r="X228">
        <v>14</v>
      </c>
      <c r="Y228">
        <v>29</v>
      </c>
      <c r="Z228">
        <v>4</v>
      </c>
      <c r="AA228">
        <v>23</v>
      </c>
      <c r="AB228">
        <v>19</v>
      </c>
      <c r="AC228">
        <v>30</v>
      </c>
      <c r="AD228">
        <v>10</v>
      </c>
      <c r="AE228">
        <v>14</v>
      </c>
      <c r="AF228">
        <v>15</v>
      </c>
      <c r="AG228">
        <v>5</v>
      </c>
      <c r="AH228">
        <v>3</v>
      </c>
      <c r="AI228">
        <v>7</v>
      </c>
      <c r="AJ228">
        <v>3</v>
      </c>
      <c r="AK228">
        <v>15</v>
      </c>
      <c r="AL228">
        <v>0</v>
      </c>
      <c r="AM228">
        <v>3</v>
      </c>
      <c r="AN228">
        <v>16</v>
      </c>
      <c r="AO228">
        <v>14</v>
      </c>
      <c r="AP228">
        <v>4</v>
      </c>
      <c r="AQ228">
        <v>2</v>
      </c>
      <c r="AR228">
        <v>13</v>
      </c>
      <c r="AS228">
        <v>1</v>
      </c>
      <c r="AT228">
        <v>10</v>
      </c>
      <c r="AU228">
        <v>8</v>
      </c>
      <c r="AV228">
        <v>21</v>
      </c>
      <c r="AW228">
        <v>3</v>
      </c>
      <c r="AX228">
        <v>9</v>
      </c>
      <c r="AY228">
        <v>11</v>
      </c>
      <c r="AZ228">
        <v>2</v>
      </c>
      <c r="BA228">
        <v>2</v>
      </c>
      <c r="BB228">
        <v>2</v>
      </c>
      <c r="BC228" s="2">
        <v>4.7830000000000004</v>
      </c>
      <c r="BD228" s="2">
        <v>20.625</v>
      </c>
      <c r="BE228" s="2">
        <v>0</v>
      </c>
      <c r="BF228" s="2">
        <v>3.9750000000000001</v>
      </c>
      <c r="BG228" s="2">
        <v>19.591999999999999</v>
      </c>
      <c r="BH228" s="2">
        <v>18.613</v>
      </c>
      <c r="BI228" s="2">
        <v>5.6360000000000001</v>
      </c>
      <c r="BJ228" s="2">
        <v>2.7269999999999999</v>
      </c>
      <c r="BK228" s="2">
        <v>20.172000000000001</v>
      </c>
      <c r="BL228" s="2">
        <v>2</v>
      </c>
      <c r="BM228" s="2">
        <v>13.333</v>
      </c>
      <c r="BN228" s="2">
        <v>13.13</v>
      </c>
      <c r="BO228" s="2">
        <v>27.3</v>
      </c>
      <c r="BP228" s="2">
        <v>6.5</v>
      </c>
      <c r="BQ228" s="2">
        <v>12.35</v>
      </c>
      <c r="BR228" s="2">
        <v>12.692</v>
      </c>
      <c r="BS228" s="2">
        <v>2.8570000000000002</v>
      </c>
      <c r="BT228" s="2">
        <v>2.6669999999999998</v>
      </c>
      <c r="BU228" s="2">
        <v>3.4289999999999998</v>
      </c>
      <c r="BV228" s="2">
        <f t="shared" si="17"/>
        <v>192.381</v>
      </c>
      <c r="BW228" s="16">
        <f t="shared" si="15"/>
        <v>10.125315789473683</v>
      </c>
      <c r="BX228" s="16">
        <f>COUNTIF($BC$6:BU228, "=0") / COUNTIF($BC$6:BU228, "&gt;-1")</f>
        <v>5.4283691291007789E-2</v>
      </c>
      <c r="BY228" s="18">
        <f>SUM($BC$6:BU228) / $BY$4</f>
        <v>0.71003308544040622</v>
      </c>
      <c r="BZ228" s="14">
        <f t="shared" si="16"/>
        <v>1</v>
      </c>
      <c r="CA228" t="s">
        <v>5831</v>
      </c>
      <c r="CB228" s="36">
        <v>5.8158883000066997</v>
      </c>
      <c r="CC228" s="36">
        <v>19.839120885955399</v>
      </c>
      <c r="CD228" s="36">
        <v>0.40019941545306398</v>
      </c>
      <c r="CE228" s="36">
        <v>6.0476870366129196</v>
      </c>
      <c r="CF228" s="36">
        <v>16.8594566547631</v>
      </c>
      <c r="CG228" s="36">
        <v>17.292926787494501</v>
      </c>
      <c r="CH228" s="36">
        <v>5.9027487840419903</v>
      </c>
      <c r="CI228" s="36">
        <v>2.6275957145522302</v>
      </c>
      <c r="CJ228" s="37">
        <v>16.054117523548101</v>
      </c>
      <c r="CK228" s="37">
        <v>8.3876403036141998</v>
      </c>
      <c r="CL228" s="37">
        <v>10.4807119623022</v>
      </c>
      <c r="CM228" s="37">
        <v>23.110734372178399</v>
      </c>
      <c r="CN228" s="37">
        <v>11.3930278161074</v>
      </c>
      <c r="CO228" s="37">
        <v>10.022720243891101</v>
      </c>
      <c r="CP228" s="37">
        <v>4.3747661388010304</v>
      </c>
      <c r="CQ228" s="37">
        <v>5.1769652780137001</v>
      </c>
      <c r="CR228" s="45">
        <v>0.23271793005649299</v>
      </c>
      <c r="CS228" s="45">
        <v>1.1900774424189</v>
      </c>
      <c r="CT228" s="46">
        <v>0.64131693425170599</v>
      </c>
      <c r="CU228" s="47">
        <v>0.71323082974702801</v>
      </c>
      <c r="CV228" s="48">
        <v>9.3482029473599901</v>
      </c>
      <c r="CW228" s="49">
        <v>11.125085454807</v>
      </c>
      <c r="CX228" s="31" t="s">
        <v>5874</v>
      </c>
      <c r="CY228" s="31" t="s">
        <v>5832</v>
      </c>
      <c r="CZ228" t="s">
        <v>11231</v>
      </c>
      <c r="DA228" t="s">
        <v>5904</v>
      </c>
      <c r="DB228">
        <v>1172.9000000000001</v>
      </c>
      <c r="DC228" t="s">
        <v>29563</v>
      </c>
      <c r="DD228" t="s">
        <v>29564</v>
      </c>
      <c r="DE228" t="s">
        <v>29565</v>
      </c>
      <c r="DF228" t="s">
        <v>29566</v>
      </c>
      <c r="DG228" t="s">
        <v>13772</v>
      </c>
      <c r="DH228" t="str">
        <f>"MSN"</f>
        <v>MSN</v>
      </c>
      <c r="DI228" t="s">
        <v>13772</v>
      </c>
      <c r="DJ228" t="s">
        <v>13777</v>
      </c>
      <c r="DK228">
        <v>9606</v>
      </c>
      <c r="DL228" s="34" t="str">
        <f>HYPERLINK("http://www.uniprot.org/uniprot/P26038", "P26038")</f>
        <v>P26038</v>
      </c>
      <c r="DM228" t="s">
        <v>29567</v>
      </c>
      <c r="DN228" t="s">
        <v>14563</v>
      </c>
      <c r="DO228" t="s">
        <v>14215</v>
      </c>
      <c r="DP228" t="s">
        <v>13772</v>
      </c>
      <c r="DQ228" t="s">
        <v>13772</v>
      </c>
      <c r="DR228" t="s">
        <v>13807</v>
      </c>
      <c r="DS228" t="s">
        <v>13772</v>
      </c>
      <c r="DT228" t="s">
        <v>13772</v>
      </c>
      <c r="DU228" t="s">
        <v>13772</v>
      </c>
      <c r="DV228" t="s">
        <v>26450</v>
      </c>
      <c r="DW228" t="s">
        <v>13812</v>
      </c>
      <c r="DX228" t="s">
        <v>29568</v>
      </c>
      <c r="DY228" t="s">
        <v>29569</v>
      </c>
      <c r="DZ228" t="s">
        <v>29570</v>
      </c>
      <c r="EA228" t="s">
        <v>13772</v>
      </c>
      <c r="EB228" t="s">
        <v>29571</v>
      </c>
    </row>
    <row r="229" spans="1:132" hidden="1">
      <c r="A229">
        <v>2010</v>
      </c>
      <c r="B229">
        <v>1</v>
      </c>
      <c r="C229" t="s">
        <v>4728</v>
      </c>
      <c r="D229" t="s">
        <v>73</v>
      </c>
      <c r="E229" t="s">
        <v>73</v>
      </c>
      <c r="F229" t="s">
        <v>4729</v>
      </c>
      <c r="G229" t="s">
        <v>73</v>
      </c>
      <c r="H229">
        <v>56</v>
      </c>
      <c r="I229">
        <v>911</v>
      </c>
      <c r="J229">
        <v>104920</v>
      </c>
      <c r="K229" t="s">
        <v>4730</v>
      </c>
      <c r="L229">
        <f t="shared" si="14"/>
        <v>202</v>
      </c>
      <c r="N229">
        <v>202</v>
      </c>
      <c r="O229">
        <v>131</v>
      </c>
      <c r="P229">
        <v>0.64900000000000002</v>
      </c>
      <c r="Q229">
        <v>5</v>
      </c>
      <c r="R229">
        <v>8</v>
      </c>
      <c r="S229">
        <v>0</v>
      </c>
      <c r="T229">
        <v>0</v>
      </c>
      <c r="U229">
        <v>21</v>
      </c>
      <c r="V229">
        <v>20</v>
      </c>
      <c r="W229">
        <v>10</v>
      </c>
      <c r="X229">
        <v>10</v>
      </c>
      <c r="Y229">
        <v>21</v>
      </c>
      <c r="Z229">
        <v>0</v>
      </c>
      <c r="AA229">
        <v>37</v>
      </c>
      <c r="AB229">
        <v>21</v>
      </c>
      <c r="AC229">
        <v>22</v>
      </c>
      <c r="AD229">
        <v>2</v>
      </c>
      <c r="AE229">
        <v>4</v>
      </c>
      <c r="AF229">
        <v>9</v>
      </c>
      <c r="AG229">
        <v>9</v>
      </c>
      <c r="AH229">
        <v>1</v>
      </c>
      <c r="AI229">
        <v>2</v>
      </c>
      <c r="AJ229">
        <v>3</v>
      </c>
      <c r="AK229">
        <v>7</v>
      </c>
      <c r="AL229">
        <v>0</v>
      </c>
      <c r="AM229">
        <v>0</v>
      </c>
      <c r="AN229">
        <v>17</v>
      </c>
      <c r="AO229">
        <v>12</v>
      </c>
      <c r="AP229">
        <v>5</v>
      </c>
      <c r="AQ229">
        <v>3</v>
      </c>
      <c r="AR229">
        <v>17</v>
      </c>
      <c r="AS229">
        <v>0</v>
      </c>
      <c r="AT229">
        <v>24</v>
      </c>
      <c r="AU229">
        <v>16</v>
      </c>
      <c r="AV229">
        <v>9</v>
      </c>
      <c r="AW229">
        <v>2</v>
      </c>
      <c r="AX229">
        <v>2</v>
      </c>
      <c r="AY229">
        <v>7</v>
      </c>
      <c r="AZ229">
        <v>5</v>
      </c>
      <c r="BA229">
        <v>1</v>
      </c>
      <c r="BB229">
        <v>1</v>
      </c>
      <c r="BC229" s="2">
        <v>5</v>
      </c>
      <c r="BD229" s="2">
        <v>7.875</v>
      </c>
      <c r="BE229" s="2">
        <v>0</v>
      </c>
      <c r="BF229" s="2">
        <v>0</v>
      </c>
      <c r="BG229" s="2">
        <v>21</v>
      </c>
      <c r="BH229" s="2">
        <v>20</v>
      </c>
      <c r="BI229" s="2">
        <v>9.5</v>
      </c>
      <c r="BJ229" s="2">
        <v>10</v>
      </c>
      <c r="BK229" s="2">
        <v>20.629000000000001</v>
      </c>
      <c r="BL229" s="2">
        <v>0</v>
      </c>
      <c r="BM229" s="2">
        <v>35.436</v>
      </c>
      <c r="BN229" s="2">
        <v>20.667000000000002</v>
      </c>
      <c r="BO229" s="2">
        <v>14.909000000000001</v>
      </c>
      <c r="BP229" s="2">
        <v>2</v>
      </c>
      <c r="BQ229" s="2">
        <v>4</v>
      </c>
      <c r="BR229" s="2">
        <v>8.2729999999999997</v>
      </c>
      <c r="BS229" s="2">
        <v>9</v>
      </c>
      <c r="BT229" s="2">
        <v>1</v>
      </c>
      <c r="BU229" s="2">
        <v>2</v>
      </c>
      <c r="BV229" s="2">
        <f t="shared" si="17"/>
        <v>191.28899999999999</v>
      </c>
      <c r="BW229" s="16">
        <f t="shared" si="15"/>
        <v>10.067842105263157</v>
      </c>
      <c r="BX229" s="16">
        <f>COUNTIF($BC$6:BU229, "=0") / COUNTIF($BC$6:BU229, "&gt;-1")</f>
        <v>5.4746240601503758E-2</v>
      </c>
      <c r="BY229" s="18">
        <f>SUM($BC$6:BU229) / $BY$4</f>
        <v>0.71085249805338291</v>
      </c>
      <c r="BZ229" s="14">
        <f t="shared" si="16"/>
        <v>3</v>
      </c>
      <c r="CA229" t="s">
        <v>5831</v>
      </c>
      <c r="CB229" s="36">
        <v>6.0582169791736504</v>
      </c>
      <c r="CC229" s="36">
        <v>7.6082065533518302</v>
      </c>
      <c r="CD229" s="36">
        <v>0.40019941545306398</v>
      </c>
      <c r="CE229" s="36">
        <v>0.37798043978830698</v>
      </c>
      <c r="CF229" s="36">
        <v>18.0637035586747</v>
      </c>
      <c r="CG229" s="36">
        <v>18.594544932789798</v>
      </c>
      <c r="CH229" s="36">
        <v>10.013591687214101</v>
      </c>
      <c r="CI229" s="36">
        <v>9.7318359798230603</v>
      </c>
      <c r="CJ229" s="37">
        <v>16.372020840846101</v>
      </c>
      <c r="CK229" s="37">
        <v>22.324997499845299</v>
      </c>
      <c r="CL229" s="37">
        <v>16.561125009133999</v>
      </c>
      <c r="CM229" s="37">
        <v>12.6135509943391</v>
      </c>
      <c r="CN229" s="37">
        <v>3.6751702632604601</v>
      </c>
      <c r="CO229" s="37">
        <v>6.55028173419654</v>
      </c>
      <c r="CP229" s="37">
        <v>13.576860430761799</v>
      </c>
      <c r="CQ229" s="37">
        <v>3.0452736929492299</v>
      </c>
      <c r="CR229" s="45">
        <v>0.388518432694473</v>
      </c>
      <c r="CS229" s="45">
        <v>1.3369312716122399</v>
      </c>
      <c r="CT229" s="46">
        <v>0.44756091505822898</v>
      </c>
      <c r="CU229" s="47">
        <v>0.53182638041555097</v>
      </c>
      <c r="CV229" s="48">
        <v>8.8560349432835697</v>
      </c>
      <c r="CW229" s="49">
        <v>11.8399100581666</v>
      </c>
      <c r="CX229" s="31" t="s">
        <v>5874</v>
      </c>
      <c r="CY229" s="31" t="s">
        <v>5832</v>
      </c>
      <c r="CZ229" t="s">
        <v>12449</v>
      </c>
      <c r="DA229" t="s">
        <v>5904</v>
      </c>
      <c r="DB229">
        <v>1883.2</v>
      </c>
      <c r="DC229" t="s">
        <v>33039</v>
      </c>
      <c r="DD229" t="s">
        <v>33040</v>
      </c>
      <c r="DE229" t="s">
        <v>33041</v>
      </c>
      <c r="DF229" t="s">
        <v>33042</v>
      </c>
      <c r="DG229" t="s">
        <v>33043</v>
      </c>
      <c r="DH229" t="str">
        <f>"ACTN4"</f>
        <v>ACTN4</v>
      </c>
      <c r="DI229" t="s">
        <v>13772</v>
      </c>
      <c r="DJ229" t="s">
        <v>13777</v>
      </c>
      <c r="DK229">
        <v>9606</v>
      </c>
      <c r="DL229" s="34" t="str">
        <f>HYPERLINK("http://www.uniprot.org/uniprot/O43707", "O43707")</f>
        <v>O43707</v>
      </c>
      <c r="DM229" t="s">
        <v>33044</v>
      </c>
      <c r="DN229" t="s">
        <v>14347</v>
      </c>
      <c r="DO229" t="s">
        <v>16593</v>
      </c>
      <c r="DP229" t="s">
        <v>13841</v>
      </c>
      <c r="DQ229" t="s">
        <v>13772</v>
      </c>
      <c r="DR229" t="s">
        <v>13807</v>
      </c>
      <c r="DS229" t="s">
        <v>14096</v>
      </c>
      <c r="DT229" t="s">
        <v>13873</v>
      </c>
      <c r="DU229" t="s">
        <v>13990</v>
      </c>
      <c r="DV229" t="s">
        <v>13886</v>
      </c>
      <c r="DW229" t="s">
        <v>13812</v>
      </c>
      <c r="DX229" t="s">
        <v>33045</v>
      </c>
      <c r="DY229" t="s">
        <v>33046</v>
      </c>
      <c r="DZ229" t="s">
        <v>33047</v>
      </c>
      <c r="EA229" t="s">
        <v>13772</v>
      </c>
      <c r="EB229" t="s">
        <v>33048</v>
      </c>
    </row>
    <row r="230" spans="1:132">
      <c r="A230">
        <v>912</v>
      </c>
      <c r="B230">
        <v>1</v>
      </c>
      <c r="C230" t="s">
        <v>2221</v>
      </c>
      <c r="D230" t="s">
        <v>2222</v>
      </c>
      <c r="E230" t="s">
        <v>73</v>
      </c>
      <c r="F230" t="s">
        <v>73</v>
      </c>
      <c r="G230" t="s">
        <v>73</v>
      </c>
      <c r="H230">
        <v>39.299999999999997</v>
      </c>
      <c r="I230">
        <v>486</v>
      </c>
      <c r="J230">
        <v>53347</v>
      </c>
      <c r="K230" t="s">
        <v>2223</v>
      </c>
      <c r="L230">
        <f t="shared" si="14"/>
        <v>190</v>
      </c>
      <c r="N230">
        <v>190</v>
      </c>
      <c r="O230">
        <v>190</v>
      </c>
      <c r="P230">
        <v>1</v>
      </c>
      <c r="Q230">
        <v>12</v>
      </c>
      <c r="R230">
        <v>10</v>
      </c>
      <c r="S230">
        <v>11</v>
      </c>
      <c r="T230">
        <v>11</v>
      </c>
      <c r="U230">
        <v>9</v>
      </c>
      <c r="V230">
        <v>6</v>
      </c>
      <c r="W230">
        <v>7</v>
      </c>
      <c r="X230">
        <v>11</v>
      </c>
      <c r="Y230">
        <v>12</v>
      </c>
      <c r="Z230">
        <v>10</v>
      </c>
      <c r="AA230">
        <v>12</v>
      </c>
      <c r="AB230">
        <v>8</v>
      </c>
      <c r="AC230">
        <v>21</v>
      </c>
      <c r="AD230">
        <v>7</v>
      </c>
      <c r="AE230">
        <v>8</v>
      </c>
      <c r="AF230">
        <v>19</v>
      </c>
      <c r="AG230">
        <v>7</v>
      </c>
      <c r="AH230">
        <v>5</v>
      </c>
      <c r="AI230">
        <v>4</v>
      </c>
      <c r="AJ230">
        <v>12</v>
      </c>
      <c r="AK230">
        <v>10</v>
      </c>
      <c r="AL230">
        <v>11</v>
      </c>
      <c r="AM230">
        <v>11</v>
      </c>
      <c r="AN230">
        <v>9</v>
      </c>
      <c r="AO230">
        <v>6</v>
      </c>
      <c r="AP230">
        <v>7</v>
      </c>
      <c r="AQ230">
        <v>11</v>
      </c>
      <c r="AR230">
        <v>12</v>
      </c>
      <c r="AS230">
        <v>10</v>
      </c>
      <c r="AT230">
        <v>12</v>
      </c>
      <c r="AU230">
        <v>8</v>
      </c>
      <c r="AV230">
        <v>21</v>
      </c>
      <c r="AW230">
        <v>7</v>
      </c>
      <c r="AX230">
        <v>8</v>
      </c>
      <c r="AY230">
        <v>19</v>
      </c>
      <c r="AZ230">
        <v>7</v>
      </c>
      <c r="BA230">
        <v>5</v>
      </c>
      <c r="BB230">
        <v>4</v>
      </c>
      <c r="BC230" s="2">
        <v>12</v>
      </c>
      <c r="BD230" s="2">
        <v>10</v>
      </c>
      <c r="BE230" s="2">
        <v>11</v>
      </c>
      <c r="BF230" s="2">
        <v>11</v>
      </c>
      <c r="BG230" s="2">
        <v>9</v>
      </c>
      <c r="BH230" s="2">
        <v>6</v>
      </c>
      <c r="BI230" s="2">
        <v>7</v>
      </c>
      <c r="BJ230" s="2">
        <v>11</v>
      </c>
      <c r="BK230" s="2">
        <v>12</v>
      </c>
      <c r="BL230" s="2">
        <v>10</v>
      </c>
      <c r="BM230" s="2">
        <v>12</v>
      </c>
      <c r="BN230" s="2">
        <v>8</v>
      </c>
      <c r="BO230" s="2">
        <v>21</v>
      </c>
      <c r="BP230" s="2">
        <v>7</v>
      </c>
      <c r="BQ230" s="2">
        <v>8</v>
      </c>
      <c r="BR230" s="2">
        <v>19</v>
      </c>
      <c r="BS230" s="2">
        <v>7</v>
      </c>
      <c r="BT230" s="2">
        <v>5</v>
      </c>
      <c r="BU230" s="2">
        <v>4</v>
      </c>
      <c r="BV230" s="2">
        <f t="shared" si="17"/>
        <v>190</v>
      </c>
      <c r="BW230" s="16">
        <f t="shared" si="15"/>
        <v>10</v>
      </c>
      <c r="BX230" s="16">
        <f>COUNTIF($BC$6:BU230, "=0") / COUNTIF($BC$6:BU230, "&gt;-1")</f>
        <v>5.4502923976608185E-2</v>
      </c>
      <c r="BY230" s="18">
        <f>SUM($BC$6:BU230) / $BY$4</f>
        <v>0.71166638905843604</v>
      </c>
      <c r="BZ230" s="14">
        <f t="shared" si="16"/>
        <v>0</v>
      </c>
      <c r="CA230" t="s">
        <v>5831</v>
      </c>
      <c r="CB230" s="36">
        <v>14.5397207500168</v>
      </c>
      <c r="CC230" s="36">
        <v>9.6306412067744702</v>
      </c>
      <c r="CD230" s="36">
        <v>17.608774279934799</v>
      </c>
      <c r="CE230" s="36">
        <v>16.631139350685501</v>
      </c>
      <c r="CF230" s="36">
        <v>7.7415872394320298</v>
      </c>
      <c r="CG230" s="36">
        <v>5.5783634798369501</v>
      </c>
      <c r="CH230" s="36">
        <v>7.3784359800524904</v>
      </c>
      <c r="CI230" s="36">
        <v>10.7050195778054</v>
      </c>
      <c r="CJ230" s="37">
        <v>9.53709951893949</v>
      </c>
      <c r="CK230" s="37">
        <v>7.5677957626594301</v>
      </c>
      <c r="CL230" s="37">
        <v>6.4004347861387396</v>
      </c>
      <c r="CM230" s="37">
        <v>17.777487978598799</v>
      </c>
      <c r="CN230" s="37">
        <v>7.3503405265209096</v>
      </c>
      <c r="CO230" s="37">
        <v>14.994620837317401</v>
      </c>
      <c r="CP230" s="37">
        <v>10.559780335037001</v>
      </c>
      <c r="CQ230" s="37">
        <v>6.0905473858984696</v>
      </c>
      <c r="CR230" s="45">
        <v>-0.103526560488332</v>
      </c>
      <c r="CS230" s="45">
        <v>-1.11878175849182</v>
      </c>
      <c r="CT230" s="46">
        <v>0.73134877863561298</v>
      </c>
      <c r="CU230" s="47">
        <v>0.795579319241842</v>
      </c>
      <c r="CV230" s="48">
        <v>11.226710233067299</v>
      </c>
      <c r="CW230" s="49">
        <v>10.0347633913888</v>
      </c>
      <c r="CX230" s="31" t="s">
        <v>5875</v>
      </c>
      <c r="CY230" s="31" t="s">
        <v>5832</v>
      </c>
      <c r="CZ230" t="s">
        <v>8818</v>
      </c>
      <c r="DA230" t="s">
        <v>5904</v>
      </c>
      <c r="DB230">
        <v>726.5</v>
      </c>
      <c r="DC230" t="s">
        <v>22776</v>
      </c>
      <c r="DD230" t="s">
        <v>22777</v>
      </c>
      <c r="DE230" t="s">
        <v>22778</v>
      </c>
      <c r="DF230" t="s">
        <v>22779</v>
      </c>
      <c r="DG230" t="s">
        <v>22780</v>
      </c>
      <c r="DH230" t="str">
        <f>"F10"</f>
        <v>F10</v>
      </c>
      <c r="DI230" t="s">
        <v>13772</v>
      </c>
      <c r="DJ230" t="s">
        <v>13777</v>
      </c>
      <c r="DK230">
        <v>9606</v>
      </c>
      <c r="DL230" s="34" t="str">
        <f>HYPERLINK("http://www.uniprot.org/uniprot/P00742", "P00742")</f>
        <v>P00742</v>
      </c>
      <c r="DM230" t="s">
        <v>22781</v>
      </c>
      <c r="DN230" t="s">
        <v>16755</v>
      </c>
      <c r="DO230" t="s">
        <v>14321</v>
      </c>
      <c r="DP230" t="s">
        <v>13793</v>
      </c>
      <c r="DQ230" t="s">
        <v>13772</v>
      </c>
      <c r="DR230" t="s">
        <v>13807</v>
      </c>
      <c r="DS230" t="s">
        <v>14768</v>
      </c>
      <c r="DT230" t="s">
        <v>14465</v>
      </c>
      <c r="DU230" t="s">
        <v>15176</v>
      </c>
      <c r="DV230" t="s">
        <v>21176</v>
      </c>
      <c r="DW230" t="s">
        <v>13812</v>
      </c>
      <c r="DX230" t="s">
        <v>22782</v>
      </c>
      <c r="DY230" t="s">
        <v>22783</v>
      </c>
      <c r="DZ230" t="s">
        <v>22784</v>
      </c>
      <c r="EA230" t="s">
        <v>13772</v>
      </c>
      <c r="EB230" t="s">
        <v>22785</v>
      </c>
    </row>
    <row r="231" spans="1:132" hidden="1">
      <c r="A231">
        <v>1127</v>
      </c>
      <c r="B231">
        <v>1</v>
      </c>
      <c r="C231" t="s">
        <v>2709</v>
      </c>
      <c r="D231" t="s">
        <v>73</v>
      </c>
      <c r="E231" t="s">
        <v>73</v>
      </c>
      <c r="F231" t="s">
        <v>2710</v>
      </c>
      <c r="G231" t="s">
        <v>73</v>
      </c>
      <c r="H231">
        <v>39.1</v>
      </c>
      <c r="I231">
        <v>705</v>
      </c>
      <c r="J231">
        <v>77602</v>
      </c>
      <c r="K231" t="s">
        <v>2711</v>
      </c>
      <c r="L231">
        <f t="shared" si="14"/>
        <v>288</v>
      </c>
      <c r="N231">
        <v>288</v>
      </c>
      <c r="O231">
        <v>25</v>
      </c>
      <c r="P231">
        <v>8.6999999999999994E-2</v>
      </c>
      <c r="Q231">
        <v>16</v>
      </c>
      <c r="R231">
        <v>26</v>
      </c>
      <c r="S231">
        <v>20</v>
      </c>
      <c r="T231">
        <v>17</v>
      </c>
      <c r="U231">
        <v>22</v>
      </c>
      <c r="V231">
        <v>29</v>
      </c>
      <c r="W231">
        <v>16</v>
      </c>
      <c r="X231">
        <v>9</v>
      </c>
      <c r="Y231">
        <v>6</v>
      </c>
      <c r="Z231">
        <v>9</v>
      </c>
      <c r="AA231">
        <v>12</v>
      </c>
      <c r="AB231">
        <v>16</v>
      </c>
      <c r="AC231">
        <v>14</v>
      </c>
      <c r="AD231">
        <v>14</v>
      </c>
      <c r="AE231">
        <v>10</v>
      </c>
      <c r="AF231">
        <v>15</v>
      </c>
      <c r="AG231">
        <v>14</v>
      </c>
      <c r="AH231">
        <v>10</v>
      </c>
      <c r="AI231">
        <v>13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1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3</v>
      </c>
      <c r="AW231">
        <v>3</v>
      </c>
      <c r="AX231">
        <v>2</v>
      </c>
      <c r="AY231">
        <v>1</v>
      </c>
      <c r="AZ231">
        <v>2</v>
      </c>
      <c r="BA231">
        <v>1</v>
      </c>
      <c r="BB231">
        <v>1</v>
      </c>
      <c r="BC231" s="2">
        <v>16</v>
      </c>
      <c r="BD231" s="2">
        <v>13</v>
      </c>
      <c r="BE231" s="2">
        <v>10</v>
      </c>
      <c r="BF231" s="2">
        <v>8.5</v>
      </c>
      <c r="BG231" s="2">
        <v>0</v>
      </c>
      <c r="BH231" s="2">
        <v>29</v>
      </c>
      <c r="BI231" s="2">
        <v>16</v>
      </c>
      <c r="BJ231" s="2">
        <v>9</v>
      </c>
      <c r="BK231" s="2">
        <v>3.5</v>
      </c>
      <c r="BL231" s="2">
        <v>5</v>
      </c>
      <c r="BM231" s="2">
        <v>6</v>
      </c>
      <c r="BN231" s="2">
        <v>9</v>
      </c>
      <c r="BO231" s="2">
        <v>9.6</v>
      </c>
      <c r="BP231" s="2">
        <v>9.6</v>
      </c>
      <c r="BQ231" s="2">
        <v>7.3330000000000002</v>
      </c>
      <c r="BR231" s="2">
        <v>5.6669999999999998</v>
      </c>
      <c r="BS231" s="2">
        <v>14</v>
      </c>
      <c r="BT231" s="2">
        <v>10</v>
      </c>
      <c r="BU231" s="2">
        <v>7</v>
      </c>
      <c r="BV231" s="2">
        <f t="shared" si="17"/>
        <v>188.2</v>
      </c>
      <c r="BW231" s="16">
        <f t="shared" si="15"/>
        <v>9.905263157894737</v>
      </c>
      <c r="BX231" s="16">
        <f>COUNTIF($BC$6:BU231, "=0") / COUNTIF($BC$6:BU231, "&gt;-1")</f>
        <v>5.4494643688868187E-2</v>
      </c>
      <c r="BY231" s="18">
        <f>SUM($BC$6:BU231) / $BY$4</f>
        <v>0.71247256951712545</v>
      </c>
      <c r="BZ231" s="14">
        <f t="shared" si="16"/>
        <v>1</v>
      </c>
      <c r="CA231" t="s">
        <v>5831</v>
      </c>
      <c r="CB231" s="36">
        <v>19.3862943333557</v>
      </c>
      <c r="CC231" s="36">
        <v>12.519833568806799</v>
      </c>
      <c r="CD231" s="36">
        <v>16.007976618122601</v>
      </c>
      <c r="CE231" s="36">
        <v>12.8513349528025</v>
      </c>
      <c r="CF231" s="36">
        <v>0.215044089984223</v>
      </c>
      <c r="CG231" s="36">
        <v>26.962090152545201</v>
      </c>
      <c r="CH231" s="36">
        <v>16.8649965258343</v>
      </c>
      <c r="CI231" s="36">
        <v>8.7586523818407507</v>
      </c>
      <c r="CJ231" s="37">
        <v>2.7816540263573502</v>
      </c>
      <c r="CK231" s="37">
        <v>3.7838978813297102</v>
      </c>
      <c r="CL231" s="37">
        <v>7.2004891344060802</v>
      </c>
      <c r="CM231" s="37">
        <v>8.1268516473594303</v>
      </c>
      <c r="CN231" s="37">
        <v>6.7071857304503304</v>
      </c>
      <c r="CO231" s="37">
        <v>4.4983862511952104</v>
      </c>
      <c r="CP231" s="37">
        <v>21.119560670073898</v>
      </c>
      <c r="CQ231" s="37">
        <v>10.658457925322301</v>
      </c>
      <c r="CR231" s="45">
        <v>-0.85441036794231795</v>
      </c>
      <c r="CS231" s="45">
        <v>-1.75049905459261</v>
      </c>
      <c r="CT231" s="46">
        <v>0.110896049130319</v>
      </c>
      <c r="CU231" s="47">
        <v>0.15553345255384399</v>
      </c>
      <c r="CV231" s="48">
        <v>14.195777827911501</v>
      </c>
      <c r="CW231" s="49">
        <v>8.1095604083118005</v>
      </c>
      <c r="CX231" s="31" t="s">
        <v>5875</v>
      </c>
      <c r="CY231" s="31" t="s">
        <v>5832</v>
      </c>
      <c r="CZ231" t="s">
        <v>9488</v>
      </c>
      <c r="DA231" t="s">
        <v>5904</v>
      </c>
      <c r="DB231">
        <v>1279.2</v>
      </c>
      <c r="DC231" t="s">
        <v>24679</v>
      </c>
      <c r="DD231" t="s">
        <v>13772</v>
      </c>
      <c r="DE231" t="s">
        <v>24680</v>
      </c>
      <c r="DF231" t="s">
        <v>24681</v>
      </c>
      <c r="DG231" t="s">
        <v>24682</v>
      </c>
      <c r="DH231" t="str">
        <f>"FBLN1"</f>
        <v>FBLN1</v>
      </c>
      <c r="DI231" t="s">
        <v>13772</v>
      </c>
      <c r="DJ231" t="s">
        <v>13777</v>
      </c>
      <c r="DK231">
        <v>9606</v>
      </c>
      <c r="DL231" s="34" t="str">
        <f>HYPERLINK("http://www.uniprot.org/uniprot/P23142", "P23142")</f>
        <v>P23142</v>
      </c>
      <c r="DM231" t="s">
        <v>24683</v>
      </c>
      <c r="DN231" t="s">
        <v>14563</v>
      </c>
      <c r="DO231" t="s">
        <v>13869</v>
      </c>
      <c r="DP231" t="s">
        <v>20333</v>
      </c>
      <c r="DQ231" t="s">
        <v>13772</v>
      </c>
      <c r="DR231" t="s">
        <v>13772</v>
      </c>
      <c r="DS231" t="s">
        <v>14768</v>
      </c>
      <c r="DT231" t="s">
        <v>14465</v>
      </c>
      <c r="DU231" t="s">
        <v>13772</v>
      </c>
      <c r="DV231" t="s">
        <v>13796</v>
      </c>
      <c r="DW231" t="s">
        <v>13772</v>
      </c>
      <c r="DX231" t="s">
        <v>24684</v>
      </c>
      <c r="DY231" t="s">
        <v>24685</v>
      </c>
      <c r="DZ231" t="s">
        <v>24686</v>
      </c>
      <c r="EA231" t="s">
        <v>13772</v>
      </c>
      <c r="EB231" t="s">
        <v>14774</v>
      </c>
    </row>
    <row r="232" spans="1:132" hidden="1">
      <c r="A232">
        <v>2177</v>
      </c>
      <c r="B232">
        <v>1</v>
      </c>
      <c r="C232" t="s">
        <v>5093</v>
      </c>
      <c r="D232" t="s">
        <v>5094</v>
      </c>
      <c r="E232" t="s">
        <v>73</v>
      </c>
      <c r="F232" t="s">
        <v>73</v>
      </c>
      <c r="G232" t="s">
        <v>73</v>
      </c>
      <c r="H232">
        <v>61.5</v>
      </c>
      <c r="I232">
        <v>317</v>
      </c>
      <c r="J232">
        <v>35411</v>
      </c>
      <c r="K232" t="s">
        <v>5095</v>
      </c>
      <c r="L232">
        <f t="shared" si="14"/>
        <v>188</v>
      </c>
      <c r="N232">
        <v>188</v>
      </c>
      <c r="O232">
        <v>188</v>
      </c>
      <c r="P232">
        <v>1</v>
      </c>
      <c r="Q232">
        <v>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50</v>
      </c>
      <c r="Z232">
        <v>3</v>
      </c>
      <c r="AA232">
        <v>33</v>
      </c>
      <c r="AB232">
        <v>16</v>
      </c>
      <c r="AC232">
        <v>20</v>
      </c>
      <c r="AD232">
        <v>2</v>
      </c>
      <c r="AE232">
        <v>16</v>
      </c>
      <c r="AF232">
        <v>16</v>
      </c>
      <c r="AG232">
        <v>5</v>
      </c>
      <c r="AH232">
        <v>1</v>
      </c>
      <c r="AI232">
        <v>21</v>
      </c>
      <c r="AJ232">
        <v>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50</v>
      </c>
      <c r="AS232">
        <v>3</v>
      </c>
      <c r="AT232">
        <v>33</v>
      </c>
      <c r="AU232">
        <v>16</v>
      </c>
      <c r="AV232">
        <v>20</v>
      </c>
      <c r="AW232">
        <v>2</v>
      </c>
      <c r="AX232">
        <v>16</v>
      </c>
      <c r="AY232">
        <v>16</v>
      </c>
      <c r="AZ232">
        <v>5</v>
      </c>
      <c r="BA232">
        <v>1</v>
      </c>
      <c r="BB232">
        <v>21</v>
      </c>
      <c r="BC232" s="2">
        <v>5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50</v>
      </c>
      <c r="BL232" s="2">
        <v>3</v>
      </c>
      <c r="BM232" s="2">
        <v>33</v>
      </c>
      <c r="BN232" s="2">
        <v>16</v>
      </c>
      <c r="BO232" s="2">
        <v>20</v>
      </c>
      <c r="BP232" s="2">
        <v>2</v>
      </c>
      <c r="BQ232" s="2">
        <v>16</v>
      </c>
      <c r="BR232" s="2">
        <v>16</v>
      </c>
      <c r="BS232" s="2">
        <v>5</v>
      </c>
      <c r="BT232" s="2">
        <v>1</v>
      </c>
      <c r="BU232" s="2">
        <v>21</v>
      </c>
      <c r="BV232" s="2">
        <f t="shared" si="17"/>
        <v>188</v>
      </c>
      <c r="BW232" s="16">
        <f t="shared" si="15"/>
        <v>9.8947368421052637</v>
      </c>
      <c r="BX232" s="16">
        <f>COUNTIF($BC$6:BU232, "=0") / COUNTIF($BC$6:BU232, "&gt;-1")</f>
        <v>5.5877579411082776E-2</v>
      </c>
      <c r="BY232" s="18">
        <f>SUM($BC$6:BU232) / $BY$4</f>
        <v>0.71327789324844115</v>
      </c>
      <c r="BZ232" s="14">
        <f t="shared" si="16"/>
        <v>7</v>
      </c>
      <c r="CA232" t="s">
        <v>5831</v>
      </c>
      <c r="CB232" s="36">
        <v>6.0582169791736504</v>
      </c>
      <c r="CC232" s="36">
        <v>0.24076603016936199</v>
      </c>
      <c r="CD232" s="36">
        <v>0.40019941545306398</v>
      </c>
      <c r="CE232" s="36">
        <v>0.37798043978830698</v>
      </c>
      <c r="CF232" s="36">
        <v>0.215044089984223</v>
      </c>
      <c r="CG232" s="36">
        <v>0.23243181165987301</v>
      </c>
      <c r="CH232" s="36">
        <v>0.26351557071616</v>
      </c>
      <c r="CI232" s="36">
        <v>0.24329589949557701</v>
      </c>
      <c r="CJ232" s="37">
        <v>39.737914662247903</v>
      </c>
      <c r="CK232" s="37">
        <v>20.811438347313398</v>
      </c>
      <c r="CL232" s="37">
        <v>12.800869572277501</v>
      </c>
      <c r="CM232" s="37">
        <v>16.930940931998801</v>
      </c>
      <c r="CN232" s="37">
        <v>14.7006810530418</v>
      </c>
      <c r="CO232" s="37">
        <v>12.627049126161999</v>
      </c>
      <c r="CP232" s="37">
        <v>7.5427002393121096</v>
      </c>
      <c r="CQ232" s="37">
        <v>31.975373775967</v>
      </c>
      <c r="CR232" s="45">
        <v>4.2159620166483602</v>
      </c>
      <c r="CS232" s="45">
        <v>19.563959569270001</v>
      </c>
      <c r="CT232" s="46">
        <v>6.1893030847225E-12</v>
      </c>
      <c r="CU232" s="47">
        <v>1.3366689038791699E-10</v>
      </c>
      <c r="CV232" s="48">
        <v>1.0039312795550299</v>
      </c>
      <c r="CW232" s="49">
        <v>19.640870963540099</v>
      </c>
      <c r="CX232" s="31" t="s">
        <v>5874</v>
      </c>
      <c r="CY232" s="31" t="s">
        <v>5876</v>
      </c>
      <c r="CZ232" t="s">
        <v>13003</v>
      </c>
      <c r="DA232" t="s">
        <v>5904</v>
      </c>
      <c r="DB232">
        <v>340.1</v>
      </c>
      <c r="DC232" t="s">
        <v>34566</v>
      </c>
      <c r="DD232" t="s">
        <v>34567</v>
      </c>
      <c r="DE232" t="s">
        <v>34568</v>
      </c>
      <c r="DF232" t="s">
        <v>34569</v>
      </c>
      <c r="DG232" t="s">
        <v>34570</v>
      </c>
      <c r="DH232" t="str">
        <f>"CGREF1"</f>
        <v>CGREF1</v>
      </c>
      <c r="DI232" t="s">
        <v>34571</v>
      </c>
      <c r="DJ232" t="s">
        <v>13777</v>
      </c>
      <c r="DK232">
        <v>9606</v>
      </c>
      <c r="DL232" s="34" t="str">
        <f>HYPERLINK("http://www.uniprot.org/uniprot/Q99674", "Q99674")</f>
        <v>Q99674</v>
      </c>
      <c r="DM232" t="s">
        <v>34572</v>
      </c>
      <c r="DN232" t="s">
        <v>34573</v>
      </c>
      <c r="DO232" t="s">
        <v>14321</v>
      </c>
      <c r="DP232" t="s">
        <v>13780</v>
      </c>
      <c r="DQ232" t="s">
        <v>13772</v>
      </c>
      <c r="DR232" t="s">
        <v>13772</v>
      </c>
      <c r="DS232" t="s">
        <v>14404</v>
      </c>
      <c r="DT232" t="s">
        <v>13873</v>
      </c>
      <c r="DU232" t="s">
        <v>13772</v>
      </c>
      <c r="DV232" t="s">
        <v>13772</v>
      </c>
      <c r="DW232" t="s">
        <v>13772</v>
      </c>
      <c r="DX232" t="s">
        <v>34574</v>
      </c>
      <c r="DY232" t="s">
        <v>15346</v>
      </c>
      <c r="DZ232" t="s">
        <v>15899</v>
      </c>
      <c r="EA232" t="s">
        <v>13772</v>
      </c>
      <c r="EB232" t="s">
        <v>13772</v>
      </c>
    </row>
    <row r="233" spans="1:132" hidden="1">
      <c r="A233">
        <v>134</v>
      </c>
      <c r="B233">
        <v>1</v>
      </c>
      <c r="C233" t="s">
        <v>351</v>
      </c>
      <c r="D233" t="s">
        <v>73</v>
      </c>
      <c r="E233" t="s">
        <v>73</v>
      </c>
      <c r="F233" t="s">
        <v>73</v>
      </c>
      <c r="G233" t="s">
        <v>73</v>
      </c>
      <c r="H233">
        <v>58</v>
      </c>
      <c r="I233">
        <v>421</v>
      </c>
      <c r="J233">
        <v>46494</v>
      </c>
      <c r="K233" t="s">
        <v>352</v>
      </c>
      <c r="L233">
        <f t="shared" si="14"/>
        <v>186</v>
      </c>
      <c r="N233">
        <v>186</v>
      </c>
      <c r="O233">
        <v>186</v>
      </c>
      <c r="P233">
        <v>1</v>
      </c>
      <c r="Q233">
        <v>8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4</v>
      </c>
      <c r="Y233">
        <v>19</v>
      </c>
      <c r="Z233">
        <v>18</v>
      </c>
      <c r="AA233">
        <v>13</v>
      </c>
      <c r="AB233">
        <v>7</v>
      </c>
      <c r="AC233">
        <v>27</v>
      </c>
      <c r="AD233">
        <v>16</v>
      </c>
      <c r="AE233">
        <v>16</v>
      </c>
      <c r="AF233">
        <v>11</v>
      </c>
      <c r="AG233">
        <v>10</v>
      </c>
      <c r="AH233">
        <v>18</v>
      </c>
      <c r="AI233">
        <v>14</v>
      </c>
      <c r="AJ233">
        <v>8</v>
      </c>
      <c r="AK233">
        <v>1</v>
      </c>
      <c r="AL233">
        <v>0</v>
      </c>
      <c r="AM233">
        <v>1</v>
      </c>
      <c r="AN233">
        <v>1</v>
      </c>
      <c r="AO233">
        <v>1</v>
      </c>
      <c r="AP233">
        <v>1</v>
      </c>
      <c r="AQ233">
        <v>4</v>
      </c>
      <c r="AR233">
        <v>19</v>
      </c>
      <c r="AS233">
        <v>18</v>
      </c>
      <c r="AT233">
        <v>13</v>
      </c>
      <c r="AU233">
        <v>7</v>
      </c>
      <c r="AV233">
        <v>27</v>
      </c>
      <c r="AW233">
        <v>16</v>
      </c>
      <c r="AX233">
        <v>16</v>
      </c>
      <c r="AY233">
        <v>11</v>
      </c>
      <c r="AZ233">
        <v>10</v>
      </c>
      <c r="BA233">
        <v>18</v>
      </c>
      <c r="BB233">
        <v>14</v>
      </c>
      <c r="BC233" s="2">
        <v>8</v>
      </c>
      <c r="BD233" s="2">
        <v>1</v>
      </c>
      <c r="BE233" s="2">
        <v>0</v>
      </c>
      <c r="BF233" s="2">
        <v>1</v>
      </c>
      <c r="BG233" s="2">
        <v>1</v>
      </c>
      <c r="BH233" s="2">
        <v>1</v>
      </c>
      <c r="BI233" s="2">
        <v>1</v>
      </c>
      <c r="BJ233" s="2">
        <v>4</v>
      </c>
      <c r="BK233" s="2">
        <v>19</v>
      </c>
      <c r="BL233" s="2">
        <v>18</v>
      </c>
      <c r="BM233" s="2">
        <v>13</v>
      </c>
      <c r="BN233" s="2">
        <v>7</v>
      </c>
      <c r="BO233" s="2">
        <v>27</v>
      </c>
      <c r="BP233" s="2">
        <v>16</v>
      </c>
      <c r="BQ233" s="2">
        <v>16</v>
      </c>
      <c r="BR233" s="2">
        <v>11</v>
      </c>
      <c r="BS233" s="2">
        <v>10</v>
      </c>
      <c r="BT233" s="2">
        <v>18</v>
      </c>
      <c r="BU233" s="2">
        <v>14</v>
      </c>
      <c r="BV233" s="2">
        <f t="shared" si="17"/>
        <v>186</v>
      </c>
      <c r="BW233" s="16">
        <f t="shared" si="15"/>
        <v>9.7894736842105257</v>
      </c>
      <c r="BX233" s="16">
        <f>COUNTIF($BC$6:BU233, "=0") / COUNTIF($BC$6:BU233, "&gt;-1")</f>
        <v>5.5863342566943676E-2</v>
      </c>
      <c r="BY233" s="18">
        <f>SUM($BC$6:BU233) / $BY$4</f>
        <v>0.71407464970601953</v>
      </c>
      <c r="BZ233" s="14">
        <f t="shared" si="16"/>
        <v>1</v>
      </c>
      <c r="CA233" t="s">
        <v>5831</v>
      </c>
      <c r="CB233" s="36">
        <v>9.6931471666778304</v>
      </c>
      <c r="CC233" s="36">
        <v>0.96306412067744696</v>
      </c>
      <c r="CD233" s="36">
        <v>0.40019941545306398</v>
      </c>
      <c r="CE233" s="36">
        <v>1.5119217591532299</v>
      </c>
      <c r="CF233" s="36">
        <v>0.86017635993689201</v>
      </c>
      <c r="CG233" s="36">
        <v>0.92972724663949102</v>
      </c>
      <c r="CH233" s="36">
        <v>1.05406228286464</v>
      </c>
      <c r="CI233" s="36">
        <v>3.8927343919292201</v>
      </c>
      <c r="CJ233" s="37">
        <v>15.1004075716542</v>
      </c>
      <c r="CK233" s="37">
        <v>8.1984454095477108</v>
      </c>
      <c r="CL233" s="37">
        <v>5.6003804378713999</v>
      </c>
      <c r="CM233" s="37">
        <v>22.856770258198399</v>
      </c>
      <c r="CN233" s="37">
        <v>14.7006810530418</v>
      </c>
      <c r="CO233" s="37">
        <v>8.6810962742363706</v>
      </c>
      <c r="CP233" s="37">
        <v>15.0854004786242</v>
      </c>
      <c r="CQ233" s="37">
        <v>21.316915850644602</v>
      </c>
      <c r="CR233" s="45">
        <v>2.4704944008190601</v>
      </c>
      <c r="CS233" s="45">
        <v>5.7777730199575004</v>
      </c>
      <c r="CT233" s="46">
        <v>1.6271838664547099E-6</v>
      </c>
      <c r="CU233" s="47">
        <v>7.4560685387548204E-6</v>
      </c>
      <c r="CV233" s="48">
        <v>2.4131290929164799</v>
      </c>
      <c r="CW233" s="49">
        <v>13.942512166727299</v>
      </c>
      <c r="CX233" s="31" t="s">
        <v>5874</v>
      </c>
      <c r="CY233" s="31" t="s">
        <v>5876</v>
      </c>
      <c r="CZ233" t="s">
        <v>6158</v>
      </c>
      <c r="DA233" t="s">
        <v>5904</v>
      </c>
      <c r="DB233">
        <v>552.4</v>
      </c>
      <c r="DC233" t="s">
        <v>14696</v>
      </c>
      <c r="DD233" t="s">
        <v>14697</v>
      </c>
      <c r="DE233" t="s">
        <v>14698</v>
      </c>
      <c r="DF233" t="s">
        <v>14699</v>
      </c>
      <c r="DG233" t="s">
        <v>14700</v>
      </c>
      <c r="DH233" t="str">
        <f>"SERPINA3"</f>
        <v>SERPINA3</v>
      </c>
      <c r="DI233" t="s">
        <v>14701</v>
      </c>
      <c r="DJ233" t="s">
        <v>13777</v>
      </c>
      <c r="DK233">
        <v>9606</v>
      </c>
      <c r="DL233" s="34" t="str">
        <f>HYPERLINK("http://www.uniprot.org/uniprot/P01011", "P01011")</f>
        <v>P01011</v>
      </c>
      <c r="DM233" t="s">
        <v>14702</v>
      </c>
      <c r="DN233" t="s">
        <v>14374</v>
      </c>
      <c r="DO233" t="s">
        <v>14321</v>
      </c>
      <c r="DP233" t="s">
        <v>13780</v>
      </c>
      <c r="DQ233" t="s">
        <v>13772</v>
      </c>
      <c r="DR233" t="s">
        <v>13807</v>
      </c>
      <c r="DS233" t="s">
        <v>13808</v>
      </c>
      <c r="DT233" t="s">
        <v>13772</v>
      </c>
      <c r="DU233" t="s">
        <v>14375</v>
      </c>
      <c r="DV233" t="s">
        <v>13858</v>
      </c>
      <c r="DW233" t="s">
        <v>13812</v>
      </c>
      <c r="DX233" t="s">
        <v>14703</v>
      </c>
      <c r="DY233" t="s">
        <v>14704</v>
      </c>
      <c r="DZ233" t="s">
        <v>14705</v>
      </c>
      <c r="EA233" t="s">
        <v>13772</v>
      </c>
      <c r="EB233" t="s">
        <v>14706</v>
      </c>
    </row>
    <row r="234" spans="1:132" hidden="1">
      <c r="A234">
        <v>341</v>
      </c>
      <c r="B234">
        <v>1</v>
      </c>
      <c r="C234" t="s">
        <v>857</v>
      </c>
      <c r="D234" t="s">
        <v>73</v>
      </c>
      <c r="E234" t="s">
        <v>73</v>
      </c>
      <c r="F234" t="s">
        <v>73</v>
      </c>
      <c r="G234" t="s">
        <v>73</v>
      </c>
      <c r="H234">
        <v>66.099999999999994</v>
      </c>
      <c r="I234">
        <v>227</v>
      </c>
      <c r="J234">
        <v>24738</v>
      </c>
      <c r="K234" t="s">
        <v>858</v>
      </c>
      <c r="L234">
        <f t="shared" si="14"/>
        <v>186</v>
      </c>
      <c r="N234">
        <v>186</v>
      </c>
      <c r="O234">
        <v>186</v>
      </c>
      <c r="P234">
        <v>1</v>
      </c>
      <c r="Q234">
        <v>11</v>
      </c>
      <c r="R234">
        <v>3</v>
      </c>
      <c r="S234">
        <v>5</v>
      </c>
      <c r="T234">
        <v>0</v>
      </c>
      <c r="U234">
        <v>3</v>
      </c>
      <c r="V234">
        <v>6</v>
      </c>
      <c r="W234">
        <v>10</v>
      </c>
      <c r="X234">
        <v>15</v>
      </c>
      <c r="Y234">
        <v>12</v>
      </c>
      <c r="Z234">
        <v>2</v>
      </c>
      <c r="AA234">
        <v>12</v>
      </c>
      <c r="AB234">
        <v>18</v>
      </c>
      <c r="AC234">
        <v>7</v>
      </c>
      <c r="AD234">
        <v>3</v>
      </c>
      <c r="AE234">
        <v>13</v>
      </c>
      <c r="AF234">
        <v>28</v>
      </c>
      <c r="AG234">
        <v>14</v>
      </c>
      <c r="AH234">
        <v>11</v>
      </c>
      <c r="AI234">
        <v>13</v>
      </c>
      <c r="AJ234">
        <v>11</v>
      </c>
      <c r="AK234">
        <v>3</v>
      </c>
      <c r="AL234">
        <v>5</v>
      </c>
      <c r="AM234">
        <v>0</v>
      </c>
      <c r="AN234">
        <v>3</v>
      </c>
      <c r="AO234">
        <v>6</v>
      </c>
      <c r="AP234">
        <v>10</v>
      </c>
      <c r="AQ234">
        <v>15</v>
      </c>
      <c r="AR234">
        <v>12</v>
      </c>
      <c r="AS234">
        <v>2</v>
      </c>
      <c r="AT234">
        <v>12</v>
      </c>
      <c r="AU234">
        <v>18</v>
      </c>
      <c r="AV234">
        <v>7</v>
      </c>
      <c r="AW234">
        <v>3</v>
      </c>
      <c r="AX234">
        <v>13</v>
      </c>
      <c r="AY234">
        <v>28</v>
      </c>
      <c r="AZ234">
        <v>14</v>
      </c>
      <c r="BA234">
        <v>11</v>
      </c>
      <c r="BB234">
        <v>13</v>
      </c>
      <c r="BC234" s="2">
        <v>11</v>
      </c>
      <c r="BD234" s="2">
        <v>3</v>
      </c>
      <c r="BE234" s="2">
        <v>5</v>
      </c>
      <c r="BF234" s="2">
        <v>0</v>
      </c>
      <c r="BG234" s="2">
        <v>3</v>
      </c>
      <c r="BH234" s="2">
        <v>6</v>
      </c>
      <c r="BI234" s="2">
        <v>10</v>
      </c>
      <c r="BJ234" s="2">
        <v>15</v>
      </c>
      <c r="BK234" s="2">
        <v>12</v>
      </c>
      <c r="BL234" s="2">
        <v>2</v>
      </c>
      <c r="BM234" s="2">
        <v>12</v>
      </c>
      <c r="BN234" s="2">
        <v>18</v>
      </c>
      <c r="BO234" s="2">
        <v>7</v>
      </c>
      <c r="BP234" s="2">
        <v>3</v>
      </c>
      <c r="BQ234" s="2">
        <v>13</v>
      </c>
      <c r="BR234" s="2">
        <v>28</v>
      </c>
      <c r="BS234" s="2">
        <v>14</v>
      </c>
      <c r="BT234" s="2">
        <v>11</v>
      </c>
      <c r="BU234" s="2">
        <v>13</v>
      </c>
      <c r="BV234" s="2">
        <f t="shared" si="17"/>
        <v>186</v>
      </c>
      <c r="BW234" s="16">
        <f t="shared" si="15"/>
        <v>9.7894736842105257</v>
      </c>
      <c r="BX234" s="16">
        <f>COUNTIF($BC$6:BU234, "=0") / COUNTIF($BC$6:BU234, "&gt;-1")</f>
        <v>5.5849230062054701E-2</v>
      </c>
      <c r="BY234" s="18">
        <f>SUM($BC$6:BU234) / $BY$4</f>
        <v>0.71487140616359779</v>
      </c>
      <c r="BZ234" s="14">
        <f t="shared" si="16"/>
        <v>1</v>
      </c>
      <c r="CA234" t="s">
        <v>5831</v>
      </c>
      <c r="CB234" s="36">
        <v>13.328077354182</v>
      </c>
      <c r="CC234" s="36">
        <v>2.8891923620323401</v>
      </c>
      <c r="CD234" s="36">
        <v>8.00398830906129</v>
      </c>
      <c r="CE234" s="36">
        <v>0.37798043978830698</v>
      </c>
      <c r="CF234" s="36">
        <v>2.5805290798106801</v>
      </c>
      <c r="CG234" s="36">
        <v>5.5783634798369501</v>
      </c>
      <c r="CH234" s="36">
        <v>10.5406228286464</v>
      </c>
      <c r="CI234" s="36">
        <v>14.597753969734599</v>
      </c>
      <c r="CJ234" s="37">
        <v>9.53709951893949</v>
      </c>
      <c r="CK234" s="37">
        <v>7.5677957626594301</v>
      </c>
      <c r="CL234" s="37">
        <v>14.400978268812199</v>
      </c>
      <c r="CM234" s="37">
        <v>5.9258293261995796</v>
      </c>
      <c r="CN234" s="37">
        <v>11.944303355596499</v>
      </c>
      <c r="CO234" s="37">
        <v>22.097335970783501</v>
      </c>
      <c r="CP234" s="37">
        <v>21.119560670073898</v>
      </c>
      <c r="CQ234" s="37">
        <v>19.794279004170001</v>
      </c>
      <c r="CR234" s="45">
        <v>0.91882823773608302</v>
      </c>
      <c r="CS234" s="45">
        <v>1.9411737616479801</v>
      </c>
      <c r="CT234" s="46">
        <v>4.4335675606499002E-2</v>
      </c>
      <c r="CU234" s="47">
        <v>6.9954167407424106E-2</v>
      </c>
      <c r="CV234" s="48">
        <v>7.2370634778865703</v>
      </c>
      <c r="CW234" s="49">
        <v>14.0483977346543</v>
      </c>
      <c r="CX234" s="31" t="s">
        <v>5874</v>
      </c>
      <c r="CY234" s="31" t="s">
        <v>5877</v>
      </c>
      <c r="CZ234" t="s">
        <v>6883</v>
      </c>
      <c r="DA234" t="s">
        <v>5904</v>
      </c>
      <c r="DB234">
        <v>465.7</v>
      </c>
      <c r="DC234" t="s">
        <v>16975</v>
      </c>
      <c r="DD234" t="s">
        <v>16976</v>
      </c>
      <c r="DE234" t="s">
        <v>16977</v>
      </c>
      <c r="DF234" t="s">
        <v>16978</v>
      </c>
      <c r="DG234" t="s">
        <v>16979</v>
      </c>
      <c r="DH234" t="str">
        <f>"FAM3C"</f>
        <v>FAM3C</v>
      </c>
      <c r="DI234" t="s">
        <v>16980</v>
      </c>
      <c r="DJ234" t="s">
        <v>13777</v>
      </c>
      <c r="DK234">
        <v>9606</v>
      </c>
      <c r="DL234" s="34" t="str">
        <f>HYPERLINK("http://www.uniprot.org/uniprot/Q92520", "Q92520")</f>
        <v>Q92520</v>
      </c>
      <c r="DM234" t="s">
        <v>16981</v>
      </c>
      <c r="DN234" t="s">
        <v>13772</v>
      </c>
      <c r="DO234" t="s">
        <v>16982</v>
      </c>
      <c r="DP234" t="s">
        <v>13772</v>
      </c>
      <c r="DQ234" t="s">
        <v>13772</v>
      </c>
      <c r="DR234" t="s">
        <v>16983</v>
      </c>
      <c r="DS234" t="s">
        <v>13808</v>
      </c>
      <c r="DT234" t="s">
        <v>13772</v>
      </c>
      <c r="DU234" t="s">
        <v>14727</v>
      </c>
      <c r="DV234" t="s">
        <v>14506</v>
      </c>
      <c r="DW234" t="s">
        <v>13812</v>
      </c>
      <c r="DX234" t="s">
        <v>16984</v>
      </c>
      <c r="DY234" t="s">
        <v>16985</v>
      </c>
      <c r="DZ234" t="s">
        <v>14339</v>
      </c>
      <c r="EA234" t="s">
        <v>13772</v>
      </c>
      <c r="EB234" t="s">
        <v>15665</v>
      </c>
    </row>
    <row r="235" spans="1:132" hidden="1">
      <c r="A235">
        <v>1720</v>
      </c>
      <c r="B235">
        <v>1</v>
      </c>
      <c r="C235" t="s">
        <v>4069</v>
      </c>
      <c r="D235" t="s">
        <v>73</v>
      </c>
      <c r="E235" t="s">
        <v>73</v>
      </c>
      <c r="F235" t="s">
        <v>73</v>
      </c>
      <c r="G235" t="s">
        <v>73</v>
      </c>
      <c r="H235">
        <v>32.5</v>
      </c>
      <c r="I235">
        <v>311</v>
      </c>
      <c r="J235">
        <v>35410</v>
      </c>
      <c r="K235" t="s">
        <v>4070</v>
      </c>
      <c r="L235">
        <f t="shared" si="14"/>
        <v>186</v>
      </c>
      <c r="N235">
        <v>186</v>
      </c>
      <c r="O235">
        <v>186</v>
      </c>
      <c r="P235">
        <v>1</v>
      </c>
      <c r="Q235">
        <v>10</v>
      </c>
      <c r="R235">
        <v>0</v>
      </c>
      <c r="S235">
        <v>13</v>
      </c>
      <c r="T235">
        <v>1</v>
      </c>
      <c r="U235">
        <v>3</v>
      </c>
      <c r="V235">
        <v>17</v>
      </c>
      <c r="W235">
        <v>9</v>
      </c>
      <c r="X235">
        <v>25</v>
      </c>
      <c r="Y235">
        <v>7</v>
      </c>
      <c r="Z235">
        <v>12</v>
      </c>
      <c r="AA235">
        <v>6</v>
      </c>
      <c r="AB235">
        <v>20</v>
      </c>
      <c r="AC235">
        <v>11</v>
      </c>
      <c r="AD235">
        <v>8</v>
      </c>
      <c r="AE235">
        <v>4</v>
      </c>
      <c r="AF235">
        <v>7</v>
      </c>
      <c r="AG235">
        <v>10</v>
      </c>
      <c r="AH235">
        <v>11</v>
      </c>
      <c r="AI235">
        <v>12</v>
      </c>
      <c r="AJ235">
        <v>10</v>
      </c>
      <c r="AK235">
        <v>0</v>
      </c>
      <c r="AL235">
        <v>13</v>
      </c>
      <c r="AM235">
        <v>1</v>
      </c>
      <c r="AN235">
        <v>3</v>
      </c>
      <c r="AO235">
        <v>17</v>
      </c>
      <c r="AP235">
        <v>9</v>
      </c>
      <c r="AQ235">
        <v>25</v>
      </c>
      <c r="AR235">
        <v>7</v>
      </c>
      <c r="AS235">
        <v>12</v>
      </c>
      <c r="AT235">
        <v>6</v>
      </c>
      <c r="AU235">
        <v>20</v>
      </c>
      <c r="AV235">
        <v>11</v>
      </c>
      <c r="AW235">
        <v>8</v>
      </c>
      <c r="AX235">
        <v>4</v>
      </c>
      <c r="AY235">
        <v>7</v>
      </c>
      <c r="AZ235">
        <v>10</v>
      </c>
      <c r="BA235">
        <v>11</v>
      </c>
      <c r="BB235">
        <v>12</v>
      </c>
      <c r="BC235" s="2">
        <v>10</v>
      </c>
      <c r="BD235" s="2">
        <v>0</v>
      </c>
      <c r="BE235" s="2">
        <v>13</v>
      </c>
      <c r="BF235" s="2">
        <v>1</v>
      </c>
      <c r="BG235" s="2">
        <v>3</v>
      </c>
      <c r="BH235" s="2">
        <v>17</v>
      </c>
      <c r="BI235" s="2">
        <v>9</v>
      </c>
      <c r="BJ235" s="2">
        <v>25</v>
      </c>
      <c r="BK235" s="2">
        <v>7</v>
      </c>
      <c r="BL235" s="2">
        <v>12</v>
      </c>
      <c r="BM235" s="2">
        <v>6</v>
      </c>
      <c r="BN235" s="2">
        <v>20</v>
      </c>
      <c r="BO235" s="2">
        <v>11</v>
      </c>
      <c r="BP235" s="2">
        <v>8</v>
      </c>
      <c r="BQ235" s="2">
        <v>4</v>
      </c>
      <c r="BR235" s="2">
        <v>7</v>
      </c>
      <c r="BS235" s="2">
        <v>10</v>
      </c>
      <c r="BT235" s="2">
        <v>11</v>
      </c>
      <c r="BU235" s="2">
        <v>12</v>
      </c>
      <c r="BV235" s="2">
        <f t="shared" si="17"/>
        <v>186</v>
      </c>
      <c r="BW235" s="16">
        <f t="shared" si="15"/>
        <v>9.7894736842105257</v>
      </c>
      <c r="BX235" s="16">
        <f>COUNTIF($BC$6:BU235, "=0") / COUNTIF($BC$6:BU235, "&gt;-1")</f>
        <v>5.5835240274599546E-2</v>
      </c>
      <c r="BY235" s="18">
        <f>SUM($BC$6:BU235) / $BY$4</f>
        <v>0.71566816262117605</v>
      </c>
      <c r="BZ235" s="14">
        <f t="shared" si="16"/>
        <v>1</v>
      </c>
      <c r="CA235" t="s">
        <v>5831</v>
      </c>
      <c r="CB235" s="36">
        <v>12.116433958347301</v>
      </c>
      <c r="CC235" s="36">
        <v>0.24076603016936199</v>
      </c>
      <c r="CD235" s="36">
        <v>20.810369603559401</v>
      </c>
      <c r="CE235" s="36">
        <v>1.5119217591532299</v>
      </c>
      <c r="CF235" s="36">
        <v>2.5805290798106801</v>
      </c>
      <c r="CG235" s="36">
        <v>15.805363192871299</v>
      </c>
      <c r="CH235" s="36">
        <v>9.4865605457817708</v>
      </c>
      <c r="CI235" s="36">
        <v>24.3295899495577</v>
      </c>
      <c r="CJ235" s="37">
        <v>5.5633080527147003</v>
      </c>
      <c r="CK235" s="37">
        <v>3.7838978813297102</v>
      </c>
      <c r="CL235" s="37">
        <v>16.0010869653469</v>
      </c>
      <c r="CM235" s="37">
        <v>9.3120175125993505</v>
      </c>
      <c r="CN235" s="37">
        <v>3.6751702632604601</v>
      </c>
      <c r="CO235" s="37">
        <v>5.5243339926958699</v>
      </c>
      <c r="CP235" s="37">
        <v>15.0854004786242</v>
      </c>
      <c r="CQ235" s="37">
        <v>18.2716421576954</v>
      </c>
      <c r="CR235" s="45">
        <v>-0.193537584428913</v>
      </c>
      <c r="CS235" s="45">
        <v>-1.12516278378051</v>
      </c>
      <c r="CT235" s="46">
        <v>0.77831727120997596</v>
      </c>
      <c r="CU235" s="47">
        <v>0.83519703989177596</v>
      </c>
      <c r="CV235" s="48">
        <v>10.8601917649063</v>
      </c>
      <c r="CW235" s="49">
        <v>9.6521071630333193</v>
      </c>
      <c r="CX235" s="31" t="s">
        <v>5875</v>
      </c>
      <c r="CY235" s="31" t="s">
        <v>5832</v>
      </c>
      <c r="CZ235" t="s">
        <v>11481</v>
      </c>
      <c r="DA235" t="s">
        <v>5904</v>
      </c>
      <c r="DB235">
        <v>382.1</v>
      </c>
      <c r="DC235" t="s">
        <v>30279</v>
      </c>
      <c r="DD235" t="s">
        <v>13772</v>
      </c>
      <c r="DE235" t="s">
        <v>30280</v>
      </c>
      <c r="DF235" t="s">
        <v>30281</v>
      </c>
      <c r="DG235" t="s">
        <v>30282</v>
      </c>
      <c r="DH235" t="str">
        <f>"AZGP1"</f>
        <v>AZGP1</v>
      </c>
      <c r="DI235" t="s">
        <v>30283</v>
      </c>
      <c r="DJ235" t="s">
        <v>13777</v>
      </c>
      <c r="DK235">
        <v>9606</v>
      </c>
      <c r="DL235" s="34" t="str">
        <f>HYPERLINK("http://www.uniprot.org/uniprot/P25311", "P25311")</f>
        <v>P25311</v>
      </c>
      <c r="DM235" t="s">
        <v>30284</v>
      </c>
      <c r="DN235" t="s">
        <v>13772</v>
      </c>
      <c r="DO235" t="s">
        <v>14321</v>
      </c>
      <c r="DP235" t="s">
        <v>13772</v>
      </c>
      <c r="DQ235" t="s">
        <v>13772</v>
      </c>
      <c r="DR235" t="s">
        <v>13772</v>
      </c>
      <c r="DS235" t="s">
        <v>13808</v>
      </c>
      <c r="DT235" t="s">
        <v>13772</v>
      </c>
      <c r="DU235" t="s">
        <v>13772</v>
      </c>
      <c r="DV235" t="s">
        <v>16701</v>
      </c>
      <c r="DW235" t="s">
        <v>13812</v>
      </c>
      <c r="DX235" t="s">
        <v>30285</v>
      </c>
      <c r="DY235" t="s">
        <v>30286</v>
      </c>
      <c r="DZ235" t="s">
        <v>30287</v>
      </c>
      <c r="EA235" t="s">
        <v>13772</v>
      </c>
      <c r="EB235" t="s">
        <v>16705</v>
      </c>
    </row>
    <row r="236" spans="1:132">
      <c r="A236">
        <v>1946</v>
      </c>
      <c r="B236">
        <v>1</v>
      </c>
      <c r="C236" t="s">
        <v>4587</v>
      </c>
      <c r="D236" t="s">
        <v>4588</v>
      </c>
      <c r="E236" t="s">
        <v>73</v>
      </c>
      <c r="F236" t="s">
        <v>4589</v>
      </c>
      <c r="G236" t="s">
        <v>73</v>
      </c>
      <c r="H236">
        <v>22.9</v>
      </c>
      <c r="I236">
        <v>1432</v>
      </c>
      <c r="J236">
        <v>145544</v>
      </c>
      <c r="K236" t="s">
        <v>4590</v>
      </c>
      <c r="L236">
        <f t="shared" si="14"/>
        <v>187</v>
      </c>
      <c r="N236">
        <v>187</v>
      </c>
      <c r="O236">
        <v>183</v>
      </c>
      <c r="P236">
        <v>0.97899999999999998</v>
      </c>
      <c r="Q236">
        <v>8</v>
      </c>
      <c r="R236">
        <v>8</v>
      </c>
      <c r="S236">
        <v>10</v>
      </c>
      <c r="T236">
        <v>10</v>
      </c>
      <c r="U236">
        <v>8</v>
      </c>
      <c r="V236">
        <v>15</v>
      </c>
      <c r="W236">
        <v>11</v>
      </c>
      <c r="X236">
        <v>11</v>
      </c>
      <c r="Y236">
        <v>10</v>
      </c>
      <c r="Z236">
        <v>3</v>
      </c>
      <c r="AA236">
        <v>16</v>
      </c>
      <c r="AB236">
        <v>11</v>
      </c>
      <c r="AC236">
        <v>13</v>
      </c>
      <c r="AD236">
        <v>3</v>
      </c>
      <c r="AE236">
        <v>9</v>
      </c>
      <c r="AF236">
        <v>12</v>
      </c>
      <c r="AG236">
        <v>10</v>
      </c>
      <c r="AH236">
        <v>8</v>
      </c>
      <c r="AI236">
        <v>11</v>
      </c>
      <c r="AJ236">
        <v>7</v>
      </c>
      <c r="AK236">
        <v>7</v>
      </c>
      <c r="AL236">
        <v>9</v>
      </c>
      <c r="AM236">
        <v>10</v>
      </c>
      <c r="AN236">
        <v>8</v>
      </c>
      <c r="AO236">
        <v>14</v>
      </c>
      <c r="AP236">
        <v>11</v>
      </c>
      <c r="AQ236">
        <v>11</v>
      </c>
      <c r="AR236">
        <v>10</v>
      </c>
      <c r="AS236">
        <v>3</v>
      </c>
      <c r="AT236">
        <v>16</v>
      </c>
      <c r="AU236">
        <v>11</v>
      </c>
      <c r="AV236">
        <v>13</v>
      </c>
      <c r="AW236">
        <v>3</v>
      </c>
      <c r="AX236">
        <v>9</v>
      </c>
      <c r="AY236">
        <v>12</v>
      </c>
      <c r="AZ236">
        <v>10</v>
      </c>
      <c r="BA236">
        <v>8</v>
      </c>
      <c r="BB236">
        <v>11</v>
      </c>
      <c r="BC236" s="2">
        <v>7.3040000000000003</v>
      </c>
      <c r="BD236" s="2">
        <v>7.226</v>
      </c>
      <c r="BE236" s="2">
        <v>9.2650000000000006</v>
      </c>
      <c r="BF236" s="2">
        <v>10</v>
      </c>
      <c r="BG236" s="2">
        <v>8</v>
      </c>
      <c r="BH236" s="2">
        <v>14.933</v>
      </c>
      <c r="BI236" s="2">
        <v>11</v>
      </c>
      <c r="BJ236" s="2">
        <v>11</v>
      </c>
      <c r="BK236" s="2">
        <v>10</v>
      </c>
      <c r="BL236" s="2">
        <v>3</v>
      </c>
      <c r="BM236" s="2">
        <v>16</v>
      </c>
      <c r="BN236" s="2">
        <v>11</v>
      </c>
      <c r="BO236" s="2">
        <v>13</v>
      </c>
      <c r="BP236" s="2">
        <v>3</v>
      </c>
      <c r="BQ236" s="2">
        <v>9</v>
      </c>
      <c r="BR236" s="2">
        <v>12</v>
      </c>
      <c r="BS236" s="2">
        <v>10</v>
      </c>
      <c r="BT236" s="2">
        <v>8</v>
      </c>
      <c r="BU236" s="2">
        <v>11</v>
      </c>
      <c r="BV236" s="2">
        <f t="shared" si="17"/>
        <v>184.72800000000001</v>
      </c>
      <c r="BW236" s="16">
        <f t="shared" si="15"/>
        <v>9.7225263157894748</v>
      </c>
      <c r="BX236" s="16">
        <f>COUNTIF($BC$6:BU236, "=0") / COUNTIF($BC$6:BU236, "&gt;-1")</f>
        <v>5.5593529277739806E-2</v>
      </c>
      <c r="BY236" s="18">
        <f>SUM($BC$6:BU236) / $BY$4</f>
        <v>0.71645947029265733</v>
      </c>
      <c r="BZ236" s="14">
        <f t="shared" si="16"/>
        <v>0</v>
      </c>
      <c r="CA236" t="s">
        <v>5831</v>
      </c>
      <c r="CB236" s="36">
        <v>8.8449967895935195</v>
      </c>
      <c r="CC236" s="36">
        <v>6.9340616688776198</v>
      </c>
      <c r="CD236" s="36">
        <v>14.887418254853999</v>
      </c>
      <c r="CE236" s="36">
        <v>15.119217591532299</v>
      </c>
      <c r="CF236" s="36">
        <v>6.8814108794951396</v>
      </c>
      <c r="CG236" s="36">
        <v>13.8529359749284</v>
      </c>
      <c r="CH236" s="36">
        <v>11.594685111511</v>
      </c>
      <c r="CI236" s="36">
        <v>10.7050195778054</v>
      </c>
      <c r="CJ236" s="37">
        <v>7.9475829324495697</v>
      </c>
      <c r="CK236" s="37">
        <v>10.0903943502126</v>
      </c>
      <c r="CL236" s="37">
        <v>8.8005978309407702</v>
      </c>
      <c r="CM236" s="37">
        <v>11.0051116057992</v>
      </c>
      <c r="CN236" s="37">
        <v>8.2691330923360304</v>
      </c>
      <c r="CO236" s="37">
        <v>9.4702868446214996</v>
      </c>
      <c r="CP236" s="37">
        <v>15.0854004786242</v>
      </c>
      <c r="CQ236" s="37">
        <v>16.749005311220799</v>
      </c>
      <c r="CR236" s="45">
        <v>-4.2197580378519603E-2</v>
      </c>
      <c r="CS236" s="45">
        <v>-1.0160406463551099</v>
      </c>
      <c r="CT236" s="46">
        <v>0.95654254775757297</v>
      </c>
      <c r="CU236" s="47">
        <v>0.97253338062282102</v>
      </c>
      <c r="CV236" s="48">
        <v>11.102468231074701</v>
      </c>
      <c r="CW236" s="49">
        <v>10.9271890557756</v>
      </c>
      <c r="CX236" s="31" t="s">
        <v>5875</v>
      </c>
      <c r="CY236" s="31" t="s">
        <v>5832</v>
      </c>
      <c r="CZ236" t="s">
        <v>12243</v>
      </c>
      <c r="DA236" t="s">
        <v>5904</v>
      </c>
      <c r="DB236">
        <v>1722.6</v>
      </c>
      <c r="DC236" t="s">
        <v>32442</v>
      </c>
      <c r="DD236" t="s">
        <v>32443</v>
      </c>
      <c r="DE236" t="s">
        <v>32444</v>
      </c>
      <c r="DF236" t="s">
        <v>32445</v>
      </c>
      <c r="DG236" t="s">
        <v>32446</v>
      </c>
      <c r="DH236" t="str">
        <f>"COL15A1"</f>
        <v>COL15A1</v>
      </c>
      <c r="DI236" t="s">
        <v>13772</v>
      </c>
      <c r="DJ236" t="s">
        <v>13777</v>
      </c>
      <c r="DK236">
        <v>9606</v>
      </c>
      <c r="DL236" s="34" t="str">
        <f>HYPERLINK("http://www.uniprot.org/uniprot/P39059", "P39059")</f>
        <v>P39059</v>
      </c>
      <c r="DM236" t="s">
        <v>32447</v>
      </c>
      <c r="DN236" t="s">
        <v>32448</v>
      </c>
      <c r="DO236" t="s">
        <v>13869</v>
      </c>
      <c r="DP236" t="s">
        <v>13793</v>
      </c>
      <c r="DQ236" t="s">
        <v>13772</v>
      </c>
      <c r="DR236" t="s">
        <v>13772</v>
      </c>
      <c r="DS236" t="s">
        <v>13872</v>
      </c>
      <c r="DT236" t="s">
        <v>13772</v>
      </c>
      <c r="DU236" t="s">
        <v>14727</v>
      </c>
      <c r="DV236" t="s">
        <v>22002</v>
      </c>
      <c r="DW236" t="s">
        <v>13812</v>
      </c>
      <c r="DX236" t="s">
        <v>32449</v>
      </c>
      <c r="DY236" t="s">
        <v>32450</v>
      </c>
      <c r="DZ236" t="s">
        <v>23569</v>
      </c>
      <c r="EA236" t="s">
        <v>13772</v>
      </c>
      <c r="EB236" t="s">
        <v>27334</v>
      </c>
    </row>
    <row r="237" spans="1:132" hidden="1">
      <c r="A237">
        <v>557</v>
      </c>
      <c r="B237">
        <v>1</v>
      </c>
      <c r="C237" t="s">
        <v>1389</v>
      </c>
      <c r="D237" t="s">
        <v>73</v>
      </c>
      <c r="E237" t="s">
        <v>73</v>
      </c>
      <c r="F237" t="s">
        <v>73</v>
      </c>
      <c r="G237" t="s">
        <v>73</v>
      </c>
      <c r="H237">
        <v>29.3</v>
      </c>
      <c r="I237">
        <v>775</v>
      </c>
      <c r="J237">
        <v>82949</v>
      </c>
      <c r="K237" t="s">
        <v>1390</v>
      </c>
      <c r="L237">
        <f t="shared" si="14"/>
        <v>184</v>
      </c>
      <c r="N237">
        <v>184</v>
      </c>
      <c r="O237">
        <v>184</v>
      </c>
      <c r="P237">
        <v>1</v>
      </c>
      <c r="Q237">
        <v>12</v>
      </c>
      <c r="R237">
        <v>16</v>
      </c>
      <c r="S237">
        <v>22</v>
      </c>
      <c r="T237">
        <v>19</v>
      </c>
      <c r="U237">
        <v>17</v>
      </c>
      <c r="V237">
        <v>28</v>
      </c>
      <c r="W237">
        <v>19</v>
      </c>
      <c r="X237">
        <v>12</v>
      </c>
      <c r="Y237">
        <v>2</v>
      </c>
      <c r="Z237">
        <v>0</v>
      </c>
      <c r="AA237">
        <v>3</v>
      </c>
      <c r="AB237">
        <v>8</v>
      </c>
      <c r="AC237">
        <v>3</v>
      </c>
      <c r="AD237">
        <v>1</v>
      </c>
      <c r="AE237">
        <v>2</v>
      </c>
      <c r="AF237">
        <v>9</v>
      </c>
      <c r="AG237">
        <v>3</v>
      </c>
      <c r="AH237">
        <v>3</v>
      </c>
      <c r="AI237">
        <v>5</v>
      </c>
      <c r="AJ237">
        <v>12</v>
      </c>
      <c r="AK237">
        <v>16</v>
      </c>
      <c r="AL237">
        <v>22</v>
      </c>
      <c r="AM237">
        <v>19</v>
      </c>
      <c r="AN237">
        <v>17</v>
      </c>
      <c r="AO237">
        <v>28</v>
      </c>
      <c r="AP237">
        <v>19</v>
      </c>
      <c r="AQ237">
        <v>12</v>
      </c>
      <c r="AR237">
        <v>2</v>
      </c>
      <c r="AS237">
        <v>0</v>
      </c>
      <c r="AT237">
        <v>3</v>
      </c>
      <c r="AU237">
        <v>8</v>
      </c>
      <c r="AV237">
        <v>3</v>
      </c>
      <c r="AW237">
        <v>1</v>
      </c>
      <c r="AX237">
        <v>2</v>
      </c>
      <c r="AY237">
        <v>9</v>
      </c>
      <c r="AZ237">
        <v>3</v>
      </c>
      <c r="BA237">
        <v>3</v>
      </c>
      <c r="BB237">
        <v>5</v>
      </c>
      <c r="BC237" s="2">
        <v>12</v>
      </c>
      <c r="BD237" s="2">
        <v>16</v>
      </c>
      <c r="BE237" s="2">
        <v>22</v>
      </c>
      <c r="BF237" s="2">
        <v>19</v>
      </c>
      <c r="BG237" s="2">
        <v>17</v>
      </c>
      <c r="BH237" s="2">
        <v>28</v>
      </c>
      <c r="BI237" s="2">
        <v>19</v>
      </c>
      <c r="BJ237" s="2">
        <v>12</v>
      </c>
      <c r="BK237" s="2">
        <v>2</v>
      </c>
      <c r="BL237" s="2">
        <v>0</v>
      </c>
      <c r="BM237" s="2">
        <v>3</v>
      </c>
      <c r="BN237" s="2">
        <v>8</v>
      </c>
      <c r="BO237" s="2">
        <v>3</v>
      </c>
      <c r="BP237" s="2">
        <v>1</v>
      </c>
      <c r="BQ237" s="2">
        <v>2</v>
      </c>
      <c r="BR237" s="2">
        <v>9</v>
      </c>
      <c r="BS237" s="2">
        <v>3</v>
      </c>
      <c r="BT237" s="2">
        <v>3</v>
      </c>
      <c r="BU237" s="2">
        <v>5</v>
      </c>
      <c r="BV237" s="2">
        <f t="shared" si="17"/>
        <v>184</v>
      </c>
      <c r="BW237" s="16">
        <f t="shared" si="15"/>
        <v>9.6842105263157894</v>
      </c>
      <c r="BX237" s="16">
        <f>COUNTIF($BC$6:BU237, "=0") / COUNTIF($BC$6:BU237, "&gt;-1")</f>
        <v>5.5580762250453719E-2</v>
      </c>
      <c r="BY237" s="18">
        <f>SUM($BC$6:BU237) / $BY$4</f>
        <v>0.71724765947649827</v>
      </c>
      <c r="BZ237" s="14">
        <f t="shared" si="16"/>
        <v>1</v>
      </c>
      <c r="CA237" t="s">
        <v>5831</v>
      </c>
      <c r="CB237" s="36">
        <v>14.5397207500168</v>
      </c>
      <c r="CC237" s="36">
        <v>15.4090259308391</v>
      </c>
      <c r="CD237" s="36">
        <v>35.217548559869698</v>
      </c>
      <c r="CE237" s="36">
        <v>28.726513423911399</v>
      </c>
      <c r="CF237" s="36">
        <v>14.6229981189272</v>
      </c>
      <c r="CG237" s="36">
        <v>26.032362905905799</v>
      </c>
      <c r="CH237" s="36">
        <v>20.027183374428201</v>
      </c>
      <c r="CI237" s="36">
        <v>11.678203175787701</v>
      </c>
      <c r="CJ237" s="37">
        <v>1.5895165864899099</v>
      </c>
      <c r="CK237" s="37">
        <v>1.89194894066486</v>
      </c>
      <c r="CL237" s="37">
        <v>6.4004347861387396</v>
      </c>
      <c r="CM237" s="37">
        <v>2.5396411397998202</v>
      </c>
      <c r="CN237" s="37">
        <v>1.8375851316302301</v>
      </c>
      <c r="CO237" s="37">
        <v>7.1027151334661296</v>
      </c>
      <c r="CP237" s="37">
        <v>4.5256201435872701</v>
      </c>
      <c r="CQ237" s="37">
        <v>7.6131842323730803</v>
      </c>
      <c r="CR237" s="45">
        <v>-2.3145785270302</v>
      </c>
      <c r="CS237" s="45">
        <v>-4.9626970110500999</v>
      </c>
      <c r="CT237" s="46">
        <v>2.7429352370650199E-8</v>
      </c>
      <c r="CU237" s="47">
        <v>2.1588513807017599E-7</v>
      </c>
      <c r="CV237" s="48">
        <v>20.781694529960699</v>
      </c>
      <c r="CW237" s="49">
        <v>4.1875807617687597</v>
      </c>
      <c r="CX237" s="31" t="s">
        <v>5875</v>
      </c>
      <c r="CY237" s="31" t="s">
        <v>5876</v>
      </c>
      <c r="CZ237" t="s">
        <v>7624</v>
      </c>
      <c r="DA237" t="s">
        <v>5904</v>
      </c>
      <c r="DB237">
        <v>1136.7</v>
      </c>
      <c r="DC237" t="s">
        <v>19260</v>
      </c>
      <c r="DD237" t="s">
        <v>19261</v>
      </c>
      <c r="DE237" t="s">
        <v>19262</v>
      </c>
      <c r="DF237" t="s">
        <v>19263</v>
      </c>
      <c r="DG237" t="s">
        <v>19264</v>
      </c>
      <c r="DH237" t="str">
        <f>"CD248"</f>
        <v>CD248</v>
      </c>
      <c r="DI237" t="s">
        <v>19265</v>
      </c>
      <c r="DJ237" t="s">
        <v>13777</v>
      </c>
      <c r="DK237">
        <v>9606</v>
      </c>
      <c r="DL237" s="34" t="str">
        <f>HYPERLINK("http://www.uniprot.org/uniprot/Q9HCU0", "Q9HCU0")</f>
        <v>Q9HCU0</v>
      </c>
      <c r="DM237" t="s">
        <v>19266</v>
      </c>
      <c r="DN237" t="s">
        <v>13772</v>
      </c>
      <c r="DO237" t="s">
        <v>13825</v>
      </c>
      <c r="DP237" t="s">
        <v>13780</v>
      </c>
      <c r="DQ237" t="s">
        <v>13772</v>
      </c>
      <c r="DR237" t="s">
        <v>13772</v>
      </c>
      <c r="DS237" t="s">
        <v>16416</v>
      </c>
      <c r="DT237" t="s">
        <v>13827</v>
      </c>
      <c r="DU237" t="s">
        <v>13772</v>
      </c>
      <c r="DV237" t="s">
        <v>13964</v>
      </c>
      <c r="DW237" t="s">
        <v>13772</v>
      </c>
      <c r="DX237" t="s">
        <v>19267</v>
      </c>
      <c r="DY237" t="s">
        <v>19268</v>
      </c>
      <c r="DZ237" t="s">
        <v>19269</v>
      </c>
      <c r="EA237" t="s">
        <v>13772</v>
      </c>
      <c r="EB237" t="s">
        <v>13772</v>
      </c>
    </row>
    <row r="238" spans="1:132" hidden="1">
      <c r="A238">
        <v>454</v>
      </c>
      <c r="B238">
        <v>1</v>
      </c>
      <c r="C238" t="s">
        <v>1136</v>
      </c>
      <c r="D238" t="s">
        <v>1137</v>
      </c>
      <c r="E238" t="s">
        <v>73</v>
      </c>
      <c r="F238" t="s">
        <v>73</v>
      </c>
      <c r="G238" t="s">
        <v>73</v>
      </c>
      <c r="H238">
        <v>19</v>
      </c>
      <c r="I238">
        <v>742</v>
      </c>
      <c r="J238">
        <v>81396</v>
      </c>
      <c r="K238" t="s">
        <v>1138</v>
      </c>
      <c r="L238">
        <f t="shared" si="14"/>
        <v>182</v>
      </c>
      <c r="N238">
        <v>182</v>
      </c>
      <c r="O238">
        <v>182</v>
      </c>
      <c r="P238">
        <v>1</v>
      </c>
      <c r="Q238">
        <v>13</v>
      </c>
      <c r="R238">
        <v>18</v>
      </c>
      <c r="S238">
        <v>15</v>
      </c>
      <c r="T238">
        <v>14</v>
      </c>
      <c r="U238">
        <v>13</v>
      </c>
      <c r="V238">
        <v>12</v>
      </c>
      <c r="W238">
        <v>16</v>
      </c>
      <c r="X238">
        <v>10</v>
      </c>
      <c r="Y238">
        <v>7</v>
      </c>
      <c r="Z238">
        <v>1</v>
      </c>
      <c r="AA238">
        <v>9</v>
      </c>
      <c r="AB238">
        <v>12</v>
      </c>
      <c r="AC238">
        <v>7</v>
      </c>
      <c r="AD238">
        <v>0</v>
      </c>
      <c r="AE238">
        <v>3</v>
      </c>
      <c r="AF238">
        <v>12</v>
      </c>
      <c r="AG238">
        <v>6</v>
      </c>
      <c r="AH238">
        <v>4</v>
      </c>
      <c r="AI238">
        <v>10</v>
      </c>
      <c r="AJ238">
        <v>13</v>
      </c>
      <c r="AK238">
        <v>18</v>
      </c>
      <c r="AL238">
        <v>15</v>
      </c>
      <c r="AM238">
        <v>14</v>
      </c>
      <c r="AN238">
        <v>13</v>
      </c>
      <c r="AO238">
        <v>12</v>
      </c>
      <c r="AP238">
        <v>16</v>
      </c>
      <c r="AQ238">
        <v>10</v>
      </c>
      <c r="AR238">
        <v>7</v>
      </c>
      <c r="AS238">
        <v>1</v>
      </c>
      <c r="AT238">
        <v>9</v>
      </c>
      <c r="AU238">
        <v>12</v>
      </c>
      <c r="AV238">
        <v>7</v>
      </c>
      <c r="AW238">
        <v>0</v>
      </c>
      <c r="AX238">
        <v>3</v>
      </c>
      <c r="AY238">
        <v>12</v>
      </c>
      <c r="AZ238">
        <v>6</v>
      </c>
      <c r="BA238">
        <v>4</v>
      </c>
      <c r="BB238">
        <v>10</v>
      </c>
      <c r="BC238" s="2">
        <v>13</v>
      </c>
      <c r="BD238" s="2">
        <v>18</v>
      </c>
      <c r="BE238" s="2">
        <v>15</v>
      </c>
      <c r="BF238" s="2">
        <v>14</v>
      </c>
      <c r="BG238" s="2">
        <v>13</v>
      </c>
      <c r="BH238" s="2">
        <v>12</v>
      </c>
      <c r="BI238" s="2">
        <v>16</v>
      </c>
      <c r="BJ238" s="2">
        <v>10</v>
      </c>
      <c r="BK238" s="2">
        <v>7</v>
      </c>
      <c r="BL238" s="2">
        <v>1</v>
      </c>
      <c r="BM238" s="2">
        <v>9</v>
      </c>
      <c r="BN238" s="2">
        <v>12</v>
      </c>
      <c r="BO238" s="2">
        <v>7</v>
      </c>
      <c r="BP238" s="2">
        <v>0</v>
      </c>
      <c r="BQ238" s="2">
        <v>3</v>
      </c>
      <c r="BR238" s="2">
        <v>12</v>
      </c>
      <c r="BS238" s="2">
        <v>6</v>
      </c>
      <c r="BT238" s="2">
        <v>4</v>
      </c>
      <c r="BU238" s="2">
        <v>10</v>
      </c>
      <c r="BV238" s="2">
        <f t="shared" si="17"/>
        <v>182</v>
      </c>
      <c r="BW238" s="16">
        <f t="shared" si="15"/>
        <v>9.5789473684210531</v>
      </c>
      <c r="BX238" s="16">
        <f>COUNTIF($BC$6:BU238, "=0") / COUNTIF($BC$6:BU238, "&gt;-1")</f>
        <v>5.5568104811384682E-2</v>
      </c>
      <c r="BY238" s="18">
        <f>SUM($BC$6:BU238) / $BY$4</f>
        <v>0.71802728138660177</v>
      </c>
      <c r="BZ238" s="14">
        <f t="shared" si="16"/>
        <v>1</v>
      </c>
      <c r="CA238" t="s">
        <v>5831</v>
      </c>
      <c r="CB238" s="36">
        <v>15.7513641458515</v>
      </c>
      <c r="CC238" s="36">
        <v>17.335154172193999</v>
      </c>
      <c r="CD238" s="36">
        <v>24.0119649271839</v>
      </c>
      <c r="CE238" s="36">
        <v>21.1669046281452</v>
      </c>
      <c r="CF238" s="36">
        <v>11.1822926791796</v>
      </c>
      <c r="CG238" s="36">
        <v>11.1567269596739</v>
      </c>
      <c r="CH238" s="36">
        <v>16.8649965258343</v>
      </c>
      <c r="CI238" s="36">
        <v>9.7318359798230603</v>
      </c>
      <c r="CJ238" s="37">
        <v>5.5633080527147003</v>
      </c>
      <c r="CK238" s="37">
        <v>5.6758468219945701</v>
      </c>
      <c r="CL238" s="37">
        <v>9.6006521792081099</v>
      </c>
      <c r="CM238" s="37">
        <v>5.9258293261995796</v>
      </c>
      <c r="CN238" s="37">
        <v>2.7563776974453398</v>
      </c>
      <c r="CO238" s="37">
        <v>9.4702868446214996</v>
      </c>
      <c r="CP238" s="37">
        <v>9.0512402871745401</v>
      </c>
      <c r="CQ238" s="37">
        <v>15.2263684647462</v>
      </c>
      <c r="CR238" s="45">
        <v>-1.02254485125548</v>
      </c>
      <c r="CS238" s="45">
        <v>-2.0104539531205798</v>
      </c>
      <c r="CT238" s="46">
        <v>4.53780382901579E-3</v>
      </c>
      <c r="CU238" s="47">
        <v>8.9551349900046096E-3</v>
      </c>
      <c r="CV238" s="48">
        <v>15.900155002235699</v>
      </c>
      <c r="CW238" s="49">
        <v>7.9087387092630603</v>
      </c>
      <c r="CX238" s="31" t="s">
        <v>5875</v>
      </c>
      <c r="CY238" s="31" t="s">
        <v>5876</v>
      </c>
      <c r="CZ238" t="s">
        <v>7276</v>
      </c>
      <c r="DA238" t="s">
        <v>5904</v>
      </c>
      <c r="DB238">
        <v>1486.1</v>
      </c>
      <c r="DC238" t="s">
        <v>18202</v>
      </c>
      <c r="DD238" t="s">
        <v>18203</v>
      </c>
      <c r="DE238" t="s">
        <v>18204</v>
      </c>
      <c r="DF238" t="s">
        <v>18205</v>
      </c>
      <c r="DG238" t="s">
        <v>18206</v>
      </c>
      <c r="DH238" t="str">
        <f>"COLEC12"</f>
        <v>COLEC12</v>
      </c>
      <c r="DI238" t="s">
        <v>18207</v>
      </c>
      <c r="DJ238" t="s">
        <v>13777</v>
      </c>
      <c r="DK238">
        <v>9606</v>
      </c>
      <c r="DL238" s="34" t="str">
        <f>HYPERLINK("http://www.uniprot.org/uniprot/Q5KU26", "Q5KU26")</f>
        <v>Q5KU26</v>
      </c>
      <c r="DM238" t="s">
        <v>18208</v>
      </c>
      <c r="DN238" t="s">
        <v>13772</v>
      </c>
      <c r="DO238" t="s">
        <v>13825</v>
      </c>
      <c r="DP238" t="s">
        <v>13793</v>
      </c>
      <c r="DQ238" t="s">
        <v>13772</v>
      </c>
      <c r="DR238" t="s">
        <v>13772</v>
      </c>
      <c r="DS238" t="s">
        <v>18209</v>
      </c>
      <c r="DT238" t="s">
        <v>14519</v>
      </c>
      <c r="DU238" t="s">
        <v>13795</v>
      </c>
      <c r="DV238" t="s">
        <v>13796</v>
      </c>
      <c r="DW238" t="s">
        <v>13812</v>
      </c>
      <c r="DX238" t="s">
        <v>18210</v>
      </c>
      <c r="DY238" t="s">
        <v>18211</v>
      </c>
      <c r="DZ238" t="s">
        <v>18212</v>
      </c>
      <c r="EA238" t="s">
        <v>13772</v>
      </c>
      <c r="EB238" t="s">
        <v>18213</v>
      </c>
    </row>
    <row r="239" spans="1:132">
      <c r="A239">
        <v>566</v>
      </c>
      <c r="B239">
        <v>1</v>
      </c>
      <c r="C239" t="s">
        <v>1412</v>
      </c>
      <c r="D239" t="s">
        <v>1413</v>
      </c>
      <c r="E239" t="s">
        <v>73</v>
      </c>
      <c r="F239" t="s">
        <v>73</v>
      </c>
      <c r="G239" t="s">
        <v>73</v>
      </c>
      <c r="H239">
        <v>42.4</v>
      </c>
      <c r="I239">
        <v>238</v>
      </c>
      <c r="J239">
        <v>26388</v>
      </c>
      <c r="K239" t="s">
        <v>1414</v>
      </c>
      <c r="L239">
        <f t="shared" si="14"/>
        <v>181</v>
      </c>
      <c r="N239">
        <v>181</v>
      </c>
      <c r="O239">
        <v>181</v>
      </c>
      <c r="P239">
        <v>1</v>
      </c>
      <c r="Q239">
        <v>6</v>
      </c>
      <c r="R239">
        <v>8</v>
      </c>
      <c r="S239">
        <v>9</v>
      </c>
      <c r="T239">
        <v>10</v>
      </c>
      <c r="U239">
        <v>11</v>
      </c>
      <c r="V239">
        <v>13</v>
      </c>
      <c r="W239">
        <v>9</v>
      </c>
      <c r="X239">
        <v>6</v>
      </c>
      <c r="Y239">
        <v>7</v>
      </c>
      <c r="Z239">
        <v>5</v>
      </c>
      <c r="AA239">
        <v>9</v>
      </c>
      <c r="AB239">
        <v>25</v>
      </c>
      <c r="AC239">
        <v>11</v>
      </c>
      <c r="AD239">
        <v>2</v>
      </c>
      <c r="AE239">
        <v>6</v>
      </c>
      <c r="AF239">
        <v>12</v>
      </c>
      <c r="AG239">
        <v>10</v>
      </c>
      <c r="AH239">
        <v>9</v>
      </c>
      <c r="AI239">
        <v>13</v>
      </c>
      <c r="AJ239">
        <v>6</v>
      </c>
      <c r="AK239">
        <v>8</v>
      </c>
      <c r="AL239">
        <v>9</v>
      </c>
      <c r="AM239">
        <v>10</v>
      </c>
      <c r="AN239">
        <v>11</v>
      </c>
      <c r="AO239">
        <v>13</v>
      </c>
      <c r="AP239">
        <v>9</v>
      </c>
      <c r="AQ239">
        <v>6</v>
      </c>
      <c r="AR239">
        <v>7</v>
      </c>
      <c r="AS239">
        <v>5</v>
      </c>
      <c r="AT239">
        <v>9</v>
      </c>
      <c r="AU239">
        <v>25</v>
      </c>
      <c r="AV239">
        <v>11</v>
      </c>
      <c r="AW239">
        <v>2</v>
      </c>
      <c r="AX239">
        <v>6</v>
      </c>
      <c r="AY239">
        <v>12</v>
      </c>
      <c r="AZ239">
        <v>10</v>
      </c>
      <c r="BA239">
        <v>9</v>
      </c>
      <c r="BB239">
        <v>13</v>
      </c>
      <c r="BC239" s="2">
        <v>6</v>
      </c>
      <c r="BD239" s="2">
        <v>8</v>
      </c>
      <c r="BE239" s="2">
        <v>9</v>
      </c>
      <c r="BF239" s="2">
        <v>10</v>
      </c>
      <c r="BG239" s="2">
        <v>11</v>
      </c>
      <c r="BH239" s="2">
        <v>13</v>
      </c>
      <c r="BI239" s="2">
        <v>9</v>
      </c>
      <c r="BJ239" s="2">
        <v>6</v>
      </c>
      <c r="BK239" s="2">
        <v>7</v>
      </c>
      <c r="BL239" s="2">
        <v>5</v>
      </c>
      <c r="BM239" s="2">
        <v>9</v>
      </c>
      <c r="BN239" s="2">
        <v>25</v>
      </c>
      <c r="BO239" s="2">
        <v>11</v>
      </c>
      <c r="BP239" s="2">
        <v>2</v>
      </c>
      <c r="BQ239" s="2">
        <v>6</v>
      </c>
      <c r="BR239" s="2">
        <v>12</v>
      </c>
      <c r="BS239" s="2">
        <v>10</v>
      </c>
      <c r="BT239" s="2">
        <v>9</v>
      </c>
      <c r="BU239" s="2">
        <v>13</v>
      </c>
      <c r="BV239" s="2">
        <f t="shared" si="17"/>
        <v>181</v>
      </c>
      <c r="BW239" s="16">
        <f t="shared" si="15"/>
        <v>9.526315789473685</v>
      </c>
      <c r="BX239" s="16">
        <f>COUNTIF($BC$6:BU239, "=0") / COUNTIF($BC$6:BU239, "&gt;-1")</f>
        <v>5.5330634278002701E-2</v>
      </c>
      <c r="BY239" s="18">
        <f>SUM($BC$6:BU239) / $BY$4</f>
        <v>0.71880261965983661</v>
      </c>
      <c r="BZ239" s="14">
        <f t="shared" si="16"/>
        <v>0</v>
      </c>
      <c r="CA239" t="s">
        <v>5831</v>
      </c>
      <c r="CB239" s="36">
        <v>7.2698603750083803</v>
      </c>
      <c r="CC239" s="36">
        <v>7.7045129654195703</v>
      </c>
      <c r="CD239" s="36">
        <v>14.4071789563103</v>
      </c>
      <c r="CE239" s="36">
        <v>15.119217591532299</v>
      </c>
      <c r="CF239" s="36">
        <v>9.4619399593058091</v>
      </c>
      <c r="CG239" s="36">
        <v>12.0864542063134</v>
      </c>
      <c r="CH239" s="36">
        <v>9.4865605457817708</v>
      </c>
      <c r="CI239" s="36">
        <v>5.8391015878938397</v>
      </c>
      <c r="CJ239" s="37">
        <v>5.5633080527147003</v>
      </c>
      <c r="CK239" s="37">
        <v>5.6758468219945701</v>
      </c>
      <c r="CL239" s="37">
        <v>20.0013587066836</v>
      </c>
      <c r="CM239" s="37">
        <v>9.3120175125993505</v>
      </c>
      <c r="CN239" s="37">
        <v>5.5127553948906796</v>
      </c>
      <c r="CO239" s="37">
        <v>9.4702868446214996</v>
      </c>
      <c r="CP239" s="37">
        <v>15.0854004786242</v>
      </c>
      <c r="CQ239" s="37">
        <v>19.794279004170001</v>
      </c>
      <c r="CR239" s="45">
        <v>0.13054354090613901</v>
      </c>
      <c r="CS239" s="45">
        <v>1.11109610984478</v>
      </c>
      <c r="CT239" s="46">
        <v>0.71368740089751503</v>
      </c>
      <c r="CU239" s="47">
        <v>0.78143514108091305</v>
      </c>
      <c r="CV239" s="48">
        <v>10.1718532734457</v>
      </c>
      <c r="CW239" s="49">
        <v>11.301906602037301</v>
      </c>
      <c r="CX239" s="31" t="s">
        <v>5874</v>
      </c>
      <c r="CY239" s="31" t="s">
        <v>5832</v>
      </c>
      <c r="CZ239" t="s">
        <v>7658</v>
      </c>
      <c r="DA239" t="s">
        <v>5904</v>
      </c>
      <c r="DB239">
        <v>335.9</v>
      </c>
      <c r="DC239" t="s">
        <v>19350</v>
      </c>
      <c r="DD239" t="s">
        <v>19351</v>
      </c>
      <c r="DE239" t="s">
        <v>19352</v>
      </c>
      <c r="DF239" t="s">
        <v>19353</v>
      </c>
      <c r="DG239" t="s">
        <v>19354</v>
      </c>
      <c r="DH239" t="str">
        <f>"IGF2"</f>
        <v>IGF2</v>
      </c>
      <c r="DI239" t="s">
        <v>13772</v>
      </c>
      <c r="DJ239" t="s">
        <v>13777</v>
      </c>
      <c r="DK239">
        <v>9606</v>
      </c>
      <c r="DL239" s="34" t="str">
        <f>HYPERLINK("http://www.uniprot.org/uniprot/P01344", "P01344")</f>
        <v>P01344</v>
      </c>
      <c r="DM239" t="s">
        <v>19355</v>
      </c>
      <c r="DN239" t="s">
        <v>19356</v>
      </c>
      <c r="DO239" t="s">
        <v>14321</v>
      </c>
      <c r="DP239" t="s">
        <v>13780</v>
      </c>
      <c r="DQ239" t="s">
        <v>13772</v>
      </c>
      <c r="DR239" t="s">
        <v>19357</v>
      </c>
      <c r="DS239" t="s">
        <v>13808</v>
      </c>
      <c r="DT239" t="s">
        <v>13772</v>
      </c>
      <c r="DU239" t="s">
        <v>19358</v>
      </c>
      <c r="DV239" t="s">
        <v>14629</v>
      </c>
      <c r="DW239" t="s">
        <v>13812</v>
      </c>
      <c r="DX239" t="s">
        <v>19359</v>
      </c>
      <c r="DY239" t="s">
        <v>19360</v>
      </c>
      <c r="DZ239" t="s">
        <v>19361</v>
      </c>
      <c r="EA239" t="s">
        <v>13772</v>
      </c>
      <c r="EB239" t="s">
        <v>19362</v>
      </c>
    </row>
    <row r="240" spans="1:132">
      <c r="A240">
        <v>1579</v>
      </c>
      <c r="B240">
        <v>1</v>
      </c>
      <c r="C240" t="s">
        <v>3743</v>
      </c>
      <c r="D240" t="s">
        <v>73</v>
      </c>
      <c r="E240" t="s">
        <v>73</v>
      </c>
      <c r="F240" t="s">
        <v>73</v>
      </c>
      <c r="G240" t="s">
        <v>73</v>
      </c>
      <c r="H240">
        <v>44.8</v>
      </c>
      <c r="I240">
        <v>415</v>
      </c>
      <c r="J240">
        <v>46849</v>
      </c>
      <c r="K240" t="s">
        <v>3744</v>
      </c>
      <c r="L240">
        <f t="shared" si="14"/>
        <v>181</v>
      </c>
      <c r="N240">
        <v>181</v>
      </c>
      <c r="O240">
        <v>181</v>
      </c>
      <c r="P240">
        <v>1</v>
      </c>
      <c r="Q240">
        <v>10</v>
      </c>
      <c r="R240">
        <v>4</v>
      </c>
      <c r="S240">
        <v>11</v>
      </c>
      <c r="T240">
        <v>10</v>
      </c>
      <c r="U240">
        <v>12</v>
      </c>
      <c r="V240">
        <v>19</v>
      </c>
      <c r="W240">
        <v>3</v>
      </c>
      <c r="X240">
        <v>3</v>
      </c>
      <c r="Y240">
        <v>14</v>
      </c>
      <c r="Z240">
        <v>2</v>
      </c>
      <c r="AA240">
        <v>20</v>
      </c>
      <c r="AB240">
        <v>11</v>
      </c>
      <c r="AC240">
        <v>13</v>
      </c>
      <c r="AD240">
        <v>1</v>
      </c>
      <c r="AE240">
        <v>12</v>
      </c>
      <c r="AF240">
        <v>12</v>
      </c>
      <c r="AG240">
        <v>7</v>
      </c>
      <c r="AH240">
        <v>8</v>
      </c>
      <c r="AI240">
        <v>9</v>
      </c>
      <c r="AJ240">
        <v>10</v>
      </c>
      <c r="AK240">
        <v>4</v>
      </c>
      <c r="AL240">
        <v>11</v>
      </c>
      <c r="AM240">
        <v>10</v>
      </c>
      <c r="AN240">
        <v>12</v>
      </c>
      <c r="AO240">
        <v>19</v>
      </c>
      <c r="AP240">
        <v>3</v>
      </c>
      <c r="AQ240">
        <v>3</v>
      </c>
      <c r="AR240">
        <v>14</v>
      </c>
      <c r="AS240">
        <v>2</v>
      </c>
      <c r="AT240">
        <v>20</v>
      </c>
      <c r="AU240">
        <v>11</v>
      </c>
      <c r="AV240">
        <v>13</v>
      </c>
      <c r="AW240">
        <v>1</v>
      </c>
      <c r="AX240">
        <v>12</v>
      </c>
      <c r="AY240">
        <v>12</v>
      </c>
      <c r="AZ240">
        <v>7</v>
      </c>
      <c r="BA240">
        <v>8</v>
      </c>
      <c r="BB240">
        <v>9</v>
      </c>
      <c r="BC240" s="2">
        <v>10</v>
      </c>
      <c r="BD240" s="2">
        <v>4</v>
      </c>
      <c r="BE240" s="2">
        <v>11</v>
      </c>
      <c r="BF240" s="2">
        <v>10</v>
      </c>
      <c r="BG240" s="2">
        <v>12</v>
      </c>
      <c r="BH240" s="2">
        <v>19</v>
      </c>
      <c r="BI240" s="2">
        <v>3</v>
      </c>
      <c r="BJ240" s="2">
        <v>3</v>
      </c>
      <c r="BK240" s="2">
        <v>14</v>
      </c>
      <c r="BL240" s="2">
        <v>2</v>
      </c>
      <c r="BM240" s="2">
        <v>20</v>
      </c>
      <c r="BN240" s="2">
        <v>11</v>
      </c>
      <c r="BO240" s="2">
        <v>13</v>
      </c>
      <c r="BP240" s="2">
        <v>1</v>
      </c>
      <c r="BQ240" s="2">
        <v>12</v>
      </c>
      <c r="BR240" s="2">
        <v>12</v>
      </c>
      <c r="BS240" s="2">
        <v>7</v>
      </c>
      <c r="BT240" s="2">
        <v>8</v>
      </c>
      <c r="BU240" s="2">
        <v>9</v>
      </c>
      <c r="BV240" s="2">
        <f t="shared" si="17"/>
        <v>181</v>
      </c>
      <c r="BW240" s="16">
        <f t="shared" si="15"/>
        <v>9.526315789473685</v>
      </c>
      <c r="BX240" s="16">
        <f>COUNTIF($BC$6:BU240, "=0") / COUNTIF($BC$6:BU240, "&gt;-1")</f>
        <v>5.5095184770436727E-2</v>
      </c>
      <c r="BY240" s="18">
        <f>SUM($BC$6:BU240) / $BY$4</f>
        <v>0.71957795793307133</v>
      </c>
      <c r="BZ240" s="14">
        <f t="shared" si="16"/>
        <v>0</v>
      </c>
      <c r="CA240" t="s">
        <v>5831</v>
      </c>
      <c r="CB240" s="36">
        <v>12.116433958347301</v>
      </c>
      <c r="CC240" s="36">
        <v>3.85225648270979</v>
      </c>
      <c r="CD240" s="36">
        <v>17.608774279934799</v>
      </c>
      <c r="CE240" s="36">
        <v>15.119217591532299</v>
      </c>
      <c r="CF240" s="36">
        <v>10.322116319242699</v>
      </c>
      <c r="CG240" s="36">
        <v>17.6648176861503</v>
      </c>
      <c r="CH240" s="36">
        <v>3.1621868485939202</v>
      </c>
      <c r="CI240" s="36">
        <v>2.9195507939469199</v>
      </c>
      <c r="CJ240" s="37">
        <v>11.126616105429401</v>
      </c>
      <c r="CK240" s="37">
        <v>12.6129929377657</v>
      </c>
      <c r="CL240" s="37">
        <v>8.8005978309407702</v>
      </c>
      <c r="CM240" s="37">
        <v>11.0051116057992</v>
      </c>
      <c r="CN240" s="37">
        <v>11.0255107897814</v>
      </c>
      <c r="CO240" s="37">
        <v>9.4702868446214996</v>
      </c>
      <c r="CP240" s="37">
        <v>10.559780335037001</v>
      </c>
      <c r="CQ240" s="37">
        <v>13.7037316182716</v>
      </c>
      <c r="CR240" s="45">
        <v>0.121363074957426</v>
      </c>
      <c r="CS240" s="45">
        <v>1.06692745022071</v>
      </c>
      <c r="CT240" s="46">
        <v>0.78729259335090795</v>
      </c>
      <c r="CU240" s="47">
        <v>0.84002989625479596</v>
      </c>
      <c r="CV240" s="48">
        <v>10.3456692450573</v>
      </c>
      <c r="CW240" s="49">
        <v>11.038078508455801</v>
      </c>
      <c r="CX240" s="31" t="s">
        <v>5874</v>
      </c>
      <c r="CY240" s="31" t="s">
        <v>5832</v>
      </c>
      <c r="CZ240" t="s">
        <v>11004</v>
      </c>
      <c r="DA240" t="s">
        <v>5904</v>
      </c>
      <c r="DB240">
        <v>765.4</v>
      </c>
      <c r="DC240" t="s">
        <v>28940</v>
      </c>
      <c r="DD240" t="s">
        <v>28941</v>
      </c>
      <c r="DE240" t="s">
        <v>28942</v>
      </c>
      <c r="DF240" t="s">
        <v>28943</v>
      </c>
      <c r="DG240" t="s">
        <v>28944</v>
      </c>
      <c r="DH240" t="str">
        <f>"LOX"</f>
        <v>LOX</v>
      </c>
      <c r="DI240" t="s">
        <v>13772</v>
      </c>
      <c r="DJ240" t="s">
        <v>13777</v>
      </c>
      <c r="DK240">
        <v>9606</v>
      </c>
      <c r="DL240" s="34" t="str">
        <f>HYPERLINK("http://www.uniprot.org/uniprot/P28300", "P28300")</f>
        <v>P28300</v>
      </c>
      <c r="DM240" t="s">
        <v>28945</v>
      </c>
      <c r="DN240" t="s">
        <v>13772</v>
      </c>
      <c r="DO240" t="s">
        <v>14321</v>
      </c>
      <c r="DP240" t="s">
        <v>13793</v>
      </c>
      <c r="DQ240" t="s">
        <v>13772</v>
      </c>
      <c r="DR240" t="s">
        <v>21023</v>
      </c>
      <c r="DS240" t="s">
        <v>13808</v>
      </c>
      <c r="DT240" t="s">
        <v>15982</v>
      </c>
      <c r="DU240" t="s">
        <v>13885</v>
      </c>
      <c r="DV240" t="s">
        <v>28946</v>
      </c>
      <c r="DW240" t="s">
        <v>13772</v>
      </c>
      <c r="DX240" t="s">
        <v>28947</v>
      </c>
      <c r="DY240" t="s">
        <v>28948</v>
      </c>
      <c r="DZ240" t="s">
        <v>15986</v>
      </c>
      <c r="EA240" t="s">
        <v>13772</v>
      </c>
      <c r="EB240" t="s">
        <v>15987</v>
      </c>
    </row>
    <row r="241" spans="1:132" hidden="1">
      <c r="A241">
        <v>397</v>
      </c>
      <c r="B241">
        <v>1</v>
      </c>
      <c r="C241" t="s">
        <v>993</v>
      </c>
      <c r="D241" t="s">
        <v>73</v>
      </c>
      <c r="E241" t="s">
        <v>73</v>
      </c>
      <c r="F241" t="s">
        <v>73</v>
      </c>
      <c r="G241" t="s">
        <v>73</v>
      </c>
      <c r="H241">
        <v>32.5</v>
      </c>
      <c r="I241">
        <v>906</v>
      </c>
      <c r="J241">
        <v>99811</v>
      </c>
      <c r="K241" t="s">
        <v>994</v>
      </c>
      <c r="L241">
        <f t="shared" si="14"/>
        <v>178</v>
      </c>
      <c r="N241">
        <v>178</v>
      </c>
      <c r="O241">
        <v>178</v>
      </c>
      <c r="P241">
        <v>1</v>
      </c>
      <c r="Q241">
        <v>12</v>
      </c>
      <c r="R241">
        <v>20</v>
      </c>
      <c r="S241">
        <v>12</v>
      </c>
      <c r="T241">
        <v>18</v>
      </c>
      <c r="U241">
        <v>15</v>
      </c>
      <c r="V241">
        <v>17</v>
      </c>
      <c r="W241">
        <v>17</v>
      </c>
      <c r="X241">
        <v>8</v>
      </c>
      <c r="Y241">
        <v>13</v>
      </c>
      <c r="Z241">
        <v>2</v>
      </c>
      <c r="AA241">
        <v>12</v>
      </c>
      <c r="AB241">
        <v>4</v>
      </c>
      <c r="AC241">
        <v>6</v>
      </c>
      <c r="AD241">
        <v>1</v>
      </c>
      <c r="AE241">
        <v>7</v>
      </c>
      <c r="AF241">
        <v>4</v>
      </c>
      <c r="AG241">
        <v>4</v>
      </c>
      <c r="AH241">
        <v>0</v>
      </c>
      <c r="AI241">
        <v>6</v>
      </c>
      <c r="AJ241">
        <v>12</v>
      </c>
      <c r="AK241">
        <v>20</v>
      </c>
      <c r="AL241">
        <v>12</v>
      </c>
      <c r="AM241">
        <v>18</v>
      </c>
      <c r="AN241">
        <v>15</v>
      </c>
      <c r="AO241">
        <v>17</v>
      </c>
      <c r="AP241">
        <v>17</v>
      </c>
      <c r="AQ241">
        <v>8</v>
      </c>
      <c r="AR241">
        <v>13</v>
      </c>
      <c r="AS241">
        <v>2</v>
      </c>
      <c r="AT241">
        <v>12</v>
      </c>
      <c r="AU241">
        <v>4</v>
      </c>
      <c r="AV241">
        <v>6</v>
      </c>
      <c r="AW241">
        <v>1</v>
      </c>
      <c r="AX241">
        <v>7</v>
      </c>
      <c r="AY241">
        <v>4</v>
      </c>
      <c r="AZ241">
        <v>4</v>
      </c>
      <c r="BA241">
        <v>0</v>
      </c>
      <c r="BB241">
        <v>6</v>
      </c>
      <c r="BC241" s="2">
        <v>12</v>
      </c>
      <c r="BD241" s="2">
        <v>20</v>
      </c>
      <c r="BE241" s="2">
        <v>12</v>
      </c>
      <c r="BF241" s="2">
        <v>18</v>
      </c>
      <c r="BG241" s="2">
        <v>15</v>
      </c>
      <c r="BH241" s="2">
        <v>17</v>
      </c>
      <c r="BI241" s="2">
        <v>17</v>
      </c>
      <c r="BJ241" s="2">
        <v>8</v>
      </c>
      <c r="BK241" s="2">
        <v>13</v>
      </c>
      <c r="BL241" s="2">
        <v>2</v>
      </c>
      <c r="BM241" s="2">
        <v>12</v>
      </c>
      <c r="BN241" s="2">
        <v>4</v>
      </c>
      <c r="BO241" s="2">
        <v>6</v>
      </c>
      <c r="BP241" s="2">
        <v>1</v>
      </c>
      <c r="BQ241" s="2">
        <v>7</v>
      </c>
      <c r="BR241" s="2">
        <v>4</v>
      </c>
      <c r="BS241" s="2">
        <v>4</v>
      </c>
      <c r="BT241" s="2">
        <v>0</v>
      </c>
      <c r="BU241" s="2">
        <v>6</v>
      </c>
      <c r="BV241" s="2">
        <f t="shared" si="17"/>
        <v>178</v>
      </c>
      <c r="BW241" s="16">
        <f t="shared" si="15"/>
        <v>9.3684210526315788</v>
      </c>
      <c r="BX241" s="16">
        <f>COUNTIF($BC$6:BU241, "=0") / COUNTIF($BC$6:BU241, "&gt;-1")</f>
        <v>5.5084745762711863E-2</v>
      </c>
      <c r="BY241" s="18">
        <f>SUM($BC$6:BU241) / $BY$4</f>
        <v>0.72034044529570007</v>
      </c>
      <c r="BZ241" s="14">
        <f t="shared" si="16"/>
        <v>1</v>
      </c>
      <c r="CA241" t="s">
        <v>5831</v>
      </c>
      <c r="CB241" s="36">
        <v>14.5397207500168</v>
      </c>
      <c r="CC241" s="36">
        <v>19.261282413548901</v>
      </c>
      <c r="CD241" s="36">
        <v>19.2095719417471</v>
      </c>
      <c r="CE241" s="36">
        <v>27.2145916647581</v>
      </c>
      <c r="CF241" s="36">
        <v>12.9026453990534</v>
      </c>
      <c r="CG241" s="36">
        <v>15.805363192871299</v>
      </c>
      <c r="CH241" s="36">
        <v>17.9190588086989</v>
      </c>
      <c r="CI241" s="36">
        <v>7.78546878385845</v>
      </c>
      <c r="CJ241" s="37">
        <v>10.331857812184399</v>
      </c>
      <c r="CK241" s="37">
        <v>7.5677957626594301</v>
      </c>
      <c r="CL241" s="37">
        <v>3.2002173930693698</v>
      </c>
      <c r="CM241" s="37">
        <v>5.0792822795996404</v>
      </c>
      <c r="CN241" s="37">
        <v>6.4315479607058004</v>
      </c>
      <c r="CO241" s="37">
        <v>3.1567622815404999</v>
      </c>
      <c r="CP241" s="37">
        <v>6.0341601914496898</v>
      </c>
      <c r="CQ241" s="37">
        <v>9.1358210788476999</v>
      </c>
      <c r="CR241" s="45">
        <v>-1.38126283957851</v>
      </c>
      <c r="CS241" s="45">
        <v>-2.6431970348879998</v>
      </c>
      <c r="CT241" s="46">
        <v>8.1865153718071302E-5</v>
      </c>
      <c r="CU241" s="47">
        <v>2.3708999063805101E-4</v>
      </c>
      <c r="CV241" s="48">
        <v>16.829712869319099</v>
      </c>
      <c r="CW241" s="49">
        <v>6.3671805950070697</v>
      </c>
      <c r="CX241" s="31" t="s">
        <v>5875</v>
      </c>
      <c r="CY241" s="31" t="s">
        <v>5876</v>
      </c>
      <c r="CZ241" t="s">
        <v>7079</v>
      </c>
      <c r="DA241" t="s">
        <v>5904</v>
      </c>
      <c r="DB241">
        <v>1827.8</v>
      </c>
      <c r="DC241" t="s">
        <v>17584</v>
      </c>
      <c r="DD241" t="s">
        <v>17585</v>
      </c>
      <c r="DE241" t="s">
        <v>17586</v>
      </c>
      <c r="DF241" t="s">
        <v>17587</v>
      </c>
      <c r="DG241" t="s">
        <v>17588</v>
      </c>
      <c r="DH241" t="str">
        <f>"CDH2"</f>
        <v>CDH2</v>
      </c>
      <c r="DI241" t="s">
        <v>17589</v>
      </c>
      <c r="DJ241" t="s">
        <v>13777</v>
      </c>
      <c r="DK241">
        <v>9606</v>
      </c>
      <c r="DL241" s="34" t="str">
        <f>HYPERLINK("http://www.uniprot.org/uniprot/P19022", "P19022")</f>
        <v>P19022</v>
      </c>
      <c r="DM241" t="s">
        <v>17590</v>
      </c>
      <c r="DN241" t="s">
        <v>13949</v>
      </c>
      <c r="DO241" t="s">
        <v>17424</v>
      </c>
      <c r="DP241" t="s">
        <v>13780</v>
      </c>
      <c r="DQ241" t="s">
        <v>13772</v>
      </c>
      <c r="DR241" t="s">
        <v>13772</v>
      </c>
      <c r="DS241" t="s">
        <v>13826</v>
      </c>
      <c r="DT241" t="s">
        <v>13873</v>
      </c>
      <c r="DU241" t="s">
        <v>13772</v>
      </c>
      <c r="DV241" t="s">
        <v>17425</v>
      </c>
      <c r="DW241" t="s">
        <v>13772</v>
      </c>
      <c r="DX241" t="s">
        <v>17591</v>
      </c>
      <c r="DY241" t="s">
        <v>17592</v>
      </c>
      <c r="DZ241" t="s">
        <v>17593</v>
      </c>
      <c r="EA241" t="s">
        <v>13772</v>
      </c>
      <c r="EB241" t="s">
        <v>17594</v>
      </c>
    </row>
    <row r="242" spans="1:132" hidden="1">
      <c r="A242">
        <v>622</v>
      </c>
      <c r="B242">
        <v>1</v>
      </c>
      <c r="C242" t="s">
        <v>1539</v>
      </c>
      <c r="D242" t="s">
        <v>73</v>
      </c>
      <c r="E242" t="s">
        <v>73</v>
      </c>
      <c r="F242" t="s">
        <v>1540</v>
      </c>
      <c r="G242" t="s">
        <v>73</v>
      </c>
      <c r="H242">
        <v>64</v>
      </c>
      <c r="I242">
        <v>325</v>
      </c>
      <c r="J242">
        <v>36633</v>
      </c>
      <c r="K242" t="s">
        <v>1541</v>
      </c>
      <c r="L242">
        <f t="shared" si="14"/>
        <v>179</v>
      </c>
      <c r="N242">
        <v>179</v>
      </c>
      <c r="O242">
        <v>161</v>
      </c>
      <c r="P242">
        <v>0.89900000000000002</v>
      </c>
      <c r="Q242">
        <v>8</v>
      </c>
      <c r="R242">
        <v>5</v>
      </c>
      <c r="S242">
        <v>1</v>
      </c>
      <c r="T242">
        <v>2</v>
      </c>
      <c r="U242">
        <v>11</v>
      </c>
      <c r="V242">
        <v>11</v>
      </c>
      <c r="W242">
        <v>16</v>
      </c>
      <c r="X242">
        <v>25</v>
      </c>
      <c r="Y242">
        <v>14</v>
      </c>
      <c r="Z242">
        <v>0</v>
      </c>
      <c r="AA242">
        <v>26</v>
      </c>
      <c r="AB242">
        <v>9</v>
      </c>
      <c r="AC242">
        <v>13</v>
      </c>
      <c r="AD242">
        <v>3</v>
      </c>
      <c r="AE242">
        <v>7</v>
      </c>
      <c r="AF242">
        <v>17</v>
      </c>
      <c r="AG242">
        <v>3</v>
      </c>
      <c r="AH242">
        <v>7</v>
      </c>
      <c r="AI242">
        <v>1</v>
      </c>
      <c r="AJ242">
        <v>8</v>
      </c>
      <c r="AK242">
        <v>4</v>
      </c>
      <c r="AL242">
        <v>0</v>
      </c>
      <c r="AM242">
        <v>2</v>
      </c>
      <c r="AN242">
        <v>9</v>
      </c>
      <c r="AO242">
        <v>10</v>
      </c>
      <c r="AP242">
        <v>16</v>
      </c>
      <c r="AQ242">
        <v>24</v>
      </c>
      <c r="AR242">
        <v>13</v>
      </c>
      <c r="AS242">
        <v>0</v>
      </c>
      <c r="AT242">
        <v>25</v>
      </c>
      <c r="AU242">
        <v>8</v>
      </c>
      <c r="AV242">
        <v>12</v>
      </c>
      <c r="AW242">
        <v>1</v>
      </c>
      <c r="AX242">
        <v>6</v>
      </c>
      <c r="AY242">
        <v>15</v>
      </c>
      <c r="AZ242">
        <v>2</v>
      </c>
      <c r="BA242">
        <v>5</v>
      </c>
      <c r="BB242">
        <v>1</v>
      </c>
      <c r="BC242" s="2">
        <v>8</v>
      </c>
      <c r="BD242" s="2">
        <v>4.5709999999999997</v>
      </c>
      <c r="BE242" s="2">
        <v>0.5</v>
      </c>
      <c r="BF242" s="2">
        <v>2</v>
      </c>
      <c r="BG242" s="2">
        <v>10.5</v>
      </c>
      <c r="BH242" s="2">
        <v>10.667</v>
      </c>
      <c r="BI242" s="2">
        <v>16</v>
      </c>
      <c r="BJ242" s="2">
        <v>24.827999999999999</v>
      </c>
      <c r="BK242" s="2">
        <v>13.722</v>
      </c>
      <c r="BL242" s="2">
        <v>0</v>
      </c>
      <c r="BM242" s="2">
        <v>25.780999999999999</v>
      </c>
      <c r="BN242" s="2">
        <v>8.8889999999999993</v>
      </c>
      <c r="BO242" s="2">
        <v>12.8</v>
      </c>
      <c r="BP242" s="2">
        <v>3</v>
      </c>
      <c r="BQ242" s="2">
        <v>6.6</v>
      </c>
      <c r="BR242" s="2">
        <v>16.5</v>
      </c>
      <c r="BS242" s="2">
        <v>2.6669999999999998</v>
      </c>
      <c r="BT242" s="2">
        <v>7</v>
      </c>
      <c r="BU242" s="2">
        <v>1</v>
      </c>
      <c r="BV242" s="2">
        <f t="shared" si="17"/>
        <v>175.02499999999998</v>
      </c>
      <c r="BW242" s="16">
        <f t="shared" si="15"/>
        <v>9.2118421052631572</v>
      </c>
      <c r="BX242" s="16">
        <f>COUNTIF($BC$6:BU242, "=0") / COUNTIF($BC$6:BU242, "&gt;-1")</f>
        <v>5.5074394847879189E-2</v>
      </c>
      <c r="BY242" s="18">
        <f>SUM($BC$6:BU242) / $BY$4</f>
        <v>0.72109018883864417</v>
      </c>
      <c r="BZ242" s="14">
        <f t="shared" si="16"/>
        <v>1</v>
      </c>
      <c r="CA242" t="s">
        <v>5831</v>
      </c>
      <c r="CB242" s="36">
        <v>9.6931471666778304</v>
      </c>
      <c r="CC242" s="36">
        <v>4.4300949551162496</v>
      </c>
      <c r="CD242" s="36">
        <v>0.80039883090612896</v>
      </c>
      <c r="CE242" s="36">
        <v>3.0238435183064598</v>
      </c>
      <c r="CF242" s="36">
        <v>9.0318517793373694</v>
      </c>
      <c r="CG242" s="36">
        <v>9.9480815390425494</v>
      </c>
      <c r="CH242" s="36">
        <v>16.8649965258343</v>
      </c>
      <c r="CI242" s="36">
        <v>24.134953229961202</v>
      </c>
      <c r="CJ242" s="37">
        <v>10.888188617455899</v>
      </c>
      <c r="CK242" s="37">
        <v>16.270760889717799</v>
      </c>
      <c r="CL242" s="37">
        <v>7.1204836995793501</v>
      </c>
      <c r="CM242" s="37">
        <v>10.8358021964792</v>
      </c>
      <c r="CN242" s="37">
        <v>6.0640309343797503</v>
      </c>
      <c r="CO242" s="37">
        <v>13.0216444113546</v>
      </c>
      <c r="CP242" s="37">
        <v>4.0730581292285404</v>
      </c>
      <c r="CQ242" s="37">
        <v>1.5226368464746201</v>
      </c>
      <c r="CR242" s="45">
        <v>-0.14257882438737601</v>
      </c>
      <c r="CS242" s="45">
        <v>-1.1164922238852999</v>
      </c>
      <c r="CT242" s="46">
        <v>0.78274884316374604</v>
      </c>
      <c r="CU242" s="47">
        <v>0.83651593622451403</v>
      </c>
      <c r="CV242" s="48">
        <v>9.7409209431477493</v>
      </c>
      <c r="CW242" s="49">
        <v>8.72457571558372</v>
      </c>
      <c r="CX242" s="31" t="s">
        <v>5875</v>
      </c>
      <c r="CY242" s="31" t="s">
        <v>5832</v>
      </c>
      <c r="CZ242" t="s">
        <v>7846</v>
      </c>
      <c r="DA242" t="s">
        <v>5904</v>
      </c>
      <c r="DB242">
        <v>649.79999999999995</v>
      </c>
      <c r="DC242" t="s">
        <v>19944</v>
      </c>
      <c r="DD242" t="s">
        <v>19945</v>
      </c>
      <c r="DE242" t="s">
        <v>19946</v>
      </c>
      <c r="DF242" t="s">
        <v>19947</v>
      </c>
      <c r="DG242" t="s">
        <v>19948</v>
      </c>
      <c r="DH242" t="str">
        <f>"AKR1A1"</f>
        <v>AKR1A1</v>
      </c>
      <c r="DI242" t="s">
        <v>19949</v>
      </c>
      <c r="DJ242" t="s">
        <v>13777</v>
      </c>
      <c r="DK242">
        <v>9606</v>
      </c>
      <c r="DL242" s="34" t="str">
        <f>HYPERLINK("http://www.uniprot.org/uniprot/P14550", "P14550")</f>
        <v>P14550</v>
      </c>
      <c r="DM242" t="s">
        <v>19950</v>
      </c>
      <c r="DN242" t="s">
        <v>13772</v>
      </c>
      <c r="DO242" t="s">
        <v>18623</v>
      </c>
      <c r="DP242" t="s">
        <v>13793</v>
      </c>
      <c r="DQ242" t="s">
        <v>13772</v>
      </c>
      <c r="DR242" t="s">
        <v>13772</v>
      </c>
      <c r="DS242" t="s">
        <v>13772</v>
      </c>
      <c r="DT242" t="s">
        <v>15759</v>
      </c>
      <c r="DU242" t="s">
        <v>13885</v>
      </c>
      <c r="DV242" t="s">
        <v>13886</v>
      </c>
      <c r="DW242" t="s">
        <v>13812</v>
      </c>
      <c r="DX242" t="s">
        <v>19951</v>
      </c>
      <c r="DY242" t="s">
        <v>19952</v>
      </c>
      <c r="DZ242" t="s">
        <v>19953</v>
      </c>
      <c r="EA242" t="s">
        <v>13772</v>
      </c>
      <c r="EB242" t="s">
        <v>19954</v>
      </c>
    </row>
    <row r="243" spans="1:132" hidden="1">
      <c r="A243">
        <v>293</v>
      </c>
      <c r="B243">
        <v>1</v>
      </c>
      <c r="C243" t="s">
        <v>735</v>
      </c>
      <c r="D243" t="s">
        <v>73</v>
      </c>
      <c r="E243" t="s">
        <v>73</v>
      </c>
      <c r="F243" t="s">
        <v>73</v>
      </c>
      <c r="G243" t="s">
        <v>73</v>
      </c>
      <c r="H243">
        <v>23.8</v>
      </c>
      <c r="I243">
        <v>1367</v>
      </c>
      <c r="J243">
        <v>129360</v>
      </c>
      <c r="K243" t="s">
        <v>736</v>
      </c>
      <c r="L243">
        <f t="shared" si="14"/>
        <v>175</v>
      </c>
      <c r="N243">
        <v>175</v>
      </c>
      <c r="O243">
        <v>175</v>
      </c>
      <c r="P243">
        <v>1</v>
      </c>
      <c r="Q243">
        <v>27</v>
      </c>
      <c r="R243">
        <v>19</v>
      </c>
      <c r="S243">
        <v>20</v>
      </c>
      <c r="T243">
        <v>16</v>
      </c>
      <c r="U243">
        <v>15</v>
      </c>
      <c r="V243">
        <v>20</v>
      </c>
      <c r="W243">
        <v>13</v>
      </c>
      <c r="X243">
        <v>7</v>
      </c>
      <c r="Y243">
        <v>1</v>
      </c>
      <c r="Z243">
        <v>0</v>
      </c>
      <c r="AA243">
        <v>4</v>
      </c>
      <c r="AB243">
        <v>13</v>
      </c>
      <c r="AC243">
        <v>2</v>
      </c>
      <c r="AD243">
        <v>0</v>
      </c>
      <c r="AE243">
        <v>2</v>
      </c>
      <c r="AF243">
        <v>8</v>
      </c>
      <c r="AG243">
        <v>2</v>
      </c>
      <c r="AH243">
        <v>2</v>
      </c>
      <c r="AI243">
        <v>4</v>
      </c>
      <c r="AJ243">
        <v>27</v>
      </c>
      <c r="AK243">
        <v>19</v>
      </c>
      <c r="AL243">
        <v>20</v>
      </c>
      <c r="AM243">
        <v>16</v>
      </c>
      <c r="AN243">
        <v>15</v>
      </c>
      <c r="AO243">
        <v>20</v>
      </c>
      <c r="AP243">
        <v>13</v>
      </c>
      <c r="AQ243">
        <v>7</v>
      </c>
      <c r="AR243">
        <v>1</v>
      </c>
      <c r="AS243">
        <v>0</v>
      </c>
      <c r="AT243">
        <v>4</v>
      </c>
      <c r="AU243">
        <v>13</v>
      </c>
      <c r="AV243">
        <v>2</v>
      </c>
      <c r="AW243">
        <v>0</v>
      </c>
      <c r="AX243">
        <v>2</v>
      </c>
      <c r="AY243">
        <v>8</v>
      </c>
      <c r="AZ243">
        <v>2</v>
      </c>
      <c r="BA243">
        <v>2</v>
      </c>
      <c r="BB243">
        <v>4</v>
      </c>
      <c r="BC243" s="2">
        <v>27</v>
      </c>
      <c r="BD243" s="2">
        <v>19</v>
      </c>
      <c r="BE243" s="2">
        <v>20</v>
      </c>
      <c r="BF243" s="2">
        <v>16</v>
      </c>
      <c r="BG243" s="2">
        <v>15</v>
      </c>
      <c r="BH243" s="2">
        <v>20</v>
      </c>
      <c r="BI243" s="2">
        <v>13</v>
      </c>
      <c r="BJ243" s="2">
        <v>7</v>
      </c>
      <c r="BK243" s="2">
        <v>1</v>
      </c>
      <c r="BL243" s="2">
        <v>0</v>
      </c>
      <c r="BM243" s="2">
        <v>4</v>
      </c>
      <c r="BN243" s="2">
        <v>13</v>
      </c>
      <c r="BO243" s="2">
        <v>2</v>
      </c>
      <c r="BP243" s="2">
        <v>0</v>
      </c>
      <c r="BQ243" s="2">
        <v>2</v>
      </c>
      <c r="BR243" s="2">
        <v>8</v>
      </c>
      <c r="BS243" s="2">
        <v>2</v>
      </c>
      <c r="BT243" s="2">
        <v>2</v>
      </c>
      <c r="BU243" s="2">
        <v>4</v>
      </c>
      <c r="BV243" s="2">
        <f t="shared" si="17"/>
        <v>175</v>
      </c>
      <c r="BW243" s="16">
        <f t="shared" si="15"/>
        <v>9.2105263157894743</v>
      </c>
      <c r="BX243" s="16">
        <f>COUNTIF($BC$6:BU243, "=0") / COUNTIF($BC$6:BU243, "&gt;-1")</f>
        <v>5.5285272003538256E-2</v>
      </c>
      <c r="BY243" s="18">
        <f>SUM($BC$6:BU243) / $BY$4</f>
        <v>0.72183982529066681</v>
      </c>
      <c r="BZ243" s="14">
        <f t="shared" si="16"/>
        <v>2</v>
      </c>
      <c r="CA243" t="s">
        <v>5831</v>
      </c>
      <c r="CB243" s="36">
        <v>32.7143716875377</v>
      </c>
      <c r="CC243" s="36">
        <v>18.2982182928715</v>
      </c>
      <c r="CD243" s="36">
        <v>32.015953236245203</v>
      </c>
      <c r="CE243" s="36">
        <v>24.1907481464517</v>
      </c>
      <c r="CF243" s="36">
        <v>12.9026453990534</v>
      </c>
      <c r="CG243" s="36">
        <v>18.594544932789798</v>
      </c>
      <c r="CH243" s="36">
        <v>13.7028096772403</v>
      </c>
      <c r="CI243" s="36">
        <v>6.8122851858761404</v>
      </c>
      <c r="CJ243" s="37">
        <v>0.79475829324495695</v>
      </c>
      <c r="CK243" s="37">
        <v>2.5225985875531398</v>
      </c>
      <c r="CL243" s="37">
        <v>10.400706527475499</v>
      </c>
      <c r="CM243" s="37">
        <v>1.6930940931998799</v>
      </c>
      <c r="CN243" s="37">
        <v>1.8375851316302301</v>
      </c>
      <c r="CO243" s="37">
        <v>6.3135245630809997</v>
      </c>
      <c r="CP243" s="37">
        <v>3.0170800957248498</v>
      </c>
      <c r="CQ243" s="37">
        <v>6.0905473858984696</v>
      </c>
      <c r="CR243" s="45">
        <v>-2.2433926837373499</v>
      </c>
      <c r="CS243" s="45">
        <v>-4.87395438915292</v>
      </c>
      <c r="CT243" s="46">
        <v>1.9341773521974299E-6</v>
      </c>
      <c r="CU243" s="47">
        <v>8.5693023087422505E-6</v>
      </c>
      <c r="CV243" s="48">
        <v>19.9039470697582</v>
      </c>
      <c r="CW243" s="49">
        <v>4.0837368347260004</v>
      </c>
      <c r="CX243" s="31" t="s">
        <v>5875</v>
      </c>
      <c r="CY243" s="31" t="s">
        <v>5876</v>
      </c>
      <c r="CZ243" t="s">
        <v>6705</v>
      </c>
      <c r="DA243" t="s">
        <v>5904</v>
      </c>
      <c r="DB243">
        <v>1764.6</v>
      </c>
      <c r="DC243" t="s">
        <v>16455</v>
      </c>
      <c r="DD243" t="s">
        <v>16456</v>
      </c>
      <c r="DE243" t="s">
        <v>16457</v>
      </c>
      <c r="DF243" t="s">
        <v>16458</v>
      </c>
      <c r="DG243" t="s">
        <v>16459</v>
      </c>
      <c r="DH243" t="str">
        <f>"COL1A2"</f>
        <v>COL1A2</v>
      </c>
      <c r="DI243" t="s">
        <v>13772</v>
      </c>
      <c r="DJ243" t="s">
        <v>13777</v>
      </c>
      <c r="DK243">
        <v>9606</v>
      </c>
      <c r="DL243" s="34" t="str">
        <f>HYPERLINK("http://www.uniprot.org/uniprot/P08123", "P08123")</f>
        <v>P08123</v>
      </c>
      <c r="DM243" t="s">
        <v>16460</v>
      </c>
      <c r="DN243" t="s">
        <v>13772</v>
      </c>
      <c r="DO243" t="s">
        <v>13869</v>
      </c>
      <c r="DP243" t="s">
        <v>13870</v>
      </c>
      <c r="DQ243" t="s">
        <v>13772</v>
      </c>
      <c r="DR243" t="s">
        <v>13871</v>
      </c>
      <c r="DS243" t="s">
        <v>13872</v>
      </c>
      <c r="DT243" t="s">
        <v>13873</v>
      </c>
      <c r="DU243" t="s">
        <v>13772</v>
      </c>
      <c r="DV243" t="s">
        <v>16461</v>
      </c>
      <c r="DW243" t="s">
        <v>13812</v>
      </c>
      <c r="DX243" t="s">
        <v>16462</v>
      </c>
      <c r="DY243" t="s">
        <v>16463</v>
      </c>
      <c r="DZ243" t="s">
        <v>16464</v>
      </c>
      <c r="EA243" t="s">
        <v>13772</v>
      </c>
      <c r="EB243" t="s">
        <v>16465</v>
      </c>
    </row>
    <row r="244" spans="1:132" hidden="1">
      <c r="A244">
        <v>1471</v>
      </c>
      <c r="B244">
        <v>1</v>
      </c>
      <c r="C244" t="s">
        <v>3498</v>
      </c>
      <c r="D244" t="s">
        <v>73</v>
      </c>
      <c r="E244" t="s">
        <v>73</v>
      </c>
      <c r="F244" t="s">
        <v>73</v>
      </c>
      <c r="G244" t="s">
        <v>73</v>
      </c>
      <c r="H244">
        <v>79.8</v>
      </c>
      <c r="I244">
        <v>501</v>
      </c>
      <c r="J244">
        <v>48513</v>
      </c>
      <c r="K244" t="s">
        <v>3499</v>
      </c>
      <c r="L244">
        <f t="shared" si="14"/>
        <v>173</v>
      </c>
      <c r="N244">
        <v>173</v>
      </c>
      <c r="O244">
        <v>173</v>
      </c>
      <c r="P244">
        <v>1</v>
      </c>
      <c r="Q244">
        <v>10</v>
      </c>
      <c r="R244">
        <v>10</v>
      </c>
      <c r="S244">
        <v>10</v>
      </c>
      <c r="T244">
        <v>13</v>
      </c>
      <c r="U244">
        <v>2</v>
      </c>
      <c r="V244">
        <v>10</v>
      </c>
      <c r="W244">
        <v>6</v>
      </c>
      <c r="X244">
        <v>6</v>
      </c>
      <c r="Y244">
        <v>10</v>
      </c>
      <c r="Z244">
        <v>0</v>
      </c>
      <c r="AA244">
        <v>26</v>
      </c>
      <c r="AB244">
        <v>15</v>
      </c>
      <c r="AC244">
        <v>10</v>
      </c>
      <c r="AD244">
        <v>0</v>
      </c>
      <c r="AE244">
        <v>5</v>
      </c>
      <c r="AF244">
        <v>22</v>
      </c>
      <c r="AG244">
        <v>5</v>
      </c>
      <c r="AH244">
        <v>4</v>
      </c>
      <c r="AI244">
        <v>9</v>
      </c>
      <c r="AJ244">
        <v>10</v>
      </c>
      <c r="AK244">
        <v>10</v>
      </c>
      <c r="AL244">
        <v>10</v>
      </c>
      <c r="AM244">
        <v>13</v>
      </c>
      <c r="AN244">
        <v>2</v>
      </c>
      <c r="AO244">
        <v>10</v>
      </c>
      <c r="AP244">
        <v>6</v>
      </c>
      <c r="AQ244">
        <v>6</v>
      </c>
      <c r="AR244">
        <v>10</v>
      </c>
      <c r="AS244">
        <v>0</v>
      </c>
      <c r="AT244">
        <v>26</v>
      </c>
      <c r="AU244">
        <v>15</v>
      </c>
      <c r="AV244">
        <v>10</v>
      </c>
      <c r="AW244">
        <v>0</v>
      </c>
      <c r="AX244">
        <v>5</v>
      </c>
      <c r="AY244">
        <v>22</v>
      </c>
      <c r="AZ244">
        <v>5</v>
      </c>
      <c r="BA244">
        <v>4</v>
      </c>
      <c r="BB244">
        <v>9</v>
      </c>
      <c r="BC244" s="2">
        <v>10</v>
      </c>
      <c r="BD244" s="2">
        <v>10</v>
      </c>
      <c r="BE244" s="2">
        <v>10</v>
      </c>
      <c r="BF244" s="2">
        <v>13</v>
      </c>
      <c r="BG244" s="2">
        <v>2</v>
      </c>
      <c r="BH244" s="2">
        <v>10</v>
      </c>
      <c r="BI244" s="2">
        <v>6</v>
      </c>
      <c r="BJ244" s="2">
        <v>6</v>
      </c>
      <c r="BK244" s="2">
        <v>10</v>
      </c>
      <c r="BL244" s="2">
        <v>0</v>
      </c>
      <c r="BM244" s="2">
        <v>26</v>
      </c>
      <c r="BN244" s="2">
        <v>15</v>
      </c>
      <c r="BO244" s="2">
        <v>10</v>
      </c>
      <c r="BP244" s="2">
        <v>0</v>
      </c>
      <c r="BQ244" s="2">
        <v>5</v>
      </c>
      <c r="BR244" s="2">
        <v>22</v>
      </c>
      <c r="BS244" s="2">
        <v>5</v>
      </c>
      <c r="BT244" s="2">
        <v>4</v>
      </c>
      <c r="BU244" s="2">
        <v>9</v>
      </c>
      <c r="BV244" s="2">
        <f t="shared" si="17"/>
        <v>173</v>
      </c>
      <c r="BW244" s="16">
        <f t="shared" si="15"/>
        <v>9.1052631578947363</v>
      </c>
      <c r="BX244" s="16">
        <f>COUNTIF($BC$6:BU244, "=0") / COUNTIF($BC$6:BU244, "&gt;-1")</f>
        <v>5.5494384496806874E-2</v>
      </c>
      <c r="BY244" s="18">
        <f>SUM($BC$6:BU244) / $BY$4</f>
        <v>0.72258089446895191</v>
      </c>
      <c r="BZ244" s="14">
        <f t="shared" si="16"/>
        <v>2</v>
      </c>
      <c r="CA244" t="s">
        <v>5831</v>
      </c>
      <c r="CB244" s="36">
        <v>12.116433958347301</v>
      </c>
      <c r="CC244" s="36">
        <v>9.6306412067744702</v>
      </c>
      <c r="CD244" s="36">
        <v>16.007976618122601</v>
      </c>
      <c r="CE244" s="36">
        <v>19.654982868992001</v>
      </c>
      <c r="CF244" s="36">
        <v>1.72035271987378</v>
      </c>
      <c r="CG244" s="36">
        <v>9.2972724663949098</v>
      </c>
      <c r="CH244" s="36">
        <v>6.3243736971878404</v>
      </c>
      <c r="CI244" s="36">
        <v>5.8391015878938397</v>
      </c>
      <c r="CJ244" s="37">
        <v>7.9475829324495697</v>
      </c>
      <c r="CK244" s="37">
        <v>16.3968908190954</v>
      </c>
      <c r="CL244" s="37">
        <v>12.0008152240101</v>
      </c>
      <c r="CM244" s="37">
        <v>8.4654704659994096</v>
      </c>
      <c r="CN244" s="37">
        <v>4.5939628290755703</v>
      </c>
      <c r="CO244" s="37">
        <v>17.362192548472699</v>
      </c>
      <c r="CP244" s="37">
        <v>7.5427002393121096</v>
      </c>
      <c r="CQ244" s="37">
        <v>13.7037316182716</v>
      </c>
      <c r="CR244" s="45">
        <v>0.18956803943123099</v>
      </c>
      <c r="CS244" s="45">
        <v>1.0920971213734301</v>
      </c>
      <c r="CT244" s="46">
        <v>0.73136215445998898</v>
      </c>
      <c r="CU244" s="47">
        <v>0.795579319241842</v>
      </c>
      <c r="CV244" s="48">
        <v>10.0738918904483</v>
      </c>
      <c r="CW244" s="49">
        <v>11.0016683345858</v>
      </c>
      <c r="CX244" s="31" t="s">
        <v>5874</v>
      </c>
      <c r="CY244" s="31" t="s">
        <v>5832</v>
      </c>
      <c r="CZ244" t="s">
        <v>10632</v>
      </c>
      <c r="DA244" t="s">
        <v>5904</v>
      </c>
      <c r="DB244">
        <v>437.6</v>
      </c>
      <c r="DC244" t="s">
        <v>27929</v>
      </c>
      <c r="DD244" t="s">
        <v>27930</v>
      </c>
      <c r="DE244" t="s">
        <v>27931</v>
      </c>
      <c r="DF244" t="s">
        <v>27932</v>
      </c>
      <c r="DG244" t="s">
        <v>27933</v>
      </c>
      <c r="DH244" t="str">
        <f>"CDSN"</f>
        <v>CDSN</v>
      </c>
      <c r="DI244" t="s">
        <v>13772</v>
      </c>
      <c r="DJ244" t="s">
        <v>13777</v>
      </c>
      <c r="DK244">
        <v>9606</v>
      </c>
      <c r="DL244" s="34" t="str">
        <f>HYPERLINK("http://www.uniprot.org/uniprot/Q15517", "Q15517")</f>
        <v>Q15517</v>
      </c>
      <c r="DM244" t="s">
        <v>27934</v>
      </c>
      <c r="DN244" t="s">
        <v>13772</v>
      </c>
      <c r="DO244" t="s">
        <v>14321</v>
      </c>
      <c r="DP244" t="s">
        <v>13793</v>
      </c>
      <c r="DQ244" t="s">
        <v>13772</v>
      </c>
      <c r="DR244" t="s">
        <v>18310</v>
      </c>
      <c r="DS244" t="s">
        <v>13808</v>
      </c>
      <c r="DT244" t="s">
        <v>13772</v>
      </c>
      <c r="DU244" t="s">
        <v>13772</v>
      </c>
      <c r="DV244" t="s">
        <v>13858</v>
      </c>
      <c r="DW244" t="s">
        <v>13772</v>
      </c>
      <c r="DX244" t="s">
        <v>27935</v>
      </c>
      <c r="DY244" t="s">
        <v>27936</v>
      </c>
      <c r="DZ244" t="s">
        <v>20460</v>
      </c>
      <c r="EA244" t="s">
        <v>13772</v>
      </c>
      <c r="EB244" t="s">
        <v>16024</v>
      </c>
    </row>
    <row r="245" spans="1:132" hidden="1">
      <c r="A245">
        <v>1974</v>
      </c>
      <c r="B245">
        <v>1</v>
      </c>
      <c r="C245" t="s">
        <v>4650</v>
      </c>
      <c r="D245" t="s">
        <v>73</v>
      </c>
      <c r="E245" t="s">
        <v>73</v>
      </c>
      <c r="F245" t="s">
        <v>964</v>
      </c>
      <c r="G245" t="s">
        <v>73</v>
      </c>
      <c r="H245">
        <v>49.5</v>
      </c>
      <c r="I245">
        <v>501</v>
      </c>
      <c r="J245">
        <v>54936</v>
      </c>
      <c r="K245" t="s">
        <v>4651</v>
      </c>
      <c r="L245">
        <f t="shared" si="14"/>
        <v>174</v>
      </c>
      <c r="N245">
        <v>174</v>
      </c>
      <c r="O245">
        <v>155</v>
      </c>
      <c r="P245">
        <v>0.89100000000000001</v>
      </c>
      <c r="Q245">
        <v>0</v>
      </c>
      <c r="R245">
        <v>4</v>
      </c>
      <c r="S245">
        <v>0</v>
      </c>
      <c r="T245">
        <v>0</v>
      </c>
      <c r="U245">
        <v>2</v>
      </c>
      <c r="V245">
        <v>0</v>
      </c>
      <c r="W245">
        <v>3</v>
      </c>
      <c r="X245">
        <v>4</v>
      </c>
      <c r="Y245">
        <v>41</v>
      </c>
      <c r="Z245">
        <v>4</v>
      </c>
      <c r="AA245">
        <v>25</v>
      </c>
      <c r="AB245">
        <v>22</v>
      </c>
      <c r="AC245">
        <v>26</v>
      </c>
      <c r="AD245">
        <v>7</v>
      </c>
      <c r="AE245">
        <v>14</v>
      </c>
      <c r="AF245">
        <v>7</v>
      </c>
      <c r="AG245">
        <v>10</v>
      </c>
      <c r="AH245">
        <v>2</v>
      </c>
      <c r="AI245">
        <v>3</v>
      </c>
      <c r="AJ245">
        <v>0</v>
      </c>
      <c r="AK245">
        <v>4</v>
      </c>
      <c r="AL245">
        <v>0</v>
      </c>
      <c r="AM245">
        <v>0</v>
      </c>
      <c r="AN245">
        <v>1</v>
      </c>
      <c r="AO245">
        <v>0</v>
      </c>
      <c r="AP245">
        <v>3</v>
      </c>
      <c r="AQ245">
        <v>3</v>
      </c>
      <c r="AR245">
        <v>36</v>
      </c>
      <c r="AS245">
        <v>4</v>
      </c>
      <c r="AT245">
        <v>21</v>
      </c>
      <c r="AU245">
        <v>20</v>
      </c>
      <c r="AV245">
        <v>23</v>
      </c>
      <c r="AW245">
        <v>6</v>
      </c>
      <c r="AX245">
        <v>13</v>
      </c>
      <c r="AY245">
        <v>7</v>
      </c>
      <c r="AZ245">
        <v>9</v>
      </c>
      <c r="BA245">
        <v>2</v>
      </c>
      <c r="BB245">
        <v>3</v>
      </c>
      <c r="BC245" s="2">
        <v>0</v>
      </c>
      <c r="BD245" s="2">
        <v>4</v>
      </c>
      <c r="BE245" s="2">
        <v>0</v>
      </c>
      <c r="BF245" s="2">
        <v>0</v>
      </c>
      <c r="BG245" s="2">
        <v>1.25</v>
      </c>
      <c r="BH245" s="2">
        <v>0</v>
      </c>
      <c r="BI245" s="2">
        <v>3</v>
      </c>
      <c r="BJ245" s="2">
        <v>4</v>
      </c>
      <c r="BK245" s="2">
        <v>40.865000000000002</v>
      </c>
      <c r="BL245" s="2">
        <v>4</v>
      </c>
      <c r="BM245" s="2">
        <v>24.652000000000001</v>
      </c>
      <c r="BN245" s="2">
        <v>21.818000000000001</v>
      </c>
      <c r="BO245" s="2">
        <v>25.654</v>
      </c>
      <c r="BP245" s="2">
        <v>7</v>
      </c>
      <c r="BQ245" s="2">
        <v>13.929</v>
      </c>
      <c r="BR245" s="2">
        <v>7</v>
      </c>
      <c r="BS245" s="2">
        <v>10</v>
      </c>
      <c r="BT245" s="2">
        <v>2</v>
      </c>
      <c r="BU245" s="2">
        <v>3</v>
      </c>
      <c r="BV245" s="2">
        <f t="shared" si="17"/>
        <v>172.16800000000001</v>
      </c>
      <c r="BW245" s="16">
        <f t="shared" si="15"/>
        <v>9.0614736842105259</v>
      </c>
      <c r="BX245" s="16">
        <f>COUNTIF($BC$6:BU245, "=0") / COUNTIF($BC$6:BU245, "&gt;-1")</f>
        <v>5.6140350877192984E-2</v>
      </c>
      <c r="BY245" s="18">
        <f>SUM($BC$6:BU245) / $BY$4</f>
        <v>0.72331839966136235</v>
      </c>
      <c r="BZ245" s="14">
        <f t="shared" si="16"/>
        <v>4</v>
      </c>
      <c r="CA245" t="s">
        <v>5831</v>
      </c>
      <c r="CB245" s="36">
        <v>0.30291084895868198</v>
      </c>
      <c r="CC245" s="36">
        <v>3.85225648270979</v>
      </c>
      <c r="CD245" s="36">
        <v>0.40019941545306398</v>
      </c>
      <c r="CE245" s="36">
        <v>0.37798043978830698</v>
      </c>
      <c r="CF245" s="36">
        <v>1.11822926791796</v>
      </c>
      <c r="CG245" s="36">
        <v>0.23243181165987301</v>
      </c>
      <c r="CH245" s="36">
        <v>3.1621868485939202</v>
      </c>
      <c r="CI245" s="36">
        <v>3.8927343919292201</v>
      </c>
      <c r="CJ245" s="37">
        <v>32.505614193718699</v>
      </c>
      <c r="CK245" s="37">
        <v>15.577046278140701</v>
      </c>
      <c r="CL245" s="37">
        <v>17.4411847922281</v>
      </c>
      <c r="CM245" s="37">
        <v>21.7562590976185</v>
      </c>
      <c r="CN245" s="37">
        <v>12.771216664830099</v>
      </c>
      <c r="CO245" s="37">
        <v>5.5243339926958699</v>
      </c>
      <c r="CP245" s="37">
        <v>15.0854004786242</v>
      </c>
      <c r="CQ245" s="37">
        <v>4.5679105394238499</v>
      </c>
      <c r="CR245" s="45">
        <v>3.07705112572273</v>
      </c>
      <c r="CS245" s="45">
        <v>9.3882320894987004</v>
      </c>
      <c r="CT245" s="46">
        <v>1.37812691104549E-8</v>
      </c>
      <c r="CU245" s="47">
        <v>1.2459012209316701E-7</v>
      </c>
      <c r="CV245" s="48">
        <v>1.66736618837635</v>
      </c>
      <c r="CW245" s="49">
        <v>15.65362075466</v>
      </c>
      <c r="CX245" s="31" t="s">
        <v>5874</v>
      </c>
      <c r="CY245" s="31" t="s">
        <v>5876</v>
      </c>
      <c r="CZ245" t="s">
        <v>12336</v>
      </c>
      <c r="DA245" t="s">
        <v>5904</v>
      </c>
      <c r="DB245">
        <v>981.1</v>
      </c>
      <c r="DC245" t="s">
        <v>32701</v>
      </c>
      <c r="DD245" t="s">
        <v>32702</v>
      </c>
      <c r="DE245" t="s">
        <v>32703</v>
      </c>
      <c r="DF245" t="s">
        <v>32704</v>
      </c>
      <c r="DG245" t="s">
        <v>32705</v>
      </c>
      <c r="DH245" t="str">
        <f>"ALDH1A1"</f>
        <v>ALDH1A1</v>
      </c>
      <c r="DI245" t="s">
        <v>13772</v>
      </c>
      <c r="DJ245" t="s">
        <v>13777</v>
      </c>
      <c r="DK245">
        <v>9606</v>
      </c>
      <c r="DL245" s="34" t="str">
        <f>HYPERLINK("http://www.uniprot.org/uniprot/P00352", "P00352")</f>
        <v>P00352</v>
      </c>
      <c r="DM245" t="s">
        <v>32706</v>
      </c>
      <c r="DN245" t="s">
        <v>13772</v>
      </c>
      <c r="DO245" t="s">
        <v>13899</v>
      </c>
      <c r="DP245" t="s">
        <v>13793</v>
      </c>
      <c r="DQ245" t="s">
        <v>13772</v>
      </c>
      <c r="DR245" t="s">
        <v>13772</v>
      </c>
      <c r="DS245" t="s">
        <v>13772</v>
      </c>
      <c r="DT245" t="s">
        <v>24496</v>
      </c>
      <c r="DU245" t="s">
        <v>13885</v>
      </c>
      <c r="DV245" t="s">
        <v>13886</v>
      </c>
      <c r="DW245" t="s">
        <v>13812</v>
      </c>
      <c r="DX245" t="s">
        <v>32707</v>
      </c>
      <c r="DY245" t="s">
        <v>14194</v>
      </c>
      <c r="DZ245" t="s">
        <v>32708</v>
      </c>
      <c r="EA245" t="s">
        <v>15763</v>
      </c>
      <c r="EB245" t="s">
        <v>32709</v>
      </c>
    </row>
    <row r="246" spans="1:132" hidden="1">
      <c r="A246">
        <v>1328</v>
      </c>
      <c r="B246">
        <v>1</v>
      </c>
      <c r="C246" t="s">
        <v>3185</v>
      </c>
      <c r="D246" t="s">
        <v>73</v>
      </c>
      <c r="E246" t="s">
        <v>73</v>
      </c>
      <c r="F246" t="s">
        <v>73</v>
      </c>
      <c r="G246" t="s">
        <v>73</v>
      </c>
      <c r="H246">
        <v>31</v>
      </c>
      <c r="I246">
        <v>945</v>
      </c>
      <c r="J246">
        <v>108857</v>
      </c>
      <c r="K246" t="s">
        <v>3186</v>
      </c>
      <c r="L246">
        <f t="shared" si="14"/>
        <v>170</v>
      </c>
      <c r="N246">
        <v>170</v>
      </c>
      <c r="O246">
        <v>170</v>
      </c>
      <c r="P246">
        <v>1</v>
      </c>
      <c r="Q246">
        <v>14</v>
      </c>
      <c r="R246">
        <v>29</v>
      </c>
      <c r="S246">
        <v>1</v>
      </c>
      <c r="T246">
        <v>15</v>
      </c>
      <c r="U246">
        <v>29</v>
      </c>
      <c r="V246">
        <v>26</v>
      </c>
      <c r="W246">
        <v>21</v>
      </c>
      <c r="X246">
        <v>11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3</v>
      </c>
      <c r="AG246">
        <v>16</v>
      </c>
      <c r="AH246">
        <v>0</v>
      </c>
      <c r="AI246">
        <v>3</v>
      </c>
      <c r="AJ246">
        <v>14</v>
      </c>
      <c r="AK246">
        <v>29</v>
      </c>
      <c r="AL246">
        <v>1</v>
      </c>
      <c r="AM246">
        <v>15</v>
      </c>
      <c r="AN246">
        <v>29</v>
      </c>
      <c r="AO246">
        <v>26</v>
      </c>
      <c r="AP246">
        <v>21</v>
      </c>
      <c r="AQ246">
        <v>11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3</v>
      </c>
      <c r="AZ246">
        <v>16</v>
      </c>
      <c r="BA246">
        <v>0</v>
      </c>
      <c r="BB246">
        <v>3</v>
      </c>
      <c r="BC246" s="2">
        <v>14</v>
      </c>
      <c r="BD246" s="2">
        <v>29</v>
      </c>
      <c r="BE246" s="2">
        <v>1</v>
      </c>
      <c r="BF246" s="2">
        <v>15</v>
      </c>
      <c r="BG246" s="2">
        <v>29</v>
      </c>
      <c r="BH246" s="2">
        <v>26</v>
      </c>
      <c r="BI246" s="2">
        <v>21</v>
      </c>
      <c r="BJ246" s="2">
        <v>11</v>
      </c>
      <c r="BK246" s="2">
        <v>0</v>
      </c>
      <c r="BL246" s="2">
        <v>0</v>
      </c>
      <c r="BM246" s="2">
        <v>1</v>
      </c>
      <c r="BN246" s="2">
        <v>0</v>
      </c>
      <c r="BO246" s="2">
        <v>1</v>
      </c>
      <c r="BP246" s="2">
        <v>0</v>
      </c>
      <c r="BQ246" s="2">
        <v>0</v>
      </c>
      <c r="BR246" s="2">
        <v>3</v>
      </c>
      <c r="BS246" s="2">
        <v>16</v>
      </c>
      <c r="BT246" s="2">
        <v>0</v>
      </c>
      <c r="BU246" s="2">
        <v>3</v>
      </c>
      <c r="BV246" s="2">
        <f t="shared" si="17"/>
        <v>170</v>
      </c>
      <c r="BW246" s="16">
        <f t="shared" si="15"/>
        <v>8.9473684210526319</v>
      </c>
      <c r="BX246" s="16">
        <f>COUNTIF($BC$6:BU246, "=0") / COUNTIF($BC$6:BU246, "&gt;-1")</f>
        <v>5.7217733129504261E-2</v>
      </c>
      <c r="BY246" s="18">
        <f>SUM($BC$6:BU246) / $BY$4</f>
        <v>0.72404661792904146</v>
      </c>
      <c r="BZ246" s="14">
        <f t="shared" si="16"/>
        <v>6</v>
      </c>
      <c r="CA246" t="s">
        <v>5831</v>
      </c>
      <c r="CB246" s="36">
        <v>16.963007541686199</v>
      </c>
      <c r="CC246" s="36">
        <v>27.928859499645998</v>
      </c>
      <c r="CD246" s="36">
        <v>1.6007976618122599</v>
      </c>
      <c r="CE246" s="36">
        <v>22.6788263872984</v>
      </c>
      <c r="CF246" s="36">
        <v>24.945114438169899</v>
      </c>
      <c r="CG246" s="36">
        <v>24.1729084126268</v>
      </c>
      <c r="CH246" s="36">
        <v>22.135307940157499</v>
      </c>
      <c r="CI246" s="36">
        <v>10.7050195778054</v>
      </c>
      <c r="CJ246" s="37">
        <v>0.19868957331123899</v>
      </c>
      <c r="CK246" s="37">
        <v>0.63064964688828595</v>
      </c>
      <c r="CL246" s="37">
        <v>0.200013587066836</v>
      </c>
      <c r="CM246" s="37">
        <v>0.84654704659994096</v>
      </c>
      <c r="CN246" s="37">
        <v>0.22969814145377901</v>
      </c>
      <c r="CO246" s="37">
        <v>2.36757171115537</v>
      </c>
      <c r="CP246" s="37">
        <v>24.136640765798798</v>
      </c>
      <c r="CQ246" s="37">
        <v>4.5679105394238499</v>
      </c>
      <c r="CR246" s="45">
        <v>-2.2974112636999999</v>
      </c>
      <c r="CS246" s="45">
        <v>-4.5551604164106303</v>
      </c>
      <c r="CT246" s="46">
        <v>3.6991800296078299E-3</v>
      </c>
      <c r="CU246" s="47">
        <v>7.36533166609416E-3</v>
      </c>
      <c r="CV246" s="48">
        <v>18.891230182400299</v>
      </c>
      <c r="CW246" s="49">
        <v>4.1472151264622603</v>
      </c>
      <c r="CX246" s="31" t="s">
        <v>5875</v>
      </c>
      <c r="CY246" s="31" t="s">
        <v>5876</v>
      </c>
      <c r="CZ246" t="s">
        <v>10172</v>
      </c>
      <c r="DA246" t="s">
        <v>5904</v>
      </c>
      <c r="DB246">
        <v>1656.3</v>
      </c>
      <c r="DC246" t="s">
        <v>26628</v>
      </c>
      <c r="DD246" t="s">
        <v>26629</v>
      </c>
      <c r="DE246" t="s">
        <v>26630</v>
      </c>
      <c r="DF246" t="s">
        <v>26631</v>
      </c>
      <c r="DG246" t="s">
        <v>26632</v>
      </c>
      <c r="DH246" t="str">
        <f>"ENPEP"</f>
        <v>ENPEP</v>
      </c>
      <c r="DI246" t="s">
        <v>13772</v>
      </c>
      <c r="DJ246" t="s">
        <v>13777</v>
      </c>
      <c r="DK246">
        <v>9606</v>
      </c>
      <c r="DL246" s="34" t="str">
        <f>HYPERLINK("http://www.uniprot.org/uniprot/Q07075", "Q07075")</f>
        <v>Q07075</v>
      </c>
      <c r="DM246" t="s">
        <v>26633</v>
      </c>
      <c r="DN246" t="s">
        <v>13772</v>
      </c>
      <c r="DO246" t="s">
        <v>13792</v>
      </c>
      <c r="DP246" t="s">
        <v>13793</v>
      </c>
      <c r="DQ246" t="s">
        <v>13772</v>
      </c>
      <c r="DR246" t="s">
        <v>13772</v>
      </c>
      <c r="DS246" t="s">
        <v>14417</v>
      </c>
      <c r="DT246" t="s">
        <v>14628</v>
      </c>
      <c r="DU246" t="s">
        <v>19025</v>
      </c>
      <c r="DV246" t="s">
        <v>13796</v>
      </c>
      <c r="DW246" t="s">
        <v>13812</v>
      </c>
      <c r="DX246" t="s">
        <v>26634</v>
      </c>
      <c r="DY246" t="s">
        <v>26635</v>
      </c>
      <c r="DZ246" t="s">
        <v>26636</v>
      </c>
      <c r="EA246" t="s">
        <v>13772</v>
      </c>
      <c r="EB246" t="s">
        <v>21168</v>
      </c>
    </row>
    <row r="247" spans="1:132" hidden="1">
      <c r="A247">
        <v>2092</v>
      </c>
      <c r="B247">
        <v>1</v>
      </c>
      <c r="C247" t="s">
        <v>4912</v>
      </c>
      <c r="D247" t="s">
        <v>73</v>
      </c>
      <c r="E247" t="s">
        <v>73</v>
      </c>
      <c r="F247" t="s">
        <v>73</v>
      </c>
      <c r="G247" t="s">
        <v>73</v>
      </c>
      <c r="H247">
        <v>89.8</v>
      </c>
      <c r="I247">
        <v>206</v>
      </c>
      <c r="J247">
        <v>22081</v>
      </c>
      <c r="K247" t="s">
        <v>4913</v>
      </c>
      <c r="L247">
        <f t="shared" si="14"/>
        <v>170</v>
      </c>
      <c r="N247">
        <v>170</v>
      </c>
      <c r="O247">
        <v>170</v>
      </c>
      <c r="P247">
        <v>1</v>
      </c>
      <c r="Q247">
        <v>6</v>
      </c>
      <c r="R247">
        <v>1</v>
      </c>
      <c r="S247">
        <v>1</v>
      </c>
      <c r="T247">
        <v>0</v>
      </c>
      <c r="U247">
        <v>3</v>
      </c>
      <c r="V247">
        <v>5</v>
      </c>
      <c r="W247">
        <v>3</v>
      </c>
      <c r="X247">
        <v>17</v>
      </c>
      <c r="Y247">
        <v>27</v>
      </c>
      <c r="Z247">
        <v>0</v>
      </c>
      <c r="AA247">
        <v>37</v>
      </c>
      <c r="AB247">
        <v>5</v>
      </c>
      <c r="AC247">
        <v>23</v>
      </c>
      <c r="AD247">
        <v>0</v>
      </c>
      <c r="AE247">
        <v>21</v>
      </c>
      <c r="AF247">
        <v>14</v>
      </c>
      <c r="AG247">
        <v>1</v>
      </c>
      <c r="AH247">
        <v>2</v>
      </c>
      <c r="AI247">
        <v>4</v>
      </c>
      <c r="AJ247">
        <v>6</v>
      </c>
      <c r="AK247">
        <v>1</v>
      </c>
      <c r="AL247">
        <v>1</v>
      </c>
      <c r="AM247">
        <v>0</v>
      </c>
      <c r="AN247">
        <v>3</v>
      </c>
      <c r="AO247">
        <v>5</v>
      </c>
      <c r="AP247">
        <v>3</v>
      </c>
      <c r="AQ247">
        <v>17</v>
      </c>
      <c r="AR247">
        <v>27</v>
      </c>
      <c r="AS247">
        <v>0</v>
      </c>
      <c r="AT247">
        <v>37</v>
      </c>
      <c r="AU247">
        <v>5</v>
      </c>
      <c r="AV247">
        <v>23</v>
      </c>
      <c r="AW247">
        <v>0</v>
      </c>
      <c r="AX247">
        <v>21</v>
      </c>
      <c r="AY247">
        <v>14</v>
      </c>
      <c r="AZ247">
        <v>1</v>
      </c>
      <c r="BA247">
        <v>2</v>
      </c>
      <c r="BB247">
        <v>4</v>
      </c>
      <c r="BC247" s="2">
        <v>6</v>
      </c>
      <c r="BD247" s="2">
        <v>1</v>
      </c>
      <c r="BE247" s="2">
        <v>1</v>
      </c>
      <c r="BF247" s="2">
        <v>0</v>
      </c>
      <c r="BG247" s="2">
        <v>3</v>
      </c>
      <c r="BH247" s="2">
        <v>5</v>
      </c>
      <c r="BI247" s="2">
        <v>3</v>
      </c>
      <c r="BJ247" s="2">
        <v>17</v>
      </c>
      <c r="BK247" s="2">
        <v>27</v>
      </c>
      <c r="BL247" s="2">
        <v>0</v>
      </c>
      <c r="BM247" s="2">
        <v>37</v>
      </c>
      <c r="BN247" s="2">
        <v>5</v>
      </c>
      <c r="BO247" s="2">
        <v>23</v>
      </c>
      <c r="BP247" s="2">
        <v>0</v>
      </c>
      <c r="BQ247" s="2">
        <v>21</v>
      </c>
      <c r="BR247" s="2">
        <v>14</v>
      </c>
      <c r="BS247" s="2">
        <v>1</v>
      </c>
      <c r="BT247" s="2">
        <v>2</v>
      </c>
      <c r="BU247" s="2">
        <v>4</v>
      </c>
      <c r="BV247" s="2">
        <f t="shared" si="17"/>
        <v>170</v>
      </c>
      <c r="BW247" s="16">
        <f t="shared" si="15"/>
        <v>8.9473684210526319</v>
      </c>
      <c r="BX247" s="16">
        <f>COUNTIF($BC$6:BU247, "=0") / COUNTIF($BC$6:BU247, "&gt;-1")</f>
        <v>5.7633753806002608E-2</v>
      </c>
      <c r="BY247" s="18">
        <f>SUM($BC$6:BU247) / $BY$4</f>
        <v>0.72477483619672056</v>
      </c>
      <c r="BZ247" s="14">
        <f t="shared" si="16"/>
        <v>3</v>
      </c>
      <c r="CA247" t="s">
        <v>5831</v>
      </c>
      <c r="CB247" s="36">
        <v>7.2698603750083803</v>
      </c>
      <c r="CC247" s="36">
        <v>0.96306412067744696</v>
      </c>
      <c r="CD247" s="36">
        <v>1.6007976618122599</v>
      </c>
      <c r="CE247" s="36">
        <v>0.37798043978830698</v>
      </c>
      <c r="CF247" s="36">
        <v>2.5805290798106801</v>
      </c>
      <c r="CG247" s="36">
        <v>4.6486362331974602</v>
      </c>
      <c r="CH247" s="36">
        <v>3.1621868485939202</v>
      </c>
      <c r="CI247" s="36">
        <v>16.544121165699199</v>
      </c>
      <c r="CJ247" s="37">
        <v>21.458473917613802</v>
      </c>
      <c r="CK247" s="37">
        <v>23.334036934866599</v>
      </c>
      <c r="CL247" s="37">
        <v>4.0002717413367099</v>
      </c>
      <c r="CM247" s="37">
        <v>19.470582071798599</v>
      </c>
      <c r="CN247" s="37">
        <v>19.294643882117398</v>
      </c>
      <c r="CO247" s="37">
        <v>11.048667985391701</v>
      </c>
      <c r="CP247" s="37">
        <v>1.50854004786242</v>
      </c>
      <c r="CQ247" s="37">
        <v>6.0905473858984696</v>
      </c>
      <c r="CR247" s="45">
        <v>1.48215188762684</v>
      </c>
      <c r="CS247" s="45">
        <v>2.8590535168136002</v>
      </c>
      <c r="CT247" s="46">
        <v>1.25079016465863E-2</v>
      </c>
      <c r="CU247" s="47">
        <v>2.25546797885883E-2</v>
      </c>
      <c r="CV247" s="48">
        <v>4.6433969905734598</v>
      </c>
      <c r="CW247" s="49">
        <v>13.2757204958607</v>
      </c>
      <c r="CX247" s="31" t="s">
        <v>5874</v>
      </c>
      <c r="CY247" s="31" t="s">
        <v>5878</v>
      </c>
      <c r="CZ247" t="s">
        <v>12726</v>
      </c>
      <c r="DA247" t="s">
        <v>5904</v>
      </c>
      <c r="DB247">
        <v>397.9</v>
      </c>
      <c r="DC247" t="s">
        <v>33806</v>
      </c>
      <c r="DD247" t="s">
        <v>33807</v>
      </c>
      <c r="DE247" t="s">
        <v>33808</v>
      </c>
      <c r="DF247" t="s">
        <v>33809</v>
      </c>
      <c r="DG247" t="s">
        <v>33810</v>
      </c>
      <c r="DH247" t="str">
        <f>"BLVRB"</f>
        <v>BLVRB</v>
      </c>
      <c r="DI247" t="s">
        <v>33811</v>
      </c>
      <c r="DJ247" t="s">
        <v>13777</v>
      </c>
      <c r="DK247">
        <v>9606</v>
      </c>
      <c r="DL247" s="34" t="str">
        <f>HYPERLINK("http://www.uniprot.org/uniprot/P30043", "P30043")</f>
        <v>P30043</v>
      </c>
      <c r="DM247" t="s">
        <v>33812</v>
      </c>
      <c r="DN247" t="s">
        <v>13772</v>
      </c>
      <c r="DO247" t="s">
        <v>13899</v>
      </c>
      <c r="DP247" t="s">
        <v>13793</v>
      </c>
      <c r="DQ247" t="s">
        <v>13772</v>
      </c>
      <c r="DR247" t="s">
        <v>13772</v>
      </c>
      <c r="DS247" t="s">
        <v>13772</v>
      </c>
      <c r="DT247" t="s">
        <v>15759</v>
      </c>
      <c r="DU247" t="s">
        <v>13885</v>
      </c>
      <c r="DV247" t="s">
        <v>13782</v>
      </c>
      <c r="DW247" t="s">
        <v>13812</v>
      </c>
      <c r="DX247" t="s">
        <v>33813</v>
      </c>
      <c r="DY247" t="s">
        <v>33814</v>
      </c>
      <c r="DZ247" t="s">
        <v>33815</v>
      </c>
      <c r="EA247" t="s">
        <v>13772</v>
      </c>
      <c r="EB247" t="s">
        <v>17073</v>
      </c>
    </row>
    <row r="248" spans="1:132" hidden="1">
      <c r="A248">
        <v>775</v>
      </c>
      <c r="B248">
        <v>1</v>
      </c>
      <c r="C248" t="s">
        <v>1904</v>
      </c>
      <c r="D248" t="s">
        <v>73</v>
      </c>
      <c r="E248" t="s">
        <v>73</v>
      </c>
      <c r="F248" t="s">
        <v>1905</v>
      </c>
      <c r="G248" t="s">
        <v>73</v>
      </c>
      <c r="H248">
        <v>25.8</v>
      </c>
      <c r="I248">
        <v>1827</v>
      </c>
      <c r="J248">
        <v>210287</v>
      </c>
      <c r="K248" t="s">
        <v>1906</v>
      </c>
      <c r="L248">
        <f t="shared" si="14"/>
        <v>178</v>
      </c>
      <c r="N248">
        <v>178</v>
      </c>
      <c r="O248">
        <v>167</v>
      </c>
      <c r="P248">
        <v>0.93799999999999994</v>
      </c>
      <c r="Q248">
        <v>13</v>
      </c>
      <c r="R248">
        <v>10</v>
      </c>
      <c r="S248">
        <v>6</v>
      </c>
      <c r="T248">
        <v>14</v>
      </c>
      <c r="U248">
        <v>36</v>
      </c>
      <c r="V248">
        <v>31</v>
      </c>
      <c r="W248">
        <v>33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21</v>
      </c>
      <c r="AH248">
        <v>0</v>
      </c>
      <c r="AI248">
        <v>0</v>
      </c>
      <c r="AJ248">
        <v>13</v>
      </c>
      <c r="AK248">
        <v>9</v>
      </c>
      <c r="AL248">
        <v>5</v>
      </c>
      <c r="AM248">
        <v>13</v>
      </c>
      <c r="AN248">
        <v>32</v>
      </c>
      <c r="AO248">
        <v>30</v>
      </c>
      <c r="AP248">
        <v>32</v>
      </c>
      <c r="AQ248">
        <v>13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20</v>
      </c>
      <c r="BA248">
        <v>0</v>
      </c>
      <c r="BB248">
        <v>0</v>
      </c>
      <c r="BC248" s="2">
        <v>13</v>
      </c>
      <c r="BD248" s="2">
        <v>9.25</v>
      </c>
      <c r="BE248" s="2">
        <v>5.25</v>
      </c>
      <c r="BF248" s="2">
        <v>13.25</v>
      </c>
      <c r="BG248" s="2">
        <v>33.000999999999998</v>
      </c>
      <c r="BH248" s="2">
        <v>30.25</v>
      </c>
      <c r="BI248" s="2">
        <v>32.25</v>
      </c>
      <c r="BJ248" s="2">
        <v>13.25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20.25</v>
      </c>
      <c r="BT248" s="2">
        <v>0</v>
      </c>
      <c r="BU248" s="2">
        <v>0</v>
      </c>
      <c r="BV248" s="2">
        <f t="shared" si="17"/>
        <v>169.751</v>
      </c>
      <c r="BW248" s="16">
        <f t="shared" si="15"/>
        <v>8.9342631578947369</v>
      </c>
      <c r="BX248" s="16">
        <f>COUNTIF($BC$6:BU248, "=0") / COUNTIF($BC$6:BU248, "&gt;-1")</f>
        <v>5.956248646307126E-2</v>
      </c>
      <c r="BY248" s="18">
        <f>SUM($BC$6:BU248) / $BY$4</f>
        <v>0.72550198783881936</v>
      </c>
      <c r="BZ248" s="14">
        <f t="shared" si="16"/>
        <v>10</v>
      </c>
      <c r="CA248" t="s">
        <v>5831</v>
      </c>
      <c r="CB248" s="36">
        <v>15.7513641458515</v>
      </c>
      <c r="CC248" s="36">
        <v>8.9564963223002607</v>
      </c>
      <c r="CD248" s="36">
        <v>8.4842276076049696</v>
      </c>
      <c r="CE248" s="36">
        <v>20.108559396737999</v>
      </c>
      <c r="CF248" s="36">
        <v>28.385819877917399</v>
      </c>
      <c r="CG248" s="36">
        <v>28.1707355731766</v>
      </c>
      <c r="CH248" s="36">
        <v>34.046211736527901</v>
      </c>
      <c r="CI248" s="36">
        <v>12.9433418531647</v>
      </c>
      <c r="CJ248" s="37">
        <v>0.19868957331123899</v>
      </c>
      <c r="CK248" s="37">
        <v>0.15766241172207099</v>
      </c>
      <c r="CL248" s="37">
        <v>0.200013587066836</v>
      </c>
      <c r="CM248" s="37">
        <v>0.21163676164998499</v>
      </c>
      <c r="CN248" s="37">
        <v>0.22969814145377901</v>
      </c>
      <c r="CO248" s="37">
        <v>0.19729764259628099</v>
      </c>
      <c r="CP248" s="37">
        <v>30.6233629716072</v>
      </c>
      <c r="CQ248" s="37">
        <v>0.38065921161865401</v>
      </c>
      <c r="CR248" s="45">
        <v>-2.3697780080246802</v>
      </c>
      <c r="CS248" s="45">
        <v>-4.8711654903451604</v>
      </c>
      <c r="CT248" s="46">
        <v>1.28305243393282E-2</v>
      </c>
      <c r="CU248" s="47">
        <v>2.30742494166951E-2</v>
      </c>
      <c r="CV248" s="48">
        <v>19.605844564160201</v>
      </c>
      <c r="CW248" s="49">
        <v>4.0248775376282504</v>
      </c>
      <c r="CX248" s="31" t="s">
        <v>5875</v>
      </c>
      <c r="CY248" s="31" t="s">
        <v>5878</v>
      </c>
      <c r="CZ248" t="s">
        <v>8355</v>
      </c>
      <c r="DA248" t="s">
        <v>5904</v>
      </c>
      <c r="DB248">
        <v>3220.6</v>
      </c>
      <c r="DC248" t="s">
        <v>21421</v>
      </c>
      <c r="DD248" t="s">
        <v>13772</v>
      </c>
      <c r="DE248" t="s">
        <v>21422</v>
      </c>
      <c r="DF248" t="s">
        <v>21423</v>
      </c>
      <c r="DG248" t="s">
        <v>21424</v>
      </c>
      <c r="DH248" t="str">
        <f>"SI"</f>
        <v>SI</v>
      </c>
      <c r="DI248" t="s">
        <v>13772</v>
      </c>
      <c r="DJ248" t="s">
        <v>13777</v>
      </c>
      <c r="DK248">
        <v>9606</v>
      </c>
      <c r="DL248" s="34" t="str">
        <f>HYPERLINK("http://www.uniprot.org/uniprot/P14410", "P14410")</f>
        <v>P14410</v>
      </c>
      <c r="DM248" t="s">
        <v>21425</v>
      </c>
      <c r="DN248" t="s">
        <v>13772</v>
      </c>
      <c r="DO248" t="s">
        <v>13792</v>
      </c>
      <c r="DP248" t="s">
        <v>13793</v>
      </c>
      <c r="DQ248" t="s">
        <v>13772</v>
      </c>
      <c r="DR248" t="s">
        <v>13807</v>
      </c>
      <c r="DS248" t="s">
        <v>17249</v>
      </c>
      <c r="DT248" t="s">
        <v>13772</v>
      </c>
      <c r="DU248" t="s">
        <v>17250</v>
      </c>
      <c r="DV248" t="s">
        <v>14159</v>
      </c>
      <c r="DW248" t="s">
        <v>13812</v>
      </c>
      <c r="DX248" t="s">
        <v>21426</v>
      </c>
      <c r="DY248" t="s">
        <v>21427</v>
      </c>
      <c r="DZ248" t="s">
        <v>21428</v>
      </c>
      <c r="EA248" t="s">
        <v>13772</v>
      </c>
      <c r="EB248" t="s">
        <v>21429</v>
      </c>
    </row>
    <row r="249" spans="1:132" hidden="1">
      <c r="A249">
        <v>2197</v>
      </c>
      <c r="B249">
        <v>1</v>
      </c>
      <c r="C249" t="s">
        <v>5137</v>
      </c>
      <c r="D249" t="s">
        <v>73</v>
      </c>
      <c r="E249" t="s">
        <v>73</v>
      </c>
      <c r="F249" t="s">
        <v>73</v>
      </c>
      <c r="G249" t="s">
        <v>73</v>
      </c>
      <c r="H249">
        <v>58.9</v>
      </c>
      <c r="I249">
        <v>304</v>
      </c>
      <c r="J249">
        <v>33763</v>
      </c>
      <c r="K249" t="s">
        <v>5138</v>
      </c>
      <c r="L249">
        <f t="shared" si="14"/>
        <v>169</v>
      </c>
      <c r="N249">
        <v>169</v>
      </c>
      <c r="O249">
        <v>169</v>
      </c>
      <c r="P249">
        <v>1</v>
      </c>
      <c r="Q249">
        <v>13</v>
      </c>
      <c r="R249">
        <v>5</v>
      </c>
      <c r="S249">
        <v>3</v>
      </c>
      <c r="T249">
        <v>4</v>
      </c>
      <c r="U249">
        <v>5</v>
      </c>
      <c r="V249">
        <v>4</v>
      </c>
      <c r="W249">
        <v>6</v>
      </c>
      <c r="X249">
        <v>14</v>
      </c>
      <c r="Y249">
        <v>8</v>
      </c>
      <c r="Z249">
        <v>0</v>
      </c>
      <c r="AA249">
        <v>27</v>
      </c>
      <c r="AB249">
        <v>18</v>
      </c>
      <c r="AC249">
        <v>14</v>
      </c>
      <c r="AD249">
        <v>0</v>
      </c>
      <c r="AE249">
        <v>10</v>
      </c>
      <c r="AF249">
        <v>23</v>
      </c>
      <c r="AG249">
        <v>3</v>
      </c>
      <c r="AH249">
        <v>6</v>
      </c>
      <c r="AI249">
        <v>6</v>
      </c>
      <c r="AJ249">
        <v>13</v>
      </c>
      <c r="AK249">
        <v>5</v>
      </c>
      <c r="AL249">
        <v>3</v>
      </c>
      <c r="AM249">
        <v>4</v>
      </c>
      <c r="AN249">
        <v>5</v>
      </c>
      <c r="AO249">
        <v>4</v>
      </c>
      <c r="AP249">
        <v>6</v>
      </c>
      <c r="AQ249">
        <v>14</v>
      </c>
      <c r="AR249">
        <v>8</v>
      </c>
      <c r="AS249">
        <v>0</v>
      </c>
      <c r="AT249">
        <v>27</v>
      </c>
      <c r="AU249">
        <v>18</v>
      </c>
      <c r="AV249">
        <v>14</v>
      </c>
      <c r="AW249">
        <v>0</v>
      </c>
      <c r="AX249">
        <v>10</v>
      </c>
      <c r="AY249">
        <v>23</v>
      </c>
      <c r="AZ249">
        <v>3</v>
      </c>
      <c r="BA249">
        <v>6</v>
      </c>
      <c r="BB249">
        <v>6</v>
      </c>
      <c r="BC249" s="2">
        <v>13</v>
      </c>
      <c r="BD249" s="2">
        <v>5</v>
      </c>
      <c r="BE249" s="2">
        <v>3</v>
      </c>
      <c r="BF249" s="2">
        <v>4</v>
      </c>
      <c r="BG249" s="2">
        <v>5</v>
      </c>
      <c r="BH249" s="2">
        <v>4</v>
      </c>
      <c r="BI249" s="2">
        <v>6</v>
      </c>
      <c r="BJ249" s="2">
        <v>14</v>
      </c>
      <c r="BK249" s="2">
        <v>8</v>
      </c>
      <c r="BL249" s="2">
        <v>0</v>
      </c>
      <c r="BM249" s="2">
        <v>27</v>
      </c>
      <c r="BN249" s="2">
        <v>18</v>
      </c>
      <c r="BO249" s="2">
        <v>14</v>
      </c>
      <c r="BP249" s="2">
        <v>0</v>
      </c>
      <c r="BQ249" s="2">
        <v>10</v>
      </c>
      <c r="BR249" s="2">
        <v>23</v>
      </c>
      <c r="BS249" s="2">
        <v>3</v>
      </c>
      <c r="BT249" s="2">
        <v>6</v>
      </c>
      <c r="BU249" s="2">
        <v>6</v>
      </c>
      <c r="BV249" s="2">
        <f t="shared" si="17"/>
        <v>169</v>
      </c>
      <c r="BW249" s="16">
        <f t="shared" si="15"/>
        <v>8.8947368421052637</v>
      </c>
      <c r="BX249" s="16">
        <f>COUNTIF($BC$6:BU249, "=0") / COUNTIF($BC$6:BU249, "&gt;-1")</f>
        <v>5.9749784296807593E-2</v>
      </c>
      <c r="BY249" s="18">
        <f>SUM($BC$6:BU249) / $BY$4</f>
        <v>0.72622592246962969</v>
      </c>
      <c r="BZ249" s="14">
        <f t="shared" si="16"/>
        <v>2</v>
      </c>
      <c r="CA249" t="s">
        <v>5831</v>
      </c>
      <c r="CB249" s="36">
        <v>15.7513641458515</v>
      </c>
      <c r="CC249" s="36">
        <v>4.8153206033872298</v>
      </c>
      <c r="CD249" s="36">
        <v>4.8023929854367697</v>
      </c>
      <c r="CE249" s="36">
        <v>6.0476870366129196</v>
      </c>
      <c r="CF249" s="36">
        <v>4.3008817996844604</v>
      </c>
      <c r="CG249" s="36">
        <v>3.7189089865579601</v>
      </c>
      <c r="CH249" s="36">
        <v>6.3243736971878404</v>
      </c>
      <c r="CI249" s="36">
        <v>13.6245703717523</v>
      </c>
      <c r="CJ249" s="37">
        <v>6.35806634595966</v>
      </c>
      <c r="CK249" s="37">
        <v>17.027540465983702</v>
      </c>
      <c r="CL249" s="37">
        <v>14.400978268812199</v>
      </c>
      <c r="CM249" s="37">
        <v>11.8516586523992</v>
      </c>
      <c r="CN249" s="37">
        <v>9.1879256581511406</v>
      </c>
      <c r="CO249" s="37">
        <v>18.1513831188579</v>
      </c>
      <c r="CP249" s="37">
        <v>4.5256201435872701</v>
      </c>
      <c r="CQ249" s="37">
        <v>9.1358210788476999</v>
      </c>
      <c r="CR249" s="45">
        <v>0.639826569875239</v>
      </c>
      <c r="CS249" s="45">
        <v>1.5262815721465499</v>
      </c>
      <c r="CT249" s="46">
        <v>0.131703855115262</v>
      </c>
      <c r="CU249" s="47">
        <v>0.18092377632876899</v>
      </c>
      <c r="CV249" s="48">
        <v>7.42318745330887</v>
      </c>
      <c r="CW249" s="49">
        <v>11.329874216574799</v>
      </c>
      <c r="CX249" s="31" t="s">
        <v>5874</v>
      </c>
      <c r="CY249" s="31" t="s">
        <v>5832</v>
      </c>
      <c r="CZ249" t="s">
        <v>13067</v>
      </c>
      <c r="DA249" t="s">
        <v>5904</v>
      </c>
      <c r="DB249">
        <v>520.4</v>
      </c>
      <c r="DC249" t="s">
        <v>34759</v>
      </c>
      <c r="DD249" t="s">
        <v>34760</v>
      </c>
      <c r="DE249" t="s">
        <v>34761</v>
      </c>
      <c r="DF249" t="s">
        <v>34762</v>
      </c>
      <c r="DG249" t="s">
        <v>34763</v>
      </c>
      <c r="DH249" t="str">
        <f>"CTSZ"</f>
        <v>CTSZ</v>
      </c>
      <c r="DI249" t="s">
        <v>13772</v>
      </c>
      <c r="DJ249" t="s">
        <v>13777</v>
      </c>
      <c r="DK249">
        <v>9606</v>
      </c>
      <c r="DL249" s="34" t="str">
        <f>HYPERLINK("http://www.uniprot.org/uniprot/Q9UBR2", "Q9UBR2")</f>
        <v>Q9UBR2</v>
      </c>
      <c r="DM249" t="s">
        <v>15517</v>
      </c>
      <c r="DN249" t="s">
        <v>13772</v>
      </c>
      <c r="DO249" t="s">
        <v>13806</v>
      </c>
      <c r="DP249" t="s">
        <v>13793</v>
      </c>
      <c r="DQ249" t="s">
        <v>13772</v>
      </c>
      <c r="DR249" t="s">
        <v>13772</v>
      </c>
      <c r="DS249" t="s">
        <v>13808</v>
      </c>
      <c r="DT249" t="s">
        <v>13772</v>
      </c>
      <c r="DU249" t="s">
        <v>14083</v>
      </c>
      <c r="DV249" t="s">
        <v>15472</v>
      </c>
      <c r="DW249" t="s">
        <v>13812</v>
      </c>
      <c r="DX249" t="s">
        <v>34764</v>
      </c>
      <c r="DY249" t="s">
        <v>34765</v>
      </c>
      <c r="DZ249" t="s">
        <v>34766</v>
      </c>
      <c r="EA249" t="s">
        <v>13772</v>
      </c>
      <c r="EB249" t="s">
        <v>34767</v>
      </c>
    </row>
    <row r="250" spans="1:132" hidden="1">
      <c r="A250">
        <v>2195</v>
      </c>
      <c r="B250">
        <v>1</v>
      </c>
      <c r="C250" t="s">
        <v>5132</v>
      </c>
      <c r="D250" t="s">
        <v>73</v>
      </c>
      <c r="E250" t="s">
        <v>73</v>
      </c>
      <c r="F250" t="s">
        <v>4877</v>
      </c>
      <c r="G250" t="s">
        <v>73</v>
      </c>
      <c r="H250">
        <v>36.1</v>
      </c>
      <c r="I250">
        <v>704</v>
      </c>
      <c r="J250">
        <v>78127</v>
      </c>
      <c r="K250" t="s">
        <v>5133</v>
      </c>
      <c r="L250">
        <f t="shared" si="14"/>
        <v>168</v>
      </c>
      <c r="N250">
        <v>168</v>
      </c>
      <c r="O250">
        <v>163</v>
      </c>
      <c r="P250">
        <v>0.97</v>
      </c>
      <c r="Q250">
        <v>9</v>
      </c>
      <c r="R250">
        <v>17</v>
      </c>
      <c r="S250">
        <v>12</v>
      </c>
      <c r="T250">
        <v>15</v>
      </c>
      <c r="U250">
        <v>15</v>
      </c>
      <c r="V250">
        <v>16</v>
      </c>
      <c r="W250">
        <v>9</v>
      </c>
      <c r="X250">
        <v>2</v>
      </c>
      <c r="Y250">
        <v>3</v>
      </c>
      <c r="Z250">
        <v>1</v>
      </c>
      <c r="AA250">
        <v>12</v>
      </c>
      <c r="AB250">
        <v>9</v>
      </c>
      <c r="AC250">
        <v>17</v>
      </c>
      <c r="AD250">
        <v>2</v>
      </c>
      <c r="AE250">
        <v>7</v>
      </c>
      <c r="AF250">
        <v>18</v>
      </c>
      <c r="AG250">
        <v>3</v>
      </c>
      <c r="AH250">
        <v>0</v>
      </c>
      <c r="AI250">
        <v>1</v>
      </c>
      <c r="AJ250">
        <v>9</v>
      </c>
      <c r="AK250">
        <v>16</v>
      </c>
      <c r="AL250">
        <v>11</v>
      </c>
      <c r="AM250">
        <v>15</v>
      </c>
      <c r="AN250">
        <v>14</v>
      </c>
      <c r="AO250">
        <v>15</v>
      </c>
      <c r="AP250">
        <v>9</v>
      </c>
      <c r="AQ250">
        <v>2</v>
      </c>
      <c r="AR250">
        <v>3</v>
      </c>
      <c r="AS250">
        <v>1</v>
      </c>
      <c r="AT250">
        <v>12</v>
      </c>
      <c r="AU250">
        <v>9</v>
      </c>
      <c r="AV250">
        <v>17</v>
      </c>
      <c r="AW250">
        <v>2</v>
      </c>
      <c r="AX250">
        <v>7</v>
      </c>
      <c r="AY250">
        <v>17</v>
      </c>
      <c r="AZ250">
        <v>3</v>
      </c>
      <c r="BA250">
        <v>0</v>
      </c>
      <c r="BB250">
        <v>1</v>
      </c>
      <c r="BC250" s="2">
        <v>9</v>
      </c>
      <c r="BD250" s="2">
        <v>17</v>
      </c>
      <c r="BE250" s="2">
        <v>12</v>
      </c>
      <c r="BF250" s="2">
        <v>15</v>
      </c>
      <c r="BG250" s="2">
        <v>15</v>
      </c>
      <c r="BH250" s="2">
        <v>15.938000000000001</v>
      </c>
      <c r="BI250" s="2">
        <v>9</v>
      </c>
      <c r="BJ250" s="2">
        <v>2</v>
      </c>
      <c r="BK250" s="2">
        <v>3</v>
      </c>
      <c r="BL250" s="2">
        <v>1</v>
      </c>
      <c r="BM250" s="2">
        <v>12</v>
      </c>
      <c r="BN250" s="2">
        <v>9</v>
      </c>
      <c r="BO250" s="2">
        <v>17</v>
      </c>
      <c r="BP250" s="2">
        <v>2</v>
      </c>
      <c r="BQ250" s="2">
        <v>7</v>
      </c>
      <c r="BR250" s="2">
        <v>17.773</v>
      </c>
      <c r="BS250" s="2">
        <v>3</v>
      </c>
      <c r="BT250" s="2">
        <v>0</v>
      </c>
      <c r="BU250" s="2">
        <v>1</v>
      </c>
      <c r="BV250" s="2">
        <f t="shared" si="17"/>
        <v>167.71099999999998</v>
      </c>
      <c r="BW250" s="16">
        <f t="shared" si="15"/>
        <v>8.8268947368421049</v>
      </c>
      <c r="BX250" s="16">
        <f>COUNTIF($BC$6:BU250, "=0") / COUNTIF($BC$6:BU250, "&gt;-1")</f>
        <v>5.972073039742213E-2</v>
      </c>
      <c r="BY250" s="18">
        <f>SUM($BC$6:BU250) / $BY$4</f>
        <v>0.72694433549251625</v>
      </c>
      <c r="BZ250" s="14">
        <f t="shared" si="16"/>
        <v>1</v>
      </c>
      <c r="CA250" t="s">
        <v>5831</v>
      </c>
      <c r="CB250" s="36">
        <v>10.9047905625126</v>
      </c>
      <c r="CC250" s="36">
        <v>16.372090051516601</v>
      </c>
      <c r="CD250" s="36">
        <v>19.2095719417471</v>
      </c>
      <c r="CE250" s="36">
        <v>22.6788263872984</v>
      </c>
      <c r="CF250" s="36">
        <v>12.9026453990534</v>
      </c>
      <c r="CG250" s="36">
        <v>14.782663221567899</v>
      </c>
      <c r="CH250" s="36">
        <v>9.4865605457817708</v>
      </c>
      <c r="CI250" s="36">
        <v>1.9463671959646101</v>
      </c>
      <c r="CJ250" s="37">
        <v>2.3842748797348698</v>
      </c>
      <c r="CK250" s="37">
        <v>7.5677957626594301</v>
      </c>
      <c r="CL250" s="37">
        <v>7.2004891344060802</v>
      </c>
      <c r="CM250" s="37">
        <v>14.391299792199</v>
      </c>
      <c r="CN250" s="37">
        <v>6.4315479607058004</v>
      </c>
      <c r="CO250" s="37">
        <v>14.0475921528552</v>
      </c>
      <c r="CP250" s="37">
        <v>4.5256201435872701</v>
      </c>
      <c r="CQ250" s="37">
        <v>1.5226368464746201</v>
      </c>
      <c r="CR250" s="45">
        <v>-0.82843420290049896</v>
      </c>
      <c r="CS250" s="45">
        <v>-1.8646662998166601</v>
      </c>
      <c r="CT250" s="46">
        <v>5.8622269260190402E-2</v>
      </c>
      <c r="CU250" s="47">
        <v>8.8729181301057405E-2</v>
      </c>
      <c r="CV250" s="48">
        <v>13.535439413180301</v>
      </c>
      <c r="CW250" s="49">
        <v>7.2589070840777898</v>
      </c>
      <c r="CX250" s="31" t="s">
        <v>5875</v>
      </c>
      <c r="CY250" s="31" t="s">
        <v>5877</v>
      </c>
      <c r="CZ250" t="s">
        <v>13060</v>
      </c>
      <c r="DA250" t="s">
        <v>5904</v>
      </c>
      <c r="DB250">
        <v>1121.3</v>
      </c>
      <c r="DC250" t="s">
        <v>34736</v>
      </c>
      <c r="DD250" t="s">
        <v>34737</v>
      </c>
      <c r="DE250" t="s">
        <v>34738</v>
      </c>
      <c r="DF250" t="s">
        <v>34739</v>
      </c>
      <c r="DG250" t="s">
        <v>34740</v>
      </c>
      <c r="DH250" t="str">
        <f>"MMP9"</f>
        <v>MMP9</v>
      </c>
      <c r="DI250" t="s">
        <v>34741</v>
      </c>
      <c r="DJ250" t="s">
        <v>13777</v>
      </c>
      <c r="DK250">
        <v>9606</v>
      </c>
      <c r="DL250" s="34" t="str">
        <f>HYPERLINK("http://www.uniprot.org/uniprot/P14780", "P14780")</f>
        <v>P14780</v>
      </c>
      <c r="DM250" t="s">
        <v>19755</v>
      </c>
      <c r="DN250" t="s">
        <v>19063</v>
      </c>
      <c r="DO250" t="s">
        <v>13869</v>
      </c>
      <c r="DP250" t="s">
        <v>13793</v>
      </c>
      <c r="DQ250" t="s">
        <v>13772</v>
      </c>
      <c r="DR250" t="s">
        <v>13772</v>
      </c>
      <c r="DS250" t="s">
        <v>14404</v>
      </c>
      <c r="DT250" t="s">
        <v>14628</v>
      </c>
      <c r="DU250" t="s">
        <v>15139</v>
      </c>
      <c r="DV250" t="s">
        <v>15472</v>
      </c>
      <c r="DW250" t="s">
        <v>13812</v>
      </c>
      <c r="DX250" t="s">
        <v>34742</v>
      </c>
      <c r="DY250" t="s">
        <v>34743</v>
      </c>
      <c r="DZ250" t="s">
        <v>34744</v>
      </c>
      <c r="EA250" t="s">
        <v>13772</v>
      </c>
      <c r="EB250" t="s">
        <v>34745</v>
      </c>
    </row>
    <row r="251" spans="1:132" hidden="1">
      <c r="A251">
        <v>395</v>
      </c>
      <c r="B251">
        <v>1</v>
      </c>
      <c r="C251" t="s">
        <v>988</v>
      </c>
      <c r="D251" t="s">
        <v>73</v>
      </c>
      <c r="E251" t="s">
        <v>73</v>
      </c>
      <c r="F251" t="s">
        <v>73</v>
      </c>
      <c r="G251" t="s">
        <v>73</v>
      </c>
      <c r="H251">
        <v>43.4</v>
      </c>
      <c r="I251">
        <v>553</v>
      </c>
      <c r="J251">
        <v>59753</v>
      </c>
      <c r="K251" t="s">
        <v>989</v>
      </c>
      <c r="L251">
        <f t="shared" si="14"/>
        <v>167</v>
      </c>
      <c r="N251">
        <v>167</v>
      </c>
      <c r="O251">
        <v>167</v>
      </c>
      <c r="P251">
        <v>1</v>
      </c>
      <c r="Q251">
        <v>7</v>
      </c>
      <c r="R251">
        <v>21</v>
      </c>
      <c r="S251">
        <v>2</v>
      </c>
      <c r="T251">
        <v>3</v>
      </c>
      <c r="U251">
        <v>15</v>
      </c>
      <c r="V251">
        <v>11</v>
      </c>
      <c r="W251">
        <v>5</v>
      </c>
      <c r="X251">
        <v>13</v>
      </c>
      <c r="Y251">
        <v>8</v>
      </c>
      <c r="Z251">
        <v>1</v>
      </c>
      <c r="AA251">
        <v>21</v>
      </c>
      <c r="AB251">
        <v>23</v>
      </c>
      <c r="AC251">
        <v>10</v>
      </c>
      <c r="AD251">
        <v>1</v>
      </c>
      <c r="AE251">
        <v>8</v>
      </c>
      <c r="AF251">
        <v>16</v>
      </c>
      <c r="AG251">
        <v>0</v>
      </c>
      <c r="AH251">
        <v>1</v>
      </c>
      <c r="AI251">
        <v>1</v>
      </c>
      <c r="AJ251">
        <v>7</v>
      </c>
      <c r="AK251">
        <v>21</v>
      </c>
      <c r="AL251">
        <v>2</v>
      </c>
      <c r="AM251">
        <v>3</v>
      </c>
      <c r="AN251">
        <v>15</v>
      </c>
      <c r="AO251">
        <v>11</v>
      </c>
      <c r="AP251">
        <v>5</v>
      </c>
      <c r="AQ251">
        <v>13</v>
      </c>
      <c r="AR251">
        <v>8</v>
      </c>
      <c r="AS251">
        <v>1</v>
      </c>
      <c r="AT251">
        <v>21</v>
      </c>
      <c r="AU251">
        <v>23</v>
      </c>
      <c r="AV251">
        <v>10</v>
      </c>
      <c r="AW251">
        <v>1</v>
      </c>
      <c r="AX251">
        <v>8</v>
      </c>
      <c r="AY251">
        <v>16</v>
      </c>
      <c r="AZ251">
        <v>0</v>
      </c>
      <c r="BA251">
        <v>1</v>
      </c>
      <c r="BB251">
        <v>1</v>
      </c>
      <c r="BC251" s="2">
        <v>7</v>
      </c>
      <c r="BD251" s="2">
        <v>21</v>
      </c>
      <c r="BE251" s="2">
        <v>2</v>
      </c>
      <c r="BF251" s="2">
        <v>3</v>
      </c>
      <c r="BG251" s="2">
        <v>15</v>
      </c>
      <c r="BH251" s="2">
        <v>11</v>
      </c>
      <c r="BI251" s="2">
        <v>5</v>
      </c>
      <c r="BJ251" s="2">
        <v>13</v>
      </c>
      <c r="BK251" s="2">
        <v>8</v>
      </c>
      <c r="BL251" s="2">
        <v>1</v>
      </c>
      <c r="BM251" s="2">
        <v>21</v>
      </c>
      <c r="BN251" s="2">
        <v>23</v>
      </c>
      <c r="BO251" s="2">
        <v>10</v>
      </c>
      <c r="BP251" s="2">
        <v>1</v>
      </c>
      <c r="BQ251" s="2">
        <v>8</v>
      </c>
      <c r="BR251" s="2">
        <v>16</v>
      </c>
      <c r="BS251" s="2">
        <v>0</v>
      </c>
      <c r="BT251" s="2">
        <v>1</v>
      </c>
      <c r="BU251" s="2">
        <v>1</v>
      </c>
      <c r="BV251" s="2">
        <f t="shared" si="17"/>
        <v>167</v>
      </c>
      <c r="BW251" s="16">
        <f t="shared" si="15"/>
        <v>8.7894736842105257</v>
      </c>
      <c r="BX251" s="16">
        <f>COUNTIF($BC$6:BU251, "=0") / COUNTIF($BC$6:BU251, "&gt;-1")</f>
        <v>5.9691912708600768E-2</v>
      </c>
      <c r="BY251" s="18">
        <f>SUM($BC$6:BU251) / $BY$4</f>
        <v>0.72765970284958925</v>
      </c>
      <c r="BZ251" s="14">
        <f t="shared" si="16"/>
        <v>1</v>
      </c>
      <c r="CA251" t="s">
        <v>5831</v>
      </c>
      <c r="CB251" s="36">
        <v>8.4815037708430996</v>
      </c>
      <c r="CC251" s="36">
        <v>20.224346534226399</v>
      </c>
      <c r="CD251" s="36">
        <v>3.2015953236245198</v>
      </c>
      <c r="CE251" s="36">
        <v>4.5357652774596904</v>
      </c>
      <c r="CF251" s="36">
        <v>12.9026453990534</v>
      </c>
      <c r="CG251" s="36">
        <v>10.226999713034401</v>
      </c>
      <c r="CH251" s="36">
        <v>5.2703114143232002</v>
      </c>
      <c r="CI251" s="36">
        <v>12.65138677377</v>
      </c>
      <c r="CJ251" s="37">
        <v>6.35806634595966</v>
      </c>
      <c r="CK251" s="37">
        <v>13.243642584653999</v>
      </c>
      <c r="CL251" s="37">
        <v>18.4012500101489</v>
      </c>
      <c r="CM251" s="37">
        <v>8.4654704659994096</v>
      </c>
      <c r="CN251" s="37">
        <v>7.3503405265209096</v>
      </c>
      <c r="CO251" s="37">
        <v>12.627049126161999</v>
      </c>
      <c r="CP251" s="37">
        <v>0.377135011965606</v>
      </c>
      <c r="CQ251" s="37">
        <v>1.5226368464746201</v>
      </c>
      <c r="CR251" s="45">
        <v>-0.153922373569708</v>
      </c>
      <c r="CS251" s="45">
        <v>-1.13386325534067</v>
      </c>
      <c r="CT251" s="46">
        <v>0.74462169607874695</v>
      </c>
      <c r="CU251" s="47">
        <v>0.80868817317643105</v>
      </c>
      <c r="CV251" s="48">
        <v>9.6868192757918301</v>
      </c>
      <c r="CW251" s="49">
        <v>8.5431988647356292</v>
      </c>
      <c r="CX251" s="31" t="s">
        <v>5875</v>
      </c>
      <c r="CY251" s="31" t="s">
        <v>5832</v>
      </c>
      <c r="CZ251" t="s">
        <v>7072</v>
      </c>
      <c r="DA251" t="s">
        <v>5904</v>
      </c>
      <c r="DB251">
        <v>1095.0999999999999</v>
      </c>
      <c r="DC251" t="s">
        <v>17562</v>
      </c>
      <c r="DD251" t="s">
        <v>17563</v>
      </c>
      <c r="DE251" t="s">
        <v>17564</v>
      </c>
      <c r="DF251" t="s">
        <v>17565</v>
      </c>
      <c r="DG251" t="s">
        <v>17566</v>
      </c>
      <c r="DH251" t="str">
        <f>"ATP5F1A"</f>
        <v>ATP5F1A</v>
      </c>
      <c r="DI251" t="s">
        <v>13772</v>
      </c>
      <c r="DJ251" t="s">
        <v>13777</v>
      </c>
      <c r="DK251">
        <v>9606</v>
      </c>
      <c r="DL251" s="34" t="str">
        <f>HYPERLINK("http://www.uniprot.org/uniprot/P25705", "P25705")</f>
        <v>P25705</v>
      </c>
      <c r="DM251" t="s">
        <v>17567</v>
      </c>
      <c r="DN251" t="s">
        <v>17568</v>
      </c>
      <c r="DO251" t="s">
        <v>17569</v>
      </c>
      <c r="DP251" t="s">
        <v>13780</v>
      </c>
      <c r="DQ251" t="s">
        <v>13772</v>
      </c>
      <c r="DR251" t="s">
        <v>14390</v>
      </c>
      <c r="DS251" t="s">
        <v>14391</v>
      </c>
      <c r="DT251" t="s">
        <v>14005</v>
      </c>
      <c r="DU251" t="s">
        <v>13772</v>
      </c>
      <c r="DV251" t="s">
        <v>17570</v>
      </c>
      <c r="DW251" t="s">
        <v>13772</v>
      </c>
      <c r="DX251" t="s">
        <v>17571</v>
      </c>
      <c r="DY251" t="s">
        <v>17572</v>
      </c>
      <c r="DZ251" t="s">
        <v>17573</v>
      </c>
      <c r="EA251" t="s">
        <v>13772</v>
      </c>
      <c r="EB251" t="s">
        <v>17574</v>
      </c>
    </row>
    <row r="252" spans="1:132" hidden="1">
      <c r="A252">
        <v>1296</v>
      </c>
      <c r="B252">
        <v>1</v>
      </c>
      <c r="C252" t="s">
        <v>3108</v>
      </c>
      <c r="D252" t="s">
        <v>73</v>
      </c>
      <c r="E252" t="s">
        <v>73</v>
      </c>
      <c r="F252" t="s">
        <v>73</v>
      </c>
      <c r="G252" t="s">
        <v>73</v>
      </c>
      <c r="H252">
        <v>66.5</v>
      </c>
      <c r="I252">
        <v>519</v>
      </c>
      <c r="J252">
        <v>56098</v>
      </c>
      <c r="K252" t="s">
        <v>3109</v>
      </c>
      <c r="L252">
        <f t="shared" si="14"/>
        <v>167</v>
      </c>
      <c r="N252">
        <v>167</v>
      </c>
      <c r="O252">
        <v>167</v>
      </c>
      <c r="P252">
        <v>1</v>
      </c>
      <c r="Q252">
        <v>2</v>
      </c>
      <c r="R252">
        <v>5</v>
      </c>
      <c r="S252">
        <v>3</v>
      </c>
      <c r="T252">
        <v>2</v>
      </c>
      <c r="U252">
        <v>12</v>
      </c>
      <c r="V252">
        <v>13</v>
      </c>
      <c r="W252">
        <v>5</v>
      </c>
      <c r="X252">
        <v>4</v>
      </c>
      <c r="Y252">
        <v>22</v>
      </c>
      <c r="Z252">
        <v>0</v>
      </c>
      <c r="AA252">
        <v>16</v>
      </c>
      <c r="AB252">
        <v>3</v>
      </c>
      <c r="AC252">
        <v>4</v>
      </c>
      <c r="AD252">
        <v>0</v>
      </c>
      <c r="AE252">
        <v>0</v>
      </c>
      <c r="AF252">
        <v>1</v>
      </c>
      <c r="AG252">
        <v>74</v>
      </c>
      <c r="AH252">
        <v>0</v>
      </c>
      <c r="AI252">
        <v>1</v>
      </c>
      <c r="AJ252">
        <v>2</v>
      </c>
      <c r="AK252">
        <v>5</v>
      </c>
      <c r="AL252">
        <v>3</v>
      </c>
      <c r="AM252">
        <v>2</v>
      </c>
      <c r="AN252">
        <v>12</v>
      </c>
      <c r="AO252">
        <v>13</v>
      </c>
      <c r="AP252">
        <v>5</v>
      </c>
      <c r="AQ252">
        <v>4</v>
      </c>
      <c r="AR252">
        <v>22</v>
      </c>
      <c r="AS252">
        <v>0</v>
      </c>
      <c r="AT252">
        <v>16</v>
      </c>
      <c r="AU252">
        <v>3</v>
      </c>
      <c r="AV252">
        <v>4</v>
      </c>
      <c r="AW252">
        <v>0</v>
      </c>
      <c r="AX252">
        <v>0</v>
      </c>
      <c r="AY252">
        <v>1</v>
      </c>
      <c r="AZ252">
        <v>74</v>
      </c>
      <c r="BA252">
        <v>0</v>
      </c>
      <c r="BB252">
        <v>1</v>
      </c>
      <c r="BC252" s="2">
        <v>2</v>
      </c>
      <c r="BD252" s="2">
        <v>5</v>
      </c>
      <c r="BE252" s="2">
        <v>3</v>
      </c>
      <c r="BF252" s="2">
        <v>2</v>
      </c>
      <c r="BG252" s="2">
        <v>12</v>
      </c>
      <c r="BH252" s="2">
        <v>13</v>
      </c>
      <c r="BI252" s="2">
        <v>5</v>
      </c>
      <c r="BJ252" s="2">
        <v>4</v>
      </c>
      <c r="BK252" s="2">
        <v>22</v>
      </c>
      <c r="BL252" s="2">
        <v>0</v>
      </c>
      <c r="BM252" s="2">
        <v>16</v>
      </c>
      <c r="BN252" s="2">
        <v>3</v>
      </c>
      <c r="BO252" s="2">
        <v>4</v>
      </c>
      <c r="BP252" s="2">
        <v>0</v>
      </c>
      <c r="BQ252" s="2">
        <v>0</v>
      </c>
      <c r="BR252" s="2">
        <v>1</v>
      </c>
      <c r="BS252" s="2">
        <v>74</v>
      </c>
      <c r="BT252" s="2">
        <v>0</v>
      </c>
      <c r="BU252" s="2">
        <v>1</v>
      </c>
      <c r="BV252" s="2">
        <f t="shared" si="17"/>
        <v>167</v>
      </c>
      <c r="BW252" s="16">
        <f t="shared" si="15"/>
        <v>8.7894736842105257</v>
      </c>
      <c r="BX252" s="16">
        <f>COUNTIF($BC$6:BU252, "=0") / COUNTIF($BC$6:BU252, "&gt;-1")</f>
        <v>6.0302578308118478E-2</v>
      </c>
      <c r="BY252" s="18">
        <f>SUM($BC$6:BU252) / $BY$4</f>
        <v>0.72837507020666226</v>
      </c>
      <c r="BZ252" s="14">
        <f t="shared" si="16"/>
        <v>4</v>
      </c>
      <c r="CA252" t="s">
        <v>5831</v>
      </c>
      <c r="CB252" s="36">
        <v>2.4232867916694598</v>
      </c>
      <c r="CC252" s="36">
        <v>4.8153206033872298</v>
      </c>
      <c r="CD252" s="36">
        <v>4.8023929854367697</v>
      </c>
      <c r="CE252" s="36">
        <v>3.0238435183064598</v>
      </c>
      <c r="CF252" s="36">
        <v>10.322116319242699</v>
      </c>
      <c r="CG252" s="36">
        <v>12.0864542063134</v>
      </c>
      <c r="CH252" s="36">
        <v>5.2703114143232002</v>
      </c>
      <c r="CI252" s="36">
        <v>3.8927343919292201</v>
      </c>
      <c r="CJ252" s="37">
        <v>17.484682451389101</v>
      </c>
      <c r="CK252" s="37">
        <v>10.0903943502126</v>
      </c>
      <c r="CL252" s="37">
        <v>2.4001630448020301</v>
      </c>
      <c r="CM252" s="37">
        <v>3.3861881863997598</v>
      </c>
      <c r="CN252" s="37">
        <v>0.22969814145377901</v>
      </c>
      <c r="CO252" s="37">
        <v>0.78919057038512497</v>
      </c>
      <c r="CP252" s="37">
        <v>111.631963541819</v>
      </c>
      <c r="CQ252" s="37">
        <v>1.5226368464746201</v>
      </c>
      <c r="CR252" s="45">
        <v>1.6044266381394201</v>
      </c>
      <c r="CS252" s="45">
        <v>3.1635101893112001</v>
      </c>
      <c r="CT252" s="46">
        <v>5.6436771443313799E-2</v>
      </c>
      <c r="CU252" s="47">
        <v>8.6005011607236698E-2</v>
      </c>
      <c r="CV252" s="48">
        <v>5.8295575288260597</v>
      </c>
      <c r="CW252" s="49">
        <v>18.441864641616998</v>
      </c>
      <c r="CX252" s="31" t="s">
        <v>5874</v>
      </c>
      <c r="CY252" s="31" t="s">
        <v>5877</v>
      </c>
      <c r="CZ252" t="s">
        <v>10062</v>
      </c>
      <c r="DA252" t="s">
        <v>5904</v>
      </c>
      <c r="DB252">
        <v>986.1</v>
      </c>
      <c r="DC252" t="s">
        <v>26309</v>
      </c>
      <c r="DD252" t="s">
        <v>26310</v>
      </c>
      <c r="DE252" t="s">
        <v>26311</v>
      </c>
      <c r="DF252" t="s">
        <v>26312</v>
      </c>
      <c r="DG252" t="s">
        <v>26313</v>
      </c>
      <c r="DH252" t="str">
        <f>"LAP3"</f>
        <v>LAP3</v>
      </c>
      <c r="DI252" t="s">
        <v>26314</v>
      </c>
      <c r="DJ252" t="s">
        <v>13777</v>
      </c>
      <c r="DK252">
        <v>9606</v>
      </c>
      <c r="DL252" s="34" t="str">
        <f>HYPERLINK("http://www.uniprot.org/uniprot/P28838", "P28838")</f>
        <v>P28838</v>
      </c>
      <c r="DM252" t="s">
        <v>26315</v>
      </c>
      <c r="DN252" t="s">
        <v>13772</v>
      </c>
      <c r="DO252" t="s">
        <v>13899</v>
      </c>
      <c r="DP252" t="s">
        <v>26316</v>
      </c>
      <c r="DQ252" t="s">
        <v>13772</v>
      </c>
      <c r="DR252" t="s">
        <v>13772</v>
      </c>
      <c r="DS252" t="s">
        <v>13772</v>
      </c>
      <c r="DT252" t="s">
        <v>26317</v>
      </c>
      <c r="DU252" t="s">
        <v>26318</v>
      </c>
      <c r="DV252" t="s">
        <v>13886</v>
      </c>
      <c r="DW252" t="s">
        <v>13772</v>
      </c>
      <c r="DX252" t="s">
        <v>17126</v>
      </c>
      <c r="DY252" t="s">
        <v>26319</v>
      </c>
      <c r="DZ252" t="s">
        <v>26320</v>
      </c>
      <c r="EA252" t="s">
        <v>13772</v>
      </c>
      <c r="EB252" t="s">
        <v>13772</v>
      </c>
    </row>
    <row r="253" spans="1:132">
      <c r="A253">
        <v>1619</v>
      </c>
      <c r="B253">
        <v>1</v>
      </c>
      <c r="C253" t="s">
        <v>3837</v>
      </c>
      <c r="D253" t="s">
        <v>73</v>
      </c>
      <c r="E253" t="s">
        <v>73</v>
      </c>
      <c r="F253" t="s">
        <v>73</v>
      </c>
      <c r="G253" t="s">
        <v>73</v>
      </c>
      <c r="H253">
        <v>64.7</v>
      </c>
      <c r="I253">
        <v>207</v>
      </c>
      <c r="J253">
        <v>22919</v>
      </c>
      <c r="K253" t="s">
        <v>3838</v>
      </c>
      <c r="L253">
        <f t="shared" si="14"/>
        <v>167</v>
      </c>
      <c r="N253">
        <v>167</v>
      </c>
      <c r="O253">
        <v>167</v>
      </c>
      <c r="P253">
        <v>1</v>
      </c>
      <c r="Q253">
        <v>4</v>
      </c>
      <c r="R253">
        <v>6</v>
      </c>
      <c r="S253">
        <v>4</v>
      </c>
      <c r="T253">
        <v>7</v>
      </c>
      <c r="U253">
        <v>7</v>
      </c>
      <c r="V253">
        <v>10</v>
      </c>
      <c r="W253">
        <v>4</v>
      </c>
      <c r="X253">
        <v>3</v>
      </c>
      <c r="Y253">
        <v>10</v>
      </c>
      <c r="Z253">
        <v>8</v>
      </c>
      <c r="AA253">
        <v>11</v>
      </c>
      <c r="AB253">
        <v>16</v>
      </c>
      <c r="AC253">
        <v>14</v>
      </c>
      <c r="AD253">
        <v>5</v>
      </c>
      <c r="AE253">
        <v>20</v>
      </c>
      <c r="AF253">
        <v>15</v>
      </c>
      <c r="AG253">
        <v>8</v>
      </c>
      <c r="AH253">
        <v>5</v>
      </c>
      <c r="AI253">
        <v>10</v>
      </c>
      <c r="AJ253">
        <v>4</v>
      </c>
      <c r="AK253">
        <v>6</v>
      </c>
      <c r="AL253">
        <v>4</v>
      </c>
      <c r="AM253">
        <v>7</v>
      </c>
      <c r="AN253">
        <v>7</v>
      </c>
      <c r="AO253">
        <v>10</v>
      </c>
      <c r="AP253">
        <v>4</v>
      </c>
      <c r="AQ253">
        <v>3</v>
      </c>
      <c r="AR253">
        <v>10</v>
      </c>
      <c r="AS253">
        <v>8</v>
      </c>
      <c r="AT253">
        <v>11</v>
      </c>
      <c r="AU253">
        <v>16</v>
      </c>
      <c r="AV253">
        <v>14</v>
      </c>
      <c r="AW253">
        <v>5</v>
      </c>
      <c r="AX253">
        <v>20</v>
      </c>
      <c r="AY253">
        <v>15</v>
      </c>
      <c r="AZ253">
        <v>8</v>
      </c>
      <c r="BA253">
        <v>5</v>
      </c>
      <c r="BB253">
        <v>10</v>
      </c>
      <c r="BC253" s="2">
        <v>4</v>
      </c>
      <c r="BD253" s="2">
        <v>6</v>
      </c>
      <c r="BE253" s="2">
        <v>4</v>
      </c>
      <c r="BF253" s="2">
        <v>7</v>
      </c>
      <c r="BG253" s="2">
        <v>7</v>
      </c>
      <c r="BH253" s="2">
        <v>10</v>
      </c>
      <c r="BI253" s="2">
        <v>4</v>
      </c>
      <c r="BJ253" s="2">
        <v>3</v>
      </c>
      <c r="BK253" s="2">
        <v>10</v>
      </c>
      <c r="BL253" s="2">
        <v>8</v>
      </c>
      <c r="BM253" s="2">
        <v>11</v>
      </c>
      <c r="BN253" s="2">
        <v>16</v>
      </c>
      <c r="BO253" s="2">
        <v>14</v>
      </c>
      <c r="BP253" s="2">
        <v>5</v>
      </c>
      <c r="BQ253" s="2">
        <v>20</v>
      </c>
      <c r="BR253" s="2">
        <v>15</v>
      </c>
      <c r="BS253" s="2">
        <v>8</v>
      </c>
      <c r="BT253" s="2">
        <v>5</v>
      </c>
      <c r="BU253" s="2">
        <v>10</v>
      </c>
      <c r="BV253" s="2">
        <f t="shared" si="17"/>
        <v>167</v>
      </c>
      <c r="BW253" s="16">
        <f t="shared" si="15"/>
        <v>8.7894736842105257</v>
      </c>
      <c r="BX253" s="16">
        <f>COUNTIF($BC$6:BU253, "=0") / COUNTIF($BC$6:BU253, "&gt;-1")</f>
        <v>6.0059422750424446E-2</v>
      </c>
      <c r="BY253" s="18">
        <f>SUM($BC$6:BU253) / $BY$4</f>
        <v>0.72909043756373515</v>
      </c>
      <c r="BZ253" s="14">
        <f t="shared" si="16"/>
        <v>0</v>
      </c>
      <c r="CA253" t="s">
        <v>5831</v>
      </c>
      <c r="CB253" s="36">
        <v>4.8465735833389196</v>
      </c>
      <c r="CC253" s="36">
        <v>5.7783847240646802</v>
      </c>
      <c r="CD253" s="36">
        <v>6.4031906472490299</v>
      </c>
      <c r="CE253" s="36">
        <v>10.5834523140726</v>
      </c>
      <c r="CF253" s="36">
        <v>6.0212345195582504</v>
      </c>
      <c r="CG253" s="36">
        <v>9.2972724663949098</v>
      </c>
      <c r="CH253" s="36">
        <v>4.21624913145856</v>
      </c>
      <c r="CI253" s="36">
        <v>2.9195507939469199</v>
      </c>
      <c r="CJ253" s="37">
        <v>7.9475829324495697</v>
      </c>
      <c r="CK253" s="37">
        <v>6.9371461157711396</v>
      </c>
      <c r="CL253" s="37">
        <v>12.800869572277501</v>
      </c>
      <c r="CM253" s="37">
        <v>11.8516586523992</v>
      </c>
      <c r="CN253" s="37">
        <v>18.375851316302299</v>
      </c>
      <c r="CO253" s="37">
        <v>11.837858555776901</v>
      </c>
      <c r="CP253" s="37">
        <v>12.068320382899399</v>
      </c>
      <c r="CQ253" s="37">
        <v>15.2263684647462</v>
      </c>
      <c r="CR253" s="45">
        <v>0.93967342380781504</v>
      </c>
      <c r="CS253" s="45">
        <v>1.9383580468280901</v>
      </c>
      <c r="CT253" s="46">
        <v>6.0605274518597497E-3</v>
      </c>
      <c r="CU253" s="47">
        <v>1.1786316468878399E-2</v>
      </c>
      <c r="CV253" s="48">
        <v>6.2582385225104797</v>
      </c>
      <c r="CW253" s="49">
        <v>12.1307069990778</v>
      </c>
      <c r="CX253" s="31" t="s">
        <v>5874</v>
      </c>
      <c r="CY253" s="31" t="s">
        <v>5878</v>
      </c>
      <c r="CZ253" t="s">
        <v>11143</v>
      </c>
      <c r="DA253" t="s">
        <v>5904</v>
      </c>
      <c r="DB253">
        <v>356.7</v>
      </c>
      <c r="DC253" t="s">
        <v>29314</v>
      </c>
      <c r="DD253" t="s">
        <v>29315</v>
      </c>
      <c r="DE253" t="s">
        <v>29316</v>
      </c>
      <c r="DF253" t="s">
        <v>29317</v>
      </c>
      <c r="DG253" t="s">
        <v>29318</v>
      </c>
      <c r="DH253" t="str">
        <f>"TIMP1"</f>
        <v>TIMP1</v>
      </c>
      <c r="DI253" t="s">
        <v>29319</v>
      </c>
      <c r="DJ253" t="s">
        <v>13777</v>
      </c>
      <c r="DK253">
        <v>9606</v>
      </c>
      <c r="DL253" s="34" t="str">
        <f>HYPERLINK("http://www.uniprot.org/uniprot/P01033", "P01033")</f>
        <v>P01033</v>
      </c>
      <c r="DM253" t="s">
        <v>29320</v>
      </c>
      <c r="DN253" t="s">
        <v>13772</v>
      </c>
      <c r="DO253" t="s">
        <v>14321</v>
      </c>
      <c r="DP253" t="s">
        <v>13772</v>
      </c>
      <c r="DQ253" t="s">
        <v>13772</v>
      </c>
      <c r="DR253" t="s">
        <v>13772</v>
      </c>
      <c r="DS253" t="s">
        <v>13808</v>
      </c>
      <c r="DT253" t="s">
        <v>13856</v>
      </c>
      <c r="DU253" t="s">
        <v>29321</v>
      </c>
      <c r="DV253" t="s">
        <v>13964</v>
      </c>
      <c r="DW253" t="s">
        <v>13812</v>
      </c>
      <c r="DX253" t="s">
        <v>29322</v>
      </c>
      <c r="DY253" t="s">
        <v>29323</v>
      </c>
      <c r="DZ253" t="s">
        <v>29324</v>
      </c>
      <c r="EA253" t="s">
        <v>13772</v>
      </c>
      <c r="EB253" t="s">
        <v>29325</v>
      </c>
    </row>
    <row r="254" spans="1:132" hidden="1">
      <c r="A254">
        <v>1892</v>
      </c>
      <c r="B254">
        <v>1</v>
      </c>
      <c r="C254" t="s">
        <v>4464</v>
      </c>
      <c r="D254" t="s">
        <v>4465</v>
      </c>
      <c r="E254" t="s">
        <v>73</v>
      </c>
      <c r="F254" t="s">
        <v>73</v>
      </c>
      <c r="G254" t="s">
        <v>73</v>
      </c>
      <c r="H254">
        <v>43.5</v>
      </c>
      <c r="I254">
        <v>331</v>
      </c>
      <c r="J254">
        <v>36438</v>
      </c>
      <c r="K254" t="s">
        <v>4466</v>
      </c>
      <c r="L254">
        <f t="shared" si="14"/>
        <v>167</v>
      </c>
      <c r="N254">
        <v>167</v>
      </c>
      <c r="O254">
        <v>167</v>
      </c>
      <c r="P254">
        <v>1</v>
      </c>
      <c r="Q254">
        <v>19</v>
      </c>
      <c r="R254">
        <v>23</v>
      </c>
      <c r="S254">
        <v>15</v>
      </c>
      <c r="T254">
        <v>20</v>
      </c>
      <c r="U254">
        <v>24</v>
      </c>
      <c r="V254">
        <v>15</v>
      </c>
      <c r="W254">
        <v>14</v>
      </c>
      <c r="X254">
        <v>7</v>
      </c>
      <c r="Y254">
        <v>0</v>
      </c>
      <c r="Z254">
        <v>0</v>
      </c>
      <c r="AA254">
        <v>6</v>
      </c>
      <c r="AB254">
        <v>5</v>
      </c>
      <c r="AC254">
        <v>1</v>
      </c>
      <c r="AD254">
        <v>1</v>
      </c>
      <c r="AE254">
        <v>4</v>
      </c>
      <c r="AF254">
        <v>4</v>
      </c>
      <c r="AG254">
        <v>1</v>
      </c>
      <c r="AH254">
        <v>0</v>
      </c>
      <c r="AI254">
        <v>8</v>
      </c>
      <c r="AJ254">
        <v>19</v>
      </c>
      <c r="AK254">
        <v>23</v>
      </c>
      <c r="AL254">
        <v>15</v>
      </c>
      <c r="AM254">
        <v>20</v>
      </c>
      <c r="AN254">
        <v>24</v>
      </c>
      <c r="AO254">
        <v>15</v>
      </c>
      <c r="AP254">
        <v>14</v>
      </c>
      <c r="AQ254">
        <v>7</v>
      </c>
      <c r="AR254">
        <v>0</v>
      </c>
      <c r="AS254">
        <v>0</v>
      </c>
      <c r="AT254">
        <v>6</v>
      </c>
      <c r="AU254">
        <v>5</v>
      </c>
      <c r="AV254">
        <v>1</v>
      </c>
      <c r="AW254">
        <v>1</v>
      </c>
      <c r="AX254">
        <v>4</v>
      </c>
      <c r="AY254">
        <v>4</v>
      </c>
      <c r="AZ254">
        <v>1</v>
      </c>
      <c r="BA254">
        <v>0</v>
      </c>
      <c r="BB254">
        <v>8</v>
      </c>
      <c r="BC254" s="2">
        <v>19</v>
      </c>
      <c r="BD254" s="2">
        <v>23</v>
      </c>
      <c r="BE254" s="2">
        <v>15</v>
      </c>
      <c r="BF254" s="2">
        <v>20</v>
      </c>
      <c r="BG254" s="2">
        <v>24</v>
      </c>
      <c r="BH254" s="2">
        <v>15</v>
      </c>
      <c r="BI254" s="2">
        <v>14</v>
      </c>
      <c r="BJ254" s="2">
        <v>7</v>
      </c>
      <c r="BK254" s="2">
        <v>0</v>
      </c>
      <c r="BL254" s="2">
        <v>0</v>
      </c>
      <c r="BM254" s="2">
        <v>6</v>
      </c>
      <c r="BN254" s="2">
        <v>5</v>
      </c>
      <c r="BO254" s="2">
        <v>1</v>
      </c>
      <c r="BP254" s="2">
        <v>1</v>
      </c>
      <c r="BQ254" s="2">
        <v>4</v>
      </c>
      <c r="BR254" s="2">
        <v>4</v>
      </c>
      <c r="BS254" s="2">
        <v>1</v>
      </c>
      <c r="BT254" s="2">
        <v>0</v>
      </c>
      <c r="BU254" s="2">
        <v>8</v>
      </c>
      <c r="BV254" s="2">
        <f t="shared" si="17"/>
        <v>167</v>
      </c>
      <c r="BW254" s="16">
        <f t="shared" si="15"/>
        <v>8.7894736842105257</v>
      </c>
      <c r="BX254" s="16">
        <f>COUNTIF($BC$6:BU254, "=0") / COUNTIF($BC$6:BU254, "&gt;-1")</f>
        <v>6.0452335658423166E-2</v>
      </c>
      <c r="BY254" s="18">
        <f>SUM($BC$6:BU254) / $BY$4</f>
        <v>0.72980580492080815</v>
      </c>
      <c r="BZ254" s="14">
        <f t="shared" si="16"/>
        <v>3</v>
      </c>
      <c r="CA254" t="s">
        <v>5831</v>
      </c>
      <c r="CB254" s="36">
        <v>23.021224520859899</v>
      </c>
      <c r="CC254" s="36">
        <v>22.150474775581301</v>
      </c>
      <c r="CD254" s="36">
        <v>24.0119649271839</v>
      </c>
      <c r="CE254" s="36">
        <v>30.238435183064599</v>
      </c>
      <c r="CF254" s="36">
        <v>20.644232638485398</v>
      </c>
      <c r="CG254" s="36">
        <v>13.945908699592399</v>
      </c>
      <c r="CH254" s="36">
        <v>14.756871960105</v>
      </c>
      <c r="CI254" s="36">
        <v>6.8122851858761404</v>
      </c>
      <c r="CJ254" s="37">
        <v>0.19868957331123899</v>
      </c>
      <c r="CK254" s="37">
        <v>3.7838978813297102</v>
      </c>
      <c r="CL254" s="37">
        <v>4.0002717413367099</v>
      </c>
      <c r="CM254" s="37">
        <v>0.84654704659994096</v>
      </c>
      <c r="CN254" s="37">
        <v>3.6751702632604601</v>
      </c>
      <c r="CO254" s="37">
        <v>3.1567622815404999</v>
      </c>
      <c r="CP254" s="37">
        <v>1.50854004786242</v>
      </c>
      <c r="CQ254" s="37">
        <v>12.1810947717969</v>
      </c>
      <c r="CR254" s="45">
        <v>-2.45031672672765</v>
      </c>
      <c r="CS254" s="45">
        <v>-5.3007235798625203</v>
      </c>
      <c r="CT254" s="46">
        <v>3.2072923531730602E-7</v>
      </c>
      <c r="CU254" s="47">
        <v>1.77161839752974E-6</v>
      </c>
      <c r="CV254" s="48">
        <v>19.4476747363436</v>
      </c>
      <c r="CW254" s="49">
        <v>3.6688717008797398</v>
      </c>
      <c r="CX254" s="31" t="s">
        <v>5875</v>
      </c>
      <c r="CY254" s="31" t="s">
        <v>5876</v>
      </c>
      <c r="CZ254" t="s">
        <v>12064</v>
      </c>
      <c r="DA254" t="s">
        <v>5904</v>
      </c>
      <c r="DB254">
        <v>423.3</v>
      </c>
      <c r="DC254" t="s">
        <v>31926</v>
      </c>
      <c r="DD254" t="s">
        <v>31927</v>
      </c>
      <c r="DE254" t="s">
        <v>31928</v>
      </c>
      <c r="DF254" t="s">
        <v>31929</v>
      </c>
      <c r="DG254" t="s">
        <v>31930</v>
      </c>
      <c r="DH254" t="str">
        <f>"DNASE1 DRNI"</f>
        <v>DNASE1 DRNI</v>
      </c>
      <c r="DI254" t="s">
        <v>13772</v>
      </c>
      <c r="DJ254" t="s">
        <v>13777</v>
      </c>
      <c r="DK254">
        <v>9606</v>
      </c>
      <c r="DL254" s="34" t="str">
        <f>HYPERLINK("http://www.uniprot.org/uniprot/P24855", "P24855")</f>
        <v>P24855</v>
      </c>
      <c r="DM254" t="s">
        <v>31931</v>
      </c>
      <c r="DN254" t="s">
        <v>17109</v>
      </c>
      <c r="DO254" t="s">
        <v>22670</v>
      </c>
      <c r="DP254" t="s">
        <v>13780</v>
      </c>
      <c r="DQ254" t="s">
        <v>13772</v>
      </c>
      <c r="DR254" t="s">
        <v>27671</v>
      </c>
      <c r="DS254" t="s">
        <v>13808</v>
      </c>
      <c r="DT254" t="s">
        <v>14465</v>
      </c>
      <c r="DU254" t="s">
        <v>31932</v>
      </c>
      <c r="DV254" t="s">
        <v>13796</v>
      </c>
      <c r="DW254" t="s">
        <v>14324</v>
      </c>
      <c r="DX254" t="s">
        <v>31933</v>
      </c>
      <c r="DY254" t="s">
        <v>31934</v>
      </c>
      <c r="DZ254" t="s">
        <v>31935</v>
      </c>
      <c r="EA254" t="s">
        <v>13772</v>
      </c>
      <c r="EB254" t="s">
        <v>13772</v>
      </c>
    </row>
    <row r="255" spans="1:132" hidden="1">
      <c r="A255">
        <v>2265</v>
      </c>
      <c r="B255">
        <v>1</v>
      </c>
      <c r="C255" t="s">
        <v>5292</v>
      </c>
      <c r="D255" t="s">
        <v>73</v>
      </c>
      <c r="E255" t="s">
        <v>73</v>
      </c>
      <c r="F255" t="s">
        <v>73</v>
      </c>
      <c r="G255" t="s">
        <v>73</v>
      </c>
      <c r="H255">
        <v>55</v>
      </c>
      <c r="I255">
        <v>349</v>
      </c>
      <c r="J255">
        <v>38843</v>
      </c>
      <c r="K255" t="s">
        <v>5293</v>
      </c>
      <c r="L255">
        <f t="shared" si="14"/>
        <v>167</v>
      </c>
      <c r="N255">
        <v>167</v>
      </c>
      <c r="O255">
        <v>167</v>
      </c>
      <c r="P255">
        <v>1</v>
      </c>
      <c r="Q255">
        <v>2</v>
      </c>
      <c r="R255">
        <v>4</v>
      </c>
      <c r="S255">
        <v>0</v>
      </c>
      <c r="T255">
        <v>2</v>
      </c>
      <c r="U255">
        <v>6</v>
      </c>
      <c r="V255">
        <v>6</v>
      </c>
      <c r="W255">
        <v>10</v>
      </c>
      <c r="X255">
        <v>2</v>
      </c>
      <c r="Y255">
        <v>29</v>
      </c>
      <c r="Z255">
        <v>3</v>
      </c>
      <c r="AA255">
        <v>30</v>
      </c>
      <c r="AB255">
        <v>18</v>
      </c>
      <c r="AC255">
        <v>14</v>
      </c>
      <c r="AD255">
        <v>3</v>
      </c>
      <c r="AE255">
        <v>15</v>
      </c>
      <c r="AF255">
        <v>11</v>
      </c>
      <c r="AG255">
        <v>4</v>
      </c>
      <c r="AH255">
        <v>1</v>
      </c>
      <c r="AI255">
        <v>7</v>
      </c>
      <c r="AJ255">
        <v>2</v>
      </c>
      <c r="AK255">
        <v>4</v>
      </c>
      <c r="AL255">
        <v>0</v>
      </c>
      <c r="AM255">
        <v>2</v>
      </c>
      <c r="AN255">
        <v>6</v>
      </c>
      <c r="AO255">
        <v>6</v>
      </c>
      <c r="AP255">
        <v>10</v>
      </c>
      <c r="AQ255">
        <v>2</v>
      </c>
      <c r="AR255">
        <v>29</v>
      </c>
      <c r="AS255">
        <v>3</v>
      </c>
      <c r="AT255">
        <v>30</v>
      </c>
      <c r="AU255">
        <v>18</v>
      </c>
      <c r="AV255">
        <v>14</v>
      </c>
      <c r="AW255">
        <v>3</v>
      </c>
      <c r="AX255">
        <v>15</v>
      </c>
      <c r="AY255">
        <v>11</v>
      </c>
      <c r="AZ255">
        <v>4</v>
      </c>
      <c r="BA255">
        <v>1</v>
      </c>
      <c r="BB255">
        <v>7</v>
      </c>
      <c r="BC255" s="2">
        <v>2</v>
      </c>
      <c r="BD255" s="2">
        <v>4</v>
      </c>
      <c r="BE255" s="2">
        <v>0</v>
      </c>
      <c r="BF255" s="2">
        <v>2</v>
      </c>
      <c r="BG255" s="2">
        <v>6</v>
      </c>
      <c r="BH255" s="2">
        <v>6</v>
      </c>
      <c r="BI255" s="2">
        <v>10</v>
      </c>
      <c r="BJ255" s="2">
        <v>2</v>
      </c>
      <c r="BK255" s="2">
        <v>29</v>
      </c>
      <c r="BL255" s="2">
        <v>3</v>
      </c>
      <c r="BM255" s="2">
        <v>30</v>
      </c>
      <c r="BN255" s="2">
        <v>18</v>
      </c>
      <c r="BO255" s="2">
        <v>14</v>
      </c>
      <c r="BP255" s="2">
        <v>3</v>
      </c>
      <c r="BQ255" s="2">
        <v>15</v>
      </c>
      <c r="BR255" s="2">
        <v>11</v>
      </c>
      <c r="BS255" s="2">
        <v>4</v>
      </c>
      <c r="BT255" s="2">
        <v>1</v>
      </c>
      <c r="BU255" s="2">
        <v>7</v>
      </c>
      <c r="BV255" s="2">
        <f t="shared" si="17"/>
        <v>167</v>
      </c>
      <c r="BW255" s="16">
        <f t="shared" si="15"/>
        <v>8.7894736842105257</v>
      </c>
      <c r="BX255" s="16">
        <f>COUNTIF($BC$6:BU255, "=0") / COUNTIF($BC$6:BU255, "&gt;-1")</f>
        <v>6.0421052631578945E-2</v>
      </c>
      <c r="BY255" s="18">
        <f>SUM($BC$6:BU255) / $BY$4</f>
        <v>0.73052117227788116</v>
      </c>
      <c r="BZ255" s="14">
        <f t="shared" si="16"/>
        <v>1</v>
      </c>
      <c r="CA255" t="s">
        <v>5831</v>
      </c>
      <c r="CB255" s="36">
        <v>2.4232867916694598</v>
      </c>
      <c r="CC255" s="36">
        <v>3.85225648270979</v>
      </c>
      <c r="CD255" s="36">
        <v>0.40019941545306398</v>
      </c>
      <c r="CE255" s="36">
        <v>3.0238435183064598</v>
      </c>
      <c r="CF255" s="36">
        <v>5.1610581596213496</v>
      </c>
      <c r="CG255" s="36">
        <v>5.5783634798369501</v>
      </c>
      <c r="CH255" s="36">
        <v>10.5406228286464</v>
      </c>
      <c r="CI255" s="36">
        <v>1.9463671959646101</v>
      </c>
      <c r="CJ255" s="37">
        <v>23.047990504103801</v>
      </c>
      <c r="CK255" s="37">
        <v>18.919489406648601</v>
      </c>
      <c r="CL255" s="37">
        <v>14.400978268812199</v>
      </c>
      <c r="CM255" s="37">
        <v>11.8516586523992</v>
      </c>
      <c r="CN255" s="37">
        <v>13.7818884872267</v>
      </c>
      <c r="CO255" s="37">
        <v>8.6810962742363706</v>
      </c>
      <c r="CP255" s="37">
        <v>6.0341601914496898</v>
      </c>
      <c r="CQ255" s="37">
        <v>10.658457925322301</v>
      </c>
      <c r="CR255" s="45">
        <v>1.6489920291875499</v>
      </c>
      <c r="CS255" s="45">
        <v>3.26112271910312</v>
      </c>
      <c r="CT255" s="46">
        <v>6.75430564109623E-5</v>
      </c>
      <c r="CU255" s="47">
        <v>2.0082802106192801E-4</v>
      </c>
      <c r="CV255" s="48">
        <v>4.1157497340260099</v>
      </c>
      <c r="CW255" s="49">
        <v>13.4219649637748</v>
      </c>
      <c r="CX255" s="31" t="s">
        <v>5874</v>
      </c>
      <c r="CY255" s="31" t="s">
        <v>5876</v>
      </c>
      <c r="CZ255" t="s">
        <v>13296</v>
      </c>
      <c r="DA255" t="s">
        <v>5904</v>
      </c>
      <c r="DB255">
        <v>696.8</v>
      </c>
      <c r="DC255" t="s">
        <v>35397</v>
      </c>
      <c r="DD255" t="s">
        <v>35398</v>
      </c>
      <c r="DE255" t="s">
        <v>35399</v>
      </c>
      <c r="DF255" t="s">
        <v>35400</v>
      </c>
      <c r="DG255" t="s">
        <v>35401</v>
      </c>
      <c r="DH255" t="str">
        <f>"CAPG"</f>
        <v>CAPG</v>
      </c>
      <c r="DI255" t="s">
        <v>35402</v>
      </c>
      <c r="DJ255" t="s">
        <v>13777</v>
      </c>
      <c r="DK255">
        <v>9606</v>
      </c>
      <c r="DL255" s="34" t="str">
        <f>HYPERLINK("http://www.uniprot.org/uniprot/P40121", "P40121")</f>
        <v>P40121</v>
      </c>
      <c r="DM255" t="s">
        <v>35403</v>
      </c>
      <c r="DN255" t="s">
        <v>13772</v>
      </c>
      <c r="DO255" t="s">
        <v>22575</v>
      </c>
      <c r="DP255" t="s">
        <v>13780</v>
      </c>
      <c r="DQ255" t="s">
        <v>13772</v>
      </c>
      <c r="DR255" t="s">
        <v>13772</v>
      </c>
      <c r="DS255" t="s">
        <v>14096</v>
      </c>
      <c r="DT255" t="s">
        <v>13772</v>
      </c>
      <c r="DU255" t="s">
        <v>14589</v>
      </c>
      <c r="DV255" t="s">
        <v>13886</v>
      </c>
      <c r="DW255" t="s">
        <v>13812</v>
      </c>
      <c r="DX255" t="s">
        <v>35404</v>
      </c>
      <c r="DY255" t="s">
        <v>35405</v>
      </c>
      <c r="DZ255" t="s">
        <v>35406</v>
      </c>
      <c r="EA255" t="s">
        <v>13772</v>
      </c>
      <c r="EB255" t="s">
        <v>13772</v>
      </c>
    </row>
    <row r="256" spans="1:132" hidden="1">
      <c r="A256">
        <v>2448</v>
      </c>
      <c r="B256">
        <v>1</v>
      </c>
      <c r="C256" t="s">
        <v>5749</v>
      </c>
      <c r="D256" t="s">
        <v>73</v>
      </c>
      <c r="E256" t="s">
        <v>5750</v>
      </c>
      <c r="F256" t="s">
        <v>73</v>
      </c>
      <c r="G256" t="s">
        <v>73</v>
      </c>
      <c r="H256">
        <v>41.2</v>
      </c>
      <c r="I256">
        <v>607</v>
      </c>
      <c r="J256">
        <v>65159</v>
      </c>
      <c r="K256" t="s">
        <v>5751</v>
      </c>
      <c r="L256">
        <f t="shared" si="14"/>
        <v>166</v>
      </c>
      <c r="M256" s="3" t="s">
        <v>5826</v>
      </c>
      <c r="N256">
        <v>166</v>
      </c>
      <c r="O256">
        <v>166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7</v>
      </c>
      <c r="Y256">
        <v>29</v>
      </c>
      <c r="Z256">
        <v>5</v>
      </c>
      <c r="AA256">
        <v>25</v>
      </c>
      <c r="AB256">
        <v>11</v>
      </c>
      <c r="AC256">
        <v>13</v>
      </c>
      <c r="AD256">
        <v>1</v>
      </c>
      <c r="AE256">
        <v>38</v>
      </c>
      <c r="AF256">
        <v>23</v>
      </c>
      <c r="AG256">
        <v>2</v>
      </c>
      <c r="AH256">
        <v>1</v>
      </c>
      <c r="AI256">
        <v>9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7</v>
      </c>
      <c r="AR256">
        <v>29</v>
      </c>
      <c r="AS256">
        <v>5</v>
      </c>
      <c r="AT256">
        <v>25</v>
      </c>
      <c r="AU256">
        <v>11</v>
      </c>
      <c r="AV256">
        <v>13</v>
      </c>
      <c r="AW256">
        <v>1</v>
      </c>
      <c r="AX256">
        <v>38</v>
      </c>
      <c r="AY256">
        <v>23</v>
      </c>
      <c r="AZ256">
        <v>2</v>
      </c>
      <c r="BA256">
        <v>1</v>
      </c>
      <c r="BB256">
        <v>9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7</v>
      </c>
      <c r="BK256" s="2">
        <v>29</v>
      </c>
      <c r="BL256" s="2">
        <v>5</v>
      </c>
      <c r="BM256" s="2">
        <v>25</v>
      </c>
      <c r="BN256" s="2">
        <v>11</v>
      </c>
      <c r="BO256" s="2">
        <v>13</v>
      </c>
      <c r="BP256" s="2">
        <v>1</v>
      </c>
      <c r="BQ256" s="2">
        <v>38</v>
      </c>
      <c r="BR256" s="2">
        <v>23</v>
      </c>
      <c r="BS256" s="2">
        <v>2</v>
      </c>
      <c r="BT256" s="2">
        <v>1</v>
      </c>
      <c r="BU256" s="2">
        <v>9</v>
      </c>
      <c r="BV256" s="2">
        <f t="shared" si="17"/>
        <v>166</v>
      </c>
      <c r="BW256" s="16">
        <f t="shared" si="15"/>
        <v>8.7368421052631575</v>
      </c>
      <c r="BX256" s="16">
        <f>COUNTIF($BC$6:BU256, "=0") / COUNTIF($BC$6:BU256, "&gt;-1")</f>
        <v>6.1228769133990356E-2</v>
      </c>
      <c r="BY256" s="18">
        <f>SUM($BC$6:BU256) / $BY$4</f>
        <v>0.73123225599808539</v>
      </c>
      <c r="BZ256" s="14">
        <f t="shared" si="16"/>
        <v>5</v>
      </c>
      <c r="CA256" t="s">
        <v>5831</v>
      </c>
      <c r="CB256" s="36">
        <v>1.2116433958347299</v>
      </c>
      <c r="CC256" s="36">
        <v>0.24076603016936199</v>
      </c>
      <c r="CD256" s="36">
        <v>0.40019941545306398</v>
      </c>
      <c r="CE256" s="36">
        <v>0.37798043978830698</v>
      </c>
      <c r="CF256" s="36">
        <v>0.215044089984223</v>
      </c>
      <c r="CG256" s="36">
        <v>0.23243181165987301</v>
      </c>
      <c r="CH256" s="36">
        <v>1.05406228286464</v>
      </c>
      <c r="CI256" s="36">
        <v>6.8122851858761404</v>
      </c>
      <c r="CJ256" s="37">
        <v>23.047990504103801</v>
      </c>
      <c r="CK256" s="37">
        <v>15.766241172207099</v>
      </c>
      <c r="CL256" s="37">
        <v>8.8005978309407702</v>
      </c>
      <c r="CM256" s="37">
        <v>11.0051116057992</v>
      </c>
      <c r="CN256" s="37">
        <v>34.914117500974299</v>
      </c>
      <c r="CO256" s="37">
        <v>18.1513831188579</v>
      </c>
      <c r="CP256" s="37">
        <v>3.0170800957248498</v>
      </c>
      <c r="CQ256" s="37">
        <v>13.7037316182716</v>
      </c>
      <c r="CR256" s="45">
        <v>3.4473574350482399</v>
      </c>
      <c r="CS256" s="45">
        <v>12.177658224237399</v>
      </c>
      <c r="CT256" s="46">
        <v>2.4676416427561399E-8</v>
      </c>
      <c r="CU256" s="47">
        <v>2.0132344621998201E-7</v>
      </c>
      <c r="CV256" s="48">
        <v>1.3180515814537901</v>
      </c>
      <c r="CW256" s="49">
        <v>16.050781680859899</v>
      </c>
      <c r="CX256" s="31" t="s">
        <v>5874</v>
      </c>
      <c r="CY256" s="31" t="s">
        <v>5876</v>
      </c>
      <c r="CZ256" t="s">
        <v>9904</v>
      </c>
      <c r="DA256" t="s">
        <v>5904</v>
      </c>
      <c r="DB256">
        <v>1119</v>
      </c>
      <c r="DC256" t="s">
        <v>25869</v>
      </c>
      <c r="DD256" t="s">
        <v>25870</v>
      </c>
      <c r="DE256" t="s">
        <v>25871</v>
      </c>
      <c r="DF256" t="s">
        <v>25872</v>
      </c>
      <c r="DG256" t="s">
        <v>25873</v>
      </c>
      <c r="DH256" t="str">
        <f>"PDLIM5"</f>
        <v>PDLIM5</v>
      </c>
      <c r="DI256" t="s">
        <v>25874</v>
      </c>
      <c r="DJ256" t="s">
        <v>13777</v>
      </c>
      <c r="DK256">
        <v>9606</v>
      </c>
      <c r="DL256" s="34" t="str">
        <f>HYPERLINK("http://www.uniprot.org/uniprot/Q96HC4", "Q96HC4")</f>
        <v>Q96HC4</v>
      </c>
      <c r="DM256" t="s">
        <v>25875</v>
      </c>
      <c r="DN256" t="s">
        <v>13772</v>
      </c>
      <c r="DO256" t="s">
        <v>25876</v>
      </c>
      <c r="DP256" t="s">
        <v>13780</v>
      </c>
      <c r="DQ256" t="s">
        <v>13772</v>
      </c>
      <c r="DR256" t="s">
        <v>13772</v>
      </c>
      <c r="DS256" t="s">
        <v>15529</v>
      </c>
      <c r="DT256" t="s">
        <v>13856</v>
      </c>
      <c r="DU256" t="s">
        <v>13772</v>
      </c>
      <c r="DV256" t="s">
        <v>13991</v>
      </c>
      <c r="DW256" t="s">
        <v>13812</v>
      </c>
      <c r="DX256" t="s">
        <v>25877</v>
      </c>
      <c r="DY256" t="s">
        <v>25878</v>
      </c>
      <c r="DZ256" t="s">
        <v>25879</v>
      </c>
      <c r="EA256" t="s">
        <v>13772</v>
      </c>
      <c r="EB256" t="s">
        <v>15945</v>
      </c>
    </row>
    <row r="257" spans="1:132" hidden="1">
      <c r="A257">
        <v>1689</v>
      </c>
      <c r="B257">
        <v>1</v>
      </c>
      <c r="C257" t="s">
        <v>4006</v>
      </c>
      <c r="D257" t="s">
        <v>73</v>
      </c>
      <c r="E257" t="s">
        <v>73</v>
      </c>
      <c r="F257" t="s">
        <v>73</v>
      </c>
      <c r="G257" t="s">
        <v>73</v>
      </c>
      <c r="H257">
        <v>41.8</v>
      </c>
      <c r="I257">
        <v>806</v>
      </c>
      <c r="J257">
        <v>92899</v>
      </c>
      <c r="K257" t="s">
        <v>4007</v>
      </c>
      <c r="L257">
        <f t="shared" si="14"/>
        <v>165</v>
      </c>
      <c r="N257">
        <v>165</v>
      </c>
      <c r="O257">
        <v>165</v>
      </c>
      <c r="P257">
        <v>1</v>
      </c>
      <c r="Q257">
        <v>9</v>
      </c>
      <c r="R257">
        <v>22</v>
      </c>
      <c r="S257">
        <v>2</v>
      </c>
      <c r="T257">
        <v>11</v>
      </c>
      <c r="U257">
        <v>37</v>
      </c>
      <c r="V257">
        <v>23</v>
      </c>
      <c r="W257">
        <v>15</v>
      </c>
      <c r="X257">
        <v>8</v>
      </c>
      <c r="Y257">
        <v>0</v>
      </c>
      <c r="Z257">
        <v>0</v>
      </c>
      <c r="AA257">
        <v>2</v>
      </c>
      <c r="AB257">
        <v>5</v>
      </c>
      <c r="AC257">
        <v>1</v>
      </c>
      <c r="AD257">
        <v>0</v>
      </c>
      <c r="AE257">
        <v>0</v>
      </c>
      <c r="AF257">
        <v>8</v>
      </c>
      <c r="AG257">
        <v>22</v>
      </c>
      <c r="AH257">
        <v>0</v>
      </c>
      <c r="AI257">
        <v>0</v>
      </c>
      <c r="AJ257">
        <v>9</v>
      </c>
      <c r="AK257">
        <v>22</v>
      </c>
      <c r="AL257">
        <v>2</v>
      </c>
      <c r="AM257">
        <v>11</v>
      </c>
      <c r="AN257">
        <v>37</v>
      </c>
      <c r="AO257">
        <v>23</v>
      </c>
      <c r="AP257">
        <v>15</v>
      </c>
      <c r="AQ257">
        <v>8</v>
      </c>
      <c r="AR257">
        <v>0</v>
      </c>
      <c r="AS257">
        <v>0</v>
      </c>
      <c r="AT257">
        <v>2</v>
      </c>
      <c r="AU257">
        <v>5</v>
      </c>
      <c r="AV257">
        <v>1</v>
      </c>
      <c r="AW257">
        <v>0</v>
      </c>
      <c r="AX257">
        <v>0</v>
      </c>
      <c r="AY257">
        <v>8</v>
      </c>
      <c r="AZ257">
        <v>22</v>
      </c>
      <c r="BA257">
        <v>0</v>
      </c>
      <c r="BB257">
        <v>0</v>
      </c>
      <c r="BC257" s="2">
        <v>9</v>
      </c>
      <c r="BD257" s="2">
        <v>22</v>
      </c>
      <c r="BE257" s="2">
        <v>2</v>
      </c>
      <c r="BF257" s="2">
        <v>11</v>
      </c>
      <c r="BG257" s="2">
        <v>37</v>
      </c>
      <c r="BH257" s="2">
        <v>23</v>
      </c>
      <c r="BI257" s="2">
        <v>15</v>
      </c>
      <c r="BJ257" s="2">
        <v>8</v>
      </c>
      <c r="BK257" s="2">
        <v>0</v>
      </c>
      <c r="BL257" s="2">
        <v>0</v>
      </c>
      <c r="BM257" s="2">
        <v>2</v>
      </c>
      <c r="BN257" s="2">
        <v>5</v>
      </c>
      <c r="BO257" s="2">
        <v>1</v>
      </c>
      <c r="BP257" s="2">
        <v>0</v>
      </c>
      <c r="BQ257" s="2">
        <v>0</v>
      </c>
      <c r="BR257" s="2">
        <v>8</v>
      </c>
      <c r="BS257" s="2">
        <v>22</v>
      </c>
      <c r="BT257" s="2">
        <v>0</v>
      </c>
      <c r="BU257" s="2">
        <v>0</v>
      </c>
      <c r="BV257" s="2">
        <f t="shared" si="17"/>
        <v>165</v>
      </c>
      <c r="BW257" s="16">
        <f t="shared" si="15"/>
        <v>8.6842105263157894</v>
      </c>
      <c r="BX257" s="16">
        <f>COUNTIF($BC$6:BU257, "=0") / COUNTIF($BC$6:BU257, "&gt;-1")</f>
        <v>6.2238930659983288E-2</v>
      </c>
      <c r="BY257" s="18">
        <f>SUM($BC$6:BU257) / $BY$4</f>
        <v>0.73193905608142107</v>
      </c>
      <c r="BZ257" s="14">
        <f t="shared" si="16"/>
        <v>6</v>
      </c>
      <c r="CA257" t="s">
        <v>5831</v>
      </c>
      <c r="CB257" s="36">
        <v>10.9047905625126</v>
      </c>
      <c r="CC257" s="36">
        <v>21.1874106549038</v>
      </c>
      <c r="CD257" s="36">
        <v>3.2015953236245198</v>
      </c>
      <c r="CE257" s="36">
        <v>16.631139350685501</v>
      </c>
      <c r="CF257" s="36">
        <v>31.826525317664998</v>
      </c>
      <c r="CG257" s="36">
        <v>21.383726672708299</v>
      </c>
      <c r="CH257" s="36">
        <v>15.8109342429696</v>
      </c>
      <c r="CI257" s="36">
        <v>7.78546878385845</v>
      </c>
      <c r="CJ257" s="37">
        <v>0.19868957331123899</v>
      </c>
      <c r="CK257" s="37">
        <v>1.2612992937765699</v>
      </c>
      <c r="CL257" s="37">
        <v>4.0002717413367099</v>
      </c>
      <c r="CM257" s="37">
        <v>0.84654704659994096</v>
      </c>
      <c r="CN257" s="37">
        <v>0.22969814145377901</v>
      </c>
      <c r="CO257" s="37">
        <v>6.3135245630809997</v>
      </c>
      <c r="CP257" s="37">
        <v>33.187881052973303</v>
      </c>
      <c r="CQ257" s="37">
        <v>0.38065921161865401</v>
      </c>
      <c r="CR257" s="45">
        <v>-1.5360223932294701</v>
      </c>
      <c r="CS257" s="45">
        <v>-2.7732777889965798</v>
      </c>
      <c r="CT257" s="46">
        <v>4.8008028771605003E-2</v>
      </c>
      <c r="CU257" s="47">
        <v>7.4865667245230194E-2</v>
      </c>
      <c r="CV257" s="48">
        <v>16.091448863616002</v>
      </c>
      <c r="CW257" s="49">
        <v>5.8023213280189001</v>
      </c>
      <c r="CX257" s="31" t="s">
        <v>5875</v>
      </c>
      <c r="CY257" s="31" t="s">
        <v>5877</v>
      </c>
      <c r="CZ257" t="s">
        <v>11385</v>
      </c>
      <c r="DA257" t="s">
        <v>5904</v>
      </c>
      <c r="DB257">
        <v>1382.1</v>
      </c>
      <c r="DC257" t="s">
        <v>30010</v>
      </c>
      <c r="DD257" t="s">
        <v>30011</v>
      </c>
      <c r="DE257" t="s">
        <v>30012</v>
      </c>
      <c r="DF257" t="s">
        <v>30013</v>
      </c>
      <c r="DG257" t="s">
        <v>30014</v>
      </c>
      <c r="DH257" t="str">
        <f>"ACE2"</f>
        <v>ACE2</v>
      </c>
      <c r="DI257" t="s">
        <v>13772</v>
      </c>
      <c r="DJ257" t="s">
        <v>13777</v>
      </c>
      <c r="DK257">
        <v>9606</v>
      </c>
      <c r="DL257" s="34" t="str">
        <f>HYPERLINK("http://www.uniprot.org/uniprot/Q9BYF1", "Q9BYF1")</f>
        <v>Q9BYF1</v>
      </c>
      <c r="DM257" t="s">
        <v>30015</v>
      </c>
      <c r="DN257" t="s">
        <v>14563</v>
      </c>
      <c r="DO257" t="s">
        <v>25531</v>
      </c>
      <c r="DP257" t="s">
        <v>13780</v>
      </c>
      <c r="DQ257" t="s">
        <v>13772</v>
      </c>
      <c r="DR257" t="s">
        <v>13772</v>
      </c>
      <c r="DS257" t="s">
        <v>13855</v>
      </c>
      <c r="DT257" t="s">
        <v>30016</v>
      </c>
      <c r="DU257" t="s">
        <v>30017</v>
      </c>
      <c r="DV257" t="s">
        <v>13796</v>
      </c>
      <c r="DW257" t="s">
        <v>13812</v>
      </c>
      <c r="DX257" t="s">
        <v>30018</v>
      </c>
      <c r="DY257" t="s">
        <v>30019</v>
      </c>
      <c r="DZ257" t="s">
        <v>30020</v>
      </c>
      <c r="EA257" t="s">
        <v>13772</v>
      </c>
      <c r="EB257" t="s">
        <v>21168</v>
      </c>
    </row>
    <row r="258" spans="1:132">
      <c r="A258">
        <v>555</v>
      </c>
      <c r="B258">
        <v>1</v>
      </c>
      <c r="C258" t="s">
        <v>1384</v>
      </c>
      <c r="D258" t="s">
        <v>73</v>
      </c>
      <c r="E258" t="s">
        <v>73</v>
      </c>
      <c r="F258" t="s">
        <v>73</v>
      </c>
      <c r="G258" t="s">
        <v>73</v>
      </c>
      <c r="H258">
        <v>16.3</v>
      </c>
      <c r="I258">
        <v>386</v>
      </c>
      <c r="J258">
        <v>41795</v>
      </c>
      <c r="K258" t="s">
        <v>1385</v>
      </c>
      <c r="L258">
        <f t="shared" si="14"/>
        <v>164</v>
      </c>
      <c r="N258">
        <v>164</v>
      </c>
      <c r="O258">
        <v>164</v>
      </c>
      <c r="P258">
        <v>1</v>
      </c>
      <c r="Q258">
        <v>13</v>
      </c>
      <c r="R258">
        <v>18</v>
      </c>
      <c r="S258">
        <v>8</v>
      </c>
      <c r="T258">
        <v>15</v>
      </c>
      <c r="U258">
        <v>11</v>
      </c>
      <c r="V258">
        <v>7</v>
      </c>
      <c r="W258">
        <v>20</v>
      </c>
      <c r="X258">
        <v>17</v>
      </c>
      <c r="Y258">
        <v>2</v>
      </c>
      <c r="Z258">
        <v>1</v>
      </c>
      <c r="AA258">
        <v>4</v>
      </c>
      <c r="AB258">
        <v>7</v>
      </c>
      <c r="AC258">
        <v>6</v>
      </c>
      <c r="AD258">
        <v>5</v>
      </c>
      <c r="AE258">
        <v>8</v>
      </c>
      <c r="AF258">
        <v>10</v>
      </c>
      <c r="AG258">
        <v>3</v>
      </c>
      <c r="AH258">
        <v>3</v>
      </c>
      <c r="AI258">
        <v>6</v>
      </c>
      <c r="AJ258">
        <v>13</v>
      </c>
      <c r="AK258">
        <v>18</v>
      </c>
      <c r="AL258">
        <v>8</v>
      </c>
      <c r="AM258">
        <v>15</v>
      </c>
      <c r="AN258">
        <v>11</v>
      </c>
      <c r="AO258">
        <v>7</v>
      </c>
      <c r="AP258">
        <v>20</v>
      </c>
      <c r="AQ258">
        <v>17</v>
      </c>
      <c r="AR258">
        <v>2</v>
      </c>
      <c r="AS258">
        <v>1</v>
      </c>
      <c r="AT258">
        <v>4</v>
      </c>
      <c r="AU258">
        <v>7</v>
      </c>
      <c r="AV258">
        <v>6</v>
      </c>
      <c r="AW258">
        <v>5</v>
      </c>
      <c r="AX258">
        <v>8</v>
      </c>
      <c r="AY258">
        <v>10</v>
      </c>
      <c r="AZ258">
        <v>3</v>
      </c>
      <c r="BA258">
        <v>3</v>
      </c>
      <c r="BB258">
        <v>6</v>
      </c>
      <c r="BC258" s="2">
        <v>13</v>
      </c>
      <c r="BD258" s="2">
        <v>18</v>
      </c>
      <c r="BE258" s="2">
        <v>8</v>
      </c>
      <c r="BF258" s="2">
        <v>15</v>
      </c>
      <c r="BG258" s="2">
        <v>11</v>
      </c>
      <c r="BH258" s="2">
        <v>7</v>
      </c>
      <c r="BI258" s="2">
        <v>20</v>
      </c>
      <c r="BJ258" s="2">
        <v>17</v>
      </c>
      <c r="BK258" s="2">
        <v>2</v>
      </c>
      <c r="BL258" s="2">
        <v>1</v>
      </c>
      <c r="BM258" s="2">
        <v>4</v>
      </c>
      <c r="BN258" s="2">
        <v>7</v>
      </c>
      <c r="BO258" s="2">
        <v>6</v>
      </c>
      <c r="BP258" s="2">
        <v>5</v>
      </c>
      <c r="BQ258" s="2">
        <v>8</v>
      </c>
      <c r="BR258" s="2">
        <v>10</v>
      </c>
      <c r="BS258" s="2">
        <v>3</v>
      </c>
      <c r="BT258" s="2">
        <v>3</v>
      </c>
      <c r="BU258" s="2">
        <v>6</v>
      </c>
      <c r="BV258" s="2">
        <f t="shared" si="17"/>
        <v>164</v>
      </c>
      <c r="BW258" s="16">
        <f t="shared" si="15"/>
        <v>8.6315789473684212</v>
      </c>
      <c r="BX258" s="16">
        <f>COUNTIF($BC$6:BU258, "=0") / COUNTIF($BC$6:BU258, "&gt;-1")</f>
        <v>6.1992926981485334E-2</v>
      </c>
      <c r="BY258" s="18">
        <f>SUM($BC$6:BU258) / $BY$4</f>
        <v>0.73264157252788786</v>
      </c>
      <c r="BZ258" s="14">
        <f t="shared" si="16"/>
        <v>0</v>
      </c>
      <c r="CA258" t="s">
        <v>5831</v>
      </c>
      <c r="CB258" s="36">
        <v>15.7513641458515</v>
      </c>
      <c r="CC258" s="36">
        <v>17.335154172193999</v>
      </c>
      <c r="CD258" s="36">
        <v>12.806381294498101</v>
      </c>
      <c r="CE258" s="36">
        <v>22.6788263872984</v>
      </c>
      <c r="CF258" s="36">
        <v>9.4619399593058091</v>
      </c>
      <c r="CG258" s="36">
        <v>6.50809072647644</v>
      </c>
      <c r="CH258" s="36">
        <v>21.081245657292801</v>
      </c>
      <c r="CI258" s="36">
        <v>16.544121165699199</v>
      </c>
      <c r="CJ258" s="37">
        <v>1.5895165864899099</v>
      </c>
      <c r="CK258" s="37">
        <v>2.5225985875531398</v>
      </c>
      <c r="CL258" s="37">
        <v>5.6003804378713999</v>
      </c>
      <c r="CM258" s="37">
        <v>5.0792822795996404</v>
      </c>
      <c r="CN258" s="37">
        <v>7.3503405265209096</v>
      </c>
      <c r="CO258" s="37">
        <v>7.8919057038512497</v>
      </c>
      <c r="CP258" s="37">
        <v>4.5256201435872701</v>
      </c>
      <c r="CQ258" s="37">
        <v>9.1358210788476999</v>
      </c>
      <c r="CR258" s="45">
        <v>-1.4949142498501</v>
      </c>
      <c r="CS258" s="45">
        <v>-2.79587647244254</v>
      </c>
      <c r="CT258" s="46">
        <v>9.6824730431794794E-5</v>
      </c>
      <c r="CU258" s="47">
        <v>2.73009254620452E-4</v>
      </c>
      <c r="CV258" s="48">
        <v>15.270890438577</v>
      </c>
      <c r="CW258" s="49">
        <v>5.4619331680401499</v>
      </c>
      <c r="CX258" s="31" t="s">
        <v>5875</v>
      </c>
      <c r="CY258" s="31" t="s">
        <v>5876</v>
      </c>
      <c r="CZ258" t="s">
        <v>7617</v>
      </c>
      <c r="DA258" t="s">
        <v>5904</v>
      </c>
      <c r="DB258">
        <v>646.70000000000005</v>
      </c>
      <c r="DC258" t="s">
        <v>19244</v>
      </c>
      <c r="DD258" t="s">
        <v>19245</v>
      </c>
      <c r="DE258" t="s">
        <v>19246</v>
      </c>
      <c r="DF258" t="s">
        <v>19247</v>
      </c>
      <c r="DG258" t="s">
        <v>19248</v>
      </c>
      <c r="DH258" t="str">
        <f>"PGA4"</f>
        <v>PGA4</v>
      </c>
      <c r="DI258" t="s">
        <v>13772</v>
      </c>
      <c r="DJ258" t="s">
        <v>13777</v>
      </c>
      <c r="DK258">
        <v>9606</v>
      </c>
      <c r="DL258" s="34" t="str">
        <f>HYPERLINK("http://www.uniprot.org/uniprot/P0DJD7", "P0DJD7")</f>
        <v>P0DJD7</v>
      </c>
      <c r="DM258" t="s">
        <v>19249</v>
      </c>
      <c r="DN258" t="s">
        <v>15385</v>
      </c>
      <c r="DO258" t="s">
        <v>14321</v>
      </c>
      <c r="DP258" t="s">
        <v>13772</v>
      </c>
      <c r="DQ258" t="s">
        <v>13772</v>
      </c>
      <c r="DR258" t="s">
        <v>13772</v>
      </c>
      <c r="DS258" t="s">
        <v>13808</v>
      </c>
      <c r="DT258" t="s">
        <v>13772</v>
      </c>
      <c r="DU258" t="s">
        <v>15386</v>
      </c>
      <c r="DV258" t="s">
        <v>19250</v>
      </c>
      <c r="DW258" t="s">
        <v>13812</v>
      </c>
      <c r="DX258" t="s">
        <v>15388</v>
      </c>
      <c r="DY258" t="s">
        <v>15389</v>
      </c>
      <c r="DZ258" t="s">
        <v>15390</v>
      </c>
      <c r="EA258" t="s">
        <v>13772</v>
      </c>
      <c r="EB258" t="s">
        <v>15391</v>
      </c>
    </row>
    <row r="259" spans="1:132" hidden="1">
      <c r="A259">
        <v>795</v>
      </c>
      <c r="B259">
        <v>1</v>
      </c>
      <c r="C259" t="s">
        <v>1951</v>
      </c>
      <c r="D259" t="s">
        <v>73</v>
      </c>
      <c r="E259" t="s">
        <v>73</v>
      </c>
      <c r="F259" t="s">
        <v>73</v>
      </c>
      <c r="G259" t="s">
        <v>73</v>
      </c>
      <c r="H259">
        <v>13</v>
      </c>
      <c r="I259">
        <v>952</v>
      </c>
      <c r="J259">
        <v>103793</v>
      </c>
      <c r="K259" t="s">
        <v>1952</v>
      </c>
      <c r="L259">
        <f t="shared" si="14"/>
        <v>164</v>
      </c>
      <c r="N259">
        <v>164</v>
      </c>
      <c r="O259">
        <v>164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3</v>
      </c>
      <c r="V259">
        <v>2</v>
      </c>
      <c r="W259">
        <v>0</v>
      </c>
      <c r="X259">
        <v>0</v>
      </c>
      <c r="Y259">
        <v>27</v>
      </c>
      <c r="Z259">
        <v>3</v>
      </c>
      <c r="AA259">
        <v>26</v>
      </c>
      <c r="AB259">
        <v>27</v>
      </c>
      <c r="AC259">
        <v>18</v>
      </c>
      <c r="AD259">
        <v>1</v>
      </c>
      <c r="AE259">
        <v>15</v>
      </c>
      <c r="AF259">
        <v>21</v>
      </c>
      <c r="AG259">
        <v>4</v>
      </c>
      <c r="AH259">
        <v>2</v>
      </c>
      <c r="AI259">
        <v>13</v>
      </c>
      <c r="AJ259">
        <v>0</v>
      </c>
      <c r="AK259">
        <v>1</v>
      </c>
      <c r="AL259">
        <v>0</v>
      </c>
      <c r="AM259">
        <v>1</v>
      </c>
      <c r="AN259">
        <v>3</v>
      </c>
      <c r="AO259">
        <v>2</v>
      </c>
      <c r="AP259">
        <v>0</v>
      </c>
      <c r="AQ259">
        <v>0</v>
      </c>
      <c r="AR259">
        <v>27</v>
      </c>
      <c r="AS259">
        <v>3</v>
      </c>
      <c r="AT259">
        <v>26</v>
      </c>
      <c r="AU259">
        <v>27</v>
      </c>
      <c r="AV259">
        <v>18</v>
      </c>
      <c r="AW259">
        <v>1</v>
      </c>
      <c r="AX259">
        <v>15</v>
      </c>
      <c r="AY259">
        <v>21</v>
      </c>
      <c r="AZ259">
        <v>4</v>
      </c>
      <c r="BA259">
        <v>2</v>
      </c>
      <c r="BB259">
        <v>13</v>
      </c>
      <c r="BC259" s="2">
        <v>0</v>
      </c>
      <c r="BD259" s="2">
        <v>1</v>
      </c>
      <c r="BE259" s="2">
        <v>0</v>
      </c>
      <c r="BF259" s="2">
        <v>1</v>
      </c>
      <c r="BG259" s="2">
        <v>3</v>
      </c>
      <c r="BH259" s="2">
        <v>2</v>
      </c>
      <c r="BI259" s="2">
        <v>0</v>
      </c>
      <c r="BJ259" s="2">
        <v>0</v>
      </c>
      <c r="BK259" s="2">
        <v>27</v>
      </c>
      <c r="BL259" s="2">
        <v>3</v>
      </c>
      <c r="BM259" s="2">
        <v>26</v>
      </c>
      <c r="BN259" s="2">
        <v>27</v>
      </c>
      <c r="BO259" s="2">
        <v>18</v>
      </c>
      <c r="BP259" s="2">
        <v>1</v>
      </c>
      <c r="BQ259" s="2">
        <v>15</v>
      </c>
      <c r="BR259" s="2">
        <v>21</v>
      </c>
      <c r="BS259" s="2">
        <v>4</v>
      </c>
      <c r="BT259" s="2">
        <v>2</v>
      </c>
      <c r="BU259" s="2">
        <v>13</v>
      </c>
      <c r="BV259" s="2">
        <f t="shared" si="17"/>
        <v>164</v>
      </c>
      <c r="BW259" s="16">
        <f t="shared" si="15"/>
        <v>8.6315789473684212</v>
      </c>
      <c r="BX259" s="16">
        <f>COUNTIF($BC$6:BU259, "=0") / COUNTIF($BC$6:BU259, "&gt;-1")</f>
        <v>6.2577704102776632E-2</v>
      </c>
      <c r="BY259" s="18">
        <f>SUM($BC$6:BU259) / $BY$4</f>
        <v>0.73334408897435477</v>
      </c>
      <c r="BZ259" s="14">
        <f t="shared" si="16"/>
        <v>4</v>
      </c>
      <c r="CA259" t="s">
        <v>5831</v>
      </c>
      <c r="CB259" s="36">
        <v>0.30291084895868198</v>
      </c>
      <c r="CC259" s="36">
        <v>0.96306412067744696</v>
      </c>
      <c r="CD259" s="36">
        <v>0.40019941545306398</v>
      </c>
      <c r="CE259" s="36">
        <v>1.5119217591532299</v>
      </c>
      <c r="CF259" s="36">
        <v>2.5805290798106801</v>
      </c>
      <c r="CG259" s="36">
        <v>1.85945449327898</v>
      </c>
      <c r="CH259" s="36">
        <v>0.26351557071616</v>
      </c>
      <c r="CI259" s="36">
        <v>0.24329589949557701</v>
      </c>
      <c r="CJ259" s="37">
        <v>21.458473917613802</v>
      </c>
      <c r="CK259" s="37">
        <v>16.3968908190954</v>
      </c>
      <c r="CL259" s="37">
        <v>21.601467403218301</v>
      </c>
      <c r="CM259" s="37">
        <v>15.2378468387989</v>
      </c>
      <c r="CN259" s="37">
        <v>13.7818884872267</v>
      </c>
      <c r="CO259" s="37">
        <v>16.5730019780876</v>
      </c>
      <c r="CP259" s="37">
        <v>6.0341601914496898</v>
      </c>
      <c r="CQ259" s="37">
        <v>19.794279004170001</v>
      </c>
      <c r="CR259" s="45">
        <v>3.7973002523252402</v>
      </c>
      <c r="CS259" s="45">
        <v>16.108278328737299</v>
      </c>
      <c r="CT259" s="46">
        <v>5.0754587489078703E-16</v>
      </c>
      <c r="CU259" s="47">
        <v>4.8506884328848103E-14</v>
      </c>
      <c r="CV259" s="48">
        <v>1.01561139844298</v>
      </c>
      <c r="CW259" s="49">
        <v>16.359751079957601</v>
      </c>
      <c r="CX259" s="31" t="s">
        <v>5874</v>
      </c>
      <c r="CY259" s="31" t="s">
        <v>5876</v>
      </c>
      <c r="CZ259" t="s">
        <v>8422</v>
      </c>
      <c r="DA259" t="s">
        <v>5904</v>
      </c>
      <c r="DB259">
        <v>1660.6</v>
      </c>
      <c r="DC259" t="s">
        <v>21629</v>
      </c>
      <c r="DD259" t="s">
        <v>21630</v>
      </c>
      <c r="DE259" t="s">
        <v>21631</v>
      </c>
      <c r="DF259" t="s">
        <v>21632</v>
      </c>
      <c r="DG259" t="s">
        <v>21633</v>
      </c>
      <c r="DH259" t="str">
        <f>"ADAMTS1"</f>
        <v>ADAMTS1</v>
      </c>
      <c r="DI259" t="s">
        <v>21634</v>
      </c>
      <c r="DJ259" t="s">
        <v>13777</v>
      </c>
      <c r="DK259">
        <v>9606</v>
      </c>
      <c r="DL259" s="34" t="str">
        <f>HYPERLINK("http://www.uniprot.org/uniprot/Q9UHI8", "Q9UHI8")</f>
        <v>Q9UHI8</v>
      </c>
      <c r="DM259" t="s">
        <v>21635</v>
      </c>
      <c r="DN259" t="s">
        <v>13772</v>
      </c>
      <c r="DO259" t="s">
        <v>13869</v>
      </c>
      <c r="DP259" t="s">
        <v>13793</v>
      </c>
      <c r="DQ259" t="s">
        <v>13772</v>
      </c>
      <c r="DR259" t="s">
        <v>13772</v>
      </c>
      <c r="DS259" t="s">
        <v>14404</v>
      </c>
      <c r="DT259" t="s">
        <v>14628</v>
      </c>
      <c r="DU259" t="s">
        <v>18965</v>
      </c>
      <c r="DV259" t="s">
        <v>18956</v>
      </c>
      <c r="DW259" t="s">
        <v>13812</v>
      </c>
      <c r="DX259" t="s">
        <v>21636</v>
      </c>
      <c r="DY259" t="s">
        <v>21637</v>
      </c>
      <c r="DZ259" t="s">
        <v>21638</v>
      </c>
      <c r="EA259" t="s">
        <v>13772</v>
      </c>
      <c r="EB259" t="s">
        <v>18968</v>
      </c>
    </row>
    <row r="260" spans="1:132" hidden="1">
      <c r="A260">
        <v>1486</v>
      </c>
      <c r="B260">
        <v>1</v>
      </c>
      <c r="C260" t="s">
        <v>3536</v>
      </c>
      <c r="D260" t="s">
        <v>73</v>
      </c>
      <c r="E260" t="s">
        <v>73</v>
      </c>
      <c r="F260" t="s">
        <v>1163</v>
      </c>
      <c r="G260" t="s">
        <v>73</v>
      </c>
      <c r="H260">
        <v>58.3</v>
      </c>
      <c r="I260">
        <v>240</v>
      </c>
      <c r="J260">
        <v>26849</v>
      </c>
      <c r="K260" t="s">
        <v>3537</v>
      </c>
      <c r="L260">
        <f t="shared" si="14"/>
        <v>165</v>
      </c>
      <c r="N260">
        <v>165</v>
      </c>
      <c r="O260">
        <v>163</v>
      </c>
      <c r="P260">
        <v>0.98799999999999999</v>
      </c>
      <c r="Q260">
        <v>10</v>
      </c>
      <c r="R260">
        <v>10</v>
      </c>
      <c r="S260">
        <v>0</v>
      </c>
      <c r="T260">
        <v>4</v>
      </c>
      <c r="U260">
        <v>13</v>
      </c>
      <c r="V260">
        <v>12</v>
      </c>
      <c r="W260">
        <v>11</v>
      </c>
      <c r="X260">
        <v>16</v>
      </c>
      <c r="Y260">
        <v>16</v>
      </c>
      <c r="Z260">
        <v>1</v>
      </c>
      <c r="AA260">
        <v>17</v>
      </c>
      <c r="AB260">
        <v>13</v>
      </c>
      <c r="AC260">
        <v>15</v>
      </c>
      <c r="AD260">
        <v>8</v>
      </c>
      <c r="AE260">
        <v>5</v>
      </c>
      <c r="AF260">
        <v>9</v>
      </c>
      <c r="AG260">
        <v>3</v>
      </c>
      <c r="AH260">
        <v>1</v>
      </c>
      <c r="AI260">
        <v>1</v>
      </c>
      <c r="AJ260">
        <v>10</v>
      </c>
      <c r="AK260">
        <v>10</v>
      </c>
      <c r="AL260">
        <v>0</v>
      </c>
      <c r="AM260">
        <v>4</v>
      </c>
      <c r="AN260">
        <v>13</v>
      </c>
      <c r="AO260">
        <v>12</v>
      </c>
      <c r="AP260">
        <v>11</v>
      </c>
      <c r="AQ260">
        <v>15</v>
      </c>
      <c r="AR260">
        <v>16</v>
      </c>
      <c r="AS260">
        <v>1</v>
      </c>
      <c r="AT260">
        <v>16</v>
      </c>
      <c r="AU260">
        <v>13</v>
      </c>
      <c r="AV260">
        <v>15</v>
      </c>
      <c r="AW260">
        <v>8</v>
      </c>
      <c r="AX260">
        <v>5</v>
      </c>
      <c r="AY260">
        <v>9</v>
      </c>
      <c r="AZ260">
        <v>3</v>
      </c>
      <c r="BA260">
        <v>1</v>
      </c>
      <c r="BB260">
        <v>1</v>
      </c>
      <c r="BC260" s="2">
        <v>10</v>
      </c>
      <c r="BD260" s="2">
        <v>10</v>
      </c>
      <c r="BE260" s="2">
        <v>0</v>
      </c>
      <c r="BF260" s="2">
        <v>4</v>
      </c>
      <c r="BG260" s="2">
        <v>13</v>
      </c>
      <c r="BH260" s="2">
        <v>12</v>
      </c>
      <c r="BI260" s="2">
        <v>11</v>
      </c>
      <c r="BJ260" s="2">
        <v>15.441000000000001</v>
      </c>
      <c r="BK260" s="2">
        <v>16</v>
      </c>
      <c r="BL260" s="2">
        <v>1</v>
      </c>
      <c r="BM260" s="2">
        <v>16.399999999999999</v>
      </c>
      <c r="BN260" s="2">
        <v>13</v>
      </c>
      <c r="BO260" s="2">
        <v>15</v>
      </c>
      <c r="BP260" s="2">
        <v>8</v>
      </c>
      <c r="BQ260" s="2">
        <v>5</v>
      </c>
      <c r="BR260" s="2">
        <v>9</v>
      </c>
      <c r="BS260" s="2">
        <v>3</v>
      </c>
      <c r="BT260" s="2">
        <v>1</v>
      </c>
      <c r="BU260" s="2">
        <v>1</v>
      </c>
      <c r="BV260" s="2">
        <f t="shared" si="17"/>
        <v>163.84100000000001</v>
      </c>
      <c r="BW260" s="16">
        <f t="shared" si="15"/>
        <v>8.6232105263157894</v>
      </c>
      <c r="BX260" s="16">
        <f>COUNTIF($BC$6:BU260, "=0") / COUNTIF($BC$6:BU260, "&gt;-1")</f>
        <v>6.2538699690402474E-2</v>
      </c>
      <c r="BY260" s="18">
        <f>SUM($BC$6:BU260) / $BY$4</f>
        <v>0.73404592432255944</v>
      </c>
      <c r="BZ260" s="14">
        <f t="shared" si="16"/>
        <v>1</v>
      </c>
      <c r="CA260" t="s">
        <v>5831</v>
      </c>
      <c r="CB260" s="36">
        <v>12.116433958347301</v>
      </c>
      <c r="CC260" s="36">
        <v>9.6306412067744702</v>
      </c>
      <c r="CD260" s="36">
        <v>0.40019941545306398</v>
      </c>
      <c r="CE260" s="36">
        <v>6.0476870366129196</v>
      </c>
      <c r="CF260" s="36">
        <v>11.1822926791796</v>
      </c>
      <c r="CG260" s="36">
        <v>11.1567269596739</v>
      </c>
      <c r="CH260" s="36">
        <v>11.594685111511</v>
      </c>
      <c r="CI260" s="36">
        <v>14.987027408927499</v>
      </c>
      <c r="CJ260" s="37">
        <v>12.716132691919301</v>
      </c>
      <c r="CK260" s="37">
        <v>10.3426542089679</v>
      </c>
      <c r="CL260" s="37">
        <v>10.400706527475499</v>
      </c>
      <c r="CM260" s="37">
        <v>12.6982056989991</v>
      </c>
      <c r="CN260" s="37">
        <v>4.5939628290755703</v>
      </c>
      <c r="CO260" s="37">
        <v>7.1027151334661296</v>
      </c>
      <c r="CP260" s="37">
        <v>4.5256201435872701</v>
      </c>
      <c r="CQ260" s="37">
        <v>1.5226368464746201</v>
      </c>
      <c r="CR260" s="45">
        <v>-0.25017317266632499</v>
      </c>
      <c r="CS260" s="45">
        <v>-1.20676862365298</v>
      </c>
      <c r="CT260" s="46">
        <v>0.56229535779180295</v>
      </c>
      <c r="CU260" s="47">
        <v>0.64193787433910598</v>
      </c>
      <c r="CV260" s="48">
        <v>9.6394617220599699</v>
      </c>
      <c r="CW260" s="49">
        <v>7.98782925999567</v>
      </c>
      <c r="CX260" s="31" t="s">
        <v>5875</v>
      </c>
      <c r="CY260" s="31" t="s">
        <v>5832</v>
      </c>
      <c r="CZ260" t="s">
        <v>10686</v>
      </c>
      <c r="DA260" t="s">
        <v>5904</v>
      </c>
      <c r="DB260">
        <v>484.6</v>
      </c>
      <c r="DC260" t="s">
        <v>28077</v>
      </c>
      <c r="DD260" t="s">
        <v>28078</v>
      </c>
      <c r="DE260" t="s">
        <v>28079</v>
      </c>
      <c r="DF260" t="s">
        <v>28080</v>
      </c>
      <c r="DG260" t="s">
        <v>28081</v>
      </c>
      <c r="DH260" t="str">
        <f>"CLIC1"</f>
        <v>CLIC1</v>
      </c>
      <c r="DI260" t="s">
        <v>28082</v>
      </c>
      <c r="DJ260" t="s">
        <v>13777</v>
      </c>
      <c r="DK260">
        <v>9606</v>
      </c>
      <c r="DL260" s="34" t="str">
        <f>HYPERLINK("http://www.uniprot.org/uniprot/O00299", "O00299")</f>
        <v>O00299</v>
      </c>
      <c r="DM260" t="s">
        <v>28083</v>
      </c>
      <c r="DN260" t="s">
        <v>14288</v>
      </c>
      <c r="DO260" t="s">
        <v>14968</v>
      </c>
      <c r="DP260" t="s">
        <v>13772</v>
      </c>
      <c r="DQ260" t="s">
        <v>13772</v>
      </c>
      <c r="DR260" t="s">
        <v>13772</v>
      </c>
      <c r="DS260" t="s">
        <v>13925</v>
      </c>
      <c r="DT260" t="s">
        <v>18321</v>
      </c>
      <c r="DU260" t="s">
        <v>18322</v>
      </c>
      <c r="DV260" t="s">
        <v>27992</v>
      </c>
      <c r="DW260" t="s">
        <v>13812</v>
      </c>
      <c r="DX260" t="s">
        <v>28084</v>
      </c>
      <c r="DY260" t="s">
        <v>28085</v>
      </c>
      <c r="DZ260" t="s">
        <v>28086</v>
      </c>
      <c r="EA260" t="s">
        <v>13772</v>
      </c>
      <c r="EB260" t="s">
        <v>13772</v>
      </c>
    </row>
    <row r="261" spans="1:132" hidden="1">
      <c r="A261">
        <v>504</v>
      </c>
      <c r="B261">
        <v>1</v>
      </c>
      <c r="C261" t="s">
        <v>1271</v>
      </c>
      <c r="D261" t="s">
        <v>73</v>
      </c>
      <c r="E261" t="s">
        <v>73</v>
      </c>
      <c r="F261" t="s">
        <v>1272</v>
      </c>
      <c r="G261" t="s">
        <v>73</v>
      </c>
      <c r="H261">
        <v>60.8</v>
      </c>
      <c r="I261">
        <v>199</v>
      </c>
      <c r="J261">
        <v>22123</v>
      </c>
      <c r="K261" t="s">
        <v>1273</v>
      </c>
      <c r="L261">
        <f t="shared" si="14"/>
        <v>169</v>
      </c>
      <c r="N261">
        <v>169</v>
      </c>
      <c r="O261">
        <v>148</v>
      </c>
      <c r="P261">
        <v>0.876</v>
      </c>
      <c r="Q261">
        <v>3</v>
      </c>
      <c r="R261">
        <v>8</v>
      </c>
      <c r="S261">
        <v>3</v>
      </c>
      <c r="T261">
        <v>1</v>
      </c>
      <c r="U261">
        <v>10</v>
      </c>
      <c r="V261">
        <v>13</v>
      </c>
      <c r="W261">
        <v>6</v>
      </c>
      <c r="X261">
        <v>7</v>
      </c>
      <c r="Y261">
        <v>49</v>
      </c>
      <c r="Z261">
        <v>1</v>
      </c>
      <c r="AA261">
        <v>13</v>
      </c>
      <c r="AB261">
        <v>7</v>
      </c>
      <c r="AC261">
        <v>11</v>
      </c>
      <c r="AD261">
        <v>5</v>
      </c>
      <c r="AE261">
        <v>11</v>
      </c>
      <c r="AF261">
        <v>9</v>
      </c>
      <c r="AG261">
        <v>6</v>
      </c>
      <c r="AH261">
        <v>0</v>
      </c>
      <c r="AI261">
        <v>6</v>
      </c>
      <c r="AJ261">
        <v>2</v>
      </c>
      <c r="AK261">
        <v>7</v>
      </c>
      <c r="AL261">
        <v>2</v>
      </c>
      <c r="AM261">
        <v>1</v>
      </c>
      <c r="AN261">
        <v>9</v>
      </c>
      <c r="AO261">
        <v>12</v>
      </c>
      <c r="AP261">
        <v>5</v>
      </c>
      <c r="AQ261">
        <v>6</v>
      </c>
      <c r="AR261">
        <v>46</v>
      </c>
      <c r="AS261">
        <v>1</v>
      </c>
      <c r="AT261">
        <v>11</v>
      </c>
      <c r="AU261">
        <v>5</v>
      </c>
      <c r="AV261">
        <v>10</v>
      </c>
      <c r="AW261">
        <v>3</v>
      </c>
      <c r="AX261">
        <v>10</v>
      </c>
      <c r="AY261">
        <v>8</v>
      </c>
      <c r="AZ261">
        <v>5</v>
      </c>
      <c r="BA261">
        <v>0</v>
      </c>
      <c r="BB261">
        <v>5</v>
      </c>
      <c r="BC261" s="2">
        <v>2.3330000000000002</v>
      </c>
      <c r="BD261" s="2">
        <v>7.6360000000000001</v>
      </c>
      <c r="BE261" s="2">
        <v>2.6669999999999998</v>
      </c>
      <c r="BF261" s="2">
        <v>1</v>
      </c>
      <c r="BG261" s="2">
        <v>9.5619999999999994</v>
      </c>
      <c r="BH261" s="2">
        <v>12.632</v>
      </c>
      <c r="BI261" s="2">
        <v>5.7140000000000004</v>
      </c>
      <c r="BJ261" s="2">
        <v>6.5</v>
      </c>
      <c r="BK261" s="2">
        <v>48.091000000000001</v>
      </c>
      <c r="BL261" s="2">
        <v>1</v>
      </c>
      <c r="BM261" s="2">
        <v>12.733000000000001</v>
      </c>
      <c r="BN261" s="2">
        <v>6.4580000000000002</v>
      </c>
      <c r="BO261" s="2">
        <v>10.769</v>
      </c>
      <c r="BP261" s="2">
        <v>5</v>
      </c>
      <c r="BQ261" s="2">
        <v>10.625</v>
      </c>
      <c r="BR261" s="2">
        <v>8.6150000000000002</v>
      </c>
      <c r="BS261" s="2">
        <v>6</v>
      </c>
      <c r="BT261" s="2">
        <v>0</v>
      </c>
      <c r="BU261" s="2">
        <v>5.8330000000000002</v>
      </c>
      <c r="BV261" s="2">
        <f t="shared" si="17"/>
        <v>163.16800000000001</v>
      </c>
      <c r="BW261" s="16">
        <f t="shared" si="15"/>
        <v>8.5877894736842109</v>
      </c>
      <c r="BX261" s="16">
        <f>COUNTIF($BC$6:BU261, "=0") / COUNTIF($BC$6:BU261, "&gt;-1")</f>
        <v>6.25E-2</v>
      </c>
      <c r="BY261" s="18">
        <f>SUM($BC$6:BU261) / $BY$4</f>
        <v>0.7347448767831517</v>
      </c>
      <c r="BZ261" s="14">
        <f t="shared" si="16"/>
        <v>1</v>
      </c>
      <c r="CA261" t="s">
        <v>5831</v>
      </c>
      <c r="CB261" s="36">
        <v>2.7867798104198802</v>
      </c>
      <c r="CC261" s="36">
        <v>7.3192873171485902</v>
      </c>
      <c r="CD261" s="36">
        <v>4.3221536868930999</v>
      </c>
      <c r="CE261" s="36">
        <v>1.5119217591532299</v>
      </c>
      <c r="CF261" s="36">
        <v>8.2576930553941601</v>
      </c>
      <c r="CG261" s="36">
        <v>11.714563307657601</v>
      </c>
      <c r="CH261" s="36">
        <v>6.0081550123284497</v>
      </c>
      <c r="CI261" s="36">
        <v>6.3256933868849901</v>
      </c>
      <c r="CJ261" s="37">
        <v>38.227873905082397</v>
      </c>
      <c r="CK261" s="37">
        <v>8.0092505154812308</v>
      </c>
      <c r="CL261" s="37">
        <v>5.2003532637377301</v>
      </c>
      <c r="CM261" s="37">
        <v>9.1427081032793591</v>
      </c>
      <c r="CN261" s="37">
        <v>9.7392011976402095</v>
      </c>
      <c r="CO261" s="37">
        <v>6.7870389053120697</v>
      </c>
      <c r="CP261" s="37">
        <v>9.0512402871745401</v>
      </c>
      <c r="CQ261" s="37">
        <v>8.8312937095527797</v>
      </c>
      <c r="CR261" s="45">
        <v>0.93137684002057697</v>
      </c>
      <c r="CS261" s="45">
        <v>1.9688362335409799</v>
      </c>
      <c r="CT261" s="46">
        <v>4.68335173108093E-2</v>
      </c>
      <c r="CU261" s="47">
        <v>7.3376166465881604E-2</v>
      </c>
      <c r="CV261" s="48">
        <v>6.030780916985</v>
      </c>
      <c r="CW261" s="49">
        <v>11.873619985907499</v>
      </c>
      <c r="CX261" s="31" t="s">
        <v>5874</v>
      </c>
      <c r="CY261" s="31" t="s">
        <v>5877</v>
      </c>
      <c r="CZ261" t="s">
        <v>7459</v>
      </c>
      <c r="DA261" t="s">
        <v>5904</v>
      </c>
      <c r="DB261">
        <v>407.5</v>
      </c>
      <c r="DC261" t="s">
        <v>18748</v>
      </c>
      <c r="DD261" t="s">
        <v>18749</v>
      </c>
      <c r="DE261" t="s">
        <v>18750</v>
      </c>
      <c r="DF261" t="s">
        <v>18751</v>
      </c>
      <c r="DG261" t="s">
        <v>18752</v>
      </c>
      <c r="DH261" t="str">
        <f>"PRDX1"</f>
        <v>PRDX1</v>
      </c>
      <c r="DI261" t="s">
        <v>18753</v>
      </c>
      <c r="DJ261" t="s">
        <v>13777</v>
      </c>
      <c r="DK261">
        <v>9606</v>
      </c>
      <c r="DL261" s="34" t="str">
        <f>HYPERLINK("http://www.uniprot.org/uniprot/Q06830", "Q06830")</f>
        <v>Q06830</v>
      </c>
      <c r="DM261" t="s">
        <v>18754</v>
      </c>
      <c r="DN261" t="s">
        <v>13772</v>
      </c>
      <c r="DO261" t="s">
        <v>13899</v>
      </c>
      <c r="DP261" t="s">
        <v>13793</v>
      </c>
      <c r="DQ261" t="s">
        <v>13772</v>
      </c>
      <c r="DR261" t="s">
        <v>13772</v>
      </c>
      <c r="DS261" t="s">
        <v>18188</v>
      </c>
      <c r="DT261" t="s">
        <v>13772</v>
      </c>
      <c r="DU261" t="s">
        <v>18755</v>
      </c>
      <c r="DV261" t="s">
        <v>18756</v>
      </c>
      <c r="DW261" t="s">
        <v>13812</v>
      </c>
      <c r="DX261" t="s">
        <v>18757</v>
      </c>
      <c r="DY261" t="s">
        <v>18758</v>
      </c>
      <c r="DZ261" t="s">
        <v>18759</v>
      </c>
      <c r="EA261" t="s">
        <v>13772</v>
      </c>
      <c r="EB261" t="s">
        <v>18760</v>
      </c>
    </row>
    <row r="262" spans="1:132">
      <c r="A262">
        <v>827</v>
      </c>
      <c r="B262">
        <v>1</v>
      </c>
      <c r="C262" t="s">
        <v>2024</v>
      </c>
      <c r="D262" t="s">
        <v>2025</v>
      </c>
      <c r="E262" t="s">
        <v>73</v>
      </c>
      <c r="F262" t="s">
        <v>73</v>
      </c>
      <c r="G262" t="s">
        <v>73</v>
      </c>
      <c r="H262">
        <v>44.2</v>
      </c>
      <c r="I262">
        <v>622</v>
      </c>
      <c r="J262">
        <v>67102</v>
      </c>
      <c r="K262" t="s">
        <v>2026</v>
      </c>
      <c r="L262">
        <f t="shared" ref="L262:L325" si="18">N262</f>
        <v>163</v>
      </c>
      <c r="N262">
        <v>163</v>
      </c>
      <c r="O262">
        <v>163</v>
      </c>
      <c r="P262">
        <v>1</v>
      </c>
      <c r="Q262">
        <v>13</v>
      </c>
      <c r="R262">
        <v>12</v>
      </c>
      <c r="S262">
        <v>6</v>
      </c>
      <c r="T262">
        <v>1</v>
      </c>
      <c r="U262">
        <v>8</v>
      </c>
      <c r="V262">
        <v>16</v>
      </c>
      <c r="W262">
        <v>20</v>
      </c>
      <c r="X262">
        <v>16</v>
      </c>
      <c r="Y262">
        <v>3</v>
      </c>
      <c r="Z262">
        <v>8</v>
      </c>
      <c r="AA262">
        <v>5</v>
      </c>
      <c r="AB262">
        <v>7</v>
      </c>
      <c r="AC262">
        <v>8</v>
      </c>
      <c r="AD262">
        <v>8</v>
      </c>
      <c r="AE262">
        <v>7</v>
      </c>
      <c r="AF262">
        <v>10</v>
      </c>
      <c r="AG262">
        <v>5</v>
      </c>
      <c r="AH262">
        <v>7</v>
      </c>
      <c r="AI262">
        <v>3</v>
      </c>
      <c r="AJ262">
        <v>13</v>
      </c>
      <c r="AK262">
        <v>12</v>
      </c>
      <c r="AL262">
        <v>6</v>
      </c>
      <c r="AM262">
        <v>1</v>
      </c>
      <c r="AN262">
        <v>8</v>
      </c>
      <c r="AO262">
        <v>16</v>
      </c>
      <c r="AP262">
        <v>20</v>
      </c>
      <c r="AQ262">
        <v>16</v>
      </c>
      <c r="AR262">
        <v>3</v>
      </c>
      <c r="AS262">
        <v>8</v>
      </c>
      <c r="AT262">
        <v>5</v>
      </c>
      <c r="AU262">
        <v>7</v>
      </c>
      <c r="AV262">
        <v>8</v>
      </c>
      <c r="AW262">
        <v>8</v>
      </c>
      <c r="AX262">
        <v>7</v>
      </c>
      <c r="AY262">
        <v>10</v>
      </c>
      <c r="AZ262">
        <v>5</v>
      </c>
      <c r="BA262">
        <v>7</v>
      </c>
      <c r="BB262">
        <v>3</v>
      </c>
      <c r="BC262" s="2">
        <v>13</v>
      </c>
      <c r="BD262" s="2">
        <v>12</v>
      </c>
      <c r="BE262" s="2">
        <v>6</v>
      </c>
      <c r="BF262" s="2">
        <v>1</v>
      </c>
      <c r="BG262" s="2">
        <v>8</v>
      </c>
      <c r="BH262" s="2">
        <v>16</v>
      </c>
      <c r="BI262" s="2">
        <v>20</v>
      </c>
      <c r="BJ262" s="2">
        <v>16</v>
      </c>
      <c r="BK262" s="2">
        <v>3</v>
      </c>
      <c r="BL262" s="2">
        <v>8</v>
      </c>
      <c r="BM262" s="2">
        <v>5</v>
      </c>
      <c r="BN262" s="2">
        <v>7</v>
      </c>
      <c r="BO262" s="2">
        <v>8</v>
      </c>
      <c r="BP262" s="2">
        <v>8</v>
      </c>
      <c r="BQ262" s="2">
        <v>7</v>
      </c>
      <c r="BR262" s="2">
        <v>10</v>
      </c>
      <c r="BS262" s="2">
        <v>5</v>
      </c>
      <c r="BT262" s="2">
        <v>7</v>
      </c>
      <c r="BU262" s="2">
        <v>3</v>
      </c>
      <c r="BV262" s="2">
        <f t="shared" si="17"/>
        <v>163</v>
      </c>
      <c r="BW262" s="16">
        <f t="shared" ref="BW262:BW325" si="19">AVERAGE(BC262:BU262)</f>
        <v>8.5789473684210531</v>
      </c>
      <c r="BX262" s="16">
        <f>COUNTIF($BC$6:BU262, "=0") / COUNTIF($BC$6:BU262, "&gt;-1")</f>
        <v>6.2256809338521402E-2</v>
      </c>
      <c r="BY262" s="18">
        <f>SUM($BC$6:BU262) / $BY$4</f>
        <v>0.73544310959274994</v>
      </c>
      <c r="BZ262" s="14">
        <f t="shared" ref="BZ262:BZ325" si="20">19-COUNTIF(BC262:BU262, "&gt;0")</f>
        <v>0</v>
      </c>
      <c r="CA262" t="s">
        <v>5831</v>
      </c>
      <c r="CB262" s="36">
        <v>15.7513641458515</v>
      </c>
      <c r="CC262" s="36">
        <v>11.556769448129399</v>
      </c>
      <c r="CD262" s="36">
        <v>9.6047859708735501</v>
      </c>
      <c r="CE262" s="36">
        <v>1.5119217591532299</v>
      </c>
      <c r="CF262" s="36">
        <v>6.8814108794951396</v>
      </c>
      <c r="CG262" s="36">
        <v>14.875635946231901</v>
      </c>
      <c r="CH262" s="36">
        <v>21.081245657292801</v>
      </c>
      <c r="CI262" s="36">
        <v>15.5709375677169</v>
      </c>
      <c r="CJ262" s="37">
        <v>2.3842748797348698</v>
      </c>
      <c r="CK262" s="37">
        <v>3.1532482344414299</v>
      </c>
      <c r="CL262" s="37">
        <v>5.6003804378713999</v>
      </c>
      <c r="CM262" s="37">
        <v>6.7723763727995303</v>
      </c>
      <c r="CN262" s="37">
        <v>6.4315479607058004</v>
      </c>
      <c r="CO262" s="37">
        <v>7.8919057038512497</v>
      </c>
      <c r="CP262" s="37">
        <v>7.5427002393121096</v>
      </c>
      <c r="CQ262" s="37">
        <v>4.5679105394238499</v>
      </c>
      <c r="CR262" s="45">
        <v>-1.1493142657050801</v>
      </c>
      <c r="CS262" s="45">
        <v>-2.1836848138026799</v>
      </c>
      <c r="CT262" s="46">
        <v>6.5694867714339196E-3</v>
      </c>
      <c r="CU262" s="47">
        <v>1.27022735551714E-2</v>
      </c>
      <c r="CV262" s="48">
        <v>12.104258921843</v>
      </c>
      <c r="CW262" s="49">
        <v>5.5430430460175302</v>
      </c>
      <c r="CX262" s="31" t="s">
        <v>5875</v>
      </c>
      <c r="CY262" s="31" t="s">
        <v>5878</v>
      </c>
      <c r="CZ262" t="s">
        <v>8528</v>
      </c>
      <c r="DA262" t="s">
        <v>5904</v>
      </c>
      <c r="DB262">
        <v>833.6</v>
      </c>
      <c r="DC262" t="s">
        <v>21943</v>
      </c>
      <c r="DD262" t="s">
        <v>21944</v>
      </c>
      <c r="DE262" t="s">
        <v>21945</v>
      </c>
      <c r="DF262" t="s">
        <v>21946</v>
      </c>
      <c r="DG262" t="s">
        <v>21947</v>
      </c>
      <c r="DH262" t="str">
        <f>"PGLYRP2"</f>
        <v>PGLYRP2</v>
      </c>
      <c r="DI262" t="s">
        <v>21948</v>
      </c>
      <c r="DJ262" t="s">
        <v>13777</v>
      </c>
      <c r="DK262">
        <v>9606</v>
      </c>
      <c r="DL262" s="34" t="str">
        <f>HYPERLINK("http://www.uniprot.org/uniprot/Q96PD5", "Q96PD5")</f>
        <v>Q96PD5</v>
      </c>
      <c r="DM262" t="s">
        <v>21949</v>
      </c>
      <c r="DN262" t="s">
        <v>13791</v>
      </c>
      <c r="DO262" t="s">
        <v>17261</v>
      </c>
      <c r="DP262" t="s">
        <v>13780</v>
      </c>
      <c r="DQ262" t="s">
        <v>13772</v>
      </c>
      <c r="DR262" t="s">
        <v>13772</v>
      </c>
      <c r="DS262" t="s">
        <v>13808</v>
      </c>
      <c r="DT262" t="s">
        <v>13856</v>
      </c>
      <c r="DU262" t="s">
        <v>13857</v>
      </c>
      <c r="DV262" t="s">
        <v>13964</v>
      </c>
      <c r="DW262" t="s">
        <v>13772</v>
      </c>
      <c r="DX262" t="s">
        <v>21950</v>
      </c>
      <c r="DY262" t="s">
        <v>21951</v>
      </c>
      <c r="DZ262" t="s">
        <v>21952</v>
      </c>
      <c r="EA262" t="s">
        <v>13772</v>
      </c>
      <c r="EB262" t="s">
        <v>14470</v>
      </c>
    </row>
    <row r="263" spans="1:132">
      <c r="A263">
        <v>2451</v>
      </c>
      <c r="B263">
        <v>1</v>
      </c>
      <c r="C263" t="s">
        <v>5758</v>
      </c>
      <c r="D263" t="s">
        <v>73</v>
      </c>
      <c r="E263" t="s">
        <v>5759</v>
      </c>
      <c r="F263" t="s">
        <v>5760</v>
      </c>
      <c r="G263" t="s">
        <v>73</v>
      </c>
      <c r="H263">
        <v>36.6</v>
      </c>
      <c r="I263">
        <v>462</v>
      </c>
      <c r="J263">
        <v>50220</v>
      </c>
      <c r="K263" t="s">
        <v>5761</v>
      </c>
      <c r="L263">
        <f t="shared" si="18"/>
        <v>177</v>
      </c>
      <c r="N263">
        <v>177</v>
      </c>
      <c r="O263">
        <v>99</v>
      </c>
      <c r="P263">
        <v>0.55900000000000005</v>
      </c>
      <c r="Q263">
        <v>6</v>
      </c>
      <c r="R263">
        <v>8</v>
      </c>
      <c r="S263">
        <v>6</v>
      </c>
      <c r="T263">
        <v>3</v>
      </c>
      <c r="U263">
        <v>12</v>
      </c>
      <c r="V263">
        <v>10</v>
      </c>
      <c r="W263">
        <v>8</v>
      </c>
      <c r="X263">
        <v>11</v>
      </c>
      <c r="Y263">
        <v>36</v>
      </c>
      <c r="Z263">
        <v>2</v>
      </c>
      <c r="AA263">
        <v>19</v>
      </c>
      <c r="AB263">
        <v>14</v>
      </c>
      <c r="AC263">
        <v>8</v>
      </c>
      <c r="AD263">
        <v>1</v>
      </c>
      <c r="AE263">
        <v>16</v>
      </c>
      <c r="AF263">
        <v>7</v>
      </c>
      <c r="AG263">
        <v>5</v>
      </c>
      <c r="AH263">
        <v>1</v>
      </c>
      <c r="AI263">
        <v>4</v>
      </c>
      <c r="AJ263">
        <v>3</v>
      </c>
      <c r="AK263">
        <v>4</v>
      </c>
      <c r="AL263">
        <v>2</v>
      </c>
      <c r="AM263">
        <v>0</v>
      </c>
      <c r="AN263">
        <v>7</v>
      </c>
      <c r="AO263">
        <v>6</v>
      </c>
      <c r="AP263">
        <v>5</v>
      </c>
      <c r="AQ263">
        <v>6</v>
      </c>
      <c r="AR263">
        <v>28</v>
      </c>
      <c r="AS263">
        <v>1</v>
      </c>
      <c r="AT263">
        <v>9</v>
      </c>
      <c r="AU263">
        <v>10</v>
      </c>
      <c r="AV263">
        <v>5</v>
      </c>
      <c r="AW263">
        <v>1</v>
      </c>
      <c r="AX263">
        <v>6</v>
      </c>
      <c r="AY263">
        <v>4</v>
      </c>
      <c r="AZ263">
        <v>2</v>
      </c>
      <c r="BA263">
        <v>0</v>
      </c>
      <c r="BB263">
        <v>0</v>
      </c>
      <c r="BC263" s="2">
        <v>5.3330000000000002</v>
      </c>
      <c r="BD263" s="2">
        <v>7.0949999999999998</v>
      </c>
      <c r="BE263" s="2">
        <v>5.1189999999999998</v>
      </c>
      <c r="BF263" s="2">
        <v>2.3330000000000002</v>
      </c>
      <c r="BG263" s="2">
        <v>10.904</v>
      </c>
      <c r="BH263" s="2">
        <v>9.0950000000000006</v>
      </c>
      <c r="BI263" s="2">
        <v>7.3330000000000002</v>
      </c>
      <c r="BJ263" s="2">
        <v>9.8800000000000008</v>
      </c>
      <c r="BK263" s="2">
        <v>35.139000000000003</v>
      </c>
      <c r="BL263" s="2">
        <v>1.762</v>
      </c>
      <c r="BM263" s="2">
        <v>17.686</v>
      </c>
      <c r="BN263" s="2">
        <v>13.27</v>
      </c>
      <c r="BO263" s="2">
        <v>7.508</v>
      </c>
      <c r="BP263" s="2">
        <v>1</v>
      </c>
      <c r="BQ263" s="2">
        <v>14.486000000000001</v>
      </c>
      <c r="BR263" s="2">
        <v>6.3090000000000002</v>
      </c>
      <c r="BS263" s="2">
        <v>4.3090000000000002</v>
      </c>
      <c r="BT263" s="2">
        <v>0.78600000000000003</v>
      </c>
      <c r="BU263" s="2">
        <v>3.47</v>
      </c>
      <c r="BV263" s="2">
        <f t="shared" ref="BV263:BV326" si="21">SUM(BC263:BU263)</f>
        <v>162.81699999999998</v>
      </c>
      <c r="BW263" s="16">
        <f t="shared" si="19"/>
        <v>8.5693157894736824</v>
      </c>
      <c r="BX263" s="16">
        <f>COUNTIF($BC$6:BU263, "=0") / COUNTIF($BC$6:BU263, "&gt;-1")</f>
        <v>6.2015503875968991E-2</v>
      </c>
      <c r="BY263" s="18">
        <f>SUM($BC$6:BU263) / $BY$4</f>
        <v>0.73614055849680127</v>
      </c>
      <c r="BZ263" s="14">
        <f t="shared" si="20"/>
        <v>0</v>
      </c>
      <c r="CA263" t="s">
        <v>5831</v>
      </c>
      <c r="CB263" s="36">
        <v>6.4217099979240704</v>
      </c>
      <c r="CC263" s="36">
        <v>6.8377552568098698</v>
      </c>
      <c r="CD263" s="36">
        <v>8.1640680752425094</v>
      </c>
      <c r="CE263" s="36">
        <v>3.4774200460524298</v>
      </c>
      <c r="CF263" s="36">
        <v>9.3759223233121194</v>
      </c>
      <c r="CG263" s="36">
        <v>8.4605179444193706</v>
      </c>
      <c r="CH263" s="36">
        <v>7.6946546649118801</v>
      </c>
      <c r="CI263" s="36">
        <v>9.6345176200248304</v>
      </c>
      <c r="CJ263" s="37">
        <v>27.896016092898002</v>
      </c>
      <c r="CK263" s="37">
        <v>11.162498749922699</v>
      </c>
      <c r="CL263" s="37">
        <v>10.640722831955699</v>
      </c>
      <c r="CM263" s="37">
        <v>6.3491028494995598</v>
      </c>
      <c r="CN263" s="37">
        <v>13.3224922043192</v>
      </c>
      <c r="CO263" s="37">
        <v>4.9719005934262901</v>
      </c>
      <c r="CP263" s="37">
        <v>6.4867222058084204</v>
      </c>
      <c r="CQ263" s="37">
        <v>5.3292289626611602</v>
      </c>
      <c r="CR263" s="45">
        <v>0.52657610931170595</v>
      </c>
      <c r="CS263" s="45">
        <v>1.4343867201059399</v>
      </c>
      <c r="CT263" s="46">
        <v>0.21337764866682199</v>
      </c>
      <c r="CU263" s="47">
        <v>0.27880790421504698</v>
      </c>
      <c r="CV263" s="48">
        <v>7.5083207410871404</v>
      </c>
      <c r="CW263" s="49">
        <v>10.7698355613114</v>
      </c>
      <c r="CX263" s="31" t="s">
        <v>5874</v>
      </c>
      <c r="CY263" s="31" t="s">
        <v>5832</v>
      </c>
      <c r="CZ263" t="s">
        <v>10267</v>
      </c>
      <c r="DA263" t="s">
        <v>5904</v>
      </c>
      <c r="DB263">
        <v>929.1</v>
      </c>
      <c r="DC263" t="s">
        <v>26901</v>
      </c>
      <c r="DD263" t="s">
        <v>26902</v>
      </c>
      <c r="DE263" t="s">
        <v>26903</v>
      </c>
      <c r="DF263" t="s">
        <v>26904</v>
      </c>
      <c r="DG263" t="s">
        <v>26905</v>
      </c>
      <c r="DH263" t="str">
        <f>"EEF1A1"</f>
        <v>EEF1A1</v>
      </c>
      <c r="DI263" t="s">
        <v>26906</v>
      </c>
      <c r="DJ263" t="s">
        <v>13777</v>
      </c>
      <c r="DK263">
        <v>9606</v>
      </c>
      <c r="DL263" s="34" t="str">
        <f>HYPERLINK("http://www.uniprot.org/uniprot/P68104", "P68104")</f>
        <v>P68104</v>
      </c>
      <c r="DM263" t="s">
        <v>26907</v>
      </c>
      <c r="DN263" t="s">
        <v>17814</v>
      </c>
      <c r="DO263" t="s">
        <v>14968</v>
      </c>
      <c r="DP263" t="s">
        <v>13841</v>
      </c>
      <c r="DQ263" t="s">
        <v>13772</v>
      </c>
      <c r="DR263" t="s">
        <v>13772</v>
      </c>
      <c r="DS263" t="s">
        <v>13772</v>
      </c>
      <c r="DT263" t="s">
        <v>14216</v>
      </c>
      <c r="DU263" t="s">
        <v>19001</v>
      </c>
      <c r="DV263" t="s">
        <v>23880</v>
      </c>
      <c r="DW263" t="s">
        <v>13812</v>
      </c>
      <c r="DX263" t="s">
        <v>26908</v>
      </c>
      <c r="DY263" t="s">
        <v>26909</v>
      </c>
      <c r="DZ263" t="s">
        <v>26910</v>
      </c>
      <c r="EA263" t="s">
        <v>13772</v>
      </c>
      <c r="EB263" t="s">
        <v>26911</v>
      </c>
    </row>
    <row r="264" spans="1:132" hidden="1">
      <c r="A264">
        <v>841</v>
      </c>
      <c r="B264">
        <v>1</v>
      </c>
      <c r="C264" t="s">
        <v>2062</v>
      </c>
      <c r="D264" t="s">
        <v>2063</v>
      </c>
      <c r="E264" t="s">
        <v>73</v>
      </c>
      <c r="F264" t="s">
        <v>73</v>
      </c>
      <c r="G264" t="s">
        <v>73</v>
      </c>
      <c r="H264">
        <v>35.5</v>
      </c>
      <c r="I264">
        <v>921</v>
      </c>
      <c r="J264">
        <v>102462</v>
      </c>
      <c r="K264" t="s">
        <v>2064</v>
      </c>
      <c r="L264">
        <f t="shared" si="18"/>
        <v>161</v>
      </c>
      <c r="N264">
        <v>161</v>
      </c>
      <c r="O264">
        <v>161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4</v>
      </c>
      <c r="Y264">
        <v>10</v>
      </c>
      <c r="Z264">
        <v>17</v>
      </c>
      <c r="AA264">
        <v>8</v>
      </c>
      <c r="AB264">
        <v>15</v>
      </c>
      <c r="AC264">
        <v>29</v>
      </c>
      <c r="AD264">
        <v>17</v>
      </c>
      <c r="AE264">
        <v>11</v>
      </c>
      <c r="AF264">
        <v>11</v>
      </c>
      <c r="AG264">
        <v>9</v>
      </c>
      <c r="AH264">
        <v>5</v>
      </c>
      <c r="AI264">
        <v>20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4</v>
      </c>
      <c r="AR264">
        <v>10</v>
      </c>
      <c r="AS264">
        <v>17</v>
      </c>
      <c r="AT264">
        <v>8</v>
      </c>
      <c r="AU264">
        <v>15</v>
      </c>
      <c r="AV264">
        <v>29</v>
      </c>
      <c r="AW264">
        <v>17</v>
      </c>
      <c r="AX264">
        <v>11</v>
      </c>
      <c r="AY264">
        <v>11</v>
      </c>
      <c r="AZ264">
        <v>9</v>
      </c>
      <c r="BA264">
        <v>5</v>
      </c>
      <c r="BB264">
        <v>20</v>
      </c>
      <c r="BC264" s="2">
        <v>1</v>
      </c>
      <c r="BD264" s="2">
        <v>0</v>
      </c>
      <c r="BE264" s="2">
        <v>1</v>
      </c>
      <c r="BF264" s="2">
        <v>1</v>
      </c>
      <c r="BG264" s="2">
        <v>1</v>
      </c>
      <c r="BH264" s="2">
        <v>0</v>
      </c>
      <c r="BI264" s="2">
        <v>1</v>
      </c>
      <c r="BJ264" s="2">
        <v>4</v>
      </c>
      <c r="BK264" s="2">
        <v>10</v>
      </c>
      <c r="BL264" s="2">
        <v>17</v>
      </c>
      <c r="BM264" s="2">
        <v>8</v>
      </c>
      <c r="BN264" s="2">
        <v>15</v>
      </c>
      <c r="BO264" s="2">
        <v>29</v>
      </c>
      <c r="BP264" s="2">
        <v>17</v>
      </c>
      <c r="BQ264" s="2">
        <v>11</v>
      </c>
      <c r="BR264" s="2">
        <v>11</v>
      </c>
      <c r="BS264" s="2">
        <v>9</v>
      </c>
      <c r="BT264" s="2">
        <v>5</v>
      </c>
      <c r="BU264" s="2">
        <v>20</v>
      </c>
      <c r="BV264" s="2">
        <f t="shared" si="21"/>
        <v>161</v>
      </c>
      <c r="BW264" s="16">
        <f t="shared" si="19"/>
        <v>8.473684210526315</v>
      </c>
      <c r="BX264" s="16">
        <f>COUNTIF($BC$6:BU264, "=0") / COUNTIF($BC$6:BU264, "&gt;-1")</f>
        <v>6.2182483235114813E-2</v>
      </c>
      <c r="BY264" s="18">
        <f>SUM($BC$6:BU264) / $BY$4</f>
        <v>0.73683022403266207</v>
      </c>
      <c r="BZ264" s="14">
        <f t="shared" si="20"/>
        <v>2</v>
      </c>
      <c r="CA264" t="s">
        <v>5831</v>
      </c>
      <c r="CB264" s="36">
        <v>1.2116433958347299</v>
      </c>
      <c r="CC264" s="36">
        <v>0.24076603016936199</v>
      </c>
      <c r="CD264" s="36">
        <v>1.6007976618122599</v>
      </c>
      <c r="CE264" s="36">
        <v>1.5119217591532299</v>
      </c>
      <c r="CF264" s="36">
        <v>0.86017635993689201</v>
      </c>
      <c r="CG264" s="36">
        <v>0.23243181165987301</v>
      </c>
      <c r="CH264" s="36">
        <v>1.05406228286464</v>
      </c>
      <c r="CI264" s="36">
        <v>3.8927343919292201</v>
      </c>
      <c r="CJ264" s="37">
        <v>7.9475829324495697</v>
      </c>
      <c r="CK264" s="37">
        <v>5.0451971751062796</v>
      </c>
      <c r="CL264" s="37">
        <v>12.0008152240101</v>
      </c>
      <c r="CM264" s="37">
        <v>24.549864351398298</v>
      </c>
      <c r="CN264" s="37">
        <v>10.1067182239663</v>
      </c>
      <c r="CO264" s="37">
        <v>8.6810962742363706</v>
      </c>
      <c r="CP264" s="37">
        <v>13.576860430761799</v>
      </c>
      <c r="CQ264" s="37">
        <v>30.4527369294923</v>
      </c>
      <c r="CR264" s="45">
        <v>3.2829394975906698</v>
      </c>
      <c r="CS264" s="45">
        <v>10.5955504306402</v>
      </c>
      <c r="CT264" s="46">
        <v>3.88064007145411E-9</v>
      </c>
      <c r="CU264" s="47">
        <v>4.0564815746918798E-8</v>
      </c>
      <c r="CV264" s="48">
        <v>1.32556671167003</v>
      </c>
      <c r="CW264" s="49">
        <v>14.045108942677601</v>
      </c>
      <c r="CX264" s="31" t="s">
        <v>5874</v>
      </c>
      <c r="CY264" s="31" t="s">
        <v>5876</v>
      </c>
      <c r="CZ264" t="s">
        <v>8583</v>
      </c>
      <c r="DA264" t="s">
        <v>5904</v>
      </c>
      <c r="DB264">
        <v>1604.3</v>
      </c>
      <c r="DC264" t="s">
        <v>22085</v>
      </c>
      <c r="DD264" t="s">
        <v>22086</v>
      </c>
      <c r="DE264" t="s">
        <v>22087</v>
      </c>
      <c r="DF264" t="s">
        <v>22088</v>
      </c>
      <c r="DG264" t="s">
        <v>22089</v>
      </c>
      <c r="DH264" t="str">
        <f>"ITIH1"</f>
        <v>ITIH1</v>
      </c>
      <c r="DI264" t="s">
        <v>22090</v>
      </c>
      <c r="DJ264" t="s">
        <v>13777</v>
      </c>
      <c r="DK264">
        <v>9606</v>
      </c>
      <c r="DL264" s="34" t="str">
        <f>HYPERLINK("http://www.uniprot.org/uniprot/P19827", "P19827")</f>
        <v>P19827</v>
      </c>
      <c r="DM264" t="s">
        <v>22091</v>
      </c>
      <c r="DN264" t="s">
        <v>13772</v>
      </c>
      <c r="DO264" t="s">
        <v>14321</v>
      </c>
      <c r="DP264" t="s">
        <v>13780</v>
      </c>
      <c r="DQ264" t="s">
        <v>13772</v>
      </c>
      <c r="DR264" t="s">
        <v>13772</v>
      </c>
      <c r="DS264" t="s">
        <v>13808</v>
      </c>
      <c r="DT264" t="s">
        <v>13772</v>
      </c>
      <c r="DU264" t="s">
        <v>14375</v>
      </c>
      <c r="DV264" t="s">
        <v>15858</v>
      </c>
      <c r="DW264" t="s">
        <v>13812</v>
      </c>
      <c r="DX264" t="s">
        <v>22092</v>
      </c>
      <c r="DY264" t="s">
        <v>22093</v>
      </c>
      <c r="DZ264" t="s">
        <v>22094</v>
      </c>
      <c r="EA264" t="s">
        <v>13772</v>
      </c>
      <c r="EB264" t="s">
        <v>13772</v>
      </c>
    </row>
    <row r="265" spans="1:132" hidden="1">
      <c r="A265">
        <v>1767</v>
      </c>
      <c r="B265">
        <v>1</v>
      </c>
      <c r="C265" t="s">
        <v>4182</v>
      </c>
      <c r="D265" t="s">
        <v>73</v>
      </c>
      <c r="E265" t="s">
        <v>73</v>
      </c>
      <c r="F265" t="s">
        <v>73</v>
      </c>
      <c r="G265" t="s">
        <v>73</v>
      </c>
      <c r="H265">
        <v>80.900000000000006</v>
      </c>
      <c r="I265">
        <v>199</v>
      </c>
      <c r="J265">
        <v>22347</v>
      </c>
      <c r="K265" t="s">
        <v>4183</v>
      </c>
      <c r="L265">
        <f t="shared" si="18"/>
        <v>160</v>
      </c>
      <c r="N265">
        <v>160</v>
      </c>
      <c r="O265">
        <v>160</v>
      </c>
      <c r="P265">
        <v>1</v>
      </c>
      <c r="Q265">
        <v>2</v>
      </c>
      <c r="R265">
        <v>1</v>
      </c>
      <c r="S265">
        <v>0</v>
      </c>
      <c r="T265">
        <v>0</v>
      </c>
      <c r="U265">
        <v>4</v>
      </c>
      <c r="V265">
        <v>2</v>
      </c>
      <c r="W265">
        <v>2</v>
      </c>
      <c r="X265">
        <v>5</v>
      </c>
      <c r="Y265">
        <v>31</v>
      </c>
      <c r="Z265">
        <v>3</v>
      </c>
      <c r="AA265">
        <v>32</v>
      </c>
      <c r="AB265">
        <v>8</v>
      </c>
      <c r="AC265">
        <v>11</v>
      </c>
      <c r="AD265">
        <v>2</v>
      </c>
      <c r="AE265">
        <v>17</v>
      </c>
      <c r="AF265">
        <v>25</v>
      </c>
      <c r="AG265">
        <v>3</v>
      </c>
      <c r="AH265">
        <v>2</v>
      </c>
      <c r="AI265">
        <v>10</v>
      </c>
      <c r="AJ265">
        <v>2</v>
      </c>
      <c r="AK265">
        <v>1</v>
      </c>
      <c r="AL265">
        <v>0</v>
      </c>
      <c r="AM265">
        <v>0</v>
      </c>
      <c r="AN265">
        <v>4</v>
      </c>
      <c r="AO265">
        <v>2</v>
      </c>
      <c r="AP265">
        <v>2</v>
      </c>
      <c r="AQ265">
        <v>5</v>
      </c>
      <c r="AR265">
        <v>31</v>
      </c>
      <c r="AS265">
        <v>3</v>
      </c>
      <c r="AT265">
        <v>32</v>
      </c>
      <c r="AU265">
        <v>8</v>
      </c>
      <c r="AV265">
        <v>11</v>
      </c>
      <c r="AW265">
        <v>2</v>
      </c>
      <c r="AX265">
        <v>17</v>
      </c>
      <c r="AY265">
        <v>25</v>
      </c>
      <c r="AZ265">
        <v>3</v>
      </c>
      <c r="BA265">
        <v>2</v>
      </c>
      <c r="BB265">
        <v>10</v>
      </c>
      <c r="BC265" s="2">
        <v>2</v>
      </c>
      <c r="BD265" s="2">
        <v>1</v>
      </c>
      <c r="BE265" s="2">
        <v>0</v>
      </c>
      <c r="BF265" s="2">
        <v>0</v>
      </c>
      <c r="BG265" s="2">
        <v>4</v>
      </c>
      <c r="BH265" s="2">
        <v>2</v>
      </c>
      <c r="BI265" s="2">
        <v>2</v>
      </c>
      <c r="BJ265" s="2">
        <v>5</v>
      </c>
      <c r="BK265" s="2">
        <v>31</v>
      </c>
      <c r="BL265" s="2">
        <v>3</v>
      </c>
      <c r="BM265" s="2">
        <v>32</v>
      </c>
      <c r="BN265" s="2">
        <v>8</v>
      </c>
      <c r="BO265" s="2">
        <v>11</v>
      </c>
      <c r="BP265" s="2">
        <v>2</v>
      </c>
      <c r="BQ265" s="2">
        <v>17</v>
      </c>
      <c r="BR265" s="2">
        <v>25</v>
      </c>
      <c r="BS265" s="2">
        <v>3</v>
      </c>
      <c r="BT265" s="2">
        <v>2</v>
      </c>
      <c r="BU265" s="2">
        <v>10</v>
      </c>
      <c r="BV265" s="2">
        <f t="shared" si="21"/>
        <v>160</v>
      </c>
      <c r="BW265" s="16">
        <f t="shared" si="19"/>
        <v>8.4210526315789469</v>
      </c>
      <c r="BX265" s="16">
        <f>COUNTIF($BC$6:BU265, "=0") / COUNTIF($BC$6:BU265, "&gt;-1")</f>
        <v>6.2348178137651825E-2</v>
      </c>
      <c r="BY265" s="18">
        <f>SUM($BC$6:BU265) / $BY$4</f>
        <v>0.73751560593165422</v>
      </c>
      <c r="BZ265" s="14">
        <f t="shared" si="20"/>
        <v>2</v>
      </c>
      <c r="CA265" t="s">
        <v>5831</v>
      </c>
      <c r="CB265" s="36">
        <v>2.4232867916694598</v>
      </c>
      <c r="CC265" s="36">
        <v>0.96306412067744696</v>
      </c>
      <c r="CD265" s="36">
        <v>0.40019941545306398</v>
      </c>
      <c r="CE265" s="36">
        <v>0.37798043978830698</v>
      </c>
      <c r="CF265" s="36">
        <v>3.4407054397475698</v>
      </c>
      <c r="CG265" s="36">
        <v>1.85945449327898</v>
      </c>
      <c r="CH265" s="36">
        <v>2.10812456572928</v>
      </c>
      <c r="CI265" s="36">
        <v>4.8659179899115301</v>
      </c>
      <c r="CJ265" s="37">
        <v>24.637507090593701</v>
      </c>
      <c r="CK265" s="37">
        <v>20.180788700425101</v>
      </c>
      <c r="CL265" s="37">
        <v>6.4004347861387396</v>
      </c>
      <c r="CM265" s="37">
        <v>9.3120175125993505</v>
      </c>
      <c r="CN265" s="37">
        <v>15.619473618856899</v>
      </c>
      <c r="CO265" s="37">
        <v>19.729764259628102</v>
      </c>
      <c r="CP265" s="37">
        <v>4.5256201435872701</v>
      </c>
      <c r="CQ265" s="37">
        <v>15.2263684647462</v>
      </c>
      <c r="CR265" s="45">
        <v>2.67830406013044</v>
      </c>
      <c r="CS265" s="45">
        <v>7.0341170924817202</v>
      </c>
      <c r="CT265" s="46">
        <v>2.2924886760599199E-8</v>
      </c>
      <c r="CU265" s="47">
        <v>1.8934258324494901E-7</v>
      </c>
      <c r="CV265" s="48">
        <v>2.0548416570319499</v>
      </c>
      <c r="CW265" s="49">
        <v>14.4539968220719</v>
      </c>
      <c r="CX265" s="31" t="s">
        <v>5874</v>
      </c>
      <c r="CY265" s="31" t="s">
        <v>5876</v>
      </c>
      <c r="CZ265" t="s">
        <v>11646</v>
      </c>
      <c r="DA265" t="s">
        <v>5904</v>
      </c>
      <c r="DB265">
        <v>408.7</v>
      </c>
      <c r="DC265" t="s">
        <v>30763</v>
      </c>
      <c r="DD265" t="s">
        <v>30764</v>
      </c>
      <c r="DE265" t="s">
        <v>30765</v>
      </c>
      <c r="DF265" t="s">
        <v>30766</v>
      </c>
      <c r="DG265" t="s">
        <v>30767</v>
      </c>
      <c r="DH265" t="str">
        <f>"TAGLN2"</f>
        <v>TAGLN2</v>
      </c>
      <c r="DI265" t="s">
        <v>30768</v>
      </c>
      <c r="DJ265" t="s">
        <v>13777</v>
      </c>
      <c r="DK265">
        <v>9606</v>
      </c>
      <c r="DL265" s="34" t="str">
        <f>HYPERLINK("http://www.uniprot.org/uniprot/P37802", "P37802")</f>
        <v>P37802</v>
      </c>
      <c r="DM265" t="s">
        <v>30769</v>
      </c>
      <c r="DN265" t="s">
        <v>13772</v>
      </c>
      <c r="DO265" t="s">
        <v>13772</v>
      </c>
      <c r="DP265" t="s">
        <v>13780</v>
      </c>
      <c r="DQ265" t="s">
        <v>13772</v>
      </c>
      <c r="DR265" t="s">
        <v>13772</v>
      </c>
      <c r="DS265" t="s">
        <v>13772</v>
      </c>
      <c r="DT265" t="s">
        <v>13772</v>
      </c>
      <c r="DU265" t="s">
        <v>13772</v>
      </c>
      <c r="DV265" t="s">
        <v>14663</v>
      </c>
      <c r="DW265" t="s">
        <v>13812</v>
      </c>
      <c r="DX265" t="s">
        <v>30770</v>
      </c>
      <c r="DY265" t="s">
        <v>30771</v>
      </c>
      <c r="DZ265" t="s">
        <v>21896</v>
      </c>
      <c r="EA265" t="s">
        <v>13772</v>
      </c>
      <c r="EB265" t="s">
        <v>15665</v>
      </c>
    </row>
    <row r="266" spans="1:132" hidden="1">
      <c r="A266">
        <v>2063</v>
      </c>
      <c r="B266">
        <v>1</v>
      </c>
      <c r="C266" t="s">
        <v>4850</v>
      </c>
      <c r="D266" t="s">
        <v>73</v>
      </c>
      <c r="E266" t="s">
        <v>73</v>
      </c>
      <c r="F266" t="s">
        <v>73</v>
      </c>
      <c r="G266" t="s">
        <v>73</v>
      </c>
      <c r="H266">
        <v>48.3</v>
      </c>
      <c r="I266">
        <v>627</v>
      </c>
      <c r="J266">
        <v>67770</v>
      </c>
      <c r="K266" t="s">
        <v>4851</v>
      </c>
      <c r="L266">
        <f t="shared" si="18"/>
        <v>160</v>
      </c>
      <c r="N266">
        <v>160</v>
      </c>
      <c r="O266">
        <v>160</v>
      </c>
      <c r="P266">
        <v>1</v>
      </c>
      <c r="Q266">
        <v>10</v>
      </c>
      <c r="R266">
        <v>14</v>
      </c>
      <c r="S266">
        <v>13</v>
      </c>
      <c r="T266">
        <v>12</v>
      </c>
      <c r="U266">
        <v>16</v>
      </c>
      <c r="V266">
        <v>11</v>
      </c>
      <c r="W266">
        <v>26</v>
      </c>
      <c r="X266">
        <v>25</v>
      </c>
      <c r="Y266">
        <v>4</v>
      </c>
      <c r="Z266">
        <v>0</v>
      </c>
      <c r="AA266">
        <v>7</v>
      </c>
      <c r="AB266">
        <v>9</v>
      </c>
      <c r="AC266">
        <v>2</v>
      </c>
      <c r="AD266">
        <v>2</v>
      </c>
      <c r="AE266">
        <v>2</v>
      </c>
      <c r="AF266">
        <v>4</v>
      </c>
      <c r="AG266">
        <v>1</v>
      </c>
      <c r="AH266">
        <v>0</v>
      </c>
      <c r="AI266">
        <v>2</v>
      </c>
      <c r="AJ266">
        <v>10</v>
      </c>
      <c r="AK266">
        <v>14</v>
      </c>
      <c r="AL266">
        <v>13</v>
      </c>
      <c r="AM266">
        <v>12</v>
      </c>
      <c r="AN266">
        <v>16</v>
      </c>
      <c r="AO266">
        <v>11</v>
      </c>
      <c r="AP266">
        <v>26</v>
      </c>
      <c r="AQ266">
        <v>25</v>
      </c>
      <c r="AR266">
        <v>4</v>
      </c>
      <c r="AS266">
        <v>0</v>
      </c>
      <c r="AT266">
        <v>7</v>
      </c>
      <c r="AU266">
        <v>9</v>
      </c>
      <c r="AV266">
        <v>2</v>
      </c>
      <c r="AW266">
        <v>2</v>
      </c>
      <c r="AX266">
        <v>2</v>
      </c>
      <c r="AY266">
        <v>4</v>
      </c>
      <c r="AZ266">
        <v>1</v>
      </c>
      <c r="BA266">
        <v>0</v>
      </c>
      <c r="BB266">
        <v>2</v>
      </c>
      <c r="BC266" s="2">
        <v>10</v>
      </c>
      <c r="BD266" s="2">
        <v>14</v>
      </c>
      <c r="BE266" s="2">
        <v>13</v>
      </c>
      <c r="BF266" s="2">
        <v>12</v>
      </c>
      <c r="BG266" s="2">
        <v>16</v>
      </c>
      <c r="BH266" s="2">
        <v>11</v>
      </c>
      <c r="BI266" s="2">
        <v>26</v>
      </c>
      <c r="BJ266" s="2">
        <v>25</v>
      </c>
      <c r="BK266" s="2">
        <v>4</v>
      </c>
      <c r="BL266" s="2">
        <v>0</v>
      </c>
      <c r="BM266" s="2">
        <v>7</v>
      </c>
      <c r="BN266" s="2">
        <v>9</v>
      </c>
      <c r="BO266" s="2">
        <v>2</v>
      </c>
      <c r="BP266" s="2">
        <v>2</v>
      </c>
      <c r="BQ266" s="2">
        <v>2</v>
      </c>
      <c r="BR266" s="2">
        <v>4</v>
      </c>
      <c r="BS266" s="2">
        <v>1</v>
      </c>
      <c r="BT266" s="2">
        <v>0</v>
      </c>
      <c r="BU266" s="2">
        <v>2</v>
      </c>
      <c r="BV266" s="2">
        <f t="shared" si="21"/>
        <v>160</v>
      </c>
      <c r="BW266" s="16">
        <f t="shared" si="19"/>
        <v>8.4210526315789469</v>
      </c>
      <c r="BX266" s="16">
        <f>COUNTIF($BC$6:BU266, "=0") / COUNTIF($BC$6:BU266, "&gt;-1")</f>
        <v>6.2512603347449083E-2</v>
      </c>
      <c r="BY266" s="18">
        <f>SUM($BC$6:BU266) / $BY$4</f>
        <v>0.73820098783064625</v>
      </c>
      <c r="BZ266" s="14">
        <f t="shared" si="20"/>
        <v>2</v>
      </c>
      <c r="CA266" t="s">
        <v>5831</v>
      </c>
      <c r="CB266" s="36">
        <v>12.116433958347301</v>
      </c>
      <c r="CC266" s="36">
        <v>13.4828976894843</v>
      </c>
      <c r="CD266" s="36">
        <v>20.810369603559401</v>
      </c>
      <c r="CE266" s="36">
        <v>18.143061109838801</v>
      </c>
      <c r="CF266" s="36">
        <v>13.762821758990301</v>
      </c>
      <c r="CG266" s="36">
        <v>10.226999713034401</v>
      </c>
      <c r="CH266" s="36">
        <v>27.405619354480699</v>
      </c>
      <c r="CI266" s="36">
        <v>24.3295899495577</v>
      </c>
      <c r="CJ266" s="37">
        <v>3.17903317297983</v>
      </c>
      <c r="CK266" s="37">
        <v>4.4145475282179998</v>
      </c>
      <c r="CL266" s="37">
        <v>7.2004891344060802</v>
      </c>
      <c r="CM266" s="37">
        <v>1.6930940931998799</v>
      </c>
      <c r="CN266" s="37">
        <v>1.8375851316302301</v>
      </c>
      <c r="CO266" s="37">
        <v>3.1567622815404999</v>
      </c>
      <c r="CP266" s="37">
        <v>1.50854004786242</v>
      </c>
      <c r="CQ266" s="37">
        <v>3.0452736929492299</v>
      </c>
      <c r="CR266" s="45">
        <v>-2.3200046545403201</v>
      </c>
      <c r="CS266" s="45">
        <v>-5.3879793200677302</v>
      </c>
      <c r="CT266" s="46">
        <v>1.33019325468102E-9</v>
      </c>
      <c r="CU266" s="47">
        <v>1.6179987043301902E-8</v>
      </c>
      <c r="CV266" s="48">
        <v>17.5347241421616</v>
      </c>
      <c r="CW266" s="49">
        <v>3.2544156353482698</v>
      </c>
      <c r="CX266" s="31" t="s">
        <v>5875</v>
      </c>
      <c r="CY266" s="31" t="s">
        <v>5876</v>
      </c>
      <c r="CZ266" t="s">
        <v>12630</v>
      </c>
      <c r="DA266" t="s">
        <v>5904</v>
      </c>
      <c r="DB266">
        <v>839.7</v>
      </c>
      <c r="DC266" t="s">
        <v>33531</v>
      </c>
      <c r="DD266" t="s">
        <v>33532</v>
      </c>
      <c r="DE266" t="s">
        <v>33533</v>
      </c>
      <c r="DF266" t="s">
        <v>33534</v>
      </c>
      <c r="DG266" t="s">
        <v>33535</v>
      </c>
      <c r="DH266" t="str">
        <f>"BCAM"</f>
        <v>BCAM</v>
      </c>
      <c r="DI266" t="s">
        <v>33536</v>
      </c>
      <c r="DJ266" t="s">
        <v>13777</v>
      </c>
      <c r="DK266">
        <v>9606</v>
      </c>
      <c r="DL266" s="34" t="str">
        <f>HYPERLINK("http://www.uniprot.org/uniprot/P50895", "P50895")</f>
        <v>P50895</v>
      </c>
      <c r="DM266" t="s">
        <v>33537</v>
      </c>
      <c r="DN266" t="s">
        <v>13949</v>
      </c>
      <c r="DO266" t="s">
        <v>13825</v>
      </c>
      <c r="DP266" t="s">
        <v>13793</v>
      </c>
      <c r="DQ266" t="s">
        <v>13772</v>
      </c>
      <c r="DR266" t="s">
        <v>13772</v>
      </c>
      <c r="DS266" t="s">
        <v>13951</v>
      </c>
      <c r="DT266" t="s">
        <v>13772</v>
      </c>
      <c r="DU266" t="s">
        <v>18674</v>
      </c>
      <c r="DV266" t="s">
        <v>13964</v>
      </c>
      <c r="DW266" t="s">
        <v>13812</v>
      </c>
      <c r="DX266" t="s">
        <v>33538</v>
      </c>
      <c r="DY266" t="s">
        <v>33539</v>
      </c>
      <c r="DZ266" t="s">
        <v>33540</v>
      </c>
      <c r="EA266" t="s">
        <v>13772</v>
      </c>
      <c r="EB266" t="s">
        <v>13772</v>
      </c>
    </row>
    <row r="267" spans="1:132" hidden="1">
      <c r="A267">
        <v>2073</v>
      </c>
      <c r="B267">
        <v>1</v>
      </c>
      <c r="C267" t="s">
        <v>4872</v>
      </c>
      <c r="D267" t="s">
        <v>73</v>
      </c>
      <c r="E267" t="s">
        <v>73</v>
      </c>
      <c r="F267" t="s">
        <v>73</v>
      </c>
      <c r="G267" t="s">
        <v>73</v>
      </c>
      <c r="H267">
        <v>58</v>
      </c>
      <c r="I267">
        <v>410</v>
      </c>
      <c r="J267">
        <v>45566</v>
      </c>
      <c r="K267" t="s">
        <v>4873</v>
      </c>
      <c r="L267">
        <f t="shared" si="18"/>
        <v>160</v>
      </c>
      <c r="N267">
        <v>160</v>
      </c>
      <c r="O267">
        <v>160</v>
      </c>
      <c r="P267">
        <v>1</v>
      </c>
      <c r="Q267">
        <v>14</v>
      </c>
      <c r="R267">
        <v>18</v>
      </c>
      <c r="S267">
        <v>4</v>
      </c>
      <c r="T267">
        <v>8</v>
      </c>
      <c r="U267">
        <v>26</v>
      </c>
      <c r="V267">
        <v>19</v>
      </c>
      <c r="W267">
        <v>24</v>
      </c>
      <c r="X267">
        <v>18</v>
      </c>
      <c r="Y267">
        <v>0</v>
      </c>
      <c r="Z267">
        <v>0</v>
      </c>
      <c r="AA267">
        <v>7</v>
      </c>
      <c r="AB267">
        <v>4</v>
      </c>
      <c r="AC267">
        <v>0</v>
      </c>
      <c r="AD267">
        <v>0</v>
      </c>
      <c r="AE267">
        <v>1</v>
      </c>
      <c r="AF267">
        <v>5</v>
      </c>
      <c r="AG267">
        <v>9</v>
      </c>
      <c r="AH267">
        <v>0</v>
      </c>
      <c r="AI267">
        <v>3</v>
      </c>
      <c r="AJ267">
        <v>14</v>
      </c>
      <c r="AK267">
        <v>18</v>
      </c>
      <c r="AL267">
        <v>4</v>
      </c>
      <c r="AM267">
        <v>8</v>
      </c>
      <c r="AN267">
        <v>26</v>
      </c>
      <c r="AO267">
        <v>19</v>
      </c>
      <c r="AP267">
        <v>24</v>
      </c>
      <c r="AQ267">
        <v>18</v>
      </c>
      <c r="AR267">
        <v>0</v>
      </c>
      <c r="AS267">
        <v>0</v>
      </c>
      <c r="AT267">
        <v>7</v>
      </c>
      <c r="AU267">
        <v>4</v>
      </c>
      <c r="AV267">
        <v>0</v>
      </c>
      <c r="AW267">
        <v>0</v>
      </c>
      <c r="AX267">
        <v>1</v>
      </c>
      <c r="AY267">
        <v>5</v>
      </c>
      <c r="AZ267">
        <v>9</v>
      </c>
      <c r="BA267">
        <v>0</v>
      </c>
      <c r="BB267">
        <v>3</v>
      </c>
      <c r="BC267" s="2">
        <v>14</v>
      </c>
      <c r="BD267" s="2">
        <v>18</v>
      </c>
      <c r="BE267" s="2">
        <v>4</v>
      </c>
      <c r="BF267" s="2">
        <v>8</v>
      </c>
      <c r="BG267" s="2">
        <v>26</v>
      </c>
      <c r="BH267" s="2">
        <v>19</v>
      </c>
      <c r="BI267" s="2">
        <v>24</v>
      </c>
      <c r="BJ267" s="2">
        <v>18</v>
      </c>
      <c r="BK267" s="2">
        <v>0</v>
      </c>
      <c r="BL267" s="2">
        <v>0</v>
      </c>
      <c r="BM267" s="2">
        <v>7</v>
      </c>
      <c r="BN267" s="2">
        <v>4</v>
      </c>
      <c r="BO267" s="2">
        <v>0</v>
      </c>
      <c r="BP267" s="2">
        <v>0</v>
      </c>
      <c r="BQ267" s="2">
        <v>1</v>
      </c>
      <c r="BR267" s="2">
        <v>5</v>
      </c>
      <c r="BS267" s="2">
        <v>9</v>
      </c>
      <c r="BT267" s="2">
        <v>0</v>
      </c>
      <c r="BU267" s="2">
        <v>3</v>
      </c>
      <c r="BV267" s="2">
        <f t="shared" si="21"/>
        <v>160</v>
      </c>
      <c r="BW267" s="16">
        <f t="shared" si="19"/>
        <v>8.4210526315789469</v>
      </c>
      <c r="BX267" s="16">
        <f>COUNTIF($BC$6:BU267, "=0") / COUNTIF($BC$6:BU267, "&gt;-1")</f>
        <v>6.3278425070309355E-2</v>
      </c>
      <c r="BY267" s="18">
        <f>SUM($BC$6:BU267) / $BY$4</f>
        <v>0.73888636972963828</v>
      </c>
      <c r="BZ267" s="14">
        <f t="shared" si="20"/>
        <v>5</v>
      </c>
      <c r="CA267" t="s">
        <v>5831</v>
      </c>
      <c r="CB267" s="36">
        <v>16.963007541686199</v>
      </c>
      <c r="CC267" s="36">
        <v>17.335154172193999</v>
      </c>
      <c r="CD267" s="36">
        <v>6.4031906472490299</v>
      </c>
      <c r="CE267" s="36">
        <v>12.0953740732258</v>
      </c>
      <c r="CF267" s="36">
        <v>22.3645853583592</v>
      </c>
      <c r="CG267" s="36">
        <v>17.6648176861503</v>
      </c>
      <c r="CH267" s="36">
        <v>25.297494788751401</v>
      </c>
      <c r="CI267" s="36">
        <v>17.517304763681501</v>
      </c>
      <c r="CJ267" s="37">
        <v>0.19868957331123899</v>
      </c>
      <c r="CK267" s="37">
        <v>4.4145475282179998</v>
      </c>
      <c r="CL267" s="37">
        <v>3.2002173930693698</v>
      </c>
      <c r="CM267" s="37">
        <v>0.21163676164998499</v>
      </c>
      <c r="CN267" s="37">
        <v>0.91879256581511404</v>
      </c>
      <c r="CO267" s="37">
        <v>3.94595285192562</v>
      </c>
      <c r="CP267" s="37">
        <v>13.576860430761799</v>
      </c>
      <c r="CQ267" s="37">
        <v>4.5679105394238499</v>
      </c>
      <c r="CR267" s="45">
        <v>-2.2357690909262899</v>
      </c>
      <c r="CS267" s="45">
        <v>-4.3706345698479101</v>
      </c>
      <c r="CT267" s="46">
        <v>1.34693686581372E-5</v>
      </c>
      <c r="CU267" s="47">
        <v>4.8187206589806302E-5</v>
      </c>
      <c r="CV267" s="48">
        <v>16.955116128912199</v>
      </c>
      <c r="CW267" s="49">
        <v>3.8793259555218702</v>
      </c>
      <c r="CX267" s="31" t="s">
        <v>5875</v>
      </c>
      <c r="CY267" s="31" t="s">
        <v>5876</v>
      </c>
      <c r="CZ267" t="s">
        <v>12663</v>
      </c>
      <c r="DA267" t="s">
        <v>5904</v>
      </c>
      <c r="DB267">
        <v>688.3</v>
      </c>
      <c r="DC267" t="s">
        <v>33625</v>
      </c>
      <c r="DD267" t="s">
        <v>33626</v>
      </c>
      <c r="DE267" t="s">
        <v>33627</v>
      </c>
      <c r="DF267" t="s">
        <v>33628</v>
      </c>
      <c r="DG267" t="s">
        <v>33629</v>
      </c>
      <c r="DH267" t="str">
        <f>"DPEP1"</f>
        <v>DPEP1</v>
      </c>
      <c r="DI267" t="s">
        <v>33630</v>
      </c>
      <c r="DJ267" t="s">
        <v>13777</v>
      </c>
      <c r="DK267">
        <v>9606</v>
      </c>
      <c r="DL267" s="34" t="str">
        <f>HYPERLINK("http://www.uniprot.org/uniprot/P16444", "P16444")</f>
        <v>P16444</v>
      </c>
      <c r="DM267" t="s">
        <v>33631</v>
      </c>
      <c r="DN267" t="s">
        <v>13772</v>
      </c>
      <c r="DO267" t="s">
        <v>15856</v>
      </c>
      <c r="DP267" t="s">
        <v>13793</v>
      </c>
      <c r="DQ267" t="s">
        <v>13772</v>
      </c>
      <c r="DR267" t="s">
        <v>13772</v>
      </c>
      <c r="DS267" t="s">
        <v>13808</v>
      </c>
      <c r="DT267" t="s">
        <v>13856</v>
      </c>
      <c r="DU267" t="s">
        <v>33562</v>
      </c>
      <c r="DV267" t="s">
        <v>15699</v>
      </c>
      <c r="DW267" t="s">
        <v>13812</v>
      </c>
      <c r="DX267" t="s">
        <v>33632</v>
      </c>
      <c r="DY267" t="s">
        <v>33633</v>
      </c>
      <c r="DZ267" t="s">
        <v>33634</v>
      </c>
      <c r="EA267" t="s">
        <v>13772</v>
      </c>
      <c r="EB267" t="s">
        <v>33635</v>
      </c>
    </row>
    <row r="268" spans="1:132" hidden="1">
      <c r="A268">
        <v>1976</v>
      </c>
      <c r="B268">
        <v>1</v>
      </c>
      <c r="C268" t="s">
        <v>4654</v>
      </c>
      <c r="D268" t="s">
        <v>73</v>
      </c>
      <c r="E268" t="s">
        <v>73</v>
      </c>
      <c r="F268" t="s">
        <v>4180</v>
      </c>
      <c r="G268" t="s">
        <v>73</v>
      </c>
      <c r="H268">
        <v>65.900000000000006</v>
      </c>
      <c r="I268">
        <v>364</v>
      </c>
      <c r="J268">
        <v>39585</v>
      </c>
      <c r="K268" t="s">
        <v>4655</v>
      </c>
      <c r="L268">
        <f t="shared" si="18"/>
        <v>168</v>
      </c>
      <c r="N268">
        <v>168</v>
      </c>
      <c r="O268">
        <v>152</v>
      </c>
      <c r="P268">
        <v>0.90500000000000003</v>
      </c>
      <c r="Q268">
        <v>10</v>
      </c>
      <c r="R268">
        <v>21</v>
      </c>
      <c r="S268">
        <v>5</v>
      </c>
      <c r="T268">
        <v>6</v>
      </c>
      <c r="U268">
        <v>41</v>
      </c>
      <c r="V268">
        <v>22</v>
      </c>
      <c r="W268">
        <v>16</v>
      </c>
      <c r="X268">
        <v>19</v>
      </c>
      <c r="Y268">
        <v>0</v>
      </c>
      <c r="Z268">
        <v>0</v>
      </c>
      <c r="AA268">
        <v>5</v>
      </c>
      <c r="AB268">
        <v>1</v>
      </c>
      <c r="AC268">
        <v>1</v>
      </c>
      <c r="AD268">
        <v>0</v>
      </c>
      <c r="AE268">
        <v>1</v>
      </c>
      <c r="AF268">
        <v>13</v>
      </c>
      <c r="AG268">
        <v>1</v>
      </c>
      <c r="AH268">
        <v>1</v>
      </c>
      <c r="AI268">
        <v>5</v>
      </c>
      <c r="AJ268">
        <v>9</v>
      </c>
      <c r="AK268">
        <v>20</v>
      </c>
      <c r="AL268">
        <v>4</v>
      </c>
      <c r="AM268">
        <v>5</v>
      </c>
      <c r="AN268">
        <v>39</v>
      </c>
      <c r="AO268">
        <v>20</v>
      </c>
      <c r="AP268">
        <v>15</v>
      </c>
      <c r="AQ268">
        <v>18</v>
      </c>
      <c r="AR268">
        <v>0</v>
      </c>
      <c r="AS268">
        <v>0</v>
      </c>
      <c r="AT268">
        <v>5</v>
      </c>
      <c r="AU268">
        <v>0</v>
      </c>
      <c r="AV268">
        <v>1</v>
      </c>
      <c r="AW268">
        <v>0</v>
      </c>
      <c r="AX268">
        <v>0</v>
      </c>
      <c r="AY268">
        <v>12</v>
      </c>
      <c r="AZ268">
        <v>0</v>
      </c>
      <c r="BA268">
        <v>0</v>
      </c>
      <c r="BB268">
        <v>4</v>
      </c>
      <c r="BC268" s="2">
        <v>9.5619999999999994</v>
      </c>
      <c r="BD268" s="2">
        <v>20.713999999999999</v>
      </c>
      <c r="BE268" s="2">
        <v>5</v>
      </c>
      <c r="BF268" s="2">
        <v>6</v>
      </c>
      <c r="BG268" s="2">
        <v>40.417999999999999</v>
      </c>
      <c r="BH268" s="2">
        <v>21.143000000000001</v>
      </c>
      <c r="BI268" s="2">
        <v>15.682</v>
      </c>
      <c r="BJ268" s="2">
        <v>18.5</v>
      </c>
      <c r="BK268" s="2">
        <v>0</v>
      </c>
      <c r="BL268" s="2">
        <v>0</v>
      </c>
      <c r="BM268" s="2">
        <v>5</v>
      </c>
      <c r="BN268" s="2">
        <v>0</v>
      </c>
      <c r="BO268" s="2">
        <v>1</v>
      </c>
      <c r="BP268" s="2">
        <v>0</v>
      </c>
      <c r="BQ268" s="2">
        <v>0</v>
      </c>
      <c r="BR268" s="2">
        <v>12.462</v>
      </c>
      <c r="BS268" s="2">
        <v>0</v>
      </c>
      <c r="BT268" s="2">
        <v>0</v>
      </c>
      <c r="BU268" s="2">
        <v>4.3079999999999998</v>
      </c>
      <c r="BV268" s="2">
        <f t="shared" si="21"/>
        <v>159.78899999999999</v>
      </c>
      <c r="BW268" s="16">
        <f t="shared" si="19"/>
        <v>8.4099473684210526</v>
      </c>
      <c r="BX268" s="16">
        <f>COUNTIF($BC$6:BU268, "=0") / COUNTIF($BC$6:BU268, "&gt;-1")</f>
        <v>6.4438663197918758E-2</v>
      </c>
      <c r="BY268" s="18">
        <f>SUM($BC$6:BU268) / $BY$4</f>
        <v>0.73957084778125115</v>
      </c>
      <c r="BZ268" s="14">
        <f t="shared" si="20"/>
        <v>7</v>
      </c>
      <c r="CA268" t="s">
        <v>5831</v>
      </c>
      <c r="CB268" s="36">
        <v>11.631776600013399</v>
      </c>
      <c r="CC268" s="36">
        <v>19.9354272980231</v>
      </c>
      <c r="CD268" s="36">
        <v>8.00398830906129</v>
      </c>
      <c r="CE268" s="36">
        <v>9.0715305549193808</v>
      </c>
      <c r="CF268" s="36">
        <v>34.751124941450399</v>
      </c>
      <c r="CG268" s="36">
        <v>19.617244904093301</v>
      </c>
      <c r="CH268" s="36">
        <v>16.5487778409749</v>
      </c>
      <c r="CI268" s="36">
        <v>18.003896562672701</v>
      </c>
      <c r="CJ268" s="37">
        <v>0.19868957331123899</v>
      </c>
      <c r="CK268" s="37">
        <v>3.1532482344414299</v>
      </c>
      <c r="CL268" s="37">
        <v>0.200013587066836</v>
      </c>
      <c r="CM268" s="37">
        <v>0.84654704659994096</v>
      </c>
      <c r="CN268" s="37">
        <v>0.22969814145377901</v>
      </c>
      <c r="CO268" s="37">
        <v>9.8648821298140597</v>
      </c>
      <c r="CP268" s="37">
        <v>0.377135011965606</v>
      </c>
      <c r="CQ268" s="37">
        <v>6.5473384398408498</v>
      </c>
      <c r="CR268" s="45">
        <v>-2.65634153681285</v>
      </c>
      <c r="CS268" s="45">
        <v>-6.4229453466331803</v>
      </c>
      <c r="CT268" s="46">
        <v>7.03914691462103E-6</v>
      </c>
      <c r="CU268" s="47">
        <v>2.69096530621798E-5</v>
      </c>
      <c r="CV268" s="48">
        <v>17.1954708764011</v>
      </c>
      <c r="CW268" s="49">
        <v>2.67719402056172</v>
      </c>
      <c r="CX268" s="31" t="s">
        <v>5875</v>
      </c>
      <c r="CY268" s="31" t="s">
        <v>5876</v>
      </c>
      <c r="CZ268" t="s">
        <v>12342</v>
      </c>
      <c r="DA268" t="s">
        <v>5904</v>
      </c>
      <c r="DB268">
        <v>728.4</v>
      </c>
      <c r="DC268" t="s">
        <v>32722</v>
      </c>
      <c r="DD268" t="s">
        <v>32723</v>
      </c>
      <c r="DE268" t="s">
        <v>32724</v>
      </c>
      <c r="DF268" t="s">
        <v>32725</v>
      </c>
      <c r="DG268" t="s">
        <v>32726</v>
      </c>
      <c r="DH268" t="str">
        <f>"ALDOB"</f>
        <v>ALDOB</v>
      </c>
      <c r="DI268" t="s">
        <v>32727</v>
      </c>
      <c r="DJ268" t="s">
        <v>13777</v>
      </c>
      <c r="DK268">
        <v>9606</v>
      </c>
      <c r="DL268" s="34" t="str">
        <f>HYPERLINK("http://www.uniprot.org/uniprot/P05062", "P05062")</f>
        <v>P05062</v>
      </c>
      <c r="DM268" t="s">
        <v>32728</v>
      </c>
      <c r="DN268" t="s">
        <v>15772</v>
      </c>
      <c r="DO268" t="s">
        <v>13988</v>
      </c>
      <c r="DP268" t="s">
        <v>13793</v>
      </c>
      <c r="DQ268" t="s">
        <v>13772</v>
      </c>
      <c r="DR268" t="s">
        <v>13807</v>
      </c>
      <c r="DS268" t="s">
        <v>13772</v>
      </c>
      <c r="DT268" t="s">
        <v>18902</v>
      </c>
      <c r="DU268" t="s">
        <v>15788</v>
      </c>
      <c r="DV268" t="s">
        <v>13886</v>
      </c>
      <c r="DW268" t="s">
        <v>13812</v>
      </c>
      <c r="DX268" t="s">
        <v>32729</v>
      </c>
      <c r="DY268" t="s">
        <v>32730</v>
      </c>
      <c r="DZ268" t="s">
        <v>32731</v>
      </c>
      <c r="EA268" t="s">
        <v>30761</v>
      </c>
      <c r="EB268" t="s">
        <v>32732</v>
      </c>
    </row>
    <row r="269" spans="1:132">
      <c r="A269">
        <v>654</v>
      </c>
      <c r="B269">
        <v>1</v>
      </c>
      <c r="C269" t="s">
        <v>1613</v>
      </c>
      <c r="D269" t="s">
        <v>73</v>
      </c>
      <c r="E269" t="s">
        <v>73</v>
      </c>
      <c r="F269" t="s">
        <v>73</v>
      </c>
      <c r="G269" t="s">
        <v>73</v>
      </c>
      <c r="H269">
        <v>81.599999999999994</v>
      </c>
      <c r="I269">
        <v>98</v>
      </c>
      <c r="J269">
        <v>11180</v>
      </c>
      <c r="K269" t="s">
        <v>1614</v>
      </c>
      <c r="L269">
        <f t="shared" si="18"/>
        <v>159</v>
      </c>
      <c r="N269">
        <v>159</v>
      </c>
      <c r="O269">
        <v>159</v>
      </c>
      <c r="P269">
        <v>1</v>
      </c>
      <c r="Q269">
        <v>3</v>
      </c>
      <c r="R269">
        <v>6</v>
      </c>
      <c r="S269">
        <v>2</v>
      </c>
      <c r="T269">
        <v>2</v>
      </c>
      <c r="U269">
        <v>4</v>
      </c>
      <c r="V269">
        <v>8</v>
      </c>
      <c r="W269">
        <v>8</v>
      </c>
      <c r="X269">
        <v>13</v>
      </c>
      <c r="Y269">
        <v>20</v>
      </c>
      <c r="Z269">
        <v>3</v>
      </c>
      <c r="AA269">
        <v>14</v>
      </c>
      <c r="AB269">
        <v>12</v>
      </c>
      <c r="AC269">
        <v>9</v>
      </c>
      <c r="AD269">
        <v>3</v>
      </c>
      <c r="AE269">
        <v>14</v>
      </c>
      <c r="AF269">
        <v>19</v>
      </c>
      <c r="AG269">
        <v>8</v>
      </c>
      <c r="AH269">
        <v>5</v>
      </c>
      <c r="AI269">
        <v>6</v>
      </c>
      <c r="AJ269">
        <v>3</v>
      </c>
      <c r="AK269">
        <v>6</v>
      </c>
      <c r="AL269">
        <v>2</v>
      </c>
      <c r="AM269">
        <v>2</v>
      </c>
      <c r="AN269">
        <v>4</v>
      </c>
      <c r="AO269">
        <v>8</v>
      </c>
      <c r="AP269">
        <v>8</v>
      </c>
      <c r="AQ269">
        <v>13</v>
      </c>
      <c r="AR269">
        <v>20</v>
      </c>
      <c r="AS269">
        <v>3</v>
      </c>
      <c r="AT269">
        <v>14</v>
      </c>
      <c r="AU269">
        <v>12</v>
      </c>
      <c r="AV269">
        <v>9</v>
      </c>
      <c r="AW269">
        <v>3</v>
      </c>
      <c r="AX269">
        <v>14</v>
      </c>
      <c r="AY269">
        <v>19</v>
      </c>
      <c r="AZ269">
        <v>8</v>
      </c>
      <c r="BA269">
        <v>5</v>
      </c>
      <c r="BB269">
        <v>6</v>
      </c>
      <c r="BC269" s="2">
        <v>3</v>
      </c>
      <c r="BD269" s="2">
        <v>6</v>
      </c>
      <c r="BE269" s="2">
        <v>2</v>
      </c>
      <c r="BF269" s="2">
        <v>2</v>
      </c>
      <c r="BG269" s="2">
        <v>4</v>
      </c>
      <c r="BH269" s="2">
        <v>8</v>
      </c>
      <c r="BI269" s="2">
        <v>8</v>
      </c>
      <c r="BJ269" s="2">
        <v>13</v>
      </c>
      <c r="BK269" s="2">
        <v>20</v>
      </c>
      <c r="BL269" s="2">
        <v>3</v>
      </c>
      <c r="BM269" s="2">
        <v>14</v>
      </c>
      <c r="BN269" s="2">
        <v>12</v>
      </c>
      <c r="BO269" s="2">
        <v>9</v>
      </c>
      <c r="BP269" s="2">
        <v>3</v>
      </c>
      <c r="BQ269" s="2">
        <v>14</v>
      </c>
      <c r="BR269" s="2">
        <v>19</v>
      </c>
      <c r="BS269" s="2">
        <v>8</v>
      </c>
      <c r="BT269" s="2">
        <v>5</v>
      </c>
      <c r="BU269" s="2">
        <v>6</v>
      </c>
      <c r="BV269" s="2">
        <f t="shared" si="21"/>
        <v>159</v>
      </c>
      <c r="BW269" s="16">
        <f t="shared" si="19"/>
        <v>8.3684210526315788</v>
      </c>
      <c r="BX269" s="16">
        <f>COUNTIF($BC$6:BU269, "=0") / COUNTIF($BC$6:BU269, "&gt;-1")</f>
        <v>6.4194577352472096E-2</v>
      </c>
      <c r="BY269" s="18">
        <f>SUM($BC$6:BU269) / $BY$4</f>
        <v>0.74025194604337452</v>
      </c>
      <c r="BZ269" s="14">
        <f t="shared" si="20"/>
        <v>0</v>
      </c>
      <c r="CA269" t="s">
        <v>5831</v>
      </c>
      <c r="CB269" s="36">
        <v>3.6349301875041902</v>
      </c>
      <c r="CC269" s="36">
        <v>5.7783847240646802</v>
      </c>
      <c r="CD269" s="36">
        <v>3.2015953236245198</v>
      </c>
      <c r="CE269" s="36">
        <v>3.0238435183064598</v>
      </c>
      <c r="CF269" s="36">
        <v>3.4407054397475698</v>
      </c>
      <c r="CG269" s="36">
        <v>7.43781797311593</v>
      </c>
      <c r="CH269" s="36">
        <v>8.4324982629171306</v>
      </c>
      <c r="CI269" s="36">
        <v>12.65138677377</v>
      </c>
      <c r="CJ269" s="37">
        <v>15.8951658648991</v>
      </c>
      <c r="CK269" s="37">
        <v>8.8290950564359996</v>
      </c>
      <c r="CL269" s="37">
        <v>9.6006521792081099</v>
      </c>
      <c r="CM269" s="37">
        <v>7.6189234193994704</v>
      </c>
      <c r="CN269" s="37">
        <v>12.863095921411601</v>
      </c>
      <c r="CO269" s="37">
        <v>14.994620837317401</v>
      </c>
      <c r="CP269" s="37">
        <v>12.068320382899399</v>
      </c>
      <c r="CQ269" s="37">
        <v>9.1358210788476999</v>
      </c>
      <c r="CR269" s="45">
        <v>0.878183971824683</v>
      </c>
      <c r="CS269" s="45">
        <v>1.9118376637994501</v>
      </c>
      <c r="CT269" s="46">
        <v>1.29555492809093E-2</v>
      </c>
      <c r="CU269" s="47">
        <v>2.3236628603025E-2</v>
      </c>
      <c r="CV269" s="48">
        <v>5.9501452753813098</v>
      </c>
      <c r="CW269" s="49">
        <v>11.375711842552301</v>
      </c>
      <c r="CX269" s="31" t="s">
        <v>5874</v>
      </c>
      <c r="CY269" s="31" t="s">
        <v>5878</v>
      </c>
      <c r="CZ269" t="s">
        <v>7944</v>
      </c>
      <c r="DA269" t="s">
        <v>5904</v>
      </c>
      <c r="DB269">
        <v>167.9</v>
      </c>
      <c r="DC269" t="s">
        <v>20223</v>
      </c>
      <c r="DD269" t="s">
        <v>20224</v>
      </c>
      <c r="DE269" t="s">
        <v>20225</v>
      </c>
      <c r="DF269" t="s">
        <v>20226</v>
      </c>
      <c r="DG269" t="s">
        <v>13772</v>
      </c>
      <c r="DH269" t="str">
        <f>"CSTB"</f>
        <v>CSTB</v>
      </c>
      <c r="DI269" t="s">
        <v>20227</v>
      </c>
      <c r="DJ269" t="s">
        <v>13777</v>
      </c>
      <c r="DK269">
        <v>9606</v>
      </c>
      <c r="DL269" s="34" t="str">
        <f>HYPERLINK("http://www.uniprot.org/uniprot/P04080", "P04080")</f>
        <v>P04080</v>
      </c>
      <c r="DM269" t="s">
        <v>20228</v>
      </c>
      <c r="DN269" t="s">
        <v>13772</v>
      </c>
      <c r="DO269" t="s">
        <v>13912</v>
      </c>
      <c r="DP269" t="s">
        <v>13772</v>
      </c>
      <c r="DQ269" t="s">
        <v>13772</v>
      </c>
      <c r="DR269" t="s">
        <v>17649</v>
      </c>
      <c r="DS269" t="s">
        <v>13772</v>
      </c>
      <c r="DT269" t="s">
        <v>13772</v>
      </c>
      <c r="DU269" t="s">
        <v>19559</v>
      </c>
      <c r="DV269" t="s">
        <v>14020</v>
      </c>
      <c r="DW269" t="s">
        <v>13812</v>
      </c>
      <c r="DX269" t="s">
        <v>20229</v>
      </c>
      <c r="DY269" t="s">
        <v>20230</v>
      </c>
      <c r="DZ269" t="s">
        <v>20231</v>
      </c>
      <c r="EA269" t="s">
        <v>13772</v>
      </c>
      <c r="EB269" t="s">
        <v>13890</v>
      </c>
    </row>
    <row r="270" spans="1:132" hidden="1">
      <c r="A270">
        <v>1592</v>
      </c>
      <c r="B270">
        <v>1</v>
      </c>
      <c r="C270" t="s">
        <v>3773</v>
      </c>
      <c r="D270" t="s">
        <v>73</v>
      </c>
      <c r="E270" t="s">
        <v>73</v>
      </c>
      <c r="F270" t="s">
        <v>73</v>
      </c>
      <c r="G270" t="s">
        <v>73</v>
      </c>
      <c r="H270">
        <v>84</v>
      </c>
      <c r="I270">
        <v>106</v>
      </c>
      <c r="J270">
        <v>11862</v>
      </c>
      <c r="K270" t="s">
        <v>3774</v>
      </c>
      <c r="L270">
        <f t="shared" si="18"/>
        <v>158</v>
      </c>
      <c r="N270">
        <v>158</v>
      </c>
      <c r="O270">
        <v>158</v>
      </c>
      <c r="P270">
        <v>1</v>
      </c>
      <c r="Q270">
        <v>2</v>
      </c>
      <c r="R270">
        <v>0</v>
      </c>
      <c r="S270">
        <v>0</v>
      </c>
      <c r="T270">
        <v>1</v>
      </c>
      <c r="U270">
        <v>2</v>
      </c>
      <c r="V270">
        <v>2</v>
      </c>
      <c r="W270">
        <v>3</v>
      </c>
      <c r="X270">
        <v>18</v>
      </c>
      <c r="Y270">
        <v>18</v>
      </c>
      <c r="Z270">
        <v>1</v>
      </c>
      <c r="AA270">
        <v>17</v>
      </c>
      <c r="AB270">
        <v>11</v>
      </c>
      <c r="AC270">
        <v>12</v>
      </c>
      <c r="AD270">
        <v>3</v>
      </c>
      <c r="AE270">
        <v>17</v>
      </c>
      <c r="AF270">
        <v>26</v>
      </c>
      <c r="AG270">
        <v>11</v>
      </c>
      <c r="AH270">
        <v>2</v>
      </c>
      <c r="AI270">
        <v>12</v>
      </c>
      <c r="AJ270">
        <v>2</v>
      </c>
      <c r="AK270">
        <v>0</v>
      </c>
      <c r="AL270">
        <v>0</v>
      </c>
      <c r="AM270">
        <v>1</v>
      </c>
      <c r="AN270">
        <v>2</v>
      </c>
      <c r="AO270">
        <v>2</v>
      </c>
      <c r="AP270">
        <v>3</v>
      </c>
      <c r="AQ270">
        <v>18</v>
      </c>
      <c r="AR270">
        <v>18</v>
      </c>
      <c r="AS270">
        <v>1</v>
      </c>
      <c r="AT270">
        <v>17</v>
      </c>
      <c r="AU270">
        <v>11</v>
      </c>
      <c r="AV270">
        <v>12</v>
      </c>
      <c r="AW270">
        <v>3</v>
      </c>
      <c r="AX270">
        <v>17</v>
      </c>
      <c r="AY270">
        <v>26</v>
      </c>
      <c r="AZ270">
        <v>11</v>
      </c>
      <c r="BA270">
        <v>2</v>
      </c>
      <c r="BB270">
        <v>12</v>
      </c>
      <c r="BC270" s="2">
        <v>2</v>
      </c>
      <c r="BD270" s="2">
        <v>0</v>
      </c>
      <c r="BE270" s="2">
        <v>0</v>
      </c>
      <c r="BF270" s="2">
        <v>1</v>
      </c>
      <c r="BG270" s="2">
        <v>2</v>
      </c>
      <c r="BH270" s="2">
        <v>2</v>
      </c>
      <c r="BI270" s="2">
        <v>3</v>
      </c>
      <c r="BJ270" s="2">
        <v>18</v>
      </c>
      <c r="BK270" s="2">
        <v>18</v>
      </c>
      <c r="BL270" s="2">
        <v>1</v>
      </c>
      <c r="BM270" s="2">
        <v>17</v>
      </c>
      <c r="BN270" s="2">
        <v>11</v>
      </c>
      <c r="BO270" s="2">
        <v>12</v>
      </c>
      <c r="BP270" s="2">
        <v>3</v>
      </c>
      <c r="BQ270" s="2">
        <v>17</v>
      </c>
      <c r="BR270" s="2">
        <v>26</v>
      </c>
      <c r="BS270" s="2">
        <v>11</v>
      </c>
      <c r="BT270" s="2">
        <v>2</v>
      </c>
      <c r="BU270" s="2">
        <v>12</v>
      </c>
      <c r="BV270" s="2">
        <f t="shared" si="21"/>
        <v>158</v>
      </c>
      <c r="BW270" s="16">
        <f t="shared" si="19"/>
        <v>8.3157894736842106</v>
      </c>
      <c r="BX270" s="16">
        <f>COUNTIF($BC$6:BU270, "=0") / COUNTIF($BC$6:BU270, "&gt;-1")</f>
        <v>6.4349553128103282E-2</v>
      </c>
      <c r="BY270" s="18">
        <f>SUM($BC$6:BU270) / $BY$4</f>
        <v>0.74092876066862923</v>
      </c>
      <c r="BZ270" s="14">
        <f t="shared" si="20"/>
        <v>2</v>
      </c>
      <c r="CA270" t="s">
        <v>5831</v>
      </c>
      <c r="CB270" s="36">
        <v>2.4232867916694598</v>
      </c>
      <c r="CC270" s="36">
        <v>0.24076603016936199</v>
      </c>
      <c r="CD270" s="36">
        <v>0.40019941545306398</v>
      </c>
      <c r="CE270" s="36">
        <v>1.5119217591532299</v>
      </c>
      <c r="CF270" s="36">
        <v>1.72035271987378</v>
      </c>
      <c r="CG270" s="36">
        <v>1.85945449327898</v>
      </c>
      <c r="CH270" s="36">
        <v>3.1621868485939202</v>
      </c>
      <c r="CI270" s="36">
        <v>17.517304763681501</v>
      </c>
      <c r="CJ270" s="37">
        <v>14.3056492784092</v>
      </c>
      <c r="CK270" s="37">
        <v>10.7210439971009</v>
      </c>
      <c r="CL270" s="37">
        <v>8.8005978309407702</v>
      </c>
      <c r="CM270" s="37">
        <v>10.1585645591993</v>
      </c>
      <c r="CN270" s="37">
        <v>15.619473618856899</v>
      </c>
      <c r="CO270" s="37">
        <v>20.5189548300133</v>
      </c>
      <c r="CP270" s="37">
        <v>16.593940526486598</v>
      </c>
      <c r="CQ270" s="37">
        <v>18.2716421576954</v>
      </c>
      <c r="CR270" s="45">
        <v>1.8992357686936201</v>
      </c>
      <c r="CS270" s="45">
        <v>3.98779196405187</v>
      </c>
      <c r="CT270" s="46">
        <v>3.39295425884382E-4</v>
      </c>
      <c r="CU270" s="47">
        <v>8.5014471878895798E-4</v>
      </c>
      <c r="CV270" s="48">
        <v>3.6044341027341602</v>
      </c>
      <c r="CW270" s="49">
        <v>14.373733349837799</v>
      </c>
      <c r="CX270" s="31" t="s">
        <v>5874</v>
      </c>
      <c r="CY270" s="31" t="s">
        <v>5876</v>
      </c>
      <c r="CZ270" t="s">
        <v>11048</v>
      </c>
      <c r="DA270" t="s">
        <v>5904</v>
      </c>
      <c r="DB270">
        <v>180.6</v>
      </c>
      <c r="DC270" t="s">
        <v>29074</v>
      </c>
      <c r="DD270" t="s">
        <v>29075</v>
      </c>
      <c r="DE270" t="s">
        <v>29076</v>
      </c>
      <c r="DF270" t="s">
        <v>29077</v>
      </c>
      <c r="DG270" t="s">
        <v>29078</v>
      </c>
      <c r="DH270" t="str">
        <f>"GLRX"</f>
        <v>GLRX</v>
      </c>
      <c r="DI270" t="s">
        <v>29079</v>
      </c>
      <c r="DJ270" t="s">
        <v>13777</v>
      </c>
      <c r="DK270">
        <v>9606</v>
      </c>
      <c r="DL270" s="34" t="str">
        <f>HYPERLINK("http://www.uniprot.org/uniprot/P35754", "P35754")</f>
        <v>P35754</v>
      </c>
      <c r="DM270" t="s">
        <v>29080</v>
      </c>
      <c r="DN270" t="s">
        <v>16041</v>
      </c>
      <c r="DO270" t="s">
        <v>13899</v>
      </c>
      <c r="DP270" t="s">
        <v>13793</v>
      </c>
      <c r="DQ270" t="s">
        <v>13772</v>
      </c>
      <c r="DR270" t="s">
        <v>13772</v>
      </c>
      <c r="DS270" t="s">
        <v>18188</v>
      </c>
      <c r="DT270" t="s">
        <v>13772</v>
      </c>
      <c r="DU270" t="s">
        <v>13772</v>
      </c>
      <c r="DV270" t="s">
        <v>16929</v>
      </c>
      <c r="DW270" t="s">
        <v>13812</v>
      </c>
      <c r="DX270" t="s">
        <v>29081</v>
      </c>
      <c r="DY270" t="s">
        <v>14135</v>
      </c>
      <c r="DZ270" t="s">
        <v>29082</v>
      </c>
      <c r="EA270" t="s">
        <v>13772</v>
      </c>
      <c r="EB270" t="s">
        <v>16974</v>
      </c>
    </row>
    <row r="271" spans="1:132" hidden="1">
      <c r="A271">
        <v>1759</v>
      </c>
      <c r="B271">
        <v>1</v>
      </c>
      <c r="C271" t="s">
        <v>4160</v>
      </c>
      <c r="D271" t="s">
        <v>4161</v>
      </c>
      <c r="E271" t="s">
        <v>73</v>
      </c>
      <c r="F271" t="s">
        <v>73</v>
      </c>
      <c r="G271" t="s">
        <v>73</v>
      </c>
      <c r="H271">
        <v>77.8</v>
      </c>
      <c r="I271">
        <v>194</v>
      </c>
      <c r="J271">
        <v>21872</v>
      </c>
      <c r="K271" t="s">
        <v>4162</v>
      </c>
      <c r="L271">
        <f t="shared" si="18"/>
        <v>158</v>
      </c>
      <c r="N271">
        <v>158</v>
      </c>
      <c r="O271">
        <v>158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24</v>
      </c>
      <c r="Z271">
        <v>1</v>
      </c>
      <c r="AA271">
        <v>38</v>
      </c>
      <c r="AB271">
        <v>13</v>
      </c>
      <c r="AC271">
        <v>4</v>
      </c>
      <c r="AD271">
        <v>0</v>
      </c>
      <c r="AE271">
        <v>41</v>
      </c>
      <c r="AF271">
        <v>32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24</v>
      </c>
      <c r="AS271">
        <v>1</v>
      </c>
      <c r="AT271">
        <v>38</v>
      </c>
      <c r="AU271">
        <v>13</v>
      </c>
      <c r="AV271">
        <v>4</v>
      </c>
      <c r="AW271">
        <v>0</v>
      </c>
      <c r="AX271">
        <v>41</v>
      </c>
      <c r="AY271">
        <v>32</v>
      </c>
      <c r="AZ271">
        <v>1</v>
      </c>
      <c r="BA271">
        <v>1</v>
      </c>
      <c r="BB271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1</v>
      </c>
      <c r="BJ271" s="2">
        <v>1</v>
      </c>
      <c r="BK271" s="2">
        <v>24</v>
      </c>
      <c r="BL271" s="2">
        <v>1</v>
      </c>
      <c r="BM271" s="2">
        <v>38</v>
      </c>
      <c r="BN271" s="2">
        <v>13</v>
      </c>
      <c r="BO271" s="2">
        <v>4</v>
      </c>
      <c r="BP271" s="2">
        <v>0</v>
      </c>
      <c r="BQ271" s="2">
        <v>41</v>
      </c>
      <c r="BR271" s="2">
        <v>32</v>
      </c>
      <c r="BS271" s="2">
        <v>1</v>
      </c>
      <c r="BT271" s="2">
        <v>1</v>
      </c>
      <c r="BU271" s="2">
        <v>1</v>
      </c>
      <c r="BV271" s="2">
        <f t="shared" si="21"/>
        <v>158</v>
      </c>
      <c r="BW271" s="16">
        <f t="shared" si="19"/>
        <v>8.3157894736842106</v>
      </c>
      <c r="BX271" s="16">
        <f>COUNTIF($BC$6:BU271, "=0") / COUNTIF($BC$6:BU271, "&gt;-1")</f>
        <v>6.5492679066086273E-2</v>
      </c>
      <c r="BY271" s="18">
        <f>SUM($BC$6:BU271) / $BY$4</f>
        <v>0.74160557529388393</v>
      </c>
      <c r="BZ271" s="14">
        <f t="shared" si="20"/>
        <v>7</v>
      </c>
      <c r="CA271" t="s">
        <v>5831</v>
      </c>
      <c r="CB271" s="36">
        <v>0.30291084895868198</v>
      </c>
      <c r="CC271" s="36">
        <v>0.24076603016936199</v>
      </c>
      <c r="CD271" s="36">
        <v>0.40019941545306398</v>
      </c>
      <c r="CE271" s="36">
        <v>0.37798043978830698</v>
      </c>
      <c r="CF271" s="36">
        <v>0.215044089984223</v>
      </c>
      <c r="CG271" s="36">
        <v>0.23243181165987301</v>
      </c>
      <c r="CH271" s="36">
        <v>1.05406228286464</v>
      </c>
      <c r="CI271" s="36">
        <v>0.97318359798230603</v>
      </c>
      <c r="CJ271" s="37">
        <v>19.074199037879001</v>
      </c>
      <c r="CK271" s="37">
        <v>23.964686581754901</v>
      </c>
      <c r="CL271" s="37">
        <v>10.400706527475499</v>
      </c>
      <c r="CM271" s="37">
        <v>3.3861881863997598</v>
      </c>
      <c r="CN271" s="37">
        <v>37.670495198419701</v>
      </c>
      <c r="CO271" s="37">
        <v>25.254098252323999</v>
      </c>
      <c r="CP271" s="37">
        <v>1.50854004786242</v>
      </c>
      <c r="CQ271" s="37">
        <v>1.5226368464746201</v>
      </c>
      <c r="CR271" s="45">
        <v>4.71291626375793</v>
      </c>
      <c r="CS271" s="45">
        <v>32.3400530591746</v>
      </c>
      <c r="CT271" s="46">
        <v>4.6135273666302204E-9</v>
      </c>
      <c r="CU271" s="47">
        <v>4.74838432042402E-8</v>
      </c>
      <c r="CV271" s="48">
        <v>0.474572314607557</v>
      </c>
      <c r="CW271" s="49">
        <v>15.3476938348237</v>
      </c>
      <c r="CX271" s="31" t="s">
        <v>5874</v>
      </c>
      <c r="CY271" s="31" t="s">
        <v>5876</v>
      </c>
      <c r="CZ271" t="s">
        <v>11618</v>
      </c>
      <c r="DA271" t="s">
        <v>5904</v>
      </c>
      <c r="DB271">
        <v>337.8</v>
      </c>
      <c r="DC271" t="s">
        <v>30674</v>
      </c>
      <c r="DD271" t="s">
        <v>30675</v>
      </c>
      <c r="DE271" t="s">
        <v>30676</v>
      </c>
      <c r="DF271" t="s">
        <v>30677</v>
      </c>
      <c r="DG271" t="s">
        <v>30678</v>
      </c>
      <c r="DH271" t="str">
        <f>"MYLPF"</f>
        <v>MYLPF</v>
      </c>
      <c r="DI271" t="s">
        <v>13772</v>
      </c>
      <c r="DJ271" t="s">
        <v>13777</v>
      </c>
      <c r="DK271">
        <v>9606</v>
      </c>
      <c r="DL271" s="34" t="str">
        <f>HYPERLINK("http://www.uniprot.org/uniprot/Q96A32", "Q96A32")</f>
        <v>Q96A32</v>
      </c>
      <c r="DM271" t="s">
        <v>30679</v>
      </c>
      <c r="DN271" t="s">
        <v>13772</v>
      </c>
      <c r="DO271" t="s">
        <v>13772</v>
      </c>
      <c r="DP271" t="s">
        <v>13772</v>
      </c>
      <c r="DQ271" t="s">
        <v>13772</v>
      </c>
      <c r="DR271" t="s">
        <v>13772</v>
      </c>
      <c r="DS271" t="s">
        <v>14096</v>
      </c>
      <c r="DT271" t="s">
        <v>13873</v>
      </c>
      <c r="DU271" t="s">
        <v>17523</v>
      </c>
      <c r="DV271" t="s">
        <v>14478</v>
      </c>
      <c r="DW271" t="s">
        <v>13772</v>
      </c>
      <c r="DX271" t="s">
        <v>30680</v>
      </c>
      <c r="DY271" t="s">
        <v>30681</v>
      </c>
      <c r="DZ271" t="s">
        <v>22845</v>
      </c>
      <c r="EA271" t="s">
        <v>13772</v>
      </c>
      <c r="EB271" t="s">
        <v>17020</v>
      </c>
    </row>
    <row r="272" spans="1:132" hidden="1">
      <c r="A272">
        <v>1370</v>
      </c>
      <c r="B272">
        <v>1</v>
      </c>
      <c r="C272" t="s">
        <v>3274</v>
      </c>
      <c r="D272" t="s">
        <v>73</v>
      </c>
      <c r="E272" t="s">
        <v>73</v>
      </c>
      <c r="F272" t="s">
        <v>3272</v>
      </c>
      <c r="G272" t="s">
        <v>73</v>
      </c>
      <c r="H272">
        <v>27.7</v>
      </c>
      <c r="I272">
        <v>3064</v>
      </c>
      <c r="J272">
        <v>330796</v>
      </c>
      <c r="K272" t="s">
        <v>3275</v>
      </c>
      <c r="L272">
        <f t="shared" si="18"/>
        <v>315</v>
      </c>
      <c r="N272">
        <v>315</v>
      </c>
      <c r="O272">
        <v>21</v>
      </c>
      <c r="P272">
        <v>6.7000000000000004E-2</v>
      </c>
      <c r="Q272">
        <v>16</v>
      </c>
      <c r="R272">
        <v>17</v>
      </c>
      <c r="S272">
        <v>17</v>
      </c>
      <c r="T272">
        <v>33</v>
      </c>
      <c r="U272">
        <v>47</v>
      </c>
      <c r="V272">
        <v>36</v>
      </c>
      <c r="W272">
        <v>22</v>
      </c>
      <c r="X272">
        <v>33</v>
      </c>
      <c r="Y272">
        <v>3</v>
      </c>
      <c r="Z272">
        <v>0</v>
      </c>
      <c r="AA272">
        <v>23</v>
      </c>
      <c r="AB272">
        <v>21</v>
      </c>
      <c r="AC272">
        <v>4</v>
      </c>
      <c r="AD272">
        <v>0</v>
      </c>
      <c r="AE272">
        <v>7</v>
      </c>
      <c r="AF272">
        <v>18</v>
      </c>
      <c r="AG272">
        <v>10</v>
      </c>
      <c r="AH272">
        <v>1</v>
      </c>
      <c r="AI272">
        <v>7</v>
      </c>
      <c r="AJ272">
        <v>1</v>
      </c>
      <c r="AK272">
        <v>2</v>
      </c>
      <c r="AL272">
        <v>3</v>
      </c>
      <c r="AM272">
        <v>2</v>
      </c>
      <c r="AN272">
        <v>2</v>
      </c>
      <c r="AO272">
        <v>2</v>
      </c>
      <c r="AP272">
        <v>3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0</v>
      </c>
      <c r="BC272" s="2">
        <v>8.5</v>
      </c>
      <c r="BD272" s="2">
        <v>8</v>
      </c>
      <c r="BE272" s="2">
        <v>11.4</v>
      </c>
      <c r="BF272" s="2">
        <v>12.333</v>
      </c>
      <c r="BG272" s="2">
        <v>20</v>
      </c>
      <c r="BH272" s="2">
        <v>19</v>
      </c>
      <c r="BI272" s="2">
        <v>22</v>
      </c>
      <c r="BJ272" s="2">
        <v>33</v>
      </c>
      <c r="BK272" s="2">
        <v>1.5</v>
      </c>
      <c r="BL272" s="2">
        <v>0</v>
      </c>
      <c r="BM272" s="2">
        <v>2.6920000000000002</v>
      </c>
      <c r="BN272" s="2">
        <v>6</v>
      </c>
      <c r="BO272" s="2">
        <v>4</v>
      </c>
      <c r="BP272" s="2">
        <v>0</v>
      </c>
      <c r="BQ272" s="2">
        <v>0</v>
      </c>
      <c r="BR272" s="2">
        <v>3.8330000000000002</v>
      </c>
      <c r="BS272" s="2">
        <v>5.5</v>
      </c>
      <c r="BT272" s="2">
        <v>0</v>
      </c>
      <c r="BU272" s="2">
        <v>0</v>
      </c>
      <c r="BV272" s="2">
        <f t="shared" si="21"/>
        <v>157.75800000000001</v>
      </c>
      <c r="BW272" s="16">
        <f t="shared" si="19"/>
        <v>8.3030526315789484</v>
      </c>
      <c r="BX272" s="16">
        <f>COUNTIF($BC$6:BU272, "=0") / COUNTIF($BC$6:BU272, "&gt;-1")</f>
        <v>6.623299822590184E-2</v>
      </c>
      <c r="BY272" s="18">
        <f>SUM($BC$6:BU272) / $BY$4</f>
        <v>0.74228135327901656</v>
      </c>
      <c r="BZ272" s="14">
        <f t="shared" si="20"/>
        <v>5</v>
      </c>
      <c r="CA272" t="s">
        <v>5831</v>
      </c>
      <c r="CB272" s="36">
        <v>10.298968864595199</v>
      </c>
      <c r="CC272" s="36">
        <v>7.7045129654195703</v>
      </c>
      <c r="CD272" s="36">
        <v>18.249093344659698</v>
      </c>
      <c r="CE272" s="36">
        <v>18.596637637584699</v>
      </c>
      <c r="CF272" s="36">
        <v>17.203527198737799</v>
      </c>
      <c r="CG272" s="36">
        <v>17.6648176861503</v>
      </c>
      <c r="CH272" s="36">
        <v>23.189370223022099</v>
      </c>
      <c r="CI272" s="36">
        <v>32.115058733416099</v>
      </c>
      <c r="CJ272" s="37">
        <v>1.19213743986744</v>
      </c>
      <c r="CK272" s="37">
        <v>1.7027540465983699</v>
      </c>
      <c r="CL272" s="37">
        <v>4.8003260896040603</v>
      </c>
      <c r="CM272" s="37">
        <v>3.3861881863997598</v>
      </c>
      <c r="CN272" s="37">
        <v>0.22969814145377901</v>
      </c>
      <c r="CO272" s="37">
        <v>2.9989241674634699</v>
      </c>
      <c r="CP272" s="37">
        <v>8.2969702632433204</v>
      </c>
      <c r="CQ272" s="37">
        <v>0.38065921161865401</v>
      </c>
      <c r="CR272" s="45">
        <v>-2.6697967998362602</v>
      </c>
      <c r="CS272" s="45">
        <v>-6.3086891894842196</v>
      </c>
      <c r="CT272" s="46">
        <v>1.34911389263099E-8</v>
      </c>
      <c r="CU272" s="47">
        <v>1.2363797180412799E-7</v>
      </c>
      <c r="CV272" s="48">
        <v>18.1277483316982</v>
      </c>
      <c r="CW272" s="49">
        <v>2.8734571932811099</v>
      </c>
      <c r="CX272" s="31" t="s">
        <v>5875</v>
      </c>
      <c r="CY272" s="31" t="s">
        <v>5876</v>
      </c>
      <c r="CZ272" t="s">
        <v>10307</v>
      </c>
      <c r="DA272" t="s">
        <v>5904</v>
      </c>
      <c r="DB272">
        <v>3057.7</v>
      </c>
      <c r="DC272" t="s">
        <v>27018</v>
      </c>
      <c r="DD272" t="s">
        <v>27019</v>
      </c>
      <c r="DE272" t="s">
        <v>27020</v>
      </c>
      <c r="DF272" t="s">
        <v>27021</v>
      </c>
      <c r="DG272" t="s">
        <v>27022</v>
      </c>
      <c r="DH272" t="str">
        <f>"TNXB"</f>
        <v>TNXB</v>
      </c>
      <c r="DI272" t="s">
        <v>13772</v>
      </c>
      <c r="DJ272" t="s">
        <v>13777</v>
      </c>
      <c r="DK272">
        <v>9606</v>
      </c>
      <c r="DL272" s="34" t="str">
        <f>HYPERLINK("http://www.uniprot.org/uniprot/P22105", "P22105")</f>
        <v>P22105</v>
      </c>
      <c r="DM272" t="s">
        <v>27023</v>
      </c>
      <c r="DN272" t="s">
        <v>13949</v>
      </c>
      <c r="DO272" t="s">
        <v>13869</v>
      </c>
      <c r="DP272" t="s">
        <v>13780</v>
      </c>
      <c r="DQ272" t="s">
        <v>13772</v>
      </c>
      <c r="DR272" t="s">
        <v>15310</v>
      </c>
      <c r="DS272" t="s">
        <v>27024</v>
      </c>
      <c r="DT272" t="s">
        <v>13772</v>
      </c>
      <c r="DU272" t="s">
        <v>13772</v>
      </c>
      <c r="DV272" t="s">
        <v>13796</v>
      </c>
      <c r="DW272" t="s">
        <v>13812</v>
      </c>
      <c r="DX272" t="s">
        <v>27025</v>
      </c>
      <c r="DY272" t="s">
        <v>27026</v>
      </c>
      <c r="DZ272" t="s">
        <v>27027</v>
      </c>
      <c r="EA272" t="s">
        <v>13772</v>
      </c>
      <c r="EB272" t="s">
        <v>27028</v>
      </c>
    </row>
    <row r="273" spans="1:132" hidden="1">
      <c r="A273">
        <v>576</v>
      </c>
      <c r="B273">
        <v>1</v>
      </c>
      <c r="C273" t="s">
        <v>1434</v>
      </c>
      <c r="D273" t="s">
        <v>73</v>
      </c>
      <c r="E273" t="s">
        <v>73</v>
      </c>
      <c r="F273" t="s">
        <v>73</v>
      </c>
      <c r="G273" t="s">
        <v>73</v>
      </c>
      <c r="H273">
        <v>31.6</v>
      </c>
      <c r="I273">
        <v>393</v>
      </c>
      <c r="J273">
        <v>41316</v>
      </c>
      <c r="K273" t="s">
        <v>1435</v>
      </c>
      <c r="L273">
        <f t="shared" si="18"/>
        <v>154</v>
      </c>
      <c r="N273">
        <v>154</v>
      </c>
      <c r="O273">
        <v>154</v>
      </c>
      <c r="P273">
        <v>1</v>
      </c>
      <c r="Q273">
        <v>14</v>
      </c>
      <c r="R273">
        <v>12</v>
      </c>
      <c r="S273">
        <v>10</v>
      </c>
      <c r="T273">
        <v>11</v>
      </c>
      <c r="U273">
        <v>17</v>
      </c>
      <c r="V273">
        <v>20</v>
      </c>
      <c r="W273">
        <v>14</v>
      </c>
      <c r="X273">
        <v>8</v>
      </c>
      <c r="Y273">
        <v>2</v>
      </c>
      <c r="Z273">
        <v>0</v>
      </c>
      <c r="AA273">
        <v>7</v>
      </c>
      <c r="AB273">
        <v>5</v>
      </c>
      <c r="AC273">
        <v>5</v>
      </c>
      <c r="AD273">
        <v>2</v>
      </c>
      <c r="AE273">
        <v>3</v>
      </c>
      <c r="AF273">
        <v>5</v>
      </c>
      <c r="AG273">
        <v>7</v>
      </c>
      <c r="AH273">
        <v>5</v>
      </c>
      <c r="AI273">
        <v>7</v>
      </c>
      <c r="AJ273">
        <v>14</v>
      </c>
      <c r="AK273">
        <v>12</v>
      </c>
      <c r="AL273">
        <v>10</v>
      </c>
      <c r="AM273">
        <v>11</v>
      </c>
      <c r="AN273">
        <v>17</v>
      </c>
      <c r="AO273">
        <v>20</v>
      </c>
      <c r="AP273">
        <v>14</v>
      </c>
      <c r="AQ273">
        <v>8</v>
      </c>
      <c r="AR273">
        <v>2</v>
      </c>
      <c r="AS273">
        <v>0</v>
      </c>
      <c r="AT273">
        <v>7</v>
      </c>
      <c r="AU273">
        <v>5</v>
      </c>
      <c r="AV273">
        <v>5</v>
      </c>
      <c r="AW273">
        <v>2</v>
      </c>
      <c r="AX273">
        <v>3</v>
      </c>
      <c r="AY273">
        <v>5</v>
      </c>
      <c r="AZ273">
        <v>7</v>
      </c>
      <c r="BA273">
        <v>5</v>
      </c>
      <c r="BB273">
        <v>7</v>
      </c>
      <c r="BC273" s="2">
        <v>14</v>
      </c>
      <c r="BD273" s="2">
        <v>12</v>
      </c>
      <c r="BE273" s="2">
        <v>10</v>
      </c>
      <c r="BF273" s="2">
        <v>11</v>
      </c>
      <c r="BG273" s="2">
        <v>17</v>
      </c>
      <c r="BH273" s="2">
        <v>20</v>
      </c>
      <c r="BI273" s="2">
        <v>14</v>
      </c>
      <c r="BJ273" s="2">
        <v>8</v>
      </c>
      <c r="BK273" s="2">
        <v>2</v>
      </c>
      <c r="BL273" s="2">
        <v>0</v>
      </c>
      <c r="BM273" s="2">
        <v>7</v>
      </c>
      <c r="BN273" s="2">
        <v>5</v>
      </c>
      <c r="BO273" s="2">
        <v>5</v>
      </c>
      <c r="BP273" s="2">
        <v>2</v>
      </c>
      <c r="BQ273" s="2">
        <v>3</v>
      </c>
      <c r="BR273" s="2">
        <v>5</v>
      </c>
      <c r="BS273" s="2">
        <v>7</v>
      </c>
      <c r="BT273" s="2">
        <v>5</v>
      </c>
      <c r="BU273" s="2">
        <v>7</v>
      </c>
      <c r="BV273" s="2">
        <f t="shared" si="21"/>
        <v>154</v>
      </c>
      <c r="BW273" s="16">
        <f t="shared" si="19"/>
        <v>8.1052631578947363</v>
      </c>
      <c r="BX273" s="16">
        <f>COUNTIF($BC$6:BU273, "=0") / COUNTIF($BC$6:BU273, "&gt;-1")</f>
        <v>6.6182246661429689E-2</v>
      </c>
      <c r="BY273" s="18">
        <f>SUM($BC$6:BU273) / $BY$4</f>
        <v>0.7429410333567964</v>
      </c>
      <c r="BZ273" s="14">
        <f t="shared" si="20"/>
        <v>1</v>
      </c>
      <c r="CA273" t="s">
        <v>5831</v>
      </c>
      <c r="CB273" s="36">
        <v>16.963007541686199</v>
      </c>
      <c r="CC273" s="36">
        <v>11.556769448129399</v>
      </c>
      <c r="CD273" s="36">
        <v>16.007976618122601</v>
      </c>
      <c r="CE273" s="36">
        <v>16.631139350685501</v>
      </c>
      <c r="CF273" s="36">
        <v>14.6229981189272</v>
      </c>
      <c r="CG273" s="36">
        <v>18.594544932789798</v>
      </c>
      <c r="CH273" s="36">
        <v>14.756871960105</v>
      </c>
      <c r="CI273" s="36">
        <v>7.78546878385845</v>
      </c>
      <c r="CJ273" s="37">
        <v>1.5895165864899099</v>
      </c>
      <c r="CK273" s="37">
        <v>4.4145475282179998</v>
      </c>
      <c r="CL273" s="37">
        <v>4.0002717413367099</v>
      </c>
      <c r="CM273" s="37">
        <v>4.2327352329997003</v>
      </c>
      <c r="CN273" s="37">
        <v>2.7563776974453398</v>
      </c>
      <c r="CO273" s="37">
        <v>3.94595285192562</v>
      </c>
      <c r="CP273" s="37">
        <v>10.559780335037001</v>
      </c>
      <c r="CQ273" s="37">
        <v>10.658457925322301</v>
      </c>
      <c r="CR273" s="45">
        <v>-1.57260344966567</v>
      </c>
      <c r="CS273" s="45">
        <v>-2.7733710197022301</v>
      </c>
      <c r="CT273" s="46">
        <v>4.9804563402319203E-5</v>
      </c>
      <c r="CU273" s="47">
        <v>1.5214270737968699E-4</v>
      </c>
      <c r="CV273" s="48">
        <v>14.614847094288001</v>
      </c>
      <c r="CW273" s="49">
        <v>5.2697049873468202</v>
      </c>
      <c r="CX273" s="31" t="s">
        <v>5875</v>
      </c>
      <c r="CY273" s="31" t="s">
        <v>5876</v>
      </c>
      <c r="CZ273" t="s">
        <v>7693</v>
      </c>
      <c r="DA273" t="s">
        <v>5904</v>
      </c>
      <c r="DB273">
        <v>532.29999999999995</v>
      </c>
      <c r="DC273" t="s">
        <v>19454</v>
      </c>
      <c r="DD273" t="s">
        <v>13772</v>
      </c>
      <c r="DE273" t="s">
        <v>19455</v>
      </c>
      <c r="DF273" t="s">
        <v>19456</v>
      </c>
      <c r="DG273" t="s">
        <v>19457</v>
      </c>
      <c r="DH273" t="str">
        <f>"ESAM"</f>
        <v>ESAM</v>
      </c>
      <c r="DI273" t="s">
        <v>13772</v>
      </c>
      <c r="DJ273" t="s">
        <v>13777</v>
      </c>
      <c r="DK273">
        <v>9606</v>
      </c>
      <c r="DL273" s="34" t="str">
        <f>HYPERLINK("http://www.uniprot.org/uniprot/Q96AP7", "Q96AP7")</f>
        <v>Q96AP7</v>
      </c>
      <c r="DM273" t="s">
        <v>19458</v>
      </c>
      <c r="DN273" t="s">
        <v>13949</v>
      </c>
      <c r="DO273" t="s">
        <v>18913</v>
      </c>
      <c r="DP273" t="s">
        <v>13780</v>
      </c>
      <c r="DQ273" t="s">
        <v>13772</v>
      </c>
      <c r="DR273" t="s">
        <v>13772</v>
      </c>
      <c r="DS273" t="s">
        <v>13951</v>
      </c>
      <c r="DT273" t="s">
        <v>13772</v>
      </c>
      <c r="DU273" t="s">
        <v>13772</v>
      </c>
      <c r="DV273" t="s">
        <v>13964</v>
      </c>
      <c r="DW273" t="s">
        <v>13772</v>
      </c>
      <c r="DX273" t="s">
        <v>19459</v>
      </c>
      <c r="DY273" t="s">
        <v>19460</v>
      </c>
      <c r="DZ273" t="s">
        <v>13772</v>
      </c>
      <c r="EA273" t="s">
        <v>13772</v>
      </c>
      <c r="EB273" t="s">
        <v>19461</v>
      </c>
    </row>
    <row r="274" spans="1:132" hidden="1">
      <c r="A274">
        <v>903</v>
      </c>
      <c r="B274">
        <v>1</v>
      </c>
      <c r="C274" t="s">
        <v>2201</v>
      </c>
      <c r="D274" t="s">
        <v>2202</v>
      </c>
      <c r="E274" t="s">
        <v>73</v>
      </c>
      <c r="F274" t="s">
        <v>73</v>
      </c>
      <c r="G274" t="s">
        <v>73</v>
      </c>
      <c r="H274">
        <v>66.7</v>
      </c>
      <c r="I274">
        <v>297</v>
      </c>
      <c r="J274">
        <v>31859</v>
      </c>
      <c r="K274" t="s">
        <v>2203</v>
      </c>
      <c r="L274">
        <f t="shared" si="18"/>
        <v>154</v>
      </c>
      <c r="N274">
        <v>154</v>
      </c>
      <c r="O274">
        <v>154</v>
      </c>
      <c r="P274">
        <v>1</v>
      </c>
      <c r="Q274">
        <v>7</v>
      </c>
      <c r="R274">
        <v>3</v>
      </c>
      <c r="S274">
        <v>2</v>
      </c>
      <c r="T274">
        <v>0</v>
      </c>
      <c r="U274">
        <v>11</v>
      </c>
      <c r="V274">
        <v>11</v>
      </c>
      <c r="W274">
        <v>20</v>
      </c>
      <c r="X274">
        <v>25</v>
      </c>
      <c r="Y274">
        <v>13</v>
      </c>
      <c r="Z274">
        <v>0</v>
      </c>
      <c r="AA274">
        <v>21</v>
      </c>
      <c r="AB274">
        <v>10</v>
      </c>
      <c r="AC274">
        <v>6</v>
      </c>
      <c r="AD274">
        <v>0</v>
      </c>
      <c r="AE274">
        <v>3</v>
      </c>
      <c r="AF274">
        <v>13</v>
      </c>
      <c r="AG274">
        <v>1</v>
      </c>
      <c r="AH274">
        <v>6</v>
      </c>
      <c r="AI274">
        <v>2</v>
      </c>
      <c r="AJ274">
        <v>7</v>
      </c>
      <c r="AK274">
        <v>3</v>
      </c>
      <c r="AL274">
        <v>2</v>
      </c>
      <c r="AM274">
        <v>0</v>
      </c>
      <c r="AN274">
        <v>11</v>
      </c>
      <c r="AO274">
        <v>11</v>
      </c>
      <c r="AP274">
        <v>20</v>
      </c>
      <c r="AQ274">
        <v>25</v>
      </c>
      <c r="AR274">
        <v>13</v>
      </c>
      <c r="AS274">
        <v>0</v>
      </c>
      <c r="AT274">
        <v>21</v>
      </c>
      <c r="AU274">
        <v>10</v>
      </c>
      <c r="AV274">
        <v>6</v>
      </c>
      <c r="AW274">
        <v>0</v>
      </c>
      <c r="AX274">
        <v>3</v>
      </c>
      <c r="AY274">
        <v>13</v>
      </c>
      <c r="AZ274">
        <v>1</v>
      </c>
      <c r="BA274">
        <v>6</v>
      </c>
      <c r="BB274">
        <v>2</v>
      </c>
      <c r="BC274" s="2">
        <v>7</v>
      </c>
      <c r="BD274" s="2">
        <v>3</v>
      </c>
      <c r="BE274" s="2">
        <v>2</v>
      </c>
      <c r="BF274" s="2">
        <v>0</v>
      </c>
      <c r="BG274" s="2">
        <v>11</v>
      </c>
      <c r="BH274" s="2">
        <v>11</v>
      </c>
      <c r="BI274" s="2">
        <v>20</v>
      </c>
      <c r="BJ274" s="2">
        <v>25</v>
      </c>
      <c r="BK274" s="2">
        <v>13</v>
      </c>
      <c r="BL274" s="2">
        <v>0</v>
      </c>
      <c r="BM274" s="2">
        <v>21</v>
      </c>
      <c r="BN274" s="2">
        <v>10</v>
      </c>
      <c r="BO274" s="2">
        <v>6</v>
      </c>
      <c r="BP274" s="2">
        <v>0</v>
      </c>
      <c r="BQ274" s="2">
        <v>3</v>
      </c>
      <c r="BR274" s="2">
        <v>13</v>
      </c>
      <c r="BS274" s="2">
        <v>1</v>
      </c>
      <c r="BT274" s="2">
        <v>6</v>
      </c>
      <c r="BU274" s="2">
        <v>2</v>
      </c>
      <c r="BV274" s="2">
        <f t="shared" si="21"/>
        <v>154</v>
      </c>
      <c r="BW274" s="16">
        <f t="shared" si="19"/>
        <v>8.1052631578947363</v>
      </c>
      <c r="BX274" s="16">
        <f>COUNTIF($BC$6:BU274, "=0") / COUNTIF($BC$6:BU274, "&gt;-1")</f>
        <v>6.6523185286636671E-2</v>
      </c>
      <c r="BY274" s="18">
        <f>SUM($BC$6:BU274) / $BY$4</f>
        <v>0.74360071343457623</v>
      </c>
      <c r="BZ274" s="14">
        <f t="shared" si="20"/>
        <v>3</v>
      </c>
      <c r="CA274" t="s">
        <v>5831</v>
      </c>
      <c r="CB274" s="36">
        <v>8.4815037708430996</v>
      </c>
      <c r="CC274" s="36">
        <v>2.8891923620323401</v>
      </c>
      <c r="CD274" s="36">
        <v>3.2015953236245198</v>
      </c>
      <c r="CE274" s="36">
        <v>0.37798043978830698</v>
      </c>
      <c r="CF274" s="36">
        <v>9.4619399593058091</v>
      </c>
      <c r="CG274" s="36">
        <v>10.226999713034401</v>
      </c>
      <c r="CH274" s="36">
        <v>21.081245657292801</v>
      </c>
      <c r="CI274" s="36">
        <v>24.3295899495577</v>
      </c>
      <c r="CJ274" s="37">
        <v>10.331857812184399</v>
      </c>
      <c r="CK274" s="37">
        <v>13.243642584653999</v>
      </c>
      <c r="CL274" s="37">
        <v>8.0005434826734305</v>
      </c>
      <c r="CM274" s="37">
        <v>5.0792822795996404</v>
      </c>
      <c r="CN274" s="37">
        <v>2.7563776974453398</v>
      </c>
      <c r="CO274" s="37">
        <v>10.2594774150066</v>
      </c>
      <c r="CP274" s="37">
        <v>1.50854004786242</v>
      </c>
      <c r="CQ274" s="37">
        <v>3.0452736929492299</v>
      </c>
      <c r="CR274" s="45">
        <v>-0.53141177694997999</v>
      </c>
      <c r="CS274" s="45">
        <v>-1.4762573451082901</v>
      </c>
      <c r="CT274" s="46">
        <v>0.340858744043879</v>
      </c>
      <c r="CU274" s="47">
        <v>0.42072785934567303</v>
      </c>
      <c r="CV274" s="48">
        <v>10.006255896934899</v>
      </c>
      <c r="CW274" s="49">
        <v>6.7781243765468897</v>
      </c>
      <c r="CX274" s="31" t="s">
        <v>5875</v>
      </c>
      <c r="CY274" s="31" t="s">
        <v>5832</v>
      </c>
      <c r="CZ274" t="s">
        <v>8788</v>
      </c>
      <c r="DA274" t="s">
        <v>5904</v>
      </c>
      <c r="DB274">
        <v>474.6</v>
      </c>
      <c r="DC274" t="s">
        <v>22694</v>
      </c>
      <c r="DD274" t="s">
        <v>13772</v>
      </c>
      <c r="DE274" t="s">
        <v>22695</v>
      </c>
      <c r="DF274" t="s">
        <v>22696</v>
      </c>
      <c r="DG274" t="s">
        <v>13772</v>
      </c>
      <c r="DH274" t="str">
        <f>"PGLS"</f>
        <v>PGLS</v>
      </c>
      <c r="DI274" t="s">
        <v>13772</v>
      </c>
      <c r="DJ274" t="s">
        <v>13777</v>
      </c>
      <c r="DK274">
        <v>9606</v>
      </c>
      <c r="DL274" s="34" t="str">
        <f>HYPERLINK("http://www.uniprot.org/uniprot/O95336", "O95336")</f>
        <v>O95336</v>
      </c>
      <c r="DM274" t="s">
        <v>22697</v>
      </c>
      <c r="DN274" t="s">
        <v>13772</v>
      </c>
      <c r="DO274" t="s">
        <v>13899</v>
      </c>
      <c r="DP274" t="s">
        <v>13772</v>
      </c>
      <c r="DQ274" t="s">
        <v>13772</v>
      </c>
      <c r="DR274" t="s">
        <v>13772</v>
      </c>
      <c r="DS274" t="s">
        <v>13772</v>
      </c>
      <c r="DT274" t="s">
        <v>13772</v>
      </c>
      <c r="DU274" t="s">
        <v>13857</v>
      </c>
      <c r="DV274" t="s">
        <v>13886</v>
      </c>
      <c r="DW274" t="s">
        <v>13772</v>
      </c>
      <c r="DX274" t="s">
        <v>22698</v>
      </c>
      <c r="DY274" t="s">
        <v>15111</v>
      </c>
      <c r="DZ274" t="s">
        <v>22699</v>
      </c>
      <c r="EA274" t="s">
        <v>22700</v>
      </c>
      <c r="EB274" t="s">
        <v>22701</v>
      </c>
    </row>
    <row r="275" spans="1:132" hidden="1">
      <c r="A275">
        <v>1612</v>
      </c>
      <c r="B275">
        <v>1</v>
      </c>
      <c r="C275" t="s">
        <v>3821</v>
      </c>
      <c r="D275" t="s">
        <v>73</v>
      </c>
      <c r="E275" t="s">
        <v>73</v>
      </c>
      <c r="F275" t="s">
        <v>73</v>
      </c>
      <c r="G275" t="s">
        <v>73</v>
      </c>
      <c r="H275">
        <v>23.2</v>
      </c>
      <c r="I275">
        <v>918</v>
      </c>
      <c r="J275">
        <v>103903</v>
      </c>
      <c r="K275" t="s">
        <v>3822</v>
      </c>
      <c r="L275">
        <f t="shared" si="18"/>
        <v>154</v>
      </c>
      <c r="N275">
        <v>154</v>
      </c>
      <c r="O275">
        <v>154</v>
      </c>
      <c r="P275">
        <v>1</v>
      </c>
      <c r="Q275">
        <v>9</v>
      </c>
      <c r="R275">
        <v>27</v>
      </c>
      <c r="S275">
        <v>17</v>
      </c>
      <c r="T275">
        <v>21</v>
      </c>
      <c r="U275">
        <v>19</v>
      </c>
      <c r="V275">
        <v>21</v>
      </c>
      <c r="W275">
        <v>16</v>
      </c>
      <c r="X275">
        <v>11</v>
      </c>
      <c r="Y275">
        <v>1</v>
      </c>
      <c r="Z275">
        <v>1</v>
      </c>
      <c r="AA275">
        <v>1</v>
      </c>
      <c r="AB275">
        <v>4</v>
      </c>
      <c r="AC275">
        <v>1</v>
      </c>
      <c r="AD275">
        <v>0</v>
      </c>
      <c r="AE275">
        <v>1</v>
      </c>
      <c r="AF275">
        <v>1</v>
      </c>
      <c r="AG275">
        <v>2</v>
      </c>
      <c r="AH275">
        <v>0</v>
      </c>
      <c r="AI275">
        <v>1</v>
      </c>
      <c r="AJ275">
        <v>9</v>
      </c>
      <c r="AK275">
        <v>27</v>
      </c>
      <c r="AL275">
        <v>17</v>
      </c>
      <c r="AM275">
        <v>21</v>
      </c>
      <c r="AN275">
        <v>19</v>
      </c>
      <c r="AO275">
        <v>21</v>
      </c>
      <c r="AP275">
        <v>16</v>
      </c>
      <c r="AQ275">
        <v>11</v>
      </c>
      <c r="AR275">
        <v>1</v>
      </c>
      <c r="AS275">
        <v>1</v>
      </c>
      <c r="AT275">
        <v>1</v>
      </c>
      <c r="AU275">
        <v>4</v>
      </c>
      <c r="AV275">
        <v>1</v>
      </c>
      <c r="AW275">
        <v>0</v>
      </c>
      <c r="AX275">
        <v>1</v>
      </c>
      <c r="AY275">
        <v>1</v>
      </c>
      <c r="AZ275">
        <v>2</v>
      </c>
      <c r="BA275">
        <v>0</v>
      </c>
      <c r="BB275">
        <v>1</v>
      </c>
      <c r="BC275" s="2">
        <v>9</v>
      </c>
      <c r="BD275" s="2">
        <v>27</v>
      </c>
      <c r="BE275" s="2">
        <v>17</v>
      </c>
      <c r="BF275" s="2">
        <v>21</v>
      </c>
      <c r="BG275" s="2">
        <v>19</v>
      </c>
      <c r="BH275" s="2">
        <v>21</v>
      </c>
      <c r="BI275" s="2">
        <v>16</v>
      </c>
      <c r="BJ275" s="2">
        <v>11</v>
      </c>
      <c r="BK275" s="2">
        <v>1</v>
      </c>
      <c r="BL275" s="2">
        <v>1</v>
      </c>
      <c r="BM275" s="2">
        <v>1</v>
      </c>
      <c r="BN275" s="2">
        <v>4</v>
      </c>
      <c r="BO275" s="2">
        <v>1</v>
      </c>
      <c r="BP275" s="2">
        <v>0</v>
      </c>
      <c r="BQ275" s="2">
        <v>1</v>
      </c>
      <c r="BR275" s="2">
        <v>1</v>
      </c>
      <c r="BS275" s="2">
        <v>2</v>
      </c>
      <c r="BT275" s="2">
        <v>0</v>
      </c>
      <c r="BU275" s="2">
        <v>1</v>
      </c>
      <c r="BV275" s="2">
        <f t="shared" si="21"/>
        <v>154</v>
      </c>
      <c r="BW275" s="16">
        <f t="shared" si="19"/>
        <v>8.1052631578947363</v>
      </c>
      <c r="BX275" s="16">
        <f>COUNTIF($BC$6:BU275, "=0") / COUNTIF($BC$6:BU275, "&gt;-1")</f>
        <v>6.6666666666666666E-2</v>
      </c>
      <c r="BY275" s="18">
        <f>SUM($BC$6:BU275) / $BY$4</f>
        <v>0.74426039351235618</v>
      </c>
      <c r="BZ275" s="14">
        <f t="shared" si="20"/>
        <v>2</v>
      </c>
      <c r="CA275" t="s">
        <v>5831</v>
      </c>
      <c r="CB275" s="36">
        <v>10.9047905625126</v>
      </c>
      <c r="CC275" s="36">
        <v>26.002731258291099</v>
      </c>
      <c r="CD275" s="36">
        <v>27.213560250808399</v>
      </c>
      <c r="CE275" s="36">
        <v>31.750356942217799</v>
      </c>
      <c r="CF275" s="36">
        <v>16.343350838801001</v>
      </c>
      <c r="CG275" s="36">
        <v>19.5242721794293</v>
      </c>
      <c r="CH275" s="36">
        <v>16.8649965258343</v>
      </c>
      <c r="CI275" s="36">
        <v>10.7050195778054</v>
      </c>
      <c r="CJ275" s="37">
        <v>0.79475829324495695</v>
      </c>
      <c r="CK275" s="37">
        <v>0.63064964688828595</v>
      </c>
      <c r="CL275" s="37">
        <v>3.2002173930693698</v>
      </c>
      <c r="CM275" s="37">
        <v>0.84654704659994096</v>
      </c>
      <c r="CN275" s="37">
        <v>0.91879256581511404</v>
      </c>
      <c r="CO275" s="37">
        <v>0.78919057038512497</v>
      </c>
      <c r="CP275" s="37">
        <v>3.0170800957248498</v>
      </c>
      <c r="CQ275" s="37">
        <v>1.5226368464746201</v>
      </c>
      <c r="CR275" s="45">
        <v>-3.7363660106943302</v>
      </c>
      <c r="CS275" s="45">
        <v>-13.5930726809408</v>
      </c>
      <c r="CT275" s="46">
        <v>2.2244610520789499E-15</v>
      </c>
      <c r="CU275" s="47">
        <v>1.6027678446544901E-13</v>
      </c>
      <c r="CV275" s="48">
        <v>19.913634766962499</v>
      </c>
      <c r="CW275" s="49">
        <v>1.4649840572752799</v>
      </c>
      <c r="CX275" s="31" t="s">
        <v>5875</v>
      </c>
      <c r="CY275" s="31" t="s">
        <v>5876</v>
      </c>
      <c r="CZ275" t="s">
        <v>11118</v>
      </c>
      <c r="DA275" t="s">
        <v>5904</v>
      </c>
      <c r="DB275">
        <v>1677.5</v>
      </c>
      <c r="DC275" t="s">
        <v>29246</v>
      </c>
      <c r="DD275" t="s">
        <v>29247</v>
      </c>
      <c r="DE275" t="s">
        <v>29248</v>
      </c>
      <c r="DF275" t="s">
        <v>29249</v>
      </c>
      <c r="DG275" t="s">
        <v>29250</v>
      </c>
      <c r="DH275" t="str">
        <f>"IL6ST"</f>
        <v>IL6ST</v>
      </c>
      <c r="DI275" t="s">
        <v>13772</v>
      </c>
      <c r="DJ275" t="s">
        <v>13777</v>
      </c>
      <c r="DK275">
        <v>9606</v>
      </c>
      <c r="DL275" s="34" t="str">
        <f>HYPERLINK("http://www.uniprot.org/uniprot/P40189", "P40189")</f>
        <v>P40189</v>
      </c>
      <c r="DM275" t="s">
        <v>29251</v>
      </c>
      <c r="DN275" t="s">
        <v>14563</v>
      </c>
      <c r="DO275" t="s">
        <v>14336</v>
      </c>
      <c r="DP275" t="s">
        <v>13780</v>
      </c>
      <c r="DQ275" t="s">
        <v>13772</v>
      </c>
      <c r="DR275" t="s">
        <v>13772</v>
      </c>
      <c r="DS275" t="s">
        <v>13951</v>
      </c>
      <c r="DT275" t="s">
        <v>13772</v>
      </c>
      <c r="DU275" t="s">
        <v>13795</v>
      </c>
      <c r="DV275" t="s">
        <v>13964</v>
      </c>
      <c r="DW275" t="s">
        <v>13812</v>
      </c>
      <c r="DX275" t="s">
        <v>29252</v>
      </c>
      <c r="DY275" t="s">
        <v>29253</v>
      </c>
      <c r="DZ275" t="s">
        <v>29254</v>
      </c>
      <c r="EA275" t="s">
        <v>13772</v>
      </c>
      <c r="EB275" t="s">
        <v>29255</v>
      </c>
    </row>
    <row r="276" spans="1:132" hidden="1">
      <c r="A276">
        <v>1649</v>
      </c>
      <c r="B276">
        <v>1</v>
      </c>
      <c r="C276" t="s">
        <v>3910</v>
      </c>
      <c r="D276" t="s">
        <v>73</v>
      </c>
      <c r="E276" t="s">
        <v>73</v>
      </c>
      <c r="F276" t="s">
        <v>73</v>
      </c>
      <c r="G276" t="s">
        <v>73</v>
      </c>
      <c r="H276">
        <v>29.3</v>
      </c>
      <c r="I276">
        <v>464</v>
      </c>
      <c r="J276">
        <v>51338</v>
      </c>
      <c r="K276" t="s">
        <v>3911</v>
      </c>
      <c r="L276">
        <f t="shared" si="18"/>
        <v>154</v>
      </c>
      <c r="N276">
        <v>154</v>
      </c>
      <c r="O276">
        <v>154</v>
      </c>
      <c r="P276">
        <v>1</v>
      </c>
      <c r="Q276">
        <v>13</v>
      </c>
      <c r="R276">
        <v>10</v>
      </c>
      <c r="S276">
        <v>4</v>
      </c>
      <c r="T276">
        <v>4</v>
      </c>
      <c r="U276">
        <v>10</v>
      </c>
      <c r="V276">
        <v>9</v>
      </c>
      <c r="W276">
        <v>7</v>
      </c>
      <c r="X276">
        <v>4</v>
      </c>
      <c r="Y276">
        <v>18</v>
      </c>
      <c r="Z276">
        <v>0</v>
      </c>
      <c r="AA276">
        <v>19</v>
      </c>
      <c r="AB276">
        <v>11</v>
      </c>
      <c r="AC276">
        <v>5</v>
      </c>
      <c r="AD276">
        <v>1</v>
      </c>
      <c r="AE276">
        <v>16</v>
      </c>
      <c r="AF276">
        <v>11</v>
      </c>
      <c r="AG276">
        <v>2</v>
      </c>
      <c r="AH276">
        <v>3</v>
      </c>
      <c r="AI276">
        <v>7</v>
      </c>
      <c r="AJ276">
        <v>13</v>
      </c>
      <c r="AK276">
        <v>10</v>
      </c>
      <c r="AL276">
        <v>4</v>
      </c>
      <c r="AM276">
        <v>4</v>
      </c>
      <c r="AN276">
        <v>10</v>
      </c>
      <c r="AO276">
        <v>9</v>
      </c>
      <c r="AP276">
        <v>7</v>
      </c>
      <c r="AQ276">
        <v>4</v>
      </c>
      <c r="AR276">
        <v>18</v>
      </c>
      <c r="AS276">
        <v>0</v>
      </c>
      <c r="AT276">
        <v>19</v>
      </c>
      <c r="AU276">
        <v>11</v>
      </c>
      <c r="AV276">
        <v>5</v>
      </c>
      <c r="AW276">
        <v>1</v>
      </c>
      <c r="AX276">
        <v>16</v>
      </c>
      <c r="AY276">
        <v>11</v>
      </c>
      <c r="AZ276">
        <v>2</v>
      </c>
      <c r="BA276">
        <v>3</v>
      </c>
      <c r="BB276">
        <v>7</v>
      </c>
      <c r="BC276" s="2">
        <v>13</v>
      </c>
      <c r="BD276" s="2">
        <v>10</v>
      </c>
      <c r="BE276" s="2">
        <v>4</v>
      </c>
      <c r="BF276" s="2">
        <v>4</v>
      </c>
      <c r="BG276" s="2">
        <v>10</v>
      </c>
      <c r="BH276" s="2">
        <v>9</v>
      </c>
      <c r="BI276" s="2">
        <v>7</v>
      </c>
      <c r="BJ276" s="2">
        <v>4</v>
      </c>
      <c r="BK276" s="2">
        <v>18</v>
      </c>
      <c r="BL276" s="2">
        <v>0</v>
      </c>
      <c r="BM276" s="2">
        <v>19</v>
      </c>
      <c r="BN276" s="2">
        <v>11</v>
      </c>
      <c r="BO276" s="2">
        <v>5</v>
      </c>
      <c r="BP276" s="2">
        <v>1</v>
      </c>
      <c r="BQ276" s="2">
        <v>16</v>
      </c>
      <c r="BR276" s="2">
        <v>11</v>
      </c>
      <c r="BS276" s="2">
        <v>2</v>
      </c>
      <c r="BT276" s="2">
        <v>3</v>
      </c>
      <c r="BU276" s="2">
        <v>7</v>
      </c>
      <c r="BV276" s="2">
        <f t="shared" si="21"/>
        <v>154</v>
      </c>
      <c r="BW276" s="16">
        <f t="shared" si="19"/>
        <v>8.1052631578947363</v>
      </c>
      <c r="BX276" s="16">
        <f>COUNTIF($BC$6:BU276, "=0") / COUNTIF($BC$6:BU276, "&gt;-1")</f>
        <v>6.6614876675082535E-2</v>
      </c>
      <c r="BY276" s="18">
        <f>SUM($BC$6:BU276) / $BY$4</f>
        <v>0.74492007359013601</v>
      </c>
      <c r="BZ276" s="14">
        <f t="shared" si="20"/>
        <v>1</v>
      </c>
      <c r="CA276" t="s">
        <v>5831</v>
      </c>
      <c r="CB276" s="36">
        <v>15.7513641458515</v>
      </c>
      <c r="CC276" s="36">
        <v>9.6306412067744702</v>
      </c>
      <c r="CD276" s="36">
        <v>6.4031906472490299</v>
      </c>
      <c r="CE276" s="36">
        <v>6.0476870366129196</v>
      </c>
      <c r="CF276" s="36">
        <v>8.6017635993689208</v>
      </c>
      <c r="CG276" s="36">
        <v>8.3675452197554208</v>
      </c>
      <c r="CH276" s="36">
        <v>7.3784359800524904</v>
      </c>
      <c r="CI276" s="36">
        <v>3.8927343919292201</v>
      </c>
      <c r="CJ276" s="37">
        <v>14.3056492784092</v>
      </c>
      <c r="CK276" s="37">
        <v>11.982343290877401</v>
      </c>
      <c r="CL276" s="37">
        <v>8.8005978309407702</v>
      </c>
      <c r="CM276" s="37">
        <v>4.2327352329997003</v>
      </c>
      <c r="CN276" s="37">
        <v>14.7006810530418</v>
      </c>
      <c r="CO276" s="37">
        <v>8.6810962742363706</v>
      </c>
      <c r="CP276" s="37">
        <v>3.0170800957248498</v>
      </c>
      <c r="CQ276" s="37">
        <v>10.658457925322301</v>
      </c>
      <c r="CR276" s="45">
        <v>0.22843890233558301</v>
      </c>
      <c r="CS276" s="45">
        <v>1.1559672219867001</v>
      </c>
      <c r="CT276" s="46">
        <v>0.58188580230879405</v>
      </c>
      <c r="CU276" s="47">
        <v>0.658682913273406</v>
      </c>
      <c r="CV276" s="48">
        <v>8.2591702784492398</v>
      </c>
      <c r="CW276" s="49">
        <v>9.5473301226940599</v>
      </c>
      <c r="CX276" s="31" t="s">
        <v>5874</v>
      </c>
      <c r="CY276" s="31" t="s">
        <v>5832</v>
      </c>
      <c r="CZ276" t="s">
        <v>11244</v>
      </c>
      <c r="DA276" t="s">
        <v>5904</v>
      </c>
      <c r="DB276">
        <v>853.2</v>
      </c>
      <c r="DC276" t="s">
        <v>29608</v>
      </c>
      <c r="DD276" t="s">
        <v>29609</v>
      </c>
      <c r="DE276" t="s">
        <v>29610</v>
      </c>
      <c r="DF276" t="s">
        <v>29611</v>
      </c>
      <c r="DG276" t="s">
        <v>29612</v>
      </c>
      <c r="DH276" t="str">
        <f>"ATP6AP1"</f>
        <v>ATP6AP1</v>
      </c>
      <c r="DI276" t="s">
        <v>29613</v>
      </c>
      <c r="DJ276" t="s">
        <v>13777</v>
      </c>
      <c r="DK276">
        <v>9606</v>
      </c>
      <c r="DL276" s="34" t="str">
        <f>HYPERLINK("http://www.uniprot.org/uniprot/Q15904", "Q15904")</f>
        <v>Q15904</v>
      </c>
      <c r="DM276" t="s">
        <v>29614</v>
      </c>
      <c r="DN276" t="s">
        <v>14032</v>
      </c>
      <c r="DO276" t="s">
        <v>14714</v>
      </c>
      <c r="DP276" t="s">
        <v>13772</v>
      </c>
      <c r="DQ276" t="s">
        <v>13772</v>
      </c>
      <c r="DR276" t="s">
        <v>13807</v>
      </c>
      <c r="DS276" t="s">
        <v>13855</v>
      </c>
      <c r="DT276" t="s">
        <v>14005</v>
      </c>
      <c r="DU276" t="s">
        <v>13772</v>
      </c>
      <c r="DV276" t="s">
        <v>13978</v>
      </c>
      <c r="DW276" t="s">
        <v>13772</v>
      </c>
      <c r="DX276" t="s">
        <v>29615</v>
      </c>
      <c r="DY276" t="s">
        <v>29616</v>
      </c>
      <c r="DZ276" t="s">
        <v>29617</v>
      </c>
      <c r="EA276" t="s">
        <v>13772</v>
      </c>
      <c r="EB276" t="s">
        <v>29618</v>
      </c>
    </row>
    <row r="277" spans="1:132">
      <c r="A277">
        <v>307</v>
      </c>
      <c r="B277">
        <v>1</v>
      </c>
      <c r="C277" t="s">
        <v>772</v>
      </c>
      <c r="D277" t="s">
        <v>73</v>
      </c>
      <c r="E277" t="s">
        <v>73</v>
      </c>
      <c r="F277" t="s">
        <v>73</v>
      </c>
      <c r="G277" t="s">
        <v>73</v>
      </c>
      <c r="H277">
        <v>45.3</v>
      </c>
      <c r="I277">
        <v>137</v>
      </c>
      <c r="J277">
        <v>14692</v>
      </c>
      <c r="K277" t="s">
        <v>773</v>
      </c>
      <c r="L277">
        <f t="shared" si="18"/>
        <v>153</v>
      </c>
      <c r="N277">
        <v>153</v>
      </c>
      <c r="O277">
        <v>153</v>
      </c>
      <c r="P277">
        <v>1</v>
      </c>
      <c r="Q277">
        <v>7</v>
      </c>
      <c r="R277">
        <v>6</v>
      </c>
      <c r="S277">
        <v>8</v>
      </c>
      <c r="T277">
        <v>3</v>
      </c>
      <c r="U277">
        <v>5</v>
      </c>
      <c r="V277">
        <v>4</v>
      </c>
      <c r="W277">
        <v>6</v>
      </c>
      <c r="X277">
        <v>7</v>
      </c>
      <c r="Y277">
        <v>10</v>
      </c>
      <c r="Z277">
        <v>4</v>
      </c>
      <c r="AA277">
        <v>14</v>
      </c>
      <c r="AB277">
        <v>19</v>
      </c>
      <c r="AC277">
        <v>12</v>
      </c>
      <c r="AD277">
        <v>3</v>
      </c>
      <c r="AE277">
        <v>7</v>
      </c>
      <c r="AF277">
        <v>11</v>
      </c>
      <c r="AG277">
        <v>11</v>
      </c>
      <c r="AH277">
        <v>7</v>
      </c>
      <c r="AI277">
        <v>9</v>
      </c>
      <c r="AJ277">
        <v>7</v>
      </c>
      <c r="AK277">
        <v>6</v>
      </c>
      <c r="AL277">
        <v>8</v>
      </c>
      <c r="AM277">
        <v>3</v>
      </c>
      <c r="AN277">
        <v>5</v>
      </c>
      <c r="AO277">
        <v>4</v>
      </c>
      <c r="AP277">
        <v>6</v>
      </c>
      <c r="AQ277">
        <v>7</v>
      </c>
      <c r="AR277">
        <v>10</v>
      </c>
      <c r="AS277">
        <v>4</v>
      </c>
      <c r="AT277">
        <v>14</v>
      </c>
      <c r="AU277">
        <v>19</v>
      </c>
      <c r="AV277">
        <v>12</v>
      </c>
      <c r="AW277">
        <v>3</v>
      </c>
      <c r="AX277">
        <v>7</v>
      </c>
      <c r="AY277">
        <v>11</v>
      </c>
      <c r="AZ277">
        <v>11</v>
      </c>
      <c r="BA277">
        <v>7</v>
      </c>
      <c r="BB277">
        <v>9</v>
      </c>
      <c r="BC277" s="2">
        <v>7</v>
      </c>
      <c r="BD277" s="2">
        <v>6</v>
      </c>
      <c r="BE277" s="2">
        <v>8</v>
      </c>
      <c r="BF277" s="2">
        <v>3</v>
      </c>
      <c r="BG277" s="2">
        <v>5</v>
      </c>
      <c r="BH277" s="2">
        <v>4</v>
      </c>
      <c r="BI277" s="2">
        <v>6</v>
      </c>
      <c r="BJ277" s="2">
        <v>7</v>
      </c>
      <c r="BK277" s="2">
        <v>10</v>
      </c>
      <c r="BL277" s="2">
        <v>4</v>
      </c>
      <c r="BM277" s="2">
        <v>14</v>
      </c>
      <c r="BN277" s="2">
        <v>19</v>
      </c>
      <c r="BO277" s="2">
        <v>12</v>
      </c>
      <c r="BP277" s="2">
        <v>3</v>
      </c>
      <c r="BQ277" s="2">
        <v>7</v>
      </c>
      <c r="BR277" s="2">
        <v>11</v>
      </c>
      <c r="BS277" s="2">
        <v>11</v>
      </c>
      <c r="BT277" s="2">
        <v>7</v>
      </c>
      <c r="BU277" s="2">
        <v>9</v>
      </c>
      <c r="BV277" s="2">
        <f t="shared" si="21"/>
        <v>153</v>
      </c>
      <c r="BW277" s="16">
        <f t="shared" si="19"/>
        <v>8.0526315789473681</v>
      </c>
      <c r="BX277" s="16">
        <f>COUNTIF($BC$6:BU277, "=0") / COUNTIF($BC$6:BU277, "&gt;-1")</f>
        <v>6.6369969040247681E-2</v>
      </c>
      <c r="BY277" s="18">
        <f>SUM($BC$6:BU277) / $BY$4</f>
        <v>0.74557547003104718</v>
      </c>
      <c r="BZ277" s="14">
        <f t="shared" si="20"/>
        <v>0</v>
      </c>
      <c r="CA277" t="s">
        <v>5831</v>
      </c>
      <c r="CB277" s="36">
        <v>8.4815037708430996</v>
      </c>
      <c r="CC277" s="36">
        <v>5.7783847240646802</v>
      </c>
      <c r="CD277" s="36">
        <v>12.806381294498101</v>
      </c>
      <c r="CE277" s="36">
        <v>4.5357652774596904</v>
      </c>
      <c r="CF277" s="36">
        <v>4.3008817996844604</v>
      </c>
      <c r="CG277" s="36">
        <v>3.7189089865579601</v>
      </c>
      <c r="CH277" s="36">
        <v>6.3243736971878404</v>
      </c>
      <c r="CI277" s="36">
        <v>6.8122851858761404</v>
      </c>
      <c r="CJ277" s="37">
        <v>7.9475829324495697</v>
      </c>
      <c r="CK277" s="37">
        <v>8.8290950564359996</v>
      </c>
      <c r="CL277" s="37">
        <v>15.2010326170795</v>
      </c>
      <c r="CM277" s="37">
        <v>10.1585645591993</v>
      </c>
      <c r="CN277" s="37">
        <v>6.4315479607058004</v>
      </c>
      <c r="CO277" s="37">
        <v>8.6810962742363706</v>
      </c>
      <c r="CP277" s="37">
        <v>16.593940526486598</v>
      </c>
      <c r="CQ277" s="37">
        <v>13.7037316182716</v>
      </c>
      <c r="CR277" s="45">
        <v>0.73054219442281698</v>
      </c>
      <c r="CS277" s="45">
        <v>1.6593841157997</v>
      </c>
      <c r="CT277" s="46">
        <v>4.7580072763805797E-2</v>
      </c>
      <c r="CU277" s="47">
        <v>7.4371655792023594E-2</v>
      </c>
      <c r="CV277" s="48">
        <v>6.5948105920214903</v>
      </c>
      <c r="CW277" s="49">
        <v>10.9433239431081</v>
      </c>
      <c r="CX277" s="31" t="s">
        <v>5874</v>
      </c>
      <c r="CY277" s="31" t="s">
        <v>5877</v>
      </c>
      <c r="CZ277" t="s">
        <v>6756</v>
      </c>
      <c r="DA277" t="s">
        <v>6759</v>
      </c>
      <c r="DB277">
        <v>38.9</v>
      </c>
      <c r="DC277" t="s">
        <v>16610</v>
      </c>
      <c r="DD277" t="s">
        <v>16611</v>
      </c>
      <c r="DE277" t="s">
        <v>16612</v>
      </c>
      <c r="DF277" t="s">
        <v>16613</v>
      </c>
      <c r="DG277" t="s">
        <v>16614</v>
      </c>
      <c r="DH277" t="str">
        <f>"LY6E"</f>
        <v>LY6E</v>
      </c>
      <c r="DI277" t="s">
        <v>16615</v>
      </c>
      <c r="DJ277" t="s">
        <v>13777</v>
      </c>
      <c r="DK277">
        <v>9606</v>
      </c>
      <c r="DL277" s="34" t="str">
        <f>HYPERLINK("http://www.uniprot.org/uniprot/Q16553", "Q16553")</f>
        <v>Q16553</v>
      </c>
      <c r="DM277" t="s">
        <v>16616</v>
      </c>
      <c r="DN277" t="s">
        <v>13772</v>
      </c>
      <c r="DO277" t="s">
        <v>13792</v>
      </c>
      <c r="DP277" t="s">
        <v>13772</v>
      </c>
      <c r="DQ277" t="s">
        <v>13772</v>
      </c>
      <c r="DR277" t="s">
        <v>13772</v>
      </c>
      <c r="DS277" t="s">
        <v>13808</v>
      </c>
      <c r="DT277" t="s">
        <v>13772</v>
      </c>
      <c r="DU277" t="s">
        <v>13772</v>
      </c>
      <c r="DV277" t="s">
        <v>15699</v>
      </c>
      <c r="DW277" t="s">
        <v>13772</v>
      </c>
      <c r="DX277" t="s">
        <v>16617</v>
      </c>
      <c r="DY277" t="s">
        <v>16618</v>
      </c>
      <c r="DZ277" t="s">
        <v>16619</v>
      </c>
      <c r="EA277" t="s">
        <v>13772</v>
      </c>
      <c r="EB277" t="s">
        <v>16280</v>
      </c>
    </row>
    <row r="278" spans="1:132" hidden="1">
      <c r="A278">
        <v>961</v>
      </c>
      <c r="B278">
        <v>1</v>
      </c>
      <c r="C278" t="s">
        <v>2334</v>
      </c>
      <c r="D278" t="s">
        <v>73</v>
      </c>
      <c r="E278" t="s">
        <v>73</v>
      </c>
      <c r="F278" t="s">
        <v>73</v>
      </c>
      <c r="G278" t="s">
        <v>73</v>
      </c>
      <c r="H278">
        <v>47.3</v>
      </c>
      <c r="I278">
        <v>827</v>
      </c>
      <c r="J278">
        <v>92725</v>
      </c>
      <c r="K278" t="s">
        <v>2335</v>
      </c>
      <c r="L278">
        <f t="shared" si="18"/>
        <v>153</v>
      </c>
      <c r="N278">
        <v>153</v>
      </c>
      <c r="O278">
        <v>153</v>
      </c>
      <c r="P278">
        <v>1</v>
      </c>
      <c r="Q278">
        <v>3</v>
      </c>
      <c r="R278">
        <v>23</v>
      </c>
      <c r="S278">
        <v>0</v>
      </c>
      <c r="T278">
        <v>17</v>
      </c>
      <c r="U278">
        <v>39</v>
      </c>
      <c r="V278">
        <v>35</v>
      </c>
      <c r="W278">
        <v>7</v>
      </c>
      <c r="X278">
        <v>16</v>
      </c>
      <c r="Y278">
        <v>0</v>
      </c>
      <c r="Z278">
        <v>0</v>
      </c>
      <c r="AA278">
        <v>2</v>
      </c>
      <c r="AB278">
        <v>5</v>
      </c>
      <c r="AC278">
        <v>0</v>
      </c>
      <c r="AD278">
        <v>0</v>
      </c>
      <c r="AE278">
        <v>0</v>
      </c>
      <c r="AF278">
        <v>6</v>
      </c>
      <c r="AG278">
        <v>0</v>
      </c>
      <c r="AH278">
        <v>0</v>
      </c>
      <c r="AI278">
        <v>0</v>
      </c>
      <c r="AJ278">
        <v>3</v>
      </c>
      <c r="AK278">
        <v>23</v>
      </c>
      <c r="AL278">
        <v>0</v>
      </c>
      <c r="AM278">
        <v>17</v>
      </c>
      <c r="AN278">
        <v>39</v>
      </c>
      <c r="AO278">
        <v>35</v>
      </c>
      <c r="AP278">
        <v>7</v>
      </c>
      <c r="AQ278">
        <v>16</v>
      </c>
      <c r="AR278">
        <v>0</v>
      </c>
      <c r="AS278">
        <v>0</v>
      </c>
      <c r="AT278">
        <v>2</v>
      </c>
      <c r="AU278">
        <v>5</v>
      </c>
      <c r="AV278">
        <v>0</v>
      </c>
      <c r="AW278">
        <v>0</v>
      </c>
      <c r="AX278">
        <v>0</v>
      </c>
      <c r="AY278">
        <v>6</v>
      </c>
      <c r="AZ278">
        <v>0</v>
      </c>
      <c r="BA278">
        <v>0</v>
      </c>
      <c r="BB278">
        <v>0</v>
      </c>
      <c r="BC278" s="2">
        <v>3</v>
      </c>
      <c r="BD278" s="2">
        <v>23</v>
      </c>
      <c r="BE278" s="2">
        <v>0</v>
      </c>
      <c r="BF278" s="2">
        <v>17</v>
      </c>
      <c r="BG278" s="2">
        <v>39</v>
      </c>
      <c r="BH278" s="2">
        <v>35</v>
      </c>
      <c r="BI278" s="2">
        <v>7</v>
      </c>
      <c r="BJ278" s="2">
        <v>16</v>
      </c>
      <c r="BK278" s="2">
        <v>0</v>
      </c>
      <c r="BL278" s="2">
        <v>0</v>
      </c>
      <c r="BM278" s="2">
        <v>2</v>
      </c>
      <c r="BN278" s="2">
        <v>5</v>
      </c>
      <c r="BO278" s="2">
        <v>0</v>
      </c>
      <c r="BP278" s="2">
        <v>0</v>
      </c>
      <c r="BQ278" s="2">
        <v>0</v>
      </c>
      <c r="BR278" s="2">
        <v>6</v>
      </c>
      <c r="BS278" s="2">
        <v>0</v>
      </c>
      <c r="BT278" s="2">
        <v>0</v>
      </c>
      <c r="BU278" s="2">
        <v>0</v>
      </c>
      <c r="BV278" s="2">
        <f t="shared" si="21"/>
        <v>153</v>
      </c>
      <c r="BW278" s="16">
        <f t="shared" si="19"/>
        <v>8.0526315789473681</v>
      </c>
      <c r="BX278" s="16">
        <f>COUNTIF($BC$6:BU278, "=0") / COUNTIF($BC$6:BU278, "&gt;-1")</f>
        <v>6.7861962598804698E-2</v>
      </c>
      <c r="BY278" s="18">
        <f>SUM($BC$6:BU278) / $BY$4</f>
        <v>0.74623086647195835</v>
      </c>
      <c r="BZ278" s="14">
        <f t="shared" si="20"/>
        <v>9</v>
      </c>
      <c r="CA278" t="s">
        <v>5831</v>
      </c>
      <c r="CB278" s="36">
        <v>3.6349301875041902</v>
      </c>
      <c r="CC278" s="36">
        <v>22.150474775581301</v>
      </c>
      <c r="CD278" s="36">
        <v>0.40019941545306398</v>
      </c>
      <c r="CE278" s="36">
        <v>25.7026699056049</v>
      </c>
      <c r="CF278" s="36">
        <v>33.546878037538796</v>
      </c>
      <c r="CG278" s="36">
        <v>32.540453632382203</v>
      </c>
      <c r="CH278" s="36">
        <v>7.3784359800524904</v>
      </c>
      <c r="CI278" s="36">
        <v>15.5709375677169</v>
      </c>
      <c r="CJ278" s="37">
        <v>0.19868957331123899</v>
      </c>
      <c r="CK278" s="37">
        <v>1.2612992937765699</v>
      </c>
      <c r="CL278" s="37">
        <v>4.0002717413367099</v>
      </c>
      <c r="CM278" s="37">
        <v>0.21163676164998499</v>
      </c>
      <c r="CN278" s="37">
        <v>0.22969814145377901</v>
      </c>
      <c r="CO278" s="37">
        <v>4.7351434223107498</v>
      </c>
      <c r="CP278" s="37">
        <v>0.377135011965606</v>
      </c>
      <c r="CQ278" s="37">
        <v>0.38065921161865401</v>
      </c>
      <c r="CR278" s="45">
        <v>-3.4471319095906798</v>
      </c>
      <c r="CS278" s="45">
        <v>-12.367771242126199</v>
      </c>
      <c r="CT278" s="46">
        <v>1.3056703817559799E-6</v>
      </c>
      <c r="CU278" s="47">
        <v>6.2392391813910599E-6</v>
      </c>
      <c r="CV278" s="48">
        <v>17.615622437729201</v>
      </c>
      <c r="CW278" s="49">
        <v>1.4243166446779101</v>
      </c>
      <c r="CX278" s="31" t="s">
        <v>5875</v>
      </c>
      <c r="CY278" s="31" t="s">
        <v>5876</v>
      </c>
      <c r="CZ278" t="s">
        <v>8987</v>
      </c>
      <c r="DA278" t="s">
        <v>5904</v>
      </c>
      <c r="DB278">
        <v>1558.9</v>
      </c>
      <c r="DC278" t="s">
        <v>23243</v>
      </c>
      <c r="DD278" t="s">
        <v>13772</v>
      </c>
      <c r="DE278" t="s">
        <v>23244</v>
      </c>
      <c r="DF278" t="s">
        <v>23245</v>
      </c>
      <c r="DG278" t="s">
        <v>23246</v>
      </c>
      <c r="DH278" t="str">
        <f>"VIL1"</f>
        <v>VIL1</v>
      </c>
      <c r="DI278" t="s">
        <v>23247</v>
      </c>
      <c r="DJ278" t="s">
        <v>13777</v>
      </c>
      <c r="DK278">
        <v>9606</v>
      </c>
      <c r="DL278" s="34" t="str">
        <f>HYPERLINK("http://www.uniprot.org/uniprot/P09327", "P09327")</f>
        <v>P09327</v>
      </c>
      <c r="DM278" t="s">
        <v>23248</v>
      </c>
      <c r="DN278" t="s">
        <v>17109</v>
      </c>
      <c r="DO278" t="s">
        <v>14870</v>
      </c>
      <c r="DP278" t="s">
        <v>13780</v>
      </c>
      <c r="DQ278" t="s">
        <v>13772</v>
      </c>
      <c r="DR278" t="s">
        <v>13772</v>
      </c>
      <c r="DS278" t="s">
        <v>14096</v>
      </c>
      <c r="DT278" t="s">
        <v>14465</v>
      </c>
      <c r="DU278" t="s">
        <v>14589</v>
      </c>
      <c r="DV278" t="s">
        <v>13782</v>
      </c>
      <c r="DW278" t="s">
        <v>13812</v>
      </c>
      <c r="DX278" t="s">
        <v>23249</v>
      </c>
      <c r="DY278" t="s">
        <v>23250</v>
      </c>
      <c r="DZ278" t="s">
        <v>23251</v>
      </c>
      <c r="EA278" t="s">
        <v>13772</v>
      </c>
      <c r="EB278" t="s">
        <v>13772</v>
      </c>
    </row>
    <row r="279" spans="1:132" hidden="1">
      <c r="A279">
        <v>2017</v>
      </c>
      <c r="B279">
        <v>1</v>
      </c>
      <c r="C279" t="s">
        <v>4746</v>
      </c>
      <c r="D279" t="s">
        <v>73</v>
      </c>
      <c r="E279" t="s">
        <v>73</v>
      </c>
      <c r="F279" t="s">
        <v>73</v>
      </c>
      <c r="G279" t="s">
        <v>73</v>
      </c>
      <c r="H279">
        <v>71.3</v>
      </c>
      <c r="I279">
        <v>575</v>
      </c>
      <c r="J279">
        <v>58878</v>
      </c>
      <c r="K279" t="s">
        <v>4747</v>
      </c>
      <c r="L279">
        <f t="shared" si="18"/>
        <v>153</v>
      </c>
      <c r="N279">
        <v>153</v>
      </c>
      <c r="O279">
        <v>153</v>
      </c>
      <c r="P279">
        <v>1</v>
      </c>
      <c r="Q279">
        <v>3</v>
      </c>
      <c r="R279">
        <v>0</v>
      </c>
      <c r="S279">
        <v>2</v>
      </c>
      <c r="T279">
        <v>2</v>
      </c>
      <c r="U279">
        <v>0</v>
      </c>
      <c r="V279">
        <v>1</v>
      </c>
      <c r="W279">
        <v>0</v>
      </c>
      <c r="X279">
        <v>0</v>
      </c>
      <c r="Y279">
        <v>16</v>
      </c>
      <c r="Z279">
        <v>0</v>
      </c>
      <c r="AA279">
        <v>44</v>
      </c>
      <c r="AB279">
        <v>12</v>
      </c>
      <c r="AC279">
        <v>9</v>
      </c>
      <c r="AD279">
        <v>2</v>
      </c>
      <c r="AE279">
        <v>10</v>
      </c>
      <c r="AF279">
        <v>22</v>
      </c>
      <c r="AG279">
        <v>15</v>
      </c>
      <c r="AH279">
        <v>0</v>
      </c>
      <c r="AI279">
        <v>15</v>
      </c>
      <c r="AJ279">
        <v>3</v>
      </c>
      <c r="AK279">
        <v>0</v>
      </c>
      <c r="AL279">
        <v>2</v>
      </c>
      <c r="AM279">
        <v>2</v>
      </c>
      <c r="AN279">
        <v>0</v>
      </c>
      <c r="AO279">
        <v>1</v>
      </c>
      <c r="AP279">
        <v>0</v>
      </c>
      <c r="AQ279">
        <v>0</v>
      </c>
      <c r="AR279">
        <v>16</v>
      </c>
      <c r="AS279">
        <v>0</v>
      </c>
      <c r="AT279">
        <v>44</v>
      </c>
      <c r="AU279">
        <v>12</v>
      </c>
      <c r="AV279">
        <v>9</v>
      </c>
      <c r="AW279">
        <v>2</v>
      </c>
      <c r="AX279">
        <v>10</v>
      </c>
      <c r="AY279">
        <v>22</v>
      </c>
      <c r="AZ279">
        <v>15</v>
      </c>
      <c r="BA279">
        <v>0</v>
      </c>
      <c r="BB279">
        <v>15</v>
      </c>
      <c r="BC279" s="2">
        <v>3</v>
      </c>
      <c r="BD279" s="2">
        <v>0</v>
      </c>
      <c r="BE279" s="2">
        <v>2</v>
      </c>
      <c r="BF279" s="2">
        <v>2</v>
      </c>
      <c r="BG279" s="2">
        <v>0</v>
      </c>
      <c r="BH279" s="2">
        <v>1</v>
      </c>
      <c r="BI279" s="2">
        <v>0</v>
      </c>
      <c r="BJ279" s="2">
        <v>0</v>
      </c>
      <c r="BK279" s="2">
        <v>16</v>
      </c>
      <c r="BL279" s="2">
        <v>0</v>
      </c>
      <c r="BM279" s="2">
        <v>44</v>
      </c>
      <c r="BN279" s="2">
        <v>12</v>
      </c>
      <c r="BO279" s="2">
        <v>9</v>
      </c>
      <c r="BP279" s="2">
        <v>2</v>
      </c>
      <c r="BQ279" s="2">
        <v>10</v>
      </c>
      <c r="BR279" s="2">
        <v>22</v>
      </c>
      <c r="BS279" s="2">
        <v>15</v>
      </c>
      <c r="BT279" s="2">
        <v>0</v>
      </c>
      <c r="BU279" s="2">
        <v>15</v>
      </c>
      <c r="BV279" s="2">
        <f t="shared" si="21"/>
        <v>153</v>
      </c>
      <c r="BW279" s="16">
        <f t="shared" si="19"/>
        <v>8.0526315789473681</v>
      </c>
      <c r="BX279" s="16">
        <f>COUNTIF($BC$6:BU279, "=0") / COUNTIF($BC$6:BU279, "&gt;-1")</f>
        <v>6.8766807529773336E-2</v>
      </c>
      <c r="BY279" s="18">
        <f>SUM($BC$6:BU279) / $BY$4</f>
        <v>0.74688626291286953</v>
      </c>
      <c r="BZ279" s="14">
        <f t="shared" si="20"/>
        <v>6</v>
      </c>
      <c r="CA279" t="s">
        <v>5831</v>
      </c>
      <c r="CB279" s="36">
        <v>3.6349301875041902</v>
      </c>
      <c r="CC279" s="36">
        <v>0.24076603016936199</v>
      </c>
      <c r="CD279" s="36">
        <v>3.2015953236245198</v>
      </c>
      <c r="CE279" s="36">
        <v>3.0238435183064598</v>
      </c>
      <c r="CF279" s="36">
        <v>0.215044089984223</v>
      </c>
      <c r="CG279" s="36">
        <v>0.92972724663949102</v>
      </c>
      <c r="CH279" s="36">
        <v>0.26351557071616</v>
      </c>
      <c r="CI279" s="36">
        <v>0.24329589949557701</v>
      </c>
      <c r="CJ279" s="37">
        <v>12.716132691919301</v>
      </c>
      <c r="CK279" s="37">
        <v>27.748584463084601</v>
      </c>
      <c r="CL279" s="37">
        <v>9.6006521792081099</v>
      </c>
      <c r="CM279" s="37">
        <v>7.6189234193994704</v>
      </c>
      <c r="CN279" s="37">
        <v>9.1879256581511406</v>
      </c>
      <c r="CO279" s="37">
        <v>17.362192548472699</v>
      </c>
      <c r="CP279" s="37">
        <v>22.628100717936299</v>
      </c>
      <c r="CQ279" s="37">
        <v>22.839552697119299</v>
      </c>
      <c r="CR279" s="45">
        <v>3.53732581536091</v>
      </c>
      <c r="CS279" s="45">
        <v>11.0359208694745</v>
      </c>
      <c r="CT279" s="46">
        <v>7.8824988562420794E-11</v>
      </c>
      <c r="CU279" s="47">
        <v>1.42524100941242E-9</v>
      </c>
      <c r="CV279" s="48">
        <v>1.4690897333049999</v>
      </c>
      <c r="CW279" s="49">
        <v>16.2127580469114</v>
      </c>
      <c r="CX279" s="31" t="s">
        <v>5874</v>
      </c>
      <c r="CY279" s="31" t="s">
        <v>5876</v>
      </c>
      <c r="CZ279" t="s">
        <v>12475</v>
      </c>
      <c r="DA279" t="s">
        <v>5904</v>
      </c>
      <c r="DB279">
        <v>744.2</v>
      </c>
      <c r="DC279" t="s">
        <v>33109</v>
      </c>
      <c r="DD279" t="s">
        <v>13772</v>
      </c>
      <c r="DE279" t="s">
        <v>33110</v>
      </c>
      <c r="DF279" t="s">
        <v>33111</v>
      </c>
      <c r="DG279" t="s">
        <v>33112</v>
      </c>
      <c r="DH279" t="str">
        <f>"SBSN"</f>
        <v>SBSN</v>
      </c>
      <c r="DI279" t="s">
        <v>13772</v>
      </c>
      <c r="DJ279" t="s">
        <v>13777</v>
      </c>
      <c r="DK279">
        <v>9606</v>
      </c>
      <c r="DL279" s="34" t="str">
        <f>HYPERLINK("http://www.uniprot.org/uniprot/Q6UWP8", "Q6UWP8")</f>
        <v>Q6UWP8</v>
      </c>
      <c r="DM279" t="s">
        <v>25652</v>
      </c>
      <c r="DN279" t="s">
        <v>13772</v>
      </c>
      <c r="DO279" t="s">
        <v>14321</v>
      </c>
      <c r="DP279" t="s">
        <v>13780</v>
      </c>
      <c r="DQ279" t="s">
        <v>13772</v>
      </c>
      <c r="DR279" t="s">
        <v>13772</v>
      </c>
      <c r="DS279" t="s">
        <v>13808</v>
      </c>
      <c r="DT279" t="s">
        <v>13772</v>
      </c>
      <c r="DU279" t="s">
        <v>13772</v>
      </c>
      <c r="DV279" t="s">
        <v>13772</v>
      </c>
      <c r="DW279" t="s">
        <v>13772</v>
      </c>
      <c r="DX279" t="s">
        <v>13772</v>
      </c>
      <c r="DY279" t="s">
        <v>15835</v>
      </c>
      <c r="DZ279" t="s">
        <v>13772</v>
      </c>
      <c r="EA279" t="s">
        <v>13772</v>
      </c>
      <c r="EB279" t="s">
        <v>13772</v>
      </c>
    </row>
    <row r="280" spans="1:132" hidden="1">
      <c r="A280">
        <v>1865</v>
      </c>
      <c r="B280">
        <v>1</v>
      </c>
      <c r="C280" t="s">
        <v>4403</v>
      </c>
      <c r="D280" t="s">
        <v>73</v>
      </c>
      <c r="E280" t="s">
        <v>73</v>
      </c>
      <c r="F280" t="s">
        <v>73</v>
      </c>
      <c r="G280" t="s">
        <v>73</v>
      </c>
      <c r="H280">
        <v>51.9</v>
      </c>
      <c r="I280">
        <v>308</v>
      </c>
      <c r="J280">
        <v>33450</v>
      </c>
      <c r="K280" t="s">
        <v>4404</v>
      </c>
      <c r="L280">
        <f t="shared" si="18"/>
        <v>152</v>
      </c>
      <c r="N280">
        <v>152</v>
      </c>
      <c r="O280">
        <v>152</v>
      </c>
      <c r="P280">
        <v>1</v>
      </c>
      <c r="Q280">
        <v>4</v>
      </c>
      <c r="R280">
        <v>9</v>
      </c>
      <c r="S280">
        <v>3</v>
      </c>
      <c r="T280">
        <v>1</v>
      </c>
      <c r="U280">
        <v>4</v>
      </c>
      <c r="V280">
        <v>8</v>
      </c>
      <c r="W280">
        <v>9</v>
      </c>
      <c r="X280">
        <v>21</v>
      </c>
      <c r="Y280">
        <v>12</v>
      </c>
      <c r="Z280">
        <v>0</v>
      </c>
      <c r="AA280">
        <v>16</v>
      </c>
      <c r="AB280">
        <v>23</v>
      </c>
      <c r="AC280">
        <v>9</v>
      </c>
      <c r="AD280">
        <v>1</v>
      </c>
      <c r="AE280">
        <v>8</v>
      </c>
      <c r="AF280">
        <v>13</v>
      </c>
      <c r="AG280">
        <v>5</v>
      </c>
      <c r="AH280">
        <v>3</v>
      </c>
      <c r="AI280">
        <v>3</v>
      </c>
      <c r="AJ280">
        <v>4</v>
      </c>
      <c r="AK280">
        <v>9</v>
      </c>
      <c r="AL280">
        <v>3</v>
      </c>
      <c r="AM280">
        <v>1</v>
      </c>
      <c r="AN280">
        <v>4</v>
      </c>
      <c r="AO280">
        <v>8</v>
      </c>
      <c r="AP280">
        <v>9</v>
      </c>
      <c r="AQ280">
        <v>21</v>
      </c>
      <c r="AR280">
        <v>12</v>
      </c>
      <c r="AS280">
        <v>0</v>
      </c>
      <c r="AT280">
        <v>16</v>
      </c>
      <c r="AU280">
        <v>23</v>
      </c>
      <c r="AV280">
        <v>9</v>
      </c>
      <c r="AW280">
        <v>1</v>
      </c>
      <c r="AX280">
        <v>8</v>
      </c>
      <c r="AY280">
        <v>13</v>
      </c>
      <c r="AZ280">
        <v>5</v>
      </c>
      <c r="BA280">
        <v>3</v>
      </c>
      <c r="BB280">
        <v>3</v>
      </c>
      <c r="BC280" s="2">
        <v>4</v>
      </c>
      <c r="BD280" s="2">
        <v>9</v>
      </c>
      <c r="BE280" s="2">
        <v>3</v>
      </c>
      <c r="BF280" s="2">
        <v>1</v>
      </c>
      <c r="BG280" s="2">
        <v>4</v>
      </c>
      <c r="BH280" s="2">
        <v>8</v>
      </c>
      <c r="BI280" s="2">
        <v>9</v>
      </c>
      <c r="BJ280" s="2">
        <v>21</v>
      </c>
      <c r="BK280" s="2">
        <v>12</v>
      </c>
      <c r="BL280" s="2">
        <v>0</v>
      </c>
      <c r="BM280" s="2">
        <v>16</v>
      </c>
      <c r="BN280" s="2">
        <v>23</v>
      </c>
      <c r="BO280" s="2">
        <v>9</v>
      </c>
      <c r="BP280" s="2">
        <v>1</v>
      </c>
      <c r="BQ280" s="2">
        <v>8</v>
      </c>
      <c r="BR280" s="2">
        <v>13</v>
      </c>
      <c r="BS280" s="2">
        <v>5</v>
      </c>
      <c r="BT280" s="2">
        <v>3</v>
      </c>
      <c r="BU280" s="2">
        <v>3</v>
      </c>
      <c r="BV280" s="2">
        <f t="shared" si="21"/>
        <v>152</v>
      </c>
      <c r="BW280" s="16">
        <f t="shared" si="19"/>
        <v>8</v>
      </c>
      <c r="BX280" s="16">
        <f>COUNTIF($BC$6:BU280, "=0") / COUNTIF($BC$6:BU280, "&gt;-1")</f>
        <v>6.8708133971291871E-2</v>
      </c>
      <c r="BY280" s="18">
        <f>SUM($BC$6:BU280) / $BY$4</f>
        <v>0.74753737571691203</v>
      </c>
      <c r="BZ280" s="14">
        <f t="shared" si="20"/>
        <v>1</v>
      </c>
      <c r="CA280" t="s">
        <v>5831</v>
      </c>
      <c r="CB280" s="36">
        <v>4.8465735833389196</v>
      </c>
      <c r="CC280" s="36">
        <v>8.6675770860970207</v>
      </c>
      <c r="CD280" s="36">
        <v>4.8023929854367697</v>
      </c>
      <c r="CE280" s="36">
        <v>1.5119217591532299</v>
      </c>
      <c r="CF280" s="36">
        <v>3.4407054397475698</v>
      </c>
      <c r="CG280" s="36">
        <v>7.43781797311593</v>
      </c>
      <c r="CH280" s="36">
        <v>9.4865605457817708</v>
      </c>
      <c r="CI280" s="36">
        <v>20.436855557628402</v>
      </c>
      <c r="CJ280" s="37">
        <v>9.53709951893949</v>
      </c>
      <c r="CK280" s="37">
        <v>10.0903943502126</v>
      </c>
      <c r="CL280" s="37">
        <v>18.4012500101489</v>
      </c>
      <c r="CM280" s="37">
        <v>7.6189234193994704</v>
      </c>
      <c r="CN280" s="37">
        <v>7.3503405265209096</v>
      </c>
      <c r="CO280" s="37">
        <v>10.2594774150066</v>
      </c>
      <c r="CP280" s="37">
        <v>7.5427002393121096</v>
      </c>
      <c r="CQ280" s="37">
        <v>4.5679105394238499</v>
      </c>
      <c r="CR280" s="45">
        <v>0.301580070476204</v>
      </c>
      <c r="CS280" s="45">
        <v>1.2430742645642301</v>
      </c>
      <c r="CT280" s="46">
        <v>0.48320261351995902</v>
      </c>
      <c r="CU280" s="47">
        <v>0.56219573642582998</v>
      </c>
      <c r="CV280" s="48">
        <v>7.5788006162874497</v>
      </c>
      <c r="CW280" s="49">
        <v>9.4210120023704906</v>
      </c>
      <c r="CX280" s="31" t="s">
        <v>5874</v>
      </c>
      <c r="CY280" s="31" t="s">
        <v>5832</v>
      </c>
      <c r="CZ280" t="s">
        <v>11975</v>
      </c>
      <c r="DA280" t="s">
        <v>5904</v>
      </c>
      <c r="DB280">
        <v>610.1</v>
      </c>
      <c r="DC280" t="s">
        <v>31700</v>
      </c>
      <c r="DD280" t="s">
        <v>31701</v>
      </c>
      <c r="DE280" t="s">
        <v>31702</v>
      </c>
      <c r="DF280" t="s">
        <v>31703</v>
      </c>
      <c r="DG280" t="s">
        <v>31704</v>
      </c>
      <c r="DH280" t="str">
        <f>"BPNT1"</f>
        <v>BPNT1</v>
      </c>
      <c r="DI280" t="s">
        <v>13772</v>
      </c>
      <c r="DJ280" t="s">
        <v>13777</v>
      </c>
      <c r="DK280">
        <v>9606</v>
      </c>
      <c r="DL280" s="34" t="str">
        <f>HYPERLINK("http://www.uniprot.org/uniprot/O95861", "O95861")</f>
        <v>O95861</v>
      </c>
      <c r="DM280" t="s">
        <v>31705</v>
      </c>
      <c r="DN280" t="s">
        <v>13772</v>
      </c>
      <c r="DO280" t="s">
        <v>13772</v>
      </c>
      <c r="DP280" t="s">
        <v>13841</v>
      </c>
      <c r="DQ280" t="s">
        <v>13772</v>
      </c>
      <c r="DR280" t="s">
        <v>13772</v>
      </c>
      <c r="DS280" t="s">
        <v>13772</v>
      </c>
      <c r="DT280" t="s">
        <v>18009</v>
      </c>
      <c r="DU280" t="s">
        <v>13857</v>
      </c>
      <c r="DV280" t="s">
        <v>13886</v>
      </c>
      <c r="DW280" t="s">
        <v>13812</v>
      </c>
      <c r="DX280" t="s">
        <v>31706</v>
      </c>
      <c r="DY280" t="s">
        <v>13902</v>
      </c>
      <c r="DZ280" t="s">
        <v>31707</v>
      </c>
      <c r="EA280" t="s">
        <v>13772</v>
      </c>
      <c r="EB280" t="s">
        <v>21459</v>
      </c>
    </row>
    <row r="281" spans="1:132">
      <c r="A281">
        <v>347</v>
      </c>
      <c r="B281">
        <v>1</v>
      </c>
      <c r="C281" t="s">
        <v>870</v>
      </c>
      <c r="D281" t="s">
        <v>73</v>
      </c>
      <c r="E281" t="s">
        <v>73</v>
      </c>
      <c r="F281" t="s">
        <v>73</v>
      </c>
      <c r="G281" t="s">
        <v>73</v>
      </c>
      <c r="H281">
        <v>50.9</v>
      </c>
      <c r="I281">
        <v>316</v>
      </c>
      <c r="J281">
        <v>35930</v>
      </c>
      <c r="K281" t="s">
        <v>871</v>
      </c>
      <c r="L281">
        <f t="shared" si="18"/>
        <v>151</v>
      </c>
      <c r="N281">
        <v>151</v>
      </c>
      <c r="O281">
        <v>151</v>
      </c>
      <c r="P281">
        <v>1</v>
      </c>
      <c r="Q281">
        <v>4</v>
      </c>
      <c r="R281">
        <v>8</v>
      </c>
      <c r="S281">
        <v>3</v>
      </c>
      <c r="T281">
        <v>2</v>
      </c>
      <c r="U281">
        <v>8</v>
      </c>
      <c r="V281">
        <v>5</v>
      </c>
      <c r="W281">
        <v>10</v>
      </c>
      <c r="X281">
        <v>22</v>
      </c>
      <c r="Y281">
        <v>9</v>
      </c>
      <c r="Z281">
        <v>5</v>
      </c>
      <c r="AA281">
        <v>10</v>
      </c>
      <c r="AB281">
        <v>7</v>
      </c>
      <c r="AC281">
        <v>18</v>
      </c>
      <c r="AD281">
        <v>5</v>
      </c>
      <c r="AE281">
        <v>13</v>
      </c>
      <c r="AF281">
        <v>9</v>
      </c>
      <c r="AG281">
        <v>6</v>
      </c>
      <c r="AH281">
        <v>5</v>
      </c>
      <c r="AI281">
        <v>2</v>
      </c>
      <c r="AJ281">
        <v>4</v>
      </c>
      <c r="AK281">
        <v>8</v>
      </c>
      <c r="AL281">
        <v>3</v>
      </c>
      <c r="AM281">
        <v>2</v>
      </c>
      <c r="AN281">
        <v>8</v>
      </c>
      <c r="AO281">
        <v>5</v>
      </c>
      <c r="AP281">
        <v>10</v>
      </c>
      <c r="AQ281">
        <v>22</v>
      </c>
      <c r="AR281">
        <v>9</v>
      </c>
      <c r="AS281">
        <v>5</v>
      </c>
      <c r="AT281">
        <v>10</v>
      </c>
      <c r="AU281">
        <v>7</v>
      </c>
      <c r="AV281">
        <v>18</v>
      </c>
      <c r="AW281">
        <v>5</v>
      </c>
      <c r="AX281">
        <v>13</v>
      </c>
      <c r="AY281">
        <v>9</v>
      </c>
      <c r="AZ281">
        <v>6</v>
      </c>
      <c r="BA281">
        <v>5</v>
      </c>
      <c r="BB281">
        <v>2</v>
      </c>
      <c r="BC281" s="2">
        <v>4</v>
      </c>
      <c r="BD281" s="2">
        <v>8</v>
      </c>
      <c r="BE281" s="2">
        <v>3</v>
      </c>
      <c r="BF281" s="2">
        <v>2</v>
      </c>
      <c r="BG281" s="2">
        <v>8</v>
      </c>
      <c r="BH281" s="2">
        <v>5</v>
      </c>
      <c r="BI281" s="2">
        <v>10</v>
      </c>
      <c r="BJ281" s="2">
        <v>22</v>
      </c>
      <c r="BK281" s="2">
        <v>9</v>
      </c>
      <c r="BL281" s="2">
        <v>5</v>
      </c>
      <c r="BM281" s="2">
        <v>10</v>
      </c>
      <c r="BN281" s="2">
        <v>7</v>
      </c>
      <c r="BO281" s="2">
        <v>18</v>
      </c>
      <c r="BP281" s="2">
        <v>5</v>
      </c>
      <c r="BQ281" s="2">
        <v>13</v>
      </c>
      <c r="BR281" s="2">
        <v>9</v>
      </c>
      <c r="BS281" s="2">
        <v>6</v>
      </c>
      <c r="BT281" s="2">
        <v>5</v>
      </c>
      <c r="BU281" s="2">
        <v>2</v>
      </c>
      <c r="BV281" s="2">
        <f t="shared" si="21"/>
        <v>151</v>
      </c>
      <c r="BW281" s="16">
        <f t="shared" si="19"/>
        <v>7.9473684210526319</v>
      </c>
      <c r="BX281" s="16">
        <f>COUNTIF($BC$6:BU281, "=0") / COUNTIF($BC$6:BU281, "&gt;-1")</f>
        <v>6.8459191456903129E-2</v>
      </c>
      <c r="BY281" s="18">
        <f>SUM($BC$6:BU281) / $BY$4</f>
        <v>0.74818420488408577</v>
      </c>
      <c r="BZ281" s="14">
        <f t="shared" si="20"/>
        <v>0</v>
      </c>
      <c r="CA281" t="s">
        <v>5831</v>
      </c>
      <c r="CB281" s="36">
        <v>4.8465735833389196</v>
      </c>
      <c r="CC281" s="36">
        <v>7.7045129654195703</v>
      </c>
      <c r="CD281" s="36">
        <v>4.8023929854367697</v>
      </c>
      <c r="CE281" s="36">
        <v>3.0238435183064598</v>
      </c>
      <c r="CF281" s="36">
        <v>6.8814108794951396</v>
      </c>
      <c r="CG281" s="36">
        <v>4.6486362331974602</v>
      </c>
      <c r="CH281" s="36">
        <v>10.5406228286464</v>
      </c>
      <c r="CI281" s="36">
        <v>21.410039155610701</v>
      </c>
      <c r="CJ281" s="37">
        <v>7.1528246392046197</v>
      </c>
      <c r="CK281" s="37">
        <v>6.3064964688828598</v>
      </c>
      <c r="CL281" s="37">
        <v>5.6003804378713999</v>
      </c>
      <c r="CM281" s="37">
        <v>15.2378468387989</v>
      </c>
      <c r="CN281" s="37">
        <v>11.944303355596499</v>
      </c>
      <c r="CO281" s="37">
        <v>7.1027151334661296</v>
      </c>
      <c r="CP281" s="37">
        <v>9.0512402871745401</v>
      </c>
      <c r="CQ281" s="37">
        <v>3.0452736929492299</v>
      </c>
      <c r="CR281" s="45">
        <v>1.2673063752261E-2</v>
      </c>
      <c r="CS281" s="45">
        <v>1.02479012664825</v>
      </c>
      <c r="CT281" s="46">
        <v>1</v>
      </c>
      <c r="CU281" s="47">
        <v>1</v>
      </c>
      <c r="CV281" s="48">
        <v>7.9822540186814299</v>
      </c>
      <c r="CW281" s="49">
        <v>8.1801351067430197</v>
      </c>
      <c r="CX281" s="31" t="s">
        <v>5874</v>
      </c>
      <c r="CY281" s="31" t="s">
        <v>5832</v>
      </c>
      <c r="CZ281" t="s">
        <v>6903</v>
      </c>
      <c r="DA281" t="s">
        <v>5904</v>
      </c>
      <c r="DB281">
        <v>570.5</v>
      </c>
      <c r="DC281" t="s">
        <v>17042</v>
      </c>
      <c r="DD281" t="s">
        <v>17043</v>
      </c>
      <c r="DE281" t="s">
        <v>17044</v>
      </c>
      <c r="DF281" t="s">
        <v>17045</v>
      </c>
      <c r="DG281" t="s">
        <v>17046</v>
      </c>
      <c r="DH281" t="str">
        <f>"AKR1B1"</f>
        <v>AKR1B1</v>
      </c>
      <c r="DI281" t="s">
        <v>17047</v>
      </c>
      <c r="DJ281" t="s">
        <v>13777</v>
      </c>
      <c r="DK281">
        <v>9606</v>
      </c>
      <c r="DL281" s="34" t="str">
        <f>HYPERLINK("http://www.uniprot.org/uniprot/P15121", "P15121")</f>
        <v>P15121</v>
      </c>
      <c r="DM281" t="s">
        <v>17048</v>
      </c>
      <c r="DN281" t="s">
        <v>13772</v>
      </c>
      <c r="DO281" t="s">
        <v>13899</v>
      </c>
      <c r="DP281" t="s">
        <v>13793</v>
      </c>
      <c r="DQ281" t="s">
        <v>13772</v>
      </c>
      <c r="DR281" t="s">
        <v>13772</v>
      </c>
      <c r="DS281" t="s">
        <v>13772</v>
      </c>
      <c r="DT281" t="s">
        <v>15759</v>
      </c>
      <c r="DU281" t="s">
        <v>13885</v>
      </c>
      <c r="DV281" t="s">
        <v>13886</v>
      </c>
      <c r="DW281" t="s">
        <v>13812</v>
      </c>
      <c r="DX281" t="s">
        <v>17049</v>
      </c>
      <c r="DY281" t="s">
        <v>17050</v>
      </c>
      <c r="DZ281" t="s">
        <v>17051</v>
      </c>
      <c r="EA281" t="s">
        <v>13772</v>
      </c>
      <c r="EB281" t="s">
        <v>17052</v>
      </c>
    </row>
    <row r="282" spans="1:132">
      <c r="A282">
        <v>1845</v>
      </c>
      <c r="B282">
        <v>1</v>
      </c>
      <c r="C282" t="s">
        <v>4360</v>
      </c>
      <c r="D282" t="s">
        <v>73</v>
      </c>
      <c r="E282" t="s">
        <v>73</v>
      </c>
      <c r="F282" t="s">
        <v>73</v>
      </c>
      <c r="G282" t="s">
        <v>73</v>
      </c>
      <c r="H282">
        <v>39.5</v>
      </c>
      <c r="I282">
        <v>129</v>
      </c>
      <c r="J282">
        <v>13451</v>
      </c>
      <c r="K282" t="s">
        <v>4361</v>
      </c>
      <c r="L282">
        <f t="shared" si="18"/>
        <v>151</v>
      </c>
      <c r="N282">
        <v>151</v>
      </c>
      <c r="O282">
        <v>151</v>
      </c>
      <c r="P282">
        <v>1</v>
      </c>
      <c r="Q282">
        <v>4</v>
      </c>
      <c r="R282">
        <v>7</v>
      </c>
      <c r="S282">
        <v>10</v>
      </c>
      <c r="T282">
        <v>14</v>
      </c>
      <c r="U282">
        <v>6</v>
      </c>
      <c r="V282">
        <v>7</v>
      </c>
      <c r="W282">
        <v>9</v>
      </c>
      <c r="X282">
        <v>2</v>
      </c>
      <c r="Y282">
        <v>7</v>
      </c>
      <c r="Z282">
        <v>1</v>
      </c>
      <c r="AA282">
        <v>14</v>
      </c>
      <c r="AB282">
        <v>7</v>
      </c>
      <c r="AC282">
        <v>9</v>
      </c>
      <c r="AD282">
        <v>1</v>
      </c>
      <c r="AE282">
        <v>16</v>
      </c>
      <c r="AF282">
        <v>9</v>
      </c>
      <c r="AG282">
        <v>12</v>
      </c>
      <c r="AH282">
        <v>5</v>
      </c>
      <c r="AI282">
        <v>11</v>
      </c>
      <c r="AJ282">
        <v>4</v>
      </c>
      <c r="AK282">
        <v>7</v>
      </c>
      <c r="AL282">
        <v>10</v>
      </c>
      <c r="AM282">
        <v>14</v>
      </c>
      <c r="AN282">
        <v>6</v>
      </c>
      <c r="AO282">
        <v>7</v>
      </c>
      <c r="AP282">
        <v>9</v>
      </c>
      <c r="AQ282">
        <v>2</v>
      </c>
      <c r="AR282">
        <v>7</v>
      </c>
      <c r="AS282">
        <v>1</v>
      </c>
      <c r="AT282">
        <v>14</v>
      </c>
      <c r="AU282">
        <v>7</v>
      </c>
      <c r="AV282">
        <v>9</v>
      </c>
      <c r="AW282">
        <v>1</v>
      </c>
      <c r="AX282">
        <v>16</v>
      </c>
      <c r="AY282">
        <v>9</v>
      </c>
      <c r="AZ282">
        <v>12</v>
      </c>
      <c r="BA282">
        <v>5</v>
      </c>
      <c r="BB282">
        <v>11</v>
      </c>
      <c r="BC282" s="2">
        <v>4</v>
      </c>
      <c r="BD282" s="2">
        <v>7</v>
      </c>
      <c r="BE282" s="2">
        <v>10</v>
      </c>
      <c r="BF282" s="2">
        <v>14</v>
      </c>
      <c r="BG282" s="2">
        <v>6</v>
      </c>
      <c r="BH282" s="2">
        <v>7</v>
      </c>
      <c r="BI282" s="2">
        <v>9</v>
      </c>
      <c r="BJ282" s="2">
        <v>2</v>
      </c>
      <c r="BK282" s="2">
        <v>7</v>
      </c>
      <c r="BL282" s="2">
        <v>1</v>
      </c>
      <c r="BM282" s="2">
        <v>14</v>
      </c>
      <c r="BN282" s="2">
        <v>7</v>
      </c>
      <c r="BO282" s="2">
        <v>9</v>
      </c>
      <c r="BP282" s="2">
        <v>1</v>
      </c>
      <c r="BQ282" s="2">
        <v>16</v>
      </c>
      <c r="BR282" s="2">
        <v>9</v>
      </c>
      <c r="BS282" s="2">
        <v>12</v>
      </c>
      <c r="BT282" s="2">
        <v>5</v>
      </c>
      <c r="BU282" s="2">
        <v>11</v>
      </c>
      <c r="BV282" s="2">
        <f t="shared" si="21"/>
        <v>151</v>
      </c>
      <c r="BW282" s="16">
        <f t="shared" si="19"/>
        <v>7.9473684210526319</v>
      </c>
      <c r="BX282" s="16">
        <f>COUNTIF($BC$6:BU282, "=0") / COUNTIF($BC$6:BU282, "&gt;-1")</f>
        <v>6.8212046361390846E-2</v>
      </c>
      <c r="BY282" s="18">
        <f>SUM($BC$6:BU282) / $BY$4</f>
        <v>0.74883103405125961</v>
      </c>
      <c r="BZ282" s="14">
        <f t="shared" si="20"/>
        <v>0</v>
      </c>
      <c r="CA282" t="s">
        <v>5831</v>
      </c>
      <c r="CB282" s="36">
        <v>4.8465735833389196</v>
      </c>
      <c r="CC282" s="36">
        <v>6.7414488447421297</v>
      </c>
      <c r="CD282" s="36">
        <v>16.007976618122601</v>
      </c>
      <c r="CE282" s="36">
        <v>21.1669046281452</v>
      </c>
      <c r="CF282" s="36">
        <v>5.1610581596213496</v>
      </c>
      <c r="CG282" s="36">
        <v>6.50809072647644</v>
      </c>
      <c r="CH282" s="36">
        <v>9.4865605457817708</v>
      </c>
      <c r="CI282" s="36">
        <v>1.9463671959646101</v>
      </c>
      <c r="CJ282" s="37">
        <v>5.5633080527147003</v>
      </c>
      <c r="CK282" s="37">
        <v>8.8290950564359996</v>
      </c>
      <c r="CL282" s="37">
        <v>5.6003804378713999</v>
      </c>
      <c r="CM282" s="37">
        <v>7.6189234193994704</v>
      </c>
      <c r="CN282" s="37">
        <v>14.7006810530418</v>
      </c>
      <c r="CO282" s="37">
        <v>7.1027151334661296</v>
      </c>
      <c r="CP282" s="37">
        <v>18.102480574349102</v>
      </c>
      <c r="CQ282" s="37">
        <v>16.749005311220799</v>
      </c>
      <c r="CR282" s="45">
        <v>0.23975822353172699</v>
      </c>
      <c r="CS282" s="45">
        <v>1.17256817832771</v>
      </c>
      <c r="CT282" s="46">
        <v>0.62932357748111201</v>
      </c>
      <c r="CU282" s="47">
        <v>0.70404259754994003</v>
      </c>
      <c r="CV282" s="48">
        <v>8.9831225377741308</v>
      </c>
      <c r="CW282" s="49">
        <v>10.533323629812401</v>
      </c>
      <c r="CX282" s="31" t="s">
        <v>5874</v>
      </c>
      <c r="CY282" s="31" t="s">
        <v>5832</v>
      </c>
      <c r="CZ282" t="s">
        <v>11909</v>
      </c>
      <c r="DA282" t="s">
        <v>5904</v>
      </c>
      <c r="DB282">
        <v>190.3</v>
      </c>
      <c r="DC282" t="s">
        <v>31517</v>
      </c>
      <c r="DD282" t="s">
        <v>31518</v>
      </c>
      <c r="DE282" t="s">
        <v>31519</v>
      </c>
      <c r="DF282" t="s">
        <v>31520</v>
      </c>
      <c r="DG282" t="s">
        <v>31521</v>
      </c>
      <c r="DH282" t="str">
        <f>"TNFRSF12A"</f>
        <v>TNFRSF12A</v>
      </c>
      <c r="DI282" t="s">
        <v>31522</v>
      </c>
      <c r="DJ282" t="s">
        <v>13777</v>
      </c>
      <c r="DK282">
        <v>9606</v>
      </c>
      <c r="DL282" s="34" t="str">
        <f>HYPERLINK("http://www.uniprot.org/uniprot/Q9NP84", "Q9NP84")</f>
        <v>Q9NP84</v>
      </c>
      <c r="DM282" t="s">
        <v>31523</v>
      </c>
      <c r="DN282" t="s">
        <v>31524</v>
      </c>
      <c r="DO282" t="s">
        <v>13825</v>
      </c>
      <c r="DP282" t="s">
        <v>13841</v>
      </c>
      <c r="DQ282" t="s">
        <v>13772</v>
      </c>
      <c r="DR282" t="s">
        <v>13772</v>
      </c>
      <c r="DS282" t="s">
        <v>13855</v>
      </c>
      <c r="DT282" t="s">
        <v>13772</v>
      </c>
      <c r="DU282" t="s">
        <v>15919</v>
      </c>
      <c r="DV282" t="s">
        <v>14506</v>
      </c>
      <c r="DW282" t="s">
        <v>13812</v>
      </c>
      <c r="DX282" t="s">
        <v>31525</v>
      </c>
      <c r="DY282" t="s">
        <v>31526</v>
      </c>
      <c r="DZ282" t="s">
        <v>13772</v>
      </c>
      <c r="EA282" t="s">
        <v>13772</v>
      </c>
      <c r="EB282" t="s">
        <v>18113</v>
      </c>
    </row>
    <row r="283" spans="1:132">
      <c r="A283">
        <v>2209</v>
      </c>
      <c r="B283">
        <v>1</v>
      </c>
      <c r="C283" t="s">
        <v>5167</v>
      </c>
      <c r="D283" t="s">
        <v>73</v>
      </c>
      <c r="E283" t="s">
        <v>73</v>
      </c>
      <c r="F283" t="s">
        <v>3655</v>
      </c>
      <c r="G283" t="s">
        <v>73</v>
      </c>
      <c r="H283">
        <v>67.7</v>
      </c>
      <c r="I283">
        <v>319</v>
      </c>
      <c r="J283">
        <v>36050</v>
      </c>
      <c r="K283" t="s">
        <v>5168</v>
      </c>
      <c r="L283">
        <f t="shared" si="18"/>
        <v>152</v>
      </c>
      <c r="N283">
        <v>152</v>
      </c>
      <c r="O283">
        <v>150</v>
      </c>
      <c r="P283">
        <v>0.98699999999999999</v>
      </c>
      <c r="Q283">
        <v>7</v>
      </c>
      <c r="R283">
        <v>10</v>
      </c>
      <c r="S283">
        <v>8</v>
      </c>
      <c r="T283">
        <v>6</v>
      </c>
      <c r="U283">
        <v>19</v>
      </c>
      <c r="V283">
        <v>17</v>
      </c>
      <c r="W283">
        <v>13</v>
      </c>
      <c r="X283">
        <v>9</v>
      </c>
      <c r="Y283">
        <v>6</v>
      </c>
      <c r="Z283">
        <v>1</v>
      </c>
      <c r="AA283">
        <v>17</v>
      </c>
      <c r="AB283">
        <v>12</v>
      </c>
      <c r="AC283">
        <v>10</v>
      </c>
      <c r="AD283">
        <v>2</v>
      </c>
      <c r="AE283">
        <v>5</v>
      </c>
      <c r="AF283">
        <v>3</v>
      </c>
      <c r="AG283">
        <v>4</v>
      </c>
      <c r="AH283">
        <v>1</v>
      </c>
      <c r="AI283">
        <v>2</v>
      </c>
      <c r="AJ283">
        <v>7</v>
      </c>
      <c r="AK283">
        <v>10</v>
      </c>
      <c r="AL283">
        <v>8</v>
      </c>
      <c r="AM283">
        <v>6</v>
      </c>
      <c r="AN283">
        <v>18</v>
      </c>
      <c r="AO283">
        <v>17</v>
      </c>
      <c r="AP283">
        <v>12</v>
      </c>
      <c r="AQ283">
        <v>9</v>
      </c>
      <c r="AR283">
        <v>6</v>
      </c>
      <c r="AS283">
        <v>1</v>
      </c>
      <c r="AT283">
        <v>17</v>
      </c>
      <c r="AU283">
        <v>12</v>
      </c>
      <c r="AV283">
        <v>10</v>
      </c>
      <c r="AW283">
        <v>2</v>
      </c>
      <c r="AX283">
        <v>5</v>
      </c>
      <c r="AY283">
        <v>3</v>
      </c>
      <c r="AZ283">
        <v>4</v>
      </c>
      <c r="BA283">
        <v>1</v>
      </c>
      <c r="BB283">
        <v>2</v>
      </c>
      <c r="BC283" s="2">
        <v>7</v>
      </c>
      <c r="BD283" s="2">
        <v>10</v>
      </c>
      <c r="BE283" s="2">
        <v>8</v>
      </c>
      <c r="BF283" s="2">
        <v>6</v>
      </c>
      <c r="BG283" s="2">
        <v>18.439</v>
      </c>
      <c r="BH283" s="2">
        <v>17</v>
      </c>
      <c r="BI283" s="2">
        <v>12.444000000000001</v>
      </c>
      <c r="BJ283" s="2">
        <v>9</v>
      </c>
      <c r="BK283" s="2">
        <v>6</v>
      </c>
      <c r="BL283" s="2">
        <v>1</v>
      </c>
      <c r="BM283" s="2">
        <v>17</v>
      </c>
      <c r="BN283" s="2">
        <v>12</v>
      </c>
      <c r="BO283" s="2">
        <v>10</v>
      </c>
      <c r="BP283" s="2">
        <v>2</v>
      </c>
      <c r="BQ283" s="2">
        <v>5</v>
      </c>
      <c r="BR283" s="2">
        <v>3</v>
      </c>
      <c r="BS283" s="2">
        <v>4</v>
      </c>
      <c r="BT283" s="2">
        <v>1</v>
      </c>
      <c r="BU283" s="2">
        <v>2</v>
      </c>
      <c r="BV283" s="2">
        <f t="shared" si="21"/>
        <v>150.88299999999998</v>
      </c>
      <c r="BW283" s="16">
        <f t="shared" si="19"/>
        <v>7.9412105263157882</v>
      </c>
      <c r="BX283" s="16">
        <f>COUNTIF($BC$6:BU283, "=0") / COUNTIF($BC$6:BU283, "&gt;-1")</f>
        <v>6.7966679288148424E-2</v>
      </c>
      <c r="BY283" s="18">
        <f>SUM($BC$6:BU283) / $BY$4</f>
        <v>0.7494773620329197</v>
      </c>
      <c r="BZ283" s="14">
        <f t="shared" si="20"/>
        <v>0</v>
      </c>
      <c r="CA283" t="s">
        <v>5831</v>
      </c>
      <c r="CB283" s="36">
        <v>8.4815037708430996</v>
      </c>
      <c r="CC283" s="36">
        <v>9.6306412067744702</v>
      </c>
      <c r="CD283" s="36">
        <v>12.806381294498101</v>
      </c>
      <c r="CE283" s="36">
        <v>9.0715305549193808</v>
      </c>
      <c r="CF283" s="36">
        <v>15.827245022838801</v>
      </c>
      <c r="CG283" s="36">
        <v>15.805363192871299</v>
      </c>
      <c r="CH283" s="36">
        <v>13.070372307521501</v>
      </c>
      <c r="CI283" s="36">
        <v>8.7586523818407507</v>
      </c>
      <c r="CJ283" s="37">
        <v>4.7685497594697397</v>
      </c>
      <c r="CK283" s="37">
        <v>10.7210439971009</v>
      </c>
      <c r="CL283" s="37">
        <v>9.6006521792081099</v>
      </c>
      <c r="CM283" s="37">
        <v>8.4654704659994096</v>
      </c>
      <c r="CN283" s="37">
        <v>4.5939628290755703</v>
      </c>
      <c r="CO283" s="37">
        <v>2.36757171115537</v>
      </c>
      <c r="CP283" s="37">
        <v>6.0341601914496898</v>
      </c>
      <c r="CQ283" s="37">
        <v>3.0452736929492299</v>
      </c>
      <c r="CR283" s="45">
        <v>-0.86363890974942004</v>
      </c>
      <c r="CS283" s="45">
        <v>-1.8842325864963601</v>
      </c>
      <c r="CT283" s="46">
        <v>1.0961456030795E-2</v>
      </c>
      <c r="CU283" s="47">
        <v>2.0036104056289299E-2</v>
      </c>
      <c r="CV283" s="48">
        <v>11.6814612165134</v>
      </c>
      <c r="CW283" s="49">
        <v>6.1995856033010002</v>
      </c>
      <c r="CX283" s="31" t="s">
        <v>5875</v>
      </c>
      <c r="CY283" s="31" t="s">
        <v>5878</v>
      </c>
      <c r="CZ283" t="s">
        <v>13110</v>
      </c>
      <c r="DA283" t="s">
        <v>5904</v>
      </c>
      <c r="DB283">
        <v>622.5</v>
      </c>
      <c r="DC283" t="s">
        <v>34871</v>
      </c>
      <c r="DD283" t="s">
        <v>34872</v>
      </c>
      <c r="DE283" t="s">
        <v>34873</v>
      </c>
      <c r="DF283" t="s">
        <v>34874</v>
      </c>
      <c r="DG283" t="s">
        <v>34875</v>
      </c>
      <c r="DH283" t="str">
        <f>"ANXA4"</f>
        <v>ANXA4</v>
      </c>
      <c r="DI283" t="s">
        <v>34876</v>
      </c>
      <c r="DJ283" t="s">
        <v>13777</v>
      </c>
      <c r="DK283">
        <v>9606</v>
      </c>
      <c r="DL283" s="34" t="str">
        <f>HYPERLINK("http://www.uniprot.org/uniprot/P09525", "P09525")</f>
        <v>P09525</v>
      </c>
      <c r="DM283" t="s">
        <v>34877</v>
      </c>
      <c r="DN283" t="s">
        <v>13772</v>
      </c>
      <c r="DO283" t="s">
        <v>13772</v>
      </c>
      <c r="DP283" t="s">
        <v>13780</v>
      </c>
      <c r="DQ283" t="s">
        <v>13772</v>
      </c>
      <c r="DR283" t="s">
        <v>13772</v>
      </c>
      <c r="DS283" t="s">
        <v>15322</v>
      </c>
      <c r="DT283" t="s">
        <v>15323</v>
      </c>
      <c r="DU283" t="s">
        <v>13772</v>
      </c>
      <c r="DV283" t="s">
        <v>13886</v>
      </c>
      <c r="DW283" t="s">
        <v>13812</v>
      </c>
      <c r="DX283" t="s">
        <v>34878</v>
      </c>
      <c r="DY283" t="s">
        <v>34879</v>
      </c>
      <c r="DZ283" t="s">
        <v>34880</v>
      </c>
      <c r="EA283" t="s">
        <v>13772</v>
      </c>
      <c r="EB283" t="s">
        <v>13772</v>
      </c>
    </row>
    <row r="284" spans="1:132" hidden="1">
      <c r="A284">
        <v>2036</v>
      </c>
      <c r="B284">
        <v>1</v>
      </c>
      <c r="C284" t="s">
        <v>4784</v>
      </c>
      <c r="D284" t="s">
        <v>73</v>
      </c>
      <c r="E284" t="s">
        <v>73</v>
      </c>
      <c r="F284" t="s">
        <v>73</v>
      </c>
      <c r="G284" t="s">
        <v>73</v>
      </c>
      <c r="H284">
        <v>42.3</v>
      </c>
      <c r="I284">
        <v>558</v>
      </c>
      <c r="J284">
        <v>62791</v>
      </c>
      <c r="K284" t="s">
        <v>4785</v>
      </c>
      <c r="L284">
        <f t="shared" si="18"/>
        <v>150</v>
      </c>
      <c r="N284">
        <v>150</v>
      </c>
      <c r="O284">
        <v>150</v>
      </c>
      <c r="P284">
        <v>1</v>
      </c>
      <c r="Q284">
        <v>3</v>
      </c>
      <c r="R284">
        <v>8</v>
      </c>
      <c r="S284">
        <v>2</v>
      </c>
      <c r="T284">
        <v>0</v>
      </c>
      <c r="U284">
        <v>10</v>
      </c>
      <c r="V284">
        <v>17</v>
      </c>
      <c r="W284">
        <v>11</v>
      </c>
      <c r="X284">
        <v>11</v>
      </c>
      <c r="Y284">
        <v>18</v>
      </c>
      <c r="Z284">
        <v>2</v>
      </c>
      <c r="AA284">
        <v>14</v>
      </c>
      <c r="AB284">
        <v>10</v>
      </c>
      <c r="AC284">
        <v>12</v>
      </c>
      <c r="AD284">
        <v>2</v>
      </c>
      <c r="AE284">
        <v>3</v>
      </c>
      <c r="AF284">
        <v>7</v>
      </c>
      <c r="AG284">
        <v>19</v>
      </c>
      <c r="AH284">
        <v>1</v>
      </c>
      <c r="AI284">
        <v>0</v>
      </c>
      <c r="AJ284">
        <v>3</v>
      </c>
      <c r="AK284">
        <v>8</v>
      </c>
      <c r="AL284">
        <v>2</v>
      </c>
      <c r="AM284">
        <v>0</v>
      </c>
      <c r="AN284">
        <v>10</v>
      </c>
      <c r="AO284">
        <v>17</v>
      </c>
      <c r="AP284">
        <v>11</v>
      </c>
      <c r="AQ284">
        <v>11</v>
      </c>
      <c r="AR284">
        <v>18</v>
      </c>
      <c r="AS284">
        <v>2</v>
      </c>
      <c r="AT284">
        <v>14</v>
      </c>
      <c r="AU284">
        <v>10</v>
      </c>
      <c r="AV284">
        <v>12</v>
      </c>
      <c r="AW284">
        <v>2</v>
      </c>
      <c r="AX284">
        <v>3</v>
      </c>
      <c r="AY284">
        <v>7</v>
      </c>
      <c r="AZ284">
        <v>19</v>
      </c>
      <c r="BA284">
        <v>1</v>
      </c>
      <c r="BB284">
        <v>0</v>
      </c>
      <c r="BC284" s="2">
        <v>3</v>
      </c>
      <c r="BD284" s="2">
        <v>8</v>
      </c>
      <c r="BE284" s="2">
        <v>2</v>
      </c>
      <c r="BF284" s="2">
        <v>0</v>
      </c>
      <c r="BG284" s="2">
        <v>10</v>
      </c>
      <c r="BH284" s="2">
        <v>17</v>
      </c>
      <c r="BI284" s="2">
        <v>11</v>
      </c>
      <c r="BJ284" s="2">
        <v>11</v>
      </c>
      <c r="BK284" s="2">
        <v>18</v>
      </c>
      <c r="BL284" s="2">
        <v>2</v>
      </c>
      <c r="BM284" s="2">
        <v>14</v>
      </c>
      <c r="BN284" s="2">
        <v>10</v>
      </c>
      <c r="BO284" s="2">
        <v>12</v>
      </c>
      <c r="BP284" s="2">
        <v>2</v>
      </c>
      <c r="BQ284" s="2">
        <v>3</v>
      </c>
      <c r="BR284" s="2">
        <v>7</v>
      </c>
      <c r="BS284" s="2">
        <v>19</v>
      </c>
      <c r="BT284" s="2">
        <v>1</v>
      </c>
      <c r="BU284" s="2">
        <v>0</v>
      </c>
      <c r="BV284" s="2">
        <f t="shared" si="21"/>
        <v>150</v>
      </c>
      <c r="BW284" s="16">
        <f t="shared" si="19"/>
        <v>7.8947368421052628</v>
      </c>
      <c r="BX284" s="16">
        <f>COUNTIF($BC$6:BU284, "=0") / COUNTIF($BC$6:BU284, "&gt;-1")</f>
        <v>6.8100358422939072E-2</v>
      </c>
      <c r="BY284" s="18">
        <f>SUM($BC$6:BU284) / $BY$4</f>
        <v>0.75011990756322477</v>
      </c>
      <c r="BZ284" s="14">
        <f t="shared" si="20"/>
        <v>2</v>
      </c>
      <c r="CA284" t="s">
        <v>5831</v>
      </c>
      <c r="CB284" s="36">
        <v>3.6349301875041902</v>
      </c>
      <c r="CC284" s="36">
        <v>7.7045129654195703</v>
      </c>
      <c r="CD284" s="36">
        <v>3.2015953236245198</v>
      </c>
      <c r="CE284" s="36">
        <v>0.37798043978830698</v>
      </c>
      <c r="CF284" s="36">
        <v>8.6017635993689208</v>
      </c>
      <c r="CG284" s="36">
        <v>15.805363192871299</v>
      </c>
      <c r="CH284" s="36">
        <v>11.594685111511</v>
      </c>
      <c r="CI284" s="36">
        <v>10.7050195778054</v>
      </c>
      <c r="CJ284" s="37">
        <v>14.3056492784092</v>
      </c>
      <c r="CK284" s="37">
        <v>8.8290950564359996</v>
      </c>
      <c r="CL284" s="37">
        <v>8.0005434826734305</v>
      </c>
      <c r="CM284" s="37">
        <v>10.1585645591993</v>
      </c>
      <c r="CN284" s="37">
        <v>2.7563776974453398</v>
      </c>
      <c r="CO284" s="37">
        <v>5.5243339926958699</v>
      </c>
      <c r="CP284" s="37">
        <v>28.662260909385999</v>
      </c>
      <c r="CQ284" s="37">
        <v>0.38065921161865401</v>
      </c>
      <c r="CR284" s="45">
        <v>0.29278366675526601</v>
      </c>
      <c r="CS284" s="45">
        <v>1.27572250411576</v>
      </c>
      <c r="CT284" s="46">
        <v>0.59369473222422298</v>
      </c>
      <c r="CU284" s="47">
        <v>0.66978377041822101</v>
      </c>
      <c r="CV284" s="48">
        <v>7.7032312997366601</v>
      </c>
      <c r="CW284" s="49">
        <v>9.8271855234829797</v>
      </c>
      <c r="CX284" s="31" t="s">
        <v>5874</v>
      </c>
      <c r="CY284" s="31" t="s">
        <v>5832</v>
      </c>
      <c r="CZ284" t="s">
        <v>12534</v>
      </c>
      <c r="DA284" t="s">
        <v>5904</v>
      </c>
      <c r="DB284">
        <v>1098.2</v>
      </c>
      <c r="DC284" t="s">
        <v>33266</v>
      </c>
      <c r="DD284" t="s">
        <v>33267</v>
      </c>
      <c r="DE284" t="s">
        <v>33268</v>
      </c>
      <c r="DF284" t="s">
        <v>33269</v>
      </c>
      <c r="DG284" t="s">
        <v>33270</v>
      </c>
      <c r="DH284" t="str">
        <f>"GPI"</f>
        <v>GPI</v>
      </c>
      <c r="DI284" t="s">
        <v>13772</v>
      </c>
      <c r="DJ284" t="s">
        <v>13777</v>
      </c>
      <c r="DK284">
        <v>9606</v>
      </c>
      <c r="DL284" s="34" t="str">
        <f>HYPERLINK("http://www.uniprot.org/uniprot/P06744", "P06744")</f>
        <v>P06744</v>
      </c>
      <c r="DM284" t="s">
        <v>33271</v>
      </c>
      <c r="DN284" t="s">
        <v>23843</v>
      </c>
      <c r="DO284" t="s">
        <v>16449</v>
      </c>
      <c r="DP284" t="s">
        <v>13780</v>
      </c>
      <c r="DQ284" t="s">
        <v>13772</v>
      </c>
      <c r="DR284" t="s">
        <v>17205</v>
      </c>
      <c r="DS284" t="s">
        <v>13772</v>
      </c>
      <c r="DT284" t="s">
        <v>13772</v>
      </c>
      <c r="DU284" t="s">
        <v>33272</v>
      </c>
      <c r="DV284" t="s">
        <v>19111</v>
      </c>
      <c r="DW284" t="s">
        <v>13812</v>
      </c>
      <c r="DX284" t="s">
        <v>33273</v>
      </c>
      <c r="DY284" t="s">
        <v>33274</v>
      </c>
      <c r="DZ284" t="s">
        <v>33275</v>
      </c>
      <c r="EA284" t="s">
        <v>33276</v>
      </c>
      <c r="EB284" t="s">
        <v>33277</v>
      </c>
    </row>
    <row r="285" spans="1:132" hidden="1">
      <c r="A285">
        <v>350</v>
      </c>
      <c r="B285">
        <v>1</v>
      </c>
      <c r="C285" t="s">
        <v>877</v>
      </c>
      <c r="D285" t="s">
        <v>878</v>
      </c>
      <c r="E285" t="s">
        <v>73</v>
      </c>
      <c r="F285" t="s">
        <v>879</v>
      </c>
      <c r="G285" t="s">
        <v>73</v>
      </c>
      <c r="H285">
        <v>25.9</v>
      </c>
      <c r="I285">
        <v>2719</v>
      </c>
      <c r="J285">
        <v>290062</v>
      </c>
      <c r="K285" t="s">
        <v>880</v>
      </c>
      <c r="L285">
        <f t="shared" si="18"/>
        <v>157</v>
      </c>
      <c r="N285">
        <v>157</v>
      </c>
      <c r="O285">
        <v>146</v>
      </c>
      <c r="P285">
        <v>0.93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10</v>
      </c>
      <c r="Y285">
        <v>7</v>
      </c>
      <c r="Z285">
        <v>1</v>
      </c>
      <c r="AA285">
        <v>33</v>
      </c>
      <c r="AB285">
        <v>14</v>
      </c>
      <c r="AC285">
        <v>10</v>
      </c>
      <c r="AD285">
        <v>1</v>
      </c>
      <c r="AE285">
        <v>44</v>
      </c>
      <c r="AF285">
        <v>24</v>
      </c>
      <c r="AG285">
        <v>4</v>
      </c>
      <c r="AH285">
        <v>0</v>
      </c>
      <c r="AI285">
        <v>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>
        <v>10</v>
      </c>
      <c r="AR285">
        <v>6</v>
      </c>
      <c r="AS285">
        <v>1</v>
      </c>
      <c r="AT285">
        <v>32</v>
      </c>
      <c r="AU285">
        <v>12</v>
      </c>
      <c r="AV285">
        <v>9</v>
      </c>
      <c r="AW285">
        <v>1</v>
      </c>
      <c r="AX285">
        <v>41</v>
      </c>
      <c r="AY285">
        <v>21</v>
      </c>
      <c r="AZ285">
        <v>4</v>
      </c>
      <c r="BA285">
        <v>0</v>
      </c>
      <c r="BB285">
        <v>7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2</v>
      </c>
      <c r="BJ285" s="2">
        <v>10</v>
      </c>
      <c r="BK285" s="2">
        <v>6.194</v>
      </c>
      <c r="BL285" s="2">
        <v>1</v>
      </c>
      <c r="BM285" s="2">
        <v>32.463999999999999</v>
      </c>
      <c r="BN285" s="2">
        <v>12.823</v>
      </c>
      <c r="BO285" s="2">
        <v>9.31</v>
      </c>
      <c r="BP285" s="2">
        <v>1</v>
      </c>
      <c r="BQ285" s="2">
        <v>42.401000000000003</v>
      </c>
      <c r="BR285" s="2">
        <v>21.760999999999999</v>
      </c>
      <c r="BS285" s="2">
        <v>4</v>
      </c>
      <c r="BT285" s="2">
        <v>0</v>
      </c>
      <c r="BU285" s="2">
        <v>7</v>
      </c>
      <c r="BV285" s="2">
        <f t="shared" si="21"/>
        <v>149.953</v>
      </c>
      <c r="BW285" s="16">
        <f t="shared" si="19"/>
        <v>7.8922631578947371</v>
      </c>
      <c r="BX285" s="16">
        <f>COUNTIF($BC$6:BU285, "=0") / COUNTIF($BC$6:BU285, "&gt;-1")</f>
        <v>6.9172932330827067E-2</v>
      </c>
      <c r="BY285" s="18">
        <f>SUM($BC$6:BU285) / $BY$4</f>
        <v>0.75076225176259703</v>
      </c>
      <c r="BZ285" s="14">
        <f t="shared" si="20"/>
        <v>7</v>
      </c>
      <c r="CA285" t="s">
        <v>5831</v>
      </c>
      <c r="CB285" s="36">
        <v>0.30291084895868198</v>
      </c>
      <c r="CC285" s="36">
        <v>0.24076603016936199</v>
      </c>
      <c r="CD285" s="36">
        <v>0.40019941545306398</v>
      </c>
      <c r="CE285" s="36">
        <v>0.37798043978830698</v>
      </c>
      <c r="CF285" s="36">
        <v>0.215044089984223</v>
      </c>
      <c r="CG285" s="36">
        <v>0.23243181165987301</v>
      </c>
      <c r="CH285" s="36">
        <v>2.10812456572928</v>
      </c>
      <c r="CI285" s="36">
        <v>9.7318359798230603</v>
      </c>
      <c r="CJ285" s="37">
        <v>4.92750141811874</v>
      </c>
      <c r="CK285" s="37">
        <v>20.496113523869301</v>
      </c>
      <c r="CL285" s="37">
        <v>10.240695657822</v>
      </c>
      <c r="CM285" s="37">
        <v>7.8728875333794504</v>
      </c>
      <c r="CN285" s="37">
        <v>38.956804790560803</v>
      </c>
      <c r="CO285" s="37">
        <v>17.2043544343957</v>
      </c>
      <c r="CP285" s="37">
        <v>6.0341601914496898</v>
      </c>
      <c r="CQ285" s="37">
        <v>10.658457925322301</v>
      </c>
      <c r="CR285" s="45">
        <v>2.9572242485791098</v>
      </c>
      <c r="CS285" s="45">
        <v>8.5523159742471204</v>
      </c>
      <c r="CT285" s="46">
        <v>1.6229920019585601E-5</v>
      </c>
      <c r="CU285" s="47">
        <v>5.5681110221039799E-5</v>
      </c>
      <c r="CV285" s="48">
        <v>1.7011616476957301</v>
      </c>
      <c r="CW285" s="49">
        <v>14.548871934364801</v>
      </c>
      <c r="CX285" s="31" t="s">
        <v>5874</v>
      </c>
      <c r="CY285" s="31" t="s">
        <v>5876</v>
      </c>
      <c r="CZ285" t="s">
        <v>6915</v>
      </c>
      <c r="DA285" t="s">
        <v>5904</v>
      </c>
      <c r="DB285">
        <v>5432.8</v>
      </c>
      <c r="DC285" t="s">
        <v>17074</v>
      </c>
      <c r="DD285" t="s">
        <v>17075</v>
      </c>
      <c r="DE285" t="s">
        <v>17076</v>
      </c>
      <c r="DF285" t="s">
        <v>17077</v>
      </c>
      <c r="DG285" t="s">
        <v>17078</v>
      </c>
      <c r="DH285" t="str">
        <f>"FLNC"</f>
        <v>FLNC</v>
      </c>
      <c r="DI285" t="s">
        <v>17079</v>
      </c>
      <c r="DJ285" t="s">
        <v>13777</v>
      </c>
      <c r="DK285">
        <v>9606</v>
      </c>
      <c r="DL285" s="34" t="str">
        <f>HYPERLINK("http://www.uniprot.org/uniprot/Q14315", "Q14315")</f>
        <v>Q14315</v>
      </c>
      <c r="DM285" t="s">
        <v>17080</v>
      </c>
      <c r="DN285" t="s">
        <v>13772</v>
      </c>
      <c r="DO285" t="s">
        <v>17081</v>
      </c>
      <c r="DP285" t="s">
        <v>13780</v>
      </c>
      <c r="DQ285" t="s">
        <v>13772</v>
      </c>
      <c r="DR285" t="s">
        <v>17082</v>
      </c>
      <c r="DS285" t="s">
        <v>14096</v>
      </c>
      <c r="DT285" t="s">
        <v>13772</v>
      </c>
      <c r="DU285" t="s">
        <v>13990</v>
      </c>
      <c r="DV285" t="s">
        <v>17083</v>
      </c>
      <c r="DW285" t="s">
        <v>13812</v>
      </c>
      <c r="DX285" t="s">
        <v>17084</v>
      </c>
      <c r="DY285" t="s">
        <v>17085</v>
      </c>
      <c r="DZ285" t="s">
        <v>17086</v>
      </c>
      <c r="EA285" t="s">
        <v>13772</v>
      </c>
      <c r="EB285" t="s">
        <v>17087</v>
      </c>
    </row>
    <row r="286" spans="1:132" hidden="1">
      <c r="A286">
        <v>58</v>
      </c>
      <c r="B286">
        <v>1</v>
      </c>
      <c r="C286" t="s">
        <v>167</v>
      </c>
      <c r="D286" t="s">
        <v>73</v>
      </c>
      <c r="E286" t="s">
        <v>73</v>
      </c>
      <c r="F286" t="s">
        <v>168</v>
      </c>
      <c r="G286" t="s">
        <v>73</v>
      </c>
      <c r="H286">
        <v>42.1</v>
      </c>
      <c r="I286">
        <v>719</v>
      </c>
      <c r="J286">
        <v>80926</v>
      </c>
      <c r="K286" t="s">
        <v>169</v>
      </c>
      <c r="L286">
        <f t="shared" si="18"/>
        <v>152</v>
      </c>
      <c r="N286">
        <v>152</v>
      </c>
      <c r="O286">
        <v>142</v>
      </c>
      <c r="P286">
        <v>0.93400000000000005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22</v>
      </c>
      <c r="Z286">
        <v>12</v>
      </c>
      <c r="AA286">
        <v>4</v>
      </c>
      <c r="AB286">
        <v>22</v>
      </c>
      <c r="AC286">
        <v>48</v>
      </c>
      <c r="AD286">
        <v>2</v>
      </c>
      <c r="AE286">
        <v>0</v>
      </c>
      <c r="AF286">
        <v>16</v>
      </c>
      <c r="AG286">
        <v>14</v>
      </c>
      <c r="AH286">
        <v>4</v>
      </c>
      <c r="AI286">
        <v>5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21</v>
      </c>
      <c r="AS286">
        <v>12</v>
      </c>
      <c r="AT286">
        <v>4</v>
      </c>
      <c r="AU286">
        <v>20</v>
      </c>
      <c r="AV286">
        <v>45</v>
      </c>
      <c r="AW286">
        <v>2</v>
      </c>
      <c r="AX286">
        <v>0</v>
      </c>
      <c r="AY286">
        <v>15</v>
      </c>
      <c r="AZ286">
        <v>11</v>
      </c>
      <c r="BA286">
        <v>4</v>
      </c>
      <c r="BB286">
        <v>5</v>
      </c>
      <c r="BC286" s="2">
        <v>0</v>
      </c>
      <c r="BD286" s="2">
        <v>0</v>
      </c>
      <c r="BE286" s="2">
        <v>1</v>
      </c>
      <c r="BF286" s="2">
        <v>1</v>
      </c>
      <c r="BG286" s="2">
        <v>0</v>
      </c>
      <c r="BH286" s="2">
        <v>0</v>
      </c>
      <c r="BI286" s="2">
        <v>1</v>
      </c>
      <c r="BJ286" s="2">
        <v>0</v>
      </c>
      <c r="BK286" s="2">
        <v>22</v>
      </c>
      <c r="BL286" s="2">
        <v>12</v>
      </c>
      <c r="BM286" s="2">
        <v>4</v>
      </c>
      <c r="BN286" s="2">
        <v>22</v>
      </c>
      <c r="BO286" s="2">
        <v>48</v>
      </c>
      <c r="BP286" s="2">
        <v>2</v>
      </c>
      <c r="BQ286" s="2">
        <v>0</v>
      </c>
      <c r="BR286" s="2">
        <v>16</v>
      </c>
      <c r="BS286" s="2">
        <v>11.805</v>
      </c>
      <c r="BT286" s="2">
        <v>4</v>
      </c>
      <c r="BU286" s="2">
        <v>5</v>
      </c>
      <c r="BV286" s="2">
        <f t="shared" si="21"/>
        <v>149.80500000000001</v>
      </c>
      <c r="BW286" s="16">
        <f t="shared" si="19"/>
        <v>7.8844736842105263</v>
      </c>
      <c r="BX286" s="16">
        <f>COUNTIF($BC$6:BU286, "=0") / COUNTIF($BC$6:BU286, "&gt;-1")</f>
        <v>7.0050571268027717E-2</v>
      </c>
      <c r="BY286" s="18">
        <f>SUM($BC$6:BU286) / $BY$4</f>
        <v>0.75140396198371273</v>
      </c>
      <c r="BZ286" s="14">
        <f t="shared" si="20"/>
        <v>6</v>
      </c>
      <c r="CA286" t="s">
        <v>5831</v>
      </c>
      <c r="CB286" s="36">
        <v>0.30291084895868198</v>
      </c>
      <c r="CC286" s="36">
        <v>0.24076603016936199</v>
      </c>
      <c r="CD286" s="36">
        <v>1.6007976618122599</v>
      </c>
      <c r="CE286" s="36">
        <v>1.5119217591532299</v>
      </c>
      <c r="CF286" s="36">
        <v>0.215044089984223</v>
      </c>
      <c r="CG286" s="36">
        <v>0.23243181165987301</v>
      </c>
      <c r="CH286" s="36">
        <v>1.05406228286464</v>
      </c>
      <c r="CI286" s="36">
        <v>0.24329589949557701</v>
      </c>
      <c r="CJ286" s="37">
        <v>17.484682451389101</v>
      </c>
      <c r="CK286" s="37">
        <v>2.5225985875531398</v>
      </c>
      <c r="CL286" s="37">
        <v>17.601195661881501</v>
      </c>
      <c r="CM286" s="37">
        <v>40.634258236797201</v>
      </c>
      <c r="CN286" s="37">
        <v>0.22969814145377901</v>
      </c>
      <c r="CO286" s="37">
        <v>12.627049126161999</v>
      </c>
      <c r="CP286" s="37">
        <v>17.800772564776601</v>
      </c>
      <c r="CQ286" s="37">
        <v>7.6131842323730803</v>
      </c>
      <c r="CR286" s="45">
        <v>4.3434858203845002</v>
      </c>
      <c r="CS286" s="45">
        <v>21.5716477018685</v>
      </c>
      <c r="CT286" s="46">
        <v>1.00462285504644E-7</v>
      </c>
      <c r="CU286" s="47">
        <v>6.7888150507683903E-7</v>
      </c>
      <c r="CV286" s="48">
        <v>0.67515379801223097</v>
      </c>
      <c r="CW286" s="49">
        <v>14.564179875298301</v>
      </c>
      <c r="CX286" s="31" t="s">
        <v>5874</v>
      </c>
      <c r="CY286" s="31" t="s">
        <v>5876</v>
      </c>
      <c r="CZ286" t="s">
        <v>5905</v>
      </c>
      <c r="DA286" t="s">
        <v>5904</v>
      </c>
      <c r="DB286">
        <v>1256.9000000000001</v>
      </c>
      <c r="DC286" t="s">
        <v>13800</v>
      </c>
      <c r="DD286" t="s">
        <v>13772</v>
      </c>
      <c r="DE286" t="s">
        <v>13801</v>
      </c>
      <c r="DF286" t="s">
        <v>13802</v>
      </c>
      <c r="DG286" t="s">
        <v>13803</v>
      </c>
      <c r="DH286" t="str">
        <f>"MPO"</f>
        <v>MPO</v>
      </c>
      <c r="DI286" t="s">
        <v>13772</v>
      </c>
      <c r="DJ286" t="s">
        <v>13777</v>
      </c>
      <c r="DK286">
        <v>9606</v>
      </c>
      <c r="DL286" s="34" t="str">
        <f>HYPERLINK("http://www.uniprot.org/uniprot/P05164", "P05164")</f>
        <v>P05164</v>
      </c>
      <c r="DM286" t="s">
        <v>13804</v>
      </c>
      <c r="DN286" t="s">
        <v>13805</v>
      </c>
      <c r="DO286" t="s">
        <v>13806</v>
      </c>
      <c r="DP286" t="s">
        <v>13780</v>
      </c>
      <c r="DQ286" t="s">
        <v>13772</v>
      </c>
      <c r="DR286" t="s">
        <v>13807</v>
      </c>
      <c r="DS286" t="s">
        <v>13808</v>
      </c>
      <c r="DT286" t="s">
        <v>13809</v>
      </c>
      <c r="DU286" t="s">
        <v>13810</v>
      </c>
      <c r="DV286" t="s">
        <v>13811</v>
      </c>
      <c r="DW286" t="s">
        <v>13812</v>
      </c>
      <c r="DX286" t="s">
        <v>13813</v>
      </c>
      <c r="DY286" t="s">
        <v>13814</v>
      </c>
      <c r="DZ286" t="s">
        <v>13815</v>
      </c>
      <c r="EA286" t="s">
        <v>13772</v>
      </c>
      <c r="EB286" t="s">
        <v>13816</v>
      </c>
    </row>
    <row r="287" spans="1:132" hidden="1">
      <c r="A287">
        <v>1169</v>
      </c>
      <c r="B287">
        <v>1</v>
      </c>
      <c r="C287" t="s">
        <v>2809</v>
      </c>
      <c r="D287" t="s">
        <v>73</v>
      </c>
      <c r="E287" t="s">
        <v>73</v>
      </c>
      <c r="F287" t="s">
        <v>73</v>
      </c>
      <c r="G287" t="s">
        <v>73</v>
      </c>
      <c r="H287">
        <v>58.1</v>
      </c>
      <c r="I287">
        <v>298</v>
      </c>
      <c r="J287">
        <v>32479</v>
      </c>
      <c r="K287" t="s">
        <v>2810</v>
      </c>
      <c r="L287">
        <f t="shared" si="18"/>
        <v>149</v>
      </c>
      <c r="N287">
        <v>149</v>
      </c>
      <c r="O287">
        <v>149</v>
      </c>
      <c r="P287">
        <v>1</v>
      </c>
      <c r="Q287">
        <v>10</v>
      </c>
      <c r="R287">
        <v>18</v>
      </c>
      <c r="S287">
        <v>15</v>
      </c>
      <c r="T287">
        <v>8</v>
      </c>
      <c r="U287">
        <v>21</v>
      </c>
      <c r="V287">
        <v>13</v>
      </c>
      <c r="W287">
        <v>12</v>
      </c>
      <c r="X287">
        <v>3</v>
      </c>
      <c r="Y287">
        <v>7</v>
      </c>
      <c r="Z287">
        <v>1</v>
      </c>
      <c r="AA287">
        <v>3</v>
      </c>
      <c r="AB287">
        <v>6</v>
      </c>
      <c r="AC287">
        <v>8</v>
      </c>
      <c r="AD287">
        <v>6</v>
      </c>
      <c r="AE287">
        <v>2</v>
      </c>
      <c r="AF287">
        <v>6</v>
      </c>
      <c r="AG287">
        <v>3</v>
      </c>
      <c r="AH287">
        <v>0</v>
      </c>
      <c r="AI287">
        <v>7</v>
      </c>
      <c r="AJ287">
        <v>10</v>
      </c>
      <c r="AK287">
        <v>18</v>
      </c>
      <c r="AL287">
        <v>15</v>
      </c>
      <c r="AM287">
        <v>8</v>
      </c>
      <c r="AN287">
        <v>21</v>
      </c>
      <c r="AO287">
        <v>13</v>
      </c>
      <c r="AP287">
        <v>12</v>
      </c>
      <c r="AQ287">
        <v>3</v>
      </c>
      <c r="AR287">
        <v>7</v>
      </c>
      <c r="AS287">
        <v>1</v>
      </c>
      <c r="AT287">
        <v>3</v>
      </c>
      <c r="AU287">
        <v>6</v>
      </c>
      <c r="AV287">
        <v>8</v>
      </c>
      <c r="AW287">
        <v>6</v>
      </c>
      <c r="AX287">
        <v>2</v>
      </c>
      <c r="AY287">
        <v>6</v>
      </c>
      <c r="AZ287">
        <v>3</v>
      </c>
      <c r="BA287">
        <v>0</v>
      </c>
      <c r="BB287">
        <v>7</v>
      </c>
      <c r="BC287" s="2">
        <v>10</v>
      </c>
      <c r="BD287" s="2">
        <v>18</v>
      </c>
      <c r="BE287" s="2">
        <v>15</v>
      </c>
      <c r="BF287" s="2">
        <v>8</v>
      </c>
      <c r="BG287" s="2">
        <v>21</v>
      </c>
      <c r="BH287" s="2">
        <v>13</v>
      </c>
      <c r="BI287" s="2">
        <v>12</v>
      </c>
      <c r="BJ287" s="2">
        <v>3</v>
      </c>
      <c r="BK287" s="2">
        <v>7</v>
      </c>
      <c r="BL287" s="2">
        <v>1</v>
      </c>
      <c r="BM287" s="2">
        <v>3</v>
      </c>
      <c r="BN287" s="2">
        <v>6</v>
      </c>
      <c r="BO287" s="2">
        <v>8</v>
      </c>
      <c r="BP287" s="2">
        <v>6</v>
      </c>
      <c r="BQ287" s="2">
        <v>2</v>
      </c>
      <c r="BR287" s="2">
        <v>6</v>
      </c>
      <c r="BS287" s="2">
        <v>3</v>
      </c>
      <c r="BT287" s="2">
        <v>0</v>
      </c>
      <c r="BU287" s="2">
        <v>7</v>
      </c>
      <c r="BV287" s="2">
        <f t="shared" si="21"/>
        <v>149</v>
      </c>
      <c r="BW287" s="16">
        <f t="shared" si="19"/>
        <v>7.8421052631578947</v>
      </c>
      <c r="BX287" s="16">
        <f>COUNTIF($BC$6:BU287, "=0") / COUNTIF($BC$6:BU287, "&gt;-1")</f>
        <v>6.9988801791713323E-2</v>
      </c>
      <c r="BY287" s="18">
        <f>SUM($BC$6:BU287) / $BY$4</f>
        <v>0.75204222387714914</v>
      </c>
      <c r="BZ287" s="14">
        <f t="shared" si="20"/>
        <v>1</v>
      </c>
      <c r="CA287" t="s">
        <v>5831</v>
      </c>
      <c r="CB287" s="36">
        <v>12.116433958347301</v>
      </c>
      <c r="CC287" s="36">
        <v>17.335154172193999</v>
      </c>
      <c r="CD287" s="36">
        <v>24.0119649271839</v>
      </c>
      <c r="CE287" s="36">
        <v>12.0953740732258</v>
      </c>
      <c r="CF287" s="36">
        <v>18.0637035586747</v>
      </c>
      <c r="CG287" s="36">
        <v>12.0864542063134</v>
      </c>
      <c r="CH287" s="36">
        <v>12.6487473943757</v>
      </c>
      <c r="CI287" s="36">
        <v>2.9195507939469199</v>
      </c>
      <c r="CJ287" s="37">
        <v>5.5633080527147003</v>
      </c>
      <c r="CK287" s="37">
        <v>1.89194894066486</v>
      </c>
      <c r="CL287" s="37">
        <v>4.8003260896040603</v>
      </c>
      <c r="CM287" s="37">
        <v>6.7723763727995303</v>
      </c>
      <c r="CN287" s="37">
        <v>1.8375851316302301</v>
      </c>
      <c r="CO287" s="37">
        <v>4.7351434223107498</v>
      </c>
      <c r="CP287" s="37">
        <v>4.5256201435872701</v>
      </c>
      <c r="CQ287" s="37">
        <v>10.658457925322301</v>
      </c>
      <c r="CR287" s="45">
        <v>-1.4743123199332999</v>
      </c>
      <c r="CS287" s="45">
        <v>-2.7284055735349102</v>
      </c>
      <c r="CT287" s="46">
        <v>5.3838308447423503E-4</v>
      </c>
      <c r="CU287" s="47">
        <v>1.30499378084516E-3</v>
      </c>
      <c r="CV287" s="48">
        <v>13.9096728855327</v>
      </c>
      <c r="CW287" s="49">
        <v>5.09809575982921</v>
      </c>
      <c r="CX287" s="31" t="s">
        <v>5875</v>
      </c>
      <c r="CY287" s="31" t="s">
        <v>5876</v>
      </c>
      <c r="CZ287" t="s">
        <v>9619</v>
      </c>
      <c r="DA287" t="s">
        <v>5904</v>
      </c>
      <c r="DB287">
        <v>589.70000000000005</v>
      </c>
      <c r="DC287" t="s">
        <v>25054</v>
      </c>
      <c r="DD287" t="s">
        <v>25055</v>
      </c>
      <c r="DE287" t="s">
        <v>25056</v>
      </c>
      <c r="DF287" t="s">
        <v>25057</v>
      </c>
      <c r="DG287" t="s">
        <v>25058</v>
      </c>
      <c r="DH287" t="str">
        <f>"SDCBP"</f>
        <v>SDCBP</v>
      </c>
      <c r="DI287" t="s">
        <v>25059</v>
      </c>
      <c r="DJ287" t="s">
        <v>13777</v>
      </c>
      <c r="DK287">
        <v>9606</v>
      </c>
      <c r="DL287" s="34" t="str">
        <f>HYPERLINK("http://www.uniprot.org/uniprot/O00560", "O00560")</f>
        <v>O00560</v>
      </c>
      <c r="DM287" t="s">
        <v>25060</v>
      </c>
      <c r="DN287" t="s">
        <v>13772</v>
      </c>
      <c r="DO287" t="s">
        <v>25061</v>
      </c>
      <c r="DP287" t="s">
        <v>13780</v>
      </c>
      <c r="DQ287" t="s">
        <v>13772</v>
      </c>
      <c r="DR287" t="s">
        <v>13772</v>
      </c>
      <c r="DS287" t="s">
        <v>14096</v>
      </c>
      <c r="DT287" t="s">
        <v>13900</v>
      </c>
      <c r="DU287" t="s">
        <v>13772</v>
      </c>
      <c r="DV287" t="s">
        <v>13886</v>
      </c>
      <c r="DW287" t="s">
        <v>13812</v>
      </c>
      <c r="DX287" t="s">
        <v>25062</v>
      </c>
      <c r="DY287" t="s">
        <v>25063</v>
      </c>
      <c r="DZ287" t="s">
        <v>25064</v>
      </c>
      <c r="EA287" t="s">
        <v>13772</v>
      </c>
      <c r="EB287" t="s">
        <v>25065</v>
      </c>
    </row>
    <row r="288" spans="1:132">
      <c r="A288">
        <v>1985</v>
      </c>
      <c r="B288">
        <v>1</v>
      </c>
      <c r="C288" t="s">
        <v>4673</v>
      </c>
      <c r="D288" t="s">
        <v>73</v>
      </c>
      <c r="E288" t="s">
        <v>73</v>
      </c>
      <c r="F288" t="s">
        <v>73</v>
      </c>
      <c r="G288" t="s">
        <v>73</v>
      </c>
      <c r="H288">
        <v>52.4</v>
      </c>
      <c r="I288">
        <v>334</v>
      </c>
      <c r="J288">
        <v>37373</v>
      </c>
      <c r="K288" t="s">
        <v>4674</v>
      </c>
      <c r="L288">
        <f t="shared" si="18"/>
        <v>149</v>
      </c>
      <c r="N288">
        <v>149</v>
      </c>
      <c r="O288">
        <v>149</v>
      </c>
      <c r="P288">
        <v>1</v>
      </c>
      <c r="Q288">
        <v>8</v>
      </c>
      <c r="R288">
        <v>10</v>
      </c>
      <c r="S288">
        <v>9</v>
      </c>
      <c r="T288">
        <v>12</v>
      </c>
      <c r="U288">
        <v>11</v>
      </c>
      <c r="V288">
        <v>5</v>
      </c>
      <c r="W288">
        <v>7</v>
      </c>
      <c r="X288">
        <v>5</v>
      </c>
      <c r="Y288">
        <v>8</v>
      </c>
      <c r="Z288">
        <v>3</v>
      </c>
      <c r="AA288">
        <v>14</v>
      </c>
      <c r="AB288">
        <v>9</v>
      </c>
      <c r="AC288">
        <v>6</v>
      </c>
      <c r="AD288">
        <v>2</v>
      </c>
      <c r="AE288">
        <v>15</v>
      </c>
      <c r="AF288">
        <v>13</v>
      </c>
      <c r="AG288">
        <v>2</v>
      </c>
      <c r="AH288">
        <v>3</v>
      </c>
      <c r="AI288">
        <v>7</v>
      </c>
      <c r="AJ288">
        <v>8</v>
      </c>
      <c r="AK288">
        <v>10</v>
      </c>
      <c r="AL288">
        <v>9</v>
      </c>
      <c r="AM288">
        <v>12</v>
      </c>
      <c r="AN288">
        <v>11</v>
      </c>
      <c r="AO288">
        <v>5</v>
      </c>
      <c r="AP288">
        <v>7</v>
      </c>
      <c r="AQ288">
        <v>5</v>
      </c>
      <c r="AR288">
        <v>8</v>
      </c>
      <c r="AS288">
        <v>3</v>
      </c>
      <c r="AT288">
        <v>14</v>
      </c>
      <c r="AU288">
        <v>9</v>
      </c>
      <c r="AV288">
        <v>6</v>
      </c>
      <c r="AW288">
        <v>2</v>
      </c>
      <c r="AX288">
        <v>15</v>
      </c>
      <c r="AY288">
        <v>13</v>
      </c>
      <c r="AZ288">
        <v>2</v>
      </c>
      <c r="BA288">
        <v>3</v>
      </c>
      <c r="BB288">
        <v>7</v>
      </c>
      <c r="BC288" s="2">
        <v>8</v>
      </c>
      <c r="BD288" s="2">
        <v>10</v>
      </c>
      <c r="BE288" s="2">
        <v>9</v>
      </c>
      <c r="BF288" s="2">
        <v>12</v>
      </c>
      <c r="BG288" s="2">
        <v>11</v>
      </c>
      <c r="BH288" s="2">
        <v>5</v>
      </c>
      <c r="BI288" s="2">
        <v>7</v>
      </c>
      <c r="BJ288" s="2">
        <v>5</v>
      </c>
      <c r="BK288" s="2">
        <v>8</v>
      </c>
      <c r="BL288" s="2">
        <v>3</v>
      </c>
      <c r="BM288" s="2">
        <v>14</v>
      </c>
      <c r="BN288" s="2">
        <v>9</v>
      </c>
      <c r="BO288" s="2">
        <v>6</v>
      </c>
      <c r="BP288" s="2">
        <v>2</v>
      </c>
      <c r="BQ288" s="2">
        <v>15</v>
      </c>
      <c r="BR288" s="2">
        <v>13</v>
      </c>
      <c r="BS288" s="2">
        <v>2</v>
      </c>
      <c r="BT288" s="2">
        <v>3</v>
      </c>
      <c r="BU288" s="2">
        <v>7</v>
      </c>
      <c r="BV288" s="2">
        <f t="shared" si="21"/>
        <v>149</v>
      </c>
      <c r="BW288" s="16">
        <f t="shared" si="19"/>
        <v>7.8421052631578947</v>
      </c>
      <c r="BX288" s="16">
        <f>COUNTIF($BC$6:BU288, "=0") / COUNTIF($BC$6:BU288, "&gt;-1")</f>
        <v>6.9741491538032357E-2</v>
      </c>
      <c r="BY288" s="18">
        <f>SUM($BC$6:BU288) / $BY$4</f>
        <v>0.75268048577058544</v>
      </c>
      <c r="BZ288" s="14">
        <f t="shared" si="20"/>
        <v>0</v>
      </c>
      <c r="CA288" t="s">
        <v>5831</v>
      </c>
      <c r="CB288" s="36">
        <v>9.6931471666778304</v>
      </c>
      <c r="CC288" s="36">
        <v>9.6306412067744702</v>
      </c>
      <c r="CD288" s="36">
        <v>14.4071789563103</v>
      </c>
      <c r="CE288" s="36">
        <v>18.143061109838801</v>
      </c>
      <c r="CF288" s="36">
        <v>9.4619399593058091</v>
      </c>
      <c r="CG288" s="36">
        <v>4.6486362331974602</v>
      </c>
      <c r="CH288" s="36">
        <v>7.3784359800524904</v>
      </c>
      <c r="CI288" s="36">
        <v>4.8659179899115301</v>
      </c>
      <c r="CJ288" s="37">
        <v>6.35806634595966</v>
      </c>
      <c r="CK288" s="37">
        <v>8.8290950564359996</v>
      </c>
      <c r="CL288" s="37">
        <v>7.2004891344060802</v>
      </c>
      <c r="CM288" s="37">
        <v>5.0792822795996404</v>
      </c>
      <c r="CN288" s="37">
        <v>13.7818884872267</v>
      </c>
      <c r="CO288" s="37">
        <v>10.2594774150066</v>
      </c>
      <c r="CP288" s="37">
        <v>3.0170800957248498</v>
      </c>
      <c r="CQ288" s="37">
        <v>10.658457925322301</v>
      </c>
      <c r="CR288" s="45">
        <v>-0.19914352839809099</v>
      </c>
      <c r="CS288" s="45">
        <v>-1.2001281684980201</v>
      </c>
      <c r="CT288" s="46">
        <v>0.57731299150015603</v>
      </c>
      <c r="CU288" s="47">
        <v>0.65572562192462602</v>
      </c>
      <c r="CV288" s="48">
        <v>9.7786198252585805</v>
      </c>
      <c r="CW288" s="49">
        <v>8.1479795924602296</v>
      </c>
      <c r="CX288" s="31" t="s">
        <v>5875</v>
      </c>
      <c r="CY288" s="31" t="s">
        <v>5832</v>
      </c>
      <c r="CZ288" t="s">
        <v>12371</v>
      </c>
      <c r="DA288" t="s">
        <v>5904</v>
      </c>
      <c r="DB288">
        <v>575.5</v>
      </c>
      <c r="DC288" t="s">
        <v>32819</v>
      </c>
      <c r="DD288" t="s">
        <v>32820</v>
      </c>
      <c r="DE288" t="s">
        <v>32821</v>
      </c>
      <c r="DF288" t="s">
        <v>32822</v>
      </c>
      <c r="DG288" t="s">
        <v>32823</v>
      </c>
      <c r="DH288" t="str">
        <f>"CTSV"</f>
        <v>CTSV</v>
      </c>
      <c r="DI288" t="s">
        <v>32824</v>
      </c>
      <c r="DJ288" t="s">
        <v>13777</v>
      </c>
      <c r="DK288">
        <v>9606</v>
      </c>
      <c r="DL288" s="34" t="str">
        <f>HYPERLINK("http://www.uniprot.org/uniprot/O60911", "O60911")</f>
        <v>O60911</v>
      </c>
      <c r="DM288" t="s">
        <v>32825</v>
      </c>
      <c r="DN288" t="s">
        <v>13772</v>
      </c>
      <c r="DO288" t="s">
        <v>13806</v>
      </c>
      <c r="DP288" t="s">
        <v>13772</v>
      </c>
      <c r="DQ288" t="s">
        <v>13772</v>
      </c>
      <c r="DR288" t="s">
        <v>13772</v>
      </c>
      <c r="DS288" t="s">
        <v>13808</v>
      </c>
      <c r="DT288" t="s">
        <v>13772</v>
      </c>
      <c r="DU288" t="s">
        <v>14083</v>
      </c>
      <c r="DV288" t="s">
        <v>15472</v>
      </c>
      <c r="DW288" t="s">
        <v>13812</v>
      </c>
      <c r="DX288" t="s">
        <v>32826</v>
      </c>
      <c r="DY288" t="s">
        <v>32827</v>
      </c>
      <c r="DZ288" t="s">
        <v>32828</v>
      </c>
      <c r="EA288" t="s">
        <v>13772</v>
      </c>
      <c r="EB288" t="s">
        <v>32829</v>
      </c>
    </row>
    <row r="289" spans="1:132" hidden="1">
      <c r="A289">
        <v>1995</v>
      </c>
      <c r="B289">
        <v>1</v>
      </c>
      <c r="C289" t="s">
        <v>4694</v>
      </c>
      <c r="D289" t="s">
        <v>4695</v>
      </c>
      <c r="E289" t="s">
        <v>73</v>
      </c>
      <c r="F289" t="s">
        <v>73</v>
      </c>
      <c r="G289" t="s">
        <v>73</v>
      </c>
      <c r="H289">
        <v>39.9</v>
      </c>
      <c r="I289">
        <v>878</v>
      </c>
      <c r="J289">
        <v>95081</v>
      </c>
      <c r="K289" t="s">
        <v>4696</v>
      </c>
      <c r="L289">
        <f t="shared" si="18"/>
        <v>149</v>
      </c>
      <c r="N289">
        <v>149</v>
      </c>
      <c r="O289">
        <v>149</v>
      </c>
      <c r="P289">
        <v>1</v>
      </c>
      <c r="Q289">
        <v>14</v>
      </c>
      <c r="R289">
        <v>18</v>
      </c>
      <c r="S289">
        <v>10</v>
      </c>
      <c r="T289">
        <v>18</v>
      </c>
      <c r="U289">
        <v>18</v>
      </c>
      <c r="V289">
        <v>16</v>
      </c>
      <c r="W289">
        <v>13</v>
      </c>
      <c r="X289">
        <v>15</v>
      </c>
      <c r="Y289">
        <v>1</v>
      </c>
      <c r="Z289">
        <v>0</v>
      </c>
      <c r="AA289">
        <v>9</v>
      </c>
      <c r="AB289">
        <v>0</v>
      </c>
      <c r="AC289">
        <v>4</v>
      </c>
      <c r="AD289">
        <v>1</v>
      </c>
      <c r="AE289">
        <v>6</v>
      </c>
      <c r="AF289">
        <v>6</v>
      </c>
      <c r="AG289">
        <v>0</v>
      </c>
      <c r="AH289">
        <v>0</v>
      </c>
      <c r="AI289">
        <v>0</v>
      </c>
      <c r="AJ289">
        <v>14</v>
      </c>
      <c r="AK289">
        <v>18</v>
      </c>
      <c r="AL289">
        <v>10</v>
      </c>
      <c r="AM289">
        <v>18</v>
      </c>
      <c r="AN289">
        <v>18</v>
      </c>
      <c r="AO289">
        <v>16</v>
      </c>
      <c r="AP289">
        <v>13</v>
      </c>
      <c r="AQ289">
        <v>15</v>
      </c>
      <c r="AR289">
        <v>1</v>
      </c>
      <c r="AS289">
        <v>0</v>
      </c>
      <c r="AT289">
        <v>9</v>
      </c>
      <c r="AU289">
        <v>0</v>
      </c>
      <c r="AV289">
        <v>4</v>
      </c>
      <c r="AW289">
        <v>1</v>
      </c>
      <c r="AX289">
        <v>6</v>
      </c>
      <c r="AY289">
        <v>6</v>
      </c>
      <c r="AZ289">
        <v>0</v>
      </c>
      <c r="BA289">
        <v>0</v>
      </c>
      <c r="BB289">
        <v>0</v>
      </c>
      <c r="BC289" s="2">
        <v>14</v>
      </c>
      <c r="BD289" s="2">
        <v>18</v>
      </c>
      <c r="BE289" s="2">
        <v>10</v>
      </c>
      <c r="BF289" s="2">
        <v>18</v>
      </c>
      <c r="BG289" s="2">
        <v>18</v>
      </c>
      <c r="BH289" s="2">
        <v>16</v>
      </c>
      <c r="BI289" s="2">
        <v>13</v>
      </c>
      <c r="BJ289" s="2">
        <v>15</v>
      </c>
      <c r="BK289" s="2">
        <v>1</v>
      </c>
      <c r="BL289" s="2">
        <v>0</v>
      </c>
      <c r="BM289" s="2">
        <v>9</v>
      </c>
      <c r="BN289" s="2">
        <v>0</v>
      </c>
      <c r="BO289" s="2">
        <v>4</v>
      </c>
      <c r="BP289" s="2">
        <v>1</v>
      </c>
      <c r="BQ289" s="2">
        <v>6</v>
      </c>
      <c r="BR289" s="2">
        <v>6</v>
      </c>
      <c r="BS289" s="2">
        <v>0</v>
      </c>
      <c r="BT289" s="2">
        <v>0</v>
      </c>
      <c r="BU289" s="2">
        <v>0</v>
      </c>
      <c r="BV289" s="2">
        <f t="shared" si="21"/>
        <v>149</v>
      </c>
      <c r="BW289" s="16">
        <f t="shared" si="19"/>
        <v>7.8421052631578947</v>
      </c>
      <c r="BX289" s="16">
        <f>COUNTIF($BC$6:BU289, "=0") / COUNTIF($BC$6:BU289, "&gt;-1")</f>
        <v>7.0422535211267609E-2</v>
      </c>
      <c r="BY289" s="18">
        <f>SUM($BC$6:BU289) / $BY$4</f>
        <v>0.75331874766402185</v>
      </c>
      <c r="BZ289" s="14">
        <f t="shared" si="20"/>
        <v>5</v>
      </c>
      <c r="CA289" t="s">
        <v>5831</v>
      </c>
      <c r="CB289" s="36">
        <v>16.963007541686199</v>
      </c>
      <c r="CC289" s="36">
        <v>17.335154172193999</v>
      </c>
      <c r="CD289" s="36">
        <v>16.007976618122601</v>
      </c>
      <c r="CE289" s="36">
        <v>27.2145916647581</v>
      </c>
      <c r="CF289" s="36">
        <v>15.4831744788641</v>
      </c>
      <c r="CG289" s="36">
        <v>14.875635946231901</v>
      </c>
      <c r="CH289" s="36">
        <v>13.7028096772403</v>
      </c>
      <c r="CI289" s="36">
        <v>14.597753969734599</v>
      </c>
      <c r="CJ289" s="37">
        <v>0.79475829324495695</v>
      </c>
      <c r="CK289" s="37">
        <v>5.6758468219945701</v>
      </c>
      <c r="CL289" s="37">
        <v>0.200013587066836</v>
      </c>
      <c r="CM289" s="37">
        <v>3.3861881863997598</v>
      </c>
      <c r="CN289" s="37">
        <v>5.5127553948906796</v>
      </c>
      <c r="CO289" s="37">
        <v>4.7351434223107498</v>
      </c>
      <c r="CP289" s="37">
        <v>0.377135011965606</v>
      </c>
      <c r="CQ289" s="37">
        <v>0.38065921161865401</v>
      </c>
      <c r="CR289" s="45">
        <v>-2.4973630917496998</v>
      </c>
      <c r="CS289" s="45">
        <v>-6.4655242504310602</v>
      </c>
      <c r="CT289" s="46">
        <v>1.3821375222946099E-10</v>
      </c>
      <c r="CU289" s="47">
        <v>2.2552439083295001E-9</v>
      </c>
      <c r="CV289" s="48">
        <v>17.022513008604001</v>
      </c>
      <c r="CW289" s="49">
        <v>2.6328124911864799</v>
      </c>
      <c r="CX289" s="31" t="s">
        <v>5875</v>
      </c>
      <c r="CY289" s="31" t="s">
        <v>5876</v>
      </c>
      <c r="CZ289" t="s">
        <v>12400</v>
      </c>
      <c r="DA289" t="s">
        <v>5904</v>
      </c>
      <c r="DB289">
        <v>1349</v>
      </c>
      <c r="DC289" t="s">
        <v>32893</v>
      </c>
      <c r="DD289" t="s">
        <v>32894</v>
      </c>
      <c r="DE289" t="s">
        <v>32895</v>
      </c>
      <c r="DF289" t="s">
        <v>32896</v>
      </c>
      <c r="DG289" t="s">
        <v>32897</v>
      </c>
      <c r="DH289" t="str">
        <f>"CDH16"</f>
        <v>CDH16</v>
      </c>
      <c r="DI289" t="s">
        <v>13772</v>
      </c>
      <c r="DJ289" t="s">
        <v>13777</v>
      </c>
      <c r="DK289">
        <v>9606</v>
      </c>
      <c r="DL289" s="34" t="str">
        <f>HYPERLINK("http://www.uniprot.org/uniprot/O75309", "O75309")</f>
        <v>O75309</v>
      </c>
      <c r="DM289" t="s">
        <v>32898</v>
      </c>
      <c r="DN289" t="s">
        <v>13949</v>
      </c>
      <c r="DO289" t="s">
        <v>13792</v>
      </c>
      <c r="DP289" t="s">
        <v>13780</v>
      </c>
      <c r="DQ289" t="s">
        <v>13772</v>
      </c>
      <c r="DR289" t="s">
        <v>13772</v>
      </c>
      <c r="DS289" t="s">
        <v>13826</v>
      </c>
      <c r="DT289" t="s">
        <v>13873</v>
      </c>
      <c r="DU289" t="s">
        <v>13772</v>
      </c>
      <c r="DV289" t="s">
        <v>13978</v>
      </c>
      <c r="DW289" t="s">
        <v>13772</v>
      </c>
      <c r="DX289" t="s">
        <v>32899</v>
      </c>
      <c r="DY289" t="s">
        <v>32900</v>
      </c>
      <c r="DZ289" t="s">
        <v>15899</v>
      </c>
      <c r="EA289" t="s">
        <v>13772</v>
      </c>
      <c r="EB289" t="s">
        <v>13772</v>
      </c>
    </row>
    <row r="290" spans="1:132">
      <c r="A290">
        <v>1841</v>
      </c>
      <c r="B290">
        <v>1</v>
      </c>
      <c r="C290" t="s">
        <v>4351</v>
      </c>
      <c r="D290" t="s">
        <v>73</v>
      </c>
      <c r="E290" t="s">
        <v>73</v>
      </c>
      <c r="F290" t="s">
        <v>73</v>
      </c>
      <c r="G290" t="s">
        <v>73</v>
      </c>
      <c r="H290">
        <v>15.5</v>
      </c>
      <c r="I290">
        <v>362</v>
      </c>
      <c r="J290">
        <v>39865</v>
      </c>
      <c r="K290" t="s">
        <v>4352</v>
      </c>
      <c r="L290">
        <f t="shared" si="18"/>
        <v>148</v>
      </c>
      <c r="N290">
        <v>148</v>
      </c>
      <c r="O290">
        <v>148</v>
      </c>
      <c r="P290">
        <v>1</v>
      </c>
      <c r="Q290">
        <v>8</v>
      </c>
      <c r="R290">
        <v>9</v>
      </c>
      <c r="S290">
        <v>13</v>
      </c>
      <c r="T290">
        <v>12</v>
      </c>
      <c r="U290">
        <v>15</v>
      </c>
      <c r="V290">
        <v>9</v>
      </c>
      <c r="W290">
        <v>9</v>
      </c>
      <c r="X290">
        <v>7</v>
      </c>
      <c r="Y290">
        <v>7</v>
      </c>
      <c r="Z290">
        <v>4</v>
      </c>
      <c r="AA290">
        <v>5</v>
      </c>
      <c r="AB290">
        <v>8</v>
      </c>
      <c r="AC290">
        <v>5</v>
      </c>
      <c r="AD290">
        <v>2</v>
      </c>
      <c r="AE290">
        <v>8</v>
      </c>
      <c r="AF290">
        <v>10</v>
      </c>
      <c r="AG290">
        <v>7</v>
      </c>
      <c r="AH290">
        <v>2</v>
      </c>
      <c r="AI290">
        <v>8</v>
      </c>
      <c r="AJ290">
        <v>8</v>
      </c>
      <c r="AK290">
        <v>9</v>
      </c>
      <c r="AL290">
        <v>13</v>
      </c>
      <c r="AM290">
        <v>12</v>
      </c>
      <c r="AN290">
        <v>15</v>
      </c>
      <c r="AO290">
        <v>9</v>
      </c>
      <c r="AP290">
        <v>9</v>
      </c>
      <c r="AQ290">
        <v>7</v>
      </c>
      <c r="AR290">
        <v>7</v>
      </c>
      <c r="AS290">
        <v>4</v>
      </c>
      <c r="AT290">
        <v>5</v>
      </c>
      <c r="AU290">
        <v>8</v>
      </c>
      <c r="AV290">
        <v>5</v>
      </c>
      <c r="AW290">
        <v>2</v>
      </c>
      <c r="AX290">
        <v>8</v>
      </c>
      <c r="AY290">
        <v>10</v>
      </c>
      <c r="AZ290">
        <v>7</v>
      </c>
      <c r="BA290">
        <v>2</v>
      </c>
      <c r="BB290">
        <v>8</v>
      </c>
      <c r="BC290" s="2">
        <v>8</v>
      </c>
      <c r="BD290" s="2">
        <v>9</v>
      </c>
      <c r="BE290" s="2">
        <v>13</v>
      </c>
      <c r="BF290" s="2">
        <v>12</v>
      </c>
      <c r="BG290" s="2">
        <v>15</v>
      </c>
      <c r="BH290" s="2">
        <v>9</v>
      </c>
      <c r="BI290" s="2">
        <v>9</v>
      </c>
      <c r="BJ290" s="2">
        <v>7</v>
      </c>
      <c r="BK290" s="2">
        <v>7</v>
      </c>
      <c r="BL290" s="2">
        <v>4</v>
      </c>
      <c r="BM290" s="2">
        <v>5</v>
      </c>
      <c r="BN290" s="2">
        <v>8</v>
      </c>
      <c r="BO290" s="2">
        <v>5</v>
      </c>
      <c r="BP290" s="2">
        <v>2</v>
      </c>
      <c r="BQ290" s="2">
        <v>8</v>
      </c>
      <c r="BR290" s="2">
        <v>10</v>
      </c>
      <c r="BS290" s="2">
        <v>7</v>
      </c>
      <c r="BT290" s="2">
        <v>2</v>
      </c>
      <c r="BU290" s="2">
        <v>8</v>
      </c>
      <c r="BV290" s="2">
        <f t="shared" si="21"/>
        <v>148</v>
      </c>
      <c r="BW290" s="16">
        <f t="shared" si="19"/>
        <v>7.7894736842105265</v>
      </c>
      <c r="BX290" s="16">
        <f>COUNTIF($BC$6:BU290, "=0") / COUNTIF($BC$6:BU290, "&gt;-1")</f>
        <v>7.0175438596491224E-2</v>
      </c>
      <c r="BY290" s="18">
        <f>SUM($BC$6:BU290) / $BY$4</f>
        <v>0.75395272592058948</v>
      </c>
      <c r="BZ290" s="14">
        <f t="shared" si="20"/>
        <v>0</v>
      </c>
      <c r="CA290" t="s">
        <v>5831</v>
      </c>
      <c r="CB290" s="36">
        <v>9.6931471666778304</v>
      </c>
      <c r="CC290" s="36">
        <v>8.6675770860970207</v>
      </c>
      <c r="CD290" s="36">
        <v>20.810369603559401</v>
      </c>
      <c r="CE290" s="36">
        <v>18.143061109838801</v>
      </c>
      <c r="CF290" s="36">
        <v>12.9026453990534</v>
      </c>
      <c r="CG290" s="36">
        <v>8.3675452197554208</v>
      </c>
      <c r="CH290" s="36">
        <v>9.4865605457817708</v>
      </c>
      <c r="CI290" s="36">
        <v>6.8122851858761404</v>
      </c>
      <c r="CJ290" s="37">
        <v>5.5633080527147003</v>
      </c>
      <c r="CK290" s="37">
        <v>3.1532482344414299</v>
      </c>
      <c r="CL290" s="37">
        <v>6.4004347861387396</v>
      </c>
      <c r="CM290" s="37">
        <v>4.2327352329997003</v>
      </c>
      <c r="CN290" s="37">
        <v>7.3503405265209096</v>
      </c>
      <c r="CO290" s="37">
        <v>7.8919057038512497</v>
      </c>
      <c r="CP290" s="37">
        <v>10.559780335037001</v>
      </c>
      <c r="CQ290" s="37">
        <v>12.1810947717969</v>
      </c>
      <c r="CR290" s="45">
        <v>-0.75174859910283898</v>
      </c>
      <c r="CS290" s="45">
        <v>-1.65495340309328</v>
      </c>
      <c r="CT290" s="46">
        <v>5.2151972975119198E-2</v>
      </c>
      <c r="CU290" s="47">
        <v>8.0226297458587004E-2</v>
      </c>
      <c r="CV290" s="48">
        <v>11.860398914579999</v>
      </c>
      <c r="CW290" s="49">
        <v>7.1666059554375803</v>
      </c>
      <c r="CX290" s="31" t="s">
        <v>5875</v>
      </c>
      <c r="CY290" s="31" t="s">
        <v>5877</v>
      </c>
      <c r="CZ290" t="s">
        <v>11896</v>
      </c>
      <c r="DA290" t="s">
        <v>6054</v>
      </c>
      <c r="DB290">
        <v>107.8</v>
      </c>
      <c r="DC290" t="s">
        <v>31476</v>
      </c>
      <c r="DD290" t="s">
        <v>31477</v>
      </c>
      <c r="DE290" t="s">
        <v>31478</v>
      </c>
      <c r="DF290" t="s">
        <v>31479</v>
      </c>
      <c r="DG290" t="s">
        <v>31480</v>
      </c>
      <c r="DH290" t="str">
        <f>"CD46"</f>
        <v>CD46</v>
      </c>
      <c r="DI290" t="s">
        <v>31481</v>
      </c>
      <c r="DJ290" t="s">
        <v>13777</v>
      </c>
      <c r="DK290">
        <v>9606</v>
      </c>
      <c r="DL290" s="34" t="str">
        <f>HYPERLINK("http://www.uniprot.org/uniprot/P15529", "P15529")</f>
        <v>P15529</v>
      </c>
      <c r="DM290" t="s">
        <v>31482</v>
      </c>
      <c r="DN290" t="s">
        <v>31483</v>
      </c>
      <c r="DO290" t="s">
        <v>14033</v>
      </c>
      <c r="DP290" t="s">
        <v>13780</v>
      </c>
      <c r="DQ290" t="s">
        <v>13772</v>
      </c>
      <c r="DR290" t="s">
        <v>28021</v>
      </c>
      <c r="DS290" t="s">
        <v>31484</v>
      </c>
      <c r="DT290" t="s">
        <v>13772</v>
      </c>
      <c r="DU290" t="s">
        <v>18791</v>
      </c>
      <c r="DV290" t="s">
        <v>13964</v>
      </c>
      <c r="DW290" t="s">
        <v>13812</v>
      </c>
      <c r="DX290" t="s">
        <v>31485</v>
      </c>
      <c r="DY290" t="s">
        <v>31486</v>
      </c>
      <c r="DZ290" t="s">
        <v>31487</v>
      </c>
      <c r="EA290" t="s">
        <v>13772</v>
      </c>
      <c r="EB290" t="s">
        <v>22277</v>
      </c>
    </row>
    <row r="291" spans="1:132" hidden="1">
      <c r="A291">
        <v>294</v>
      </c>
      <c r="B291">
        <v>1</v>
      </c>
      <c r="C291" t="s">
        <v>737</v>
      </c>
      <c r="D291" t="s">
        <v>73</v>
      </c>
      <c r="E291" t="s">
        <v>73</v>
      </c>
      <c r="F291" t="s">
        <v>738</v>
      </c>
      <c r="G291" t="s">
        <v>73</v>
      </c>
      <c r="H291">
        <v>65.400000000000006</v>
      </c>
      <c r="I291">
        <v>217</v>
      </c>
      <c r="J291">
        <v>23620</v>
      </c>
      <c r="K291" t="s">
        <v>739</v>
      </c>
      <c r="L291">
        <f t="shared" si="18"/>
        <v>148</v>
      </c>
      <c r="N291">
        <v>148</v>
      </c>
      <c r="O291">
        <v>147</v>
      </c>
      <c r="P291">
        <v>0.99299999999999999</v>
      </c>
      <c r="Q291">
        <v>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6</v>
      </c>
      <c r="Z291">
        <v>25</v>
      </c>
      <c r="AA291">
        <v>12</v>
      </c>
      <c r="AB291">
        <v>15</v>
      </c>
      <c r="AC291">
        <v>10</v>
      </c>
      <c r="AD291">
        <v>2</v>
      </c>
      <c r="AE291">
        <v>21</v>
      </c>
      <c r="AF291">
        <v>15</v>
      </c>
      <c r="AG291">
        <v>25</v>
      </c>
      <c r="AH291">
        <v>2</v>
      </c>
      <c r="AI291">
        <v>10</v>
      </c>
      <c r="AJ291">
        <v>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2</v>
      </c>
      <c r="AR291">
        <v>6</v>
      </c>
      <c r="AS291">
        <v>25</v>
      </c>
      <c r="AT291">
        <v>12</v>
      </c>
      <c r="AU291">
        <v>15</v>
      </c>
      <c r="AV291">
        <v>10</v>
      </c>
      <c r="AW291">
        <v>2</v>
      </c>
      <c r="AX291">
        <v>21</v>
      </c>
      <c r="AY291">
        <v>15</v>
      </c>
      <c r="AZ291">
        <v>24</v>
      </c>
      <c r="BA291">
        <v>2</v>
      </c>
      <c r="BB291">
        <v>10</v>
      </c>
      <c r="BC291" s="2">
        <v>3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2</v>
      </c>
      <c r="BK291" s="2">
        <v>6</v>
      </c>
      <c r="BL291" s="2">
        <v>25</v>
      </c>
      <c r="BM291" s="2">
        <v>12</v>
      </c>
      <c r="BN291" s="2">
        <v>15</v>
      </c>
      <c r="BO291" s="2">
        <v>10</v>
      </c>
      <c r="BP291" s="2">
        <v>2</v>
      </c>
      <c r="BQ291" s="2">
        <v>21</v>
      </c>
      <c r="BR291" s="2">
        <v>15</v>
      </c>
      <c r="BS291" s="2">
        <v>24.353000000000002</v>
      </c>
      <c r="BT291" s="2">
        <v>2</v>
      </c>
      <c r="BU291" s="2">
        <v>10</v>
      </c>
      <c r="BV291" s="2">
        <f t="shared" si="21"/>
        <v>147.35300000000001</v>
      </c>
      <c r="BW291" s="16">
        <f t="shared" si="19"/>
        <v>7.7554210526315792</v>
      </c>
      <c r="BX291" s="16">
        <f>COUNTIF($BC$6:BU291, "=0") / COUNTIF($BC$6:BU291, "&gt;-1")</f>
        <v>7.103422892896577E-2</v>
      </c>
      <c r="BY291" s="18">
        <f>SUM($BC$6:BU291) / $BY$4</f>
        <v>0.75458393266410317</v>
      </c>
      <c r="BZ291" s="14">
        <f t="shared" si="20"/>
        <v>6</v>
      </c>
      <c r="CA291" t="s">
        <v>5831</v>
      </c>
      <c r="CB291" s="36">
        <v>3.6349301875041902</v>
      </c>
      <c r="CC291" s="36">
        <v>0.24076603016936199</v>
      </c>
      <c r="CD291" s="36">
        <v>0.40019941545306398</v>
      </c>
      <c r="CE291" s="36">
        <v>0.37798043978830698</v>
      </c>
      <c r="CF291" s="36">
        <v>0.215044089984223</v>
      </c>
      <c r="CG291" s="36">
        <v>0.23243181165987301</v>
      </c>
      <c r="CH291" s="36">
        <v>0.26351557071616</v>
      </c>
      <c r="CI291" s="36">
        <v>1.9463671959646101</v>
      </c>
      <c r="CJ291" s="37">
        <v>4.7685497594697397</v>
      </c>
      <c r="CK291" s="37">
        <v>7.5677957626594301</v>
      </c>
      <c r="CL291" s="37">
        <v>12.0008152240101</v>
      </c>
      <c r="CM291" s="37">
        <v>8.4654704659994096</v>
      </c>
      <c r="CN291" s="37">
        <v>19.294643882117398</v>
      </c>
      <c r="CO291" s="37">
        <v>11.837858555776901</v>
      </c>
      <c r="CP291" s="37">
        <v>36.808377167843098</v>
      </c>
      <c r="CQ291" s="37">
        <v>15.2263684647462</v>
      </c>
      <c r="CR291" s="45">
        <v>3.8096019425053802</v>
      </c>
      <c r="CS291" s="45">
        <v>15.8618733205873</v>
      </c>
      <c r="CT291" s="46">
        <v>9.2439402953973397E-10</v>
      </c>
      <c r="CU291" s="47">
        <v>1.18926847261939E-8</v>
      </c>
      <c r="CV291" s="48">
        <v>0.913904342654974</v>
      </c>
      <c r="CW291" s="49">
        <v>14.4962349103278</v>
      </c>
      <c r="CX291" s="31" t="s">
        <v>5874</v>
      </c>
      <c r="CY291" s="31" t="s">
        <v>5876</v>
      </c>
      <c r="CZ291" t="s">
        <v>6708</v>
      </c>
      <c r="DA291" t="s">
        <v>5904</v>
      </c>
      <c r="DB291">
        <v>370.5</v>
      </c>
      <c r="DC291" t="s">
        <v>16466</v>
      </c>
      <c r="DD291" t="s">
        <v>16467</v>
      </c>
      <c r="DE291" t="s">
        <v>16468</v>
      </c>
      <c r="DF291" t="s">
        <v>16469</v>
      </c>
      <c r="DG291" t="s">
        <v>13772</v>
      </c>
      <c r="DH291" t="str">
        <f>"PRSS2"</f>
        <v>PRSS2</v>
      </c>
      <c r="DI291" t="s">
        <v>16470</v>
      </c>
      <c r="DJ291" t="s">
        <v>13777</v>
      </c>
      <c r="DK291">
        <v>9606</v>
      </c>
      <c r="DL291" s="34" t="str">
        <f>HYPERLINK("http://www.uniprot.org/uniprot/P07478", "P07478")</f>
        <v>P07478</v>
      </c>
      <c r="DM291" t="s">
        <v>16471</v>
      </c>
      <c r="DN291" t="s">
        <v>15385</v>
      </c>
      <c r="DO291" t="s">
        <v>14321</v>
      </c>
      <c r="DP291" t="s">
        <v>13793</v>
      </c>
      <c r="DQ291" t="s">
        <v>13772</v>
      </c>
      <c r="DR291" t="s">
        <v>13772</v>
      </c>
      <c r="DS291" t="s">
        <v>13808</v>
      </c>
      <c r="DT291" t="s">
        <v>13873</v>
      </c>
      <c r="DU291" t="s">
        <v>15176</v>
      </c>
      <c r="DV291" t="s">
        <v>16472</v>
      </c>
      <c r="DW291" t="s">
        <v>13772</v>
      </c>
      <c r="DX291" t="s">
        <v>16473</v>
      </c>
      <c r="DY291" t="s">
        <v>16474</v>
      </c>
      <c r="DZ291" t="s">
        <v>16475</v>
      </c>
      <c r="EA291" t="s">
        <v>13772</v>
      </c>
      <c r="EB291" t="s">
        <v>16476</v>
      </c>
    </row>
    <row r="292" spans="1:132" hidden="1">
      <c r="A292">
        <v>716</v>
      </c>
      <c r="B292">
        <v>1</v>
      </c>
      <c r="C292" t="s">
        <v>1759</v>
      </c>
      <c r="D292" t="s">
        <v>1760</v>
      </c>
      <c r="E292" t="s">
        <v>73</v>
      </c>
      <c r="F292" t="s">
        <v>73</v>
      </c>
      <c r="G292" t="s">
        <v>73</v>
      </c>
      <c r="H292">
        <v>11.2</v>
      </c>
      <c r="I292">
        <v>1470</v>
      </c>
      <c r="J292">
        <v>154265</v>
      </c>
      <c r="K292" t="s">
        <v>1761</v>
      </c>
      <c r="L292">
        <f t="shared" si="18"/>
        <v>147</v>
      </c>
      <c r="N292">
        <v>147</v>
      </c>
      <c r="O292">
        <v>147</v>
      </c>
      <c r="P292">
        <v>1</v>
      </c>
      <c r="Q292">
        <v>11</v>
      </c>
      <c r="R292">
        <v>14</v>
      </c>
      <c r="S292">
        <v>13</v>
      </c>
      <c r="T292">
        <v>14</v>
      </c>
      <c r="U292">
        <v>17</v>
      </c>
      <c r="V292">
        <v>22</v>
      </c>
      <c r="W292">
        <v>13</v>
      </c>
      <c r="X292">
        <v>5</v>
      </c>
      <c r="Y292">
        <v>3</v>
      </c>
      <c r="Z292">
        <v>1</v>
      </c>
      <c r="AA292">
        <v>0</v>
      </c>
      <c r="AB292">
        <v>9</v>
      </c>
      <c r="AC292">
        <v>3</v>
      </c>
      <c r="AD292">
        <v>0</v>
      </c>
      <c r="AE292">
        <v>1</v>
      </c>
      <c r="AF292">
        <v>9</v>
      </c>
      <c r="AG292">
        <v>4</v>
      </c>
      <c r="AH292">
        <v>3</v>
      </c>
      <c r="AI292">
        <v>5</v>
      </c>
      <c r="AJ292">
        <v>11</v>
      </c>
      <c r="AK292">
        <v>14</v>
      </c>
      <c r="AL292">
        <v>13</v>
      </c>
      <c r="AM292">
        <v>14</v>
      </c>
      <c r="AN292">
        <v>17</v>
      </c>
      <c r="AO292">
        <v>22</v>
      </c>
      <c r="AP292">
        <v>13</v>
      </c>
      <c r="AQ292">
        <v>5</v>
      </c>
      <c r="AR292">
        <v>3</v>
      </c>
      <c r="AS292">
        <v>1</v>
      </c>
      <c r="AT292">
        <v>0</v>
      </c>
      <c r="AU292">
        <v>9</v>
      </c>
      <c r="AV292">
        <v>3</v>
      </c>
      <c r="AW292">
        <v>0</v>
      </c>
      <c r="AX292">
        <v>1</v>
      </c>
      <c r="AY292">
        <v>9</v>
      </c>
      <c r="AZ292">
        <v>4</v>
      </c>
      <c r="BA292">
        <v>3</v>
      </c>
      <c r="BB292">
        <v>5</v>
      </c>
      <c r="BC292" s="2">
        <v>11</v>
      </c>
      <c r="BD292" s="2">
        <v>14</v>
      </c>
      <c r="BE292" s="2">
        <v>13</v>
      </c>
      <c r="BF292" s="2">
        <v>14</v>
      </c>
      <c r="BG292" s="2">
        <v>17</v>
      </c>
      <c r="BH292" s="2">
        <v>22</v>
      </c>
      <c r="BI292" s="2">
        <v>13</v>
      </c>
      <c r="BJ292" s="2">
        <v>5</v>
      </c>
      <c r="BK292" s="2">
        <v>3</v>
      </c>
      <c r="BL292" s="2">
        <v>1</v>
      </c>
      <c r="BM292" s="2">
        <v>0</v>
      </c>
      <c r="BN292" s="2">
        <v>9</v>
      </c>
      <c r="BO292" s="2">
        <v>3</v>
      </c>
      <c r="BP292" s="2">
        <v>0</v>
      </c>
      <c r="BQ292" s="2">
        <v>1</v>
      </c>
      <c r="BR292" s="2">
        <v>9</v>
      </c>
      <c r="BS292" s="2">
        <v>4</v>
      </c>
      <c r="BT292" s="2">
        <v>3</v>
      </c>
      <c r="BU292" s="2">
        <v>5</v>
      </c>
      <c r="BV292" s="2">
        <f t="shared" si="21"/>
        <v>147</v>
      </c>
      <c r="BW292" s="16">
        <f t="shared" si="19"/>
        <v>7.7368421052631575</v>
      </c>
      <c r="BX292" s="16">
        <f>COUNTIF($BC$6:BU292, "=0") / COUNTIF($BC$6:BU292, "&gt;-1")</f>
        <v>7.1153493489822112E-2</v>
      </c>
      <c r="BY292" s="18">
        <f>SUM($BC$6:BU292) / $BY$4</f>
        <v>0.75521362728380215</v>
      </c>
      <c r="BZ292" s="14">
        <f t="shared" si="20"/>
        <v>2</v>
      </c>
      <c r="CA292" t="s">
        <v>5831</v>
      </c>
      <c r="CB292" s="36">
        <v>13.328077354182</v>
      </c>
      <c r="CC292" s="36">
        <v>13.4828976894843</v>
      </c>
      <c r="CD292" s="36">
        <v>20.810369603559401</v>
      </c>
      <c r="CE292" s="36">
        <v>21.1669046281452</v>
      </c>
      <c r="CF292" s="36">
        <v>14.6229981189272</v>
      </c>
      <c r="CG292" s="36">
        <v>20.453999426068801</v>
      </c>
      <c r="CH292" s="36">
        <v>13.7028096772403</v>
      </c>
      <c r="CI292" s="36">
        <v>4.8659179899115301</v>
      </c>
      <c r="CJ292" s="37">
        <v>2.3842748797348698</v>
      </c>
      <c r="CK292" s="37">
        <v>0.15766241172207099</v>
      </c>
      <c r="CL292" s="37">
        <v>7.2004891344060802</v>
      </c>
      <c r="CM292" s="37">
        <v>2.5396411397998202</v>
      </c>
      <c r="CN292" s="37">
        <v>0.91879256581511404</v>
      </c>
      <c r="CO292" s="37">
        <v>7.1027151334661296</v>
      </c>
      <c r="CP292" s="37">
        <v>6.0341601914496898</v>
      </c>
      <c r="CQ292" s="37">
        <v>7.6131842323730803</v>
      </c>
      <c r="CR292" s="45">
        <v>-1.8831870038305301</v>
      </c>
      <c r="CS292" s="45">
        <v>-3.60620494554755</v>
      </c>
      <c r="CT292" s="46">
        <v>3.9705343780281803E-5</v>
      </c>
      <c r="CU292" s="47">
        <v>1.2412558406078801E-4</v>
      </c>
      <c r="CV292" s="48">
        <v>15.3042468109398</v>
      </c>
      <c r="CW292" s="49">
        <v>4.2438649610958601</v>
      </c>
      <c r="CX292" s="31" t="s">
        <v>5875</v>
      </c>
      <c r="CY292" s="31" t="s">
        <v>5876</v>
      </c>
      <c r="CZ292" t="s">
        <v>8153</v>
      </c>
      <c r="DA292" t="s">
        <v>5904</v>
      </c>
      <c r="DB292">
        <v>1188.3</v>
      </c>
      <c r="DC292" t="s">
        <v>20833</v>
      </c>
      <c r="DD292" t="s">
        <v>13772</v>
      </c>
      <c r="DE292" t="s">
        <v>20834</v>
      </c>
      <c r="DF292" t="s">
        <v>20835</v>
      </c>
      <c r="DG292" t="s">
        <v>20836</v>
      </c>
      <c r="DH292" t="str">
        <f>"HEG1"</f>
        <v>HEG1</v>
      </c>
      <c r="DI292" t="s">
        <v>20837</v>
      </c>
      <c r="DJ292" t="s">
        <v>13777</v>
      </c>
      <c r="DK292">
        <v>9606</v>
      </c>
      <c r="DL292" s="34" t="str">
        <f>HYPERLINK("http://www.uniprot.org/uniprot/Q9ULI3", "Q9ULI3")</f>
        <v>Q9ULI3</v>
      </c>
      <c r="DM292" t="s">
        <v>20838</v>
      </c>
      <c r="DN292" t="s">
        <v>13772</v>
      </c>
      <c r="DO292" t="s">
        <v>20839</v>
      </c>
      <c r="DP292" t="s">
        <v>13780</v>
      </c>
      <c r="DQ292" t="s">
        <v>13772</v>
      </c>
      <c r="DR292" t="s">
        <v>13772</v>
      </c>
      <c r="DS292" t="s">
        <v>13963</v>
      </c>
      <c r="DT292" t="s">
        <v>14465</v>
      </c>
      <c r="DU292" t="s">
        <v>14727</v>
      </c>
      <c r="DV292" t="s">
        <v>13964</v>
      </c>
      <c r="DW292" t="s">
        <v>13812</v>
      </c>
      <c r="DX292" t="s">
        <v>20840</v>
      </c>
      <c r="DY292" t="s">
        <v>20841</v>
      </c>
      <c r="DZ292" t="s">
        <v>15899</v>
      </c>
      <c r="EA292" t="s">
        <v>13772</v>
      </c>
      <c r="EB292" t="s">
        <v>13772</v>
      </c>
    </row>
    <row r="293" spans="1:132" hidden="1">
      <c r="A293">
        <v>355</v>
      </c>
      <c r="B293">
        <v>1</v>
      </c>
      <c r="C293" t="s">
        <v>888</v>
      </c>
      <c r="D293" t="s">
        <v>73</v>
      </c>
      <c r="E293" t="s">
        <v>73</v>
      </c>
      <c r="F293" t="s">
        <v>73</v>
      </c>
      <c r="G293" t="s">
        <v>73</v>
      </c>
      <c r="H293">
        <v>37.799999999999997</v>
      </c>
      <c r="I293">
        <v>556</v>
      </c>
      <c r="J293">
        <v>61906</v>
      </c>
      <c r="K293" t="s">
        <v>889</v>
      </c>
      <c r="L293">
        <f t="shared" si="18"/>
        <v>146</v>
      </c>
      <c r="N293">
        <v>146</v>
      </c>
      <c r="O293">
        <v>146</v>
      </c>
      <c r="P293">
        <v>1</v>
      </c>
      <c r="Q293">
        <v>13</v>
      </c>
      <c r="R293">
        <v>13</v>
      </c>
      <c r="S293">
        <v>13</v>
      </c>
      <c r="T293">
        <v>10</v>
      </c>
      <c r="U293">
        <v>15</v>
      </c>
      <c r="V293">
        <v>16</v>
      </c>
      <c r="W293">
        <v>13</v>
      </c>
      <c r="X293">
        <v>18</v>
      </c>
      <c r="Y293">
        <v>0</v>
      </c>
      <c r="Z293">
        <v>4</v>
      </c>
      <c r="AA293">
        <v>0</v>
      </c>
      <c r="AB293">
        <v>10</v>
      </c>
      <c r="AC293">
        <v>0</v>
      </c>
      <c r="AD293">
        <v>0</v>
      </c>
      <c r="AE293">
        <v>9</v>
      </c>
      <c r="AF293">
        <v>2</v>
      </c>
      <c r="AG293">
        <v>10</v>
      </c>
      <c r="AH293">
        <v>0</v>
      </c>
      <c r="AI293">
        <v>0</v>
      </c>
      <c r="AJ293">
        <v>13</v>
      </c>
      <c r="AK293">
        <v>13</v>
      </c>
      <c r="AL293">
        <v>13</v>
      </c>
      <c r="AM293">
        <v>10</v>
      </c>
      <c r="AN293">
        <v>15</v>
      </c>
      <c r="AO293">
        <v>16</v>
      </c>
      <c r="AP293">
        <v>13</v>
      </c>
      <c r="AQ293">
        <v>18</v>
      </c>
      <c r="AR293">
        <v>0</v>
      </c>
      <c r="AS293">
        <v>4</v>
      </c>
      <c r="AT293">
        <v>0</v>
      </c>
      <c r="AU293">
        <v>10</v>
      </c>
      <c r="AV293">
        <v>0</v>
      </c>
      <c r="AW293">
        <v>0</v>
      </c>
      <c r="AX293">
        <v>9</v>
      </c>
      <c r="AY293">
        <v>2</v>
      </c>
      <c r="AZ293">
        <v>10</v>
      </c>
      <c r="BA293">
        <v>0</v>
      </c>
      <c r="BB293">
        <v>0</v>
      </c>
      <c r="BC293" s="2">
        <v>13</v>
      </c>
      <c r="BD293" s="2">
        <v>13</v>
      </c>
      <c r="BE293" s="2">
        <v>13</v>
      </c>
      <c r="BF293" s="2">
        <v>10</v>
      </c>
      <c r="BG293" s="2">
        <v>15</v>
      </c>
      <c r="BH293" s="2">
        <v>16</v>
      </c>
      <c r="BI293" s="2">
        <v>13</v>
      </c>
      <c r="BJ293" s="2">
        <v>18</v>
      </c>
      <c r="BK293" s="2">
        <v>0</v>
      </c>
      <c r="BL293" s="2">
        <v>4</v>
      </c>
      <c r="BM293" s="2">
        <v>0</v>
      </c>
      <c r="BN293" s="2">
        <v>10</v>
      </c>
      <c r="BO293" s="2">
        <v>0</v>
      </c>
      <c r="BP293" s="2">
        <v>0</v>
      </c>
      <c r="BQ293" s="2">
        <v>9</v>
      </c>
      <c r="BR293" s="2">
        <v>2</v>
      </c>
      <c r="BS293" s="2">
        <v>10</v>
      </c>
      <c r="BT293" s="2">
        <v>0</v>
      </c>
      <c r="BU293" s="2">
        <v>0</v>
      </c>
      <c r="BV293" s="2">
        <f t="shared" si="21"/>
        <v>146</v>
      </c>
      <c r="BW293" s="16">
        <f t="shared" si="19"/>
        <v>7.6842105263157894</v>
      </c>
      <c r="BX293" s="16">
        <f>COUNTIF($BC$6:BU293, "=0") / COUNTIF($BC$6:BU293, "&gt;-1")</f>
        <v>7.2002923976608194E-2</v>
      </c>
      <c r="BY293" s="18">
        <f>SUM($BC$6:BU293) / $BY$4</f>
        <v>0.75583903826663235</v>
      </c>
      <c r="BZ293" s="14">
        <f t="shared" si="20"/>
        <v>6</v>
      </c>
      <c r="CA293" t="s">
        <v>5831</v>
      </c>
      <c r="CB293" s="36">
        <v>15.7513641458515</v>
      </c>
      <c r="CC293" s="36">
        <v>12.519833568806799</v>
      </c>
      <c r="CD293" s="36">
        <v>20.810369603559401</v>
      </c>
      <c r="CE293" s="36">
        <v>15.119217591532299</v>
      </c>
      <c r="CF293" s="36">
        <v>12.9026453990534</v>
      </c>
      <c r="CG293" s="36">
        <v>14.875635946231901</v>
      </c>
      <c r="CH293" s="36">
        <v>13.7028096772403</v>
      </c>
      <c r="CI293" s="36">
        <v>17.517304763681501</v>
      </c>
      <c r="CJ293" s="37">
        <v>0.19868957331123899</v>
      </c>
      <c r="CK293" s="37">
        <v>0.15766241172207099</v>
      </c>
      <c r="CL293" s="37">
        <v>8.0005434826734305</v>
      </c>
      <c r="CM293" s="37">
        <v>0.21163676164998499</v>
      </c>
      <c r="CN293" s="37">
        <v>8.2691330923360304</v>
      </c>
      <c r="CO293" s="37">
        <v>1.5783811407702499</v>
      </c>
      <c r="CP293" s="37">
        <v>15.0854004786242</v>
      </c>
      <c r="CQ293" s="37">
        <v>0.38065921161865401</v>
      </c>
      <c r="CR293" s="45">
        <v>-1.9087278522958</v>
      </c>
      <c r="CS293" s="45">
        <v>-3.63611341457645</v>
      </c>
      <c r="CT293" s="46">
        <v>1.5831627681879199E-3</v>
      </c>
      <c r="CU293" s="47">
        <v>3.4499540453346001E-3</v>
      </c>
      <c r="CV293" s="48">
        <v>15.3998975869946</v>
      </c>
      <c r="CW293" s="49">
        <v>4.2352632690882404</v>
      </c>
      <c r="CX293" s="31" t="s">
        <v>5875</v>
      </c>
      <c r="CY293" s="31" t="s">
        <v>5876</v>
      </c>
      <c r="CZ293" t="s">
        <v>6928</v>
      </c>
      <c r="DA293" t="s">
        <v>5904</v>
      </c>
      <c r="DB293">
        <v>733</v>
      </c>
      <c r="DC293" t="s">
        <v>17121</v>
      </c>
      <c r="DD293" t="s">
        <v>13772</v>
      </c>
      <c r="DE293" t="s">
        <v>17122</v>
      </c>
      <c r="DF293" t="s">
        <v>17123</v>
      </c>
      <c r="DG293" t="s">
        <v>17124</v>
      </c>
      <c r="DH293" t="str">
        <f>"CPA1"</f>
        <v>CPA1</v>
      </c>
      <c r="DI293" t="s">
        <v>17125</v>
      </c>
      <c r="DJ293" t="s">
        <v>13777</v>
      </c>
      <c r="DK293">
        <v>9606</v>
      </c>
      <c r="DL293" s="34" t="str">
        <f>HYPERLINK("http://www.uniprot.org/uniprot/P15085", "P15085")</f>
        <v>P15085</v>
      </c>
      <c r="DM293" t="s">
        <v>16538</v>
      </c>
      <c r="DN293" t="s">
        <v>13772</v>
      </c>
      <c r="DO293" t="s">
        <v>14321</v>
      </c>
      <c r="DP293" t="s">
        <v>13793</v>
      </c>
      <c r="DQ293" t="s">
        <v>13772</v>
      </c>
      <c r="DR293" t="s">
        <v>13772</v>
      </c>
      <c r="DS293" t="s">
        <v>13808</v>
      </c>
      <c r="DT293" t="s">
        <v>13856</v>
      </c>
      <c r="DU293" t="s">
        <v>16539</v>
      </c>
      <c r="DV293" t="s">
        <v>15387</v>
      </c>
      <c r="DW293" t="s">
        <v>13812</v>
      </c>
      <c r="DX293" t="s">
        <v>17126</v>
      </c>
      <c r="DY293" t="s">
        <v>14508</v>
      </c>
      <c r="DZ293" t="s">
        <v>17127</v>
      </c>
      <c r="EA293" t="s">
        <v>13772</v>
      </c>
      <c r="EB293" t="s">
        <v>13772</v>
      </c>
    </row>
    <row r="294" spans="1:132" hidden="1">
      <c r="A294">
        <v>381</v>
      </c>
      <c r="B294">
        <v>1</v>
      </c>
      <c r="C294" t="s">
        <v>951</v>
      </c>
      <c r="D294" t="s">
        <v>73</v>
      </c>
      <c r="E294" t="s">
        <v>73</v>
      </c>
      <c r="F294" t="s">
        <v>73</v>
      </c>
      <c r="G294" t="s">
        <v>73</v>
      </c>
      <c r="H294">
        <v>36.799999999999997</v>
      </c>
      <c r="I294">
        <v>288</v>
      </c>
      <c r="J294">
        <v>31456</v>
      </c>
      <c r="K294" t="s">
        <v>952</v>
      </c>
      <c r="L294">
        <f t="shared" si="18"/>
        <v>146</v>
      </c>
      <c r="N294">
        <v>146</v>
      </c>
      <c r="O294">
        <v>146</v>
      </c>
      <c r="P294">
        <v>1</v>
      </c>
      <c r="Q294">
        <v>12</v>
      </c>
      <c r="R294">
        <v>10</v>
      </c>
      <c r="S294">
        <v>15</v>
      </c>
      <c r="T294">
        <v>21</v>
      </c>
      <c r="U294">
        <v>22</v>
      </c>
      <c r="V294">
        <v>18</v>
      </c>
      <c r="W294">
        <v>12</v>
      </c>
      <c r="X294">
        <v>8</v>
      </c>
      <c r="Y294">
        <v>2</v>
      </c>
      <c r="Z294">
        <v>1</v>
      </c>
      <c r="AA294">
        <v>5</v>
      </c>
      <c r="AB294">
        <v>5</v>
      </c>
      <c r="AC294">
        <v>1</v>
      </c>
      <c r="AD294">
        <v>0</v>
      </c>
      <c r="AE294">
        <v>4</v>
      </c>
      <c r="AF294">
        <v>3</v>
      </c>
      <c r="AG294">
        <v>3</v>
      </c>
      <c r="AH294">
        <v>1</v>
      </c>
      <c r="AI294">
        <v>3</v>
      </c>
      <c r="AJ294">
        <v>12</v>
      </c>
      <c r="AK294">
        <v>10</v>
      </c>
      <c r="AL294">
        <v>15</v>
      </c>
      <c r="AM294">
        <v>21</v>
      </c>
      <c r="AN294">
        <v>22</v>
      </c>
      <c r="AO294">
        <v>18</v>
      </c>
      <c r="AP294">
        <v>12</v>
      </c>
      <c r="AQ294">
        <v>8</v>
      </c>
      <c r="AR294">
        <v>2</v>
      </c>
      <c r="AS294">
        <v>1</v>
      </c>
      <c r="AT294">
        <v>5</v>
      </c>
      <c r="AU294">
        <v>5</v>
      </c>
      <c r="AV294">
        <v>1</v>
      </c>
      <c r="AW294">
        <v>0</v>
      </c>
      <c r="AX294">
        <v>4</v>
      </c>
      <c r="AY294">
        <v>3</v>
      </c>
      <c r="AZ294">
        <v>3</v>
      </c>
      <c r="BA294">
        <v>1</v>
      </c>
      <c r="BB294">
        <v>3</v>
      </c>
      <c r="BC294" s="2">
        <v>12</v>
      </c>
      <c r="BD294" s="2">
        <v>10</v>
      </c>
      <c r="BE294" s="2">
        <v>15</v>
      </c>
      <c r="BF294" s="2">
        <v>21</v>
      </c>
      <c r="BG294" s="2">
        <v>22</v>
      </c>
      <c r="BH294" s="2">
        <v>18</v>
      </c>
      <c r="BI294" s="2">
        <v>12</v>
      </c>
      <c r="BJ294" s="2">
        <v>8</v>
      </c>
      <c r="BK294" s="2">
        <v>2</v>
      </c>
      <c r="BL294" s="2">
        <v>1</v>
      </c>
      <c r="BM294" s="2">
        <v>5</v>
      </c>
      <c r="BN294" s="2">
        <v>5</v>
      </c>
      <c r="BO294" s="2">
        <v>1</v>
      </c>
      <c r="BP294" s="2">
        <v>0</v>
      </c>
      <c r="BQ294" s="2">
        <v>4</v>
      </c>
      <c r="BR294" s="2">
        <v>3</v>
      </c>
      <c r="BS294" s="2">
        <v>3</v>
      </c>
      <c r="BT294" s="2">
        <v>1</v>
      </c>
      <c r="BU294" s="2">
        <v>3</v>
      </c>
      <c r="BV294" s="2">
        <f t="shared" si="21"/>
        <v>146</v>
      </c>
      <c r="BW294" s="16">
        <f t="shared" si="19"/>
        <v>7.6842105263157894</v>
      </c>
      <c r="BX294" s="16">
        <f>COUNTIF($BC$6:BU294, "=0") / COUNTIF($BC$6:BU294, "&gt;-1")</f>
        <v>7.1935895101074482E-2</v>
      </c>
      <c r="BY294" s="18">
        <f>SUM($BC$6:BU294) / $BY$4</f>
        <v>0.75646444924946266</v>
      </c>
      <c r="BZ294" s="14">
        <f t="shared" si="20"/>
        <v>1</v>
      </c>
      <c r="CA294" t="s">
        <v>5831</v>
      </c>
      <c r="CB294" s="36">
        <v>14.5397207500168</v>
      </c>
      <c r="CC294" s="36">
        <v>9.6306412067744702</v>
      </c>
      <c r="CD294" s="36">
        <v>24.0119649271839</v>
      </c>
      <c r="CE294" s="36">
        <v>31.750356942217799</v>
      </c>
      <c r="CF294" s="36">
        <v>18.9238799186116</v>
      </c>
      <c r="CG294" s="36">
        <v>16.735090439510799</v>
      </c>
      <c r="CH294" s="36">
        <v>12.6487473943757</v>
      </c>
      <c r="CI294" s="36">
        <v>7.78546878385845</v>
      </c>
      <c r="CJ294" s="37">
        <v>1.5895165864899099</v>
      </c>
      <c r="CK294" s="37">
        <v>3.1532482344414299</v>
      </c>
      <c r="CL294" s="37">
        <v>4.0002717413367099</v>
      </c>
      <c r="CM294" s="37">
        <v>0.84654704659994096</v>
      </c>
      <c r="CN294" s="37">
        <v>3.6751702632604601</v>
      </c>
      <c r="CO294" s="37">
        <v>2.36757171115537</v>
      </c>
      <c r="CP294" s="37">
        <v>4.5256201435872701</v>
      </c>
      <c r="CQ294" s="37">
        <v>4.5679105394238499</v>
      </c>
      <c r="CR294" s="45">
        <v>-2.4483359716750499</v>
      </c>
      <c r="CS294" s="45">
        <v>-5.5013613642967396</v>
      </c>
      <c r="CT294" s="46">
        <v>1.32392395249699E-8</v>
      </c>
      <c r="CU294" s="47">
        <v>1.2301460058617801E-7</v>
      </c>
      <c r="CV294" s="48">
        <v>17.0032337953187</v>
      </c>
      <c r="CW294" s="49">
        <v>3.0907320332868702</v>
      </c>
      <c r="CX294" s="31" t="s">
        <v>5875</v>
      </c>
      <c r="CY294" s="31" t="s">
        <v>5876</v>
      </c>
      <c r="CZ294" t="s">
        <v>7021</v>
      </c>
      <c r="DA294" t="s">
        <v>5904</v>
      </c>
      <c r="DB294">
        <v>423.7</v>
      </c>
      <c r="DC294" t="s">
        <v>17407</v>
      </c>
      <c r="DD294" t="s">
        <v>17408</v>
      </c>
      <c r="DE294" t="s">
        <v>17409</v>
      </c>
      <c r="DF294" t="s">
        <v>17410</v>
      </c>
      <c r="DG294" t="s">
        <v>17411</v>
      </c>
      <c r="DH294" t="str">
        <f>"PIK3IP1"</f>
        <v>PIK3IP1</v>
      </c>
      <c r="DI294" t="s">
        <v>17412</v>
      </c>
      <c r="DJ294" t="s">
        <v>13777</v>
      </c>
      <c r="DK294">
        <v>9606</v>
      </c>
      <c r="DL294" s="34" t="str">
        <f>HYPERLINK("http://www.uniprot.org/uniprot/Q96FE7", "Q96FE7")</f>
        <v>Q96FE7</v>
      </c>
      <c r="DM294" t="s">
        <v>17413</v>
      </c>
      <c r="DN294" t="s">
        <v>13772</v>
      </c>
      <c r="DO294" t="s">
        <v>13792</v>
      </c>
      <c r="DP294" t="s">
        <v>13780</v>
      </c>
      <c r="DQ294" t="s">
        <v>13772</v>
      </c>
      <c r="DR294" t="s">
        <v>13772</v>
      </c>
      <c r="DS294" t="s">
        <v>17414</v>
      </c>
      <c r="DT294" t="s">
        <v>13772</v>
      </c>
      <c r="DU294" t="s">
        <v>13772</v>
      </c>
      <c r="DV294" t="s">
        <v>13796</v>
      </c>
      <c r="DW294" t="s">
        <v>13772</v>
      </c>
      <c r="DX294" t="s">
        <v>17415</v>
      </c>
      <c r="DY294" t="s">
        <v>13798</v>
      </c>
      <c r="DZ294" t="s">
        <v>17416</v>
      </c>
      <c r="EA294" t="s">
        <v>13772</v>
      </c>
      <c r="EB294" t="s">
        <v>13772</v>
      </c>
    </row>
    <row r="295" spans="1:132" hidden="1">
      <c r="A295">
        <v>1284</v>
      </c>
      <c r="B295">
        <v>1</v>
      </c>
      <c r="C295" t="s">
        <v>3081</v>
      </c>
      <c r="D295" t="s">
        <v>73</v>
      </c>
      <c r="E295" t="s">
        <v>73</v>
      </c>
      <c r="F295" t="s">
        <v>73</v>
      </c>
      <c r="G295" t="s">
        <v>73</v>
      </c>
      <c r="H295">
        <v>47.5</v>
      </c>
      <c r="I295">
        <v>606</v>
      </c>
      <c r="J295">
        <v>66173</v>
      </c>
      <c r="K295" t="s">
        <v>3082</v>
      </c>
      <c r="L295">
        <f t="shared" si="18"/>
        <v>145</v>
      </c>
      <c r="N295">
        <v>145</v>
      </c>
      <c r="O295">
        <v>145</v>
      </c>
      <c r="P295">
        <v>1</v>
      </c>
      <c r="Q295">
        <v>3</v>
      </c>
      <c r="R295">
        <v>10</v>
      </c>
      <c r="S295">
        <v>0</v>
      </c>
      <c r="T295">
        <v>2</v>
      </c>
      <c r="U295">
        <v>12</v>
      </c>
      <c r="V295">
        <v>10</v>
      </c>
      <c r="W295">
        <v>4</v>
      </c>
      <c r="X295">
        <v>23</v>
      </c>
      <c r="Y295">
        <v>20</v>
      </c>
      <c r="Z295">
        <v>0</v>
      </c>
      <c r="AA295">
        <v>23</v>
      </c>
      <c r="AB295">
        <v>13</v>
      </c>
      <c r="AC295">
        <v>12</v>
      </c>
      <c r="AD295">
        <v>0</v>
      </c>
      <c r="AE295">
        <v>7</v>
      </c>
      <c r="AF295">
        <v>1</v>
      </c>
      <c r="AG295">
        <v>5</v>
      </c>
      <c r="AH295">
        <v>0</v>
      </c>
      <c r="AI295">
        <v>0</v>
      </c>
      <c r="AJ295">
        <v>3</v>
      </c>
      <c r="AK295">
        <v>10</v>
      </c>
      <c r="AL295">
        <v>0</v>
      </c>
      <c r="AM295">
        <v>2</v>
      </c>
      <c r="AN295">
        <v>12</v>
      </c>
      <c r="AO295">
        <v>10</v>
      </c>
      <c r="AP295">
        <v>4</v>
      </c>
      <c r="AQ295">
        <v>23</v>
      </c>
      <c r="AR295">
        <v>20</v>
      </c>
      <c r="AS295">
        <v>0</v>
      </c>
      <c r="AT295">
        <v>23</v>
      </c>
      <c r="AU295">
        <v>13</v>
      </c>
      <c r="AV295">
        <v>12</v>
      </c>
      <c r="AW295">
        <v>0</v>
      </c>
      <c r="AX295">
        <v>7</v>
      </c>
      <c r="AY295">
        <v>1</v>
      </c>
      <c r="AZ295">
        <v>5</v>
      </c>
      <c r="BA295">
        <v>0</v>
      </c>
      <c r="BB295">
        <v>0</v>
      </c>
      <c r="BC295" s="2">
        <v>3</v>
      </c>
      <c r="BD295" s="2">
        <v>10</v>
      </c>
      <c r="BE295" s="2">
        <v>0</v>
      </c>
      <c r="BF295" s="2">
        <v>2</v>
      </c>
      <c r="BG295" s="2">
        <v>12</v>
      </c>
      <c r="BH295" s="2">
        <v>10</v>
      </c>
      <c r="BI295" s="2">
        <v>4</v>
      </c>
      <c r="BJ295" s="2">
        <v>23</v>
      </c>
      <c r="BK295" s="2">
        <v>20</v>
      </c>
      <c r="BL295" s="2">
        <v>0</v>
      </c>
      <c r="BM295" s="2">
        <v>23</v>
      </c>
      <c r="BN295" s="2">
        <v>13</v>
      </c>
      <c r="BO295" s="2">
        <v>12</v>
      </c>
      <c r="BP295" s="2">
        <v>0</v>
      </c>
      <c r="BQ295" s="2">
        <v>7</v>
      </c>
      <c r="BR295" s="2">
        <v>1</v>
      </c>
      <c r="BS295" s="2">
        <v>5</v>
      </c>
      <c r="BT295" s="2">
        <v>0</v>
      </c>
      <c r="BU295" s="2">
        <v>0</v>
      </c>
      <c r="BV295" s="2">
        <f t="shared" si="21"/>
        <v>145</v>
      </c>
      <c r="BW295" s="16">
        <f t="shared" si="19"/>
        <v>7.6315789473684212</v>
      </c>
      <c r="BX295" s="16">
        <f>COUNTIF($BC$6:BU295, "=0") / COUNTIF($BC$6:BU295, "&gt;-1")</f>
        <v>7.2595281306715068E-2</v>
      </c>
      <c r="BY295" s="18">
        <f>SUM($BC$6:BU295) / $BY$4</f>
        <v>0.75708557659542419</v>
      </c>
      <c r="BZ295" s="14">
        <f t="shared" si="20"/>
        <v>5</v>
      </c>
      <c r="CA295" t="s">
        <v>5831</v>
      </c>
      <c r="CB295" s="36">
        <v>3.6349301875041902</v>
      </c>
      <c r="CC295" s="36">
        <v>9.6306412067744702</v>
      </c>
      <c r="CD295" s="36">
        <v>0.40019941545306398</v>
      </c>
      <c r="CE295" s="36">
        <v>3.0238435183064598</v>
      </c>
      <c r="CF295" s="36">
        <v>10.322116319242699</v>
      </c>
      <c r="CG295" s="36">
        <v>9.2972724663949098</v>
      </c>
      <c r="CH295" s="36">
        <v>4.21624913145856</v>
      </c>
      <c r="CI295" s="36">
        <v>22.383222753593</v>
      </c>
      <c r="CJ295" s="37">
        <v>15.8951658648991</v>
      </c>
      <c r="CK295" s="37">
        <v>14.5049418784306</v>
      </c>
      <c r="CL295" s="37">
        <v>10.400706527475499</v>
      </c>
      <c r="CM295" s="37">
        <v>10.1585645591993</v>
      </c>
      <c r="CN295" s="37">
        <v>6.4315479607058004</v>
      </c>
      <c r="CO295" s="37">
        <v>0.78919057038512497</v>
      </c>
      <c r="CP295" s="37">
        <v>7.5427002393121096</v>
      </c>
      <c r="CQ295" s="37">
        <v>0.38065921161865401</v>
      </c>
      <c r="CR295" s="45">
        <v>6.2276217357136801E-2</v>
      </c>
      <c r="CS295" s="45">
        <v>1.0507880983184399</v>
      </c>
      <c r="CT295" s="46">
        <v>0.907550621026879</v>
      </c>
      <c r="CU295" s="47">
        <v>0.93986279484053004</v>
      </c>
      <c r="CV295" s="48">
        <v>7.8635593748409196</v>
      </c>
      <c r="CW295" s="49">
        <v>8.2629346015032699</v>
      </c>
      <c r="CX295" s="31" t="s">
        <v>5874</v>
      </c>
      <c r="CY295" s="31" t="s">
        <v>5832</v>
      </c>
      <c r="CZ295" t="s">
        <v>10017</v>
      </c>
      <c r="DA295" t="s">
        <v>5904</v>
      </c>
      <c r="DB295">
        <v>1223.8</v>
      </c>
      <c r="DC295" t="s">
        <v>26186</v>
      </c>
      <c r="DD295" t="s">
        <v>26187</v>
      </c>
      <c r="DE295" t="s">
        <v>26188</v>
      </c>
      <c r="DF295" t="s">
        <v>26189</v>
      </c>
      <c r="DG295" t="s">
        <v>26190</v>
      </c>
      <c r="DH295" t="str">
        <f>"WDR1"</f>
        <v>WDR1</v>
      </c>
      <c r="DI295" t="s">
        <v>13772</v>
      </c>
      <c r="DJ295" t="s">
        <v>13777</v>
      </c>
      <c r="DK295">
        <v>9606</v>
      </c>
      <c r="DL295" s="34" t="str">
        <f>HYPERLINK("http://www.uniprot.org/uniprot/O75083", "O75083")</f>
        <v>O75083</v>
      </c>
      <c r="DM295" t="s">
        <v>26191</v>
      </c>
      <c r="DN295" t="s">
        <v>13772</v>
      </c>
      <c r="DO295" t="s">
        <v>26192</v>
      </c>
      <c r="DP295" t="s">
        <v>13780</v>
      </c>
      <c r="DQ295" t="s">
        <v>13772</v>
      </c>
      <c r="DR295" t="s">
        <v>13772</v>
      </c>
      <c r="DS295" t="s">
        <v>23494</v>
      </c>
      <c r="DT295" t="s">
        <v>13772</v>
      </c>
      <c r="DU295" t="s">
        <v>13990</v>
      </c>
      <c r="DV295" t="s">
        <v>13886</v>
      </c>
      <c r="DW295" t="s">
        <v>13772</v>
      </c>
      <c r="DX295" t="s">
        <v>26193</v>
      </c>
      <c r="DY295" t="s">
        <v>26194</v>
      </c>
      <c r="DZ295" t="s">
        <v>15847</v>
      </c>
      <c r="EA295" t="s">
        <v>13772</v>
      </c>
      <c r="EB295" t="s">
        <v>15665</v>
      </c>
    </row>
    <row r="296" spans="1:132" hidden="1">
      <c r="A296">
        <v>553</v>
      </c>
      <c r="B296">
        <v>1</v>
      </c>
      <c r="C296" t="s">
        <v>1380</v>
      </c>
      <c r="D296" t="s">
        <v>73</v>
      </c>
      <c r="E296" t="s">
        <v>73</v>
      </c>
      <c r="F296" t="s">
        <v>73</v>
      </c>
      <c r="G296" t="s">
        <v>73</v>
      </c>
      <c r="H296">
        <v>37.9</v>
      </c>
      <c r="I296">
        <v>319</v>
      </c>
      <c r="J296">
        <v>33405</v>
      </c>
      <c r="K296" t="s">
        <v>1381</v>
      </c>
      <c r="L296">
        <f t="shared" si="18"/>
        <v>144</v>
      </c>
      <c r="N296">
        <v>144</v>
      </c>
      <c r="O296">
        <v>144</v>
      </c>
      <c r="P296">
        <v>1</v>
      </c>
      <c r="Q296">
        <v>6</v>
      </c>
      <c r="R296">
        <v>8</v>
      </c>
      <c r="S296">
        <v>2</v>
      </c>
      <c r="T296">
        <v>1</v>
      </c>
      <c r="U296">
        <v>7</v>
      </c>
      <c r="V296">
        <v>8</v>
      </c>
      <c r="W296">
        <v>5</v>
      </c>
      <c r="X296">
        <v>10</v>
      </c>
      <c r="Y296">
        <v>23</v>
      </c>
      <c r="Z296">
        <v>2</v>
      </c>
      <c r="AA296">
        <v>21</v>
      </c>
      <c r="AB296">
        <v>11</v>
      </c>
      <c r="AC296">
        <v>9</v>
      </c>
      <c r="AD296">
        <v>2</v>
      </c>
      <c r="AE296">
        <v>12</v>
      </c>
      <c r="AF296">
        <v>10</v>
      </c>
      <c r="AG296">
        <v>2</v>
      </c>
      <c r="AH296">
        <v>0</v>
      </c>
      <c r="AI296">
        <v>5</v>
      </c>
      <c r="AJ296">
        <v>6</v>
      </c>
      <c r="AK296">
        <v>8</v>
      </c>
      <c r="AL296">
        <v>2</v>
      </c>
      <c r="AM296">
        <v>1</v>
      </c>
      <c r="AN296">
        <v>7</v>
      </c>
      <c r="AO296">
        <v>8</v>
      </c>
      <c r="AP296">
        <v>5</v>
      </c>
      <c r="AQ296">
        <v>10</v>
      </c>
      <c r="AR296">
        <v>23</v>
      </c>
      <c r="AS296">
        <v>2</v>
      </c>
      <c r="AT296">
        <v>21</v>
      </c>
      <c r="AU296">
        <v>11</v>
      </c>
      <c r="AV296">
        <v>9</v>
      </c>
      <c r="AW296">
        <v>2</v>
      </c>
      <c r="AX296">
        <v>12</v>
      </c>
      <c r="AY296">
        <v>10</v>
      </c>
      <c r="AZ296">
        <v>2</v>
      </c>
      <c r="BA296">
        <v>0</v>
      </c>
      <c r="BB296">
        <v>5</v>
      </c>
      <c r="BC296" s="2">
        <v>6</v>
      </c>
      <c r="BD296" s="2">
        <v>8</v>
      </c>
      <c r="BE296" s="2">
        <v>2</v>
      </c>
      <c r="BF296" s="2">
        <v>1</v>
      </c>
      <c r="BG296" s="2">
        <v>7</v>
      </c>
      <c r="BH296" s="2">
        <v>8</v>
      </c>
      <c r="BI296" s="2">
        <v>5</v>
      </c>
      <c r="BJ296" s="2">
        <v>10</v>
      </c>
      <c r="BK296" s="2">
        <v>23</v>
      </c>
      <c r="BL296" s="2">
        <v>2</v>
      </c>
      <c r="BM296" s="2">
        <v>21</v>
      </c>
      <c r="BN296" s="2">
        <v>11</v>
      </c>
      <c r="BO296" s="2">
        <v>9</v>
      </c>
      <c r="BP296" s="2">
        <v>2</v>
      </c>
      <c r="BQ296" s="2">
        <v>12</v>
      </c>
      <c r="BR296" s="2">
        <v>10</v>
      </c>
      <c r="BS296" s="2">
        <v>2</v>
      </c>
      <c r="BT296" s="2">
        <v>0</v>
      </c>
      <c r="BU296" s="2">
        <v>5</v>
      </c>
      <c r="BV296" s="2">
        <f t="shared" si="21"/>
        <v>144</v>
      </c>
      <c r="BW296" s="16">
        <f t="shared" si="19"/>
        <v>7.5789473684210522</v>
      </c>
      <c r="BX296" s="16">
        <f>COUNTIF($BC$6:BU296, "=0") / COUNTIF($BC$6:BU296, "&gt;-1")</f>
        <v>7.2526677518538613E-2</v>
      </c>
      <c r="BY296" s="18">
        <f>SUM($BC$6:BU296) / $BY$4</f>
        <v>0.75770242030451707</v>
      </c>
      <c r="BZ296" s="14">
        <f t="shared" si="20"/>
        <v>1</v>
      </c>
      <c r="CA296" t="s">
        <v>5831</v>
      </c>
      <c r="CB296" s="36">
        <v>7.2698603750083803</v>
      </c>
      <c r="CC296" s="36">
        <v>7.7045129654195703</v>
      </c>
      <c r="CD296" s="36">
        <v>3.2015953236245198</v>
      </c>
      <c r="CE296" s="36">
        <v>1.5119217591532299</v>
      </c>
      <c r="CF296" s="36">
        <v>6.0212345195582504</v>
      </c>
      <c r="CG296" s="36">
        <v>7.43781797311593</v>
      </c>
      <c r="CH296" s="36">
        <v>5.2703114143232002</v>
      </c>
      <c r="CI296" s="36">
        <v>9.7318359798230603</v>
      </c>
      <c r="CJ296" s="37">
        <v>18.279440744634002</v>
      </c>
      <c r="CK296" s="37">
        <v>13.243642584653999</v>
      </c>
      <c r="CL296" s="37">
        <v>8.8005978309407702</v>
      </c>
      <c r="CM296" s="37">
        <v>7.6189234193994704</v>
      </c>
      <c r="CN296" s="37">
        <v>11.0255107897814</v>
      </c>
      <c r="CO296" s="37">
        <v>7.8919057038512497</v>
      </c>
      <c r="CP296" s="37">
        <v>3.0170800957248498</v>
      </c>
      <c r="CQ296" s="37">
        <v>7.6131842323730803</v>
      </c>
      <c r="CR296" s="45">
        <v>0.67036238733346398</v>
      </c>
      <c r="CS296" s="45">
        <v>1.6093821275211699</v>
      </c>
      <c r="CT296" s="46">
        <v>7.8445807345675606E-2</v>
      </c>
      <c r="CU296" s="47">
        <v>0.115088256829511</v>
      </c>
      <c r="CV296" s="48">
        <v>6.0186362887532701</v>
      </c>
      <c r="CW296" s="49">
        <v>9.6862856751698505</v>
      </c>
      <c r="CX296" s="31" t="s">
        <v>5874</v>
      </c>
      <c r="CY296" s="31" t="s">
        <v>5832</v>
      </c>
      <c r="CZ296" t="s">
        <v>7611</v>
      </c>
      <c r="DA296" t="s">
        <v>5904</v>
      </c>
      <c r="DB296">
        <v>318.5</v>
      </c>
      <c r="DC296" t="s">
        <v>19219</v>
      </c>
      <c r="DD296" t="s">
        <v>19220</v>
      </c>
      <c r="DE296" t="s">
        <v>19221</v>
      </c>
      <c r="DF296" t="s">
        <v>19222</v>
      </c>
      <c r="DG296" t="s">
        <v>19223</v>
      </c>
      <c r="DH296" t="str">
        <f>"PRDX5"</f>
        <v>PRDX5</v>
      </c>
      <c r="DI296" t="s">
        <v>19224</v>
      </c>
      <c r="DJ296" t="s">
        <v>13777</v>
      </c>
      <c r="DK296">
        <v>9606</v>
      </c>
      <c r="DL296" s="34" t="str">
        <f>HYPERLINK("http://www.uniprot.org/uniprot/P30044", "P30044")</f>
        <v>P30044</v>
      </c>
      <c r="DM296" t="s">
        <v>19225</v>
      </c>
      <c r="DN296" t="s">
        <v>13772</v>
      </c>
      <c r="DO296" t="s">
        <v>19226</v>
      </c>
      <c r="DP296" t="s">
        <v>19227</v>
      </c>
      <c r="DQ296" t="s">
        <v>13772</v>
      </c>
      <c r="DR296" t="s">
        <v>13772</v>
      </c>
      <c r="DS296" t="s">
        <v>17158</v>
      </c>
      <c r="DT296" t="s">
        <v>13772</v>
      </c>
      <c r="DU296" t="s">
        <v>18755</v>
      </c>
      <c r="DV296" t="s">
        <v>15256</v>
      </c>
      <c r="DW296" t="s">
        <v>13812</v>
      </c>
      <c r="DX296" t="s">
        <v>19228</v>
      </c>
      <c r="DY296" t="s">
        <v>19229</v>
      </c>
      <c r="DZ296" t="s">
        <v>19230</v>
      </c>
      <c r="EA296" t="s">
        <v>13772</v>
      </c>
      <c r="EB296" t="s">
        <v>19231</v>
      </c>
    </row>
    <row r="297" spans="1:132" hidden="1">
      <c r="A297">
        <v>1175</v>
      </c>
      <c r="B297">
        <v>1</v>
      </c>
      <c r="C297" t="s">
        <v>2820</v>
      </c>
      <c r="D297" t="s">
        <v>2821</v>
      </c>
      <c r="E297" t="s">
        <v>73</v>
      </c>
      <c r="F297" t="s">
        <v>73</v>
      </c>
      <c r="G297" t="s">
        <v>73</v>
      </c>
      <c r="H297">
        <v>65.900000000000006</v>
      </c>
      <c r="I297">
        <v>208</v>
      </c>
      <c r="J297">
        <v>23836</v>
      </c>
      <c r="K297" t="s">
        <v>2822</v>
      </c>
      <c r="L297">
        <f t="shared" si="18"/>
        <v>144</v>
      </c>
      <c r="N297">
        <v>144</v>
      </c>
      <c r="O297">
        <v>144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</v>
      </c>
      <c r="Y297">
        <v>23</v>
      </c>
      <c r="Z297">
        <v>4</v>
      </c>
      <c r="AA297">
        <v>26</v>
      </c>
      <c r="AB297">
        <v>12</v>
      </c>
      <c r="AC297">
        <v>19</v>
      </c>
      <c r="AD297">
        <v>3</v>
      </c>
      <c r="AE297">
        <v>19</v>
      </c>
      <c r="AF297">
        <v>29</v>
      </c>
      <c r="AG297">
        <v>2</v>
      </c>
      <c r="AH297">
        <v>0</v>
      </c>
      <c r="AI297">
        <v>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</v>
      </c>
      <c r="AR297">
        <v>23</v>
      </c>
      <c r="AS297">
        <v>4</v>
      </c>
      <c r="AT297">
        <v>26</v>
      </c>
      <c r="AU297">
        <v>12</v>
      </c>
      <c r="AV297">
        <v>19</v>
      </c>
      <c r="AW297">
        <v>3</v>
      </c>
      <c r="AX297">
        <v>19</v>
      </c>
      <c r="AY297">
        <v>29</v>
      </c>
      <c r="AZ297">
        <v>2</v>
      </c>
      <c r="BA297">
        <v>0</v>
      </c>
      <c r="BB297">
        <v>4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3</v>
      </c>
      <c r="BK297" s="2">
        <v>23</v>
      </c>
      <c r="BL297" s="2">
        <v>4</v>
      </c>
      <c r="BM297" s="2">
        <v>26</v>
      </c>
      <c r="BN297" s="2">
        <v>12</v>
      </c>
      <c r="BO297" s="2">
        <v>19</v>
      </c>
      <c r="BP297" s="2">
        <v>3</v>
      </c>
      <c r="BQ297" s="2">
        <v>19</v>
      </c>
      <c r="BR297" s="2">
        <v>29</v>
      </c>
      <c r="BS297" s="2">
        <v>2</v>
      </c>
      <c r="BT297" s="2">
        <v>0</v>
      </c>
      <c r="BU297" s="2">
        <v>4</v>
      </c>
      <c r="BV297" s="2">
        <f t="shared" si="21"/>
        <v>144</v>
      </c>
      <c r="BW297" s="16">
        <f t="shared" si="19"/>
        <v>7.5789473684210522</v>
      </c>
      <c r="BX297" s="16">
        <f>COUNTIF($BC$6:BU297, "=0") / COUNTIF($BC$6:BU297, "&gt;-1")</f>
        <v>7.3720259552992065E-2</v>
      </c>
      <c r="BY297" s="18">
        <f>SUM($BC$6:BU297) / $BY$4</f>
        <v>0.75831926401360994</v>
      </c>
      <c r="BZ297" s="14">
        <f t="shared" si="20"/>
        <v>8</v>
      </c>
      <c r="CA297" t="s">
        <v>5831</v>
      </c>
      <c r="CB297" s="36">
        <v>0.30291084895868198</v>
      </c>
      <c r="CC297" s="36">
        <v>0.24076603016936199</v>
      </c>
      <c r="CD297" s="36">
        <v>0.40019941545306398</v>
      </c>
      <c r="CE297" s="36">
        <v>0.37798043978830698</v>
      </c>
      <c r="CF297" s="36">
        <v>0.215044089984223</v>
      </c>
      <c r="CG297" s="36">
        <v>0.23243181165987301</v>
      </c>
      <c r="CH297" s="36">
        <v>0.26351557071616</v>
      </c>
      <c r="CI297" s="36">
        <v>2.9195507939469199</v>
      </c>
      <c r="CJ297" s="37">
        <v>18.279440744634002</v>
      </c>
      <c r="CK297" s="37">
        <v>16.3968908190954</v>
      </c>
      <c r="CL297" s="37">
        <v>9.6006521792081099</v>
      </c>
      <c r="CM297" s="37">
        <v>16.084393885398899</v>
      </c>
      <c r="CN297" s="37">
        <v>17.457058750487199</v>
      </c>
      <c r="CO297" s="37">
        <v>22.8865265411686</v>
      </c>
      <c r="CP297" s="37">
        <v>3.0170800957248498</v>
      </c>
      <c r="CQ297" s="37">
        <v>6.0905473858984696</v>
      </c>
      <c r="CR297" s="45">
        <v>4.2128405472655803</v>
      </c>
      <c r="CS297" s="45">
        <v>22.1736153299872</v>
      </c>
      <c r="CT297" s="46">
        <v>5.53021748941033E-12</v>
      </c>
      <c r="CU297" s="47">
        <v>1.27576396566052E-10</v>
      </c>
      <c r="CV297" s="48">
        <v>0.61904987508457399</v>
      </c>
      <c r="CW297" s="49">
        <v>13.7265738002019</v>
      </c>
      <c r="CX297" s="31" t="s">
        <v>5874</v>
      </c>
      <c r="CY297" s="31" t="s">
        <v>5876</v>
      </c>
      <c r="CZ297" t="s">
        <v>9642</v>
      </c>
      <c r="DA297" t="s">
        <v>5904</v>
      </c>
      <c r="DB297">
        <v>367.1</v>
      </c>
      <c r="DC297" t="s">
        <v>25117</v>
      </c>
      <c r="DD297" t="s">
        <v>25118</v>
      </c>
      <c r="DE297" t="s">
        <v>25119</v>
      </c>
      <c r="DF297" t="s">
        <v>25120</v>
      </c>
      <c r="DG297" t="s">
        <v>25121</v>
      </c>
      <c r="DH297" t="str">
        <f>"ARHGDIB"</f>
        <v>ARHGDIB</v>
      </c>
      <c r="DI297" t="s">
        <v>25122</v>
      </c>
      <c r="DJ297" t="s">
        <v>13777</v>
      </c>
      <c r="DK297">
        <v>9606</v>
      </c>
      <c r="DL297" s="34" t="str">
        <f>HYPERLINK("http://www.uniprot.org/uniprot/P52566", "P52566")</f>
        <v>P52566</v>
      </c>
      <c r="DM297" t="s">
        <v>25123</v>
      </c>
      <c r="DN297" t="s">
        <v>13772</v>
      </c>
      <c r="DO297" t="s">
        <v>13899</v>
      </c>
      <c r="DP297" t="s">
        <v>13772</v>
      </c>
      <c r="DQ297" t="s">
        <v>13772</v>
      </c>
      <c r="DR297" t="s">
        <v>13772</v>
      </c>
      <c r="DS297" t="s">
        <v>13772</v>
      </c>
      <c r="DT297" t="s">
        <v>13772</v>
      </c>
      <c r="DU297" t="s">
        <v>14301</v>
      </c>
      <c r="DV297" t="s">
        <v>13886</v>
      </c>
      <c r="DW297" t="s">
        <v>13812</v>
      </c>
      <c r="DX297" t="s">
        <v>25124</v>
      </c>
      <c r="DY297" t="s">
        <v>25125</v>
      </c>
      <c r="DZ297" t="s">
        <v>25126</v>
      </c>
      <c r="EA297" t="s">
        <v>13772</v>
      </c>
      <c r="EB297" t="s">
        <v>25127</v>
      </c>
    </row>
    <row r="298" spans="1:132" hidden="1">
      <c r="A298">
        <v>2106</v>
      </c>
      <c r="B298">
        <v>1</v>
      </c>
      <c r="C298" t="s">
        <v>4944</v>
      </c>
      <c r="D298" t="s">
        <v>73</v>
      </c>
      <c r="E298" t="s">
        <v>73</v>
      </c>
      <c r="F298" t="s">
        <v>4925</v>
      </c>
      <c r="G298" t="s">
        <v>73</v>
      </c>
      <c r="H298">
        <v>52.2</v>
      </c>
      <c r="I298">
        <v>408</v>
      </c>
      <c r="J298">
        <v>44401</v>
      </c>
      <c r="K298" t="s">
        <v>4945</v>
      </c>
      <c r="L298">
        <f t="shared" si="18"/>
        <v>149</v>
      </c>
      <c r="N298">
        <v>149</v>
      </c>
      <c r="O298">
        <v>137</v>
      </c>
      <c r="P298">
        <v>0.91900000000000004</v>
      </c>
      <c r="Q298">
        <v>5</v>
      </c>
      <c r="R298">
        <v>13</v>
      </c>
      <c r="S298">
        <v>16</v>
      </c>
      <c r="T298">
        <v>14</v>
      </c>
      <c r="U298">
        <v>31</v>
      </c>
      <c r="V298">
        <v>19</v>
      </c>
      <c r="W298">
        <v>16</v>
      </c>
      <c r="X298">
        <v>7</v>
      </c>
      <c r="Y298">
        <v>2</v>
      </c>
      <c r="Z298">
        <v>0</v>
      </c>
      <c r="AA298">
        <v>5</v>
      </c>
      <c r="AB298">
        <v>4</v>
      </c>
      <c r="AC298">
        <v>0</v>
      </c>
      <c r="AD298">
        <v>0</v>
      </c>
      <c r="AE298">
        <v>2</v>
      </c>
      <c r="AF298">
        <v>11</v>
      </c>
      <c r="AG298">
        <v>1</v>
      </c>
      <c r="AH298">
        <v>2</v>
      </c>
      <c r="AI298">
        <v>1</v>
      </c>
      <c r="AJ298">
        <v>5</v>
      </c>
      <c r="AK298">
        <v>12</v>
      </c>
      <c r="AL298">
        <v>15</v>
      </c>
      <c r="AM298">
        <v>11</v>
      </c>
      <c r="AN298">
        <v>28</v>
      </c>
      <c r="AO298">
        <v>17</v>
      </c>
      <c r="AP298">
        <v>14</v>
      </c>
      <c r="AQ298">
        <v>7</v>
      </c>
      <c r="AR298">
        <v>2</v>
      </c>
      <c r="AS298">
        <v>0</v>
      </c>
      <c r="AT298">
        <v>5</v>
      </c>
      <c r="AU298">
        <v>4</v>
      </c>
      <c r="AV298">
        <v>0</v>
      </c>
      <c r="AW298">
        <v>0</v>
      </c>
      <c r="AX298">
        <v>2</v>
      </c>
      <c r="AY298">
        <v>11</v>
      </c>
      <c r="AZ298">
        <v>1</v>
      </c>
      <c r="BA298">
        <v>2</v>
      </c>
      <c r="BB298">
        <v>1</v>
      </c>
      <c r="BC298" s="2">
        <v>5</v>
      </c>
      <c r="BD298" s="2">
        <v>12.545</v>
      </c>
      <c r="BE298" s="2">
        <v>15.5</v>
      </c>
      <c r="BF298" s="2">
        <v>12.435</v>
      </c>
      <c r="BG298" s="2">
        <v>30.1</v>
      </c>
      <c r="BH298" s="2">
        <v>18.097000000000001</v>
      </c>
      <c r="BI298" s="2">
        <v>15.077</v>
      </c>
      <c r="BJ298" s="2">
        <v>7</v>
      </c>
      <c r="BK298" s="2">
        <v>2</v>
      </c>
      <c r="BL298" s="2">
        <v>0</v>
      </c>
      <c r="BM298" s="2">
        <v>5</v>
      </c>
      <c r="BN298" s="2">
        <v>4</v>
      </c>
      <c r="BO298" s="2">
        <v>0</v>
      </c>
      <c r="BP298" s="2">
        <v>0</v>
      </c>
      <c r="BQ298" s="2">
        <v>2</v>
      </c>
      <c r="BR298" s="2">
        <v>11</v>
      </c>
      <c r="BS298" s="2">
        <v>1</v>
      </c>
      <c r="BT298" s="2">
        <v>2</v>
      </c>
      <c r="BU298" s="2">
        <v>1</v>
      </c>
      <c r="BV298" s="2">
        <f t="shared" si="21"/>
        <v>143.75400000000002</v>
      </c>
      <c r="BW298" s="16">
        <f t="shared" si="19"/>
        <v>7.5660000000000007</v>
      </c>
      <c r="BX298" s="16">
        <f>COUNTIF($BC$6:BU298, "=0") / COUNTIF($BC$6:BU298, "&gt;-1")</f>
        <v>7.4007544458415661E-2</v>
      </c>
      <c r="BY298" s="18">
        <f>SUM($BC$6:BU298) / $BY$4</f>
        <v>0.75893505394803318</v>
      </c>
      <c r="BZ298" s="14">
        <f t="shared" si="20"/>
        <v>3</v>
      </c>
      <c r="CA298" t="s">
        <v>5831</v>
      </c>
      <c r="CB298" s="36">
        <v>6.0582169791736504</v>
      </c>
      <c r="CC298" s="36">
        <v>12.0383015084681</v>
      </c>
      <c r="CD298" s="36">
        <v>24.812363758090001</v>
      </c>
      <c r="CE298" s="36">
        <v>18.747829813500001</v>
      </c>
      <c r="CF298" s="36">
        <v>25.891308434100502</v>
      </c>
      <c r="CG298" s="36">
        <v>16.8280631641748</v>
      </c>
      <c r="CH298" s="36">
        <v>15.916340471256101</v>
      </c>
      <c r="CI298" s="36">
        <v>6.8122851858761404</v>
      </c>
      <c r="CJ298" s="37">
        <v>1.5895165864899099</v>
      </c>
      <c r="CK298" s="37">
        <v>3.1532482344414299</v>
      </c>
      <c r="CL298" s="37">
        <v>3.2002173930693698</v>
      </c>
      <c r="CM298" s="37">
        <v>0.21163676164998499</v>
      </c>
      <c r="CN298" s="37">
        <v>1.8375851316302301</v>
      </c>
      <c r="CO298" s="37">
        <v>8.6810962742363706</v>
      </c>
      <c r="CP298" s="37">
        <v>1.50854004786242</v>
      </c>
      <c r="CQ298" s="37">
        <v>1.5226368464746201</v>
      </c>
      <c r="CR298" s="45">
        <v>-2.4253783096541102</v>
      </c>
      <c r="CS298" s="45">
        <v>-5.8561515994692899</v>
      </c>
      <c r="CT298" s="46">
        <v>2.9592597513497299E-7</v>
      </c>
      <c r="CU298" s="47">
        <v>1.66365107029661E-6</v>
      </c>
      <c r="CV298" s="48">
        <v>15.888088664329899</v>
      </c>
      <c r="CW298" s="49">
        <v>2.71305965948179</v>
      </c>
      <c r="CX298" s="31" t="s">
        <v>5875</v>
      </c>
      <c r="CY298" s="31" t="s">
        <v>5876</v>
      </c>
      <c r="CZ298" t="s">
        <v>12770</v>
      </c>
      <c r="DA298" t="s">
        <v>5904</v>
      </c>
      <c r="DB298">
        <v>423.3</v>
      </c>
      <c r="DC298" t="s">
        <v>33937</v>
      </c>
      <c r="DD298" t="s">
        <v>33938</v>
      </c>
      <c r="DE298" t="s">
        <v>33939</v>
      </c>
      <c r="DF298" t="s">
        <v>33940</v>
      </c>
      <c r="DG298" t="s">
        <v>33941</v>
      </c>
      <c r="DH298" t="str">
        <f>"PVR"</f>
        <v>PVR</v>
      </c>
      <c r="DI298" t="s">
        <v>33942</v>
      </c>
      <c r="DJ298" t="s">
        <v>13777</v>
      </c>
      <c r="DK298">
        <v>9606</v>
      </c>
      <c r="DL298" s="34" t="str">
        <f>HYPERLINK("http://www.uniprot.org/uniprot/P15151", "P15151")</f>
        <v>P15151</v>
      </c>
      <c r="DM298" t="s">
        <v>33943</v>
      </c>
      <c r="DN298" t="s">
        <v>16592</v>
      </c>
      <c r="DO298" t="s">
        <v>14336</v>
      </c>
      <c r="DP298" t="s">
        <v>13780</v>
      </c>
      <c r="DQ298" t="s">
        <v>13772</v>
      </c>
      <c r="DR298" t="s">
        <v>13772</v>
      </c>
      <c r="DS298" t="s">
        <v>13951</v>
      </c>
      <c r="DT298" t="s">
        <v>13772</v>
      </c>
      <c r="DU298" t="s">
        <v>18791</v>
      </c>
      <c r="DV298" t="s">
        <v>13964</v>
      </c>
      <c r="DW298" t="s">
        <v>13812</v>
      </c>
      <c r="DX298" t="s">
        <v>33944</v>
      </c>
      <c r="DY298" t="s">
        <v>33945</v>
      </c>
      <c r="DZ298" t="s">
        <v>33946</v>
      </c>
      <c r="EA298" t="s">
        <v>13772</v>
      </c>
      <c r="EB298" t="s">
        <v>33947</v>
      </c>
    </row>
    <row r="299" spans="1:132" hidden="1">
      <c r="A299">
        <v>1902</v>
      </c>
      <c r="B299">
        <v>1</v>
      </c>
      <c r="C299" t="s">
        <v>4485</v>
      </c>
      <c r="D299" t="s">
        <v>73</v>
      </c>
      <c r="E299" t="s">
        <v>73</v>
      </c>
      <c r="F299" t="s">
        <v>73</v>
      </c>
      <c r="G299" t="s">
        <v>73</v>
      </c>
      <c r="H299">
        <v>43.8</v>
      </c>
      <c r="I299">
        <v>313</v>
      </c>
      <c r="J299">
        <v>35177</v>
      </c>
      <c r="K299" t="s">
        <v>4486</v>
      </c>
      <c r="L299">
        <f t="shared" si="18"/>
        <v>143</v>
      </c>
      <c r="N299">
        <v>143</v>
      </c>
      <c r="O299">
        <v>143</v>
      </c>
      <c r="P299">
        <v>1</v>
      </c>
      <c r="Q299">
        <v>9</v>
      </c>
      <c r="R299">
        <v>12</v>
      </c>
      <c r="S299">
        <v>10</v>
      </c>
      <c r="T299">
        <v>9</v>
      </c>
      <c r="U299">
        <v>22</v>
      </c>
      <c r="V299">
        <v>17</v>
      </c>
      <c r="W299">
        <v>15</v>
      </c>
      <c r="X299">
        <v>16</v>
      </c>
      <c r="Y299">
        <v>0</v>
      </c>
      <c r="Z299">
        <v>1</v>
      </c>
      <c r="AA299">
        <v>2</v>
      </c>
      <c r="AB299">
        <v>3</v>
      </c>
      <c r="AC299">
        <v>3</v>
      </c>
      <c r="AD299">
        <v>2</v>
      </c>
      <c r="AE299">
        <v>1</v>
      </c>
      <c r="AF299">
        <v>9</v>
      </c>
      <c r="AG299">
        <v>4</v>
      </c>
      <c r="AH299">
        <v>4</v>
      </c>
      <c r="AI299">
        <v>4</v>
      </c>
      <c r="AJ299">
        <v>9</v>
      </c>
      <c r="AK299">
        <v>12</v>
      </c>
      <c r="AL299">
        <v>10</v>
      </c>
      <c r="AM299">
        <v>9</v>
      </c>
      <c r="AN299">
        <v>22</v>
      </c>
      <c r="AO299">
        <v>17</v>
      </c>
      <c r="AP299">
        <v>15</v>
      </c>
      <c r="AQ299">
        <v>16</v>
      </c>
      <c r="AR299">
        <v>0</v>
      </c>
      <c r="AS299">
        <v>1</v>
      </c>
      <c r="AT299">
        <v>2</v>
      </c>
      <c r="AU299">
        <v>3</v>
      </c>
      <c r="AV299">
        <v>3</v>
      </c>
      <c r="AW299">
        <v>2</v>
      </c>
      <c r="AX299">
        <v>1</v>
      </c>
      <c r="AY299">
        <v>9</v>
      </c>
      <c r="AZ299">
        <v>4</v>
      </c>
      <c r="BA299">
        <v>4</v>
      </c>
      <c r="BB299">
        <v>4</v>
      </c>
      <c r="BC299" s="2">
        <v>9</v>
      </c>
      <c r="BD299" s="2">
        <v>12</v>
      </c>
      <c r="BE299" s="2">
        <v>10</v>
      </c>
      <c r="BF299" s="2">
        <v>9</v>
      </c>
      <c r="BG299" s="2">
        <v>22</v>
      </c>
      <c r="BH299" s="2">
        <v>17</v>
      </c>
      <c r="BI299" s="2">
        <v>15</v>
      </c>
      <c r="BJ299" s="2">
        <v>16</v>
      </c>
      <c r="BK299" s="2">
        <v>0</v>
      </c>
      <c r="BL299" s="2">
        <v>1</v>
      </c>
      <c r="BM299" s="2">
        <v>2</v>
      </c>
      <c r="BN299" s="2">
        <v>3</v>
      </c>
      <c r="BO299" s="2">
        <v>3</v>
      </c>
      <c r="BP299" s="2">
        <v>2</v>
      </c>
      <c r="BQ299" s="2">
        <v>1</v>
      </c>
      <c r="BR299" s="2">
        <v>9</v>
      </c>
      <c r="BS299" s="2">
        <v>4</v>
      </c>
      <c r="BT299" s="2">
        <v>4</v>
      </c>
      <c r="BU299" s="2">
        <v>4</v>
      </c>
      <c r="BV299" s="2">
        <f t="shared" si="21"/>
        <v>143</v>
      </c>
      <c r="BW299" s="16">
        <f t="shared" si="19"/>
        <v>7.5263157894736841</v>
      </c>
      <c r="BX299" s="16">
        <f>COUNTIF($BC$6:BU299, "=0") / COUNTIF($BC$6:BU299, "&gt;-1")</f>
        <v>7.3934837092731825E-2</v>
      </c>
      <c r="BY299" s="18">
        <f>SUM($BC$6:BU299) / $BY$4</f>
        <v>0.75954761402025739</v>
      </c>
      <c r="BZ299" s="14">
        <f t="shared" si="20"/>
        <v>1</v>
      </c>
      <c r="CA299" t="s">
        <v>5831</v>
      </c>
      <c r="CB299" s="36">
        <v>10.9047905625126</v>
      </c>
      <c r="CC299" s="36">
        <v>11.556769448129399</v>
      </c>
      <c r="CD299" s="36">
        <v>16.007976618122601</v>
      </c>
      <c r="CE299" s="36">
        <v>13.6072958323791</v>
      </c>
      <c r="CF299" s="36">
        <v>18.9238799186116</v>
      </c>
      <c r="CG299" s="36">
        <v>15.805363192871299</v>
      </c>
      <c r="CH299" s="36">
        <v>15.8109342429696</v>
      </c>
      <c r="CI299" s="36">
        <v>15.5709375677169</v>
      </c>
      <c r="CJ299" s="37">
        <v>0.19868957331123899</v>
      </c>
      <c r="CK299" s="37">
        <v>1.2612992937765699</v>
      </c>
      <c r="CL299" s="37">
        <v>2.4001630448020301</v>
      </c>
      <c r="CM299" s="37">
        <v>2.5396411397998202</v>
      </c>
      <c r="CN299" s="37">
        <v>0.91879256581511404</v>
      </c>
      <c r="CO299" s="37">
        <v>7.1027151334661296</v>
      </c>
      <c r="CP299" s="37">
        <v>6.0341601914496898</v>
      </c>
      <c r="CQ299" s="37">
        <v>6.0905473858984696</v>
      </c>
      <c r="CR299" s="45">
        <v>-2.2472133693596201</v>
      </c>
      <c r="CS299" s="45">
        <v>-4.4521928088612501</v>
      </c>
      <c r="CT299" s="46">
        <v>2.6306806153693999E-8</v>
      </c>
      <c r="CU299" s="47">
        <v>2.0951492043834901E-7</v>
      </c>
      <c r="CV299" s="48">
        <v>14.7734934229141</v>
      </c>
      <c r="CW299" s="49">
        <v>3.31825104103988</v>
      </c>
      <c r="CX299" s="31" t="s">
        <v>5875</v>
      </c>
      <c r="CY299" s="31" t="s">
        <v>5876</v>
      </c>
      <c r="CZ299" t="s">
        <v>12093</v>
      </c>
      <c r="DA299" t="s">
        <v>5904</v>
      </c>
      <c r="DB299">
        <v>460.3</v>
      </c>
      <c r="DC299" t="s">
        <v>32002</v>
      </c>
      <c r="DD299" t="s">
        <v>32003</v>
      </c>
      <c r="DE299" t="s">
        <v>32004</v>
      </c>
      <c r="DF299" t="s">
        <v>32005</v>
      </c>
      <c r="DG299" t="s">
        <v>32006</v>
      </c>
      <c r="DH299" t="str">
        <f>"CA4"</f>
        <v>CA4</v>
      </c>
      <c r="DI299" t="s">
        <v>13772</v>
      </c>
      <c r="DJ299" t="s">
        <v>13777</v>
      </c>
      <c r="DK299">
        <v>9606</v>
      </c>
      <c r="DL299" s="34" t="str">
        <f>HYPERLINK("http://www.uniprot.org/uniprot/P22748", "P22748")</f>
        <v>P22748</v>
      </c>
      <c r="DM299" t="s">
        <v>32007</v>
      </c>
      <c r="DN299" t="s">
        <v>13772</v>
      </c>
      <c r="DO299" t="s">
        <v>13792</v>
      </c>
      <c r="DP299" t="s">
        <v>13780</v>
      </c>
      <c r="DQ299" t="s">
        <v>13772</v>
      </c>
      <c r="DR299" t="s">
        <v>26110</v>
      </c>
      <c r="DS299" t="s">
        <v>13808</v>
      </c>
      <c r="DT299" t="s">
        <v>13856</v>
      </c>
      <c r="DU299" t="s">
        <v>15788</v>
      </c>
      <c r="DV299" t="s">
        <v>15699</v>
      </c>
      <c r="DW299" t="s">
        <v>13812</v>
      </c>
      <c r="DX299" t="s">
        <v>32008</v>
      </c>
      <c r="DY299" t="s">
        <v>32009</v>
      </c>
      <c r="DZ299" t="s">
        <v>32010</v>
      </c>
      <c r="EA299" t="s">
        <v>13772</v>
      </c>
      <c r="EB299" t="s">
        <v>30400</v>
      </c>
    </row>
    <row r="300" spans="1:132" hidden="1">
      <c r="A300">
        <v>2428</v>
      </c>
      <c r="B300">
        <v>1</v>
      </c>
      <c r="C300" t="s">
        <v>5680</v>
      </c>
      <c r="D300" t="s">
        <v>73</v>
      </c>
      <c r="E300" t="s">
        <v>5681</v>
      </c>
      <c r="F300" t="s">
        <v>5682</v>
      </c>
      <c r="G300" t="s">
        <v>73</v>
      </c>
      <c r="H300">
        <v>43.2</v>
      </c>
      <c r="I300">
        <v>761</v>
      </c>
      <c r="J300">
        <v>87563</v>
      </c>
      <c r="K300" t="s">
        <v>5683</v>
      </c>
      <c r="L300">
        <f t="shared" si="18"/>
        <v>167</v>
      </c>
      <c r="N300">
        <v>167</v>
      </c>
      <c r="O300">
        <v>87</v>
      </c>
      <c r="P300">
        <v>0.52100000000000002</v>
      </c>
      <c r="Q300">
        <v>3</v>
      </c>
      <c r="R300">
        <v>8</v>
      </c>
      <c r="S300">
        <v>2</v>
      </c>
      <c r="T300">
        <v>2</v>
      </c>
      <c r="U300">
        <v>8</v>
      </c>
      <c r="V300">
        <v>14</v>
      </c>
      <c r="W300">
        <v>17</v>
      </c>
      <c r="X300">
        <v>6</v>
      </c>
      <c r="Y300">
        <v>37</v>
      </c>
      <c r="Z300">
        <v>0</v>
      </c>
      <c r="AA300">
        <v>25</v>
      </c>
      <c r="AB300">
        <v>15</v>
      </c>
      <c r="AC300">
        <v>8</v>
      </c>
      <c r="AD300">
        <v>1</v>
      </c>
      <c r="AE300">
        <v>6</v>
      </c>
      <c r="AF300">
        <v>7</v>
      </c>
      <c r="AG300">
        <v>4</v>
      </c>
      <c r="AH300">
        <v>1</v>
      </c>
      <c r="AI300">
        <v>3</v>
      </c>
      <c r="AJ300">
        <v>0</v>
      </c>
      <c r="AK300">
        <v>3</v>
      </c>
      <c r="AL300">
        <v>1</v>
      </c>
      <c r="AM300">
        <v>0</v>
      </c>
      <c r="AN300">
        <v>3</v>
      </c>
      <c r="AO300">
        <v>8</v>
      </c>
      <c r="AP300">
        <v>10</v>
      </c>
      <c r="AQ300">
        <v>3</v>
      </c>
      <c r="AR300">
        <v>24</v>
      </c>
      <c r="AS300">
        <v>0</v>
      </c>
      <c r="AT300">
        <v>16</v>
      </c>
      <c r="AU300">
        <v>9</v>
      </c>
      <c r="AV300">
        <v>4</v>
      </c>
      <c r="AW300">
        <v>0</v>
      </c>
      <c r="AX300">
        <v>2</v>
      </c>
      <c r="AY300">
        <v>3</v>
      </c>
      <c r="AZ300">
        <v>1</v>
      </c>
      <c r="BA300">
        <v>0</v>
      </c>
      <c r="BB300">
        <v>0</v>
      </c>
      <c r="BC300" s="2">
        <v>2.0550000000000002</v>
      </c>
      <c r="BD300" s="2">
        <v>6.4249999999999998</v>
      </c>
      <c r="BE300" s="2">
        <v>1.6850000000000001</v>
      </c>
      <c r="BF300" s="2">
        <v>1.37</v>
      </c>
      <c r="BG300" s="2">
        <v>6.4249999999999998</v>
      </c>
      <c r="BH300" s="2">
        <v>12.11</v>
      </c>
      <c r="BI300" s="2">
        <v>14.795</v>
      </c>
      <c r="BJ300" s="2">
        <v>5.0549999999999997</v>
      </c>
      <c r="BK300" s="2">
        <v>32.905999999999999</v>
      </c>
      <c r="BL300" s="2">
        <v>0</v>
      </c>
      <c r="BM300" s="2">
        <v>22.164999999999999</v>
      </c>
      <c r="BN300" s="2">
        <v>13.11</v>
      </c>
      <c r="BO300" s="2">
        <v>6.74</v>
      </c>
      <c r="BP300" s="2">
        <v>0.68500000000000005</v>
      </c>
      <c r="BQ300" s="2">
        <v>4.74</v>
      </c>
      <c r="BR300" s="2">
        <v>5.74</v>
      </c>
      <c r="BS300" s="2">
        <v>3.0550000000000002</v>
      </c>
      <c r="BT300" s="2">
        <v>0.68500000000000005</v>
      </c>
      <c r="BU300" s="2">
        <v>2.0550000000000002</v>
      </c>
      <c r="BV300" s="2">
        <f t="shared" si="21"/>
        <v>141.80100000000002</v>
      </c>
      <c r="BW300" s="16">
        <f t="shared" si="19"/>
        <v>7.4632105263157902</v>
      </c>
      <c r="BX300" s="16">
        <f>COUNTIF($BC$6:BU300, "=0") / COUNTIF($BC$6:BU300, "&gt;-1")</f>
        <v>7.3862622658340774E-2</v>
      </c>
      <c r="BY300" s="18">
        <f>SUM($BC$6:BU300) / $BY$4</f>
        <v>0.76015503801187556</v>
      </c>
      <c r="BZ300" s="14">
        <f t="shared" si="20"/>
        <v>1</v>
      </c>
      <c r="CA300" t="s">
        <v>5831</v>
      </c>
      <c r="CB300" s="36">
        <v>2.5444511312529299</v>
      </c>
      <c r="CC300" s="36">
        <v>6.1636103723356603</v>
      </c>
      <c r="CD300" s="36">
        <v>2.7213560250808402</v>
      </c>
      <c r="CE300" s="36">
        <v>2.1166904628145198</v>
      </c>
      <c r="CF300" s="36">
        <v>5.5051287035961103</v>
      </c>
      <c r="CG300" s="36">
        <v>11.2496996843378</v>
      </c>
      <c r="CH300" s="36">
        <v>15.6001217863967</v>
      </c>
      <c r="CI300" s="36">
        <v>4.96323634970976</v>
      </c>
      <c r="CJ300" s="37">
        <v>26.1475478477591</v>
      </c>
      <c r="CK300" s="37">
        <v>14.0004221609199</v>
      </c>
      <c r="CL300" s="37">
        <v>10.4807119623022</v>
      </c>
      <c r="CM300" s="37">
        <v>5.6718652122195996</v>
      </c>
      <c r="CN300" s="37">
        <v>4.3183250593310403</v>
      </c>
      <c r="CO300" s="37">
        <v>4.4983862511952104</v>
      </c>
      <c r="CP300" s="37">
        <v>4.6764741483735097</v>
      </c>
      <c r="CQ300" s="37">
        <v>3.1975373775967002</v>
      </c>
      <c r="CR300" s="45">
        <v>0.51516920644964104</v>
      </c>
      <c r="CS300" s="45">
        <v>1.43501980544367</v>
      </c>
      <c r="CT300" s="46">
        <v>0.336880456812856</v>
      </c>
      <c r="CU300" s="47">
        <v>0.41735745482926001</v>
      </c>
      <c r="CV300" s="48">
        <v>6.3580368144405401</v>
      </c>
      <c r="CW300" s="49">
        <v>9.1239087524621603</v>
      </c>
      <c r="CX300" s="31" t="s">
        <v>5874</v>
      </c>
      <c r="CY300" s="31" t="s">
        <v>5832</v>
      </c>
      <c r="CZ300" t="s">
        <v>6329</v>
      </c>
      <c r="DA300" t="s">
        <v>5904</v>
      </c>
      <c r="DB300">
        <v>1411.7</v>
      </c>
      <c r="DC300" t="s">
        <v>15273</v>
      </c>
      <c r="DD300" t="s">
        <v>15274</v>
      </c>
      <c r="DE300" t="s">
        <v>15275</v>
      </c>
      <c r="DF300" t="s">
        <v>15276</v>
      </c>
      <c r="DG300" t="s">
        <v>15277</v>
      </c>
      <c r="DH300" t="str">
        <f>"HSP90AA1"</f>
        <v>HSP90AA1</v>
      </c>
      <c r="DI300" t="s">
        <v>15278</v>
      </c>
      <c r="DJ300" t="s">
        <v>13777</v>
      </c>
      <c r="DK300">
        <v>9606</v>
      </c>
      <c r="DL300" s="34" t="str">
        <f>HYPERLINK("http://www.uniprot.org/uniprot/P07900", "P07900")</f>
        <v>P07900</v>
      </c>
      <c r="DM300" t="s">
        <v>15279</v>
      </c>
      <c r="DN300" t="s">
        <v>15280</v>
      </c>
      <c r="DO300" t="s">
        <v>14968</v>
      </c>
      <c r="DP300" t="s">
        <v>13841</v>
      </c>
      <c r="DQ300" t="s">
        <v>13772</v>
      </c>
      <c r="DR300" t="s">
        <v>13772</v>
      </c>
      <c r="DS300" t="s">
        <v>13772</v>
      </c>
      <c r="DT300" t="s">
        <v>14005</v>
      </c>
      <c r="DU300" t="s">
        <v>14477</v>
      </c>
      <c r="DV300" t="s">
        <v>15281</v>
      </c>
      <c r="DW300" t="s">
        <v>13812</v>
      </c>
      <c r="DX300" t="s">
        <v>15282</v>
      </c>
      <c r="DY300" t="s">
        <v>15283</v>
      </c>
      <c r="DZ300" t="s">
        <v>15284</v>
      </c>
      <c r="EA300" t="s">
        <v>13772</v>
      </c>
      <c r="EB300" t="s">
        <v>15285</v>
      </c>
    </row>
    <row r="301" spans="1:132" hidden="1">
      <c r="A301">
        <v>195</v>
      </c>
      <c r="B301">
        <v>1</v>
      </c>
      <c r="C301" t="s">
        <v>492</v>
      </c>
      <c r="D301" t="s">
        <v>493</v>
      </c>
      <c r="E301" t="s">
        <v>73</v>
      </c>
      <c r="F301" t="s">
        <v>73</v>
      </c>
      <c r="G301" t="s">
        <v>73</v>
      </c>
      <c r="H301">
        <v>40.1</v>
      </c>
      <c r="I301">
        <v>935</v>
      </c>
      <c r="J301">
        <v>101151</v>
      </c>
      <c r="K301" t="s">
        <v>494</v>
      </c>
      <c r="L301">
        <f t="shared" si="18"/>
        <v>141</v>
      </c>
      <c r="N301">
        <v>141</v>
      </c>
      <c r="O301">
        <v>141</v>
      </c>
      <c r="P301">
        <v>1</v>
      </c>
      <c r="Q301">
        <v>8</v>
      </c>
      <c r="R301">
        <v>20</v>
      </c>
      <c r="S301">
        <v>0</v>
      </c>
      <c r="T301">
        <v>3</v>
      </c>
      <c r="U301">
        <v>21</v>
      </c>
      <c r="V301">
        <v>15</v>
      </c>
      <c r="W301">
        <v>11</v>
      </c>
      <c r="X301">
        <v>5</v>
      </c>
      <c r="Y301">
        <v>9</v>
      </c>
      <c r="Z301">
        <v>0</v>
      </c>
      <c r="AA301">
        <v>26</v>
      </c>
      <c r="AB301">
        <v>9</v>
      </c>
      <c r="AC301">
        <v>2</v>
      </c>
      <c r="AD301">
        <v>0</v>
      </c>
      <c r="AE301">
        <v>3</v>
      </c>
      <c r="AF301">
        <v>8</v>
      </c>
      <c r="AG301">
        <v>0</v>
      </c>
      <c r="AH301">
        <v>0</v>
      </c>
      <c r="AI301">
        <v>1</v>
      </c>
      <c r="AJ301">
        <v>8</v>
      </c>
      <c r="AK301">
        <v>20</v>
      </c>
      <c r="AL301">
        <v>0</v>
      </c>
      <c r="AM301">
        <v>3</v>
      </c>
      <c r="AN301">
        <v>21</v>
      </c>
      <c r="AO301">
        <v>15</v>
      </c>
      <c r="AP301">
        <v>11</v>
      </c>
      <c r="AQ301">
        <v>5</v>
      </c>
      <c r="AR301">
        <v>9</v>
      </c>
      <c r="AS301">
        <v>0</v>
      </c>
      <c r="AT301">
        <v>26</v>
      </c>
      <c r="AU301">
        <v>9</v>
      </c>
      <c r="AV301">
        <v>2</v>
      </c>
      <c r="AW301">
        <v>0</v>
      </c>
      <c r="AX301">
        <v>3</v>
      </c>
      <c r="AY301">
        <v>8</v>
      </c>
      <c r="AZ301">
        <v>0</v>
      </c>
      <c r="BA301">
        <v>0</v>
      </c>
      <c r="BB301">
        <v>1</v>
      </c>
      <c r="BC301" s="2">
        <v>8</v>
      </c>
      <c r="BD301" s="2">
        <v>20</v>
      </c>
      <c r="BE301" s="2">
        <v>0</v>
      </c>
      <c r="BF301" s="2">
        <v>3</v>
      </c>
      <c r="BG301" s="2">
        <v>21</v>
      </c>
      <c r="BH301" s="2">
        <v>15</v>
      </c>
      <c r="BI301" s="2">
        <v>11</v>
      </c>
      <c r="BJ301" s="2">
        <v>5</v>
      </c>
      <c r="BK301" s="2">
        <v>9</v>
      </c>
      <c r="BL301" s="2">
        <v>0</v>
      </c>
      <c r="BM301" s="2">
        <v>26</v>
      </c>
      <c r="BN301" s="2">
        <v>9</v>
      </c>
      <c r="BO301" s="2">
        <v>2</v>
      </c>
      <c r="BP301" s="2">
        <v>0</v>
      </c>
      <c r="BQ301" s="2">
        <v>3</v>
      </c>
      <c r="BR301" s="2">
        <v>8</v>
      </c>
      <c r="BS301" s="2">
        <v>0</v>
      </c>
      <c r="BT301" s="2">
        <v>0</v>
      </c>
      <c r="BU301" s="2">
        <v>1</v>
      </c>
      <c r="BV301" s="2">
        <f t="shared" si="21"/>
        <v>141</v>
      </c>
      <c r="BW301" s="16">
        <f t="shared" si="19"/>
        <v>7.4210526315789478</v>
      </c>
      <c r="BX301" s="16">
        <f>COUNTIF($BC$6:BU301, "=0") / COUNTIF($BC$6:BU301, "&gt;-1")</f>
        <v>7.4502133712660026E-2</v>
      </c>
      <c r="BY301" s="18">
        <f>SUM($BC$6:BU301) / $BY$4</f>
        <v>0.76075903081036234</v>
      </c>
      <c r="BZ301" s="14">
        <f t="shared" si="20"/>
        <v>5</v>
      </c>
      <c r="CA301" t="s">
        <v>5831</v>
      </c>
      <c r="CB301" s="36">
        <v>9.6931471666778304</v>
      </c>
      <c r="CC301" s="36">
        <v>19.261282413548901</v>
      </c>
      <c r="CD301" s="36">
        <v>0.40019941545306398</v>
      </c>
      <c r="CE301" s="36">
        <v>4.5357652774596904</v>
      </c>
      <c r="CF301" s="36">
        <v>18.0637035586747</v>
      </c>
      <c r="CG301" s="36">
        <v>13.945908699592399</v>
      </c>
      <c r="CH301" s="36">
        <v>11.594685111511</v>
      </c>
      <c r="CI301" s="36">
        <v>4.8659179899115301</v>
      </c>
      <c r="CJ301" s="37">
        <v>7.1528246392046197</v>
      </c>
      <c r="CK301" s="37">
        <v>16.3968908190954</v>
      </c>
      <c r="CL301" s="37">
        <v>7.2004891344060802</v>
      </c>
      <c r="CM301" s="37">
        <v>1.6930940931998799</v>
      </c>
      <c r="CN301" s="37">
        <v>2.7563776974453398</v>
      </c>
      <c r="CO301" s="37">
        <v>6.3135245630809997</v>
      </c>
      <c r="CP301" s="37">
        <v>0.377135011965606</v>
      </c>
      <c r="CQ301" s="37">
        <v>1.5226368464746201</v>
      </c>
      <c r="CR301" s="45">
        <v>-0.86534580569465103</v>
      </c>
      <c r="CS301" s="45">
        <v>-1.89714281956718</v>
      </c>
      <c r="CT301" s="46">
        <v>0.11551315501013699</v>
      </c>
      <c r="CU301" s="47">
        <v>0.16099645979537799</v>
      </c>
      <c r="CV301" s="48">
        <v>10.2950762041036</v>
      </c>
      <c r="CW301" s="49">
        <v>5.42662160060907</v>
      </c>
      <c r="CX301" s="31" t="s">
        <v>5875</v>
      </c>
      <c r="CY301" s="31" t="s">
        <v>5832</v>
      </c>
      <c r="CZ301" t="s">
        <v>6371</v>
      </c>
      <c r="DA301" t="s">
        <v>5904</v>
      </c>
      <c r="DB301">
        <v>1781.9</v>
      </c>
      <c r="DC301" t="s">
        <v>15402</v>
      </c>
      <c r="DD301" t="s">
        <v>13772</v>
      </c>
      <c r="DE301" t="s">
        <v>15403</v>
      </c>
      <c r="DF301" t="s">
        <v>15404</v>
      </c>
      <c r="DG301" t="s">
        <v>15405</v>
      </c>
      <c r="DH301" t="str">
        <f>"MTHFD1"</f>
        <v>MTHFD1</v>
      </c>
      <c r="DI301" t="s">
        <v>15406</v>
      </c>
      <c r="DJ301" t="s">
        <v>13777</v>
      </c>
      <c r="DK301">
        <v>9606</v>
      </c>
      <c r="DL301" s="34" t="str">
        <f>HYPERLINK("http://www.uniprot.org/uniprot/P11586", "P11586")</f>
        <v>P11586</v>
      </c>
      <c r="DM301" t="s">
        <v>15407</v>
      </c>
      <c r="DN301" t="s">
        <v>15408</v>
      </c>
      <c r="DO301" t="s">
        <v>13899</v>
      </c>
      <c r="DP301" t="s">
        <v>13793</v>
      </c>
      <c r="DQ301" t="s">
        <v>13772</v>
      </c>
      <c r="DR301" t="s">
        <v>13807</v>
      </c>
      <c r="DS301" t="s">
        <v>13772</v>
      </c>
      <c r="DT301" t="s">
        <v>15409</v>
      </c>
      <c r="DU301" t="s">
        <v>15410</v>
      </c>
      <c r="DV301" t="s">
        <v>13886</v>
      </c>
      <c r="DW301" t="s">
        <v>13812</v>
      </c>
      <c r="DX301" t="s">
        <v>15411</v>
      </c>
      <c r="DY301" t="s">
        <v>15412</v>
      </c>
      <c r="DZ301" t="s">
        <v>15413</v>
      </c>
      <c r="EA301" t="s">
        <v>14137</v>
      </c>
      <c r="EB301" t="s">
        <v>15414</v>
      </c>
    </row>
    <row r="302" spans="1:132" hidden="1">
      <c r="A302">
        <v>673</v>
      </c>
      <c r="B302">
        <v>1</v>
      </c>
      <c r="C302" t="s">
        <v>1656</v>
      </c>
      <c r="D302" t="s">
        <v>73</v>
      </c>
      <c r="E302" t="s">
        <v>73</v>
      </c>
      <c r="F302" t="s">
        <v>73</v>
      </c>
      <c r="G302" t="s">
        <v>73</v>
      </c>
      <c r="H302">
        <v>39.1</v>
      </c>
      <c r="I302">
        <v>353</v>
      </c>
      <c r="J302">
        <v>38502</v>
      </c>
      <c r="K302" t="s">
        <v>1657</v>
      </c>
      <c r="L302">
        <f t="shared" si="18"/>
        <v>141</v>
      </c>
      <c r="N302">
        <v>141</v>
      </c>
      <c r="O302">
        <v>141</v>
      </c>
      <c r="P302">
        <v>1</v>
      </c>
      <c r="Q302">
        <v>9</v>
      </c>
      <c r="R302">
        <v>12</v>
      </c>
      <c r="S302">
        <v>14</v>
      </c>
      <c r="T302">
        <v>8</v>
      </c>
      <c r="U302">
        <v>14</v>
      </c>
      <c r="V302">
        <v>26</v>
      </c>
      <c r="W302">
        <v>8</v>
      </c>
      <c r="X302">
        <v>9</v>
      </c>
      <c r="Y302">
        <v>5</v>
      </c>
      <c r="Z302">
        <v>0</v>
      </c>
      <c r="AA302">
        <v>7</v>
      </c>
      <c r="AB302">
        <v>11</v>
      </c>
      <c r="AC302">
        <v>1</v>
      </c>
      <c r="AD302">
        <v>1</v>
      </c>
      <c r="AE302">
        <v>1</v>
      </c>
      <c r="AF302">
        <v>5</v>
      </c>
      <c r="AG302">
        <v>2</v>
      </c>
      <c r="AH302">
        <v>3</v>
      </c>
      <c r="AI302">
        <v>5</v>
      </c>
      <c r="AJ302">
        <v>9</v>
      </c>
      <c r="AK302">
        <v>12</v>
      </c>
      <c r="AL302">
        <v>14</v>
      </c>
      <c r="AM302">
        <v>8</v>
      </c>
      <c r="AN302">
        <v>14</v>
      </c>
      <c r="AO302">
        <v>26</v>
      </c>
      <c r="AP302">
        <v>8</v>
      </c>
      <c r="AQ302">
        <v>9</v>
      </c>
      <c r="AR302">
        <v>5</v>
      </c>
      <c r="AS302">
        <v>0</v>
      </c>
      <c r="AT302">
        <v>7</v>
      </c>
      <c r="AU302">
        <v>11</v>
      </c>
      <c r="AV302">
        <v>1</v>
      </c>
      <c r="AW302">
        <v>1</v>
      </c>
      <c r="AX302">
        <v>1</v>
      </c>
      <c r="AY302">
        <v>5</v>
      </c>
      <c r="AZ302">
        <v>2</v>
      </c>
      <c r="BA302">
        <v>3</v>
      </c>
      <c r="BB302">
        <v>5</v>
      </c>
      <c r="BC302" s="2">
        <v>9</v>
      </c>
      <c r="BD302" s="2">
        <v>12</v>
      </c>
      <c r="BE302" s="2">
        <v>14</v>
      </c>
      <c r="BF302" s="2">
        <v>8</v>
      </c>
      <c r="BG302" s="2">
        <v>14</v>
      </c>
      <c r="BH302" s="2">
        <v>26</v>
      </c>
      <c r="BI302" s="2">
        <v>8</v>
      </c>
      <c r="BJ302" s="2">
        <v>9</v>
      </c>
      <c r="BK302" s="2">
        <v>5</v>
      </c>
      <c r="BL302" s="2">
        <v>0</v>
      </c>
      <c r="BM302" s="2">
        <v>7</v>
      </c>
      <c r="BN302" s="2">
        <v>11</v>
      </c>
      <c r="BO302" s="2">
        <v>1</v>
      </c>
      <c r="BP302" s="2">
        <v>1</v>
      </c>
      <c r="BQ302" s="2">
        <v>1</v>
      </c>
      <c r="BR302" s="2">
        <v>5</v>
      </c>
      <c r="BS302" s="2">
        <v>2</v>
      </c>
      <c r="BT302" s="2">
        <v>3</v>
      </c>
      <c r="BU302" s="2">
        <v>5</v>
      </c>
      <c r="BV302" s="2">
        <f t="shared" si="21"/>
        <v>141</v>
      </c>
      <c r="BW302" s="16">
        <f t="shared" si="19"/>
        <v>7.4210526315789478</v>
      </c>
      <c r="BX302" s="16">
        <f>COUNTIF($BC$6:BU302, "=0") / COUNTIF($BC$6:BU302, "&gt;-1")</f>
        <v>7.4428495481127066E-2</v>
      </c>
      <c r="BY302" s="18">
        <f>SUM($BC$6:BU302) / $BY$4</f>
        <v>0.76136302360884911</v>
      </c>
      <c r="BZ302" s="14">
        <f t="shared" si="20"/>
        <v>1</v>
      </c>
      <c r="CA302" t="s">
        <v>5831</v>
      </c>
      <c r="CB302" s="36">
        <v>10.9047905625126</v>
      </c>
      <c r="CC302" s="36">
        <v>11.556769448129399</v>
      </c>
      <c r="CD302" s="36">
        <v>22.411167265371599</v>
      </c>
      <c r="CE302" s="36">
        <v>12.0953740732258</v>
      </c>
      <c r="CF302" s="36">
        <v>12.042469039116501</v>
      </c>
      <c r="CG302" s="36">
        <v>24.1729084126268</v>
      </c>
      <c r="CH302" s="36">
        <v>8.4324982629171306</v>
      </c>
      <c r="CI302" s="36">
        <v>8.7586523818407507</v>
      </c>
      <c r="CJ302" s="37">
        <v>3.9737914662247902</v>
      </c>
      <c r="CK302" s="37">
        <v>4.4145475282179998</v>
      </c>
      <c r="CL302" s="37">
        <v>8.8005978309407702</v>
      </c>
      <c r="CM302" s="37">
        <v>0.84654704659994096</v>
      </c>
      <c r="CN302" s="37">
        <v>0.91879256581511404</v>
      </c>
      <c r="CO302" s="37">
        <v>3.94595285192562</v>
      </c>
      <c r="CP302" s="37">
        <v>3.0170800957248498</v>
      </c>
      <c r="CQ302" s="37">
        <v>7.6131842323730803</v>
      </c>
      <c r="CR302" s="45">
        <v>-1.69690096307984</v>
      </c>
      <c r="CS302" s="45">
        <v>-3.2917687017608999</v>
      </c>
      <c r="CT302" s="46">
        <v>7.9121849537348296E-5</v>
      </c>
      <c r="CU302" s="47">
        <v>2.30758200238686E-4</v>
      </c>
      <c r="CV302" s="48">
        <v>13.796828680717599</v>
      </c>
      <c r="CW302" s="49">
        <v>4.1913117022277699</v>
      </c>
      <c r="CX302" s="31" t="s">
        <v>5875</v>
      </c>
      <c r="CY302" s="31" t="s">
        <v>5876</v>
      </c>
      <c r="CZ302" t="s">
        <v>8011</v>
      </c>
      <c r="DA302" t="s">
        <v>5904</v>
      </c>
      <c r="DB302">
        <v>582.79999999999995</v>
      </c>
      <c r="DC302" t="s">
        <v>20427</v>
      </c>
      <c r="DD302" t="s">
        <v>20428</v>
      </c>
      <c r="DE302" t="s">
        <v>20429</v>
      </c>
      <c r="DF302" t="s">
        <v>20430</v>
      </c>
      <c r="DG302" t="s">
        <v>20431</v>
      </c>
      <c r="DH302" t="str">
        <f>"CCN3 NOVH"</f>
        <v>CCN3 NOVH</v>
      </c>
      <c r="DI302" t="s">
        <v>13772</v>
      </c>
      <c r="DJ302" t="s">
        <v>13777</v>
      </c>
      <c r="DK302">
        <v>9606</v>
      </c>
      <c r="DL302" s="34" t="str">
        <f>HYPERLINK("http://www.uniprot.org/uniprot/P48745", "P48745")</f>
        <v>P48745</v>
      </c>
      <c r="DM302" t="s">
        <v>20432</v>
      </c>
      <c r="DN302" t="s">
        <v>13772</v>
      </c>
      <c r="DO302" t="s">
        <v>20433</v>
      </c>
      <c r="DP302" t="s">
        <v>13793</v>
      </c>
      <c r="DQ302" t="s">
        <v>13772</v>
      </c>
      <c r="DR302" t="s">
        <v>13772</v>
      </c>
      <c r="DS302" t="s">
        <v>13808</v>
      </c>
      <c r="DT302" t="s">
        <v>13772</v>
      </c>
      <c r="DU302" t="s">
        <v>15740</v>
      </c>
      <c r="DV302" t="s">
        <v>19014</v>
      </c>
      <c r="DW302" t="s">
        <v>13772</v>
      </c>
      <c r="DX302" t="s">
        <v>20434</v>
      </c>
      <c r="DY302" t="s">
        <v>20435</v>
      </c>
      <c r="DZ302" t="s">
        <v>20436</v>
      </c>
      <c r="EA302" t="s">
        <v>13772</v>
      </c>
      <c r="EB302" t="s">
        <v>13772</v>
      </c>
    </row>
    <row r="303" spans="1:132" hidden="1">
      <c r="A303">
        <v>689</v>
      </c>
      <c r="B303">
        <v>1</v>
      </c>
      <c r="C303" t="s">
        <v>1696</v>
      </c>
      <c r="D303" t="s">
        <v>73</v>
      </c>
      <c r="E303" t="s">
        <v>73</v>
      </c>
      <c r="F303" t="s">
        <v>73</v>
      </c>
      <c r="G303" t="s">
        <v>73</v>
      </c>
      <c r="H303">
        <v>49.3</v>
      </c>
      <c r="I303">
        <v>623</v>
      </c>
      <c r="J303">
        <v>68234</v>
      </c>
      <c r="K303" t="s">
        <v>1697</v>
      </c>
      <c r="L303">
        <f t="shared" si="18"/>
        <v>141</v>
      </c>
      <c r="N303">
        <v>141</v>
      </c>
      <c r="O303">
        <v>141</v>
      </c>
      <c r="P303">
        <v>1</v>
      </c>
      <c r="Q303">
        <v>1</v>
      </c>
      <c r="R303">
        <v>7</v>
      </c>
      <c r="S303">
        <v>0</v>
      </c>
      <c r="T303">
        <v>0</v>
      </c>
      <c r="U303">
        <v>4</v>
      </c>
      <c r="V303">
        <v>3</v>
      </c>
      <c r="W303">
        <v>1</v>
      </c>
      <c r="X303">
        <v>3</v>
      </c>
      <c r="Y303">
        <v>23</v>
      </c>
      <c r="Z303">
        <v>7</v>
      </c>
      <c r="AA303">
        <v>22</v>
      </c>
      <c r="AB303">
        <v>22</v>
      </c>
      <c r="AC303">
        <v>19</v>
      </c>
      <c r="AD303">
        <v>4</v>
      </c>
      <c r="AE303">
        <v>6</v>
      </c>
      <c r="AF303">
        <v>7</v>
      </c>
      <c r="AG303">
        <v>6</v>
      </c>
      <c r="AH303">
        <v>3</v>
      </c>
      <c r="AI303">
        <v>3</v>
      </c>
      <c r="AJ303">
        <v>1</v>
      </c>
      <c r="AK303">
        <v>7</v>
      </c>
      <c r="AL303">
        <v>0</v>
      </c>
      <c r="AM303">
        <v>0</v>
      </c>
      <c r="AN303">
        <v>4</v>
      </c>
      <c r="AO303">
        <v>3</v>
      </c>
      <c r="AP303">
        <v>1</v>
      </c>
      <c r="AQ303">
        <v>3</v>
      </c>
      <c r="AR303">
        <v>23</v>
      </c>
      <c r="AS303">
        <v>7</v>
      </c>
      <c r="AT303">
        <v>22</v>
      </c>
      <c r="AU303">
        <v>22</v>
      </c>
      <c r="AV303">
        <v>19</v>
      </c>
      <c r="AW303">
        <v>4</v>
      </c>
      <c r="AX303">
        <v>6</v>
      </c>
      <c r="AY303">
        <v>7</v>
      </c>
      <c r="AZ303">
        <v>6</v>
      </c>
      <c r="BA303">
        <v>3</v>
      </c>
      <c r="BB303">
        <v>3</v>
      </c>
      <c r="BC303" s="2">
        <v>1</v>
      </c>
      <c r="BD303" s="2">
        <v>7</v>
      </c>
      <c r="BE303" s="2">
        <v>0</v>
      </c>
      <c r="BF303" s="2">
        <v>0</v>
      </c>
      <c r="BG303" s="2">
        <v>4</v>
      </c>
      <c r="BH303" s="2">
        <v>3</v>
      </c>
      <c r="BI303" s="2">
        <v>1</v>
      </c>
      <c r="BJ303" s="2">
        <v>3</v>
      </c>
      <c r="BK303" s="2">
        <v>23</v>
      </c>
      <c r="BL303" s="2">
        <v>7</v>
      </c>
      <c r="BM303" s="2">
        <v>22</v>
      </c>
      <c r="BN303" s="2">
        <v>22</v>
      </c>
      <c r="BO303" s="2">
        <v>19</v>
      </c>
      <c r="BP303" s="2">
        <v>4</v>
      </c>
      <c r="BQ303" s="2">
        <v>6</v>
      </c>
      <c r="BR303" s="2">
        <v>7</v>
      </c>
      <c r="BS303" s="2">
        <v>6</v>
      </c>
      <c r="BT303" s="2">
        <v>3</v>
      </c>
      <c r="BU303" s="2">
        <v>3</v>
      </c>
      <c r="BV303" s="2">
        <f t="shared" si="21"/>
        <v>141</v>
      </c>
      <c r="BW303" s="16">
        <f t="shared" si="19"/>
        <v>7.4210526315789478</v>
      </c>
      <c r="BX303" s="16">
        <f>COUNTIF($BC$6:BU303, "=0") / COUNTIF($BC$6:BU303, "&gt;-1")</f>
        <v>7.4531967502649246E-2</v>
      </c>
      <c r="BY303" s="18">
        <f>SUM($BC$6:BU303) / $BY$4</f>
        <v>0.76196701640733588</v>
      </c>
      <c r="BZ303" s="14">
        <f t="shared" si="20"/>
        <v>2</v>
      </c>
      <c r="CA303" t="s">
        <v>5831</v>
      </c>
      <c r="CB303" s="36">
        <v>1.2116433958347299</v>
      </c>
      <c r="CC303" s="36">
        <v>6.7414488447421297</v>
      </c>
      <c r="CD303" s="36">
        <v>0.40019941545306398</v>
      </c>
      <c r="CE303" s="36">
        <v>0.37798043978830698</v>
      </c>
      <c r="CF303" s="36">
        <v>3.4407054397475698</v>
      </c>
      <c r="CG303" s="36">
        <v>2.7891817399184702</v>
      </c>
      <c r="CH303" s="36">
        <v>1.05406228286464</v>
      </c>
      <c r="CI303" s="36">
        <v>2.9195507939469199</v>
      </c>
      <c r="CJ303" s="37">
        <v>18.279440744634002</v>
      </c>
      <c r="CK303" s="37">
        <v>13.874292231542301</v>
      </c>
      <c r="CL303" s="37">
        <v>17.601195661881501</v>
      </c>
      <c r="CM303" s="37">
        <v>16.084393885398899</v>
      </c>
      <c r="CN303" s="37">
        <v>5.5127553948906796</v>
      </c>
      <c r="CO303" s="37">
        <v>5.5243339926958699</v>
      </c>
      <c r="CP303" s="37">
        <v>9.0512402871745401</v>
      </c>
      <c r="CQ303" s="37">
        <v>4.5679105394238499</v>
      </c>
      <c r="CR303" s="45">
        <v>2.1239350099688301</v>
      </c>
      <c r="CS303" s="45">
        <v>4.7793319641716803</v>
      </c>
      <c r="CT303" s="46">
        <v>7.5688415645590704E-6</v>
      </c>
      <c r="CU303" s="47">
        <v>2.8770198901647801E-5</v>
      </c>
      <c r="CV303" s="48">
        <v>2.3668465440369801</v>
      </c>
      <c r="CW303" s="49">
        <v>11.311945342205201</v>
      </c>
      <c r="CX303" s="31" t="s">
        <v>5874</v>
      </c>
      <c r="CY303" s="31" t="s">
        <v>5876</v>
      </c>
      <c r="CZ303" t="s">
        <v>8069</v>
      </c>
      <c r="DA303" t="s">
        <v>5904</v>
      </c>
      <c r="DB303">
        <v>1213</v>
      </c>
      <c r="DC303" t="s">
        <v>20584</v>
      </c>
      <c r="DD303" t="s">
        <v>13772</v>
      </c>
      <c r="DE303" t="s">
        <v>20585</v>
      </c>
      <c r="DF303" t="s">
        <v>20586</v>
      </c>
      <c r="DG303" t="s">
        <v>20587</v>
      </c>
      <c r="DH303" t="str">
        <f>"TKT"</f>
        <v>TKT</v>
      </c>
      <c r="DI303" t="s">
        <v>13772</v>
      </c>
      <c r="DJ303" t="s">
        <v>13777</v>
      </c>
      <c r="DK303">
        <v>9606</v>
      </c>
      <c r="DL303" s="34" t="str">
        <f>HYPERLINK("http://www.uniprot.org/uniprot/P29401", "P29401")</f>
        <v>P29401</v>
      </c>
      <c r="DM303" t="s">
        <v>20588</v>
      </c>
      <c r="DN303" t="s">
        <v>13772</v>
      </c>
      <c r="DO303" t="s">
        <v>13772</v>
      </c>
      <c r="DP303" t="s">
        <v>13780</v>
      </c>
      <c r="DQ303" t="s">
        <v>13772</v>
      </c>
      <c r="DR303" t="s">
        <v>14517</v>
      </c>
      <c r="DS303" t="s">
        <v>13772</v>
      </c>
      <c r="DT303" t="s">
        <v>20589</v>
      </c>
      <c r="DU303" t="s">
        <v>14111</v>
      </c>
      <c r="DV303" t="s">
        <v>13991</v>
      </c>
      <c r="DW303" t="s">
        <v>13812</v>
      </c>
      <c r="DX303" t="s">
        <v>20590</v>
      </c>
      <c r="DY303" t="s">
        <v>20591</v>
      </c>
      <c r="DZ303" t="s">
        <v>20592</v>
      </c>
      <c r="EA303" t="s">
        <v>13772</v>
      </c>
      <c r="EB303" t="s">
        <v>20593</v>
      </c>
    </row>
    <row r="304" spans="1:132" hidden="1">
      <c r="A304">
        <v>1198</v>
      </c>
      <c r="B304">
        <v>1</v>
      </c>
      <c r="C304" t="s">
        <v>2873</v>
      </c>
      <c r="D304" t="s">
        <v>73</v>
      </c>
      <c r="E304" t="s">
        <v>73</v>
      </c>
      <c r="F304" t="s">
        <v>73</v>
      </c>
      <c r="G304" t="s">
        <v>73</v>
      </c>
      <c r="H304">
        <v>18</v>
      </c>
      <c r="I304">
        <v>1241</v>
      </c>
      <c r="J304">
        <v>135774</v>
      </c>
      <c r="K304" t="s">
        <v>2874</v>
      </c>
      <c r="L304">
        <f t="shared" si="18"/>
        <v>141</v>
      </c>
      <c r="N304">
        <v>141</v>
      </c>
      <c r="O304">
        <v>141</v>
      </c>
      <c r="P304">
        <v>1</v>
      </c>
      <c r="Q304">
        <v>7</v>
      </c>
      <c r="R304">
        <v>3</v>
      </c>
      <c r="S304">
        <v>1</v>
      </c>
      <c r="T304">
        <v>5</v>
      </c>
      <c r="U304">
        <v>5</v>
      </c>
      <c r="V304">
        <v>7</v>
      </c>
      <c r="W304">
        <v>6</v>
      </c>
      <c r="X304">
        <v>5</v>
      </c>
      <c r="Y304">
        <v>5</v>
      </c>
      <c r="Z304">
        <v>0</v>
      </c>
      <c r="AA304">
        <v>20</v>
      </c>
      <c r="AB304">
        <v>15</v>
      </c>
      <c r="AC304">
        <v>16</v>
      </c>
      <c r="AD304">
        <v>3</v>
      </c>
      <c r="AE304">
        <v>8</v>
      </c>
      <c r="AF304">
        <v>8</v>
      </c>
      <c r="AG304">
        <v>10</v>
      </c>
      <c r="AH304">
        <v>4</v>
      </c>
      <c r="AI304">
        <v>13</v>
      </c>
      <c r="AJ304">
        <v>7</v>
      </c>
      <c r="AK304">
        <v>3</v>
      </c>
      <c r="AL304">
        <v>1</v>
      </c>
      <c r="AM304">
        <v>5</v>
      </c>
      <c r="AN304">
        <v>5</v>
      </c>
      <c r="AO304">
        <v>7</v>
      </c>
      <c r="AP304">
        <v>6</v>
      </c>
      <c r="AQ304">
        <v>5</v>
      </c>
      <c r="AR304">
        <v>5</v>
      </c>
      <c r="AS304">
        <v>0</v>
      </c>
      <c r="AT304">
        <v>20</v>
      </c>
      <c r="AU304">
        <v>15</v>
      </c>
      <c r="AV304">
        <v>16</v>
      </c>
      <c r="AW304">
        <v>3</v>
      </c>
      <c r="AX304">
        <v>8</v>
      </c>
      <c r="AY304">
        <v>8</v>
      </c>
      <c r="AZ304">
        <v>10</v>
      </c>
      <c r="BA304">
        <v>4</v>
      </c>
      <c r="BB304">
        <v>13</v>
      </c>
      <c r="BC304" s="2">
        <v>7</v>
      </c>
      <c r="BD304" s="2">
        <v>3</v>
      </c>
      <c r="BE304" s="2">
        <v>1</v>
      </c>
      <c r="BF304" s="2">
        <v>5</v>
      </c>
      <c r="BG304" s="2">
        <v>5</v>
      </c>
      <c r="BH304" s="2">
        <v>7</v>
      </c>
      <c r="BI304" s="2">
        <v>6</v>
      </c>
      <c r="BJ304" s="2">
        <v>5</v>
      </c>
      <c r="BK304" s="2">
        <v>5</v>
      </c>
      <c r="BL304" s="2">
        <v>0</v>
      </c>
      <c r="BM304" s="2">
        <v>20</v>
      </c>
      <c r="BN304" s="2">
        <v>15</v>
      </c>
      <c r="BO304" s="2">
        <v>16</v>
      </c>
      <c r="BP304" s="2">
        <v>3</v>
      </c>
      <c r="BQ304" s="2">
        <v>8</v>
      </c>
      <c r="BR304" s="2">
        <v>8</v>
      </c>
      <c r="BS304" s="2">
        <v>10</v>
      </c>
      <c r="BT304" s="2">
        <v>4</v>
      </c>
      <c r="BU304" s="2">
        <v>13</v>
      </c>
      <c r="BV304" s="2">
        <f t="shared" si="21"/>
        <v>141</v>
      </c>
      <c r="BW304" s="16">
        <f t="shared" si="19"/>
        <v>7.4210526315789478</v>
      </c>
      <c r="BX304" s="16">
        <f>COUNTIF($BC$6:BU304, "=0") / COUNTIF($BC$6:BU304, "&gt;-1")</f>
        <v>7.4458722055976062E-2</v>
      </c>
      <c r="BY304" s="18">
        <f>SUM($BC$6:BU304) / $BY$4</f>
        <v>0.76257100920582266</v>
      </c>
      <c r="BZ304" s="14">
        <f t="shared" si="20"/>
        <v>1</v>
      </c>
      <c r="CA304" t="s">
        <v>5831</v>
      </c>
      <c r="CB304" s="36">
        <v>8.4815037708430996</v>
      </c>
      <c r="CC304" s="36">
        <v>2.8891923620323401</v>
      </c>
      <c r="CD304" s="36">
        <v>1.6007976618122599</v>
      </c>
      <c r="CE304" s="36">
        <v>7.5596087957661497</v>
      </c>
      <c r="CF304" s="36">
        <v>4.3008817996844604</v>
      </c>
      <c r="CG304" s="36">
        <v>6.50809072647644</v>
      </c>
      <c r="CH304" s="36">
        <v>6.3243736971878404</v>
      </c>
      <c r="CI304" s="36">
        <v>4.8659179899115301</v>
      </c>
      <c r="CJ304" s="37">
        <v>3.9737914662247902</v>
      </c>
      <c r="CK304" s="37">
        <v>12.6129929377657</v>
      </c>
      <c r="CL304" s="37">
        <v>12.0008152240101</v>
      </c>
      <c r="CM304" s="37">
        <v>13.5447527455991</v>
      </c>
      <c r="CN304" s="37">
        <v>7.3503405265209096</v>
      </c>
      <c r="CO304" s="37">
        <v>6.3135245630809997</v>
      </c>
      <c r="CP304" s="37">
        <v>15.0854004786242</v>
      </c>
      <c r="CQ304" s="37">
        <v>19.794279004170001</v>
      </c>
      <c r="CR304" s="45">
        <v>1.03391573437585</v>
      </c>
      <c r="CS304" s="45">
        <v>2.1320271551967198</v>
      </c>
      <c r="CT304" s="46">
        <v>8.1075796176284607E-3</v>
      </c>
      <c r="CU304" s="47">
        <v>1.5150756324562699E-2</v>
      </c>
      <c r="CV304" s="48">
        <v>5.3162958504642699</v>
      </c>
      <c r="CW304" s="49">
        <v>11.3344871182495</v>
      </c>
      <c r="CX304" s="31" t="s">
        <v>5874</v>
      </c>
      <c r="CY304" s="31" t="s">
        <v>5878</v>
      </c>
      <c r="CZ304" t="s">
        <v>9716</v>
      </c>
      <c r="DA304" t="s">
        <v>5904</v>
      </c>
      <c r="DB304">
        <v>2227.1999999999998</v>
      </c>
      <c r="DC304" t="s">
        <v>25336</v>
      </c>
      <c r="DD304" t="s">
        <v>25337</v>
      </c>
      <c r="DE304" t="s">
        <v>25338</v>
      </c>
      <c r="DF304" t="s">
        <v>25339</v>
      </c>
      <c r="DG304" t="s">
        <v>25340</v>
      </c>
      <c r="DH304" t="str">
        <f>"NID1"</f>
        <v>NID1</v>
      </c>
      <c r="DI304" t="s">
        <v>25341</v>
      </c>
      <c r="DJ304" t="s">
        <v>13777</v>
      </c>
      <c r="DK304">
        <v>9606</v>
      </c>
      <c r="DL304" s="34" t="str">
        <f>HYPERLINK("http://www.uniprot.org/uniprot/P14543", "P14543")</f>
        <v>P14543</v>
      </c>
      <c r="DM304" t="s">
        <v>25342</v>
      </c>
      <c r="DN304" t="s">
        <v>13949</v>
      </c>
      <c r="DO304" t="s">
        <v>15002</v>
      </c>
      <c r="DP304" t="s">
        <v>13780</v>
      </c>
      <c r="DQ304" t="s">
        <v>13772</v>
      </c>
      <c r="DR304" t="s">
        <v>13772</v>
      </c>
      <c r="DS304" t="s">
        <v>14768</v>
      </c>
      <c r="DT304" t="s">
        <v>14465</v>
      </c>
      <c r="DU304" t="s">
        <v>13772</v>
      </c>
      <c r="DV304" t="s">
        <v>16429</v>
      </c>
      <c r="DW304" t="s">
        <v>13812</v>
      </c>
      <c r="DX304" t="s">
        <v>25343</v>
      </c>
      <c r="DY304" t="s">
        <v>25344</v>
      </c>
      <c r="DZ304" t="s">
        <v>25345</v>
      </c>
      <c r="EA304" t="s">
        <v>13772</v>
      </c>
      <c r="EB304" t="s">
        <v>25346</v>
      </c>
    </row>
    <row r="305" spans="1:132" hidden="1">
      <c r="A305">
        <v>2097</v>
      </c>
      <c r="B305">
        <v>1</v>
      </c>
      <c r="C305" t="s">
        <v>4923</v>
      </c>
      <c r="D305" t="s">
        <v>4924</v>
      </c>
      <c r="E305" t="s">
        <v>73</v>
      </c>
      <c r="F305" t="s">
        <v>4925</v>
      </c>
      <c r="G305" t="s">
        <v>73</v>
      </c>
      <c r="H305">
        <v>35.700000000000003</v>
      </c>
      <c r="I305">
        <v>540</v>
      </c>
      <c r="J305">
        <v>57692</v>
      </c>
      <c r="K305" t="s">
        <v>4926</v>
      </c>
      <c r="L305">
        <f t="shared" si="18"/>
        <v>147</v>
      </c>
      <c r="N305">
        <v>147</v>
      </c>
      <c r="O305">
        <v>135</v>
      </c>
      <c r="P305">
        <v>0.91800000000000004</v>
      </c>
      <c r="Q305">
        <v>13</v>
      </c>
      <c r="R305">
        <v>11</v>
      </c>
      <c r="S305">
        <v>16</v>
      </c>
      <c r="T305">
        <v>15</v>
      </c>
      <c r="U305">
        <v>15</v>
      </c>
      <c r="V305">
        <v>16</v>
      </c>
      <c r="W305">
        <v>14</v>
      </c>
      <c r="X305">
        <v>9</v>
      </c>
      <c r="Y305">
        <v>6</v>
      </c>
      <c r="Z305">
        <v>0</v>
      </c>
      <c r="AA305">
        <v>8</v>
      </c>
      <c r="AB305">
        <v>5</v>
      </c>
      <c r="AC305">
        <v>3</v>
      </c>
      <c r="AD305">
        <v>0</v>
      </c>
      <c r="AE305">
        <v>3</v>
      </c>
      <c r="AF305">
        <v>9</v>
      </c>
      <c r="AG305">
        <v>3</v>
      </c>
      <c r="AH305">
        <v>0</v>
      </c>
      <c r="AI305">
        <v>1</v>
      </c>
      <c r="AJ305">
        <v>13</v>
      </c>
      <c r="AK305">
        <v>10</v>
      </c>
      <c r="AL305">
        <v>15</v>
      </c>
      <c r="AM305">
        <v>12</v>
      </c>
      <c r="AN305">
        <v>12</v>
      </c>
      <c r="AO305">
        <v>14</v>
      </c>
      <c r="AP305">
        <v>12</v>
      </c>
      <c r="AQ305">
        <v>9</v>
      </c>
      <c r="AR305">
        <v>6</v>
      </c>
      <c r="AS305">
        <v>0</v>
      </c>
      <c r="AT305">
        <v>8</v>
      </c>
      <c r="AU305">
        <v>5</v>
      </c>
      <c r="AV305">
        <v>3</v>
      </c>
      <c r="AW305">
        <v>0</v>
      </c>
      <c r="AX305">
        <v>3</v>
      </c>
      <c r="AY305">
        <v>9</v>
      </c>
      <c r="AZ305">
        <v>3</v>
      </c>
      <c r="BA305">
        <v>0</v>
      </c>
      <c r="BB305">
        <v>1</v>
      </c>
      <c r="BC305" s="2">
        <v>13</v>
      </c>
      <c r="BD305" s="2">
        <v>10.455</v>
      </c>
      <c r="BE305" s="2">
        <v>15.5</v>
      </c>
      <c r="BF305" s="2">
        <v>13.565</v>
      </c>
      <c r="BG305" s="2">
        <v>12.9</v>
      </c>
      <c r="BH305" s="2">
        <v>14.903</v>
      </c>
      <c r="BI305" s="2">
        <v>12.923</v>
      </c>
      <c r="BJ305" s="2">
        <v>9</v>
      </c>
      <c r="BK305" s="2">
        <v>6</v>
      </c>
      <c r="BL305" s="2">
        <v>0</v>
      </c>
      <c r="BM305" s="2">
        <v>8</v>
      </c>
      <c r="BN305" s="2">
        <v>5</v>
      </c>
      <c r="BO305" s="2">
        <v>3</v>
      </c>
      <c r="BP305" s="2">
        <v>0</v>
      </c>
      <c r="BQ305" s="2">
        <v>3</v>
      </c>
      <c r="BR305" s="2">
        <v>9</v>
      </c>
      <c r="BS305" s="2">
        <v>3</v>
      </c>
      <c r="BT305" s="2">
        <v>0</v>
      </c>
      <c r="BU305" s="2">
        <v>1</v>
      </c>
      <c r="BV305" s="2">
        <f t="shared" si="21"/>
        <v>140.24600000000001</v>
      </c>
      <c r="BW305" s="16">
        <f t="shared" si="19"/>
        <v>7.381368421052632</v>
      </c>
      <c r="BX305" s="16">
        <f>COUNTIF($BC$6:BU305, "=0") / COUNTIF($BC$6:BU305, "&gt;-1")</f>
        <v>7.4736842105263157E-2</v>
      </c>
      <c r="BY305" s="18">
        <f>SUM($BC$6:BU305) / $BY$4</f>
        <v>0.76317177214211029</v>
      </c>
      <c r="BZ305" s="14">
        <f t="shared" si="20"/>
        <v>3</v>
      </c>
      <c r="CA305" t="s">
        <v>5831</v>
      </c>
      <c r="CB305" s="36">
        <v>15.7513641458515</v>
      </c>
      <c r="CC305" s="36">
        <v>10.112173267113199</v>
      </c>
      <c r="CD305" s="36">
        <v>24.812363758090001</v>
      </c>
      <c r="CE305" s="36">
        <v>20.562135924483901</v>
      </c>
      <c r="CF305" s="36">
        <v>11.0962750431859</v>
      </c>
      <c r="CG305" s="36">
        <v>13.8529359749284</v>
      </c>
      <c r="CH305" s="36">
        <v>13.5974034489539</v>
      </c>
      <c r="CI305" s="36">
        <v>8.7586523818407507</v>
      </c>
      <c r="CJ305" s="37">
        <v>4.7685497594697397</v>
      </c>
      <c r="CK305" s="37">
        <v>5.0451971751062796</v>
      </c>
      <c r="CL305" s="37">
        <v>4.0002717413367099</v>
      </c>
      <c r="CM305" s="37">
        <v>2.5396411397998202</v>
      </c>
      <c r="CN305" s="37">
        <v>2.7563776974453398</v>
      </c>
      <c r="CO305" s="37">
        <v>7.1027151334661296</v>
      </c>
      <c r="CP305" s="37">
        <v>4.5256201435872701</v>
      </c>
      <c r="CQ305" s="37">
        <v>1.5226368464746201</v>
      </c>
      <c r="CR305" s="45">
        <v>-1.7579077764858999</v>
      </c>
      <c r="CS305" s="45">
        <v>-3.6745069444337801</v>
      </c>
      <c r="CT305" s="46">
        <v>8.5988741027175504E-7</v>
      </c>
      <c r="CU305" s="47">
        <v>4.3252983268556701E-6</v>
      </c>
      <c r="CV305" s="48">
        <v>14.8179129930559</v>
      </c>
      <c r="CW305" s="49">
        <v>4.0326262045857399</v>
      </c>
      <c r="CX305" s="31" t="s">
        <v>5875</v>
      </c>
      <c r="CY305" s="31" t="s">
        <v>5876</v>
      </c>
      <c r="CZ305" t="s">
        <v>12741</v>
      </c>
      <c r="DA305" t="s">
        <v>5904</v>
      </c>
      <c r="DB305">
        <v>716.8</v>
      </c>
      <c r="DC305" t="s">
        <v>33844</v>
      </c>
      <c r="DD305" t="s">
        <v>33845</v>
      </c>
      <c r="DE305" t="s">
        <v>33846</v>
      </c>
      <c r="DF305" t="s">
        <v>33847</v>
      </c>
      <c r="DG305" t="s">
        <v>33848</v>
      </c>
      <c r="DH305" t="str">
        <f>"NECTIN2 PVRL2"</f>
        <v>NECTIN2 PVRL2</v>
      </c>
      <c r="DI305" t="s">
        <v>13772</v>
      </c>
      <c r="DJ305" t="s">
        <v>13777</v>
      </c>
      <c r="DK305">
        <v>9606</v>
      </c>
      <c r="DL305" s="34" t="str">
        <f>HYPERLINK("http://www.uniprot.org/uniprot/Q92692", "Q92692")</f>
        <v>Q92692</v>
      </c>
      <c r="DM305" t="s">
        <v>33849</v>
      </c>
      <c r="DN305" t="s">
        <v>16592</v>
      </c>
      <c r="DO305" t="s">
        <v>13792</v>
      </c>
      <c r="DP305" t="s">
        <v>13841</v>
      </c>
      <c r="DQ305" t="s">
        <v>13772</v>
      </c>
      <c r="DR305" t="s">
        <v>13772</v>
      </c>
      <c r="DS305" t="s">
        <v>13951</v>
      </c>
      <c r="DT305" t="s">
        <v>13772</v>
      </c>
      <c r="DU305" t="s">
        <v>18791</v>
      </c>
      <c r="DV305" t="s">
        <v>13964</v>
      </c>
      <c r="DW305" t="s">
        <v>13812</v>
      </c>
      <c r="DX305" t="s">
        <v>33850</v>
      </c>
      <c r="DY305" t="s">
        <v>33851</v>
      </c>
      <c r="DZ305" t="s">
        <v>33852</v>
      </c>
      <c r="EA305" t="s">
        <v>13772</v>
      </c>
      <c r="EB305" t="s">
        <v>33853</v>
      </c>
    </row>
    <row r="306" spans="1:132">
      <c r="A306">
        <v>255</v>
      </c>
      <c r="B306">
        <v>1</v>
      </c>
      <c r="C306" t="s">
        <v>648</v>
      </c>
      <c r="D306" t="s">
        <v>73</v>
      </c>
      <c r="E306" t="s">
        <v>73</v>
      </c>
      <c r="F306" t="s">
        <v>649</v>
      </c>
      <c r="G306" t="s">
        <v>73</v>
      </c>
      <c r="H306">
        <v>53.9</v>
      </c>
      <c r="I306">
        <v>245</v>
      </c>
      <c r="J306">
        <v>27745</v>
      </c>
      <c r="K306" t="s">
        <v>650</v>
      </c>
      <c r="L306">
        <f t="shared" si="18"/>
        <v>159</v>
      </c>
      <c r="N306">
        <v>159</v>
      </c>
      <c r="O306">
        <v>126</v>
      </c>
      <c r="P306">
        <v>0.79200000000000004</v>
      </c>
      <c r="Q306">
        <v>2</v>
      </c>
      <c r="R306">
        <v>9</v>
      </c>
      <c r="S306">
        <v>7</v>
      </c>
      <c r="T306">
        <v>2</v>
      </c>
      <c r="U306">
        <v>14</v>
      </c>
      <c r="V306">
        <v>11</v>
      </c>
      <c r="W306">
        <v>12</v>
      </c>
      <c r="X306">
        <v>10</v>
      </c>
      <c r="Y306">
        <v>19</v>
      </c>
      <c r="Z306">
        <v>2</v>
      </c>
      <c r="AA306">
        <v>13</v>
      </c>
      <c r="AB306">
        <v>18</v>
      </c>
      <c r="AC306">
        <v>12</v>
      </c>
      <c r="AD306">
        <v>3</v>
      </c>
      <c r="AE306">
        <v>12</v>
      </c>
      <c r="AF306">
        <v>6</v>
      </c>
      <c r="AG306">
        <v>3</v>
      </c>
      <c r="AH306">
        <v>1</v>
      </c>
      <c r="AI306">
        <v>3</v>
      </c>
      <c r="AJ306">
        <v>1</v>
      </c>
      <c r="AK306">
        <v>7</v>
      </c>
      <c r="AL306">
        <v>5</v>
      </c>
      <c r="AM306">
        <v>1</v>
      </c>
      <c r="AN306">
        <v>9</v>
      </c>
      <c r="AO306">
        <v>8</v>
      </c>
      <c r="AP306">
        <v>11</v>
      </c>
      <c r="AQ306">
        <v>9</v>
      </c>
      <c r="AR306">
        <v>14</v>
      </c>
      <c r="AS306">
        <v>1</v>
      </c>
      <c r="AT306">
        <v>12</v>
      </c>
      <c r="AU306">
        <v>17</v>
      </c>
      <c r="AV306">
        <v>9</v>
      </c>
      <c r="AW306">
        <v>2</v>
      </c>
      <c r="AX306">
        <v>11</v>
      </c>
      <c r="AY306">
        <v>5</v>
      </c>
      <c r="AZ306">
        <v>2</v>
      </c>
      <c r="BA306">
        <v>1</v>
      </c>
      <c r="BB306">
        <v>1</v>
      </c>
      <c r="BC306" s="2">
        <v>1.143</v>
      </c>
      <c r="BD306" s="2">
        <v>7.8890000000000002</v>
      </c>
      <c r="BE306" s="2">
        <v>5.9130000000000003</v>
      </c>
      <c r="BF306" s="2">
        <v>1.2</v>
      </c>
      <c r="BG306" s="2">
        <v>11.089</v>
      </c>
      <c r="BH306" s="2">
        <v>9.32</v>
      </c>
      <c r="BI306" s="2">
        <v>11.355</v>
      </c>
      <c r="BJ306" s="2">
        <v>9.2650000000000006</v>
      </c>
      <c r="BK306" s="2">
        <v>15.954000000000001</v>
      </c>
      <c r="BL306" s="2">
        <v>2</v>
      </c>
      <c r="BM306" s="2">
        <v>12.151999999999999</v>
      </c>
      <c r="BN306" s="2">
        <v>17.327000000000002</v>
      </c>
      <c r="BO306" s="2">
        <v>10.061999999999999</v>
      </c>
      <c r="BP306" s="2">
        <v>2.4</v>
      </c>
      <c r="BQ306" s="2">
        <v>11.44</v>
      </c>
      <c r="BR306" s="2">
        <v>5.2939999999999996</v>
      </c>
      <c r="BS306" s="2">
        <v>2.2000000000000002</v>
      </c>
      <c r="BT306" s="2">
        <v>1</v>
      </c>
      <c r="BU306" s="2">
        <v>3</v>
      </c>
      <c r="BV306" s="2">
        <f t="shared" si="21"/>
        <v>140.00300000000001</v>
      </c>
      <c r="BW306" s="16">
        <f t="shared" si="19"/>
        <v>7.3685789473684222</v>
      </c>
      <c r="BX306" s="16">
        <f>COUNTIF($BC$6:BU306, "=0") / COUNTIF($BC$6:BU306, "&gt;-1")</f>
        <v>7.4488546948767262E-2</v>
      </c>
      <c r="BY306" s="18">
        <f>SUM($BC$6:BU306) / $BY$4</f>
        <v>0.76377149415463919</v>
      </c>
      <c r="BZ306" s="14">
        <f t="shared" si="20"/>
        <v>0</v>
      </c>
      <c r="CA306" t="s">
        <v>5831</v>
      </c>
      <c r="CB306" s="36">
        <v>1.3328077354182</v>
      </c>
      <c r="CC306" s="36">
        <v>7.6082065533518302</v>
      </c>
      <c r="CD306" s="36">
        <v>9.44470620469232</v>
      </c>
      <c r="CE306" s="36">
        <v>1.8143061109838801</v>
      </c>
      <c r="CF306" s="36">
        <v>9.5479575952995006</v>
      </c>
      <c r="CG306" s="36">
        <v>8.6464633937472701</v>
      </c>
      <c r="CH306" s="36">
        <v>12.016310024656899</v>
      </c>
      <c r="CI306" s="36">
        <v>9.0506074612354492</v>
      </c>
      <c r="CJ306" s="37">
        <v>12.716132691919301</v>
      </c>
      <c r="CK306" s="37">
        <v>7.6939256920370802</v>
      </c>
      <c r="CL306" s="37">
        <v>13.840940225024999</v>
      </c>
      <c r="CM306" s="37">
        <v>8.5501251706594008</v>
      </c>
      <c r="CN306" s="37">
        <v>10.474235250292301</v>
      </c>
      <c r="CO306" s="37">
        <v>4.1827100230411602</v>
      </c>
      <c r="CP306" s="37">
        <v>3.31878810529733</v>
      </c>
      <c r="CQ306" s="37">
        <v>4.5679105394238499</v>
      </c>
      <c r="CR306" s="45">
        <v>0.145664074775991</v>
      </c>
      <c r="CS306" s="45">
        <v>1.0989449638509901</v>
      </c>
      <c r="CT306" s="46">
        <v>0.77930074728999799</v>
      </c>
      <c r="CU306" s="47">
        <v>0.83519703989177596</v>
      </c>
      <c r="CV306" s="48">
        <v>7.4326706349231699</v>
      </c>
      <c r="CW306" s="49">
        <v>8.1680959622119307</v>
      </c>
      <c r="CX306" s="31" t="s">
        <v>5874</v>
      </c>
      <c r="CY306" s="31" t="s">
        <v>5832</v>
      </c>
      <c r="CZ306" t="s">
        <v>6583</v>
      </c>
      <c r="DA306" t="s">
        <v>5904</v>
      </c>
      <c r="DB306">
        <v>502.3</v>
      </c>
      <c r="DC306" t="s">
        <v>16072</v>
      </c>
      <c r="DD306" t="s">
        <v>16073</v>
      </c>
      <c r="DE306" t="s">
        <v>16074</v>
      </c>
      <c r="DF306" t="s">
        <v>16075</v>
      </c>
      <c r="DG306" t="s">
        <v>16076</v>
      </c>
      <c r="DH306" t="str">
        <f>"YWHAZ"</f>
        <v>YWHAZ</v>
      </c>
      <c r="DI306" t="s">
        <v>13772</v>
      </c>
      <c r="DJ306" t="s">
        <v>13777</v>
      </c>
      <c r="DK306">
        <v>9606</v>
      </c>
      <c r="DL306" s="34" t="str">
        <f>HYPERLINK("http://www.uniprot.org/uniprot/P63104", "P63104")</f>
        <v>P63104</v>
      </c>
      <c r="DM306" t="s">
        <v>16077</v>
      </c>
      <c r="DN306" t="s">
        <v>13772</v>
      </c>
      <c r="DO306" t="s">
        <v>13899</v>
      </c>
      <c r="DP306" t="s">
        <v>13841</v>
      </c>
      <c r="DQ306" t="s">
        <v>13772</v>
      </c>
      <c r="DR306" t="s">
        <v>13772</v>
      </c>
      <c r="DS306" t="s">
        <v>13772</v>
      </c>
      <c r="DT306" t="s">
        <v>13772</v>
      </c>
      <c r="DU306" t="s">
        <v>13772</v>
      </c>
      <c r="DV306" t="s">
        <v>13886</v>
      </c>
      <c r="DW306" t="s">
        <v>13812</v>
      </c>
      <c r="DX306" t="s">
        <v>16078</v>
      </c>
      <c r="DY306" t="s">
        <v>16079</v>
      </c>
      <c r="DZ306" t="s">
        <v>16080</v>
      </c>
      <c r="EA306" t="s">
        <v>13772</v>
      </c>
      <c r="EB306" t="s">
        <v>16081</v>
      </c>
    </row>
    <row r="307" spans="1:132" hidden="1">
      <c r="A307">
        <v>1462</v>
      </c>
      <c r="B307">
        <v>1</v>
      </c>
      <c r="C307" t="s">
        <v>3479</v>
      </c>
      <c r="D307" t="s">
        <v>73</v>
      </c>
      <c r="E307" t="s">
        <v>73</v>
      </c>
      <c r="F307" t="s">
        <v>73</v>
      </c>
      <c r="G307" t="s">
        <v>73</v>
      </c>
      <c r="H307">
        <v>40.200000000000003</v>
      </c>
      <c r="I307">
        <v>874</v>
      </c>
      <c r="J307">
        <v>99913</v>
      </c>
      <c r="K307" t="s">
        <v>3480</v>
      </c>
      <c r="L307">
        <f t="shared" si="18"/>
        <v>139</v>
      </c>
      <c r="N307">
        <v>139</v>
      </c>
      <c r="O307">
        <v>139</v>
      </c>
      <c r="P307">
        <v>1</v>
      </c>
      <c r="Q307">
        <v>6</v>
      </c>
      <c r="R307">
        <v>14</v>
      </c>
      <c r="S307">
        <v>1</v>
      </c>
      <c r="T307">
        <v>5</v>
      </c>
      <c r="U307">
        <v>31</v>
      </c>
      <c r="V307">
        <v>20</v>
      </c>
      <c r="W307">
        <v>10</v>
      </c>
      <c r="X307">
        <v>10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3</v>
      </c>
      <c r="AG307">
        <v>35</v>
      </c>
      <c r="AH307">
        <v>1</v>
      </c>
      <c r="AI307">
        <v>2</v>
      </c>
      <c r="AJ307">
        <v>6</v>
      </c>
      <c r="AK307">
        <v>14</v>
      </c>
      <c r="AL307">
        <v>1</v>
      </c>
      <c r="AM307">
        <v>5</v>
      </c>
      <c r="AN307">
        <v>31</v>
      </c>
      <c r="AO307">
        <v>20</v>
      </c>
      <c r="AP307">
        <v>10</v>
      </c>
      <c r="AQ307">
        <v>10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3</v>
      </c>
      <c r="AZ307">
        <v>35</v>
      </c>
      <c r="BA307">
        <v>1</v>
      </c>
      <c r="BB307">
        <v>2</v>
      </c>
      <c r="BC307" s="2">
        <v>6</v>
      </c>
      <c r="BD307" s="2">
        <v>14</v>
      </c>
      <c r="BE307" s="2">
        <v>1</v>
      </c>
      <c r="BF307" s="2">
        <v>5</v>
      </c>
      <c r="BG307" s="2">
        <v>31</v>
      </c>
      <c r="BH307" s="2">
        <v>20</v>
      </c>
      <c r="BI307" s="2">
        <v>10</v>
      </c>
      <c r="BJ307" s="2">
        <v>10</v>
      </c>
      <c r="BK307" s="2">
        <v>0</v>
      </c>
      <c r="BL307" s="2">
        <v>0</v>
      </c>
      <c r="BM307" s="2">
        <v>0</v>
      </c>
      <c r="BN307" s="2">
        <v>0</v>
      </c>
      <c r="BO307" s="2">
        <v>1</v>
      </c>
      <c r="BP307" s="2">
        <v>0</v>
      </c>
      <c r="BQ307" s="2">
        <v>0</v>
      </c>
      <c r="BR307" s="2">
        <v>3</v>
      </c>
      <c r="BS307" s="2">
        <v>35</v>
      </c>
      <c r="BT307" s="2">
        <v>1</v>
      </c>
      <c r="BU307" s="2">
        <v>2</v>
      </c>
      <c r="BV307" s="2">
        <f t="shared" si="21"/>
        <v>139</v>
      </c>
      <c r="BW307" s="16">
        <f t="shared" si="19"/>
        <v>7.3157894736842106</v>
      </c>
      <c r="BX307" s="16">
        <f>COUNTIF($BC$6:BU307, "=0") / COUNTIF($BC$6:BU307, "&gt;-1")</f>
        <v>7.5287556639944228E-2</v>
      </c>
      <c r="BY307" s="18">
        <f>SUM($BC$6:BU307) / $BY$4</f>
        <v>0.76436691967938863</v>
      </c>
      <c r="BZ307" s="14">
        <f t="shared" si="20"/>
        <v>6</v>
      </c>
      <c r="CA307" t="s">
        <v>5831</v>
      </c>
      <c r="CB307" s="36">
        <v>7.2698603750083803</v>
      </c>
      <c r="CC307" s="36">
        <v>13.4828976894843</v>
      </c>
      <c r="CD307" s="36">
        <v>1.6007976618122599</v>
      </c>
      <c r="CE307" s="36">
        <v>7.5596087957661497</v>
      </c>
      <c r="CF307" s="36">
        <v>26.6654671580437</v>
      </c>
      <c r="CG307" s="36">
        <v>18.594544932789798</v>
      </c>
      <c r="CH307" s="36">
        <v>10.5406228286464</v>
      </c>
      <c r="CI307" s="36">
        <v>9.7318359798230603</v>
      </c>
      <c r="CJ307" s="37">
        <v>0.19868957331123899</v>
      </c>
      <c r="CK307" s="37">
        <v>0.15766241172207099</v>
      </c>
      <c r="CL307" s="37">
        <v>0.200013587066836</v>
      </c>
      <c r="CM307" s="37">
        <v>0.84654704659994096</v>
      </c>
      <c r="CN307" s="37">
        <v>0.22969814145377901</v>
      </c>
      <c r="CO307" s="37">
        <v>2.36757171115537</v>
      </c>
      <c r="CP307" s="37">
        <v>52.798901675184801</v>
      </c>
      <c r="CQ307" s="37">
        <v>3.0452736929492299</v>
      </c>
      <c r="CR307" s="45">
        <v>-0.734237491565504</v>
      </c>
      <c r="CS307" s="45">
        <v>-1.59489781271353</v>
      </c>
      <c r="CT307" s="46">
        <v>0.461922141714108</v>
      </c>
      <c r="CU307" s="47">
        <v>0.54501924657273004</v>
      </c>
      <c r="CV307" s="48">
        <v>11.930704427671699</v>
      </c>
      <c r="CW307" s="49">
        <v>7.4805447299304104</v>
      </c>
      <c r="CX307" s="31" t="s">
        <v>5875</v>
      </c>
      <c r="CY307" s="31" t="s">
        <v>5832</v>
      </c>
      <c r="CZ307" t="s">
        <v>10605</v>
      </c>
      <c r="DA307" t="s">
        <v>5904</v>
      </c>
      <c r="DB307">
        <v>1578.2</v>
      </c>
      <c r="DC307" t="s">
        <v>27838</v>
      </c>
      <c r="DD307" t="s">
        <v>27839</v>
      </c>
      <c r="DE307" t="s">
        <v>27840</v>
      </c>
      <c r="DF307" t="s">
        <v>27841</v>
      </c>
      <c r="DG307" t="s">
        <v>27842</v>
      </c>
      <c r="DH307" t="str">
        <f>"ENPP3"</f>
        <v>ENPP3</v>
      </c>
      <c r="DI307" t="s">
        <v>27843</v>
      </c>
      <c r="DJ307" t="s">
        <v>13777</v>
      </c>
      <c r="DK307">
        <v>9606</v>
      </c>
      <c r="DL307" s="34" t="str">
        <f>HYPERLINK("http://www.uniprot.org/uniprot/O14638", "O14638")</f>
        <v>O14638</v>
      </c>
      <c r="DM307" t="s">
        <v>27844</v>
      </c>
      <c r="DN307" t="s">
        <v>13772</v>
      </c>
      <c r="DO307" t="s">
        <v>14336</v>
      </c>
      <c r="DP307" t="s">
        <v>13793</v>
      </c>
      <c r="DQ307" t="s">
        <v>13772</v>
      </c>
      <c r="DR307" t="s">
        <v>13772</v>
      </c>
      <c r="DS307" t="s">
        <v>17249</v>
      </c>
      <c r="DT307" t="s">
        <v>14628</v>
      </c>
      <c r="DU307" t="s">
        <v>13857</v>
      </c>
      <c r="DV307" t="s">
        <v>13796</v>
      </c>
      <c r="DW307" t="s">
        <v>13812</v>
      </c>
      <c r="DX307" t="s">
        <v>27845</v>
      </c>
      <c r="DY307" t="s">
        <v>27846</v>
      </c>
      <c r="DZ307" t="s">
        <v>27847</v>
      </c>
      <c r="EA307" t="s">
        <v>13772</v>
      </c>
      <c r="EB307" t="s">
        <v>14633</v>
      </c>
    </row>
    <row r="308" spans="1:132" hidden="1">
      <c r="A308">
        <v>597</v>
      </c>
      <c r="B308">
        <v>1</v>
      </c>
      <c r="C308" t="s">
        <v>1479</v>
      </c>
      <c r="D308" t="s">
        <v>73</v>
      </c>
      <c r="E308" t="s">
        <v>73</v>
      </c>
      <c r="F308" t="s">
        <v>1480</v>
      </c>
      <c r="G308" t="s">
        <v>73</v>
      </c>
      <c r="H308">
        <v>42</v>
      </c>
      <c r="I308">
        <v>193</v>
      </c>
      <c r="J308">
        <v>20898</v>
      </c>
      <c r="K308" t="s">
        <v>1481</v>
      </c>
      <c r="L308">
        <f t="shared" si="18"/>
        <v>227</v>
      </c>
      <c r="N308">
        <v>227</v>
      </c>
      <c r="O308">
        <v>91</v>
      </c>
      <c r="P308">
        <v>0.40100000000000002</v>
      </c>
      <c r="Q308">
        <v>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72</v>
      </c>
      <c r="Z308">
        <v>35</v>
      </c>
      <c r="AA308">
        <v>35</v>
      </c>
      <c r="AB308">
        <v>13</v>
      </c>
      <c r="AC308">
        <v>11</v>
      </c>
      <c r="AD308">
        <v>2</v>
      </c>
      <c r="AE308">
        <v>12</v>
      </c>
      <c r="AF308">
        <v>11</v>
      </c>
      <c r="AG308">
        <v>9</v>
      </c>
      <c r="AH308">
        <v>4</v>
      </c>
      <c r="AI308">
        <v>18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37</v>
      </c>
      <c r="AS308">
        <v>5</v>
      </c>
      <c r="AT308">
        <v>18</v>
      </c>
      <c r="AU308">
        <v>4</v>
      </c>
      <c r="AV308">
        <v>9</v>
      </c>
      <c r="AW308">
        <v>0</v>
      </c>
      <c r="AX308">
        <v>6</v>
      </c>
      <c r="AY308">
        <v>4</v>
      </c>
      <c r="AZ308">
        <v>2</v>
      </c>
      <c r="BA308">
        <v>0</v>
      </c>
      <c r="BB308">
        <v>6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51.241999999999997</v>
      </c>
      <c r="BL308" s="2">
        <v>8.2530000000000001</v>
      </c>
      <c r="BM308" s="2">
        <v>27.045000000000002</v>
      </c>
      <c r="BN308" s="2">
        <v>8.3849999999999998</v>
      </c>
      <c r="BO308" s="2">
        <v>10.096</v>
      </c>
      <c r="BP308" s="2">
        <v>0</v>
      </c>
      <c r="BQ308" s="2">
        <v>9.1340000000000003</v>
      </c>
      <c r="BR308" s="2">
        <v>7.4329999999999998</v>
      </c>
      <c r="BS308" s="2">
        <v>6.4859999999999998</v>
      </c>
      <c r="BT308" s="2">
        <v>0</v>
      </c>
      <c r="BU308" s="2">
        <v>10.454000000000001</v>
      </c>
      <c r="BV308" s="2">
        <f t="shared" si="21"/>
        <v>138.52799999999999</v>
      </c>
      <c r="BW308" s="16">
        <f t="shared" si="19"/>
        <v>7.290947368421052</v>
      </c>
      <c r="BX308" s="16">
        <f>COUNTIF($BC$6:BU308, "=0") / COUNTIF($BC$6:BU308, "&gt;-1")</f>
        <v>7.6776098662497835E-2</v>
      </c>
      <c r="BY308" s="18">
        <f>SUM($BC$6:BU308) / $BY$4</f>
        <v>0.76496032332753594</v>
      </c>
      <c r="BZ308" s="14">
        <f t="shared" si="20"/>
        <v>10</v>
      </c>
      <c r="CA308" t="s">
        <v>5831</v>
      </c>
      <c r="CB308" s="36">
        <v>0.30291084895868198</v>
      </c>
      <c r="CC308" s="36">
        <v>0.24076603016936199</v>
      </c>
      <c r="CD308" s="36">
        <v>0.40019941545306398</v>
      </c>
      <c r="CE308" s="36">
        <v>0.37798043978830698</v>
      </c>
      <c r="CF308" s="36">
        <v>0.215044089984223</v>
      </c>
      <c r="CG308" s="36">
        <v>0.23243181165987301</v>
      </c>
      <c r="CH308" s="36">
        <v>0.26351557071616</v>
      </c>
      <c r="CI308" s="36">
        <v>0.24329589949557701</v>
      </c>
      <c r="CJ308" s="37">
        <v>40.691624614141801</v>
      </c>
      <c r="CK308" s="37">
        <v>17.027540465983702</v>
      </c>
      <c r="CL308" s="37">
        <v>6.7204565254456803</v>
      </c>
      <c r="CM308" s="37">
        <v>8.5501251706594008</v>
      </c>
      <c r="CN308" s="37">
        <v>8.3610123489175407</v>
      </c>
      <c r="CO308" s="37">
        <v>5.8400102208499298</v>
      </c>
      <c r="CP308" s="37">
        <v>9.8055103111057509</v>
      </c>
      <c r="CQ308" s="37">
        <v>15.9876868879835</v>
      </c>
      <c r="CR308" s="45">
        <v>5.1779168213014097</v>
      </c>
      <c r="CS308" s="45">
        <v>49.638318696991298</v>
      </c>
      <c r="CT308" s="46">
        <v>2.7688099727800999E-12</v>
      </c>
      <c r="CU308" s="47">
        <v>7.3546188205128104E-11</v>
      </c>
      <c r="CV308" s="48">
        <v>0.28451801327815601</v>
      </c>
      <c r="CW308" s="49">
        <v>14.1229958181359</v>
      </c>
      <c r="CX308" s="31" t="s">
        <v>5874</v>
      </c>
      <c r="CY308" s="31" t="s">
        <v>5876</v>
      </c>
      <c r="CZ308" t="s">
        <v>7762</v>
      </c>
      <c r="DA308" t="s">
        <v>5904</v>
      </c>
      <c r="DB308">
        <v>184.5</v>
      </c>
      <c r="DC308" t="s">
        <v>19672</v>
      </c>
      <c r="DD308" t="s">
        <v>19673</v>
      </c>
      <c r="DE308" t="s">
        <v>19674</v>
      </c>
      <c r="DF308" t="s">
        <v>19675</v>
      </c>
      <c r="DG308" t="s">
        <v>19676</v>
      </c>
      <c r="DH308" t="str">
        <f>"SAA1"</f>
        <v>SAA1</v>
      </c>
      <c r="DI308" t="s">
        <v>13772</v>
      </c>
      <c r="DJ308" t="s">
        <v>13777</v>
      </c>
      <c r="DK308">
        <v>9606</v>
      </c>
      <c r="DL308" s="34" t="str">
        <f>HYPERLINK("http://www.uniprot.org/uniprot/P0DJI8", "P0DJI8")</f>
        <v>P0DJI8</v>
      </c>
      <c r="DM308" t="s">
        <v>19677</v>
      </c>
      <c r="DN308" t="s">
        <v>14374</v>
      </c>
      <c r="DO308" t="s">
        <v>19678</v>
      </c>
      <c r="DP308" t="s">
        <v>13793</v>
      </c>
      <c r="DQ308" t="s">
        <v>13772</v>
      </c>
      <c r="DR308" t="s">
        <v>19679</v>
      </c>
      <c r="DS308" t="s">
        <v>13808</v>
      </c>
      <c r="DT308" t="s">
        <v>13772</v>
      </c>
      <c r="DU308" t="s">
        <v>14073</v>
      </c>
      <c r="DV308" t="s">
        <v>17914</v>
      </c>
      <c r="DW308" t="s">
        <v>13812</v>
      </c>
      <c r="DX308" t="s">
        <v>19680</v>
      </c>
      <c r="DY308" t="s">
        <v>19681</v>
      </c>
      <c r="DZ308" t="s">
        <v>19682</v>
      </c>
      <c r="EA308" t="s">
        <v>13772</v>
      </c>
      <c r="EB308" t="s">
        <v>19683</v>
      </c>
    </row>
    <row r="309" spans="1:132" hidden="1">
      <c r="A309">
        <v>153</v>
      </c>
      <c r="B309">
        <v>1</v>
      </c>
      <c r="C309" t="s">
        <v>388</v>
      </c>
      <c r="D309" t="s">
        <v>73</v>
      </c>
      <c r="E309" t="s">
        <v>73</v>
      </c>
      <c r="F309" t="s">
        <v>389</v>
      </c>
      <c r="G309" t="s">
        <v>73</v>
      </c>
      <c r="H309">
        <v>57</v>
      </c>
      <c r="I309">
        <v>505</v>
      </c>
      <c r="J309">
        <v>56815</v>
      </c>
      <c r="K309" t="s">
        <v>390</v>
      </c>
      <c r="L309">
        <f t="shared" si="18"/>
        <v>139</v>
      </c>
      <c r="N309">
        <v>139</v>
      </c>
      <c r="O309">
        <v>137</v>
      </c>
      <c r="P309">
        <v>0.98599999999999999</v>
      </c>
      <c r="Q309">
        <v>4</v>
      </c>
      <c r="R309">
        <v>6</v>
      </c>
      <c r="S309">
        <v>0</v>
      </c>
      <c r="T309">
        <v>0</v>
      </c>
      <c r="U309">
        <v>2</v>
      </c>
      <c r="V309">
        <v>1</v>
      </c>
      <c r="W309">
        <v>1</v>
      </c>
      <c r="X309">
        <v>3</v>
      </c>
      <c r="Y309">
        <v>13</v>
      </c>
      <c r="Z309">
        <v>2</v>
      </c>
      <c r="AA309">
        <v>21</v>
      </c>
      <c r="AB309">
        <v>24</v>
      </c>
      <c r="AC309">
        <v>14</v>
      </c>
      <c r="AD309">
        <v>9</v>
      </c>
      <c r="AE309">
        <v>15</v>
      </c>
      <c r="AF309">
        <v>16</v>
      </c>
      <c r="AG309">
        <v>7</v>
      </c>
      <c r="AH309">
        <v>1</v>
      </c>
      <c r="AI309">
        <v>0</v>
      </c>
      <c r="AJ309">
        <v>4</v>
      </c>
      <c r="AK309">
        <v>6</v>
      </c>
      <c r="AL309">
        <v>0</v>
      </c>
      <c r="AM309">
        <v>0</v>
      </c>
      <c r="AN309">
        <v>2</v>
      </c>
      <c r="AO309">
        <v>1</v>
      </c>
      <c r="AP309">
        <v>1</v>
      </c>
      <c r="AQ309">
        <v>3</v>
      </c>
      <c r="AR309">
        <v>13</v>
      </c>
      <c r="AS309">
        <v>2</v>
      </c>
      <c r="AT309">
        <v>20</v>
      </c>
      <c r="AU309">
        <v>24</v>
      </c>
      <c r="AV309">
        <v>13</v>
      </c>
      <c r="AW309">
        <v>9</v>
      </c>
      <c r="AX309">
        <v>15</v>
      </c>
      <c r="AY309">
        <v>16</v>
      </c>
      <c r="AZ309">
        <v>7</v>
      </c>
      <c r="BA309">
        <v>1</v>
      </c>
      <c r="BB309">
        <v>0</v>
      </c>
      <c r="BC309" s="2">
        <v>4</v>
      </c>
      <c r="BD309" s="2">
        <v>6</v>
      </c>
      <c r="BE309" s="2">
        <v>0</v>
      </c>
      <c r="BF309" s="2">
        <v>0</v>
      </c>
      <c r="BG309" s="2">
        <v>2</v>
      </c>
      <c r="BH309" s="2">
        <v>1</v>
      </c>
      <c r="BI309" s="2">
        <v>1</v>
      </c>
      <c r="BJ309" s="2">
        <v>3</v>
      </c>
      <c r="BK309" s="2">
        <v>13</v>
      </c>
      <c r="BL309" s="2">
        <v>2</v>
      </c>
      <c r="BM309" s="2">
        <v>20.69</v>
      </c>
      <c r="BN309" s="2">
        <v>24</v>
      </c>
      <c r="BO309" s="2">
        <v>13.65</v>
      </c>
      <c r="BP309" s="2">
        <v>9</v>
      </c>
      <c r="BQ309" s="2">
        <v>15</v>
      </c>
      <c r="BR309" s="2">
        <v>16</v>
      </c>
      <c r="BS309" s="2">
        <v>7</v>
      </c>
      <c r="BT309" s="2">
        <v>1</v>
      </c>
      <c r="BU309" s="2">
        <v>0</v>
      </c>
      <c r="BV309" s="2">
        <f t="shared" si="21"/>
        <v>138.34</v>
      </c>
      <c r="BW309" s="16">
        <f t="shared" si="19"/>
        <v>7.2810526315789472</v>
      </c>
      <c r="BX309" s="16">
        <f>COUNTIF($BC$6:BU309, "=0") / COUNTIF($BC$6:BU309, "&gt;-1")</f>
        <v>7.7042936288088643E-2</v>
      </c>
      <c r="BY309" s="18">
        <f>SUM($BC$6:BU309) / $BY$4</f>
        <v>0.76555292165195188</v>
      </c>
      <c r="BZ309" s="14">
        <f t="shared" si="20"/>
        <v>3</v>
      </c>
      <c r="CA309" t="s">
        <v>5831</v>
      </c>
      <c r="CB309" s="36">
        <v>4.8465735833389196</v>
      </c>
      <c r="CC309" s="36">
        <v>5.7783847240646802</v>
      </c>
      <c r="CD309" s="36">
        <v>0.40019941545306398</v>
      </c>
      <c r="CE309" s="36">
        <v>0.37798043978830698</v>
      </c>
      <c r="CF309" s="36">
        <v>1.72035271987378</v>
      </c>
      <c r="CG309" s="36">
        <v>0.92972724663949102</v>
      </c>
      <c r="CH309" s="36">
        <v>1.05406228286464</v>
      </c>
      <c r="CI309" s="36">
        <v>2.9195507939469199</v>
      </c>
      <c r="CJ309" s="37">
        <v>10.331857812184399</v>
      </c>
      <c r="CK309" s="37">
        <v>13.0544476905875</v>
      </c>
      <c r="CL309" s="37">
        <v>19.201304358416198</v>
      </c>
      <c r="CM309" s="37">
        <v>11.5976945384192</v>
      </c>
      <c r="CN309" s="37">
        <v>13.7818884872267</v>
      </c>
      <c r="CO309" s="37">
        <v>12.627049126161999</v>
      </c>
      <c r="CP309" s="37">
        <v>10.559780335037001</v>
      </c>
      <c r="CQ309" s="37">
        <v>0.38065921161865401</v>
      </c>
      <c r="CR309" s="45">
        <v>2.26002689690181</v>
      </c>
      <c r="CS309" s="45">
        <v>5.0776911656741399</v>
      </c>
      <c r="CT309" s="46">
        <v>8.5897956581834195E-6</v>
      </c>
      <c r="CU309" s="47">
        <v>3.1749023731075702E-5</v>
      </c>
      <c r="CV309" s="48">
        <v>2.2533539007462302</v>
      </c>
      <c r="CW309" s="49">
        <v>11.4418351949565</v>
      </c>
      <c r="CX309" s="31" t="s">
        <v>5874</v>
      </c>
      <c r="CY309" s="31" t="s">
        <v>5876</v>
      </c>
      <c r="CZ309" t="s">
        <v>6221</v>
      </c>
      <c r="DA309" t="s">
        <v>5904</v>
      </c>
      <c r="DB309">
        <v>967.2</v>
      </c>
      <c r="DC309" t="s">
        <v>14901</v>
      </c>
      <c r="DD309" t="s">
        <v>14902</v>
      </c>
      <c r="DE309" t="s">
        <v>14903</v>
      </c>
      <c r="DF309" t="s">
        <v>14904</v>
      </c>
      <c r="DG309" t="s">
        <v>14905</v>
      </c>
      <c r="DH309" t="str">
        <f>"PDIA3"</f>
        <v>PDIA3</v>
      </c>
      <c r="DI309" t="s">
        <v>14906</v>
      </c>
      <c r="DJ309" t="s">
        <v>13777</v>
      </c>
      <c r="DK309">
        <v>9606</v>
      </c>
      <c r="DL309" s="34" t="str">
        <f>HYPERLINK("http://www.uniprot.org/uniprot/P30101", "P30101")</f>
        <v>P30101</v>
      </c>
      <c r="DM309" t="s">
        <v>14907</v>
      </c>
      <c r="DN309" t="s">
        <v>13772</v>
      </c>
      <c r="DO309" t="s">
        <v>14908</v>
      </c>
      <c r="DP309" t="s">
        <v>13793</v>
      </c>
      <c r="DQ309" t="s">
        <v>13772</v>
      </c>
      <c r="DR309" t="s">
        <v>13772</v>
      </c>
      <c r="DS309" t="s">
        <v>14909</v>
      </c>
      <c r="DT309" t="s">
        <v>13772</v>
      </c>
      <c r="DU309" t="s">
        <v>14910</v>
      </c>
      <c r="DV309" t="s">
        <v>14911</v>
      </c>
      <c r="DW309" t="s">
        <v>13812</v>
      </c>
      <c r="DX309" t="s">
        <v>14912</v>
      </c>
      <c r="DY309" t="s">
        <v>14913</v>
      </c>
      <c r="DZ309" t="s">
        <v>14914</v>
      </c>
      <c r="EA309" t="s">
        <v>13772</v>
      </c>
      <c r="EB309" t="s">
        <v>14915</v>
      </c>
    </row>
    <row r="310" spans="1:132" hidden="1">
      <c r="A310">
        <v>1147</v>
      </c>
      <c r="B310">
        <v>1</v>
      </c>
      <c r="C310" t="s">
        <v>2760</v>
      </c>
      <c r="D310" t="s">
        <v>73</v>
      </c>
      <c r="E310" t="s">
        <v>73</v>
      </c>
      <c r="F310" t="s">
        <v>73</v>
      </c>
      <c r="G310" t="s">
        <v>73</v>
      </c>
      <c r="H310">
        <v>63</v>
      </c>
      <c r="I310">
        <v>135</v>
      </c>
      <c r="J310">
        <v>14792</v>
      </c>
      <c r="K310" t="s">
        <v>2761</v>
      </c>
      <c r="L310">
        <f t="shared" si="18"/>
        <v>138</v>
      </c>
      <c r="N310">
        <v>138</v>
      </c>
      <c r="O310">
        <v>138</v>
      </c>
      <c r="P310">
        <v>1</v>
      </c>
      <c r="Q310">
        <v>2</v>
      </c>
      <c r="R310">
        <v>3</v>
      </c>
      <c r="S310">
        <v>6</v>
      </c>
      <c r="T310">
        <v>2</v>
      </c>
      <c r="U310">
        <v>15</v>
      </c>
      <c r="V310">
        <v>23</v>
      </c>
      <c r="W310">
        <v>9</v>
      </c>
      <c r="X310">
        <v>14</v>
      </c>
      <c r="Y310">
        <v>11</v>
      </c>
      <c r="Z310">
        <v>1</v>
      </c>
      <c r="AA310">
        <v>12</v>
      </c>
      <c r="AB310">
        <v>8</v>
      </c>
      <c r="AC310">
        <v>8</v>
      </c>
      <c r="AD310">
        <v>0</v>
      </c>
      <c r="AE310">
        <v>9</v>
      </c>
      <c r="AF310">
        <v>8</v>
      </c>
      <c r="AG310">
        <v>1</v>
      </c>
      <c r="AH310">
        <v>0</v>
      </c>
      <c r="AI310">
        <v>6</v>
      </c>
      <c r="AJ310">
        <v>2</v>
      </c>
      <c r="AK310">
        <v>3</v>
      </c>
      <c r="AL310">
        <v>6</v>
      </c>
      <c r="AM310">
        <v>2</v>
      </c>
      <c r="AN310">
        <v>15</v>
      </c>
      <c r="AO310">
        <v>23</v>
      </c>
      <c r="AP310">
        <v>9</v>
      </c>
      <c r="AQ310">
        <v>14</v>
      </c>
      <c r="AR310">
        <v>11</v>
      </c>
      <c r="AS310">
        <v>1</v>
      </c>
      <c r="AT310">
        <v>12</v>
      </c>
      <c r="AU310">
        <v>8</v>
      </c>
      <c r="AV310">
        <v>8</v>
      </c>
      <c r="AW310">
        <v>0</v>
      </c>
      <c r="AX310">
        <v>9</v>
      </c>
      <c r="AY310">
        <v>8</v>
      </c>
      <c r="AZ310">
        <v>1</v>
      </c>
      <c r="BA310">
        <v>0</v>
      </c>
      <c r="BB310">
        <v>6</v>
      </c>
      <c r="BC310" s="2">
        <v>2</v>
      </c>
      <c r="BD310" s="2">
        <v>3</v>
      </c>
      <c r="BE310" s="2">
        <v>6</v>
      </c>
      <c r="BF310" s="2">
        <v>2</v>
      </c>
      <c r="BG310" s="2">
        <v>15</v>
      </c>
      <c r="BH310" s="2">
        <v>23</v>
      </c>
      <c r="BI310" s="2">
        <v>9</v>
      </c>
      <c r="BJ310" s="2">
        <v>14</v>
      </c>
      <c r="BK310" s="2">
        <v>11</v>
      </c>
      <c r="BL310" s="2">
        <v>1</v>
      </c>
      <c r="BM310" s="2">
        <v>12</v>
      </c>
      <c r="BN310" s="2">
        <v>8</v>
      </c>
      <c r="BO310" s="2">
        <v>8</v>
      </c>
      <c r="BP310" s="2">
        <v>0</v>
      </c>
      <c r="BQ310" s="2">
        <v>9</v>
      </c>
      <c r="BR310" s="2">
        <v>8</v>
      </c>
      <c r="BS310" s="2">
        <v>1</v>
      </c>
      <c r="BT310" s="2">
        <v>0</v>
      </c>
      <c r="BU310" s="2">
        <v>6</v>
      </c>
      <c r="BV310" s="2">
        <f t="shared" si="21"/>
        <v>138</v>
      </c>
      <c r="BW310" s="16">
        <f t="shared" si="19"/>
        <v>7.2631578947368425</v>
      </c>
      <c r="BX310" s="16">
        <f>COUNTIF($BC$6:BU310, "=0") / COUNTIF($BC$6:BU310, "&gt;-1")</f>
        <v>7.7135461604831757E-2</v>
      </c>
      <c r="BY310" s="18">
        <f>SUM($BC$6:BU310) / $BY$4</f>
        <v>0.76614406353983255</v>
      </c>
      <c r="BZ310" s="14">
        <f t="shared" si="20"/>
        <v>2</v>
      </c>
      <c r="CA310" t="s">
        <v>5831</v>
      </c>
      <c r="CB310" s="36">
        <v>2.4232867916694598</v>
      </c>
      <c r="CC310" s="36">
        <v>2.8891923620323401</v>
      </c>
      <c r="CD310" s="36">
        <v>9.6047859708735501</v>
      </c>
      <c r="CE310" s="36">
        <v>3.0238435183064598</v>
      </c>
      <c r="CF310" s="36">
        <v>12.9026453990534</v>
      </c>
      <c r="CG310" s="36">
        <v>21.383726672708299</v>
      </c>
      <c r="CH310" s="36">
        <v>9.4865605457817708</v>
      </c>
      <c r="CI310" s="36">
        <v>13.6245703717523</v>
      </c>
      <c r="CJ310" s="37">
        <v>8.7423412256945294</v>
      </c>
      <c r="CK310" s="37">
        <v>7.5677957626594301</v>
      </c>
      <c r="CL310" s="37">
        <v>6.4004347861387396</v>
      </c>
      <c r="CM310" s="37">
        <v>6.7723763727995303</v>
      </c>
      <c r="CN310" s="37">
        <v>8.2691330923360304</v>
      </c>
      <c r="CO310" s="37">
        <v>6.3135245630809997</v>
      </c>
      <c r="CP310" s="37">
        <v>1.50854004786242</v>
      </c>
      <c r="CQ310" s="37">
        <v>9.1358210788476999</v>
      </c>
      <c r="CR310" s="45">
        <v>-0.46746415237640299</v>
      </c>
      <c r="CS310" s="45">
        <v>-1.3770546001128301</v>
      </c>
      <c r="CT310" s="46">
        <v>0.311297338517672</v>
      </c>
      <c r="CU310" s="47">
        <v>0.389996103873263</v>
      </c>
      <c r="CV310" s="48">
        <v>9.4173264540221897</v>
      </c>
      <c r="CW310" s="49">
        <v>6.8387458661774199</v>
      </c>
      <c r="CX310" s="31" t="s">
        <v>5875</v>
      </c>
      <c r="CY310" s="31" t="s">
        <v>5832</v>
      </c>
      <c r="CZ310" t="s">
        <v>9544</v>
      </c>
      <c r="DA310" t="s">
        <v>5904</v>
      </c>
      <c r="DB310">
        <v>242.7</v>
      </c>
      <c r="DC310" t="s">
        <v>24840</v>
      </c>
      <c r="DD310" t="s">
        <v>24841</v>
      </c>
      <c r="DE310" t="s">
        <v>24842</v>
      </c>
      <c r="DF310" t="s">
        <v>24843</v>
      </c>
      <c r="DG310" t="s">
        <v>24844</v>
      </c>
      <c r="DH310" t="str">
        <f>"LGALS1"</f>
        <v>LGALS1</v>
      </c>
      <c r="DI310" t="s">
        <v>13772</v>
      </c>
      <c r="DJ310" t="s">
        <v>13777</v>
      </c>
      <c r="DK310">
        <v>9606</v>
      </c>
      <c r="DL310" s="34" t="str">
        <f>HYPERLINK("http://www.uniprot.org/uniprot/P09382", "P09382")</f>
        <v>P09382</v>
      </c>
      <c r="DM310" t="s">
        <v>24845</v>
      </c>
      <c r="DN310" t="s">
        <v>17109</v>
      </c>
      <c r="DO310" t="s">
        <v>13869</v>
      </c>
      <c r="DP310" t="s">
        <v>13772</v>
      </c>
      <c r="DQ310" t="s">
        <v>13772</v>
      </c>
      <c r="DR310" t="s">
        <v>13772</v>
      </c>
      <c r="DS310" t="s">
        <v>13772</v>
      </c>
      <c r="DT310" t="s">
        <v>14277</v>
      </c>
      <c r="DU310" t="s">
        <v>13772</v>
      </c>
      <c r="DV310" t="s">
        <v>13886</v>
      </c>
      <c r="DW310" t="s">
        <v>13812</v>
      </c>
      <c r="DX310" t="s">
        <v>24846</v>
      </c>
      <c r="DY310" t="s">
        <v>24847</v>
      </c>
      <c r="DZ310" t="s">
        <v>24848</v>
      </c>
      <c r="EA310" t="s">
        <v>13772</v>
      </c>
      <c r="EB310" t="s">
        <v>17241</v>
      </c>
    </row>
    <row r="311" spans="1:132" hidden="1">
      <c r="A311">
        <v>2069</v>
      </c>
      <c r="B311">
        <v>1</v>
      </c>
      <c r="C311" t="s">
        <v>4862</v>
      </c>
      <c r="D311" t="s">
        <v>73</v>
      </c>
      <c r="E311" t="s">
        <v>73</v>
      </c>
      <c r="F311" t="s">
        <v>649</v>
      </c>
      <c r="G311" t="s">
        <v>73</v>
      </c>
      <c r="H311">
        <v>77.400000000000006</v>
      </c>
      <c r="I311">
        <v>248</v>
      </c>
      <c r="J311">
        <v>27861</v>
      </c>
      <c r="K311" t="s">
        <v>4863</v>
      </c>
      <c r="L311">
        <f t="shared" si="18"/>
        <v>157</v>
      </c>
      <c r="N311">
        <v>157</v>
      </c>
      <c r="O311">
        <v>132</v>
      </c>
      <c r="P311">
        <v>0.84099999999999997</v>
      </c>
      <c r="Q311">
        <v>1</v>
      </c>
      <c r="R311">
        <v>2</v>
      </c>
      <c r="S311">
        <v>3</v>
      </c>
      <c r="T311">
        <v>2</v>
      </c>
      <c r="U311">
        <v>5</v>
      </c>
      <c r="V311">
        <v>6</v>
      </c>
      <c r="W311">
        <v>11</v>
      </c>
      <c r="X311">
        <v>8</v>
      </c>
      <c r="Y311">
        <v>44</v>
      </c>
      <c r="Z311">
        <v>1</v>
      </c>
      <c r="AA311">
        <v>30</v>
      </c>
      <c r="AB311">
        <v>16</v>
      </c>
      <c r="AC311">
        <v>5</v>
      </c>
      <c r="AD311">
        <v>3</v>
      </c>
      <c r="AE311">
        <v>5</v>
      </c>
      <c r="AF311">
        <v>7</v>
      </c>
      <c r="AG311">
        <v>6</v>
      </c>
      <c r="AH311">
        <v>0</v>
      </c>
      <c r="AI311">
        <v>2</v>
      </c>
      <c r="AJ311">
        <v>0</v>
      </c>
      <c r="AK311">
        <v>1</v>
      </c>
      <c r="AL311">
        <v>2</v>
      </c>
      <c r="AM311">
        <v>1</v>
      </c>
      <c r="AN311">
        <v>2</v>
      </c>
      <c r="AO311">
        <v>4</v>
      </c>
      <c r="AP311">
        <v>10</v>
      </c>
      <c r="AQ311">
        <v>7</v>
      </c>
      <c r="AR311">
        <v>41</v>
      </c>
      <c r="AS311">
        <v>0</v>
      </c>
      <c r="AT311">
        <v>29</v>
      </c>
      <c r="AU311">
        <v>15</v>
      </c>
      <c r="AV311">
        <v>3</v>
      </c>
      <c r="AW311">
        <v>2</v>
      </c>
      <c r="AX311">
        <v>4</v>
      </c>
      <c r="AY311">
        <v>6</v>
      </c>
      <c r="AZ311">
        <v>5</v>
      </c>
      <c r="BA311">
        <v>0</v>
      </c>
      <c r="BB311">
        <v>0</v>
      </c>
      <c r="BC311" s="2">
        <v>0</v>
      </c>
      <c r="BD311" s="2">
        <v>1.056</v>
      </c>
      <c r="BE311" s="2">
        <v>2.1429999999999998</v>
      </c>
      <c r="BF311" s="2">
        <v>1.2</v>
      </c>
      <c r="BG311" s="2">
        <v>2.214</v>
      </c>
      <c r="BH311" s="2">
        <v>4.2960000000000003</v>
      </c>
      <c r="BI311" s="2">
        <v>10.323</v>
      </c>
      <c r="BJ311" s="2">
        <v>7.2060000000000004</v>
      </c>
      <c r="BK311" s="2">
        <v>42.447000000000003</v>
      </c>
      <c r="BL311" s="2">
        <v>0</v>
      </c>
      <c r="BM311" s="2">
        <v>29.367000000000001</v>
      </c>
      <c r="BN311" s="2">
        <v>15.288</v>
      </c>
      <c r="BO311" s="2">
        <v>3.1669999999999998</v>
      </c>
      <c r="BP311" s="2">
        <v>2.4</v>
      </c>
      <c r="BQ311" s="2">
        <v>4.16</v>
      </c>
      <c r="BR311" s="2">
        <v>6.3529999999999998</v>
      </c>
      <c r="BS311" s="2">
        <v>5.5</v>
      </c>
      <c r="BT311" s="2">
        <v>0</v>
      </c>
      <c r="BU311" s="2">
        <v>0</v>
      </c>
      <c r="BV311" s="2">
        <f t="shared" si="21"/>
        <v>137.12</v>
      </c>
      <c r="BW311" s="16">
        <f t="shared" si="19"/>
        <v>7.2168421052631579</v>
      </c>
      <c r="BX311" s="16">
        <f>COUNTIF($BC$6:BU311, "=0") / COUNTIF($BC$6:BU311, "&gt;-1")</f>
        <v>7.7571379428964568E-2</v>
      </c>
      <c r="BY311" s="18">
        <f>SUM($BC$6:BU311) / $BY$4</f>
        <v>0.76673143582726888</v>
      </c>
      <c r="BZ311" s="14">
        <f t="shared" si="20"/>
        <v>4</v>
      </c>
      <c r="CA311" t="s">
        <v>5831</v>
      </c>
      <c r="CB311" s="36">
        <v>0.30291084895868198</v>
      </c>
      <c r="CC311" s="36">
        <v>1.0593705327451901</v>
      </c>
      <c r="CD311" s="36">
        <v>3.3616750898057401</v>
      </c>
      <c r="CE311" s="36">
        <v>1.8143061109838801</v>
      </c>
      <c r="CF311" s="36">
        <v>1.8923879918611599</v>
      </c>
      <c r="CG311" s="36">
        <v>3.9978271605498099</v>
      </c>
      <c r="CH311" s="36">
        <v>10.856841513505801</v>
      </c>
      <c r="CI311" s="36">
        <v>7.0069219054726002</v>
      </c>
      <c r="CJ311" s="37">
        <v>33.697751633586201</v>
      </c>
      <c r="CK311" s="37">
        <v>18.541099618515599</v>
      </c>
      <c r="CL311" s="37">
        <v>12.2408315284903</v>
      </c>
      <c r="CM311" s="37">
        <v>2.7089505491198098</v>
      </c>
      <c r="CN311" s="37">
        <v>3.8589287764234799</v>
      </c>
      <c r="CO311" s="37">
        <v>5.0508196504648</v>
      </c>
      <c r="CP311" s="37">
        <v>8.2969702632433204</v>
      </c>
      <c r="CQ311" s="37">
        <v>0.38065921161865401</v>
      </c>
      <c r="CR311" s="45">
        <v>1.4638475567414699</v>
      </c>
      <c r="CS311" s="45">
        <v>2.7986047912666798</v>
      </c>
      <c r="CT311" s="46">
        <v>2.7779896578798102E-2</v>
      </c>
      <c r="CU311" s="47">
        <v>4.5775248303487497E-2</v>
      </c>
      <c r="CV311" s="48">
        <v>3.7865301442353601</v>
      </c>
      <c r="CW311" s="49">
        <v>10.597001403932801</v>
      </c>
      <c r="CX311" s="31" t="s">
        <v>5874</v>
      </c>
      <c r="CY311" s="31" t="s">
        <v>5878</v>
      </c>
      <c r="CZ311" t="s">
        <v>12648</v>
      </c>
      <c r="DA311" t="s">
        <v>5904</v>
      </c>
      <c r="DB311">
        <v>496.1</v>
      </c>
      <c r="DC311" t="s">
        <v>33584</v>
      </c>
      <c r="DD311" t="s">
        <v>33585</v>
      </c>
      <c r="DE311" t="s">
        <v>33586</v>
      </c>
      <c r="DF311" t="s">
        <v>33587</v>
      </c>
      <c r="DG311" t="s">
        <v>33588</v>
      </c>
      <c r="DH311" t="str">
        <f>"SFN"</f>
        <v>SFN</v>
      </c>
      <c r="DI311" t="s">
        <v>33589</v>
      </c>
      <c r="DJ311" t="s">
        <v>13777</v>
      </c>
      <c r="DK311">
        <v>9606</v>
      </c>
      <c r="DL311" s="34" t="str">
        <f>HYPERLINK("http://www.uniprot.org/uniprot/P31947", "P31947")</f>
        <v>P31947</v>
      </c>
      <c r="DM311" t="s">
        <v>33590</v>
      </c>
      <c r="DN311" t="s">
        <v>13772</v>
      </c>
      <c r="DO311" t="s">
        <v>14276</v>
      </c>
      <c r="DP311" t="s">
        <v>13780</v>
      </c>
      <c r="DQ311" t="s">
        <v>13772</v>
      </c>
      <c r="DR311" t="s">
        <v>13772</v>
      </c>
      <c r="DS311" t="s">
        <v>13772</v>
      </c>
      <c r="DT311" t="s">
        <v>13772</v>
      </c>
      <c r="DU311" t="s">
        <v>13772</v>
      </c>
      <c r="DV311" t="s">
        <v>18636</v>
      </c>
      <c r="DW311" t="s">
        <v>13812</v>
      </c>
      <c r="DX311" t="s">
        <v>33591</v>
      </c>
      <c r="DY311" t="s">
        <v>33592</v>
      </c>
      <c r="DZ311" t="s">
        <v>33593</v>
      </c>
      <c r="EA311" t="s">
        <v>13772</v>
      </c>
      <c r="EB311" t="s">
        <v>33594</v>
      </c>
    </row>
    <row r="312" spans="1:132" hidden="1">
      <c r="A312">
        <v>583</v>
      </c>
      <c r="B312">
        <v>1</v>
      </c>
      <c r="C312" t="s">
        <v>1448</v>
      </c>
      <c r="D312" t="s">
        <v>73</v>
      </c>
      <c r="E312" t="s">
        <v>73</v>
      </c>
      <c r="F312" t="s">
        <v>73</v>
      </c>
      <c r="G312" t="s">
        <v>73</v>
      </c>
      <c r="H312">
        <v>65.2</v>
      </c>
      <c r="I312">
        <v>201</v>
      </c>
      <c r="J312">
        <v>22625</v>
      </c>
      <c r="K312" t="s">
        <v>1449</v>
      </c>
      <c r="L312">
        <f t="shared" si="18"/>
        <v>137</v>
      </c>
      <c r="N312">
        <v>137</v>
      </c>
      <c r="O312">
        <v>137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24</v>
      </c>
      <c r="Z312">
        <v>0</v>
      </c>
      <c r="AA312">
        <v>24</v>
      </c>
      <c r="AB312">
        <v>7</v>
      </c>
      <c r="AC312">
        <v>14</v>
      </c>
      <c r="AD312">
        <v>1</v>
      </c>
      <c r="AE312">
        <v>28</v>
      </c>
      <c r="AF312">
        <v>14</v>
      </c>
      <c r="AG312">
        <v>4</v>
      </c>
      <c r="AH312">
        <v>0</v>
      </c>
      <c r="AI312">
        <v>20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24</v>
      </c>
      <c r="AS312">
        <v>0</v>
      </c>
      <c r="AT312">
        <v>24</v>
      </c>
      <c r="AU312">
        <v>7</v>
      </c>
      <c r="AV312">
        <v>14</v>
      </c>
      <c r="AW312">
        <v>1</v>
      </c>
      <c r="AX312">
        <v>28</v>
      </c>
      <c r="AY312">
        <v>14</v>
      </c>
      <c r="AZ312">
        <v>4</v>
      </c>
      <c r="BA312">
        <v>0</v>
      </c>
      <c r="BB312">
        <v>20</v>
      </c>
      <c r="BC312" s="2">
        <v>1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24</v>
      </c>
      <c r="BL312" s="2">
        <v>0</v>
      </c>
      <c r="BM312" s="2">
        <v>24</v>
      </c>
      <c r="BN312" s="2">
        <v>7</v>
      </c>
      <c r="BO312" s="2">
        <v>14</v>
      </c>
      <c r="BP312" s="2">
        <v>1</v>
      </c>
      <c r="BQ312" s="2">
        <v>28</v>
      </c>
      <c r="BR312" s="2">
        <v>14</v>
      </c>
      <c r="BS312" s="2">
        <v>4</v>
      </c>
      <c r="BT312" s="2">
        <v>0</v>
      </c>
      <c r="BU312" s="2">
        <v>20</v>
      </c>
      <c r="BV312" s="2">
        <f t="shared" si="21"/>
        <v>137</v>
      </c>
      <c r="BW312" s="16">
        <f t="shared" si="19"/>
        <v>7.2105263157894735</v>
      </c>
      <c r="BX312" s="16">
        <f>COUNTIF($BC$6:BU312, "=0") / COUNTIF($BC$6:BU312, "&gt;-1")</f>
        <v>7.8861649237099263E-2</v>
      </c>
      <c r="BY312" s="18">
        <f>SUM($BC$6:BU312) / $BY$4</f>
        <v>0.76731829407828089</v>
      </c>
      <c r="BZ312" s="14">
        <f t="shared" si="20"/>
        <v>9</v>
      </c>
      <c r="CA312" t="s">
        <v>5831</v>
      </c>
      <c r="CB312" s="36">
        <v>1.2116433958347299</v>
      </c>
      <c r="CC312" s="36">
        <v>0.24076603016936199</v>
      </c>
      <c r="CD312" s="36">
        <v>0.40019941545306398</v>
      </c>
      <c r="CE312" s="36">
        <v>0.37798043978830698</v>
      </c>
      <c r="CF312" s="36">
        <v>0.215044089984223</v>
      </c>
      <c r="CG312" s="36">
        <v>0.23243181165987301</v>
      </c>
      <c r="CH312" s="36">
        <v>0.26351557071616</v>
      </c>
      <c r="CI312" s="36">
        <v>0.24329589949557701</v>
      </c>
      <c r="CJ312" s="37">
        <v>19.074199037879001</v>
      </c>
      <c r="CK312" s="37">
        <v>15.135591525318899</v>
      </c>
      <c r="CL312" s="37">
        <v>5.6003804378713999</v>
      </c>
      <c r="CM312" s="37">
        <v>11.8516586523992</v>
      </c>
      <c r="CN312" s="37">
        <v>25.726191842823201</v>
      </c>
      <c r="CO312" s="37">
        <v>11.048667985391701</v>
      </c>
      <c r="CP312" s="37">
        <v>6.0341601914496898</v>
      </c>
      <c r="CQ312" s="37">
        <v>30.4527369294923</v>
      </c>
      <c r="CR312" s="45">
        <v>4.9687997256875098</v>
      </c>
      <c r="CS312" s="45">
        <v>39.223995215318702</v>
      </c>
      <c r="CT312" s="46">
        <v>6.0871767340252799E-14</v>
      </c>
      <c r="CU312" s="47">
        <v>2.54520077191432E-12</v>
      </c>
      <c r="CV312" s="48">
        <v>0.39810958163766202</v>
      </c>
      <c r="CW312" s="49">
        <v>15.615448325328201</v>
      </c>
      <c r="CX312" s="31" t="s">
        <v>5874</v>
      </c>
      <c r="CY312" s="31" t="s">
        <v>5876</v>
      </c>
      <c r="CZ312" t="s">
        <v>7715</v>
      </c>
      <c r="DA312" t="s">
        <v>5904</v>
      </c>
      <c r="DB312">
        <v>410.2</v>
      </c>
      <c r="DC312" t="s">
        <v>19523</v>
      </c>
      <c r="DD312" t="s">
        <v>19524</v>
      </c>
      <c r="DE312" t="s">
        <v>19525</v>
      </c>
      <c r="DF312" t="s">
        <v>19526</v>
      </c>
      <c r="DG312" t="s">
        <v>19527</v>
      </c>
      <c r="DH312" t="str">
        <f>"TAGLN"</f>
        <v>TAGLN</v>
      </c>
      <c r="DI312" t="s">
        <v>19528</v>
      </c>
      <c r="DJ312" t="s">
        <v>13777</v>
      </c>
      <c r="DK312">
        <v>9606</v>
      </c>
      <c r="DL312" s="34" t="str">
        <f>HYPERLINK("http://www.uniprot.org/uniprot/Q01995", "Q01995")</f>
        <v>Q01995</v>
      </c>
      <c r="DM312" t="s">
        <v>19529</v>
      </c>
      <c r="DN312" t="s">
        <v>13772</v>
      </c>
      <c r="DO312" t="s">
        <v>13899</v>
      </c>
      <c r="DP312" t="s">
        <v>13793</v>
      </c>
      <c r="DQ312" t="s">
        <v>13772</v>
      </c>
      <c r="DR312" t="s">
        <v>13772</v>
      </c>
      <c r="DS312" t="s">
        <v>13772</v>
      </c>
      <c r="DT312" t="s">
        <v>13772</v>
      </c>
      <c r="DU312" t="s">
        <v>14849</v>
      </c>
      <c r="DV312" t="s">
        <v>14098</v>
      </c>
      <c r="DW312" t="s">
        <v>13772</v>
      </c>
      <c r="DX312" t="s">
        <v>19530</v>
      </c>
      <c r="DY312" t="s">
        <v>14579</v>
      </c>
      <c r="DZ312" t="s">
        <v>15847</v>
      </c>
      <c r="EA312" t="s">
        <v>13772</v>
      </c>
      <c r="EB312" t="s">
        <v>13772</v>
      </c>
    </row>
    <row r="313" spans="1:132" hidden="1">
      <c r="A313">
        <v>907</v>
      </c>
      <c r="B313">
        <v>1</v>
      </c>
      <c r="C313" t="s">
        <v>2211</v>
      </c>
      <c r="D313" t="s">
        <v>73</v>
      </c>
      <c r="E313" t="s">
        <v>73</v>
      </c>
      <c r="F313" t="s">
        <v>73</v>
      </c>
      <c r="G313" t="s">
        <v>73</v>
      </c>
      <c r="H313">
        <v>23.3</v>
      </c>
      <c r="I313">
        <v>1157</v>
      </c>
      <c r="J313">
        <v>125871</v>
      </c>
      <c r="K313" t="s">
        <v>2212</v>
      </c>
      <c r="L313">
        <f t="shared" si="18"/>
        <v>137</v>
      </c>
      <c r="N313">
        <v>137</v>
      </c>
      <c r="O313">
        <v>137</v>
      </c>
      <c r="P313">
        <v>1</v>
      </c>
      <c r="Q313">
        <v>8</v>
      </c>
      <c r="R313">
        <v>15</v>
      </c>
      <c r="S313">
        <v>19</v>
      </c>
      <c r="T313">
        <v>15</v>
      </c>
      <c r="U313">
        <v>16</v>
      </c>
      <c r="V313">
        <v>20</v>
      </c>
      <c r="W313">
        <v>10</v>
      </c>
      <c r="X313">
        <v>20</v>
      </c>
      <c r="Y313">
        <v>1</v>
      </c>
      <c r="Z313">
        <v>0</v>
      </c>
      <c r="AA313">
        <v>2</v>
      </c>
      <c r="AB313">
        <v>5</v>
      </c>
      <c r="AC313">
        <v>0</v>
      </c>
      <c r="AD313">
        <v>0</v>
      </c>
      <c r="AE313">
        <v>0</v>
      </c>
      <c r="AF313">
        <v>6</v>
      </c>
      <c r="AG313">
        <v>0</v>
      </c>
      <c r="AH313">
        <v>0</v>
      </c>
      <c r="AI313">
        <v>0</v>
      </c>
      <c r="AJ313">
        <v>8</v>
      </c>
      <c r="AK313">
        <v>15</v>
      </c>
      <c r="AL313">
        <v>19</v>
      </c>
      <c r="AM313">
        <v>15</v>
      </c>
      <c r="AN313">
        <v>16</v>
      </c>
      <c r="AO313">
        <v>20</v>
      </c>
      <c r="AP313">
        <v>10</v>
      </c>
      <c r="AQ313">
        <v>20</v>
      </c>
      <c r="AR313">
        <v>1</v>
      </c>
      <c r="AS313">
        <v>0</v>
      </c>
      <c r="AT313">
        <v>2</v>
      </c>
      <c r="AU313">
        <v>5</v>
      </c>
      <c r="AV313">
        <v>0</v>
      </c>
      <c r="AW313">
        <v>0</v>
      </c>
      <c r="AX313">
        <v>0</v>
      </c>
      <c r="AY313">
        <v>6</v>
      </c>
      <c r="AZ313">
        <v>0</v>
      </c>
      <c r="BA313">
        <v>0</v>
      </c>
      <c r="BB313">
        <v>0</v>
      </c>
      <c r="BC313" s="2">
        <v>8</v>
      </c>
      <c r="BD313" s="2">
        <v>15</v>
      </c>
      <c r="BE313" s="2">
        <v>19</v>
      </c>
      <c r="BF313" s="2">
        <v>15</v>
      </c>
      <c r="BG313" s="2">
        <v>16</v>
      </c>
      <c r="BH313" s="2">
        <v>20</v>
      </c>
      <c r="BI313" s="2">
        <v>10</v>
      </c>
      <c r="BJ313" s="2">
        <v>20</v>
      </c>
      <c r="BK313" s="2">
        <v>1</v>
      </c>
      <c r="BL313" s="2">
        <v>0</v>
      </c>
      <c r="BM313" s="2">
        <v>2</v>
      </c>
      <c r="BN313" s="2">
        <v>5</v>
      </c>
      <c r="BO313" s="2">
        <v>0</v>
      </c>
      <c r="BP313" s="2">
        <v>0</v>
      </c>
      <c r="BQ313" s="2">
        <v>0</v>
      </c>
      <c r="BR313" s="2">
        <v>6</v>
      </c>
      <c r="BS313" s="2">
        <v>0</v>
      </c>
      <c r="BT313" s="2">
        <v>0</v>
      </c>
      <c r="BU313" s="2">
        <v>0</v>
      </c>
      <c r="BV313" s="2">
        <f t="shared" si="21"/>
        <v>137</v>
      </c>
      <c r="BW313" s="16">
        <f t="shared" si="19"/>
        <v>7.2105263157894735</v>
      </c>
      <c r="BX313" s="16">
        <f>COUNTIF($BC$6:BU313, "=0") / COUNTIF($BC$6:BU313, "&gt;-1")</f>
        <v>7.9801777170198221E-2</v>
      </c>
      <c r="BY313" s="18">
        <f>SUM($BC$6:BU313) / $BY$4</f>
        <v>0.76790515232929279</v>
      </c>
      <c r="BZ313" s="14">
        <f t="shared" si="20"/>
        <v>7</v>
      </c>
      <c r="CA313" t="s">
        <v>5831</v>
      </c>
      <c r="CB313" s="36">
        <v>9.6931471666778304</v>
      </c>
      <c r="CC313" s="36">
        <v>14.4459618101617</v>
      </c>
      <c r="CD313" s="36">
        <v>30.415155574432902</v>
      </c>
      <c r="CE313" s="36">
        <v>22.6788263872984</v>
      </c>
      <c r="CF313" s="36">
        <v>13.762821758990301</v>
      </c>
      <c r="CG313" s="36">
        <v>18.594544932789798</v>
      </c>
      <c r="CH313" s="36">
        <v>10.5406228286464</v>
      </c>
      <c r="CI313" s="36">
        <v>19.463671959646099</v>
      </c>
      <c r="CJ313" s="37">
        <v>0.79475829324495695</v>
      </c>
      <c r="CK313" s="37">
        <v>1.2612992937765699</v>
      </c>
      <c r="CL313" s="37">
        <v>4.0002717413367099</v>
      </c>
      <c r="CM313" s="37">
        <v>0.21163676164998499</v>
      </c>
      <c r="CN313" s="37">
        <v>0.22969814145377901</v>
      </c>
      <c r="CO313" s="37">
        <v>4.7351434223107498</v>
      </c>
      <c r="CP313" s="37">
        <v>0.377135011965606</v>
      </c>
      <c r="CQ313" s="37">
        <v>0.38065921161865401</v>
      </c>
      <c r="CR313" s="45">
        <v>-3.30140333390298</v>
      </c>
      <c r="CS313" s="45">
        <v>-11.6420137910052</v>
      </c>
      <c r="CT313" s="46">
        <v>1.60679600465374E-12</v>
      </c>
      <c r="CU313" s="47">
        <v>4.6736805526667397E-11</v>
      </c>
      <c r="CV313" s="48">
        <v>17.4493440523304</v>
      </c>
      <c r="CW313" s="49">
        <v>1.49882523466963</v>
      </c>
      <c r="CX313" s="31" t="s">
        <v>5875</v>
      </c>
      <c r="CY313" s="31" t="s">
        <v>5876</v>
      </c>
      <c r="CZ313" t="s">
        <v>8802</v>
      </c>
      <c r="DA313" t="s">
        <v>5904</v>
      </c>
      <c r="DB313">
        <v>2094.3000000000002</v>
      </c>
      <c r="DC313" t="s">
        <v>22733</v>
      </c>
      <c r="DD313" t="s">
        <v>13772</v>
      </c>
      <c r="DE313" t="s">
        <v>22734</v>
      </c>
      <c r="DF313" t="s">
        <v>22735</v>
      </c>
      <c r="DG313" t="s">
        <v>22736</v>
      </c>
      <c r="DH313" t="str">
        <f>"CILP2"</f>
        <v>CILP2</v>
      </c>
      <c r="DI313" t="s">
        <v>13772</v>
      </c>
      <c r="DJ313" t="s">
        <v>13777</v>
      </c>
      <c r="DK313">
        <v>9606</v>
      </c>
      <c r="DL313" s="34" t="str">
        <f>HYPERLINK("http://www.uniprot.org/uniprot/Q8IUL8", "Q8IUL8")</f>
        <v>Q8IUL8</v>
      </c>
      <c r="DM313" t="s">
        <v>22737</v>
      </c>
      <c r="DN313" t="s">
        <v>13772</v>
      </c>
      <c r="DO313" t="s">
        <v>13869</v>
      </c>
      <c r="DP313" t="s">
        <v>13772</v>
      </c>
      <c r="DQ313" t="s">
        <v>13772</v>
      </c>
      <c r="DR313" t="s">
        <v>13772</v>
      </c>
      <c r="DS313" t="s">
        <v>15698</v>
      </c>
      <c r="DT313" t="s">
        <v>13772</v>
      </c>
      <c r="DU313" t="s">
        <v>13772</v>
      </c>
      <c r="DV313" t="s">
        <v>14629</v>
      </c>
      <c r="DW313" t="s">
        <v>13772</v>
      </c>
      <c r="DX313" t="s">
        <v>22738</v>
      </c>
      <c r="DY313" t="s">
        <v>15835</v>
      </c>
      <c r="DZ313" t="s">
        <v>13772</v>
      </c>
      <c r="EA313" t="s">
        <v>13772</v>
      </c>
      <c r="EB313" t="s">
        <v>13772</v>
      </c>
    </row>
    <row r="314" spans="1:132" hidden="1">
      <c r="A314">
        <v>2382</v>
      </c>
      <c r="B314">
        <v>1</v>
      </c>
      <c r="C314" t="s">
        <v>5551</v>
      </c>
      <c r="D314" t="s">
        <v>73</v>
      </c>
      <c r="E314" t="s">
        <v>73</v>
      </c>
      <c r="F314" t="s">
        <v>73</v>
      </c>
      <c r="G314" t="s">
        <v>73</v>
      </c>
      <c r="H314">
        <v>50.5</v>
      </c>
      <c r="I314">
        <v>107</v>
      </c>
      <c r="J314">
        <v>11909</v>
      </c>
      <c r="K314" t="s">
        <v>5552</v>
      </c>
      <c r="L314">
        <f t="shared" si="18"/>
        <v>137</v>
      </c>
      <c r="N314">
        <v>137</v>
      </c>
      <c r="O314">
        <v>137</v>
      </c>
      <c r="P314">
        <v>1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2</v>
      </c>
      <c r="W314">
        <v>2</v>
      </c>
      <c r="X314">
        <v>2</v>
      </c>
      <c r="Y314">
        <v>31</v>
      </c>
      <c r="Z314">
        <v>13</v>
      </c>
      <c r="AA314">
        <v>29</v>
      </c>
      <c r="AB314">
        <v>8</v>
      </c>
      <c r="AC314">
        <v>8</v>
      </c>
      <c r="AD314">
        <v>6</v>
      </c>
      <c r="AE314">
        <v>9</v>
      </c>
      <c r="AF314">
        <v>8</v>
      </c>
      <c r="AG314">
        <v>4</v>
      </c>
      <c r="AH314">
        <v>0</v>
      </c>
      <c r="AI314">
        <v>12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2</v>
      </c>
      <c r="AP314">
        <v>2</v>
      </c>
      <c r="AQ314">
        <v>2</v>
      </c>
      <c r="AR314">
        <v>31</v>
      </c>
      <c r="AS314">
        <v>13</v>
      </c>
      <c r="AT314">
        <v>29</v>
      </c>
      <c r="AU314">
        <v>8</v>
      </c>
      <c r="AV314">
        <v>8</v>
      </c>
      <c r="AW314">
        <v>6</v>
      </c>
      <c r="AX314">
        <v>9</v>
      </c>
      <c r="AY314">
        <v>8</v>
      </c>
      <c r="AZ314">
        <v>4</v>
      </c>
      <c r="BA314">
        <v>0</v>
      </c>
      <c r="BB314">
        <v>12</v>
      </c>
      <c r="BC314" s="2">
        <v>1</v>
      </c>
      <c r="BD314" s="2">
        <v>1</v>
      </c>
      <c r="BE314" s="2">
        <v>0</v>
      </c>
      <c r="BF314" s="2">
        <v>1</v>
      </c>
      <c r="BG314" s="2">
        <v>0</v>
      </c>
      <c r="BH314" s="2">
        <v>2</v>
      </c>
      <c r="BI314" s="2">
        <v>2</v>
      </c>
      <c r="BJ314" s="2">
        <v>2</v>
      </c>
      <c r="BK314" s="2">
        <v>31</v>
      </c>
      <c r="BL314" s="2">
        <v>13</v>
      </c>
      <c r="BM314" s="2">
        <v>29</v>
      </c>
      <c r="BN314" s="2">
        <v>8</v>
      </c>
      <c r="BO314" s="2">
        <v>8</v>
      </c>
      <c r="BP314" s="2">
        <v>6</v>
      </c>
      <c r="BQ314" s="2">
        <v>9</v>
      </c>
      <c r="BR314" s="2">
        <v>8</v>
      </c>
      <c r="BS314" s="2">
        <v>4</v>
      </c>
      <c r="BT314" s="2">
        <v>0</v>
      </c>
      <c r="BU314" s="2">
        <v>12</v>
      </c>
      <c r="BV314" s="2">
        <f t="shared" si="21"/>
        <v>137</v>
      </c>
      <c r="BW314" s="16">
        <f t="shared" si="19"/>
        <v>7.2105263157894735</v>
      </c>
      <c r="BX314" s="16">
        <f>COUNTIF($BC$6:BU314, "=0") / COUNTIF($BC$6:BU314, "&gt;-1")</f>
        <v>8.0054505195026396E-2</v>
      </c>
      <c r="BY314" s="18">
        <f>SUM($BC$6:BU314) / $BY$4</f>
        <v>0.76849201058030481</v>
      </c>
      <c r="BZ314" s="14">
        <f t="shared" si="20"/>
        <v>3</v>
      </c>
      <c r="CA314" t="s">
        <v>5831</v>
      </c>
      <c r="CB314" s="36">
        <v>1.2116433958347299</v>
      </c>
      <c r="CC314" s="36">
        <v>0.96306412067744696</v>
      </c>
      <c r="CD314" s="36">
        <v>0.40019941545306398</v>
      </c>
      <c r="CE314" s="36">
        <v>1.5119217591532299</v>
      </c>
      <c r="CF314" s="36">
        <v>0.215044089984223</v>
      </c>
      <c r="CG314" s="36">
        <v>1.85945449327898</v>
      </c>
      <c r="CH314" s="36">
        <v>2.10812456572928</v>
      </c>
      <c r="CI314" s="36">
        <v>1.9463671959646101</v>
      </c>
      <c r="CJ314" s="37">
        <v>24.637507090593701</v>
      </c>
      <c r="CK314" s="37">
        <v>18.2888397597603</v>
      </c>
      <c r="CL314" s="37">
        <v>6.4004347861387396</v>
      </c>
      <c r="CM314" s="37">
        <v>6.7723763727995303</v>
      </c>
      <c r="CN314" s="37">
        <v>8.2691330923360304</v>
      </c>
      <c r="CO314" s="37">
        <v>6.3135245630809997</v>
      </c>
      <c r="CP314" s="37">
        <v>6.0341601914496898</v>
      </c>
      <c r="CQ314" s="37">
        <v>18.2716421576954</v>
      </c>
      <c r="CR314" s="45">
        <v>3.0921443899477201</v>
      </c>
      <c r="CS314" s="45">
        <v>9.2980912914001692</v>
      </c>
      <c r="CT314" s="46">
        <v>1.64844355572472E-8</v>
      </c>
      <c r="CU314" s="47">
        <v>1.4510641299734701E-7</v>
      </c>
      <c r="CV314" s="48">
        <v>1.2769773795094499</v>
      </c>
      <c r="CW314" s="49">
        <v>11.8734522517318</v>
      </c>
      <c r="CX314" s="31" t="s">
        <v>5874</v>
      </c>
      <c r="CY314" s="31" t="s">
        <v>5876</v>
      </c>
      <c r="CZ314" t="s">
        <v>13662</v>
      </c>
      <c r="DA314" t="s">
        <v>6759</v>
      </c>
      <c r="DB314">
        <v>83.6</v>
      </c>
      <c r="DC314" t="s">
        <v>36417</v>
      </c>
      <c r="DD314" t="s">
        <v>36418</v>
      </c>
      <c r="DE314" t="s">
        <v>36419</v>
      </c>
      <c r="DF314" t="s">
        <v>36420</v>
      </c>
      <c r="DG314" t="s">
        <v>36421</v>
      </c>
      <c r="DH314" t="str">
        <f>"CCL3L1"</f>
        <v>CCL3L1</v>
      </c>
      <c r="DI314" t="s">
        <v>36422</v>
      </c>
      <c r="DJ314" t="s">
        <v>13777</v>
      </c>
      <c r="DK314">
        <v>9606</v>
      </c>
      <c r="DL314" s="34" t="str">
        <f>HYPERLINK("http://www.uniprot.org/uniprot/P16619", "P16619")</f>
        <v>P16619</v>
      </c>
      <c r="DM314" t="s">
        <v>36423</v>
      </c>
      <c r="DN314" t="s">
        <v>35939</v>
      </c>
      <c r="DO314" t="s">
        <v>14321</v>
      </c>
      <c r="DP314" t="s">
        <v>13772</v>
      </c>
      <c r="DQ314" t="s">
        <v>13772</v>
      </c>
      <c r="DR314" t="s">
        <v>13772</v>
      </c>
      <c r="DS314" t="s">
        <v>13808</v>
      </c>
      <c r="DT314" t="s">
        <v>13772</v>
      </c>
      <c r="DU314" t="s">
        <v>14405</v>
      </c>
      <c r="DV314" t="s">
        <v>14506</v>
      </c>
      <c r="DW314" t="s">
        <v>13772</v>
      </c>
      <c r="DX314" t="s">
        <v>36424</v>
      </c>
      <c r="DY314" t="s">
        <v>22023</v>
      </c>
      <c r="DZ314" t="s">
        <v>36425</v>
      </c>
      <c r="EA314" t="s">
        <v>13772</v>
      </c>
      <c r="EB314" t="s">
        <v>36426</v>
      </c>
    </row>
    <row r="315" spans="1:132" hidden="1">
      <c r="A315">
        <v>525</v>
      </c>
      <c r="B315">
        <v>1</v>
      </c>
      <c r="C315" t="s">
        <v>1322</v>
      </c>
      <c r="D315" t="s">
        <v>73</v>
      </c>
      <c r="E315" t="s">
        <v>73</v>
      </c>
      <c r="F315" t="s">
        <v>1323</v>
      </c>
      <c r="G315" t="s">
        <v>73</v>
      </c>
      <c r="H315">
        <v>28.6</v>
      </c>
      <c r="I315">
        <v>763</v>
      </c>
      <c r="J315">
        <v>86783</v>
      </c>
      <c r="K315" t="s">
        <v>1324</v>
      </c>
      <c r="L315">
        <f t="shared" si="18"/>
        <v>138</v>
      </c>
      <c r="N315">
        <v>138</v>
      </c>
      <c r="O315">
        <v>136</v>
      </c>
      <c r="P315">
        <v>0.98599999999999999</v>
      </c>
      <c r="Q315">
        <v>7</v>
      </c>
      <c r="R315">
        <v>12</v>
      </c>
      <c r="S315">
        <v>10</v>
      </c>
      <c r="T315">
        <v>13</v>
      </c>
      <c r="U315">
        <v>11</v>
      </c>
      <c r="V315">
        <v>13</v>
      </c>
      <c r="W315">
        <v>6</v>
      </c>
      <c r="X315">
        <v>3</v>
      </c>
      <c r="Y315">
        <v>4</v>
      </c>
      <c r="Z315">
        <v>0</v>
      </c>
      <c r="AA315">
        <v>12</v>
      </c>
      <c r="AB315">
        <v>5</v>
      </c>
      <c r="AC315">
        <v>5</v>
      </c>
      <c r="AD315">
        <v>4</v>
      </c>
      <c r="AE315">
        <v>7</v>
      </c>
      <c r="AF315">
        <v>15</v>
      </c>
      <c r="AG315">
        <v>3</v>
      </c>
      <c r="AH315">
        <v>2</v>
      </c>
      <c r="AI315">
        <v>6</v>
      </c>
      <c r="AJ315">
        <v>7</v>
      </c>
      <c r="AK315">
        <v>11</v>
      </c>
      <c r="AL315">
        <v>9</v>
      </c>
      <c r="AM315">
        <v>13</v>
      </c>
      <c r="AN315">
        <v>11</v>
      </c>
      <c r="AO315">
        <v>13</v>
      </c>
      <c r="AP315">
        <v>6</v>
      </c>
      <c r="AQ315">
        <v>3</v>
      </c>
      <c r="AR315">
        <v>4</v>
      </c>
      <c r="AS315">
        <v>0</v>
      </c>
      <c r="AT315">
        <v>12</v>
      </c>
      <c r="AU315">
        <v>5</v>
      </c>
      <c r="AV315">
        <v>5</v>
      </c>
      <c r="AW315">
        <v>4</v>
      </c>
      <c r="AX315">
        <v>7</v>
      </c>
      <c r="AY315">
        <v>15</v>
      </c>
      <c r="AZ315">
        <v>3</v>
      </c>
      <c r="BA315">
        <v>2</v>
      </c>
      <c r="BB315">
        <v>6</v>
      </c>
      <c r="BC315" s="2">
        <v>7</v>
      </c>
      <c r="BD315" s="2">
        <v>11.523999999999999</v>
      </c>
      <c r="BE315" s="2">
        <v>9.4499999999999993</v>
      </c>
      <c r="BF315" s="2">
        <v>13</v>
      </c>
      <c r="BG315" s="2">
        <v>11</v>
      </c>
      <c r="BH315" s="2">
        <v>13</v>
      </c>
      <c r="BI315" s="2">
        <v>6</v>
      </c>
      <c r="BJ315" s="2">
        <v>3</v>
      </c>
      <c r="BK315" s="2">
        <v>4</v>
      </c>
      <c r="BL315" s="2">
        <v>0</v>
      </c>
      <c r="BM315" s="2">
        <v>12</v>
      </c>
      <c r="BN315" s="2">
        <v>5</v>
      </c>
      <c r="BO315" s="2">
        <v>5</v>
      </c>
      <c r="BP315" s="2">
        <v>4</v>
      </c>
      <c r="BQ315" s="2">
        <v>7</v>
      </c>
      <c r="BR315" s="2">
        <v>15</v>
      </c>
      <c r="BS315" s="2">
        <v>3</v>
      </c>
      <c r="BT315" s="2">
        <v>2</v>
      </c>
      <c r="BU315" s="2">
        <v>6</v>
      </c>
      <c r="BV315" s="2">
        <f t="shared" si="21"/>
        <v>136.97399999999999</v>
      </c>
      <c r="BW315" s="16">
        <f t="shared" si="19"/>
        <v>7.2091578947368413</v>
      </c>
      <c r="BX315" s="16">
        <f>COUNTIF($BC$6:BU315, "=0") / COUNTIF($BC$6:BU315, "&gt;-1")</f>
        <v>7.9966044142614601E-2</v>
      </c>
      <c r="BY315" s="18">
        <f>SUM($BC$6:BU315) / $BY$4</f>
        <v>0.76907875745675824</v>
      </c>
      <c r="BZ315" s="14">
        <f t="shared" si="20"/>
        <v>1</v>
      </c>
      <c r="CA315" t="s">
        <v>5831</v>
      </c>
      <c r="CB315" s="36">
        <v>8.4815037708430996</v>
      </c>
      <c r="CC315" s="36">
        <v>11.075237387790599</v>
      </c>
      <c r="CD315" s="36">
        <v>15.207577787216399</v>
      </c>
      <c r="CE315" s="36">
        <v>19.654982868992001</v>
      </c>
      <c r="CF315" s="36">
        <v>9.4619399593058091</v>
      </c>
      <c r="CG315" s="36">
        <v>12.0864542063134</v>
      </c>
      <c r="CH315" s="36">
        <v>6.3243736971878404</v>
      </c>
      <c r="CI315" s="36">
        <v>2.9195507939469199</v>
      </c>
      <c r="CJ315" s="37">
        <v>3.17903317297983</v>
      </c>
      <c r="CK315" s="37">
        <v>7.5677957626594301</v>
      </c>
      <c r="CL315" s="37">
        <v>4.0002717413367099</v>
      </c>
      <c r="CM315" s="37">
        <v>4.2327352329997003</v>
      </c>
      <c r="CN315" s="37">
        <v>6.4315479607058004</v>
      </c>
      <c r="CO315" s="37">
        <v>11.837858555776901</v>
      </c>
      <c r="CP315" s="37">
        <v>4.5256201435872701</v>
      </c>
      <c r="CQ315" s="37">
        <v>9.1358210788476999</v>
      </c>
      <c r="CR315" s="45">
        <v>-0.69850279767394596</v>
      </c>
      <c r="CS315" s="45">
        <v>-1.67374732304245</v>
      </c>
      <c r="CT315" s="46">
        <v>8.2517629532072201E-2</v>
      </c>
      <c r="CU315" s="47">
        <v>0.12000933512381801</v>
      </c>
      <c r="CV315" s="48">
        <v>10.651452558949501</v>
      </c>
      <c r="CW315" s="49">
        <v>6.3638354561116603</v>
      </c>
      <c r="CX315" s="31" t="s">
        <v>5875</v>
      </c>
      <c r="CY315" s="31" t="s">
        <v>5832</v>
      </c>
      <c r="CZ315" t="s">
        <v>7534</v>
      </c>
      <c r="DA315" t="s">
        <v>5904</v>
      </c>
      <c r="DB315">
        <v>1374</v>
      </c>
      <c r="DC315" t="s">
        <v>18969</v>
      </c>
      <c r="DD315" t="s">
        <v>18970</v>
      </c>
      <c r="DE315" t="s">
        <v>18971</v>
      </c>
      <c r="DF315" t="s">
        <v>18972</v>
      </c>
      <c r="DG315" t="s">
        <v>18973</v>
      </c>
      <c r="DH315" t="str">
        <f>"APLP2"</f>
        <v>APLP2</v>
      </c>
      <c r="DI315" t="s">
        <v>18974</v>
      </c>
      <c r="DJ315" t="s">
        <v>13777</v>
      </c>
      <c r="DK315">
        <v>9606</v>
      </c>
      <c r="DL315" s="34" t="str">
        <f>HYPERLINK("http://www.uniprot.org/uniprot/Q06481", "Q06481")</f>
        <v>Q06481</v>
      </c>
      <c r="DM315" t="s">
        <v>18975</v>
      </c>
      <c r="DN315" t="s">
        <v>13772</v>
      </c>
      <c r="DO315" t="s">
        <v>18976</v>
      </c>
      <c r="DP315" t="s">
        <v>13780</v>
      </c>
      <c r="DQ315" t="s">
        <v>13772</v>
      </c>
      <c r="DR315" t="s">
        <v>13772</v>
      </c>
      <c r="DS315" t="s">
        <v>13855</v>
      </c>
      <c r="DT315" t="s">
        <v>15982</v>
      </c>
      <c r="DU315" t="s">
        <v>18977</v>
      </c>
      <c r="DV315" t="s">
        <v>13964</v>
      </c>
      <c r="DW315" t="s">
        <v>13812</v>
      </c>
      <c r="DX315" t="s">
        <v>18978</v>
      </c>
      <c r="DY315" t="s">
        <v>18979</v>
      </c>
      <c r="DZ315" t="s">
        <v>18980</v>
      </c>
      <c r="EA315" t="s">
        <v>13772</v>
      </c>
      <c r="EB315" t="s">
        <v>18981</v>
      </c>
    </row>
    <row r="316" spans="1:132" hidden="1">
      <c r="A316">
        <v>2037</v>
      </c>
      <c r="B316">
        <v>1</v>
      </c>
      <c r="C316" t="s">
        <v>4786</v>
      </c>
      <c r="D316" t="s">
        <v>73</v>
      </c>
      <c r="E316" t="s">
        <v>73</v>
      </c>
      <c r="F316" t="s">
        <v>73</v>
      </c>
      <c r="G316" t="s">
        <v>73</v>
      </c>
      <c r="H316">
        <v>74.8</v>
      </c>
      <c r="I316">
        <v>127</v>
      </c>
      <c r="J316">
        <v>14478</v>
      </c>
      <c r="K316" t="s">
        <v>4787</v>
      </c>
      <c r="L316">
        <f t="shared" si="18"/>
        <v>136</v>
      </c>
      <c r="N316">
        <v>136</v>
      </c>
      <c r="O316">
        <v>136</v>
      </c>
      <c r="P316">
        <v>1</v>
      </c>
      <c r="Q316">
        <v>8</v>
      </c>
      <c r="R316">
        <v>5</v>
      </c>
      <c r="S316">
        <v>3</v>
      </c>
      <c r="T316">
        <v>6</v>
      </c>
      <c r="U316">
        <v>18</v>
      </c>
      <c r="V316">
        <v>21</v>
      </c>
      <c r="W316">
        <v>11</v>
      </c>
      <c r="X316">
        <v>22</v>
      </c>
      <c r="Y316">
        <v>1</v>
      </c>
      <c r="Z316">
        <v>0</v>
      </c>
      <c r="AA316">
        <v>6</v>
      </c>
      <c r="AB316">
        <v>6</v>
      </c>
      <c r="AC316">
        <v>6</v>
      </c>
      <c r="AD316">
        <v>0</v>
      </c>
      <c r="AE316">
        <v>7</v>
      </c>
      <c r="AF316">
        <v>8</v>
      </c>
      <c r="AG316">
        <v>3</v>
      </c>
      <c r="AH316">
        <v>3</v>
      </c>
      <c r="AI316">
        <v>2</v>
      </c>
      <c r="AJ316">
        <v>8</v>
      </c>
      <c r="AK316">
        <v>5</v>
      </c>
      <c r="AL316">
        <v>3</v>
      </c>
      <c r="AM316">
        <v>6</v>
      </c>
      <c r="AN316">
        <v>18</v>
      </c>
      <c r="AO316">
        <v>21</v>
      </c>
      <c r="AP316">
        <v>11</v>
      </c>
      <c r="AQ316">
        <v>22</v>
      </c>
      <c r="AR316">
        <v>1</v>
      </c>
      <c r="AS316">
        <v>0</v>
      </c>
      <c r="AT316">
        <v>6</v>
      </c>
      <c r="AU316">
        <v>6</v>
      </c>
      <c r="AV316">
        <v>6</v>
      </c>
      <c r="AW316">
        <v>0</v>
      </c>
      <c r="AX316">
        <v>7</v>
      </c>
      <c r="AY316">
        <v>8</v>
      </c>
      <c r="AZ316">
        <v>3</v>
      </c>
      <c r="BA316">
        <v>3</v>
      </c>
      <c r="BB316">
        <v>2</v>
      </c>
      <c r="BC316" s="2">
        <v>8</v>
      </c>
      <c r="BD316" s="2">
        <v>5</v>
      </c>
      <c r="BE316" s="2">
        <v>3</v>
      </c>
      <c r="BF316" s="2">
        <v>6</v>
      </c>
      <c r="BG316" s="2">
        <v>18</v>
      </c>
      <c r="BH316" s="2">
        <v>21</v>
      </c>
      <c r="BI316" s="2">
        <v>11</v>
      </c>
      <c r="BJ316" s="2">
        <v>22</v>
      </c>
      <c r="BK316" s="2">
        <v>1</v>
      </c>
      <c r="BL316" s="2">
        <v>0</v>
      </c>
      <c r="BM316" s="2">
        <v>6</v>
      </c>
      <c r="BN316" s="2">
        <v>6</v>
      </c>
      <c r="BO316" s="2">
        <v>6</v>
      </c>
      <c r="BP316" s="2">
        <v>0</v>
      </c>
      <c r="BQ316" s="2">
        <v>7</v>
      </c>
      <c r="BR316" s="2">
        <v>8</v>
      </c>
      <c r="BS316" s="2">
        <v>3</v>
      </c>
      <c r="BT316" s="2">
        <v>3</v>
      </c>
      <c r="BU316" s="2">
        <v>2</v>
      </c>
      <c r="BV316" s="2">
        <f t="shared" si="21"/>
        <v>136</v>
      </c>
      <c r="BW316" s="16">
        <f t="shared" si="19"/>
        <v>7.1578947368421053</v>
      </c>
      <c r="BX316" s="16">
        <f>COUNTIF($BC$6:BU316, "=0") / COUNTIF($BC$6:BU316, "&gt;-1")</f>
        <v>8.0047385344389918E-2</v>
      </c>
      <c r="BY316" s="18">
        <f>SUM($BC$6:BU316) / $BY$4</f>
        <v>0.76966133207090148</v>
      </c>
      <c r="BZ316" s="14">
        <f t="shared" si="20"/>
        <v>2</v>
      </c>
      <c r="CA316" t="s">
        <v>5831</v>
      </c>
      <c r="CB316" s="36">
        <v>9.6931471666778304</v>
      </c>
      <c r="CC316" s="36">
        <v>4.8153206033872298</v>
      </c>
      <c r="CD316" s="36">
        <v>4.8023929854367697</v>
      </c>
      <c r="CE316" s="36">
        <v>9.0715305549193808</v>
      </c>
      <c r="CF316" s="36">
        <v>15.4831744788641</v>
      </c>
      <c r="CG316" s="36">
        <v>19.5242721794293</v>
      </c>
      <c r="CH316" s="36">
        <v>11.594685111511</v>
      </c>
      <c r="CI316" s="36">
        <v>21.410039155610701</v>
      </c>
      <c r="CJ316" s="37">
        <v>0.79475829324495695</v>
      </c>
      <c r="CK316" s="37">
        <v>3.7838978813297102</v>
      </c>
      <c r="CL316" s="37">
        <v>4.8003260896040603</v>
      </c>
      <c r="CM316" s="37">
        <v>5.0792822795996404</v>
      </c>
      <c r="CN316" s="37">
        <v>6.4315479607058004</v>
      </c>
      <c r="CO316" s="37">
        <v>6.3135245630809997</v>
      </c>
      <c r="CP316" s="37">
        <v>4.5256201435872701</v>
      </c>
      <c r="CQ316" s="37">
        <v>3.0452736929492299</v>
      </c>
      <c r="CR316" s="45">
        <v>-1.4699342561873201</v>
      </c>
      <c r="CS316" s="45">
        <v>-2.7720113351080999</v>
      </c>
      <c r="CT316" s="46">
        <v>4.85768606081328E-4</v>
      </c>
      <c r="CU316" s="47">
        <v>1.18346873583779E-3</v>
      </c>
      <c r="CV316" s="48">
        <v>12.049320279479501</v>
      </c>
      <c r="CW316" s="49">
        <v>4.3467788630127098</v>
      </c>
      <c r="CX316" s="31" t="s">
        <v>5875</v>
      </c>
      <c r="CY316" s="31" t="s">
        <v>5876</v>
      </c>
      <c r="CZ316" t="s">
        <v>12538</v>
      </c>
      <c r="DA316" t="s">
        <v>5904</v>
      </c>
      <c r="DB316">
        <v>267.3</v>
      </c>
      <c r="DC316" t="s">
        <v>33278</v>
      </c>
      <c r="DD316" t="s">
        <v>33279</v>
      </c>
      <c r="DE316" t="s">
        <v>33280</v>
      </c>
      <c r="DF316" t="s">
        <v>33281</v>
      </c>
      <c r="DG316" t="s">
        <v>33282</v>
      </c>
      <c r="DH316" t="str">
        <f>"NUTF2"</f>
        <v>NUTF2</v>
      </c>
      <c r="DI316" t="s">
        <v>13772</v>
      </c>
      <c r="DJ316" t="s">
        <v>13777</v>
      </c>
      <c r="DK316">
        <v>9606</v>
      </c>
      <c r="DL316" s="34" t="str">
        <f>HYPERLINK("http://www.uniprot.org/uniprot/P61970", "P61970")</f>
        <v>P61970</v>
      </c>
      <c r="DM316" t="s">
        <v>33283</v>
      </c>
      <c r="DN316" t="s">
        <v>14094</v>
      </c>
      <c r="DO316" t="s">
        <v>33284</v>
      </c>
      <c r="DP316" t="s">
        <v>13772</v>
      </c>
      <c r="DQ316" t="s">
        <v>13772</v>
      </c>
      <c r="DR316" t="s">
        <v>13772</v>
      </c>
      <c r="DS316" t="s">
        <v>13772</v>
      </c>
      <c r="DT316" t="s">
        <v>13772</v>
      </c>
      <c r="DU316" t="s">
        <v>13772</v>
      </c>
      <c r="DV316" t="s">
        <v>14020</v>
      </c>
      <c r="DW316" t="s">
        <v>13812</v>
      </c>
      <c r="DX316" t="s">
        <v>33285</v>
      </c>
      <c r="DY316" t="s">
        <v>33286</v>
      </c>
      <c r="DZ316" t="s">
        <v>33287</v>
      </c>
      <c r="EA316" t="s">
        <v>13772</v>
      </c>
      <c r="EB316" t="s">
        <v>13772</v>
      </c>
    </row>
    <row r="317" spans="1:132" hidden="1">
      <c r="A317">
        <v>2157</v>
      </c>
      <c r="B317">
        <v>1</v>
      </c>
      <c r="C317" t="s">
        <v>5055</v>
      </c>
      <c r="D317" t="s">
        <v>5056</v>
      </c>
      <c r="E317" t="s">
        <v>73</v>
      </c>
      <c r="F317" t="s">
        <v>73</v>
      </c>
      <c r="G317" t="s">
        <v>73</v>
      </c>
      <c r="H317">
        <v>21.8</v>
      </c>
      <c r="I317">
        <v>1420</v>
      </c>
      <c r="J317">
        <v>157327</v>
      </c>
      <c r="K317" t="s">
        <v>5057</v>
      </c>
      <c r="L317">
        <f t="shared" si="18"/>
        <v>136</v>
      </c>
      <c r="N317">
        <v>136</v>
      </c>
      <c r="O317">
        <v>136</v>
      </c>
      <c r="P317">
        <v>1</v>
      </c>
      <c r="Q317">
        <v>7</v>
      </c>
      <c r="R317">
        <v>17</v>
      </c>
      <c r="S317">
        <v>14</v>
      </c>
      <c r="T317">
        <v>16</v>
      </c>
      <c r="U317">
        <v>15</v>
      </c>
      <c r="V317">
        <v>7</v>
      </c>
      <c r="W317">
        <v>12</v>
      </c>
      <c r="X317">
        <v>3</v>
      </c>
      <c r="Y317">
        <v>1</v>
      </c>
      <c r="Z317">
        <v>5</v>
      </c>
      <c r="AA317">
        <v>0</v>
      </c>
      <c r="AB317">
        <v>2</v>
      </c>
      <c r="AC317">
        <v>3</v>
      </c>
      <c r="AD317">
        <v>15</v>
      </c>
      <c r="AE317">
        <v>8</v>
      </c>
      <c r="AF317">
        <v>3</v>
      </c>
      <c r="AG317">
        <v>2</v>
      </c>
      <c r="AH317">
        <v>3</v>
      </c>
      <c r="AI317">
        <v>3</v>
      </c>
      <c r="AJ317">
        <v>7</v>
      </c>
      <c r="AK317">
        <v>17</v>
      </c>
      <c r="AL317">
        <v>14</v>
      </c>
      <c r="AM317">
        <v>16</v>
      </c>
      <c r="AN317">
        <v>15</v>
      </c>
      <c r="AO317">
        <v>7</v>
      </c>
      <c r="AP317">
        <v>12</v>
      </c>
      <c r="AQ317">
        <v>3</v>
      </c>
      <c r="AR317">
        <v>1</v>
      </c>
      <c r="AS317">
        <v>5</v>
      </c>
      <c r="AT317">
        <v>0</v>
      </c>
      <c r="AU317">
        <v>2</v>
      </c>
      <c r="AV317">
        <v>3</v>
      </c>
      <c r="AW317">
        <v>15</v>
      </c>
      <c r="AX317">
        <v>8</v>
      </c>
      <c r="AY317">
        <v>3</v>
      </c>
      <c r="AZ317">
        <v>2</v>
      </c>
      <c r="BA317">
        <v>3</v>
      </c>
      <c r="BB317">
        <v>3</v>
      </c>
      <c r="BC317" s="2">
        <v>7</v>
      </c>
      <c r="BD317" s="2">
        <v>17</v>
      </c>
      <c r="BE317" s="2">
        <v>14</v>
      </c>
      <c r="BF317" s="2">
        <v>16</v>
      </c>
      <c r="BG317" s="2">
        <v>15</v>
      </c>
      <c r="BH317" s="2">
        <v>7</v>
      </c>
      <c r="BI317" s="2">
        <v>12</v>
      </c>
      <c r="BJ317" s="2">
        <v>3</v>
      </c>
      <c r="BK317" s="2">
        <v>1</v>
      </c>
      <c r="BL317" s="2">
        <v>5</v>
      </c>
      <c r="BM317" s="2">
        <v>0</v>
      </c>
      <c r="BN317" s="2">
        <v>2</v>
      </c>
      <c r="BO317" s="2">
        <v>3</v>
      </c>
      <c r="BP317" s="2">
        <v>15</v>
      </c>
      <c r="BQ317" s="2">
        <v>8</v>
      </c>
      <c r="BR317" s="2">
        <v>3</v>
      </c>
      <c r="BS317" s="2">
        <v>2</v>
      </c>
      <c r="BT317" s="2">
        <v>3</v>
      </c>
      <c r="BU317" s="2">
        <v>3</v>
      </c>
      <c r="BV317" s="2">
        <f t="shared" si="21"/>
        <v>136</v>
      </c>
      <c r="BW317" s="16">
        <f t="shared" si="19"/>
        <v>7.1578947368421053</v>
      </c>
      <c r="BX317" s="16">
        <f>COUNTIF($BC$6:BU317, "=0") / COUNTIF($BC$6:BU317, "&gt;-1")</f>
        <v>7.9959514170040491E-2</v>
      </c>
      <c r="BY317" s="18">
        <f>SUM($BC$6:BU317) / $BY$4</f>
        <v>0.77024390668504483</v>
      </c>
      <c r="BZ317" s="14">
        <f t="shared" si="20"/>
        <v>1</v>
      </c>
      <c r="CA317" t="s">
        <v>5831</v>
      </c>
      <c r="CB317" s="36">
        <v>8.4815037708430996</v>
      </c>
      <c r="CC317" s="36">
        <v>16.372090051516601</v>
      </c>
      <c r="CD317" s="36">
        <v>22.411167265371599</v>
      </c>
      <c r="CE317" s="36">
        <v>24.1907481464517</v>
      </c>
      <c r="CF317" s="36">
        <v>12.9026453990534</v>
      </c>
      <c r="CG317" s="36">
        <v>6.50809072647644</v>
      </c>
      <c r="CH317" s="36">
        <v>12.6487473943757</v>
      </c>
      <c r="CI317" s="36">
        <v>2.9195507939469199</v>
      </c>
      <c r="CJ317" s="37">
        <v>0.79475829324495695</v>
      </c>
      <c r="CK317" s="37">
        <v>0.15766241172207099</v>
      </c>
      <c r="CL317" s="37">
        <v>1.60010869653469</v>
      </c>
      <c r="CM317" s="37">
        <v>2.5396411397998202</v>
      </c>
      <c r="CN317" s="37">
        <v>7.3503405265209096</v>
      </c>
      <c r="CO317" s="37">
        <v>2.36757171115537</v>
      </c>
      <c r="CP317" s="37">
        <v>3.0170800957248498</v>
      </c>
      <c r="CQ317" s="37">
        <v>4.5679105394238499</v>
      </c>
      <c r="CR317" s="45">
        <v>-2.2570716085768101</v>
      </c>
      <c r="CS317" s="45">
        <v>-4.7525873918724404</v>
      </c>
      <c r="CT317" s="46">
        <v>2.5880283677842501E-5</v>
      </c>
      <c r="CU317" s="47">
        <v>8.3642076234186806E-5</v>
      </c>
      <c r="CV317" s="48">
        <v>13.304317943504399</v>
      </c>
      <c r="CW317" s="49">
        <v>2.7993841767658099</v>
      </c>
      <c r="CX317" s="31" t="s">
        <v>5875</v>
      </c>
      <c r="CY317" s="31" t="s">
        <v>5876</v>
      </c>
      <c r="CZ317" t="s">
        <v>12939</v>
      </c>
      <c r="DA317" t="s">
        <v>5904</v>
      </c>
      <c r="DB317">
        <v>2722.2</v>
      </c>
      <c r="DC317" t="s">
        <v>34388</v>
      </c>
      <c r="DD317" t="s">
        <v>34389</v>
      </c>
      <c r="DE317" t="s">
        <v>34390</v>
      </c>
      <c r="DF317" t="s">
        <v>34391</v>
      </c>
      <c r="DG317" t="s">
        <v>34392</v>
      </c>
      <c r="DH317" t="str">
        <f>"ATRN"</f>
        <v>ATRN</v>
      </c>
      <c r="DI317" t="s">
        <v>34393</v>
      </c>
      <c r="DJ317" t="s">
        <v>13777</v>
      </c>
      <c r="DK317">
        <v>9606</v>
      </c>
      <c r="DL317" s="34" t="str">
        <f>HYPERLINK("http://www.uniprot.org/uniprot/O75882", "O75882")</f>
        <v>O75882</v>
      </c>
      <c r="DM317" t="s">
        <v>34394</v>
      </c>
      <c r="DN317" t="s">
        <v>17346</v>
      </c>
      <c r="DO317" t="s">
        <v>14336</v>
      </c>
      <c r="DP317" t="s">
        <v>13780</v>
      </c>
      <c r="DQ317" t="s">
        <v>13772</v>
      </c>
      <c r="DR317" t="s">
        <v>13772</v>
      </c>
      <c r="DS317" t="s">
        <v>34395</v>
      </c>
      <c r="DT317" t="s">
        <v>14277</v>
      </c>
      <c r="DU317" t="s">
        <v>13795</v>
      </c>
      <c r="DV317" t="s">
        <v>13796</v>
      </c>
      <c r="DW317" t="s">
        <v>13772</v>
      </c>
      <c r="DX317" t="s">
        <v>34396</v>
      </c>
      <c r="DY317" t="s">
        <v>34397</v>
      </c>
      <c r="DZ317" t="s">
        <v>34398</v>
      </c>
      <c r="EA317" t="s">
        <v>13772</v>
      </c>
      <c r="EB317" t="s">
        <v>13772</v>
      </c>
    </row>
    <row r="318" spans="1:132" hidden="1">
      <c r="A318">
        <v>709</v>
      </c>
      <c r="B318">
        <v>1</v>
      </c>
      <c r="C318" t="s">
        <v>1747</v>
      </c>
      <c r="D318" t="s">
        <v>73</v>
      </c>
      <c r="E318" t="s">
        <v>73</v>
      </c>
      <c r="F318" t="s">
        <v>73</v>
      </c>
      <c r="G318" t="s">
        <v>73</v>
      </c>
      <c r="H318">
        <v>49.4</v>
      </c>
      <c r="I318">
        <v>869</v>
      </c>
      <c r="J318">
        <v>96214</v>
      </c>
      <c r="K318" t="s">
        <v>1748</v>
      </c>
      <c r="L318">
        <f t="shared" si="18"/>
        <v>133</v>
      </c>
      <c r="N318">
        <v>133</v>
      </c>
      <c r="O318">
        <v>133</v>
      </c>
      <c r="P318">
        <v>1</v>
      </c>
      <c r="Q318">
        <v>4</v>
      </c>
      <c r="R318">
        <v>19</v>
      </c>
      <c r="S318">
        <v>10</v>
      </c>
      <c r="T318">
        <v>12</v>
      </c>
      <c r="U318">
        <v>23</v>
      </c>
      <c r="V318">
        <v>14</v>
      </c>
      <c r="W318">
        <v>10</v>
      </c>
      <c r="X318">
        <v>3</v>
      </c>
      <c r="Y318">
        <v>11</v>
      </c>
      <c r="Z318">
        <v>0</v>
      </c>
      <c r="AA318">
        <v>5</v>
      </c>
      <c r="AB318">
        <v>3</v>
      </c>
      <c r="AC318">
        <v>5</v>
      </c>
      <c r="AD318">
        <v>4</v>
      </c>
      <c r="AE318">
        <v>1</v>
      </c>
      <c r="AF318">
        <v>5</v>
      </c>
      <c r="AG318">
        <v>0</v>
      </c>
      <c r="AH318">
        <v>0</v>
      </c>
      <c r="AI318">
        <v>4</v>
      </c>
      <c r="AJ318">
        <v>4</v>
      </c>
      <c r="AK318">
        <v>19</v>
      </c>
      <c r="AL318">
        <v>10</v>
      </c>
      <c r="AM318">
        <v>12</v>
      </c>
      <c r="AN318">
        <v>23</v>
      </c>
      <c r="AO318">
        <v>14</v>
      </c>
      <c r="AP318">
        <v>10</v>
      </c>
      <c r="AQ318">
        <v>3</v>
      </c>
      <c r="AR318">
        <v>11</v>
      </c>
      <c r="AS318">
        <v>0</v>
      </c>
      <c r="AT318">
        <v>5</v>
      </c>
      <c r="AU318">
        <v>3</v>
      </c>
      <c r="AV318">
        <v>5</v>
      </c>
      <c r="AW318">
        <v>4</v>
      </c>
      <c r="AX318">
        <v>1</v>
      </c>
      <c r="AY318">
        <v>5</v>
      </c>
      <c r="AZ318">
        <v>0</v>
      </c>
      <c r="BA318">
        <v>0</v>
      </c>
      <c r="BB318">
        <v>4</v>
      </c>
      <c r="BC318" s="2">
        <v>4</v>
      </c>
      <c r="BD318" s="2">
        <v>19</v>
      </c>
      <c r="BE318" s="2">
        <v>10</v>
      </c>
      <c r="BF318" s="2">
        <v>12</v>
      </c>
      <c r="BG318" s="2">
        <v>23</v>
      </c>
      <c r="BH318" s="2">
        <v>14</v>
      </c>
      <c r="BI318" s="2">
        <v>10</v>
      </c>
      <c r="BJ318" s="2">
        <v>3</v>
      </c>
      <c r="BK318" s="2">
        <v>11</v>
      </c>
      <c r="BL318" s="2">
        <v>0</v>
      </c>
      <c r="BM318" s="2">
        <v>5</v>
      </c>
      <c r="BN318" s="2">
        <v>3</v>
      </c>
      <c r="BO318" s="2">
        <v>5</v>
      </c>
      <c r="BP318" s="2">
        <v>4</v>
      </c>
      <c r="BQ318" s="2">
        <v>1</v>
      </c>
      <c r="BR318" s="2">
        <v>5</v>
      </c>
      <c r="BS318" s="2">
        <v>0</v>
      </c>
      <c r="BT318" s="2">
        <v>0</v>
      </c>
      <c r="BU318" s="2">
        <v>4</v>
      </c>
      <c r="BV318" s="2">
        <f t="shared" si="21"/>
        <v>133</v>
      </c>
      <c r="BW318" s="16">
        <f t="shared" si="19"/>
        <v>7</v>
      </c>
      <c r="BX318" s="16">
        <f>COUNTIF($BC$6:BU318, "=0") / COUNTIF($BC$6:BU318, "&gt;-1")</f>
        <v>8.0208508491676475E-2</v>
      </c>
      <c r="BY318" s="18">
        <f>SUM($BC$6:BU318) / $BY$4</f>
        <v>0.77081363038858197</v>
      </c>
      <c r="BZ318" s="14">
        <f t="shared" si="20"/>
        <v>3</v>
      </c>
      <c r="CA318" t="s">
        <v>5831</v>
      </c>
      <c r="CB318" s="36">
        <v>4.8465735833389196</v>
      </c>
      <c r="CC318" s="36">
        <v>18.2982182928715</v>
      </c>
      <c r="CD318" s="36">
        <v>16.007976618122601</v>
      </c>
      <c r="CE318" s="36">
        <v>18.143061109838801</v>
      </c>
      <c r="CF318" s="36">
        <v>19.784056278548501</v>
      </c>
      <c r="CG318" s="36">
        <v>13.0161814529529</v>
      </c>
      <c r="CH318" s="36">
        <v>10.5406228286464</v>
      </c>
      <c r="CI318" s="36">
        <v>2.9195507939469199</v>
      </c>
      <c r="CJ318" s="37">
        <v>8.7423412256945294</v>
      </c>
      <c r="CK318" s="37">
        <v>3.1532482344414299</v>
      </c>
      <c r="CL318" s="37">
        <v>2.4001630448020301</v>
      </c>
      <c r="CM318" s="37">
        <v>4.2327352329997003</v>
      </c>
      <c r="CN318" s="37">
        <v>0.91879256581511404</v>
      </c>
      <c r="CO318" s="37">
        <v>3.94595285192562</v>
      </c>
      <c r="CP318" s="37">
        <v>0.377135011965606</v>
      </c>
      <c r="CQ318" s="37">
        <v>6.0905473858984696</v>
      </c>
      <c r="CR318" s="45">
        <v>-1.73809356806032</v>
      </c>
      <c r="CS318" s="45">
        <v>-3.4679526410562902</v>
      </c>
      <c r="CT318" s="46">
        <v>2.4783890256466001E-4</v>
      </c>
      <c r="CU318" s="47">
        <v>6.3770856082983598E-4</v>
      </c>
      <c r="CV318" s="48">
        <v>12.9445301197833</v>
      </c>
      <c r="CW318" s="49">
        <v>3.73261444419281</v>
      </c>
      <c r="CX318" s="31" t="s">
        <v>5875</v>
      </c>
      <c r="CY318" s="31" t="s">
        <v>5876</v>
      </c>
      <c r="CZ318" t="s">
        <v>8138</v>
      </c>
      <c r="DA318" t="s">
        <v>5904</v>
      </c>
      <c r="DB318">
        <v>1723.4</v>
      </c>
      <c r="DC318" t="s">
        <v>20791</v>
      </c>
      <c r="DD318" t="s">
        <v>20792</v>
      </c>
      <c r="DE318" t="s">
        <v>20793</v>
      </c>
      <c r="DF318" t="s">
        <v>20794</v>
      </c>
      <c r="DG318" t="s">
        <v>20795</v>
      </c>
      <c r="DH318" t="str">
        <f>"PDCD6IP"</f>
        <v>PDCD6IP</v>
      </c>
      <c r="DI318" t="s">
        <v>20796</v>
      </c>
      <c r="DJ318" t="s">
        <v>13777</v>
      </c>
      <c r="DK318">
        <v>9606</v>
      </c>
      <c r="DL318" s="34" t="str">
        <f>HYPERLINK("http://www.uniprot.org/uniprot/Q8WUM4", "Q8WUM4")</f>
        <v>Q8WUM4</v>
      </c>
      <c r="DM318" t="s">
        <v>20797</v>
      </c>
      <c r="DN318" t="s">
        <v>20798</v>
      </c>
      <c r="DO318" t="s">
        <v>20799</v>
      </c>
      <c r="DP318" t="s">
        <v>13780</v>
      </c>
      <c r="DQ318" t="s">
        <v>13772</v>
      </c>
      <c r="DR318" t="s">
        <v>13772</v>
      </c>
      <c r="DS318" t="s">
        <v>13772</v>
      </c>
      <c r="DT318" t="s">
        <v>13772</v>
      </c>
      <c r="DU318" t="s">
        <v>13772</v>
      </c>
      <c r="DV318" t="s">
        <v>14098</v>
      </c>
      <c r="DW318" t="s">
        <v>13812</v>
      </c>
      <c r="DX318" t="s">
        <v>20800</v>
      </c>
      <c r="DY318" t="s">
        <v>20801</v>
      </c>
      <c r="DZ318" t="s">
        <v>20802</v>
      </c>
      <c r="EA318" t="s">
        <v>13772</v>
      </c>
      <c r="EB318" t="s">
        <v>20803</v>
      </c>
    </row>
    <row r="319" spans="1:132" hidden="1">
      <c r="A319">
        <v>784</v>
      </c>
      <c r="B319">
        <v>1</v>
      </c>
      <c r="C319" t="s">
        <v>1927</v>
      </c>
      <c r="D319" t="s">
        <v>73</v>
      </c>
      <c r="E319" t="s">
        <v>73</v>
      </c>
      <c r="F319" t="s">
        <v>73</v>
      </c>
      <c r="G319" t="s">
        <v>73</v>
      </c>
      <c r="H319">
        <v>27.7</v>
      </c>
      <c r="I319">
        <v>892</v>
      </c>
      <c r="J319">
        <v>96847</v>
      </c>
      <c r="K319" t="s">
        <v>1928</v>
      </c>
      <c r="L319">
        <f t="shared" si="18"/>
        <v>133</v>
      </c>
      <c r="N319">
        <v>133</v>
      </c>
      <c r="O319">
        <v>133</v>
      </c>
      <c r="P319">
        <v>1</v>
      </c>
      <c r="Q319">
        <v>6</v>
      </c>
      <c r="R319">
        <v>0</v>
      </c>
      <c r="S319">
        <v>7</v>
      </c>
      <c r="T319">
        <v>5</v>
      </c>
      <c r="U319">
        <v>6</v>
      </c>
      <c r="V319">
        <v>5</v>
      </c>
      <c r="W319">
        <v>3</v>
      </c>
      <c r="X319">
        <v>0</v>
      </c>
      <c r="Y319">
        <v>20</v>
      </c>
      <c r="Z319">
        <v>3</v>
      </c>
      <c r="AA319">
        <v>15</v>
      </c>
      <c r="AB319">
        <v>14</v>
      </c>
      <c r="AC319">
        <v>11</v>
      </c>
      <c r="AD319">
        <v>3</v>
      </c>
      <c r="AE319">
        <v>13</v>
      </c>
      <c r="AF319">
        <v>15</v>
      </c>
      <c r="AG319">
        <v>4</v>
      </c>
      <c r="AH319">
        <v>1</v>
      </c>
      <c r="AI319">
        <v>2</v>
      </c>
      <c r="AJ319">
        <v>6</v>
      </c>
      <c r="AK319">
        <v>0</v>
      </c>
      <c r="AL319">
        <v>7</v>
      </c>
      <c r="AM319">
        <v>5</v>
      </c>
      <c r="AN319">
        <v>6</v>
      </c>
      <c r="AO319">
        <v>5</v>
      </c>
      <c r="AP319">
        <v>3</v>
      </c>
      <c r="AQ319">
        <v>0</v>
      </c>
      <c r="AR319">
        <v>20</v>
      </c>
      <c r="AS319">
        <v>3</v>
      </c>
      <c r="AT319">
        <v>15</v>
      </c>
      <c r="AU319">
        <v>14</v>
      </c>
      <c r="AV319">
        <v>11</v>
      </c>
      <c r="AW319">
        <v>3</v>
      </c>
      <c r="AX319">
        <v>13</v>
      </c>
      <c r="AY319">
        <v>15</v>
      </c>
      <c r="AZ319">
        <v>4</v>
      </c>
      <c r="BA319">
        <v>1</v>
      </c>
      <c r="BB319">
        <v>2</v>
      </c>
      <c r="BC319" s="2">
        <v>6</v>
      </c>
      <c r="BD319" s="2">
        <v>0</v>
      </c>
      <c r="BE319" s="2">
        <v>7</v>
      </c>
      <c r="BF319" s="2">
        <v>5</v>
      </c>
      <c r="BG319" s="2">
        <v>6</v>
      </c>
      <c r="BH319" s="2">
        <v>5</v>
      </c>
      <c r="BI319" s="2">
        <v>3</v>
      </c>
      <c r="BJ319" s="2">
        <v>0</v>
      </c>
      <c r="BK319" s="2">
        <v>20</v>
      </c>
      <c r="BL319" s="2">
        <v>3</v>
      </c>
      <c r="BM319" s="2">
        <v>15</v>
      </c>
      <c r="BN319" s="2">
        <v>14</v>
      </c>
      <c r="BO319" s="2">
        <v>11</v>
      </c>
      <c r="BP319" s="2">
        <v>3</v>
      </c>
      <c r="BQ319" s="2">
        <v>13</v>
      </c>
      <c r="BR319" s="2">
        <v>15</v>
      </c>
      <c r="BS319" s="2">
        <v>4</v>
      </c>
      <c r="BT319" s="2">
        <v>1</v>
      </c>
      <c r="BU319" s="2">
        <v>2</v>
      </c>
      <c r="BV319" s="2">
        <f t="shared" si="21"/>
        <v>133</v>
      </c>
      <c r="BW319" s="16">
        <f t="shared" si="19"/>
        <v>7</v>
      </c>
      <c r="BX319" s="16">
        <f>COUNTIF($BC$6:BU319, "=0") / COUNTIF($BC$6:BU319, "&gt;-1")</f>
        <v>8.0288300368756282E-2</v>
      </c>
      <c r="BY319" s="18">
        <f>SUM($BC$6:BU319) / $BY$4</f>
        <v>0.77138335409211911</v>
      </c>
      <c r="BZ319" s="14">
        <f t="shared" si="20"/>
        <v>2</v>
      </c>
      <c r="CA319" t="s">
        <v>5831</v>
      </c>
      <c r="CB319" s="36">
        <v>7.2698603750083803</v>
      </c>
      <c r="CC319" s="36">
        <v>0.24076603016936199</v>
      </c>
      <c r="CD319" s="36">
        <v>11.2055836326858</v>
      </c>
      <c r="CE319" s="36">
        <v>7.5596087957661497</v>
      </c>
      <c r="CF319" s="36">
        <v>5.1610581596213496</v>
      </c>
      <c r="CG319" s="36">
        <v>4.6486362331974602</v>
      </c>
      <c r="CH319" s="36">
        <v>3.1621868485939202</v>
      </c>
      <c r="CI319" s="36">
        <v>0.24329589949557701</v>
      </c>
      <c r="CJ319" s="37">
        <v>15.8951658648991</v>
      </c>
      <c r="CK319" s="37">
        <v>9.4597447033242794</v>
      </c>
      <c r="CL319" s="37">
        <v>11.2007608757428</v>
      </c>
      <c r="CM319" s="37">
        <v>9.3120175125993505</v>
      </c>
      <c r="CN319" s="37">
        <v>11.944303355596499</v>
      </c>
      <c r="CO319" s="37">
        <v>11.837858555776901</v>
      </c>
      <c r="CP319" s="37">
        <v>6.0341601914496898</v>
      </c>
      <c r="CQ319" s="37">
        <v>3.0452736929492299</v>
      </c>
      <c r="CR319" s="45">
        <v>1.0951852588995701</v>
      </c>
      <c r="CS319" s="45">
        <v>1.9936008907726399</v>
      </c>
      <c r="CT319" s="46">
        <v>2.44037864833197E-2</v>
      </c>
      <c r="CU319" s="47">
        <v>4.1123761101614302E-2</v>
      </c>
      <c r="CV319" s="48">
        <v>4.9363744968172503</v>
      </c>
      <c r="CW319" s="49">
        <v>9.8411605940422309</v>
      </c>
      <c r="CX319" s="31" t="s">
        <v>5874</v>
      </c>
      <c r="CY319" s="31" t="s">
        <v>5878</v>
      </c>
      <c r="CZ319" t="s">
        <v>8386</v>
      </c>
      <c r="DA319" t="s">
        <v>5904</v>
      </c>
      <c r="DB319">
        <v>1572.4</v>
      </c>
      <c r="DC319" t="s">
        <v>21513</v>
      </c>
      <c r="DD319" t="s">
        <v>21514</v>
      </c>
      <c r="DE319" t="s">
        <v>21515</v>
      </c>
      <c r="DF319" t="s">
        <v>21516</v>
      </c>
      <c r="DG319" t="s">
        <v>21517</v>
      </c>
      <c r="DH319" t="str">
        <f>"DAG1"</f>
        <v>DAG1</v>
      </c>
      <c r="DI319" t="s">
        <v>13772</v>
      </c>
      <c r="DJ319" t="s">
        <v>13777</v>
      </c>
      <c r="DK319">
        <v>9606</v>
      </c>
      <c r="DL319" s="34" t="str">
        <f>HYPERLINK("http://www.uniprot.org/uniprot/Q14118", "Q14118")</f>
        <v>Q14118</v>
      </c>
      <c r="DM319" t="s">
        <v>21518</v>
      </c>
      <c r="DN319" t="s">
        <v>14563</v>
      </c>
      <c r="DO319" t="s">
        <v>21519</v>
      </c>
      <c r="DP319" t="s">
        <v>13793</v>
      </c>
      <c r="DQ319" t="s">
        <v>13772</v>
      </c>
      <c r="DR319" t="s">
        <v>21520</v>
      </c>
      <c r="DS319" t="s">
        <v>13855</v>
      </c>
      <c r="DT319" t="s">
        <v>13772</v>
      </c>
      <c r="DU319" t="s">
        <v>18791</v>
      </c>
      <c r="DV319" t="s">
        <v>19637</v>
      </c>
      <c r="DW319" t="s">
        <v>13812</v>
      </c>
      <c r="DX319" t="s">
        <v>21521</v>
      </c>
      <c r="DY319" t="s">
        <v>21522</v>
      </c>
      <c r="DZ319" t="s">
        <v>21523</v>
      </c>
      <c r="EA319" t="s">
        <v>13772</v>
      </c>
      <c r="EB319" t="s">
        <v>21524</v>
      </c>
    </row>
    <row r="320" spans="1:132">
      <c r="A320">
        <v>833</v>
      </c>
      <c r="B320">
        <v>1</v>
      </c>
      <c r="C320" t="s">
        <v>2040</v>
      </c>
      <c r="D320" t="s">
        <v>73</v>
      </c>
      <c r="E320" t="s">
        <v>73</v>
      </c>
      <c r="F320" t="s">
        <v>73</v>
      </c>
      <c r="G320" t="s">
        <v>73</v>
      </c>
      <c r="H320">
        <v>43.2</v>
      </c>
      <c r="I320">
        <v>132</v>
      </c>
      <c r="J320">
        <v>14324</v>
      </c>
      <c r="K320" t="s">
        <v>2041</v>
      </c>
      <c r="L320">
        <f t="shared" si="18"/>
        <v>131</v>
      </c>
      <c r="N320">
        <v>131</v>
      </c>
      <c r="O320">
        <v>131</v>
      </c>
      <c r="P320">
        <v>1</v>
      </c>
      <c r="Q320">
        <v>7</v>
      </c>
      <c r="R320">
        <v>9</v>
      </c>
      <c r="S320">
        <v>9</v>
      </c>
      <c r="T320">
        <v>17</v>
      </c>
      <c r="U320">
        <v>10</v>
      </c>
      <c r="V320">
        <v>6</v>
      </c>
      <c r="W320">
        <v>10</v>
      </c>
      <c r="X320">
        <v>6</v>
      </c>
      <c r="Y320">
        <v>5</v>
      </c>
      <c r="Z320">
        <v>1</v>
      </c>
      <c r="AA320">
        <v>5</v>
      </c>
      <c r="AB320">
        <v>11</v>
      </c>
      <c r="AC320">
        <v>4</v>
      </c>
      <c r="AD320">
        <v>1</v>
      </c>
      <c r="AE320">
        <v>5</v>
      </c>
      <c r="AF320">
        <v>7</v>
      </c>
      <c r="AG320">
        <v>9</v>
      </c>
      <c r="AH320">
        <v>5</v>
      </c>
      <c r="AI320">
        <v>4</v>
      </c>
      <c r="AJ320">
        <v>7</v>
      </c>
      <c r="AK320">
        <v>9</v>
      </c>
      <c r="AL320">
        <v>9</v>
      </c>
      <c r="AM320">
        <v>17</v>
      </c>
      <c r="AN320">
        <v>10</v>
      </c>
      <c r="AO320">
        <v>6</v>
      </c>
      <c r="AP320">
        <v>10</v>
      </c>
      <c r="AQ320">
        <v>6</v>
      </c>
      <c r="AR320">
        <v>5</v>
      </c>
      <c r="AS320">
        <v>1</v>
      </c>
      <c r="AT320">
        <v>5</v>
      </c>
      <c r="AU320">
        <v>11</v>
      </c>
      <c r="AV320">
        <v>4</v>
      </c>
      <c r="AW320">
        <v>1</v>
      </c>
      <c r="AX320">
        <v>5</v>
      </c>
      <c r="AY320">
        <v>7</v>
      </c>
      <c r="AZ320">
        <v>9</v>
      </c>
      <c r="BA320">
        <v>5</v>
      </c>
      <c r="BB320">
        <v>4</v>
      </c>
      <c r="BC320" s="2">
        <v>7</v>
      </c>
      <c r="BD320" s="2">
        <v>9</v>
      </c>
      <c r="BE320" s="2">
        <v>9</v>
      </c>
      <c r="BF320" s="2">
        <v>17</v>
      </c>
      <c r="BG320" s="2">
        <v>10</v>
      </c>
      <c r="BH320" s="2">
        <v>6</v>
      </c>
      <c r="BI320" s="2">
        <v>10</v>
      </c>
      <c r="BJ320" s="2">
        <v>6</v>
      </c>
      <c r="BK320" s="2">
        <v>5</v>
      </c>
      <c r="BL320" s="2">
        <v>1</v>
      </c>
      <c r="BM320" s="2">
        <v>5</v>
      </c>
      <c r="BN320" s="2">
        <v>11</v>
      </c>
      <c r="BO320" s="2">
        <v>4</v>
      </c>
      <c r="BP320" s="2">
        <v>1</v>
      </c>
      <c r="BQ320" s="2">
        <v>5</v>
      </c>
      <c r="BR320" s="2">
        <v>7</v>
      </c>
      <c r="BS320" s="2">
        <v>9</v>
      </c>
      <c r="BT320" s="2">
        <v>5</v>
      </c>
      <c r="BU320" s="2">
        <v>4</v>
      </c>
      <c r="BV320" s="2">
        <f t="shared" si="21"/>
        <v>131</v>
      </c>
      <c r="BW320" s="16">
        <f t="shared" si="19"/>
        <v>6.8947368421052628</v>
      </c>
      <c r="BX320" s="16">
        <f>COUNTIF($BC$6:BU320, "=0") / COUNTIF($BC$6:BU320, "&gt;-1")</f>
        <v>8.0033416875522137E-2</v>
      </c>
      <c r="BY320" s="18">
        <f>SUM($BC$6:BU320) / $BY$4</f>
        <v>0.77194451052191893</v>
      </c>
      <c r="BZ320" s="14">
        <f t="shared" si="20"/>
        <v>0</v>
      </c>
      <c r="CA320" t="s">
        <v>5831</v>
      </c>
      <c r="CB320" s="36">
        <v>8.4815037708430996</v>
      </c>
      <c r="CC320" s="36">
        <v>8.6675770860970207</v>
      </c>
      <c r="CD320" s="36">
        <v>14.4071789563103</v>
      </c>
      <c r="CE320" s="36">
        <v>25.7026699056049</v>
      </c>
      <c r="CF320" s="36">
        <v>8.6017635993689208</v>
      </c>
      <c r="CG320" s="36">
        <v>5.5783634798369501</v>
      </c>
      <c r="CH320" s="36">
        <v>10.5406228286464</v>
      </c>
      <c r="CI320" s="36">
        <v>5.8391015878938397</v>
      </c>
      <c r="CJ320" s="37">
        <v>3.9737914662247902</v>
      </c>
      <c r="CK320" s="37">
        <v>3.1532482344414299</v>
      </c>
      <c r="CL320" s="37">
        <v>8.8005978309407702</v>
      </c>
      <c r="CM320" s="37">
        <v>3.3861881863997598</v>
      </c>
      <c r="CN320" s="37">
        <v>4.5939628290755703</v>
      </c>
      <c r="CO320" s="37">
        <v>5.5243339926958699</v>
      </c>
      <c r="CP320" s="37">
        <v>13.576860430761799</v>
      </c>
      <c r="CQ320" s="37">
        <v>6.0905473858984696</v>
      </c>
      <c r="CR320" s="45">
        <v>-0.84435104189275201</v>
      </c>
      <c r="CS320" s="45">
        <v>-1.78858699008077</v>
      </c>
      <c r="CT320" s="46">
        <v>5.1084727464355599E-2</v>
      </c>
      <c r="CU320" s="47">
        <v>7.9110376559383994E-2</v>
      </c>
      <c r="CV320" s="48">
        <v>10.9773476518252</v>
      </c>
      <c r="CW320" s="49">
        <v>6.1374412945548098</v>
      </c>
      <c r="CX320" s="31" t="s">
        <v>5875</v>
      </c>
      <c r="CY320" s="31" t="s">
        <v>5877</v>
      </c>
      <c r="CZ320" t="s">
        <v>8552</v>
      </c>
      <c r="DA320" t="s">
        <v>5904</v>
      </c>
      <c r="DB320">
        <v>177.9</v>
      </c>
      <c r="DC320" t="s">
        <v>22007</v>
      </c>
      <c r="DD320" t="s">
        <v>22008</v>
      </c>
      <c r="DE320" t="s">
        <v>22009</v>
      </c>
      <c r="DF320" t="s">
        <v>22010</v>
      </c>
      <c r="DG320" t="s">
        <v>22011</v>
      </c>
      <c r="DH320" t="str">
        <f>"TFF2"</f>
        <v>TFF2</v>
      </c>
      <c r="DI320" t="s">
        <v>22012</v>
      </c>
      <c r="DJ320" t="s">
        <v>13777</v>
      </c>
      <c r="DK320">
        <v>9606</v>
      </c>
      <c r="DL320" s="34" t="str">
        <f>HYPERLINK("http://www.uniprot.org/uniprot/Q03403", "Q03403")</f>
        <v>Q03403</v>
      </c>
      <c r="DM320" t="s">
        <v>22013</v>
      </c>
      <c r="DN320" t="s">
        <v>13772</v>
      </c>
      <c r="DO320" t="s">
        <v>14321</v>
      </c>
      <c r="DP320" t="s">
        <v>13793</v>
      </c>
      <c r="DQ320" t="s">
        <v>13772</v>
      </c>
      <c r="DR320" t="s">
        <v>13772</v>
      </c>
      <c r="DS320" t="s">
        <v>14404</v>
      </c>
      <c r="DT320" t="s">
        <v>13772</v>
      </c>
      <c r="DU320" t="s">
        <v>13772</v>
      </c>
      <c r="DV320" t="s">
        <v>14506</v>
      </c>
      <c r="DW320" t="s">
        <v>13772</v>
      </c>
      <c r="DX320" t="s">
        <v>22014</v>
      </c>
      <c r="DY320" t="s">
        <v>14508</v>
      </c>
      <c r="DZ320" t="s">
        <v>22015</v>
      </c>
      <c r="EA320" t="s">
        <v>13772</v>
      </c>
      <c r="EB320" t="s">
        <v>13772</v>
      </c>
    </row>
    <row r="321" spans="1:132" hidden="1">
      <c r="A321">
        <v>315</v>
      </c>
      <c r="B321">
        <v>1</v>
      </c>
      <c r="C321" t="s">
        <v>790</v>
      </c>
      <c r="D321" t="s">
        <v>73</v>
      </c>
      <c r="E321" t="s">
        <v>73</v>
      </c>
      <c r="F321" t="s">
        <v>73</v>
      </c>
      <c r="G321" t="s">
        <v>73</v>
      </c>
      <c r="H321">
        <v>59.3</v>
      </c>
      <c r="I321">
        <v>145</v>
      </c>
      <c r="J321">
        <v>16544</v>
      </c>
      <c r="K321" t="s">
        <v>791</v>
      </c>
      <c r="L321">
        <f t="shared" si="18"/>
        <v>130</v>
      </c>
      <c r="N321">
        <v>130</v>
      </c>
      <c r="O321">
        <v>130</v>
      </c>
      <c r="P321">
        <v>1</v>
      </c>
      <c r="Q321">
        <v>16</v>
      </c>
      <c r="R321">
        <v>13</v>
      </c>
      <c r="S321">
        <v>22</v>
      </c>
      <c r="T321">
        <v>18</v>
      </c>
      <c r="U321">
        <v>8</v>
      </c>
      <c r="V321">
        <v>10</v>
      </c>
      <c r="W321">
        <v>11</v>
      </c>
      <c r="X321">
        <v>7</v>
      </c>
      <c r="Y321">
        <v>0</v>
      </c>
      <c r="Z321">
        <v>0</v>
      </c>
      <c r="AA321">
        <v>5</v>
      </c>
      <c r="AB321">
        <v>2</v>
      </c>
      <c r="AC321">
        <v>0</v>
      </c>
      <c r="AD321">
        <v>0</v>
      </c>
      <c r="AE321">
        <v>3</v>
      </c>
      <c r="AF321">
        <v>7</v>
      </c>
      <c r="AG321">
        <v>8</v>
      </c>
      <c r="AH321">
        <v>0</v>
      </c>
      <c r="AI321">
        <v>0</v>
      </c>
      <c r="AJ321">
        <v>16</v>
      </c>
      <c r="AK321">
        <v>13</v>
      </c>
      <c r="AL321">
        <v>22</v>
      </c>
      <c r="AM321">
        <v>18</v>
      </c>
      <c r="AN321">
        <v>8</v>
      </c>
      <c r="AO321">
        <v>10</v>
      </c>
      <c r="AP321">
        <v>11</v>
      </c>
      <c r="AQ321">
        <v>7</v>
      </c>
      <c r="AR321">
        <v>0</v>
      </c>
      <c r="AS321">
        <v>0</v>
      </c>
      <c r="AT321">
        <v>5</v>
      </c>
      <c r="AU321">
        <v>2</v>
      </c>
      <c r="AV321">
        <v>0</v>
      </c>
      <c r="AW321">
        <v>0</v>
      </c>
      <c r="AX321">
        <v>3</v>
      </c>
      <c r="AY321">
        <v>7</v>
      </c>
      <c r="AZ321">
        <v>8</v>
      </c>
      <c r="BA321">
        <v>0</v>
      </c>
      <c r="BB321">
        <v>0</v>
      </c>
      <c r="BC321" s="2">
        <v>16</v>
      </c>
      <c r="BD321" s="2">
        <v>13</v>
      </c>
      <c r="BE321" s="2">
        <v>22</v>
      </c>
      <c r="BF321" s="2">
        <v>18</v>
      </c>
      <c r="BG321" s="2">
        <v>8</v>
      </c>
      <c r="BH321" s="2">
        <v>10</v>
      </c>
      <c r="BI321" s="2">
        <v>11</v>
      </c>
      <c r="BJ321" s="2">
        <v>7</v>
      </c>
      <c r="BK321" s="2">
        <v>0</v>
      </c>
      <c r="BL321" s="2">
        <v>0</v>
      </c>
      <c r="BM321" s="2">
        <v>5</v>
      </c>
      <c r="BN321" s="2">
        <v>2</v>
      </c>
      <c r="BO321" s="2">
        <v>0</v>
      </c>
      <c r="BP321" s="2">
        <v>0</v>
      </c>
      <c r="BQ321" s="2">
        <v>3</v>
      </c>
      <c r="BR321" s="2">
        <v>7</v>
      </c>
      <c r="BS321" s="2">
        <v>8</v>
      </c>
      <c r="BT321" s="2">
        <v>0</v>
      </c>
      <c r="BU321" s="2">
        <v>0</v>
      </c>
      <c r="BV321" s="2">
        <f t="shared" si="21"/>
        <v>130</v>
      </c>
      <c r="BW321" s="16">
        <f t="shared" si="19"/>
        <v>6.8421052631578947</v>
      </c>
      <c r="BX321" s="16">
        <f>COUNTIF($BC$6:BU321, "=0") / COUNTIF($BC$6:BU321, "&gt;-1")</f>
        <v>8.0779480346435714E-2</v>
      </c>
      <c r="BY321" s="18">
        <f>SUM($BC$6:BU321) / $BY$4</f>
        <v>0.77250138331484997</v>
      </c>
      <c r="BZ321" s="14">
        <f t="shared" si="20"/>
        <v>6</v>
      </c>
      <c r="CA321" t="s">
        <v>5831</v>
      </c>
      <c r="CB321" s="36">
        <v>19.3862943333557</v>
      </c>
      <c r="CC321" s="36">
        <v>12.519833568806799</v>
      </c>
      <c r="CD321" s="36">
        <v>35.217548559869698</v>
      </c>
      <c r="CE321" s="36">
        <v>27.2145916647581</v>
      </c>
      <c r="CF321" s="36">
        <v>6.8814108794951396</v>
      </c>
      <c r="CG321" s="36">
        <v>9.2972724663949098</v>
      </c>
      <c r="CH321" s="36">
        <v>11.594685111511</v>
      </c>
      <c r="CI321" s="36">
        <v>6.8122851858761404</v>
      </c>
      <c r="CJ321" s="37">
        <v>0.19868957331123899</v>
      </c>
      <c r="CK321" s="37">
        <v>3.1532482344414299</v>
      </c>
      <c r="CL321" s="37">
        <v>1.60010869653469</v>
      </c>
      <c r="CM321" s="37">
        <v>0.21163676164998499</v>
      </c>
      <c r="CN321" s="37">
        <v>2.7563776974453398</v>
      </c>
      <c r="CO321" s="37">
        <v>5.5243339926958699</v>
      </c>
      <c r="CP321" s="37">
        <v>12.068320382899399</v>
      </c>
      <c r="CQ321" s="37">
        <v>0.38065921161865401</v>
      </c>
      <c r="CR321" s="45">
        <v>-2.3262979018614298</v>
      </c>
      <c r="CS321" s="45">
        <v>-4.9790312776013597</v>
      </c>
      <c r="CT321" s="46">
        <v>9.3421615854954096E-5</v>
      </c>
      <c r="CU321" s="47">
        <v>2.6709000430326601E-4</v>
      </c>
      <c r="CV321" s="48">
        <v>16.115490221258401</v>
      </c>
      <c r="CW321" s="49">
        <v>3.2366718188245698</v>
      </c>
      <c r="CX321" s="31" t="s">
        <v>5875</v>
      </c>
      <c r="CY321" s="31" t="s">
        <v>5876</v>
      </c>
      <c r="CZ321" t="s">
        <v>6786</v>
      </c>
      <c r="DA321" t="s">
        <v>5904</v>
      </c>
      <c r="DB321">
        <v>154.80000000000001</v>
      </c>
      <c r="DC321" t="s">
        <v>16694</v>
      </c>
      <c r="DD321" t="s">
        <v>16695</v>
      </c>
      <c r="DE321" t="s">
        <v>16696</v>
      </c>
      <c r="DF321" t="s">
        <v>16697</v>
      </c>
      <c r="DG321" t="s">
        <v>16698</v>
      </c>
      <c r="DH321" t="str">
        <f>"PIP"</f>
        <v>PIP</v>
      </c>
      <c r="DI321" t="s">
        <v>16699</v>
      </c>
      <c r="DJ321" t="s">
        <v>13777</v>
      </c>
      <c r="DK321">
        <v>9606</v>
      </c>
      <c r="DL321" s="34" t="str">
        <f>HYPERLINK("http://www.uniprot.org/uniprot/P12273", "P12273")</f>
        <v>P12273</v>
      </c>
      <c r="DM321" t="s">
        <v>16700</v>
      </c>
      <c r="DN321" t="s">
        <v>13772</v>
      </c>
      <c r="DO321" t="s">
        <v>14321</v>
      </c>
      <c r="DP321" t="s">
        <v>13772</v>
      </c>
      <c r="DQ321" t="s">
        <v>13772</v>
      </c>
      <c r="DR321" t="s">
        <v>13772</v>
      </c>
      <c r="DS321" t="s">
        <v>13808</v>
      </c>
      <c r="DT321" t="s">
        <v>13772</v>
      </c>
      <c r="DU321" t="s">
        <v>13990</v>
      </c>
      <c r="DV321" t="s">
        <v>16701</v>
      </c>
      <c r="DW321" t="s">
        <v>13812</v>
      </c>
      <c r="DX321" t="s">
        <v>16702</v>
      </c>
      <c r="DY321" t="s">
        <v>16703</v>
      </c>
      <c r="DZ321" t="s">
        <v>16704</v>
      </c>
      <c r="EA321" t="s">
        <v>13772</v>
      </c>
      <c r="EB321" t="s">
        <v>16705</v>
      </c>
    </row>
    <row r="322" spans="1:132" hidden="1">
      <c r="A322">
        <v>777</v>
      </c>
      <c r="B322">
        <v>1</v>
      </c>
      <c r="C322" t="s">
        <v>1909</v>
      </c>
      <c r="D322" t="s">
        <v>1910</v>
      </c>
      <c r="E322" t="s">
        <v>73</v>
      </c>
      <c r="F322" t="s">
        <v>73</v>
      </c>
      <c r="G322" t="s">
        <v>73</v>
      </c>
      <c r="H322">
        <v>59.5</v>
      </c>
      <c r="I322">
        <v>442</v>
      </c>
      <c r="J322">
        <v>48935</v>
      </c>
      <c r="K322" t="s">
        <v>1911</v>
      </c>
      <c r="L322">
        <f t="shared" si="18"/>
        <v>130</v>
      </c>
      <c r="N322">
        <v>130</v>
      </c>
      <c r="O322">
        <v>130</v>
      </c>
      <c r="P322">
        <v>1</v>
      </c>
      <c r="Q322">
        <v>11</v>
      </c>
      <c r="R322">
        <v>21</v>
      </c>
      <c r="S322">
        <v>2</v>
      </c>
      <c r="T322">
        <v>8</v>
      </c>
      <c r="U322">
        <v>29</v>
      </c>
      <c r="V322">
        <v>26</v>
      </c>
      <c r="W322">
        <v>8</v>
      </c>
      <c r="X322">
        <v>9</v>
      </c>
      <c r="Y322">
        <v>3</v>
      </c>
      <c r="Z322">
        <v>0</v>
      </c>
      <c r="AA322">
        <v>7</v>
      </c>
      <c r="AB322">
        <v>2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1</v>
      </c>
      <c r="AJ322">
        <v>11</v>
      </c>
      <c r="AK322">
        <v>21</v>
      </c>
      <c r="AL322">
        <v>2</v>
      </c>
      <c r="AM322">
        <v>8</v>
      </c>
      <c r="AN322">
        <v>29</v>
      </c>
      <c r="AO322">
        <v>26</v>
      </c>
      <c r="AP322">
        <v>8</v>
      </c>
      <c r="AQ322">
        <v>9</v>
      </c>
      <c r="AR322">
        <v>3</v>
      </c>
      <c r="AS322">
        <v>0</v>
      </c>
      <c r="AT322">
        <v>7</v>
      </c>
      <c r="AU322">
        <v>2</v>
      </c>
      <c r="AV322">
        <v>1</v>
      </c>
      <c r="AW322">
        <v>0</v>
      </c>
      <c r="AX322">
        <v>1</v>
      </c>
      <c r="AY322">
        <v>1</v>
      </c>
      <c r="AZ322">
        <v>0</v>
      </c>
      <c r="BA322">
        <v>0</v>
      </c>
      <c r="BB322">
        <v>1</v>
      </c>
      <c r="BC322" s="2">
        <v>11</v>
      </c>
      <c r="BD322" s="2">
        <v>21</v>
      </c>
      <c r="BE322" s="2">
        <v>2</v>
      </c>
      <c r="BF322" s="2">
        <v>8</v>
      </c>
      <c r="BG322" s="2">
        <v>29</v>
      </c>
      <c r="BH322" s="2">
        <v>26</v>
      </c>
      <c r="BI322" s="2">
        <v>8</v>
      </c>
      <c r="BJ322" s="2">
        <v>9</v>
      </c>
      <c r="BK322" s="2">
        <v>3</v>
      </c>
      <c r="BL322" s="2">
        <v>0</v>
      </c>
      <c r="BM322" s="2">
        <v>7</v>
      </c>
      <c r="BN322" s="2">
        <v>2</v>
      </c>
      <c r="BO322" s="2">
        <v>1</v>
      </c>
      <c r="BP322" s="2">
        <v>0</v>
      </c>
      <c r="BQ322" s="2">
        <v>1</v>
      </c>
      <c r="BR322" s="2">
        <v>1</v>
      </c>
      <c r="BS322" s="2">
        <v>0</v>
      </c>
      <c r="BT322" s="2">
        <v>0</v>
      </c>
      <c r="BU322" s="2">
        <v>1</v>
      </c>
      <c r="BV322" s="2">
        <f t="shared" si="21"/>
        <v>130</v>
      </c>
      <c r="BW322" s="16">
        <f t="shared" si="19"/>
        <v>6.8421052631578947</v>
      </c>
      <c r="BX322" s="16">
        <f>COUNTIF($BC$6:BU322, "=0") / COUNTIF($BC$6:BU322, "&gt;-1")</f>
        <v>8.1188776357297029E-2</v>
      </c>
      <c r="BY322" s="18">
        <f>SUM($BC$6:BU322) / $BY$4</f>
        <v>0.77305825610778101</v>
      </c>
      <c r="BZ322" s="14">
        <f t="shared" si="20"/>
        <v>4</v>
      </c>
      <c r="CA322" t="s">
        <v>5831</v>
      </c>
      <c r="CB322" s="36">
        <v>13.328077354182</v>
      </c>
      <c r="CC322" s="36">
        <v>20.224346534226399</v>
      </c>
      <c r="CD322" s="36">
        <v>3.2015953236245198</v>
      </c>
      <c r="CE322" s="36">
        <v>12.0953740732258</v>
      </c>
      <c r="CF322" s="36">
        <v>24.945114438169899</v>
      </c>
      <c r="CG322" s="36">
        <v>24.1729084126268</v>
      </c>
      <c r="CH322" s="36">
        <v>8.4324982629171306</v>
      </c>
      <c r="CI322" s="36">
        <v>8.7586523818407507</v>
      </c>
      <c r="CJ322" s="37">
        <v>2.3842748797348698</v>
      </c>
      <c r="CK322" s="37">
        <v>4.4145475282179998</v>
      </c>
      <c r="CL322" s="37">
        <v>1.60010869653469</v>
      </c>
      <c r="CM322" s="37">
        <v>0.84654704659994096</v>
      </c>
      <c r="CN322" s="37">
        <v>0.91879256581511404</v>
      </c>
      <c r="CO322" s="37">
        <v>0.78919057038512497</v>
      </c>
      <c r="CP322" s="37">
        <v>0.377135011965606</v>
      </c>
      <c r="CQ322" s="37">
        <v>1.5226368464746201</v>
      </c>
      <c r="CR322" s="45">
        <v>-2.9883533702527498</v>
      </c>
      <c r="CS322" s="45">
        <v>-8.9595018992624897</v>
      </c>
      <c r="CT322" s="46">
        <v>2.5213405050380701E-9</v>
      </c>
      <c r="CU322" s="47">
        <v>2.8589437252041799E-8</v>
      </c>
      <c r="CV322" s="48">
        <v>14.3948208476017</v>
      </c>
      <c r="CW322" s="49">
        <v>1.60665414321599</v>
      </c>
      <c r="CX322" s="31" t="s">
        <v>5875</v>
      </c>
      <c r="CY322" s="31" t="s">
        <v>5876</v>
      </c>
      <c r="CZ322" t="s">
        <v>8362</v>
      </c>
      <c r="DA322" t="s">
        <v>5904</v>
      </c>
      <c r="DB322">
        <v>765.4</v>
      </c>
      <c r="DC322" t="s">
        <v>21442</v>
      </c>
      <c r="DD322" t="s">
        <v>21443</v>
      </c>
      <c r="DE322" t="s">
        <v>21444</v>
      </c>
      <c r="DF322" t="s">
        <v>21445</v>
      </c>
      <c r="DG322" t="s">
        <v>21446</v>
      </c>
      <c r="DH322" t="str">
        <f>"ACY1"</f>
        <v>ACY1</v>
      </c>
      <c r="DI322" t="s">
        <v>13772</v>
      </c>
      <c r="DJ322" t="s">
        <v>13777</v>
      </c>
      <c r="DK322">
        <v>9606</v>
      </c>
      <c r="DL322" s="34" t="str">
        <f>HYPERLINK("http://www.uniprot.org/uniprot/Q03154", "Q03154")</f>
        <v>Q03154</v>
      </c>
      <c r="DM322" t="s">
        <v>21447</v>
      </c>
      <c r="DN322" t="s">
        <v>13772</v>
      </c>
      <c r="DO322" t="s">
        <v>13899</v>
      </c>
      <c r="DP322" t="s">
        <v>13780</v>
      </c>
      <c r="DQ322" t="s">
        <v>13772</v>
      </c>
      <c r="DR322" t="s">
        <v>13807</v>
      </c>
      <c r="DS322" t="s">
        <v>13772</v>
      </c>
      <c r="DT322" t="s">
        <v>13856</v>
      </c>
      <c r="DU322" t="s">
        <v>13857</v>
      </c>
      <c r="DV322" t="s">
        <v>13772</v>
      </c>
      <c r="DW322" t="s">
        <v>13812</v>
      </c>
      <c r="DX322" t="s">
        <v>21448</v>
      </c>
      <c r="DY322" t="s">
        <v>15111</v>
      </c>
      <c r="DZ322" t="s">
        <v>21449</v>
      </c>
      <c r="EA322" t="s">
        <v>13772</v>
      </c>
      <c r="EB322" t="s">
        <v>21450</v>
      </c>
    </row>
    <row r="323" spans="1:132">
      <c r="A323">
        <v>1808</v>
      </c>
      <c r="B323">
        <v>1</v>
      </c>
      <c r="C323" t="s">
        <v>4275</v>
      </c>
      <c r="D323" t="s">
        <v>73</v>
      </c>
      <c r="E323" t="s">
        <v>73</v>
      </c>
      <c r="F323" t="s">
        <v>73</v>
      </c>
      <c r="G323" t="s">
        <v>73</v>
      </c>
      <c r="H323">
        <v>46.9</v>
      </c>
      <c r="I323">
        <v>350</v>
      </c>
      <c r="J323">
        <v>37350</v>
      </c>
      <c r="K323" t="s">
        <v>4276</v>
      </c>
      <c r="L323">
        <f t="shared" si="18"/>
        <v>128</v>
      </c>
      <c r="N323">
        <v>128</v>
      </c>
      <c r="O323">
        <v>128</v>
      </c>
      <c r="P323">
        <v>1</v>
      </c>
      <c r="Q323">
        <v>4</v>
      </c>
      <c r="R323">
        <v>12</v>
      </c>
      <c r="S323">
        <v>11</v>
      </c>
      <c r="T323">
        <v>14</v>
      </c>
      <c r="U323">
        <v>19</v>
      </c>
      <c r="V323">
        <v>4</v>
      </c>
      <c r="W323">
        <v>4</v>
      </c>
      <c r="X323">
        <v>1</v>
      </c>
      <c r="Y323">
        <v>4</v>
      </c>
      <c r="Z323">
        <v>2</v>
      </c>
      <c r="AA323">
        <v>5</v>
      </c>
      <c r="AB323">
        <v>10</v>
      </c>
      <c r="AC323">
        <v>9</v>
      </c>
      <c r="AD323">
        <v>14</v>
      </c>
      <c r="AE323">
        <v>3</v>
      </c>
      <c r="AF323">
        <v>3</v>
      </c>
      <c r="AG323">
        <v>4</v>
      </c>
      <c r="AH323">
        <v>1</v>
      </c>
      <c r="AI323">
        <v>4</v>
      </c>
      <c r="AJ323">
        <v>4</v>
      </c>
      <c r="AK323">
        <v>12</v>
      </c>
      <c r="AL323">
        <v>11</v>
      </c>
      <c r="AM323">
        <v>14</v>
      </c>
      <c r="AN323">
        <v>19</v>
      </c>
      <c r="AO323">
        <v>4</v>
      </c>
      <c r="AP323">
        <v>4</v>
      </c>
      <c r="AQ323">
        <v>1</v>
      </c>
      <c r="AR323">
        <v>4</v>
      </c>
      <c r="AS323">
        <v>2</v>
      </c>
      <c r="AT323">
        <v>5</v>
      </c>
      <c r="AU323">
        <v>10</v>
      </c>
      <c r="AV323">
        <v>9</v>
      </c>
      <c r="AW323">
        <v>14</v>
      </c>
      <c r="AX323">
        <v>3</v>
      </c>
      <c r="AY323">
        <v>3</v>
      </c>
      <c r="AZ323">
        <v>4</v>
      </c>
      <c r="BA323">
        <v>1</v>
      </c>
      <c r="BB323">
        <v>4</v>
      </c>
      <c r="BC323" s="2">
        <v>4</v>
      </c>
      <c r="BD323" s="2">
        <v>12</v>
      </c>
      <c r="BE323" s="2">
        <v>11</v>
      </c>
      <c r="BF323" s="2">
        <v>14</v>
      </c>
      <c r="BG323" s="2">
        <v>19</v>
      </c>
      <c r="BH323" s="2">
        <v>4</v>
      </c>
      <c r="BI323" s="2">
        <v>4</v>
      </c>
      <c r="BJ323" s="2">
        <v>1</v>
      </c>
      <c r="BK323" s="2">
        <v>4</v>
      </c>
      <c r="BL323" s="2">
        <v>2</v>
      </c>
      <c r="BM323" s="2">
        <v>5</v>
      </c>
      <c r="BN323" s="2">
        <v>10</v>
      </c>
      <c r="BO323" s="2">
        <v>9</v>
      </c>
      <c r="BP323" s="2">
        <v>14</v>
      </c>
      <c r="BQ323" s="2">
        <v>3</v>
      </c>
      <c r="BR323" s="2">
        <v>3</v>
      </c>
      <c r="BS323" s="2">
        <v>4</v>
      </c>
      <c r="BT323" s="2">
        <v>1</v>
      </c>
      <c r="BU323" s="2">
        <v>4</v>
      </c>
      <c r="BV323" s="2">
        <f t="shared" si="21"/>
        <v>128</v>
      </c>
      <c r="BW323" s="16">
        <f t="shared" si="19"/>
        <v>6.7368421052631575</v>
      </c>
      <c r="BX323" s="16">
        <f>COUNTIF($BC$6:BU323, "=0") / COUNTIF($BC$6:BU323, "&gt;-1")</f>
        <v>8.0933465739821256E-2</v>
      </c>
      <c r="BY323" s="18">
        <f>SUM($BC$6:BU323) / $BY$4</f>
        <v>0.77360656162697472</v>
      </c>
      <c r="BZ323" s="14">
        <f t="shared" si="20"/>
        <v>0</v>
      </c>
      <c r="CA323" t="s">
        <v>5831</v>
      </c>
      <c r="CB323" s="36">
        <v>4.8465735833389196</v>
      </c>
      <c r="CC323" s="36">
        <v>11.556769448129399</v>
      </c>
      <c r="CD323" s="36">
        <v>17.608774279934799</v>
      </c>
      <c r="CE323" s="36">
        <v>21.1669046281452</v>
      </c>
      <c r="CF323" s="36">
        <v>16.343350838801001</v>
      </c>
      <c r="CG323" s="36">
        <v>3.7189089865579601</v>
      </c>
      <c r="CH323" s="36">
        <v>4.21624913145856</v>
      </c>
      <c r="CI323" s="36">
        <v>0.97318359798230603</v>
      </c>
      <c r="CJ323" s="37">
        <v>3.17903317297983</v>
      </c>
      <c r="CK323" s="37">
        <v>3.1532482344414299</v>
      </c>
      <c r="CL323" s="37">
        <v>8.0005434826734305</v>
      </c>
      <c r="CM323" s="37">
        <v>7.6189234193994704</v>
      </c>
      <c r="CN323" s="37">
        <v>2.7563776974453398</v>
      </c>
      <c r="CO323" s="37">
        <v>2.36757171115537</v>
      </c>
      <c r="CP323" s="37">
        <v>6.0341601914496898</v>
      </c>
      <c r="CQ323" s="37">
        <v>6.0905473858984696</v>
      </c>
      <c r="CR323" s="45">
        <v>-1.01104290987139</v>
      </c>
      <c r="CS323" s="45">
        <v>-2.05178272745303</v>
      </c>
      <c r="CT323" s="46">
        <v>4.8952834600685599E-2</v>
      </c>
      <c r="CU323" s="47">
        <v>7.6161503134554998E-2</v>
      </c>
      <c r="CV323" s="48">
        <v>10.053839311793499</v>
      </c>
      <c r="CW323" s="49">
        <v>4.9000506619303801</v>
      </c>
      <c r="CX323" s="31" t="s">
        <v>5875</v>
      </c>
      <c r="CY323" s="31" t="s">
        <v>5877</v>
      </c>
      <c r="CZ323" t="s">
        <v>11780</v>
      </c>
      <c r="DA323" t="s">
        <v>5896</v>
      </c>
      <c r="DB323">
        <v>345.9</v>
      </c>
      <c r="DC323" t="s">
        <v>31161</v>
      </c>
      <c r="DD323" t="s">
        <v>31162</v>
      </c>
      <c r="DE323" t="s">
        <v>31163</v>
      </c>
      <c r="DF323" t="s">
        <v>31164</v>
      </c>
      <c r="DG323" t="s">
        <v>31165</v>
      </c>
      <c r="DH323" t="str">
        <f>"MUC1"</f>
        <v>MUC1</v>
      </c>
      <c r="DI323" t="s">
        <v>31166</v>
      </c>
      <c r="DJ323" t="s">
        <v>13777</v>
      </c>
      <c r="DK323">
        <v>9606</v>
      </c>
      <c r="DL323" s="34" t="str">
        <f>HYPERLINK("http://www.uniprot.org/uniprot/P15941", "P15941")</f>
        <v>P15941</v>
      </c>
      <c r="DM323" t="s">
        <v>31167</v>
      </c>
      <c r="DN323" t="s">
        <v>13772</v>
      </c>
      <c r="DO323" t="s">
        <v>27208</v>
      </c>
      <c r="DP323" t="s">
        <v>13780</v>
      </c>
      <c r="DQ323" t="s">
        <v>13772</v>
      </c>
      <c r="DR323" t="s">
        <v>14505</v>
      </c>
      <c r="DS323" t="s">
        <v>13826</v>
      </c>
      <c r="DT323" t="s">
        <v>13772</v>
      </c>
      <c r="DU323" t="s">
        <v>13772</v>
      </c>
      <c r="DV323" t="s">
        <v>31168</v>
      </c>
      <c r="DW323" t="s">
        <v>13812</v>
      </c>
      <c r="DX323" t="s">
        <v>31169</v>
      </c>
      <c r="DY323" t="s">
        <v>31170</v>
      </c>
      <c r="DZ323" t="s">
        <v>31171</v>
      </c>
      <c r="EA323" t="s">
        <v>13772</v>
      </c>
      <c r="EB323" t="s">
        <v>31172</v>
      </c>
    </row>
    <row r="324" spans="1:132" hidden="1">
      <c r="A324">
        <v>2438</v>
      </c>
      <c r="B324">
        <v>1</v>
      </c>
      <c r="C324" t="s">
        <v>5718</v>
      </c>
      <c r="D324" t="s">
        <v>73</v>
      </c>
      <c r="E324" t="s">
        <v>5719</v>
      </c>
      <c r="F324" t="s">
        <v>73</v>
      </c>
      <c r="G324" t="s">
        <v>73</v>
      </c>
      <c r="H324">
        <v>28.1</v>
      </c>
      <c r="I324">
        <v>221</v>
      </c>
      <c r="J324">
        <v>22249</v>
      </c>
      <c r="K324" t="s">
        <v>5720</v>
      </c>
      <c r="L324">
        <f t="shared" si="18"/>
        <v>127</v>
      </c>
      <c r="N324">
        <v>127</v>
      </c>
      <c r="O324">
        <v>127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3</v>
      </c>
      <c r="W324">
        <v>2</v>
      </c>
      <c r="X324">
        <v>7</v>
      </c>
      <c r="Y324">
        <v>16</v>
      </c>
      <c r="Z324">
        <v>6</v>
      </c>
      <c r="AA324">
        <v>16</v>
      </c>
      <c r="AB324">
        <v>16</v>
      </c>
      <c r="AC324">
        <v>17</v>
      </c>
      <c r="AD324">
        <v>1</v>
      </c>
      <c r="AE324">
        <v>16</v>
      </c>
      <c r="AF324">
        <v>13</v>
      </c>
      <c r="AG324">
        <v>2</v>
      </c>
      <c r="AH324">
        <v>6</v>
      </c>
      <c r="AI324">
        <v>3</v>
      </c>
      <c r="AJ324">
        <v>0</v>
      </c>
      <c r="AK324">
        <v>1</v>
      </c>
      <c r="AL324">
        <v>0</v>
      </c>
      <c r="AM324">
        <v>1</v>
      </c>
      <c r="AN324">
        <v>1</v>
      </c>
      <c r="AO324">
        <v>3</v>
      </c>
      <c r="AP324">
        <v>2</v>
      </c>
      <c r="AQ324">
        <v>7</v>
      </c>
      <c r="AR324">
        <v>16</v>
      </c>
      <c r="AS324">
        <v>6</v>
      </c>
      <c r="AT324">
        <v>16</v>
      </c>
      <c r="AU324">
        <v>16</v>
      </c>
      <c r="AV324">
        <v>17</v>
      </c>
      <c r="AW324">
        <v>1</v>
      </c>
      <c r="AX324">
        <v>16</v>
      </c>
      <c r="AY324">
        <v>13</v>
      </c>
      <c r="AZ324">
        <v>2</v>
      </c>
      <c r="BA324">
        <v>6</v>
      </c>
      <c r="BB324">
        <v>3</v>
      </c>
      <c r="BC324" s="2">
        <v>0</v>
      </c>
      <c r="BD324" s="2">
        <v>1</v>
      </c>
      <c r="BE324" s="2">
        <v>0</v>
      </c>
      <c r="BF324" s="2">
        <v>1</v>
      </c>
      <c r="BG324" s="2">
        <v>1</v>
      </c>
      <c r="BH324" s="2">
        <v>3</v>
      </c>
      <c r="BI324" s="2">
        <v>2</v>
      </c>
      <c r="BJ324" s="2">
        <v>7</v>
      </c>
      <c r="BK324" s="2">
        <v>16</v>
      </c>
      <c r="BL324" s="2">
        <v>6</v>
      </c>
      <c r="BM324" s="2">
        <v>16</v>
      </c>
      <c r="BN324" s="2">
        <v>16</v>
      </c>
      <c r="BO324" s="2">
        <v>17</v>
      </c>
      <c r="BP324" s="2">
        <v>1</v>
      </c>
      <c r="BQ324" s="2">
        <v>16</v>
      </c>
      <c r="BR324" s="2">
        <v>13</v>
      </c>
      <c r="BS324" s="2">
        <v>2</v>
      </c>
      <c r="BT324" s="2">
        <v>6</v>
      </c>
      <c r="BU324" s="2">
        <v>3</v>
      </c>
      <c r="BV324" s="2">
        <f t="shared" si="21"/>
        <v>127</v>
      </c>
      <c r="BW324" s="16">
        <f t="shared" si="19"/>
        <v>6.6842105263157894</v>
      </c>
      <c r="BX324" s="16">
        <f>COUNTIF($BC$6:BU324, "=0") / COUNTIF($BC$6:BU324, "&gt;-1")</f>
        <v>8.1009734367266134E-2</v>
      </c>
      <c r="BY324" s="18">
        <f>SUM($BC$6:BU324) / $BY$4</f>
        <v>0.77415058350929966</v>
      </c>
      <c r="BZ324" s="14">
        <f t="shared" si="20"/>
        <v>2</v>
      </c>
      <c r="CA324" t="s">
        <v>5831</v>
      </c>
      <c r="CB324" s="36">
        <v>0.30291084895868198</v>
      </c>
      <c r="CC324" s="36">
        <v>0.96306412067744696</v>
      </c>
      <c r="CD324" s="36">
        <v>0.40019941545306398</v>
      </c>
      <c r="CE324" s="36">
        <v>1.5119217591532299</v>
      </c>
      <c r="CF324" s="36">
        <v>0.86017635993689201</v>
      </c>
      <c r="CG324" s="36">
        <v>2.7891817399184702</v>
      </c>
      <c r="CH324" s="36">
        <v>2.10812456572928</v>
      </c>
      <c r="CI324" s="36">
        <v>6.8122851858761404</v>
      </c>
      <c r="CJ324" s="37">
        <v>12.716132691919301</v>
      </c>
      <c r="CK324" s="37">
        <v>10.0903943502126</v>
      </c>
      <c r="CL324" s="37">
        <v>12.800869572277501</v>
      </c>
      <c r="CM324" s="37">
        <v>14.391299792199</v>
      </c>
      <c r="CN324" s="37">
        <v>14.7006810530418</v>
      </c>
      <c r="CO324" s="37">
        <v>10.2594774150066</v>
      </c>
      <c r="CP324" s="37">
        <v>3.0170800957248498</v>
      </c>
      <c r="CQ324" s="37">
        <v>4.5679105394238499</v>
      </c>
      <c r="CR324" s="45">
        <v>2.2904852007145999</v>
      </c>
      <c r="CS324" s="45">
        <v>5.2415899408534097</v>
      </c>
      <c r="CT324" s="46">
        <v>2.5313489848940899E-6</v>
      </c>
      <c r="CU324" s="47">
        <v>1.0786448859198401E-5</v>
      </c>
      <c r="CV324" s="48">
        <v>1.9684829994629001</v>
      </c>
      <c r="CW324" s="49">
        <v>10.317980688725701</v>
      </c>
      <c r="CX324" s="31" t="s">
        <v>5874</v>
      </c>
      <c r="CY324" s="31" t="s">
        <v>5876</v>
      </c>
      <c r="CZ324" t="s">
        <v>7938</v>
      </c>
      <c r="DA324" t="s">
        <v>5904</v>
      </c>
      <c r="DB324">
        <v>183.3</v>
      </c>
      <c r="DC324" t="s">
        <v>20202</v>
      </c>
      <c r="DD324" t="s">
        <v>20203</v>
      </c>
      <c r="DE324" t="s">
        <v>20204</v>
      </c>
      <c r="DF324" t="s">
        <v>20205</v>
      </c>
      <c r="DG324" t="s">
        <v>20206</v>
      </c>
      <c r="DH324" t="str">
        <f>"HIST1H1D"</f>
        <v>HIST1H1D</v>
      </c>
      <c r="DI324" t="s">
        <v>20207</v>
      </c>
      <c r="DJ324" t="s">
        <v>13777</v>
      </c>
      <c r="DK324">
        <v>9606</v>
      </c>
      <c r="DL324" s="34" t="str">
        <f>HYPERLINK("http://www.uniprot.org/uniprot/P16402", "P16402")</f>
        <v>P16402</v>
      </c>
      <c r="DM324" t="s">
        <v>20208</v>
      </c>
      <c r="DN324" t="s">
        <v>13772</v>
      </c>
      <c r="DO324" t="s">
        <v>19917</v>
      </c>
      <c r="DP324" t="s">
        <v>13793</v>
      </c>
      <c r="DQ324" t="s">
        <v>13772</v>
      </c>
      <c r="DR324" t="s">
        <v>13772</v>
      </c>
      <c r="DS324" t="s">
        <v>13772</v>
      </c>
      <c r="DT324" t="s">
        <v>13772</v>
      </c>
      <c r="DU324" t="s">
        <v>15871</v>
      </c>
      <c r="DV324" t="s">
        <v>20209</v>
      </c>
      <c r="DW324" t="s">
        <v>13772</v>
      </c>
      <c r="DX324" t="s">
        <v>20210</v>
      </c>
      <c r="DY324" t="s">
        <v>20211</v>
      </c>
      <c r="DZ324" t="s">
        <v>20212</v>
      </c>
      <c r="EA324" t="s">
        <v>13772</v>
      </c>
      <c r="EB324" t="s">
        <v>20213</v>
      </c>
    </row>
    <row r="325" spans="1:132" hidden="1">
      <c r="A325">
        <v>308</v>
      </c>
      <c r="B325">
        <v>1</v>
      </c>
      <c r="C325" t="s">
        <v>774</v>
      </c>
      <c r="D325" t="s">
        <v>73</v>
      </c>
      <c r="E325" t="s">
        <v>73</v>
      </c>
      <c r="F325" t="s">
        <v>73</v>
      </c>
      <c r="G325" t="s">
        <v>73</v>
      </c>
      <c r="H325">
        <v>42.2</v>
      </c>
      <c r="I325">
        <v>128</v>
      </c>
      <c r="J325">
        <v>13176</v>
      </c>
      <c r="K325" t="s">
        <v>775</v>
      </c>
      <c r="L325">
        <f t="shared" si="18"/>
        <v>126</v>
      </c>
      <c r="N325">
        <v>126</v>
      </c>
      <c r="O325">
        <v>126</v>
      </c>
      <c r="P325">
        <v>1</v>
      </c>
      <c r="Q325">
        <v>5</v>
      </c>
      <c r="R325">
        <v>22</v>
      </c>
      <c r="S325">
        <v>26</v>
      </c>
      <c r="T325">
        <v>20</v>
      </c>
      <c r="U325">
        <v>13</v>
      </c>
      <c r="V325">
        <v>6</v>
      </c>
      <c r="W325">
        <v>8</v>
      </c>
      <c r="X325">
        <v>2</v>
      </c>
      <c r="Y325">
        <v>3</v>
      </c>
      <c r="Z325">
        <v>0</v>
      </c>
      <c r="AA325">
        <v>3</v>
      </c>
      <c r="AB325">
        <v>4</v>
      </c>
      <c r="AC325">
        <v>2</v>
      </c>
      <c r="AD325">
        <v>0</v>
      </c>
      <c r="AE325">
        <v>2</v>
      </c>
      <c r="AF325">
        <v>3</v>
      </c>
      <c r="AG325">
        <v>1</v>
      </c>
      <c r="AH325">
        <v>3</v>
      </c>
      <c r="AI325">
        <v>3</v>
      </c>
      <c r="AJ325">
        <v>5</v>
      </c>
      <c r="AK325">
        <v>22</v>
      </c>
      <c r="AL325">
        <v>26</v>
      </c>
      <c r="AM325">
        <v>20</v>
      </c>
      <c r="AN325">
        <v>13</v>
      </c>
      <c r="AO325">
        <v>6</v>
      </c>
      <c r="AP325">
        <v>8</v>
      </c>
      <c r="AQ325">
        <v>2</v>
      </c>
      <c r="AR325">
        <v>3</v>
      </c>
      <c r="AS325">
        <v>0</v>
      </c>
      <c r="AT325">
        <v>3</v>
      </c>
      <c r="AU325">
        <v>4</v>
      </c>
      <c r="AV325">
        <v>2</v>
      </c>
      <c r="AW325">
        <v>0</v>
      </c>
      <c r="AX325">
        <v>2</v>
      </c>
      <c r="AY325">
        <v>3</v>
      </c>
      <c r="AZ325">
        <v>1</v>
      </c>
      <c r="BA325">
        <v>3</v>
      </c>
      <c r="BB325">
        <v>3</v>
      </c>
      <c r="BC325" s="2">
        <v>5</v>
      </c>
      <c r="BD325" s="2">
        <v>22</v>
      </c>
      <c r="BE325" s="2">
        <v>26</v>
      </c>
      <c r="BF325" s="2">
        <v>20</v>
      </c>
      <c r="BG325" s="2">
        <v>13</v>
      </c>
      <c r="BH325" s="2">
        <v>6</v>
      </c>
      <c r="BI325" s="2">
        <v>8</v>
      </c>
      <c r="BJ325" s="2">
        <v>2</v>
      </c>
      <c r="BK325" s="2">
        <v>3</v>
      </c>
      <c r="BL325" s="2">
        <v>0</v>
      </c>
      <c r="BM325" s="2">
        <v>3</v>
      </c>
      <c r="BN325" s="2">
        <v>4</v>
      </c>
      <c r="BO325" s="2">
        <v>2</v>
      </c>
      <c r="BP325" s="2">
        <v>0</v>
      </c>
      <c r="BQ325" s="2">
        <v>2</v>
      </c>
      <c r="BR325" s="2">
        <v>3</v>
      </c>
      <c r="BS325" s="2">
        <v>1</v>
      </c>
      <c r="BT325" s="2">
        <v>3</v>
      </c>
      <c r="BU325" s="2">
        <v>3</v>
      </c>
      <c r="BV325" s="2">
        <f t="shared" si="21"/>
        <v>126</v>
      </c>
      <c r="BW325" s="16">
        <f t="shared" si="19"/>
        <v>6.6315789473684212</v>
      </c>
      <c r="BX325" s="16">
        <f>COUNTIF($BC$6:BU325, "=0") / COUNTIF($BC$6:BU325, "&gt;-1")</f>
        <v>8.1085526315789469E-2</v>
      </c>
      <c r="BY325" s="18">
        <f>SUM($BC$6:BU325) / $BY$4</f>
        <v>0.77469032175475594</v>
      </c>
      <c r="BZ325" s="14">
        <f t="shared" si="20"/>
        <v>2</v>
      </c>
      <c r="CA325" t="s">
        <v>5831</v>
      </c>
      <c r="CB325" s="36">
        <v>6.0582169791736504</v>
      </c>
      <c r="CC325" s="36">
        <v>21.1874106549038</v>
      </c>
      <c r="CD325" s="36">
        <v>41.620739207118703</v>
      </c>
      <c r="CE325" s="36">
        <v>30.238435183064599</v>
      </c>
      <c r="CF325" s="36">
        <v>11.1822926791796</v>
      </c>
      <c r="CG325" s="36">
        <v>5.5783634798369501</v>
      </c>
      <c r="CH325" s="36">
        <v>8.4324982629171306</v>
      </c>
      <c r="CI325" s="36">
        <v>1.9463671959646101</v>
      </c>
      <c r="CJ325" s="37">
        <v>2.3842748797348698</v>
      </c>
      <c r="CK325" s="37">
        <v>1.89194894066486</v>
      </c>
      <c r="CL325" s="37">
        <v>3.2002173930693698</v>
      </c>
      <c r="CM325" s="37">
        <v>1.6930940931998799</v>
      </c>
      <c r="CN325" s="37">
        <v>1.8375851316302301</v>
      </c>
      <c r="CO325" s="37">
        <v>2.36757171115537</v>
      </c>
      <c r="CP325" s="37">
        <v>1.50854004786242</v>
      </c>
      <c r="CQ325" s="37">
        <v>4.5679105394238499</v>
      </c>
      <c r="CR325" s="45">
        <v>-2.6328707395378999</v>
      </c>
      <c r="CS325" s="45">
        <v>-6.4903294038194899</v>
      </c>
      <c r="CT325" s="46">
        <v>6.7864244054500001E-6</v>
      </c>
      <c r="CU325" s="47">
        <v>2.64703884671654E-5</v>
      </c>
      <c r="CV325" s="48">
        <v>15.7805404552699</v>
      </c>
      <c r="CW325" s="49">
        <v>2.4313928420926101</v>
      </c>
      <c r="CX325" s="31" t="s">
        <v>5875</v>
      </c>
      <c r="CY325" s="31" t="s">
        <v>5876</v>
      </c>
      <c r="CZ325" t="s">
        <v>6760</v>
      </c>
      <c r="DA325" t="s">
        <v>5904</v>
      </c>
      <c r="DB325">
        <v>120.2</v>
      </c>
      <c r="DC325" t="s">
        <v>16620</v>
      </c>
      <c r="DD325" t="s">
        <v>16621</v>
      </c>
      <c r="DE325" t="s">
        <v>16622</v>
      </c>
      <c r="DF325" t="s">
        <v>16623</v>
      </c>
      <c r="DG325" t="s">
        <v>16624</v>
      </c>
      <c r="DH325" t="str">
        <f>"LY6D"</f>
        <v>LY6D</v>
      </c>
      <c r="DI325" t="s">
        <v>16625</v>
      </c>
      <c r="DJ325" t="s">
        <v>13777</v>
      </c>
      <c r="DK325">
        <v>9606</v>
      </c>
      <c r="DL325" s="34" t="str">
        <f>HYPERLINK("http://www.uniprot.org/uniprot/Q14210", "Q14210")</f>
        <v>Q14210</v>
      </c>
      <c r="DM325" t="s">
        <v>16626</v>
      </c>
      <c r="DN325" t="s">
        <v>13949</v>
      </c>
      <c r="DO325" t="s">
        <v>13792</v>
      </c>
      <c r="DP325" t="s">
        <v>13793</v>
      </c>
      <c r="DQ325" t="s">
        <v>13772</v>
      </c>
      <c r="DR325" t="s">
        <v>13772</v>
      </c>
      <c r="DS325" t="s">
        <v>13808</v>
      </c>
      <c r="DT325" t="s">
        <v>13772</v>
      </c>
      <c r="DU325" t="s">
        <v>13772</v>
      </c>
      <c r="DV325" t="s">
        <v>15699</v>
      </c>
      <c r="DW325" t="s">
        <v>13772</v>
      </c>
      <c r="DX325" t="s">
        <v>16627</v>
      </c>
      <c r="DY325" t="s">
        <v>16628</v>
      </c>
      <c r="DZ325" t="s">
        <v>13772</v>
      </c>
      <c r="EA325" t="s">
        <v>13772</v>
      </c>
      <c r="EB325" t="s">
        <v>16280</v>
      </c>
    </row>
    <row r="326" spans="1:132">
      <c r="A326">
        <v>1434</v>
      </c>
      <c r="B326">
        <v>1</v>
      </c>
      <c r="C326" t="s">
        <v>3415</v>
      </c>
      <c r="D326" t="s">
        <v>73</v>
      </c>
      <c r="E326" t="s">
        <v>73</v>
      </c>
      <c r="F326" t="s">
        <v>73</v>
      </c>
      <c r="G326" t="s">
        <v>73</v>
      </c>
      <c r="H326">
        <v>31.3</v>
      </c>
      <c r="I326">
        <v>753</v>
      </c>
      <c r="J326">
        <v>85423</v>
      </c>
      <c r="K326" t="s">
        <v>3416</v>
      </c>
      <c r="L326">
        <f t="shared" ref="L326:L389" si="22">N326</f>
        <v>126</v>
      </c>
      <c r="N326">
        <v>126</v>
      </c>
      <c r="O326">
        <v>126</v>
      </c>
      <c r="P326">
        <v>1</v>
      </c>
      <c r="Q326">
        <v>6</v>
      </c>
      <c r="R326">
        <v>7</v>
      </c>
      <c r="S326">
        <v>6</v>
      </c>
      <c r="T326">
        <v>6</v>
      </c>
      <c r="U326">
        <v>1</v>
      </c>
      <c r="V326">
        <v>3</v>
      </c>
      <c r="W326">
        <v>2</v>
      </c>
      <c r="X326">
        <v>3</v>
      </c>
      <c r="Y326">
        <v>6</v>
      </c>
      <c r="Z326">
        <v>1</v>
      </c>
      <c r="AA326">
        <v>15</v>
      </c>
      <c r="AB326">
        <v>11</v>
      </c>
      <c r="AC326">
        <v>4</v>
      </c>
      <c r="AD326">
        <v>1</v>
      </c>
      <c r="AE326">
        <v>6</v>
      </c>
      <c r="AF326">
        <v>4</v>
      </c>
      <c r="AG326">
        <v>30</v>
      </c>
      <c r="AH326">
        <v>1</v>
      </c>
      <c r="AI326">
        <v>13</v>
      </c>
      <c r="AJ326">
        <v>6</v>
      </c>
      <c r="AK326">
        <v>7</v>
      </c>
      <c r="AL326">
        <v>6</v>
      </c>
      <c r="AM326">
        <v>6</v>
      </c>
      <c r="AN326">
        <v>1</v>
      </c>
      <c r="AO326">
        <v>3</v>
      </c>
      <c r="AP326">
        <v>2</v>
      </c>
      <c r="AQ326">
        <v>3</v>
      </c>
      <c r="AR326">
        <v>6</v>
      </c>
      <c r="AS326">
        <v>1</v>
      </c>
      <c r="AT326">
        <v>15</v>
      </c>
      <c r="AU326">
        <v>11</v>
      </c>
      <c r="AV326">
        <v>4</v>
      </c>
      <c r="AW326">
        <v>1</v>
      </c>
      <c r="AX326">
        <v>6</v>
      </c>
      <c r="AY326">
        <v>4</v>
      </c>
      <c r="AZ326">
        <v>30</v>
      </c>
      <c r="BA326">
        <v>1</v>
      </c>
      <c r="BB326">
        <v>13</v>
      </c>
      <c r="BC326" s="2">
        <v>6</v>
      </c>
      <c r="BD326" s="2">
        <v>7</v>
      </c>
      <c r="BE326" s="2">
        <v>6</v>
      </c>
      <c r="BF326" s="2">
        <v>6</v>
      </c>
      <c r="BG326" s="2">
        <v>1</v>
      </c>
      <c r="BH326" s="2">
        <v>3</v>
      </c>
      <c r="BI326" s="2">
        <v>2</v>
      </c>
      <c r="BJ326" s="2">
        <v>3</v>
      </c>
      <c r="BK326" s="2">
        <v>6</v>
      </c>
      <c r="BL326" s="2">
        <v>1</v>
      </c>
      <c r="BM326" s="2">
        <v>15</v>
      </c>
      <c r="BN326" s="2">
        <v>11</v>
      </c>
      <c r="BO326" s="2">
        <v>4</v>
      </c>
      <c r="BP326" s="2">
        <v>1</v>
      </c>
      <c r="BQ326" s="2">
        <v>6</v>
      </c>
      <c r="BR326" s="2">
        <v>4</v>
      </c>
      <c r="BS326" s="2">
        <v>30</v>
      </c>
      <c r="BT326" s="2">
        <v>1</v>
      </c>
      <c r="BU326" s="2">
        <v>13</v>
      </c>
      <c r="BV326" s="2">
        <f t="shared" si="21"/>
        <v>126</v>
      </c>
      <c r="BW326" s="16">
        <f t="shared" ref="BW326:BW389" si="23">AVERAGE(BC326:BU326)</f>
        <v>6.6315789473684212</v>
      </c>
      <c r="BX326" s="16">
        <f>COUNTIF($BC$6:BU326, "=0") / COUNTIF($BC$6:BU326, "&gt;-1")</f>
        <v>8.0832923430070508E-2</v>
      </c>
      <c r="BY326" s="18">
        <f>SUM($BC$6:BU326) / $BY$4</f>
        <v>0.77523006000021222</v>
      </c>
      <c r="BZ326" s="14">
        <f t="shared" ref="BZ326:BZ389" si="24">19-COUNTIF(BC326:BU326, "&gt;0")</f>
        <v>0</v>
      </c>
      <c r="CA326" t="s">
        <v>5831</v>
      </c>
      <c r="CB326" s="36">
        <v>7.2698603750083803</v>
      </c>
      <c r="CC326" s="36">
        <v>6.7414488447421297</v>
      </c>
      <c r="CD326" s="36">
        <v>9.6047859708735501</v>
      </c>
      <c r="CE326" s="36">
        <v>9.0715305549193808</v>
      </c>
      <c r="CF326" s="36">
        <v>0.86017635993689201</v>
      </c>
      <c r="CG326" s="36">
        <v>2.7891817399184702</v>
      </c>
      <c r="CH326" s="36">
        <v>2.10812456572928</v>
      </c>
      <c r="CI326" s="36">
        <v>2.9195507939469199</v>
      </c>
      <c r="CJ326" s="37">
        <v>4.7685497594697397</v>
      </c>
      <c r="CK326" s="37">
        <v>9.4597447033242794</v>
      </c>
      <c r="CL326" s="37">
        <v>8.8005978309407702</v>
      </c>
      <c r="CM326" s="37">
        <v>3.3861881863997598</v>
      </c>
      <c r="CN326" s="37">
        <v>5.5127553948906796</v>
      </c>
      <c r="CO326" s="37">
        <v>3.1567622815404999</v>
      </c>
      <c r="CP326" s="37">
        <v>45.256201435872697</v>
      </c>
      <c r="CQ326" s="37">
        <v>19.794279004170001</v>
      </c>
      <c r="CR326" s="45">
        <v>1.2527954743977101</v>
      </c>
      <c r="CS326" s="45">
        <v>2.42078819264932</v>
      </c>
      <c r="CT326" s="46">
        <v>4.1743871336830198E-2</v>
      </c>
      <c r="CU326" s="47">
        <v>6.6020448993710207E-2</v>
      </c>
      <c r="CV326" s="48">
        <v>5.1705824006343697</v>
      </c>
      <c r="CW326" s="49">
        <v>12.516884824576101</v>
      </c>
      <c r="CX326" s="31" t="s">
        <v>5874</v>
      </c>
      <c r="CY326" s="31" t="s">
        <v>5877</v>
      </c>
      <c r="CZ326" t="s">
        <v>10511</v>
      </c>
      <c r="DA326" t="s">
        <v>5904</v>
      </c>
      <c r="DB326">
        <v>1349.7</v>
      </c>
      <c r="DC326" t="s">
        <v>27564</v>
      </c>
      <c r="DD326" t="s">
        <v>27565</v>
      </c>
      <c r="DE326" t="s">
        <v>27566</v>
      </c>
      <c r="DF326" t="s">
        <v>27567</v>
      </c>
      <c r="DG326" t="s">
        <v>27568</v>
      </c>
      <c r="DH326" t="str">
        <f>"MEP1A"</f>
        <v>MEP1A</v>
      </c>
      <c r="DI326" t="s">
        <v>13772</v>
      </c>
      <c r="DJ326" t="s">
        <v>13777</v>
      </c>
      <c r="DK326">
        <v>9606</v>
      </c>
      <c r="DL326" s="34" t="str">
        <f>HYPERLINK("http://www.uniprot.org/uniprot/Q16819", "Q16819")</f>
        <v>Q16819</v>
      </c>
      <c r="DM326" t="s">
        <v>27569</v>
      </c>
      <c r="DN326" t="s">
        <v>13772</v>
      </c>
      <c r="DO326" t="s">
        <v>13825</v>
      </c>
      <c r="DP326" t="s">
        <v>13793</v>
      </c>
      <c r="DQ326" t="s">
        <v>13772</v>
      </c>
      <c r="DR326" t="s">
        <v>13772</v>
      </c>
      <c r="DS326" t="s">
        <v>16416</v>
      </c>
      <c r="DT326" t="s">
        <v>13856</v>
      </c>
      <c r="DU326" t="s">
        <v>15139</v>
      </c>
      <c r="DV326" t="s">
        <v>15472</v>
      </c>
      <c r="DW326" t="s">
        <v>13772</v>
      </c>
      <c r="DX326" t="s">
        <v>13772</v>
      </c>
      <c r="DY326" t="s">
        <v>27570</v>
      </c>
      <c r="DZ326" t="s">
        <v>26415</v>
      </c>
      <c r="EA326" t="s">
        <v>13772</v>
      </c>
      <c r="EB326" t="s">
        <v>13772</v>
      </c>
    </row>
    <row r="327" spans="1:132">
      <c r="A327">
        <v>1783</v>
      </c>
      <c r="B327">
        <v>1</v>
      </c>
      <c r="C327" t="s">
        <v>4217</v>
      </c>
      <c r="D327" t="s">
        <v>73</v>
      </c>
      <c r="E327" t="s">
        <v>73</v>
      </c>
      <c r="F327" t="s">
        <v>73</v>
      </c>
      <c r="G327" t="s">
        <v>73</v>
      </c>
      <c r="H327">
        <v>32.5</v>
      </c>
      <c r="I327">
        <v>200</v>
      </c>
      <c r="J327">
        <v>21971</v>
      </c>
      <c r="K327" t="s">
        <v>4218</v>
      </c>
      <c r="L327">
        <f t="shared" si="22"/>
        <v>126</v>
      </c>
      <c r="N327">
        <v>126</v>
      </c>
      <c r="O327">
        <v>126</v>
      </c>
      <c r="P327">
        <v>1</v>
      </c>
      <c r="Q327">
        <v>5</v>
      </c>
      <c r="R327">
        <v>5</v>
      </c>
      <c r="S327">
        <v>6</v>
      </c>
      <c r="T327">
        <v>1</v>
      </c>
      <c r="U327">
        <v>3</v>
      </c>
      <c r="V327">
        <v>5</v>
      </c>
      <c r="W327">
        <v>4</v>
      </c>
      <c r="X327">
        <v>4</v>
      </c>
      <c r="Y327">
        <v>7</v>
      </c>
      <c r="Z327">
        <v>5</v>
      </c>
      <c r="AA327">
        <v>13</v>
      </c>
      <c r="AB327">
        <v>9</v>
      </c>
      <c r="AC327">
        <v>10</v>
      </c>
      <c r="AD327">
        <v>2</v>
      </c>
      <c r="AE327">
        <v>6</v>
      </c>
      <c r="AF327">
        <v>14</v>
      </c>
      <c r="AG327">
        <v>6</v>
      </c>
      <c r="AH327">
        <v>3</v>
      </c>
      <c r="AI327">
        <v>18</v>
      </c>
      <c r="AJ327">
        <v>5</v>
      </c>
      <c r="AK327">
        <v>5</v>
      </c>
      <c r="AL327">
        <v>6</v>
      </c>
      <c r="AM327">
        <v>1</v>
      </c>
      <c r="AN327">
        <v>3</v>
      </c>
      <c r="AO327">
        <v>5</v>
      </c>
      <c r="AP327">
        <v>4</v>
      </c>
      <c r="AQ327">
        <v>4</v>
      </c>
      <c r="AR327">
        <v>7</v>
      </c>
      <c r="AS327">
        <v>5</v>
      </c>
      <c r="AT327">
        <v>13</v>
      </c>
      <c r="AU327">
        <v>9</v>
      </c>
      <c r="AV327">
        <v>10</v>
      </c>
      <c r="AW327">
        <v>2</v>
      </c>
      <c r="AX327">
        <v>6</v>
      </c>
      <c r="AY327">
        <v>14</v>
      </c>
      <c r="AZ327">
        <v>6</v>
      </c>
      <c r="BA327">
        <v>3</v>
      </c>
      <c r="BB327">
        <v>18</v>
      </c>
      <c r="BC327" s="2">
        <v>5</v>
      </c>
      <c r="BD327" s="2">
        <v>5</v>
      </c>
      <c r="BE327" s="2">
        <v>6</v>
      </c>
      <c r="BF327" s="2">
        <v>1</v>
      </c>
      <c r="BG327" s="2">
        <v>3</v>
      </c>
      <c r="BH327" s="2">
        <v>5</v>
      </c>
      <c r="BI327" s="2">
        <v>4</v>
      </c>
      <c r="BJ327" s="2">
        <v>4</v>
      </c>
      <c r="BK327" s="2">
        <v>7</v>
      </c>
      <c r="BL327" s="2">
        <v>5</v>
      </c>
      <c r="BM327" s="2">
        <v>13</v>
      </c>
      <c r="BN327" s="2">
        <v>9</v>
      </c>
      <c r="BO327" s="2">
        <v>10</v>
      </c>
      <c r="BP327" s="2">
        <v>2</v>
      </c>
      <c r="BQ327" s="2">
        <v>6</v>
      </c>
      <c r="BR327" s="2">
        <v>14</v>
      </c>
      <c r="BS327" s="2">
        <v>6</v>
      </c>
      <c r="BT327" s="2">
        <v>3</v>
      </c>
      <c r="BU327" s="2">
        <v>18</v>
      </c>
      <c r="BV327" s="2">
        <f t="shared" ref="BV327:BV390" si="25">SUM(BC327:BU327)</f>
        <v>126</v>
      </c>
      <c r="BW327" s="16">
        <f t="shared" si="23"/>
        <v>6.6315789473684212</v>
      </c>
      <c r="BX327" s="16">
        <f>COUNTIF($BC$6:BU327, "=0") / COUNTIF($BC$6:BU327, "&gt;-1")</f>
        <v>8.0581889506374627E-2</v>
      </c>
      <c r="BY327" s="18">
        <f>SUM($BC$6:BU327) / $BY$4</f>
        <v>0.77576979824566838</v>
      </c>
      <c r="BZ327" s="14">
        <f t="shared" si="24"/>
        <v>0</v>
      </c>
      <c r="CA327" t="s">
        <v>5831</v>
      </c>
      <c r="CB327" s="36">
        <v>6.0582169791736504</v>
      </c>
      <c r="CC327" s="36">
        <v>4.8153206033872298</v>
      </c>
      <c r="CD327" s="36">
        <v>9.6047859708735501</v>
      </c>
      <c r="CE327" s="36">
        <v>1.5119217591532299</v>
      </c>
      <c r="CF327" s="36">
        <v>2.5805290798106801</v>
      </c>
      <c r="CG327" s="36">
        <v>4.6486362331974602</v>
      </c>
      <c r="CH327" s="36">
        <v>4.21624913145856</v>
      </c>
      <c r="CI327" s="36">
        <v>3.8927343919292201</v>
      </c>
      <c r="CJ327" s="37">
        <v>5.5633080527147003</v>
      </c>
      <c r="CK327" s="37">
        <v>8.1984454095477108</v>
      </c>
      <c r="CL327" s="37">
        <v>7.2004891344060802</v>
      </c>
      <c r="CM327" s="37">
        <v>8.4654704659994096</v>
      </c>
      <c r="CN327" s="37">
        <v>5.5127553948906796</v>
      </c>
      <c r="CO327" s="37">
        <v>11.048667985391701</v>
      </c>
      <c r="CP327" s="37">
        <v>9.0512402871745401</v>
      </c>
      <c r="CQ327" s="37">
        <v>27.407463236543101</v>
      </c>
      <c r="CR327" s="45">
        <v>1.0965252893711499</v>
      </c>
      <c r="CS327" s="45">
        <v>2.2087164970881301</v>
      </c>
      <c r="CT327" s="46">
        <v>1.34255711622016E-2</v>
      </c>
      <c r="CU327" s="47">
        <v>2.38875189029597E-2</v>
      </c>
      <c r="CV327" s="48">
        <v>4.6660492686229498</v>
      </c>
      <c r="CW327" s="49">
        <v>10.3059799958335</v>
      </c>
      <c r="CX327" s="31" t="s">
        <v>5874</v>
      </c>
      <c r="CY327" s="31" t="s">
        <v>5878</v>
      </c>
      <c r="CZ327" t="s">
        <v>11698</v>
      </c>
      <c r="DA327" t="s">
        <v>6054</v>
      </c>
      <c r="DB327">
        <v>193</v>
      </c>
      <c r="DC327" t="s">
        <v>30918</v>
      </c>
      <c r="DD327" t="s">
        <v>30919</v>
      </c>
      <c r="DE327" t="s">
        <v>30920</v>
      </c>
      <c r="DF327" t="s">
        <v>30921</v>
      </c>
      <c r="DG327" t="s">
        <v>30922</v>
      </c>
      <c r="DH327" t="str">
        <f>"EFNA1"</f>
        <v>EFNA1</v>
      </c>
      <c r="DI327" t="s">
        <v>30923</v>
      </c>
      <c r="DJ327" t="s">
        <v>13777</v>
      </c>
      <c r="DK327">
        <v>9606</v>
      </c>
      <c r="DL327" s="34" t="str">
        <f>HYPERLINK("http://www.uniprot.org/uniprot/P20827", "P20827")</f>
        <v>P20827</v>
      </c>
      <c r="DM327" t="s">
        <v>30924</v>
      </c>
      <c r="DN327" t="s">
        <v>22082</v>
      </c>
      <c r="DO327" t="s">
        <v>14336</v>
      </c>
      <c r="DP327" t="s">
        <v>13780</v>
      </c>
      <c r="DQ327" t="s">
        <v>13772</v>
      </c>
      <c r="DR327" t="s">
        <v>14505</v>
      </c>
      <c r="DS327" t="s">
        <v>13808</v>
      </c>
      <c r="DT327" t="s">
        <v>13772</v>
      </c>
      <c r="DU327" t="s">
        <v>13772</v>
      </c>
      <c r="DV327" t="s">
        <v>15699</v>
      </c>
      <c r="DW327" t="s">
        <v>13812</v>
      </c>
      <c r="DX327" t="s">
        <v>30925</v>
      </c>
      <c r="DY327" t="s">
        <v>15701</v>
      </c>
      <c r="DZ327" t="s">
        <v>30926</v>
      </c>
      <c r="EA327" t="s">
        <v>13772</v>
      </c>
      <c r="EB327" t="s">
        <v>20392</v>
      </c>
    </row>
    <row r="328" spans="1:132" hidden="1">
      <c r="A328">
        <v>2400</v>
      </c>
      <c r="B328">
        <v>1</v>
      </c>
      <c r="C328" t="s">
        <v>5592</v>
      </c>
      <c r="D328" t="s">
        <v>73</v>
      </c>
      <c r="E328" t="s">
        <v>73</v>
      </c>
      <c r="F328" t="s">
        <v>73</v>
      </c>
      <c r="G328" t="s">
        <v>73</v>
      </c>
      <c r="H328">
        <v>47.1</v>
      </c>
      <c r="I328">
        <v>459</v>
      </c>
      <c r="J328">
        <v>50880</v>
      </c>
      <c r="K328" t="s">
        <v>5593</v>
      </c>
      <c r="L328">
        <f t="shared" si="22"/>
        <v>126</v>
      </c>
      <c r="N328">
        <v>126</v>
      </c>
      <c r="O328">
        <v>126</v>
      </c>
      <c r="P328">
        <v>1</v>
      </c>
      <c r="Q328">
        <v>7</v>
      </c>
      <c r="R328">
        <v>12</v>
      </c>
      <c r="S328">
        <v>12</v>
      </c>
      <c r="T328">
        <v>8</v>
      </c>
      <c r="U328">
        <v>16</v>
      </c>
      <c r="V328">
        <v>18</v>
      </c>
      <c r="W328">
        <v>6</v>
      </c>
      <c r="X328">
        <v>8</v>
      </c>
      <c r="Y328">
        <v>3</v>
      </c>
      <c r="Z328">
        <v>0</v>
      </c>
      <c r="AA328">
        <v>6</v>
      </c>
      <c r="AB328">
        <v>7</v>
      </c>
      <c r="AC328">
        <v>4</v>
      </c>
      <c r="AD328">
        <v>0</v>
      </c>
      <c r="AE328">
        <v>1</v>
      </c>
      <c r="AF328">
        <v>3</v>
      </c>
      <c r="AG328">
        <v>10</v>
      </c>
      <c r="AH328">
        <v>2</v>
      </c>
      <c r="AI328">
        <v>3</v>
      </c>
      <c r="AJ328">
        <v>7</v>
      </c>
      <c r="AK328">
        <v>12</v>
      </c>
      <c r="AL328">
        <v>12</v>
      </c>
      <c r="AM328">
        <v>8</v>
      </c>
      <c r="AN328">
        <v>16</v>
      </c>
      <c r="AO328">
        <v>18</v>
      </c>
      <c r="AP328">
        <v>6</v>
      </c>
      <c r="AQ328">
        <v>8</v>
      </c>
      <c r="AR328">
        <v>3</v>
      </c>
      <c r="AS328">
        <v>0</v>
      </c>
      <c r="AT328">
        <v>6</v>
      </c>
      <c r="AU328">
        <v>7</v>
      </c>
      <c r="AV328">
        <v>4</v>
      </c>
      <c r="AW328">
        <v>0</v>
      </c>
      <c r="AX328">
        <v>1</v>
      </c>
      <c r="AY328">
        <v>3</v>
      </c>
      <c r="AZ328">
        <v>10</v>
      </c>
      <c r="BA328">
        <v>2</v>
      </c>
      <c r="BB328">
        <v>3</v>
      </c>
      <c r="BC328" s="2">
        <v>7</v>
      </c>
      <c r="BD328" s="2">
        <v>12</v>
      </c>
      <c r="BE328" s="2">
        <v>12</v>
      </c>
      <c r="BF328" s="2">
        <v>8</v>
      </c>
      <c r="BG328" s="2">
        <v>16</v>
      </c>
      <c r="BH328" s="2">
        <v>18</v>
      </c>
      <c r="BI328" s="2">
        <v>6</v>
      </c>
      <c r="BJ328" s="2">
        <v>8</v>
      </c>
      <c r="BK328" s="2">
        <v>3</v>
      </c>
      <c r="BL328" s="2">
        <v>0</v>
      </c>
      <c r="BM328" s="2">
        <v>6</v>
      </c>
      <c r="BN328" s="2">
        <v>7</v>
      </c>
      <c r="BO328" s="2">
        <v>4</v>
      </c>
      <c r="BP328" s="2">
        <v>0</v>
      </c>
      <c r="BQ328" s="2">
        <v>1</v>
      </c>
      <c r="BR328" s="2">
        <v>3</v>
      </c>
      <c r="BS328" s="2">
        <v>10</v>
      </c>
      <c r="BT328" s="2">
        <v>2</v>
      </c>
      <c r="BU328" s="2">
        <v>3</v>
      </c>
      <c r="BV328" s="2">
        <f t="shared" si="25"/>
        <v>126</v>
      </c>
      <c r="BW328" s="16">
        <f t="shared" si="23"/>
        <v>6.6315789473684212</v>
      </c>
      <c r="BX328" s="16">
        <f>COUNTIF($BC$6:BU328, "=0") / COUNTIF($BC$6:BU328, "&gt;-1")</f>
        <v>8.065830210200424E-2</v>
      </c>
      <c r="BY328" s="18">
        <f>SUM($BC$6:BU328) / $BY$4</f>
        <v>0.77630953649112466</v>
      </c>
      <c r="BZ328" s="14">
        <f t="shared" si="24"/>
        <v>2</v>
      </c>
      <c r="CA328" t="s">
        <v>5831</v>
      </c>
      <c r="CB328" s="36">
        <v>8.4815037708430996</v>
      </c>
      <c r="CC328" s="36">
        <v>11.556769448129399</v>
      </c>
      <c r="CD328" s="36">
        <v>19.2095719417471</v>
      </c>
      <c r="CE328" s="36">
        <v>12.0953740732258</v>
      </c>
      <c r="CF328" s="36">
        <v>13.762821758990301</v>
      </c>
      <c r="CG328" s="36">
        <v>16.735090439510799</v>
      </c>
      <c r="CH328" s="36">
        <v>6.3243736971878404</v>
      </c>
      <c r="CI328" s="36">
        <v>7.78546878385845</v>
      </c>
      <c r="CJ328" s="37">
        <v>2.3842748797348698</v>
      </c>
      <c r="CK328" s="37">
        <v>3.7838978813297102</v>
      </c>
      <c r="CL328" s="37">
        <v>5.6003804378713999</v>
      </c>
      <c r="CM328" s="37">
        <v>3.3861881863997598</v>
      </c>
      <c r="CN328" s="37">
        <v>0.91879256581511404</v>
      </c>
      <c r="CO328" s="37">
        <v>2.36757171115537</v>
      </c>
      <c r="CP328" s="37">
        <v>15.0854004786242</v>
      </c>
      <c r="CQ328" s="37">
        <v>4.5679105394238499</v>
      </c>
      <c r="CR328" s="45">
        <v>-1.4143064292913801</v>
      </c>
      <c r="CS328" s="45">
        <v>-2.5187673752457198</v>
      </c>
      <c r="CT328" s="46">
        <v>2.0475182047221601E-3</v>
      </c>
      <c r="CU328" s="47">
        <v>4.32110308819913E-3</v>
      </c>
      <c r="CV328" s="48">
        <v>11.9938717391866</v>
      </c>
      <c r="CW328" s="49">
        <v>4.7618020850442901</v>
      </c>
      <c r="CX328" s="31" t="s">
        <v>5875</v>
      </c>
      <c r="CY328" s="31" t="s">
        <v>5876</v>
      </c>
      <c r="CZ328" t="s">
        <v>13713</v>
      </c>
      <c r="DA328" t="s">
        <v>5904</v>
      </c>
      <c r="DB328">
        <v>767.3</v>
      </c>
      <c r="DC328" t="s">
        <v>36568</v>
      </c>
      <c r="DD328" t="s">
        <v>13772</v>
      </c>
      <c r="DE328" t="s">
        <v>36569</v>
      </c>
      <c r="DF328" t="s">
        <v>36570</v>
      </c>
      <c r="DG328" t="s">
        <v>36571</v>
      </c>
      <c r="DH328" t="str">
        <f>"SMPDL3B"</f>
        <v>SMPDL3B</v>
      </c>
      <c r="DI328" t="s">
        <v>36572</v>
      </c>
      <c r="DJ328" t="s">
        <v>13777</v>
      </c>
      <c r="DK328">
        <v>9606</v>
      </c>
      <c r="DL328" s="34" t="str">
        <f>HYPERLINK("http://www.uniprot.org/uniprot/Q92485", "Q92485")</f>
        <v>Q92485</v>
      </c>
      <c r="DM328" t="s">
        <v>36573</v>
      </c>
      <c r="DN328" t="s">
        <v>36574</v>
      </c>
      <c r="DO328" t="s">
        <v>14336</v>
      </c>
      <c r="DP328" t="s">
        <v>13780</v>
      </c>
      <c r="DQ328" t="s">
        <v>13772</v>
      </c>
      <c r="DR328" t="s">
        <v>13772</v>
      </c>
      <c r="DS328" t="s">
        <v>13808</v>
      </c>
      <c r="DT328" t="s">
        <v>13856</v>
      </c>
      <c r="DU328" t="s">
        <v>15471</v>
      </c>
      <c r="DV328" t="s">
        <v>15699</v>
      </c>
      <c r="DW328" t="s">
        <v>13772</v>
      </c>
      <c r="DX328" t="s">
        <v>36575</v>
      </c>
      <c r="DY328" t="s">
        <v>36576</v>
      </c>
      <c r="DZ328" t="s">
        <v>36577</v>
      </c>
      <c r="EA328" t="s">
        <v>13772</v>
      </c>
      <c r="EB328" t="s">
        <v>13772</v>
      </c>
    </row>
    <row r="329" spans="1:132" hidden="1">
      <c r="A329">
        <v>1118</v>
      </c>
      <c r="B329">
        <v>1</v>
      </c>
      <c r="C329" t="s">
        <v>2690</v>
      </c>
      <c r="D329" t="s">
        <v>73</v>
      </c>
      <c r="E329" t="s">
        <v>73</v>
      </c>
      <c r="F329" t="s">
        <v>2691</v>
      </c>
      <c r="G329" t="s">
        <v>73</v>
      </c>
      <c r="H329">
        <v>30.5</v>
      </c>
      <c r="I329">
        <v>1478</v>
      </c>
      <c r="J329">
        <v>165296</v>
      </c>
      <c r="K329" t="s">
        <v>2692</v>
      </c>
      <c r="L329">
        <f t="shared" si="22"/>
        <v>132</v>
      </c>
      <c r="N329">
        <v>132</v>
      </c>
      <c r="O329">
        <v>125</v>
      </c>
      <c r="P329">
        <v>0.94699999999999995</v>
      </c>
      <c r="Q329">
        <v>2</v>
      </c>
      <c r="R329">
        <v>7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4</v>
      </c>
      <c r="Z329">
        <v>27</v>
      </c>
      <c r="AA329">
        <v>0</v>
      </c>
      <c r="AB329">
        <v>5</v>
      </c>
      <c r="AC329">
        <v>10</v>
      </c>
      <c r="AD329">
        <v>27</v>
      </c>
      <c r="AE329">
        <v>0</v>
      </c>
      <c r="AF329">
        <v>3</v>
      </c>
      <c r="AG329">
        <v>15</v>
      </c>
      <c r="AH329">
        <v>18</v>
      </c>
      <c r="AI329">
        <v>11</v>
      </c>
      <c r="AJ329">
        <v>1</v>
      </c>
      <c r="AK329">
        <v>7</v>
      </c>
      <c r="AL329">
        <v>0</v>
      </c>
      <c r="AM329">
        <v>0</v>
      </c>
      <c r="AN329">
        <v>0</v>
      </c>
      <c r="AO329">
        <v>2</v>
      </c>
      <c r="AP329">
        <v>0</v>
      </c>
      <c r="AQ329">
        <v>0</v>
      </c>
      <c r="AR329">
        <v>4</v>
      </c>
      <c r="AS329">
        <v>26</v>
      </c>
      <c r="AT329">
        <v>0</v>
      </c>
      <c r="AU329">
        <v>5</v>
      </c>
      <c r="AV329">
        <v>10</v>
      </c>
      <c r="AW329">
        <v>27</v>
      </c>
      <c r="AX329">
        <v>0</v>
      </c>
      <c r="AY329">
        <v>3</v>
      </c>
      <c r="AZ329">
        <v>14</v>
      </c>
      <c r="BA329">
        <v>16</v>
      </c>
      <c r="BB329">
        <v>10</v>
      </c>
      <c r="BC329" s="2">
        <v>1.0229999999999999</v>
      </c>
      <c r="BD329" s="2">
        <v>7</v>
      </c>
      <c r="BE329" s="2">
        <v>0</v>
      </c>
      <c r="BF329" s="2">
        <v>0</v>
      </c>
      <c r="BG329" s="2">
        <v>0</v>
      </c>
      <c r="BH329" s="2">
        <v>2</v>
      </c>
      <c r="BI329" s="2">
        <v>0</v>
      </c>
      <c r="BJ329" s="2">
        <v>0</v>
      </c>
      <c r="BK329" s="2">
        <v>4</v>
      </c>
      <c r="BL329" s="2">
        <v>26.175999999999998</v>
      </c>
      <c r="BM329" s="2">
        <v>0</v>
      </c>
      <c r="BN329" s="2">
        <v>5</v>
      </c>
      <c r="BO329" s="2">
        <v>10</v>
      </c>
      <c r="BP329" s="2">
        <v>27</v>
      </c>
      <c r="BQ329" s="2">
        <v>0</v>
      </c>
      <c r="BR329" s="2">
        <v>3</v>
      </c>
      <c r="BS329" s="2">
        <v>14.192</v>
      </c>
      <c r="BT329" s="2">
        <v>16.420999999999999</v>
      </c>
      <c r="BU329" s="2">
        <v>10.167</v>
      </c>
      <c r="BV329" s="2">
        <f t="shared" si="25"/>
        <v>125.97899999999998</v>
      </c>
      <c r="BW329" s="16">
        <f t="shared" si="23"/>
        <v>6.6304736842105259</v>
      </c>
      <c r="BX329" s="16">
        <f>COUNTIF($BC$6:BU329, "=0") / COUNTIF($BC$6:BU329, "&gt;-1")</f>
        <v>8.1546458739441191E-2</v>
      </c>
      <c r="BY329" s="18">
        <f>SUM($BC$6:BU329) / $BY$4</f>
        <v>0.7768491847802067</v>
      </c>
      <c r="BZ329" s="14">
        <f t="shared" si="24"/>
        <v>7</v>
      </c>
      <c r="CA329" t="s">
        <v>5831</v>
      </c>
      <c r="CB329" s="36">
        <v>1.2116433958347299</v>
      </c>
      <c r="CC329" s="36">
        <v>6.7414488447421297</v>
      </c>
      <c r="CD329" s="36">
        <v>0.40019941545306398</v>
      </c>
      <c r="CE329" s="36">
        <v>0.37798043978830698</v>
      </c>
      <c r="CF329" s="36">
        <v>0.215044089984223</v>
      </c>
      <c r="CG329" s="36">
        <v>1.85945449327898</v>
      </c>
      <c r="CH329" s="36">
        <v>0.26351557071616</v>
      </c>
      <c r="CI329" s="36">
        <v>0.24329589949557701</v>
      </c>
      <c r="CJ329" s="37">
        <v>3.17903317297983</v>
      </c>
      <c r="CK329" s="37">
        <v>0.15766241172207099</v>
      </c>
      <c r="CL329" s="37">
        <v>4.0002717413367099</v>
      </c>
      <c r="CM329" s="37">
        <v>8.4654704659994096</v>
      </c>
      <c r="CN329" s="37">
        <v>0.22969814145377901</v>
      </c>
      <c r="CO329" s="37">
        <v>2.36757171115537</v>
      </c>
      <c r="CP329" s="37">
        <v>21.421268679646399</v>
      </c>
      <c r="CQ329" s="37">
        <v>15.5308958340411</v>
      </c>
      <c r="CR329" s="45">
        <v>2.0902874969226399</v>
      </c>
      <c r="CS329" s="45">
        <v>4.8929476425320901</v>
      </c>
      <c r="CT329" s="46">
        <v>1.2021220485131601E-2</v>
      </c>
      <c r="CU329" s="47">
        <v>2.1794570473043399E-2</v>
      </c>
      <c r="CV329" s="48">
        <v>1.4140727686616501</v>
      </c>
      <c r="CW329" s="49">
        <v>6.9189840197918304</v>
      </c>
      <c r="CX329" s="31" t="s">
        <v>5874</v>
      </c>
      <c r="CY329" s="31" t="s">
        <v>5878</v>
      </c>
      <c r="CZ329" t="s">
        <v>9463</v>
      </c>
      <c r="DA329" t="s">
        <v>5904</v>
      </c>
      <c r="DB329">
        <v>1780</v>
      </c>
      <c r="DC329" t="s">
        <v>24621</v>
      </c>
      <c r="DD329" t="s">
        <v>24622</v>
      </c>
      <c r="DE329" t="s">
        <v>24623</v>
      </c>
      <c r="DF329" t="s">
        <v>24624</v>
      </c>
      <c r="DG329" t="s">
        <v>24625</v>
      </c>
      <c r="DH329" t="str">
        <f>"A2M"</f>
        <v>A2M</v>
      </c>
      <c r="DI329" t="s">
        <v>24626</v>
      </c>
      <c r="DJ329" t="s">
        <v>13777</v>
      </c>
      <c r="DK329">
        <v>9606</v>
      </c>
      <c r="DL329" s="34" t="str">
        <f>HYPERLINK("http://www.uniprot.org/uniprot/P01023", "P01023")</f>
        <v>P01023</v>
      </c>
      <c r="DM329" t="s">
        <v>24627</v>
      </c>
      <c r="DN329" t="s">
        <v>13772</v>
      </c>
      <c r="DO329" t="s">
        <v>14321</v>
      </c>
      <c r="DP329" t="s">
        <v>13793</v>
      </c>
      <c r="DQ329" t="s">
        <v>13772</v>
      </c>
      <c r="DR329" t="s">
        <v>13772</v>
      </c>
      <c r="DS329" t="s">
        <v>24628</v>
      </c>
      <c r="DT329" t="s">
        <v>13772</v>
      </c>
      <c r="DU329" t="s">
        <v>14375</v>
      </c>
      <c r="DV329" t="s">
        <v>24629</v>
      </c>
      <c r="DW329" t="s">
        <v>13812</v>
      </c>
      <c r="DX329" t="s">
        <v>24630</v>
      </c>
      <c r="DY329" t="s">
        <v>24631</v>
      </c>
      <c r="DZ329" t="s">
        <v>24632</v>
      </c>
      <c r="EA329" t="s">
        <v>13772</v>
      </c>
      <c r="EB329" t="s">
        <v>24633</v>
      </c>
    </row>
    <row r="330" spans="1:132">
      <c r="A330">
        <v>1595</v>
      </c>
      <c r="B330">
        <v>1</v>
      </c>
      <c r="C330" t="s">
        <v>3780</v>
      </c>
      <c r="D330" t="s">
        <v>73</v>
      </c>
      <c r="E330" t="s">
        <v>73</v>
      </c>
      <c r="F330" t="s">
        <v>73</v>
      </c>
      <c r="G330" t="s">
        <v>73</v>
      </c>
      <c r="H330">
        <v>39.9</v>
      </c>
      <c r="I330">
        <v>193</v>
      </c>
      <c r="J330">
        <v>20938</v>
      </c>
      <c r="K330" t="s">
        <v>3781</v>
      </c>
      <c r="L330">
        <f t="shared" si="22"/>
        <v>125</v>
      </c>
      <c r="N330">
        <v>125</v>
      </c>
      <c r="O330">
        <v>125</v>
      </c>
      <c r="P330">
        <v>1</v>
      </c>
      <c r="Q330">
        <v>2</v>
      </c>
      <c r="R330">
        <v>2</v>
      </c>
      <c r="S330">
        <v>1</v>
      </c>
      <c r="T330">
        <v>1</v>
      </c>
      <c r="U330">
        <v>2</v>
      </c>
      <c r="V330">
        <v>2</v>
      </c>
      <c r="W330">
        <v>1</v>
      </c>
      <c r="X330">
        <v>12</v>
      </c>
      <c r="Y330">
        <v>10</v>
      </c>
      <c r="Z330">
        <v>3</v>
      </c>
      <c r="AA330">
        <v>18</v>
      </c>
      <c r="AB330">
        <v>11</v>
      </c>
      <c r="AC330">
        <v>7</v>
      </c>
      <c r="AD330">
        <v>3</v>
      </c>
      <c r="AE330">
        <v>15</v>
      </c>
      <c r="AF330">
        <v>12</v>
      </c>
      <c r="AG330">
        <v>7</v>
      </c>
      <c r="AH330">
        <v>4</v>
      </c>
      <c r="AI330">
        <v>12</v>
      </c>
      <c r="AJ330">
        <v>2</v>
      </c>
      <c r="AK330">
        <v>2</v>
      </c>
      <c r="AL330">
        <v>1</v>
      </c>
      <c r="AM330">
        <v>1</v>
      </c>
      <c r="AN330">
        <v>2</v>
      </c>
      <c r="AO330">
        <v>2</v>
      </c>
      <c r="AP330">
        <v>1</v>
      </c>
      <c r="AQ330">
        <v>12</v>
      </c>
      <c r="AR330">
        <v>10</v>
      </c>
      <c r="AS330">
        <v>3</v>
      </c>
      <c r="AT330">
        <v>18</v>
      </c>
      <c r="AU330">
        <v>11</v>
      </c>
      <c r="AV330">
        <v>7</v>
      </c>
      <c r="AW330">
        <v>3</v>
      </c>
      <c r="AX330">
        <v>15</v>
      </c>
      <c r="AY330">
        <v>12</v>
      </c>
      <c r="AZ330">
        <v>7</v>
      </c>
      <c r="BA330">
        <v>4</v>
      </c>
      <c r="BB330">
        <v>12</v>
      </c>
      <c r="BC330" s="2">
        <v>2</v>
      </c>
      <c r="BD330" s="2">
        <v>2</v>
      </c>
      <c r="BE330" s="2">
        <v>1</v>
      </c>
      <c r="BF330" s="2">
        <v>1</v>
      </c>
      <c r="BG330" s="2">
        <v>2</v>
      </c>
      <c r="BH330" s="2">
        <v>2</v>
      </c>
      <c r="BI330" s="2">
        <v>1</v>
      </c>
      <c r="BJ330" s="2">
        <v>12</v>
      </c>
      <c r="BK330" s="2">
        <v>10</v>
      </c>
      <c r="BL330" s="2">
        <v>3</v>
      </c>
      <c r="BM330" s="2">
        <v>18</v>
      </c>
      <c r="BN330" s="2">
        <v>11</v>
      </c>
      <c r="BO330" s="2">
        <v>7</v>
      </c>
      <c r="BP330" s="2">
        <v>3</v>
      </c>
      <c r="BQ330" s="2">
        <v>15</v>
      </c>
      <c r="BR330" s="2">
        <v>12</v>
      </c>
      <c r="BS330" s="2">
        <v>7</v>
      </c>
      <c r="BT330" s="2">
        <v>4</v>
      </c>
      <c r="BU330" s="2">
        <v>12</v>
      </c>
      <c r="BV330" s="2">
        <f t="shared" si="25"/>
        <v>125</v>
      </c>
      <c r="BW330" s="16">
        <f t="shared" si="23"/>
        <v>6.5789473684210522</v>
      </c>
      <c r="BX330" s="16">
        <f>COUNTIF($BC$6:BU330, "=0") / COUNTIF($BC$6:BU330, "&gt;-1")</f>
        <v>8.1295546558704454E-2</v>
      </c>
      <c r="BY330" s="18">
        <f>SUM($BC$6:BU330) / $BY$4</f>
        <v>0.77738463938879421</v>
      </c>
      <c r="BZ330" s="14">
        <f t="shared" si="24"/>
        <v>0</v>
      </c>
      <c r="CA330" t="s">
        <v>5831</v>
      </c>
      <c r="CB330" s="36">
        <v>2.4232867916694598</v>
      </c>
      <c r="CC330" s="36">
        <v>1.9261282413548899</v>
      </c>
      <c r="CD330" s="36">
        <v>1.6007976618122599</v>
      </c>
      <c r="CE330" s="36">
        <v>1.5119217591532299</v>
      </c>
      <c r="CF330" s="36">
        <v>1.72035271987378</v>
      </c>
      <c r="CG330" s="36">
        <v>1.85945449327898</v>
      </c>
      <c r="CH330" s="36">
        <v>1.05406228286464</v>
      </c>
      <c r="CI330" s="36">
        <v>11.678203175787701</v>
      </c>
      <c r="CJ330" s="37">
        <v>7.9475829324495697</v>
      </c>
      <c r="CK330" s="37">
        <v>11.351693643989099</v>
      </c>
      <c r="CL330" s="37">
        <v>8.8005978309407702</v>
      </c>
      <c r="CM330" s="37">
        <v>5.9258293261995796</v>
      </c>
      <c r="CN330" s="37">
        <v>13.7818884872267</v>
      </c>
      <c r="CO330" s="37">
        <v>9.4702868446214996</v>
      </c>
      <c r="CP330" s="37">
        <v>10.559780335037001</v>
      </c>
      <c r="CQ330" s="37">
        <v>18.2716421576954</v>
      </c>
      <c r="CR330" s="45">
        <v>1.74269255774823</v>
      </c>
      <c r="CS330" s="45">
        <v>3.6219631259429601</v>
      </c>
      <c r="CT330" s="46">
        <v>1.3018899450847101E-4</v>
      </c>
      <c r="CU330" s="47">
        <v>3.5405055823645198E-4</v>
      </c>
      <c r="CV330" s="48">
        <v>2.9717758907243601</v>
      </c>
      <c r="CW330" s="49">
        <v>10.76366269477</v>
      </c>
      <c r="CX330" s="31" t="s">
        <v>5874</v>
      </c>
      <c r="CY330" s="31" t="s">
        <v>5876</v>
      </c>
      <c r="CZ330" t="s">
        <v>11056</v>
      </c>
      <c r="DA330" t="s">
        <v>5904</v>
      </c>
      <c r="DB330">
        <v>241.9</v>
      </c>
      <c r="DC330" t="s">
        <v>29094</v>
      </c>
      <c r="DD330" t="s">
        <v>29095</v>
      </c>
      <c r="DE330" t="s">
        <v>29096</v>
      </c>
      <c r="DF330" t="s">
        <v>29097</v>
      </c>
      <c r="DG330" t="s">
        <v>29098</v>
      </c>
      <c r="DH330" t="str">
        <f>"GM2A"</f>
        <v>GM2A</v>
      </c>
      <c r="DI330" t="s">
        <v>13772</v>
      </c>
      <c r="DJ330" t="s">
        <v>13777</v>
      </c>
      <c r="DK330">
        <v>9606</v>
      </c>
      <c r="DL330" s="34" t="str">
        <f>HYPERLINK("http://www.uniprot.org/uniprot/P17900", "P17900")</f>
        <v>P17900</v>
      </c>
      <c r="DM330" t="s">
        <v>29099</v>
      </c>
      <c r="DN330" t="s">
        <v>18297</v>
      </c>
      <c r="DO330" t="s">
        <v>13806</v>
      </c>
      <c r="DP330" t="s">
        <v>13793</v>
      </c>
      <c r="DQ330" t="s">
        <v>13772</v>
      </c>
      <c r="DR330" t="s">
        <v>29100</v>
      </c>
      <c r="DS330" t="s">
        <v>13808</v>
      </c>
      <c r="DT330" t="s">
        <v>13772</v>
      </c>
      <c r="DU330" t="s">
        <v>13857</v>
      </c>
      <c r="DV330" t="s">
        <v>13796</v>
      </c>
      <c r="DW330" t="s">
        <v>13812</v>
      </c>
      <c r="DX330" t="s">
        <v>29101</v>
      </c>
      <c r="DY330" t="s">
        <v>29102</v>
      </c>
      <c r="DZ330" t="s">
        <v>29103</v>
      </c>
      <c r="EA330" t="s">
        <v>13772</v>
      </c>
      <c r="EB330" t="s">
        <v>26606</v>
      </c>
    </row>
    <row r="331" spans="1:132" hidden="1">
      <c r="A331">
        <v>2284</v>
      </c>
      <c r="B331">
        <v>1</v>
      </c>
      <c r="C331" t="s">
        <v>5336</v>
      </c>
      <c r="D331" t="s">
        <v>5337</v>
      </c>
      <c r="E331" t="s">
        <v>73</v>
      </c>
      <c r="F331" t="s">
        <v>73</v>
      </c>
      <c r="G331" t="s">
        <v>73</v>
      </c>
      <c r="H331">
        <v>45.5</v>
      </c>
      <c r="I331">
        <v>670</v>
      </c>
      <c r="J331">
        <v>77429</v>
      </c>
      <c r="K331" t="s">
        <v>5338</v>
      </c>
      <c r="L331">
        <f t="shared" si="22"/>
        <v>125</v>
      </c>
      <c r="N331">
        <v>125</v>
      </c>
      <c r="O331">
        <v>125</v>
      </c>
      <c r="P331">
        <v>1</v>
      </c>
      <c r="Q331">
        <v>9</v>
      </c>
      <c r="R331">
        <v>11</v>
      </c>
      <c r="S331">
        <v>8</v>
      </c>
      <c r="T331">
        <v>5</v>
      </c>
      <c r="U331">
        <v>8</v>
      </c>
      <c r="V331">
        <v>3</v>
      </c>
      <c r="W331">
        <v>5</v>
      </c>
      <c r="X331">
        <v>1</v>
      </c>
      <c r="Y331">
        <v>12</v>
      </c>
      <c r="Z331">
        <v>1</v>
      </c>
      <c r="AA331">
        <v>14</v>
      </c>
      <c r="AB331">
        <v>10</v>
      </c>
      <c r="AC331">
        <v>9</v>
      </c>
      <c r="AD331">
        <v>1</v>
      </c>
      <c r="AE331">
        <v>4</v>
      </c>
      <c r="AF331">
        <v>15</v>
      </c>
      <c r="AG331">
        <v>2</v>
      </c>
      <c r="AH331">
        <v>0</v>
      </c>
      <c r="AI331">
        <v>7</v>
      </c>
      <c r="AJ331">
        <v>9</v>
      </c>
      <c r="AK331">
        <v>11</v>
      </c>
      <c r="AL331">
        <v>8</v>
      </c>
      <c r="AM331">
        <v>5</v>
      </c>
      <c r="AN331">
        <v>8</v>
      </c>
      <c r="AO331">
        <v>3</v>
      </c>
      <c r="AP331">
        <v>5</v>
      </c>
      <c r="AQ331">
        <v>1</v>
      </c>
      <c r="AR331">
        <v>12</v>
      </c>
      <c r="AS331">
        <v>1</v>
      </c>
      <c r="AT331">
        <v>14</v>
      </c>
      <c r="AU331">
        <v>10</v>
      </c>
      <c r="AV331">
        <v>9</v>
      </c>
      <c r="AW331">
        <v>1</v>
      </c>
      <c r="AX331">
        <v>4</v>
      </c>
      <c r="AY331">
        <v>15</v>
      </c>
      <c r="AZ331">
        <v>2</v>
      </c>
      <c r="BA331">
        <v>0</v>
      </c>
      <c r="BB331">
        <v>7</v>
      </c>
      <c r="BC331" s="2">
        <v>9</v>
      </c>
      <c r="BD331" s="2">
        <v>11</v>
      </c>
      <c r="BE331" s="2">
        <v>8</v>
      </c>
      <c r="BF331" s="2">
        <v>5</v>
      </c>
      <c r="BG331" s="2">
        <v>8</v>
      </c>
      <c r="BH331" s="2">
        <v>3</v>
      </c>
      <c r="BI331" s="2">
        <v>5</v>
      </c>
      <c r="BJ331" s="2">
        <v>1</v>
      </c>
      <c r="BK331" s="2">
        <v>12</v>
      </c>
      <c r="BL331" s="2">
        <v>1</v>
      </c>
      <c r="BM331" s="2">
        <v>14</v>
      </c>
      <c r="BN331" s="2">
        <v>10</v>
      </c>
      <c r="BO331" s="2">
        <v>9</v>
      </c>
      <c r="BP331" s="2">
        <v>1</v>
      </c>
      <c r="BQ331" s="2">
        <v>4</v>
      </c>
      <c r="BR331" s="2">
        <v>15</v>
      </c>
      <c r="BS331" s="2">
        <v>2</v>
      </c>
      <c r="BT331" s="2">
        <v>0</v>
      </c>
      <c r="BU331" s="2">
        <v>7</v>
      </c>
      <c r="BV331" s="2">
        <f t="shared" si="25"/>
        <v>125</v>
      </c>
      <c r="BW331" s="16">
        <f t="shared" si="23"/>
        <v>6.5789473684210522</v>
      </c>
      <c r="BX331" s="16">
        <f>COUNTIF($BC$6:BU331, "=0") / COUNTIF($BC$6:BU331, "&gt;-1")</f>
        <v>8.1207620277688089E-2</v>
      </c>
      <c r="BY331" s="18">
        <f>SUM($BC$6:BU331) / $BY$4</f>
        <v>0.77792009399738182</v>
      </c>
      <c r="BZ331" s="14">
        <f t="shared" si="24"/>
        <v>1</v>
      </c>
      <c r="CA331" t="s">
        <v>5831</v>
      </c>
      <c r="CB331" s="36">
        <v>10.9047905625126</v>
      </c>
      <c r="CC331" s="36">
        <v>10.5937053274519</v>
      </c>
      <c r="CD331" s="36">
        <v>12.806381294498101</v>
      </c>
      <c r="CE331" s="36">
        <v>7.5596087957661497</v>
      </c>
      <c r="CF331" s="36">
        <v>6.8814108794951396</v>
      </c>
      <c r="CG331" s="36">
        <v>2.7891817399184702</v>
      </c>
      <c r="CH331" s="36">
        <v>5.2703114143232002</v>
      </c>
      <c r="CI331" s="36">
        <v>0.97318359798230603</v>
      </c>
      <c r="CJ331" s="37">
        <v>9.53709951893949</v>
      </c>
      <c r="CK331" s="37">
        <v>8.8290950564359996</v>
      </c>
      <c r="CL331" s="37">
        <v>8.0005434826734305</v>
      </c>
      <c r="CM331" s="37">
        <v>7.6189234193994704</v>
      </c>
      <c r="CN331" s="37">
        <v>3.6751702632604601</v>
      </c>
      <c r="CO331" s="37">
        <v>11.837858555776901</v>
      </c>
      <c r="CP331" s="37">
        <v>3.0170800957248498</v>
      </c>
      <c r="CQ331" s="37">
        <v>10.658457925322301</v>
      </c>
      <c r="CR331" s="45">
        <v>0.18800612677783601</v>
      </c>
      <c r="CS331" s="45">
        <v>1.09338504515226</v>
      </c>
      <c r="CT331" s="46">
        <v>0.723879855049678</v>
      </c>
      <c r="CU331" s="47">
        <v>0.79000917296612505</v>
      </c>
      <c r="CV331" s="48">
        <v>7.2223217014934802</v>
      </c>
      <c r="CW331" s="49">
        <v>7.8967785396916099</v>
      </c>
      <c r="CX331" s="31" t="s">
        <v>5874</v>
      </c>
      <c r="CY331" s="31" t="s">
        <v>5832</v>
      </c>
      <c r="CZ331" t="s">
        <v>13357</v>
      </c>
      <c r="DA331" t="s">
        <v>5904</v>
      </c>
      <c r="DB331">
        <v>882.1</v>
      </c>
      <c r="DC331" t="s">
        <v>35570</v>
      </c>
      <c r="DD331" t="s">
        <v>35571</v>
      </c>
      <c r="DE331" t="s">
        <v>35572</v>
      </c>
      <c r="DF331" t="s">
        <v>35573</v>
      </c>
      <c r="DG331" t="s">
        <v>35574</v>
      </c>
      <c r="DH331" t="str">
        <f>"CHGB"</f>
        <v>CHGB</v>
      </c>
      <c r="DI331" t="s">
        <v>35575</v>
      </c>
      <c r="DJ331" t="s">
        <v>13777</v>
      </c>
      <c r="DK331">
        <v>9606</v>
      </c>
      <c r="DL331" s="34" t="str">
        <f>HYPERLINK("http://www.uniprot.org/uniprot/P05060", "P05060")</f>
        <v>P05060</v>
      </c>
      <c r="DM331" t="s">
        <v>35576</v>
      </c>
      <c r="DN331" t="s">
        <v>13772</v>
      </c>
      <c r="DO331" t="s">
        <v>14321</v>
      </c>
      <c r="DP331" t="s">
        <v>13793</v>
      </c>
      <c r="DQ331" t="s">
        <v>13772</v>
      </c>
      <c r="DR331" t="s">
        <v>13772</v>
      </c>
      <c r="DS331" t="s">
        <v>13808</v>
      </c>
      <c r="DT331" t="s">
        <v>13772</v>
      </c>
      <c r="DU331" t="s">
        <v>13772</v>
      </c>
      <c r="DV331" t="s">
        <v>28626</v>
      </c>
      <c r="DW331" t="s">
        <v>13772</v>
      </c>
      <c r="DX331" t="s">
        <v>19339</v>
      </c>
      <c r="DY331" t="s">
        <v>35577</v>
      </c>
      <c r="DZ331" t="s">
        <v>21355</v>
      </c>
      <c r="EA331" t="s">
        <v>13772</v>
      </c>
      <c r="EB331" t="s">
        <v>17241</v>
      </c>
    </row>
    <row r="332" spans="1:132" hidden="1">
      <c r="A332">
        <v>2308</v>
      </c>
      <c r="B332">
        <v>1</v>
      </c>
      <c r="C332" t="s">
        <v>5389</v>
      </c>
      <c r="D332" t="s">
        <v>73</v>
      </c>
      <c r="E332" t="s">
        <v>73</v>
      </c>
      <c r="F332" t="s">
        <v>73</v>
      </c>
      <c r="G332" t="s">
        <v>73</v>
      </c>
      <c r="H332">
        <v>29.8</v>
      </c>
      <c r="I332">
        <v>1311</v>
      </c>
      <c r="J332">
        <v>151119</v>
      </c>
      <c r="K332" t="s">
        <v>5390</v>
      </c>
      <c r="L332">
        <f t="shared" si="22"/>
        <v>125</v>
      </c>
      <c r="N332">
        <v>125</v>
      </c>
      <c r="O332">
        <v>125</v>
      </c>
      <c r="P332">
        <v>1</v>
      </c>
      <c r="Q332">
        <v>2</v>
      </c>
      <c r="R332">
        <v>11</v>
      </c>
      <c r="S332">
        <v>0</v>
      </c>
      <c r="T332">
        <v>6</v>
      </c>
      <c r="U332">
        <v>32</v>
      </c>
      <c r="V332">
        <v>27</v>
      </c>
      <c r="W332">
        <v>14</v>
      </c>
      <c r="X332">
        <v>13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19</v>
      </c>
      <c r="AH332">
        <v>0</v>
      </c>
      <c r="AI332">
        <v>0</v>
      </c>
      <c r="AJ332">
        <v>2</v>
      </c>
      <c r="AK332">
        <v>11</v>
      </c>
      <c r="AL332">
        <v>0</v>
      </c>
      <c r="AM332">
        <v>6</v>
      </c>
      <c r="AN332">
        <v>32</v>
      </c>
      <c r="AO332">
        <v>27</v>
      </c>
      <c r="AP332">
        <v>14</v>
      </c>
      <c r="AQ332">
        <v>13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19</v>
      </c>
      <c r="BA332">
        <v>0</v>
      </c>
      <c r="BB332">
        <v>0</v>
      </c>
      <c r="BC332" s="2">
        <v>2</v>
      </c>
      <c r="BD332" s="2">
        <v>11</v>
      </c>
      <c r="BE332" s="2">
        <v>0</v>
      </c>
      <c r="BF332" s="2">
        <v>6</v>
      </c>
      <c r="BG332" s="2">
        <v>32</v>
      </c>
      <c r="BH332" s="2">
        <v>27</v>
      </c>
      <c r="BI332" s="2">
        <v>14</v>
      </c>
      <c r="BJ332" s="2">
        <v>13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</v>
      </c>
      <c r="BS332" s="2">
        <v>19</v>
      </c>
      <c r="BT332" s="2">
        <v>0</v>
      </c>
      <c r="BU332" s="2">
        <v>0</v>
      </c>
      <c r="BV332" s="2">
        <f t="shared" si="25"/>
        <v>125</v>
      </c>
      <c r="BW332" s="16">
        <f t="shared" si="23"/>
        <v>6.5789473684210522</v>
      </c>
      <c r="BX332" s="16">
        <f>COUNTIF($BC$6:BU332, "=0") / COUNTIF($BC$6:BU332, "&gt;-1")</f>
        <v>8.2568807339449546E-2</v>
      </c>
      <c r="BY332" s="18">
        <f>SUM($BC$6:BU332) / $BY$4</f>
        <v>0.77845554860596933</v>
      </c>
      <c r="BZ332" s="14">
        <f t="shared" si="24"/>
        <v>10</v>
      </c>
      <c r="CA332" t="s">
        <v>5831</v>
      </c>
      <c r="CB332" s="36">
        <v>2.4232867916694598</v>
      </c>
      <c r="CC332" s="36">
        <v>10.5937053274519</v>
      </c>
      <c r="CD332" s="36">
        <v>0.40019941545306398</v>
      </c>
      <c r="CE332" s="36">
        <v>9.0715305549193808</v>
      </c>
      <c r="CF332" s="36">
        <v>27.525643517980502</v>
      </c>
      <c r="CG332" s="36">
        <v>25.102635659266301</v>
      </c>
      <c r="CH332" s="36">
        <v>14.756871960105</v>
      </c>
      <c r="CI332" s="36">
        <v>12.65138677377</v>
      </c>
      <c r="CJ332" s="37">
        <v>0.19868957331123899</v>
      </c>
      <c r="CK332" s="37">
        <v>0.15766241172207099</v>
      </c>
      <c r="CL332" s="37">
        <v>0.200013587066836</v>
      </c>
      <c r="CM332" s="37">
        <v>0.21163676164998499</v>
      </c>
      <c r="CN332" s="37">
        <v>0.22969814145377901</v>
      </c>
      <c r="CO332" s="37">
        <v>0.78919057038512497</v>
      </c>
      <c r="CP332" s="37">
        <v>28.662260909385999</v>
      </c>
      <c r="CQ332" s="37">
        <v>0.38065921161865401</v>
      </c>
      <c r="CR332" s="45">
        <v>-1.81795956793219</v>
      </c>
      <c r="CS332" s="45">
        <v>-3.3255234502282298</v>
      </c>
      <c r="CT332" s="46">
        <v>7.3599429370706307E-2</v>
      </c>
      <c r="CU332" s="47">
        <v>0.108933668692483</v>
      </c>
      <c r="CV332" s="48">
        <v>12.815657500076901</v>
      </c>
      <c r="CW332" s="49">
        <v>3.8537263958242201</v>
      </c>
      <c r="CX332" s="31" t="s">
        <v>5875</v>
      </c>
      <c r="CY332" s="31" t="s">
        <v>5832</v>
      </c>
      <c r="CZ332" t="s">
        <v>13429</v>
      </c>
      <c r="DA332" t="s">
        <v>5904</v>
      </c>
      <c r="DB332">
        <v>2316.1999999999998</v>
      </c>
      <c r="DC332" t="s">
        <v>35794</v>
      </c>
      <c r="DD332" t="s">
        <v>35795</v>
      </c>
      <c r="DE332" t="s">
        <v>35796</v>
      </c>
      <c r="DF332" t="s">
        <v>35797</v>
      </c>
      <c r="DG332" t="s">
        <v>35798</v>
      </c>
      <c r="DH332" t="str">
        <f>"ACE"</f>
        <v>ACE</v>
      </c>
      <c r="DI332" t="s">
        <v>35799</v>
      </c>
      <c r="DJ332" t="s">
        <v>13777</v>
      </c>
      <c r="DK332">
        <v>9606</v>
      </c>
      <c r="DL332" s="34" t="str">
        <f>HYPERLINK("http://www.uniprot.org/uniprot/P12821", "P12821")</f>
        <v>P12821</v>
      </c>
      <c r="DM332" t="s">
        <v>35800</v>
      </c>
      <c r="DN332" t="s">
        <v>13772</v>
      </c>
      <c r="DO332" t="s">
        <v>25531</v>
      </c>
      <c r="DP332" t="s">
        <v>13780</v>
      </c>
      <c r="DQ332" t="s">
        <v>13772</v>
      </c>
      <c r="DR332" t="s">
        <v>13772</v>
      </c>
      <c r="DS332" t="s">
        <v>13826</v>
      </c>
      <c r="DT332" t="s">
        <v>13856</v>
      </c>
      <c r="DU332" t="s">
        <v>16539</v>
      </c>
      <c r="DV332" t="s">
        <v>13964</v>
      </c>
      <c r="DW332" t="s">
        <v>13812</v>
      </c>
      <c r="DX332" t="s">
        <v>35801</v>
      </c>
      <c r="DY332" t="s">
        <v>35802</v>
      </c>
      <c r="DZ332" t="s">
        <v>35803</v>
      </c>
      <c r="EA332" t="s">
        <v>13772</v>
      </c>
      <c r="EB332" t="s">
        <v>21168</v>
      </c>
    </row>
    <row r="333" spans="1:132" hidden="1">
      <c r="A333">
        <v>2424</v>
      </c>
      <c r="B333">
        <v>1</v>
      </c>
      <c r="C333" t="s">
        <v>5667</v>
      </c>
      <c r="D333" t="s">
        <v>73</v>
      </c>
      <c r="E333" t="s">
        <v>5668</v>
      </c>
      <c r="F333" t="s">
        <v>5669</v>
      </c>
      <c r="G333" t="s">
        <v>73</v>
      </c>
      <c r="H333">
        <v>67.7</v>
      </c>
      <c r="I333">
        <v>248</v>
      </c>
      <c r="J333">
        <v>29032</v>
      </c>
      <c r="K333" t="s">
        <v>5670</v>
      </c>
      <c r="L333">
        <f t="shared" si="22"/>
        <v>175</v>
      </c>
      <c r="N333">
        <v>175</v>
      </c>
      <c r="O333">
        <v>48</v>
      </c>
      <c r="P333">
        <v>0.27400000000000002</v>
      </c>
      <c r="Q333">
        <v>1</v>
      </c>
      <c r="R333">
        <v>2</v>
      </c>
      <c r="S333">
        <v>0</v>
      </c>
      <c r="T333">
        <v>2</v>
      </c>
      <c r="U333">
        <v>3</v>
      </c>
      <c r="V333">
        <v>2</v>
      </c>
      <c r="W333">
        <v>0</v>
      </c>
      <c r="X333">
        <v>5</v>
      </c>
      <c r="Y333">
        <v>43</v>
      </c>
      <c r="Z333">
        <v>8</v>
      </c>
      <c r="AA333">
        <v>20</v>
      </c>
      <c r="AB333">
        <v>14</v>
      </c>
      <c r="AC333">
        <v>20</v>
      </c>
      <c r="AD333">
        <v>4</v>
      </c>
      <c r="AE333">
        <v>24</v>
      </c>
      <c r="AF333">
        <v>16</v>
      </c>
      <c r="AG333">
        <v>2</v>
      </c>
      <c r="AH333">
        <v>4</v>
      </c>
      <c r="AI333">
        <v>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14</v>
      </c>
      <c r="AS333">
        <v>1</v>
      </c>
      <c r="AT333">
        <v>6</v>
      </c>
      <c r="AU333">
        <v>4</v>
      </c>
      <c r="AV333">
        <v>7</v>
      </c>
      <c r="AW333">
        <v>2</v>
      </c>
      <c r="AX333">
        <v>5</v>
      </c>
      <c r="AY333">
        <v>5</v>
      </c>
      <c r="AZ333">
        <v>0</v>
      </c>
      <c r="BA333">
        <v>1</v>
      </c>
      <c r="BB333">
        <v>1</v>
      </c>
      <c r="BC333" s="2">
        <v>0.308</v>
      </c>
      <c r="BD333" s="2">
        <v>1.165</v>
      </c>
      <c r="BE333" s="2">
        <v>0</v>
      </c>
      <c r="BF333" s="2">
        <v>0.61499999999999999</v>
      </c>
      <c r="BG333" s="2">
        <v>1.9390000000000001</v>
      </c>
      <c r="BH333" s="2">
        <v>1.165</v>
      </c>
      <c r="BI333" s="2">
        <v>0</v>
      </c>
      <c r="BJ333" s="2">
        <v>3.9390000000000001</v>
      </c>
      <c r="BK333" s="2">
        <v>33.564999999999998</v>
      </c>
      <c r="BL333" s="2">
        <v>4.17</v>
      </c>
      <c r="BM333" s="2">
        <v>13.257</v>
      </c>
      <c r="BN333" s="2">
        <v>10.042</v>
      </c>
      <c r="BO333" s="2">
        <v>14.823</v>
      </c>
      <c r="BP333" s="2">
        <v>3.6309999999999998</v>
      </c>
      <c r="BQ333" s="2">
        <v>15.278</v>
      </c>
      <c r="BR333" s="2">
        <v>12.448</v>
      </c>
      <c r="BS333" s="2">
        <v>1.631</v>
      </c>
      <c r="BT333" s="2">
        <v>2.9390000000000001</v>
      </c>
      <c r="BU333" s="2">
        <v>3.7130000000000001</v>
      </c>
      <c r="BV333" s="2">
        <f t="shared" si="25"/>
        <v>124.62799999999999</v>
      </c>
      <c r="BW333" s="16">
        <f t="shared" si="23"/>
        <v>6.5593684210526311</v>
      </c>
      <c r="BX333" s="16">
        <f>COUNTIF($BC$6:BU333, "=0") / COUNTIF($BC$6:BU333, "&gt;-1")</f>
        <v>8.26379974326059E-2</v>
      </c>
      <c r="BY333" s="18">
        <f>SUM($BC$6:BU333) / $BY$4</f>
        <v>0.77898940970164188</v>
      </c>
      <c r="BZ333" s="14">
        <f t="shared" si="24"/>
        <v>2</v>
      </c>
      <c r="CA333" t="s">
        <v>5831</v>
      </c>
      <c r="CB333" s="36">
        <v>0.36349301875041901</v>
      </c>
      <c r="CC333" s="36">
        <v>1.15567694481294</v>
      </c>
      <c r="CD333" s="36">
        <v>0.40019941545306398</v>
      </c>
      <c r="CE333" s="36">
        <v>0.90715305549193803</v>
      </c>
      <c r="CF333" s="36">
        <v>1.6343350838800901</v>
      </c>
      <c r="CG333" s="36">
        <v>1.1156726959673899</v>
      </c>
      <c r="CH333" s="36">
        <v>0.26351557071616</v>
      </c>
      <c r="CI333" s="36">
        <v>3.7954160321309902</v>
      </c>
      <c r="CJ333" s="37">
        <v>26.7038786530306</v>
      </c>
      <c r="CK333" s="37">
        <v>8.3876403036141998</v>
      </c>
      <c r="CL333" s="37">
        <v>8.0005434826734305</v>
      </c>
      <c r="CM333" s="37">
        <v>12.5288962896791</v>
      </c>
      <c r="CN333" s="37">
        <v>14.057526256971199</v>
      </c>
      <c r="CO333" s="37">
        <v>9.7859630727755498</v>
      </c>
      <c r="CP333" s="37">
        <v>2.41366407657988</v>
      </c>
      <c r="CQ333" s="37">
        <v>5.6337563319560804</v>
      </c>
      <c r="CR333" s="45">
        <v>3.0117286390961699</v>
      </c>
      <c r="CS333" s="45">
        <v>9.0822702769718706</v>
      </c>
      <c r="CT333" s="46">
        <v>8.3804719650327599E-8</v>
      </c>
      <c r="CU333" s="47">
        <v>5.8401414006322104E-7</v>
      </c>
      <c r="CV333" s="48">
        <v>1.2044327271503701</v>
      </c>
      <c r="CW333" s="49">
        <v>10.938983558409999</v>
      </c>
      <c r="CX333" s="31" t="s">
        <v>5874</v>
      </c>
      <c r="CY333" s="31" t="s">
        <v>5876</v>
      </c>
      <c r="CZ333" t="s">
        <v>6207</v>
      </c>
      <c r="DA333" t="s">
        <v>5904</v>
      </c>
      <c r="DB333">
        <v>336.6</v>
      </c>
      <c r="DC333" t="s">
        <v>14854</v>
      </c>
      <c r="DD333" t="s">
        <v>14855</v>
      </c>
      <c r="DE333" t="s">
        <v>14856</v>
      </c>
      <c r="DF333" t="s">
        <v>14857</v>
      </c>
      <c r="DG333" t="s">
        <v>14858</v>
      </c>
      <c r="DH333" t="str">
        <f>"TPM4"</f>
        <v>TPM4</v>
      </c>
      <c r="DI333" t="s">
        <v>13772</v>
      </c>
      <c r="DJ333" t="s">
        <v>13777</v>
      </c>
      <c r="DK333">
        <v>9606</v>
      </c>
      <c r="DL333" s="34" t="str">
        <f>HYPERLINK("http://www.uniprot.org/uniprot/P67936", "P67936")</f>
        <v>P67936</v>
      </c>
      <c r="DM333" t="s">
        <v>14859</v>
      </c>
      <c r="DN333" t="s">
        <v>13772</v>
      </c>
      <c r="DO333" t="s">
        <v>13988</v>
      </c>
      <c r="DP333" t="s">
        <v>13780</v>
      </c>
      <c r="DQ333" t="s">
        <v>13772</v>
      </c>
      <c r="DR333" t="s">
        <v>13772</v>
      </c>
      <c r="DS333" t="s">
        <v>14245</v>
      </c>
      <c r="DT333" t="s">
        <v>13873</v>
      </c>
      <c r="DU333" t="s">
        <v>14849</v>
      </c>
      <c r="DV333" t="s">
        <v>13886</v>
      </c>
      <c r="DW333" t="s">
        <v>13772</v>
      </c>
      <c r="DX333" t="s">
        <v>14860</v>
      </c>
      <c r="DY333" t="s">
        <v>14861</v>
      </c>
      <c r="DZ333" t="s">
        <v>14862</v>
      </c>
      <c r="EA333" t="s">
        <v>13772</v>
      </c>
      <c r="EB333" t="s">
        <v>14853</v>
      </c>
    </row>
    <row r="334" spans="1:132" hidden="1">
      <c r="A334">
        <v>2437</v>
      </c>
      <c r="B334">
        <v>1</v>
      </c>
      <c r="C334" t="s">
        <v>5714</v>
      </c>
      <c r="D334" t="s">
        <v>73</v>
      </c>
      <c r="E334" t="s">
        <v>5715</v>
      </c>
      <c r="F334" t="s">
        <v>5716</v>
      </c>
      <c r="G334" t="s">
        <v>73</v>
      </c>
      <c r="H334">
        <v>55.3</v>
      </c>
      <c r="I334">
        <v>445</v>
      </c>
      <c r="J334">
        <v>49830</v>
      </c>
      <c r="K334" t="s">
        <v>5717</v>
      </c>
      <c r="L334">
        <f t="shared" si="22"/>
        <v>160</v>
      </c>
      <c r="N334">
        <v>160</v>
      </c>
      <c r="O334">
        <v>24</v>
      </c>
      <c r="P334">
        <v>0.15</v>
      </c>
      <c r="Q334">
        <v>2</v>
      </c>
      <c r="R334">
        <v>12</v>
      </c>
      <c r="S334">
        <v>2</v>
      </c>
      <c r="T334">
        <v>2</v>
      </c>
      <c r="U334">
        <v>9</v>
      </c>
      <c r="V334">
        <v>3</v>
      </c>
      <c r="W334">
        <v>4</v>
      </c>
      <c r="X334">
        <v>6</v>
      </c>
      <c r="Y334">
        <v>27</v>
      </c>
      <c r="Z334">
        <v>1</v>
      </c>
      <c r="AA334">
        <v>35</v>
      </c>
      <c r="AB334">
        <v>29</v>
      </c>
      <c r="AC334">
        <v>10</v>
      </c>
      <c r="AD334">
        <v>2</v>
      </c>
      <c r="AE334">
        <v>4</v>
      </c>
      <c r="AF334">
        <v>6</v>
      </c>
      <c r="AG334">
        <v>4</v>
      </c>
      <c r="AH334">
        <v>0</v>
      </c>
      <c r="AI334">
        <v>2</v>
      </c>
      <c r="AJ334">
        <v>1</v>
      </c>
      <c r="AK334">
        <v>2</v>
      </c>
      <c r="AL334">
        <v>0</v>
      </c>
      <c r="AM334">
        <v>0</v>
      </c>
      <c r="AN334">
        <v>2</v>
      </c>
      <c r="AO334">
        <v>0</v>
      </c>
      <c r="AP334">
        <v>2</v>
      </c>
      <c r="AQ334">
        <v>2</v>
      </c>
      <c r="AR334">
        <v>6</v>
      </c>
      <c r="AS334">
        <v>0</v>
      </c>
      <c r="AT334">
        <v>4</v>
      </c>
      <c r="AU334">
        <v>2</v>
      </c>
      <c r="AV334">
        <v>1</v>
      </c>
      <c r="AW334">
        <v>0</v>
      </c>
      <c r="AX334">
        <v>0</v>
      </c>
      <c r="AY334">
        <v>2</v>
      </c>
      <c r="AZ334">
        <v>0</v>
      </c>
      <c r="BA334">
        <v>0</v>
      </c>
      <c r="BB334">
        <v>0</v>
      </c>
      <c r="BC334" s="2">
        <v>1.96</v>
      </c>
      <c r="BD334" s="2">
        <v>9.6950000000000003</v>
      </c>
      <c r="BE334" s="2">
        <v>1.5449999999999999</v>
      </c>
      <c r="BF334" s="2">
        <v>1.482</v>
      </c>
      <c r="BG334" s="2">
        <v>6.7240000000000002</v>
      </c>
      <c r="BH334" s="2">
        <v>2.0819999999999999</v>
      </c>
      <c r="BI334" s="2">
        <v>3.56</v>
      </c>
      <c r="BJ334" s="2">
        <v>4.9710000000000001</v>
      </c>
      <c r="BK334" s="2">
        <v>20.928999999999998</v>
      </c>
      <c r="BL334" s="2">
        <v>0.6</v>
      </c>
      <c r="BM334" s="2">
        <v>26.728999999999999</v>
      </c>
      <c r="BN334" s="2">
        <v>21.036000000000001</v>
      </c>
      <c r="BO334" s="2">
        <v>7.8369999999999997</v>
      </c>
      <c r="BP334" s="2">
        <v>1.4570000000000001</v>
      </c>
      <c r="BQ334" s="2">
        <v>3.0030000000000001</v>
      </c>
      <c r="BR334" s="2">
        <v>5.22</v>
      </c>
      <c r="BS334" s="2">
        <v>3.274</v>
      </c>
      <c r="BT334" s="2">
        <v>0</v>
      </c>
      <c r="BU334" s="2">
        <v>1.714</v>
      </c>
      <c r="BV334" s="2">
        <f t="shared" si="25"/>
        <v>123.81799999999998</v>
      </c>
      <c r="BW334" s="16">
        <f t="shared" si="23"/>
        <v>6.5167368421052627</v>
      </c>
      <c r="BX334" s="16">
        <f>COUNTIF($BC$6:BU334, "=0") / COUNTIF($BC$6:BU334, "&gt;-1")</f>
        <v>8.2546792513197895E-2</v>
      </c>
      <c r="BY334" s="18">
        <f>SUM($BC$6:BU334) / $BY$4</f>
        <v>0.77951980105145047</v>
      </c>
      <c r="BZ334" s="14">
        <f t="shared" si="24"/>
        <v>1</v>
      </c>
      <c r="CA334" t="s">
        <v>5831</v>
      </c>
      <c r="CB334" s="36">
        <v>2.4232867916694598</v>
      </c>
      <c r="CC334" s="36">
        <v>9.3417219705712302</v>
      </c>
      <c r="CD334" s="36">
        <v>2.4011964927183902</v>
      </c>
      <c r="CE334" s="36">
        <v>2.2678826387298399</v>
      </c>
      <c r="CF334" s="36">
        <v>5.7631816115771803</v>
      </c>
      <c r="CG334" s="36">
        <v>1.9524272179429301</v>
      </c>
      <c r="CH334" s="36">
        <v>3.7946242183127099</v>
      </c>
      <c r="CI334" s="36">
        <v>4.8659179899115301</v>
      </c>
      <c r="CJ334" s="37">
        <v>16.610448328819601</v>
      </c>
      <c r="CK334" s="37">
        <v>16.838345571917198</v>
      </c>
      <c r="CL334" s="37">
        <v>16.801141313614199</v>
      </c>
      <c r="CM334" s="37">
        <v>6.6030669634795398</v>
      </c>
      <c r="CN334" s="37">
        <v>2.7563776974453398</v>
      </c>
      <c r="CO334" s="37">
        <v>4.1037909660026504</v>
      </c>
      <c r="CP334" s="37">
        <v>4.9781821579459899</v>
      </c>
      <c r="CQ334" s="37">
        <v>2.5884826390068501</v>
      </c>
      <c r="CR334" s="45">
        <v>1.1008218788550801</v>
      </c>
      <c r="CS334" s="45">
        <v>2.1724875514375799</v>
      </c>
      <c r="CT334" s="46">
        <v>3.0726715133034401E-2</v>
      </c>
      <c r="CU334" s="47">
        <v>5.0015018063260301E-2</v>
      </c>
      <c r="CV334" s="48">
        <v>4.1012798664291603</v>
      </c>
      <c r="CW334" s="49">
        <v>8.9099794547789308</v>
      </c>
      <c r="CX334" s="31" t="s">
        <v>5874</v>
      </c>
      <c r="CY334" s="31" t="s">
        <v>5877</v>
      </c>
      <c r="CZ334" t="s">
        <v>12287</v>
      </c>
      <c r="DA334" t="s">
        <v>5904</v>
      </c>
      <c r="DB334">
        <v>936.4</v>
      </c>
      <c r="DC334" t="s">
        <v>32563</v>
      </c>
      <c r="DD334" t="s">
        <v>32564</v>
      </c>
      <c r="DE334" t="s">
        <v>32565</v>
      </c>
      <c r="DF334" t="s">
        <v>32566</v>
      </c>
      <c r="DG334" t="s">
        <v>32567</v>
      </c>
      <c r="DH334" t="str">
        <f>"TUBB4B"</f>
        <v>TUBB4B</v>
      </c>
      <c r="DI334" t="s">
        <v>32568</v>
      </c>
      <c r="DJ334" t="s">
        <v>13777</v>
      </c>
      <c r="DK334">
        <v>9606</v>
      </c>
      <c r="DL334" s="34" t="str">
        <f>HYPERLINK("http://www.uniprot.org/uniprot/P68371", "P68371")</f>
        <v>P68371</v>
      </c>
      <c r="DM334" t="s">
        <v>32569</v>
      </c>
      <c r="DN334" t="s">
        <v>13772</v>
      </c>
      <c r="DO334" t="s">
        <v>20183</v>
      </c>
      <c r="DP334" t="s">
        <v>13772</v>
      </c>
      <c r="DQ334" t="s">
        <v>13772</v>
      </c>
      <c r="DR334" t="s">
        <v>32570</v>
      </c>
      <c r="DS334" t="s">
        <v>13772</v>
      </c>
      <c r="DT334" t="s">
        <v>14216</v>
      </c>
      <c r="DU334" t="s">
        <v>13772</v>
      </c>
      <c r="DV334" t="s">
        <v>32571</v>
      </c>
      <c r="DW334" t="s">
        <v>13772</v>
      </c>
      <c r="DX334" t="s">
        <v>32572</v>
      </c>
      <c r="DY334" t="s">
        <v>32573</v>
      </c>
      <c r="DZ334" t="s">
        <v>32574</v>
      </c>
      <c r="EA334" t="s">
        <v>13772</v>
      </c>
      <c r="EB334" t="s">
        <v>32575</v>
      </c>
    </row>
    <row r="335" spans="1:132" hidden="1">
      <c r="A335">
        <v>1993</v>
      </c>
      <c r="B335">
        <v>1</v>
      </c>
      <c r="C335" t="s">
        <v>4692</v>
      </c>
      <c r="D335" t="s">
        <v>73</v>
      </c>
      <c r="E335" t="s">
        <v>73</v>
      </c>
      <c r="F335" t="s">
        <v>1480</v>
      </c>
      <c r="G335" t="s">
        <v>73</v>
      </c>
      <c r="H335">
        <v>82.2</v>
      </c>
      <c r="I335">
        <v>129</v>
      </c>
      <c r="J335">
        <v>14346</v>
      </c>
      <c r="K335" t="s">
        <v>4693</v>
      </c>
      <c r="L335">
        <f t="shared" si="22"/>
        <v>492</v>
      </c>
      <c r="N335">
        <v>492</v>
      </c>
      <c r="O335">
        <v>9</v>
      </c>
      <c r="P335">
        <v>1.7999999999999999E-2</v>
      </c>
      <c r="Q335">
        <v>36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154</v>
      </c>
      <c r="Z335">
        <v>127</v>
      </c>
      <c r="AA335">
        <v>58</v>
      </c>
      <c r="AB335">
        <v>15</v>
      </c>
      <c r="AC335">
        <v>16</v>
      </c>
      <c r="AD335">
        <v>16</v>
      </c>
      <c r="AE335">
        <v>17</v>
      </c>
      <c r="AF335">
        <v>11</v>
      </c>
      <c r="AG335">
        <v>13</v>
      </c>
      <c r="AH335">
        <v>4</v>
      </c>
      <c r="AI335">
        <v>22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5</v>
      </c>
      <c r="AS335">
        <v>4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s="2">
        <v>2</v>
      </c>
      <c r="BD335" s="2">
        <v>0</v>
      </c>
      <c r="BE335" s="2">
        <v>0.33300000000000002</v>
      </c>
      <c r="BF335" s="2">
        <v>0</v>
      </c>
      <c r="BG335" s="2">
        <v>0</v>
      </c>
      <c r="BH335" s="2">
        <v>0</v>
      </c>
      <c r="BI335" s="2">
        <v>0.16700000000000001</v>
      </c>
      <c r="BJ335" s="2">
        <v>0</v>
      </c>
      <c r="BK335" s="2">
        <v>61.442999999999998</v>
      </c>
      <c r="BL335" s="2">
        <v>47.793999999999997</v>
      </c>
      <c r="BM335" s="2">
        <v>5</v>
      </c>
      <c r="BN335" s="2">
        <v>0.5</v>
      </c>
      <c r="BO335" s="2">
        <v>0.33300000000000002</v>
      </c>
      <c r="BP335" s="2">
        <v>0.66700000000000004</v>
      </c>
      <c r="BQ335" s="2">
        <v>0.66700000000000004</v>
      </c>
      <c r="BR335" s="2">
        <v>1.083</v>
      </c>
      <c r="BS335" s="2">
        <v>1.5</v>
      </c>
      <c r="BT335" s="2">
        <v>0</v>
      </c>
      <c r="BU335" s="2">
        <v>1</v>
      </c>
      <c r="BV335" s="2">
        <f t="shared" si="25"/>
        <v>122.48699999999999</v>
      </c>
      <c r="BW335" s="16">
        <f t="shared" si="23"/>
        <v>6.4466842105263158</v>
      </c>
      <c r="BX335" s="16">
        <f>COUNTIF($BC$6:BU335, "=0") / COUNTIF($BC$6:BU335, "&gt;-1")</f>
        <v>8.3253588516746413E-2</v>
      </c>
      <c r="BY335" s="18">
        <f>SUM($BC$6:BU335) / $BY$4</f>
        <v>0.78004449088058703</v>
      </c>
      <c r="BZ335" s="14">
        <f t="shared" si="24"/>
        <v>6</v>
      </c>
      <c r="CA335" t="s">
        <v>5831</v>
      </c>
      <c r="CB335" s="36">
        <v>2.4232867916694598</v>
      </c>
      <c r="CC335" s="36">
        <v>0.24076603016936199</v>
      </c>
      <c r="CD335" s="36">
        <v>0.48023929854367697</v>
      </c>
      <c r="CE335" s="36">
        <v>0.37798043978830698</v>
      </c>
      <c r="CF335" s="36">
        <v>0.215044089984223</v>
      </c>
      <c r="CG335" s="36">
        <v>0.23243181165987301</v>
      </c>
      <c r="CH335" s="36">
        <v>0.21081245657292799</v>
      </c>
      <c r="CI335" s="36">
        <v>0.24329589949557701</v>
      </c>
      <c r="CJ335" s="37">
        <v>48.798159205240403</v>
      </c>
      <c r="CK335" s="37">
        <v>3.1532482344414299</v>
      </c>
      <c r="CL335" s="37">
        <v>0.400027174133671</v>
      </c>
      <c r="CM335" s="37">
        <v>0.25396411397998198</v>
      </c>
      <c r="CN335" s="37">
        <v>0.64315479607058001</v>
      </c>
      <c r="CO335" s="37">
        <v>0.86810962742363795</v>
      </c>
      <c r="CP335" s="37">
        <v>2.2628100717936301</v>
      </c>
      <c r="CQ335" s="37">
        <v>1.5226368464746201</v>
      </c>
      <c r="CR335" s="45">
        <v>3.5079866536669102</v>
      </c>
      <c r="CS335" s="45">
        <v>13.088604006234799</v>
      </c>
      <c r="CT335" s="46">
        <v>3.0727223608499801E-3</v>
      </c>
      <c r="CU335" s="47">
        <v>6.26722944941657E-3</v>
      </c>
      <c r="CV335" s="48">
        <v>0.55298210223542599</v>
      </c>
      <c r="CW335" s="49">
        <v>7.2377637586947401</v>
      </c>
      <c r="CX335" s="31" t="s">
        <v>5874</v>
      </c>
      <c r="CY335" s="31" t="s">
        <v>5876</v>
      </c>
      <c r="CZ335" t="s">
        <v>7762</v>
      </c>
      <c r="DA335" t="s">
        <v>5904</v>
      </c>
      <c r="DB335">
        <v>192.6</v>
      </c>
      <c r="DC335" t="s">
        <v>19672</v>
      </c>
      <c r="DD335" t="s">
        <v>19673</v>
      </c>
      <c r="DE335" t="s">
        <v>19674</v>
      </c>
      <c r="DF335" t="s">
        <v>19675</v>
      </c>
      <c r="DG335" t="s">
        <v>19676</v>
      </c>
      <c r="DH335" t="str">
        <f>"SAA1"</f>
        <v>SAA1</v>
      </c>
      <c r="DI335" t="s">
        <v>13772</v>
      </c>
      <c r="DJ335" t="s">
        <v>13777</v>
      </c>
      <c r="DK335">
        <v>9606</v>
      </c>
      <c r="DL335" s="34" t="str">
        <f>HYPERLINK("http://www.uniprot.org/uniprot/P0DJI8", "P0DJI8")</f>
        <v>P0DJI8</v>
      </c>
      <c r="DM335" t="s">
        <v>19677</v>
      </c>
      <c r="DN335" t="s">
        <v>14374</v>
      </c>
      <c r="DO335" t="s">
        <v>19678</v>
      </c>
      <c r="DP335" t="s">
        <v>13793</v>
      </c>
      <c r="DQ335" t="s">
        <v>13772</v>
      </c>
      <c r="DR335" t="s">
        <v>19679</v>
      </c>
      <c r="DS335" t="s">
        <v>13808</v>
      </c>
      <c r="DT335" t="s">
        <v>13772</v>
      </c>
      <c r="DU335" t="s">
        <v>14073</v>
      </c>
      <c r="DV335" t="s">
        <v>17914</v>
      </c>
      <c r="DW335" t="s">
        <v>13812</v>
      </c>
      <c r="DX335" t="s">
        <v>19680</v>
      </c>
      <c r="DY335" t="s">
        <v>19681</v>
      </c>
      <c r="DZ335" t="s">
        <v>19682</v>
      </c>
      <c r="EA335" t="s">
        <v>13772</v>
      </c>
      <c r="EB335" t="s">
        <v>19683</v>
      </c>
    </row>
    <row r="336" spans="1:132" hidden="1">
      <c r="A336">
        <v>1090</v>
      </c>
      <c r="B336">
        <v>1</v>
      </c>
      <c r="C336" t="s">
        <v>2621</v>
      </c>
      <c r="D336" t="s">
        <v>73</v>
      </c>
      <c r="E336" t="s">
        <v>73</v>
      </c>
      <c r="F336" t="s">
        <v>73</v>
      </c>
      <c r="G336" t="s">
        <v>73</v>
      </c>
      <c r="H336">
        <v>49.1</v>
      </c>
      <c r="I336">
        <v>338</v>
      </c>
      <c r="J336">
        <v>38304</v>
      </c>
      <c r="K336" t="s">
        <v>2622</v>
      </c>
      <c r="L336">
        <f t="shared" si="22"/>
        <v>121</v>
      </c>
      <c r="N336">
        <v>121</v>
      </c>
      <c r="O336">
        <v>121</v>
      </c>
      <c r="P336">
        <v>1</v>
      </c>
      <c r="Q336">
        <v>9</v>
      </c>
      <c r="R336">
        <v>5</v>
      </c>
      <c r="S336">
        <v>5</v>
      </c>
      <c r="T336">
        <v>3</v>
      </c>
      <c r="U336">
        <v>0</v>
      </c>
      <c r="V336">
        <v>5</v>
      </c>
      <c r="W336">
        <v>8</v>
      </c>
      <c r="X336">
        <v>11</v>
      </c>
      <c r="Y336">
        <v>8</v>
      </c>
      <c r="Z336">
        <v>3</v>
      </c>
      <c r="AA336">
        <v>12</v>
      </c>
      <c r="AB336">
        <v>7</v>
      </c>
      <c r="AC336">
        <v>6</v>
      </c>
      <c r="AD336">
        <v>7</v>
      </c>
      <c r="AE336">
        <v>7</v>
      </c>
      <c r="AF336">
        <v>6</v>
      </c>
      <c r="AG336">
        <v>5</v>
      </c>
      <c r="AH336">
        <v>2</v>
      </c>
      <c r="AI336">
        <v>12</v>
      </c>
      <c r="AJ336">
        <v>9</v>
      </c>
      <c r="AK336">
        <v>5</v>
      </c>
      <c r="AL336">
        <v>5</v>
      </c>
      <c r="AM336">
        <v>3</v>
      </c>
      <c r="AN336">
        <v>0</v>
      </c>
      <c r="AO336">
        <v>5</v>
      </c>
      <c r="AP336">
        <v>8</v>
      </c>
      <c r="AQ336">
        <v>11</v>
      </c>
      <c r="AR336">
        <v>8</v>
      </c>
      <c r="AS336">
        <v>3</v>
      </c>
      <c r="AT336">
        <v>12</v>
      </c>
      <c r="AU336">
        <v>7</v>
      </c>
      <c r="AV336">
        <v>6</v>
      </c>
      <c r="AW336">
        <v>7</v>
      </c>
      <c r="AX336">
        <v>7</v>
      </c>
      <c r="AY336">
        <v>6</v>
      </c>
      <c r="AZ336">
        <v>5</v>
      </c>
      <c r="BA336">
        <v>2</v>
      </c>
      <c r="BB336">
        <v>12</v>
      </c>
      <c r="BC336" s="2">
        <v>9</v>
      </c>
      <c r="BD336" s="2">
        <v>5</v>
      </c>
      <c r="BE336" s="2">
        <v>5</v>
      </c>
      <c r="BF336" s="2">
        <v>3</v>
      </c>
      <c r="BG336" s="2">
        <v>0</v>
      </c>
      <c r="BH336" s="2">
        <v>5</v>
      </c>
      <c r="BI336" s="2">
        <v>8</v>
      </c>
      <c r="BJ336" s="2">
        <v>11</v>
      </c>
      <c r="BK336" s="2">
        <v>8</v>
      </c>
      <c r="BL336" s="2">
        <v>3</v>
      </c>
      <c r="BM336" s="2">
        <v>12</v>
      </c>
      <c r="BN336" s="2">
        <v>7</v>
      </c>
      <c r="BO336" s="2">
        <v>6</v>
      </c>
      <c r="BP336" s="2">
        <v>7</v>
      </c>
      <c r="BQ336" s="2">
        <v>7</v>
      </c>
      <c r="BR336" s="2">
        <v>6</v>
      </c>
      <c r="BS336" s="2">
        <v>5</v>
      </c>
      <c r="BT336" s="2">
        <v>2</v>
      </c>
      <c r="BU336" s="2">
        <v>12</v>
      </c>
      <c r="BV336" s="2">
        <f t="shared" si="25"/>
        <v>121</v>
      </c>
      <c r="BW336" s="16">
        <f t="shared" si="23"/>
        <v>6.3684210526315788</v>
      </c>
      <c r="BX336" s="16">
        <f>COUNTIF($BC$6:BU336, "=0") / COUNTIF($BC$6:BU336, "&gt;-1")</f>
        <v>8.3161074892669745E-2</v>
      </c>
      <c r="BY336" s="18">
        <f>SUM($BC$6:BU336) / $BY$4</f>
        <v>0.78056281094169977</v>
      </c>
      <c r="BZ336" s="14">
        <f t="shared" si="24"/>
        <v>1</v>
      </c>
      <c r="CA336" t="s">
        <v>5831</v>
      </c>
      <c r="CB336" s="36">
        <v>10.9047905625126</v>
      </c>
      <c r="CC336" s="36">
        <v>4.8153206033872298</v>
      </c>
      <c r="CD336" s="36">
        <v>8.00398830906129</v>
      </c>
      <c r="CE336" s="36">
        <v>4.5357652774596904</v>
      </c>
      <c r="CF336" s="36">
        <v>0.215044089984223</v>
      </c>
      <c r="CG336" s="36">
        <v>4.6486362331974602</v>
      </c>
      <c r="CH336" s="36">
        <v>8.4324982629171306</v>
      </c>
      <c r="CI336" s="36">
        <v>10.7050195778054</v>
      </c>
      <c r="CJ336" s="37">
        <v>6.35806634595966</v>
      </c>
      <c r="CK336" s="37">
        <v>7.5677957626594301</v>
      </c>
      <c r="CL336" s="37">
        <v>5.6003804378713999</v>
      </c>
      <c r="CM336" s="37">
        <v>5.0792822795996404</v>
      </c>
      <c r="CN336" s="37">
        <v>6.4315479607058004</v>
      </c>
      <c r="CO336" s="37">
        <v>4.7351434223107498</v>
      </c>
      <c r="CP336" s="37">
        <v>7.5427002393121096</v>
      </c>
      <c r="CQ336" s="37">
        <v>18.2716421576954</v>
      </c>
      <c r="CR336" s="45">
        <v>0.196292649841211</v>
      </c>
      <c r="CS336" s="45">
        <v>1.17844060509677</v>
      </c>
      <c r="CT336" s="46">
        <v>0.66896047346974596</v>
      </c>
      <c r="CU336" s="47">
        <v>0.74095125289943697</v>
      </c>
      <c r="CV336" s="48">
        <v>6.53263286454062</v>
      </c>
      <c r="CW336" s="49">
        <v>7.69831982576427</v>
      </c>
      <c r="CX336" s="31" t="s">
        <v>5874</v>
      </c>
      <c r="CY336" s="31" t="s">
        <v>5832</v>
      </c>
      <c r="CZ336" t="s">
        <v>9367</v>
      </c>
      <c r="DA336" t="s">
        <v>5904</v>
      </c>
      <c r="DB336">
        <v>638.29999999999995</v>
      </c>
      <c r="DC336" t="s">
        <v>24335</v>
      </c>
      <c r="DD336" t="s">
        <v>24336</v>
      </c>
      <c r="DE336" t="s">
        <v>24337</v>
      </c>
      <c r="DF336" t="s">
        <v>24338</v>
      </c>
      <c r="DG336" t="s">
        <v>24339</v>
      </c>
      <c r="DH336" t="str">
        <f>"LUM"</f>
        <v>LUM</v>
      </c>
      <c r="DI336" t="s">
        <v>24340</v>
      </c>
      <c r="DJ336" t="s">
        <v>13777</v>
      </c>
      <c r="DK336">
        <v>9606</v>
      </c>
      <c r="DL336" s="34" t="str">
        <f>HYPERLINK("http://www.uniprot.org/uniprot/P51884", "P51884")</f>
        <v>P51884</v>
      </c>
      <c r="DM336" t="s">
        <v>24341</v>
      </c>
      <c r="DN336" t="s">
        <v>13772</v>
      </c>
      <c r="DO336" t="s">
        <v>13869</v>
      </c>
      <c r="DP336" t="s">
        <v>13793</v>
      </c>
      <c r="DQ336" t="s">
        <v>13772</v>
      </c>
      <c r="DR336" t="s">
        <v>13772</v>
      </c>
      <c r="DS336" t="s">
        <v>19328</v>
      </c>
      <c r="DT336" t="s">
        <v>13772</v>
      </c>
      <c r="DU336" t="s">
        <v>13772</v>
      </c>
      <c r="DV336" t="s">
        <v>24342</v>
      </c>
      <c r="DW336" t="s">
        <v>13772</v>
      </c>
      <c r="DX336" t="s">
        <v>24343</v>
      </c>
      <c r="DY336" t="s">
        <v>24344</v>
      </c>
      <c r="DZ336" t="s">
        <v>24345</v>
      </c>
      <c r="EA336" t="s">
        <v>13772</v>
      </c>
      <c r="EB336" t="s">
        <v>24346</v>
      </c>
    </row>
    <row r="337" spans="1:132" hidden="1">
      <c r="A337">
        <v>1011</v>
      </c>
      <c r="B337">
        <v>1</v>
      </c>
      <c r="C337" t="s">
        <v>2443</v>
      </c>
      <c r="D337" t="s">
        <v>2444</v>
      </c>
      <c r="E337" t="s">
        <v>73</v>
      </c>
      <c r="F337" t="s">
        <v>2445</v>
      </c>
      <c r="G337" t="s">
        <v>73</v>
      </c>
      <c r="H337">
        <v>42.9</v>
      </c>
      <c r="I337">
        <v>487</v>
      </c>
      <c r="J337">
        <v>54038</v>
      </c>
      <c r="K337" t="s">
        <v>2446</v>
      </c>
      <c r="L337">
        <f t="shared" si="22"/>
        <v>130</v>
      </c>
      <c r="N337">
        <v>130</v>
      </c>
      <c r="O337">
        <v>35</v>
      </c>
      <c r="P337">
        <v>0.26900000000000002</v>
      </c>
      <c r="Q337">
        <v>3</v>
      </c>
      <c r="R337">
        <v>8</v>
      </c>
      <c r="S337">
        <v>1</v>
      </c>
      <c r="T337">
        <v>4</v>
      </c>
      <c r="U337">
        <v>12</v>
      </c>
      <c r="V337">
        <v>8</v>
      </c>
      <c r="W337">
        <v>5</v>
      </c>
      <c r="X337">
        <v>9</v>
      </c>
      <c r="Y337">
        <v>17</v>
      </c>
      <c r="Z337">
        <v>4</v>
      </c>
      <c r="AA337">
        <v>15</v>
      </c>
      <c r="AB337">
        <v>15</v>
      </c>
      <c r="AC337">
        <v>9</v>
      </c>
      <c r="AD337">
        <v>4</v>
      </c>
      <c r="AE337">
        <v>5</v>
      </c>
      <c r="AF337">
        <v>8</v>
      </c>
      <c r="AG337">
        <v>3</v>
      </c>
      <c r="AH337">
        <v>0</v>
      </c>
      <c r="AI337">
        <v>0</v>
      </c>
      <c r="AJ337">
        <v>0</v>
      </c>
      <c r="AK337">
        <v>2</v>
      </c>
      <c r="AL337">
        <v>0</v>
      </c>
      <c r="AM337">
        <v>1</v>
      </c>
      <c r="AN337">
        <v>5</v>
      </c>
      <c r="AO337">
        <v>2</v>
      </c>
      <c r="AP337">
        <v>1</v>
      </c>
      <c r="AQ337">
        <v>3</v>
      </c>
      <c r="AR337">
        <v>6</v>
      </c>
      <c r="AS337">
        <v>0</v>
      </c>
      <c r="AT337">
        <v>4</v>
      </c>
      <c r="AU337">
        <v>4</v>
      </c>
      <c r="AV337">
        <v>2</v>
      </c>
      <c r="AW337">
        <v>0</v>
      </c>
      <c r="AX337">
        <v>3</v>
      </c>
      <c r="AY337">
        <v>2</v>
      </c>
      <c r="AZ337">
        <v>0</v>
      </c>
      <c r="BA337">
        <v>0</v>
      </c>
      <c r="BB337">
        <v>0</v>
      </c>
      <c r="BC337" s="2">
        <v>2.3639999999999999</v>
      </c>
      <c r="BD337" s="2">
        <v>7.7149999999999999</v>
      </c>
      <c r="BE337" s="2">
        <v>0.85399999999999998</v>
      </c>
      <c r="BF337" s="2">
        <v>3.68</v>
      </c>
      <c r="BG337" s="2">
        <v>10.819000000000001</v>
      </c>
      <c r="BH337" s="2">
        <v>7.7149999999999999</v>
      </c>
      <c r="BI337" s="2">
        <v>4.7699999999999996</v>
      </c>
      <c r="BJ337" s="2">
        <v>8.5960000000000001</v>
      </c>
      <c r="BK337" s="2">
        <v>15.904999999999999</v>
      </c>
      <c r="BL337" s="2">
        <v>3.6520000000000001</v>
      </c>
      <c r="BM337" s="2">
        <v>13.156000000000001</v>
      </c>
      <c r="BN337" s="2">
        <v>13.471</v>
      </c>
      <c r="BO337" s="2">
        <v>8.5679999999999996</v>
      </c>
      <c r="BP337" s="2">
        <v>3.6520000000000001</v>
      </c>
      <c r="BQ337" s="2">
        <v>4.8259999999999996</v>
      </c>
      <c r="BR337" s="2">
        <v>7.7149999999999999</v>
      </c>
      <c r="BS337" s="2">
        <v>2.68</v>
      </c>
      <c r="BT337" s="2">
        <v>0</v>
      </c>
      <c r="BU337" s="2">
        <v>0</v>
      </c>
      <c r="BV337" s="2">
        <f t="shared" si="25"/>
        <v>120.13800000000002</v>
      </c>
      <c r="BW337" s="16">
        <f t="shared" si="23"/>
        <v>6.3230526315789488</v>
      </c>
      <c r="BX337" s="16">
        <f>COUNTIF($BC$6:BU337, "=0") / COUNTIF($BC$6:BU337, "&gt;-1")</f>
        <v>8.3227647431832599E-2</v>
      </c>
      <c r="BY337" s="18">
        <f>SUM($BC$6:BU337) / $BY$4</f>
        <v>0.7810774385078314</v>
      </c>
      <c r="BZ337" s="14">
        <f t="shared" si="24"/>
        <v>2</v>
      </c>
      <c r="CA337" t="s">
        <v>5831</v>
      </c>
      <c r="CB337" s="36">
        <v>2.9079441500033498</v>
      </c>
      <c r="CC337" s="36">
        <v>7.4155937292163401</v>
      </c>
      <c r="CD337" s="36">
        <v>1.44071789563103</v>
      </c>
      <c r="CE337" s="36">
        <v>5.59411050886695</v>
      </c>
      <c r="CF337" s="36">
        <v>9.2899046873184297</v>
      </c>
      <c r="CG337" s="36">
        <v>7.1588997991240797</v>
      </c>
      <c r="CH337" s="36">
        <v>5.0594989577502796</v>
      </c>
      <c r="CI337" s="36">
        <v>8.3693789426478293</v>
      </c>
      <c r="CJ337" s="37">
        <v>12.636656862594799</v>
      </c>
      <c r="CK337" s="37">
        <v>8.3245753389253707</v>
      </c>
      <c r="CL337" s="37">
        <v>10.800733701609101</v>
      </c>
      <c r="CM337" s="37">
        <v>7.2803046007594903</v>
      </c>
      <c r="CN337" s="37">
        <v>4.4102043159125497</v>
      </c>
      <c r="CO337" s="37">
        <v>6.0767673919654603</v>
      </c>
      <c r="CP337" s="37">
        <v>4.0730581292285404</v>
      </c>
      <c r="CQ337" s="37">
        <v>0.38065921161865401</v>
      </c>
      <c r="CR337" s="45">
        <v>0.20648175384603101</v>
      </c>
      <c r="CS337" s="45">
        <v>1.1428339387384201</v>
      </c>
      <c r="CT337" s="46">
        <v>0.689729706405807</v>
      </c>
      <c r="CU337" s="47">
        <v>0.75768337206155201</v>
      </c>
      <c r="CV337" s="48">
        <v>5.9045060838197898</v>
      </c>
      <c r="CW337" s="49">
        <v>6.7478699440767498</v>
      </c>
      <c r="CX337" s="31" t="s">
        <v>5874</v>
      </c>
      <c r="CY337" s="31" t="s">
        <v>5832</v>
      </c>
      <c r="CZ337" t="s">
        <v>9142</v>
      </c>
      <c r="DA337" t="s">
        <v>5904</v>
      </c>
      <c r="DB337">
        <v>937.2</v>
      </c>
      <c r="DC337" t="s">
        <v>23690</v>
      </c>
      <c r="DD337" t="s">
        <v>23691</v>
      </c>
      <c r="DE337" t="s">
        <v>23692</v>
      </c>
      <c r="DF337" t="s">
        <v>23693</v>
      </c>
      <c r="DG337" t="s">
        <v>23694</v>
      </c>
      <c r="DH337" t="str">
        <f>"TUBA4A"</f>
        <v>TUBA4A</v>
      </c>
      <c r="DI337" t="s">
        <v>23695</v>
      </c>
      <c r="DJ337" t="s">
        <v>13777</v>
      </c>
      <c r="DK337">
        <v>9606</v>
      </c>
      <c r="DL337" s="34" t="str">
        <f>HYPERLINK("http://www.uniprot.org/uniprot/P68366", "P68366")</f>
        <v>P68366</v>
      </c>
      <c r="DM337" t="s">
        <v>23696</v>
      </c>
      <c r="DN337" t="s">
        <v>13772</v>
      </c>
      <c r="DO337" t="s">
        <v>20183</v>
      </c>
      <c r="DP337" t="s">
        <v>13841</v>
      </c>
      <c r="DQ337" t="s">
        <v>13772</v>
      </c>
      <c r="DR337" t="s">
        <v>23697</v>
      </c>
      <c r="DS337" t="s">
        <v>13772</v>
      </c>
      <c r="DT337" t="s">
        <v>14216</v>
      </c>
      <c r="DU337" t="s">
        <v>13772</v>
      </c>
      <c r="DV337" t="s">
        <v>23698</v>
      </c>
      <c r="DW337" t="s">
        <v>13772</v>
      </c>
      <c r="DX337" t="s">
        <v>23699</v>
      </c>
      <c r="DY337" t="s">
        <v>23700</v>
      </c>
      <c r="DZ337" t="s">
        <v>23701</v>
      </c>
      <c r="EA337" t="s">
        <v>13772</v>
      </c>
      <c r="EB337" t="s">
        <v>23702</v>
      </c>
    </row>
    <row r="338" spans="1:132" hidden="1">
      <c r="A338">
        <v>271</v>
      </c>
      <c r="B338">
        <v>1</v>
      </c>
      <c r="C338" t="s">
        <v>686</v>
      </c>
      <c r="D338" t="s">
        <v>73</v>
      </c>
      <c r="E338" t="s">
        <v>73</v>
      </c>
      <c r="F338" t="s">
        <v>73</v>
      </c>
      <c r="G338" t="s">
        <v>73</v>
      </c>
      <c r="H338">
        <v>28.6</v>
      </c>
      <c r="I338">
        <v>430</v>
      </c>
      <c r="J338">
        <v>47543</v>
      </c>
      <c r="K338" t="s">
        <v>687</v>
      </c>
      <c r="L338">
        <f t="shared" si="22"/>
        <v>120</v>
      </c>
      <c r="N338">
        <v>120</v>
      </c>
      <c r="O338">
        <v>120</v>
      </c>
      <c r="P338">
        <v>1</v>
      </c>
      <c r="Q338">
        <v>6</v>
      </c>
      <c r="R338">
        <v>11</v>
      </c>
      <c r="S338">
        <v>6</v>
      </c>
      <c r="T338">
        <v>6</v>
      </c>
      <c r="U338">
        <v>9</v>
      </c>
      <c r="V338">
        <v>14</v>
      </c>
      <c r="W338">
        <v>7</v>
      </c>
      <c r="X338">
        <v>7</v>
      </c>
      <c r="Y338">
        <v>6</v>
      </c>
      <c r="Z338">
        <v>0</v>
      </c>
      <c r="AA338">
        <v>8</v>
      </c>
      <c r="AB338">
        <v>7</v>
      </c>
      <c r="AC338">
        <v>10</v>
      </c>
      <c r="AD338">
        <v>8</v>
      </c>
      <c r="AE338">
        <v>0</v>
      </c>
      <c r="AF338">
        <v>9</v>
      </c>
      <c r="AG338">
        <v>0</v>
      </c>
      <c r="AH338">
        <v>1</v>
      </c>
      <c r="AI338">
        <v>5</v>
      </c>
      <c r="AJ338">
        <v>6</v>
      </c>
      <c r="AK338">
        <v>11</v>
      </c>
      <c r="AL338">
        <v>6</v>
      </c>
      <c r="AM338">
        <v>6</v>
      </c>
      <c r="AN338">
        <v>9</v>
      </c>
      <c r="AO338">
        <v>14</v>
      </c>
      <c r="AP338">
        <v>7</v>
      </c>
      <c r="AQ338">
        <v>7</v>
      </c>
      <c r="AR338">
        <v>6</v>
      </c>
      <c r="AS338">
        <v>0</v>
      </c>
      <c r="AT338">
        <v>8</v>
      </c>
      <c r="AU338">
        <v>7</v>
      </c>
      <c r="AV338">
        <v>10</v>
      </c>
      <c r="AW338">
        <v>8</v>
      </c>
      <c r="AX338">
        <v>0</v>
      </c>
      <c r="AY338">
        <v>9</v>
      </c>
      <c r="AZ338">
        <v>0</v>
      </c>
      <c r="BA338">
        <v>1</v>
      </c>
      <c r="BB338">
        <v>5</v>
      </c>
      <c r="BC338" s="2">
        <v>6</v>
      </c>
      <c r="BD338" s="2">
        <v>11</v>
      </c>
      <c r="BE338" s="2">
        <v>6</v>
      </c>
      <c r="BF338" s="2">
        <v>6</v>
      </c>
      <c r="BG338" s="2">
        <v>9</v>
      </c>
      <c r="BH338" s="2">
        <v>14</v>
      </c>
      <c r="BI338" s="2">
        <v>7</v>
      </c>
      <c r="BJ338" s="2">
        <v>7</v>
      </c>
      <c r="BK338" s="2">
        <v>6</v>
      </c>
      <c r="BL338" s="2">
        <v>0</v>
      </c>
      <c r="BM338" s="2">
        <v>8</v>
      </c>
      <c r="BN338" s="2">
        <v>7</v>
      </c>
      <c r="BO338" s="2">
        <v>10</v>
      </c>
      <c r="BP338" s="2">
        <v>8</v>
      </c>
      <c r="BQ338" s="2">
        <v>0</v>
      </c>
      <c r="BR338" s="2">
        <v>9</v>
      </c>
      <c r="BS338" s="2">
        <v>0</v>
      </c>
      <c r="BT338" s="2">
        <v>1</v>
      </c>
      <c r="BU338" s="2">
        <v>5</v>
      </c>
      <c r="BV338" s="2">
        <f t="shared" si="25"/>
        <v>120</v>
      </c>
      <c r="BW338" s="16">
        <f t="shared" si="23"/>
        <v>6.3157894736842106</v>
      </c>
      <c r="BX338" s="16">
        <f>COUNTIF($BC$6:BU338, "=0") / COUNTIF($BC$6:BU338, "&gt;-1")</f>
        <v>8.3451872925557141E-2</v>
      </c>
      <c r="BY338" s="18">
        <f>SUM($BC$6:BU338) / $BY$4</f>
        <v>0.78159147493207537</v>
      </c>
      <c r="BZ338" s="14">
        <f t="shared" si="24"/>
        <v>3</v>
      </c>
      <c r="CA338" t="s">
        <v>5831</v>
      </c>
      <c r="CB338" s="36">
        <v>7.2698603750083803</v>
      </c>
      <c r="CC338" s="36">
        <v>10.5937053274519</v>
      </c>
      <c r="CD338" s="36">
        <v>9.6047859708735501</v>
      </c>
      <c r="CE338" s="36">
        <v>9.0715305549193808</v>
      </c>
      <c r="CF338" s="36">
        <v>7.7415872394320298</v>
      </c>
      <c r="CG338" s="36">
        <v>13.0161814529529</v>
      </c>
      <c r="CH338" s="36">
        <v>7.3784359800524904</v>
      </c>
      <c r="CI338" s="36">
        <v>6.8122851858761404</v>
      </c>
      <c r="CJ338" s="37">
        <v>4.7685497594697397</v>
      </c>
      <c r="CK338" s="37">
        <v>5.0451971751062796</v>
      </c>
      <c r="CL338" s="37">
        <v>5.6003804378713999</v>
      </c>
      <c r="CM338" s="37">
        <v>8.4654704659994096</v>
      </c>
      <c r="CN338" s="37">
        <v>0.22969814145377901</v>
      </c>
      <c r="CO338" s="37">
        <v>7.1027151334661296</v>
      </c>
      <c r="CP338" s="37">
        <v>0.377135011965606</v>
      </c>
      <c r="CQ338" s="37">
        <v>7.6131842323730803</v>
      </c>
      <c r="CR338" s="45">
        <v>-0.81938910017649302</v>
      </c>
      <c r="CS338" s="45">
        <v>-1.8235745537131101</v>
      </c>
      <c r="CT338" s="46">
        <v>2.7709767921510298E-2</v>
      </c>
      <c r="CU338" s="47">
        <v>4.5772431455531899E-2</v>
      </c>
      <c r="CV338" s="48">
        <v>8.9360465108208391</v>
      </c>
      <c r="CW338" s="49">
        <v>4.9002912947131803</v>
      </c>
      <c r="CX338" s="31" t="s">
        <v>5875</v>
      </c>
      <c r="CY338" s="31" t="s">
        <v>5878</v>
      </c>
      <c r="CZ338" t="s">
        <v>6638</v>
      </c>
      <c r="DA338" t="s">
        <v>5904</v>
      </c>
      <c r="DB338">
        <v>511.1</v>
      </c>
      <c r="DC338" t="s">
        <v>16237</v>
      </c>
      <c r="DD338" t="s">
        <v>16238</v>
      </c>
      <c r="DE338" t="s">
        <v>16239</v>
      </c>
      <c r="DF338" t="s">
        <v>16240</v>
      </c>
      <c r="DG338" t="s">
        <v>16241</v>
      </c>
      <c r="DH338" t="str">
        <f>"MFGE8"</f>
        <v>MFGE8</v>
      </c>
      <c r="DI338" t="s">
        <v>13772</v>
      </c>
      <c r="DJ338" t="s">
        <v>13777</v>
      </c>
      <c r="DK338">
        <v>9606</v>
      </c>
      <c r="DL338" s="34" t="str">
        <f>HYPERLINK("http://www.uniprot.org/uniprot/Q08431", "Q08431")</f>
        <v>Q08431</v>
      </c>
      <c r="DM338" t="s">
        <v>16242</v>
      </c>
      <c r="DN338" t="s">
        <v>16243</v>
      </c>
      <c r="DO338" t="s">
        <v>16244</v>
      </c>
      <c r="DP338" t="s">
        <v>13780</v>
      </c>
      <c r="DQ338" t="s">
        <v>13772</v>
      </c>
      <c r="DR338" t="s">
        <v>13772</v>
      </c>
      <c r="DS338" t="s">
        <v>14768</v>
      </c>
      <c r="DT338" t="s">
        <v>13772</v>
      </c>
      <c r="DU338" t="s">
        <v>13772</v>
      </c>
      <c r="DV338" t="s">
        <v>13964</v>
      </c>
      <c r="DW338" t="s">
        <v>13772</v>
      </c>
      <c r="DX338" t="s">
        <v>16245</v>
      </c>
      <c r="DY338" t="s">
        <v>16246</v>
      </c>
      <c r="DZ338" t="s">
        <v>16247</v>
      </c>
      <c r="EA338" t="s">
        <v>13772</v>
      </c>
      <c r="EB338" t="s">
        <v>16248</v>
      </c>
    </row>
    <row r="339" spans="1:132" hidden="1">
      <c r="A339">
        <v>2431</v>
      </c>
      <c r="B339">
        <v>1</v>
      </c>
      <c r="C339" t="s">
        <v>5692</v>
      </c>
      <c r="D339" t="s">
        <v>73</v>
      </c>
      <c r="E339" t="s">
        <v>5693</v>
      </c>
      <c r="F339" t="s">
        <v>73</v>
      </c>
      <c r="G339" t="s">
        <v>73</v>
      </c>
      <c r="H339">
        <v>35.5</v>
      </c>
      <c r="I339">
        <v>2150</v>
      </c>
      <c r="J339">
        <v>232301</v>
      </c>
      <c r="K339" t="s">
        <v>5694</v>
      </c>
      <c r="L339">
        <f t="shared" si="22"/>
        <v>120</v>
      </c>
      <c r="N339">
        <v>120</v>
      </c>
      <c r="O339">
        <v>120</v>
      </c>
      <c r="P339">
        <v>1</v>
      </c>
      <c r="Q339">
        <v>0</v>
      </c>
      <c r="R339">
        <v>6</v>
      </c>
      <c r="S339">
        <v>6</v>
      </c>
      <c r="T339">
        <v>10</v>
      </c>
      <c r="U339">
        <v>5</v>
      </c>
      <c r="V339">
        <v>2</v>
      </c>
      <c r="W339">
        <v>4</v>
      </c>
      <c r="X339">
        <v>0</v>
      </c>
      <c r="Y339">
        <v>1</v>
      </c>
      <c r="Z339">
        <v>0</v>
      </c>
      <c r="AA339">
        <v>3</v>
      </c>
      <c r="AB339">
        <v>7</v>
      </c>
      <c r="AC339">
        <v>1</v>
      </c>
      <c r="AD339">
        <v>0</v>
      </c>
      <c r="AE339">
        <v>5</v>
      </c>
      <c r="AF339">
        <v>12</v>
      </c>
      <c r="AG339">
        <v>58</v>
      </c>
      <c r="AH339">
        <v>0</v>
      </c>
      <c r="AI339">
        <v>0</v>
      </c>
      <c r="AJ339">
        <v>0</v>
      </c>
      <c r="AK339">
        <v>6</v>
      </c>
      <c r="AL339">
        <v>6</v>
      </c>
      <c r="AM339">
        <v>10</v>
      </c>
      <c r="AN339">
        <v>5</v>
      </c>
      <c r="AO339">
        <v>2</v>
      </c>
      <c r="AP339">
        <v>4</v>
      </c>
      <c r="AQ339">
        <v>0</v>
      </c>
      <c r="AR339">
        <v>1</v>
      </c>
      <c r="AS339">
        <v>0</v>
      </c>
      <c r="AT339">
        <v>3</v>
      </c>
      <c r="AU339">
        <v>7</v>
      </c>
      <c r="AV339">
        <v>1</v>
      </c>
      <c r="AW339">
        <v>0</v>
      </c>
      <c r="AX339">
        <v>5</v>
      </c>
      <c r="AY339">
        <v>12</v>
      </c>
      <c r="AZ339">
        <v>58</v>
      </c>
      <c r="BA339">
        <v>0</v>
      </c>
      <c r="BB339">
        <v>0</v>
      </c>
      <c r="BC339" s="2">
        <v>0</v>
      </c>
      <c r="BD339" s="2">
        <v>6</v>
      </c>
      <c r="BE339" s="2">
        <v>6</v>
      </c>
      <c r="BF339" s="2">
        <v>10</v>
      </c>
      <c r="BG339" s="2">
        <v>5</v>
      </c>
      <c r="BH339" s="2">
        <v>2</v>
      </c>
      <c r="BI339" s="2">
        <v>4</v>
      </c>
      <c r="BJ339" s="2">
        <v>0</v>
      </c>
      <c r="BK339" s="2">
        <v>1</v>
      </c>
      <c r="BL339" s="2">
        <v>0</v>
      </c>
      <c r="BM339" s="2">
        <v>3</v>
      </c>
      <c r="BN339" s="2">
        <v>7</v>
      </c>
      <c r="BO339" s="2">
        <v>1</v>
      </c>
      <c r="BP339" s="2">
        <v>0</v>
      </c>
      <c r="BQ339" s="2">
        <v>5</v>
      </c>
      <c r="BR339" s="2">
        <v>12</v>
      </c>
      <c r="BS339" s="2">
        <v>58</v>
      </c>
      <c r="BT339" s="2">
        <v>0</v>
      </c>
      <c r="BU339" s="2">
        <v>0</v>
      </c>
      <c r="BV339" s="2">
        <f t="shared" si="25"/>
        <v>120</v>
      </c>
      <c r="BW339" s="16">
        <f t="shared" si="23"/>
        <v>6.3157894736842106</v>
      </c>
      <c r="BX339" s="16">
        <f>COUNTIF($BC$6:BU339, "=0") / COUNTIF($BC$6:BU339, "&gt;-1")</f>
        <v>8.4147494484714785E-2</v>
      </c>
      <c r="BY339" s="18">
        <f>SUM($BC$6:BU339) / $BY$4</f>
        <v>0.78210551135631945</v>
      </c>
      <c r="BZ339" s="14">
        <f t="shared" si="24"/>
        <v>6</v>
      </c>
      <c r="CA339" t="s">
        <v>5831</v>
      </c>
      <c r="CB339" s="36">
        <v>0.30291084895868198</v>
      </c>
      <c r="CC339" s="36">
        <v>5.7783847240646802</v>
      </c>
      <c r="CD339" s="36">
        <v>9.6047859708735501</v>
      </c>
      <c r="CE339" s="36">
        <v>15.119217591532299</v>
      </c>
      <c r="CF339" s="36">
        <v>4.3008817996844604</v>
      </c>
      <c r="CG339" s="36">
        <v>1.85945449327898</v>
      </c>
      <c r="CH339" s="36">
        <v>4.21624913145856</v>
      </c>
      <c r="CI339" s="36">
        <v>0.24329589949557701</v>
      </c>
      <c r="CJ339" s="37">
        <v>0.79475829324495695</v>
      </c>
      <c r="CK339" s="37">
        <v>1.89194894066486</v>
      </c>
      <c r="CL339" s="37">
        <v>5.6003804378713999</v>
      </c>
      <c r="CM339" s="37">
        <v>0.84654704659994096</v>
      </c>
      <c r="CN339" s="37">
        <v>4.5939628290755703</v>
      </c>
      <c r="CO339" s="37">
        <v>9.4702868446214996</v>
      </c>
      <c r="CP339" s="37">
        <v>87.495322776020501</v>
      </c>
      <c r="CQ339" s="37">
        <v>0.38065921161865401</v>
      </c>
      <c r="CR339" s="45">
        <v>1.40289839461219</v>
      </c>
      <c r="CS339" s="45">
        <v>2.6813127944903301</v>
      </c>
      <c r="CT339" s="46">
        <v>0.13541257135353399</v>
      </c>
      <c r="CU339" s="47">
        <v>0.18563731605638101</v>
      </c>
      <c r="CV339" s="48">
        <v>5.1781475574183498</v>
      </c>
      <c r="CW339" s="49">
        <v>13.8842332974647</v>
      </c>
      <c r="CX339" s="31" t="s">
        <v>5874</v>
      </c>
      <c r="CY339" s="31" t="s">
        <v>5832</v>
      </c>
      <c r="CZ339" t="s">
        <v>9825</v>
      </c>
      <c r="DA339" t="s">
        <v>5904</v>
      </c>
      <c r="DB339">
        <v>3182.9</v>
      </c>
      <c r="DC339" t="s">
        <v>25636</v>
      </c>
      <c r="DD339" t="s">
        <v>25637</v>
      </c>
      <c r="DE339" t="s">
        <v>25638</v>
      </c>
      <c r="DF339" t="s">
        <v>25639</v>
      </c>
      <c r="DG339" t="s">
        <v>25640</v>
      </c>
      <c r="DH339" t="str">
        <f>"DMBT1"</f>
        <v>DMBT1</v>
      </c>
      <c r="DI339" t="s">
        <v>13772</v>
      </c>
      <c r="DJ339" t="s">
        <v>13777</v>
      </c>
      <c r="DK339">
        <v>9606</v>
      </c>
      <c r="DL339" s="34" t="str">
        <f>HYPERLINK("http://www.uniprot.org/uniprot/Q9UGM3", "Q9UGM3")</f>
        <v>Q9UGM3</v>
      </c>
      <c r="DM339" t="s">
        <v>25641</v>
      </c>
      <c r="DN339" t="s">
        <v>25642</v>
      </c>
      <c r="DO339" t="s">
        <v>14321</v>
      </c>
      <c r="DP339" t="s">
        <v>13780</v>
      </c>
      <c r="DQ339" t="s">
        <v>13772</v>
      </c>
      <c r="DR339" t="s">
        <v>14505</v>
      </c>
      <c r="DS339" t="s">
        <v>14404</v>
      </c>
      <c r="DT339" t="s">
        <v>13772</v>
      </c>
      <c r="DU339" t="s">
        <v>14727</v>
      </c>
      <c r="DV339" t="s">
        <v>13796</v>
      </c>
      <c r="DW339" t="s">
        <v>13772</v>
      </c>
      <c r="DX339" t="s">
        <v>25643</v>
      </c>
      <c r="DY339" t="s">
        <v>25644</v>
      </c>
      <c r="DZ339" t="s">
        <v>25645</v>
      </c>
      <c r="EA339" t="s">
        <v>13772</v>
      </c>
      <c r="EB339" t="s">
        <v>15391</v>
      </c>
    </row>
    <row r="340" spans="1:132" hidden="1">
      <c r="A340">
        <v>392</v>
      </c>
      <c r="B340">
        <v>1</v>
      </c>
      <c r="C340" t="s">
        <v>981</v>
      </c>
      <c r="D340" t="s">
        <v>73</v>
      </c>
      <c r="E340" t="s">
        <v>73</v>
      </c>
      <c r="F340" t="s">
        <v>73</v>
      </c>
      <c r="G340" t="s">
        <v>73</v>
      </c>
      <c r="H340">
        <v>23.9</v>
      </c>
      <c r="I340">
        <v>569</v>
      </c>
      <c r="J340">
        <v>61349</v>
      </c>
      <c r="K340" t="s">
        <v>982</v>
      </c>
      <c r="L340">
        <f t="shared" si="22"/>
        <v>119</v>
      </c>
      <c r="N340">
        <v>119</v>
      </c>
      <c r="O340">
        <v>119</v>
      </c>
      <c r="P340">
        <v>1</v>
      </c>
      <c r="Q340">
        <v>9</v>
      </c>
      <c r="R340">
        <v>15</v>
      </c>
      <c r="S340">
        <v>5</v>
      </c>
      <c r="T340">
        <v>12</v>
      </c>
      <c r="U340">
        <v>21</v>
      </c>
      <c r="V340">
        <v>10</v>
      </c>
      <c r="W340">
        <v>9</v>
      </c>
      <c r="X340">
        <v>10</v>
      </c>
      <c r="Y340">
        <v>2</v>
      </c>
      <c r="Z340">
        <v>0</v>
      </c>
      <c r="AA340">
        <v>4</v>
      </c>
      <c r="AB340">
        <v>2</v>
      </c>
      <c r="AC340">
        <v>2</v>
      </c>
      <c r="AD340">
        <v>1</v>
      </c>
      <c r="AE340">
        <v>0</v>
      </c>
      <c r="AF340">
        <v>4</v>
      </c>
      <c r="AG340">
        <v>6</v>
      </c>
      <c r="AH340">
        <v>0</v>
      </c>
      <c r="AI340">
        <v>7</v>
      </c>
      <c r="AJ340">
        <v>9</v>
      </c>
      <c r="AK340">
        <v>15</v>
      </c>
      <c r="AL340">
        <v>5</v>
      </c>
      <c r="AM340">
        <v>12</v>
      </c>
      <c r="AN340">
        <v>21</v>
      </c>
      <c r="AO340">
        <v>10</v>
      </c>
      <c r="AP340">
        <v>9</v>
      </c>
      <c r="AQ340">
        <v>10</v>
      </c>
      <c r="AR340">
        <v>2</v>
      </c>
      <c r="AS340">
        <v>0</v>
      </c>
      <c r="AT340">
        <v>4</v>
      </c>
      <c r="AU340">
        <v>2</v>
      </c>
      <c r="AV340">
        <v>2</v>
      </c>
      <c r="AW340">
        <v>1</v>
      </c>
      <c r="AX340">
        <v>0</v>
      </c>
      <c r="AY340">
        <v>4</v>
      </c>
      <c r="AZ340">
        <v>6</v>
      </c>
      <c r="BA340">
        <v>0</v>
      </c>
      <c r="BB340">
        <v>7</v>
      </c>
      <c r="BC340" s="2">
        <v>9</v>
      </c>
      <c r="BD340" s="2">
        <v>15</v>
      </c>
      <c r="BE340" s="2">
        <v>5</v>
      </c>
      <c r="BF340" s="2">
        <v>12</v>
      </c>
      <c r="BG340" s="2">
        <v>21</v>
      </c>
      <c r="BH340" s="2">
        <v>10</v>
      </c>
      <c r="BI340" s="2">
        <v>9</v>
      </c>
      <c r="BJ340" s="2">
        <v>10</v>
      </c>
      <c r="BK340" s="2">
        <v>2</v>
      </c>
      <c r="BL340" s="2">
        <v>0</v>
      </c>
      <c r="BM340" s="2">
        <v>4</v>
      </c>
      <c r="BN340" s="2">
        <v>2</v>
      </c>
      <c r="BO340" s="2">
        <v>2</v>
      </c>
      <c r="BP340" s="2">
        <v>1</v>
      </c>
      <c r="BQ340" s="2">
        <v>0</v>
      </c>
      <c r="BR340" s="2">
        <v>4</v>
      </c>
      <c r="BS340" s="2">
        <v>6</v>
      </c>
      <c r="BT340" s="2">
        <v>0</v>
      </c>
      <c r="BU340" s="2">
        <v>7</v>
      </c>
      <c r="BV340" s="2">
        <f t="shared" si="25"/>
        <v>119</v>
      </c>
      <c r="BW340" s="16">
        <f t="shared" si="23"/>
        <v>6.2631578947368425</v>
      </c>
      <c r="BX340" s="16">
        <f>COUNTIF($BC$6:BU340, "=0") / COUNTIF($BC$6:BU340, "&gt;-1")</f>
        <v>8.4367635506677141E-2</v>
      </c>
      <c r="BY340" s="18">
        <f>SUM($BC$6:BU340) / $BY$4</f>
        <v>0.78261526414369487</v>
      </c>
      <c r="BZ340" s="14">
        <f t="shared" si="24"/>
        <v>3</v>
      </c>
      <c r="CA340" t="s">
        <v>5831</v>
      </c>
      <c r="CB340" s="36">
        <v>10.9047905625126</v>
      </c>
      <c r="CC340" s="36">
        <v>14.4459618101617</v>
      </c>
      <c r="CD340" s="36">
        <v>8.00398830906129</v>
      </c>
      <c r="CE340" s="36">
        <v>18.143061109838801</v>
      </c>
      <c r="CF340" s="36">
        <v>18.0637035586747</v>
      </c>
      <c r="CG340" s="36">
        <v>9.2972724663949098</v>
      </c>
      <c r="CH340" s="36">
        <v>9.4865605457817708</v>
      </c>
      <c r="CI340" s="36">
        <v>9.7318359798230603</v>
      </c>
      <c r="CJ340" s="37">
        <v>1.5895165864899099</v>
      </c>
      <c r="CK340" s="37">
        <v>2.5225985875531398</v>
      </c>
      <c r="CL340" s="37">
        <v>1.60010869653469</v>
      </c>
      <c r="CM340" s="37">
        <v>1.6930940931998799</v>
      </c>
      <c r="CN340" s="37">
        <v>0.22969814145377901</v>
      </c>
      <c r="CO340" s="37">
        <v>3.1567622815404999</v>
      </c>
      <c r="CP340" s="37">
        <v>9.0512402871745401</v>
      </c>
      <c r="CQ340" s="37">
        <v>10.658457925322301</v>
      </c>
      <c r="CR340" s="45">
        <v>-1.84986489357436</v>
      </c>
      <c r="CS340" s="45">
        <v>-3.21548938862193</v>
      </c>
      <c r="CT340" s="46">
        <v>1.7365975544327E-4</v>
      </c>
      <c r="CU340" s="47">
        <v>4.6192174192673702E-4</v>
      </c>
      <c r="CV340" s="48">
        <v>12.259646792781099</v>
      </c>
      <c r="CW340" s="49">
        <v>3.81268457490859</v>
      </c>
      <c r="CX340" s="31" t="s">
        <v>5875</v>
      </c>
      <c r="CY340" s="31" t="s">
        <v>5876</v>
      </c>
      <c r="CZ340" t="s">
        <v>7062</v>
      </c>
      <c r="DA340" t="s">
        <v>5904</v>
      </c>
      <c r="DB340">
        <v>997.3</v>
      </c>
      <c r="DC340" t="s">
        <v>17526</v>
      </c>
      <c r="DD340" t="s">
        <v>17527</v>
      </c>
      <c r="DE340" t="s">
        <v>17528</v>
      </c>
      <c r="DF340" t="s">
        <v>17529</v>
      </c>
      <c r="DG340" t="s">
        <v>17530</v>
      </c>
      <c r="DH340" t="str">
        <f>"GGT1"</f>
        <v>GGT1</v>
      </c>
      <c r="DI340" t="s">
        <v>17531</v>
      </c>
      <c r="DJ340" t="s">
        <v>13777</v>
      </c>
      <c r="DK340">
        <v>9606</v>
      </c>
      <c r="DL340" s="34" t="str">
        <f>HYPERLINK("http://www.uniprot.org/uniprot/P19440", "P19440")</f>
        <v>P19440</v>
      </c>
      <c r="DM340" t="s">
        <v>17532</v>
      </c>
      <c r="DN340" t="s">
        <v>17533</v>
      </c>
      <c r="DO340" t="s">
        <v>13792</v>
      </c>
      <c r="DP340" t="s">
        <v>14942</v>
      </c>
      <c r="DQ340" t="s">
        <v>13772</v>
      </c>
      <c r="DR340" t="s">
        <v>17534</v>
      </c>
      <c r="DS340" t="s">
        <v>14417</v>
      </c>
      <c r="DT340" t="s">
        <v>17535</v>
      </c>
      <c r="DU340" t="s">
        <v>17536</v>
      </c>
      <c r="DV340" t="s">
        <v>15472</v>
      </c>
      <c r="DW340" t="s">
        <v>13812</v>
      </c>
      <c r="DX340" t="s">
        <v>17537</v>
      </c>
      <c r="DY340" t="s">
        <v>17538</v>
      </c>
      <c r="DZ340" t="s">
        <v>17539</v>
      </c>
      <c r="EA340" t="s">
        <v>17540</v>
      </c>
      <c r="EB340" t="s">
        <v>17541</v>
      </c>
    </row>
    <row r="341" spans="1:132" hidden="1">
      <c r="A341">
        <v>2088</v>
      </c>
      <c r="B341">
        <v>1</v>
      </c>
      <c r="C341" t="s">
        <v>4906</v>
      </c>
      <c r="D341" t="s">
        <v>4907</v>
      </c>
      <c r="E341" t="s">
        <v>73</v>
      </c>
      <c r="F341" t="s">
        <v>73</v>
      </c>
      <c r="G341" t="s">
        <v>73</v>
      </c>
      <c r="H341">
        <v>22</v>
      </c>
      <c r="I341">
        <v>887</v>
      </c>
      <c r="J341">
        <v>97441</v>
      </c>
      <c r="K341" t="s">
        <v>4908</v>
      </c>
      <c r="L341">
        <f t="shared" si="22"/>
        <v>119</v>
      </c>
      <c r="N341">
        <v>119</v>
      </c>
      <c r="O341">
        <v>119</v>
      </c>
      <c r="P341">
        <v>1</v>
      </c>
      <c r="Q341">
        <v>6</v>
      </c>
      <c r="R341">
        <v>16</v>
      </c>
      <c r="S341">
        <v>11</v>
      </c>
      <c r="T341">
        <v>19</v>
      </c>
      <c r="U341">
        <v>19</v>
      </c>
      <c r="V341">
        <v>20</v>
      </c>
      <c r="W341">
        <v>15</v>
      </c>
      <c r="X341">
        <v>7</v>
      </c>
      <c r="Y341">
        <v>0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1</v>
      </c>
      <c r="AF341">
        <v>2</v>
      </c>
      <c r="AG341">
        <v>1</v>
      </c>
      <c r="AH341">
        <v>0</v>
      </c>
      <c r="AI341">
        <v>0</v>
      </c>
      <c r="AJ341">
        <v>6</v>
      </c>
      <c r="AK341">
        <v>16</v>
      </c>
      <c r="AL341">
        <v>11</v>
      </c>
      <c r="AM341">
        <v>19</v>
      </c>
      <c r="AN341">
        <v>19</v>
      </c>
      <c r="AO341">
        <v>20</v>
      </c>
      <c r="AP341">
        <v>15</v>
      </c>
      <c r="AQ341">
        <v>7</v>
      </c>
      <c r="AR341">
        <v>0</v>
      </c>
      <c r="AS341">
        <v>0</v>
      </c>
      <c r="AT341">
        <v>0</v>
      </c>
      <c r="AU341">
        <v>2</v>
      </c>
      <c r="AV341">
        <v>0</v>
      </c>
      <c r="AW341">
        <v>0</v>
      </c>
      <c r="AX341">
        <v>1</v>
      </c>
      <c r="AY341">
        <v>2</v>
      </c>
      <c r="AZ341">
        <v>1</v>
      </c>
      <c r="BA341">
        <v>0</v>
      </c>
      <c r="BB341">
        <v>0</v>
      </c>
      <c r="BC341" s="2">
        <v>6</v>
      </c>
      <c r="BD341" s="2">
        <v>16</v>
      </c>
      <c r="BE341" s="2">
        <v>11</v>
      </c>
      <c r="BF341" s="2">
        <v>19</v>
      </c>
      <c r="BG341" s="2">
        <v>19</v>
      </c>
      <c r="BH341" s="2">
        <v>20</v>
      </c>
      <c r="BI341" s="2">
        <v>15</v>
      </c>
      <c r="BJ341" s="2">
        <v>7</v>
      </c>
      <c r="BK341" s="2">
        <v>0</v>
      </c>
      <c r="BL341" s="2">
        <v>0</v>
      </c>
      <c r="BM341" s="2">
        <v>0</v>
      </c>
      <c r="BN341" s="2">
        <v>2</v>
      </c>
      <c r="BO341" s="2">
        <v>0</v>
      </c>
      <c r="BP341" s="2">
        <v>0</v>
      </c>
      <c r="BQ341" s="2">
        <v>1</v>
      </c>
      <c r="BR341" s="2">
        <v>2</v>
      </c>
      <c r="BS341" s="2">
        <v>1</v>
      </c>
      <c r="BT341" s="2">
        <v>0</v>
      </c>
      <c r="BU341" s="2">
        <v>0</v>
      </c>
      <c r="BV341" s="2">
        <f t="shared" si="25"/>
        <v>119</v>
      </c>
      <c r="BW341" s="16">
        <f t="shared" si="23"/>
        <v>6.2631578947368425</v>
      </c>
      <c r="BX341" s="16">
        <f>COUNTIF($BC$6:BU341, "=0") / COUNTIF($BC$6:BU341, "&gt;-1")</f>
        <v>8.5213032581453629E-2</v>
      </c>
      <c r="BY341" s="18">
        <f>SUM($BC$6:BU341) / $BY$4</f>
        <v>0.78312501693107017</v>
      </c>
      <c r="BZ341" s="14">
        <f t="shared" si="24"/>
        <v>7</v>
      </c>
      <c r="CA341" t="s">
        <v>5831</v>
      </c>
      <c r="CB341" s="36">
        <v>7.2698603750083803</v>
      </c>
      <c r="CC341" s="36">
        <v>15.4090259308391</v>
      </c>
      <c r="CD341" s="36">
        <v>17.608774279934799</v>
      </c>
      <c r="CE341" s="36">
        <v>28.726513423911399</v>
      </c>
      <c r="CF341" s="36">
        <v>16.343350838801001</v>
      </c>
      <c r="CG341" s="36">
        <v>18.594544932789798</v>
      </c>
      <c r="CH341" s="36">
        <v>15.8109342429696</v>
      </c>
      <c r="CI341" s="36">
        <v>6.8122851858761404</v>
      </c>
      <c r="CJ341" s="37">
        <v>0.19868957331123899</v>
      </c>
      <c r="CK341" s="37">
        <v>0.15766241172207099</v>
      </c>
      <c r="CL341" s="37">
        <v>1.60010869653469</v>
      </c>
      <c r="CM341" s="37">
        <v>0.21163676164998499</v>
      </c>
      <c r="CN341" s="37">
        <v>0.91879256581511404</v>
      </c>
      <c r="CO341" s="37">
        <v>1.5783811407702499</v>
      </c>
      <c r="CP341" s="37">
        <v>1.50854004786242</v>
      </c>
      <c r="CQ341" s="37">
        <v>0.38065921161865401</v>
      </c>
      <c r="CR341" s="45">
        <v>-4.1140325965709703</v>
      </c>
      <c r="CS341" s="45">
        <v>-19.3112915775523</v>
      </c>
      <c r="CT341" s="46">
        <v>4.6300522610600499E-15</v>
      </c>
      <c r="CU341" s="47">
        <v>2.5812541355409801E-13</v>
      </c>
      <c r="CV341" s="48">
        <v>15.821911151266301</v>
      </c>
      <c r="CW341" s="49">
        <v>0.81930880116055305</v>
      </c>
      <c r="CX341" s="31" t="s">
        <v>5875</v>
      </c>
      <c r="CY341" s="31" t="s">
        <v>5876</v>
      </c>
      <c r="CZ341" t="s">
        <v>12715</v>
      </c>
      <c r="DA341" t="s">
        <v>5904</v>
      </c>
      <c r="DB341">
        <v>1671</v>
      </c>
      <c r="DC341" t="s">
        <v>33772</v>
      </c>
      <c r="DD341" t="s">
        <v>33773</v>
      </c>
      <c r="DE341" t="s">
        <v>33774</v>
      </c>
      <c r="DF341" t="s">
        <v>33775</v>
      </c>
      <c r="DG341" t="s">
        <v>33776</v>
      </c>
      <c r="DH341" t="str">
        <f>"AXL"</f>
        <v>AXL</v>
      </c>
      <c r="DI341" t="s">
        <v>33777</v>
      </c>
      <c r="DJ341" t="s">
        <v>13777</v>
      </c>
      <c r="DK341">
        <v>9606</v>
      </c>
      <c r="DL341" s="34" t="str">
        <f>HYPERLINK("http://www.uniprot.org/uniprot/P30530", "P30530")</f>
        <v>P30530</v>
      </c>
      <c r="DM341" t="s">
        <v>33778</v>
      </c>
      <c r="DN341" t="s">
        <v>33779</v>
      </c>
      <c r="DO341" t="s">
        <v>13792</v>
      </c>
      <c r="DP341" t="s">
        <v>13780</v>
      </c>
      <c r="DQ341" t="s">
        <v>13772</v>
      </c>
      <c r="DR341" t="s">
        <v>33780</v>
      </c>
      <c r="DS341" t="s">
        <v>13951</v>
      </c>
      <c r="DT341" t="s">
        <v>14005</v>
      </c>
      <c r="DU341" t="s">
        <v>33781</v>
      </c>
      <c r="DV341" t="s">
        <v>14640</v>
      </c>
      <c r="DW341" t="s">
        <v>13812</v>
      </c>
      <c r="DX341" t="s">
        <v>33782</v>
      </c>
      <c r="DY341" t="s">
        <v>33783</v>
      </c>
      <c r="DZ341" t="s">
        <v>33784</v>
      </c>
      <c r="EA341" t="s">
        <v>13772</v>
      </c>
      <c r="EB341" t="s">
        <v>33785</v>
      </c>
    </row>
    <row r="342" spans="1:132">
      <c r="A342">
        <v>101</v>
      </c>
      <c r="B342">
        <v>1</v>
      </c>
      <c r="C342" t="s">
        <v>274</v>
      </c>
      <c r="D342" t="s">
        <v>73</v>
      </c>
      <c r="E342" t="s">
        <v>73</v>
      </c>
      <c r="F342" t="s">
        <v>73</v>
      </c>
      <c r="G342" t="s">
        <v>73</v>
      </c>
      <c r="H342">
        <v>72.5</v>
      </c>
      <c r="I342">
        <v>204</v>
      </c>
      <c r="J342">
        <v>23366</v>
      </c>
      <c r="K342" t="s">
        <v>275</v>
      </c>
      <c r="L342">
        <f t="shared" si="22"/>
        <v>118</v>
      </c>
      <c r="N342">
        <v>118</v>
      </c>
      <c r="O342">
        <v>118</v>
      </c>
      <c r="P342">
        <v>1</v>
      </c>
      <c r="Q342">
        <v>2</v>
      </c>
      <c r="R342">
        <v>6</v>
      </c>
      <c r="S342">
        <v>2</v>
      </c>
      <c r="T342">
        <v>5</v>
      </c>
      <c r="U342">
        <v>7</v>
      </c>
      <c r="V342">
        <v>6</v>
      </c>
      <c r="W342">
        <v>7</v>
      </c>
      <c r="X342">
        <v>4</v>
      </c>
      <c r="Y342">
        <v>16</v>
      </c>
      <c r="Z342">
        <v>1</v>
      </c>
      <c r="AA342">
        <v>24</v>
      </c>
      <c r="AB342">
        <v>6</v>
      </c>
      <c r="AC342">
        <v>5</v>
      </c>
      <c r="AD342">
        <v>1</v>
      </c>
      <c r="AE342">
        <v>10</v>
      </c>
      <c r="AF342">
        <v>9</v>
      </c>
      <c r="AG342">
        <v>2</v>
      </c>
      <c r="AH342">
        <v>1</v>
      </c>
      <c r="AI342">
        <v>4</v>
      </c>
      <c r="AJ342">
        <v>2</v>
      </c>
      <c r="AK342">
        <v>6</v>
      </c>
      <c r="AL342">
        <v>2</v>
      </c>
      <c r="AM342">
        <v>5</v>
      </c>
      <c r="AN342">
        <v>7</v>
      </c>
      <c r="AO342">
        <v>6</v>
      </c>
      <c r="AP342">
        <v>7</v>
      </c>
      <c r="AQ342">
        <v>4</v>
      </c>
      <c r="AR342">
        <v>16</v>
      </c>
      <c r="AS342">
        <v>1</v>
      </c>
      <c r="AT342">
        <v>24</v>
      </c>
      <c r="AU342">
        <v>6</v>
      </c>
      <c r="AV342">
        <v>5</v>
      </c>
      <c r="AW342">
        <v>1</v>
      </c>
      <c r="AX342">
        <v>10</v>
      </c>
      <c r="AY342">
        <v>9</v>
      </c>
      <c r="AZ342">
        <v>2</v>
      </c>
      <c r="BA342">
        <v>1</v>
      </c>
      <c r="BB342">
        <v>4</v>
      </c>
      <c r="BC342" s="2">
        <v>2</v>
      </c>
      <c r="BD342" s="2">
        <v>6</v>
      </c>
      <c r="BE342" s="2">
        <v>2</v>
      </c>
      <c r="BF342" s="2">
        <v>5</v>
      </c>
      <c r="BG342" s="2">
        <v>7</v>
      </c>
      <c r="BH342" s="2">
        <v>6</v>
      </c>
      <c r="BI342" s="2">
        <v>7</v>
      </c>
      <c r="BJ342" s="2">
        <v>4</v>
      </c>
      <c r="BK342" s="2">
        <v>16</v>
      </c>
      <c r="BL342" s="2">
        <v>1</v>
      </c>
      <c r="BM342" s="2">
        <v>24</v>
      </c>
      <c r="BN342" s="2">
        <v>6</v>
      </c>
      <c r="BO342" s="2">
        <v>5</v>
      </c>
      <c r="BP342" s="2">
        <v>1</v>
      </c>
      <c r="BQ342" s="2">
        <v>10</v>
      </c>
      <c r="BR342" s="2">
        <v>9</v>
      </c>
      <c r="BS342" s="2">
        <v>2</v>
      </c>
      <c r="BT342" s="2">
        <v>1</v>
      </c>
      <c r="BU342" s="2">
        <v>4</v>
      </c>
      <c r="BV342" s="2">
        <f t="shared" si="25"/>
        <v>118</v>
      </c>
      <c r="BW342" s="16">
        <f t="shared" si="23"/>
        <v>6.2105263157894735</v>
      </c>
      <c r="BX342" s="16">
        <f>COUNTIF($BC$6:BU342, "=0") / COUNTIF($BC$6:BU342, "&gt;-1")</f>
        <v>8.4960174918007184E-2</v>
      </c>
      <c r="BY342" s="18">
        <f>SUM($BC$6:BU342) / $BY$4</f>
        <v>0.78363048608157682</v>
      </c>
      <c r="BZ342" s="14">
        <f t="shared" si="24"/>
        <v>0</v>
      </c>
      <c r="CA342" t="s">
        <v>5831</v>
      </c>
      <c r="CB342" s="36">
        <v>2.4232867916694598</v>
      </c>
      <c r="CC342" s="36">
        <v>5.7783847240646802</v>
      </c>
      <c r="CD342" s="36">
        <v>3.2015953236245198</v>
      </c>
      <c r="CE342" s="36">
        <v>7.5596087957661497</v>
      </c>
      <c r="CF342" s="36">
        <v>6.0212345195582504</v>
      </c>
      <c r="CG342" s="36">
        <v>5.5783634798369501</v>
      </c>
      <c r="CH342" s="36">
        <v>7.3784359800524904</v>
      </c>
      <c r="CI342" s="36">
        <v>3.8927343919292201</v>
      </c>
      <c r="CJ342" s="37">
        <v>12.716132691919301</v>
      </c>
      <c r="CK342" s="37">
        <v>15.135591525318899</v>
      </c>
      <c r="CL342" s="37">
        <v>4.8003260896040603</v>
      </c>
      <c r="CM342" s="37">
        <v>4.2327352329997003</v>
      </c>
      <c r="CN342" s="37">
        <v>9.1879256581511406</v>
      </c>
      <c r="CO342" s="37">
        <v>7.1027151334661296</v>
      </c>
      <c r="CP342" s="37">
        <v>3.0170800957248498</v>
      </c>
      <c r="CQ342" s="37">
        <v>6.0905473858984696</v>
      </c>
      <c r="CR342" s="45">
        <v>0.60973824131139898</v>
      </c>
      <c r="CS342" s="45">
        <v>1.4888268830561999</v>
      </c>
      <c r="CT342" s="46">
        <v>0.16168386419713199</v>
      </c>
      <c r="CU342" s="47">
        <v>0.217638843355898</v>
      </c>
      <c r="CV342" s="48">
        <v>5.2292055008127099</v>
      </c>
      <c r="CW342" s="49">
        <v>7.7853817266353103</v>
      </c>
      <c r="CX342" s="31" t="s">
        <v>5874</v>
      </c>
      <c r="CY342" s="31" t="s">
        <v>5832</v>
      </c>
      <c r="CZ342" t="s">
        <v>6040</v>
      </c>
      <c r="DA342" t="s">
        <v>5904</v>
      </c>
      <c r="DB342">
        <v>409.5</v>
      </c>
      <c r="DC342" t="s">
        <v>14294</v>
      </c>
      <c r="DD342" t="s">
        <v>14295</v>
      </c>
      <c r="DE342" t="s">
        <v>14296</v>
      </c>
      <c r="DF342" t="s">
        <v>14297</v>
      </c>
      <c r="DG342" t="s">
        <v>14298</v>
      </c>
      <c r="DH342" t="str">
        <f>"ARHGDIA"</f>
        <v>ARHGDIA</v>
      </c>
      <c r="DI342" t="s">
        <v>14299</v>
      </c>
      <c r="DJ342" t="s">
        <v>13777</v>
      </c>
      <c r="DK342">
        <v>9606</v>
      </c>
      <c r="DL342" s="34" t="str">
        <f>HYPERLINK("http://www.uniprot.org/uniprot/P52565", "P52565")</f>
        <v>P52565</v>
      </c>
      <c r="DM342" t="s">
        <v>14300</v>
      </c>
      <c r="DN342" t="s">
        <v>13772</v>
      </c>
      <c r="DO342" t="s">
        <v>13899</v>
      </c>
      <c r="DP342" t="s">
        <v>13841</v>
      </c>
      <c r="DQ342" t="s">
        <v>13772</v>
      </c>
      <c r="DR342" t="s">
        <v>13807</v>
      </c>
      <c r="DS342" t="s">
        <v>13772</v>
      </c>
      <c r="DT342" t="s">
        <v>13772</v>
      </c>
      <c r="DU342" t="s">
        <v>14301</v>
      </c>
      <c r="DV342" t="s">
        <v>13991</v>
      </c>
      <c r="DW342" t="s">
        <v>13812</v>
      </c>
      <c r="DX342" t="s">
        <v>14302</v>
      </c>
      <c r="DY342" t="s">
        <v>14303</v>
      </c>
      <c r="DZ342" t="s">
        <v>14304</v>
      </c>
      <c r="EA342" t="s">
        <v>13772</v>
      </c>
      <c r="EB342" t="s">
        <v>14305</v>
      </c>
    </row>
    <row r="343" spans="1:132" hidden="1">
      <c r="A343">
        <v>304</v>
      </c>
      <c r="B343">
        <v>1</v>
      </c>
      <c r="C343" t="s">
        <v>763</v>
      </c>
      <c r="D343" t="s">
        <v>764</v>
      </c>
      <c r="E343" t="s">
        <v>73</v>
      </c>
      <c r="F343" t="s">
        <v>73</v>
      </c>
      <c r="G343" t="s">
        <v>73</v>
      </c>
      <c r="H343">
        <v>29.7</v>
      </c>
      <c r="I343">
        <v>172</v>
      </c>
      <c r="J343">
        <v>18629</v>
      </c>
      <c r="K343" t="s">
        <v>765</v>
      </c>
      <c r="L343">
        <f t="shared" si="22"/>
        <v>118</v>
      </c>
      <c r="N343">
        <v>118</v>
      </c>
      <c r="O343">
        <v>118</v>
      </c>
      <c r="P343">
        <v>1</v>
      </c>
      <c r="Q343">
        <v>9</v>
      </c>
      <c r="R343">
        <v>12</v>
      </c>
      <c r="S343">
        <v>12</v>
      </c>
      <c r="T343">
        <v>6</v>
      </c>
      <c r="U343">
        <v>8</v>
      </c>
      <c r="V343">
        <v>4</v>
      </c>
      <c r="W343">
        <v>9</v>
      </c>
      <c r="X343">
        <v>12</v>
      </c>
      <c r="Y343">
        <v>6</v>
      </c>
      <c r="Z343">
        <v>0</v>
      </c>
      <c r="AA343">
        <v>6</v>
      </c>
      <c r="AB343">
        <v>8</v>
      </c>
      <c r="AC343">
        <v>4</v>
      </c>
      <c r="AD343">
        <v>0</v>
      </c>
      <c r="AE343">
        <v>5</v>
      </c>
      <c r="AF343">
        <v>8</v>
      </c>
      <c r="AG343">
        <v>4</v>
      </c>
      <c r="AH343">
        <v>1</v>
      </c>
      <c r="AI343">
        <v>4</v>
      </c>
      <c r="AJ343">
        <v>9</v>
      </c>
      <c r="AK343">
        <v>12</v>
      </c>
      <c r="AL343">
        <v>12</v>
      </c>
      <c r="AM343">
        <v>6</v>
      </c>
      <c r="AN343">
        <v>8</v>
      </c>
      <c r="AO343">
        <v>4</v>
      </c>
      <c r="AP343">
        <v>9</v>
      </c>
      <c r="AQ343">
        <v>12</v>
      </c>
      <c r="AR343">
        <v>6</v>
      </c>
      <c r="AS343">
        <v>0</v>
      </c>
      <c r="AT343">
        <v>6</v>
      </c>
      <c r="AU343">
        <v>8</v>
      </c>
      <c r="AV343">
        <v>4</v>
      </c>
      <c r="AW343">
        <v>0</v>
      </c>
      <c r="AX343">
        <v>5</v>
      </c>
      <c r="AY343">
        <v>8</v>
      </c>
      <c r="AZ343">
        <v>4</v>
      </c>
      <c r="BA343">
        <v>1</v>
      </c>
      <c r="BB343">
        <v>4</v>
      </c>
      <c r="BC343" s="2">
        <v>9</v>
      </c>
      <c r="BD343" s="2">
        <v>12</v>
      </c>
      <c r="BE343" s="2">
        <v>12</v>
      </c>
      <c r="BF343" s="2">
        <v>6</v>
      </c>
      <c r="BG343" s="2">
        <v>8</v>
      </c>
      <c r="BH343" s="2">
        <v>4</v>
      </c>
      <c r="BI343" s="2">
        <v>9</v>
      </c>
      <c r="BJ343" s="2">
        <v>12</v>
      </c>
      <c r="BK343" s="2">
        <v>6</v>
      </c>
      <c r="BL343" s="2">
        <v>0</v>
      </c>
      <c r="BM343" s="2">
        <v>6</v>
      </c>
      <c r="BN343" s="2">
        <v>8</v>
      </c>
      <c r="BO343" s="2">
        <v>4</v>
      </c>
      <c r="BP343" s="2">
        <v>0</v>
      </c>
      <c r="BQ343" s="2">
        <v>5</v>
      </c>
      <c r="BR343" s="2">
        <v>8</v>
      </c>
      <c r="BS343" s="2">
        <v>4</v>
      </c>
      <c r="BT343" s="2">
        <v>1</v>
      </c>
      <c r="BU343" s="2">
        <v>4</v>
      </c>
      <c r="BV343" s="2">
        <f t="shared" si="25"/>
        <v>118</v>
      </c>
      <c r="BW343" s="16">
        <f t="shared" si="23"/>
        <v>6.2105263157894735</v>
      </c>
      <c r="BX343" s="16">
        <f>COUNTIF($BC$6:BU343, "=0") / COUNTIF($BC$6:BU343, "&gt;-1")</f>
        <v>8.5020242914979755E-2</v>
      </c>
      <c r="BY343" s="18">
        <f>SUM($BC$6:BU343) / $BY$4</f>
        <v>0.78413595523208346</v>
      </c>
      <c r="BZ343" s="14">
        <f t="shared" si="24"/>
        <v>2</v>
      </c>
      <c r="CA343" t="s">
        <v>5831</v>
      </c>
      <c r="CB343" s="36">
        <v>10.9047905625126</v>
      </c>
      <c r="CC343" s="36">
        <v>11.556769448129399</v>
      </c>
      <c r="CD343" s="36">
        <v>19.2095719417471</v>
      </c>
      <c r="CE343" s="36">
        <v>9.0715305549193808</v>
      </c>
      <c r="CF343" s="36">
        <v>6.8814108794951396</v>
      </c>
      <c r="CG343" s="36">
        <v>3.7189089865579601</v>
      </c>
      <c r="CH343" s="36">
        <v>9.4865605457817708</v>
      </c>
      <c r="CI343" s="36">
        <v>11.678203175787701</v>
      </c>
      <c r="CJ343" s="37">
        <v>4.7685497594697397</v>
      </c>
      <c r="CK343" s="37">
        <v>3.7838978813297102</v>
      </c>
      <c r="CL343" s="37">
        <v>6.4004347861387396</v>
      </c>
      <c r="CM343" s="37">
        <v>3.3861881863997598</v>
      </c>
      <c r="CN343" s="37">
        <v>4.5939628290755703</v>
      </c>
      <c r="CO343" s="37">
        <v>6.3135245630809997</v>
      </c>
      <c r="CP343" s="37">
        <v>6.0341601914496898</v>
      </c>
      <c r="CQ343" s="37">
        <v>6.0905473858984696</v>
      </c>
      <c r="CR343" s="45">
        <v>-0.96416603805038303</v>
      </c>
      <c r="CS343" s="45">
        <v>-1.99432492413643</v>
      </c>
      <c r="CT343" s="46">
        <v>8.0695928771874204E-3</v>
      </c>
      <c r="CU343" s="47">
        <v>1.5122010181620099E-2</v>
      </c>
      <c r="CV343" s="48">
        <v>10.313468261866401</v>
      </c>
      <c r="CW343" s="49">
        <v>5.1714081978553397</v>
      </c>
      <c r="CX343" s="31" t="s">
        <v>5875</v>
      </c>
      <c r="CY343" s="31" t="s">
        <v>5878</v>
      </c>
      <c r="CZ343" t="s">
        <v>6744</v>
      </c>
      <c r="DA343" t="s">
        <v>5904</v>
      </c>
      <c r="DB343">
        <v>187.2</v>
      </c>
      <c r="DC343" t="s">
        <v>16576</v>
      </c>
      <c r="DD343" t="s">
        <v>16577</v>
      </c>
      <c r="DE343" t="s">
        <v>16578</v>
      </c>
      <c r="DF343" t="s">
        <v>16579</v>
      </c>
      <c r="DG343" t="s">
        <v>16580</v>
      </c>
      <c r="DH343" t="str">
        <f>"LYNX1"</f>
        <v>LYNX1</v>
      </c>
      <c r="DI343" t="s">
        <v>13772</v>
      </c>
      <c r="DJ343" t="s">
        <v>13777</v>
      </c>
      <c r="DK343">
        <v>9606</v>
      </c>
      <c r="DL343" s="34" t="str">
        <f>HYPERLINK("http://www.uniprot.org/uniprot/P0DP58", "P0DP58")</f>
        <v>P0DP58</v>
      </c>
      <c r="DM343" t="s">
        <v>16581</v>
      </c>
      <c r="DN343" t="s">
        <v>13772</v>
      </c>
      <c r="DO343" t="s">
        <v>16582</v>
      </c>
      <c r="DP343" t="s">
        <v>13841</v>
      </c>
      <c r="DQ343" t="s">
        <v>13772</v>
      </c>
      <c r="DR343" t="s">
        <v>13772</v>
      </c>
      <c r="DS343" t="s">
        <v>13808</v>
      </c>
      <c r="DT343" t="s">
        <v>13772</v>
      </c>
      <c r="DU343" t="s">
        <v>13772</v>
      </c>
      <c r="DV343" t="s">
        <v>15699</v>
      </c>
      <c r="DW343" t="s">
        <v>13812</v>
      </c>
      <c r="DX343" t="s">
        <v>16583</v>
      </c>
      <c r="DY343" t="s">
        <v>16584</v>
      </c>
      <c r="DZ343" t="s">
        <v>16585</v>
      </c>
      <c r="EA343" t="s">
        <v>13772</v>
      </c>
      <c r="EB343" t="s">
        <v>13772</v>
      </c>
    </row>
    <row r="344" spans="1:132" hidden="1">
      <c r="A344">
        <v>626</v>
      </c>
      <c r="B344">
        <v>1</v>
      </c>
      <c r="C344" t="s">
        <v>1549</v>
      </c>
      <c r="D344" t="s">
        <v>73</v>
      </c>
      <c r="E344" t="s">
        <v>73</v>
      </c>
      <c r="F344" t="s">
        <v>73</v>
      </c>
      <c r="G344" t="s">
        <v>73</v>
      </c>
      <c r="H344">
        <v>36.200000000000003</v>
      </c>
      <c r="I344">
        <v>572</v>
      </c>
      <c r="J344">
        <v>62321</v>
      </c>
      <c r="K344" t="s">
        <v>1550</v>
      </c>
      <c r="L344">
        <f t="shared" si="22"/>
        <v>118</v>
      </c>
      <c r="N344">
        <v>118</v>
      </c>
      <c r="O344">
        <v>118</v>
      </c>
      <c r="P344">
        <v>1</v>
      </c>
      <c r="Q344">
        <v>7</v>
      </c>
      <c r="R344">
        <v>13</v>
      </c>
      <c r="S344">
        <v>7</v>
      </c>
      <c r="T344">
        <v>14</v>
      </c>
      <c r="U344">
        <v>8</v>
      </c>
      <c r="V344">
        <v>10</v>
      </c>
      <c r="W344">
        <v>10</v>
      </c>
      <c r="X344">
        <v>12</v>
      </c>
      <c r="Y344">
        <v>4</v>
      </c>
      <c r="Z344">
        <v>1</v>
      </c>
      <c r="AA344">
        <v>4</v>
      </c>
      <c r="AB344">
        <v>5</v>
      </c>
      <c r="AC344">
        <v>3</v>
      </c>
      <c r="AD344">
        <v>0</v>
      </c>
      <c r="AE344">
        <v>6</v>
      </c>
      <c r="AF344">
        <v>6</v>
      </c>
      <c r="AG344">
        <v>3</v>
      </c>
      <c r="AH344">
        <v>3</v>
      </c>
      <c r="AI344">
        <v>2</v>
      </c>
      <c r="AJ344">
        <v>7</v>
      </c>
      <c r="AK344">
        <v>13</v>
      </c>
      <c r="AL344">
        <v>7</v>
      </c>
      <c r="AM344">
        <v>14</v>
      </c>
      <c r="AN344">
        <v>8</v>
      </c>
      <c r="AO344">
        <v>10</v>
      </c>
      <c r="AP344">
        <v>10</v>
      </c>
      <c r="AQ344">
        <v>12</v>
      </c>
      <c r="AR344">
        <v>4</v>
      </c>
      <c r="AS344">
        <v>1</v>
      </c>
      <c r="AT344">
        <v>4</v>
      </c>
      <c r="AU344">
        <v>5</v>
      </c>
      <c r="AV344">
        <v>3</v>
      </c>
      <c r="AW344">
        <v>0</v>
      </c>
      <c r="AX344">
        <v>6</v>
      </c>
      <c r="AY344">
        <v>6</v>
      </c>
      <c r="AZ344">
        <v>3</v>
      </c>
      <c r="BA344">
        <v>3</v>
      </c>
      <c r="BB344">
        <v>2</v>
      </c>
      <c r="BC344" s="2">
        <v>7</v>
      </c>
      <c r="BD344" s="2">
        <v>13</v>
      </c>
      <c r="BE344" s="2">
        <v>7</v>
      </c>
      <c r="BF344" s="2">
        <v>14</v>
      </c>
      <c r="BG344" s="2">
        <v>8</v>
      </c>
      <c r="BH344" s="2">
        <v>10</v>
      </c>
      <c r="BI344" s="2">
        <v>10</v>
      </c>
      <c r="BJ344" s="2">
        <v>12</v>
      </c>
      <c r="BK344" s="2">
        <v>4</v>
      </c>
      <c r="BL344" s="2">
        <v>1</v>
      </c>
      <c r="BM344" s="2">
        <v>4</v>
      </c>
      <c r="BN344" s="2">
        <v>5</v>
      </c>
      <c r="BO344" s="2">
        <v>3</v>
      </c>
      <c r="BP344" s="2">
        <v>0</v>
      </c>
      <c r="BQ344" s="2">
        <v>6</v>
      </c>
      <c r="BR344" s="2">
        <v>6</v>
      </c>
      <c r="BS344" s="2">
        <v>3</v>
      </c>
      <c r="BT344" s="2">
        <v>3</v>
      </c>
      <c r="BU344" s="2">
        <v>2</v>
      </c>
      <c r="BV344" s="2">
        <f t="shared" si="25"/>
        <v>118</v>
      </c>
      <c r="BW344" s="16">
        <f t="shared" si="23"/>
        <v>6.2105263157894735</v>
      </c>
      <c r="BX344" s="16">
        <f>COUNTIF($BC$6:BU344, "=0") / COUNTIF($BC$6:BU344, "&gt;-1")</f>
        <v>8.492470113336438E-2</v>
      </c>
      <c r="BY344" s="18">
        <f>SUM($BC$6:BU344) / $BY$4</f>
        <v>0.78464142438259021</v>
      </c>
      <c r="BZ344" s="14">
        <f t="shared" si="24"/>
        <v>1</v>
      </c>
      <c r="CA344" t="s">
        <v>5831</v>
      </c>
      <c r="CB344" s="36">
        <v>8.4815037708430996</v>
      </c>
      <c r="CC344" s="36">
        <v>12.519833568806799</v>
      </c>
      <c r="CD344" s="36">
        <v>11.2055836326858</v>
      </c>
      <c r="CE344" s="36">
        <v>21.1669046281452</v>
      </c>
      <c r="CF344" s="36">
        <v>6.8814108794951396</v>
      </c>
      <c r="CG344" s="36">
        <v>9.2972724663949098</v>
      </c>
      <c r="CH344" s="36">
        <v>10.5406228286464</v>
      </c>
      <c r="CI344" s="36">
        <v>11.678203175787701</v>
      </c>
      <c r="CJ344" s="37">
        <v>3.17903317297983</v>
      </c>
      <c r="CK344" s="37">
        <v>2.5225985875531398</v>
      </c>
      <c r="CL344" s="37">
        <v>4.0002717413367099</v>
      </c>
      <c r="CM344" s="37">
        <v>2.5396411397998202</v>
      </c>
      <c r="CN344" s="37">
        <v>5.5127553948906796</v>
      </c>
      <c r="CO344" s="37">
        <v>4.7351434223107498</v>
      </c>
      <c r="CP344" s="37">
        <v>4.5256201435872701</v>
      </c>
      <c r="CQ344" s="37">
        <v>3.0452736929492299</v>
      </c>
      <c r="CR344" s="45">
        <v>-1.5637658161371899</v>
      </c>
      <c r="CS344" s="45">
        <v>-3.0529043652755599</v>
      </c>
      <c r="CT344" s="46">
        <v>1.6430141370822499E-5</v>
      </c>
      <c r="CU344" s="47">
        <v>5.6080431515715601E-5</v>
      </c>
      <c r="CV344" s="48">
        <v>11.4714168688506</v>
      </c>
      <c r="CW344" s="49">
        <v>3.7575421619259299</v>
      </c>
      <c r="CX344" s="31" t="s">
        <v>5875</v>
      </c>
      <c r="CY344" s="31" t="s">
        <v>5876</v>
      </c>
      <c r="CZ344" t="s">
        <v>7856</v>
      </c>
      <c r="DA344" t="s">
        <v>5904</v>
      </c>
      <c r="DB344">
        <v>1040</v>
      </c>
      <c r="DC344" t="s">
        <v>19974</v>
      </c>
      <c r="DD344" t="s">
        <v>19975</v>
      </c>
      <c r="DE344" t="s">
        <v>19976</v>
      </c>
      <c r="DF344" t="s">
        <v>19977</v>
      </c>
      <c r="DG344" t="s">
        <v>19978</v>
      </c>
      <c r="DH344" t="str">
        <f>"TPP1"</f>
        <v>TPP1</v>
      </c>
      <c r="DI344" t="s">
        <v>19979</v>
      </c>
      <c r="DJ344" t="s">
        <v>13777</v>
      </c>
      <c r="DK344">
        <v>9606</v>
      </c>
      <c r="DL344" s="34" t="str">
        <f>HYPERLINK("http://www.uniprot.org/uniprot/O14773", "O14773")</f>
        <v>O14773</v>
      </c>
      <c r="DM344" t="s">
        <v>19980</v>
      </c>
      <c r="DN344" t="s">
        <v>13772</v>
      </c>
      <c r="DO344" t="s">
        <v>13806</v>
      </c>
      <c r="DP344" t="s">
        <v>13780</v>
      </c>
      <c r="DQ344" t="s">
        <v>13772</v>
      </c>
      <c r="DR344" t="s">
        <v>19981</v>
      </c>
      <c r="DS344" t="s">
        <v>13808</v>
      </c>
      <c r="DT344" t="s">
        <v>13873</v>
      </c>
      <c r="DU344" t="s">
        <v>15176</v>
      </c>
      <c r="DV344" t="s">
        <v>19982</v>
      </c>
      <c r="DW344" t="s">
        <v>13812</v>
      </c>
      <c r="DX344" t="s">
        <v>19983</v>
      </c>
      <c r="DY344" t="s">
        <v>19984</v>
      </c>
      <c r="DZ344" t="s">
        <v>19985</v>
      </c>
      <c r="EA344" t="s">
        <v>13772</v>
      </c>
      <c r="EB344" t="s">
        <v>19986</v>
      </c>
    </row>
    <row r="345" spans="1:132" hidden="1">
      <c r="A345">
        <v>778</v>
      </c>
      <c r="B345">
        <v>1</v>
      </c>
      <c r="C345" t="s">
        <v>1912</v>
      </c>
      <c r="D345" t="s">
        <v>73</v>
      </c>
      <c r="E345" t="s">
        <v>73</v>
      </c>
      <c r="F345" t="s">
        <v>73</v>
      </c>
      <c r="G345" t="s">
        <v>73</v>
      </c>
      <c r="H345">
        <v>57.6</v>
      </c>
      <c r="I345">
        <v>210</v>
      </c>
      <c r="J345">
        <v>22484</v>
      </c>
      <c r="K345" t="s">
        <v>1913</v>
      </c>
      <c r="L345">
        <f t="shared" si="22"/>
        <v>118</v>
      </c>
      <c r="N345">
        <v>118</v>
      </c>
      <c r="O345">
        <v>118</v>
      </c>
      <c r="P345">
        <v>1</v>
      </c>
      <c r="Q345">
        <v>5</v>
      </c>
      <c r="R345">
        <v>3</v>
      </c>
      <c r="S345">
        <v>3</v>
      </c>
      <c r="T345">
        <v>1</v>
      </c>
      <c r="U345">
        <v>5</v>
      </c>
      <c r="V345">
        <v>9</v>
      </c>
      <c r="W345">
        <v>9</v>
      </c>
      <c r="X345">
        <v>13</v>
      </c>
      <c r="Y345">
        <v>8</v>
      </c>
      <c r="Z345">
        <v>0</v>
      </c>
      <c r="AA345">
        <v>15</v>
      </c>
      <c r="AB345">
        <v>8</v>
      </c>
      <c r="AC345">
        <v>8</v>
      </c>
      <c r="AD345">
        <v>0</v>
      </c>
      <c r="AE345">
        <v>8</v>
      </c>
      <c r="AF345">
        <v>7</v>
      </c>
      <c r="AG345">
        <v>6</v>
      </c>
      <c r="AH345">
        <v>3</v>
      </c>
      <c r="AI345">
        <v>7</v>
      </c>
      <c r="AJ345">
        <v>5</v>
      </c>
      <c r="AK345">
        <v>3</v>
      </c>
      <c r="AL345">
        <v>3</v>
      </c>
      <c r="AM345">
        <v>1</v>
      </c>
      <c r="AN345">
        <v>5</v>
      </c>
      <c r="AO345">
        <v>9</v>
      </c>
      <c r="AP345">
        <v>9</v>
      </c>
      <c r="AQ345">
        <v>13</v>
      </c>
      <c r="AR345">
        <v>8</v>
      </c>
      <c r="AS345">
        <v>0</v>
      </c>
      <c r="AT345">
        <v>15</v>
      </c>
      <c r="AU345">
        <v>8</v>
      </c>
      <c r="AV345">
        <v>8</v>
      </c>
      <c r="AW345">
        <v>0</v>
      </c>
      <c r="AX345">
        <v>8</v>
      </c>
      <c r="AY345">
        <v>7</v>
      </c>
      <c r="AZ345">
        <v>6</v>
      </c>
      <c r="BA345">
        <v>3</v>
      </c>
      <c r="BB345">
        <v>7</v>
      </c>
      <c r="BC345" s="2">
        <v>5</v>
      </c>
      <c r="BD345" s="2">
        <v>3</v>
      </c>
      <c r="BE345" s="2">
        <v>3</v>
      </c>
      <c r="BF345" s="2">
        <v>1</v>
      </c>
      <c r="BG345" s="2">
        <v>5</v>
      </c>
      <c r="BH345" s="2">
        <v>9</v>
      </c>
      <c r="BI345" s="2">
        <v>9</v>
      </c>
      <c r="BJ345" s="2">
        <v>13</v>
      </c>
      <c r="BK345" s="2">
        <v>8</v>
      </c>
      <c r="BL345" s="2">
        <v>0</v>
      </c>
      <c r="BM345" s="2">
        <v>15</v>
      </c>
      <c r="BN345" s="2">
        <v>8</v>
      </c>
      <c r="BO345" s="2">
        <v>8</v>
      </c>
      <c r="BP345" s="2">
        <v>0</v>
      </c>
      <c r="BQ345" s="2">
        <v>8</v>
      </c>
      <c r="BR345" s="2">
        <v>7</v>
      </c>
      <c r="BS345" s="2">
        <v>6</v>
      </c>
      <c r="BT345" s="2">
        <v>3</v>
      </c>
      <c r="BU345" s="2">
        <v>7</v>
      </c>
      <c r="BV345" s="2">
        <f t="shared" si="25"/>
        <v>118</v>
      </c>
      <c r="BW345" s="16">
        <f t="shared" si="23"/>
        <v>6.2105263157894735</v>
      </c>
      <c r="BX345" s="16">
        <f>COUNTIF($BC$6:BU345, "=0") / COUNTIF($BC$6:BU345, "&gt;-1")</f>
        <v>8.4984520123839002E-2</v>
      </c>
      <c r="BY345" s="18">
        <f>SUM($BC$6:BU345) / $BY$4</f>
        <v>0.78514689353309686</v>
      </c>
      <c r="BZ345" s="14">
        <f t="shared" si="24"/>
        <v>2</v>
      </c>
      <c r="CA345" t="s">
        <v>5831</v>
      </c>
      <c r="CB345" s="36">
        <v>6.0582169791736504</v>
      </c>
      <c r="CC345" s="36">
        <v>2.8891923620323401</v>
      </c>
      <c r="CD345" s="36">
        <v>4.8023929854367697</v>
      </c>
      <c r="CE345" s="36">
        <v>1.5119217591532299</v>
      </c>
      <c r="CF345" s="36">
        <v>4.3008817996844604</v>
      </c>
      <c r="CG345" s="36">
        <v>8.3675452197554208</v>
      </c>
      <c r="CH345" s="36">
        <v>9.4865605457817708</v>
      </c>
      <c r="CI345" s="36">
        <v>12.65138677377</v>
      </c>
      <c r="CJ345" s="37">
        <v>6.35806634595966</v>
      </c>
      <c r="CK345" s="37">
        <v>9.4597447033242794</v>
      </c>
      <c r="CL345" s="37">
        <v>6.4004347861387396</v>
      </c>
      <c r="CM345" s="37">
        <v>6.7723763727995303</v>
      </c>
      <c r="CN345" s="37">
        <v>7.3503405265209096</v>
      </c>
      <c r="CO345" s="37">
        <v>5.5243339926958699</v>
      </c>
      <c r="CP345" s="37">
        <v>9.0512402871745401</v>
      </c>
      <c r="CQ345" s="37">
        <v>10.658457925322301</v>
      </c>
      <c r="CR345" s="45">
        <v>0.22835540182651201</v>
      </c>
      <c r="CS345" s="45">
        <v>1.2298249160078201</v>
      </c>
      <c r="CT345" s="46">
        <v>0.52439785284651197</v>
      </c>
      <c r="CU345" s="47">
        <v>0.60486579923158001</v>
      </c>
      <c r="CV345" s="48">
        <v>6.25851230309845</v>
      </c>
      <c r="CW345" s="49">
        <v>7.6968743674919802</v>
      </c>
      <c r="CX345" s="31" t="s">
        <v>5874</v>
      </c>
      <c r="CY345" s="31" t="s">
        <v>5832</v>
      </c>
      <c r="CZ345" t="s">
        <v>8365</v>
      </c>
      <c r="DA345" t="s">
        <v>5904</v>
      </c>
      <c r="DB345">
        <v>367.1</v>
      </c>
      <c r="DC345" t="s">
        <v>21451</v>
      </c>
      <c r="DD345" t="s">
        <v>21452</v>
      </c>
      <c r="DE345" t="s">
        <v>21453</v>
      </c>
      <c r="DF345" t="s">
        <v>21454</v>
      </c>
      <c r="DG345" t="s">
        <v>21455</v>
      </c>
      <c r="DH345" t="str">
        <f>"ABHD14B"</f>
        <v>ABHD14B</v>
      </c>
      <c r="DI345" t="s">
        <v>21456</v>
      </c>
      <c r="DJ345" t="s">
        <v>13777</v>
      </c>
      <c r="DK345">
        <v>9606</v>
      </c>
      <c r="DL345" s="34" t="str">
        <f>HYPERLINK("http://www.uniprot.org/uniprot/Q96IU4", "Q96IU4")</f>
        <v>Q96IU4</v>
      </c>
      <c r="DM345" t="s">
        <v>21457</v>
      </c>
      <c r="DN345" t="s">
        <v>13772</v>
      </c>
      <c r="DO345" t="s">
        <v>13912</v>
      </c>
      <c r="DP345" t="s">
        <v>13841</v>
      </c>
      <c r="DQ345" t="s">
        <v>13772</v>
      </c>
      <c r="DR345" t="s">
        <v>13772</v>
      </c>
      <c r="DS345" t="s">
        <v>13772</v>
      </c>
      <c r="DT345" t="s">
        <v>13772</v>
      </c>
      <c r="DU345" t="s">
        <v>13857</v>
      </c>
      <c r="DV345" t="s">
        <v>13886</v>
      </c>
      <c r="DW345" t="s">
        <v>13812</v>
      </c>
      <c r="DX345" t="s">
        <v>21458</v>
      </c>
      <c r="DY345" t="s">
        <v>16972</v>
      </c>
      <c r="DZ345" t="s">
        <v>16563</v>
      </c>
      <c r="EA345" t="s">
        <v>13772</v>
      </c>
      <c r="EB345" t="s">
        <v>21459</v>
      </c>
    </row>
    <row r="346" spans="1:132" hidden="1">
      <c r="A346">
        <v>1685</v>
      </c>
      <c r="B346">
        <v>1</v>
      </c>
      <c r="C346" t="s">
        <v>3997</v>
      </c>
      <c r="D346" t="s">
        <v>73</v>
      </c>
      <c r="E346" t="s">
        <v>73</v>
      </c>
      <c r="F346" t="s">
        <v>73</v>
      </c>
      <c r="G346" t="s">
        <v>73</v>
      </c>
      <c r="H346">
        <v>85.1</v>
      </c>
      <c r="I346">
        <v>114</v>
      </c>
      <c r="J346">
        <v>12773</v>
      </c>
      <c r="K346" t="s">
        <v>3998</v>
      </c>
      <c r="L346">
        <f t="shared" si="22"/>
        <v>118</v>
      </c>
      <c r="N346">
        <v>118</v>
      </c>
      <c r="O346">
        <v>118</v>
      </c>
      <c r="P346">
        <v>1</v>
      </c>
      <c r="Q346">
        <v>2</v>
      </c>
      <c r="R346">
        <v>0</v>
      </c>
      <c r="S346">
        <v>2</v>
      </c>
      <c r="T346">
        <v>0</v>
      </c>
      <c r="U346">
        <v>1</v>
      </c>
      <c r="V346">
        <v>5</v>
      </c>
      <c r="W346">
        <v>4</v>
      </c>
      <c r="X346">
        <v>17</v>
      </c>
      <c r="Y346">
        <v>13</v>
      </c>
      <c r="Z346">
        <v>1</v>
      </c>
      <c r="AA346">
        <v>15</v>
      </c>
      <c r="AB346">
        <v>9</v>
      </c>
      <c r="AC346">
        <v>4</v>
      </c>
      <c r="AD346">
        <v>2</v>
      </c>
      <c r="AE346">
        <v>16</v>
      </c>
      <c r="AF346">
        <v>12</v>
      </c>
      <c r="AG346">
        <v>7</v>
      </c>
      <c r="AH346">
        <v>1</v>
      </c>
      <c r="AI346">
        <v>7</v>
      </c>
      <c r="AJ346">
        <v>2</v>
      </c>
      <c r="AK346">
        <v>0</v>
      </c>
      <c r="AL346">
        <v>2</v>
      </c>
      <c r="AM346">
        <v>0</v>
      </c>
      <c r="AN346">
        <v>1</v>
      </c>
      <c r="AO346">
        <v>5</v>
      </c>
      <c r="AP346">
        <v>4</v>
      </c>
      <c r="AQ346">
        <v>17</v>
      </c>
      <c r="AR346">
        <v>13</v>
      </c>
      <c r="AS346">
        <v>1</v>
      </c>
      <c r="AT346">
        <v>15</v>
      </c>
      <c r="AU346">
        <v>9</v>
      </c>
      <c r="AV346">
        <v>4</v>
      </c>
      <c r="AW346">
        <v>2</v>
      </c>
      <c r="AX346">
        <v>16</v>
      </c>
      <c r="AY346">
        <v>12</v>
      </c>
      <c r="AZ346">
        <v>7</v>
      </c>
      <c r="BA346">
        <v>1</v>
      </c>
      <c r="BB346">
        <v>7</v>
      </c>
      <c r="BC346" s="2">
        <v>2</v>
      </c>
      <c r="BD346" s="2">
        <v>0</v>
      </c>
      <c r="BE346" s="2">
        <v>2</v>
      </c>
      <c r="BF346" s="2">
        <v>0</v>
      </c>
      <c r="BG346" s="2">
        <v>1</v>
      </c>
      <c r="BH346" s="2">
        <v>5</v>
      </c>
      <c r="BI346" s="2">
        <v>4</v>
      </c>
      <c r="BJ346" s="2">
        <v>17</v>
      </c>
      <c r="BK346" s="2">
        <v>13</v>
      </c>
      <c r="BL346" s="2">
        <v>1</v>
      </c>
      <c r="BM346" s="2">
        <v>15</v>
      </c>
      <c r="BN346" s="2">
        <v>9</v>
      </c>
      <c r="BO346" s="2">
        <v>4</v>
      </c>
      <c r="BP346" s="2">
        <v>2</v>
      </c>
      <c r="BQ346" s="2">
        <v>16</v>
      </c>
      <c r="BR346" s="2">
        <v>12</v>
      </c>
      <c r="BS346" s="2">
        <v>7</v>
      </c>
      <c r="BT346" s="2">
        <v>1</v>
      </c>
      <c r="BU346" s="2">
        <v>7</v>
      </c>
      <c r="BV346" s="2">
        <f t="shared" si="25"/>
        <v>118</v>
      </c>
      <c r="BW346" s="16">
        <f t="shared" si="23"/>
        <v>6.2105263157894735</v>
      </c>
      <c r="BX346" s="16">
        <f>COUNTIF($BC$6:BU346, "=0") / COUNTIF($BC$6:BU346, "&gt;-1")</f>
        <v>8.5043988269794715E-2</v>
      </c>
      <c r="BY346" s="18">
        <f>SUM($BC$6:BU346) / $BY$4</f>
        <v>0.7856523626836035</v>
      </c>
      <c r="BZ346" s="14">
        <f t="shared" si="24"/>
        <v>2</v>
      </c>
      <c r="CA346" t="s">
        <v>5831</v>
      </c>
      <c r="CB346" s="36">
        <v>2.4232867916694598</v>
      </c>
      <c r="CC346" s="36">
        <v>0.24076603016936199</v>
      </c>
      <c r="CD346" s="36">
        <v>3.2015953236245198</v>
      </c>
      <c r="CE346" s="36">
        <v>0.37798043978830698</v>
      </c>
      <c r="CF346" s="36">
        <v>0.86017635993689201</v>
      </c>
      <c r="CG346" s="36">
        <v>4.6486362331974602</v>
      </c>
      <c r="CH346" s="36">
        <v>4.21624913145856</v>
      </c>
      <c r="CI346" s="36">
        <v>16.544121165699199</v>
      </c>
      <c r="CJ346" s="37">
        <v>10.331857812184399</v>
      </c>
      <c r="CK346" s="37">
        <v>9.4597447033242794</v>
      </c>
      <c r="CL346" s="37">
        <v>7.2004891344060802</v>
      </c>
      <c r="CM346" s="37">
        <v>3.3861881863997598</v>
      </c>
      <c r="CN346" s="37">
        <v>14.7006810530418</v>
      </c>
      <c r="CO346" s="37">
        <v>9.4702868446214996</v>
      </c>
      <c r="CP346" s="37">
        <v>10.559780335037001</v>
      </c>
      <c r="CQ346" s="37">
        <v>10.658457925322301</v>
      </c>
      <c r="CR346" s="45">
        <v>1.15327020424836</v>
      </c>
      <c r="CS346" s="45">
        <v>2.33038862392229</v>
      </c>
      <c r="CT346" s="46">
        <v>3.5071264713469302E-2</v>
      </c>
      <c r="CU346" s="47">
        <v>5.6673130660171503E-2</v>
      </c>
      <c r="CV346" s="48">
        <v>4.0641014344429696</v>
      </c>
      <c r="CW346" s="49">
        <v>9.4709357492921509</v>
      </c>
      <c r="CX346" s="31" t="s">
        <v>5874</v>
      </c>
      <c r="CY346" s="31" t="s">
        <v>5877</v>
      </c>
      <c r="CZ346" t="s">
        <v>11370</v>
      </c>
      <c r="DA346" t="s">
        <v>5904</v>
      </c>
      <c r="DB346">
        <v>230.7</v>
      </c>
      <c r="DC346" t="s">
        <v>29971</v>
      </c>
      <c r="DD346" t="s">
        <v>13772</v>
      </c>
      <c r="DE346" t="s">
        <v>29972</v>
      </c>
      <c r="DF346" t="s">
        <v>29973</v>
      </c>
      <c r="DG346" t="s">
        <v>29974</v>
      </c>
      <c r="DH346" t="str">
        <f>"SH3BGRL"</f>
        <v>SH3BGRL</v>
      </c>
      <c r="DI346" t="s">
        <v>13772</v>
      </c>
      <c r="DJ346" t="s">
        <v>13777</v>
      </c>
      <c r="DK346">
        <v>9606</v>
      </c>
      <c r="DL346" s="34" t="str">
        <f>HYPERLINK("http://www.uniprot.org/uniprot/O75368", "O75368")</f>
        <v>O75368</v>
      </c>
      <c r="DM346" t="s">
        <v>29975</v>
      </c>
      <c r="DN346" t="s">
        <v>13772</v>
      </c>
      <c r="DO346" t="s">
        <v>13772</v>
      </c>
      <c r="DP346" t="s">
        <v>13772</v>
      </c>
      <c r="DQ346" t="s">
        <v>13772</v>
      </c>
      <c r="DR346" t="s">
        <v>13772</v>
      </c>
      <c r="DS346" t="s">
        <v>14871</v>
      </c>
      <c r="DT346" t="s">
        <v>13772</v>
      </c>
      <c r="DU346" t="s">
        <v>13772</v>
      </c>
      <c r="DV346" t="s">
        <v>13772</v>
      </c>
      <c r="DW346" t="s">
        <v>13812</v>
      </c>
      <c r="DX346" t="s">
        <v>13772</v>
      </c>
      <c r="DY346" t="s">
        <v>29976</v>
      </c>
      <c r="DZ346" t="s">
        <v>22139</v>
      </c>
      <c r="EA346" t="s">
        <v>13772</v>
      </c>
      <c r="EB346" t="s">
        <v>13772</v>
      </c>
    </row>
    <row r="347" spans="1:132" hidden="1">
      <c r="A347">
        <v>2153</v>
      </c>
      <c r="B347">
        <v>1</v>
      </c>
      <c r="C347" t="s">
        <v>5048</v>
      </c>
      <c r="D347" t="s">
        <v>73</v>
      </c>
      <c r="E347" t="s">
        <v>73</v>
      </c>
      <c r="F347" t="s">
        <v>73</v>
      </c>
      <c r="G347" t="s">
        <v>73</v>
      </c>
      <c r="H347">
        <v>24.4</v>
      </c>
      <c r="I347">
        <v>459</v>
      </c>
      <c r="J347">
        <v>53686</v>
      </c>
      <c r="K347" t="s">
        <v>5049</v>
      </c>
      <c r="L347">
        <f t="shared" si="22"/>
        <v>118</v>
      </c>
      <c r="N347">
        <v>118</v>
      </c>
      <c r="O347">
        <v>118</v>
      </c>
      <c r="P347">
        <v>1</v>
      </c>
      <c r="Q347">
        <v>5</v>
      </c>
      <c r="R347">
        <v>0</v>
      </c>
      <c r="S347">
        <v>0</v>
      </c>
      <c r="T347">
        <v>0</v>
      </c>
      <c r="U347">
        <v>0</v>
      </c>
      <c r="V347">
        <v>2</v>
      </c>
      <c r="W347">
        <v>1</v>
      </c>
      <c r="X347">
        <v>0</v>
      </c>
      <c r="Y347">
        <v>12</v>
      </c>
      <c r="Z347">
        <v>4</v>
      </c>
      <c r="AA347">
        <v>11</v>
      </c>
      <c r="AB347">
        <v>24</v>
      </c>
      <c r="AC347">
        <v>12</v>
      </c>
      <c r="AD347">
        <v>0</v>
      </c>
      <c r="AE347">
        <v>5</v>
      </c>
      <c r="AF347">
        <v>15</v>
      </c>
      <c r="AG347">
        <v>14</v>
      </c>
      <c r="AH347">
        <v>3</v>
      </c>
      <c r="AI347">
        <v>10</v>
      </c>
      <c r="AJ347">
        <v>5</v>
      </c>
      <c r="AK347">
        <v>0</v>
      </c>
      <c r="AL347">
        <v>0</v>
      </c>
      <c r="AM347">
        <v>0</v>
      </c>
      <c r="AN347">
        <v>0</v>
      </c>
      <c r="AO347">
        <v>2</v>
      </c>
      <c r="AP347">
        <v>1</v>
      </c>
      <c r="AQ347">
        <v>0</v>
      </c>
      <c r="AR347">
        <v>12</v>
      </c>
      <c r="AS347">
        <v>4</v>
      </c>
      <c r="AT347">
        <v>11</v>
      </c>
      <c r="AU347">
        <v>24</v>
      </c>
      <c r="AV347">
        <v>12</v>
      </c>
      <c r="AW347">
        <v>0</v>
      </c>
      <c r="AX347">
        <v>5</v>
      </c>
      <c r="AY347">
        <v>15</v>
      </c>
      <c r="AZ347">
        <v>14</v>
      </c>
      <c r="BA347">
        <v>3</v>
      </c>
      <c r="BB347">
        <v>10</v>
      </c>
      <c r="BC347" s="2">
        <v>5</v>
      </c>
      <c r="BD347" s="2">
        <v>0</v>
      </c>
      <c r="BE347" s="2">
        <v>0</v>
      </c>
      <c r="BF347" s="2">
        <v>0</v>
      </c>
      <c r="BG347" s="2">
        <v>0</v>
      </c>
      <c r="BH347" s="2">
        <v>2</v>
      </c>
      <c r="BI347" s="2">
        <v>1</v>
      </c>
      <c r="BJ347" s="2">
        <v>0</v>
      </c>
      <c r="BK347" s="2">
        <v>12</v>
      </c>
      <c r="BL347" s="2">
        <v>4</v>
      </c>
      <c r="BM347" s="2">
        <v>11</v>
      </c>
      <c r="BN347" s="2">
        <v>24</v>
      </c>
      <c r="BO347" s="2">
        <v>12</v>
      </c>
      <c r="BP347" s="2">
        <v>0</v>
      </c>
      <c r="BQ347" s="2">
        <v>5</v>
      </c>
      <c r="BR347" s="2">
        <v>15</v>
      </c>
      <c r="BS347" s="2">
        <v>14</v>
      </c>
      <c r="BT347" s="2">
        <v>3</v>
      </c>
      <c r="BU347" s="2">
        <v>10</v>
      </c>
      <c r="BV347" s="2">
        <f t="shared" si="25"/>
        <v>118</v>
      </c>
      <c r="BW347" s="16">
        <f t="shared" si="23"/>
        <v>6.2105263157894735</v>
      </c>
      <c r="BX347" s="16">
        <f>COUNTIF($BC$6:BU347, "=0") / COUNTIF($BC$6:BU347, "&gt;-1")</f>
        <v>8.5718682671591259E-2</v>
      </c>
      <c r="BY347" s="18">
        <f>SUM($BC$6:BU347) / $BY$4</f>
        <v>0.78615783183411014</v>
      </c>
      <c r="BZ347" s="14">
        <f t="shared" si="24"/>
        <v>6</v>
      </c>
      <c r="CA347" t="s">
        <v>5831</v>
      </c>
      <c r="CB347" s="36">
        <v>6.0582169791736504</v>
      </c>
      <c r="CC347" s="36">
        <v>0.24076603016936199</v>
      </c>
      <c r="CD347" s="36">
        <v>0.40019941545306398</v>
      </c>
      <c r="CE347" s="36">
        <v>0.37798043978830698</v>
      </c>
      <c r="CF347" s="36">
        <v>0.215044089984223</v>
      </c>
      <c r="CG347" s="36">
        <v>1.85945449327898</v>
      </c>
      <c r="CH347" s="36">
        <v>1.05406228286464</v>
      </c>
      <c r="CI347" s="36">
        <v>0.24329589949557701</v>
      </c>
      <c r="CJ347" s="37">
        <v>9.53709951893949</v>
      </c>
      <c r="CK347" s="37">
        <v>6.9371461157711396</v>
      </c>
      <c r="CL347" s="37">
        <v>19.201304358416198</v>
      </c>
      <c r="CM347" s="37">
        <v>10.1585645591993</v>
      </c>
      <c r="CN347" s="37">
        <v>4.5939628290755703</v>
      </c>
      <c r="CO347" s="37">
        <v>11.837858555776901</v>
      </c>
      <c r="CP347" s="37">
        <v>21.119560670073898</v>
      </c>
      <c r="CQ347" s="37">
        <v>15.2263684647462</v>
      </c>
      <c r="CR347" s="45">
        <v>3.1296574263780998</v>
      </c>
      <c r="CS347" s="45">
        <v>9.4374274871601092</v>
      </c>
      <c r="CT347" s="46">
        <v>1.98045182519297E-8</v>
      </c>
      <c r="CU347" s="47">
        <v>1.67711679880265E-7</v>
      </c>
      <c r="CV347" s="48">
        <v>1.3061274537759799</v>
      </c>
      <c r="CW347" s="49">
        <v>12.326483133999799</v>
      </c>
      <c r="CX347" s="31" t="s">
        <v>5874</v>
      </c>
      <c r="CY347" s="31" t="s">
        <v>5876</v>
      </c>
      <c r="CZ347" t="s">
        <v>12926</v>
      </c>
      <c r="DA347" t="s">
        <v>5904</v>
      </c>
      <c r="DB347">
        <v>828.5</v>
      </c>
      <c r="DC347" t="s">
        <v>34356</v>
      </c>
      <c r="DD347" t="s">
        <v>34357</v>
      </c>
      <c r="DE347" t="s">
        <v>34358</v>
      </c>
      <c r="DF347" t="s">
        <v>34359</v>
      </c>
      <c r="DG347" t="s">
        <v>34360</v>
      </c>
      <c r="DH347" t="str">
        <f>"ANGPTL3"</f>
        <v>ANGPTL3</v>
      </c>
      <c r="DI347" t="s">
        <v>34361</v>
      </c>
      <c r="DJ347" t="s">
        <v>13777</v>
      </c>
      <c r="DK347">
        <v>9606</v>
      </c>
      <c r="DL347" s="34" t="str">
        <f>HYPERLINK("http://www.uniprot.org/uniprot/Q9Y5C1", "Q9Y5C1")</f>
        <v>Q9Y5C1</v>
      </c>
      <c r="DM347" t="s">
        <v>34362</v>
      </c>
      <c r="DN347" t="s">
        <v>34363</v>
      </c>
      <c r="DO347" t="s">
        <v>34364</v>
      </c>
      <c r="DP347" t="s">
        <v>13793</v>
      </c>
      <c r="DQ347" t="s">
        <v>13772</v>
      </c>
      <c r="DR347" t="s">
        <v>13772</v>
      </c>
      <c r="DS347" t="s">
        <v>16820</v>
      </c>
      <c r="DT347" t="s">
        <v>13772</v>
      </c>
      <c r="DU347" t="s">
        <v>14073</v>
      </c>
      <c r="DV347" t="s">
        <v>13796</v>
      </c>
      <c r="DW347" t="s">
        <v>13812</v>
      </c>
      <c r="DX347" t="s">
        <v>34365</v>
      </c>
      <c r="DY347" t="s">
        <v>34366</v>
      </c>
      <c r="DZ347" t="s">
        <v>34367</v>
      </c>
      <c r="EA347" t="s">
        <v>13772</v>
      </c>
      <c r="EB347" t="s">
        <v>34368</v>
      </c>
    </row>
    <row r="348" spans="1:132">
      <c r="A348">
        <v>792</v>
      </c>
      <c r="B348">
        <v>1</v>
      </c>
      <c r="C348" t="s">
        <v>1944</v>
      </c>
      <c r="D348" t="s">
        <v>73</v>
      </c>
      <c r="E348" t="s">
        <v>73</v>
      </c>
      <c r="F348" t="s">
        <v>73</v>
      </c>
      <c r="G348" t="s">
        <v>73</v>
      </c>
      <c r="H348">
        <v>55</v>
      </c>
      <c r="I348">
        <v>202</v>
      </c>
      <c r="J348">
        <v>22323</v>
      </c>
      <c r="K348" t="s">
        <v>1945</v>
      </c>
      <c r="L348">
        <f t="shared" si="22"/>
        <v>117</v>
      </c>
      <c r="N348">
        <v>117</v>
      </c>
      <c r="O348">
        <v>117</v>
      </c>
      <c r="P348">
        <v>1</v>
      </c>
      <c r="Q348">
        <v>5</v>
      </c>
      <c r="R348">
        <v>8</v>
      </c>
      <c r="S348">
        <v>3</v>
      </c>
      <c r="T348">
        <v>3</v>
      </c>
      <c r="U348">
        <v>5</v>
      </c>
      <c r="V348">
        <v>4</v>
      </c>
      <c r="W348">
        <v>1</v>
      </c>
      <c r="X348">
        <v>7</v>
      </c>
      <c r="Y348">
        <v>7</v>
      </c>
      <c r="Z348">
        <v>9</v>
      </c>
      <c r="AA348">
        <v>7</v>
      </c>
      <c r="AB348">
        <v>6</v>
      </c>
      <c r="AC348">
        <v>6</v>
      </c>
      <c r="AD348">
        <v>11</v>
      </c>
      <c r="AE348">
        <v>8</v>
      </c>
      <c r="AF348">
        <v>10</v>
      </c>
      <c r="AG348">
        <v>6</v>
      </c>
      <c r="AH348">
        <v>3</v>
      </c>
      <c r="AI348">
        <v>8</v>
      </c>
      <c r="AJ348">
        <v>5</v>
      </c>
      <c r="AK348">
        <v>8</v>
      </c>
      <c r="AL348">
        <v>3</v>
      </c>
      <c r="AM348">
        <v>3</v>
      </c>
      <c r="AN348">
        <v>5</v>
      </c>
      <c r="AO348">
        <v>4</v>
      </c>
      <c r="AP348">
        <v>1</v>
      </c>
      <c r="AQ348">
        <v>7</v>
      </c>
      <c r="AR348">
        <v>7</v>
      </c>
      <c r="AS348">
        <v>9</v>
      </c>
      <c r="AT348">
        <v>7</v>
      </c>
      <c r="AU348">
        <v>6</v>
      </c>
      <c r="AV348">
        <v>6</v>
      </c>
      <c r="AW348">
        <v>11</v>
      </c>
      <c r="AX348">
        <v>8</v>
      </c>
      <c r="AY348">
        <v>10</v>
      </c>
      <c r="AZ348">
        <v>6</v>
      </c>
      <c r="BA348">
        <v>3</v>
      </c>
      <c r="BB348">
        <v>8</v>
      </c>
      <c r="BC348" s="2">
        <v>5</v>
      </c>
      <c r="BD348" s="2">
        <v>8</v>
      </c>
      <c r="BE348" s="2">
        <v>3</v>
      </c>
      <c r="BF348" s="2">
        <v>3</v>
      </c>
      <c r="BG348" s="2">
        <v>5</v>
      </c>
      <c r="BH348" s="2">
        <v>4</v>
      </c>
      <c r="BI348" s="2">
        <v>1</v>
      </c>
      <c r="BJ348" s="2">
        <v>7</v>
      </c>
      <c r="BK348" s="2">
        <v>7</v>
      </c>
      <c r="BL348" s="2">
        <v>9</v>
      </c>
      <c r="BM348" s="2">
        <v>7</v>
      </c>
      <c r="BN348" s="2">
        <v>6</v>
      </c>
      <c r="BO348" s="2">
        <v>6</v>
      </c>
      <c r="BP348" s="2">
        <v>11</v>
      </c>
      <c r="BQ348" s="2">
        <v>8</v>
      </c>
      <c r="BR348" s="2">
        <v>10</v>
      </c>
      <c r="BS348" s="2">
        <v>6</v>
      </c>
      <c r="BT348" s="2">
        <v>3</v>
      </c>
      <c r="BU348" s="2">
        <v>8</v>
      </c>
      <c r="BV348" s="2">
        <f t="shared" si="25"/>
        <v>117</v>
      </c>
      <c r="BW348" s="16">
        <f t="shared" si="23"/>
        <v>6.1578947368421053</v>
      </c>
      <c r="BX348" s="16">
        <f>COUNTIF($BC$6:BU348, "=0") / COUNTIF($BC$6:BU348, "&gt;-1")</f>
        <v>8.546877397575571E-2</v>
      </c>
      <c r="BY348" s="18">
        <f>SUM($BC$6:BU348) / $BY$4</f>
        <v>0.78665901734774812</v>
      </c>
      <c r="BZ348" s="14">
        <f t="shared" si="24"/>
        <v>0</v>
      </c>
      <c r="CA348" t="s">
        <v>5831</v>
      </c>
      <c r="CB348" s="36">
        <v>6.0582169791736504</v>
      </c>
      <c r="CC348" s="36">
        <v>7.7045129654195703</v>
      </c>
      <c r="CD348" s="36">
        <v>4.8023929854367697</v>
      </c>
      <c r="CE348" s="36">
        <v>4.5357652774596904</v>
      </c>
      <c r="CF348" s="36">
        <v>4.3008817996844604</v>
      </c>
      <c r="CG348" s="36">
        <v>3.7189089865579601</v>
      </c>
      <c r="CH348" s="36">
        <v>1.05406228286464</v>
      </c>
      <c r="CI348" s="36">
        <v>6.8122851858761404</v>
      </c>
      <c r="CJ348" s="37">
        <v>5.5633080527147003</v>
      </c>
      <c r="CK348" s="37">
        <v>4.4145475282179998</v>
      </c>
      <c r="CL348" s="37">
        <v>4.8003260896040603</v>
      </c>
      <c r="CM348" s="37">
        <v>5.0792822795996404</v>
      </c>
      <c r="CN348" s="37">
        <v>7.3503405265209096</v>
      </c>
      <c r="CO348" s="37">
        <v>7.8919057038512497</v>
      </c>
      <c r="CP348" s="37">
        <v>9.0512402871745401</v>
      </c>
      <c r="CQ348" s="37">
        <v>12.1810947717969</v>
      </c>
      <c r="CR348" s="45">
        <v>0.44017915324659901</v>
      </c>
      <c r="CS348" s="45">
        <v>1.4448920666905101</v>
      </c>
      <c r="CT348" s="46">
        <v>0.23947691700100901</v>
      </c>
      <c r="CU348" s="47">
        <v>0.309420544556815</v>
      </c>
      <c r="CV348" s="48">
        <v>4.8733783078091104</v>
      </c>
      <c r="CW348" s="49">
        <v>7.0415056549350004</v>
      </c>
      <c r="CX348" s="31" t="s">
        <v>5874</v>
      </c>
      <c r="CY348" s="31" t="s">
        <v>5832</v>
      </c>
      <c r="CZ348" t="s">
        <v>8412</v>
      </c>
      <c r="DA348" t="s">
        <v>5904</v>
      </c>
      <c r="DB348">
        <v>355.5</v>
      </c>
      <c r="DC348" t="s">
        <v>21598</v>
      </c>
      <c r="DD348" t="s">
        <v>21599</v>
      </c>
      <c r="DE348" t="s">
        <v>21600</v>
      </c>
      <c r="DF348" t="s">
        <v>21601</v>
      </c>
      <c r="DG348" t="s">
        <v>21602</v>
      </c>
      <c r="DH348" t="str">
        <f>"CLEC3B"</f>
        <v>CLEC3B</v>
      </c>
      <c r="DI348" t="s">
        <v>21603</v>
      </c>
      <c r="DJ348" t="s">
        <v>13777</v>
      </c>
      <c r="DK348">
        <v>9606</v>
      </c>
      <c r="DL348" s="34" t="str">
        <f>HYPERLINK("http://www.uniprot.org/uniprot/P05452", "P05452")</f>
        <v>P05452</v>
      </c>
      <c r="DM348" t="s">
        <v>21604</v>
      </c>
      <c r="DN348" t="s">
        <v>13772</v>
      </c>
      <c r="DO348" t="s">
        <v>14321</v>
      </c>
      <c r="DP348" t="s">
        <v>13793</v>
      </c>
      <c r="DQ348" t="s">
        <v>13772</v>
      </c>
      <c r="DR348" t="s">
        <v>13772</v>
      </c>
      <c r="DS348" t="s">
        <v>13808</v>
      </c>
      <c r="DT348" t="s">
        <v>14277</v>
      </c>
      <c r="DU348" t="s">
        <v>13772</v>
      </c>
      <c r="DV348" t="s">
        <v>13796</v>
      </c>
      <c r="DW348" t="s">
        <v>13812</v>
      </c>
      <c r="DX348" t="s">
        <v>21605</v>
      </c>
      <c r="DY348" t="s">
        <v>21606</v>
      </c>
      <c r="DZ348" t="s">
        <v>21607</v>
      </c>
      <c r="EA348" t="s">
        <v>13772</v>
      </c>
      <c r="EB348" t="s">
        <v>15665</v>
      </c>
    </row>
    <row r="349" spans="1:132">
      <c r="A349">
        <v>1380</v>
      </c>
      <c r="B349">
        <v>1</v>
      </c>
      <c r="C349" t="s">
        <v>3300</v>
      </c>
      <c r="D349" t="s">
        <v>73</v>
      </c>
      <c r="E349" t="s">
        <v>73</v>
      </c>
      <c r="F349" t="s">
        <v>73</v>
      </c>
      <c r="G349" t="s">
        <v>73</v>
      </c>
      <c r="H349">
        <v>18.7</v>
      </c>
      <c r="I349">
        <v>659</v>
      </c>
      <c r="J349">
        <v>73294</v>
      </c>
      <c r="K349" t="s">
        <v>3301</v>
      </c>
      <c r="L349">
        <f t="shared" si="22"/>
        <v>117</v>
      </c>
      <c r="N349">
        <v>117</v>
      </c>
      <c r="O349">
        <v>117</v>
      </c>
      <c r="P349">
        <v>1</v>
      </c>
      <c r="Q349">
        <v>7</v>
      </c>
      <c r="R349">
        <v>7</v>
      </c>
      <c r="S349">
        <v>3</v>
      </c>
      <c r="T349">
        <v>6</v>
      </c>
      <c r="U349">
        <v>7</v>
      </c>
      <c r="V349">
        <v>2</v>
      </c>
      <c r="W349">
        <v>3</v>
      </c>
      <c r="X349">
        <v>3</v>
      </c>
      <c r="Y349">
        <v>8</v>
      </c>
      <c r="Z349">
        <v>7</v>
      </c>
      <c r="AA349">
        <v>13</v>
      </c>
      <c r="AB349">
        <v>7</v>
      </c>
      <c r="AC349">
        <v>9</v>
      </c>
      <c r="AD349">
        <v>3</v>
      </c>
      <c r="AE349">
        <v>8</v>
      </c>
      <c r="AF349">
        <v>10</v>
      </c>
      <c r="AG349">
        <v>4</v>
      </c>
      <c r="AH349">
        <v>2</v>
      </c>
      <c r="AI349">
        <v>8</v>
      </c>
      <c r="AJ349">
        <v>7</v>
      </c>
      <c r="AK349">
        <v>7</v>
      </c>
      <c r="AL349">
        <v>3</v>
      </c>
      <c r="AM349">
        <v>6</v>
      </c>
      <c r="AN349">
        <v>7</v>
      </c>
      <c r="AO349">
        <v>2</v>
      </c>
      <c r="AP349">
        <v>3</v>
      </c>
      <c r="AQ349">
        <v>3</v>
      </c>
      <c r="AR349">
        <v>8</v>
      </c>
      <c r="AS349">
        <v>7</v>
      </c>
      <c r="AT349">
        <v>13</v>
      </c>
      <c r="AU349">
        <v>7</v>
      </c>
      <c r="AV349">
        <v>9</v>
      </c>
      <c r="AW349">
        <v>3</v>
      </c>
      <c r="AX349">
        <v>8</v>
      </c>
      <c r="AY349">
        <v>10</v>
      </c>
      <c r="AZ349">
        <v>4</v>
      </c>
      <c r="BA349">
        <v>2</v>
      </c>
      <c r="BB349">
        <v>8</v>
      </c>
      <c r="BC349" s="2">
        <v>7</v>
      </c>
      <c r="BD349" s="2">
        <v>7</v>
      </c>
      <c r="BE349" s="2">
        <v>3</v>
      </c>
      <c r="BF349" s="2">
        <v>6</v>
      </c>
      <c r="BG349" s="2">
        <v>7</v>
      </c>
      <c r="BH349" s="2">
        <v>2</v>
      </c>
      <c r="BI349" s="2">
        <v>3</v>
      </c>
      <c r="BJ349" s="2">
        <v>3</v>
      </c>
      <c r="BK349" s="2">
        <v>8</v>
      </c>
      <c r="BL349" s="2">
        <v>7</v>
      </c>
      <c r="BM349" s="2">
        <v>13</v>
      </c>
      <c r="BN349" s="2">
        <v>7</v>
      </c>
      <c r="BO349" s="2">
        <v>9</v>
      </c>
      <c r="BP349" s="2">
        <v>3</v>
      </c>
      <c r="BQ349" s="2">
        <v>8</v>
      </c>
      <c r="BR349" s="2">
        <v>10</v>
      </c>
      <c r="BS349" s="2">
        <v>4</v>
      </c>
      <c r="BT349" s="2">
        <v>2</v>
      </c>
      <c r="BU349" s="2">
        <v>8</v>
      </c>
      <c r="BV349" s="2">
        <f t="shared" si="25"/>
        <v>117</v>
      </c>
      <c r="BW349" s="16">
        <f t="shared" si="23"/>
        <v>6.1578947368421053</v>
      </c>
      <c r="BX349" s="16">
        <f>COUNTIF($BC$6:BU349, "=0") / COUNTIF($BC$6:BU349, "&gt;-1")</f>
        <v>8.5220318237454101E-2</v>
      </c>
      <c r="BY349" s="18">
        <f>SUM($BC$6:BU349) / $BY$4</f>
        <v>0.7871602028613861</v>
      </c>
      <c r="BZ349" s="14">
        <f t="shared" si="24"/>
        <v>0</v>
      </c>
      <c r="CA349" t="s">
        <v>5831</v>
      </c>
      <c r="CB349" s="36">
        <v>8.4815037708430996</v>
      </c>
      <c r="CC349" s="36">
        <v>6.7414488447421297</v>
      </c>
      <c r="CD349" s="36">
        <v>4.8023929854367697</v>
      </c>
      <c r="CE349" s="36">
        <v>9.0715305549193808</v>
      </c>
      <c r="CF349" s="36">
        <v>6.0212345195582504</v>
      </c>
      <c r="CG349" s="36">
        <v>1.85945449327898</v>
      </c>
      <c r="CH349" s="36">
        <v>3.1621868485939202</v>
      </c>
      <c r="CI349" s="36">
        <v>2.9195507939469199</v>
      </c>
      <c r="CJ349" s="37">
        <v>6.35806634595966</v>
      </c>
      <c r="CK349" s="37">
        <v>8.1984454095477108</v>
      </c>
      <c r="CL349" s="37">
        <v>5.6003804378713999</v>
      </c>
      <c r="CM349" s="37">
        <v>7.6189234193994704</v>
      </c>
      <c r="CN349" s="37">
        <v>7.3503405265209096</v>
      </c>
      <c r="CO349" s="37">
        <v>7.8919057038512497</v>
      </c>
      <c r="CP349" s="37">
        <v>6.0341601914496898</v>
      </c>
      <c r="CQ349" s="37">
        <v>12.1810947717969</v>
      </c>
      <c r="CR349" s="45">
        <v>0.51982686496947095</v>
      </c>
      <c r="CS349" s="45">
        <v>1.42206939751704</v>
      </c>
      <c r="CT349" s="46">
        <v>0.17288511331664599</v>
      </c>
      <c r="CU349" s="47">
        <v>0.23056367552830601</v>
      </c>
      <c r="CV349" s="48">
        <v>5.3824128514149301</v>
      </c>
      <c r="CW349" s="49">
        <v>7.6541646007996302</v>
      </c>
      <c r="CX349" s="31" t="s">
        <v>5874</v>
      </c>
      <c r="CY349" s="31" t="s">
        <v>5832</v>
      </c>
      <c r="CZ349" t="s">
        <v>10347</v>
      </c>
      <c r="DA349" t="s">
        <v>5904</v>
      </c>
      <c r="DB349">
        <v>1211.8</v>
      </c>
      <c r="DC349" t="s">
        <v>27116</v>
      </c>
      <c r="DD349" t="s">
        <v>27117</v>
      </c>
      <c r="DE349" t="s">
        <v>27118</v>
      </c>
      <c r="DF349" t="s">
        <v>27119</v>
      </c>
      <c r="DG349" t="s">
        <v>27120</v>
      </c>
      <c r="DH349" t="str">
        <f>"MAN1A1"</f>
        <v>MAN1A1</v>
      </c>
      <c r="DI349" t="s">
        <v>13772</v>
      </c>
      <c r="DJ349" t="s">
        <v>13777</v>
      </c>
      <c r="DK349">
        <v>9606</v>
      </c>
      <c r="DL349" s="34" t="str">
        <f>HYPERLINK("http://www.uniprot.org/uniprot/P33908", "P33908")</f>
        <v>P33908</v>
      </c>
      <c r="DM349" t="s">
        <v>27121</v>
      </c>
      <c r="DN349" t="s">
        <v>13772</v>
      </c>
      <c r="DO349" t="s">
        <v>18298</v>
      </c>
      <c r="DP349" t="s">
        <v>13780</v>
      </c>
      <c r="DQ349" t="s">
        <v>13772</v>
      </c>
      <c r="DR349" t="s">
        <v>13772</v>
      </c>
      <c r="DS349" t="s">
        <v>14417</v>
      </c>
      <c r="DT349" t="s">
        <v>14465</v>
      </c>
      <c r="DU349" t="s">
        <v>15471</v>
      </c>
      <c r="DV349" t="s">
        <v>13796</v>
      </c>
      <c r="DW349" t="s">
        <v>13772</v>
      </c>
      <c r="DX349" t="s">
        <v>27122</v>
      </c>
      <c r="DY349" t="s">
        <v>27123</v>
      </c>
      <c r="DZ349" t="s">
        <v>27124</v>
      </c>
      <c r="EA349" t="s">
        <v>22195</v>
      </c>
      <c r="EB349" t="s">
        <v>25404</v>
      </c>
    </row>
    <row r="350" spans="1:132" hidden="1">
      <c r="A350">
        <v>2268</v>
      </c>
      <c r="B350">
        <v>1</v>
      </c>
      <c r="C350" t="s">
        <v>5300</v>
      </c>
      <c r="D350" t="s">
        <v>73</v>
      </c>
      <c r="E350" t="s">
        <v>73</v>
      </c>
      <c r="F350" t="s">
        <v>73</v>
      </c>
      <c r="G350" t="s">
        <v>73</v>
      </c>
      <c r="H350">
        <v>31</v>
      </c>
      <c r="I350">
        <v>623</v>
      </c>
      <c r="J350">
        <v>67054</v>
      </c>
      <c r="K350" t="s">
        <v>5301</v>
      </c>
      <c r="L350">
        <f t="shared" si="22"/>
        <v>117</v>
      </c>
      <c r="N350">
        <v>117</v>
      </c>
      <c r="O350">
        <v>117</v>
      </c>
      <c r="P350">
        <v>1</v>
      </c>
      <c r="Q350">
        <v>18</v>
      </c>
      <c r="R350">
        <v>19</v>
      </c>
      <c r="S350">
        <v>24</v>
      </c>
      <c r="T350">
        <v>11</v>
      </c>
      <c r="U350">
        <v>13</v>
      </c>
      <c r="V350">
        <v>13</v>
      </c>
      <c r="W350">
        <v>8</v>
      </c>
      <c r="X350">
        <v>5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2</v>
      </c>
      <c r="AG350">
        <v>0</v>
      </c>
      <c r="AH350">
        <v>1</v>
      </c>
      <c r="AI350">
        <v>1</v>
      </c>
      <c r="AJ350">
        <v>18</v>
      </c>
      <c r="AK350">
        <v>19</v>
      </c>
      <c r="AL350">
        <v>24</v>
      </c>
      <c r="AM350">
        <v>11</v>
      </c>
      <c r="AN350">
        <v>13</v>
      </c>
      <c r="AO350">
        <v>13</v>
      </c>
      <c r="AP350">
        <v>8</v>
      </c>
      <c r="AQ350">
        <v>5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2</v>
      </c>
      <c r="AZ350">
        <v>0</v>
      </c>
      <c r="BA350">
        <v>1</v>
      </c>
      <c r="BB350">
        <v>1</v>
      </c>
      <c r="BC350" s="2">
        <v>18</v>
      </c>
      <c r="BD350" s="2">
        <v>19</v>
      </c>
      <c r="BE350" s="2">
        <v>24</v>
      </c>
      <c r="BF350" s="2">
        <v>11</v>
      </c>
      <c r="BG350" s="2">
        <v>13</v>
      </c>
      <c r="BH350" s="2">
        <v>13</v>
      </c>
      <c r="BI350" s="2">
        <v>8</v>
      </c>
      <c r="BJ350" s="2">
        <v>5</v>
      </c>
      <c r="BK350" s="2">
        <v>1</v>
      </c>
      <c r="BL350" s="2">
        <v>0</v>
      </c>
      <c r="BM350" s="2">
        <v>1</v>
      </c>
      <c r="BN350" s="2">
        <v>0</v>
      </c>
      <c r="BO350" s="2">
        <v>0</v>
      </c>
      <c r="BP350" s="2">
        <v>0</v>
      </c>
      <c r="BQ350" s="2">
        <v>0</v>
      </c>
      <c r="BR350" s="2">
        <v>2</v>
      </c>
      <c r="BS350" s="2">
        <v>0</v>
      </c>
      <c r="BT350" s="2">
        <v>1</v>
      </c>
      <c r="BU350" s="2">
        <v>1</v>
      </c>
      <c r="BV350" s="2">
        <f t="shared" si="25"/>
        <v>117</v>
      </c>
      <c r="BW350" s="16">
        <f t="shared" si="23"/>
        <v>6.1578947368421053</v>
      </c>
      <c r="BX350" s="16">
        <f>COUNTIF($BC$6:BU350, "=0") / COUNTIF($BC$6:BU350, "&gt;-1")</f>
        <v>8.588863463005339E-2</v>
      </c>
      <c r="BY350" s="18">
        <f>SUM($BC$6:BU350) / $BY$4</f>
        <v>0.78766138837502397</v>
      </c>
      <c r="BZ350" s="14">
        <f t="shared" si="24"/>
        <v>6</v>
      </c>
      <c r="CA350" t="s">
        <v>5831</v>
      </c>
      <c r="CB350" s="36">
        <v>21.809581125025101</v>
      </c>
      <c r="CC350" s="36">
        <v>18.2982182928715</v>
      </c>
      <c r="CD350" s="36">
        <v>38.419143883494201</v>
      </c>
      <c r="CE350" s="36">
        <v>16.631139350685501</v>
      </c>
      <c r="CF350" s="36">
        <v>11.1822926791796</v>
      </c>
      <c r="CG350" s="36">
        <v>12.0864542063134</v>
      </c>
      <c r="CH350" s="36">
        <v>8.4324982629171306</v>
      </c>
      <c r="CI350" s="36">
        <v>4.8659179899115301</v>
      </c>
      <c r="CJ350" s="37">
        <v>0.79475829324495695</v>
      </c>
      <c r="CK350" s="37">
        <v>0.63064964688828595</v>
      </c>
      <c r="CL350" s="37">
        <v>0.200013587066836</v>
      </c>
      <c r="CM350" s="37">
        <v>0.21163676164998499</v>
      </c>
      <c r="CN350" s="37">
        <v>0.22969814145377901</v>
      </c>
      <c r="CO350" s="37">
        <v>1.5783811407702499</v>
      </c>
      <c r="CP350" s="37">
        <v>0.377135011965606</v>
      </c>
      <c r="CQ350" s="37">
        <v>1.5226368464746201</v>
      </c>
      <c r="CR350" s="45">
        <v>-4.3538478069097799</v>
      </c>
      <c r="CS350" s="45">
        <v>-23.7560680593364</v>
      </c>
      <c r="CT350" s="46">
        <v>2.94082927124756E-13</v>
      </c>
      <c r="CU350" s="47">
        <v>9.8370739123230904E-12</v>
      </c>
      <c r="CV350" s="48">
        <v>16.465655723799699</v>
      </c>
      <c r="CW350" s="49">
        <v>0.69311367868928897</v>
      </c>
      <c r="CX350" s="31" t="s">
        <v>5875</v>
      </c>
      <c r="CY350" s="31" t="s">
        <v>5876</v>
      </c>
      <c r="CZ350" t="s">
        <v>13307</v>
      </c>
      <c r="DA350" t="s">
        <v>5904</v>
      </c>
      <c r="DB350">
        <v>839.3</v>
      </c>
      <c r="DC350" t="s">
        <v>35424</v>
      </c>
      <c r="DD350" t="s">
        <v>13772</v>
      </c>
      <c r="DE350" t="s">
        <v>35425</v>
      </c>
      <c r="DF350" t="s">
        <v>35426</v>
      </c>
      <c r="DG350" t="s">
        <v>35427</v>
      </c>
      <c r="DH350" t="str">
        <f>"MATN3"</f>
        <v>MATN3</v>
      </c>
      <c r="DI350" t="s">
        <v>13772</v>
      </c>
      <c r="DJ350" t="s">
        <v>13777</v>
      </c>
      <c r="DK350">
        <v>9606</v>
      </c>
      <c r="DL350" s="34" t="str">
        <f>HYPERLINK("http://www.uniprot.org/uniprot/O15232", "O15232")</f>
        <v>O15232</v>
      </c>
      <c r="DM350" t="s">
        <v>35428</v>
      </c>
      <c r="DN350" t="s">
        <v>13772</v>
      </c>
      <c r="DO350" t="s">
        <v>14321</v>
      </c>
      <c r="DP350" t="s">
        <v>13780</v>
      </c>
      <c r="DQ350" t="s">
        <v>13772</v>
      </c>
      <c r="DR350" t="s">
        <v>14517</v>
      </c>
      <c r="DS350" t="s">
        <v>27024</v>
      </c>
      <c r="DT350" t="s">
        <v>13772</v>
      </c>
      <c r="DU350" t="s">
        <v>13772</v>
      </c>
      <c r="DV350" t="s">
        <v>35429</v>
      </c>
      <c r="DW350" t="s">
        <v>13772</v>
      </c>
      <c r="DX350" t="s">
        <v>35430</v>
      </c>
      <c r="DY350" t="s">
        <v>21189</v>
      </c>
      <c r="DZ350" t="s">
        <v>19209</v>
      </c>
      <c r="EA350" t="s">
        <v>13772</v>
      </c>
      <c r="EB350" t="s">
        <v>25847</v>
      </c>
    </row>
    <row r="351" spans="1:132" hidden="1">
      <c r="A351">
        <v>1299</v>
      </c>
      <c r="B351">
        <v>1</v>
      </c>
      <c r="C351" t="s">
        <v>3114</v>
      </c>
      <c r="D351" t="s">
        <v>73</v>
      </c>
      <c r="E351" t="s">
        <v>73</v>
      </c>
      <c r="F351" t="s">
        <v>73</v>
      </c>
      <c r="G351" t="s">
        <v>73</v>
      </c>
      <c r="H351">
        <v>73.099999999999994</v>
      </c>
      <c r="I351">
        <v>364</v>
      </c>
      <c r="J351">
        <v>39329</v>
      </c>
      <c r="K351" t="s">
        <v>3115</v>
      </c>
      <c r="L351">
        <f t="shared" si="22"/>
        <v>116</v>
      </c>
      <c r="N351">
        <v>116</v>
      </c>
      <c r="O351">
        <v>116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18</v>
      </c>
      <c r="Z351">
        <v>1</v>
      </c>
      <c r="AA351">
        <v>24</v>
      </c>
      <c r="AB351">
        <v>1</v>
      </c>
      <c r="AC351">
        <v>8</v>
      </c>
      <c r="AD351">
        <v>0</v>
      </c>
      <c r="AE351">
        <v>38</v>
      </c>
      <c r="AF351">
        <v>17</v>
      </c>
      <c r="AG351">
        <v>2</v>
      </c>
      <c r="AH351">
        <v>1</v>
      </c>
      <c r="AI351">
        <v>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18</v>
      </c>
      <c r="AS351">
        <v>1</v>
      </c>
      <c r="AT351">
        <v>24</v>
      </c>
      <c r="AU351">
        <v>1</v>
      </c>
      <c r="AV351">
        <v>8</v>
      </c>
      <c r="AW351">
        <v>0</v>
      </c>
      <c r="AX351">
        <v>38</v>
      </c>
      <c r="AY351">
        <v>17</v>
      </c>
      <c r="AZ351">
        <v>2</v>
      </c>
      <c r="BA351">
        <v>1</v>
      </c>
      <c r="BB351">
        <v>5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18</v>
      </c>
      <c r="BL351" s="2">
        <v>1</v>
      </c>
      <c r="BM351" s="2">
        <v>24</v>
      </c>
      <c r="BN351" s="2">
        <v>1</v>
      </c>
      <c r="BO351" s="2">
        <v>8</v>
      </c>
      <c r="BP351" s="2">
        <v>0</v>
      </c>
      <c r="BQ351" s="2">
        <v>38</v>
      </c>
      <c r="BR351" s="2">
        <v>17</v>
      </c>
      <c r="BS351" s="2">
        <v>2</v>
      </c>
      <c r="BT351" s="2">
        <v>1</v>
      </c>
      <c r="BU351" s="2">
        <v>5</v>
      </c>
      <c r="BV351" s="2">
        <f t="shared" si="25"/>
        <v>116</v>
      </c>
      <c r="BW351" s="16">
        <f t="shared" si="23"/>
        <v>6.1052631578947372</v>
      </c>
      <c r="BX351" s="16">
        <f>COUNTIF($BC$6:BU351, "=0") / COUNTIF($BC$6:BU351, "&gt;-1")</f>
        <v>8.6857316702160028E-2</v>
      </c>
      <c r="BY351" s="18">
        <f>SUM($BC$6:BU351) / $BY$4</f>
        <v>0.78815829025179329</v>
      </c>
      <c r="BZ351" s="14">
        <f t="shared" si="24"/>
        <v>8</v>
      </c>
      <c r="CA351" t="s">
        <v>5831</v>
      </c>
      <c r="CB351" s="36">
        <v>0.30291084895868198</v>
      </c>
      <c r="CC351" s="36">
        <v>0.24076603016936199</v>
      </c>
      <c r="CD351" s="36">
        <v>0.40019941545306398</v>
      </c>
      <c r="CE351" s="36">
        <v>0.37798043978830698</v>
      </c>
      <c r="CF351" s="36">
        <v>0.215044089984223</v>
      </c>
      <c r="CG351" s="36">
        <v>0.23243181165987301</v>
      </c>
      <c r="CH351" s="36">
        <v>0.26351557071616</v>
      </c>
      <c r="CI351" s="36">
        <v>0.97318359798230603</v>
      </c>
      <c r="CJ351" s="37">
        <v>14.3056492784092</v>
      </c>
      <c r="CK351" s="37">
        <v>15.135591525318899</v>
      </c>
      <c r="CL351" s="37">
        <v>0.80005434826734301</v>
      </c>
      <c r="CM351" s="37">
        <v>6.7723763727995303</v>
      </c>
      <c r="CN351" s="37">
        <v>34.914117500974299</v>
      </c>
      <c r="CO351" s="37">
        <v>13.4162396965471</v>
      </c>
      <c r="CP351" s="37">
        <v>3.0170800957248498</v>
      </c>
      <c r="CQ351" s="37">
        <v>7.6131842323730803</v>
      </c>
      <c r="CR351" s="45">
        <v>4.6240042420730498</v>
      </c>
      <c r="CS351" s="45">
        <v>31.9272380618109</v>
      </c>
      <c r="CT351" s="46">
        <v>3.2246386369704302E-9</v>
      </c>
      <c r="CU351" s="47">
        <v>3.4794891098922903E-8</v>
      </c>
      <c r="CV351" s="48">
        <v>0.37575397558899698</v>
      </c>
      <c r="CW351" s="49">
        <v>11.9967866313018</v>
      </c>
      <c r="CX351" s="31" t="s">
        <v>5874</v>
      </c>
      <c r="CY351" s="31" t="s">
        <v>5876</v>
      </c>
      <c r="CZ351" t="s">
        <v>10071</v>
      </c>
      <c r="DA351" t="s">
        <v>5904</v>
      </c>
      <c r="DB351">
        <v>686.8</v>
      </c>
      <c r="DC351" t="s">
        <v>26343</v>
      </c>
      <c r="DD351" t="s">
        <v>26344</v>
      </c>
      <c r="DE351" t="s">
        <v>26345</v>
      </c>
      <c r="DF351" t="s">
        <v>26346</v>
      </c>
      <c r="DG351" t="s">
        <v>26347</v>
      </c>
      <c r="DH351" t="str">
        <f>"PDLIM3"</f>
        <v>PDLIM3</v>
      </c>
      <c r="DI351" t="s">
        <v>26348</v>
      </c>
      <c r="DJ351" t="s">
        <v>13777</v>
      </c>
      <c r="DK351">
        <v>9606</v>
      </c>
      <c r="DL351" s="34" t="str">
        <f>HYPERLINK("http://www.uniprot.org/uniprot/Q53GG5", "Q53GG5")</f>
        <v>Q53GG5</v>
      </c>
      <c r="DM351" t="s">
        <v>26349</v>
      </c>
      <c r="DN351" t="s">
        <v>13772</v>
      </c>
      <c r="DO351" t="s">
        <v>13899</v>
      </c>
      <c r="DP351" t="s">
        <v>13780</v>
      </c>
      <c r="DQ351" t="s">
        <v>13772</v>
      </c>
      <c r="DR351" t="s">
        <v>13772</v>
      </c>
      <c r="DS351" t="s">
        <v>14576</v>
      </c>
      <c r="DT351" t="s">
        <v>13856</v>
      </c>
      <c r="DU351" t="s">
        <v>13772</v>
      </c>
      <c r="DV351" t="s">
        <v>13782</v>
      </c>
      <c r="DW351" t="s">
        <v>13772</v>
      </c>
      <c r="DX351" t="s">
        <v>26350</v>
      </c>
      <c r="DY351" t="s">
        <v>26351</v>
      </c>
      <c r="DZ351" t="s">
        <v>26352</v>
      </c>
      <c r="EA351" t="s">
        <v>13772</v>
      </c>
      <c r="EB351" t="s">
        <v>13772</v>
      </c>
    </row>
    <row r="352" spans="1:132" hidden="1">
      <c r="A352">
        <v>1661</v>
      </c>
      <c r="B352">
        <v>1</v>
      </c>
      <c r="C352" t="s">
        <v>3939</v>
      </c>
      <c r="D352" t="s">
        <v>3940</v>
      </c>
      <c r="E352" t="s">
        <v>73</v>
      </c>
      <c r="F352" t="s">
        <v>73</v>
      </c>
      <c r="G352" t="s">
        <v>73</v>
      </c>
      <c r="H352">
        <v>49.4</v>
      </c>
      <c r="I352">
        <v>474</v>
      </c>
      <c r="J352">
        <v>51448</v>
      </c>
      <c r="K352" t="s">
        <v>3941</v>
      </c>
      <c r="L352">
        <f t="shared" si="22"/>
        <v>116</v>
      </c>
      <c r="N352">
        <v>116</v>
      </c>
      <c r="O352">
        <v>116</v>
      </c>
      <c r="P352">
        <v>1</v>
      </c>
      <c r="Q352">
        <v>2</v>
      </c>
      <c r="R352">
        <v>0</v>
      </c>
      <c r="S352">
        <v>1</v>
      </c>
      <c r="T352">
        <v>2</v>
      </c>
      <c r="U352">
        <v>5</v>
      </c>
      <c r="V352">
        <v>0</v>
      </c>
      <c r="W352">
        <v>5</v>
      </c>
      <c r="X352">
        <v>6</v>
      </c>
      <c r="Y352">
        <v>18</v>
      </c>
      <c r="Z352">
        <v>3</v>
      </c>
      <c r="AA352">
        <v>16</v>
      </c>
      <c r="AB352">
        <v>13</v>
      </c>
      <c r="AC352">
        <v>17</v>
      </c>
      <c r="AD352">
        <v>3</v>
      </c>
      <c r="AE352">
        <v>7</v>
      </c>
      <c r="AF352">
        <v>7</v>
      </c>
      <c r="AG352">
        <v>8</v>
      </c>
      <c r="AH352">
        <v>0</v>
      </c>
      <c r="AI352">
        <v>3</v>
      </c>
      <c r="AJ352">
        <v>2</v>
      </c>
      <c r="AK352">
        <v>0</v>
      </c>
      <c r="AL352">
        <v>1</v>
      </c>
      <c r="AM352">
        <v>2</v>
      </c>
      <c r="AN352">
        <v>5</v>
      </c>
      <c r="AO352">
        <v>0</v>
      </c>
      <c r="AP352">
        <v>5</v>
      </c>
      <c r="AQ352">
        <v>6</v>
      </c>
      <c r="AR352">
        <v>18</v>
      </c>
      <c r="AS352">
        <v>3</v>
      </c>
      <c r="AT352">
        <v>16</v>
      </c>
      <c r="AU352">
        <v>13</v>
      </c>
      <c r="AV352">
        <v>17</v>
      </c>
      <c r="AW352">
        <v>3</v>
      </c>
      <c r="AX352">
        <v>7</v>
      </c>
      <c r="AY352">
        <v>7</v>
      </c>
      <c r="AZ352">
        <v>8</v>
      </c>
      <c r="BA352">
        <v>0</v>
      </c>
      <c r="BB352">
        <v>3</v>
      </c>
      <c r="BC352" s="2">
        <v>2</v>
      </c>
      <c r="BD352" s="2">
        <v>0</v>
      </c>
      <c r="BE352" s="2">
        <v>1</v>
      </c>
      <c r="BF352" s="2">
        <v>2</v>
      </c>
      <c r="BG352" s="2">
        <v>5</v>
      </c>
      <c r="BH352" s="2">
        <v>0</v>
      </c>
      <c r="BI352" s="2">
        <v>5</v>
      </c>
      <c r="BJ352" s="2">
        <v>6</v>
      </c>
      <c r="BK352" s="2">
        <v>18</v>
      </c>
      <c r="BL352" s="2">
        <v>3</v>
      </c>
      <c r="BM352" s="2">
        <v>16</v>
      </c>
      <c r="BN352" s="2">
        <v>13</v>
      </c>
      <c r="BO352" s="2">
        <v>17</v>
      </c>
      <c r="BP352" s="2">
        <v>3</v>
      </c>
      <c r="BQ352" s="2">
        <v>7</v>
      </c>
      <c r="BR352" s="2">
        <v>7</v>
      </c>
      <c r="BS352" s="2">
        <v>8</v>
      </c>
      <c r="BT352" s="2">
        <v>0</v>
      </c>
      <c r="BU352" s="2">
        <v>3</v>
      </c>
      <c r="BV352" s="2">
        <f t="shared" si="25"/>
        <v>116</v>
      </c>
      <c r="BW352" s="16">
        <f t="shared" si="23"/>
        <v>6.1052631578947372</v>
      </c>
      <c r="BX352" s="16">
        <f>COUNTIF($BC$6:BU352, "=0") / COUNTIF($BC$6:BU352, "&gt;-1")</f>
        <v>8.7062035492188689E-2</v>
      </c>
      <c r="BY352" s="18">
        <f>SUM($BC$6:BU352) / $BY$4</f>
        <v>0.7886551921285625</v>
      </c>
      <c r="BZ352" s="14">
        <f t="shared" si="24"/>
        <v>3</v>
      </c>
      <c r="CA352" t="s">
        <v>5831</v>
      </c>
      <c r="CB352" s="36">
        <v>2.4232867916694598</v>
      </c>
      <c r="CC352" s="36">
        <v>0.24076603016936199</v>
      </c>
      <c r="CD352" s="36">
        <v>1.6007976618122599</v>
      </c>
      <c r="CE352" s="36">
        <v>3.0238435183064598</v>
      </c>
      <c r="CF352" s="36">
        <v>4.3008817996844604</v>
      </c>
      <c r="CG352" s="36">
        <v>0.23243181165987301</v>
      </c>
      <c r="CH352" s="36">
        <v>5.2703114143232002</v>
      </c>
      <c r="CI352" s="36">
        <v>5.8391015878938397</v>
      </c>
      <c r="CJ352" s="37">
        <v>14.3056492784092</v>
      </c>
      <c r="CK352" s="37">
        <v>10.0903943502126</v>
      </c>
      <c r="CL352" s="37">
        <v>10.400706527475499</v>
      </c>
      <c r="CM352" s="37">
        <v>14.391299792199</v>
      </c>
      <c r="CN352" s="37">
        <v>6.4315479607058004</v>
      </c>
      <c r="CO352" s="37">
        <v>5.5243339926958699</v>
      </c>
      <c r="CP352" s="37">
        <v>12.068320382899399</v>
      </c>
      <c r="CQ352" s="37">
        <v>4.5679105394238499</v>
      </c>
      <c r="CR352" s="45">
        <v>1.71465026711491</v>
      </c>
      <c r="CS352" s="45">
        <v>3.3918597599393001</v>
      </c>
      <c r="CT352" s="46">
        <v>1.21037408028576E-4</v>
      </c>
      <c r="CU352" s="47">
        <v>3.34603413103792E-4</v>
      </c>
      <c r="CV352" s="48">
        <v>2.8664275769398602</v>
      </c>
      <c r="CW352" s="49">
        <v>9.7225203530026398</v>
      </c>
      <c r="CX352" s="31" t="s">
        <v>5874</v>
      </c>
      <c r="CY352" s="31" t="s">
        <v>5876</v>
      </c>
      <c r="CZ352" t="s">
        <v>11288</v>
      </c>
      <c r="DA352" t="s">
        <v>5904</v>
      </c>
      <c r="DB352">
        <v>886.7</v>
      </c>
      <c r="DC352" t="s">
        <v>29739</v>
      </c>
      <c r="DD352" t="s">
        <v>13772</v>
      </c>
      <c r="DE352" t="s">
        <v>29740</v>
      </c>
      <c r="DF352" t="s">
        <v>29741</v>
      </c>
      <c r="DG352" t="s">
        <v>29742</v>
      </c>
      <c r="DH352" t="str">
        <f>"CAP1"</f>
        <v>CAP1</v>
      </c>
      <c r="DI352" t="s">
        <v>29743</v>
      </c>
      <c r="DJ352" t="s">
        <v>13777</v>
      </c>
      <c r="DK352">
        <v>9606</v>
      </c>
      <c r="DL352" s="34" t="str">
        <f>HYPERLINK("http://www.uniprot.org/uniprot/Q01518", "Q01518")</f>
        <v>Q01518</v>
      </c>
      <c r="DM352" t="s">
        <v>29744</v>
      </c>
      <c r="DN352" t="s">
        <v>13772</v>
      </c>
      <c r="DO352" t="s">
        <v>13792</v>
      </c>
      <c r="DP352" t="s">
        <v>13780</v>
      </c>
      <c r="DQ352" t="s">
        <v>13772</v>
      </c>
      <c r="DR352" t="s">
        <v>13772</v>
      </c>
      <c r="DS352" t="s">
        <v>13772</v>
      </c>
      <c r="DT352" t="s">
        <v>13772</v>
      </c>
      <c r="DU352" t="s">
        <v>13990</v>
      </c>
      <c r="DV352" t="s">
        <v>14663</v>
      </c>
      <c r="DW352" t="s">
        <v>13812</v>
      </c>
      <c r="DX352" t="s">
        <v>29745</v>
      </c>
      <c r="DY352" t="s">
        <v>29746</v>
      </c>
      <c r="DZ352" t="s">
        <v>29747</v>
      </c>
      <c r="EA352" t="s">
        <v>13772</v>
      </c>
      <c r="EB352" t="s">
        <v>29748</v>
      </c>
    </row>
    <row r="353" spans="1:132" hidden="1">
      <c r="A353">
        <v>1900</v>
      </c>
      <c r="B353">
        <v>1</v>
      </c>
      <c r="C353" t="s">
        <v>4481</v>
      </c>
      <c r="D353" t="s">
        <v>73</v>
      </c>
      <c r="E353" t="s">
        <v>73</v>
      </c>
      <c r="F353" t="s">
        <v>1819</v>
      </c>
      <c r="G353" t="s">
        <v>73</v>
      </c>
      <c r="H353">
        <v>29.8</v>
      </c>
      <c r="I353">
        <v>493</v>
      </c>
      <c r="J353">
        <v>56931</v>
      </c>
      <c r="K353" t="s">
        <v>4482</v>
      </c>
      <c r="L353">
        <f t="shared" si="22"/>
        <v>116</v>
      </c>
      <c r="N353">
        <v>116</v>
      </c>
      <c r="O353">
        <v>112</v>
      </c>
      <c r="P353">
        <v>0.96599999999999997</v>
      </c>
      <c r="Q353">
        <v>4</v>
      </c>
      <c r="R353">
        <v>14</v>
      </c>
      <c r="S353">
        <v>13</v>
      </c>
      <c r="T353">
        <v>10</v>
      </c>
      <c r="U353">
        <v>6</v>
      </c>
      <c r="V353">
        <v>17</v>
      </c>
      <c r="W353">
        <v>12</v>
      </c>
      <c r="X353">
        <v>10</v>
      </c>
      <c r="Y353">
        <v>1</v>
      </c>
      <c r="Z353">
        <v>0</v>
      </c>
      <c r="AA353">
        <v>6</v>
      </c>
      <c r="AB353">
        <v>8</v>
      </c>
      <c r="AC353">
        <v>3</v>
      </c>
      <c r="AD353">
        <v>0</v>
      </c>
      <c r="AE353">
        <v>2</v>
      </c>
      <c r="AF353">
        <v>5</v>
      </c>
      <c r="AG353">
        <v>1</v>
      </c>
      <c r="AH353">
        <v>2</v>
      </c>
      <c r="AI353">
        <v>2</v>
      </c>
      <c r="AJ353">
        <v>4</v>
      </c>
      <c r="AK353">
        <v>13</v>
      </c>
      <c r="AL353">
        <v>12</v>
      </c>
      <c r="AM353">
        <v>10</v>
      </c>
      <c r="AN353">
        <v>6</v>
      </c>
      <c r="AO353">
        <v>16</v>
      </c>
      <c r="AP353">
        <v>11</v>
      </c>
      <c r="AQ353">
        <v>10</v>
      </c>
      <c r="AR353">
        <v>1</v>
      </c>
      <c r="AS353">
        <v>0</v>
      </c>
      <c r="AT353">
        <v>6</v>
      </c>
      <c r="AU353">
        <v>8</v>
      </c>
      <c r="AV353">
        <v>3</v>
      </c>
      <c r="AW353">
        <v>0</v>
      </c>
      <c r="AX353">
        <v>2</v>
      </c>
      <c r="AY353">
        <v>5</v>
      </c>
      <c r="AZ353">
        <v>1</v>
      </c>
      <c r="BA353">
        <v>2</v>
      </c>
      <c r="BB353">
        <v>2</v>
      </c>
      <c r="BC353" s="2">
        <v>4</v>
      </c>
      <c r="BD353" s="2">
        <v>14</v>
      </c>
      <c r="BE353" s="2">
        <v>13</v>
      </c>
      <c r="BF353" s="2">
        <v>10</v>
      </c>
      <c r="BG353" s="2">
        <v>6</v>
      </c>
      <c r="BH353" s="2">
        <v>16.940999999999999</v>
      </c>
      <c r="BI353" s="2">
        <v>12</v>
      </c>
      <c r="BJ353" s="2">
        <v>10</v>
      </c>
      <c r="BK353" s="2">
        <v>1</v>
      </c>
      <c r="BL353" s="2">
        <v>0</v>
      </c>
      <c r="BM353" s="2">
        <v>6</v>
      </c>
      <c r="BN353" s="2">
        <v>8</v>
      </c>
      <c r="BO353" s="2">
        <v>3</v>
      </c>
      <c r="BP353" s="2">
        <v>0</v>
      </c>
      <c r="BQ353" s="2">
        <v>2</v>
      </c>
      <c r="BR353" s="2">
        <v>5</v>
      </c>
      <c r="BS353" s="2">
        <v>1</v>
      </c>
      <c r="BT353" s="2">
        <v>2</v>
      </c>
      <c r="BU353" s="2">
        <v>2</v>
      </c>
      <c r="BV353" s="2">
        <f t="shared" si="25"/>
        <v>115.941</v>
      </c>
      <c r="BW353" s="16">
        <f t="shared" si="23"/>
        <v>6.102157894736842</v>
      </c>
      <c r="BX353" s="16">
        <f>COUNTIF($BC$6:BU353, "=0") / COUNTIF($BC$6:BU353, "&gt;-1")</f>
        <v>8.7114337568058073E-2</v>
      </c>
      <c r="BY353" s="18">
        <f>SUM($BC$6:BU353) / $BY$4</f>
        <v>0.78915184127075655</v>
      </c>
      <c r="BZ353" s="14">
        <f t="shared" si="24"/>
        <v>2</v>
      </c>
      <c r="CA353" t="s">
        <v>5831</v>
      </c>
      <c r="CB353" s="36">
        <v>4.8465735833389196</v>
      </c>
      <c r="CC353" s="36">
        <v>13.4828976894843</v>
      </c>
      <c r="CD353" s="36">
        <v>20.810369603559401</v>
      </c>
      <c r="CE353" s="36">
        <v>15.119217591532299</v>
      </c>
      <c r="CF353" s="36">
        <v>5.1610581596213496</v>
      </c>
      <c r="CG353" s="36">
        <v>15.712390468207399</v>
      </c>
      <c r="CH353" s="36">
        <v>12.6487473943757</v>
      </c>
      <c r="CI353" s="36">
        <v>9.7318359798230603</v>
      </c>
      <c r="CJ353" s="37">
        <v>0.79475829324495695</v>
      </c>
      <c r="CK353" s="37">
        <v>3.7838978813297102</v>
      </c>
      <c r="CL353" s="37">
        <v>6.4004347861387396</v>
      </c>
      <c r="CM353" s="37">
        <v>2.5396411397998202</v>
      </c>
      <c r="CN353" s="37">
        <v>1.8375851316302301</v>
      </c>
      <c r="CO353" s="37">
        <v>3.94595285192562</v>
      </c>
      <c r="CP353" s="37">
        <v>1.50854004786242</v>
      </c>
      <c r="CQ353" s="37">
        <v>3.0452736929492299</v>
      </c>
      <c r="CR353" s="45">
        <v>-1.91898293903163</v>
      </c>
      <c r="CS353" s="45">
        <v>-4.0875564986169604</v>
      </c>
      <c r="CT353" s="46">
        <v>5.0247992054547001E-6</v>
      </c>
      <c r="CU353" s="47">
        <v>2.0373276778480001E-5</v>
      </c>
      <c r="CV353" s="48">
        <v>12.1891363087428</v>
      </c>
      <c r="CW353" s="49">
        <v>2.98201047811009</v>
      </c>
      <c r="CX353" s="31" t="s">
        <v>5875</v>
      </c>
      <c r="CY353" s="31" t="s">
        <v>5876</v>
      </c>
      <c r="CZ353" t="s">
        <v>12086</v>
      </c>
      <c r="DA353" t="s">
        <v>5904</v>
      </c>
      <c r="DB353">
        <v>1006.1</v>
      </c>
      <c r="DC353" t="s">
        <v>31986</v>
      </c>
      <c r="DD353" t="s">
        <v>31987</v>
      </c>
      <c r="DE353" t="s">
        <v>31988</v>
      </c>
      <c r="DF353" t="s">
        <v>31989</v>
      </c>
      <c r="DG353" t="s">
        <v>31990</v>
      </c>
      <c r="DH353" t="str">
        <f>"ANGPTL2"</f>
        <v>ANGPTL2</v>
      </c>
      <c r="DI353" t="s">
        <v>31991</v>
      </c>
      <c r="DJ353" t="s">
        <v>13777</v>
      </c>
      <c r="DK353">
        <v>9606</v>
      </c>
      <c r="DL353" s="34" t="str">
        <f>HYPERLINK("http://www.uniprot.org/uniprot/Q9UKU9", "Q9UKU9")</f>
        <v>Q9UKU9</v>
      </c>
      <c r="DM353" t="s">
        <v>31992</v>
      </c>
      <c r="DN353" t="s">
        <v>13772</v>
      </c>
      <c r="DO353" t="s">
        <v>14321</v>
      </c>
      <c r="DP353" t="s">
        <v>13841</v>
      </c>
      <c r="DQ353" t="s">
        <v>13772</v>
      </c>
      <c r="DR353" t="s">
        <v>13772</v>
      </c>
      <c r="DS353" t="s">
        <v>16820</v>
      </c>
      <c r="DT353" t="s">
        <v>13772</v>
      </c>
      <c r="DU353" t="s">
        <v>13772</v>
      </c>
      <c r="DV353" t="s">
        <v>13796</v>
      </c>
      <c r="DW353" t="s">
        <v>13772</v>
      </c>
      <c r="DX353" t="s">
        <v>19133</v>
      </c>
      <c r="DY353" t="s">
        <v>15797</v>
      </c>
      <c r="DZ353" t="s">
        <v>14749</v>
      </c>
      <c r="EA353" t="s">
        <v>13772</v>
      </c>
      <c r="EB353" t="s">
        <v>13772</v>
      </c>
    </row>
    <row r="354" spans="1:132" hidden="1">
      <c r="A354">
        <v>1128</v>
      </c>
      <c r="B354">
        <v>1</v>
      </c>
      <c r="C354" t="s">
        <v>2712</v>
      </c>
      <c r="D354" t="s">
        <v>73</v>
      </c>
      <c r="E354" t="s">
        <v>73</v>
      </c>
      <c r="F354" t="s">
        <v>2710</v>
      </c>
      <c r="G354" t="s">
        <v>73</v>
      </c>
      <c r="H354">
        <v>34.5</v>
      </c>
      <c r="I354">
        <v>685</v>
      </c>
      <c r="J354">
        <v>74841</v>
      </c>
      <c r="K354" t="s">
        <v>2713</v>
      </c>
      <c r="L354">
        <f t="shared" si="22"/>
        <v>279</v>
      </c>
      <c r="N354">
        <v>279</v>
      </c>
      <c r="O354">
        <v>16</v>
      </c>
      <c r="P354">
        <v>5.7000000000000002E-2</v>
      </c>
      <c r="Q354">
        <v>15</v>
      </c>
      <c r="R354">
        <v>26</v>
      </c>
      <c r="S354">
        <v>20</v>
      </c>
      <c r="T354">
        <v>17</v>
      </c>
      <c r="U354">
        <v>23</v>
      </c>
      <c r="V354">
        <v>27</v>
      </c>
      <c r="W354">
        <v>15</v>
      </c>
      <c r="X354">
        <v>7</v>
      </c>
      <c r="Y354">
        <v>6</v>
      </c>
      <c r="Z354">
        <v>9</v>
      </c>
      <c r="AA354">
        <v>13</v>
      </c>
      <c r="AB354">
        <v>16</v>
      </c>
      <c r="AC354">
        <v>13</v>
      </c>
      <c r="AD354">
        <v>13</v>
      </c>
      <c r="AE354">
        <v>9</v>
      </c>
      <c r="AF354">
        <v>16</v>
      </c>
      <c r="AG354">
        <v>12</v>
      </c>
      <c r="AH354">
        <v>9</v>
      </c>
      <c r="AI354">
        <v>13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3</v>
      </c>
      <c r="AU354">
        <v>2</v>
      </c>
      <c r="AV354">
        <v>2</v>
      </c>
      <c r="AW354">
        <v>2</v>
      </c>
      <c r="AX354">
        <v>1</v>
      </c>
      <c r="AY354">
        <v>2</v>
      </c>
      <c r="AZ354">
        <v>0</v>
      </c>
      <c r="BA354">
        <v>0</v>
      </c>
      <c r="BB354">
        <v>1</v>
      </c>
      <c r="BC354" s="2">
        <v>0</v>
      </c>
      <c r="BD354" s="2">
        <v>13</v>
      </c>
      <c r="BE354" s="2">
        <v>10</v>
      </c>
      <c r="BF354" s="2">
        <v>8.5</v>
      </c>
      <c r="BG354" s="2">
        <v>23</v>
      </c>
      <c r="BH354" s="2">
        <v>0</v>
      </c>
      <c r="BI354" s="2">
        <v>0</v>
      </c>
      <c r="BJ354" s="2">
        <v>0</v>
      </c>
      <c r="BK354" s="2">
        <v>3.5</v>
      </c>
      <c r="BL354" s="2">
        <v>5</v>
      </c>
      <c r="BM354" s="2">
        <v>9</v>
      </c>
      <c r="BN354" s="2">
        <v>9</v>
      </c>
      <c r="BO354" s="2">
        <v>6.4</v>
      </c>
      <c r="BP354" s="2">
        <v>6.4</v>
      </c>
      <c r="BQ354" s="2">
        <v>3.6669999999999998</v>
      </c>
      <c r="BR354" s="2">
        <v>11.333</v>
      </c>
      <c r="BS354" s="2">
        <v>0</v>
      </c>
      <c r="BT354" s="2">
        <v>0</v>
      </c>
      <c r="BU354" s="2">
        <v>7</v>
      </c>
      <c r="BV354" s="2">
        <f t="shared" si="25"/>
        <v>115.80000000000001</v>
      </c>
      <c r="BW354" s="16">
        <f t="shared" si="23"/>
        <v>6.0947368421052639</v>
      </c>
      <c r="BX354" s="16">
        <f>COUNTIF($BC$6:BU354, "=0") / COUNTIF($BC$6:BU354, "&gt;-1")</f>
        <v>8.7769567184436736E-2</v>
      </c>
      <c r="BY354" s="18">
        <f>SUM($BC$6:BU354) / $BY$4</f>
        <v>0.78964788642015193</v>
      </c>
      <c r="BZ354" s="14">
        <f t="shared" si="24"/>
        <v>6</v>
      </c>
      <c r="CA354" t="s">
        <v>5831</v>
      </c>
      <c r="CB354" s="36">
        <v>0.30291084895868198</v>
      </c>
      <c r="CC354" s="36">
        <v>12.519833568806799</v>
      </c>
      <c r="CD354" s="36">
        <v>16.007976618122601</v>
      </c>
      <c r="CE354" s="36">
        <v>12.8513349528025</v>
      </c>
      <c r="CF354" s="36">
        <v>19.784056278548501</v>
      </c>
      <c r="CG354" s="36">
        <v>0.23243181165987301</v>
      </c>
      <c r="CH354" s="36">
        <v>0.26351557071616</v>
      </c>
      <c r="CI354" s="36">
        <v>0.24329589949557701</v>
      </c>
      <c r="CJ354" s="37">
        <v>2.7816540263573502</v>
      </c>
      <c r="CK354" s="37">
        <v>5.6758468219945701</v>
      </c>
      <c r="CL354" s="37">
        <v>7.2004891344060802</v>
      </c>
      <c r="CM354" s="37">
        <v>5.4179010982396196</v>
      </c>
      <c r="CN354" s="37">
        <v>3.3995324935159199</v>
      </c>
      <c r="CO354" s="37">
        <v>8.9178534453519092</v>
      </c>
      <c r="CP354" s="37">
        <v>0.377135011965606</v>
      </c>
      <c r="CQ354" s="37">
        <v>10.658457925322301</v>
      </c>
      <c r="CR354" s="45">
        <v>-0.46315402708035602</v>
      </c>
      <c r="CS354" s="45">
        <v>-1.4001111351493001</v>
      </c>
      <c r="CT354" s="46">
        <v>0.54900840923902094</v>
      </c>
      <c r="CU354" s="47">
        <v>0.62891545510429003</v>
      </c>
      <c r="CV354" s="48">
        <v>7.7756694436388303</v>
      </c>
      <c r="CW354" s="49">
        <v>5.55360874464417</v>
      </c>
      <c r="CX354" s="31" t="s">
        <v>5875</v>
      </c>
      <c r="CY354" s="31" t="s">
        <v>5832</v>
      </c>
      <c r="CZ354" t="s">
        <v>9488</v>
      </c>
      <c r="DA354" t="s">
        <v>5904</v>
      </c>
      <c r="DB354">
        <v>1028.8</v>
      </c>
      <c r="DC354" t="s">
        <v>24679</v>
      </c>
      <c r="DD354" t="s">
        <v>13772</v>
      </c>
      <c r="DE354" t="s">
        <v>24680</v>
      </c>
      <c r="DF354" t="s">
        <v>24681</v>
      </c>
      <c r="DG354" t="s">
        <v>24682</v>
      </c>
      <c r="DH354" t="str">
        <f>"FBLN1"</f>
        <v>FBLN1</v>
      </c>
      <c r="DI354" t="s">
        <v>13772</v>
      </c>
      <c r="DJ354" t="s">
        <v>13777</v>
      </c>
      <c r="DK354">
        <v>9606</v>
      </c>
      <c r="DL354" s="34" t="str">
        <f>HYPERLINK("http://www.uniprot.org/uniprot/P23142", "P23142")</f>
        <v>P23142</v>
      </c>
      <c r="DM354" t="s">
        <v>24683</v>
      </c>
      <c r="DN354" t="s">
        <v>14563</v>
      </c>
      <c r="DO354" t="s">
        <v>13869</v>
      </c>
      <c r="DP354" t="s">
        <v>20333</v>
      </c>
      <c r="DQ354" t="s">
        <v>13772</v>
      </c>
      <c r="DR354" t="s">
        <v>13772</v>
      </c>
      <c r="DS354" t="s">
        <v>14768</v>
      </c>
      <c r="DT354" t="s">
        <v>14465</v>
      </c>
      <c r="DU354" t="s">
        <v>13772</v>
      </c>
      <c r="DV354" t="s">
        <v>13796</v>
      </c>
      <c r="DW354" t="s">
        <v>13772</v>
      </c>
      <c r="DX354" t="s">
        <v>24684</v>
      </c>
      <c r="DY354" t="s">
        <v>24685</v>
      </c>
      <c r="DZ354" t="s">
        <v>24686</v>
      </c>
      <c r="EA354" t="s">
        <v>13772</v>
      </c>
      <c r="EB354" t="s">
        <v>14774</v>
      </c>
    </row>
    <row r="355" spans="1:132" hidden="1">
      <c r="A355">
        <v>384</v>
      </c>
      <c r="B355">
        <v>1</v>
      </c>
      <c r="C355" t="s">
        <v>958</v>
      </c>
      <c r="D355" t="s">
        <v>73</v>
      </c>
      <c r="E355" t="s">
        <v>73</v>
      </c>
      <c r="F355" t="s">
        <v>73</v>
      </c>
      <c r="G355" t="s">
        <v>73</v>
      </c>
      <c r="H355">
        <v>33.5</v>
      </c>
      <c r="I355">
        <v>496</v>
      </c>
      <c r="J355">
        <v>56592</v>
      </c>
      <c r="K355" t="s">
        <v>959</v>
      </c>
      <c r="L355">
        <f t="shared" si="22"/>
        <v>115</v>
      </c>
      <c r="N355">
        <v>115</v>
      </c>
      <c r="O355">
        <v>115</v>
      </c>
      <c r="P355">
        <v>1</v>
      </c>
      <c r="Q355">
        <v>2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6</v>
      </c>
      <c r="Y355">
        <v>5</v>
      </c>
      <c r="Z355">
        <v>14</v>
      </c>
      <c r="AA355">
        <v>13</v>
      </c>
      <c r="AB355">
        <v>7</v>
      </c>
      <c r="AC355">
        <v>15</v>
      </c>
      <c r="AD355">
        <v>15</v>
      </c>
      <c r="AE355">
        <v>10</v>
      </c>
      <c r="AF355">
        <v>7</v>
      </c>
      <c r="AG355">
        <v>10</v>
      </c>
      <c r="AH355">
        <v>1</v>
      </c>
      <c r="AI355">
        <v>7</v>
      </c>
      <c r="AJ355">
        <v>2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2</v>
      </c>
      <c r="AQ355">
        <v>6</v>
      </c>
      <c r="AR355">
        <v>5</v>
      </c>
      <c r="AS355">
        <v>14</v>
      </c>
      <c r="AT355">
        <v>13</v>
      </c>
      <c r="AU355">
        <v>7</v>
      </c>
      <c r="AV355">
        <v>15</v>
      </c>
      <c r="AW355">
        <v>15</v>
      </c>
      <c r="AX355">
        <v>10</v>
      </c>
      <c r="AY355">
        <v>7</v>
      </c>
      <c r="AZ355">
        <v>10</v>
      </c>
      <c r="BA355">
        <v>1</v>
      </c>
      <c r="BB355">
        <v>7</v>
      </c>
      <c r="BC355" s="2">
        <v>2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2</v>
      </c>
      <c r="BJ355" s="2">
        <v>6</v>
      </c>
      <c r="BK355" s="2">
        <v>5</v>
      </c>
      <c r="BL355" s="2">
        <v>14</v>
      </c>
      <c r="BM355" s="2">
        <v>13</v>
      </c>
      <c r="BN355" s="2">
        <v>7</v>
      </c>
      <c r="BO355" s="2">
        <v>15</v>
      </c>
      <c r="BP355" s="2">
        <v>15</v>
      </c>
      <c r="BQ355" s="2">
        <v>10</v>
      </c>
      <c r="BR355" s="2">
        <v>7</v>
      </c>
      <c r="BS355" s="2">
        <v>10</v>
      </c>
      <c r="BT355" s="2">
        <v>1</v>
      </c>
      <c r="BU355" s="2">
        <v>7</v>
      </c>
      <c r="BV355" s="2">
        <f t="shared" si="25"/>
        <v>115</v>
      </c>
      <c r="BW355" s="16">
        <f t="shared" si="23"/>
        <v>6.0526315789473681</v>
      </c>
      <c r="BX355" s="16">
        <f>COUNTIF($BC$6:BU355, "=0") / COUNTIF($BC$6:BU355, "&gt;-1")</f>
        <v>8.8120300751879696E-2</v>
      </c>
      <c r="BY355" s="18">
        <f>SUM($BC$6:BU355) / $BY$4</f>
        <v>0.79014050466005248</v>
      </c>
      <c r="BZ355" s="14">
        <f t="shared" si="24"/>
        <v>4</v>
      </c>
      <c r="CA355" t="s">
        <v>5831</v>
      </c>
      <c r="CB355" s="36">
        <v>2.4232867916694598</v>
      </c>
      <c r="CC355" s="36">
        <v>0.96306412067744696</v>
      </c>
      <c r="CD355" s="36">
        <v>0.40019941545306398</v>
      </c>
      <c r="CE355" s="36">
        <v>0.37798043978830698</v>
      </c>
      <c r="CF355" s="36">
        <v>0.215044089984223</v>
      </c>
      <c r="CG355" s="36">
        <v>0.23243181165987301</v>
      </c>
      <c r="CH355" s="36">
        <v>2.10812456572928</v>
      </c>
      <c r="CI355" s="36">
        <v>5.8391015878938397</v>
      </c>
      <c r="CJ355" s="37">
        <v>3.9737914662247902</v>
      </c>
      <c r="CK355" s="37">
        <v>8.1984454095477108</v>
      </c>
      <c r="CL355" s="37">
        <v>5.6003804378713999</v>
      </c>
      <c r="CM355" s="37">
        <v>12.6982056989991</v>
      </c>
      <c r="CN355" s="37">
        <v>9.1879256581511406</v>
      </c>
      <c r="CO355" s="37">
        <v>5.5243339926958699</v>
      </c>
      <c r="CP355" s="37">
        <v>15.0854004786242</v>
      </c>
      <c r="CQ355" s="37">
        <v>10.658457925322301</v>
      </c>
      <c r="CR355" s="45">
        <v>2.32670556073526</v>
      </c>
      <c r="CS355" s="45">
        <v>5.6473943964445503</v>
      </c>
      <c r="CT355" s="46">
        <v>6.8636866364167803E-6</v>
      </c>
      <c r="CU355" s="47">
        <v>2.64703884671654E-5</v>
      </c>
      <c r="CV355" s="48">
        <v>1.56990410285694</v>
      </c>
      <c r="CW355" s="49">
        <v>8.8658676334295698</v>
      </c>
      <c r="CX355" s="31" t="s">
        <v>5874</v>
      </c>
      <c r="CY355" s="31" t="s">
        <v>5876</v>
      </c>
      <c r="CZ355" t="s">
        <v>7032</v>
      </c>
      <c r="DA355" t="s">
        <v>5904</v>
      </c>
      <c r="DB355">
        <v>883.2</v>
      </c>
      <c r="DC355" t="s">
        <v>17437</v>
      </c>
      <c r="DD355" t="s">
        <v>17438</v>
      </c>
      <c r="DE355" t="s">
        <v>17439</v>
      </c>
      <c r="DF355" t="s">
        <v>17440</v>
      </c>
      <c r="DG355" t="s">
        <v>17441</v>
      </c>
      <c r="DH355" t="str">
        <f>"SERPIND1"</f>
        <v>SERPIND1</v>
      </c>
      <c r="DI355" t="s">
        <v>17442</v>
      </c>
      <c r="DJ355" t="s">
        <v>13777</v>
      </c>
      <c r="DK355">
        <v>9606</v>
      </c>
      <c r="DL355" s="34" t="str">
        <f>HYPERLINK("http://www.uniprot.org/uniprot/P05546", "P05546")</f>
        <v>P05546</v>
      </c>
      <c r="DM355" t="s">
        <v>17443</v>
      </c>
      <c r="DN355" t="s">
        <v>17444</v>
      </c>
      <c r="DO355" t="s">
        <v>13772</v>
      </c>
      <c r="DP355" t="s">
        <v>13793</v>
      </c>
      <c r="DQ355" t="s">
        <v>13772</v>
      </c>
      <c r="DR355" t="s">
        <v>17445</v>
      </c>
      <c r="DS355" t="s">
        <v>14404</v>
      </c>
      <c r="DT355" t="s">
        <v>13772</v>
      </c>
      <c r="DU355" t="s">
        <v>14691</v>
      </c>
      <c r="DV355" t="s">
        <v>17446</v>
      </c>
      <c r="DW355" t="s">
        <v>13812</v>
      </c>
      <c r="DX355" t="s">
        <v>17447</v>
      </c>
      <c r="DY355" t="s">
        <v>17448</v>
      </c>
      <c r="DZ355" t="s">
        <v>17449</v>
      </c>
      <c r="EA355" t="s">
        <v>13772</v>
      </c>
      <c r="EB355" t="s">
        <v>17450</v>
      </c>
    </row>
    <row r="356" spans="1:132" hidden="1">
      <c r="A356">
        <v>1832</v>
      </c>
      <c r="B356">
        <v>1</v>
      </c>
      <c r="C356" t="s">
        <v>4330</v>
      </c>
      <c r="D356" t="s">
        <v>73</v>
      </c>
      <c r="E356" t="s">
        <v>73</v>
      </c>
      <c r="F356" t="s">
        <v>73</v>
      </c>
      <c r="G356" t="s">
        <v>73</v>
      </c>
      <c r="H356">
        <v>62.9</v>
      </c>
      <c r="I356">
        <v>89</v>
      </c>
      <c r="J356">
        <v>10508</v>
      </c>
      <c r="K356" t="s">
        <v>4331</v>
      </c>
      <c r="L356">
        <f t="shared" si="22"/>
        <v>115</v>
      </c>
      <c r="N356">
        <v>115</v>
      </c>
      <c r="O356">
        <v>115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21</v>
      </c>
      <c r="Z356">
        <v>2</v>
      </c>
      <c r="AA356">
        <v>7</v>
      </c>
      <c r="AB356">
        <v>15</v>
      </c>
      <c r="AC356">
        <v>27</v>
      </c>
      <c r="AD356">
        <v>1</v>
      </c>
      <c r="AE356">
        <v>2</v>
      </c>
      <c r="AF356">
        <v>19</v>
      </c>
      <c r="AG356">
        <v>14</v>
      </c>
      <c r="AH356">
        <v>6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21</v>
      </c>
      <c r="AS356">
        <v>2</v>
      </c>
      <c r="AT356">
        <v>7</v>
      </c>
      <c r="AU356">
        <v>15</v>
      </c>
      <c r="AV356">
        <v>27</v>
      </c>
      <c r="AW356">
        <v>1</v>
      </c>
      <c r="AX356">
        <v>2</v>
      </c>
      <c r="AY356">
        <v>19</v>
      </c>
      <c r="AZ356">
        <v>14</v>
      </c>
      <c r="BA356">
        <v>6</v>
      </c>
      <c r="BB356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0</v>
      </c>
      <c r="BK356" s="2">
        <v>21</v>
      </c>
      <c r="BL356" s="2">
        <v>2</v>
      </c>
      <c r="BM356" s="2">
        <v>7</v>
      </c>
      <c r="BN356" s="2">
        <v>15</v>
      </c>
      <c r="BO356" s="2">
        <v>27</v>
      </c>
      <c r="BP356" s="2">
        <v>1</v>
      </c>
      <c r="BQ356" s="2">
        <v>2</v>
      </c>
      <c r="BR356" s="2">
        <v>19</v>
      </c>
      <c r="BS356" s="2">
        <v>14</v>
      </c>
      <c r="BT356" s="2">
        <v>6</v>
      </c>
      <c r="BU356" s="2">
        <v>0</v>
      </c>
      <c r="BV356" s="2">
        <f t="shared" si="25"/>
        <v>115</v>
      </c>
      <c r="BW356" s="16">
        <f t="shared" si="23"/>
        <v>6.0526315789473681</v>
      </c>
      <c r="BX356" s="16">
        <f>COUNTIF($BC$6:BU356, "=0") / COUNTIF($BC$6:BU356, "&gt;-1")</f>
        <v>8.9068825910931168E-2</v>
      </c>
      <c r="BY356" s="18">
        <f>SUM($BC$6:BU356) / $BY$4</f>
        <v>0.79063312289995313</v>
      </c>
      <c r="BZ356" s="14">
        <f t="shared" si="24"/>
        <v>8</v>
      </c>
      <c r="CA356" t="s">
        <v>5831</v>
      </c>
      <c r="CB356" s="36">
        <v>0.30291084895868198</v>
      </c>
      <c r="CC356" s="36">
        <v>0.24076603016936199</v>
      </c>
      <c r="CD356" s="36">
        <v>0.40019941545306398</v>
      </c>
      <c r="CE356" s="36">
        <v>0.37798043978830698</v>
      </c>
      <c r="CF356" s="36">
        <v>0.215044089984223</v>
      </c>
      <c r="CG356" s="36">
        <v>0.23243181165987301</v>
      </c>
      <c r="CH356" s="36">
        <v>1.05406228286464</v>
      </c>
      <c r="CI356" s="36">
        <v>0.24329589949557701</v>
      </c>
      <c r="CJ356" s="37">
        <v>16.689924158144098</v>
      </c>
      <c r="CK356" s="37">
        <v>4.4145475282179998</v>
      </c>
      <c r="CL356" s="37">
        <v>12.0008152240101</v>
      </c>
      <c r="CM356" s="37">
        <v>22.856770258198399</v>
      </c>
      <c r="CN356" s="37">
        <v>1.8375851316302301</v>
      </c>
      <c r="CO356" s="37">
        <v>14.994620837317401</v>
      </c>
      <c r="CP356" s="37">
        <v>21.119560670073898</v>
      </c>
      <c r="CQ356" s="37">
        <v>0.38065921161865401</v>
      </c>
      <c r="CR356" s="45">
        <v>4.5811897398426797</v>
      </c>
      <c r="CS356" s="45">
        <v>30.7479588272336</v>
      </c>
      <c r="CT356" s="46">
        <v>6.4688006125103698E-9</v>
      </c>
      <c r="CU356" s="47">
        <v>6.4591456862230398E-8</v>
      </c>
      <c r="CV356" s="48">
        <v>0.38333635229671598</v>
      </c>
      <c r="CW356" s="49">
        <v>11.7868103774014</v>
      </c>
      <c r="CX356" s="31" t="s">
        <v>5874</v>
      </c>
      <c r="CY356" s="31" t="s">
        <v>5876</v>
      </c>
      <c r="CZ356" t="s">
        <v>11866</v>
      </c>
      <c r="DA356" t="s">
        <v>5904</v>
      </c>
      <c r="DB356">
        <v>144.1</v>
      </c>
      <c r="DC356" t="s">
        <v>31399</v>
      </c>
      <c r="DD356" t="s">
        <v>31400</v>
      </c>
      <c r="DE356" t="s">
        <v>31401</v>
      </c>
      <c r="DF356" t="s">
        <v>31402</v>
      </c>
      <c r="DG356" t="s">
        <v>31403</v>
      </c>
      <c r="DH356" t="str">
        <f>"S100A8"</f>
        <v>S100A8</v>
      </c>
      <c r="DI356" t="s">
        <v>31404</v>
      </c>
      <c r="DJ356" t="s">
        <v>13777</v>
      </c>
      <c r="DK356">
        <v>9606</v>
      </c>
      <c r="DL356" s="34" t="str">
        <f>HYPERLINK("http://www.uniprot.org/uniprot/P05109", "P05109")</f>
        <v>P05109</v>
      </c>
      <c r="DM356" t="s">
        <v>31405</v>
      </c>
      <c r="DN356" t="s">
        <v>31022</v>
      </c>
      <c r="DO356" t="s">
        <v>31023</v>
      </c>
      <c r="DP356" t="s">
        <v>13772</v>
      </c>
      <c r="DQ356" t="s">
        <v>13772</v>
      </c>
      <c r="DR356" t="s">
        <v>13772</v>
      </c>
      <c r="DS356" t="s">
        <v>14096</v>
      </c>
      <c r="DT356" t="s">
        <v>14628</v>
      </c>
      <c r="DU356" t="s">
        <v>31406</v>
      </c>
      <c r="DV356" t="s">
        <v>30867</v>
      </c>
      <c r="DW356" t="s">
        <v>13812</v>
      </c>
      <c r="DX356" t="s">
        <v>31407</v>
      </c>
      <c r="DY356" t="s">
        <v>31408</v>
      </c>
      <c r="DZ356" t="s">
        <v>31409</v>
      </c>
      <c r="EA356" t="s">
        <v>13772</v>
      </c>
      <c r="EB356" t="s">
        <v>31029</v>
      </c>
    </row>
    <row r="357" spans="1:132" hidden="1">
      <c r="A357">
        <v>477</v>
      </c>
      <c r="B357">
        <v>1</v>
      </c>
      <c r="C357" t="s">
        <v>1198</v>
      </c>
      <c r="D357" t="s">
        <v>73</v>
      </c>
      <c r="E357" t="s">
        <v>73</v>
      </c>
      <c r="F357" t="s">
        <v>1199</v>
      </c>
      <c r="G357" t="s">
        <v>73</v>
      </c>
      <c r="H357">
        <v>77.5</v>
      </c>
      <c r="I357">
        <v>253</v>
      </c>
      <c r="J357">
        <v>27701</v>
      </c>
      <c r="K357" t="s">
        <v>1200</v>
      </c>
      <c r="L357">
        <f t="shared" si="22"/>
        <v>196</v>
      </c>
      <c r="N357">
        <v>196</v>
      </c>
      <c r="O357">
        <v>43</v>
      </c>
      <c r="P357">
        <v>0.219</v>
      </c>
      <c r="Q357">
        <v>8</v>
      </c>
      <c r="R357">
        <v>12</v>
      </c>
      <c r="S357">
        <v>6</v>
      </c>
      <c r="T357">
        <v>6</v>
      </c>
      <c r="U357">
        <v>15</v>
      </c>
      <c r="V357">
        <v>15</v>
      </c>
      <c r="W357">
        <v>12</v>
      </c>
      <c r="X357">
        <v>10</v>
      </c>
      <c r="Y357">
        <v>21</v>
      </c>
      <c r="Z357">
        <v>2</v>
      </c>
      <c r="AA357">
        <v>15</v>
      </c>
      <c r="AB357">
        <v>23</v>
      </c>
      <c r="AC357">
        <v>13</v>
      </c>
      <c r="AD357">
        <v>6</v>
      </c>
      <c r="AE357">
        <v>13</v>
      </c>
      <c r="AF357">
        <v>7</v>
      </c>
      <c r="AG357">
        <v>2</v>
      </c>
      <c r="AH357">
        <v>3</v>
      </c>
      <c r="AI357">
        <v>7</v>
      </c>
      <c r="AJ357">
        <v>3</v>
      </c>
      <c r="AK357">
        <v>3</v>
      </c>
      <c r="AL357">
        <v>2</v>
      </c>
      <c r="AM357">
        <v>0</v>
      </c>
      <c r="AN357">
        <v>5</v>
      </c>
      <c r="AO357">
        <v>4</v>
      </c>
      <c r="AP357">
        <v>2</v>
      </c>
      <c r="AQ357">
        <v>1</v>
      </c>
      <c r="AR357">
        <v>5</v>
      </c>
      <c r="AS357">
        <v>0</v>
      </c>
      <c r="AT357">
        <v>2</v>
      </c>
      <c r="AU357">
        <v>4</v>
      </c>
      <c r="AV357">
        <v>4</v>
      </c>
      <c r="AW357">
        <v>2</v>
      </c>
      <c r="AX357">
        <v>2</v>
      </c>
      <c r="AY357">
        <v>2</v>
      </c>
      <c r="AZ357">
        <v>0</v>
      </c>
      <c r="BA357">
        <v>0</v>
      </c>
      <c r="BB357">
        <v>2</v>
      </c>
      <c r="BC357" s="2">
        <v>5.6950000000000003</v>
      </c>
      <c r="BD357" s="2">
        <v>6.8310000000000004</v>
      </c>
      <c r="BE357" s="2">
        <v>5.3330000000000002</v>
      </c>
      <c r="BF357" s="2">
        <v>0</v>
      </c>
      <c r="BG357" s="2">
        <v>9.3529999999999998</v>
      </c>
      <c r="BH357" s="2">
        <v>10.49</v>
      </c>
      <c r="BI357" s="2">
        <v>9.1539999999999999</v>
      </c>
      <c r="BJ357" s="2">
        <v>4.7359999999999998</v>
      </c>
      <c r="BK357" s="2">
        <v>11.385999999999999</v>
      </c>
      <c r="BL357" s="2">
        <v>0</v>
      </c>
      <c r="BM357" s="2">
        <v>3.9409999999999998</v>
      </c>
      <c r="BN357" s="2">
        <v>13.724</v>
      </c>
      <c r="BO357" s="2">
        <v>9.4550000000000001</v>
      </c>
      <c r="BP357" s="2">
        <v>4.6219999999999999</v>
      </c>
      <c r="BQ357" s="2">
        <v>7.88</v>
      </c>
      <c r="BR357" s="2">
        <v>5.4329999999999998</v>
      </c>
      <c r="BS357" s="2">
        <v>0</v>
      </c>
      <c r="BT357" s="2">
        <v>0.53300000000000003</v>
      </c>
      <c r="BU357" s="2">
        <v>6.25</v>
      </c>
      <c r="BV357" s="2">
        <f t="shared" si="25"/>
        <v>114.81600000000002</v>
      </c>
      <c r="BW357" s="16">
        <f t="shared" si="23"/>
        <v>6.0429473684210535</v>
      </c>
      <c r="BX357" s="16">
        <f>COUNTIF($BC$6:BU357, "=0") / COUNTIF($BC$6:BU357, "&gt;-1")</f>
        <v>8.9264354066985643E-2</v>
      </c>
      <c r="BY357" s="18">
        <f>SUM($BC$6:BU357) / $BY$4</f>
        <v>0.79112495295066976</v>
      </c>
      <c r="BZ357" s="14">
        <f t="shared" si="24"/>
        <v>3</v>
      </c>
      <c r="CA357" t="s">
        <v>5831</v>
      </c>
      <c r="CB357" s="36">
        <v>6.9063673562579604</v>
      </c>
      <c r="CC357" s="36">
        <v>6.5488360206066396</v>
      </c>
      <c r="CD357" s="36">
        <v>8.4842276076049696</v>
      </c>
      <c r="CE357" s="36">
        <v>0.37798043978830698</v>
      </c>
      <c r="CF357" s="36">
        <v>8.0856577834067895</v>
      </c>
      <c r="CG357" s="36">
        <v>9.7621360897146605</v>
      </c>
      <c r="CH357" s="36">
        <v>9.6973730023546896</v>
      </c>
      <c r="CI357" s="36">
        <v>4.5739629105168396</v>
      </c>
      <c r="CJ357" s="37">
        <v>9.0602445429925105</v>
      </c>
      <c r="CK357" s="37">
        <v>2.4595336228643099</v>
      </c>
      <c r="CL357" s="37">
        <v>10.9607445712626</v>
      </c>
      <c r="CM357" s="37">
        <v>8.0421969426994409</v>
      </c>
      <c r="CN357" s="37">
        <v>7.2584612699394002</v>
      </c>
      <c r="CO357" s="37">
        <v>4.2616290800796799</v>
      </c>
      <c r="CP357" s="37">
        <v>0.377135011965606</v>
      </c>
      <c r="CQ357" s="37">
        <v>9.5926121327900908</v>
      </c>
      <c r="CR357" s="45">
        <v>-7.7257286532202096E-2</v>
      </c>
      <c r="CS357" s="45">
        <v>-1.04660382352516</v>
      </c>
      <c r="CT357" s="46">
        <v>0.90219502826190001</v>
      </c>
      <c r="CU357" s="47">
        <v>0.93576507582513402</v>
      </c>
      <c r="CV357" s="48">
        <v>6.80456765128136</v>
      </c>
      <c r="CW357" s="49">
        <v>6.5015696468242004</v>
      </c>
      <c r="CX357" s="31" t="s">
        <v>5875</v>
      </c>
      <c r="CY357" s="31" t="s">
        <v>5832</v>
      </c>
      <c r="CZ357" t="s">
        <v>7359</v>
      </c>
      <c r="DA357" t="s">
        <v>5896</v>
      </c>
      <c r="DB357">
        <v>525.79999999999995</v>
      </c>
      <c r="DC357" t="s">
        <v>18454</v>
      </c>
      <c r="DD357" t="s">
        <v>18455</v>
      </c>
      <c r="DE357" t="s">
        <v>18456</v>
      </c>
      <c r="DF357" t="s">
        <v>18457</v>
      </c>
      <c r="DG357" t="s">
        <v>18458</v>
      </c>
      <c r="DH357" t="str">
        <f>"HSPA8"</f>
        <v>HSPA8</v>
      </c>
      <c r="DI357" t="s">
        <v>18459</v>
      </c>
      <c r="DJ357" t="s">
        <v>13777</v>
      </c>
      <c r="DK357">
        <v>9606</v>
      </c>
      <c r="DL357" s="34" t="str">
        <f>HYPERLINK("http://www.uniprot.org/uniprot/P11142", "P11142")</f>
        <v>P11142</v>
      </c>
      <c r="DM357" t="s">
        <v>18460</v>
      </c>
      <c r="DN357" t="s">
        <v>18461</v>
      </c>
      <c r="DO357" t="s">
        <v>18462</v>
      </c>
      <c r="DP357" t="s">
        <v>13780</v>
      </c>
      <c r="DQ357" t="s">
        <v>13772</v>
      </c>
      <c r="DR357" t="s">
        <v>13772</v>
      </c>
      <c r="DS357" t="s">
        <v>13772</v>
      </c>
      <c r="DT357" t="s">
        <v>14005</v>
      </c>
      <c r="DU357" t="s">
        <v>18463</v>
      </c>
      <c r="DV357" t="s">
        <v>14663</v>
      </c>
      <c r="DW357" t="s">
        <v>13812</v>
      </c>
      <c r="DX357" t="s">
        <v>18464</v>
      </c>
      <c r="DY357" t="s">
        <v>18465</v>
      </c>
      <c r="DZ357" t="s">
        <v>18466</v>
      </c>
      <c r="EA357" t="s">
        <v>13772</v>
      </c>
      <c r="EB357" t="s">
        <v>18467</v>
      </c>
    </row>
    <row r="358" spans="1:132">
      <c r="A358">
        <v>181</v>
      </c>
      <c r="B358">
        <v>1</v>
      </c>
      <c r="C358" t="s">
        <v>459</v>
      </c>
      <c r="D358" t="s">
        <v>73</v>
      </c>
      <c r="E358" t="s">
        <v>73</v>
      </c>
      <c r="F358" t="s">
        <v>73</v>
      </c>
      <c r="G358" t="s">
        <v>73</v>
      </c>
      <c r="H358">
        <v>40.5</v>
      </c>
      <c r="I358">
        <v>294</v>
      </c>
      <c r="J358">
        <v>30202</v>
      </c>
      <c r="K358" t="s">
        <v>460</v>
      </c>
      <c r="L358">
        <f t="shared" si="22"/>
        <v>114</v>
      </c>
      <c r="N358">
        <v>114</v>
      </c>
      <c r="O358">
        <v>114</v>
      </c>
      <c r="P358">
        <v>1</v>
      </c>
      <c r="Q358">
        <v>2</v>
      </c>
      <c r="R358">
        <v>3</v>
      </c>
      <c r="S358">
        <v>3</v>
      </c>
      <c r="T358">
        <v>1</v>
      </c>
      <c r="U358">
        <v>3</v>
      </c>
      <c r="V358">
        <v>3</v>
      </c>
      <c r="W358">
        <v>4</v>
      </c>
      <c r="X358">
        <v>4</v>
      </c>
      <c r="Y358">
        <v>26</v>
      </c>
      <c r="Z358">
        <v>2</v>
      </c>
      <c r="AA358">
        <v>16</v>
      </c>
      <c r="AB358">
        <v>12</v>
      </c>
      <c r="AC358">
        <v>10</v>
      </c>
      <c r="AD358">
        <v>4</v>
      </c>
      <c r="AE358">
        <v>7</v>
      </c>
      <c r="AF358">
        <v>6</v>
      </c>
      <c r="AG358">
        <v>4</v>
      </c>
      <c r="AH358">
        <v>2</v>
      </c>
      <c r="AI358">
        <v>2</v>
      </c>
      <c r="AJ358">
        <v>2</v>
      </c>
      <c r="AK358">
        <v>3</v>
      </c>
      <c r="AL358">
        <v>3</v>
      </c>
      <c r="AM358">
        <v>1</v>
      </c>
      <c r="AN358">
        <v>3</v>
      </c>
      <c r="AO358">
        <v>3</v>
      </c>
      <c r="AP358">
        <v>4</v>
      </c>
      <c r="AQ358">
        <v>4</v>
      </c>
      <c r="AR358">
        <v>26</v>
      </c>
      <c r="AS358">
        <v>2</v>
      </c>
      <c r="AT358">
        <v>16</v>
      </c>
      <c r="AU358">
        <v>12</v>
      </c>
      <c r="AV358">
        <v>10</v>
      </c>
      <c r="AW358">
        <v>4</v>
      </c>
      <c r="AX358">
        <v>7</v>
      </c>
      <c r="AY358">
        <v>6</v>
      </c>
      <c r="AZ358">
        <v>4</v>
      </c>
      <c r="BA358">
        <v>2</v>
      </c>
      <c r="BB358">
        <v>2</v>
      </c>
      <c r="BC358" s="2">
        <v>2</v>
      </c>
      <c r="BD358" s="2">
        <v>3</v>
      </c>
      <c r="BE358" s="2">
        <v>3</v>
      </c>
      <c r="BF358" s="2">
        <v>1</v>
      </c>
      <c r="BG358" s="2">
        <v>3</v>
      </c>
      <c r="BH358" s="2">
        <v>3</v>
      </c>
      <c r="BI358" s="2">
        <v>4</v>
      </c>
      <c r="BJ358" s="2">
        <v>4</v>
      </c>
      <c r="BK358" s="2">
        <v>26</v>
      </c>
      <c r="BL358" s="2">
        <v>2</v>
      </c>
      <c r="BM358" s="2">
        <v>16</v>
      </c>
      <c r="BN358" s="2">
        <v>12</v>
      </c>
      <c r="BO358" s="2">
        <v>10</v>
      </c>
      <c r="BP358" s="2">
        <v>4</v>
      </c>
      <c r="BQ358" s="2">
        <v>7</v>
      </c>
      <c r="BR358" s="2">
        <v>6</v>
      </c>
      <c r="BS358" s="2">
        <v>4</v>
      </c>
      <c r="BT358" s="2">
        <v>2</v>
      </c>
      <c r="BU358" s="2">
        <v>2</v>
      </c>
      <c r="BV358" s="2">
        <f t="shared" si="25"/>
        <v>114</v>
      </c>
      <c r="BW358" s="16">
        <f t="shared" si="23"/>
        <v>6</v>
      </c>
      <c r="BX358" s="16">
        <f>COUNTIF($BC$6:BU358, "=0") / COUNTIF($BC$6:BU358, "&gt;-1")</f>
        <v>8.901148054271657E-2</v>
      </c>
      <c r="BY358" s="18">
        <f>SUM($BC$6:BU358) / $BY$4</f>
        <v>0.79161328755370164</v>
      </c>
      <c r="BZ358" s="14">
        <f t="shared" si="24"/>
        <v>0</v>
      </c>
      <c r="CA358" t="s">
        <v>5831</v>
      </c>
      <c r="CB358" s="36">
        <v>2.4232867916694598</v>
      </c>
      <c r="CC358" s="36">
        <v>2.8891923620323401</v>
      </c>
      <c r="CD358" s="36">
        <v>4.8023929854367697</v>
      </c>
      <c r="CE358" s="36">
        <v>1.5119217591532299</v>
      </c>
      <c r="CF358" s="36">
        <v>2.5805290798106801</v>
      </c>
      <c r="CG358" s="36">
        <v>2.7891817399184702</v>
      </c>
      <c r="CH358" s="36">
        <v>4.21624913145856</v>
      </c>
      <c r="CI358" s="36">
        <v>3.8927343919292201</v>
      </c>
      <c r="CJ358" s="37">
        <v>20.663715624368901</v>
      </c>
      <c r="CK358" s="37">
        <v>10.0903943502126</v>
      </c>
      <c r="CL358" s="37">
        <v>9.6006521792081099</v>
      </c>
      <c r="CM358" s="37">
        <v>8.4654704659994096</v>
      </c>
      <c r="CN358" s="37">
        <v>6.4315479607058004</v>
      </c>
      <c r="CO358" s="37">
        <v>4.7351434223107498</v>
      </c>
      <c r="CP358" s="37">
        <v>6.0341601914496898</v>
      </c>
      <c r="CQ358" s="37">
        <v>3.0452736929492299</v>
      </c>
      <c r="CR358" s="45">
        <v>1.47553580812952</v>
      </c>
      <c r="CS358" s="45">
        <v>2.7510461944845601</v>
      </c>
      <c r="CT358" s="46">
        <v>1.06357596112426E-3</v>
      </c>
      <c r="CU358" s="47">
        <v>2.37659282993736E-3</v>
      </c>
      <c r="CV358" s="48">
        <v>3.1381860301760902</v>
      </c>
      <c r="CW358" s="49">
        <v>8.6332947359005594</v>
      </c>
      <c r="CX358" s="31" t="s">
        <v>5874</v>
      </c>
      <c r="CY358" s="31" t="s">
        <v>5876</v>
      </c>
      <c r="CZ358" t="s">
        <v>6322</v>
      </c>
      <c r="DA358" t="s">
        <v>5904</v>
      </c>
      <c r="DB358">
        <v>391.7</v>
      </c>
      <c r="DC358" t="s">
        <v>15246</v>
      </c>
      <c r="DD358" t="s">
        <v>15247</v>
      </c>
      <c r="DE358" t="s">
        <v>15248</v>
      </c>
      <c r="DF358" t="s">
        <v>15249</v>
      </c>
      <c r="DG358" t="s">
        <v>15250</v>
      </c>
      <c r="DH358" t="str">
        <f>"LGALS3"</f>
        <v>LGALS3</v>
      </c>
      <c r="DI358" t="s">
        <v>15251</v>
      </c>
      <c r="DJ358" t="s">
        <v>13777</v>
      </c>
      <c r="DK358">
        <v>9606</v>
      </c>
      <c r="DL358" s="34" t="str">
        <f>HYPERLINK("http://www.uniprot.org/uniprot/P17931", "P17931")</f>
        <v>P17931</v>
      </c>
      <c r="DM358" t="s">
        <v>15252</v>
      </c>
      <c r="DN358" t="s">
        <v>15253</v>
      </c>
      <c r="DO358" t="s">
        <v>15254</v>
      </c>
      <c r="DP358" t="s">
        <v>13793</v>
      </c>
      <c r="DQ358" t="s">
        <v>13772</v>
      </c>
      <c r="DR358" t="s">
        <v>13772</v>
      </c>
      <c r="DS358" t="s">
        <v>14096</v>
      </c>
      <c r="DT358" t="s">
        <v>14277</v>
      </c>
      <c r="DU358" t="s">
        <v>15255</v>
      </c>
      <c r="DV358" t="s">
        <v>15256</v>
      </c>
      <c r="DW358" t="s">
        <v>13812</v>
      </c>
      <c r="DX358" t="s">
        <v>15257</v>
      </c>
      <c r="DY358" t="s">
        <v>15258</v>
      </c>
      <c r="DZ358" t="s">
        <v>15259</v>
      </c>
      <c r="EA358" t="s">
        <v>13772</v>
      </c>
      <c r="EB358" t="s">
        <v>15260</v>
      </c>
    </row>
    <row r="359" spans="1:132" hidden="1">
      <c r="A359">
        <v>1823</v>
      </c>
      <c r="B359">
        <v>1</v>
      </c>
      <c r="C359" t="s">
        <v>4310</v>
      </c>
      <c r="D359" t="s">
        <v>73</v>
      </c>
      <c r="E359" t="s">
        <v>73</v>
      </c>
      <c r="F359" t="s">
        <v>73</v>
      </c>
      <c r="G359" t="s">
        <v>73</v>
      </c>
      <c r="H359">
        <v>61.2</v>
      </c>
      <c r="I359">
        <v>338</v>
      </c>
      <c r="J359">
        <v>35560</v>
      </c>
      <c r="K359" t="s">
        <v>4311</v>
      </c>
      <c r="L359">
        <f t="shared" si="22"/>
        <v>114</v>
      </c>
      <c r="N359">
        <v>114</v>
      </c>
      <c r="O359">
        <v>114</v>
      </c>
      <c r="P359">
        <v>1</v>
      </c>
      <c r="Q359">
        <v>2</v>
      </c>
      <c r="R359">
        <v>12</v>
      </c>
      <c r="S359">
        <v>3</v>
      </c>
      <c r="T359">
        <v>1</v>
      </c>
      <c r="U359">
        <v>6</v>
      </c>
      <c r="V359">
        <v>6</v>
      </c>
      <c r="W359">
        <v>2</v>
      </c>
      <c r="X359">
        <v>9</v>
      </c>
      <c r="Y359">
        <v>6</v>
      </c>
      <c r="Z359">
        <v>0</v>
      </c>
      <c r="AA359">
        <v>12</v>
      </c>
      <c r="AB359">
        <v>13</v>
      </c>
      <c r="AC359">
        <v>11</v>
      </c>
      <c r="AD359">
        <v>3</v>
      </c>
      <c r="AE359">
        <v>12</v>
      </c>
      <c r="AF359">
        <v>9</v>
      </c>
      <c r="AG359">
        <v>5</v>
      </c>
      <c r="AH359">
        <v>0</v>
      </c>
      <c r="AI359">
        <v>2</v>
      </c>
      <c r="AJ359">
        <v>2</v>
      </c>
      <c r="AK359">
        <v>12</v>
      </c>
      <c r="AL359">
        <v>3</v>
      </c>
      <c r="AM359">
        <v>1</v>
      </c>
      <c r="AN359">
        <v>6</v>
      </c>
      <c r="AO359">
        <v>6</v>
      </c>
      <c r="AP359">
        <v>2</v>
      </c>
      <c r="AQ359">
        <v>9</v>
      </c>
      <c r="AR359">
        <v>6</v>
      </c>
      <c r="AS359">
        <v>0</v>
      </c>
      <c r="AT359">
        <v>12</v>
      </c>
      <c r="AU359">
        <v>13</v>
      </c>
      <c r="AV359">
        <v>11</v>
      </c>
      <c r="AW359">
        <v>3</v>
      </c>
      <c r="AX359">
        <v>12</v>
      </c>
      <c r="AY359">
        <v>9</v>
      </c>
      <c r="AZ359">
        <v>5</v>
      </c>
      <c r="BA359">
        <v>0</v>
      </c>
      <c r="BB359">
        <v>2</v>
      </c>
      <c r="BC359" s="2">
        <v>2</v>
      </c>
      <c r="BD359" s="2">
        <v>12</v>
      </c>
      <c r="BE359" s="2">
        <v>3</v>
      </c>
      <c r="BF359" s="2">
        <v>1</v>
      </c>
      <c r="BG359" s="2">
        <v>6</v>
      </c>
      <c r="BH359" s="2">
        <v>6</v>
      </c>
      <c r="BI359" s="2">
        <v>2</v>
      </c>
      <c r="BJ359" s="2">
        <v>9</v>
      </c>
      <c r="BK359" s="2">
        <v>6</v>
      </c>
      <c r="BL359" s="2">
        <v>0</v>
      </c>
      <c r="BM359" s="2">
        <v>12</v>
      </c>
      <c r="BN359" s="2">
        <v>13</v>
      </c>
      <c r="BO359" s="2">
        <v>11</v>
      </c>
      <c r="BP359" s="2">
        <v>3</v>
      </c>
      <c r="BQ359" s="2">
        <v>12</v>
      </c>
      <c r="BR359" s="2">
        <v>9</v>
      </c>
      <c r="BS359" s="2">
        <v>5</v>
      </c>
      <c r="BT359" s="2">
        <v>0</v>
      </c>
      <c r="BU359" s="2">
        <v>2</v>
      </c>
      <c r="BV359" s="2">
        <f t="shared" si="25"/>
        <v>114</v>
      </c>
      <c r="BW359" s="16">
        <f t="shared" si="23"/>
        <v>6</v>
      </c>
      <c r="BX359" s="16">
        <f>COUNTIF($BC$6:BU359, "=0") / COUNTIF($BC$6:BU359, "&gt;-1")</f>
        <v>8.9057389235801365E-2</v>
      </c>
      <c r="BY359" s="18">
        <f>SUM($BC$6:BU359) / $BY$4</f>
        <v>0.79210162215673352</v>
      </c>
      <c r="BZ359" s="14">
        <f t="shared" si="24"/>
        <v>2</v>
      </c>
      <c r="CA359" t="s">
        <v>5831</v>
      </c>
      <c r="CB359" s="36">
        <v>2.4232867916694598</v>
      </c>
      <c r="CC359" s="36">
        <v>11.556769448129399</v>
      </c>
      <c r="CD359" s="36">
        <v>4.8023929854367697</v>
      </c>
      <c r="CE359" s="36">
        <v>1.5119217591532299</v>
      </c>
      <c r="CF359" s="36">
        <v>5.1610581596213496</v>
      </c>
      <c r="CG359" s="36">
        <v>5.5783634798369501</v>
      </c>
      <c r="CH359" s="36">
        <v>2.10812456572928</v>
      </c>
      <c r="CI359" s="36">
        <v>8.7586523818407507</v>
      </c>
      <c r="CJ359" s="37">
        <v>4.7685497594697397</v>
      </c>
      <c r="CK359" s="37">
        <v>7.5677957626594301</v>
      </c>
      <c r="CL359" s="37">
        <v>10.400706527475499</v>
      </c>
      <c r="CM359" s="37">
        <v>9.3120175125993505</v>
      </c>
      <c r="CN359" s="37">
        <v>11.0255107897814</v>
      </c>
      <c r="CO359" s="37">
        <v>7.1027151334661296</v>
      </c>
      <c r="CP359" s="37">
        <v>7.5427002393121096</v>
      </c>
      <c r="CQ359" s="37">
        <v>3.0452736929492299</v>
      </c>
      <c r="CR359" s="45">
        <v>0.498681928355377</v>
      </c>
      <c r="CS359" s="45">
        <v>1.4502253797324101</v>
      </c>
      <c r="CT359" s="46">
        <v>0.23319298854909701</v>
      </c>
      <c r="CU359" s="47">
        <v>0.30292448415406997</v>
      </c>
      <c r="CV359" s="48">
        <v>5.2375711964271403</v>
      </c>
      <c r="CW359" s="49">
        <v>7.5956586772141002</v>
      </c>
      <c r="CX359" s="31" t="s">
        <v>5874</v>
      </c>
      <c r="CY359" s="31" t="s">
        <v>5832</v>
      </c>
      <c r="CZ359" t="s">
        <v>11834</v>
      </c>
      <c r="DA359" t="s">
        <v>5904</v>
      </c>
      <c r="DB359">
        <v>654.4</v>
      </c>
      <c r="DC359" t="s">
        <v>31306</v>
      </c>
      <c r="DD359" t="s">
        <v>13772</v>
      </c>
      <c r="DE359" t="s">
        <v>31307</v>
      </c>
      <c r="DF359" t="s">
        <v>31308</v>
      </c>
      <c r="DG359" t="s">
        <v>31309</v>
      </c>
      <c r="DH359" t="str">
        <f>"MDH2"</f>
        <v>MDH2</v>
      </c>
      <c r="DI359" t="s">
        <v>13772</v>
      </c>
      <c r="DJ359" t="s">
        <v>13777</v>
      </c>
      <c r="DK359">
        <v>9606</v>
      </c>
      <c r="DL359" s="34" t="str">
        <f>HYPERLINK("http://www.uniprot.org/uniprot/P40926", "P40926")</f>
        <v>P40926</v>
      </c>
      <c r="DM359" t="s">
        <v>31310</v>
      </c>
      <c r="DN359" t="s">
        <v>15224</v>
      </c>
      <c r="DO359" t="s">
        <v>14491</v>
      </c>
      <c r="DP359" t="s">
        <v>13780</v>
      </c>
      <c r="DQ359" t="s">
        <v>13772</v>
      </c>
      <c r="DR359" t="s">
        <v>17649</v>
      </c>
      <c r="DS359" t="s">
        <v>14391</v>
      </c>
      <c r="DT359" t="s">
        <v>14492</v>
      </c>
      <c r="DU359" t="s">
        <v>13885</v>
      </c>
      <c r="DV359" t="s">
        <v>14182</v>
      </c>
      <c r="DW359" t="s">
        <v>13812</v>
      </c>
      <c r="DX359" t="s">
        <v>31311</v>
      </c>
      <c r="DY359" t="s">
        <v>31312</v>
      </c>
      <c r="DZ359" t="s">
        <v>31313</v>
      </c>
      <c r="EA359" t="s">
        <v>13772</v>
      </c>
      <c r="EB359" t="s">
        <v>31314</v>
      </c>
    </row>
    <row r="360" spans="1:132" hidden="1">
      <c r="A360">
        <v>2061</v>
      </c>
      <c r="B360">
        <v>1</v>
      </c>
      <c r="C360" t="s">
        <v>4845</v>
      </c>
      <c r="D360" t="s">
        <v>4846</v>
      </c>
      <c r="E360" t="s">
        <v>73</v>
      </c>
      <c r="F360" t="s">
        <v>73</v>
      </c>
      <c r="G360" t="s">
        <v>73</v>
      </c>
      <c r="H360">
        <v>35.6</v>
      </c>
      <c r="I360">
        <v>388</v>
      </c>
      <c r="J360">
        <v>42739</v>
      </c>
      <c r="K360" t="s">
        <v>4847</v>
      </c>
      <c r="L360">
        <f t="shared" si="22"/>
        <v>114</v>
      </c>
      <c r="N360">
        <v>114</v>
      </c>
      <c r="O360">
        <v>114</v>
      </c>
      <c r="P360">
        <v>1</v>
      </c>
      <c r="Q360">
        <v>10</v>
      </c>
      <c r="R360">
        <v>13</v>
      </c>
      <c r="S360">
        <v>16</v>
      </c>
      <c r="T360">
        <v>15</v>
      </c>
      <c r="U360">
        <v>18</v>
      </c>
      <c r="V360">
        <v>12</v>
      </c>
      <c r="W360">
        <v>7</v>
      </c>
      <c r="X360">
        <v>5</v>
      </c>
      <c r="Y360">
        <v>1</v>
      </c>
      <c r="Z360">
        <v>0</v>
      </c>
      <c r="AA360">
        <v>2</v>
      </c>
      <c r="AB360">
        <v>8</v>
      </c>
      <c r="AC360">
        <v>1</v>
      </c>
      <c r="AD360">
        <v>0</v>
      </c>
      <c r="AE360">
        <v>2</v>
      </c>
      <c r="AF360">
        <v>2</v>
      </c>
      <c r="AG360">
        <v>1</v>
      </c>
      <c r="AH360">
        <v>0</v>
      </c>
      <c r="AI360">
        <v>1</v>
      </c>
      <c r="AJ360">
        <v>10</v>
      </c>
      <c r="AK360">
        <v>13</v>
      </c>
      <c r="AL360">
        <v>16</v>
      </c>
      <c r="AM360">
        <v>15</v>
      </c>
      <c r="AN360">
        <v>18</v>
      </c>
      <c r="AO360">
        <v>12</v>
      </c>
      <c r="AP360">
        <v>7</v>
      </c>
      <c r="AQ360">
        <v>5</v>
      </c>
      <c r="AR360">
        <v>1</v>
      </c>
      <c r="AS360">
        <v>0</v>
      </c>
      <c r="AT360">
        <v>2</v>
      </c>
      <c r="AU360">
        <v>8</v>
      </c>
      <c r="AV360">
        <v>1</v>
      </c>
      <c r="AW360">
        <v>0</v>
      </c>
      <c r="AX360">
        <v>2</v>
      </c>
      <c r="AY360">
        <v>2</v>
      </c>
      <c r="AZ360">
        <v>1</v>
      </c>
      <c r="BA360">
        <v>0</v>
      </c>
      <c r="BB360">
        <v>1</v>
      </c>
      <c r="BC360" s="2">
        <v>10</v>
      </c>
      <c r="BD360" s="2">
        <v>13</v>
      </c>
      <c r="BE360" s="2">
        <v>16</v>
      </c>
      <c r="BF360" s="2">
        <v>15</v>
      </c>
      <c r="BG360" s="2">
        <v>18</v>
      </c>
      <c r="BH360" s="2">
        <v>12</v>
      </c>
      <c r="BI360" s="2">
        <v>7</v>
      </c>
      <c r="BJ360" s="2">
        <v>5</v>
      </c>
      <c r="BK360" s="2">
        <v>1</v>
      </c>
      <c r="BL360" s="2">
        <v>0</v>
      </c>
      <c r="BM360" s="2">
        <v>2</v>
      </c>
      <c r="BN360" s="2">
        <v>8</v>
      </c>
      <c r="BO360" s="2">
        <v>1</v>
      </c>
      <c r="BP360" s="2">
        <v>0</v>
      </c>
      <c r="BQ360" s="2">
        <v>2</v>
      </c>
      <c r="BR360" s="2">
        <v>2</v>
      </c>
      <c r="BS360" s="2">
        <v>1</v>
      </c>
      <c r="BT360" s="2">
        <v>0</v>
      </c>
      <c r="BU360" s="2">
        <v>1</v>
      </c>
      <c r="BV360" s="2">
        <f t="shared" si="25"/>
        <v>114</v>
      </c>
      <c r="BW360" s="16">
        <f t="shared" si="23"/>
        <v>6</v>
      </c>
      <c r="BX360" s="16">
        <f>COUNTIF($BC$6:BU360, "=0") / COUNTIF($BC$6:BU360, "&gt;-1")</f>
        <v>8.925129725722758E-2</v>
      </c>
      <c r="BY360" s="18">
        <f>SUM($BC$6:BU360) / $BY$4</f>
        <v>0.79258995675976529</v>
      </c>
      <c r="BZ360" s="14">
        <f t="shared" si="24"/>
        <v>3</v>
      </c>
      <c r="CA360" t="s">
        <v>5831</v>
      </c>
      <c r="CB360" s="36">
        <v>12.116433958347301</v>
      </c>
      <c r="CC360" s="36">
        <v>12.519833568806799</v>
      </c>
      <c r="CD360" s="36">
        <v>25.612762588996102</v>
      </c>
      <c r="CE360" s="36">
        <v>22.6788263872984</v>
      </c>
      <c r="CF360" s="36">
        <v>15.4831744788641</v>
      </c>
      <c r="CG360" s="36">
        <v>11.1567269596739</v>
      </c>
      <c r="CH360" s="36">
        <v>7.3784359800524904</v>
      </c>
      <c r="CI360" s="36">
        <v>4.8659179899115301</v>
      </c>
      <c r="CJ360" s="37">
        <v>0.79475829324495695</v>
      </c>
      <c r="CK360" s="37">
        <v>1.2612992937765699</v>
      </c>
      <c r="CL360" s="37">
        <v>6.4004347861387396</v>
      </c>
      <c r="CM360" s="37">
        <v>0.84654704659994096</v>
      </c>
      <c r="CN360" s="37">
        <v>1.8375851316302301</v>
      </c>
      <c r="CO360" s="37">
        <v>1.5783811407702499</v>
      </c>
      <c r="CP360" s="37">
        <v>1.50854004786242</v>
      </c>
      <c r="CQ360" s="37">
        <v>1.5226368464746201</v>
      </c>
      <c r="CR360" s="45">
        <v>-2.6985330408343602</v>
      </c>
      <c r="CS360" s="45">
        <v>-7.0990994103017302</v>
      </c>
      <c r="CT360" s="46">
        <v>2.8895633414627199E-8</v>
      </c>
      <c r="CU360" s="47">
        <v>2.2478114830680901E-7</v>
      </c>
      <c r="CV360" s="48">
        <v>13.976513988993799</v>
      </c>
      <c r="CW360" s="49">
        <v>1.9687728233122199</v>
      </c>
      <c r="CX360" s="31" t="s">
        <v>5875</v>
      </c>
      <c r="CY360" s="31" t="s">
        <v>5876</v>
      </c>
      <c r="CZ360" t="s">
        <v>12624</v>
      </c>
      <c r="DA360" t="s">
        <v>5904</v>
      </c>
      <c r="DB360">
        <v>793.1</v>
      </c>
      <c r="DC360" t="s">
        <v>33511</v>
      </c>
      <c r="DD360" t="s">
        <v>33512</v>
      </c>
      <c r="DE360" t="s">
        <v>33513</v>
      </c>
      <c r="DF360" t="s">
        <v>33514</v>
      </c>
      <c r="DG360" t="s">
        <v>33515</v>
      </c>
      <c r="DH360" t="str">
        <f>"CADM4"</f>
        <v>CADM4</v>
      </c>
      <c r="DI360" t="s">
        <v>33516</v>
      </c>
      <c r="DJ360" t="s">
        <v>13777</v>
      </c>
      <c r="DK360">
        <v>9606</v>
      </c>
      <c r="DL360" s="34" t="str">
        <f>HYPERLINK("http://www.uniprot.org/uniprot/Q8NFZ8", "Q8NFZ8")</f>
        <v>Q8NFZ8</v>
      </c>
      <c r="DM360" t="s">
        <v>33517</v>
      </c>
      <c r="DN360" t="s">
        <v>13949</v>
      </c>
      <c r="DO360" t="s">
        <v>13825</v>
      </c>
      <c r="DP360" t="s">
        <v>13793</v>
      </c>
      <c r="DQ360" t="s">
        <v>13772</v>
      </c>
      <c r="DR360" t="s">
        <v>14505</v>
      </c>
      <c r="DS360" t="s">
        <v>13951</v>
      </c>
      <c r="DT360" t="s">
        <v>13772</v>
      </c>
      <c r="DU360" t="s">
        <v>13772</v>
      </c>
      <c r="DV360" t="s">
        <v>13964</v>
      </c>
      <c r="DW360" t="s">
        <v>13772</v>
      </c>
      <c r="DX360" t="s">
        <v>33518</v>
      </c>
      <c r="DY360" t="s">
        <v>33519</v>
      </c>
      <c r="DZ360" t="s">
        <v>33520</v>
      </c>
      <c r="EA360" t="s">
        <v>13772</v>
      </c>
      <c r="EB360" t="s">
        <v>13772</v>
      </c>
    </row>
    <row r="361" spans="1:132" hidden="1">
      <c r="A361">
        <v>1638</v>
      </c>
      <c r="B361">
        <v>1</v>
      </c>
      <c r="C361" t="s">
        <v>3883</v>
      </c>
      <c r="D361" t="s">
        <v>73</v>
      </c>
      <c r="E361" t="s">
        <v>73</v>
      </c>
      <c r="F361" t="s">
        <v>3884</v>
      </c>
      <c r="G361" t="s">
        <v>73</v>
      </c>
      <c r="H361">
        <v>63.4</v>
      </c>
      <c r="I361">
        <v>186</v>
      </c>
      <c r="J361">
        <v>18790</v>
      </c>
      <c r="K361" t="s">
        <v>3885</v>
      </c>
      <c r="L361">
        <f t="shared" si="22"/>
        <v>134</v>
      </c>
      <c r="N361">
        <v>134</v>
      </c>
      <c r="O361">
        <v>54</v>
      </c>
      <c r="P361">
        <v>0.40300000000000002</v>
      </c>
      <c r="Q361">
        <v>8</v>
      </c>
      <c r="R361">
        <v>6</v>
      </c>
      <c r="S361">
        <v>6</v>
      </c>
      <c r="T361">
        <v>7</v>
      </c>
      <c r="U361">
        <v>4</v>
      </c>
      <c r="V361">
        <v>14</v>
      </c>
      <c r="W361">
        <v>14</v>
      </c>
      <c r="X361">
        <v>12</v>
      </c>
      <c r="Y361">
        <v>4</v>
      </c>
      <c r="Z361">
        <v>0</v>
      </c>
      <c r="AA361">
        <v>7</v>
      </c>
      <c r="AB361">
        <v>7</v>
      </c>
      <c r="AC361">
        <v>8</v>
      </c>
      <c r="AD361">
        <v>0</v>
      </c>
      <c r="AE361">
        <v>4</v>
      </c>
      <c r="AF361">
        <v>10</v>
      </c>
      <c r="AG361">
        <v>13</v>
      </c>
      <c r="AH361">
        <v>0</v>
      </c>
      <c r="AI361">
        <v>10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5</v>
      </c>
      <c r="AP361">
        <v>7</v>
      </c>
      <c r="AQ361">
        <v>7</v>
      </c>
      <c r="AR361">
        <v>2</v>
      </c>
      <c r="AS361">
        <v>0</v>
      </c>
      <c r="AT361">
        <v>3</v>
      </c>
      <c r="AU361">
        <v>1</v>
      </c>
      <c r="AV361">
        <v>3</v>
      </c>
      <c r="AW361">
        <v>0</v>
      </c>
      <c r="AX361">
        <v>2</v>
      </c>
      <c r="AY361">
        <v>9</v>
      </c>
      <c r="AZ361">
        <v>7</v>
      </c>
      <c r="BA361">
        <v>0</v>
      </c>
      <c r="BB361">
        <v>7</v>
      </c>
      <c r="BC361" s="2">
        <v>4</v>
      </c>
      <c r="BD361" s="2">
        <v>6</v>
      </c>
      <c r="BE361" s="2">
        <v>3</v>
      </c>
      <c r="BF361" s="2">
        <v>3.5</v>
      </c>
      <c r="BG361" s="2">
        <v>2</v>
      </c>
      <c r="BH361" s="2">
        <v>12.5</v>
      </c>
      <c r="BI361" s="2">
        <v>13.125</v>
      </c>
      <c r="BJ361" s="2">
        <v>11.375</v>
      </c>
      <c r="BK361" s="2">
        <v>4</v>
      </c>
      <c r="BL361" s="2">
        <v>0</v>
      </c>
      <c r="BM361" s="2">
        <v>7</v>
      </c>
      <c r="BN361" s="2">
        <v>4</v>
      </c>
      <c r="BO361" s="2">
        <v>8</v>
      </c>
      <c r="BP361" s="2">
        <v>0</v>
      </c>
      <c r="BQ361" s="2">
        <v>4</v>
      </c>
      <c r="BR361" s="2">
        <v>9.8179999999999996</v>
      </c>
      <c r="BS361" s="2">
        <v>12.25</v>
      </c>
      <c r="BT361" s="2">
        <v>0</v>
      </c>
      <c r="BU361" s="2">
        <v>9.3330000000000002</v>
      </c>
      <c r="BV361" s="2">
        <f t="shared" si="25"/>
        <v>113.901</v>
      </c>
      <c r="BW361" s="16">
        <f t="shared" si="23"/>
        <v>5.99478947368421</v>
      </c>
      <c r="BX361" s="16">
        <f>COUNTIF($BC$6:BU361, "=0") / COUNTIF($BC$6:BU361, "&gt;-1")</f>
        <v>8.9444115907746896E-2</v>
      </c>
      <c r="BY361" s="18">
        <f>SUM($BC$6:BU361) / $BY$4</f>
        <v>0.79307786728274721</v>
      </c>
      <c r="BZ361" s="14">
        <f t="shared" si="24"/>
        <v>3</v>
      </c>
      <c r="CA361" t="s">
        <v>5831</v>
      </c>
      <c r="CB361" s="36">
        <v>4.8465735833389196</v>
      </c>
      <c r="CC361" s="36">
        <v>5.7783847240646802</v>
      </c>
      <c r="CD361" s="36">
        <v>4.8023929854367697</v>
      </c>
      <c r="CE361" s="36">
        <v>5.2917261570363001</v>
      </c>
      <c r="CF361" s="36">
        <v>1.72035271987378</v>
      </c>
      <c r="CG361" s="36">
        <v>11.621590582993599</v>
      </c>
      <c r="CH361" s="36">
        <v>13.808215905526801</v>
      </c>
      <c r="CI361" s="36">
        <v>11.0942930169983</v>
      </c>
      <c r="CJ361" s="37">
        <v>3.17903317297983</v>
      </c>
      <c r="CK361" s="37">
        <v>4.4145475282179998</v>
      </c>
      <c r="CL361" s="37">
        <v>3.2002173930693698</v>
      </c>
      <c r="CM361" s="37">
        <v>6.7723763727995303</v>
      </c>
      <c r="CN361" s="37">
        <v>3.6751702632604601</v>
      </c>
      <c r="CO361" s="37">
        <v>7.7340675897742299</v>
      </c>
      <c r="CP361" s="37">
        <v>18.555042588707799</v>
      </c>
      <c r="CQ361" s="37">
        <v>14.160522672213901</v>
      </c>
      <c r="CR361" s="45">
        <v>-3.6469405736108997E-2</v>
      </c>
      <c r="CS361" s="45">
        <v>1.04625652366429</v>
      </c>
      <c r="CT361" s="46">
        <v>1</v>
      </c>
      <c r="CU361" s="47">
        <v>1</v>
      </c>
      <c r="CV361" s="48">
        <v>7.37044120940865</v>
      </c>
      <c r="CW361" s="49">
        <v>7.7113721976278899</v>
      </c>
      <c r="CX361" s="31" t="s">
        <v>5874</v>
      </c>
      <c r="CY361" s="31" t="s">
        <v>5832</v>
      </c>
      <c r="CZ361" t="s">
        <v>11207</v>
      </c>
      <c r="DA361" t="s">
        <v>5904</v>
      </c>
      <c r="DB361">
        <v>102.1</v>
      </c>
      <c r="DC361" t="s">
        <v>29498</v>
      </c>
      <c r="DD361" t="s">
        <v>29499</v>
      </c>
      <c r="DE361" t="s">
        <v>29500</v>
      </c>
      <c r="DF361" t="s">
        <v>29501</v>
      </c>
      <c r="DG361" t="s">
        <v>29502</v>
      </c>
      <c r="DH361" t="str">
        <f>"CD99"</f>
        <v>CD99</v>
      </c>
      <c r="DI361" t="s">
        <v>29503</v>
      </c>
      <c r="DJ361" t="s">
        <v>13777</v>
      </c>
      <c r="DK361">
        <v>9606</v>
      </c>
      <c r="DL361" s="34" t="str">
        <f>HYPERLINK("http://www.uniprot.org/uniprot/P14209", "P14209")</f>
        <v>P14209</v>
      </c>
      <c r="DM361" t="s">
        <v>29504</v>
      </c>
      <c r="DN361" t="s">
        <v>13949</v>
      </c>
      <c r="DO361" t="s">
        <v>13825</v>
      </c>
      <c r="DP361" t="s">
        <v>13780</v>
      </c>
      <c r="DQ361" t="s">
        <v>13772</v>
      </c>
      <c r="DR361" t="s">
        <v>13772</v>
      </c>
      <c r="DS361" t="s">
        <v>13855</v>
      </c>
      <c r="DT361" t="s">
        <v>13772</v>
      </c>
      <c r="DU361" t="s">
        <v>13772</v>
      </c>
      <c r="DV361" t="s">
        <v>13978</v>
      </c>
      <c r="DW361" t="s">
        <v>13772</v>
      </c>
      <c r="DX361" t="s">
        <v>29505</v>
      </c>
      <c r="DY361" t="s">
        <v>29506</v>
      </c>
      <c r="DZ361" t="s">
        <v>13772</v>
      </c>
      <c r="EA361" t="s">
        <v>13772</v>
      </c>
      <c r="EB361" t="s">
        <v>18850</v>
      </c>
    </row>
    <row r="362" spans="1:132" hidden="1">
      <c r="A362">
        <v>1910</v>
      </c>
      <c r="B362">
        <v>1</v>
      </c>
      <c r="C362" t="s">
        <v>4499</v>
      </c>
      <c r="D362" t="s">
        <v>4500</v>
      </c>
      <c r="E362" t="s">
        <v>73</v>
      </c>
      <c r="F362" t="s">
        <v>1755</v>
      </c>
      <c r="G362" t="s">
        <v>73</v>
      </c>
      <c r="H362">
        <v>69.400000000000006</v>
      </c>
      <c r="I362">
        <v>284</v>
      </c>
      <c r="J362">
        <v>32800</v>
      </c>
      <c r="K362" t="s">
        <v>4501</v>
      </c>
      <c r="L362">
        <f t="shared" si="22"/>
        <v>148</v>
      </c>
      <c r="N362">
        <v>148</v>
      </c>
      <c r="O362">
        <v>60</v>
      </c>
      <c r="P362">
        <v>0.40500000000000003</v>
      </c>
      <c r="Q362">
        <v>1</v>
      </c>
      <c r="R362">
        <v>1</v>
      </c>
      <c r="S362">
        <v>0</v>
      </c>
      <c r="T362">
        <v>2</v>
      </c>
      <c r="U362">
        <v>1</v>
      </c>
      <c r="V362">
        <v>1</v>
      </c>
      <c r="W362">
        <v>6</v>
      </c>
      <c r="X362">
        <v>4</v>
      </c>
      <c r="Y362">
        <v>20</v>
      </c>
      <c r="Z362">
        <v>11</v>
      </c>
      <c r="AA362">
        <v>19</v>
      </c>
      <c r="AB362">
        <v>11</v>
      </c>
      <c r="AC362">
        <v>5</v>
      </c>
      <c r="AD362">
        <v>0</v>
      </c>
      <c r="AE362">
        <v>39</v>
      </c>
      <c r="AF362">
        <v>17</v>
      </c>
      <c r="AG362">
        <v>1</v>
      </c>
      <c r="AH362">
        <v>3</v>
      </c>
      <c r="AI362">
        <v>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</v>
      </c>
      <c r="AQ362">
        <v>2</v>
      </c>
      <c r="AR362">
        <v>9</v>
      </c>
      <c r="AS362">
        <v>4</v>
      </c>
      <c r="AT362">
        <v>6</v>
      </c>
      <c r="AU362">
        <v>3</v>
      </c>
      <c r="AV362">
        <v>0</v>
      </c>
      <c r="AW362">
        <v>0</v>
      </c>
      <c r="AX362">
        <v>17</v>
      </c>
      <c r="AY362">
        <v>9</v>
      </c>
      <c r="AZ362">
        <v>1</v>
      </c>
      <c r="BA362">
        <v>1</v>
      </c>
      <c r="BB362">
        <v>4</v>
      </c>
      <c r="BC362" s="2">
        <v>0.38500000000000001</v>
      </c>
      <c r="BD362" s="2">
        <v>0.38500000000000001</v>
      </c>
      <c r="BE362" s="2">
        <v>0</v>
      </c>
      <c r="BF362" s="2">
        <v>0.76900000000000002</v>
      </c>
      <c r="BG362" s="2">
        <v>0.38500000000000001</v>
      </c>
      <c r="BH362" s="2">
        <v>0.38500000000000001</v>
      </c>
      <c r="BI362" s="2">
        <v>5.2770000000000001</v>
      </c>
      <c r="BJ362" s="2">
        <v>3.0230000000000001</v>
      </c>
      <c r="BK362" s="2">
        <v>15.077</v>
      </c>
      <c r="BL362" s="2">
        <v>7.923</v>
      </c>
      <c r="BM362" s="2">
        <v>14.692</v>
      </c>
      <c r="BN362" s="2">
        <v>8.1769999999999996</v>
      </c>
      <c r="BO362" s="2">
        <v>1.923</v>
      </c>
      <c r="BP362" s="2">
        <v>0</v>
      </c>
      <c r="BQ362" s="2">
        <v>32.015000000000001</v>
      </c>
      <c r="BR362" s="2">
        <v>14.43</v>
      </c>
      <c r="BS362" s="2">
        <v>1</v>
      </c>
      <c r="BT362" s="2">
        <v>2.3849999999999998</v>
      </c>
      <c r="BU362" s="2">
        <v>5.3849999999999998</v>
      </c>
      <c r="BV362" s="2">
        <f t="shared" si="25"/>
        <v>113.61600000000001</v>
      </c>
      <c r="BW362" s="16">
        <f t="shared" si="23"/>
        <v>5.9797894736842112</v>
      </c>
      <c r="BX362" s="16">
        <f>COUNTIF($BC$6:BU362, "=0") / COUNTIF($BC$6:BU362, "&gt;-1")</f>
        <v>8.9488426949727265E-2</v>
      </c>
      <c r="BY362" s="18">
        <f>SUM($BC$6:BU362) / $BY$4</f>
        <v>0.79356455696922179</v>
      </c>
      <c r="BZ362" s="14">
        <f t="shared" si="24"/>
        <v>2</v>
      </c>
      <c r="CA362" t="s">
        <v>5831</v>
      </c>
      <c r="CB362" s="36">
        <v>0.48465735833389201</v>
      </c>
      <c r="CC362" s="36">
        <v>0.38522564827097899</v>
      </c>
      <c r="CD362" s="36">
        <v>0.40019941545306398</v>
      </c>
      <c r="CE362" s="36">
        <v>1.20953740732258</v>
      </c>
      <c r="CF362" s="36">
        <v>0.344070543974757</v>
      </c>
      <c r="CG362" s="36">
        <v>0.371890898655796</v>
      </c>
      <c r="CH362" s="36">
        <v>5.5865300991825997</v>
      </c>
      <c r="CI362" s="36">
        <v>2.9195507939469199</v>
      </c>
      <c r="CJ362" s="37">
        <v>12.0008502279989</v>
      </c>
      <c r="CK362" s="37">
        <v>9.2705498092577994</v>
      </c>
      <c r="CL362" s="37">
        <v>6.5604456557922104</v>
      </c>
      <c r="CM362" s="37">
        <v>1.60843938853989</v>
      </c>
      <c r="CN362" s="37">
        <v>29.401362106083599</v>
      </c>
      <c r="CO362" s="37">
        <v>11.364344213545801</v>
      </c>
      <c r="CP362" s="37">
        <v>1.50854004786242</v>
      </c>
      <c r="CQ362" s="37">
        <v>8.2222389709629304</v>
      </c>
      <c r="CR362" s="45">
        <v>2.6675429021002599</v>
      </c>
      <c r="CS362" s="45">
        <v>6.83123211830336</v>
      </c>
      <c r="CT362" s="46">
        <v>9.4836854056913703E-5</v>
      </c>
      <c r="CU362" s="47">
        <v>2.6998236325138399E-4</v>
      </c>
      <c r="CV362" s="48">
        <v>1.46270777064257</v>
      </c>
      <c r="CW362" s="49">
        <v>9.9920963025054395</v>
      </c>
      <c r="CX362" s="31" t="s">
        <v>5874</v>
      </c>
      <c r="CY362" s="31" t="s">
        <v>5876</v>
      </c>
      <c r="CZ362" t="s">
        <v>12120</v>
      </c>
      <c r="DA362" t="s">
        <v>5904</v>
      </c>
      <c r="DB362">
        <v>453</v>
      </c>
      <c r="DC362" t="s">
        <v>32073</v>
      </c>
      <c r="DD362" t="s">
        <v>32074</v>
      </c>
      <c r="DE362" t="s">
        <v>32075</v>
      </c>
      <c r="DF362" t="s">
        <v>32076</v>
      </c>
      <c r="DG362" t="s">
        <v>32077</v>
      </c>
      <c r="DH362" t="str">
        <f>"TPM2"</f>
        <v>TPM2</v>
      </c>
      <c r="DI362" t="s">
        <v>32078</v>
      </c>
      <c r="DJ362" t="s">
        <v>13777</v>
      </c>
      <c r="DK362">
        <v>9606</v>
      </c>
      <c r="DL362" s="34" t="str">
        <f>HYPERLINK("http://www.uniprot.org/uniprot/P07951", "P07951")</f>
        <v>P07951</v>
      </c>
      <c r="DM362" t="s">
        <v>32079</v>
      </c>
      <c r="DN362" t="s">
        <v>13772</v>
      </c>
      <c r="DO362" t="s">
        <v>13988</v>
      </c>
      <c r="DP362" t="s">
        <v>13780</v>
      </c>
      <c r="DQ362" t="s">
        <v>13772</v>
      </c>
      <c r="DR362" t="s">
        <v>15844</v>
      </c>
      <c r="DS362" t="s">
        <v>14245</v>
      </c>
      <c r="DT362" t="s">
        <v>13772</v>
      </c>
      <c r="DU362" t="s">
        <v>14849</v>
      </c>
      <c r="DV362" t="s">
        <v>13886</v>
      </c>
      <c r="DW362" t="s">
        <v>13772</v>
      </c>
      <c r="DX362" t="s">
        <v>32080</v>
      </c>
      <c r="DY362" t="s">
        <v>32081</v>
      </c>
      <c r="DZ362" t="s">
        <v>32082</v>
      </c>
      <c r="EA362" t="s">
        <v>13772</v>
      </c>
      <c r="EB362" t="s">
        <v>14853</v>
      </c>
    </row>
    <row r="363" spans="1:132" hidden="1">
      <c r="A363">
        <v>484</v>
      </c>
      <c r="B363">
        <v>1</v>
      </c>
      <c r="C363" t="s">
        <v>1215</v>
      </c>
      <c r="D363" t="s">
        <v>1216</v>
      </c>
      <c r="E363" t="s">
        <v>73</v>
      </c>
      <c r="F363" t="s">
        <v>595</v>
      </c>
      <c r="G363" t="s">
        <v>73</v>
      </c>
      <c r="H363">
        <v>39.299999999999997</v>
      </c>
      <c r="I363">
        <v>267</v>
      </c>
      <c r="J363">
        <v>28729</v>
      </c>
      <c r="K363" t="s">
        <v>1217</v>
      </c>
      <c r="L363">
        <f t="shared" si="22"/>
        <v>119</v>
      </c>
      <c r="N363">
        <v>119</v>
      </c>
      <c r="O363">
        <v>103</v>
      </c>
      <c r="P363">
        <v>0.86599999999999999</v>
      </c>
      <c r="Q363">
        <v>1</v>
      </c>
      <c r="R363">
        <v>7</v>
      </c>
      <c r="S363">
        <v>2</v>
      </c>
      <c r="T363">
        <v>2</v>
      </c>
      <c r="U363">
        <v>6</v>
      </c>
      <c r="V363">
        <v>3</v>
      </c>
      <c r="W363">
        <v>0</v>
      </c>
      <c r="X363">
        <v>8</v>
      </c>
      <c r="Y363">
        <v>26</v>
      </c>
      <c r="Z363">
        <v>2</v>
      </c>
      <c r="AA363">
        <v>9</v>
      </c>
      <c r="AB363">
        <v>12</v>
      </c>
      <c r="AC363">
        <v>9</v>
      </c>
      <c r="AD363">
        <v>4</v>
      </c>
      <c r="AE363">
        <v>12</v>
      </c>
      <c r="AF363">
        <v>12</v>
      </c>
      <c r="AG363">
        <v>2</v>
      </c>
      <c r="AH363">
        <v>0</v>
      </c>
      <c r="AI363">
        <v>2</v>
      </c>
      <c r="AJ363">
        <v>1</v>
      </c>
      <c r="AK363">
        <v>6</v>
      </c>
      <c r="AL363">
        <v>2</v>
      </c>
      <c r="AM363">
        <v>2</v>
      </c>
      <c r="AN363">
        <v>5</v>
      </c>
      <c r="AO363">
        <v>3</v>
      </c>
      <c r="AP363">
        <v>0</v>
      </c>
      <c r="AQ363">
        <v>7</v>
      </c>
      <c r="AR363">
        <v>21</v>
      </c>
      <c r="AS363">
        <v>2</v>
      </c>
      <c r="AT363">
        <v>8</v>
      </c>
      <c r="AU363">
        <v>10</v>
      </c>
      <c r="AV363">
        <v>8</v>
      </c>
      <c r="AW363">
        <v>4</v>
      </c>
      <c r="AX363">
        <v>10</v>
      </c>
      <c r="AY363">
        <v>11</v>
      </c>
      <c r="AZ363">
        <v>2</v>
      </c>
      <c r="BA363">
        <v>0</v>
      </c>
      <c r="BB363">
        <v>1</v>
      </c>
      <c r="BC363" s="2">
        <v>1</v>
      </c>
      <c r="BD363" s="2">
        <v>6.75</v>
      </c>
      <c r="BE363" s="2">
        <v>2</v>
      </c>
      <c r="BF363" s="2">
        <v>2</v>
      </c>
      <c r="BG363" s="2">
        <v>5.8330000000000002</v>
      </c>
      <c r="BH363" s="2">
        <v>3</v>
      </c>
      <c r="BI363" s="2">
        <v>0</v>
      </c>
      <c r="BJ363" s="2">
        <v>8</v>
      </c>
      <c r="BK363" s="2">
        <v>24.295000000000002</v>
      </c>
      <c r="BL363" s="2">
        <v>2</v>
      </c>
      <c r="BM363" s="2">
        <v>8.5</v>
      </c>
      <c r="BN363" s="2">
        <v>11.667</v>
      </c>
      <c r="BO363" s="2">
        <v>8.5</v>
      </c>
      <c r="BP363" s="2">
        <v>4</v>
      </c>
      <c r="BQ363" s="2">
        <v>10.645</v>
      </c>
      <c r="BR363" s="2">
        <v>11.55</v>
      </c>
      <c r="BS363" s="2">
        <v>2</v>
      </c>
      <c r="BT363" s="2">
        <v>0</v>
      </c>
      <c r="BU363" s="2">
        <v>1.5</v>
      </c>
      <c r="BV363" s="2">
        <f t="shared" si="25"/>
        <v>113.24</v>
      </c>
      <c r="BW363" s="16">
        <f t="shared" si="23"/>
        <v>5.96</v>
      </c>
      <c r="BX363" s="16">
        <f>COUNTIF($BC$6:BU363, "=0") / COUNTIF($BC$6:BU363, "&gt;-1")</f>
        <v>8.9532490443987062E-2</v>
      </c>
      <c r="BY363" s="18">
        <f>SUM($BC$6:BU363) / $BY$4</f>
        <v>0.79404963600823342</v>
      </c>
      <c r="BZ363" s="14">
        <f t="shared" si="24"/>
        <v>2</v>
      </c>
      <c r="CA363" t="s">
        <v>5831</v>
      </c>
      <c r="CB363" s="36">
        <v>1.2116433958347299</v>
      </c>
      <c r="CC363" s="36">
        <v>6.5488360206066396</v>
      </c>
      <c r="CD363" s="36">
        <v>3.2015953236245198</v>
      </c>
      <c r="CE363" s="36">
        <v>3.0238435183064598</v>
      </c>
      <c r="CF363" s="36">
        <v>4.9890228876339702</v>
      </c>
      <c r="CG363" s="36">
        <v>2.7891817399184702</v>
      </c>
      <c r="CH363" s="36">
        <v>0.26351557071616</v>
      </c>
      <c r="CI363" s="36">
        <v>7.78546878385845</v>
      </c>
      <c r="CJ363" s="37">
        <v>19.312626525852501</v>
      </c>
      <c r="CK363" s="37">
        <v>5.3605219985504302</v>
      </c>
      <c r="CL363" s="37">
        <v>9.3606358747279099</v>
      </c>
      <c r="CM363" s="37">
        <v>7.1956498960994999</v>
      </c>
      <c r="CN363" s="37">
        <v>9.7392011976402095</v>
      </c>
      <c r="CO363" s="37">
        <v>9.1546106164674494</v>
      </c>
      <c r="CP363" s="37">
        <v>3.0170800957248498</v>
      </c>
      <c r="CQ363" s="37">
        <v>2.2839552697119201</v>
      </c>
      <c r="CR363" s="45">
        <v>1.11465662448425</v>
      </c>
      <c r="CS363" s="45">
        <v>2.19448046615884</v>
      </c>
      <c r="CT363" s="46">
        <v>2.5095934330208802E-2</v>
      </c>
      <c r="CU363" s="47">
        <v>4.2078145531101903E-2</v>
      </c>
      <c r="CV363" s="48">
        <v>3.7266384050624199</v>
      </c>
      <c r="CW363" s="49">
        <v>8.1780351843468395</v>
      </c>
      <c r="CX363" s="31" t="s">
        <v>5874</v>
      </c>
      <c r="CY363" s="31" t="s">
        <v>5878</v>
      </c>
      <c r="CZ363" t="s">
        <v>7384</v>
      </c>
      <c r="DA363" t="s">
        <v>5904</v>
      </c>
      <c r="DB363">
        <v>335.9</v>
      </c>
      <c r="DC363" t="s">
        <v>18526</v>
      </c>
      <c r="DD363" t="s">
        <v>18527</v>
      </c>
      <c r="DE363" t="s">
        <v>18528</v>
      </c>
      <c r="DF363" t="s">
        <v>18529</v>
      </c>
      <c r="DG363" t="s">
        <v>18530</v>
      </c>
      <c r="DH363" t="str">
        <f>"CFL1"</f>
        <v>CFL1</v>
      </c>
      <c r="DI363" t="s">
        <v>18531</v>
      </c>
      <c r="DJ363" t="s">
        <v>13777</v>
      </c>
      <c r="DK363">
        <v>9606</v>
      </c>
      <c r="DL363" s="34" t="str">
        <f>HYPERLINK("http://www.uniprot.org/uniprot/P23528", "P23528")</f>
        <v>P23528</v>
      </c>
      <c r="DM363" t="s">
        <v>18532</v>
      </c>
      <c r="DN363" t="s">
        <v>13772</v>
      </c>
      <c r="DO363" t="s">
        <v>18533</v>
      </c>
      <c r="DP363" t="s">
        <v>13772</v>
      </c>
      <c r="DQ363" t="s">
        <v>13772</v>
      </c>
      <c r="DR363" t="s">
        <v>13772</v>
      </c>
      <c r="DS363" t="s">
        <v>13772</v>
      </c>
      <c r="DT363" t="s">
        <v>13772</v>
      </c>
      <c r="DU363" t="s">
        <v>13990</v>
      </c>
      <c r="DV363" t="s">
        <v>13991</v>
      </c>
      <c r="DW363" t="s">
        <v>13812</v>
      </c>
      <c r="DX363" t="s">
        <v>18534</v>
      </c>
      <c r="DY363" t="s">
        <v>18535</v>
      </c>
      <c r="DZ363" t="s">
        <v>18536</v>
      </c>
      <c r="EA363" t="s">
        <v>13772</v>
      </c>
      <c r="EB363" t="s">
        <v>18537</v>
      </c>
    </row>
    <row r="364" spans="1:132" hidden="1">
      <c r="A364">
        <v>2064</v>
      </c>
      <c r="B364">
        <v>1</v>
      </c>
      <c r="C364" t="s">
        <v>4852</v>
      </c>
      <c r="D364" t="s">
        <v>73</v>
      </c>
      <c r="E364" t="s">
        <v>73</v>
      </c>
      <c r="F364" t="s">
        <v>73</v>
      </c>
      <c r="G364" t="s">
        <v>73</v>
      </c>
      <c r="H364">
        <v>56.7</v>
      </c>
      <c r="I364">
        <v>263</v>
      </c>
      <c r="J364">
        <v>28053</v>
      </c>
      <c r="K364" t="s">
        <v>4853</v>
      </c>
      <c r="L364">
        <f t="shared" si="22"/>
        <v>113</v>
      </c>
      <c r="N364">
        <v>113</v>
      </c>
      <c r="O364">
        <v>113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5</v>
      </c>
      <c r="Y364">
        <v>1</v>
      </c>
      <c r="Z364">
        <v>12</v>
      </c>
      <c r="AA364">
        <v>16</v>
      </c>
      <c r="AB364">
        <v>9</v>
      </c>
      <c r="AC364">
        <v>7</v>
      </c>
      <c r="AD364">
        <v>2</v>
      </c>
      <c r="AE364">
        <v>29</v>
      </c>
      <c r="AF364">
        <v>15</v>
      </c>
      <c r="AG364">
        <v>9</v>
      </c>
      <c r="AH364">
        <v>2</v>
      </c>
      <c r="AI364">
        <v>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5</v>
      </c>
      <c r="AR364">
        <v>1</v>
      </c>
      <c r="AS364">
        <v>12</v>
      </c>
      <c r="AT364">
        <v>16</v>
      </c>
      <c r="AU364">
        <v>9</v>
      </c>
      <c r="AV364">
        <v>7</v>
      </c>
      <c r="AW364">
        <v>2</v>
      </c>
      <c r="AX364">
        <v>29</v>
      </c>
      <c r="AY364">
        <v>15</v>
      </c>
      <c r="AZ364">
        <v>9</v>
      </c>
      <c r="BA364">
        <v>2</v>
      </c>
      <c r="BB364">
        <v>5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1</v>
      </c>
      <c r="BJ364" s="2">
        <v>5</v>
      </c>
      <c r="BK364" s="2">
        <v>1</v>
      </c>
      <c r="BL364" s="2">
        <v>12</v>
      </c>
      <c r="BM364" s="2">
        <v>16</v>
      </c>
      <c r="BN364" s="2">
        <v>9</v>
      </c>
      <c r="BO364" s="2">
        <v>7</v>
      </c>
      <c r="BP364" s="2">
        <v>2</v>
      </c>
      <c r="BQ364" s="2">
        <v>29</v>
      </c>
      <c r="BR364" s="2">
        <v>15</v>
      </c>
      <c r="BS364" s="2">
        <v>9</v>
      </c>
      <c r="BT364" s="2">
        <v>2</v>
      </c>
      <c r="BU364" s="2">
        <v>5</v>
      </c>
      <c r="BV364" s="2">
        <f t="shared" si="25"/>
        <v>113</v>
      </c>
      <c r="BW364" s="16">
        <f t="shared" si="23"/>
        <v>5.9473684210526319</v>
      </c>
      <c r="BX364" s="16">
        <f>COUNTIF($BC$6:BU364, "=0") / COUNTIF($BC$6:BU364, "&gt;-1")</f>
        <v>9.016273273713532E-2</v>
      </c>
      <c r="BY364" s="18">
        <f>SUM($BC$6:BU364) / $BY$4</f>
        <v>0.79453368697439652</v>
      </c>
      <c r="BZ364" s="14">
        <f t="shared" si="24"/>
        <v>6</v>
      </c>
      <c r="CA364" t="s">
        <v>5831</v>
      </c>
      <c r="CB364" s="36">
        <v>0.30291084895868198</v>
      </c>
      <c r="CC364" s="36">
        <v>0.24076603016936199</v>
      </c>
      <c r="CD364" s="36">
        <v>0.40019941545306398</v>
      </c>
      <c r="CE364" s="36">
        <v>0.37798043978830698</v>
      </c>
      <c r="CF364" s="36">
        <v>0.215044089984223</v>
      </c>
      <c r="CG364" s="36">
        <v>0.23243181165987301</v>
      </c>
      <c r="CH364" s="36">
        <v>1.05406228286464</v>
      </c>
      <c r="CI364" s="36">
        <v>4.8659179899115301</v>
      </c>
      <c r="CJ364" s="37">
        <v>0.79475829324495695</v>
      </c>
      <c r="CK364" s="37">
        <v>10.0903943502126</v>
      </c>
      <c r="CL364" s="37">
        <v>7.2004891344060802</v>
      </c>
      <c r="CM364" s="37">
        <v>5.9258293261995796</v>
      </c>
      <c r="CN364" s="37">
        <v>26.644984408638301</v>
      </c>
      <c r="CO364" s="37">
        <v>11.837858555776901</v>
      </c>
      <c r="CP364" s="37">
        <v>13.576860430761799</v>
      </c>
      <c r="CQ364" s="37">
        <v>7.6131842323730803</v>
      </c>
      <c r="CR364" s="45">
        <v>3.22563106904098</v>
      </c>
      <c r="CS364" s="45">
        <v>10.8832037041897</v>
      </c>
      <c r="CT364" s="46">
        <v>2.3555489570911202E-6</v>
      </c>
      <c r="CU364" s="47">
        <v>1.01016811044485E-5</v>
      </c>
      <c r="CV364" s="48">
        <v>0.96116411359871001</v>
      </c>
      <c r="CW364" s="49">
        <v>10.4605448414517</v>
      </c>
      <c r="CX364" s="31" t="s">
        <v>5874</v>
      </c>
      <c r="CY364" s="31" t="s">
        <v>5876</v>
      </c>
      <c r="CZ364" t="s">
        <v>12633</v>
      </c>
      <c r="DA364" t="s">
        <v>5904</v>
      </c>
      <c r="DB364">
        <v>466.1</v>
      </c>
      <c r="DC364" t="s">
        <v>33541</v>
      </c>
      <c r="DD364" t="s">
        <v>13772</v>
      </c>
      <c r="DE364" t="s">
        <v>33542</v>
      </c>
      <c r="DF364" t="s">
        <v>33543</v>
      </c>
      <c r="DG364" t="s">
        <v>13772</v>
      </c>
      <c r="DH364" t="str">
        <f>"CTRB1"</f>
        <v>CTRB1</v>
      </c>
      <c r="DI364" t="s">
        <v>13772</v>
      </c>
      <c r="DJ364" t="s">
        <v>13777</v>
      </c>
      <c r="DK364">
        <v>9606</v>
      </c>
      <c r="DL364" s="34" t="str">
        <f>HYPERLINK("http://www.uniprot.org/uniprot/P17538", "P17538")</f>
        <v>P17538</v>
      </c>
      <c r="DM364" t="s">
        <v>33544</v>
      </c>
      <c r="DN364" t="s">
        <v>15385</v>
      </c>
      <c r="DO364" t="s">
        <v>14321</v>
      </c>
      <c r="DP364" t="s">
        <v>13793</v>
      </c>
      <c r="DQ364" t="s">
        <v>13772</v>
      </c>
      <c r="DR364" t="s">
        <v>13772</v>
      </c>
      <c r="DS364" t="s">
        <v>13808</v>
      </c>
      <c r="DT364" t="s">
        <v>13772</v>
      </c>
      <c r="DU364" t="s">
        <v>15176</v>
      </c>
      <c r="DV364" t="s">
        <v>19250</v>
      </c>
      <c r="DW364" t="s">
        <v>13772</v>
      </c>
      <c r="DX364" t="s">
        <v>33545</v>
      </c>
      <c r="DY364" t="s">
        <v>22023</v>
      </c>
      <c r="DZ364" t="s">
        <v>25219</v>
      </c>
      <c r="EA364" t="s">
        <v>13772</v>
      </c>
      <c r="EB364" t="s">
        <v>16639</v>
      </c>
    </row>
    <row r="365" spans="1:132">
      <c r="A365">
        <v>615</v>
      </c>
      <c r="B365">
        <v>1</v>
      </c>
      <c r="C365" t="s">
        <v>1523</v>
      </c>
      <c r="D365" t="s">
        <v>1524</v>
      </c>
      <c r="E365" t="s">
        <v>73</v>
      </c>
      <c r="F365" t="s">
        <v>73</v>
      </c>
      <c r="G365" t="s">
        <v>73</v>
      </c>
      <c r="H365">
        <v>42</v>
      </c>
      <c r="I365">
        <v>188</v>
      </c>
      <c r="J365">
        <v>20740</v>
      </c>
      <c r="K365" t="s">
        <v>1525</v>
      </c>
      <c r="L365">
        <f t="shared" si="22"/>
        <v>112</v>
      </c>
      <c r="N365">
        <v>112</v>
      </c>
      <c r="O365">
        <v>112</v>
      </c>
      <c r="P365">
        <v>1</v>
      </c>
      <c r="Q365">
        <v>9</v>
      </c>
      <c r="R365">
        <v>4</v>
      </c>
      <c r="S365">
        <v>5</v>
      </c>
      <c r="T365">
        <v>9</v>
      </c>
      <c r="U365">
        <v>5</v>
      </c>
      <c r="V365">
        <v>6</v>
      </c>
      <c r="W365">
        <v>8</v>
      </c>
      <c r="X365">
        <v>5</v>
      </c>
      <c r="Y365">
        <v>3</v>
      </c>
      <c r="Z365">
        <v>1</v>
      </c>
      <c r="AA365">
        <v>13</v>
      </c>
      <c r="AB365">
        <v>7</v>
      </c>
      <c r="AC365">
        <v>1</v>
      </c>
      <c r="AD365">
        <v>2</v>
      </c>
      <c r="AE365">
        <v>23</v>
      </c>
      <c r="AF365">
        <v>5</v>
      </c>
      <c r="AG365">
        <v>4</v>
      </c>
      <c r="AH365">
        <v>1</v>
      </c>
      <c r="AI365">
        <v>1</v>
      </c>
      <c r="AJ365">
        <v>9</v>
      </c>
      <c r="AK365">
        <v>4</v>
      </c>
      <c r="AL365">
        <v>5</v>
      </c>
      <c r="AM365">
        <v>9</v>
      </c>
      <c r="AN365">
        <v>5</v>
      </c>
      <c r="AO365">
        <v>6</v>
      </c>
      <c r="AP365">
        <v>8</v>
      </c>
      <c r="AQ365">
        <v>5</v>
      </c>
      <c r="AR365">
        <v>3</v>
      </c>
      <c r="AS365">
        <v>1</v>
      </c>
      <c r="AT365">
        <v>13</v>
      </c>
      <c r="AU365">
        <v>7</v>
      </c>
      <c r="AV365">
        <v>1</v>
      </c>
      <c r="AW365">
        <v>2</v>
      </c>
      <c r="AX365">
        <v>23</v>
      </c>
      <c r="AY365">
        <v>5</v>
      </c>
      <c r="AZ365">
        <v>4</v>
      </c>
      <c r="BA365">
        <v>1</v>
      </c>
      <c r="BB365">
        <v>1</v>
      </c>
      <c r="BC365" s="2">
        <v>9</v>
      </c>
      <c r="BD365" s="2">
        <v>4</v>
      </c>
      <c r="BE365" s="2">
        <v>5</v>
      </c>
      <c r="BF365" s="2">
        <v>9</v>
      </c>
      <c r="BG365" s="2">
        <v>5</v>
      </c>
      <c r="BH365" s="2">
        <v>6</v>
      </c>
      <c r="BI365" s="2">
        <v>8</v>
      </c>
      <c r="BJ365" s="2">
        <v>5</v>
      </c>
      <c r="BK365" s="2">
        <v>3</v>
      </c>
      <c r="BL365" s="2">
        <v>1</v>
      </c>
      <c r="BM365" s="2">
        <v>13</v>
      </c>
      <c r="BN365" s="2">
        <v>7</v>
      </c>
      <c r="BO365" s="2">
        <v>1</v>
      </c>
      <c r="BP365" s="2">
        <v>2</v>
      </c>
      <c r="BQ365" s="2">
        <v>23</v>
      </c>
      <c r="BR365" s="2">
        <v>5</v>
      </c>
      <c r="BS365" s="2">
        <v>4</v>
      </c>
      <c r="BT365" s="2">
        <v>1</v>
      </c>
      <c r="BU365" s="2">
        <v>1</v>
      </c>
      <c r="BV365" s="2">
        <f t="shared" si="25"/>
        <v>112</v>
      </c>
      <c r="BW365" s="16">
        <f t="shared" si="23"/>
        <v>5.8947368421052628</v>
      </c>
      <c r="BX365" s="16">
        <f>COUNTIF($BC$6:BU365, "=0") / COUNTIF($BC$6:BU365, "&gt;-1")</f>
        <v>8.9912280701754388E-2</v>
      </c>
      <c r="BY365" s="18">
        <f>SUM($BC$6:BU365) / $BY$4</f>
        <v>0.79501345430369097</v>
      </c>
      <c r="BZ365" s="14">
        <f t="shared" si="24"/>
        <v>0</v>
      </c>
      <c r="CA365" t="s">
        <v>5831</v>
      </c>
      <c r="CB365" s="36">
        <v>10.9047905625126</v>
      </c>
      <c r="CC365" s="36">
        <v>3.85225648270979</v>
      </c>
      <c r="CD365" s="36">
        <v>8.00398830906129</v>
      </c>
      <c r="CE365" s="36">
        <v>13.6072958323791</v>
      </c>
      <c r="CF365" s="36">
        <v>4.3008817996844604</v>
      </c>
      <c r="CG365" s="36">
        <v>5.5783634798369501</v>
      </c>
      <c r="CH365" s="36">
        <v>8.4324982629171306</v>
      </c>
      <c r="CI365" s="36">
        <v>4.8659179899115301</v>
      </c>
      <c r="CJ365" s="37">
        <v>2.3842748797348698</v>
      </c>
      <c r="CK365" s="37">
        <v>8.1984454095477108</v>
      </c>
      <c r="CL365" s="37">
        <v>5.6003804378713999</v>
      </c>
      <c r="CM365" s="37">
        <v>0.84654704659994096</v>
      </c>
      <c r="CN365" s="37">
        <v>21.132229013747601</v>
      </c>
      <c r="CO365" s="37">
        <v>3.94595285192562</v>
      </c>
      <c r="CP365" s="37">
        <v>6.0341601914496898</v>
      </c>
      <c r="CQ365" s="37">
        <v>1.5226368464746201</v>
      </c>
      <c r="CR365" s="45">
        <v>-0.209296405496572</v>
      </c>
      <c r="CS365" s="45">
        <v>-1.1989618507727</v>
      </c>
      <c r="CT365" s="46">
        <v>0.67530083808422103</v>
      </c>
      <c r="CU365" s="47">
        <v>0.74673762095594098</v>
      </c>
      <c r="CV365" s="48">
        <v>7.4432490898766002</v>
      </c>
      <c r="CW365" s="49">
        <v>6.2080783346689303</v>
      </c>
      <c r="CX365" s="31" t="s">
        <v>5875</v>
      </c>
      <c r="CY365" s="31" t="s">
        <v>5832</v>
      </c>
      <c r="CZ365" t="s">
        <v>7824</v>
      </c>
      <c r="DA365" t="s">
        <v>5904</v>
      </c>
      <c r="DB365">
        <v>246.5</v>
      </c>
      <c r="DC365" t="s">
        <v>19865</v>
      </c>
      <c r="DD365" t="s">
        <v>19866</v>
      </c>
      <c r="DE365" t="s">
        <v>19867</v>
      </c>
      <c r="DF365" t="s">
        <v>19868</v>
      </c>
      <c r="DG365" t="s">
        <v>19869</v>
      </c>
      <c r="DH365" t="str">
        <f>"IL18BP"</f>
        <v>IL18BP</v>
      </c>
      <c r="DI365" t="s">
        <v>13772</v>
      </c>
      <c r="DJ365" t="s">
        <v>13777</v>
      </c>
      <c r="DK365">
        <v>9606</v>
      </c>
      <c r="DL365" s="34" t="str">
        <f>HYPERLINK("http://www.uniprot.org/uniprot/O95998", "O95998")</f>
        <v>O95998</v>
      </c>
      <c r="DM365" t="s">
        <v>19870</v>
      </c>
      <c r="DN365" t="s">
        <v>13772</v>
      </c>
      <c r="DO365" t="s">
        <v>14321</v>
      </c>
      <c r="DP365" t="s">
        <v>13780</v>
      </c>
      <c r="DQ365" t="s">
        <v>13772</v>
      </c>
      <c r="DR365" t="s">
        <v>13772</v>
      </c>
      <c r="DS365" t="s">
        <v>15698</v>
      </c>
      <c r="DT365" t="s">
        <v>13772</v>
      </c>
      <c r="DU365" t="s">
        <v>13772</v>
      </c>
      <c r="DV365" t="s">
        <v>13796</v>
      </c>
      <c r="DW365" t="s">
        <v>13772</v>
      </c>
      <c r="DX365" t="s">
        <v>19871</v>
      </c>
      <c r="DY365" t="s">
        <v>16659</v>
      </c>
      <c r="DZ365" t="s">
        <v>19872</v>
      </c>
      <c r="EA365" t="s">
        <v>13772</v>
      </c>
      <c r="EB365" t="s">
        <v>19873</v>
      </c>
    </row>
    <row r="366" spans="1:132">
      <c r="A366">
        <v>1650</v>
      </c>
      <c r="B366">
        <v>1</v>
      </c>
      <c r="C366" t="s">
        <v>3912</v>
      </c>
      <c r="D366" t="s">
        <v>3913</v>
      </c>
      <c r="E366" t="s">
        <v>73</v>
      </c>
      <c r="F366" t="s">
        <v>73</v>
      </c>
      <c r="G366" t="s">
        <v>73</v>
      </c>
      <c r="H366">
        <v>29.6</v>
      </c>
      <c r="I366">
        <v>459</v>
      </c>
      <c r="J366">
        <v>51621</v>
      </c>
      <c r="K366" t="s">
        <v>3914</v>
      </c>
      <c r="L366">
        <f t="shared" si="22"/>
        <v>111</v>
      </c>
      <c r="N366">
        <v>111</v>
      </c>
      <c r="O366">
        <v>111</v>
      </c>
      <c r="P366">
        <v>1</v>
      </c>
      <c r="Q366">
        <v>6</v>
      </c>
      <c r="R366">
        <v>6</v>
      </c>
      <c r="S366">
        <v>5</v>
      </c>
      <c r="T366">
        <v>5</v>
      </c>
      <c r="U366">
        <v>1</v>
      </c>
      <c r="V366">
        <v>4</v>
      </c>
      <c r="W366">
        <v>3</v>
      </c>
      <c r="X366">
        <v>12</v>
      </c>
      <c r="Y366">
        <v>7</v>
      </c>
      <c r="Z366">
        <v>4</v>
      </c>
      <c r="AA366">
        <v>8</v>
      </c>
      <c r="AB366">
        <v>9</v>
      </c>
      <c r="AC366">
        <v>5</v>
      </c>
      <c r="AD366">
        <v>5</v>
      </c>
      <c r="AE366">
        <v>7</v>
      </c>
      <c r="AF366">
        <v>11</v>
      </c>
      <c r="AG366">
        <v>4</v>
      </c>
      <c r="AH366">
        <v>3</v>
      </c>
      <c r="AI366">
        <v>6</v>
      </c>
      <c r="AJ366">
        <v>6</v>
      </c>
      <c r="AK366">
        <v>6</v>
      </c>
      <c r="AL366">
        <v>5</v>
      </c>
      <c r="AM366">
        <v>5</v>
      </c>
      <c r="AN366">
        <v>1</v>
      </c>
      <c r="AO366">
        <v>4</v>
      </c>
      <c r="AP366">
        <v>3</v>
      </c>
      <c r="AQ366">
        <v>12</v>
      </c>
      <c r="AR366">
        <v>7</v>
      </c>
      <c r="AS366">
        <v>4</v>
      </c>
      <c r="AT366">
        <v>8</v>
      </c>
      <c r="AU366">
        <v>9</v>
      </c>
      <c r="AV366">
        <v>5</v>
      </c>
      <c r="AW366">
        <v>5</v>
      </c>
      <c r="AX366">
        <v>7</v>
      </c>
      <c r="AY366">
        <v>11</v>
      </c>
      <c r="AZ366">
        <v>4</v>
      </c>
      <c r="BA366">
        <v>3</v>
      </c>
      <c r="BB366">
        <v>6</v>
      </c>
      <c r="BC366" s="2">
        <v>6</v>
      </c>
      <c r="BD366" s="2">
        <v>6</v>
      </c>
      <c r="BE366" s="2">
        <v>5</v>
      </c>
      <c r="BF366" s="2">
        <v>5</v>
      </c>
      <c r="BG366" s="2">
        <v>1</v>
      </c>
      <c r="BH366" s="2">
        <v>4</v>
      </c>
      <c r="BI366" s="2">
        <v>3</v>
      </c>
      <c r="BJ366" s="2">
        <v>12</v>
      </c>
      <c r="BK366" s="2">
        <v>7</v>
      </c>
      <c r="BL366" s="2">
        <v>4</v>
      </c>
      <c r="BM366" s="2">
        <v>8</v>
      </c>
      <c r="BN366" s="2">
        <v>9</v>
      </c>
      <c r="BO366" s="2">
        <v>5</v>
      </c>
      <c r="BP366" s="2">
        <v>5</v>
      </c>
      <c r="BQ366" s="2">
        <v>7</v>
      </c>
      <c r="BR366" s="2">
        <v>11</v>
      </c>
      <c r="BS366" s="2">
        <v>4</v>
      </c>
      <c r="BT366" s="2">
        <v>3</v>
      </c>
      <c r="BU366" s="2">
        <v>6</v>
      </c>
      <c r="BV366" s="2">
        <f t="shared" si="25"/>
        <v>111</v>
      </c>
      <c r="BW366" s="16">
        <f t="shared" si="23"/>
        <v>5.8421052631578947</v>
      </c>
      <c r="BX366" s="16">
        <f>COUNTIF($BC$6:BU366, "=0") / COUNTIF($BC$6:BU366, "&gt;-1")</f>
        <v>8.966321621227584E-2</v>
      </c>
      <c r="BY366" s="18">
        <f>SUM($BC$6:BU366) / $BY$4</f>
        <v>0.79548893799611675</v>
      </c>
      <c r="BZ366" s="14">
        <f t="shared" si="24"/>
        <v>0</v>
      </c>
      <c r="CA366" t="s">
        <v>5831</v>
      </c>
      <c r="CB366" s="36">
        <v>7.2698603750083803</v>
      </c>
      <c r="CC366" s="36">
        <v>5.7783847240646802</v>
      </c>
      <c r="CD366" s="36">
        <v>8.00398830906129</v>
      </c>
      <c r="CE366" s="36">
        <v>7.5596087957661497</v>
      </c>
      <c r="CF366" s="36">
        <v>0.86017635993689201</v>
      </c>
      <c r="CG366" s="36">
        <v>3.7189089865579601</v>
      </c>
      <c r="CH366" s="36">
        <v>3.1621868485939202</v>
      </c>
      <c r="CI366" s="36">
        <v>11.678203175787701</v>
      </c>
      <c r="CJ366" s="37">
        <v>5.5633080527147003</v>
      </c>
      <c r="CK366" s="37">
        <v>5.0451971751062796</v>
      </c>
      <c r="CL366" s="37">
        <v>7.2004891344060802</v>
      </c>
      <c r="CM366" s="37">
        <v>4.2327352329997003</v>
      </c>
      <c r="CN366" s="37">
        <v>6.4315479607058004</v>
      </c>
      <c r="CO366" s="37">
        <v>8.6810962742363706</v>
      </c>
      <c r="CP366" s="37">
        <v>6.0341601914496898</v>
      </c>
      <c r="CQ366" s="37">
        <v>9.1358210788476999</v>
      </c>
      <c r="CR366" s="45">
        <v>0.14318264817121801</v>
      </c>
      <c r="CS366" s="45">
        <v>1.08937996587343</v>
      </c>
      <c r="CT366" s="46">
        <v>0.81968080479765904</v>
      </c>
      <c r="CU366" s="47">
        <v>0.87042294985656199</v>
      </c>
      <c r="CV366" s="48">
        <v>6.0039146968471204</v>
      </c>
      <c r="CW366" s="49">
        <v>6.54054438755829</v>
      </c>
      <c r="CX366" s="31" t="s">
        <v>5874</v>
      </c>
      <c r="CY366" s="31" t="s">
        <v>5832</v>
      </c>
      <c r="CZ366" t="s">
        <v>11248</v>
      </c>
      <c r="DA366" t="s">
        <v>5904</v>
      </c>
      <c r="DB366">
        <v>808.5</v>
      </c>
      <c r="DC366" t="s">
        <v>29619</v>
      </c>
      <c r="DD366" t="s">
        <v>29620</v>
      </c>
      <c r="DE366" t="s">
        <v>29621</v>
      </c>
      <c r="DF366" t="s">
        <v>29622</v>
      </c>
      <c r="DG366" t="s">
        <v>29623</v>
      </c>
      <c r="DH366" t="str">
        <f>"F9"</f>
        <v>F9</v>
      </c>
      <c r="DI366" t="s">
        <v>13772</v>
      </c>
      <c r="DJ366" t="s">
        <v>13777</v>
      </c>
      <c r="DK366">
        <v>9606</v>
      </c>
      <c r="DL366" s="34" t="str">
        <f>HYPERLINK("http://www.uniprot.org/uniprot/P00740", "P00740")</f>
        <v>P00740</v>
      </c>
      <c r="DM366" t="s">
        <v>29624</v>
      </c>
      <c r="DN366" t="s">
        <v>16755</v>
      </c>
      <c r="DO366" t="s">
        <v>14321</v>
      </c>
      <c r="DP366" t="s">
        <v>13780</v>
      </c>
      <c r="DQ366" t="s">
        <v>13772</v>
      </c>
      <c r="DR366" t="s">
        <v>29625</v>
      </c>
      <c r="DS366" t="s">
        <v>14768</v>
      </c>
      <c r="DT366" t="s">
        <v>15709</v>
      </c>
      <c r="DU366" t="s">
        <v>15176</v>
      </c>
      <c r="DV366" t="s">
        <v>29626</v>
      </c>
      <c r="DW366" t="s">
        <v>14324</v>
      </c>
      <c r="DX366" t="s">
        <v>29627</v>
      </c>
      <c r="DY366" t="s">
        <v>29628</v>
      </c>
      <c r="DZ366" t="s">
        <v>29629</v>
      </c>
      <c r="EA366" t="s">
        <v>13772</v>
      </c>
      <c r="EB366" t="s">
        <v>29630</v>
      </c>
    </row>
    <row r="367" spans="1:132" hidden="1">
      <c r="A367">
        <v>2015</v>
      </c>
      <c r="B367">
        <v>1</v>
      </c>
      <c r="C367" t="s">
        <v>4741</v>
      </c>
      <c r="D367" t="s">
        <v>73</v>
      </c>
      <c r="E367" t="s">
        <v>73</v>
      </c>
      <c r="F367" t="s">
        <v>73</v>
      </c>
      <c r="G367" t="s">
        <v>73</v>
      </c>
      <c r="H367">
        <v>26.9</v>
      </c>
      <c r="I367">
        <v>1180</v>
      </c>
      <c r="J367">
        <v>134192</v>
      </c>
      <c r="K367" t="s">
        <v>4742</v>
      </c>
      <c r="L367">
        <f t="shared" si="22"/>
        <v>111</v>
      </c>
      <c r="N367">
        <v>111</v>
      </c>
      <c r="O367">
        <v>111</v>
      </c>
      <c r="P367">
        <v>1</v>
      </c>
      <c r="Q367">
        <v>8</v>
      </c>
      <c r="R367">
        <v>14</v>
      </c>
      <c r="S367">
        <v>21</v>
      </c>
      <c r="T367">
        <v>12</v>
      </c>
      <c r="U367">
        <v>18</v>
      </c>
      <c r="V367">
        <v>17</v>
      </c>
      <c r="W367">
        <v>8</v>
      </c>
      <c r="X367">
        <v>3</v>
      </c>
      <c r="Y367">
        <v>0</v>
      </c>
      <c r="Z367">
        <v>0</v>
      </c>
      <c r="AA367">
        <v>2</v>
      </c>
      <c r="AB367">
        <v>3</v>
      </c>
      <c r="AC367">
        <v>0</v>
      </c>
      <c r="AD367">
        <v>0</v>
      </c>
      <c r="AE367">
        <v>0</v>
      </c>
      <c r="AF367">
        <v>2</v>
      </c>
      <c r="AG367">
        <v>0</v>
      </c>
      <c r="AH367">
        <v>1</v>
      </c>
      <c r="AI367">
        <v>2</v>
      </c>
      <c r="AJ367">
        <v>8</v>
      </c>
      <c r="AK367">
        <v>14</v>
      </c>
      <c r="AL367">
        <v>21</v>
      </c>
      <c r="AM367">
        <v>12</v>
      </c>
      <c r="AN367">
        <v>18</v>
      </c>
      <c r="AO367">
        <v>17</v>
      </c>
      <c r="AP367">
        <v>8</v>
      </c>
      <c r="AQ367">
        <v>3</v>
      </c>
      <c r="AR367">
        <v>0</v>
      </c>
      <c r="AS367">
        <v>0</v>
      </c>
      <c r="AT367">
        <v>2</v>
      </c>
      <c r="AU367">
        <v>3</v>
      </c>
      <c r="AV367">
        <v>0</v>
      </c>
      <c r="AW367">
        <v>0</v>
      </c>
      <c r="AX367">
        <v>0</v>
      </c>
      <c r="AY367">
        <v>2</v>
      </c>
      <c r="AZ367">
        <v>0</v>
      </c>
      <c r="BA367">
        <v>1</v>
      </c>
      <c r="BB367">
        <v>2</v>
      </c>
      <c r="BC367" s="2">
        <v>8</v>
      </c>
      <c r="BD367" s="2">
        <v>14</v>
      </c>
      <c r="BE367" s="2">
        <v>21</v>
      </c>
      <c r="BF367" s="2">
        <v>12</v>
      </c>
      <c r="BG367" s="2">
        <v>18</v>
      </c>
      <c r="BH367" s="2">
        <v>17</v>
      </c>
      <c r="BI367" s="2">
        <v>8</v>
      </c>
      <c r="BJ367" s="2">
        <v>3</v>
      </c>
      <c r="BK367" s="2">
        <v>0</v>
      </c>
      <c r="BL367" s="2">
        <v>0</v>
      </c>
      <c r="BM367" s="2">
        <v>2</v>
      </c>
      <c r="BN367" s="2">
        <v>3</v>
      </c>
      <c r="BO367" s="2">
        <v>0</v>
      </c>
      <c r="BP367" s="2">
        <v>0</v>
      </c>
      <c r="BQ367" s="2">
        <v>0</v>
      </c>
      <c r="BR367" s="2">
        <v>2</v>
      </c>
      <c r="BS367" s="2">
        <v>0</v>
      </c>
      <c r="BT367" s="2">
        <v>1</v>
      </c>
      <c r="BU367" s="2">
        <v>2</v>
      </c>
      <c r="BV367" s="2">
        <f t="shared" si="25"/>
        <v>111</v>
      </c>
      <c r="BW367" s="16">
        <f t="shared" si="23"/>
        <v>5.8421052631578947</v>
      </c>
      <c r="BX367" s="16">
        <f>COUNTIF($BC$6:BU367, "=0") / COUNTIF($BC$6:BU367, "&gt;-1")</f>
        <v>9.028787438208781E-2</v>
      </c>
      <c r="BY367" s="18">
        <f>SUM($BC$6:BU367) / $BY$4</f>
        <v>0.79596442168854253</v>
      </c>
      <c r="BZ367" s="14">
        <f t="shared" si="24"/>
        <v>6</v>
      </c>
      <c r="CA367" t="s">
        <v>5831</v>
      </c>
      <c r="CB367" s="36">
        <v>9.6931471666778304</v>
      </c>
      <c r="CC367" s="36">
        <v>13.4828976894843</v>
      </c>
      <c r="CD367" s="36">
        <v>33.616750898057397</v>
      </c>
      <c r="CE367" s="36">
        <v>18.143061109838801</v>
      </c>
      <c r="CF367" s="36">
        <v>15.4831744788641</v>
      </c>
      <c r="CG367" s="36">
        <v>15.805363192871299</v>
      </c>
      <c r="CH367" s="36">
        <v>8.4324982629171306</v>
      </c>
      <c r="CI367" s="36">
        <v>2.9195507939469199</v>
      </c>
      <c r="CJ367" s="37">
        <v>0.19868957331123899</v>
      </c>
      <c r="CK367" s="37">
        <v>1.2612992937765699</v>
      </c>
      <c r="CL367" s="37">
        <v>2.4001630448020301</v>
      </c>
      <c r="CM367" s="37">
        <v>0.21163676164998499</v>
      </c>
      <c r="CN367" s="37">
        <v>0.22969814145377901</v>
      </c>
      <c r="CO367" s="37">
        <v>1.5783811407702499</v>
      </c>
      <c r="CP367" s="37">
        <v>0.377135011965606</v>
      </c>
      <c r="CQ367" s="37">
        <v>3.0452736929492299</v>
      </c>
      <c r="CR367" s="45">
        <v>-3.54622619841378</v>
      </c>
      <c r="CS367" s="45">
        <v>-12.639534157230599</v>
      </c>
      <c r="CT367" s="46">
        <v>6.4208368000604801E-10</v>
      </c>
      <c r="CU367" s="47">
        <v>9.0545536185222008E-9</v>
      </c>
      <c r="CV367" s="48">
        <v>14.6970554490822</v>
      </c>
      <c r="CW367" s="49">
        <v>1.16278458258484</v>
      </c>
      <c r="CX367" s="31" t="s">
        <v>5875</v>
      </c>
      <c r="CY367" s="31" t="s">
        <v>5876</v>
      </c>
      <c r="CZ367" t="s">
        <v>12468</v>
      </c>
      <c r="DA367" t="s">
        <v>5904</v>
      </c>
      <c r="DB367">
        <v>2368.6</v>
      </c>
      <c r="DC367" t="s">
        <v>33089</v>
      </c>
      <c r="DD367" t="s">
        <v>33090</v>
      </c>
      <c r="DE367" t="s">
        <v>33091</v>
      </c>
      <c r="DF367" t="s">
        <v>33092</v>
      </c>
      <c r="DG367" t="s">
        <v>33093</v>
      </c>
      <c r="DH367" t="str">
        <f>"GLG1"</f>
        <v>GLG1</v>
      </c>
      <c r="DI367" t="s">
        <v>33094</v>
      </c>
      <c r="DJ367" t="s">
        <v>13777</v>
      </c>
      <c r="DK367">
        <v>9606</v>
      </c>
      <c r="DL367" s="34" t="str">
        <f>HYPERLINK("http://www.uniprot.org/uniprot/Q92896", "Q92896")</f>
        <v>Q92896</v>
      </c>
      <c r="DM367" t="s">
        <v>33095</v>
      </c>
      <c r="DN367" t="s">
        <v>13772</v>
      </c>
      <c r="DO367" t="s">
        <v>18298</v>
      </c>
      <c r="DP367" t="s">
        <v>13841</v>
      </c>
      <c r="DQ367" t="s">
        <v>13772</v>
      </c>
      <c r="DR367" t="s">
        <v>13772</v>
      </c>
      <c r="DS367" t="s">
        <v>13826</v>
      </c>
      <c r="DT367" t="s">
        <v>17535</v>
      </c>
      <c r="DU367" t="s">
        <v>13772</v>
      </c>
      <c r="DV367" t="s">
        <v>13978</v>
      </c>
      <c r="DW367" t="s">
        <v>13772</v>
      </c>
      <c r="DX367" t="s">
        <v>33096</v>
      </c>
      <c r="DY367" t="s">
        <v>33097</v>
      </c>
      <c r="DZ367" t="s">
        <v>33098</v>
      </c>
      <c r="EA367" t="s">
        <v>13772</v>
      </c>
      <c r="EB367" t="s">
        <v>19461</v>
      </c>
    </row>
    <row r="368" spans="1:132" hidden="1">
      <c r="A368">
        <v>180</v>
      </c>
      <c r="B368">
        <v>1</v>
      </c>
      <c r="C368" t="s">
        <v>455</v>
      </c>
      <c r="D368" t="s">
        <v>456</v>
      </c>
      <c r="E368" t="s">
        <v>73</v>
      </c>
      <c r="F368" t="s">
        <v>457</v>
      </c>
      <c r="G368" t="s">
        <v>73</v>
      </c>
      <c r="H368">
        <v>25.3</v>
      </c>
      <c r="I368">
        <v>1100</v>
      </c>
      <c r="J368">
        <v>121434</v>
      </c>
      <c r="K368" t="s">
        <v>458</v>
      </c>
      <c r="L368">
        <f t="shared" si="22"/>
        <v>111</v>
      </c>
      <c r="N368">
        <v>111</v>
      </c>
      <c r="O368">
        <v>109</v>
      </c>
      <c r="P368">
        <v>0.98199999999999998</v>
      </c>
      <c r="Q368">
        <v>14</v>
      </c>
      <c r="R368">
        <v>6</v>
      </c>
      <c r="S368">
        <v>22</v>
      </c>
      <c r="T368">
        <v>12</v>
      </c>
      <c r="U368">
        <v>16</v>
      </c>
      <c r="V368">
        <v>19</v>
      </c>
      <c r="W368">
        <v>10</v>
      </c>
      <c r="X368">
        <v>6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5</v>
      </c>
      <c r="AG368">
        <v>0</v>
      </c>
      <c r="AH368">
        <v>0</v>
      </c>
      <c r="AI368">
        <v>0</v>
      </c>
      <c r="AJ368">
        <v>14</v>
      </c>
      <c r="AK368">
        <v>6</v>
      </c>
      <c r="AL368">
        <v>22</v>
      </c>
      <c r="AM368">
        <v>12</v>
      </c>
      <c r="AN368">
        <v>15</v>
      </c>
      <c r="AO368">
        <v>18</v>
      </c>
      <c r="AP368">
        <v>10</v>
      </c>
      <c r="AQ368">
        <v>6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5</v>
      </c>
      <c r="AZ368">
        <v>0</v>
      </c>
      <c r="BA368">
        <v>0</v>
      </c>
      <c r="BB368">
        <v>0</v>
      </c>
      <c r="BC368" s="2">
        <v>14</v>
      </c>
      <c r="BD368" s="2">
        <v>6</v>
      </c>
      <c r="BE368" s="2">
        <v>22</v>
      </c>
      <c r="BF368" s="2">
        <v>12</v>
      </c>
      <c r="BG368" s="2">
        <v>16</v>
      </c>
      <c r="BH368" s="2">
        <v>18.899999999999999</v>
      </c>
      <c r="BI368" s="2">
        <v>10</v>
      </c>
      <c r="BJ368" s="2">
        <v>6</v>
      </c>
      <c r="BK368" s="2">
        <v>0</v>
      </c>
      <c r="BL368" s="2">
        <v>0</v>
      </c>
      <c r="BM368" s="2">
        <v>0</v>
      </c>
      <c r="BN368" s="2">
        <v>1</v>
      </c>
      <c r="BO368" s="2">
        <v>0</v>
      </c>
      <c r="BP368" s="2">
        <v>0</v>
      </c>
      <c r="BQ368" s="2">
        <v>0</v>
      </c>
      <c r="BR368" s="2">
        <v>5</v>
      </c>
      <c r="BS368" s="2">
        <v>0</v>
      </c>
      <c r="BT368" s="2">
        <v>0</v>
      </c>
      <c r="BU368" s="2">
        <v>0</v>
      </c>
      <c r="BV368" s="2">
        <f t="shared" si="25"/>
        <v>110.9</v>
      </c>
      <c r="BW368" s="16">
        <f t="shared" si="23"/>
        <v>5.8368421052631581</v>
      </c>
      <c r="BX368" s="16">
        <f>COUNTIF($BC$6:BU368, "=0") / COUNTIF($BC$6:BU368, "&gt;-1")</f>
        <v>9.1344062635928661E-2</v>
      </c>
      <c r="BY368" s="18">
        <f>SUM($BC$6:BU368) / $BY$4</f>
        <v>0.79643947701728135</v>
      </c>
      <c r="BZ368" s="14">
        <f t="shared" si="24"/>
        <v>9</v>
      </c>
      <c r="CA368" t="s">
        <v>5831</v>
      </c>
      <c r="CB368" s="36">
        <v>16.963007541686199</v>
      </c>
      <c r="CC368" s="36">
        <v>5.7783847240646802</v>
      </c>
      <c r="CD368" s="36">
        <v>35.217548559869698</v>
      </c>
      <c r="CE368" s="36">
        <v>18.143061109838801</v>
      </c>
      <c r="CF368" s="36">
        <v>13.762821758990301</v>
      </c>
      <c r="CG368" s="36">
        <v>17.571844961486399</v>
      </c>
      <c r="CH368" s="36">
        <v>10.5406228286464</v>
      </c>
      <c r="CI368" s="36">
        <v>5.8391015878938397</v>
      </c>
      <c r="CJ368" s="37">
        <v>0.19868957331123899</v>
      </c>
      <c r="CK368" s="37">
        <v>0.15766241172207099</v>
      </c>
      <c r="CL368" s="37">
        <v>0.80005434826734301</v>
      </c>
      <c r="CM368" s="37">
        <v>0.21163676164998499</v>
      </c>
      <c r="CN368" s="37">
        <v>0.22969814145377901</v>
      </c>
      <c r="CO368" s="37">
        <v>3.94595285192562</v>
      </c>
      <c r="CP368" s="37">
        <v>0.377135011965606</v>
      </c>
      <c r="CQ368" s="37">
        <v>0.38065921161865401</v>
      </c>
      <c r="CR368" s="45">
        <v>-4.0062358775161799</v>
      </c>
      <c r="CS368" s="45">
        <v>-19.648753904434798</v>
      </c>
      <c r="CT368" s="46">
        <v>2.6125801370398399E-11</v>
      </c>
      <c r="CU368" s="47">
        <v>5.1406356225872204E-10</v>
      </c>
      <c r="CV368" s="48">
        <v>15.4770491340595</v>
      </c>
      <c r="CW368" s="49">
        <v>0.78768603898928802</v>
      </c>
      <c r="CX368" s="31" t="s">
        <v>5875</v>
      </c>
      <c r="CY368" s="31" t="s">
        <v>5876</v>
      </c>
      <c r="CZ368" t="s">
        <v>6319</v>
      </c>
      <c r="DA368" t="s">
        <v>5904</v>
      </c>
      <c r="DB368">
        <v>2104.6999999999998</v>
      </c>
      <c r="DC368" t="s">
        <v>15232</v>
      </c>
      <c r="DD368" t="s">
        <v>15233</v>
      </c>
      <c r="DE368" t="s">
        <v>15234</v>
      </c>
      <c r="DF368" t="s">
        <v>15235</v>
      </c>
      <c r="DG368" t="s">
        <v>15236</v>
      </c>
      <c r="DH368" t="str">
        <f>"SLC12A1"</f>
        <v>SLC12A1</v>
      </c>
      <c r="DI368" t="s">
        <v>15237</v>
      </c>
      <c r="DJ368" t="s">
        <v>13777</v>
      </c>
      <c r="DK368">
        <v>9606</v>
      </c>
      <c r="DL368" s="34" t="str">
        <f>HYPERLINK("http://www.uniprot.org/uniprot/Q13621", "Q13621")</f>
        <v>Q13621</v>
      </c>
      <c r="DM368" t="s">
        <v>15238</v>
      </c>
      <c r="DN368" t="s">
        <v>15239</v>
      </c>
      <c r="DO368" t="s">
        <v>13825</v>
      </c>
      <c r="DP368" t="s">
        <v>13841</v>
      </c>
      <c r="DQ368" t="s">
        <v>13772</v>
      </c>
      <c r="DR368" t="s">
        <v>15240</v>
      </c>
      <c r="DS368" t="s">
        <v>13925</v>
      </c>
      <c r="DT368" t="s">
        <v>15241</v>
      </c>
      <c r="DU368" t="s">
        <v>13772</v>
      </c>
      <c r="DV368" t="s">
        <v>13978</v>
      </c>
      <c r="DW368" t="s">
        <v>13772</v>
      </c>
      <c r="DX368" t="s">
        <v>15242</v>
      </c>
      <c r="DY368" t="s">
        <v>15243</v>
      </c>
      <c r="DZ368" t="s">
        <v>15244</v>
      </c>
      <c r="EA368" t="s">
        <v>13772</v>
      </c>
      <c r="EB368" t="s">
        <v>15245</v>
      </c>
    </row>
    <row r="369" spans="1:132" hidden="1">
      <c r="A369">
        <v>946</v>
      </c>
      <c r="B369">
        <v>1</v>
      </c>
      <c r="C369" t="s">
        <v>2304</v>
      </c>
      <c r="D369" t="s">
        <v>73</v>
      </c>
      <c r="E369" t="s">
        <v>73</v>
      </c>
      <c r="F369" t="s">
        <v>1838</v>
      </c>
      <c r="G369" t="s">
        <v>73</v>
      </c>
      <c r="H369">
        <v>53.9</v>
      </c>
      <c r="I369">
        <v>627</v>
      </c>
      <c r="J369">
        <v>70204</v>
      </c>
      <c r="K369" t="s">
        <v>2305</v>
      </c>
      <c r="L369">
        <f t="shared" si="22"/>
        <v>116</v>
      </c>
      <c r="N369">
        <v>116</v>
      </c>
      <c r="O369">
        <v>97</v>
      </c>
      <c r="P369">
        <v>0.83599999999999997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2</v>
      </c>
      <c r="Y369">
        <v>8</v>
      </c>
      <c r="Z369">
        <v>10</v>
      </c>
      <c r="AA369">
        <v>14</v>
      </c>
      <c r="AB369">
        <v>6</v>
      </c>
      <c r="AC369">
        <v>28</v>
      </c>
      <c r="AD369">
        <v>5</v>
      </c>
      <c r="AE369">
        <v>11</v>
      </c>
      <c r="AF369">
        <v>11</v>
      </c>
      <c r="AG369">
        <v>4</v>
      </c>
      <c r="AH369">
        <v>3</v>
      </c>
      <c r="AI369">
        <v>11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7</v>
      </c>
      <c r="AS369">
        <v>9</v>
      </c>
      <c r="AT369">
        <v>10</v>
      </c>
      <c r="AU369">
        <v>6</v>
      </c>
      <c r="AV369">
        <v>24</v>
      </c>
      <c r="AW369">
        <v>4</v>
      </c>
      <c r="AX369">
        <v>10</v>
      </c>
      <c r="AY369">
        <v>10</v>
      </c>
      <c r="AZ369">
        <v>3</v>
      </c>
      <c r="BA369">
        <v>3</v>
      </c>
      <c r="BB369">
        <v>10</v>
      </c>
      <c r="BC369" s="2">
        <v>0</v>
      </c>
      <c r="BD369" s="2">
        <v>0</v>
      </c>
      <c r="BE369" s="2">
        <v>0</v>
      </c>
      <c r="BF369" s="2">
        <v>0.5</v>
      </c>
      <c r="BG369" s="2">
        <v>0</v>
      </c>
      <c r="BH369" s="2">
        <v>0</v>
      </c>
      <c r="BI369" s="2">
        <v>0</v>
      </c>
      <c r="BJ369" s="2">
        <v>1.5</v>
      </c>
      <c r="BK369" s="2">
        <v>7.6360000000000001</v>
      </c>
      <c r="BL369" s="2">
        <v>10</v>
      </c>
      <c r="BM369" s="2">
        <v>11.89</v>
      </c>
      <c r="BN369" s="2">
        <v>6</v>
      </c>
      <c r="BO369" s="2">
        <v>28</v>
      </c>
      <c r="BP369" s="2">
        <v>5</v>
      </c>
      <c r="BQ369" s="2">
        <v>11</v>
      </c>
      <c r="BR369" s="2">
        <v>10.909000000000001</v>
      </c>
      <c r="BS369" s="2">
        <v>4</v>
      </c>
      <c r="BT369" s="2">
        <v>3</v>
      </c>
      <c r="BU369" s="2">
        <v>11</v>
      </c>
      <c r="BV369" s="2">
        <f t="shared" si="25"/>
        <v>110.435</v>
      </c>
      <c r="BW369" s="16">
        <f t="shared" si="23"/>
        <v>5.8123684210526321</v>
      </c>
      <c r="BX369" s="16">
        <f>COUNTIF($BC$6:BU369, "=0") / COUNTIF($BC$6:BU369, "&gt;-1")</f>
        <v>9.1960670908039333E-2</v>
      </c>
      <c r="BY369" s="18">
        <f>SUM($BC$6:BU369) / $BY$4</f>
        <v>0.79691254045487647</v>
      </c>
      <c r="BZ369" s="14">
        <f t="shared" si="24"/>
        <v>6</v>
      </c>
      <c r="CA369" t="s">
        <v>5831</v>
      </c>
      <c r="CB369" s="36">
        <v>0.30291084895868198</v>
      </c>
      <c r="CC369" s="36">
        <v>0.24076603016936199</v>
      </c>
      <c r="CD369" s="36">
        <v>0.40019941545306398</v>
      </c>
      <c r="CE369" s="36">
        <v>0.75596087957661495</v>
      </c>
      <c r="CF369" s="36">
        <v>0.215044089984223</v>
      </c>
      <c r="CG369" s="36">
        <v>0.23243181165987301</v>
      </c>
      <c r="CH369" s="36">
        <v>0.26351557071616</v>
      </c>
      <c r="CI369" s="36">
        <v>1.4597753969734599</v>
      </c>
      <c r="CJ369" s="37">
        <v>6.0401630286616799</v>
      </c>
      <c r="CK369" s="37">
        <v>7.5047307979706002</v>
      </c>
      <c r="CL369" s="37">
        <v>4.8003260896040603</v>
      </c>
      <c r="CM369" s="37">
        <v>23.703317304798301</v>
      </c>
      <c r="CN369" s="37">
        <v>10.1067182239663</v>
      </c>
      <c r="CO369" s="37">
        <v>8.6021772171978608</v>
      </c>
      <c r="CP369" s="37">
        <v>6.0341601914496898</v>
      </c>
      <c r="CQ369" s="37">
        <v>16.749005311220799</v>
      </c>
      <c r="CR369" s="45">
        <v>4.1285820382001299</v>
      </c>
      <c r="CS369" s="45">
        <v>21.583349065463299</v>
      </c>
      <c r="CT369" s="46">
        <v>7.5970755876946306E-11</v>
      </c>
      <c r="CU369" s="47">
        <v>1.41178988004658E-9</v>
      </c>
      <c r="CV369" s="48">
        <v>0.48382550543642999</v>
      </c>
      <c r="CW369" s="49">
        <v>10.442574770608701</v>
      </c>
      <c r="CX369" s="31" t="s">
        <v>5874</v>
      </c>
      <c r="CY369" s="31" t="s">
        <v>5876</v>
      </c>
      <c r="CZ369" t="s">
        <v>8941</v>
      </c>
      <c r="DA369" t="s">
        <v>5904</v>
      </c>
      <c r="DB369">
        <v>1274.5999999999999</v>
      </c>
      <c r="DC369" t="s">
        <v>23120</v>
      </c>
      <c r="DD369" t="s">
        <v>23121</v>
      </c>
      <c r="DE369" t="s">
        <v>23122</v>
      </c>
      <c r="DF369" t="s">
        <v>23123</v>
      </c>
      <c r="DG369" t="s">
        <v>23124</v>
      </c>
      <c r="DH369" t="str">
        <f>"LCP1"</f>
        <v>LCP1</v>
      </c>
      <c r="DI369" t="s">
        <v>23125</v>
      </c>
      <c r="DJ369" t="s">
        <v>13777</v>
      </c>
      <c r="DK369">
        <v>9606</v>
      </c>
      <c r="DL369" s="34" t="str">
        <f>HYPERLINK("http://www.uniprot.org/uniprot/P13796", "P13796")</f>
        <v>P13796</v>
      </c>
      <c r="DM369" t="s">
        <v>23126</v>
      </c>
      <c r="DN369" t="s">
        <v>13772</v>
      </c>
      <c r="DO369" t="s">
        <v>15639</v>
      </c>
      <c r="DP369" t="s">
        <v>20333</v>
      </c>
      <c r="DQ369" t="s">
        <v>13772</v>
      </c>
      <c r="DR369" t="s">
        <v>13807</v>
      </c>
      <c r="DS369" t="s">
        <v>14096</v>
      </c>
      <c r="DT369" t="s">
        <v>13873</v>
      </c>
      <c r="DU369" t="s">
        <v>13990</v>
      </c>
      <c r="DV369" t="s">
        <v>13886</v>
      </c>
      <c r="DW369" t="s">
        <v>13812</v>
      </c>
      <c r="DX369" t="s">
        <v>23127</v>
      </c>
      <c r="DY369" t="s">
        <v>23128</v>
      </c>
      <c r="DZ369" t="s">
        <v>23129</v>
      </c>
      <c r="EA369" t="s">
        <v>13772</v>
      </c>
      <c r="EB369" t="s">
        <v>23130</v>
      </c>
    </row>
    <row r="370" spans="1:132">
      <c r="A370">
        <v>2222</v>
      </c>
      <c r="B370">
        <v>1</v>
      </c>
      <c r="C370" t="s">
        <v>5197</v>
      </c>
      <c r="D370" t="s">
        <v>73</v>
      </c>
      <c r="E370" t="s">
        <v>73</v>
      </c>
      <c r="F370" t="s">
        <v>73</v>
      </c>
      <c r="G370" t="s">
        <v>73</v>
      </c>
      <c r="H370">
        <v>37.1</v>
      </c>
      <c r="I370">
        <v>334</v>
      </c>
      <c r="J370">
        <v>36374</v>
      </c>
      <c r="K370" t="s">
        <v>5198</v>
      </c>
      <c r="L370">
        <f t="shared" si="22"/>
        <v>110</v>
      </c>
      <c r="N370">
        <v>110</v>
      </c>
      <c r="O370">
        <v>110</v>
      </c>
      <c r="P370">
        <v>1</v>
      </c>
      <c r="Q370">
        <v>6</v>
      </c>
      <c r="R370">
        <v>11</v>
      </c>
      <c r="S370">
        <v>3</v>
      </c>
      <c r="T370">
        <v>5</v>
      </c>
      <c r="U370">
        <v>12</v>
      </c>
      <c r="V370">
        <v>10</v>
      </c>
      <c r="W370">
        <v>7</v>
      </c>
      <c r="X370">
        <v>10</v>
      </c>
      <c r="Y370">
        <v>12</v>
      </c>
      <c r="Z370">
        <v>1</v>
      </c>
      <c r="AA370">
        <v>7</v>
      </c>
      <c r="AB370">
        <v>4</v>
      </c>
      <c r="AC370">
        <v>2</v>
      </c>
      <c r="AD370">
        <v>2</v>
      </c>
      <c r="AE370">
        <v>5</v>
      </c>
      <c r="AF370">
        <v>6</v>
      </c>
      <c r="AG370">
        <v>3</v>
      </c>
      <c r="AH370">
        <v>2</v>
      </c>
      <c r="AI370">
        <v>2</v>
      </c>
      <c r="AJ370">
        <v>6</v>
      </c>
      <c r="AK370">
        <v>11</v>
      </c>
      <c r="AL370">
        <v>3</v>
      </c>
      <c r="AM370">
        <v>5</v>
      </c>
      <c r="AN370">
        <v>12</v>
      </c>
      <c r="AO370">
        <v>10</v>
      </c>
      <c r="AP370">
        <v>7</v>
      </c>
      <c r="AQ370">
        <v>10</v>
      </c>
      <c r="AR370">
        <v>12</v>
      </c>
      <c r="AS370">
        <v>1</v>
      </c>
      <c r="AT370">
        <v>7</v>
      </c>
      <c r="AU370">
        <v>4</v>
      </c>
      <c r="AV370">
        <v>2</v>
      </c>
      <c r="AW370">
        <v>2</v>
      </c>
      <c r="AX370">
        <v>5</v>
      </c>
      <c r="AY370">
        <v>6</v>
      </c>
      <c r="AZ370">
        <v>3</v>
      </c>
      <c r="BA370">
        <v>2</v>
      </c>
      <c r="BB370">
        <v>2</v>
      </c>
      <c r="BC370" s="2">
        <v>6</v>
      </c>
      <c r="BD370" s="2">
        <v>11</v>
      </c>
      <c r="BE370" s="2">
        <v>3</v>
      </c>
      <c r="BF370" s="2">
        <v>5</v>
      </c>
      <c r="BG370" s="2">
        <v>12</v>
      </c>
      <c r="BH370" s="2">
        <v>10</v>
      </c>
      <c r="BI370" s="2">
        <v>7</v>
      </c>
      <c r="BJ370" s="2">
        <v>10</v>
      </c>
      <c r="BK370" s="2">
        <v>12</v>
      </c>
      <c r="BL370" s="2">
        <v>1</v>
      </c>
      <c r="BM370" s="2">
        <v>7</v>
      </c>
      <c r="BN370" s="2">
        <v>4</v>
      </c>
      <c r="BO370" s="2">
        <v>2</v>
      </c>
      <c r="BP370" s="2">
        <v>2</v>
      </c>
      <c r="BQ370" s="2">
        <v>5</v>
      </c>
      <c r="BR370" s="2">
        <v>6</v>
      </c>
      <c r="BS370" s="2">
        <v>3</v>
      </c>
      <c r="BT370" s="2">
        <v>2</v>
      </c>
      <c r="BU370" s="2">
        <v>2</v>
      </c>
      <c r="BV370" s="2">
        <f t="shared" si="25"/>
        <v>110</v>
      </c>
      <c r="BW370" s="16">
        <f t="shared" si="23"/>
        <v>5.7894736842105265</v>
      </c>
      <c r="BX370" s="16">
        <f>COUNTIF($BC$6:BU370, "=0") / COUNTIF($BC$6:BU370, "&gt;-1")</f>
        <v>9.1708723864455666E-2</v>
      </c>
      <c r="BY370" s="18">
        <f>SUM($BC$6:BU370) / $BY$4</f>
        <v>0.79738374051043348</v>
      </c>
      <c r="BZ370" s="14">
        <f t="shared" si="24"/>
        <v>0</v>
      </c>
      <c r="CA370" t="s">
        <v>5831</v>
      </c>
      <c r="CB370" s="36">
        <v>7.2698603750083803</v>
      </c>
      <c r="CC370" s="36">
        <v>10.5937053274519</v>
      </c>
      <c r="CD370" s="36">
        <v>4.8023929854367697</v>
      </c>
      <c r="CE370" s="36">
        <v>7.5596087957661497</v>
      </c>
      <c r="CF370" s="36">
        <v>10.322116319242699</v>
      </c>
      <c r="CG370" s="36">
        <v>9.2972724663949098</v>
      </c>
      <c r="CH370" s="36">
        <v>7.3784359800524904</v>
      </c>
      <c r="CI370" s="36">
        <v>9.7318359798230603</v>
      </c>
      <c r="CJ370" s="37">
        <v>9.53709951893949</v>
      </c>
      <c r="CK370" s="37">
        <v>4.4145475282179998</v>
      </c>
      <c r="CL370" s="37">
        <v>3.2002173930693698</v>
      </c>
      <c r="CM370" s="37">
        <v>1.6930940931998799</v>
      </c>
      <c r="CN370" s="37">
        <v>4.5939628290755703</v>
      </c>
      <c r="CO370" s="37">
        <v>4.7351434223107498</v>
      </c>
      <c r="CP370" s="37">
        <v>4.5256201435872701</v>
      </c>
      <c r="CQ370" s="37">
        <v>3.0452736929492299</v>
      </c>
      <c r="CR370" s="45">
        <v>-0.89561031342378306</v>
      </c>
      <c r="CS370" s="45">
        <v>-1.87313766224884</v>
      </c>
      <c r="CT370" s="46">
        <v>1.30372210747202E-2</v>
      </c>
      <c r="CU370" s="47">
        <v>2.33057082864561E-2</v>
      </c>
      <c r="CV370" s="48">
        <v>8.3694035286470498</v>
      </c>
      <c r="CW370" s="49">
        <v>4.4681198276687004</v>
      </c>
      <c r="CX370" s="31" t="s">
        <v>5875</v>
      </c>
      <c r="CY370" s="31" t="s">
        <v>5878</v>
      </c>
      <c r="CZ370" t="s">
        <v>13151</v>
      </c>
      <c r="DA370" t="s">
        <v>5904</v>
      </c>
      <c r="DB370">
        <v>657.5</v>
      </c>
      <c r="DC370" t="s">
        <v>34983</v>
      </c>
      <c r="DD370" t="s">
        <v>34984</v>
      </c>
      <c r="DE370" t="s">
        <v>34985</v>
      </c>
      <c r="DF370" t="s">
        <v>34986</v>
      </c>
      <c r="DG370" t="s">
        <v>34987</v>
      </c>
      <c r="DH370" t="str">
        <f>"MDH1"</f>
        <v>MDH1</v>
      </c>
      <c r="DI370" t="s">
        <v>34988</v>
      </c>
      <c r="DJ370" t="s">
        <v>13777</v>
      </c>
      <c r="DK370">
        <v>9606</v>
      </c>
      <c r="DL370" s="34" t="str">
        <f>HYPERLINK("http://www.uniprot.org/uniprot/P40925", "P40925")</f>
        <v>P40925</v>
      </c>
      <c r="DM370" t="s">
        <v>34989</v>
      </c>
      <c r="DN370" t="s">
        <v>15224</v>
      </c>
      <c r="DO370" t="s">
        <v>13899</v>
      </c>
      <c r="DP370" t="s">
        <v>13841</v>
      </c>
      <c r="DQ370" t="s">
        <v>13772</v>
      </c>
      <c r="DR370" t="s">
        <v>13772</v>
      </c>
      <c r="DS370" t="s">
        <v>13772</v>
      </c>
      <c r="DT370" t="s">
        <v>14492</v>
      </c>
      <c r="DU370" t="s">
        <v>13885</v>
      </c>
      <c r="DV370" t="s">
        <v>23880</v>
      </c>
      <c r="DW370" t="s">
        <v>13772</v>
      </c>
      <c r="DX370" t="s">
        <v>34990</v>
      </c>
      <c r="DY370" t="s">
        <v>34991</v>
      </c>
      <c r="DZ370" t="s">
        <v>34992</v>
      </c>
      <c r="EA370" t="s">
        <v>13772</v>
      </c>
      <c r="EB370" t="s">
        <v>14960</v>
      </c>
    </row>
    <row r="371" spans="1:132" hidden="1">
      <c r="A371">
        <v>1981</v>
      </c>
      <c r="B371">
        <v>1</v>
      </c>
      <c r="C371" t="s">
        <v>4664</v>
      </c>
      <c r="D371" t="s">
        <v>73</v>
      </c>
      <c r="E371" t="s">
        <v>73</v>
      </c>
      <c r="F371" t="s">
        <v>4665</v>
      </c>
      <c r="G371" t="s">
        <v>73</v>
      </c>
      <c r="H371">
        <v>58</v>
      </c>
      <c r="I371">
        <v>338</v>
      </c>
      <c r="J371">
        <v>36766</v>
      </c>
      <c r="K371" t="s">
        <v>4666</v>
      </c>
      <c r="L371">
        <f t="shared" si="22"/>
        <v>112</v>
      </c>
      <c r="N371">
        <v>112</v>
      </c>
      <c r="O371">
        <v>101</v>
      </c>
      <c r="P371">
        <v>0.90200000000000002</v>
      </c>
      <c r="Q371">
        <v>6</v>
      </c>
      <c r="R371">
        <v>15</v>
      </c>
      <c r="S371">
        <v>1</v>
      </c>
      <c r="T371">
        <v>6</v>
      </c>
      <c r="U371">
        <v>25</v>
      </c>
      <c r="V371">
        <v>18</v>
      </c>
      <c r="W371">
        <v>6</v>
      </c>
      <c r="X371">
        <v>7</v>
      </c>
      <c r="Y371">
        <v>4</v>
      </c>
      <c r="Z371">
        <v>0</v>
      </c>
      <c r="AA371">
        <v>14</v>
      </c>
      <c r="AB371">
        <v>1</v>
      </c>
      <c r="AC371">
        <v>2</v>
      </c>
      <c r="AD371">
        <v>1</v>
      </c>
      <c r="AE371">
        <v>1</v>
      </c>
      <c r="AF371">
        <v>2</v>
      </c>
      <c r="AG371">
        <v>2</v>
      </c>
      <c r="AH371">
        <v>0</v>
      </c>
      <c r="AI371">
        <v>1</v>
      </c>
      <c r="AJ371">
        <v>6</v>
      </c>
      <c r="AK371">
        <v>13</v>
      </c>
      <c r="AL371">
        <v>1</v>
      </c>
      <c r="AM371">
        <v>5</v>
      </c>
      <c r="AN371">
        <v>23</v>
      </c>
      <c r="AO371">
        <v>15</v>
      </c>
      <c r="AP371">
        <v>6</v>
      </c>
      <c r="AQ371">
        <v>7</v>
      </c>
      <c r="AR371">
        <v>3</v>
      </c>
      <c r="AS371">
        <v>0</v>
      </c>
      <c r="AT371">
        <v>13</v>
      </c>
      <c r="AU371">
        <v>1</v>
      </c>
      <c r="AV371">
        <v>2</v>
      </c>
      <c r="AW371">
        <v>1</v>
      </c>
      <c r="AX371">
        <v>0</v>
      </c>
      <c r="AY371">
        <v>2</v>
      </c>
      <c r="AZ371">
        <v>2</v>
      </c>
      <c r="BA371">
        <v>0</v>
      </c>
      <c r="BB371">
        <v>1</v>
      </c>
      <c r="BC371" s="2">
        <v>6</v>
      </c>
      <c r="BD371" s="2">
        <v>14.856999999999999</v>
      </c>
      <c r="BE371" s="2">
        <v>1</v>
      </c>
      <c r="BF371" s="2">
        <v>6</v>
      </c>
      <c r="BG371" s="2">
        <v>24.84</v>
      </c>
      <c r="BH371" s="2">
        <v>17.5</v>
      </c>
      <c r="BI371" s="2">
        <v>6</v>
      </c>
      <c r="BJ371" s="2">
        <v>7</v>
      </c>
      <c r="BK371" s="2">
        <v>3.75</v>
      </c>
      <c r="BL371" s="2">
        <v>0</v>
      </c>
      <c r="BM371" s="2">
        <v>13.867000000000001</v>
      </c>
      <c r="BN371" s="2">
        <v>1</v>
      </c>
      <c r="BO371" s="2">
        <v>2</v>
      </c>
      <c r="BP371" s="2">
        <v>1</v>
      </c>
      <c r="BQ371" s="2">
        <v>0</v>
      </c>
      <c r="BR371" s="2">
        <v>2</v>
      </c>
      <c r="BS371" s="2">
        <v>2</v>
      </c>
      <c r="BT371" s="2">
        <v>0</v>
      </c>
      <c r="BU371" s="2">
        <v>1</v>
      </c>
      <c r="BV371" s="2">
        <f t="shared" si="25"/>
        <v>109.81400000000001</v>
      </c>
      <c r="BW371" s="16">
        <f t="shared" si="23"/>
        <v>5.779684210526316</v>
      </c>
      <c r="BX371" s="16">
        <f>COUNTIF($BC$6:BU371, "=0") / COUNTIF($BC$6:BU371, "&gt;-1")</f>
        <v>9.1889559965487491E-2</v>
      </c>
      <c r="BY371" s="18">
        <f>SUM($BC$6:BU371) / $BY$4</f>
        <v>0.7978541438095329</v>
      </c>
      <c r="BZ371" s="14">
        <f t="shared" si="24"/>
        <v>3</v>
      </c>
      <c r="CA371" t="s">
        <v>5831</v>
      </c>
      <c r="CB371" s="36">
        <v>7.2698603750083803</v>
      </c>
      <c r="CC371" s="36">
        <v>14.349655398094001</v>
      </c>
      <c r="CD371" s="36">
        <v>1.6007976618122599</v>
      </c>
      <c r="CE371" s="36">
        <v>9.0715305549193808</v>
      </c>
      <c r="CF371" s="36">
        <v>21.332373726434898</v>
      </c>
      <c r="CG371" s="36">
        <v>16.270226816191101</v>
      </c>
      <c r="CH371" s="36">
        <v>6.3243736971878404</v>
      </c>
      <c r="CI371" s="36">
        <v>6.8122851858761404</v>
      </c>
      <c r="CJ371" s="37">
        <v>3.0200815143308399</v>
      </c>
      <c r="CK371" s="37">
        <v>8.7660300917471705</v>
      </c>
      <c r="CL371" s="37">
        <v>0.80005434826734301</v>
      </c>
      <c r="CM371" s="37">
        <v>1.6930940931998799</v>
      </c>
      <c r="CN371" s="37">
        <v>0.22969814145377901</v>
      </c>
      <c r="CO371" s="37">
        <v>1.5783811407702499</v>
      </c>
      <c r="CP371" s="37">
        <v>3.0170800957248498</v>
      </c>
      <c r="CQ371" s="37">
        <v>1.5226368464746201</v>
      </c>
      <c r="CR371" s="45">
        <v>-1.9204599083962599</v>
      </c>
      <c r="CS371" s="45">
        <v>-4.0253491492317099</v>
      </c>
      <c r="CT371" s="46">
        <v>3.7540627276321398E-4</v>
      </c>
      <c r="CU371" s="47">
        <v>9.3363121367505701E-4</v>
      </c>
      <c r="CV371" s="48">
        <v>10.3788879269405</v>
      </c>
      <c r="CW371" s="49">
        <v>2.5783820339960899</v>
      </c>
      <c r="CX371" s="31" t="s">
        <v>5875</v>
      </c>
      <c r="CY371" s="31" t="s">
        <v>5876</v>
      </c>
      <c r="CZ371" t="s">
        <v>12358</v>
      </c>
      <c r="DA371" t="s">
        <v>5904</v>
      </c>
      <c r="DB371">
        <v>625.20000000000005</v>
      </c>
      <c r="DC371" t="s">
        <v>32783</v>
      </c>
      <c r="DD371" t="s">
        <v>32784</v>
      </c>
      <c r="DE371" t="s">
        <v>32785</v>
      </c>
      <c r="DF371" t="s">
        <v>32786</v>
      </c>
      <c r="DG371" t="s">
        <v>32787</v>
      </c>
      <c r="DH371" t="str">
        <f>"FBP1"</f>
        <v>FBP1</v>
      </c>
      <c r="DI371" t="s">
        <v>32788</v>
      </c>
      <c r="DJ371" t="s">
        <v>13777</v>
      </c>
      <c r="DK371">
        <v>9606</v>
      </c>
      <c r="DL371" s="34" t="str">
        <f>HYPERLINK("http://www.uniprot.org/uniprot/P09467", "P09467")</f>
        <v>P09467</v>
      </c>
      <c r="DM371" t="s">
        <v>32789</v>
      </c>
      <c r="DN371" t="s">
        <v>32790</v>
      </c>
      <c r="DO371" t="s">
        <v>13772</v>
      </c>
      <c r="DP371" t="s">
        <v>13793</v>
      </c>
      <c r="DQ371" t="s">
        <v>13772</v>
      </c>
      <c r="DR371" t="s">
        <v>13807</v>
      </c>
      <c r="DS371" t="s">
        <v>13772</v>
      </c>
      <c r="DT371" t="s">
        <v>14784</v>
      </c>
      <c r="DU371" t="s">
        <v>32791</v>
      </c>
      <c r="DV371" t="s">
        <v>13886</v>
      </c>
      <c r="DW371" t="s">
        <v>13812</v>
      </c>
      <c r="DX371" t="s">
        <v>32792</v>
      </c>
      <c r="DY371" t="s">
        <v>14085</v>
      </c>
      <c r="DZ371" t="s">
        <v>32793</v>
      </c>
      <c r="EA371" t="s">
        <v>14959</v>
      </c>
      <c r="EB371" t="s">
        <v>14960</v>
      </c>
    </row>
    <row r="372" spans="1:132" hidden="1">
      <c r="A372">
        <v>490</v>
      </c>
      <c r="B372">
        <v>1</v>
      </c>
      <c r="C372" t="s">
        <v>1231</v>
      </c>
      <c r="D372" t="s">
        <v>73</v>
      </c>
      <c r="E372" t="s">
        <v>73</v>
      </c>
      <c r="F372" t="s">
        <v>73</v>
      </c>
      <c r="G372" t="s">
        <v>73</v>
      </c>
      <c r="H372">
        <v>67.3</v>
      </c>
      <c r="I372">
        <v>226</v>
      </c>
      <c r="J372">
        <v>26809</v>
      </c>
      <c r="K372" t="s">
        <v>1232</v>
      </c>
      <c r="L372">
        <f t="shared" si="22"/>
        <v>109</v>
      </c>
      <c r="N372">
        <v>109</v>
      </c>
      <c r="O372">
        <v>109</v>
      </c>
      <c r="P372">
        <v>1</v>
      </c>
      <c r="Q372">
        <v>0</v>
      </c>
      <c r="R372">
        <v>2</v>
      </c>
      <c r="S372">
        <v>0</v>
      </c>
      <c r="T372">
        <v>0</v>
      </c>
      <c r="U372">
        <v>5</v>
      </c>
      <c r="V372">
        <v>5</v>
      </c>
      <c r="W372">
        <v>11</v>
      </c>
      <c r="X372">
        <v>11</v>
      </c>
      <c r="Y372">
        <v>22</v>
      </c>
      <c r="Z372">
        <v>0</v>
      </c>
      <c r="AA372">
        <v>18</v>
      </c>
      <c r="AB372">
        <v>19</v>
      </c>
      <c r="AC372">
        <v>2</v>
      </c>
      <c r="AD372">
        <v>3</v>
      </c>
      <c r="AE372">
        <v>2</v>
      </c>
      <c r="AF372">
        <v>2</v>
      </c>
      <c r="AG372">
        <v>5</v>
      </c>
      <c r="AH372">
        <v>1</v>
      </c>
      <c r="AI372">
        <v>1</v>
      </c>
      <c r="AJ372">
        <v>0</v>
      </c>
      <c r="AK372">
        <v>2</v>
      </c>
      <c r="AL372">
        <v>0</v>
      </c>
      <c r="AM372">
        <v>0</v>
      </c>
      <c r="AN372">
        <v>5</v>
      </c>
      <c r="AO372">
        <v>5</v>
      </c>
      <c r="AP372">
        <v>11</v>
      </c>
      <c r="AQ372">
        <v>11</v>
      </c>
      <c r="AR372">
        <v>22</v>
      </c>
      <c r="AS372">
        <v>0</v>
      </c>
      <c r="AT372">
        <v>18</v>
      </c>
      <c r="AU372">
        <v>19</v>
      </c>
      <c r="AV372">
        <v>2</v>
      </c>
      <c r="AW372">
        <v>3</v>
      </c>
      <c r="AX372">
        <v>2</v>
      </c>
      <c r="AY372">
        <v>2</v>
      </c>
      <c r="AZ372">
        <v>5</v>
      </c>
      <c r="BA372">
        <v>1</v>
      </c>
      <c r="BB372">
        <v>1</v>
      </c>
      <c r="BC372" s="2">
        <v>0</v>
      </c>
      <c r="BD372" s="2">
        <v>2</v>
      </c>
      <c r="BE372" s="2">
        <v>0</v>
      </c>
      <c r="BF372" s="2">
        <v>0</v>
      </c>
      <c r="BG372" s="2">
        <v>5</v>
      </c>
      <c r="BH372" s="2">
        <v>5</v>
      </c>
      <c r="BI372" s="2">
        <v>11</v>
      </c>
      <c r="BJ372" s="2">
        <v>11</v>
      </c>
      <c r="BK372" s="2">
        <v>22</v>
      </c>
      <c r="BL372" s="2">
        <v>0</v>
      </c>
      <c r="BM372" s="2">
        <v>18</v>
      </c>
      <c r="BN372" s="2">
        <v>19</v>
      </c>
      <c r="BO372" s="2">
        <v>2</v>
      </c>
      <c r="BP372" s="2">
        <v>3</v>
      </c>
      <c r="BQ372" s="2">
        <v>2</v>
      </c>
      <c r="BR372" s="2">
        <v>2</v>
      </c>
      <c r="BS372" s="2">
        <v>5</v>
      </c>
      <c r="BT372" s="2">
        <v>1</v>
      </c>
      <c r="BU372" s="2">
        <v>1</v>
      </c>
      <c r="BV372" s="2">
        <f t="shared" si="25"/>
        <v>109</v>
      </c>
      <c r="BW372" s="16">
        <f t="shared" si="23"/>
        <v>5.7368421052631575</v>
      </c>
      <c r="BX372" s="16">
        <f>COUNTIF($BC$6:BU372, "=0") / COUNTIF($BC$6:BU372, "&gt;-1")</f>
        <v>9.2212820880539226E-2</v>
      </c>
      <c r="BY372" s="18">
        <f>SUM($BC$6:BU372) / $BY$4</f>
        <v>0.79832106022822125</v>
      </c>
      <c r="BZ372" s="14">
        <f t="shared" si="24"/>
        <v>4</v>
      </c>
      <c r="CA372" t="s">
        <v>5831</v>
      </c>
      <c r="CB372" s="36">
        <v>0.30291084895868198</v>
      </c>
      <c r="CC372" s="36">
        <v>1.9261282413548899</v>
      </c>
      <c r="CD372" s="36">
        <v>0.40019941545306398</v>
      </c>
      <c r="CE372" s="36">
        <v>0.37798043978830698</v>
      </c>
      <c r="CF372" s="36">
        <v>4.3008817996844604</v>
      </c>
      <c r="CG372" s="36">
        <v>4.6486362331974602</v>
      </c>
      <c r="CH372" s="36">
        <v>11.594685111511</v>
      </c>
      <c r="CI372" s="36">
        <v>10.7050195778054</v>
      </c>
      <c r="CJ372" s="37">
        <v>17.484682451389101</v>
      </c>
      <c r="CK372" s="37">
        <v>11.351693643989099</v>
      </c>
      <c r="CL372" s="37">
        <v>15.2010326170795</v>
      </c>
      <c r="CM372" s="37">
        <v>1.6930940931998799</v>
      </c>
      <c r="CN372" s="37">
        <v>1.8375851316302301</v>
      </c>
      <c r="CO372" s="37">
        <v>1.5783811407702499</v>
      </c>
      <c r="CP372" s="37">
        <v>7.5427002393121096</v>
      </c>
      <c r="CQ372" s="37">
        <v>1.5226368464746201</v>
      </c>
      <c r="CR372" s="45">
        <v>0.72635296561839602</v>
      </c>
      <c r="CS372" s="45">
        <v>1.6992951786537001</v>
      </c>
      <c r="CT372" s="46">
        <v>0.28631303698839899</v>
      </c>
      <c r="CU372" s="47">
        <v>0.36415099191110101</v>
      </c>
      <c r="CV372" s="48">
        <v>4.2820552084691599</v>
      </c>
      <c r="CW372" s="49">
        <v>7.2764757704805998</v>
      </c>
      <c r="CX372" s="31" t="s">
        <v>5874</v>
      </c>
      <c r="CY372" s="31" t="s">
        <v>5832</v>
      </c>
      <c r="CZ372" t="s">
        <v>7403</v>
      </c>
      <c r="DA372" t="s">
        <v>5904</v>
      </c>
      <c r="DB372">
        <v>430.6</v>
      </c>
      <c r="DC372" t="s">
        <v>18585</v>
      </c>
      <c r="DD372" t="s">
        <v>18586</v>
      </c>
      <c r="DE372" t="s">
        <v>18587</v>
      </c>
      <c r="DF372" t="s">
        <v>18588</v>
      </c>
      <c r="DG372" t="s">
        <v>18589</v>
      </c>
      <c r="DH372" t="str">
        <f>"GSTM3"</f>
        <v>GSTM3</v>
      </c>
      <c r="DI372" t="s">
        <v>18590</v>
      </c>
      <c r="DJ372" t="s">
        <v>13777</v>
      </c>
      <c r="DK372">
        <v>9606</v>
      </c>
      <c r="DL372" s="34" t="str">
        <f>HYPERLINK("http://www.uniprot.org/uniprot/P21266", "P21266")</f>
        <v>P21266</v>
      </c>
      <c r="DM372" t="s">
        <v>18591</v>
      </c>
      <c r="DN372" t="s">
        <v>13772</v>
      </c>
      <c r="DO372" t="s">
        <v>13899</v>
      </c>
      <c r="DP372" t="s">
        <v>13793</v>
      </c>
      <c r="DQ372" t="s">
        <v>13772</v>
      </c>
      <c r="DR372" t="s">
        <v>13772</v>
      </c>
      <c r="DS372" t="s">
        <v>13772</v>
      </c>
      <c r="DT372" t="s">
        <v>13772</v>
      </c>
      <c r="DU372" t="s">
        <v>14111</v>
      </c>
      <c r="DV372" t="s">
        <v>18592</v>
      </c>
      <c r="DW372" t="s">
        <v>13812</v>
      </c>
      <c r="DX372" t="s">
        <v>18593</v>
      </c>
      <c r="DY372" t="s">
        <v>18594</v>
      </c>
      <c r="DZ372" t="s">
        <v>18595</v>
      </c>
      <c r="EA372" t="s">
        <v>13772</v>
      </c>
      <c r="EB372" t="s">
        <v>18170</v>
      </c>
    </row>
    <row r="373" spans="1:132" hidden="1">
      <c r="A373">
        <v>1648</v>
      </c>
      <c r="B373">
        <v>1</v>
      </c>
      <c r="C373" t="s">
        <v>3908</v>
      </c>
      <c r="D373" t="s">
        <v>73</v>
      </c>
      <c r="E373" t="s">
        <v>73</v>
      </c>
      <c r="F373" t="s">
        <v>73</v>
      </c>
      <c r="G373" t="s">
        <v>73</v>
      </c>
      <c r="H373">
        <v>24.3</v>
      </c>
      <c r="I373">
        <v>580</v>
      </c>
      <c r="J373">
        <v>65322</v>
      </c>
      <c r="K373" t="s">
        <v>3909</v>
      </c>
      <c r="L373">
        <f t="shared" si="22"/>
        <v>109</v>
      </c>
      <c r="N373">
        <v>109</v>
      </c>
      <c r="O373">
        <v>109</v>
      </c>
      <c r="P373">
        <v>1</v>
      </c>
      <c r="Q373">
        <v>8</v>
      </c>
      <c r="R373">
        <v>18</v>
      </c>
      <c r="S373">
        <v>15</v>
      </c>
      <c r="T373">
        <v>19</v>
      </c>
      <c r="U373">
        <v>14</v>
      </c>
      <c r="V373">
        <v>12</v>
      </c>
      <c r="W373">
        <v>14</v>
      </c>
      <c r="X373">
        <v>3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8</v>
      </c>
      <c r="AK373">
        <v>18</v>
      </c>
      <c r="AL373">
        <v>15</v>
      </c>
      <c r="AM373">
        <v>19</v>
      </c>
      <c r="AN373">
        <v>14</v>
      </c>
      <c r="AO373">
        <v>12</v>
      </c>
      <c r="AP373">
        <v>14</v>
      </c>
      <c r="AQ373">
        <v>3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1</v>
      </c>
      <c r="AY373">
        <v>1</v>
      </c>
      <c r="AZ373">
        <v>0</v>
      </c>
      <c r="BA373">
        <v>1</v>
      </c>
      <c r="BB373">
        <v>1</v>
      </c>
      <c r="BC373" s="2">
        <v>8</v>
      </c>
      <c r="BD373" s="2">
        <v>18</v>
      </c>
      <c r="BE373" s="2">
        <v>15</v>
      </c>
      <c r="BF373" s="2">
        <v>19</v>
      </c>
      <c r="BG373" s="2">
        <v>14</v>
      </c>
      <c r="BH373" s="2">
        <v>12</v>
      </c>
      <c r="BI373" s="2">
        <v>14</v>
      </c>
      <c r="BJ373" s="2">
        <v>3</v>
      </c>
      <c r="BK373" s="2">
        <v>0</v>
      </c>
      <c r="BL373" s="2">
        <v>0</v>
      </c>
      <c r="BM373" s="2">
        <v>0</v>
      </c>
      <c r="BN373" s="2">
        <v>1</v>
      </c>
      <c r="BO373" s="2">
        <v>1</v>
      </c>
      <c r="BP373" s="2">
        <v>0</v>
      </c>
      <c r="BQ373" s="2">
        <v>1</v>
      </c>
      <c r="BR373" s="2">
        <v>1</v>
      </c>
      <c r="BS373" s="2">
        <v>0</v>
      </c>
      <c r="BT373" s="2">
        <v>1</v>
      </c>
      <c r="BU373" s="2">
        <v>1</v>
      </c>
      <c r="BV373" s="2">
        <f t="shared" si="25"/>
        <v>109</v>
      </c>
      <c r="BW373" s="16">
        <f t="shared" si="23"/>
        <v>5.7368421052631575</v>
      </c>
      <c r="BX373" s="16">
        <f>COUNTIF($BC$6:BU373, "=0") / COUNTIF($BC$6:BU373, "&gt;-1")</f>
        <v>9.2677345537757444E-2</v>
      </c>
      <c r="BY373" s="18">
        <f>SUM($BC$6:BU373) / $BY$4</f>
        <v>0.79878797664690959</v>
      </c>
      <c r="BZ373" s="14">
        <f t="shared" si="24"/>
        <v>5</v>
      </c>
      <c r="CA373" t="s">
        <v>5831</v>
      </c>
      <c r="CB373" s="36">
        <v>9.6931471666778304</v>
      </c>
      <c r="CC373" s="36">
        <v>17.335154172193999</v>
      </c>
      <c r="CD373" s="36">
        <v>24.0119649271839</v>
      </c>
      <c r="CE373" s="36">
        <v>28.726513423911399</v>
      </c>
      <c r="CF373" s="36">
        <v>12.042469039116501</v>
      </c>
      <c r="CG373" s="36">
        <v>11.1567269596739</v>
      </c>
      <c r="CH373" s="36">
        <v>14.756871960105</v>
      </c>
      <c r="CI373" s="36">
        <v>2.9195507939469199</v>
      </c>
      <c r="CJ373" s="37">
        <v>0.19868957331123899</v>
      </c>
      <c r="CK373" s="37">
        <v>0.15766241172207099</v>
      </c>
      <c r="CL373" s="37">
        <v>0.80005434826734301</v>
      </c>
      <c r="CM373" s="37">
        <v>0.84654704659994096</v>
      </c>
      <c r="CN373" s="37">
        <v>0.91879256581511404</v>
      </c>
      <c r="CO373" s="37">
        <v>0.78919057038512497</v>
      </c>
      <c r="CP373" s="37">
        <v>0.377135011965606</v>
      </c>
      <c r="CQ373" s="37">
        <v>1.5226368464746201</v>
      </c>
      <c r="CR373" s="45">
        <v>-4.2656341266768596</v>
      </c>
      <c r="CS373" s="45">
        <v>-21.502168779655701</v>
      </c>
      <c r="CT373" s="46">
        <v>5.0343114270690501E-13</v>
      </c>
      <c r="CU373" s="47">
        <v>1.60378778319485E-11</v>
      </c>
      <c r="CV373" s="48">
        <v>15.080299805351199</v>
      </c>
      <c r="CW373" s="49">
        <v>0.70133854681763197</v>
      </c>
      <c r="CX373" s="31" t="s">
        <v>5875</v>
      </c>
      <c r="CY373" s="31" t="s">
        <v>5876</v>
      </c>
      <c r="CZ373" t="s">
        <v>11241</v>
      </c>
      <c r="DA373" t="s">
        <v>5904</v>
      </c>
      <c r="DB373">
        <v>1141</v>
      </c>
      <c r="DC373" t="s">
        <v>29596</v>
      </c>
      <c r="DD373" t="s">
        <v>29597</v>
      </c>
      <c r="DE373" t="s">
        <v>29598</v>
      </c>
      <c r="DF373" t="s">
        <v>29599</v>
      </c>
      <c r="DG373" t="s">
        <v>29600</v>
      </c>
      <c r="DH373" t="str">
        <f>"GPC3"</f>
        <v>GPC3</v>
      </c>
      <c r="DI373" t="s">
        <v>29601</v>
      </c>
      <c r="DJ373" t="s">
        <v>13777</v>
      </c>
      <c r="DK373">
        <v>9606</v>
      </c>
      <c r="DL373" s="34" t="str">
        <f>HYPERLINK("http://www.uniprot.org/uniprot/P51654", "P51654")</f>
        <v>P51654</v>
      </c>
      <c r="DM373" t="s">
        <v>29602</v>
      </c>
      <c r="DN373" t="s">
        <v>13772</v>
      </c>
      <c r="DO373" t="s">
        <v>13792</v>
      </c>
      <c r="DP373" t="s">
        <v>13841</v>
      </c>
      <c r="DQ373" t="s">
        <v>13772</v>
      </c>
      <c r="DR373" t="s">
        <v>13807</v>
      </c>
      <c r="DS373" t="s">
        <v>13808</v>
      </c>
      <c r="DT373" t="s">
        <v>13772</v>
      </c>
      <c r="DU373" t="s">
        <v>27556</v>
      </c>
      <c r="DV373" t="s">
        <v>29603</v>
      </c>
      <c r="DW373" t="s">
        <v>13772</v>
      </c>
      <c r="DX373" t="s">
        <v>29604</v>
      </c>
      <c r="DY373" t="s">
        <v>29605</v>
      </c>
      <c r="DZ373" t="s">
        <v>29606</v>
      </c>
      <c r="EA373" t="s">
        <v>13772</v>
      </c>
      <c r="EB373" t="s">
        <v>29607</v>
      </c>
    </row>
    <row r="374" spans="1:132" hidden="1">
      <c r="A374">
        <v>1727</v>
      </c>
      <c r="B374">
        <v>1</v>
      </c>
      <c r="C374" t="s">
        <v>4085</v>
      </c>
      <c r="D374" t="s">
        <v>73</v>
      </c>
      <c r="E374" t="s">
        <v>73</v>
      </c>
      <c r="F374" t="s">
        <v>73</v>
      </c>
      <c r="G374" t="s">
        <v>73</v>
      </c>
      <c r="H374">
        <v>7.8</v>
      </c>
      <c r="I374">
        <v>1337</v>
      </c>
      <c r="J374">
        <v>143284</v>
      </c>
      <c r="K374" t="s">
        <v>4086</v>
      </c>
      <c r="L374">
        <f t="shared" si="22"/>
        <v>109</v>
      </c>
      <c r="N374">
        <v>109</v>
      </c>
      <c r="O374">
        <v>109</v>
      </c>
      <c r="P374">
        <v>1</v>
      </c>
      <c r="Q374">
        <v>9</v>
      </c>
      <c r="R374">
        <v>13</v>
      </c>
      <c r="S374">
        <v>12</v>
      </c>
      <c r="T374">
        <v>12</v>
      </c>
      <c r="U374">
        <v>12</v>
      </c>
      <c r="V374">
        <v>7</v>
      </c>
      <c r="W374">
        <v>14</v>
      </c>
      <c r="X374">
        <v>7</v>
      </c>
      <c r="Y374">
        <v>2</v>
      </c>
      <c r="Z374">
        <v>0</v>
      </c>
      <c r="AA374">
        <v>1</v>
      </c>
      <c r="AB374">
        <v>5</v>
      </c>
      <c r="AC374">
        <v>1</v>
      </c>
      <c r="AD374">
        <v>1</v>
      </c>
      <c r="AE374">
        <v>2</v>
      </c>
      <c r="AF374">
        <v>5</v>
      </c>
      <c r="AG374">
        <v>1</v>
      </c>
      <c r="AH374">
        <v>1</v>
      </c>
      <c r="AI374">
        <v>4</v>
      </c>
      <c r="AJ374">
        <v>9</v>
      </c>
      <c r="AK374">
        <v>13</v>
      </c>
      <c r="AL374">
        <v>12</v>
      </c>
      <c r="AM374">
        <v>12</v>
      </c>
      <c r="AN374">
        <v>12</v>
      </c>
      <c r="AO374">
        <v>7</v>
      </c>
      <c r="AP374">
        <v>14</v>
      </c>
      <c r="AQ374">
        <v>7</v>
      </c>
      <c r="AR374">
        <v>2</v>
      </c>
      <c r="AS374">
        <v>0</v>
      </c>
      <c r="AT374">
        <v>1</v>
      </c>
      <c r="AU374">
        <v>5</v>
      </c>
      <c r="AV374">
        <v>1</v>
      </c>
      <c r="AW374">
        <v>1</v>
      </c>
      <c r="AX374">
        <v>2</v>
      </c>
      <c r="AY374">
        <v>5</v>
      </c>
      <c r="AZ374">
        <v>1</v>
      </c>
      <c r="BA374">
        <v>1</v>
      </c>
      <c r="BB374">
        <v>4</v>
      </c>
      <c r="BC374" s="2">
        <v>9</v>
      </c>
      <c r="BD374" s="2">
        <v>13</v>
      </c>
      <c r="BE374" s="2">
        <v>12</v>
      </c>
      <c r="BF374" s="2">
        <v>12</v>
      </c>
      <c r="BG374" s="2">
        <v>12</v>
      </c>
      <c r="BH374" s="2">
        <v>7</v>
      </c>
      <c r="BI374" s="2">
        <v>14</v>
      </c>
      <c r="BJ374" s="2">
        <v>7</v>
      </c>
      <c r="BK374" s="2">
        <v>2</v>
      </c>
      <c r="BL374" s="2">
        <v>0</v>
      </c>
      <c r="BM374" s="2">
        <v>1</v>
      </c>
      <c r="BN374" s="2">
        <v>5</v>
      </c>
      <c r="BO374" s="2">
        <v>1</v>
      </c>
      <c r="BP374" s="2">
        <v>1</v>
      </c>
      <c r="BQ374" s="2">
        <v>2</v>
      </c>
      <c r="BR374" s="2">
        <v>5</v>
      </c>
      <c r="BS374" s="2">
        <v>1</v>
      </c>
      <c r="BT374" s="2">
        <v>1</v>
      </c>
      <c r="BU374" s="2">
        <v>4</v>
      </c>
      <c r="BV374" s="2">
        <f t="shared" si="25"/>
        <v>109</v>
      </c>
      <c r="BW374" s="16">
        <f t="shared" si="23"/>
        <v>5.7368421052631575</v>
      </c>
      <c r="BX374" s="16">
        <f>COUNTIF($BC$6:BU374, "=0") / COUNTIF($BC$6:BU374, "&gt;-1")</f>
        <v>9.2568820425046355E-2</v>
      </c>
      <c r="BY374" s="18">
        <f>SUM($BC$6:BU374) / $BY$4</f>
        <v>0.79925489306559794</v>
      </c>
      <c r="BZ374" s="14">
        <f t="shared" si="24"/>
        <v>1</v>
      </c>
      <c r="CA374" t="s">
        <v>5831</v>
      </c>
      <c r="CB374" s="36">
        <v>10.9047905625126</v>
      </c>
      <c r="CC374" s="36">
        <v>12.519833568806799</v>
      </c>
      <c r="CD374" s="36">
        <v>19.2095719417471</v>
      </c>
      <c r="CE374" s="36">
        <v>18.143061109838801</v>
      </c>
      <c r="CF374" s="36">
        <v>10.322116319242699</v>
      </c>
      <c r="CG374" s="36">
        <v>6.50809072647644</v>
      </c>
      <c r="CH374" s="36">
        <v>14.756871960105</v>
      </c>
      <c r="CI374" s="36">
        <v>6.8122851858761404</v>
      </c>
      <c r="CJ374" s="37">
        <v>1.5895165864899099</v>
      </c>
      <c r="CK374" s="37">
        <v>0.63064964688828595</v>
      </c>
      <c r="CL374" s="37">
        <v>4.0002717413367099</v>
      </c>
      <c r="CM374" s="37">
        <v>0.84654704659994096</v>
      </c>
      <c r="CN374" s="37">
        <v>1.8375851316302301</v>
      </c>
      <c r="CO374" s="37">
        <v>3.94595285192562</v>
      </c>
      <c r="CP374" s="37">
        <v>1.50854004786242</v>
      </c>
      <c r="CQ374" s="37">
        <v>6.0905473858984696</v>
      </c>
      <c r="CR374" s="45">
        <v>-2.2755147876399202</v>
      </c>
      <c r="CS374" s="45">
        <v>-4.8498049227994002</v>
      </c>
      <c r="CT374" s="46">
        <v>1.59326980561439E-7</v>
      </c>
      <c r="CU374" s="47">
        <v>1.0055636792038E-6</v>
      </c>
      <c r="CV374" s="48">
        <v>12.3970776718257</v>
      </c>
      <c r="CW374" s="49">
        <v>2.5562013048289498</v>
      </c>
      <c r="CX374" s="31" t="s">
        <v>5875</v>
      </c>
      <c r="CY374" s="31" t="s">
        <v>5876</v>
      </c>
      <c r="CZ374" t="s">
        <v>11506</v>
      </c>
      <c r="DA374" t="s">
        <v>5904</v>
      </c>
      <c r="DB374">
        <v>1411.7</v>
      </c>
      <c r="DC374" t="s">
        <v>30348</v>
      </c>
      <c r="DD374" t="s">
        <v>30349</v>
      </c>
      <c r="DE374" t="s">
        <v>30350</v>
      </c>
      <c r="DF374" t="s">
        <v>30351</v>
      </c>
      <c r="DG374" t="s">
        <v>30352</v>
      </c>
      <c r="DH374" t="str">
        <f>"PRSS36"</f>
        <v>PRSS36</v>
      </c>
      <c r="DI374" t="s">
        <v>13772</v>
      </c>
      <c r="DJ374" t="s">
        <v>13777</v>
      </c>
      <c r="DK374">
        <v>9606</v>
      </c>
      <c r="DL374" s="34" t="str">
        <f>HYPERLINK("http://www.uniprot.org/uniprot/Q5K4E3", "Q5K4E3")</f>
        <v>Q5K4E3</v>
      </c>
      <c r="DM374" t="s">
        <v>30353</v>
      </c>
      <c r="DN374" t="s">
        <v>13772</v>
      </c>
      <c r="DO374" t="s">
        <v>13869</v>
      </c>
      <c r="DP374" t="s">
        <v>13841</v>
      </c>
      <c r="DQ374" t="s">
        <v>13772</v>
      </c>
      <c r="DR374" t="s">
        <v>13772</v>
      </c>
      <c r="DS374" t="s">
        <v>14404</v>
      </c>
      <c r="DT374" t="s">
        <v>13772</v>
      </c>
      <c r="DU374" t="s">
        <v>15176</v>
      </c>
      <c r="DV374" t="s">
        <v>15472</v>
      </c>
      <c r="DW374" t="s">
        <v>13772</v>
      </c>
      <c r="DX374" t="s">
        <v>13772</v>
      </c>
      <c r="DY374" t="s">
        <v>30354</v>
      </c>
      <c r="DZ374" t="s">
        <v>21852</v>
      </c>
      <c r="EA374" t="s">
        <v>13772</v>
      </c>
      <c r="EB374" t="s">
        <v>13772</v>
      </c>
    </row>
    <row r="375" spans="1:132" hidden="1">
      <c r="A375">
        <v>981</v>
      </c>
      <c r="B375">
        <v>1</v>
      </c>
      <c r="C375" t="s">
        <v>2381</v>
      </c>
      <c r="D375" t="s">
        <v>73</v>
      </c>
      <c r="E375" t="s">
        <v>73</v>
      </c>
      <c r="F375" t="s">
        <v>542</v>
      </c>
      <c r="G375" t="s">
        <v>73</v>
      </c>
      <c r="H375">
        <v>43.2</v>
      </c>
      <c r="I375">
        <v>414</v>
      </c>
      <c r="J375">
        <v>46856</v>
      </c>
      <c r="K375" t="s">
        <v>2382</v>
      </c>
      <c r="L375">
        <f t="shared" si="22"/>
        <v>110</v>
      </c>
      <c r="N375">
        <v>110</v>
      </c>
      <c r="O375">
        <v>104</v>
      </c>
      <c r="P375">
        <v>0.94499999999999995</v>
      </c>
      <c r="Q375">
        <v>5</v>
      </c>
      <c r="R375">
        <v>16</v>
      </c>
      <c r="S375">
        <v>0</v>
      </c>
      <c r="T375">
        <v>1</v>
      </c>
      <c r="U375">
        <v>19</v>
      </c>
      <c r="V375">
        <v>14</v>
      </c>
      <c r="W375">
        <v>5</v>
      </c>
      <c r="X375">
        <v>6</v>
      </c>
      <c r="Y375">
        <v>4</v>
      </c>
      <c r="Z375">
        <v>0</v>
      </c>
      <c r="AA375">
        <v>14</v>
      </c>
      <c r="AB375">
        <v>10</v>
      </c>
      <c r="AC375">
        <v>3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3</v>
      </c>
      <c r="AJ375">
        <v>4</v>
      </c>
      <c r="AK375">
        <v>15</v>
      </c>
      <c r="AL375">
        <v>0</v>
      </c>
      <c r="AM375">
        <v>1</v>
      </c>
      <c r="AN375">
        <v>18</v>
      </c>
      <c r="AO375">
        <v>13</v>
      </c>
      <c r="AP375">
        <v>5</v>
      </c>
      <c r="AQ375">
        <v>5</v>
      </c>
      <c r="AR375">
        <v>4</v>
      </c>
      <c r="AS375">
        <v>0</v>
      </c>
      <c r="AT375">
        <v>13</v>
      </c>
      <c r="AU375">
        <v>10</v>
      </c>
      <c r="AV375">
        <v>3</v>
      </c>
      <c r="AW375">
        <v>2</v>
      </c>
      <c r="AX375">
        <v>1</v>
      </c>
      <c r="AY375">
        <v>3</v>
      </c>
      <c r="AZ375">
        <v>2</v>
      </c>
      <c r="BA375">
        <v>2</v>
      </c>
      <c r="BB375">
        <v>3</v>
      </c>
      <c r="BC375" s="2">
        <v>5</v>
      </c>
      <c r="BD375" s="2">
        <v>15.789</v>
      </c>
      <c r="BE375" s="2">
        <v>0</v>
      </c>
      <c r="BF375" s="2">
        <v>1</v>
      </c>
      <c r="BG375" s="2">
        <v>18.783000000000001</v>
      </c>
      <c r="BH375" s="2">
        <v>13.929</v>
      </c>
      <c r="BI375" s="2">
        <v>5</v>
      </c>
      <c r="BJ375" s="2">
        <v>5.5</v>
      </c>
      <c r="BK375" s="2">
        <v>4</v>
      </c>
      <c r="BL375" s="2">
        <v>0</v>
      </c>
      <c r="BM375" s="2">
        <v>13.811999999999999</v>
      </c>
      <c r="BN375" s="2">
        <v>10</v>
      </c>
      <c r="BO375" s="2">
        <v>3</v>
      </c>
      <c r="BP375" s="2">
        <v>2</v>
      </c>
      <c r="BQ375" s="2">
        <v>1</v>
      </c>
      <c r="BR375" s="2">
        <v>3</v>
      </c>
      <c r="BS375" s="2">
        <v>2</v>
      </c>
      <c r="BT375" s="2">
        <v>2</v>
      </c>
      <c r="BU375" s="2">
        <v>3</v>
      </c>
      <c r="BV375" s="2">
        <f t="shared" si="25"/>
        <v>108.813</v>
      </c>
      <c r="BW375" s="16">
        <f t="shared" si="23"/>
        <v>5.7270000000000003</v>
      </c>
      <c r="BX375" s="16">
        <f>COUNTIF($BC$6:BU375, "=0") / COUNTIF($BC$6:BU375, "&gt;-1")</f>
        <v>9.2603129445234703E-2</v>
      </c>
      <c r="BY375" s="18">
        <f>SUM($BC$6:BU375) / $BY$4</f>
        <v>0.79972100844419181</v>
      </c>
      <c r="BZ375" s="14">
        <f t="shared" si="24"/>
        <v>2</v>
      </c>
      <c r="CA375" t="s">
        <v>5831</v>
      </c>
      <c r="CB375" s="36">
        <v>6.0582169791736504</v>
      </c>
      <c r="CC375" s="36">
        <v>15.216413106703699</v>
      </c>
      <c r="CD375" s="36">
        <v>0.40019941545306398</v>
      </c>
      <c r="CE375" s="36">
        <v>1.5119217591532299</v>
      </c>
      <c r="CF375" s="36">
        <v>16.1713155668136</v>
      </c>
      <c r="CG375" s="36">
        <v>12.9232087282889</v>
      </c>
      <c r="CH375" s="36">
        <v>5.2703114143232002</v>
      </c>
      <c r="CI375" s="36">
        <v>5.3525097889026796</v>
      </c>
      <c r="CJ375" s="37">
        <v>3.17903317297983</v>
      </c>
      <c r="CK375" s="37">
        <v>8.7029651270583397</v>
      </c>
      <c r="CL375" s="37">
        <v>8.0005434826734305</v>
      </c>
      <c r="CM375" s="37">
        <v>2.5396411397998202</v>
      </c>
      <c r="CN375" s="37">
        <v>0.91879256581511404</v>
      </c>
      <c r="CO375" s="37">
        <v>2.36757171115537</v>
      </c>
      <c r="CP375" s="37">
        <v>3.0170800957248498</v>
      </c>
      <c r="CQ375" s="37">
        <v>4.5679105394238499</v>
      </c>
      <c r="CR375" s="45">
        <v>-0.91857302482968495</v>
      </c>
      <c r="CS375" s="45">
        <v>-1.8893785656320901</v>
      </c>
      <c r="CT375" s="46">
        <v>0.102034788618539</v>
      </c>
      <c r="CU375" s="47">
        <v>0.14523675231021799</v>
      </c>
      <c r="CV375" s="48">
        <v>7.8630120948515003</v>
      </c>
      <c r="CW375" s="49">
        <v>4.1616922293288301</v>
      </c>
      <c r="CX375" s="31" t="s">
        <v>5875</v>
      </c>
      <c r="CY375" s="31" t="s">
        <v>5832</v>
      </c>
      <c r="CZ375" t="s">
        <v>9058</v>
      </c>
      <c r="DA375" t="s">
        <v>5904</v>
      </c>
      <c r="DB375">
        <v>836.6</v>
      </c>
      <c r="DC375" t="s">
        <v>23450</v>
      </c>
      <c r="DD375" t="s">
        <v>23451</v>
      </c>
      <c r="DE375" t="s">
        <v>23452</v>
      </c>
      <c r="DF375" t="s">
        <v>23453</v>
      </c>
      <c r="DG375" t="s">
        <v>23454</v>
      </c>
      <c r="DH375" t="str">
        <f>"IDH1"</f>
        <v>IDH1</v>
      </c>
      <c r="DI375" t="s">
        <v>23455</v>
      </c>
      <c r="DJ375" t="s">
        <v>13777</v>
      </c>
      <c r="DK375">
        <v>9606</v>
      </c>
      <c r="DL375" s="34" t="str">
        <f>HYPERLINK("http://www.uniprot.org/uniprot/O75874", "O75874")</f>
        <v>O75874</v>
      </c>
      <c r="DM375" t="s">
        <v>23456</v>
      </c>
      <c r="DN375" t="s">
        <v>15614</v>
      </c>
      <c r="DO375" t="s">
        <v>23457</v>
      </c>
      <c r="DP375" t="s">
        <v>13793</v>
      </c>
      <c r="DQ375" t="s">
        <v>13772</v>
      </c>
      <c r="DR375" t="s">
        <v>13772</v>
      </c>
      <c r="DS375" t="s">
        <v>13772</v>
      </c>
      <c r="DT375" t="s">
        <v>15615</v>
      </c>
      <c r="DU375" t="s">
        <v>13885</v>
      </c>
      <c r="DV375" t="s">
        <v>13886</v>
      </c>
      <c r="DW375" t="s">
        <v>13812</v>
      </c>
      <c r="DX375" t="s">
        <v>23458</v>
      </c>
      <c r="DY375" t="s">
        <v>23459</v>
      </c>
      <c r="DZ375" t="s">
        <v>23460</v>
      </c>
      <c r="EA375" t="s">
        <v>13772</v>
      </c>
      <c r="EB375" t="s">
        <v>23461</v>
      </c>
    </row>
    <row r="376" spans="1:132" hidden="1">
      <c r="A376">
        <v>1072</v>
      </c>
      <c r="B376">
        <v>1</v>
      </c>
      <c r="C376" t="s">
        <v>2577</v>
      </c>
      <c r="D376" t="s">
        <v>73</v>
      </c>
      <c r="E376" t="s">
        <v>73</v>
      </c>
      <c r="F376" t="s">
        <v>73</v>
      </c>
      <c r="G376" t="s">
        <v>73</v>
      </c>
      <c r="H376">
        <v>65.599999999999994</v>
      </c>
      <c r="I376">
        <v>320</v>
      </c>
      <c r="J376">
        <v>35395</v>
      </c>
      <c r="K376" t="s">
        <v>2578</v>
      </c>
      <c r="L376">
        <f t="shared" si="22"/>
        <v>108</v>
      </c>
      <c r="N376">
        <v>108</v>
      </c>
      <c r="O376">
        <v>108</v>
      </c>
      <c r="P376">
        <v>1</v>
      </c>
      <c r="Q376">
        <v>3</v>
      </c>
      <c r="R376">
        <v>4</v>
      </c>
      <c r="S376">
        <v>0</v>
      </c>
      <c r="T376">
        <v>0</v>
      </c>
      <c r="U376">
        <v>9</v>
      </c>
      <c r="V376">
        <v>10</v>
      </c>
      <c r="W376">
        <v>12</v>
      </c>
      <c r="X376">
        <v>20</v>
      </c>
      <c r="Y376">
        <v>5</v>
      </c>
      <c r="Z376">
        <v>0</v>
      </c>
      <c r="AA376">
        <v>13</v>
      </c>
      <c r="AB376">
        <v>5</v>
      </c>
      <c r="AC376">
        <v>9</v>
      </c>
      <c r="AD376">
        <v>0</v>
      </c>
      <c r="AE376">
        <v>6</v>
      </c>
      <c r="AF376">
        <v>7</v>
      </c>
      <c r="AG376">
        <v>2</v>
      </c>
      <c r="AH376">
        <v>1</v>
      </c>
      <c r="AI376">
        <v>2</v>
      </c>
      <c r="AJ376">
        <v>3</v>
      </c>
      <c r="AK376">
        <v>4</v>
      </c>
      <c r="AL376">
        <v>0</v>
      </c>
      <c r="AM376">
        <v>0</v>
      </c>
      <c r="AN376">
        <v>9</v>
      </c>
      <c r="AO376">
        <v>10</v>
      </c>
      <c r="AP376">
        <v>12</v>
      </c>
      <c r="AQ376">
        <v>20</v>
      </c>
      <c r="AR376">
        <v>5</v>
      </c>
      <c r="AS376">
        <v>0</v>
      </c>
      <c r="AT376">
        <v>13</v>
      </c>
      <c r="AU376">
        <v>5</v>
      </c>
      <c r="AV376">
        <v>9</v>
      </c>
      <c r="AW376">
        <v>0</v>
      </c>
      <c r="AX376">
        <v>6</v>
      </c>
      <c r="AY376">
        <v>7</v>
      </c>
      <c r="AZ376">
        <v>2</v>
      </c>
      <c r="BA376">
        <v>1</v>
      </c>
      <c r="BB376">
        <v>2</v>
      </c>
      <c r="BC376" s="2">
        <v>3</v>
      </c>
      <c r="BD376" s="2">
        <v>4</v>
      </c>
      <c r="BE376" s="2">
        <v>0</v>
      </c>
      <c r="BF376" s="2">
        <v>0</v>
      </c>
      <c r="BG376" s="2">
        <v>9</v>
      </c>
      <c r="BH376" s="2">
        <v>10</v>
      </c>
      <c r="BI376" s="2">
        <v>12</v>
      </c>
      <c r="BJ376" s="2">
        <v>20</v>
      </c>
      <c r="BK376" s="2">
        <v>5</v>
      </c>
      <c r="BL376" s="2">
        <v>0</v>
      </c>
      <c r="BM376" s="2">
        <v>13</v>
      </c>
      <c r="BN376" s="2">
        <v>5</v>
      </c>
      <c r="BO376" s="2">
        <v>9</v>
      </c>
      <c r="BP376" s="2">
        <v>0</v>
      </c>
      <c r="BQ376" s="2">
        <v>6</v>
      </c>
      <c r="BR376" s="2">
        <v>7</v>
      </c>
      <c r="BS376" s="2">
        <v>2</v>
      </c>
      <c r="BT376" s="2">
        <v>1</v>
      </c>
      <c r="BU376" s="2">
        <v>2</v>
      </c>
      <c r="BV376" s="2">
        <f t="shared" si="25"/>
        <v>108</v>
      </c>
      <c r="BW376" s="16">
        <f t="shared" si="23"/>
        <v>5.6842105263157894</v>
      </c>
      <c r="BX376" s="16">
        <f>COUNTIF($BC$6:BU376, "=0") / COUNTIF($BC$6:BU376, "&gt;-1")</f>
        <v>9.2920981699531849E-2</v>
      </c>
      <c r="BY376" s="18">
        <f>SUM($BC$6:BU376) / $BY$4</f>
        <v>0.80018364122601149</v>
      </c>
      <c r="BZ376" s="14">
        <f t="shared" si="24"/>
        <v>4</v>
      </c>
      <c r="CA376" t="s">
        <v>5831</v>
      </c>
      <c r="CB376" s="36">
        <v>3.6349301875041902</v>
      </c>
      <c r="CC376" s="36">
        <v>3.85225648270979</v>
      </c>
      <c r="CD376" s="36">
        <v>0.40019941545306398</v>
      </c>
      <c r="CE376" s="36">
        <v>0.37798043978830698</v>
      </c>
      <c r="CF376" s="36">
        <v>7.7415872394320298</v>
      </c>
      <c r="CG376" s="36">
        <v>9.2972724663949098</v>
      </c>
      <c r="CH376" s="36">
        <v>12.6487473943757</v>
      </c>
      <c r="CI376" s="36">
        <v>19.463671959646099</v>
      </c>
      <c r="CJ376" s="37">
        <v>3.9737914662247902</v>
      </c>
      <c r="CK376" s="37">
        <v>8.1984454095477108</v>
      </c>
      <c r="CL376" s="37">
        <v>4.0002717413367099</v>
      </c>
      <c r="CM376" s="37">
        <v>7.6189234193994704</v>
      </c>
      <c r="CN376" s="37">
        <v>5.5127553948906796</v>
      </c>
      <c r="CO376" s="37">
        <v>5.5243339926958699</v>
      </c>
      <c r="CP376" s="37">
        <v>3.0170800957248498</v>
      </c>
      <c r="CQ376" s="37">
        <v>3.0452736929492299</v>
      </c>
      <c r="CR376" s="45">
        <v>-0.493929619206465</v>
      </c>
      <c r="CS376" s="45">
        <v>-1.40414322967032</v>
      </c>
      <c r="CT376" s="46">
        <v>0.39669295301871099</v>
      </c>
      <c r="CU376" s="47">
        <v>0.479038963121872</v>
      </c>
      <c r="CV376" s="48">
        <v>7.1770806981630102</v>
      </c>
      <c r="CW376" s="49">
        <v>5.1113594015961601</v>
      </c>
      <c r="CX376" s="31" t="s">
        <v>5875</v>
      </c>
      <c r="CY376" s="31" t="s">
        <v>5832</v>
      </c>
      <c r="CZ376" t="s">
        <v>9300</v>
      </c>
      <c r="DA376" t="s">
        <v>5904</v>
      </c>
      <c r="DB376">
        <v>555.79999999999995</v>
      </c>
      <c r="DC376" t="s">
        <v>24149</v>
      </c>
      <c r="DD376" t="s">
        <v>13772</v>
      </c>
      <c r="DE376" t="s">
        <v>24150</v>
      </c>
      <c r="DF376" t="s">
        <v>24151</v>
      </c>
      <c r="DG376" t="s">
        <v>24152</v>
      </c>
      <c r="DH376" t="str">
        <f>"MPST"</f>
        <v>MPST</v>
      </c>
      <c r="DI376" t="s">
        <v>24153</v>
      </c>
      <c r="DJ376" t="s">
        <v>13777</v>
      </c>
      <c r="DK376">
        <v>9606</v>
      </c>
      <c r="DL376" s="34" t="str">
        <f>HYPERLINK("http://www.uniprot.org/uniprot/P25325", "P25325")</f>
        <v>P25325</v>
      </c>
      <c r="DM376" t="s">
        <v>24154</v>
      </c>
      <c r="DN376" t="s">
        <v>13772</v>
      </c>
      <c r="DO376" t="s">
        <v>24155</v>
      </c>
      <c r="DP376" t="s">
        <v>13841</v>
      </c>
      <c r="DQ376" t="s">
        <v>13772</v>
      </c>
      <c r="DR376" t="s">
        <v>13772</v>
      </c>
      <c r="DS376" t="s">
        <v>24156</v>
      </c>
      <c r="DT376" t="s">
        <v>13772</v>
      </c>
      <c r="DU376" t="s">
        <v>14111</v>
      </c>
      <c r="DV376" t="s">
        <v>15256</v>
      </c>
      <c r="DW376" t="s">
        <v>13812</v>
      </c>
      <c r="DX376" t="s">
        <v>24157</v>
      </c>
      <c r="DY376" t="s">
        <v>24158</v>
      </c>
      <c r="DZ376" t="s">
        <v>24159</v>
      </c>
      <c r="EA376" t="s">
        <v>13772</v>
      </c>
      <c r="EB376" t="s">
        <v>23803</v>
      </c>
    </row>
    <row r="377" spans="1:132" hidden="1">
      <c r="A377">
        <v>1115</v>
      </c>
      <c r="B377">
        <v>1</v>
      </c>
      <c r="C377" t="s">
        <v>2682</v>
      </c>
      <c r="D377" t="s">
        <v>73</v>
      </c>
      <c r="E377" t="s">
        <v>73</v>
      </c>
      <c r="F377" t="s">
        <v>73</v>
      </c>
      <c r="G377" t="s">
        <v>73</v>
      </c>
      <c r="H377">
        <v>32.799999999999997</v>
      </c>
      <c r="I377">
        <v>551</v>
      </c>
      <c r="J377">
        <v>61842</v>
      </c>
      <c r="K377" t="s">
        <v>2683</v>
      </c>
      <c r="L377">
        <f t="shared" si="22"/>
        <v>108</v>
      </c>
      <c r="N377">
        <v>108</v>
      </c>
      <c r="O377">
        <v>108</v>
      </c>
      <c r="P377">
        <v>1</v>
      </c>
      <c r="Q377">
        <v>7</v>
      </c>
      <c r="R377">
        <v>10</v>
      </c>
      <c r="S377">
        <v>6</v>
      </c>
      <c r="T377">
        <v>12</v>
      </c>
      <c r="U377">
        <v>10</v>
      </c>
      <c r="V377">
        <v>7</v>
      </c>
      <c r="W377">
        <v>6</v>
      </c>
      <c r="X377">
        <v>12</v>
      </c>
      <c r="Y377">
        <v>3</v>
      </c>
      <c r="Z377">
        <v>0</v>
      </c>
      <c r="AA377">
        <v>5</v>
      </c>
      <c r="AB377">
        <v>4</v>
      </c>
      <c r="AC377">
        <v>2</v>
      </c>
      <c r="AD377">
        <v>0</v>
      </c>
      <c r="AE377">
        <v>6</v>
      </c>
      <c r="AF377">
        <v>5</v>
      </c>
      <c r="AG377">
        <v>4</v>
      </c>
      <c r="AH377">
        <v>4</v>
      </c>
      <c r="AI377">
        <v>5</v>
      </c>
      <c r="AJ377">
        <v>7</v>
      </c>
      <c r="AK377">
        <v>10</v>
      </c>
      <c r="AL377">
        <v>6</v>
      </c>
      <c r="AM377">
        <v>12</v>
      </c>
      <c r="AN377">
        <v>10</v>
      </c>
      <c r="AO377">
        <v>7</v>
      </c>
      <c r="AP377">
        <v>6</v>
      </c>
      <c r="AQ377">
        <v>12</v>
      </c>
      <c r="AR377">
        <v>3</v>
      </c>
      <c r="AS377">
        <v>0</v>
      </c>
      <c r="AT377">
        <v>5</v>
      </c>
      <c r="AU377">
        <v>4</v>
      </c>
      <c r="AV377">
        <v>2</v>
      </c>
      <c r="AW377">
        <v>0</v>
      </c>
      <c r="AX377">
        <v>6</v>
      </c>
      <c r="AY377">
        <v>5</v>
      </c>
      <c r="AZ377">
        <v>4</v>
      </c>
      <c r="BA377">
        <v>4</v>
      </c>
      <c r="BB377">
        <v>5</v>
      </c>
      <c r="BC377" s="2">
        <v>7</v>
      </c>
      <c r="BD377" s="2">
        <v>10</v>
      </c>
      <c r="BE377" s="2">
        <v>6</v>
      </c>
      <c r="BF377" s="2">
        <v>12</v>
      </c>
      <c r="BG377" s="2">
        <v>10</v>
      </c>
      <c r="BH377" s="2">
        <v>7</v>
      </c>
      <c r="BI377" s="2">
        <v>6</v>
      </c>
      <c r="BJ377" s="2">
        <v>12</v>
      </c>
      <c r="BK377" s="2">
        <v>3</v>
      </c>
      <c r="BL377" s="2">
        <v>0</v>
      </c>
      <c r="BM377" s="2">
        <v>5</v>
      </c>
      <c r="BN377" s="2">
        <v>4</v>
      </c>
      <c r="BO377" s="2">
        <v>2</v>
      </c>
      <c r="BP377" s="2">
        <v>0</v>
      </c>
      <c r="BQ377" s="2">
        <v>6</v>
      </c>
      <c r="BR377" s="2">
        <v>5</v>
      </c>
      <c r="BS377" s="2">
        <v>4</v>
      </c>
      <c r="BT377" s="2">
        <v>4</v>
      </c>
      <c r="BU377" s="2">
        <v>5</v>
      </c>
      <c r="BV377" s="2">
        <f t="shared" si="25"/>
        <v>108</v>
      </c>
      <c r="BW377" s="16">
        <f t="shared" si="23"/>
        <v>5.6842105263157894</v>
      </c>
      <c r="BX377" s="16">
        <f>COUNTIF($BC$6:BU377, "=0") / COUNTIF($BC$6:BU377, "&gt;-1")</f>
        <v>9.2954159592529714E-2</v>
      </c>
      <c r="BY377" s="18">
        <f>SUM($BC$6:BU377) / $BY$4</f>
        <v>0.80064627400783117</v>
      </c>
      <c r="BZ377" s="14">
        <f t="shared" si="24"/>
        <v>2</v>
      </c>
      <c r="CA377" t="s">
        <v>5831</v>
      </c>
      <c r="CB377" s="36">
        <v>8.4815037708430996</v>
      </c>
      <c r="CC377" s="36">
        <v>9.6306412067744702</v>
      </c>
      <c r="CD377" s="36">
        <v>9.6047859708735501</v>
      </c>
      <c r="CE377" s="36">
        <v>18.143061109838801</v>
      </c>
      <c r="CF377" s="36">
        <v>8.6017635993689208</v>
      </c>
      <c r="CG377" s="36">
        <v>6.50809072647644</v>
      </c>
      <c r="CH377" s="36">
        <v>6.3243736971878404</v>
      </c>
      <c r="CI377" s="36">
        <v>11.678203175787701</v>
      </c>
      <c r="CJ377" s="37">
        <v>2.3842748797348698</v>
      </c>
      <c r="CK377" s="37">
        <v>3.1532482344414299</v>
      </c>
      <c r="CL377" s="37">
        <v>3.2002173930693698</v>
      </c>
      <c r="CM377" s="37">
        <v>1.6930940931998799</v>
      </c>
      <c r="CN377" s="37">
        <v>5.5127553948906796</v>
      </c>
      <c r="CO377" s="37">
        <v>3.94595285192562</v>
      </c>
      <c r="CP377" s="37">
        <v>6.0341601914496898</v>
      </c>
      <c r="CQ377" s="37">
        <v>7.6131842323730803</v>
      </c>
      <c r="CR377" s="45">
        <v>-1.28361979054803</v>
      </c>
      <c r="CS377" s="45">
        <v>-2.3547928768344701</v>
      </c>
      <c r="CT377" s="46">
        <v>1.1828575761366499E-3</v>
      </c>
      <c r="CU377" s="47">
        <v>2.6116558364205301E-3</v>
      </c>
      <c r="CV377" s="48">
        <v>9.8715529071438404</v>
      </c>
      <c r="CW377" s="49">
        <v>4.1921109088855797</v>
      </c>
      <c r="CX377" s="31" t="s">
        <v>5875</v>
      </c>
      <c r="CY377" s="31" t="s">
        <v>5876</v>
      </c>
      <c r="CZ377" t="s">
        <v>9452</v>
      </c>
      <c r="DA377" t="s">
        <v>5904</v>
      </c>
      <c r="DB377">
        <v>1062.8</v>
      </c>
      <c r="DC377" t="s">
        <v>24594</v>
      </c>
      <c r="DD377" t="s">
        <v>24595</v>
      </c>
      <c r="DE377" t="s">
        <v>24596</v>
      </c>
      <c r="DF377" t="s">
        <v>24597</v>
      </c>
      <c r="DG377" t="s">
        <v>24598</v>
      </c>
      <c r="DH377" t="str">
        <f>"GNS"</f>
        <v>GNS</v>
      </c>
      <c r="DI377" t="s">
        <v>13772</v>
      </c>
      <c r="DJ377" t="s">
        <v>13777</v>
      </c>
      <c r="DK377">
        <v>9606</v>
      </c>
      <c r="DL377" s="34" t="str">
        <f>HYPERLINK("http://www.uniprot.org/uniprot/P15586", "P15586")</f>
        <v>P15586</v>
      </c>
      <c r="DM377" t="s">
        <v>24599</v>
      </c>
      <c r="DN377" t="s">
        <v>13772</v>
      </c>
      <c r="DO377" t="s">
        <v>13806</v>
      </c>
      <c r="DP377" t="s">
        <v>13780</v>
      </c>
      <c r="DQ377" t="s">
        <v>13772</v>
      </c>
      <c r="DR377" t="s">
        <v>21982</v>
      </c>
      <c r="DS377" t="s">
        <v>13808</v>
      </c>
      <c r="DT377" t="s">
        <v>13873</v>
      </c>
      <c r="DU377" t="s">
        <v>13857</v>
      </c>
      <c r="DV377" t="s">
        <v>13978</v>
      </c>
      <c r="DW377" t="s">
        <v>13772</v>
      </c>
      <c r="DX377" t="s">
        <v>24600</v>
      </c>
      <c r="DY377" t="s">
        <v>24601</v>
      </c>
      <c r="DZ377" t="s">
        <v>24602</v>
      </c>
      <c r="EA377" t="s">
        <v>13772</v>
      </c>
      <c r="EB377" t="s">
        <v>24603</v>
      </c>
    </row>
    <row r="378" spans="1:132" hidden="1">
      <c r="A378">
        <v>1424</v>
      </c>
      <c r="B378">
        <v>1</v>
      </c>
      <c r="C378" t="s">
        <v>3395</v>
      </c>
      <c r="D378" t="s">
        <v>73</v>
      </c>
      <c r="E378" t="s">
        <v>73</v>
      </c>
      <c r="F378" t="s">
        <v>73</v>
      </c>
      <c r="G378" t="s">
        <v>73</v>
      </c>
      <c r="H378">
        <v>10</v>
      </c>
      <c r="I378">
        <v>732</v>
      </c>
      <c r="J378">
        <v>83429</v>
      </c>
      <c r="K378" t="s">
        <v>3396</v>
      </c>
      <c r="L378">
        <f t="shared" si="22"/>
        <v>108</v>
      </c>
      <c r="N378">
        <v>108</v>
      </c>
      <c r="O378">
        <v>108</v>
      </c>
      <c r="P378">
        <v>1</v>
      </c>
      <c r="Q378">
        <v>8</v>
      </c>
      <c r="R378">
        <v>4</v>
      </c>
      <c r="S378">
        <v>7</v>
      </c>
      <c r="T378">
        <v>4</v>
      </c>
      <c r="U378">
        <v>20</v>
      </c>
      <c r="V378">
        <v>21</v>
      </c>
      <c r="W378">
        <v>9</v>
      </c>
      <c r="X378">
        <v>5</v>
      </c>
      <c r="Y378">
        <v>3</v>
      </c>
      <c r="Z378">
        <v>7</v>
      </c>
      <c r="AA378">
        <v>3</v>
      </c>
      <c r="AB378">
        <v>2</v>
      </c>
      <c r="AC378">
        <v>3</v>
      </c>
      <c r="AD378">
        <v>3</v>
      </c>
      <c r="AE378">
        <v>3</v>
      </c>
      <c r="AF378">
        <v>2</v>
      </c>
      <c r="AG378">
        <v>4</v>
      </c>
      <c r="AH378">
        <v>0</v>
      </c>
      <c r="AI378">
        <v>0</v>
      </c>
      <c r="AJ378">
        <v>8</v>
      </c>
      <c r="AK378">
        <v>4</v>
      </c>
      <c r="AL378">
        <v>7</v>
      </c>
      <c r="AM378">
        <v>4</v>
      </c>
      <c r="AN378">
        <v>20</v>
      </c>
      <c r="AO378">
        <v>21</v>
      </c>
      <c r="AP378">
        <v>9</v>
      </c>
      <c r="AQ378">
        <v>5</v>
      </c>
      <c r="AR378">
        <v>3</v>
      </c>
      <c r="AS378">
        <v>7</v>
      </c>
      <c r="AT378">
        <v>3</v>
      </c>
      <c r="AU378">
        <v>2</v>
      </c>
      <c r="AV378">
        <v>3</v>
      </c>
      <c r="AW378">
        <v>3</v>
      </c>
      <c r="AX378">
        <v>3</v>
      </c>
      <c r="AY378">
        <v>2</v>
      </c>
      <c r="AZ378">
        <v>4</v>
      </c>
      <c r="BA378">
        <v>0</v>
      </c>
      <c r="BB378">
        <v>0</v>
      </c>
      <c r="BC378" s="2">
        <v>8</v>
      </c>
      <c r="BD378" s="2">
        <v>4</v>
      </c>
      <c r="BE378" s="2">
        <v>7</v>
      </c>
      <c r="BF378" s="2">
        <v>4</v>
      </c>
      <c r="BG378" s="2">
        <v>20</v>
      </c>
      <c r="BH378" s="2">
        <v>21</v>
      </c>
      <c r="BI378" s="2">
        <v>9</v>
      </c>
      <c r="BJ378" s="2">
        <v>5</v>
      </c>
      <c r="BK378" s="2">
        <v>3</v>
      </c>
      <c r="BL378" s="2">
        <v>7</v>
      </c>
      <c r="BM378" s="2">
        <v>3</v>
      </c>
      <c r="BN378" s="2">
        <v>2</v>
      </c>
      <c r="BO378" s="2">
        <v>3</v>
      </c>
      <c r="BP378" s="2">
        <v>3</v>
      </c>
      <c r="BQ378" s="2">
        <v>3</v>
      </c>
      <c r="BR378" s="2">
        <v>2</v>
      </c>
      <c r="BS378" s="2">
        <v>4</v>
      </c>
      <c r="BT378" s="2">
        <v>0</v>
      </c>
      <c r="BU378" s="2">
        <v>0</v>
      </c>
      <c r="BV378" s="2">
        <f t="shared" si="25"/>
        <v>108</v>
      </c>
      <c r="BW378" s="16">
        <f t="shared" si="23"/>
        <v>5.6842105263157894</v>
      </c>
      <c r="BX378" s="16">
        <f>COUNTIF($BC$6:BU378, "=0") / COUNTIF($BC$6:BU378, "&gt;-1")</f>
        <v>9.2987159587977986E-2</v>
      </c>
      <c r="BY378" s="18">
        <f>SUM($BC$6:BU378) / $BY$4</f>
        <v>0.80110890678965085</v>
      </c>
      <c r="BZ378" s="14">
        <f t="shared" si="24"/>
        <v>2</v>
      </c>
      <c r="CA378" t="s">
        <v>5831</v>
      </c>
      <c r="CB378" s="36">
        <v>9.6931471666778304</v>
      </c>
      <c r="CC378" s="36">
        <v>3.85225648270979</v>
      </c>
      <c r="CD378" s="36">
        <v>11.2055836326858</v>
      </c>
      <c r="CE378" s="36">
        <v>6.0476870366129196</v>
      </c>
      <c r="CF378" s="36">
        <v>17.203527198737799</v>
      </c>
      <c r="CG378" s="36">
        <v>19.5242721794293</v>
      </c>
      <c r="CH378" s="36">
        <v>9.4865605457817708</v>
      </c>
      <c r="CI378" s="36">
        <v>4.8659179899115301</v>
      </c>
      <c r="CJ378" s="37">
        <v>2.3842748797348698</v>
      </c>
      <c r="CK378" s="37">
        <v>1.89194894066486</v>
      </c>
      <c r="CL378" s="37">
        <v>1.60010869653469</v>
      </c>
      <c r="CM378" s="37">
        <v>2.5396411397998202</v>
      </c>
      <c r="CN378" s="37">
        <v>2.7563776974453398</v>
      </c>
      <c r="CO378" s="37">
        <v>1.5783811407702499</v>
      </c>
      <c r="CP378" s="37">
        <v>6.0341601914496898</v>
      </c>
      <c r="CQ378" s="37">
        <v>0.38065921161865401</v>
      </c>
      <c r="CR378" s="45">
        <v>-2.1102307734327801</v>
      </c>
      <c r="CS378" s="45">
        <v>-4.2721938125357903</v>
      </c>
      <c r="CT378" s="46">
        <v>1.0242917656289399E-5</v>
      </c>
      <c r="CU378" s="47">
        <v>3.7241912565530403E-5</v>
      </c>
      <c r="CV378" s="48">
        <v>10.2348690290683</v>
      </c>
      <c r="CW378" s="49">
        <v>2.3956939872522698</v>
      </c>
      <c r="CX378" s="31" t="s">
        <v>5875</v>
      </c>
      <c r="CY378" s="31" t="s">
        <v>5876</v>
      </c>
      <c r="CZ378" t="s">
        <v>10481</v>
      </c>
      <c r="DA378" t="s">
        <v>5904</v>
      </c>
      <c r="DB378">
        <v>1380.5</v>
      </c>
      <c r="DC378" t="s">
        <v>27485</v>
      </c>
      <c r="DD378" t="s">
        <v>27486</v>
      </c>
      <c r="DE378" t="s">
        <v>27487</v>
      </c>
      <c r="DF378" t="s">
        <v>27488</v>
      </c>
      <c r="DG378" t="s">
        <v>27489</v>
      </c>
      <c r="DH378" t="str">
        <f>"F13A1"</f>
        <v>F13A1</v>
      </c>
      <c r="DI378" t="s">
        <v>27490</v>
      </c>
      <c r="DJ378" t="s">
        <v>13777</v>
      </c>
      <c r="DK378">
        <v>9606</v>
      </c>
      <c r="DL378" s="34" t="str">
        <f>HYPERLINK("http://www.uniprot.org/uniprot/P00488", "P00488")</f>
        <v>P00488</v>
      </c>
      <c r="DM378" t="s">
        <v>27491</v>
      </c>
      <c r="DN378" t="s">
        <v>16755</v>
      </c>
      <c r="DO378" t="s">
        <v>16449</v>
      </c>
      <c r="DP378" t="s">
        <v>13793</v>
      </c>
      <c r="DQ378" t="s">
        <v>13772</v>
      </c>
      <c r="DR378" t="s">
        <v>13807</v>
      </c>
      <c r="DS378" t="s">
        <v>13772</v>
      </c>
      <c r="DT378" t="s">
        <v>13873</v>
      </c>
      <c r="DU378" t="s">
        <v>15096</v>
      </c>
      <c r="DV378" t="s">
        <v>27492</v>
      </c>
      <c r="DW378" t="s">
        <v>13812</v>
      </c>
      <c r="DX378" t="s">
        <v>27493</v>
      </c>
      <c r="DY378" t="s">
        <v>27494</v>
      </c>
      <c r="DZ378" t="s">
        <v>16023</v>
      </c>
      <c r="EA378" t="s">
        <v>13772</v>
      </c>
      <c r="EB378" t="s">
        <v>27495</v>
      </c>
    </row>
    <row r="379" spans="1:132" hidden="1">
      <c r="A379">
        <v>1779</v>
      </c>
      <c r="B379">
        <v>1</v>
      </c>
      <c r="C379" t="s">
        <v>4208</v>
      </c>
      <c r="D379" t="s">
        <v>73</v>
      </c>
      <c r="E379" t="s">
        <v>73</v>
      </c>
      <c r="F379" t="s">
        <v>73</v>
      </c>
      <c r="G379" t="s">
        <v>73</v>
      </c>
      <c r="H379">
        <v>23.3</v>
      </c>
      <c r="I379">
        <v>270</v>
      </c>
      <c r="J379">
        <v>29289</v>
      </c>
      <c r="K379" t="s">
        <v>4209</v>
      </c>
      <c r="L379">
        <f t="shared" si="22"/>
        <v>108</v>
      </c>
      <c r="N379">
        <v>108</v>
      </c>
      <c r="O379">
        <v>108</v>
      </c>
      <c r="P379">
        <v>1</v>
      </c>
      <c r="Q379">
        <v>7</v>
      </c>
      <c r="R379">
        <v>14</v>
      </c>
      <c r="S379">
        <v>9</v>
      </c>
      <c r="T379">
        <v>11</v>
      </c>
      <c r="U379">
        <v>12</v>
      </c>
      <c r="V379">
        <v>10</v>
      </c>
      <c r="W379">
        <v>9</v>
      </c>
      <c r="X379">
        <v>7</v>
      </c>
      <c r="Y379">
        <v>1</v>
      </c>
      <c r="Z379">
        <v>0</v>
      </c>
      <c r="AA379">
        <v>6</v>
      </c>
      <c r="AB379">
        <v>0</v>
      </c>
      <c r="AC379">
        <v>2</v>
      </c>
      <c r="AD379">
        <v>2</v>
      </c>
      <c r="AE379">
        <v>4</v>
      </c>
      <c r="AF379">
        <v>4</v>
      </c>
      <c r="AG379">
        <v>7</v>
      </c>
      <c r="AH379">
        <v>2</v>
      </c>
      <c r="AI379">
        <v>1</v>
      </c>
      <c r="AJ379">
        <v>7</v>
      </c>
      <c r="AK379">
        <v>14</v>
      </c>
      <c r="AL379">
        <v>9</v>
      </c>
      <c r="AM379">
        <v>11</v>
      </c>
      <c r="AN379">
        <v>12</v>
      </c>
      <c r="AO379">
        <v>10</v>
      </c>
      <c r="AP379">
        <v>9</v>
      </c>
      <c r="AQ379">
        <v>7</v>
      </c>
      <c r="AR379">
        <v>1</v>
      </c>
      <c r="AS379">
        <v>0</v>
      </c>
      <c r="AT379">
        <v>6</v>
      </c>
      <c r="AU379">
        <v>0</v>
      </c>
      <c r="AV379">
        <v>2</v>
      </c>
      <c r="AW379">
        <v>2</v>
      </c>
      <c r="AX379">
        <v>4</v>
      </c>
      <c r="AY379">
        <v>4</v>
      </c>
      <c r="AZ379">
        <v>7</v>
      </c>
      <c r="BA379">
        <v>2</v>
      </c>
      <c r="BB379">
        <v>1</v>
      </c>
      <c r="BC379" s="2">
        <v>7</v>
      </c>
      <c r="BD379" s="2">
        <v>14</v>
      </c>
      <c r="BE379" s="2">
        <v>9</v>
      </c>
      <c r="BF379" s="2">
        <v>11</v>
      </c>
      <c r="BG379" s="2">
        <v>12</v>
      </c>
      <c r="BH379" s="2">
        <v>10</v>
      </c>
      <c r="BI379" s="2">
        <v>9</v>
      </c>
      <c r="BJ379" s="2">
        <v>7</v>
      </c>
      <c r="BK379" s="2">
        <v>1</v>
      </c>
      <c r="BL379" s="2">
        <v>0</v>
      </c>
      <c r="BM379" s="2">
        <v>6</v>
      </c>
      <c r="BN379" s="2">
        <v>0</v>
      </c>
      <c r="BO379" s="2">
        <v>2</v>
      </c>
      <c r="BP379" s="2">
        <v>2</v>
      </c>
      <c r="BQ379" s="2">
        <v>4</v>
      </c>
      <c r="BR379" s="2">
        <v>4</v>
      </c>
      <c r="BS379" s="2">
        <v>7</v>
      </c>
      <c r="BT379" s="2">
        <v>2</v>
      </c>
      <c r="BU379" s="2">
        <v>1</v>
      </c>
      <c r="BV379" s="2">
        <f t="shared" si="25"/>
        <v>108</v>
      </c>
      <c r="BW379" s="16">
        <f t="shared" si="23"/>
        <v>5.6842105263157894</v>
      </c>
      <c r="BX379" s="16">
        <f>COUNTIF($BC$6:BU379, "=0") / COUNTIF($BC$6:BU379, "&gt;-1")</f>
        <v>9.3019983112862373E-2</v>
      </c>
      <c r="BY379" s="18">
        <f>SUM($BC$6:BU379) / $BY$4</f>
        <v>0.80157153957147043</v>
      </c>
      <c r="BZ379" s="14">
        <f t="shared" si="24"/>
        <v>2</v>
      </c>
      <c r="CA379" t="s">
        <v>5831</v>
      </c>
      <c r="CB379" s="36">
        <v>8.4815037708430996</v>
      </c>
      <c r="CC379" s="36">
        <v>13.4828976894843</v>
      </c>
      <c r="CD379" s="36">
        <v>14.4071789563103</v>
      </c>
      <c r="CE379" s="36">
        <v>16.631139350685501</v>
      </c>
      <c r="CF379" s="36">
        <v>10.322116319242699</v>
      </c>
      <c r="CG379" s="36">
        <v>9.2972724663949098</v>
      </c>
      <c r="CH379" s="36">
        <v>9.4865605457817708</v>
      </c>
      <c r="CI379" s="36">
        <v>6.8122851858761404</v>
      </c>
      <c r="CJ379" s="37">
        <v>0.79475829324495695</v>
      </c>
      <c r="CK379" s="37">
        <v>3.7838978813297102</v>
      </c>
      <c r="CL379" s="37">
        <v>0.200013587066836</v>
      </c>
      <c r="CM379" s="37">
        <v>1.6930940931998799</v>
      </c>
      <c r="CN379" s="37">
        <v>3.6751702632604601</v>
      </c>
      <c r="CO379" s="37">
        <v>3.1567622815404999</v>
      </c>
      <c r="CP379" s="37">
        <v>10.559780335037001</v>
      </c>
      <c r="CQ379" s="37">
        <v>1.5226368464746201</v>
      </c>
      <c r="CR379" s="45">
        <v>-1.8665100415045801</v>
      </c>
      <c r="CS379" s="45">
        <v>-3.5027399527051499</v>
      </c>
      <c r="CT379" s="46">
        <v>3.5004180418868002E-5</v>
      </c>
      <c r="CU379" s="47">
        <v>1.1046130518973E-4</v>
      </c>
      <c r="CV379" s="48">
        <v>11.1151192855773</v>
      </c>
      <c r="CW379" s="49">
        <v>3.1732641976442402</v>
      </c>
      <c r="CX379" s="31" t="s">
        <v>5875</v>
      </c>
      <c r="CY379" s="31" t="s">
        <v>5876</v>
      </c>
      <c r="CZ379" t="s">
        <v>11685</v>
      </c>
      <c r="DA379" t="s">
        <v>6759</v>
      </c>
      <c r="DB379">
        <v>153.69999999999999</v>
      </c>
      <c r="DC379" t="s">
        <v>30881</v>
      </c>
      <c r="DD379" t="s">
        <v>13772</v>
      </c>
      <c r="DE379" t="s">
        <v>30882</v>
      </c>
      <c r="DF379" t="s">
        <v>30883</v>
      </c>
      <c r="DG379" t="s">
        <v>30884</v>
      </c>
      <c r="DH379" t="str">
        <f>"ZG16B"</f>
        <v>ZG16B</v>
      </c>
      <c r="DI379" t="s">
        <v>13772</v>
      </c>
      <c r="DJ379" t="s">
        <v>13777</v>
      </c>
      <c r="DK379">
        <v>9606</v>
      </c>
      <c r="DL379" s="34" t="str">
        <f>HYPERLINK("http://www.uniprot.org/uniprot/Q96DA0", "Q96DA0")</f>
        <v>Q96DA0</v>
      </c>
      <c r="DM379" t="s">
        <v>30885</v>
      </c>
      <c r="DN379" t="s">
        <v>13772</v>
      </c>
      <c r="DO379" t="s">
        <v>14321</v>
      </c>
      <c r="DP379" t="s">
        <v>13793</v>
      </c>
      <c r="DQ379" t="s">
        <v>13772</v>
      </c>
      <c r="DR379" t="s">
        <v>13772</v>
      </c>
      <c r="DS379" t="s">
        <v>13808</v>
      </c>
      <c r="DT379" t="s">
        <v>14277</v>
      </c>
      <c r="DU379" t="s">
        <v>13772</v>
      </c>
      <c r="DV379" t="s">
        <v>13858</v>
      </c>
      <c r="DW379" t="s">
        <v>13812</v>
      </c>
      <c r="DX379" t="s">
        <v>30886</v>
      </c>
      <c r="DY379" t="s">
        <v>15733</v>
      </c>
      <c r="DZ379" t="s">
        <v>20728</v>
      </c>
      <c r="EA379" t="s">
        <v>13772</v>
      </c>
      <c r="EB379" t="s">
        <v>13772</v>
      </c>
    </row>
    <row r="380" spans="1:132" hidden="1">
      <c r="A380">
        <v>2242</v>
      </c>
      <c r="B380">
        <v>1</v>
      </c>
      <c r="C380" t="s">
        <v>5244</v>
      </c>
      <c r="D380" t="s">
        <v>73</v>
      </c>
      <c r="E380" t="s">
        <v>73</v>
      </c>
      <c r="F380" t="s">
        <v>73</v>
      </c>
      <c r="G380" t="s">
        <v>73</v>
      </c>
      <c r="H380">
        <v>73.099999999999994</v>
      </c>
      <c r="I380">
        <v>108</v>
      </c>
      <c r="J380">
        <v>11928</v>
      </c>
      <c r="K380" t="s">
        <v>5245</v>
      </c>
      <c r="L380">
        <f t="shared" si="22"/>
        <v>108</v>
      </c>
      <c r="N380">
        <v>108</v>
      </c>
      <c r="O380">
        <v>108</v>
      </c>
      <c r="P380">
        <v>1</v>
      </c>
      <c r="Q380">
        <v>3</v>
      </c>
      <c r="R380">
        <v>0</v>
      </c>
      <c r="S380">
        <v>0</v>
      </c>
      <c r="T380">
        <v>0</v>
      </c>
      <c r="U380">
        <v>2</v>
      </c>
      <c r="V380">
        <v>2</v>
      </c>
      <c r="W380">
        <v>0</v>
      </c>
      <c r="X380">
        <v>11</v>
      </c>
      <c r="Y380">
        <v>18</v>
      </c>
      <c r="Z380">
        <v>1</v>
      </c>
      <c r="AA380">
        <v>17</v>
      </c>
      <c r="AB380">
        <v>5</v>
      </c>
      <c r="AC380">
        <v>8</v>
      </c>
      <c r="AD380">
        <v>0</v>
      </c>
      <c r="AE380">
        <v>11</v>
      </c>
      <c r="AF380">
        <v>18</v>
      </c>
      <c r="AG380">
        <v>2</v>
      </c>
      <c r="AH380">
        <v>2</v>
      </c>
      <c r="AI380">
        <v>8</v>
      </c>
      <c r="AJ380">
        <v>3</v>
      </c>
      <c r="AK380">
        <v>0</v>
      </c>
      <c r="AL380">
        <v>0</v>
      </c>
      <c r="AM380">
        <v>0</v>
      </c>
      <c r="AN380">
        <v>2</v>
      </c>
      <c r="AO380">
        <v>2</v>
      </c>
      <c r="AP380">
        <v>0</v>
      </c>
      <c r="AQ380">
        <v>11</v>
      </c>
      <c r="AR380">
        <v>18</v>
      </c>
      <c r="AS380">
        <v>1</v>
      </c>
      <c r="AT380">
        <v>17</v>
      </c>
      <c r="AU380">
        <v>5</v>
      </c>
      <c r="AV380">
        <v>8</v>
      </c>
      <c r="AW380">
        <v>0</v>
      </c>
      <c r="AX380">
        <v>11</v>
      </c>
      <c r="AY380">
        <v>18</v>
      </c>
      <c r="AZ380">
        <v>2</v>
      </c>
      <c r="BA380">
        <v>2</v>
      </c>
      <c r="BB380">
        <v>8</v>
      </c>
      <c r="BC380" s="2">
        <v>3</v>
      </c>
      <c r="BD380" s="2">
        <v>0</v>
      </c>
      <c r="BE380" s="2">
        <v>0</v>
      </c>
      <c r="BF380" s="2">
        <v>0</v>
      </c>
      <c r="BG380" s="2">
        <v>2</v>
      </c>
      <c r="BH380" s="2">
        <v>2</v>
      </c>
      <c r="BI380" s="2">
        <v>0</v>
      </c>
      <c r="BJ380" s="2">
        <v>11</v>
      </c>
      <c r="BK380" s="2">
        <v>18</v>
      </c>
      <c r="BL380" s="2">
        <v>1</v>
      </c>
      <c r="BM380" s="2">
        <v>17</v>
      </c>
      <c r="BN380" s="2">
        <v>5</v>
      </c>
      <c r="BO380" s="2">
        <v>8</v>
      </c>
      <c r="BP380" s="2">
        <v>0</v>
      </c>
      <c r="BQ380" s="2">
        <v>11</v>
      </c>
      <c r="BR380" s="2">
        <v>18</v>
      </c>
      <c r="BS380" s="2">
        <v>2</v>
      </c>
      <c r="BT380" s="2">
        <v>2</v>
      </c>
      <c r="BU380" s="2">
        <v>8</v>
      </c>
      <c r="BV380" s="2">
        <f t="shared" si="25"/>
        <v>108</v>
      </c>
      <c r="BW380" s="16">
        <f t="shared" si="23"/>
        <v>5.6842105263157894</v>
      </c>
      <c r="BX380" s="16">
        <f>COUNTIF($BC$6:BU380, "=0") / COUNTIF($BC$6:BU380, "&gt;-1")</f>
        <v>9.347368421052632E-2</v>
      </c>
      <c r="BY380" s="18">
        <f>SUM($BC$6:BU380) / $BY$4</f>
        <v>0.80203417235329011</v>
      </c>
      <c r="BZ380" s="14">
        <f t="shared" si="24"/>
        <v>5</v>
      </c>
      <c r="CA380" t="s">
        <v>5831</v>
      </c>
      <c r="CB380" s="36">
        <v>3.6349301875041902</v>
      </c>
      <c r="CC380" s="36">
        <v>0.24076603016936199</v>
      </c>
      <c r="CD380" s="36">
        <v>0.40019941545306398</v>
      </c>
      <c r="CE380" s="36">
        <v>0.37798043978830698</v>
      </c>
      <c r="CF380" s="36">
        <v>1.72035271987378</v>
      </c>
      <c r="CG380" s="36">
        <v>1.85945449327898</v>
      </c>
      <c r="CH380" s="36">
        <v>0.26351557071616</v>
      </c>
      <c r="CI380" s="36">
        <v>10.7050195778054</v>
      </c>
      <c r="CJ380" s="37">
        <v>14.3056492784092</v>
      </c>
      <c r="CK380" s="37">
        <v>10.7210439971009</v>
      </c>
      <c r="CL380" s="37">
        <v>4.0002717413367099</v>
      </c>
      <c r="CM380" s="37">
        <v>6.7723763727995303</v>
      </c>
      <c r="CN380" s="37">
        <v>10.1067182239663</v>
      </c>
      <c r="CO380" s="37">
        <v>14.2054302669323</v>
      </c>
      <c r="CP380" s="37">
        <v>3.0170800957248498</v>
      </c>
      <c r="CQ380" s="37">
        <v>12.1810947717969</v>
      </c>
      <c r="CR380" s="45">
        <v>1.8699179963141499</v>
      </c>
      <c r="CS380" s="45">
        <v>3.9219252194533101</v>
      </c>
      <c r="CT380" s="46">
        <v>8.7927850146579602E-4</v>
      </c>
      <c r="CU380" s="47">
        <v>1.9940248050190402E-3</v>
      </c>
      <c r="CV380" s="48">
        <v>2.4002773043236498</v>
      </c>
      <c r="CW380" s="49">
        <v>9.4137080935083297</v>
      </c>
      <c r="CX380" s="31" t="s">
        <v>5874</v>
      </c>
      <c r="CY380" s="31" t="s">
        <v>5876</v>
      </c>
      <c r="CZ380" t="s">
        <v>13217</v>
      </c>
      <c r="DA380" t="s">
        <v>5904</v>
      </c>
      <c r="DB380">
        <v>223.8</v>
      </c>
      <c r="DC380" t="s">
        <v>35168</v>
      </c>
      <c r="DD380" t="s">
        <v>35169</v>
      </c>
      <c r="DE380" t="s">
        <v>35170</v>
      </c>
      <c r="DF380" t="s">
        <v>35171</v>
      </c>
      <c r="DG380" t="s">
        <v>35172</v>
      </c>
      <c r="DH380" t="str">
        <f>"FKBP1A"</f>
        <v>FKBP1A</v>
      </c>
      <c r="DI380" t="s">
        <v>35173</v>
      </c>
      <c r="DJ380" t="s">
        <v>13777</v>
      </c>
      <c r="DK380">
        <v>9606</v>
      </c>
      <c r="DL380" s="34" t="str">
        <f>HYPERLINK("http://www.uniprot.org/uniprot/P62942", "P62942")</f>
        <v>P62942</v>
      </c>
      <c r="DM380" t="s">
        <v>35174</v>
      </c>
      <c r="DN380" t="s">
        <v>13772</v>
      </c>
      <c r="DO380" t="s">
        <v>17027</v>
      </c>
      <c r="DP380" t="s">
        <v>13772</v>
      </c>
      <c r="DQ380" t="s">
        <v>13772</v>
      </c>
      <c r="DR380" t="s">
        <v>13772</v>
      </c>
      <c r="DS380" t="s">
        <v>13772</v>
      </c>
      <c r="DT380" t="s">
        <v>13772</v>
      </c>
      <c r="DU380" t="s">
        <v>15050</v>
      </c>
      <c r="DV380" t="s">
        <v>14020</v>
      </c>
      <c r="DW380" t="s">
        <v>13812</v>
      </c>
      <c r="DX380" t="s">
        <v>35175</v>
      </c>
      <c r="DY380" t="s">
        <v>35176</v>
      </c>
      <c r="DZ380" t="s">
        <v>35177</v>
      </c>
      <c r="EA380" t="s">
        <v>13772</v>
      </c>
      <c r="EB380" t="s">
        <v>35178</v>
      </c>
    </row>
    <row r="381" spans="1:132">
      <c r="A381">
        <v>2062</v>
      </c>
      <c r="B381">
        <v>1</v>
      </c>
      <c r="C381" t="s">
        <v>4848</v>
      </c>
      <c r="D381" t="s">
        <v>73</v>
      </c>
      <c r="E381" t="s">
        <v>73</v>
      </c>
      <c r="F381" t="s">
        <v>4839</v>
      </c>
      <c r="G381" t="s">
        <v>73</v>
      </c>
      <c r="H381">
        <v>13</v>
      </c>
      <c r="I381">
        <v>828</v>
      </c>
      <c r="J381">
        <v>91028</v>
      </c>
      <c r="K381" t="s">
        <v>4849</v>
      </c>
      <c r="L381">
        <f t="shared" si="22"/>
        <v>115</v>
      </c>
      <c r="N381">
        <v>115</v>
      </c>
      <c r="O381">
        <v>105</v>
      </c>
      <c r="P381">
        <v>0.91300000000000003</v>
      </c>
      <c r="Q381">
        <v>10</v>
      </c>
      <c r="R381">
        <v>8</v>
      </c>
      <c r="S381">
        <v>6</v>
      </c>
      <c r="T381">
        <v>4</v>
      </c>
      <c r="U381">
        <v>5</v>
      </c>
      <c r="V381">
        <v>5</v>
      </c>
      <c r="W381">
        <v>2</v>
      </c>
      <c r="X381">
        <v>2</v>
      </c>
      <c r="Y381">
        <v>7</v>
      </c>
      <c r="Z381">
        <v>2</v>
      </c>
      <c r="AA381">
        <v>9</v>
      </c>
      <c r="AB381">
        <v>15</v>
      </c>
      <c r="AC381">
        <v>6</v>
      </c>
      <c r="AD381">
        <v>1</v>
      </c>
      <c r="AE381">
        <v>2</v>
      </c>
      <c r="AF381">
        <v>11</v>
      </c>
      <c r="AG381">
        <v>6</v>
      </c>
      <c r="AH381">
        <v>6</v>
      </c>
      <c r="AI381">
        <v>8</v>
      </c>
      <c r="AJ381">
        <v>9</v>
      </c>
      <c r="AK381">
        <v>7</v>
      </c>
      <c r="AL381">
        <v>5</v>
      </c>
      <c r="AM381">
        <v>4</v>
      </c>
      <c r="AN381">
        <v>5</v>
      </c>
      <c r="AO381">
        <v>4</v>
      </c>
      <c r="AP381">
        <v>2</v>
      </c>
      <c r="AQ381">
        <v>1</v>
      </c>
      <c r="AR381">
        <v>7</v>
      </c>
      <c r="AS381">
        <v>2</v>
      </c>
      <c r="AT381">
        <v>9</v>
      </c>
      <c r="AU381">
        <v>14</v>
      </c>
      <c r="AV381">
        <v>6</v>
      </c>
      <c r="AW381">
        <v>1</v>
      </c>
      <c r="AX381">
        <v>2</v>
      </c>
      <c r="AY381">
        <v>10</v>
      </c>
      <c r="AZ381">
        <v>5</v>
      </c>
      <c r="BA381">
        <v>5</v>
      </c>
      <c r="BB381">
        <v>7</v>
      </c>
      <c r="BC381" s="2">
        <v>9.1170000000000009</v>
      </c>
      <c r="BD381" s="2">
        <v>7.2190000000000003</v>
      </c>
      <c r="BE381" s="2">
        <v>5.2629999999999999</v>
      </c>
      <c r="BF381" s="2">
        <v>4</v>
      </c>
      <c r="BG381" s="2">
        <v>5</v>
      </c>
      <c r="BH381" s="2">
        <v>4.1210000000000004</v>
      </c>
      <c r="BI381" s="2">
        <v>2</v>
      </c>
      <c r="BJ381" s="2">
        <v>1.032</v>
      </c>
      <c r="BK381" s="2">
        <v>7</v>
      </c>
      <c r="BL381" s="2">
        <v>2</v>
      </c>
      <c r="BM381" s="2">
        <v>9</v>
      </c>
      <c r="BN381" s="2">
        <v>14.326000000000001</v>
      </c>
      <c r="BO381" s="2">
        <v>6</v>
      </c>
      <c r="BP381" s="2">
        <v>1</v>
      </c>
      <c r="BQ381" s="2">
        <v>2</v>
      </c>
      <c r="BR381" s="2">
        <v>10.25</v>
      </c>
      <c r="BS381" s="2">
        <v>5.1609999999999996</v>
      </c>
      <c r="BT381" s="2">
        <v>5.556</v>
      </c>
      <c r="BU381" s="2">
        <v>7.2190000000000003</v>
      </c>
      <c r="BV381" s="2">
        <f t="shared" si="25"/>
        <v>107.264</v>
      </c>
      <c r="BW381" s="16">
        <f t="shared" si="23"/>
        <v>5.6454736842105264</v>
      </c>
      <c r="BX381" s="16">
        <f>COUNTIF($BC$6:BU381, "=0") / COUNTIF($BC$6:BU381, "&gt;-1")</f>
        <v>9.3225083986562152E-2</v>
      </c>
      <c r="BY381" s="18">
        <f>SUM($BC$6:BU381) / $BY$4</f>
        <v>0.80249365237837467</v>
      </c>
      <c r="BZ381" s="14">
        <f t="shared" si="24"/>
        <v>0</v>
      </c>
      <c r="CA381" t="s">
        <v>5831</v>
      </c>
      <c r="CB381" s="36">
        <v>11.025954902096</v>
      </c>
      <c r="CC381" s="36">
        <v>6.9340616688776198</v>
      </c>
      <c r="CD381" s="36">
        <v>8.4842276076049696</v>
      </c>
      <c r="CE381" s="36">
        <v>6.0476870366129196</v>
      </c>
      <c r="CF381" s="36">
        <v>4.3008817996844604</v>
      </c>
      <c r="CG381" s="36">
        <v>3.8118817112219099</v>
      </c>
      <c r="CH381" s="36">
        <v>2.10812456572928</v>
      </c>
      <c r="CI381" s="36">
        <v>0.97318359798230603</v>
      </c>
      <c r="CJ381" s="37">
        <v>5.5633080527147003</v>
      </c>
      <c r="CK381" s="37">
        <v>5.6758468219945701</v>
      </c>
      <c r="CL381" s="37">
        <v>11.440777180223</v>
      </c>
      <c r="CM381" s="37">
        <v>5.0792822795996404</v>
      </c>
      <c r="CN381" s="37">
        <v>1.8375851316302301</v>
      </c>
      <c r="CO381" s="37">
        <v>8.1286628749667909</v>
      </c>
      <c r="CP381" s="37">
        <v>7.8444082488845996</v>
      </c>
      <c r="CQ381" s="37">
        <v>10.9629852946172</v>
      </c>
      <c r="CR381" s="45">
        <v>0.38764168900342999</v>
      </c>
      <c r="CS381" s="45">
        <v>1.2940725208306501</v>
      </c>
      <c r="CT381" s="46">
        <v>0.40893701564319901</v>
      </c>
      <c r="CU381" s="47">
        <v>0.492048315585072</v>
      </c>
      <c r="CV381" s="48">
        <v>5.4607503612261903</v>
      </c>
      <c r="CW381" s="49">
        <v>7.0666069855788498</v>
      </c>
      <c r="CX381" s="31" t="s">
        <v>5874</v>
      </c>
      <c r="CY381" s="31" t="s">
        <v>5832</v>
      </c>
      <c r="CZ381" t="s">
        <v>12627</v>
      </c>
      <c r="DA381" t="s">
        <v>5904</v>
      </c>
      <c r="DB381">
        <v>1375.5</v>
      </c>
      <c r="DC381" t="s">
        <v>33521</v>
      </c>
      <c r="DD381" t="s">
        <v>33522</v>
      </c>
      <c r="DE381" t="s">
        <v>33523</v>
      </c>
      <c r="DF381" t="s">
        <v>33524</v>
      </c>
      <c r="DG381" t="s">
        <v>33525</v>
      </c>
      <c r="DH381" t="str">
        <f>"CDH3"</f>
        <v>CDH3</v>
      </c>
      <c r="DI381" t="s">
        <v>33526</v>
      </c>
      <c r="DJ381" t="s">
        <v>13777</v>
      </c>
      <c r="DK381">
        <v>9606</v>
      </c>
      <c r="DL381" s="34" t="str">
        <f>HYPERLINK("http://www.uniprot.org/uniprot/P22223", "P22223")</f>
        <v>P22223</v>
      </c>
      <c r="DM381" t="s">
        <v>33527</v>
      </c>
      <c r="DN381" t="s">
        <v>29153</v>
      </c>
      <c r="DO381" t="s">
        <v>13792</v>
      </c>
      <c r="DP381" t="s">
        <v>13780</v>
      </c>
      <c r="DQ381" t="s">
        <v>13772</v>
      </c>
      <c r="DR381" t="s">
        <v>33528</v>
      </c>
      <c r="DS381" t="s">
        <v>13826</v>
      </c>
      <c r="DT381" t="s">
        <v>13873</v>
      </c>
      <c r="DU381" t="s">
        <v>13772</v>
      </c>
      <c r="DV381" t="s">
        <v>17713</v>
      </c>
      <c r="DW381" t="s">
        <v>13812</v>
      </c>
      <c r="DX381" t="s">
        <v>33529</v>
      </c>
      <c r="DY381" t="s">
        <v>33530</v>
      </c>
      <c r="DZ381" t="s">
        <v>17716</v>
      </c>
      <c r="EA381" t="s">
        <v>13772</v>
      </c>
      <c r="EB381" t="s">
        <v>15361</v>
      </c>
    </row>
    <row r="382" spans="1:132" hidden="1">
      <c r="A382">
        <v>2356</v>
      </c>
      <c r="B382">
        <v>1</v>
      </c>
      <c r="C382" t="s">
        <v>5492</v>
      </c>
      <c r="D382" t="s">
        <v>73</v>
      </c>
      <c r="E382" t="s">
        <v>73</v>
      </c>
      <c r="F382" t="s">
        <v>649</v>
      </c>
      <c r="G382" t="s">
        <v>73</v>
      </c>
      <c r="H382">
        <v>65.5</v>
      </c>
      <c r="I382">
        <v>255</v>
      </c>
      <c r="J382">
        <v>29174</v>
      </c>
      <c r="K382" t="s">
        <v>5493</v>
      </c>
      <c r="L382">
        <f t="shared" si="22"/>
        <v>127</v>
      </c>
      <c r="N382">
        <v>127</v>
      </c>
      <c r="O382">
        <v>102</v>
      </c>
      <c r="P382">
        <v>0.80300000000000005</v>
      </c>
      <c r="Q382">
        <v>5</v>
      </c>
      <c r="R382">
        <v>4</v>
      </c>
      <c r="S382">
        <v>3</v>
      </c>
      <c r="T382">
        <v>3</v>
      </c>
      <c r="U382">
        <v>11</v>
      </c>
      <c r="V382">
        <v>11</v>
      </c>
      <c r="W382">
        <v>6</v>
      </c>
      <c r="X382">
        <v>9</v>
      </c>
      <c r="Y382">
        <v>17</v>
      </c>
      <c r="Z382">
        <v>1</v>
      </c>
      <c r="AA382">
        <v>17</v>
      </c>
      <c r="AB382">
        <v>13</v>
      </c>
      <c r="AC382">
        <v>13</v>
      </c>
      <c r="AD382">
        <v>1</v>
      </c>
      <c r="AE382">
        <v>5</v>
      </c>
      <c r="AF382">
        <v>4</v>
      </c>
      <c r="AG382">
        <v>2</v>
      </c>
      <c r="AH382">
        <v>0</v>
      </c>
      <c r="AI382">
        <v>2</v>
      </c>
      <c r="AJ382">
        <v>4</v>
      </c>
      <c r="AK382">
        <v>3</v>
      </c>
      <c r="AL382">
        <v>2</v>
      </c>
      <c r="AM382">
        <v>2</v>
      </c>
      <c r="AN382">
        <v>8</v>
      </c>
      <c r="AO382">
        <v>9</v>
      </c>
      <c r="AP382">
        <v>5</v>
      </c>
      <c r="AQ382">
        <v>8</v>
      </c>
      <c r="AR382">
        <v>14</v>
      </c>
      <c r="AS382">
        <v>0</v>
      </c>
      <c r="AT382">
        <v>16</v>
      </c>
      <c r="AU382">
        <v>12</v>
      </c>
      <c r="AV382">
        <v>11</v>
      </c>
      <c r="AW382">
        <v>0</v>
      </c>
      <c r="AX382">
        <v>4</v>
      </c>
      <c r="AY382">
        <v>3</v>
      </c>
      <c r="AZ382">
        <v>1</v>
      </c>
      <c r="BA382">
        <v>0</v>
      </c>
      <c r="BB382">
        <v>0</v>
      </c>
      <c r="BC382" s="2">
        <v>4.5709999999999997</v>
      </c>
      <c r="BD382" s="2">
        <v>3.1669999999999998</v>
      </c>
      <c r="BE382" s="2">
        <v>2.1429999999999998</v>
      </c>
      <c r="BF382" s="2">
        <v>2.4</v>
      </c>
      <c r="BG382" s="2">
        <v>8.8569999999999993</v>
      </c>
      <c r="BH382" s="2">
        <v>9.6669999999999998</v>
      </c>
      <c r="BI382" s="2">
        <v>5.1609999999999996</v>
      </c>
      <c r="BJ382" s="2">
        <v>8.2349999999999994</v>
      </c>
      <c r="BK382" s="2">
        <v>14.494</v>
      </c>
      <c r="BL382" s="2">
        <v>0</v>
      </c>
      <c r="BM382" s="2">
        <v>16.202999999999999</v>
      </c>
      <c r="BN382" s="2">
        <v>12.231</v>
      </c>
      <c r="BO382" s="2">
        <v>11.611000000000001</v>
      </c>
      <c r="BP382" s="2">
        <v>0</v>
      </c>
      <c r="BQ382" s="2">
        <v>4.16</v>
      </c>
      <c r="BR382" s="2">
        <v>3.1760000000000002</v>
      </c>
      <c r="BS382" s="2">
        <v>1.1000000000000001</v>
      </c>
      <c r="BT382" s="2">
        <v>0</v>
      </c>
      <c r="BU382" s="2">
        <v>0</v>
      </c>
      <c r="BV382" s="2">
        <f t="shared" si="25"/>
        <v>107.17599999999999</v>
      </c>
      <c r="BW382" s="16">
        <f t="shared" si="23"/>
        <v>5.6408421052631574</v>
      </c>
      <c r="BX382" s="16">
        <f>COUNTIF($BC$6:BU382, "=0") / COUNTIF($BC$6:BU382, "&gt;-1")</f>
        <v>9.3536227837498251E-2</v>
      </c>
      <c r="BY382" s="18">
        <f>SUM($BC$6:BU382) / $BY$4</f>
        <v>0.80295275544341438</v>
      </c>
      <c r="BZ382" s="14">
        <f t="shared" si="24"/>
        <v>4</v>
      </c>
      <c r="CA382" t="s">
        <v>5831</v>
      </c>
      <c r="CB382" s="36">
        <v>5.5735596208397498</v>
      </c>
      <c r="CC382" s="36">
        <v>3.0818051861678302</v>
      </c>
      <c r="CD382" s="36">
        <v>3.3616750898057401</v>
      </c>
      <c r="CE382" s="36">
        <v>3.6286122219677499</v>
      </c>
      <c r="CF382" s="36">
        <v>7.65556960343834</v>
      </c>
      <c r="CG382" s="36">
        <v>9.0183542924030604</v>
      </c>
      <c r="CH382" s="36">
        <v>5.4811238708961296</v>
      </c>
      <c r="CI382" s="36">
        <v>7.9801055034549098</v>
      </c>
      <c r="CJ382" s="37">
        <v>11.5239952520519</v>
      </c>
      <c r="CK382" s="37">
        <v>10.2165242795902</v>
      </c>
      <c r="CL382" s="37">
        <v>9.7606630488615806</v>
      </c>
      <c r="CM382" s="37">
        <v>9.8199457405593105</v>
      </c>
      <c r="CN382" s="37">
        <v>3.8589287764234799</v>
      </c>
      <c r="CO382" s="37">
        <v>2.5254098252324</v>
      </c>
      <c r="CP382" s="37">
        <v>1.6593940526486699</v>
      </c>
      <c r="CQ382" s="37">
        <v>0.38065921161865401</v>
      </c>
      <c r="CR382" s="45">
        <v>0.16255909661228199</v>
      </c>
      <c r="CS382" s="45">
        <v>1.08660211991307</v>
      </c>
      <c r="CT382" s="46">
        <v>0.84727034410031599</v>
      </c>
      <c r="CU382" s="47">
        <v>0.89263600031986101</v>
      </c>
      <c r="CV382" s="48">
        <v>5.7226006736216899</v>
      </c>
      <c r="CW382" s="49">
        <v>6.2181900233732703</v>
      </c>
      <c r="CX382" s="31" t="s">
        <v>5874</v>
      </c>
      <c r="CY382" s="31" t="s">
        <v>5832</v>
      </c>
      <c r="CZ382" t="s">
        <v>13580</v>
      </c>
      <c r="DA382" t="s">
        <v>5904</v>
      </c>
      <c r="DB382">
        <v>524.20000000000005</v>
      </c>
      <c r="DC382" t="s">
        <v>36201</v>
      </c>
      <c r="DD382" t="s">
        <v>13772</v>
      </c>
      <c r="DE382" t="s">
        <v>36202</v>
      </c>
      <c r="DF382" t="s">
        <v>36203</v>
      </c>
      <c r="DG382" t="s">
        <v>36204</v>
      </c>
      <c r="DH382" t="str">
        <f>"YWHAE"</f>
        <v>YWHAE</v>
      </c>
      <c r="DI382" t="s">
        <v>13772</v>
      </c>
      <c r="DJ382" t="s">
        <v>13777</v>
      </c>
      <c r="DK382">
        <v>9606</v>
      </c>
      <c r="DL382" s="34" t="str">
        <f>HYPERLINK("http://www.uniprot.org/uniprot/P62258", "P62258")</f>
        <v>P62258</v>
      </c>
      <c r="DM382" t="s">
        <v>36205</v>
      </c>
      <c r="DN382" t="s">
        <v>14563</v>
      </c>
      <c r="DO382" t="s">
        <v>13912</v>
      </c>
      <c r="DP382" t="s">
        <v>13841</v>
      </c>
      <c r="DQ382" t="s">
        <v>13772</v>
      </c>
      <c r="DR382" t="s">
        <v>13772</v>
      </c>
      <c r="DS382" t="s">
        <v>13772</v>
      </c>
      <c r="DT382" t="s">
        <v>13772</v>
      </c>
      <c r="DU382" t="s">
        <v>13772</v>
      </c>
      <c r="DV382" t="s">
        <v>13991</v>
      </c>
      <c r="DW382" t="s">
        <v>13812</v>
      </c>
      <c r="DX382" t="s">
        <v>36206</v>
      </c>
      <c r="DY382" t="s">
        <v>36207</v>
      </c>
      <c r="DZ382" t="s">
        <v>36208</v>
      </c>
      <c r="EA382" t="s">
        <v>13772</v>
      </c>
      <c r="EB382" t="s">
        <v>36209</v>
      </c>
    </row>
    <row r="383" spans="1:132" hidden="1">
      <c r="A383">
        <v>782</v>
      </c>
      <c r="B383">
        <v>1</v>
      </c>
      <c r="C383" t="s">
        <v>1922</v>
      </c>
      <c r="D383" t="s">
        <v>1923</v>
      </c>
      <c r="E383" t="s">
        <v>73</v>
      </c>
      <c r="F383" t="s">
        <v>73</v>
      </c>
      <c r="G383" t="s">
        <v>73</v>
      </c>
      <c r="H383">
        <v>34.6</v>
      </c>
      <c r="I383">
        <v>381</v>
      </c>
      <c r="J383">
        <v>40797</v>
      </c>
      <c r="K383" t="s">
        <v>1924</v>
      </c>
      <c r="L383">
        <f t="shared" si="22"/>
        <v>107</v>
      </c>
      <c r="N383">
        <v>107</v>
      </c>
      <c r="O383">
        <v>107</v>
      </c>
      <c r="P383">
        <v>1</v>
      </c>
      <c r="Q383">
        <v>7</v>
      </c>
      <c r="R383">
        <v>16</v>
      </c>
      <c r="S383">
        <v>19</v>
      </c>
      <c r="T383">
        <v>13</v>
      </c>
      <c r="U383">
        <v>17</v>
      </c>
      <c r="V383">
        <v>19</v>
      </c>
      <c r="W383">
        <v>9</v>
      </c>
      <c r="X383">
        <v>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7</v>
      </c>
      <c r="AK383">
        <v>16</v>
      </c>
      <c r="AL383">
        <v>19</v>
      </c>
      <c r="AM383">
        <v>13</v>
      </c>
      <c r="AN383">
        <v>17</v>
      </c>
      <c r="AO383">
        <v>19</v>
      </c>
      <c r="AP383">
        <v>9</v>
      </c>
      <c r="AQ383">
        <v>7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s="2">
        <v>7</v>
      </c>
      <c r="BD383" s="2">
        <v>16</v>
      </c>
      <c r="BE383" s="2">
        <v>19</v>
      </c>
      <c r="BF383" s="2">
        <v>13</v>
      </c>
      <c r="BG383" s="2">
        <v>17</v>
      </c>
      <c r="BH383" s="2">
        <v>19</v>
      </c>
      <c r="BI383" s="2">
        <v>9</v>
      </c>
      <c r="BJ383" s="2">
        <v>7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f t="shared" si="25"/>
        <v>107</v>
      </c>
      <c r="BW383" s="16">
        <f t="shared" si="23"/>
        <v>5.6315789473684212</v>
      </c>
      <c r="BX383" s="16">
        <f>COUNTIF($BC$6:BU383, "=0") / COUNTIF($BC$6:BU383, "&gt;-1")</f>
        <v>9.4820384294068499E-2</v>
      </c>
      <c r="BY383" s="18">
        <f>SUM($BC$6:BU383) / $BY$4</f>
        <v>0.8034111045883654</v>
      </c>
      <c r="BZ383" s="14">
        <f t="shared" si="24"/>
        <v>11</v>
      </c>
      <c r="CA383" t="s">
        <v>5831</v>
      </c>
      <c r="CB383" s="36">
        <v>8.4815037708430996</v>
      </c>
      <c r="CC383" s="36">
        <v>15.4090259308391</v>
      </c>
      <c r="CD383" s="36">
        <v>30.415155574432902</v>
      </c>
      <c r="CE383" s="36">
        <v>19.654982868992001</v>
      </c>
      <c r="CF383" s="36">
        <v>14.6229981189272</v>
      </c>
      <c r="CG383" s="36">
        <v>17.6648176861503</v>
      </c>
      <c r="CH383" s="36">
        <v>9.4865605457817708</v>
      </c>
      <c r="CI383" s="36">
        <v>6.8122851858761404</v>
      </c>
      <c r="CJ383" s="37">
        <v>0.19868957331123899</v>
      </c>
      <c r="CK383" s="37">
        <v>0.15766241172207099</v>
      </c>
      <c r="CL383" s="37">
        <v>0.200013587066836</v>
      </c>
      <c r="CM383" s="37">
        <v>0.21163676164998499</v>
      </c>
      <c r="CN383" s="37">
        <v>0.22969814145377901</v>
      </c>
      <c r="CO383" s="37">
        <v>0.19729764259628099</v>
      </c>
      <c r="CP383" s="37">
        <v>0.377135011965606</v>
      </c>
      <c r="CQ383" s="37">
        <v>0.38065921161865401</v>
      </c>
      <c r="CR383" s="45">
        <v>-5.4497599282537603</v>
      </c>
      <c r="CS383" s="45">
        <v>-62.754921291304001</v>
      </c>
      <c r="CT383" s="46">
        <v>3.8650517940539098E-17</v>
      </c>
      <c r="CU383" s="47">
        <v>4.3095327503701098E-15</v>
      </c>
      <c r="CV383" s="48">
        <v>15.3184162102303</v>
      </c>
      <c r="CW383" s="49">
        <v>0.24409904267305599</v>
      </c>
      <c r="CX383" s="31" t="s">
        <v>5875</v>
      </c>
      <c r="CY383" s="31" t="s">
        <v>5876</v>
      </c>
      <c r="CZ383" t="s">
        <v>8379</v>
      </c>
      <c r="DA383" t="s">
        <v>5904</v>
      </c>
      <c r="DB383">
        <v>274.2</v>
      </c>
      <c r="DC383" t="s">
        <v>21492</v>
      </c>
      <c r="DD383" t="s">
        <v>13772</v>
      </c>
      <c r="DE383" t="s">
        <v>21493</v>
      </c>
      <c r="DF383" t="s">
        <v>21494</v>
      </c>
      <c r="DG383" t="s">
        <v>21495</v>
      </c>
      <c r="DH383" t="str">
        <f>"MADCAM1"</f>
        <v>MADCAM1</v>
      </c>
      <c r="DI383" t="s">
        <v>13772</v>
      </c>
      <c r="DJ383" t="s">
        <v>13777</v>
      </c>
      <c r="DK383">
        <v>9606</v>
      </c>
      <c r="DL383" s="34" t="str">
        <f>HYPERLINK("http://www.uniprot.org/uniprot/Q13477", "Q13477")</f>
        <v>Q13477</v>
      </c>
      <c r="DM383" t="s">
        <v>21496</v>
      </c>
      <c r="DN383" t="s">
        <v>13949</v>
      </c>
      <c r="DO383" t="s">
        <v>13825</v>
      </c>
      <c r="DP383" t="s">
        <v>13780</v>
      </c>
      <c r="DQ383" t="s">
        <v>13772</v>
      </c>
      <c r="DR383" t="s">
        <v>13772</v>
      </c>
      <c r="DS383" t="s">
        <v>13951</v>
      </c>
      <c r="DT383" t="s">
        <v>13772</v>
      </c>
      <c r="DU383" t="s">
        <v>13772</v>
      </c>
      <c r="DV383" t="s">
        <v>13796</v>
      </c>
      <c r="DW383" t="s">
        <v>13812</v>
      </c>
      <c r="DX383" t="s">
        <v>21497</v>
      </c>
      <c r="DY383" t="s">
        <v>21498</v>
      </c>
      <c r="DZ383" t="s">
        <v>21499</v>
      </c>
      <c r="EA383" t="s">
        <v>13772</v>
      </c>
      <c r="EB383" t="s">
        <v>21500</v>
      </c>
    </row>
    <row r="384" spans="1:132" hidden="1">
      <c r="A384">
        <v>1814</v>
      </c>
      <c r="B384">
        <v>1</v>
      </c>
      <c r="C384" t="s">
        <v>4289</v>
      </c>
      <c r="D384" t="s">
        <v>73</v>
      </c>
      <c r="E384" t="s">
        <v>73</v>
      </c>
      <c r="F384" t="s">
        <v>73</v>
      </c>
      <c r="G384" t="s">
        <v>73</v>
      </c>
      <c r="H384">
        <v>9.6999999999999993</v>
      </c>
      <c r="I384">
        <v>1140</v>
      </c>
      <c r="J384">
        <v>124361</v>
      </c>
      <c r="K384" t="s">
        <v>4290</v>
      </c>
      <c r="L384">
        <f t="shared" si="22"/>
        <v>107</v>
      </c>
      <c r="N384">
        <v>107</v>
      </c>
      <c r="O384">
        <v>107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1</v>
      </c>
      <c r="X384">
        <v>2</v>
      </c>
      <c r="Y384">
        <v>13</v>
      </c>
      <c r="Z384">
        <v>1</v>
      </c>
      <c r="AA384">
        <v>16</v>
      </c>
      <c r="AB384">
        <v>11</v>
      </c>
      <c r="AC384">
        <v>7</v>
      </c>
      <c r="AD384">
        <v>0</v>
      </c>
      <c r="AE384">
        <v>17</v>
      </c>
      <c r="AF384">
        <v>18</v>
      </c>
      <c r="AG384">
        <v>7</v>
      </c>
      <c r="AH384">
        <v>4</v>
      </c>
      <c r="AI384">
        <v>8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1</v>
      </c>
      <c r="AQ384">
        <v>2</v>
      </c>
      <c r="AR384">
        <v>13</v>
      </c>
      <c r="AS384">
        <v>1</v>
      </c>
      <c r="AT384">
        <v>16</v>
      </c>
      <c r="AU384">
        <v>11</v>
      </c>
      <c r="AV384">
        <v>7</v>
      </c>
      <c r="AW384">
        <v>0</v>
      </c>
      <c r="AX384">
        <v>17</v>
      </c>
      <c r="AY384">
        <v>18</v>
      </c>
      <c r="AZ384">
        <v>7</v>
      </c>
      <c r="BA384">
        <v>4</v>
      </c>
      <c r="BB384">
        <v>8</v>
      </c>
      <c r="BC384" s="2">
        <v>0</v>
      </c>
      <c r="BD384" s="2">
        <v>0</v>
      </c>
      <c r="BE384" s="2">
        <v>0</v>
      </c>
      <c r="BF384" s="2">
        <v>0</v>
      </c>
      <c r="BG384" s="2">
        <v>2</v>
      </c>
      <c r="BH384" s="2">
        <v>0</v>
      </c>
      <c r="BI384" s="2">
        <v>1</v>
      </c>
      <c r="BJ384" s="2">
        <v>2</v>
      </c>
      <c r="BK384" s="2">
        <v>13</v>
      </c>
      <c r="BL384" s="2">
        <v>1</v>
      </c>
      <c r="BM384" s="2">
        <v>16</v>
      </c>
      <c r="BN384" s="2">
        <v>11</v>
      </c>
      <c r="BO384" s="2">
        <v>7</v>
      </c>
      <c r="BP384" s="2">
        <v>0</v>
      </c>
      <c r="BQ384" s="2">
        <v>17</v>
      </c>
      <c r="BR384" s="2">
        <v>18</v>
      </c>
      <c r="BS384" s="2">
        <v>7</v>
      </c>
      <c r="BT384" s="2">
        <v>4</v>
      </c>
      <c r="BU384" s="2">
        <v>8</v>
      </c>
      <c r="BV384" s="2">
        <f t="shared" si="25"/>
        <v>107</v>
      </c>
      <c r="BW384" s="16">
        <f t="shared" si="23"/>
        <v>5.6315789473684212</v>
      </c>
      <c r="BX384" s="16">
        <f>COUNTIF($BC$6:BU384, "=0") / COUNTIF($BC$6:BU384, "&gt;-1")</f>
        <v>9.5403416192195528E-2</v>
      </c>
      <c r="BY384" s="18">
        <f>SUM($BC$6:BU384) / $BY$4</f>
        <v>0.80386945373331631</v>
      </c>
      <c r="BZ384" s="14">
        <f t="shared" si="24"/>
        <v>6</v>
      </c>
      <c r="CA384" t="s">
        <v>5831</v>
      </c>
      <c r="CB384" s="36">
        <v>0.30291084895868198</v>
      </c>
      <c r="CC384" s="36">
        <v>0.24076603016936199</v>
      </c>
      <c r="CD384" s="36">
        <v>0.40019941545306398</v>
      </c>
      <c r="CE384" s="36">
        <v>0.37798043978830698</v>
      </c>
      <c r="CF384" s="36">
        <v>1.72035271987378</v>
      </c>
      <c r="CG384" s="36">
        <v>0.23243181165987301</v>
      </c>
      <c r="CH384" s="36">
        <v>1.05406228286464</v>
      </c>
      <c r="CI384" s="36">
        <v>1.9463671959646101</v>
      </c>
      <c r="CJ384" s="37">
        <v>10.331857812184399</v>
      </c>
      <c r="CK384" s="37">
        <v>10.0903943502126</v>
      </c>
      <c r="CL384" s="37">
        <v>8.8005978309407702</v>
      </c>
      <c r="CM384" s="37">
        <v>5.9258293261995796</v>
      </c>
      <c r="CN384" s="37">
        <v>15.619473618856899</v>
      </c>
      <c r="CO384" s="37">
        <v>14.2054302669323</v>
      </c>
      <c r="CP384" s="37">
        <v>10.559780335037001</v>
      </c>
      <c r="CQ384" s="37">
        <v>12.1810947717969</v>
      </c>
      <c r="CR384" s="45">
        <v>3.5104196781227501</v>
      </c>
      <c r="CS384" s="45">
        <v>13.978242139468</v>
      </c>
      <c r="CT384" s="46">
        <v>9.0586022958191204E-14</v>
      </c>
      <c r="CU384" s="47">
        <v>3.3667805199460999E-12</v>
      </c>
      <c r="CV384" s="48">
        <v>0.78438384309154097</v>
      </c>
      <c r="CW384" s="49">
        <v>10.9643072890201</v>
      </c>
      <c r="CX384" s="31" t="s">
        <v>5874</v>
      </c>
      <c r="CY384" s="31" t="s">
        <v>5876</v>
      </c>
      <c r="CZ384" t="s">
        <v>11803</v>
      </c>
      <c r="DA384" t="s">
        <v>5904</v>
      </c>
      <c r="DB384">
        <v>707.2</v>
      </c>
      <c r="DC384" t="s">
        <v>31218</v>
      </c>
      <c r="DD384" t="s">
        <v>31219</v>
      </c>
      <c r="DE384" t="s">
        <v>31220</v>
      </c>
      <c r="DF384" t="s">
        <v>31221</v>
      </c>
      <c r="DG384" t="s">
        <v>31222</v>
      </c>
      <c r="DH384" t="str">
        <f>"PRG4"</f>
        <v>PRG4</v>
      </c>
      <c r="DI384" t="s">
        <v>31223</v>
      </c>
      <c r="DJ384" t="s">
        <v>13777</v>
      </c>
      <c r="DK384">
        <v>9606</v>
      </c>
      <c r="DL384" s="34" t="str">
        <f>HYPERLINK("http://www.uniprot.org/uniprot/Q92954", "Q92954")</f>
        <v>Q92954</v>
      </c>
      <c r="DM384" t="s">
        <v>31224</v>
      </c>
      <c r="DN384" t="s">
        <v>13772</v>
      </c>
      <c r="DO384" t="s">
        <v>14321</v>
      </c>
      <c r="DP384" t="s">
        <v>13780</v>
      </c>
      <c r="DQ384" t="s">
        <v>13772</v>
      </c>
      <c r="DR384" t="s">
        <v>13772</v>
      </c>
      <c r="DS384" t="s">
        <v>14404</v>
      </c>
      <c r="DT384" t="s">
        <v>13772</v>
      </c>
      <c r="DU384" t="s">
        <v>13772</v>
      </c>
      <c r="DV384" t="s">
        <v>14520</v>
      </c>
      <c r="DW384" t="s">
        <v>13772</v>
      </c>
      <c r="DX384" t="s">
        <v>31225</v>
      </c>
      <c r="DY384" t="s">
        <v>18966</v>
      </c>
      <c r="DZ384" t="s">
        <v>17330</v>
      </c>
      <c r="EA384" t="s">
        <v>13772</v>
      </c>
      <c r="EB384" t="s">
        <v>13772</v>
      </c>
    </row>
    <row r="385" spans="1:132" hidden="1">
      <c r="A385">
        <v>1202</v>
      </c>
      <c r="B385">
        <v>1</v>
      </c>
      <c r="C385" t="s">
        <v>2884</v>
      </c>
      <c r="D385" t="s">
        <v>73</v>
      </c>
      <c r="E385" t="s">
        <v>73</v>
      </c>
      <c r="F385" t="s">
        <v>73</v>
      </c>
      <c r="G385" t="s">
        <v>73</v>
      </c>
      <c r="H385">
        <v>50.3</v>
      </c>
      <c r="I385">
        <v>294</v>
      </c>
      <c r="J385">
        <v>31576</v>
      </c>
      <c r="K385" t="s">
        <v>2885</v>
      </c>
      <c r="L385">
        <f t="shared" si="22"/>
        <v>106</v>
      </c>
      <c r="N385">
        <v>106</v>
      </c>
      <c r="O385">
        <v>106</v>
      </c>
      <c r="P385">
        <v>1</v>
      </c>
      <c r="Q385">
        <v>6</v>
      </c>
      <c r="R385">
        <v>6</v>
      </c>
      <c r="S385">
        <v>4</v>
      </c>
      <c r="T385">
        <v>12</v>
      </c>
      <c r="U385">
        <v>15</v>
      </c>
      <c r="V385">
        <v>11</v>
      </c>
      <c r="W385">
        <v>9</v>
      </c>
      <c r="X385">
        <v>6</v>
      </c>
      <c r="Y385">
        <v>0</v>
      </c>
      <c r="Z385">
        <v>0</v>
      </c>
      <c r="AA385">
        <v>8</v>
      </c>
      <c r="AB385">
        <v>13</v>
      </c>
      <c r="AC385">
        <v>1</v>
      </c>
      <c r="AD385">
        <v>0</v>
      </c>
      <c r="AE385">
        <v>0</v>
      </c>
      <c r="AF385">
        <v>4</v>
      </c>
      <c r="AG385">
        <v>11</v>
      </c>
      <c r="AH385">
        <v>0</v>
      </c>
      <c r="AI385">
        <v>0</v>
      </c>
      <c r="AJ385">
        <v>6</v>
      </c>
      <c r="AK385">
        <v>6</v>
      </c>
      <c r="AL385">
        <v>4</v>
      </c>
      <c r="AM385">
        <v>12</v>
      </c>
      <c r="AN385">
        <v>15</v>
      </c>
      <c r="AO385">
        <v>11</v>
      </c>
      <c r="AP385">
        <v>9</v>
      </c>
      <c r="AQ385">
        <v>6</v>
      </c>
      <c r="AR385">
        <v>0</v>
      </c>
      <c r="AS385">
        <v>0</v>
      </c>
      <c r="AT385">
        <v>8</v>
      </c>
      <c r="AU385">
        <v>13</v>
      </c>
      <c r="AV385">
        <v>1</v>
      </c>
      <c r="AW385">
        <v>0</v>
      </c>
      <c r="AX385">
        <v>0</v>
      </c>
      <c r="AY385">
        <v>4</v>
      </c>
      <c r="AZ385">
        <v>11</v>
      </c>
      <c r="BA385">
        <v>0</v>
      </c>
      <c r="BB385">
        <v>0</v>
      </c>
      <c r="BC385" s="2">
        <v>6</v>
      </c>
      <c r="BD385" s="2">
        <v>6</v>
      </c>
      <c r="BE385" s="2">
        <v>4</v>
      </c>
      <c r="BF385" s="2">
        <v>12</v>
      </c>
      <c r="BG385" s="2">
        <v>15</v>
      </c>
      <c r="BH385" s="2">
        <v>11</v>
      </c>
      <c r="BI385" s="2">
        <v>9</v>
      </c>
      <c r="BJ385" s="2">
        <v>6</v>
      </c>
      <c r="BK385" s="2">
        <v>0</v>
      </c>
      <c r="BL385" s="2">
        <v>0</v>
      </c>
      <c r="BM385" s="2">
        <v>8</v>
      </c>
      <c r="BN385" s="2">
        <v>13</v>
      </c>
      <c r="BO385" s="2">
        <v>1</v>
      </c>
      <c r="BP385" s="2">
        <v>0</v>
      </c>
      <c r="BQ385" s="2">
        <v>0</v>
      </c>
      <c r="BR385" s="2">
        <v>4</v>
      </c>
      <c r="BS385" s="2">
        <v>11</v>
      </c>
      <c r="BT385" s="2">
        <v>0</v>
      </c>
      <c r="BU385" s="2">
        <v>0</v>
      </c>
      <c r="BV385" s="2">
        <f t="shared" si="25"/>
        <v>106</v>
      </c>
      <c r="BW385" s="16">
        <f t="shared" si="23"/>
        <v>5.5789473684210522</v>
      </c>
      <c r="BX385" s="16">
        <f>COUNTIF($BC$6:BU385, "=0") / COUNTIF($BC$6:BU385, "&gt;-1")</f>
        <v>9.5983379501385038E-2</v>
      </c>
      <c r="BY385" s="18">
        <f>SUM($BC$6:BU385) / $BY$4</f>
        <v>0.80432351924139855</v>
      </c>
      <c r="BZ385" s="14">
        <f t="shared" si="24"/>
        <v>6</v>
      </c>
      <c r="CA385" t="s">
        <v>5831</v>
      </c>
      <c r="CB385" s="36">
        <v>7.2698603750083803</v>
      </c>
      <c r="CC385" s="36">
        <v>5.7783847240646802</v>
      </c>
      <c r="CD385" s="36">
        <v>6.4031906472490299</v>
      </c>
      <c r="CE385" s="36">
        <v>18.143061109838801</v>
      </c>
      <c r="CF385" s="36">
        <v>12.9026453990534</v>
      </c>
      <c r="CG385" s="36">
        <v>10.226999713034401</v>
      </c>
      <c r="CH385" s="36">
        <v>9.4865605457817708</v>
      </c>
      <c r="CI385" s="36">
        <v>5.8391015878938397</v>
      </c>
      <c r="CJ385" s="37">
        <v>0.19868957331123899</v>
      </c>
      <c r="CK385" s="37">
        <v>5.0451971751062796</v>
      </c>
      <c r="CL385" s="37">
        <v>10.400706527475499</v>
      </c>
      <c r="CM385" s="37">
        <v>0.84654704659994096</v>
      </c>
      <c r="CN385" s="37">
        <v>0.22969814145377901</v>
      </c>
      <c r="CO385" s="37">
        <v>3.1567622815404999</v>
      </c>
      <c r="CP385" s="37">
        <v>16.593940526486598</v>
      </c>
      <c r="CQ385" s="37">
        <v>0.38065921161865401</v>
      </c>
      <c r="CR385" s="45">
        <v>-1.06858843275601</v>
      </c>
      <c r="CS385" s="45">
        <v>-2.0636435030734002</v>
      </c>
      <c r="CT385" s="46">
        <v>9.3080520917624601E-2</v>
      </c>
      <c r="CU385" s="47">
        <v>0.132773706810002</v>
      </c>
      <c r="CV385" s="48">
        <v>9.5062255127405297</v>
      </c>
      <c r="CW385" s="49">
        <v>4.6065250604490604</v>
      </c>
      <c r="CX385" s="31" t="s">
        <v>5875</v>
      </c>
      <c r="CY385" s="31" t="s">
        <v>5832</v>
      </c>
      <c r="CZ385" t="s">
        <v>9731</v>
      </c>
      <c r="DA385" t="s">
        <v>5904</v>
      </c>
      <c r="DB385">
        <v>598.20000000000005</v>
      </c>
      <c r="DC385" t="s">
        <v>25376</v>
      </c>
      <c r="DD385" t="s">
        <v>25377</v>
      </c>
      <c r="DE385" t="s">
        <v>25378</v>
      </c>
      <c r="DF385" t="s">
        <v>25379</v>
      </c>
      <c r="DG385" t="s">
        <v>25380</v>
      </c>
      <c r="DH385" t="str">
        <f>"VDAC2"</f>
        <v>VDAC2</v>
      </c>
      <c r="DI385" t="s">
        <v>13772</v>
      </c>
      <c r="DJ385" t="s">
        <v>13777</v>
      </c>
      <c r="DK385">
        <v>9606</v>
      </c>
      <c r="DL385" s="34" t="str">
        <f>HYPERLINK("http://www.uniprot.org/uniprot/P45880", "P45880")</f>
        <v>P45880</v>
      </c>
      <c r="DM385" t="s">
        <v>25381</v>
      </c>
      <c r="DN385" t="s">
        <v>14288</v>
      </c>
      <c r="DO385" t="s">
        <v>24495</v>
      </c>
      <c r="DP385" t="s">
        <v>13780</v>
      </c>
      <c r="DQ385" t="s">
        <v>13772</v>
      </c>
      <c r="DR385" t="s">
        <v>13772</v>
      </c>
      <c r="DS385" t="s">
        <v>24415</v>
      </c>
      <c r="DT385" t="s">
        <v>24496</v>
      </c>
      <c r="DU385" t="s">
        <v>24497</v>
      </c>
      <c r="DV385" t="s">
        <v>13991</v>
      </c>
      <c r="DW385" t="s">
        <v>13772</v>
      </c>
      <c r="DX385" t="s">
        <v>25382</v>
      </c>
      <c r="DY385" t="s">
        <v>25383</v>
      </c>
      <c r="DZ385" t="s">
        <v>24500</v>
      </c>
      <c r="EA385" t="s">
        <v>13772</v>
      </c>
      <c r="EB385" t="s">
        <v>24501</v>
      </c>
    </row>
    <row r="386" spans="1:132" hidden="1">
      <c r="A386">
        <v>1989</v>
      </c>
      <c r="B386">
        <v>1</v>
      </c>
      <c r="C386" t="s">
        <v>4682</v>
      </c>
      <c r="D386" t="s">
        <v>73</v>
      </c>
      <c r="E386" t="s">
        <v>73</v>
      </c>
      <c r="F386" t="s">
        <v>73</v>
      </c>
      <c r="G386" t="s">
        <v>73</v>
      </c>
      <c r="H386">
        <v>6.7</v>
      </c>
      <c r="I386">
        <v>5070</v>
      </c>
      <c r="J386">
        <v>543449</v>
      </c>
      <c r="K386" t="s">
        <v>4683</v>
      </c>
      <c r="L386">
        <f t="shared" si="22"/>
        <v>106</v>
      </c>
      <c r="N386">
        <v>106</v>
      </c>
      <c r="O386">
        <v>106</v>
      </c>
      <c r="P386">
        <v>1</v>
      </c>
      <c r="Q386">
        <v>5</v>
      </c>
      <c r="R386">
        <v>6</v>
      </c>
      <c r="S386">
        <v>17</v>
      </c>
      <c r="T386">
        <v>16</v>
      </c>
      <c r="U386">
        <v>22</v>
      </c>
      <c r="V386">
        <v>25</v>
      </c>
      <c r="W386">
        <v>5</v>
      </c>
      <c r="X386">
        <v>3</v>
      </c>
      <c r="Y386">
        <v>1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3</v>
      </c>
      <c r="AG386">
        <v>0</v>
      </c>
      <c r="AH386">
        <v>0</v>
      </c>
      <c r="AI386">
        <v>0</v>
      </c>
      <c r="AJ386">
        <v>5</v>
      </c>
      <c r="AK386">
        <v>6</v>
      </c>
      <c r="AL386">
        <v>17</v>
      </c>
      <c r="AM386">
        <v>16</v>
      </c>
      <c r="AN386">
        <v>22</v>
      </c>
      <c r="AO386">
        <v>25</v>
      </c>
      <c r="AP386">
        <v>5</v>
      </c>
      <c r="AQ386">
        <v>3</v>
      </c>
      <c r="AR386">
        <v>1</v>
      </c>
      <c r="AS386">
        <v>0</v>
      </c>
      <c r="AT386">
        <v>0</v>
      </c>
      <c r="AU386">
        <v>3</v>
      </c>
      <c r="AV386">
        <v>0</v>
      </c>
      <c r="AW386">
        <v>0</v>
      </c>
      <c r="AX386">
        <v>0</v>
      </c>
      <c r="AY386">
        <v>3</v>
      </c>
      <c r="AZ386">
        <v>0</v>
      </c>
      <c r="BA386">
        <v>0</v>
      </c>
      <c r="BB386">
        <v>0</v>
      </c>
      <c r="BC386" s="2">
        <v>5</v>
      </c>
      <c r="BD386" s="2">
        <v>6</v>
      </c>
      <c r="BE386" s="2">
        <v>17</v>
      </c>
      <c r="BF386" s="2">
        <v>16</v>
      </c>
      <c r="BG386" s="2">
        <v>22</v>
      </c>
      <c r="BH386" s="2">
        <v>25</v>
      </c>
      <c r="BI386" s="2">
        <v>5</v>
      </c>
      <c r="BJ386" s="2">
        <v>3</v>
      </c>
      <c r="BK386" s="2">
        <v>1</v>
      </c>
      <c r="BL386" s="2">
        <v>0</v>
      </c>
      <c r="BM386" s="2">
        <v>0</v>
      </c>
      <c r="BN386" s="2">
        <v>3</v>
      </c>
      <c r="BO386" s="2">
        <v>0</v>
      </c>
      <c r="BP386" s="2">
        <v>0</v>
      </c>
      <c r="BQ386" s="2">
        <v>0</v>
      </c>
      <c r="BR386" s="2">
        <v>3</v>
      </c>
      <c r="BS386" s="2">
        <v>0</v>
      </c>
      <c r="BT386" s="2">
        <v>0</v>
      </c>
      <c r="BU386" s="2">
        <v>0</v>
      </c>
      <c r="BV386" s="2">
        <f t="shared" si="25"/>
        <v>106</v>
      </c>
      <c r="BW386" s="16">
        <f t="shared" si="23"/>
        <v>5.5789473684210522</v>
      </c>
      <c r="BX386" s="16">
        <f>COUNTIF($BC$6:BU386, "=0") / COUNTIF($BC$6:BU386, "&gt;-1")</f>
        <v>9.683657963807156E-2</v>
      </c>
      <c r="BY386" s="18">
        <f>SUM($BC$6:BU386) / $BY$4</f>
        <v>0.8047775847494808</v>
      </c>
      <c r="BZ386" s="14">
        <f t="shared" si="24"/>
        <v>8</v>
      </c>
      <c r="CA386" t="s">
        <v>5831</v>
      </c>
      <c r="CB386" s="36">
        <v>6.0582169791736504</v>
      </c>
      <c r="CC386" s="36">
        <v>5.7783847240646802</v>
      </c>
      <c r="CD386" s="36">
        <v>27.213560250808399</v>
      </c>
      <c r="CE386" s="36">
        <v>24.1907481464517</v>
      </c>
      <c r="CF386" s="36">
        <v>18.9238799186116</v>
      </c>
      <c r="CG386" s="36">
        <v>23.243181165987298</v>
      </c>
      <c r="CH386" s="36">
        <v>5.2703114143232002</v>
      </c>
      <c r="CI386" s="36">
        <v>2.9195507939469199</v>
      </c>
      <c r="CJ386" s="37">
        <v>0.79475829324495695</v>
      </c>
      <c r="CK386" s="37">
        <v>0.15766241172207099</v>
      </c>
      <c r="CL386" s="37">
        <v>2.4001630448020301</v>
      </c>
      <c r="CM386" s="37">
        <v>0.21163676164998499</v>
      </c>
      <c r="CN386" s="37">
        <v>0.22969814145377901</v>
      </c>
      <c r="CO386" s="37">
        <v>2.36757171115537</v>
      </c>
      <c r="CP386" s="37">
        <v>0.377135011965606</v>
      </c>
      <c r="CQ386" s="37">
        <v>0.38065921161865401</v>
      </c>
      <c r="CR386" s="45">
        <v>-3.77586826811749</v>
      </c>
      <c r="CS386" s="45">
        <v>-16.4175691800191</v>
      </c>
      <c r="CT386" s="46">
        <v>9.7992731662203807E-9</v>
      </c>
      <c r="CU386" s="47">
        <v>9.50103441768324E-8</v>
      </c>
      <c r="CV386" s="48">
        <v>14.1997291741709</v>
      </c>
      <c r="CW386" s="49">
        <v>0.86491057345155697</v>
      </c>
      <c r="CX386" s="31" t="s">
        <v>5875</v>
      </c>
      <c r="CY386" s="31" t="s">
        <v>5876</v>
      </c>
      <c r="CZ386" t="s">
        <v>12384</v>
      </c>
      <c r="DA386" t="s">
        <v>5904</v>
      </c>
      <c r="DB386">
        <v>8756.2999999999993</v>
      </c>
      <c r="DC386" t="s">
        <v>32857</v>
      </c>
      <c r="DD386" t="s">
        <v>13772</v>
      </c>
      <c r="DE386" t="s">
        <v>32858</v>
      </c>
      <c r="DF386" t="s">
        <v>32859</v>
      </c>
      <c r="DG386" t="s">
        <v>32860</v>
      </c>
      <c r="DH386" t="str">
        <f>"HMCN2"</f>
        <v>HMCN2</v>
      </c>
      <c r="DI386" t="s">
        <v>13772</v>
      </c>
      <c r="DJ386" t="s">
        <v>13777</v>
      </c>
      <c r="DK386">
        <v>9606</v>
      </c>
      <c r="DL386" s="34" t="str">
        <f>HYPERLINK("http://www.uniprot.org/uniprot/Q8NDA2", "Q8NDA2")</f>
        <v>Q8NDA2</v>
      </c>
      <c r="DM386" t="s">
        <v>32861</v>
      </c>
      <c r="DN386" t="s">
        <v>32862</v>
      </c>
      <c r="DO386" t="s">
        <v>13869</v>
      </c>
      <c r="DP386" t="s">
        <v>13841</v>
      </c>
      <c r="DQ386" t="s">
        <v>13772</v>
      </c>
      <c r="DR386" t="s">
        <v>13772</v>
      </c>
      <c r="DS386" t="s">
        <v>30660</v>
      </c>
      <c r="DT386" t="s">
        <v>14465</v>
      </c>
      <c r="DU386" t="s">
        <v>13772</v>
      </c>
      <c r="DV386" t="s">
        <v>15003</v>
      </c>
      <c r="DW386" t="s">
        <v>13772</v>
      </c>
      <c r="DX386" t="s">
        <v>32863</v>
      </c>
      <c r="DY386" t="s">
        <v>32864</v>
      </c>
      <c r="DZ386" t="s">
        <v>15899</v>
      </c>
      <c r="EA386" t="s">
        <v>13772</v>
      </c>
      <c r="EB386" t="s">
        <v>13772</v>
      </c>
    </row>
    <row r="387" spans="1:132" hidden="1">
      <c r="A387">
        <v>1219</v>
      </c>
      <c r="B387">
        <v>1</v>
      </c>
      <c r="C387" t="s">
        <v>2928</v>
      </c>
      <c r="D387" t="s">
        <v>73</v>
      </c>
      <c r="E387" t="s">
        <v>73</v>
      </c>
      <c r="F387" t="s">
        <v>2929</v>
      </c>
      <c r="G387" t="s">
        <v>73</v>
      </c>
      <c r="H387">
        <v>32.9</v>
      </c>
      <c r="I387">
        <v>504</v>
      </c>
      <c r="J387">
        <v>54350</v>
      </c>
      <c r="K387" t="s">
        <v>2930</v>
      </c>
      <c r="L387">
        <f t="shared" si="22"/>
        <v>112</v>
      </c>
      <c r="N387">
        <v>112</v>
      </c>
      <c r="O387">
        <v>97</v>
      </c>
      <c r="P387">
        <v>0.86599999999999999</v>
      </c>
      <c r="Q387">
        <v>3</v>
      </c>
      <c r="R387">
        <v>3</v>
      </c>
      <c r="S387">
        <v>3</v>
      </c>
      <c r="T387">
        <v>1</v>
      </c>
      <c r="U387">
        <v>12</v>
      </c>
      <c r="V387">
        <v>12</v>
      </c>
      <c r="W387">
        <v>16</v>
      </c>
      <c r="X387">
        <v>7</v>
      </c>
      <c r="Y387">
        <v>6</v>
      </c>
      <c r="Z387">
        <v>0</v>
      </c>
      <c r="AA387">
        <v>9</v>
      </c>
      <c r="AB387">
        <v>14</v>
      </c>
      <c r="AC387">
        <v>13</v>
      </c>
      <c r="AD387">
        <v>4</v>
      </c>
      <c r="AE387">
        <v>0</v>
      </c>
      <c r="AF387">
        <v>4</v>
      </c>
      <c r="AG387">
        <v>4</v>
      </c>
      <c r="AH387">
        <v>1</v>
      </c>
      <c r="AI387">
        <v>0</v>
      </c>
      <c r="AJ387">
        <v>2</v>
      </c>
      <c r="AK387">
        <v>2</v>
      </c>
      <c r="AL387">
        <v>2</v>
      </c>
      <c r="AM387">
        <v>0</v>
      </c>
      <c r="AN387">
        <v>11</v>
      </c>
      <c r="AO387">
        <v>11</v>
      </c>
      <c r="AP387">
        <v>15</v>
      </c>
      <c r="AQ387">
        <v>6</v>
      </c>
      <c r="AR387">
        <v>5</v>
      </c>
      <c r="AS387">
        <v>0</v>
      </c>
      <c r="AT387">
        <v>8</v>
      </c>
      <c r="AU387">
        <v>11</v>
      </c>
      <c r="AV387">
        <v>12</v>
      </c>
      <c r="AW387">
        <v>4</v>
      </c>
      <c r="AX387">
        <v>0</v>
      </c>
      <c r="AY387">
        <v>4</v>
      </c>
      <c r="AZ387">
        <v>4</v>
      </c>
      <c r="BA387">
        <v>0</v>
      </c>
      <c r="BB387">
        <v>0</v>
      </c>
      <c r="BC387" s="2">
        <v>3</v>
      </c>
      <c r="BD387" s="2">
        <v>2.5</v>
      </c>
      <c r="BE387" s="2">
        <v>3</v>
      </c>
      <c r="BF387" s="2">
        <v>0</v>
      </c>
      <c r="BG387" s="2">
        <v>12</v>
      </c>
      <c r="BH387" s="2">
        <v>11.917</v>
      </c>
      <c r="BI387" s="2">
        <v>15.938000000000001</v>
      </c>
      <c r="BJ387" s="2">
        <v>6.5449999999999999</v>
      </c>
      <c r="BK387" s="2">
        <v>5.2629999999999999</v>
      </c>
      <c r="BL387" s="2">
        <v>0</v>
      </c>
      <c r="BM387" s="2">
        <v>8.3810000000000002</v>
      </c>
      <c r="BN387" s="2">
        <v>12.269</v>
      </c>
      <c r="BO387" s="2">
        <v>12.667</v>
      </c>
      <c r="BP387" s="2">
        <v>4</v>
      </c>
      <c r="BQ387" s="2">
        <v>0</v>
      </c>
      <c r="BR387" s="2">
        <v>4</v>
      </c>
      <c r="BS387" s="2">
        <v>4</v>
      </c>
      <c r="BT387" s="2">
        <v>0.5</v>
      </c>
      <c r="BU387" s="2">
        <v>0</v>
      </c>
      <c r="BV387" s="2">
        <f t="shared" si="25"/>
        <v>105.98000000000002</v>
      </c>
      <c r="BW387" s="16">
        <f t="shared" si="23"/>
        <v>5.5778947368421061</v>
      </c>
      <c r="BX387" s="16">
        <f>COUNTIF($BC$6:BU387, "=0") / COUNTIF($BC$6:BU387, "&gt;-1")</f>
        <v>9.7134196748415544E-2</v>
      </c>
      <c r="BY387" s="18">
        <f>SUM($BC$6:BU387) / $BY$4</f>
        <v>0.80523156458482559</v>
      </c>
      <c r="BZ387" s="14">
        <f t="shared" si="24"/>
        <v>4</v>
      </c>
      <c r="CA387" t="s">
        <v>5831</v>
      </c>
      <c r="CB387" s="36">
        <v>3.6349301875041902</v>
      </c>
      <c r="CC387" s="36">
        <v>2.4076603016936202</v>
      </c>
      <c r="CD387" s="36">
        <v>4.8023929854367697</v>
      </c>
      <c r="CE387" s="36">
        <v>0.37798043978830698</v>
      </c>
      <c r="CF387" s="36">
        <v>10.322116319242699</v>
      </c>
      <c r="CG387" s="36">
        <v>11.063754235009901</v>
      </c>
      <c r="CH387" s="36">
        <v>16.759590297547799</v>
      </c>
      <c r="CI387" s="36">
        <v>6.3256933868849901</v>
      </c>
      <c r="CJ387" s="37">
        <v>4.2122189541982697</v>
      </c>
      <c r="CK387" s="37">
        <v>5.2974570338616003</v>
      </c>
      <c r="CL387" s="37">
        <v>9.8406684836883205</v>
      </c>
      <c r="CM387" s="37">
        <v>10.7511474918192</v>
      </c>
      <c r="CN387" s="37">
        <v>0.22969814145377901</v>
      </c>
      <c r="CO387" s="37">
        <v>3.1567622815404999</v>
      </c>
      <c r="CP387" s="37">
        <v>6.0341601914496898</v>
      </c>
      <c r="CQ387" s="37">
        <v>0.38065921161865401</v>
      </c>
      <c r="CR387" s="45">
        <v>-0.47277664042465201</v>
      </c>
      <c r="CS387" s="45">
        <v>-1.3957455999982</v>
      </c>
      <c r="CT387" s="46">
        <v>0.42468591057055799</v>
      </c>
      <c r="CU387" s="47">
        <v>0.50825558885814603</v>
      </c>
      <c r="CV387" s="48">
        <v>6.96176476913854</v>
      </c>
      <c r="CW387" s="49">
        <v>4.98784647370376</v>
      </c>
      <c r="CX387" s="31" t="s">
        <v>5875</v>
      </c>
      <c r="CY387" s="31" t="s">
        <v>5832</v>
      </c>
      <c r="CZ387" t="s">
        <v>9790</v>
      </c>
      <c r="DA387" t="s">
        <v>5904</v>
      </c>
      <c r="DB387">
        <v>826.6</v>
      </c>
      <c r="DC387" t="s">
        <v>25537</v>
      </c>
      <c r="DD387" t="s">
        <v>25538</v>
      </c>
      <c r="DE387" t="s">
        <v>25539</v>
      </c>
      <c r="DF387" t="s">
        <v>25540</v>
      </c>
      <c r="DG387" t="s">
        <v>25541</v>
      </c>
      <c r="DH387" t="str">
        <f>"ANXA11"</f>
        <v>ANXA11</v>
      </c>
      <c r="DI387" t="s">
        <v>25542</v>
      </c>
      <c r="DJ387" t="s">
        <v>13777</v>
      </c>
      <c r="DK387">
        <v>9606</v>
      </c>
      <c r="DL387" s="34" t="str">
        <f>HYPERLINK("http://www.uniprot.org/uniprot/P50995", "P50995")</f>
        <v>P50995</v>
      </c>
      <c r="DM387" t="s">
        <v>25543</v>
      </c>
      <c r="DN387" t="s">
        <v>21625</v>
      </c>
      <c r="DO387" t="s">
        <v>15843</v>
      </c>
      <c r="DP387" t="s">
        <v>13780</v>
      </c>
      <c r="DQ387" t="s">
        <v>13772</v>
      </c>
      <c r="DR387" t="s">
        <v>13989</v>
      </c>
      <c r="DS387" t="s">
        <v>15322</v>
      </c>
      <c r="DT387" t="s">
        <v>15323</v>
      </c>
      <c r="DU387" t="s">
        <v>13772</v>
      </c>
      <c r="DV387" t="s">
        <v>14020</v>
      </c>
      <c r="DW387" t="s">
        <v>13772</v>
      </c>
      <c r="DX387" t="s">
        <v>25544</v>
      </c>
      <c r="DY387" t="s">
        <v>25545</v>
      </c>
      <c r="DZ387" t="s">
        <v>25546</v>
      </c>
      <c r="EA387" t="s">
        <v>13772</v>
      </c>
      <c r="EB387" t="s">
        <v>13772</v>
      </c>
    </row>
    <row r="388" spans="1:132">
      <c r="A388">
        <v>1626</v>
      </c>
      <c r="B388">
        <v>1</v>
      </c>
      <c r="C388" t="s">
        <v>3852</v>
      </c>
      <c r="D388" t="s">
        <v>3853</v>
      </c>
      <c r="E388" t="s">
        <v>73</v>
      </c>
      <c r="F388" t="s">
        <v>73</v>
      </c>
      <c r="G388" t="s">
        <v>73</v>
      </c>
      <c r="H388">
        <v>11.9</v>
      </c>
      <c r="I388">
        <v>412</v>
      </c>
      <c r="J388">
        <v>45192</v>
      </c>
      <c r="K388" t="s">
        <v>3854</v>
      </c>
      <c r="L388">
        <f t="shared" si="22"/>
        <v>105</v>
      </c>
      <c r="N388">
        <v>105</v>
      </c>
      <c r="O388">
        <v>105</v>
      </c>
      <c r="P388">
        <v>1</v>
      </c>
      <c r="Q388">
        <v>9</v>
      </c>
      <c r="R388">
        <v>9</v>
      </c>
      <c r="S388">
        <v>7</v>
      </c>
      <c r="T388">
        <v>8</v>
      </c>
      <c r="U388">
        <v>9</v>
      </c>
      <c r="V388">
        <v>7</v>
      </c>
      <c r="W388">
        <v>7</v>
      </c>
      <c r="X388">
        <v>8</v>
      </c>
      <c r="Y388">
        <v>3</v>
      </c>
      <c r="Z388">
        <v>2</v>
      </c>
      <c r="AA388">
        <v>4</v>
      </c>
      <c r="AB388">
        <v>3</v>
      </c>
      <c r="AC388">
        <v>3</v>
      </c>
      <c r="AD388">
        <v>4</v>
      </c>
      <c r="AE388">
        <v>3</v>
      </c>
      <c r="AF388">
        <v>5</v>
      </c>
      <c r="AG388">
        <v>5</v>
      </c>
      <c r="AH388">
        <v>4</v>
      </c>
      <c r="AI388">
        <v>5</v>
      </c>
      <c r="AJ388">
        <v>9</v>
      </c>
      <c r="AK388">
        <v>9</v>
      </c>
      <c r="AL388">
        <v>7</v>
      </c>
      <c r="AM388">
        <v>8</v>
      </c>
      <c r="AN388">
        <v>9</v>
      </c>
      <c r="AO388">
        <v>7</v>
      </c>
      <c r="AP388">
        <v>7</v>
      </c>
      <c r="AQ388">
        <v>8</v>
      </c>
      <c r="AR388">
        <v>3</v>
      </c>
      <c r="AS388">
        <v>2</v>
      </c>
      <c r="AT388">
        <v>4</v>
      </c>
      <c r="AU388">
        <v>3</v>
      </c>
      <c r="AV388">
        <v>3</v>
      </c>
      <c r="AW388">
        <v>4</v>
      </c>
      <c r="AX388">
        <v>3</v>
      </c>
      <c r="AY388">
        <v>5</v>
      </c>
      <c r="AZ388">
        <v>5</v>
      </c>
      <c r="BA388">
        <v>4</v>
      </c>
      <c r="BB388">
        <v>5</v>
      </c>
      <c r="BC388" s="2">
        <v>9</v>
      </c>
      <c r="BD388" s="2">
        <v>9</v>
      </c>
      <c r="BE388" s="2">
        <v>7</v>
      </c>
      <c r="BF388" s="2">
        <v>8</v>
      </c>
      <c r="BG388" s="2">
        <v>9</v>
      </c>
      <c r="BH388" s="2">
        <v>7</v>
      </c>
      <c r="BI388" s="2">
        <v>7</v>
      </c>
      <c r="BJ388" s="2">
        <v>8</v>
      </c>
      <c r="BK388" s="2">
        <v>3</v>
      </c>
      <c r="BL388" s="2">
        <v>2</v>
      </c>
      <c r="BM388" s="2">
        <v>4</v>
      </c>
      <c r="BN388" s="2">
        <v>3</v>
      </c>
      <c r="BO388" s="2">
        <v>3</v>
      </c>
      <c r="BP388" s="2">
        <v>4</v>
      </c>
      <c r="BQ388" s="2">
        <v>3</v>
      </c>
      <c r="BR388" s="2">
        <v>5</v>
      </c>
      <c r="BS388" s="2">
        <v>5</v>
      </c>
      <c r="BT388" s="2">
        <v>4</v>
      </c>
      <c r="BU388" s="2">
        <v>5</v>
      </c>
      <c r="BV388" s="2">
        <f t="shared" si="25"/>
        <v>105</v>
      </c>
      <c r="BW388" s="16">
        <f t="shared" si="23"/>
        <v>5.5263157894736841</v>
      </c>
      <c r="BX388" s="16">
        <f>COUNTIF($BC$6:BU388, "=0") / COUNTIF($BC$6:BU388, "&gt;-1")</f>
        <v>9.6880582657688605E-2</v>
      </c>
      <c r="BY388" s="18">
        <f>SUM($BC$6:BU388) / $BY$4</f>
        <v>0.80568134645603917</v>
      </c>
      <c r="BZ388" s="14">
        <f t="shared" si="24"/>
        <v>0</v>
      </c>
      <c r="CA388" t="s">
        <v>5831</v>
      </c>
      <c r="CB388" s="36">
        <v>10.9047905625126</v>
      </c>
      <c r="CC388" s="36">
        <v>8.6675770860970207</v>
      </c>
      <c r="CD388" s="36">
        <v>11.2055836326858</v>
      </c>
      <c r="CE388" s="36">
        <v>12.0953740732258</v>
      </c>
      <c r="CF388" s="36">
        <v>7.7415872394320298</v>
      </c>
      <c r="CG388" s="36">
        <v>6.50809072647644</v>
      </c>
      <c r="CH388" s="36">
        <v>7.3784359800524904</v>
      </c>
      <c r="CI388" s="36">
        <v>7.78546878385845</v>
      </c>
      <c r="CJ388" s="37">
        <v>2.3842748797348698</v>
      </c>
      <c r="CK388" s="37">
        <v>2.5225985875531398</v>
      </c>
      <c r="CL388" s="37">
        <v>2.4001630448020301</v>
      </c>
      <c r="CM388" s="37">
        <v>2.5396411397998202</v>
      </c>
      <c r="CN388" s="37">
        <v>2.7563776974453398</v>
      </c>
      <c r="CO388" s="37">
        <v>3.94595285192562</v>
      </c>
      <c r="CP388" s="37">
        <v>7.5427002393121096</v>
      </c>
      <c r="CQ388" s="37">
        <v>7.6131842323730803</v>
      </c>
      <c r="CR388" s="45">
        <v>-1.2819598567210799</v>
      </c>
      <c r="CS388" s="45">
        <v>-2.2799922027814801</v>
      </c>
      <c r="CT388" s="46">
        <v>8.4482624078271497E-4</v>
      </c>
      <c r="CU388" s="47">
        <v>1.93557792836862E-3</v>
      </c>
      <c r="CV388" s="48">
        <v>9.0358635105425797</v>
      </c>
      <c r="CW388" s="49">
        <v>3.9631115841182498</v>
      </c>
      <c r="CX388" s="31" t="s">
        <v>5875</v>
      </c>
      <c r="CY388" s="31" t="s">
        <v>5876</v>
      </c>
      <c r="CZ388" t="s">
        <v>11167</v>
      </c>
      <c r="DA388" t="s">
        <v>5904</v>
      </c>
      <c r="DB388">
        <v>689.1</v>
      </c>
      <c r="DC388" t="s">
        <v>29391</v>
      </c>
      <c r="DD388" t="s">
        <v>29392</v>
      </c>
      <c r="DE388" t="s">
        <v>29393</v>
      </c>
      <c r="DF388" t="s">
        <v>29394</v>
      </c>
      <c r="DG388" t="s">
        <v>29395</v>
      </c>
      <c r="DH388" t="str">
        <f>"LAMP2"</f>
        <v>LAMP2</v>
      </c>
      <c r="DI388" t="s">
        <v>13772</v>
      </c>
      <c r="DJ388" t="s">
        <v>13777</v>
      </c>
      <c r="DK388">
        <v>9606</v>
      </c>
      <c r="DL388" s="34" t="str">
        <f>HYPERLINK("http://www.uniprot.org/uniprot/P13473", "P13473")</f>
        <v>P13473</v>
      </c>
      <c r="DM388" t="s">
        <v>29396</v>
      </c>
      <c r="DN388" t="s">
        <v>29397</v>
      </c>
      <c r="DO388" t="s">
        <v>29398</v>
      </c>
      <c r="DP388" t="s">
        <v>13780</v>
      </c>
      <c r="DQ388" t="s">
        <v>13772</v>
      </c>
      <c r="DR388" t="s">
        <v>16230</v>
      </c>
      <c r="DS388" t="s">
        <v>13855</v>
      </c>
      <c r="DT388" t="s">
        <v>13772</v>
      </c>
      <c r="DU388" t="s">
        <v>13772</v>
      </c>
      <c r="DV388" t="s">
        <v>13796</v>
      </c>
      <c r="DW388" t="s">
        <v>13812</v>
      </c>
      <c r="DX388" t="s">
        <v>29399</v>
      </c>
      <c r="DY388" t="s">
        <v>29400</v>
      </c>
      <c r="DZ388" t="s">
        <v>29401</v>
      </c>
      <c r="EA388" t="s">
        <v>13772</v>
      </c>
      <c r="EB388" t="s">
        <v>14706</v>
      </c>
    </row>
    <row r="389" spans="1:132" hidden="1">
      <c r="A389">
        <v>1908</v>
      </c>
      <c r="B389">
        <v>1</v>
      </c>
      <c r="C389" t="s">
        <v>4494</v>
      </c>
      <c r="D389" t="s">
        <v>4495</v>
      </c>
      <c r="E389" t="s">
        <v>73</v>
      </c>
      <c r="F389" t="s">
        <v>73</v>
      </c>
      <c r="G389" t="s">
        <v>73</v>
      </c>
      <c r="H389">
        <v>23.7</v>
      </c>
      <c r="I389">
        <v>2558</v>
      </c>
      <c r="J389">
        <v>271317</v>
      </c>
      <c r="K389" t="s">
        <v>4496</v>
      </c>
      <c r="L389">
        <f t="shared" si="22"/>
        <v>105</v>
      </c>
      <c r="N389">
        <v>105</v>
      </c>
      <c r="O389">
        <v>105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2</v>
      </c>
      <c r="W389">
        <v>0</v>
      </c>
      <c r="X389">
        <v>1</v>
      </c>
      <c r="Y389">
        <v>25</v>
      </c>
      <c r="Z389">
        <v>1</v>
      </c>
      <c r="AA389">
        <v>29</v>
      </c>
      <c r="AB389">
        <v>10</v>
      </c>
      <c r="AC389">
        <v>14</v>
      </c>
      <c r="AD389">
        <v>0</v>
      </c>
      <c r="AE389">
        <v>8</v>
      </c>
      <c r="AF389">
        <v>13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2</v>
      </c>
      <c r="AP389">
        <v>0</v>
      </c>
      <c r="AQ389">
        <v>1</v>
      </c>
      <c r="AR389">
        <v>25</v>
      </c>
      <c r="AS389">
        <v>1</v>
      </c>
      <c r="AT389">
        <v>29</v>
      </c>
      <c r="AU389">
        <v>10</v>
      </c>
      <c r="AV389">
        <v>14</v>
      </c>
      <c r="AW389">
        <v>0</v>
      </c>
      <c r="AX389">
        <v>8</v>
      </c>
      <c r="AY389">
        <v>13</v>
      </c>
      <c r="AZ389">
        <v>0</v>
      </c>
      <c r="BA389">
        <v>0</v>
      </c>
      <c r="BB389">
        <v>0</v>
      </c>
      <c r="BC389" s="2">
        <v>0</v>
      </c>
      <c r="BD389" s="2">
        <v>1</v>
      </c>
      <c r="BE389" s="2">
        <v>0</v>
      </c>
      <c r="BF389" s="2">
        <v>0</v>
      </c>
      <c r="BG389" s="2">
        <v>1</v>
      </c>
      <c r="BH389" s="2">
        <v>2</v>
      </c>
      <c r="BI389" s="2">
        <v>0</v>
      </c>
      <c r="BJ389" s="2">
        <v>1</v>
      </c>
      <c r="BK389" s="2">
        <v>25</v>
      </c>
      <c r="BL389" s="2">
        <v>1</v>
      </c>
      <c r="BM389" s="2">
        <v>29</v>
      </c>
      <c r="BN389" s="2">
        <v>10</v>
      </c>
      <c r="BO389" s="2">
        <v>14</v>
      </c>
      <c r="BP389" s="2">
        <v>0</v>
      </c>
      <c r="BQ389" s="2">
        <v>8</v>
      </c>
      <c r="BR389" s="2">
        <v>13</v>
      </c>
      <c r="BS389" s="2">
        <v>0</v>
      </c>
      <c r="BT389" s="2">
        <v>0</v>
      </c>
      <c r="BU389" s="2">
        <v>0</v>
      </c>
      <c r="BV389" s="2">
        <f t="shared" si="25"/>
        <v>105</v>
      </c>
      <c r="BW389" s="16">
        <f t="shared" si="23"/>
        <v>5.5263157894736841</v>
      </c>
      <c r="BX389" s="16">
        <f>COUNTIF($BC$6:BU389, "=0") / COUNTIF($BC$6:BU389, "&gt;-1")</f>
        <v>9.7724780701754388E-2</v>
      </c>
      <c r="BY389" s="18">
        <f>SUM($BC$6:BU389) / $BY$4</f>
        <v>0.80613112832725276</v>
      </c>
      <c r="BZ389" s="14">
        <f t="shared" si="24"/>
        <v>8</v>
      </c>
      <c r="CA389" t="s">
        <v>5831</v>
      </c>
      <c r="CB389" s="36">
        <v>0.30291084895868198</v>
      </c>
      <c r="CC389" s="36">
        <v>0.96306412067744696</v>
      </c>
      <c r="CD389" s="36">
        <v>0.40019941545306398</v>
      </c>
      <c r="CE389" s="36">
        <v>0.37798043978830698</v>
      </c>
      <c r="CF389" s="36">
        <v>0.86017635993689201</v>
      </c>
      <c r="CG389" s="36">
        <v>1.85945449327898</v>
      </c>
      <c r="CH389" s="36">
        <v>0.26351557071616</v>
      </c>
      <c r="CI389" s="36">
        <v>0.97318359798230603</v>
      </c>
      <c r="CJ389" s="37">
        <v>19.868957331123902</v>
      </c>
      <c r="CK389" s="37">
        <v>18.2888397597603</v>
      </c>
      <c r="CL389" s="37">
        <v>8.0005434826734305</v>
      </c>
      <c r="CM389" s="37">
        <v>11.8516586523992</v>
      </c>
      <c r="CN389" s="37">
        <v>7.3503405265209096</v>
      </c>
      <c r="CO389" s="37">
        <v>10.2594774150066</v>
      </c>
      <c r="CP389" s="37">
        <v>0.377135011965606</v>
      </c>
      <c r="CQ389" s="37">
        <v>0.38065921161865401</v>
      </c>
      <c r="CR389" s="45">
        <v>3.4393826270662502</v>
      </c>
      <c r="CS389" s="45">
        <v>12.728573330520801</v>
      </c>
      <c r="CT389" s="46">
        <v>8.2680180884458498E-7</v>
      </c>
      <c r="CU389" s="47">
        <v>4.2223695428780702E-6</v>
      </c>
      <c r="CV389" s="48">
        <v>0.75006060584898004</v>
      </c>
      <c r="CW389" s="49">
        <v>9.5472014238835801</v>
      </c>
      <c r="CX389" s="31" t="s">
        <v>5874</v>
      </c>
      <c r="CY389" s="31" t="s">
        <v>5876</v>
      </c>
      <c r="CZ389" t="s">
        <v>12113</v>
      </c>
      <c r="DA389" t="s">
        <v>5904</v>
      </c>
      <c r="DB389">
        <v>5130.8</v>
      </c>
      <c r="DC389" t="s">
        <v>32052</v>
      </c>
      <c r="DD389" t="s">
        <v>13772</v>
      </c>
      <c r="DE389" t="s">
        <v>32053</v>
      </c>
      <c r="DF389" t="s">
        <v>32054</v>
      </c>
      <c r="DG389" t="s">
        <v>32055</v>
      </c>
      <c r="DH389" t="str">
        <f>"TLN1"</f>
        <v>TLN1</v>
      </c>
      <c r="DI389" t="s">
        <v>32056</v>
      </c>
      <c r="DJ389" t="s">
        <v>13777</v>
      </c>
      <c r="DK389">
        <v>9606</v>
      </c>
      <c r="DL389" s="34" t="str">
        <f>HYPERLINK("http://www.uniprot.org/uniprot/Q9Y490", "Q9Y490")</f>
        <v>Q9Y490</v>
      </c>
      <c r="DM389" t="s">
        <v>32057</v>
      </c>
      <c r="DN389" t="s">
        <v>14563</v>
      </c>
      <c r="DO389" t="s">
        <v>15639</v>
      </c>
      <c r="DP389" t="s">
        <v>13793</v>
      </c>
      <c r="DQ389" t="s">
        <v>13772</v>
      </c>
      <c r="DR389" t="s">
        <v>13772</v>
      </c>
      <c r="DS389" t="s">
        <v>13772</v>
      </c>
      <c r="DT389" t="s">
        <v>13772</v>
      </c>
      <c r="DU389" t="s">
        <v>13772</v>
      </c>
      <c r="DV389" t="s">
        <v>13886</v>
      </c>
      <c r="DW389" t="s">
        <v>13812</v>
      </c>
      <c r="DX389" t="s">
        <v>32058</v>
      </c>
      <c r="DY389" t="s">
        <v>32059</v>
      </c>
      <c r="DZ389" t="s">
        <v>32060</v>
      </c>
      <c r="EA389" t="s">
        <v>13772</v>
      </c>
      <c r="EB389" t="s">
        <v>32061</v>
      </c>
    </row>
    <row r="390" spans="1:132" hidden="1">
      <c r="A390">
        <v>124</v>
      </c>
      <c r="B390">
        <v>1</v>
      </c>
      <c r="C390" t="s">
        <v>321</v>
      </c>
      <c r="D390" t="s">
        <v>73</v>
      </c>
      <c r="E390" t="s">
        <v>73</v>
      </c>
      <c r="F390" t="s">
        <v>322</v>
      </c>
      <c r="G390" t="s">
        <v>73</v>
      </c>
      <c r="H390">
        <v>68.8</v>
      </c>
      <c r="I390">
        <v>77</v>
      </c>
      <c r="J390">
        <v>8550</v>
      </c>
      <c r="K390" t="s">
        <v>323</v>
      </c>
      <c r="L390">
        <f t="shared" ref="L390:L453" si="26">N390</f>
        <v>104</v>
      </c>
      <c r="N390">
        <v>104</v>
      </c>
      <c r="O390">
        <v>103</v>
      </c>
      <c r="P390">
        <v>0.99</v>
      </c>
      <c r="Q390">
        <v>8</v>
      </c>
      <c r="R390">
        <v>1</v>
      </c>
      <c r="S390">
        <v>1</v>
      </c>
      <c r="T390">
        <v>0</v>
      </c>
      <c r="U390">
        <v>2</v>
      </c>
      <c r="V390">
        <v>3</v>
      </c>
      <c r="W390">
        <v>2</v>
      </c>
      <c r="X390">
        <v>5</v>
      </c>
      <c r="Y390">
        <v>11</v>
      </c>
      <c r="Z390">
        <v>0</v>
      </c>
      <c r="AA390">
        <v>15</v>
      </c>
      <c r="AB390">
        <v>22</v>
      </c>
      <c r="AC390">
        <v>8</v>
      </c>
      <c r="AD390">
        <v>1</v>
      </c>
      <c r="AE390">
        <v>9</v>
      </c>
      <c r="AF390">
        <v>13</v>
      </c>
      <c r="AG390">
        <v>0</v>
      </c>
      <c r="AH390">
        <v>0</v>
      </c>
      <c r="AI390">
        <v>3</v>
      </c>
      <c r="AJ390">
        <v>8</v>
      </c>
      <c r="AK390">
        <v>1</v>
      </c>
      <c r="AL390">
        <v>1</v>
      </c>
      <c r="AM390">
        <v>0</v>
      </c>
      <c r="AN390">
        <v>2</v>
      </c>
      <c r="AO390">
        <v>3</v>
      </c>
      <c r="AP390">
        <v>2</v>
      </c>
      <c r="AQ390">
        <v>5</v>
      </c>
      <c r="AR390">
        <v>11</v>
      </c>
      <c r="AS390">
        <v>0</v>
      </c>
      <c r="AT390">
        <v>15</v>
      </c>
      <c r="AU390">
        <v>21</v>
      </c>
      <c r="AV390">
        <v>8</v>
      </c>
      <c r="AW390">
        <v>1</v>
      </c>
      <c r="AX390">
        <v>9</v>
      </c>
      <c r="AY390">
        <v>13</v>
      </c>
      <c r="AZ390">
        <v>0</v>
      </c>
      <c r="BA390">
        <v>0</v>
      </c>
      <c r="BB390">
        <v>3</v>
      </c>
      <c r="BC390" s="2">
        <v>8</v>
      </c>
      <c r="BD390" s="2">
        <v>1</v>
      </c>
      <c r="BE390" s="2">
        <v>1</v>
      </c>
      <c r="BF390" s="2">
        <v>0</v>
      </c>
      <c r="BG390" s="2">
        <v>2</v>
      </c>
      <c r="BH390" s="2">
        <v>3</v>
      </c>
      <c r="BI390" s="2">
        <v>2</v>
      </c>
      <c r="BJ390" s="2">
        <v>5</v>
      </c>
      <c r="BK390" s="2">
        <v>11</v>
      </c>
      <c r="BL390" s="2">
        <v>0</v>
      </c>
      <c r="BM390" s="2">
        <v>15</v>
      </c>
      <c r="BN390" s="2">
        <v>22</v>
      </c>
      <c r="BO390" s="2">
        <v>8</v>
      </c>
      <c r="BP390" s="2">
        <v>1</v>
      </c>
      <c r="BQ390" s="2">
        <v>9</v>
      </c>
      <c r="BR390" s="2">
        <v>13</v>
      </c>
      <c r="BS390" s="2">
        <v>0</v>
      </c>
      <c r="BT390" s="2">
        <v>0</v>
      </c>
      <c r="BU390" s="2">
        <v>3</v>
      </c>
      <c r="BV390" s="2">
        <f t="shared" si="25"/>
        <v>104</v>
      </c>
      <c r="BW390" s="16">
        <f t="shared" ref="BW390:BW453" si="27">AVERAGE(BC390:BU390)</f>
        <v>5.4736842105263159</v>
      </c>
      <c r="BX390" s="16">
        <f>COUNTIF($BC$6:BU390, "=0") / COUNTIF($BC$6:BU390, "&gt;-1")</f>
        <v>9.8017771701982226E-2</v>
      </c>
      <c r="BY390" s="18">
        <f>SUM($BC$6:BU390) / $BY$4</f>
        <v>0.80657662656159756</v>
      </c>
      <c r="BZ390" s="14">
        <f t="shared" ref="BZ390:BZ453" si="28">19-COUNTIF(BC390:BU390, "&gt;0")</f>
        <v>4</v>
      </c>
      <c r="CA390" t="s">
        <v>5831</v>
      </c>
      <c r="CB390" s="36">
        <v>9.6931471666778304</v>
      </c>
      <c r="CC390" s="36">
        <v>0.96306412067744696</v>
      </c>
      <c r="CD390" s="36">
        <v>1.6007976618122599</v>
      </c>
      <c r="CE390" s="36">
        <v>0.37798043978830698</v>
      </c>
      <c r="CF390" s="36">
        <v>1.72035271987378</v>
      </c>
      <c r="CG390" s="36">
        <v>2.7891817399184702</v>
      </c>
      <c r="CH390" s="36">
        <v>2.10812456572928</v>
      </c>
      <c r="CI390" s="36">
        <v>4.8659179899115301</v>
      </c>
      <c r="CJ390" s="37">
        <v>8.7423412256945294</v>
      </c>
      <c r="CK390" s="37">
        <v>9.4597447033242794</v>
      </c>
      <c r="CL390" s="37">
        <v>17.601195661881501</v>
      </c>
      <c r="CM390" s="37">
        <v>6.7723763727995303</v>
      </c>
      <c r="CN390" s="37">
        <v>8.2691330923360304</v>
      </c>
      <c r="CO390" s="37">
        <v>10.2594774150066</v>
      </c>
      <c r="CP390" s="37">
        <v>0.377135011965606</v>
      </c>
      <c r="CQ390" s="37">
        <v>4.5679105394238499</v>
      </c>
      <c r="CR390" s="45">
        <v>1.45238998844391</v>
      </c>
      <c r="CS390" s="45">
        <v>2.7385257031866099</v>
      </c>
      <c r="CT390" s="46">
        <v>8.59392523923087E-3</v>
      </c>
      <c r="CU390" s="47">
        <v>1.60148634680932E-2</v>
      </c>
      <c r="CV390" s="48">
        <v>3.0148208005486099</v>
      </c>
      <c r="CW390" s="49">
        <v>8.256164252804</v>
      </c>
      <c r="CX390" s="31" t="s">
        <v>5874</v>
      </c>
      <c r="CY390" s="31" t="s">
        <v>5878</v>
      </c>
      <c r="CZ390" t="s">
        <v>6119</v>
      </c>
      <c r="DA390" t="s">
        <v>5904</v>
      </c>
      <c r="DB390">
        <v>157.1</v>
      </c>
      <c r="DC390" t="s">
        <v>14569</v>
      </c>
      <c r="DD390" t="s">
        <v>14570</v>
      </c>
      <c r="DE390" t="s">
        <v>14571</v>
      </c>
      <c r="DF390" t="s">
        <v>14572</v>
      </c>
      <c r="DG390" t="s">
        <v>14573</v>
      </c>
      <c r="DH390" t="str">
        <f>"CRIP1"</f>
        <v>CRIP1</v>
      </c>
      <c r="DI390" t="s">
        <v>14574</v>
      </c>
      <c r="DJ390" t="s">
        <v>13777</v>
      </c>
      <c r="DK390">
        <v>9606</v>
      </c>
      <c r="DL390" s="34" t="str">
        <f>HYPERLINK("http://www.uniprot.org/uniprot/P50238", "P50238")</f>
        <v>P50238</v>
      </c>
      <c r="DM390" t="s">
        <v>14575</v>
      </c>
      <c r="DN390" t="s">
        <v>13772</v>
      </c>
      <c r="DO390" t="s">
        <v>13772</v>
      </c>
      <c r="DP390" t="s">
        <v>13772</v>
      </c>
      <c r="DQ390" t="s">
        <v>13772</v>
      </c>
      <c r="DR390" t="s">
        <v>13772</v>
      </c>
      <c r="DS390" t="s">
        <v>14576</v>
      </c>
      <c r="DT390" t="s">
        <v>13856</v>
      </c>
      <c r="DU390" t="s">
        <v>13772</v>
      </c>
      <c r="DV390" t="s">
        <v>14577</v>
      </c>
      <c r="DW390" t="s">
        <v>13772</v>
      </c>
      <c r="DX390" t="s">
        <v>14578</v>
      </c>
      <c r="DY390" t="s">
        <v>14579</v>
      </c>
      <c r="DZ390" t="s">
        <v>14580</v>
      </c>
      <c r="EA390" t="s">
        <v>13772</v>
      </c>
      <c r="EB390" t="s">
        <v>13772</v>
      </c>
    </row>
    <row r="391" spans="1:132">
      <c r="A391">
        <v>352</v>
      </c>
      <c r="B391">
        <v>1</v>
      </c>
      <c r="C391" t="s">
        <v>884</v>
      </c>
      <c r="D391" t="s">
        <v>73</v>
      </c>
      <c r="E391" t="s">
        <v>73</v>
      </c>
      <c r="F391" t="s">
        <v>73</v>
      </c>
      <c r="G391" t="s">
        <v>73</v>
      </c>
      <c r="H391">
        <v>30.7</v>
      </c>
      <c r="I391">
        <v>293</v>
      </c>
      <c r="J391">
        <v>31479</v>
      </c>
      <c r="K391" t="s">
        <v>885</v>
      </c>
      <c r="L391">
        <f t="shared" si="26"/>
        <v>104</v>
      </c>
      <c r="N391">
        <v>104</v>
      </c>
      <c r="O391">
        <v>104</v>
      </c>
      <c r="P391">
        <v>1</v>
      </c>
      <c r="Q391">
        <v>4</v>
      </c>
      <c r="R391">
        <v>8</v>
      </c>
      <c r="S391">
        <v>2</v>
      </c>
      <c r="T391">
        <v>5</v>
      </c>
      <c r="U391">
        <v>5</v>
      </c>
      <c r="V391">
        <v>5</v>
      </c>
      <c r="W391">
        <v>7</v>
      </c>
      <c r="X391">
        <v>4</v>
      </c>
      <c r="Y391">
        <v>5</v>
      </c>
      <c r="Z391">
        <v>9</v>
      </c>
      <c r="AA391">
        <v>6</v>
      </c>
      <c r="AB391">
        <v>7</v>
      </c>
      <c r="AC391">
        <v>3</v>
      </c>
      <c r="AD391">
        <v>4</v>
      </c>
      <c r="AE391">
        <v>7</v>
      </c>
      <c r="AF391">
        <v>8</v>
      </c>
      <c r="AG391">
        <v>4</v>
      </c>
      <c r="AH391">
        <v>4</v>
      </c>
      <c r="AI391">
        <v>7</v>
      </c>
      <c r="AJ391">
        <v>4</v>
      </c>
      <c r="AK391">
        <v>8</v>
      </c>
      <c r="AL391">
        <v>2</v>
      </c>
      <c r="AM391">
        <v>5</v>
      </c>
      <c r="AN391">
        <v>5</v>
      </c>
      <c r="AO391">
        <v>5</v>
      </c>
      <c r="AP391">
        <v>7</v>
      </c>
      <c r="AQ391">
        <v>4</v>
      </c>
      <c r="AR391">
        <v>5</v>
      </c>
      <c r="AS391">
        <v>9</v>
      </c>
      <c r="AT391">
        <v>6</v>
      </c>
      <c r="AU391">
        <v>7</v>
      </c>
      <c r="AV391">
        <v>3</v>
      </c>
      <c r="AW391">
        <v>4</v>
      </c>
      <c r="AX391">
        <v>7</v>
      </c>
      <c r="AY391">
        <v>8</v>
      </c>
      <c r="AZ391">
        <v>4</v>
      </c>
      <c r="BA391">
        <v>4</v>
      </c>
      <c r="BB391">
        <v>7</v>
      </c>
      <c r="BC391" s="2">
        <v>4</v>
      </c>
      <c r="BD391" s="2">
        <v>8</v>
      </c>
      <c r="BE391" s="2">
        <v>2</v>
      </c>
      <c r="BF391" s="2">
        <v>5</v>
      </c>
      <c r="BG391" s="2">
        <v>5</v>
      </c>
      <c r="BH391" s="2">
        <v>5</v>
      </c>
      <c r="BI391" s="2">
        <v>7</v>
      </c>
      <c r="BJ391" s="2">
        <v>4</v>
      </c>
      <c r="BK391" s="2">
        <v>5</v>
      </c>
      <c r="BL391" s="2">
        <v>9</v>
      </c>
      <c r="BM391" s="2">
        <v>6</v>
      </c>
      <c r="BN391" s="2">
        <v>7</v>
      </c>
      <c r="BO391" s="2">
        <v>3</v>
      </c>
      <c r="BP391" s="2">
        <v>4</v>
      </c>
      <c r="BQ391" s="2">
        <v>7</v>
      </c>
      <c r="BR391" s="2">
        <v>8</v>
      </c>
      <c r="BS391" s="2">
        <v>4</v>
      </c>
      <c r="BT391" s="2">
        <v>4</v>
      </c>
      <c r="BU391" s="2">
        <v>7</v>
      </c>
      <c r="BV391" s="2">
        <f t="shared" ref="BV391:BV454" si="29">SUM(BC391:BU391)</f>
        <v>104</v>
      </c>
      <c r="BW391" s="16">
        <f t="shared" si="27"/>
        <v>5.4736842105263159</v>
      </c>
      <c r="BX391" s="16">
        <f>COUNTIF($BC$6:BU391, "=0") / COUNTIF($BC$6:BU391, "&gt;-1")</f>
        <v>9.776383965094082E-2</v>
      </c>
      <c r="BY391" s="18">
        <f>SUM($BC$6:BU391) / $BY$4</f>
        <v>0.80702212479594237</v>
      </c>
      <c r="BZ391" s="14">
        <f t="shared" si="28"/>
        <v>0</v>
      </c>
      <c r="CA391" t="s">
        <v>5831</v>
      </c>
      <c r="CB391" s="36">
        <v>4.8465735833389196</v>
      </c>
      <c r="CC391" s="36">
        <v>7.7045129654195703</v>
      </c>
      <c r="CD391" s="36">
        <v>3.2015953236245198</v>
      </c>
      <c r="CE391" s="36">
        <v>7.5596087957661497</v>
      </c>
      <c r="CF391" s="36">
        <v>4.3008817996844604</v>
      </c>
      <c r="CG391" s="36">
        <v>4.6486362331974602</v>
      </c>
      <c r="CH391" s="36">
        <v>7.3784359800524904</v>
      </c>
      <c r="CI391" s="36">
        <v>3.8927343919292201</v>
      </c>
      <c r="CJ391" s="37">
        <v>3.9737914662247902</v>
      </c>
      <c r="CK391" s="37">
        <v>3.7838978813297102</v>
      </c>
      <c r="CL391" s="37">
        <v>5.6003804378713999</v>
      </c>
      <c r="CM391" s="37">
        <v>2.5396411397998202</v>
      </c>
      <c r="CN391" s="37">
        <v>6.4315479607058004</v>
      </c>
      <c r="CO391" s="37">
        <v>6.3135245630809997</v>
      </c>
      <c r="CP391" s="37">
        <v>6.0341601914496898</v>
      </c>
      <c r="CQ391" s="37">
        <v>10.658457925322301</v>
      </c>
      <c r="CR391" s="45">
        <v>-2.0404393828006601E-2</v>
      </c>
      <c r="CS391" s="45">
        <v>1.0414036101170301</v>
      </c>
      <c r="CT391" s="46">
        <v>1</v>
      </c>
      <c r="CU391" s="47">
        <v>1</v>
      </c>
      <c r="CV391" s="48">
        <v>5.4416223841265996</v>
      </c>
      <c r="CW391" s="49">
        <v>5.6669251957230697</v>
      </c>
      <c r="CX391" s="31" t="s">
        <v>5874</v>
      </c>
      <c r="CY391" s="31" t="s">
        <v>5832</v>
      </c>
      <c r="CZ391" t="s">
        <v>6922</v>
      </c>
      <c r="DA391" t="s">
        <v>5904</v>
      </c>
      <c r="DB391">
        <v>479.9</v>
      </c>
      <c r="DC391" t="s">
        <v>17103</v>
      </c>
      <c r="DD391" t="s">
        <v>13772</v>
      </c>
      <c r="DE391" t="s">
        <v>17104</v>
      </c>
      <c r="DF391" t="s">
        <v>17105</v>
      </c>
      <c r="DG391" t="s">
        <v>17106</v>
      </c>
      <c r="DH391" t="str">
        <f>"IGFBP3"</f>
        <v>IGFBP3</v>
      </c>
      <c r="DI391" t="s">
        <v>17107</v>
      </c>
      <c r="DJ391" t="s">
        <v>13777</v>
      </c>
      <c r="DK391">
        <v>9606</v>
      </c>
      <c r="DL391" s="34" t="str">
        <f>HYPERLINK("http://www.uniprot.org/uniprot/P17936", "P17936")</f>
        <v>P17936</v>
      </c>
      <c r="DM391" t="s">
        <v>17108</v>
      </c>
      <c r="DN391" t="s">
        <v>17109</v>
      </c>
      <c r="DO391" t="s">
        <v>14321</v>
      </c>
      <c r="DP391" t="s">
        <v>13780</v>
      </c>
      <c r="DQ391" t="s">
        <v>13772</v>
      </c>
      <c r="DR391" t="s">
        <v>13772</v>
      </c>
      <c r="DS391" t="s">
        <v>13808</v>
      </c>
      <c r="DT391" t="s">
        <v>13772</v>
      </c>
      <c r="DU391" t="s">
        <v>16896</v>
      </c>
      <c r="DV391" t="s">
        <v>13964</v>
      </c>
      <c r="DW391" t="s">
        <v>13772</v>
      </c>
      <c r="DX391" t="s">
        <v>17110</v>
      </c>
      <c r="DY391" t="s">
        <v>17111</v>
      </c>
      <c r="DZ391" t="s">
        <v>17112</v>
      </c>
      <c r="EA391" t="s">
        <v>13772</v>
      </c>
      <c r="EB391" t="s">
        <v>17113</v>
      </c>
    </row>
    <row r="392" spans="1:132" hidden="1">
      <c r="A392">
        <v>1032</v>
      </c>
      <c r="B392">
        <v>1</v>
      </c>
      <c r="C392" t="s">
        <v>2498</v>
      </c>
      <c r="D392" t="s">
        <v>73</v>
      </c>
      <c r="E392" t="s">
        <v>73</v>
      </c>
      <c r="F392" t="s">
        <v>73</v>
      </c>
      <c r="G392" t="s">
        <v>73</v>
      </c>
      <c r="H392">
        <v>47.1</v>
      </c>
      <c r="I392">
        <v>558</v>
      </c>
      <c r="J392">
        <v>62726</v>
      </c>
      <c r="K392" t="s">
        <v>2499</v>
      </c>
      <c r="L392">
        <f t="shared" si="26"/>
        <v>104</v>
      </c>
      <c r="N392">
        <v>104</v>
      </c>
      <c r="O392">
        <v>104</v>
      </c>
      <c r="P392">
        <v>1</v>
      </c>
      <c r="Q392">
        <v>1</v>
      </c>
      <c r="R392">
        <v>2</v>
      </c>
      <c r="S392">
        <v>0</v>
      </c>
      <c r="T392">
        <v>3</v>
      </c>
      <c r="U392">
        <v>1</v>
      </c>
      <c r="V392">
        <v>3</v>
      </c>
      <c r="W392">
        <v>0</v>
      </c>
      <c r="X392">
        <v>2</v>
      </c>
      <c r="Y392">
        <v>9</v>
      </c>
      <c r="Z392">
        <v>16</v>
      </c>
      <c r="AA392">
        <v>0</v>
      </c>
      <c r="AB392">
        <v>0</v>
      </c>
      <c r="AC392">
        <v>21</v>
      </c>
      <c r="AD392">
        <v>16</v>
      </c>
      <c r="AE392">
        <v>6</v>
      </c>
      <c r="AF392">
        <v>11</v>
      </c>
      <c r="AG392">
        <v>8</v>
      </c>
      <c r="AH392">
        <v>3</v>
      </c>
      <c r="AI392">
        <v>2</v>
      </c>
      <c r="AJ392">
        <v>1</v>
      </c>
      <c r="AK392">
        <v>2</v>
      </c>
      <c r="AL392">
        <v>0</v>
      </c>
      <c r="AM392">
        <v>3</v>
      </c>
      <c r="AN392">
        <v>1</v>
      </c>
      <c r="AO392">
        <v>3</v>
      </c>
      <c r="AP392">
        <v>0</v>
      </c>
      <c r="AQ392">
        <v>2</v>
      </c>
      <c r="AR392">
        <v>9</v>
      </c>
      <c r="AS392">
        <v>16</v>
      </c>
      <c r="AT392">
        <v>0</v>
      </c>
      <c r="AU392">
        <v>0</v>
      </c>
      <c r="AV392">
        <v>21</v>
      </c>
      <c r="AW392">
        <v>16</v>
      </c>
      <c r="AX392">
        <v>6</v>
      </c>
      <c r="AY392">
        <v>11</v>
      </c>
      <c r="AZ392">
        <v>8</v>
      </c>
      <c r="BA392">
        <v>3</v>
      </c>
      <c r="BB392">
        <v>2</v>
      </c>
      <c r="BC392" s="2">
        <v>1</v>
      </c>
      <c r="BD392" s="2">
        <v>2</v>
      </c>
      <c r="BE392" s="2">
        <v>0</v>
      </c>
      <c r="BF392" s="2">
        <v>3</v>
      </c>
      <c r="BG392" s="2">
        <v>1</v>
      </c>
      <c r="BH392" s="2">
        <v>3</v>
      </c>
      <c r="BI392" s="2">
        <v>0</v>
      </c>
      <c r="BJ392" s="2">
        <v>2</v>
      </c>
      <c r="BK392" s="2">
        <v>9</v>
      </c>
      <c r="BL392" s="2">
        <v>16</v>
      </c>
      <c r="BM392" s="2">
        <v>0</v>
      </c>
      <c r="BN392" s="2">
        <v>0</v>
      </c>
      <c r="BO392" s="2">
        <v>21</v>
      </c>
      <c r="BP392" s="2">
        <v>16</v>
      </c>
      <c r="BQ392" s="2">
        <v>6</v>
      </c>
      <c r="BR392" s="2">
        <v>11</v>
      </c>
      <c r="BS392" s="2">
        <v>8</v>
      </c>
      <c r="BT392" s="2">
        <v>3</v>
      </c>
      <c r="BU392" s="2">
        <v>2</v>
      </c>
      <c r="BV392" s="2">
        <f t="shared" si="29"/>
        <v>104</v>
      </c>
      <c r="BW392" s="16">
        <f t="shared" si="27"/>
        <v>5.4736842105263159</v>
      </c>
      <c r="BX392" s="16">
        <f>COUNTIF($BC$6:BU392, "=0") / COUNTIF($BC$6:BU392, "&gt;-1")</f>
        <v>9.8055215558275538E-2</v>
      </c>
      <c r="BY392" s="18">
        <f>SUM($BC$6:BU392) / $BY$4</f>
        <v>0.8074676230302873</v>
      </c>
      <c r="BZ392" s="14">
        <f t="shared" si="28"/>
        <v>4</v>
      </c>
      <c r="CA392" t="s">
        <v>5831</v>
      </c>
      <c r="CB392" s="36">
        <v>1.2116433958347299</v>
      </c>
      <c r="CC392" s="36">
        <v>1.9261282413548899</v>
      </c>
      <c r="CD392" s="36">
        <v>0.40019941545306398</v>
      </c>
      <c r="CE392" s="36">
        <v>4.5357652774596904</v>
      </c>
      <c r="CF392" s="36">
        <v>0.86017635993689201</v>
      </c>
      <c r="CG392" s="36">
        <v>2.7891817399184702</v>
      </c>
      <c r="CH392" s="36">
        <v>0.26351557071616</v>
      </c>
      <c r="CI392" s="36">
        <v>1.9463671959646101</v>
      </c>
      <c r="CJ392" s="37">
        <v>7.1528246392046197</v>
      </c>
      <c r="CK392" s="37">
        <v>0.15766241172207099</v>
      </c>
      <c r="CL392" s="37">
        <v>0.200013587066836</v>
      </c>
      <c r="CM392" s="37">
        <v>17.777487978598799</v>
      </c>
      <c r="CN392" s="37">
        <v>5.5127553948906796</v>
      </c>
      <c r="CO392" s="37">
        <v>8.6810962742363706</v>
      </c>
      <c r="CP392" s="37">
        <v>12.068320382899399</v>
      </c>
      <c r="CQ392" s="37">
        <v>3.0452736929492299</v>
      </c>
      <c r="CR392" s="45">
        <v>1.9037700172540899</v>
      </c>
      <c r="CS392" s="45">
        <v>3.9184327650187898</v>
      </c>
      <c r="CT392" s="46">
        <v>7.7712949864297901E-3</v>
      </c>
      <c r="CU392" s="47">
        <v>1.4603922320004299E-2</v>
      </c>
      <c r="CV392" s="48">
        <v>1.7416221495798101</v>
      </c>
      <c r="CW392" s="49">
        <v>6.8244292951959897</v>
      </c>
      <c r="CX392" s="31" t="s">
        <v>5874</v>
      </c>
      <c r="CY392" s="31" t="s">
        <v>5878</v>
      </c>
      <c r="CZ392" t="s">
        <v>9220</v>
      </c>
      <c r="DA392" t="s">
        <v>5904</v>
      </c>
      <c r="DB392">
        <v>1008.8</v>
      </c>
      <c r="DC392" t="s">
        <v>23921</v>
      </c>
      <c r="DD392" t="s">
        <v>23922</v>
      </c>
      <c r="DE392" t="s">
        <v>23923</v>
      </c>
      <c r="DF392" t="s">
        <v>23924</v>
      </c>
      <c r="DG392" t="s">
        <v>23925</v>
      </c>
      <c r="DH392" t="str">
        <f>"HABP2"</f>
        <v>HABP2</v>
      </c>
      <c r="DI392" t="s">
        <v>23926</v>
      </c>
      <c r="DJ392" t="s">
        <v>13777</v>
      </c>
      <c r="DK392">
        <v>9606</v>
      </c>
      <c r="DL392" s="34" t="str">
        <f>HYPERLINK("http://www.uniprot.org/uniprot/Q14520", "Q14520")</f>
        <v>Q14520</v>
      </c>
      <c r="DM392" t="s">
        <v>23927</v>
      </c>
      <c r="DN392" t="s">
        <v>13772</v>
      </c>
      <c r="DO392" t="s">
        <v>14321</v>
      </c>
      <c r="DP392" t="s">
        <v>13780</v>
      </c>
      <c r="DQ392" t="s">
        <v>13772</v>
      </c>
      <c r="DR392" t="s">
        <v>13772</v>
      </c>
      <c r="DS392" t="s">
        <v>23928</v>
      </c>
      <c r="DT392" t="s">
        <v>13772</v>
      </c>
      <c r="DU392" t="s">
        <v>15176</v>
      </c>
      <c r="DV392" t="s">
        <v>14629</v>
      </c>
      <c r="DW392" t="s">
        <v>13772</v>
      </c>
      <c r="DX392" t="s">
        <v>23929</v>
      </c>
      <c r="DY392" t="s">
        <v>22023</v>
      </c>
      <c r="DZ392" t="s">
        <v>23930</v>
      </c>
      <c r="EA392" t="s">
        <v>13772</v>
      </c>
      <c r="EB392" t="s">
        <v>13772</v>
      </c>
    </row>
    <row r="393" spans="1:132" hidden="1">
      <c r="A393">
        <v>1747</v>
      </c>
      <c r="B393">
        <v>1</v>
      </c>
      <c r="C393" t="s">
        <v>4132</v>
      </c>
      <c r="D393" t="s">
        <v>4133</v>
      </c>
      <c r="E393" t="s">
        <v>73</v>
      </c>
      <c r="F393" t="s">
        <v>73</v>
      </c>
      <c r="G393" t="s">
        <v>73</v>
      </c>
      <c r="H393">
        <v>25.7</v>
      </c>
      <c r="I393">
        <v>627</v>
      </c>
      <c r="J393">
        <v>67917</v>
      </c>
      <c r="K393" t="s">
        <v>4134</v>
      </c>
      <c r="L393">
        <f t="shared" si="26"/>
        <v>104</v>
      </c>
      <c r="N393">
        <v>104</v>
      </c>
      <c r="O393">
        <v>104</v>
      </c>
      <c r="P393">
        <v>1</v>
      </c>
      <c r="Q393">
        <v>5</v>
      </c>
      <c r="R393">
        <v>12</v>
      </c>
      <c r="S393">
        <v>15</v>
      </c>
      <c r="T393">
        <v>15</v>
      </c>
      <c r="U393">
        <v>17</v>
      </c>
      <c r="V393">
        <v>9</v>
      </c>
      <c r="W393">
        <v>8</v>
      </c>
      <c r="X393">
        <v>11</v>
      </c>
      <c r="Y393">
        <v>0</v>
      </c>
      <c r="Z393">
        <v>0</v>
      </c>
      <c r="AA393">
        <v>1</v>
      </c>
      <c r="AB393">
        <v>3</v>
      </c>
      <c r="AC393">
        <v>0</v>
      </c>
      <c r="AD393">
        <v>0</v>
      </c>
      <c r="AE393">
        <v>2</v>
      </c>
      <c r="AF393">
        <v>3</v>
      </c>
      <c r="AG393">
        <v>0</v>
      </c>
      <c r="AH393">
        <v>1</v>
      </c>
      <c r="AI393">
        <v>2</v>
      </c>
      <c r="AJ393">
        <v>5</v>
      </c>
      <c r="AK393">
        <v>12</v>
      </c>
      <c r="AL393">
        <v>15</v>
      </c>
      <c r="AM393">
        <v>15</v>
      </c>
      <c r="AN393">
        <v>17</v>
      </c>
      <c r="AO393">
        <v>9</v>
      </c>
      <c r="AP393">
        <v>8</v>
      </c>
      <c r="AQ393">
        <v>11</v>
      </c>
      <c r="AR393">
        <v>0</v>
      </c>
      <c r="AS393">
        <v>0</v>
      </c>
      <c r="AT393">
        <v>1</v>
      </c>
      <c r="AU393">
        <v>3</v>
      </c>
      <c r="AV393">
        <v>0</v>
      </c>
      <c r="AW393">
        <v>0</v>
      </c>
      <c r="AX393">
        <v>2</v>
      </c>
      <c r="AY393">
        <v>3</v>
      </c>
      <c r="AZ393">
        <v>0</v>
      </c>
      <c r="BA393">
        <v>1</v>
      </c>
      <c r="BB393">
        <v>2</v>
      </c>
      <c r="BC393" s="2">
        <v>5</v>
      </c>
      <c r="BD393" s="2">
        <v>12</v>
      </c>
      <c r="BE393" s="2">
        <v>15</v>
      </c>
      <c r="BF393" s="2">
        <v>15</v>
      </c>
      <c r="BG393" s="2">
        <v>17</v>
      </c>
      <c r="BH393" s="2">
        <v>9</v>
      </c>
      <c r="BI393" s="2">
        <v>8</v>
      </c>
      <c r="BJ393" s="2">
        <v>11</v>
      </c>
      <c r="BK393" s="2">
        <v>0</v>
      </c>
      <c r="BL393" s="2">
        <v>0</v>
      </c>
      <c r="BM393" s="2">
        <v>1</v>
      </c>
      <c r="BN393" s="2">
        <v>3</v>
      </c>
      <c r="BO393" s="2">
        <v>0</v>
      </c>
      <c r="BP393" s="2">
        <v>0</v>
      </c>
      <c r="BQ393" s="2">
        <v>2</v>
      </c>
      <c r="BR393" s="2">
        <v>3</v>
      </c>
      <c r="BS393" s="2">
        <v>0</v>
      </c>
      <c r="BT393" s="2">
        <v>1</v>
      </c>
      <c r="BU393" s="2">
        <v>2</v>
      </c>
      <c r="BV393" s="2">
        <f t="shared" si="29"/>
        <v>104</v>
      </c>
      <c r="BW393" s="16">
        <f t="shared" si="27"/>
        <v>5.4736842105263159</v>
      </c>
      <c r="BX393" s="16">
        <f>COUNTIF($BC$6:BU393, "=0") / COUNTIF($BC$6:BU393, "&gt;-1")</f>
        <v>9.8480737927292464E-2</v>
      </c>
      <c r="BY393" s="18">
        <f>SUM($BC$6:BU393) / $BY$4</f>
        <v>0.80791312126463211</v>
      </c>
      <c r="BZ393" s="14">
        <f t="shared" si="28"/>
        <v>5</v>
      </c>
      <c r="CA393" t="s">
        <v>5831</v>
      </c>
      <c r="CB393" s="36">
        <v>6.0582169791736504</v>
      </c>
      <c r="CC393" s="36">
        <v>11.556769448129399</v>
      </c>
      <c r="CD393" s="36">
        <v>24.0119649271839</v>
      </c>
      <c r="CE393" s="36">
        <v>22.6788263872984</v>
      </c>
      <c r="CF393" s="36">
        <v>14.6229981189272</v>
      </c>
      <c r="CG393" s="36">
        <v>8.3675452197554208</v>
      </c>
      <c r="CH393" s="36">
        <v>8.4324982629171306</v>
      </c>
      <c r="CI393" s="36">
        <v>10.7050195778054</v>
      </c>
      <c r="CJ393" s="37">
        <v>0.19868957331123899</v>
      </c>
      <c r="CK393" s="37">
        <v>0.63064964688828595</v>
      </c>
      <c r="CL393" s="37">
        <v>2.4001630448020301</v>
      </c>
      <c r="CM393" s="37">
        <v>0.21163676164998499</v>
      </c>
      <c r="CN393" s="37">
        <v>1.8375851316302301</v>
      </c>
      <c r="CO393" s="37">
        <v>2.36757171115537</v>
      </c>
      <c r="CP393" s="37">
        <v>0.377135011965606</v>
      </c>
      <c r="CQ393" s="37">
        <v>3.0452736929492299</v>
      </c>
      <c r="CR393" s="45">
        <v>-3.1770571849664</v>
      </c>
      <c r="CS393" s="45">
        <v>-9.6157448422478708</v>
      </c>
      <c r="CT393" s="46">
        <v>1.63696107628405E-10</v>
      </c>
      <c r="CU393" s="47">
        <v>2.6074451429381699E-9</v>
      </c>
      <c r="CV393" s="48">
        <v>13.3042298651488</v>
      </c>
      <c r="CW393" s="49">
        <v>1.3835880717939999</v>
      </c>
      <c r="CX393" s="31" t="s">
        <v>5875</v>
      </c>
      <c r="CY393" s="31" t="s">
        <v>5876</v>
      </c>
      <c r="CZ393" t="s">
        <v>11575</v>
      </c>
      <c r="DA393" t="s">
        <v>5900</v>
      </c>
      <c r="DB393">
        <v>362.8</v>
      </c>
      <c r="DC393" t="s">
        <v>30547</v>
      </c>
      <c r="DD393" t="s">
        <v>30548</v>
      </c>
      <c r="DE393" t="s">
        <v>30549</v>
      </c>
      <c r="DF393" t="s">
        <v>30550</v>
      </c>
      <c r="DG393" t="s">
        <v>30551</v>
      </c>
      <c r="DH393" t="str">
        <f>"CD55"</f>
        <v>CD55</v>
      </c>
      <c r="DI393" t="s">
        <v>30552</v>
      </c>
      <c r="DJ393" t="s">
        <v>13777</v>
      </c>
      <c r="DK393">
        <v>9606</v>
      </c>
      <c r="DL393" s="34" t="str">
        <f>HYPERLINK("http://www.uniprot.org/uniprot/P08174", "P08174")</f>
        <v>P08174</v>
      </c>
      <c r="DM393" t="s">
        <v>30553</v>
      </c>
      <c r="DN393" t="s">
        <v>25999</v>
      </c>
      <c r="DO393" t="s">
        <v>14336</v>
      </c>
      <c r="DP393" t="s">
        <v>13780</v>
      </c>
      <c r="DQ393" t="s">
        <v>13772</v>
      </c>
      <c r="DR393" t="s">
        <v>13807</v>
      </c>
      <c r="DS393" t="s">
        <v>28012</v>
      </c>
      <c r="DT393" t="s">
        <v>13772</v>
      </c>
      <c r="DU393" t="s">
        <v>30554</v>
      </c>
      <c r="DV393" t="s">
        <v>15699</v>
      </c>
      <c r="DW393" t="s">
        <v>13812</v>
      </c>
      <c r="DX393" t="s">
        <v>30555</v>
      </c>
      <c r="DY393" t="s">
        <v>30556</v>
      </c>
      <c r="DZ393" t="s">
        <v>30557</v>
      </c>
      <c r="EA393" t="s">
        <v>13772</v>
      </c>
      <c r="EB393" t="s">
        <v>30558</v>
      </c>
    </row>
    <row r="394" spans="1:132" hidden="1">
      <c r="A394">
        <v>893</v>
      </c>
      <c r="B394">
        <v>1</v>
      </c>
      <c r="C394" t="s">
        <v>2182</v>
      </c>
      <c r="D394" t="s">
        <v>73</v>
      </c>
      <c r="E394" t="s">
        <v>73</v>
      </c>
      <c r="F394" t="s">
        <v>73</v>
      </c>
      <c r="G394" t="s">
        <v>73</v>
      </c>
      <c r="H394">
        <v>50</v>
      </c>
      <c r="I394">
        <v>134</v>
      </c>
      <c r="J394">
        <v>15718</v>
      </c>
      <c r="K394" t="s">
        <v>2183</v>
      </c>
      <c r="L394">
        <f t="shared" si="26"/>
        <v>103</v>
      </c>
      <c r="N394">
        <v>103</v>
      </c>
      <c r="O394">
        <v>103</v>
      </c>
      <c r="P394">
        <v>1</v>
      </c>
      <c r="Q394">
        <v>3</v>
      </c>
      <c r="R394">
        <v>0</v>
      </c>
      <c r="S394">
        <v>3</v>
      </c>
      <c r="T394">
        <v>1</v>
      </c>
      <c r="U394">
        <v>1</v>
      </c>
      <c r="V394">
        <v>0</v>
      </c>
      <c r="W394">
        <v>0</v>
      </c>
      <c r="X394">
        <v>9</v>
      </c>
      <c r="Y394">
        <v>5</v>
      </c>
      <c r="Z394">
        <v>1</v>
      </c>
      <c r="AA394">
        <v>8</v>
      </c>
      <c r="AB394">
        <v>13</v>
      </c>
      <c r="AC394">
        <v>5</v>
      </c>
      <c r="AD394">
        <v>1</v>
      </c>
      <c r="AE394">
        <v>4</v>
      </c>
      <c r="AF394">
        <v>34</v>
      </c>
      <c r="AG394">
        <v>3</v>
      </c>
      <c r="AH394">
        <v>5</v>
      </c>
      <c r="AI394">
        <v>7</v>
      </c>
      <c r="AJ394">
        <v>3</v>
      </c>
      <c r="AK394">
        <v>0</v>
      </c>
      <c r="AL394">
        <v>3</v>
      </c>
      <c r="AM394">
        <v>1</v>
      </c>
      <c r="AN394">
        <v>1</v>
      </c>
      <c r="AO394">
        <v>0</v>
      </c>
      <c r="AP394">
        <v>0</v>
      </c>
      <c r="AQ394">
        <v>9</v>
      </c>
      <c r="AR394">
        <v>5</v>
      </c>
      <c r="AS394">
        <v>1</v>
      </c>
      <c r="AT394">
        <v>8</v>
      </c>
      <c r="AU394">
        <v>13</v>
      </c>
      <c r="AV394">
        <v>5</v>
      </c>
      <c r="AW394">
        <v>1</v>
      </c>
      <c r="AX394">
        <v>4</v>
      </c>
      <c r="AY394">
        <v>34</v>
      </c>
      <c r="AZ394">
        <v>3</v>
      </c>
      <c r="BA394">
        <v>5</v>
      </c>
      <c r="BB394">
        <v>7</v>
      </c>
      <c r="BC394" s="2">
        <v>3</v>
      </c>
      <c r="BD394" s="2">
        <v>0</v>
      </c>
      <c r="BE394" s="2">
        <v>3</v>
      </c>
      <c r="BF394" s="2">
        <v>1</v>
      </c>
      <c r="BG394" s="2">
        <v>1</v>
      </c>
      <c r="BH394" s="2">
        <v>0</v>
      </c>
      <c r="BI394" s="2">
        <v>0</v>
      </c>
      <c r="BJ394" s="2">
        <v>9</v>
      </c>
      <c r="BK394" s="2">
        <v>5</v>
      </c>
      <c r="BL394" s="2">
        <v>1</v>
      </c>
      <c r="BM394" s="2">
        <v>8</v>
      </c>
      <c r="BN394" s="2">
        <v>13</v>
      </c>
      <c r="BO394" s="2">
        <v>5</v>
      </c>
      <c r="BP394" s="2">
        <v>1</v>
      </c>
      <c r="BQ394" s="2">
        <v>4</v>
      </c>
      <c r="BR394" s="2">
        <v>34</v>
      </c>
      <c r="BS394" s="2">
        <v>3</v>
      </c>
      <c r="BT394" s="2">
        <v>5</v>
      </c>
      <c r="BU394" s="2">
        <v>7</v>
      </c>
      <c r="BV394" s="2">
        <f t="shared" si="29"/>
        <v>103</v>
      </c>
      <c r="BW394" s="16">
        <f t="shared" si="27"/>
        <v>5.4210526315789478</v>
      </c>
      <c r="BX394" s="16">
        <f>COUNTIF($BC$6:BU394, "=0") / COUNTIF($BC$6:BU394, "&gt;-1")</f>
        <v>9.8633473143011768E-2</v>
      </c>
      <c r="BY394" s="18">
        <f>SUM($BC$6:BU394) / $BY$4</f>
        <v>0.80835433586210825</v>
      </c>
      <c r="BZ394" s="14">
        <f t="shared" si="28"/>
        <v>3</v>
      </c>
      <c r="CA394" t="s">
        <v>5831</v>
      </c>
      <c r="CB394" s="36">
        <v>3.6349301875041902</v>
      </c>
      <c r="CC394" s="36">
        <v>0.24076603016936199</v>
      </c>
      <c r="CD394" s="36">
        <v>4.8023929854367697</v>
      </c>
      <c r="CE394" s="36">
        <v>1.5119217591532299</v>
      </c>
      <c r="CF394" s="36">
        <v>0.86017635993689201</v>
      </c>
      <c r="CG394" s="36">
        <v>0.23243181165987301</v>
      </c>
      <c r="CH394" s="36">
        <v>0.26351557071616</v>
      </c>
      <c r="CI394" s="36">
        <v>8.7586523818407507</v>
      </c>
      <c r="CJ394" s="37">
        <v>3.9737914662247902</v>
      </c>
      <c r="CK394" s="37">
        <v>5.0451971751062796</v>
      </c>
      <c r="CL394" s="37">
        <v>10.400706527475499</v>
      </c>
      <c r="CM394" s="37">
        <v>4.2327352329997003</v>
      </c>
      <c r="CN394" s="37">
        <v>3.6751702632604601</v>
      </c>
      <c r="CO394" s="37">
        <v>26.8324793930942</v>
      </c>
      <c r="CP394" s="37">
        <v>4.5256201435872701</v>
      </c>
      <c r="CQ394" s="37">
        <v>10.658457925322301</v>
      </c>
      <c r="CR394" s="45">
        <v>1.7626084779328199</v>
      </c>
      <c r="CS394" s="45">
        <v>3.4151630269227402</v>
      </c>
      <c r="CT394" s="46">
        <v>7.37807534258632E-3</v>
      </c>
      <c r="CU394" s="47">
        <v>1.39828113433151E-2</v>
      </c>
      <c r="CV394" s="48">
        <v>2.53809838580215</v>
      </c>
      <c r="CW394" s="49">
        <v>8.6680197658838107</v>
      </c>
      <c r="CX394" s="31" t="s">
        <v>5874</v>
      </c>
      <c r="CY394" s="31" t="s">
        <v>5878</v>
      </c>
      <c r="CZ394" t="s">
        <v>8757</v>
      </c>
      <c r="DA394" t="s">
        <v>5904</v>
      </c>
      <c r="DB394">
        <v>247.3</v>
      </c>
      <c r="DC394" t="s">
        <v>22594</v>
      </c>
      <c r="DD394" t="s">
        <v>22595</v>
      </c>
      <c r="DE394" t="s">
        <v>22596</v>
      </c>
      <c r="DF394" t="s">
        <v>22597</v>
      </c>
      <c r="DG394" t="s">
        <v>22598</v>
      </c>
      <c r="DH394" t="str">
        <f>"RBP2"</f>
        <v>RBP2</v>
      </c>
      <c r="DI394" t="s">
        <v>22599</v>
      </c>
      <c r="DJ394" t="s">
        <v>13777</v>
      </c>
      <c r="DK394">
        <v>9606</v>
      </c>
      <c r="DL394" s="34" t="str">
        <f>HYPERLINK("http://www.uniprot.org/uniprot/P50120", "P50120")</f>
        <v>P50120</v>
      </c>
      <c r="DM394" t="s">
        <v>18428</v>
      </c>
      <c r="DN394" t="s">
        <v>14192</v>
      </c>
      <c r="DO394" t="s">
        <v>13899</v>
      </c>
      <c r="DP394" t="s">
        <v>13772</v>
      </c>
      <c r="DQ394" t="s">
        <v>13772</v>
      </c>
      <c r="DR394" t="s">
        <v>13772</v>
      </c>
      <c r="DS394" t="s">
        <v>13772</v>
      </c>
      <c r="DT394" t="s">
        <v>15687</v>
      </c>
      <c r="DU394" t="s">
        <v>13772</v>
      </c>
      <c r="DV394" t="s">
        <v>13772</v>
      </c>
      <c r="DW394" t="s">
        <v>13812</v>
      </c>
      <c r="DX394" t="s">
        <v>22600</v>
      </c>
      <c r="DY394" t="s">
        <v>13902</v>
      </c>
      <c r="DZ394" t="s">
        <v>22601</v>
      </c>
      <c r="EA394" t="s">
        <v>13772</v>
      </c>
      <c r="EB394" t="s">
        <v>22602</v>
      </c>
    </row>
    <row r="395" spans="1:132" hidden="1">
      <c r="A395">
        <v>1978</v>
      </c>
      <c r="B395">
        <v>1</v>
      </c>
      <c r="C395" t="s">
        <v>4658</v>
      </c>
      <c r="D395" t="s">
        <v>73</v>
      </c>
      <c r="E395" t="s">
        <v>73</v>
      </c>
      <c r="F395" t="s">
        <v>73</v>
      </c>
      <c r="G395" t="s">
        <v>73</v>
      </c>
      <c r="H395">
        <v>60</v>
      </c>
      <c r="I395">
        <v>105</v>
      </c>
      <c r="J395">
        <v>11784</v>
      </c>
      <c r="K395" t="s">
        <v>4659</v>
      </c>
      <c r="L395">
        <f t="shared" si="26"/>
        <v>103</v>
      </c>
      <c r="N395">
        <v>103</v>
      </c>
      <c r="O395">
        <v>103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3</v>
      </c>
      <c r="X395">
        <v>10</v>
      </c>
      <c r="Y395">
        <v>15</v>
      </c>
      <c r="Z395">
        <v>2</v>
      </c>
      <c r="AA395">
        <v>9</v>
      </c>
      <c r="AB395">
        <v>8</v>
      </c>
      <c r="AC395">
        <v>9</v>
      </c>
      <c r="AD395">
        <v>1</v>
      </c>
      <c r="AE395">
        <v>19</v>
      </c>
      <c r="AF395">
        <v>18</v>
      </c>
      <c r="AG395">
        <v>3</v>
      </c>
      <c r="AH395">
        <v>1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3</v>
      </c>
      <c r="AP395">
        <v>3</v>
      </c>
      <c r="AQ395">
        <v>10</v>
      </c>
      <c r="AR395">
        <v>15</v>
      </c>
      <c r="AS395">
        <v>2</v>
      </c>
      <c r="AT395">
        <v>9</v>
      </c>
      <c r="AU395">
        <v>8</v>
      </c>
      <c r="AV395">
        <v>9</v>
      </c>
      <c r="AW395">
        <v>1</v>
      </c>
      <c r="AX395">
        <v>19</v>
      </c>
      <c r="AY395">
        <v>18</v>
      </c>
      <c r="AZ395">
        <v>3</v>
      </c>
      <c r="BA395">
        <v>1</v>
      </c>
      <c r="BB395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3</v>
      </c>
      <c r="BI395" s="2">
        <v>3</v>
      </c>
      <c r="BJ395" s="2">
        <v>10</v>
      </c>
      <c r="BK395" s="2">
        <v>15</v>
      </c>
      <c r="BL395" s="2">
        <v>2</v>
      </c>
      <c r="BM395" s="2">
        <v>9</v>
      </c>
      <c r="BN395" s="2">
        <v>8</v>
      </c>
      <c r="BO395" s="2">
        <v>9</v>
      </c>
      <c r="BP395" s="2">
        <v>1</v>
      </c>
      <c r="BQ395" s="2">
        <v>19</v>
      </c>
      <c r="BR395" s="2">
        <v>18</v>
      </c>
      <c r="BS395" s="2">
        <v>3</v>
      </c>
      <c r="BT395" s="2">
        <v>1</v>
      </c>
      <c r="BU395" s="2">
        <v>1</v>
      </c>
      <c r="BV395" s="2">
        <f t="shared" si="29"/>
        <v>103</v>
      </c>
      <c r="BW395" s="16">
        <f t="shared" si="27"/>
        <v>5.4210526315789478</v>
      </c>
      <c r="BX395" s="16">
        <f>COUNTIF($BC$6:BU395, "=0") / COUNTIF($BC$6:BU395, "&gt;-1")</f>
        <v>9.8920377867746295E-2</v>
      </c>
      <c r="BY395" s="18">
        <f>SUM($BC$6:BU395) / $BY$4</f>
        <v>0.8087955504595844</v>
      </c>
      <c r="BZ395" s="14">
        <f t="shared" si="28"/>
        <v>4</v>
      </c>
      <c r="CA395" t="s">
        <v>5831</v>
      </c>
      <c r="CB395" s="36">
        <v>1.2116433958347299</v>
      </c>
      <c r="CC395" s="36">
        <v>0.24076603016936199</v>
      </c>
      <c r="CD395" s="36">
        <v>0.40019941545306398</v>
      </c>
      <c r="CE395" s="36">
        <v>0.37798043978830698</v>
      </c>
      <c r="CF395" s="36">
        <v>0.215044089984223</v>
      </c>
      <c r="CG395" s="36">
        <v>2.7891817399184702</v>
      </c>
      <c r="CH395" s="36">
        <v>3.1621868485939202</v>
      </c>
      <c r="CI395" s="36">
        <v>9.7318359798230603</v>
      </c>
      <c r="CJ395" s="37">
        <v>11.9213743986744</v>
      </c>
      <c r="CK395" s="37">
        <v>5.6758468219945701</v>
      </c>
      <c r="CL395" s="37">
        <v>6.4004347861387396</v>
      </c>
      <c r="CM395" s="37">
        <v>7.6189234193994704</v>
      </c>
      <c r="CN395" s="37">
        <v>17.457058750487199</v>
      </c>
      <c r="CO395" s="37">
        <v>14.2054302669323</v>
      </c>
      <c r="CP395" s="37">
        <v>4.5256201435872701</v>
      </c>
      <c r="CQ395" s="37">
        <v>1.5226368464746201</v>
      </c>
      <c r="CR395" s="45">
        <v>1.84297721894781</v>
      </c>
      <c r="CS395" s="45">
        <v>3.8241461292113801</v>
      </c>
      <c r="CT395" s="46">
        <v>2.2436475542641902E-3</v>
      </c>
      <c r="CU395" s="47">
        <v>4.6470594854574098E-3</v>
      </c>
      <c r="CV395" s="48">
        <v>2.26610474244564</v>
      </c>
      <c r="CW395" s="49">
        <v>8.6659156792110608</v>
      </c>
      <c r="CX395" s="31" t="s">
        <v>5874</v>
      </c>
      <c r="CY395" s="31" t="s">
        <v>5876</v>
      </c>
      <c r="CZ395" t="s">
        <v>12349</v>
      </c>
      <c r="DA395" t="s">
        <v>5904</v>
      </c>
      <c r="DB395">
        <v>208</v>
      </c>
      <c r="DC395" t="s">
        <v>32746</v>
      </c>
      <c r="DD395" t="s">
        <v>32747</v>
      </c>
      <c r="DE395" t="s">
        <v>32748</v>
      </c>
      <c r="DF395" t="s">
        <v>32749</v>
      </c>
      <c r="DG395" t="s">
        <v>32750</v>
      </c>
      <c r="DH395" t="str">
        <f>"TXN"</f>
        <v>TXN</v>
      </c>
      <c r="DI395" t="s">
        <v>32751</v>
      </c>
      <c r="DJ395" t="s">
        <v>13777</v>
      </c>
      <c r="DK395">
        <v>9606</v>
      </c>
      <c r="DL395" s="34" t="str">
        <f>HYPERLINK("http://www.uniprot.org/uniprot/P10599", "P10599")</f>
        <v>P10599</v>
      </c>
      <c r="DM395" t="s">
        <v>32752</v>
      </c>
      <c r="DN395" t="s">
        <v>32753</v>
      </c>
      <c r="DO395" t="s">
        <v>14276</v>
      </c>
      <c r="DP395" t="s">
        <v>13841</v>
      </c>
      <c r="DQ395" t="s">
        <v>13772</v>
      </c>
      <c r="DR395" t="s">
        <v>13772</v>
      </c>
      <c r="DS395" t="s">
        <v>18188</v>
      </c>
      <c r="DT395" t="s">
        <v>13772</v>
      </c>
      <c r="DU395" t="s">
        <v>21754</v>
      </c>
      <c r="DV395" t="s">
        <v>32754</v>
      </c>
      <c r="DW395" t="s">
        <v>13812</v>
      </c>
      <c r="DX395" t="s">
        <v>32755</v>
      </c>
      <c r="DY395" t="s">
        <v>18925</v>
      </c>
      <c r="DZ395" t="s">
        <v>32756</v>
      </c>
      <c r="EA395" t="s">
        <v>13772</v>
      </c>
      <c r="EB395" t="s">
        <v>32757</v>
      </c>
    </row>
    <row r="396" spans="1:132" hidden="1">
      <c r="A396">
        <v>2244</v>
      </c>
      <c r="B396">
        <v>1</v>
      </c>
      <c r="C396" t="s">
        <v>5249</v>
      </c>
      <c r="D396" t="s">
        <v>73</v>
      </c>
      <c r="E396" t="s">
        <v>73</v>
      </c>
      <c r="F396" t="s">
        <v>73</v>
      </c>
      <c r="G396" t="s">
        <v>73</v>
      </c>
      <c r="H396">
        <v>52.3</v>
      </c>
      <c r="I396">
        <v>130</v>
      </c>
      <c r="J396">
        <v>14162</v>
      </c>
      <c r="K396" t="s">
        <v>5250</v>
      </c>
      <c r="L396">
        <f t="shared" si="26"/>
        <v>103</v>
      </c>
      <c r="N396">
        <v>103</v>
      </c>
      <c r="O396">
        <v>103</v>
      </c>
      <c r="P396">
        <v>1</v>
      </c>
      <c r="Q396">
        <v>8</v>
      </c>
      <c r="R396">
        <v>17</v>
      </c>
      <c r="S396">
        <v>5</v>
      </c>
      <c r="T396">
        <v>7</v>
      </c>
      <c r="U396">
        <v>3</v>
      </c>
      <c r="V396">
        <v>9</v>
      </c>
      <c r="W396">
        <v>3</v>
      </c>
      <c r="X396">
        <v>6</v>
      </c>
      <c r="Y396">
        <v>5</v>
      </c>
      <c r="Z396">
        <v>0</v>
      </c>
      <c r="AA396">
        <v>5</v>
      </c>
      <c r="AB396">
        <v>3</v>
      </c>
      <c r="AC396">
        <v>4</v>
      </c>
      <c r="AD396">
        <v>0</v>
      </c>
      <c r="AE396">
        <v>8</v>
      </c>
      <c r="AF396">
        <v>10</v>
      </c>
      <c r="AG396">
        <v>4</v>
      </c>
      <c r="AH396">
        <v>0</v>
      </c>
      <c r="AI396">
        <v>6</v>
      </c>
      <c r="AJ396">
        <v>8</v>
      </c>
      <c r="AK396">
        <v>17</v>
      </c>
      <c r="AL396">
        <v>5</v>
      </c>
      <c r="AM396">
        <v>7</v>
      </c>
      <c r="AN396">
        <v>3</v>
      </c>
      <c r="AO396">
        <v>9</v>
      </c>
      <c r="AP396">
        <v>3</v>
      </c>
      <c r="AQ396">
        <v>6</v>
      </c>
      <c r="AR396">
        <v>5</v>
      </c>
      <c r="AS396">
        <v>0</v>
      </c>
      <c r="AT396">
        <v>5</v>
      </c>
      <c r="AU396">
        <v>3</v>
      </c>
      <c r="AV396">
        <v>4</v>
      </c>
      <c r="AW396">
        <v>0</v>
      </c>
      <c r="AX396">
        <v>8</v>
      </c>
      <c r="AY396">
        <v>10</v>
      </c>
      <c r="AZ396">
        <v>4</v>
      </c>
      <c r="BA396">
        <v>0</v>
      </c>
      <c r="BB396">
        <v>6</v>
      </c>
      <c r="BC396" s="2">
        <v>8</v>
      </c>
      <c r="BD396" s="2">
        <v>17</v>
      </c>
      <c r="BE396" s="2">
        <v>5</v>
      </c>
      <c r="BF396" s="2">
        <v>7</v>
      </c>
      <c r="BG396" s="2">
        <v>3</v>
      </c>
      <c r="BH396" s="2">
        <v>9</v>
      </c>
      <c r="BI396" s="2">
        <v>3</v>
      </c>
      <c r="BJ396" s="2">
        <v>6</v>
      </c>
      <c r="BK396" s="2">
        <v>5</v>
      </c>
      <c r="BL396" s="2">
        <v>0</v>
      </c>
      <c r="BM396" s="2">
        <v>5</v>
      </c>
      <c r="BN396" s="2">
        <v>3</v>
      </c>
      <c r="BO396" s="2">
        <v>4</v>
      </c>
      <c r="BP396" s="2">
        <v>0</v>
      </c>
      <c r="BQ396" s="2">
        <v>8</v>
      </c>
      <c r="BR396" s="2">
        <v>10</v>
      </c>
      <c r="BS396" s="2">
        <v>4</v>
      </c>
      <c r="BT396" s="2">
        <v>0</v>
      </c>
      <c r="BU396" s="2">
        <v>6</v>
      </c>
      <c r="BV396" s="2">
        <f t="shared" si="29"/>
        <v>103</v>
      </c>
      <c r="BW396" s="16">
        <f t="shared" si="27"/>
        <v>5.4210526315789478</v>
      </c>
      <c r="BX396" s="16">
        <f>COUNTIF($BC$6:BU396, "=0") / COUNTIF($BC$6:BU396, "&gt;-1")</f>
        <v>9.9071207430340563E-2</v>
      </c>
      <c r="BY396" s="18">
        <f>SUM($BC$6:BU396) / $BY$4</f>
        <v>0.80923676505706055</v>
      </c>
      <c r="BZ396" s="14">
        <f t="shared" si="28"/>
        <v>3</v>
      </c>
      <c r="CA396" t="s">
        <v>5831</v>
      </c>
      <c r="CB396" s="36">
        <v>9.6931471666778304</v>
      </c>
      <c r="CC396" s="36">
        <v>16.372090051516601</v>
      </c>
      <c r="CD396" s="36">
        <v>8.00398830906129</v>
      </c>
      <c r="CE396" s="36">
        <v>10.5834523140726</v>
      </c>
      <c r="CF396" s="36">
        <v>2.5805290798106801</v>
      </c>
      <c r="CG396" s="36">
        <v>8.3675452197554208</v>
      </c>
      <c r="CH396" s="36">
        <v>3.1621868485939202</v>
      </c>
      <c r="CI396" s="36">
        <v>5.8391015878938397</v>
      </c>
      <c r="CJ396" s="37">
        <v>3.9737914662247902</v>
      </c>
      <c r="CK396" s="37">
        <v>3.1532482344414299</v>
      </c>
      <c r="CL396" s="37">
        <v>2.4001630448020301</v>
      </c>
      <c r="CM396" s="37">
        <v>3.3861881863997598</v>
      </c>
      <c r="CN396" s="37">
        <v>7.3503405265209096</v>
      </c>
      <c r="CO396" s="37">
        <v>7.8919057038512497</v>
      </c>
      <c r="CP396" s="37">
        <v>6.0341601914496898</v>
      </c>
      <c r="CQ396" s="37">
        <v>9.1358210788476999</v>
      </c>
      <c r="CR396" s="45">
        <v>-0.605838083322636</v>
      </c>
      <c r="CS396" s="45">
        <v>-1.4910817875104101</v>
      </c>
      <c r="CT396" s="46">
        <v>0.18739473591424699</v>
      </c>
      <c r="CU396" s="47">
        <v>0.248251640250755</v>
      </c>
      <c r="CV396" s="48">
        <v>8.0752550721727694</v>
      </c>
      <c r="CW396" s="49">
        <v>5.4157023040671897</v>
      </c>
      <c r="CX396" s="31" t="s">
        <v>5875</v>
      </c>
      <c r="CY396" s="31" t="s">
        <v>5832</v>
      </c>
      <c r="CZ396" t="s">
        <v>13224</v>
      </c>
      <c r="DA396" t="s">
        <v>5904</v>
      </c>
      <c r="DB396">
        <v>165.2</v>
      </c>
      <c r="DC396" t="s">
        <v>35188</v>
      </c>
      <c r="DD396" t="s">
        <v>35189</v>
      </c>
      <c r="DE396" t="s">
        <v>35190</v>
      </c>
      <c r="DF396" t="s">
        <v>35191</v>
      </c>
      <c r="DG396" t="s">
        <v>35192</v>
      </c>
      <c r="DH396" t="str">
        <f>"SLPI"</f>
        <v>SLPI</v>
      </c>
      <c r="DI396" t="s">
        <v>35193</v>
      </c>
      <c r="DJ396" t="s">
        <v>13777</v>
      </c>
      <c r="DK396">
        <v>9606</v>
      </c>
      <c r="DL396" s="34" t="str">
        <f>HYPERLINK("http://www.uniprot.org/uniprot/P03973", "P03973")</f>
        <v>P03973</v>
      </c>
      <c r="DM396" t="s">
        <v>35194</v>
      </c>
      <c r="DN396" t="s">
        <v>22793</v>
      </c>
      <c r="DO396" t="s">
        <v>14321</v>
      </c>
      <c r="DP396" t="s">
        <v>13772</v>
      </c>
      <c r="DQ396" t="s">
        <v>13772</v>
      </c>
      <c r="DR396" t="s">
        <v>13772</v>
      </c>
      <c r="DS396" t="s">
        <v>14404</v>
      </c>
      <c r="DT396" t="s">
        <v>13772</v>
      </c>
      <c r="DU396" t="s">
        <v>35195</v>
      </c>
      <c r="DV396" t="s">
        <v>14506</v>
      </c>
      <c r="DW396" t="s">
        <v>13812</v>
      </c>
      <c r="DX396" t="s">
        <v>35196</v>
      </c>
      <c r="DY396" t="s">
        <v>35197</v>
      </c>
      <c r="DZ396" t="s">
        <v>35198</v>
      </c>
      <c r="EA396" t="s">
        <v>13772</v>
      </c>
      <c r="EB396" t="s">
        <v>13890</v>
      </c>
    </row>
    <row r="397" spans="1:132" hidden="1">
      <c r="A397">
        <v>734</v>
      </c>
      <c r="B397">
        <v>1</v>
      </c>
      <c r="C397" t="s">
        <v>1800</v>
      </c>
      <c r="D397" t="s">
        <v>73</v>
      </c>
      <c r="E397" t="s">
        <v>73</v>
      </c>
      <c r="F397" t="s">
        <v>73</v>
      </c>
      <c r="G397" t="s">
        <v>73</v>
      </c>
      <c r="H397">
        <v>35.4</v>
      </c>
      <c r="I397">
        <v>793</v>
      </c>
      <c r="J397">
        <v>89052</v>
      </c>
      <c r="K397" t="s">
        <v>1801</v>
      </c>
      <c r="L397">
        <f t="shared" si="26"/>
        <v>102</v>
      </c>
      <c r="N397">
        <v>102</v>
      </c>
      <c r="O397">
        <v>102</v>
      </c>
      <c r="P397">
        <v>1</v>
      </c>
      <c r="Q397">
        <v>11</v>
      </c>
      <c r="R397">
        <v>9</v>
      </c>
      <c r="S397">
        <v>10</v>
      </c>
      <c r="T397">
        <v>11</v>
      </c>
      <c r="U397">
        <v>11</v>
      </c>
      <c r="V397">
        <v>7</v>
      </c>
      <c r="W397">
        <v>10</v>
      </c>
      <c r="X397">
        <v>1</v>
      </c>
      <c r="Y397">
        <v>0</v>
      </c>
      <c r="Z397">
        <v>5</v>
      </c>
      <c r="AA397">
        <v>0</v>
      </c>
      <c r="AB397">
        <v>2</v>
      </c>
      <c r="AC397">
        <v>4</v>
      </c>
      <c r="AD397">
        <v>10</v>
      </c>
      <c r="AE397">
        <v>4</v>
      </c>
      <c r="AF397">
        <v>1</v>
      </c>
      <c r="AG397">
        <v>1</v>
      </c>
      <c r="AH397">
        <v>2</v>
      </c>
      <c r="AI397">
        <v>3</v>
      </c>
      <c r="AJ397">
        <v>11</v>
      </c>
      <c r="AK397">
        <v>9</v>
      </c>
      <c r="AL397">
        <v>10</v>
      </c>
      <c r="AM397">
        <v>11</v>
      </c>
      <c r="AN397">
        <v>11</v>
      </c>
      <c r="AO397">
        <v>7</v>
      </c>
      <c r="AP397">
        <v>10</v>
      </c>
      <c r="AQ397">
        <v>1</v>
      </c>
      <c r="AR397">
        <v>0</v>
      </c>
      <c r="AS397">
        <v>5</v>
      </c>
      <c r="AT397">
        <v>0</v>
      </c>
      <c r="AU397">
        <v>2</v>
      </c>
      <c r="AV397">
        <v>4</v>
      </c>
      <c r="AW397">
        <v>10</v>
      </c>
      <c r="AX397">
        <v>4</v>
      </c>
      <c r="AY397">
        <v>1</v>
      </c>
      <c r="AZ397">
        <v>1</v>
      </c>
      <c r="BA397">
        <v>2</v>
      </c>
      <c r="BB397">
        <v>3</v>
      </c>
      <c r="BC397" s="2">
        <v>11</v>
      </c>
      <c r="BD397" s="2">
        <v>9</v>
      </c>
      <c r="BE397" s="2">
        <v>10</v>
      </c>
      <c r="BF397" s="2">
        <v>11</v>
      </c>
      <c r="BG397" s="2">
        <v>11</v>
      </c>
      <c r="BH397" s="2">
        <v>7</v>
      </c>
      <c r="BI397" s="2">
        <v>10</v>
      </c>
      <c r="BJ397" s="2">
        <v>1</v>
      </c>
      <c r="BK397" s="2">
        <v>0</v>
      </c>
      <c r="BL397" s="2">
        <v>5</v>
      </c>
      <c r="BM397" s="2">
        <v>0</v>
      </c>
      <c r="BN397" s="2">
        <v>2</v>
      </c>
      <c r="BO397" s="2">
        <v>4</v>
      </c>
      <c r="BP397" s="2">
        <v>10</v>
      </c>
      <c r="BQ397" s="2">
        <v>4</v>
      </c>
      <c r="BR397" s="2">
        <v>1</v>
      </c>
      <c r="BS397" s="2">
        <v>1</v>
      </c>
      <c r="BT397" s="2">
        <v>2</v>
      </c>
      <c r="BU397" s="2">
        <v>3</v>
      </c>
      <c r="BV397" s="2">
        <f t="shared" si="29"/>
        <v>102</v>
      </c>
      <c r="BW397" s="16">
        <f t="shared" si="27"/>
        <v>5.3684210526315788</v>
      </c>
      <c r="BX397" s="16">
        <f>COUNTIF($BC$6:BU397, "=0") / COUNTIF($BC$6:BU397, "&gt;-1")</f>
        <v>9.9087003222341569E-2</v>
      </c>
      <c r="BY397" s="18">
        <f>SUM($BC$6:BU397) / $BY$4</f>
        <v>0.80967369601766803</v>
      </c>
      <c r="BZ397" s="14">
        <f t="shared" si="28"/>
        <v>2</v>
      </c>
      <c r="CA397" t="s">
        <v>5831</v>
      </c>
      <c r="CB397" s="36">
        <v>13.328077354182</v>
      </c>
      <c r="CC397" s="36">
        <v>8.6675770860970207</v>
      </c>
      <c r="CD397" s="36">
        <v>16.007976618122601</v>
      </c>
      <c r="CE397" s="36">
        <v>16.631139350685501</v>
      </c>
      <c r="CF397" s="36">
        <v>9.4619399593058091</v>
      </c>
      <c r="CG397" s="36">
        <v>6.50809072647644</v>
      </c>
      <c r="CH397" s="36">
        <v>10.5406228286464</v>
      </c>
      <c r="CI397" s="36">
        <v>0.97318359798230603</v>
      </c>
      <c r="CJ397" s="37">
        <v>0.19868957331123899</v>
      </c>
      <c r="CK397" s="37">
        <v>0.15766241172207099</v>
      </c>
      <c r="CL397" s="37">
        <v>1.60010869653469</v>
      </c>
      <c r="CM397" s="37">
        <v>3.3861881863997598</v>
      </c>
      <c r="CN397" s="37">
        <v>3.6751702632604601</v>
      </c>
      <c r="CO397" s="37">
        <v>0.78919057038512497</v>
      </c>
      <c r="CP397" s="37">
        <v>1.50854004786242</v>
      </c>
      <c r="CQ397" s="37">
        <v>4.5679105394238499</v>
      </c>
      <c r="CR397" s="45">
        <v>-2.38324683064431</v>
      </c>
      <c r="CS397" s="45">
        <v>-5.1700703768490497</v>
      </c>
      <c r="CT397" s="46">
        <v>1.52202915364473E-5</v>
      </c>
      <c r="CU397" s="47">
        <v>5.30332033223086E-5</v>
      </c>
      <c r="CV397" s="48">
        <v>10.264825940187301</v>
      </c>
      <c r="CW397" s="49">
        <v>1.9854325361124501</v>
      </c>
      <c r="CX397" s="31" t="s">
        <v>5875</v>
      </c>
      <c r="CY397" s="31" t="s">
        <v>5876</v>
      </c>
      <c r="CZ397" t="s">
        <v>8209</v>
      </c>
      <c r="DA397" t="s">
        <v>5904</v>
      </c>
      <c r="DB397">
        <v>1298.5</v>
      </c>
      <c r="DC397" t="s">
        <v>20989</v>
      </c>
      <c r="DD397" t="s">
        <v>20990</v>
      </c>
      <c r="DE397" t="s">
        <v>20991</v>
      </c>
      <c r="DF397" t="s">
        <v>20992</v>
      </c>
      <c r="DG397" t="s">
        <v>20993</v>
      </c>
      <c r="DH397" t="str">
        <f>"MST1"</f>
        <v>MST1</v>
      </c>
      <c r="DI397" t="s">
        <v>20994</v>
      </c>
      <c r="DJ397" t="s">
        <v>13777</v>
      </c>
      <c r="DK397">
        <v>9606</v>
      </c>
      <c r="DL397" s="34" t="str">
        <f>HYPERLINK("http://www.uniprot.org/uniprot/P26927", "P26927")</f>
        <v>P26927</v>
      </c>
      <c r="DM397" t="s">
        <v>20995</v>
      </c>
      <c r="DN397" t="s">
        <v>13772</v>
      </c>
      <c r="DO397" t="s">
        <v>14321</v>
      </c>
      <c r="DP397" t="s">
        <v>13793</v>
      </c>
      <c r="DQ397" t="s">
        <v>13772</v>
      </c>
      <c r="DR397" t="s">
        <v>13772</v>
      </c>
      <c r="DS397" t="s">
        <v>20047</v>
      </c>
      <c r="DT397" t="s">
        <v>13772</v>
      </c>
      <c r="DU397" t="s">
        <v>20996</v>
      </c>
      <c r="DV397" t="s">
        <v>13796</v>
      </c>
      <c r="DW397" t="s">
        <v>13812</v>
      </c>
      <c r="DX397" t="s">
        <v>20997</v>
      </c>
      <c r="DY397" t="s">
        <v>20998</v>
      </c>
      <c r="DZ397" t="s">
        <v>20999</v>
      </c>
      <c r="EA397" t="s">
        <v>13772</v>
      </c>
      <c r="EB397" t="s">
        <v>21000</v>
      </c>
    </row>
    <row r="398" spans="1:132" hidden="1">
      <c r="A398">
        <v>2080</v>
      </c>
      <c r="B398">
        <v>1</v>
      </c>
      <c r="C398" t="s">
        <v>4889</v>
      </c>
      <c r="D398" t="s">
        <v>73</v>
      </c>
      <c r="E398" t="s">
        <v>73</v>
      </c>
      <c r="F398" t="s">
        <v>73</v>
      </c>
      <c r="G398" t="s">
        <v>73</v>
      </c>
      <c r="H398">
        <v>78.2</v>
      </c>
      <c r="I398">
        <v>101</v>
      </c>
      <c r="J398">
        <v>11360</v>
      </c>
      <c r="K398" t="s">
        <v>4890</v>
      </c>
      <c r="L398">
        <f t="shared" si="26"/>
        <v>102</v>
      </c>
      <c r="N398">
        <v>102</v>
      </c>
      <c r="O398">
        <v>102</v>
      </c>
      <c r="P398">
        <v>1</v>
      </c>
      <c r="Q398">
        <v>2</v>
      </c>
      <c r="R398">
        <v>9</v>
      </c>
      <c r="S398">
        <v>0</v>
      </c>
      <c r="T398">
        <v>1</v>
      </c>
      <c r="U398">
        <v>0</v>
      </c>
      <c r="V398">
        <v>1</v>
      </c>
      <c r="W398">
        <v>3</v>
      </c>
      <c r="X398">
        <v>3</v>
      </c>
      <c r="Y398">
        <v>1</v>
      </c>
      <c r="Z398">
        <v>17</v>
      </c>
      <c r="AA398">
        <v>4</v>
      </c>
      <c r="AB398">
        <v>3</v>
      </c>
      <c r="AC398">
        <v>7</v>
      </c>
      <c r="AD398">
        <v>27</v>
      </c>
      <c r="AE398">
        <v>12</v>
      </c>
      <c r="AF398">
        <v>0</v>
      </c>
      <c r="AG398">
        <v>4</v>
      </c>
      <c r="AH398">
        <v>6</v>
      </c>
      <c r="AI398">
        <v>2</v>
      </c>
      <c r="AJ398">
        <v>2</v>
      </c>
      <c r="AK398">
        <v>9</v>
      </c>
      <c r="AL398">
        <v>0</v>
      </c>
      <c r="AM398">
        <v>1</v>
      </c>
      <c r="AN398">
        <v>0</v>
      </c>
      <c r="AO398">
        <v>1</v>
      </c>
      <c r="AP398">
        <v>3</v>
      </c>
      <c r="AQ398">
        <v>3</v>
      </c>
      <c r="AR398">
        <v>1</v>
      </c>
      <c r="AS398">
        <v>17</v>
      </c>
      <c r="AT398">
        <v>4</v>
      </c>
      <c r="AU398">
        <v>3</v>
      </c>
      <c r="AV398">
        <v>7</v>
      </c>
      <c r="AW398">
        <v>27</v>
      </c>
      <c r="AX398">
        <v>12</v>
      </c>
      <c r="AY398">
        <v>0</v>
      </c>
      <c r="AZ398">
        <v>4</v>
      </c>
      <c r="BA398">
        <v>6</v>
      </c>
      <c r="BB398">
        <v>2</v>
      </c>
      <c r="BC398" s="2">
        <v>2</v>
      </c>
      <c r="BD398" s="2">
        <v>9</v>
      </c>
      <c r="BE398" s="2">
        <v>0</v>
      </c>
      <c r="BF398" s="2">
        <v>1</v>
      </c>
      <c r="BG398" s="2">
        <v>0</v>
      </c>
      <c r="BH398" s="2">
        <v>1</v>
      </c>
      <c r="BI398" s="2">
        <v>3</v>
      </c>
      <c r="BJ398" s="2">
        <v>3</v>
      </c>
      <c r="BK398" s="2">
        <v>1</v>
      </c>
      <c r="BL398" s="2">
        <v>17</v>
      </c>
      <c r="BM398" s="2">
        <v>4</v>
      </c>
      <c r="BN398" s="2">
        <v>3</v>
      </c>
      <c r="BO398" s="2">
        <v>7</v>
      </c>
      <c r="BP398" s="2">
        <v>27</v>
      </c>
      <c r="BQ398" s="2">
        <v>12</v>
      </c>
      <c r="BR398" s="2">
        <v>0</v>
      </c>
      <c r="BS398" s="2">
        <v>4</v>
      </c>
      <c r="BT398" s="2">
        <v>6</v>
      </c>
      <c r="BU398" s="2">
        <v>2</v>
      </c>
      <c r="BV398" s="2">
        <f t="shared" si="29"/>
        <v>102</v>
      </c>
      <c r="BW398" s="16">
        <f t="shared" si="27"/>
        <v>5.3684210526315788</v>
      </c>
      <c r="BX398" s="16">
        <f>COUNTIF($BC$6:BU398, "=0") / COUNTIF($BC$6:BU398, "&gt;-1")</f>
        <v>9.9236641221374045E-2</v>
      </c>
      <c r="BY398" s="18">
        <f>SUM($BC$6:BU398) / $BY$4</f>
        <v>0.81011062697827552</v>
      </c>
      <c r="BZ398" s="14">
        <f t="shared" si="28"/>
        <v>3</v>
      </c>
      <c r="CA398" t="s">
        <v>5831</v>
      </c>
      <c r="CB398" s="36">
        <v>2.4232867916694598</v>
      </c>
      <c r="CC398" s="36">
        <v>8.6675770860970207</v>
      </c>
      <c r="CD398" s="36">
        <v>0.40019941545306398</v>
      </c>
      <c r="CE398" s="36">
        <v>1.5119217591532299</v>
      </c>
      <c r="CF398" s="36">
        <v>0.215044089984223</v>
      </c>
      <c r="CG398" s="36">
        <v>0.92972724663949102</v>
      </c>
      <c r="CH398" s="36">
        <v>3.1621868485939202</v>
      </c>
      <c r="CI398" s="36">
        <v>2.9195507939469199</v>
      </c>
      <c r="CJ398" s="37">
        <v>0.79475829324495695</v>
      </c>
      <c r="CK398" s="37">
        <v>2.5225985875531398</v>
      </c>
      <c r="CL398" s="37">
        <v>2.4001630448020301</v>
      </c>
      <c r="CM398" s="37">
        <v>5.9258293261995796</v>
      </c>
      <c r="CN398" s="37">
        <v>11.0255107897814</v>
      </c>
      <c r="CO398" s="37">
        <v>0.19729764259628099</v>
      </c>
      <c r="CP398" s="37">
        <v>6.0341601914496898</v>
      </c>
      <c r="CQ398" s="37">
        <v>3.0452736929492299</v>
      </c>
      <c r="CR398" s="45">
        <v>0.57049981618771795</v>
      </c>
      <c r="CS398" s="45">
        <v>1.5791591978906601</v>
      </c>
      <c r="CT398" s="46">
        <v>0.39535590622523198</v>
      </c>
      <c r="CU398" s="47">
        <v>0.47828770572274798</v>
      </c>
      <c r="CV398" s="48">
        <v>2.52868675394217</v>
      </c>
      <c r="CW398" s="49">
        <v>3.9931989460720398</v>
      </c>
      <c r="CX398" s="31" t="s">
        <v>5874</v>
      </c>
      <c r="CY398" s="31" t="s">
        <v>5832</v>
      </c>
      <c r="CZ398" t="s">
        <v>12688</v>
      </c>
      <c r="DA398" t="s">
        <v>5904</v>
      </c>
      <c r="DB398">
        <v>116.3</v>
      </c>
      <c r="DC398" t="s">
        <v>33696</v>
      </c>
      <c r="DD398" t="s">
        <v>33697</v>
      </c>
      <c r="DE398" t="s">
        <v>33698</v>
      </c>
      <c r="DF398" t="s">
        <v>33699</v>
      </c>
      <c r="DG398" t="s">
        <v>33700</v>
      </c>
      <c r="DH398" t="str">
        <f>"APOC2"</f>
        <v>APOC2</v>
      </c>
      <c r="DI398" t="s">
        <v>33701</v>
      </c>
      <c r="DJ398" t="s">
        <v>13777</v>
      </c>
      <c r="DK398">
        <v>9606</v>
      </c>
      <c r="DL398" s="34" t="str">
        <f>HYPERLINK("http://www.uniprot.org/uniprot/P02655", "P02655")</f>
        <v>P02655</v>
      </c>
      <c r="DM398" t="s">
        <v>33702</v>
      </c>
      <c r="DN398" t="s">
        <v>19238</v>
      </c>
      <c r="DO398" t="s">
        <v>33703</v>
      </c>
      <c r="DP398" t="s">
        <v>13793</v>
      </c>
      <c r="DQ398" t="s">
        <v>13772</v>
      </c>
      <c r="DR398" t="s">
        <v>26132</v>
      </c>
      <c r="DS398" t="s">
        <v>13808</v>
      </c>
      <c r="DT398" t="s">
        <v>17535</v>
      </c>
      <c r="DU398" t="s">
        <v>13772</v>
      </c>
      <c r="DV398" t="s">
        <v>13858</v>
      </c>
      <c r="DW398" t="s">
        <v>13812</v>
      </c>
      <c r="DX398" t="s">
        <v>33704</v>
      </c>
      <c r="DY398" t="s">
        <v>33705</v>
      </c>
      <c r="DZ398" t="s">
        <v>33706</v>
      </c>
      <c r="EA398" t="s">
        <v>13772</v>
      </c>
      <c r="EB398" t="s">
        <v>33707</v>
      </c>
    </row>
    <row r="399" spans="1:132" hidden="1">
      <c r="A399">
        <v>63</v>
      </c>
      <c r="B399">
        <v>1</v>
      </c>
      <c r="C399" t="s">
        <v>181</v>
      </c>
      <c r="D399" t="s">
        <v>73</v>
      </c>
      <c r="E399" t="s">
        <v>73</v>
      </c>
      <c r="F399" t="s">
        <v>73</v>
      </c>
      <c r="G399" t="s">
        <v>73</v>
      </c>
      <c r="H399">
        <v>44.8</v>
      </c>
      <c r="I399">
        <v>400</v>
      </c>
      <c r="J399">
        <v>42614</v>
      </c>
      <c r="K399" t="s">
        <v>182</v>
      </c>
      <c r="L399">
        <f t="shared" si="26"/>
        <v>101</v>
      </c>
      <c r="N399">
        <v>101</v>
      </c>
      <c r="O399">
        <v>101</v>
      </c>
      <c r="P399">
        <v>1</v>
      </c>
      <c r="Q399">
        <v>0</v>
      </c>
      <c r="R399">
        <v>5</v>
      </c>
      <c r="S399">
        <v>3</v>
      </c>
      <c r="T399">
        <v>5</v>
      </c>
      <c r="U399">
        <v>13</v>
      </c>
      <c r="V399">
        <v>8</v>
      </c>
      <c r="W399">
        <v>9</v>
      </c>
      <c r="X399">
        <v>1</v>
      </c>
      <c r="Y399">
        <v>15</v>
      </c>
      <c r="Z399">
        <v>1</v>
      </c>
      <c r="AA399">
        <v>11</v>
      </c>
      <c r="AB399">
        <v>5</v>
      </c>
      <c r="AC399">
        <v>10</v>
      </c>
      <c r="AD399">
        <v>2</v>
      </c>
      <c r="AE399">
        <v>6</v>
      </c>
      <c r="AF399">
        <v>4</v>
      </c>
      <c r="AG399">
        <v>3</v>
      </c>
      <c r="AH399">
        <v>0</v>
      </c>
      <c r="AI399">
        <v>0</v>
      </c>
      <c r="AJ399">
        <v>0</v>
      </c>
      <c r="AK399">
        <v>5</v>
      </c>
      <c r="AL399">
        <v>3</v>
      </c>
      <c r="AM399">
        <v>5</v>
      </c>
      <c r="AN399">
        <v>13</v>
      </c>
      <c r="AO399">
        <v>8</v>
      </c>
      <c r="AP399">
        <v>9</v>
      </c>
      <c r="AQ399">
        <v>1</v>
      </c>
      <c r="AR399">
        <v>15</v>
      </c>
      <c r="AS399">
        <v>1</v>
      </c>
      <c r="AT399">
        <v>11</v>
      </c>
      <c r="AU399">
        <v>5</v>
      </c>
      <c r="AV399">
        <v>10</v>
      </c>
      <c r="AW399">
        <v>2</v>
      </c>
      <c r="AX399">
        <v>6</v>
      </c>
      <c r="AY399">
        <v>4</v>
      </c>
      <c r="AZ399">
        <v>3</v>
      </c>
      <c r="BA399">
        <v>0</v>
      </c>
      <c r="BB399">
        <v>0</v>
      </c>
      <c r="BC399" s="2">
        <v>0</v>
      </c>
      <c r="BD399" s="2">
        <v>5</v>
      </c>
      <c r="BE399" s="2">
        <v>3</v>
      </c>
      <c r="BF399" s="2">
        <v>5</v>
      </c>
      <c r="BG399" s="2">
        <v>13</v>
      </c>
      <c r="BH399" s="2">
        <v>8</v>
      </c>
      <c r="BI399" s="2">
        <v>9</v>
      </c>
      <c r="BJ399" s="2">
        <v>1</v>
      </c>
      <c r="BK399" s="2">
        <v>15</v>
      </c>
      <c r="BL399" s="2">
        <v>1</v>
      </c>
      <c r="BM399" s="2">
        <v>11</v>
      </c>
      <c r="BN399" s="2">
        <v>5</v>
      </c>
      <c r="BO399" s="2">
        <v>10</v>
      </c>
      <c r="BP399" s="2">
        <v>2</v>
      </c>
      <c r="BQ399" s="2">
        <v>6</v>
      </c>
      <c r="BR399" s="2">
        <v>4</v>
      </c>
      <c r="BS399" s="2">
        <v>3</v>
      </c>
      <c r="BT399" s="2">
        <v>0</v>
      </c>
      <c r="BU399" s="2">
        <v>0</v>
      </c>
      <c r="BV399" s="2">
        <f t="shared" si="29"/>
        <v>101</v>
      </c>
      <c r="BW399" s="16">
        <f t="shared" si="27"/>
        <v>5.3157894736842106</v>
      </c>
      <c r="BX399" s="16">
        <f>COUNTIF($BC$6:BU399, "=0") / COUNTIF($BC$6:BU399, "&gt;-1")</f>
        <v>9.9385519636655095E-2</v>
      </c>
      <c r="BY399" s="18">
        <f>SUM($BC$6:BU399) / $BY$4</f>
        <v>0.81054327430201423</v>
      </c>
      <c r="BZ399" s="14">
        <f t="shared" si="28"/>
        <v>3</v>
      </c>
      <c r="CA399" t="s">
        <v>5831</v>
      </c>
      <c r="CB399" s="36">
        <v>0.30291084895868198</v>
      </c>
      <c r="CC399" s="36">
        <v>4.8153206033872298</v>
      </c>
      <c r="CD399" s="36">
        <v>4.8023929854367697</v>
      </c>
      <c r="CE399" s="36">
        <v>7.5596087957661497</v>
      </c>
      <c r="CF399" s="36">
        <v>11.1822926791796</v>
      </c>
      <c r="CG399" s="36">
        <v>7.43781797311593</v>
      </c>
      <c r="CH399" s="36">
        <v>9.4865605457817708</v>
      </c>
      <c r="CI399" s="36">
        <v>0.97318359798230603</v>
      </c>
      <c r="CJ399" s="37">
        <v>11.9213743986744</v>
      </c>
      <c r="CK399" s="37">
        <v>6.9371461157711396</v>
      </c>
      <c r="CL399" s="37">
        <v>4.0002717413367099</v>
      </c>
      <c r="CM399" s="37">
        <v>8.4654704659994096</v>
      </c>
      <c r="CN399" s="37">
        <v>5.5127553948906796</v>
      </c>
      <c r="CO399" s="37">
        <v>3.1567622815404999</v>
      </c>
      <c r="CP399" s="37">
        <v>4.5256201435872701</v>
      </c>
      <c r="CQ399" s="37">
        <v>0.38065921161865401</v>
      </c>
      <c r="CR399" s="45">
        <v>-2.14444364515151E-2</v>
      </c>
      <c r="CS399" s="45">
        <v>-1.03697162732759</v>
      </c>
      <c r="CT399" s="46">
        <v>1</v>
      </c>
      <c r="CU399" s="47">
        <v>1</v>
      </c>
      <c r="CV399" s="48">
        <v>5.8200110037010502</v>
      </c>
      <c r="CW399" s="49">
        <v>5.6125074691773396</v>
      </c>
      <c r="CX399" s="31" t="s">
        <v>5875</v>
      </c>
      <c r="CY399" s="31" t="s">
        <v>5832</v>
      </c>
      <c r="CZ399" t="s">
        <v>5923</v>
      </c>
      <c r="DA399" t="s">
        <v>5904</v>
      </c>
      <c r="DB399">
        <v>680.2</v>
      </c>
      <c r="DC399" t="s">
        <v>13879</v>
      </c>
      <c r="DD399" t="s">
        <v>13772</v>
      </c>
      <c r="DE399" t="s">
        <v>13880</v>
      </c>
      <c r="DF399" t="s">
        <v>13881</v>
      </c>
      <c r="DG399" t="s">
        <v>13882</v>
      </c>
      <c r="DH399" t="str">
        <f>"VAT1"</f>
        <v>VAT1</v>
      </c>
      <c r="DI399" t="s">
        <v>13772</v>
      </c>
      <c r="DJ399" t="s">
        <v>13777</v>
      </c>
      <c r="DK399">
        <v>9606</v>
      </c>
      <c r="DL399" s="34" t="str">
        <f>HYPERLINK("http://www.uniprot.org/uniprot/Q99536", "Q99536")</f>
        <v>Q99536</v>
      </c>
      <c r="DM399" t="s">
        <v>13883</v>
      </c>
      <c r="DN399" t="s">
        <v>13772</v>
      </c>
      <c r="DO399" t="s">
        <v>13884</v>
      </c>
      <c r="DP399" t="s">
        <v>13841</v>
      </c>
      <c r="DQ399" t="s">
        <v>13772</v>
      </c>
      <c r="DR399" t="s">
        <v>13772</v>
      </c>
      <c r="DS399" t="s">
        <v>13772</v>
      </c>
      <c r="DT399" t="s">
        <v>13772</v>
      </c>
      <c r="DU399" t="s">
        <v>13885</v>
      </c>
      <c r="DV399" t="s">
        <v>13886</v>
      </c>
      <c r="DW399" t="s">
        <v>13772</v>
      </c>
      <c r="DX399" t="s">
        <v>13887</v>
      </c>
      <c r="DY399" t="s">
        <v>13888</v>
      </c>
      <c r="DZ399" t="s">
        <v>13889</v>
      </c>
      <c r="EA399" t="s">
        <v>13772</v>
      </c>
      <c r="EB399" t="s">
        <v>13890</v>
      </c>
    </row>
    <row r="400" spans="1:132" hidden="1">
      <c r="A400">
        <v>550</v>
      </c>
      <c r="B400">
        <v>1</v>
      </c>
      <c r="C400" t="s">
        <v>1372</v>
      </c>
      <c r="D400" t="s">
        <v>1373</v>
      </c>
      <c r="E400" t="s">
        <v>73</v>
      </c>
      <c r="F400" t="s">
        <v>73</v>
      </c>
      <c r="G400" t="s">
        <v>73</v>
      </c>
      <c r="H400">
        <v>31</v>
      </c>
      <c r="I400">
        <v>378</v>
      </c>
      <c r="J400">
        <v>40709</v>
      </c>
      <c r="K400" t="s">
        <v>1374</v>
      </c>
      <c r="L400">
        <f t="shared" si="26"/>
        <v>101</v>
      </c>
      <c r="N400">
        <v>101</v>
      </c>
      <c r="O400">
        <v>101</v>
      </c>
      <c r="P400">
        <v>1</v>
      </c>
      <c r="Q400">
        <v>6</v>
      </c>
      <c r="R400">
        <v>8</v>
      </c>
      <c r="S400">
        <v>4</v>
      </c>
      <c r="T400">
        <v>6</v>
      </c>
      <c r="U400">
        <v>5</v>
      </c>
      <c r="V400">
        <v>3</v>
      </c>
      <c r="W400">
        <v>7</v>
      </c>
      <c r="X400">
        <v>0</v>
      </c>
      <c r="Y400">
        <v>9</v>
      </c>
      <c r="Z400">
        <v>1</v>
      </c>
      <c r="AA400">
        <v>10</v>
      </c>
      <c r="AB400">
        <v>9</v>
      </c>
      <c r="AC400">
        <v>5</v>
      </c>
      <c r="AD400">
        <v>2</v>
      </c>
      <c r="AE400">
        <v>6</v>
      </c>
      <c r="AF400">
        <v>7</v>
      </c>
      <c r="AG400">
        <v>4</v>
      </c>
      <c r="AH400">
        <v>2</v>
      </c>
      <c r="AI400">
        <v>7</v>
      </c>
      <c r="AJ400">
        <v>6</v>
      </c>
      <c r="AK400">
        <v>8</v>
      </c>
      <c r="AL400">
        <v>4</v>
      </c>
      <c r="AM400">
        <v>6</v>
      </c>
      <c r="AN400">
        <v>5</v>
      </c>
      <c r="AO400">
        <v>3</v>
      </c>
      <c r="AP400">
        <v>7</v>
      </c>
      <c r="AQ400">
        <v>0</v>
      </c>
      <c r="AR400">
        <v>9</v>
      </c>
      <c r="AS400">
        <v>1</v>
      </c>
      <c r="AT400">
        <v>10</v>
      </c>
      <c r="AU400">
        <v>9</v>
      </c>
      <c r="AV400">
        <v>5</v>
      </c>
      <c r="AW400">
        <v>2</v>
      </c>
      <c r="AX400">
        <v>6</v>
      </c>
      <c r="AY400">
        <v>7</v>
      </c>
      <c r="AZ400">
        <v>4</v>
      </c>
      <c r="BA400">
        <v>2</v>
      </c>
      <c r="BB400">
        <v>7</v>
      </c>
      <c r="BC400" s="2">
        <v>6</v>
      </c>
      <c r="BD400" s="2">
        <v>8</v>
      </c>
      <c r="BE400" s="2">
        <v>4</v>
      </c>
      <c r="BF400" s="2">
        <v>6</v>
      </c>
      <c r="BG400" s="2">
        <v>5</v>
      </c>
      <c r="BH400" s="2">
        <v>3</v>
      </c>
      <c r="BI400" s="2">
        <v>7</v>
      </c>
      <c r="BJ400" s="2">
        <v>0</v>
      </c>
      <c r="BK400" s="2">
        <v>9</v>
      </c>
      <c r="BL400" s="2">
        <v>1</v>
      </c>
      <c r="BM400" s="2">
        <v>10</v>
      </c>
      <c r="BN400" s="2">
        <v>9</v>
      </c>
      <c r="BO400" s="2">
        <v>5</v>
      </c>
      <c r="BP400" s="2">
        <v>2</v>
      </c>
      <c r="BQ400" s="2">
        <v>6</v>
      </c>
      <c r="BR400" s="2">
        <v>7</v>
      </c>
      <c r="BS400" s="2">
        <v>4</v>
      </c>
      <c r="BT400" s="2">
        <v>2</v>
      </c>
      <c r="BU400" s="2">
        <v>7</v>
      </c>
      <c r="BV400" s="2">
        <f t="shared" si="29"/>
        <v>101</v>
      </c>
      <c r="BW400" s="16">
        <f t="shared" si="27"/>
        <v>5.3157894736842106</v>
      </c>
      <c r="BX400" s="16">
        <f>COUNTIF($BC$6:BU400, "=0") / COUNTIF($BC$6:BU400, "&gt;-1")</f>
        <v>9.9267155229846762E-2</v>
      </c>
      <c r="BY400" s="18">
        <f>SUM($BC$6:BU400) / $BY$4</f>
        <v>0.81097592162575294</v>
      </c>
      <c r="BZ400" s="14">
        <f t="shared" si="28"/>
        <v>1</v>
      </c>
      <c r="CA400" t="s">
        <v>5831</v>
      </c>
      <c r="CB400" s="36">
        <v>7.2698603750083803</v>
      </c>
      <c r="CC400" s="36">
        <v>7.7045129654195703</v>
      </c>
      <c r="CD400" s="36">
        <v>6.4031906472490299</v>
      </c>
      <c r="CE400" s="36">
        <v>9.0715305549193808</v>
      </c>
      <c r="CF400" s="36">
        <v>4.3008817996844604</v>
      </c>
      <c r="CG400" s="36">
        <v>2.7891817399184702</v>
      </c>
      <c r="CH400" s="36">
        <v>7.3784359800524904</v>
      </c>
      <c r="CI400" s="36">
        <v>0.24329589949557701</v>
      </c>
      <c r="CJ400" s="37">
        <v>7.1528246392046197</v>
      </c>
      <c r="CK400" s="37">
        <v>6.3064964688828598</v>
      </c>
      <c r="CL400" s="37">
        <v>7.2004891344060802</v>
      </c>
      <c r="CM400" s="37">
        <v>4.2327352329997003</v>
      </c>
      <c r="CN400" s="37">
        <v>5.5127553948906796</v>
      </c>
      <c r="CO400" s="37">
        <v>5.5243339926958699</v>
      </c>
      <c r="CP400" s="37">
        <v>6.0341601914496898</v>
      </c>
      <c r="CQ400" s="37">
        <v>10.658457925322301</v>
      </c>
      <c r="CR400" s="45">
        <v>0.23906987007982899</v>
      </c>
      <c r="CS400" s="45">
        <v>1.16521736007471</v>
      </c>
      <c r="CT400" s="46">
        <v>0.63448415985828899</v>
      </c>
      <c r="CU400" s="47">
        <v>0.70744983824199204</v>
      </c>
      <c r="CV400" s="48">
        <v>5.6451112452184198</v>
      </c>
      <c r="CW400" s="49">
        <v>6.5777816224814796</v>
      </c>
      <c r="CX400" s="31" t="s">
        <v>5874</v>
      </c>
      <c r="CY400" s="31" t="s">
        <v>5832</v>
      </c>
      <c r="CZ400" t="s">
        <v>7601</v>
      </c>
      <c r="DA400" t="s">
        <v>5904</v>
      </c>
      <c r="DB400">
        <v>463.8</v>
      </c>
      <c r="DC400" t="s">
        <v>19194</v>
      </c>
      <c r="DD400" t="s">
        <v>19195</v>
      </c>
      <c r="DE400" t="s">
        <v>19196</v>
      </c>
      <c r="DF400" t="s">
        <v>19197</v>
      </c>
      <c r="DG400" t="s">
        <v>13772</v>
      </c>
      <c r="DH400" t="str">
        <f>"OAF"</f>
        <v>OAF</v>
      </c>
      <c r="DI400" t="s">
        <v>19198</v>
      </c>
      <c r="DJ400" t="s">
        <v>13777</v>
      </c>
      <c r="DK400">
        <v>9606</v>
      </c>
      <c r="DL400" s="34" t="str">
        <f>HYPERLINK("http://www.uniprot.org/uniprot/Q86UD1", "Q86UD1")</f>
        <v>Q86UD1</v>
      </c>
      <c r="DM400" t="s">
        <v>19199</v>
      </c>
      <c r="DN400" t="s">
        <v>13772</v>
      </c>
      <c r="DO400" t="s">
        <v>13772</v>
      </c>
      <c r="DP400" t="s">
        <v>13793</v>
      </c>
      <c r="DQ400" t="s">
        <v>13772</v>
      </c>
      <c r="DR400" t="s">
        <v>13772</v>
      </c>
      <c r="DS400" t="s">
        <v>13808</v>
      </c>
      <c r="DT400" t="s">
        <v>13772</v>
      </c>
      <c r="DU400" t="s">
        <v>13772</v>
      </c>
      <c r="DV400" t="s">
        <v>13772</v>
      </c>
      <c r="DW400" t="s">
        <v>13772</v>
      </c>
      <c r="DX400" t="s">
        <v>13772</v>
      </c>
      <c r="DY400" t="s">
        <v>13772</v>
      </c>
      <c r="DZ400" t="s">
        <v>13772</v>
      </c>
      <c r="EA400" t="s">
        <v>13772</v>
      </c>
      <c r="EB400" t="s">
        <v>13772</v>
      </c>
    </row>
    <row r="401" spans="1:132" hidden="1">
      <c r="A401">
        <v>1193</v>
      </c>
      <c r="B401">
        <v>1</v>
      </c>
      <c r="C401" t="s">
        <v>2863</v>
      </c>
      <c r="D401" t="s">
        <v>73</v>
      </c>
      <c r="E401" t="s">
        <v>73</v>
      </c>
      <c r="F401" t="s">
        <v>73</v>
      </c>
      <c r="G401" t="s">
        <v>73</v>
      </c>
      <c r="H401">
        <v>68.2</v>
      </c>
      <c r="I401">
        <v>110</v>
      </c>
      <c r="J401">
        <v>12109</v>
      </c>
      <c r="K401" t="s">
        <v>2864</v>
      </c>
      <c r="L401">
        <f t="shared" si="26"/>
        <v>101</v>
      </c>
      <c r="N401">
        <v>101</v>
      </c>
      <c r="O401">
        <v>101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34</v>
      </c>
      <c r="Y401">
        <v>7</v>
      </c>
      <c r="Z401">
        <v>0</v>
      </c>
      <c r="AA401">
        <v>13</v>
      </c>
      <c r="AB401">
        <v>4</v>
      </c>
      <c r="AC401">
        <v>6</v>
      </c>
      <c r="AD401">
        <v>0</v>
      </c>
      <c r="AE401">
        <v>13</v>
      </c>
      <c r="AF401">
        <v>8</v>
      </c>
      <c r="AG401">
        <v>3</v>
      </c>
      <c r="AH401">
        <v>2</v>
      </c>
      <c r="AI401">
        <v>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8</v>
      </c>
      <c r="AQ401">
        <v>34</v>
      </c>
      <c r="AR401">
        <v>7</v>
      </c>
      <c r="AS401">
        <v>0</v>
      </c>
      <c r="AT401">
        <v>13</v>
      </c>
      <c r="AU401">
        <v>4</v>
      </c>
      <c r="AV401">
        <v>6</v>
      </c>
      <c r="AW401">
        <v>0</v>
      </c>
      <c r="AX401">
        <v>13</v>
      </c>
      <c r="AY401">
        <v>8</v>
      </c>
      <c r="AZ401">
        <v>3</v>
      </c>
      <c r="BA401">
        <v>2</v>
      </c>
      <c r="BB401">
        <v>3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8</v>
      </c>
      <c r="BJ401" s="2">
        <v>34</v>
      </c>
      <c r="BK401" s="2">
        <v>7</v>
      </c>
      <c r="BL401" s="2">
        <v>0</v>
      </c>
      <c r="BM401" s="2">
        <v>13</v>
      </c>
      <c r="BN401" s="2">
        <v>4</v>
      </c>
      <c r="BO401" s="2">
        <v>6</v>
      </c>
      <c r="BP401" s="2">
        <v>0</v>
      </c>
      <c r="BQ401" s="2">
        <v>13</v>
      </c>
      <c r="BR401" s="2">
        <v>8</v>
      </c>
      <c r="BS401" s="2">
        <v>3</v>
      </c>
      <c r="BT401" s="2">
        <v>2</v>
      </c>
      <c r="BU401" s="2">
        <v>3</v>
      </c>
      <c r="BV401" s="2">
        <f t="shared" si="29"/>
        <v>101</v>
      </c>
      <c r="BW401" s="16">
        <f t="shared" si="27"/>
        <v>5.3157894736842106</v>
      </c>
      <c r="BX401" s="16">
        <f>COUNTIF($BC$6:BU401, "=0") / COUNTIF($BC$6:BU401, "&gt;-1")</f>
        <v>0.10007974481658692</v>
      </c>
      <c r="BY401" s="18">
        <f>SUM($BC$6:BU401) / $BY$4</f>
        <v>0.81140856894949176</v>
      </c>
      <c r="BZ401" s="14">
        <f t="shared" si="28"/>
        <v>8</v>
      </c>
      <c r="CA401" t="s">
        <v>5831</v>
      </c>
      <c r="CB401" s="36">
        <v>0.30291084895868198</v>
      </c>
      <c r="CC401" s="36">
        <v>0.24076603016936199</v>
      </c>
      <c r="CD401" s="36">
        <v>0.40019941545306398</v>
      </c>
      <c r="CE401" s="36">
        <v>0.37798043978830698</v>
      </c>
      <c r="CF401" s="36">
        <v>0.215044089984223</v>
      </c>
      <c r="CG401" s="36">
        <v>0.23243181165987301</v>
      </c>
      <c r="CH401" s="36">
        <v>8.4324982629171306</v>
      </c>
      <c r="CI401" s="36">
        <v>33.088242331398398</v>
      </c>
      <c r="CJ401" s="37">
        <v>5.5633080527147003</v>
      </c>
      <c r="CK401" s="37">
        <v>8.1984454095477108</v>
      </c>
      <c r="CL401" s="37">
        <v>3.2002173930693698</v>
      </c>
      <c r="CM401" s="37">
        <v>5.0792822795996404</v>
      </c>
      <c r="CN401" s="37">
        <v>11.944303355596499</v>
      </c>
      <c r="CO401" s="37">
        <v>6.3135245630809997</v>
      </c>
      <c r="CP401" s="37">
        <v>4.5256201435872701</v>
      </c>
      <c r="CQ401" s="37">
        <v>4.5679105394238499</v>
      </c>
      <c r="CR401" s="45">
        <v>0.16815128836180401</v>
      </c>
      <c r="CS401" s="45">
        <v>1.14096854199857</v>
      </c>
      <c r="CT401" s="46">
        <v>0.85014625698801605</v>
      </c>
      <c r="CU401" s="47">
        <v>0.89425761937890302</v>
      </c>
      <c r="CV401" s="48">
        <v>5.4112591537911303</v>
      </c>
      <c r="CW401" s="49">
        <v>6.1740764670774997</v>
      </c>
      <c r="CX401" s="31" t="s">
        <v>5874</v>
      </c>
      <c r="CY401" s="31" t="s">
        <v>5832</v>
      </c>
      <c r="CZ401" t="s">
        <v>9700</v>
      </c>
      <c r="DA401" t="s">
        <v>5904</v>
      </c>
      <c r="DB401">
        <v>199.1</v>
      </c>
      <c r="DC401" t="s">
        <v>25286</v>
      </c>
      <c r="DD401" t="s">
        <v>13772</v>
      </c>
      <c r="DE401" t="s">
        <v>25287</v>
      </c>
      <c r="DF401" t="s">
        <v>25288</v>
      </c>
      <c r="DG401" t="s">
        <v>25289</v>
      </c>
      <c r="DH401" t="str">
        <f>"PVALB"</f>
        <v>PVALB</v>
      </c>
      <c r="DI401" t="s">
        <v>13772</v>
      </c>
      <c r="DJ401" t="s">
        <v>13777</v>
      </c>
      <c r="DK401">
        <v>9606</v>
      </c>
      <c r="DL401" s="34" t="str">
        <f>HYPERLINK("http://www.uniprot.org/uniprot/P20472", "P20472")</f>
        <v>P20472</v>
      </c>
      <c r="DM401" t="s">
        <v>25290</v>
      </c>
      <c r="DN401" t="s">
        <v>13772</v>
      </c>
      <c r="DO401" t="s">
        <v>13772</v>
      </c>
      <c r="DP401" t="s">
        <v>13772</v>
      </c>
      <c r="DQ401" t="s">
        <v>13772</v>
      </c>
      <c r="DR401" t="s">
        <v>13772</v>
      </c>
      <c r="DS401" t="s">
        <v>14096</v>
      </c>
      <c r="DT401" t="s">
        <v>13873</v>
      </c>
      <c r="DU401" t="s">
        <v>17512</v>
      </c>
      <c r="DV401" t="s">
        <v>13886</v>
      </c>
      <c r="DW401" t="s">
        <v>13812</v>
      </c>
      <c r="DX401" t="s">
        <v>25291</v>
      </c>
      <c r="DY401" t="s">
        <v>25292</v>
      </c>
      <c r="DZ401" t="s">
        <v>25293</v>
      </c>
      <c r="EA401" t="s">
        <v>13772</v>
      </c>
      <c r="EB401" t="s">
        <v>25294</v>
      </c>
    </row>
    <row r="402" spans="1:132">
      <c r="A402">
        <v>1289</v>
      </c>
      <c r="B402">
        <v>1</v>
      </c>
      <c r="C402" t="s">
        <v>3094</v>
      </c>
      <c r="D402" t="s">
        <v>73</v>
      </c>
      <c r="E402" t="s">
        <v>73</v>
      </c>
      <c r="F402" t="s">
        <v>73</v>
      </c>
      <c r="G402" t="s">
        <v>73</v>
      </c>
      <c r="H402">
        <v>44.2</v>
      </c>
      <c r="I402">
        <v>95</v>
      </c>
      <c r="J402">
        <v>10571</v>
      </c>
      <c r="K402" t="s">
        <v>3095</v>
      </c>
      <c r="L402">
        <f t="shared" si="26"/>
        <v>101</v>
      </c>
      <c r="N402">
        <v>101</v>
      </c>
      <c r="O402">
        <v>101</v>
      </c>
      <c r="P402">
        <v>1</v>
      </c>
      <c r="Q402">
        <v>1</v>
      </c>
      <c r="R402">
        <v>5</v>
      </c>
      <c r="S402">
        <v>3</v>
      </c>
      <c r="T402">
        <v>2</v>
      </c>
      <c r="U402">
        <v>1</v>
      </c>
      <c r="V402">
        <v>1</v>
      </c>
      <c r="W402">
        <v>2</v>
      </c>
      <c r="X402">
        <v>7</v>
      </c>
      <c r="Y402">
        <v>36</v>
      </c>
      <c r="Z402">
        <v>2</v>
      </c>
      <c r="AA402">
        <v>10</v>
      </c>
      <c r="AB402">
        <v>6</v>
      </c>
      <c r="AC402">
        <v>10</v>
      </c>
      <c r="AD402">
        <v>2</v>
      </c>
      <c r="AE402">
        <v>3</v>
      </c>
      <c r="AF402">
        <v>4</v>
      </c>
      <c r="AG402">
        <v>2</v>
      </c>
      <c r="AH402">
        <v>2</v>
      </c>
      <c r="AI402">
        <v>2</v>
      </c>
      <c r="AJ402">
        <v>1</v>
      </c>
      <c r="AK402">
        <v>5</v>
      </c>
      <c r="AL402">
        <v>3</v>
      </c>
      <c r="AM402">
        <v>2</v>
      </c>
      <c r="AN402">
        <v>1</v>
      </c>
      <c r="AO402">
        <v>1</v>
      </c>
      <c r="AP402">
        <v>2</v>
      </c>
      <c r="AQ402">
        <v>7</v>
      </c>
      <c r="AR402">
        <v>36</v>
      </c>
      <c r="AS402">
        <v>2</v>
      </c>
      <c r="AT402">
        <v>10</v>
      </c>
      <c r="AU402">
        <v>6</v>
      </c>
      <c r="AV402">
        <v>10</v>
      </c>
      <c r="AW402">
        <v>2</v>
      </c>
      <c r="AX402">
        <v>3</v>
      </c>
      <c r="AY402">
        <v>4</v>
      </c>
      <c r="AZ402">
        <v>2</v>
      </c>
      <c r="BA402">
        <v>2</v>
      </c>
      <c r="BB402">
        <v>2</v>
      </c>
      <c r="BC402" s="2">
        <v>1</v>
      </c>
      <c r="BD402" s="2">
        <v>5</v>
      </c>
      <c r="BE402" s="2">
        <v>3</v>
      </c>
      <c r="BF402" s="2">
        <v>2</v>
      </c>
      <c r="BG402" s="2">
        <v>1</v>
      </c>
      <c r="BH402" s="2">
        <v>1</v>
      </c>
      <c r="BI402" s="2">
        <v>2</v>
      </c>
      <c r="BJ402" s="2">
        <v>7</v>
      </c>
      <c r="BK402" s="2">
        <v>36</v>
      </c>
      <c r="BL402" s="2">
        <v>2</v>
      </c>
      <c r="BM402" s="2">
        <v>10</v>
      </c>
      <c r="BN402" s="2">
        <v>6</v>
      </c>
      <c r="BO402" s="2">
        <v>10</v>
      </c>
      <c r="BP402" s="2">
        <v>2</v>
      </c>
      <c r="BQ402" s="2">
        <v>3</v>
      </c>
      <c r="BR402" s="2">
        <v>4</v>
      </c>
      <c r="BS402" s="2">
        <v>2</v>
      </c>
      <c r="BT402" s="2">
        <v>2</v>
      </c>
      <c r="BU402" s="2">
        <v>2</v>
      </c>
      <c r="BV402" s="2">
        <f t="shared" si="29"/>
        <v>101</v>
      </c>
      <c r="BW402" s="16">
        <f t="shared" si="27"/>
        <v>5.3157894736842106</v>
      </c>
      <c r="BX402" s="16">
        <f>COUNTIF($BC$6:BU402, "=0") / COUNTIF($BC$6:BU402, "&gt;-1")</f>
        <v>9.9827654779265543E-2</v>
      </c>
      <c r="BY402" s="18">
        <f>SUM($BC$6:BU402) / $BY$4</f>
        <v>0.81184121627323047</v>
      </c>
      <c r="BZ402" s="14">
        <f t="shared" si="28"/>
        <v>0</v>
      </c>
      <c r="CA402" t="s">
        <v>5831</v>
      </c>
      <c r="CB402" s="36">
        <v>1.2116433958347299</v>
      </c>
      <c r="CC402" s="36">
        <v>4.8153206033872298</v>
      </c>
      <c r="CD402" s="36">
        <v>4.8023929854367697</v>
      </c>
      <c r="CE402" s="36">
        <v>3.0238435183064598</v>
      </c>
      <c r="CF402" s="36">
        <v>0.86017635993689201</v>
      </c>
      <c r="CG402" s="36">
        <v>0.92972724663949102</v>
      </c>
      <c r="CH402" s="36">
        <v>2.10812456572928</v>
      </c>
      <c r="CI402" s="36">
        <v>6.8122851858761404</v>
      </c>
      <c r="CJ402" s="37">
        <v>28.6112985568185</v>
      </c>
      <c r="CK402" s="37">
        <v>6.3064964688828598</v>
      </c>
      <c r="CL402" s="37">
        <v>4.8003260896040603</v>
      </c>
      <c r="CM402" s="37">
        <v>8.4654704659994096</v>
      </c>
      <c r="CN402" s="37">
        <v>2.7563776974453398</v>
      </c>
      <c r="CO402" s="37">
        <v>3.1567622815404999</v>
      </c>
      <c r="CP402" s="37">
        <v>3.0170800957248498</v>
      </c>
      <c r="CQ402" s="37">
        <v>3.0452736929492299</v>
      </c>
      <c r="CR402" s="45">
        <v>1.30841099970779</v>
      </c>
      <c r="CS402" s="45">
        <v>2.44912375684655</v>
      </c>
      <c r="CT402" s="46">
        <v>3.4762542326012801E-2</v>
      </c>
      <c r="CU402" s="47">
        <v>5.6310268319861002E-2</v>
      </c>
      <c r="CV402" s="48">
        <v>3.07043923264338</v>
      </c>
      <c r="CW402" s="49">
        <v>7.5198856686205904</v>
      </c>
      <c r="CX402" s="31" t="s">
        <v>5874</v>
      </c>
      <c r="CY402" s="31" t="s">
        <v>5877</v>
      </c>
      <c r="CZ402" t="s">
        <v>10035</v>
      </c>
      <c r="DA402" t="s">
        <v>5904</v>
      </c>
      <c r="DB402">
        <v>165.6</v>
      </c>
      <c r="DC402" t="s">
        <v>26241</v>
      </c>
      <c r="DD402" t="s">
        <v>26242</v>
      </c>
      <c r="DE402" t="s">
        <v>26243</v>
      </c>
      <c r="DF402" t="s">
        <v>26244</v>
      </c>
      <c r="DG402" t="s">
        <v>26245</v>
      </c>
      <c r="DH402" t="str">
        <f>"S100P"</f>
        <v>S100P</v>
      </c>
      <c r="DI402" t="s">
        <v>26246</v>
      </c>
      <c r="DJ402" t="s">
        <v>13777</v>
      </c>
      <c r="DK402">
        <v>9606</v>
      </c>
      <c r="DL402" s="34" t="str">
        <f>HYPERLINK("http://www.uniprot.org/uniprot/P25815", "P25815")</f>
        <v>P25815</v>
      </c>
      <c r="DM402" t="s">
        <v>26247</v>
      </c>
      <c r="DN402" t="s">
        <v>13772</v>
      </c>
      <c r="DO402" t="s">
        <v>26248</v>
      </c>
      <c r="DP402" t="s">
        <v>13772</v>
      </c>
      <c r="DQ402" t="s">
        <v>13772</v>
      </c>
      <c r="DR402" t="s">
        <v>13772</v>
      </c>
      <c r="DS402" t="s">
        <v>14096</v>
      </c>
      <c r="DT402" t="s">
        <v>13873</v>
      </c>
      <c r="DU402" t="s">
        <v>13772</v>
      </c>
      <c r="DV402" t="s">
        <v>13772</v>
      </c>
      <c r="DW402" t="s">
        <v>13812</v>
      </c>
      <c r="DX402" t="s">
        <v>26249</v>
      </c>
      <c r="DY402" t="s">
        <v>26250</v>
      </c>
      <c r="DZ402" t="s">
        <v>26251</v>
      </c>
      <c r="EA402" t="s">
        <v>13772</v>
      </c>
      <c r="EB402" t="s">
        <v>13890</v>
      </c>
    </row>
    <row r="403" spans="1:132" hidden="1">
      <c r="A403">
        <v>1652</v>
      </c>
      <c r="B403">
        <v>1</v>
      </c>
      <c r="C403" t="s">
        <v>3917</v>
      </c>
      <c r="D403" t="s">
        <v>73</v>
      </c>
      <c r="E403" t="s">
        <v>73</v>
      </c>
      <c r="F403" t="s">
        <v>73</v>
      </c>
      <c r="G403" t="s">
        <v>73</v>
      </c>
      <c r="H403">
        <v>49.5</v>
      </c>
      <c r="I403">
        <v>913</v>
      </c>
      <c r="J403">
        <v>100098</v>
      </c>
      <c r="K403" t="s">
        <v>3918</v>
      </c>
      <c r="L403">
        <f t="shared" si="26"/>
        <v>101</v>
      </c>
      <c r="N403">
        <v>101</v>
      </c>
      <c r="O403">
        <v>101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4</v>
      </c>
      <c r="AG403">
        <v>94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4</v>
      </c>
      <c r="AZ403">
        <v>94</v>
      </c>
      <c r="BA403">
        <v>0</v>
      </c>
      <c r="BB403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2</v>
      </c>
      <c r="BO403" s="2">
        <v>0</v>
      </c>
      <c r="BP403" s="2">
        <v>0</v>
      </c>
      <c r="BQ403" s="2">
        <v>0</v>
      </c>
      <c r="BR403" s="2">
        <v>4</v>
      </c>
      <c r="BS403" s="2">
        <v>94</v>
      </c>
      <c r="BT403" s="2">
        <v>0</v>
      </c>
      <c r="BU403" s="2">
        <v>1</v>
      </c>
      <c r="BV403" s="2">
        <f t="shared" si="29"/>
        <v>101</v>
      </c>
      <c r="BW403" s="16">
        <f t="shared" si="27"/>
        <v>5.3157894736842106</v>
      </c>
      <c r="BX403" s="16">
        <f>COUNTIF($BC$6:BU403, "=0") / COUNTIF($BC$6:BU403, "&gt;-1")</f>
        <v>0.10156043374768579</v>
      </c>
      <c r="BY403" s="18">
        <f>SUM($BC$6:BU403) / $BY$4</f>
        <v>0.81227386359696918</v>
      </c>
      <c r="BZ403" s="14">
        <f t="shared" si="28"/>
        <v>15</v>
      </c>
      <c r="CA403" t="s">
        <v>5831</v>
      </c>
      <c r="CB403" s="36">
        <v>0.30291084895868198</v>
      </c>
      <c r="CC403" s="36">
        <v>0.24076603016936199</v>
      </c>
      <c r="CD403" s="36">
        <v>0.40019941545306398</v>
      </c>
      <c r="CE403" s="36">
        <v>0.37798043978830698</v>
      </c>
      <c r="CF403" s="36">
        <v>0.215044089984223</v>
      </c>
      <c r="CG403" s="36">
        <v>0.23243181165987301</v>
      </c>
      <c r="CH403" s="36">
        <v>0.26351557071616</v>
      </c>
      <c r="CI403" s="36">
        <v>0.24329589949557701</v>
      </c>
      <c r="CJ403" s="37">
        <v>0.19868957331123899</v>
      </c>
      <c r="CK403" s="37">
        <v>0.15766241172207099</v>
      </c>
      <c r="CL403" s="37">
        <v>1.60010869653469</v>
      </c>
      <c r="CM403" s="37">
        <v>0.21163676164998499</v>
      </c>
      <c r="CN403" s="37">
        <v>0.22969814145377901</v>
      </c>
      <c r="CO403" s="37">
        <v>3.1567622815404999</v>
      </c>
      <c r="CP403" s="37">
        <v>141.80276449906799</v>
      </c>
      <c r="CQ403" s="37">
        <v>1.5226368464746201</v>
      </c>
      <c r="CR403" s="45">
        <v>5.5346542387105702</v>
      </c>
      <c r="CS403" s="45">
        <v>65.408845953368399</v>
      </c>
      <c r="CT403" s="46">
        <v>1.5987221239018799E-4</v>
      </c>
      <c r="CU403" s="47">
        <v>4.2781804035614302E-4</v>
      </c>
      <c r="CV403" s="48">
        <v>0.28451801327815601</v>
      </c>
      <c r="CW403" s="49">
        <v>18.6099949014693</v>
      </c>
      <c r="CX403" s="31" t="s">
        <v>5874</v>
      </c>
      <c r="CY403" s="31" t="s">
        <v>5876</v>
      </c>
      <c r="CZ403" t="s">
        <v>11255</v>
      </c>
      <c r="DA403" t="s">
        <v>5904</v>
      </c>
      <c r="DB403">
        <v>1551.2</v>
      </c>
      <c r="DC403" t="s">
        <v>29644</v>
      </c>
      <c r="DD403" t="s">
        <v>29645</v>
      </c>
      <c r="DE403" t="s">
        <v>29646</v>
      </c>
      <c r="DF403" t="s">
        <v>29647</v>
      </c>
      <c r="DG403" t="s">
        <v>29648</v>
      </c>
      <c r="DH403" t="str">
        <f>"CLCA1"</f>
        <v>CLCA1</v>
      </c>
      <c r="DI403" t="s">
        <v>29649</v>
      </c>
      <c r="DJ403" t="s">
        <v>13777</v>
      </c>
      <c r="DK403">
        <v>9606</v>
      </c>
      <c r="DL403" s="34" t="str">
        <f>HYPERLINK("http://www.uniprot.org/uniprot/A8K7I4", "A8K7I4")</f>
        <v>A8K7I4</v>
      </c>
      <c r="DM403" t="s">
        <v>29650</v>
      </c>
      <c r="DN403" t="s">
        <v>16775</v>
      </c>
      <c r="DO403" t="s">
        <v>14336</v>
      </c>
      <c r="DP403" t="s">
        <v>13793</v>
      </c>
      <c r="DQ403" t="s">
        <v>13772</v>
      </c>
      <c r="DR403" t="s">
        <v>13772</v>
      </c>
      <c r="DS403" t="s">
        <v>13808</v>
      </c>
      <c r="DT403" t="s">
        <v>29651</v>
      </c>
      <c r="DU403" t="s">
        <v>15139</v>
      </c>
      <c r="DV403" t="s">
        <v>29652</v>
      </c>
      <c r="DW403" t="s">
        <v>13772</v>
      </c>
      <c r="DX403" t="s">
        <v>29653</v>
      </c>
      <c r="DY403" t="s">
        <v>29654</v>
      </c>
      <c r="DZ403" t="s">
        <v>29655</v>
      </c>
      <c r="EA403" t="s">
        <v>13772</v>
      </c>
      <c r="EB403" t="s">
        <v>14293</v>
      </c>
    </row>
    <row r="404" spans="1:132" hidden="1">
      <c r="A404">
        <v>866</v>
      </c>
      <c r="B404">
        <v>1</v>
      </c>
      <c r="C404" t="s">
        <v>2117</v>
      </c>
      <c r="D404" t="s">
        <v>73</v>
      </c>
      <c r="E404" t="s">
        <v>73</v>
      </c>
      <c r="F404" t="s">
        <v>73</v>
      </c>
      <c r="G404" t="s">
        <v>73</v>
      </c>
      <c r="H404">
        <v>39</v>
      </c>
      <c r="I404">
        <v>362</v>
      </c>
      <c r="J404">
        <v>40658</v>
      </c>
      <c r="K404" t="s">
        <v>2118</v>
      </c>
      <c r="L404">
        <f t="shared" si="26"/>
        <v>100</v>
      </c>
      <c r="N404">
        <v>100</v>
      </c>
      <c r="O404">
        <v>100</v>
      </c>
      <c r="P404">
        <v>1</v>
      </c>
      <c r="Q404">
        <v>5</v>
      </c>
      <c r="R404">
        <v>9</v>
      </c>
      <c r="S404">
        <v>10</v>
      </c>
      <c r="T404">
        <v>13</v>
      </c>
      <c r="U404">
        <v>14</v>
      </c>
      <c r="V404">
        <v>10</v>
      </c>
      <c r="W404">
        <v>8</v>
      </c>
      <c r="X404">
        <v>6</v>
      </c>
      <c r="Y404">
        <v>3</v>
      </c>
      <c r="Z404">
        <v>0</v>
      </c>
      <c r="AA404">
        <v>4</v>
      </c>
      <c r="AB404">
        <v>4</v>
      </c>
      <c r="AC404">
        <v>2</v>
      </c>
      <c r="AD404">
        <v>0</v>
      </c>
      <c r="AE404">
        <v>4</v>
      </c>
      <c r="AF404">
        <v>4</v>
      </c>
      <c r="AG404">
        <v>1</v>
      </c>
      <c r="AH404">
        <v>0</v>
      </c>
      <c r="AI404">
        <v>3</v>
      </c>
      <c r="AJ404">
        <v>5</v>
      </c>
      <c r="AK404">
        <v>9</v>
      </c>
      <c r="AL404">
        <v>10</v>
      </c>
      <c r="AM404">
        <v>13</v>
      </c>
      <c r="AN404">
        <v>14</v>
      </c>
      <c r="AO404">
        <v>10</v>
      </c>
      <c r="AP404">
        <v>8</v>
      </c>
      <c r="AQ404">
        <v>6</v>
      </c>
      <c r="AR404">
        <v>3</v>
      </c>
      <c r="AS404">
        <v>0</v>
      </c>
      <c r="AT404">
        <v>4</v>
      </c>
      <c r="AU404">
        <v>4</v>
      </c>
      <c r="AV404">
        <v>2</v>
      </c>
      <c r="AW404">
        <v>0</v>
      </c>
      <c r="AX404">
        <v>4</v>
      </c>
      <c r="AY404">
        <v>4</v>
      </c>
      <c r="AZ404">
        <v>1</v>
      </c>
      <c r="BA404">
        <v>0</v>
      </c>
      <c r="BB404">
        <v>3</v>
      </c>
      <c r="BC404" s="2">
        <v>5</v>
      </c>
      <c r="BD404" s="2">
        <v>9</v>
      </c>
      <c r="BE404" s="2">
        <v>10</v>
      </c>
      <c r="BF404" s="2">
        <v>13</v>
      </c>
      <c r="BG404" s="2">
        <v>14</v>
      </c>
      <c r="BH404" s="2">
        <v>10</v>
      </c>
      <c r="BI404" s="2">
        <v>8</v>
      </c>
      <c r="BJ404" s="2">
        <v>6</v>
      </c>
      <c r="BK404" s="2">
        <v>3</v>
      </c>
      <c r="BL404" s="2">
        <v>0</v>
      </c>
      <c r="BM404" s="2">
        <v>4</v>
      </c>
      <c r="BN404" s="2">
        <v>4</v>
      </c>
      <c r="BO404" s="2">
        <v>2</v>
      </c>
      <c r="BP404" s="2">
        <v>0</v>
      </c>
      <c r="BQ404" s="2">
        <v>4</v>
      </c>
      <c r="BR404" s="2">
        <v>4</v>
      </c>
      <c r="BS404" s="2">
        <v>1</v>
      </c>
      <c r="BT404" s="2">
        <v>0</v>
      </c>
      <c r="BU404" s="2">
        <v>3</v>
      </c>
      <c r="BV404" s="2">
        <f t="shared" si="29"/>
        <v>100</v>
      </c>
      <c r="BW404" s="16">
        <f t="shared" si="27"/>
        <v>5.2631578947368425</v>
      </c>
      <c r="BX404" s="16">
        <f>COUNTIF($BC$6:BU404, "=0") / COUNTIF($BC$6:BU404, "&gt;-1")</f>
        <v>0.10170162247724575</v>
      </c>
      <c r="BY404" s="18">
        <f>SUM($BC$6:BU404) / $BY$4</f>
        <v>0.81270222728383923</v>
      </c>
      <c r="BZ404" s="14">
        <f t="shared" si="28"/>
        <v>3</v>
      </c>
      <c r="CA404" t="s">
        <v>5831</v>
      </c>
      <c r="CB404" s="36">
        <v>6.0582169791736504</v>
      </c>
      <c r="CC404" s="36">
        <v>8.6675770860970207</v>
      </c>
      <c r="CD404" s="36">
        <v>16.007976618122601</v>
      </c>
      <c r="CE404" s="36">
        <v>19.654982868992001</v>
      </c>
      <c r="CF404" s="36">
        <v>12.042469039116501</v>
      </c>
      <c r="CG404" s="36">
        <v>9.2972724663949098</v>
      </c>
      <c r="CH404" s="36">
        <v>8.4324982629171306</v>
      </c>
      <c r="CI404" s="36">
        <v>5.8391015878938397</v>
      </c>
      <c r="CJ404" s="37">
        <v>2.3842748797348698</v>
      </c>
      <c r="CK404" s="37">
        <v>2.5225985875531398</v>
      </c>
      <c r="CL404" s="37">
        <v>3.2002173930693698</v>
      </c>
      <c r="CM404" s="37">
        <v>1.6930940931998799</v>
      </c>
      <c r="CN404" s="37">
        <v>3.6751702632604601</v>
      </c>
      <c r="CO404" s="37">
        <v>3.1567622815404999</v>
      </c>
      <c r="CP404" s="37">
        <v>1.50854004786242</v>
      </c>
      <c r="CQ404" s="37">
        <v>4.5679105394238499</v>
      </c>
      <c r="CR404" s="45">
        <v>-1.85171330334217</v>
      </c>
      <c r="CS404" s="45">
        <v>-3.7871209925857698</v>
      </c>
      <c r="CT404" s="46">
        <v>5.4957372925243904E-6</v>
      </c>
      <c r="CU404" s="47">
        <v>2.18848110041596E-5</v>
      </c>
      <c r="CV404" s="48">
        <v>10.7500118635884</v>
      </c>
      <c r="CW404" s="49">
        <v>2.8385710107055599</v>
      </c>
      <c r="CX404" s="31" t="s">
        <v>5875</v>
      </c>
      <c r="CY404" s="31" t="s">
        <v>5876</v>
      </c>
      <c r="CZ404" t="s">
        <v>8661</v>
      </c>
      <c r="DA404" t="s">
        <v>5904</v>
      </c>
      <c r="DB404">
        <v>585.5</v>
      </c>
      <c r="DC404" t="s">
        <v>22315</v>
      </c>
      <c r="DD404" t="s">
        <v>22316</v>
      </c>
      <c r="DE404" t="s">
        <v>22317</v>
      </c>
      <c r="DF404" t="s">
        <v>22318</v>
      </c>
      <c r="DG404" t="s">
        <v>22319</v>
      </c>
      <c r="DH404" t="str">
        <f>"FSTL1"</f>
        <v>FSTL1</v>
      </c>
      <c r="DI404" t="s">
        <v>22320</v>
      </c>
      <c r="DJ404" t="s">
        <v>13777</v>
      </c>
      <c r="DK404">
        <v>9606</v>
      </c>
      <c r="DL404" s="34" t="str">
        <f>HYPERLINK("http://www.uniprot.org/uniprot/Q12841", "Q12841")</f>
        <v>Q12841</v>
      </c>
      <c r="DM404" t="s">
        <v>22321</v>
      </c>
      <c r="DN404" t="s">
        <v>13772</v>
      </c>
      <c r="DO404" t="s">
        <v>14321</v>
      </c>
      <c r="DP404" t="s">
        <v>13841</v>
      </c>
      <c r="DQ404" t="s">
        <v>13772</v>
      </c>
      <c r="DR404" t="s">
        <v>13772</v>
      </c>
      <c r="DS404" t="s">
        <v>14404</v>
      </c>
      <c r="DT404" t="s">
        <v>13772</v>
      </c>
      <c r="DU404" t="s">
        <v>14073</v>
      </c>
      <c r="DV404" t="s">
        <v>13964</v>
      </c>
      <c r="DW404" t="s">
        <v>13772</v>
      </c>
      <c r="DX404" t="s">
        <v>22322</v>
      </c>
      <c r="DY404" t="s">
        <v>17448</v>
      </c>
      <c r="DZ404" t="s">
        <v>22323</v>
      </c>
      <c r="EA404" t="s">
        <v>13772</v>
      </c>
      <c r="EB404" t="s">
        <v>22324</v>
      </c>
    </row>
    <row r="405" spans="1:132" hidden="1">
      <c r="A405">
        <v>2454</v>
      </c>
      <c r="B405">
        <v>1</v>
      </c>
      <c r="C405" t="s">
        <v>5769</v>
      </c>
      <c r="D405" t="s">
        <v>73</v>
      </c>
      <c r="E405" t="s">
        <v>5770</v>
      </c>
      <c r="F405" t="s">
        <v>73</v>
      </c>
      <c r="G405" t="s">
        <v>73</v>
      </c>
      <c r="H405">
        <v>48.1</v>
      </c>
      <c r="I405">
        <v>800</v>
      </c>
      <c r="J405">
        <v>85948</v>
      </c>
      <c r="K405" t="s">
        <v>5771</v>
      </c>
      <c r="L405">
        <f t="shared" si="26"/>
        <v>99</v>
      </c>
      <c r="N405">
        <v>99</v>
      </c>
      <c r="O405">
        <v>99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32</v>
      </c>
      <c r="Z405">
        <v>0</v>
      </c>
      <c r="AA405">
        <v>29</v>
      </c>
      <c r="AB405">
        <v>3</v>
      </c>
      <c r="AC405">
        <v>10</v>
      </c>
      <c r="AD405">
        <v>0</v>
      </c>
      <c r="AE405">
        <v>7</v>
      </c>
      <c r="AF405">
        <v>12</v>
      </c>
      <c r="AG405">
        <v>1</v>
      </c>
      <c r="AH405">
        <v>0</v>
      </c>
      <c r="AI405">
        <v>3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32</v>
      </c>
      <c r="AS405">
        <v>0</v>
      </c>
      <c r="AT405">
        <v>29</v>
      </c>
      <c r="AU405">
        <v>3</v>
      </c>
      <c r="AV405">
        <v>10</v>
      </c>
      <c r="AW405">
        <v>0</v>
      </c>
      <c r="AX405">
        <v>7</v>
      </c>
      <c r="AY405">
        <v>12</v>
      </c>
      <c r="AZ405">
        <v>1</v>
      </c>
      <c r="BA405">
        <v>0</v>
      </c>
      <c r="BB405">
        <v>3</v>
      </c>
      <c r="BC405" s="2">
        <v>1</v>
      </c>
      <c r="BD405" s="2">
        <v>0</v>
      </c>
      <c r="BE405" s="2">
        <v>1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32</v>
      </c>
      <c r="BL405" s="2">
        <v>0</v>
      </c>
      <c r="BM405" s="2">
        <v>29</v>
      </c>
      <c r="BN405" s="2">
        <v>3</v>
      </c>
      <c r="BO405" s="2">
        <v>10</v>
      </c>
      <c r="BP405" s="2">
        <v>0</v>
      </c>
      <c r="BQ405" s="2">
        <v>7</v>
      </c>
      <c r="BR405" s="2">
        <v>12</v>
      </c>
      <c r="BS405" s="2">
        <v>1</v>
      </c>
      <c r="BT405" s="2">
        <v>0</v>
      </c>
      <c r="BU405" s="2">
        <v>3</v>
      </c>
      <c r="BV405" s="2">
        <f t="shared" si="29"/>
        <v>99</v>
      </c>
      <c r="BW405" s="16">
        <f t="shared" si="27"/>
        <v>5.2105263157894735</v>
      </c>
      <c r="BX405" s="16">
        <f>COUNTIF($BC$6:BU405, "=0") / COUNTIF($BC$6:BU405, "&gt;-1")</f>
        <v>0.10263157894736842</v>
      </c>
      <c r="BY405" s="18">
        <f>SUM($BC$6:BU405) / $BY$4</f>
        <v>0.81312630733384061</v>
      </c>
      <c r="BZ405" s="14">
        <f t="shared" si="28"/>
        <v>9</v>
      </c>
      <c r="CA405" t="s">
        <v>5831</v>
      </c>
      <c r="CB405" s="36">
        <v>1.2116433958347299</v>
      </c>
      <c r="CC405" s="36">
        <v>0.24076603016936199</v>
      </c>
      <c r="CD405" s="36">
        <v>1.6007976618122599</v>
      </c>
      <c r="CE405" s="36">
        <v>0.37798043978830698</v>
      </c>
      <c r="CF405" s="36">
        <v>0.215044089984223</v>
      </c>
      <c r="CG405" s="36">
        <v>0.23243181165987301</v>
      </c>
      <c r="CH405" s="36">
        <v>0.26351557071616</v>
      </c>
      <c r="CI405" s="36">
        <v>0.24329589949557701</v>
      </c>
      <c r="CJ405" s="37">
        <v>25.432265383838601</v>
      </c>
      <c r="CK405" s="37">
        <v>18.2888397597603</v>
      </c>
      <c r="CL405" s="37">
        <v>2.4001630448020301</v>
      </c>
      <c r="CM405" s="37">
        <v>8.4654704659994096</v>
      </c>
      <c r="CN405" s="37">
        <v>6.4315479607058004</v>
      </c>
      <c r="CO405" s="37">
        <v>9.4702868446214996</v>
      </c>
      <c r="CP405" s="37">
        <v>1.50854004786242</v>
      </c>
      <c r="CQ405" s="37">
        <v>4.5679105394238499</v>
      </c>
      <c r="CR405" s="45">
        <v>4.0247905961584101</v>
      </c>
      <c r="CS405" s="45">
        <v>17.458776028209201</v>
      </c>
      <c r="CT405" s="46">
        <v>2.11708224255166E-7</v>
      </c>
      <c r="CU405" s="47">
        <v>1.28757092751551E-6</v>
      </c>
      <c r="CV405" s="48">
        <v>0.54818436243256097</v>
      </c>
      <c r="CW405" s="49">
        <v>9.5706280058767401</v>
      </c>
      <c r="CX405" s="31" t="s">
        <v>5874</v>
      </c>
      <c r="CY405" s="31" t="s">
        <v>5876</v>
      </c>
      <c r="CZ405" t="s">
        <v>10837</v>
      </c>
      <c r="DA405" t="s">
        <v>5904</v>
      </c>
      <c r="DB405">
        <v>956.8</v>
      </c>
      <c r="DC405" t="s">
        <v>28478</v>
      </c>
      <c r="DD405" t="s">
        <v>28479</v>
      </c>
      <c r="DE405" t="s">
        <v>28480</v>
      </c>
      <c r="DF405" t="s">
        <v>28481</v>
      </c>
      <c r="DG405" t="s">
        <v>28482</v>
      </c>
      <c r="DH405" t="str">
        <f>"CAST"</f>
        <v>CAST</v>
      </c>
      <c r="DI405" t="s">
        <v>13772</v>
      </c>
      <c r="DJ405" t="s">
        <v>13777</v>
      </c>
      <c r="DK405">
        <v>9606</v>
      </c>
      <c r="DL405" s="34" t="str">
        <f>HYPERLINK("http://www.uniprot.org/uniprot/P20810", "P20810")</f>
        <v>P20810</v>
      </c>
      <c r="DM405" t="s">
        <v>28483</v>
      </c>
      <c r="DN405" t="s">
        <v>13772</v>
      </c>
      <c r="DO405" t="s">
        <v>13772</v>
      </c>
      <c r="DP405" t="s">
        <v>13780</v>
      </c>
      <c r="DQ405" t="s">
        <v>13772</v>
      </c>
      <c r="DR405" t="s">
        <v>28484</v>
      </c>
      <c r="DS405" t="s">
        <v>14096</v>
      </c>
      <c r="DT405" t="s">
        <v>13772</v>
      </c>
      <c r="DU405" t="s">
        <v>19559</v>
      </c>
      <c r="DV405" t="s">
        <v>13991</v>
      </c>
      <c r="DW405" t="s">
        <v>13772</v>
      </c>
      <c r="DX405" t="s">
        <v>28485</v>
      </c>
      <c r="DY405" t="s">
        <v>28486</v>
      </c>
      <c r="DZ405" t="s">
        <v>28487</v>
      </c>
      <c r="EA405" t="s">
        <v>13772</v>
      </c>
      <c r="EB405" t="s">
        <v>28488</v>
      </c>
    </row>
    <row r="406" spans="1:132" hidden="1">
      <c r="A406">
        <v>1912</v>
      </c>
      <c r="B406">
        <v>1</v>
      </c>
      <c r="C406" t="s">
        <v>4504</v>
      </c>
      <c r="D406" t="s">
        <v>73</v>
      </c>
      <c r="E406" t="s">
        <v>73</v>
      </c>
      <c r="F406" t="s">
        <v>73</v>
      </c>
      <c r="G406" t="s">
        <v>73</v>
      </c>
      <c r="H406">
        <v>44.6</v>
      </c>
      <c r="I406">
        <v>280</v>
      </c>
      <c r="J406">
        <v>31837</v>
      </c>
      <c r="K406" t="s">
        <v>4505</v>
      </c>
      <c r="L406">
        <f t="shared" si="26"/>
        <v>99</v>
      </c>
      <c r="N406">
        <v>99</v>
      </c>
      <c r="O406">
        <v>99</v>
      </c>
      <c r="P406">
        <v>1</v>
      </c>
      <c r="Q406">
        <v>4</v>
      </c>
      <c r="R406">
        <v>5</v>
      </c>
      <c r="S406">
        <v>3</v>
      </c>
      <c r="T406">
        <v>0</v>
      </c>
      <c r="U406">
        <v>1</v>
      </c>
      <c r="V406">
        <v>1</v>
      </c>
      <c r="W406">
        <v>3</v>
      </c>
      <c r="X406">
        <v>5</v>
      </c>
      <c r="Y406">
        <v>6</v>
      </c>
      <c r="Z406">
        <v>0</v>
      </c>
      <c r="AA406">
        <v>14</v>
      </c>
      <c r="AB406">
        <v>11</v>
      </c>
      <c r="AC406">
        <v>7</v>
      </c>
      <c r="AD406">
        <v>2</v>
      </c>
      <c r="AE406">
        <v>8</v>
      </c>
      <c r="AF406">
        <v>17</v>
      </c>
      <c r="AG406">
        <v>3</v>
      </c>
      <c r="AH406">
        <v>2</v>
      </c>
      <c r="AI406">
        <v>7</v>
      </c>
      <c r="AJ406">
        <v>4</v>
      </c>
      <c r="AK406">
        <v>5</v>
      </c>
      <c r="AL406">
        <v>3</v>
      </c>
      <c r="AM406">
        <v>0</v>
      </c>
      <c r="AN406">
        <v>1</v>
      </c>
      <c r="AO406">
        <v>1</v>
      </c>
      <c r="AP406">
        <v>3</v>
      </c>
      <c r="AQ406">
        <v>5</v>
      </c>
      <c r="AR406">
        <v>6</v>
      </c>
      <c r="AS406">
        <v>0</v>
      </c>
      <c r="AT406">
        <v>14</v>
      </c>
      <c r="AU406">
        <v>11</v>
      </c>
      <c r="AV406">
        <v>7</v>
      </c>
      <c r="AW406">
        <v>2</v>
      </c>
      <c r="AX406">
        <v>8</v>
      </c>
      <c r="AY406">
        <v>17</v>
      </c>
      <c r="AZ406">
        <v>3</v>
      </c>
      <c r="BA406">
        <v>2</v>
      </c>
      <c r="BB406">
        <v>7</v>
      </c>
      <c r="BC406" s="2">
        <v>4</v>
      </c>
      <c r="BD406" s="2">
        <v>5</v>
      </c>
      <c r="BE406" s="2">
        <v>3</v>
      </c>
      <c r="BF406" s="2">
        <v>0</v>
      </c>
      <c r="BG406" s="2">
        <v>1</v>
      </c>
      <c r="BH406" s="2">
        <v>1</v>
      </c>
      <c r="BI406" s="2">
        <v>3</v>
      </c>
      <c r="BJ406" s="2">
        <v>5</v>
      </c>
      <c r="BK406" s="2">
        <v>6</v>
      </c>
      <c r="BL406" s="2">
        <v>0</v>
      </c>
      <c r="BM406" s="2">
        <v>14</v>
      </c>
      <c r="BN406" s="2">
        <v>11</v>
      </c>
      <c r="BO406" s="2">
        <v>7</v>
      </c>
      <c r="BP406" s="2">
        <v>2</v>
      </c>
      <c r="BQ406" s="2">
        <v>8</v>
      </c>
      <c r="BR406" s="2">
        <v>17</v>
      </c>
      <c r="BS406" s="2">
        <v>3</v>
      </c>
      <c r="BT406" s="2">
        <v>2</v>
      </c>
      <c r="BU406" s="2">
        <v>7</v>
      </c>
      <c r="BV406" s="2">
        <f t="shared" si="29"/>
        <v>99</v>
      </c>
      <c r="BW406" s="16">
        <f t="shared" si="27"/>
        <v>5.2105263157894735</v>
      </c>
      <c r="BX406" s="16">
        <f>COUNTIF($BC$6:BU406, "=0") / COUNTIF($BC$6:BU406, "&gt;-1")</f>
        <v>0.10263814148838431</v>
      </c>
      <c r="BY406" s="18">
        <f>SUM($BC$6:BU406) / $BY$4</f>
        <v>0.813550387383842</v>
      </c>
      <c r="BZ406" s="14">
        <f t="shared" si="28"/>
        <v>2</v>
      </c>
      <c r="CA406" t="s">
        <v>5831</v>
      </c>
      <c r="CB406" s="36">
        <v>4.8465735833389196</v>
      </c>
      <c r="CC406" s="36">
        <v>4.8153206033872298</v>
      </c>
      <c r="CD406" s="36">
        <v>4.8023929854367697</v>
      </c>
      <c r="CE406" s="36">
        <v>0.37798043978830698</v>
      </c>
      <c r="CF406" s="36">
        <v>0.86017635993689201</v>
      </c>
      <c r="CG406" s="36">
        <v>0.92972724663949102</v>
      </c>
      <c r="CH406" s="36">
        <v>3.1621868485939202</v>
      </c>
      <c r="CI406" s="36">
        <v>4.8659179899115301</v>
      </c>
      <c r="CJ406" s="37">
        <v>4.7685497594697397</v>
      </c>
      <c r="CK406" s="37">
        <v>8.8290950564359996</v>
      </c>
      <c r="CL406" s="37">
        <v>8.8005978309407702</v>
      </c>
      <c r="CM406" s="37">
        <v>5.9258293261995796</v>
      </c>
      <c r="CN406" s="37">
        <v>7.3503405265209096</v>
      </c>
      <c r="CO406" s="37">
        <v>13.4162396965471</v>
      </c>
      <c r="CP406" s="37">
        <v>4.5256201435872701</v>
      </c>
      <c r="CQ406" s="37">
        <v>10.658457925322301</v>
      </c>
      <c r="CR406" s="45">
        <v>1.37575758872029</v>
      </c>
      <c r="CS406" s="45">
        <v>2.6064075729068201</v>
      </c>
      <c r="CT406" s="46">
        <v>1.7842225068227999E-3</v>
      </c>
      <c r="CU406" s="47">
        <v>3.8380863571204401E-3</v>
      </c>
      <c r="CV406" s="48">
        <v>3.0825345071291301</v>
      </c>
      <c r="CW406" s="49">
        <v>8.0343412831279704</v>
      </c>
      <c r="CX406" s="31" t="s">
        <v>5874</v>
      </c>
      <c r="CY406" s="31" t="s">
        <v>5876</v>
      </c>
      <c r="CZ406" t="s">
        <v>12126</v>
      </c>
      <c r="DA406" t="s">
        <v>5904</v>
      </c>
      <c r="DB406">
        <v>428.3</v>
      </c>
      <c r="DC406" t="s">
        <v>32093</v>
      </c>
      <c r="DD406" t="s">
        <v>32094</v>
      </c>
      <c r="DE406" t="s">
        <v>32095</v>
      </c>
      <c r="DF406" t="s">
        <v>32096</v>
      </c>
      <c r="DG406" t="s">
        <v>32097</v>
      </c>
      <c r="DH406" t="str">
        <f>"PENK"</f>
        <v>PENK</v>
      </c>
      <c r="DI406" t="s">
        <v>13772</v>
      </c>
      <c r="DJ406" t="s">
        <v>13777</v>
      </c>
      <c r="DK406">
        <v>9606</v>
      </c>
      <c r="DL406" s="34" t="str">
        <f>HYPERLINK("http://www.uniprot.org/uniprot/P01210", "P01210")</f>
        <v>P01210</v>
      </c>
      <c r="DM406" t="s">
        <v>32098</v>
      </c>
      <c r="DN406" t="s">
        <v>13772</v>
      </c>
      <c r="DO406" t="s">
        <v>14321</v>
      </c>
      <c r="DP406" t="s">
        <v>13793</v>
      </c>
      <c r="DQ406" t="s">
        <v>13772</v>
      </c>
      <c r="DR406" t="s">
        <v>13772</v>
      </c>
      <c r="DS406" t="s">
        <v>13808</v>
      </c>
      <c r="DT406" t="s">
        <v>13772</v>
      </c>
      <c r="DU406" t="s">
        <v>32099</v>
      </c>
      <c r="DV406" t="s">
        <v>32100</v>
      </c>
      <c r="DW406" t="s">
        <v>13812</v>
      </c>
      <c r="DX406" t="s">
        <v>32101</v>
      </c>
      <c r="DY406" t="s">
        <v>32102</v>
      </c>
      <c r="DZ406" t="s">
        <v>32103</v>
      </c>
      <c r="EA406" t="s">
        <v>13772</v>
      </c>
      <c r="EB406" t="s">
        <v>32104</v>
      </c>
    </row>
    <row r="407" spans="1:132" hidden="1">
      <c r="A407">
        <v>1317</v>
      </c>
      <c r="B407">
        <v>1</v>
      </c>
      <c r="C407" t="s">
        <v>3159</v>
      </c>
      <c r="D407" t="s">
        <v>73</v>
      </c>
      <c r="E407" t="s">
        <v>73</v>
      </c>
      <c r="F407" t="s">
        <v>3157</v>
      </c>
      <c r="G407" t="s">
        <v>73</v>
      </c>
      <c r="H407">
        <v>42.9</v>
      </c>
      <c r="I407">
        <v>380</v>
      </c>
      <c r="J407">
        <v>42799</v>
      </c>
      <c r="K407" t="s">
        <v>3160</v>
      </c>
      <c r="L407">
        <f t="shared" si="26"/>
        <v>195</v>
      </c>
      <c r="N407">
        <v>195</v>
      </c>
      <c r="O407">
        <v>55</v>
      </c>
      <c r="P407">
        <v>0.28199999999999997</v>
      </c>
      <c r="Q407">
        <v>11</v>
      </c>
      <c r="R407">
        <v>8</v>
      </c>
      <c r="S407">
        <v>12</v>
      </c>
      <c r="T407">
        <v>9</v>
      </c>
      <c r="U407">
        <v>8</v>
      </c>
      <c r="V407">
        <v>6</v>
      </c>
      <c r="W407">
        <v>18</v>
      </c>
      <c r="X407">
        <v>45</v>
      </c>
      <c r="Y407">
        <v>7</v>
      </c>
      <c r="Z407">
        <v>0</v>
      </c>
      <c r="AA407">
        <v>14</v>
      </c>
      <c r="AB407">
        <v>15</v>
      </c>
      <c r="AC407">
        <v>5</v>
      </c>
      <c r="AD407">
        <v>0</v>
      </c>
      <c r="AE407">
        <v>11</v>
      </c>
      <c r="AF407">
        <v>13</v>
      </c>
      <c r="AG407">
        <v>6</v>
      </c>
      <c r="AH407">
        <v>2</v>
      </c>
      <c r="AI407">
        <v>5</v>
      </c>
      <c r="AJ407">
        <v>4</v>
      </c>
      <c r="AK407">
        <v>6</v>
      </c>
      <c r="AL407">
        <v>5</v>
      </c>
      <c r="AM407">
        <v>7</v>
      </c>
      <c r="AN407">
        <v>5</v>
      </c>
      <c r="AO407">
        <v>2</v>
      </c>
      <c r="AP407">
        <v>3</v>
      </c>
      <c r="AQ407">
        <v>4</v>
      </c>
      <c r="AR407">
        <v>2</v>
      </c>
      <c r="AS407">
        <v>0</v>
      </c>
      <c r="AT407">
        <v>2</v>
      </c>
      <c r="AU407">
        <v>3</v>
      </c>
      <c r="AV407">
        <v>2</v>
      </c>
      <c r="AW407">
        <v>0</v>
      </c>
      <c r="AX407">
        <v>2</v>
      </c>
      <c r="AY407">
        <v>5</v>
      </c>
      <c r="AZ407">
        <v>0</v>
      </c>
      <c r="BA407">
        <v>1</v>
      </c>
      <c r="BB407">
        <v>2</v>
      </c>
      <c r="BC407" s="2">
        <v>6.1539999999999999</v>
      </c>
      <c r="BD407" s="2">
        <v>6.75</v>
      </c>
      <c r="BE407" s="2">
        <v>7.6920000000000002</v>
      </c>
      <c r="BF407" s="2">
        <v>7.9329999999999998</v>
      </c>
      <c r="BG407" s="2">
        <v>5.9379999999999997</v>
      </c>
      <c r="BH407" s="2">
        <v>3.1429999999999998</v>
      </c>
      <c r="BI407" s="2">
        <v>6.2140000000000004</v>
      </c>
      <c r="BJ407" s="2">
        <v>16.614999999999998</v>
      </c>
      <c r="BK407" s="2">
        <v>4</v>
      </c>
      <c r="BL407" s="2">
        <v>0</v>
      </c>
      <c r="BM407" s="2">
        <v>4.6669999999999998</v>
      </c>
      <c r="BN407" s="2">
        <v>7</v>
      </c>
      <c r="BO407" s="2">
        <v>4</v>
      </c>
      <c r="BP407" s="2">
        <v>0</v>
      </c>
      <c r="BQ407" s="2">
        <v>4.5709999999999997</v>
      </c>
      <c r="BR407" s="2">
        <v>9</v>
      </c>
      <c r="BS407" s="2">
        <v>0</v>
      </c>
      <c r="BT407" s="2">
        <v>1.25</v>
      </c>
      <c r="BU407" s="2">
        <v>3.5</v>
      </c>
      <c r="BV407" s="2">
        <f t="shared" si="29"/>
        <v>98.426999999999992</v>
      </c>
      <c r="BW407" s="16">
        <f t="shared" si="27"/>
        <v>5.1803684210526315</v>
      </c>
      <c r="BX407" s="16">
        <f>COUNTIF($BC$6:BU407, "=0") / COUNTIF($BC$6:BU407, "&gt;-1")</f>
        <v>0.10277559570568212</v>
      </c>
      <c r="BY407" s="18">
        <f>SUM($BC$6:BU407) / $BY$4</f>
        <v>0.8139720129099175</v>
      </c>
      <c r="BZ407" s="14">
        <f t="shared" si="28"/>
        <v>3</v>
      </c>
      <c r="CA407" t="s">
        <v>5831</v>
      </c>
      <c r="CB407" s="36">
        <v>7.5121890541753196</v>
      </c>
      <c r="CC407" s="36">
        <v>6.5488360206066396</v>
      </c>
      <c r="CD407" s="36">
        <v>12.3261419959544</v>
      </c>
      <c r="CE407" s="36">
        <v>11.9441818973105</v>
      </c>
      <c r="CF407" s="36">
        <v>5.0750405236276599</v>
      </c>
      <c r="CG407" s="36">
        <v>2.88215446458242</v>
      </c>
      <c r="CH407" s="36">
        <v>6.5351861537607698</v>
      </c>
      <c r="CI407" s="36">
        <v>16.154847726506301</v>
      </c>
      <c r="CJ407" s="37">
        <v>3.17903317297983</v>
      </c>
      <c r="CK407" s="37">
        <v>2.9640533403749401</v>
      </c>
      <c r="CL407" s="37">
        <v>5.6003804378713999</v>
      </c>
      <c r="CM407" s="37">
        <v>3.3861881863997598</v>
      </c>
      <c r="CN407" s="37">
        <v>4.2264458027495202</v>
      </c>
      <c r="CO407" s="37">
        <v>7.1027151334661296</v>
      </c>
      <c r="CP407" s="37">
        <v>0.377135011965606</v>
      </c>
      <c r="CQ407" s="37">
        <v>5.3292289626611602</v>
      </c>
      <c r="CR407" s="45">
        <v>-1.01600268800185</v>
      </c>
      <c r="CS407" s="45">
        <v>-2.1445108571624099</v>
      </c>
      <c r="CT407" s="46">
        <v>1.4164689125400301E-2</v>
      </c>
      <c r="CU407" s="47">
        <v>2.5135748076638698E-2</v>
      </c>
      <c r="CV407" s="48">
        <v>8.6223222295654995</v>
      </c>
      <c r="CW407" s="49">
        <v>4.0206475060585403</v>
      </c>
      <c r="CX407" s="31" t="s">
        <v>5875</v>
      </c>
      <c r="CY407" s="31" t="s">
        <v>5878</v>
      </c>
      <c r="CZ407" t="s">
        <v>10132</v>
      </c>
      <c r="DA407" t="s">
        <v>5904</v>
      </c>
      <c r="DB407">
        <v>566.6</v>
      </c>
      <c r="DC407" t="s">
        <v>26516</v>
      </c>
      <c r="DD407" t="s">
        <v>26517</v>
      </c>
      <c r="DE407" t="s">
        <v>26518</v>
      </c>
      <c r="DF407" t="s">
        <v>26519</v>
      </c>
      <c r="DG407" t="s">
        <v>26520</v>
      </c>
      <c r="DH407" t="str">
        <f>"ART3"</f>
        <v>ART3</v>
      </c>
      <c r="DI407" t="s">
        <v>26521</v>
      </c>
      <c r="DJ407" t="s">
        <v>13777</v>
      </c>
      <c r="DK407">
        <v>9606</v>
      </c>
      <c r="DL407" s="34" t="str">
        <f>HYPERLINK("http://www.uniprot.org/uniprot/Q13508", "Q13508")</f>
        <v>Q13508</v>
      </c>
      <c r="DM407" t="s">
        <v>26522</v>
      </c>
      <c r="DN407" t="s">
        <v>13772</v>
      </c>
      <c r="DO407" t="s">
        <v>13792</v>
      </c>
      <c r="DP407" t="s">
        <v>13780</v>
      </c>
      <c r="DQ407" t="s">
        <v>13772</v>
      </c>
      <c r="DR407" t="s">
        <v>13772</v>
      </c>
      <c r="DS407" t="s">
        <v>14404</v>
      </c>
      <c r="DT407" t="s">
        <v>26523</v>
      </c>
      <c r="DU407" t="s">
        <v>15995</v>
      </c>
      <c r="DV407" t="s">
        <v>15699</v>
      </c>
      <c r="DW407" t="s">
        <v>13772</v>
      </c>
      <c r="DX407" t="s">
        <v>26524</v>
      </c>
      <c r="DY407" t="s">
        <v>26525</v>
      </c>
      <c r="DZ407" t="s">
        <v>26526</v>
      </c>
      <c r="EA407" t="s">
        <v>13772</v>
      </c>
      <c r="EB407" t="s">
        <v>16280</v>
      </c>
    </row>
    <row r="408" spans="1:132" hidden="1">
      <c r="A408">
        <v>1354</v>
      </c>
      <c r="B408">
        <v>1</v>
      </c>
      <c r="C408" t="s">
        <v>3236</v>
      </c>
      <c r="D408" t="s">
        <v>73</v>
      </c>
      <c r="E408" t="s">
        <v>73</v>
      </c>
      <c r="F408" t="s">
        <v>73</v>
      </c>
      <c r="G408" t="s">
        <v>73</v>
      </c>
      <c r="H408">
        <v>66.900000000000006</v>
      </c>
      <c r="I408">
        <v>242</v>
      </c>
      <c r="J408">
        <v>25659</v>
      </c>
      <c r="K408" t="s">
        <v>3237</v>
      </c>
      <c r="L408">
        <f t="shared" si="26"/>
        <v>98</v>
      </c>
      <c r="N408">
        <v>98</v>
      </c>
      <c r="O408">
        <v>98</v>
      </c>
      <c r="P408">
        <v>1</v>
      </c>
      <c r="Q408">
        <v>5</v>
      </c>
      <c r="R408">
        <v>12</v>
      </c>
      <c r="S408">
        <v>0</v>
      </c>
      <c r="T408">
        <v>1</v>
      </c>
      <c r="U408">
        <v>13</v>
      </c>
      <c r="V408">
        <v>13</v>
      </c>
      <c r="W408">
        <v>5</v>
      </c>
      <c r="X408">
        <v>8</v>
      </c>
      <c r="Y408">
        <v>17</v>
      </c>
      <c r="Z408">
        <v>0</v>
      </c>
      <c r="AA408">
        <v>15</v>
      </c>
      <c r="AB408">
        <v>3</v>
      </c>
      <c r="AC408">
        <v>1</v>
      </c>
      <c r="AD408">
        <v>0</v>
      </c>
      <c r="AE408">
        <v>2</v>
      </c>
      <c r="AF408">
        <v>3</v>
      </c>
      <c r="AG408">
        <v>0</v>
      </c>
      <c r="AH408">
        <v>0</v>
      </c>
      <c r="AI408">
        <v>0</v>
      </c>
      <c r="AJ408">
        <v>5</v>
      </c>
      <c r="AK408">
        <v>12</v>
      </c>
      <c r="AL408">
        <v>0</v>
      </c>
      <c r="AM408">
        <v>1</v>
      </c>
      <c r="AN408">
        <v>13</v>
      </c>
      <c r="AO408">
        <v>13</v>
      </c>
      <c r="AP408">
        <v>5</v>
      </c>
      <c r="AQ408">
        <v>8</v>
      </c>
      <c r="AR408">
        <v>17</v>
      </c>
      <c r="AS408">
        <v>0</v>
      </c>
      <c r="AT408">
        <v>15</v>
      </c>
      <c r="AU408">
        <v>3</v>
      </c>
      <c r="AV408">
        <v>1</v>
      </c>
      <c r="AW408">
        <v>0</v>
      </c>
      <c r="AX408">
        <v>2</v>
      </c>
      <c r="AY408">
        <v>3</v>
      </c>
      <c r="AZ408">
        <v>0</v>
      </c>
      <c r="BA408">
        <v>0</v>
      </c>
      <c r="BB408">
        <v>0</v>
      </c>
      <c r="BC408" s="2">
        <v>5</v>
      </c>
      <c r="BD408" s="2">
        <v>12</v>
      </c>
      <c r="BE408" s="2">
        <v>0</v>
      </c>
      <c r="BF408" s="2">
        <v>1</v>
      </c>
      <c r="BG408" s="2">
        <v>13</v>
      </c>
      <c r="BH408" s="2">
        <v>13</v>
      </c>
      <c r="BI408" s="2">
        <v>5</v>
      </c>
      <c r="BJ408" s="2">
        <v>8</v>
      </c>
      <c r="BK408" s="2">
        <v>17</v>
      </c>
      <c r="BL408" s="2">
        <v>0</v>
      </c>
      <c r="BM408" s="2">
        <v>15</v>
      </c>
      <c r="BN408" s="2">
        <v>3</v>
      </c>
      <c r="BO408" s="2">
        <v>1</v>
      </c>
      <c r="BP408" s="2">
        <v>0</v>
      </c>
      <c r="BQ408" s="2">
        <v>2</v>
      </c>
      <c r="BR408" s="2">
        <v>3</v>
      </c>
      <c r="BS408" s="2">
        <v>0</v>
      </c>
      <c r="BT408" s="2">
        <v>0</v>
      </c>
      <c r="BU408" s="2">
        <v>0</v>
      </c>
      <c r="BV408" s="2">
        <f t="shared" si="29"/>
        <v>98</v>
      </c>
      <c r="BW408" s="16">
        <f t="shared" si="27"/>
        <v>5.1578947368421053</v>
      </c>
      <c r="BX408" s="16">
        <f>COUNTIF($BC$6:BU408, "=0") / COUNTIF($BC$6:BU408, "&gt;-1")</f>
        <v>0.10330416612250229</v>
      </c>
      <c r="BY408" s="18">
        <f>SUM($BC$6:BU408) / $BY$4</f>
        <v>0.81439180932305022</v>
      </c>
      <c r="BZ408" s="14">
        <f t="shared" si="28"/>
        <v>6</v>
      </c>
      <c r="CA408" t="s">
        <v>5831</v>
      </c>
      <c r="CB408" s="36">
        <v>6.0582169791736504</v>
      </c>
      <c r="CC408" s="36">
        <v>11.556769448129399</v>
      </c>
      <c r="CD408" s="36">
        <v>0.40019941545306398</v>
      </c>
      <c r="CE408" s="36">
        <v>1.5119217591532299</v>
      </c>
      <c r="CF408" s="36">
        <v>11.1822926791796</v>
      </c>
      <c r="CG408" s="36">
        <v>12.0864542063134</v>
      </c>
      <c r="CH408" s="36">
        <v>5.2703114143232002</v>
      </c>
      <c r="CI408" s="36">
        <v>7.78546878385845</v>
      </c>
      <c r="CJ408" s="37">
        <v>13.5108909851643</v>
      </c>
      <c r="CK408" s="37">
        <v>9.4597447033242794</v>
      </c>
      <c r="CL408" s="37">
        <v>2.4001630448020301</v>
      </c>
      <c r="CM408" s="37">
        <v>0.84654704659994096</v>
      </c>
      <c r="CN408" s="37">
        <v>1.8375851316302301</v>
      </c>
      <c r="CO408" s="37">
        <v>2.36757171115537</v>
      </c>
      <c r="CP408" s="37">
        <v>0.377135011965606</v>
      </c>
      <c r="CQ408" s="37">
        <v>0.38065921161865401</v>
      </c>
      <c r="CR408" s="45">
        <v>-0.78115919325239602</v>
      </c>
      <c r="CS408" s="45">
        <v>-1.7912476895575999</v>
      </c>
      <c r="CT408" s="46">
        <v>0.206041394233071</v>
      </c>
      <c r="CU408" s="47">
        <v>0.27073472261001802</v>
      </c>
      <c r="CV408" s="48">
        <v>6.9814543356979897</v>
      </c>
      <c r="CW408" s="49">
        <v>3.8975371057825501</v>
      </c>
      <c r="CX408" s="31" t="s">
        <v>5875</v>
      </c>
      <c r="CY408" s="31" t="s">
        <v>5832</v>
      </c>
      <c r="CZ408" t="s">
        <v>10256</v>
      </c>
      <c r="DA408" t="s">
        <v>5904</v>
      </c>
      <c r="DB408">
        <v>486.1</v>
      </c>
      <c r="DC408" t="s">
        <v>26869</v>
      </c>
      <c r="DD408" t="s">
        <v>26870</v>
      </c>
      <c r="DE408" t="s">
        <v>26871</v>
      </c>
      <c r="DF408" t="s">
        <v>26872</v>
      </c>
      <c r="DG408" t="s">
        <v>26873</v>
      </c>
      <c r="DH408" t="str">
        <f>"QDPR"</f>
        <v>QDPR</v>
      </c>
      <c r="DI408" t="s">
        <v>26874</v>
      </c>
      <c r="DJ408" t="s">
        <v>13777</v>
      </c>
      <c r="DK408">
        <v>9606</v>
      </c>
      <c r="DL408" s="34" t="str">
        <f>HYPERLINK("http://www.uniprot.org/uniprot/P09417", "P09417")</f>
        <v>P09417</v>
      </c>
      <c r="DM408" t="s">
        <v>26875</v>
      </c>
      <c r="DN408" t="s">
        <v>26876</v>
      </c>
      <c r="DO408" t="s">
        <v>13772</v>
      </c>
      <c r="DP408" t="s">
        <v>13780</v>
      </c>
      <c r="DQ408" t="s">
        <v>13772</v>
      </c>
      <c r="DR408" t="s">
        <v>26877</v>
      </c>
      <c r="DS408" t="s">
        <v>13772</v>
      </c>
      <c r="DT408" t="s">
        <v>15759</v>
      </c>
      <c r="DU408" t="s">
        <v>13885</v>
      </c>
      <c r="DV408" t="s">
        <v>14020</v>
      </c>
      <c r="DW408" t="s">
        <v>13812</v>
      </c>
      <c r="DX408" t="s">
        <v>26878</v>
      </c>
      <c r="DY408" t="s">
        <v>26879</v>
      </c>
      <c r="DZ408" t="s">
        <v>26880</v>
      </c>
      <c r="EA408" t="s">
        <v>13772</v>
      </c>
      <c r="EB408" t="s">
        <v>15713</v>
      </c>
    </row>
    <row r="409" spans="1:132" hidden="1">
      <c r="A409">
        <v>1790</v>
      </c>
      <c r="B409">
        <v>1</v>
      </c>
      <c r="C409" t="s">
        <v>4233</v>
      </c>
      <c r="D409" t="s">
        <v>73</v>
      </c>
      <c r="E409" t="s">
        <v>73</v>
      </c>
      <c r="F409" t="s">
        <v>73</v>
      </c>
      <c r="G409" t="s">
        <v>73</v>
      </c>
      <c r="H409">
        <v>47.5</v>
      </c>
      <c r="I409">
        <v>322</v>
      </c>
      <c r="J409">
        <v>34635</v>
      </c>
      <c r="K409" t="s">
        <v>4234</v>
      </c>
      <c r="L409">
        <f t="shared" si="26"/>
        <v>98</v>
      </c>
      <c r="N409">
        <v>98</v>
      </c>
      <c r="O409">
        <v>98</v>
      </c>
      <c r="P409">
        <v>1</v>
      </c>
      <c r="Q409">
        <v>9</v>
      </c>
      <c r="R409">
        <v>12</v>
      </c>
      <c r="S409">
        <v>12</v>
      </c>
      <c r="T409">
        <v>10</v>
      </c>
      <c r="U409">
        <v>13</v>
      </c>
      <c r="V409">
        <v>14</v>
      </c>
      <c r="W409">
        <v>9</v>
      </c>
      <c r="X409">
        <v>6</v>
      </c>
      <c r="Y409">
        <v>0</v>
      </c>
      <c r="Z409">
        <v>0</v>
      </c>
      <c r="AA409">
        <v>3</v>
      </c>
      <c r="AB409">
        <v>3</v>
      </c>
      <c r="AC409">
        <v>1</v>
      </c>
      <c r="AD409">
        <v>1</v>
      </c>
      <c r="AE409">
        <v>2</v>
      </c>
      <c r="AF409">
        <v>1</v>
      </c>
      <c r="AG409">
        <v>1</v>
      </c>
      <c r="AH409">
        <v>0</v>
      </c>
      <c r="AI409">
        <v>1</v>
      </c>
      <c r="AJ409">
        <v>9</v>
      </c>
      <c r="AK409">
        <v>12</v>
      </c>
      <c r="AL409">
        <v>12</v>
      </c>
      <c r="AM409">
        <v>10</v>
      </c>
      <c r="AN409">
        <v>13</v>
      </c>
      <c r="AO409">
        <v>14</v>
      </c>
      <c r="AP409">
        <v>9</v>
      </c>
      <c r="AQ409">
        <v>6</v>
      </c>
      <c r="AR409">
        <v>0</v>
      </c>
      <c r="AS409">
        <v>0</v>
      </c>
      <c r="AT409">
        <v>3</v>
      </c>
      <c r="AU409">
        <v>3</v>
      </c>
      <c r="AV409">
        <v>1</v>
      </c>
      <c r="AW409">
        <v>1</v>
      </c>
      <c r="AX409">
        <v>2</v>
      </c>
      <c r="AY409">
        <v>1</v>
      </c>
      <c r="AZ409">
        <v>1</v>
      </c>
      <c r="BA409">
        <v>0</v>
      </c>
      <c r="BB409">
        <v>1</v>
      </c>
      <c r="BC409" s="2">
        <v>9</v>
      </c>
      <c r="BD409" s="2">
        <v>12</v>
      </c>
      <c r="BE409" s="2">
        <v>12</v>
      </c>
      <c r="BF409" s="2">
        <v>10</v>
      </c>
      <c r="BG409" s="2">
        <v>13</v>
      </c>
      <c r="BH409" s="2">
        <v>14</v>
      </c>
      <c r="BI409" s="2">
        <v>9</v>
      </c>
      <c r="BJ409" s="2">
        <v>6</v>
      </c>
      <c r="BK409" s="2">
        <v>0</v>
      </c>
      <c r="BL409" s="2">
        <v>0</v>
      </c>
      <c r="BM409" s="2">
        <v>3</v>
      </c>
      <c r="BN409" s="2">
        <v>3</v>
      </c>
      <c r="BO409" s="2">
        <v>1</v>
      </c>
      <c r="BP409" s="2">
        <v>1</v>
      </c>
      <c r="BQ409" s="2">
        <v>2</v>
      </c>
      <c r="BR409" s="2">
        <v>1</v>
      </c>
      <c r="BS409" s="2">
        <v>1</v>
      </c>
      <c r="BT409" s="2">
        <v>0</v>
      </c>
      <c r="BU409" s="2">
        <v>1</v>
      </c>
      <c r="BV409" s="2">
        <f t="shared" si="29"/>
        <v>98</v>
      </c>
      <c r="BW409" s="16">
        <f t="shared" si="27"/>
        <v>5.1578947368421053</v>
      </c>
      <c r="BX409" s="16">
        <f>COUNTIF($BC$6:BU409, "=0") / COUNTIF($BC$6:BU409, "&gt;-1")</f>
        <v>0.10343929129755081</v>
      </c>
      <c r="BY409" s="18">
        <f>SUM($BC$6:BU409) / $BY$4</f>
        <v>0.81481160573618283</v>
      </c>
      <c r="BZ409" s="14">
        <f t="shared" si="28"/>
        <v>3</v>
      </c>
      <c r="CA409" t="s">
        <v>5831</v>
      </c>
      <c r="CB409" s="36">
        <v>10.9047905625126</v>
      </c>
      <c r="CC409" s="36">
        <v>11.556769448129399</v>
      </c>
      <c r="CD409" s="36">
        <v>19.2095719417471</v>
      </c>
      <c r="CE409" s="36">
        <v>15.119217591532299</v>
      </c>
      <c r="CF409" s="36">
        <v>11.1822926791796</v>
      </c>
      <c r="CG409" s="36">
        <v>13.0161814529529</v>
      </c>
      <c r="CH409" s="36">
        <v>9.4865605457817708</v>
      </c>
      <c r="CI409" s="36">
        <v>5.8391015878938397</v>
      </c>
      <c r="CJ409" s="37">
        <v>0.19868957331123899</v>
      </c>
      <c r="CK409" s="37">
        <v>1.89194894066486</v>
      </c>
      <c r="CL409" s="37">
        <v>2.4001630448020301</v>
      </c>
      <c r="CM409" s="37">
        <v>0.84654704659994096</v>
      </c>
      <c r="CN409" s="37">
        <v>1.8375851316302301</v>
      </c>
      <c r="CO409" s="37">
        <v>0.78919057038512497</v>
      </c>
      <c r="CP409" s="37">
        <v>1.50854004786242</v>
      </c>
      <c r="CQ409" s="37">
        <v>1.5226368464746201</v>
      </c>
      <c r="CR409" s="45">
        <v>-2.9954006307486001</v>
      </c>
      <c r="CS409" s="45">
        <v>-8.7596041293140097</v>
      </c>
      <c r="CT409" s="46">
        <v>2.8582972994519102E-12</v>
      </c>
      <c r="CU409" s="47">
        <v>7.3546188205128104E-11</v>
      </c>
      <c r="CV409" s="48">
        <v>12.0393107262162</v>
      </c>
      <c r="CW409" s="49">
        <v>1.3744126502163101</v>
      </c>
      <c r="CX409" s="31" t="s">
        <v>5875</v>
      </c>
      <c r="CY409" s="31" t="s">
        <v>5876</v>
      </c>
      <c r="CZ409" t="s">
        <v>11718</v>
      </c>
      <c r="DA409" t="s">
        <v>5904</v>
      </c>
      <c r="DB409">
        <v>513.79999999999995</v>
      </c>
      <c r="DC409" t="s">
        <v>30979</v>
      </c>
      <c r="DD409" t="s">
        <v>30980</v>
      </c>
      <c r="DE409" t="s">
        <v>30981</v>
      </c>
      <c r="DF409" t="s">
        <v>30982</v>
      </c>
      <c r="DG409" t="s">
        <v>30983</v>
      </c>
      <c r="DH409" t="str">
        <f>"PRSS22"</f>
        <v>PRSS22</v>
      </c>
      <c r="DI409" t="s">
        <v>30984</v>
      </c>
      <c r="DJ409" t="s">
        <v>13777</v>
      </c>
      <c r="DK409">
        <v>9606</v>
      </c>
      <c r="DL409" s="34" t="str">
        <f>HYPERLINK("http://www.uniprot.org/uniprot/Q9GZN4", "Q9GZN4")</f>
        <v>Q9GZN4</v>
      </c>
      <c r="DM409" t="s">
        <v>30985</v>
      </c>
      <c r="DN409" t="s">
        <v>13772</v>
      </c>
      <c r="DO409" t="s">
        <v>14321</v>
      </c>
      <c r="DP409" t="s">
        <v>13772</v>
      </c>
      <c r="DQ409" t="s">
        <v>13772</v>
      </c>
      <c r="DR409" t="s">
        <v>13772</v>
      </c>
      <c r="DS409" t="s">
        <v>13808</v>
      </c>
      <c r="DT409" t="s">
        <v>13772</v>
      </c>
      <c r="DU409" t="s">
        <v>15176</v>
      </c>
      <c r="DV409" t="s">
        <v>13796</v>
      </c>
      <c r="DW409" t="s">
        <v>13772</v>
      </c>
      <c r="DX409" t="s">
        <v>13772</v>
      </c>
      <c r="DY409" t="s">
        <v>30986</v>
      </c>
      <c r="DZ409" t="s">
        <v>25219</v>
      </c>
      <c r="EA409" t="s">
        <v>13772</v>
      </c>
      <c r="EB409" t="s">
        <v>13772</v>
      </c>
    </row>
    <row r="410" spans="1:132" hidden="1">
      <c r="A410">
        <v>1111</v>
      </c>
      <c r="B410">
        <v>1</v>
      </c>
      <c r="C410" t="s">
        <v>2672</v>
      </c>
      <c r="D410" t="s">
        <v>73</v>
      </c>
      <c r="E410" t="s">
        <v>73</v>
      </c>
      <c r="F410" t="s">
        <v>73</v>
      </c>
      <c r="G410" t="s">
        <v>73</v>
      </c>
      <c r="H410">
        <v>25.7</v>
      </c>
      <c r="I410">
        <v>261</v>
      </c>
      <c r="J410">
        <v>29093</v>
      </c>
      <c r="K410" t="s">
        <v>2673</v>
      </c>
      <c r="L410">
        <f t="shared" si="26"/>
        <v>97</v>
      </c>
      <c r="N410">
        <v>97</v>
      </c>
      <c r="O410">
        <v>97</v>
      </c>
      <c r="P410">
        <v>1</v>
      </c>
      <c r="Q410">
        <v>6</v>
      </c>
      <c r="R410">
        <v>9</v>
      </c>
      <c r="S410">
        <v>7</v>
      </c>
      <c r="T410">
        <v>10</v>
      </c>
      <c r="U410">
        <v>15</v>
      </c>
      <c r="V410">
        <v>9</v>
      </c>
      <c r="W410">
        <v>10</v>
      </c>
      <c r="X410">
        <v>5</v>
      </c>
      <c r="Y410">
        <v>3</v>
      </c>
      <c r="Z410">
        <v>1</v>
      </c>
      <c r="AA410">
        <v>6</v>
      </c>
      <c r="AB410">
        <v>2</v>
      </c>
      <c r="AC410">
        <v>1</v>
      </c>
      <c r="AD410">
        <v>0</v>
      </c>
      <c r="AE410">
        <v>3</v>
      </c>
      <c r="AF410">
        <v>3</v>
      </c>
      <c r="AG410">
        <v>4</v>
      </c>
      <c r="AH410">
        <v>0</v>
      </c>
      <c r="AI410">
        <v>3</v>
      </c>
      <c r="AJ410">
        <v>6</v>
      </c>
      <c r="AK410">
        <v>9</v>
      </c>
      <c r="AL410">
        <v>7</v>
      </c>
      <c r="AM410">
        <v>10</v>
      </c>
      <c r="AN410">
        <v>15</v>
      </c>
      <c r="AO410">
        <v>9</v>
      </c>
      <c r="AP410">
        <v>10</v>
      </c>
      <c r="AQ410">
        <v>5</v>
      </c>
      <c r="AR410">
        <v>3</v>
      </c>
      <c r="AS410">
        <v>1</v>
      </c>
      <c r="AT410">
        <v>6</v>
      </c>
      <c r="AU410">
        <v>2</v>
      </c>
      <c r="AV410">
        <v>1</v>
      </c>
      <c r="AW410">
        <v>0</v>
      </c>
      <c r="AX410">
        <v>3</v>
      </c>
      <c r="AY410">
        <v>3</v>
      </c>
      <c r="AZ410">
        <v>4</v>
      </c>
      <c r="BA410">
        <v>0</v>
      </c>
      <c r="BB410">
        <v>3</v>
      </c>
      <c r="BC410" s="2">
        <v>6</v>
      </c>
      <c r="BD410" s="2">
        <v>9</v>
      </c>
      <c r="BE410" s="2">
        <v>7</v>
      </c>
      <c r="BF410" s="2">
        <v>10</v>
      </c>
      <c r="BG410" s="2">
        <v>15</v>
      </c>
      <c r="BH410" s="2">
        <v>9</v>
      </c>
      <c r="BI410" s="2">
        <v>10</v>
      </c>
      <c r="BJ410" s="2">
        <v>5</v>
      </c>
      <c r="BK410" s="2">
        <v>3</v>
      </c>
      <c r="BL410" s="2">
        <v>1</v>
      </c>
      <c r="BM410" s="2">
        <v>6</v>
      </c>
      <c r="BN410" s="2">
        <v>2</v>
      </c>
      <c r="BO410" s="2">
        <v>1</v>
      </c>
      <c r="BP410" s="2">
        <v>0</v>
      </c>
      <c r="BQ410" s="2">
        <v>3</v>
      </c>
      <c r="BR410" s="2">
        <v>3</v>
      </c>
      <c r="BS410" s="2">
        <v>4</v>
      </c>
      <c r="BT410" s="2">
        <v>0</v>
      </c>
      <c r="BU410" s="2">
        <v>3</v>
      </c>
      <c r="BV410" s="2">
        <f t="shared" si="29"/>
        <v>97</v>
      </c>
      <c r="BW410" s="16">
        <f t="shared" si="27"/>
        <v>5.1052631578947372</v>
      </c>
      <c r="BX410" s="16">
        <f>COUNTIF($BC$6:BU410, "=0") / COUNTIF($BC$6:BU410, "&gt;-1")</f>
        <v>0.10344379467186485</v>
      </c>
      <c r="BY410" s="18">
        <f>SUM($BC$6:BU410) / $BY$4</f>
        <v>0.81522711851244678</v>
      </c>
      <c r="BZ410" s="14">
        <f t="shared" si="28"/>
        <v>2</v>
      </c>
      <c r="CA410" t="s">
        <v>5831</v>
      </c>
      <c r="CB410" s="36">
        <v>7.2698603750083803</v>
      </c>
      <c r="CC410" s="36">
        <v>8.6675770860970207</v>
      </c>
      <c r="CD410" s="36">
        <v>11.2055836326858</v>
      </c>
      <c r="CE410" s="36">
        <v>15.119217591532299</v>
      </c>
      <c r="CF410" s="36">
        <v>12.9026453990534</v>
      </c>
      <c r="CG410" s="36">
        <v>8.3675452197554208</v>
      </c>
      <c r="CH410" s="36">
        <v>10.5406228286464</v>
      </c>
      <c r="CI410" s="36">
        <v>4.8659179899115301</v>
      </c>
      <c r="CJ410" s="37">
        <v>2.3842748797348698</v>
      </c>
      <c r="CK410" s="37">
        <v>3.7838978813297102</v>
      </c>
      <c r="CL410" s="37">
        <v>1.60010869653469</v>
      </c>
      <c r="CM410" s="37">
        <v>0.84654704659994096</v>
      </c>
      <c r="CN410" s="37">
        <v>2.7563776974453398</v>
      </c>
      <c r="CO410" s="37">
        <v>2.36757171115537</v>
      </c>
      <c r="CP410" s="37">
        <v>6.0341601914496898</v>
      </c>
      <c r="CQ410" s="37">
        <v>4.5679105394238499</v>
      </c>
      <c r="CR410" s="45">
        <v>-1.73778602452542</v>
      </c>
      <c r="CS410" s="45">
        <v>-3.2430656497758399</v>
      </c>
      <c r="CT410" s="46">
        <v>1.78496565020323E-5</v>
      </c>
      <c r="CU410" s="47">
        <v>6.06163461921807E-5</v>
      </c>
      <c r="CV410" s="48">
        <v>9.8673712653362795</v>
      </c>
      <c r="CW410" s="49">
        <v>3.0426060804591799</v>
      </c>
      <c r="CX410" s="31" t="s">
        <v>5875</v>
      </c>
      <c r="CY410" s="31" t="s">
        <v>5876</v>
      </c>
      <c r="CZ410" t="s">
        <v>9438</v>
      </c>
      <c r="DA410" t="s">
        <v>5904</v>
      </c>
      <c r="DB410">
        <v>390.2</v>
      </c>
      <c r="DC410" t="s">
        <v>24555</v>
      </c>
      <c r="DD410" t="s">
        <v>24556</v>
      </c>
      <c r="DE410" t="s">
        <v>24557</v>
      </c>
      <c r="DF410" t="s">
        <v>24558</v>
      </c>
      <c r="DG410" t="s">
        <v>24559</v>
      </c>
      <c r="DH410" t="str">
        <f>"CD27"</f>
        <v>CD27</v>
      </c>
      <c r="DI410" t="s">
        <v>24560</v>
      </c>
      <c r="DJ410" t="s">
        <v>13777</v>
      </c>
      <c r="DK410">
        <v>9606</v>
      </c>
      <c r="DL410" s="34" t="str">
        <f>HYPERLINK("http://www.uniprot.org/uniprot/P26842", "P26842")</f>
        <v>P26842</v>
      </c>
      <c r="DM410" t="s">
        <v>24561</v>
      </c>
      <c r="DN410" t="s">
        <v>17109</v>
      </c>
      <c r="DO410" t="s">
        <v>13825</v>
      </c>
      <c r="DP410" t="s">
        <v>13793</v>
      </c>
      <c r="DQ410" t="s">
        <v>13772</v>
      </c>
      <c r="DR410" t="s">
        <v>13807</v>
      </c>
      <c r="DS410" t="s">
        <v>13826</v>
      </c>
      <c r="DT410" t="s">
        <v>13772</v>
      </c>
      <c r="DU410" t="s">
        <v>13795</v>
      </c>
      <c r="DV410" t="s">
        <v>13964</v>
      </c>
      <c r="DW410" t="s">
        <v>13812</v>
      </c>
      <c r="DX410" t="s">
        <v>24562</v>
      </c>
      <c r="DY410" t="s">
        <v>24563</v>
      </c>
      <c r="DZ410" t="s">
        <v>24564</v>
      </c>
      <c r="EA410" t="s">
        <v>13772</v>
      </c>
      <c r="EB410" t="s">
        <v>24565</v>
      </c>
    </row>
    <row r="411" spans="1:132" hidden="1">
      <c r="A411">
        <v>1886</v>
      </c>
      <c r="B411">
        <v>1</v>
      </c>
      <c r="C411" t="s">
        <v>4451</v>
      </c>
      <c r="D411" t="s">
        <v>4452</v>
      </c>
      <c r="E411" t="s">
        <v>73</v>
      </c>
      <c r="F411" t="s">
        <v>73</v>
      </c>
      <c r="G411" t="s">
        <v>73</v>
      </c>
      <c r="H411">
        <v>34.9</v>
      </c>
      <c r="I411">
        <v>315</v>
      </c>
      <c r="J411">
        <v>35419</v>
      </c>
      <c r="K411" t="s">
        <v>4453</v>
      </c>
      <c r="L411">
        <f t="shared" si="26"/>
        <v>97</v>
      </c>
      <c r="N411">
        <v>97</v>
      </c>
      <c r="O411">
        <v>97</v>
      </c>
      <c r="P411">
        <v>1</v>
      </c>
      <c r="Q411">
        <v>3</v>
      </c>
      <c r="R411">
        <v>5</v>
      </c>
      <c r="S411">
        <v>6</v>
      </c>
      <c r="T411">
        <v>1</v>
      </c>
      <c r="U411">
        <v>3</v>
      </c>
      <c r="V411">
        <v>4</v>
      </c>
      <c r="W411">
        <v>8</v>
      </c>
      <c r="X411">
        <v>5</v>
      </c>
      <c r="Y411">
        <v>10</v>
      </c>
      <c r="Z411">
        <v>0</v>
      </c>
      <c r="AA411">
        <v>8</v>
      </c>
      <c r="AB411">
        <v>6</v>
      </c>
      <c r="AC411">
        <v>8</v>
      </c>
      <c r="AD411">
        <v>0</v>
      </c>
      <c r="AE411">
        <v>4</v>
      </c>
      <c r="AF411">
        <v>8</v>
      </c>
      <c r="AG411">
        <v>5</v>
      </c>
      <c r="AH411">
        <v>2</v>
      </c>
      <c r="AI411">
        <v>11</v>
      </c>
      <c r="AJ411">
        <v>3</v>
      </c>
      <c r="AK411">
        <v>5</v>
      </c>
      <c r="AL411">
        <v>6</v>
      </c>
      <c r="AM411">
        <v>1</v>
      </c>
      <c r="AN411">
        <v>3</v>
      </c>
      <c r="AO411">
        <v>4</v>
      </c>
      <c r="AP411">
        <v>8</v>
      </c>
      <c r="AQ411">
        <v>5</v>
      </c>
      <c r="AR411">
        <v>10</v>
      </c>
      <c r="AS411">
        <v>0</v>
      </c>
      <c r="AT411">
        <v>8</v>
      </c>
      <c r="AU411">
        <v>6</v>
      </c>
      <c r="AV411">
        <v>8</v>
      </c>
      <c r="AW411">
        <v>0</v>
      </c>
      <c r="AX411">
        <v>4</v>
      </c>
      <c r="AY411">
        <v>8</v>
      </c>
      <c r="AZ411">
        <v>5</v>
      </c>
      <c r="BA411">
        <v>2</v>
      </c>
      <c r="BB411">
        <v>11</v>
      </c>
      <c r="BC411" s="2">
        <v>3</v>
      </c>
      <c r="BD411" s="2">
        <v>5</v>
      </c>
      <c r="BE411" s="2">
        <v>6</v>
      </c>
      <c r="BF411" s="2">
        <v>1</v>
      </c>
      <c r="BG411" s="2">
        <v>3</v>
      </c>
      <c r="BH411" s="2">
        <v>4</v>
      </c>
      <c r="BI411" s="2">
        <v>8</v>
      </c>
      <c r="BJ411" s="2">
        <v>5</v>
      </c>
      <c r="BK411" s="2">
        <v>10</v>
      </c>
      <c r="BL411" s="2">
        <v>0</v>
      </c>
      <c r="BM411" s="2">
        <v>8</v>
      </c>
      <c r="BN411" s="2">
        <v>6</v>
      </c>
      <c r="BO411" s="2">
        <v>8</v>
      </c>
      <c r="BP411" s="2">
        <v>0</v>
      </c>
      <c r="BQ411" s="2">
        <v>4</v>
      </c>
      <c r="BR411" s="2">
        <v>8</v>
      </c>
      <c r="BS411" s="2">
        <v>5</v>
      </c>
      <c r="BT411" s="2">
        <v>2</v>
      </c>
      <c r="BU411" s="2">
        <v>11</v>
      </c>
      <c r="BV411" s="2">
        <f t="shared" si="29"/>
        <v>97</v>
      </c>
      <c r="BW411" s="16">
        <f t="shared" si="27"/>
        <v>5.1052631578947372</v>
      </c>
      <c r="BX411" s="16">
        <f>COUNTIF($BC$6:BU411, "=0") / COUNTIF($BC$6:BU411, "&gt;-1")</f>
        <v>0.10344827586206896</v>
      </c>
      <c r="BY411" s="18">
        <f>SUM($BC$6:BU411) / $BY$4</f>
        <v>0.81564263128871073</v>
      </c>
      <c r="BZ411" s="14">
        <f t="shared" si="28"/>
        <v>2</v>
      </c>
      <c r="CA411" t="s">
        <v>5831</v>
      </c>
      <c r="CB411" s="36">
        <v>3.6349301875041902</v>
      </c>
      <c r="CC411" s="36">
        <v>4.8153206033872298</v>
      </c>
      <c r="CD411" s="36">
        <v>9.6047859708735501</v>
      </c>
      <c r="CE411" s="36">
        <v>1.5119217591532299</v>
      </c>
      <c r="CF411" s="36">
        <v>2.5805290798106801</v>
      </c>
      <c r="CG411" s="36">
        <v>3.7189089865579601</v>
      </c>
      <c r="CH411" s="36">
        <v>8.4324982629171306</v>
      </c>
      <c r="CI411" s="36">
        <v>4.8659179899115301</v>
      </c>
      <c r="CJ411" s="37">
        <v>7.9475829324495697</v>
      </c>
      <c r="CK411" s="37">
        <v>5.0451971751062796</v>
      </c>
      <c r="CL411" s="37">
        <v>4.8003260896040603</v>
      </c>
      <c r="CM411" s="37">
        <v>6.7723763727995303</v>
      </c>
      <c r="CN411" s="37">
        <v>3.6751702632604601</v>
      </c>
      <c r="CO411" s="37">
        <v>6.3135245630809997</v>
      </c>
      <c r="CP411" s="37">
        <v>7.5427002393121096</v>
      </c>
      <c r="CQ411" s="37">
        <v>16.749005311220799</v>
      </c>
      <c r="CR411" s="45">
        <v>0.53189370047719997</v>
      </c>
      <c r="CS411" s="45">
        <v>1.50251919208866</v>
      </c>
      <c r="CT411" s="46">
        <v>0.207411522732148</v>
      </c>
      <c r="CU411" s="47">
        <v>0.27154267848885899</v>
      </c>
      <c r="CV411" s="48">
        <v>4.8956016050144404</v>
      </c>
      <c r="CW411" s="49">
        <v>7.3557353683542201</v>
      </c>
      <c r="CX411" s="31" t="s">
        <v>5874</v>
      </c>
      <c r="CY411" s="31" t="s">
        <v>5832</v>
      </c>
      <c r="CZ411" t="s">
        <v>12045</v>
      </c>
      <c r="DA411" t="s">
        <v>5904</v>
      </c>
      <c r="DB411">
        <v>522.29999999999995</v>
      </c>
      <c r="DC411" t="s">
        <v>31881</v>
      </c>
      <c r="DD411" t="s">
        <v>31882</v>
      </c>
      <c r="DE411" t="s">
        <v>31883</v>
      </c>
      <c r="DF411" t="s">
        <v>31884</v>
      </c>
      <c r="DG411" t="s">
        <v>31885</v>
      </c>
      <c r="DH411" t="str">
        <f>"SUMF2"</f>
        <v>SUMF2</v>
      </c>
      <c r="DI411" t="s">
        <v>13772</v>
      </c>
      <c r="DJ411" t="s">
        <v>13777</v>
      </c>
      <c r="DK411">
        <v>9606</v>
      </c>
      <c r="DL411" s="34" t="str">
        <f>HYPERLINK("http://www.uniprot.org/uniprot/Q8NBJ7", "Q8NBJ7")</f>
        <v>Q8NBJ7</v>
      </c>
      <c r="DM411" t="s">
        <v>31886</v>
      </c>
      <c r="DN411" t="s">
        <v>13772</v>
      </c>
      <c r="DO411" t="s">
        <v>14908</v>
      </c>
      <c r="DP411" t="s">
        <v>13780</v>
      </c>
      <c r="DQ411" t="s">
        <v>13772</v>
      </c>
      <c r="DR411" t="s">
        <v>13772</v>
      </c>
      <c r="DS411" t="s">
        <v>13808</v>
      </c>
      <c r="DT411" t="s">
        <v>13873</v>
      </c>
      <c r="DU411" t="s">
        <v>13772</v>
      </c>
      <c r="DV411" t="s">
        <v>13796</v>
      </c>
      <c r="DW411" t="s">
        <v>13812</v>
      </c>
      <c r="DX411" t="s">
        <v>31887</v>
      </c>
      <c r="DY411" t="s">
        <v>22071</v>
      </c>
      <c r="DZ411" t="s">
        <v>14023</v>
      </c>
      <c r="EA411" t="s">
        <v>13772</v>
      </c>
      <c r="EB411" t="s">
        <v>22074</v>
      </c>
    </row>
    <row r="412" spans="1:132" hidden="1">
      <c r="A412">
        <v>1627</v>
      </c>
      <c r="B412">
        <v>1</v>
      </c>
      <c r="C412" t="s">
        <v>3855</v>
      </c>
      <c r="D412" t="s">
        <v>73</v>
      </c>
      <c r="E412" t="s">
        <v>73</v>
      </c>
      <c r="F412" t="s">
        <v>3856</v>
      </c>
      <c r="G412" t="s">
        <v>73</v>
      </c>
      <c r="H412">
        <v>40.1</v>
      </c>
      <c r="I412">
        <v>646</v>
      </c>
      <c r="J412">
        <v>70582</v>
      </c>
      <c r="K412" t="s">
        <v>3857</v>
      </c>
      <c r="L412">
        <f t="shared" si="26"/>
        <v>208</v>
      </c>
      <c r="N412">
        <v>208</v>
      </c>
      <c r="O412">
        <v>28</v>
      </c>
      <c r="P412">
        <v>0.13500000000000001</v>
      </c>
      <c r="Q412">
        <v>5</v>
      </c>
      <c r="R412">
        <v>10</v>
      </c>
      <c r="S412">
        <v>4</v>
      </c>
      <c r="T412">
        <v>6</v>
      </c>
      <c r="U412">
        <v>13</v>
      </c>
      <c r="V412">
        <v>13</v>
      </c>
      <c r="W412">
        <v>10</v>
      </c>
      <c r="X412">
        <v>12</v>
      </c>
      <c r="Y412">
        <v>30</v>
      </c>
      <c r="Z412">
        <v>3</v>
      </c>
      <c r="AA412">
        <v>27</v>
      </c>
      <c r="AB412">
        <v>23</v>
      </c>
      <c r="AC412">
        <v>16</v>
      </c>
      <c r="AD412">
        <v>9</v>
      </c>
      <c r="AE412">
        <v>10</v>
      </c>
      <c r="AF412">
        <v>6</v>
      </c>
      <c r="AG412">
        <v>5</v>
      </c>
      <c r="AH412">
        <v>2</v>
      </c>
      <c r="AI412">
        <v>4</v>
      </c>
      <c r="AJ412">
        <v>1</v>
      </c>
      <c r="AK412">
        <v>2</v>
      </c>
      <c r="AL412">
        <v>0</v>
      </c>
      <c r="AM412">
        <v>1</v>
      </c>
      <c r="AN412">
        <v>4</v>
      </c>
      <c r="AO412">
        <v>1</v>
      </c>
      <c r="AP412">
        <v>0</v>
      </c>
      <c r="AQ412">
        <v>1</v>
      </c>
      <c r="AR412">
        <v>4</v>
      </c>
      <c r="AS412">
        <v>1</v>
      </c>
      <c r="AT412">
        <v>7</v>
      </c>
      <c r="AU412">
        <v>2</v>
      </c>
      <c r="AV412">
        <v>2</v>
      </c>
      <c r="AW412">
        <v>0</v>
      </c>
      <c r="AX412">
        <v>0</v>
      </c>
      <c r="AY412">
        <v>0</v>
      </c>
      <c r="AZ412">
        <v>2</v>
      </c>
      <c r="BA412">
        <v>0</v>
      </c>
      <c r="BB412">
        <v>0</v>
      </c>
      <c r="BC412" s="2">
        <v>1.821</v>
      </c>
      <c r="BD412" s="2">
        <v>4.4480000000000004</v>
      </c>
      <c r="BE412" s="2">
        <v>0</v>
      </c>
      <c r="BF412" s="2">
        <v>5.5</v>
      </c>
      <c r="BG412" s="2">
        <v>7.1970000000000001</v>
      </c>
      <c r="BH412" s="2">
        <v>4.556</v>
      </c>
      <c r="BI412" s="2">
        <v>0</v>
      </c>
      <c r="BJ412" s="2">
        <v>7.6109999999999998</v>
      </c>
      <c r="BK412" s="2">
        <v>15.207000000000001</v>
      </c>
      <c r="BL412" s="2">
        <v>3</v>
      </c>
      <c r="BM412" s="2">
        <v>18.792999999999999</v>
      </c>
      <c r="BN412" s="2">
        <v>9.8170000000000002</v>
      </c>
      <c r="BO412" s="2">
        <v>9.7270000000000003</v>
      </c>
      <c r="BP412" s="2">
        <v>2.5</v>
      </c>
      <c r="BQ412" s="2">
        <v>0</v>
      </c>
      <c r="BR412" s="2">
        <v>0.5</v>
      </c>
      <c r="BS412" s="2">
        <v>5</v>
      </c>
      <c r="BT412" s="2">
        <v>0.53300000000000003</v>
      </c>
      <c r="BU412" s="2">
        <v>0</v>
      </c>
      <c r="BV412" s="2">
        <f t="shared" si="29"/>
        <v>96.210000000000022</v>
      </c>
      <c r="BW412" s="16">
        <f t="shared" si="27"/>
        <v>5.0636842105263167</v>
      </c>
      <c r="BX412" s="16">
        <f>COUNTIF($BC$6:BU412, "=0") / COUNTIF($BC$6:BU412, "&gt;-1")</f>
        <v>0.10371136686926161</v>
      </c>
      <c r="BY412" s="18">
        <f>SUM($BC$6:BU412) / $BY$4</f>
        <v>0.81605475999184851</v>
      </c>
      <c r="BZ412" s="14">
        <f t="shared" si="28"/>
        <v>4</v>
      </c>
      <c r="CA412" t="s">
        <v>5831</v>
      </c>
      <c r="CB412" s="36">
        <v>2.1809581125025099</v>
      </c>
      <c r="CC412" s="36">
        <v>4.2374821309807702</v>
      </c>
      <c r="CD412" s="36">
        <v>0.40019941545306398</v>
      </c>
      <c r="CE412" s="36">
        <v>8.3155696753427595</v>
      </c>
      <c r="CF412" s="36">
        <v>6.1932697915456201</v>
      </c>
      <c r="CG412" s="36">
        <v>4.2767453345416602</v>
      </c>
      <c r="CH412" s="36">
        <v>0.26351557071616</v>
      </c>
      <c r="CI412" s="36">
        <v>7.3961953446655304</v>
      </c>
      <c r="CJ412" s="37">
        <v>12.080326057323401</v>
      </c>
      <c r="CK412" s="37">
        <v>11.856213361499799</v>
      </c>
      <c r="CL412" s="37">
        <v>7.8405326130199597</v>
      </c>
      <c r="CM412" s="37">
        <v>8.2115063520194305</v>
      </c>
      <c r="CN412" s="37">
        <v>0.22969814145377901</v>
      </c>
      <c r="CO412" s="37">
        <v>0.39459528519256198</v>
      </c>
      <c r="CP412" s="37">
        <v>7.5427002393121096</v>
      </c>
      <c r="CQ412" s="37">
        <v>0.38065921161865401</v>
      </c>
      <c r="CR412" s="45">
        <v>0.54594771126269404</v>
      </c>
      <c r="CS412" s="45">
        <v>1.4591247461605601</v>
      </c>
      <c r="CT412" s="46">
        <v>0.44940821706942602</v>
      </c>
      <c r="CU412" s="47">
        <v>0.53232317082432601</v>
      </c>
      <c r="CV412" s="48">
        <v>4.1579919219685104</v>
      </c>
      <c r="CW412" s="49">
        <v>6.0670289076799504</v>
      </c>
      <c r="CX412" s="31" t="s">
        <v>5874</v>
      </c>
      <c r="CY412" s="31" t="s">
        <v>5832</v>
      </c>
      <c r="CZ412" t="s">
        <v>7359</v>
      </c>
      <c r="DA412" t="s">
        <v>5904</v>
      </c>
      <c r="DB412">
        <v>1300.8</v>
      </c>
      <c r="DC412" t="s">
        <v>18454</v>
      </c>
      <c r="DD412" t="s">
        <v>18455</v>
      </c>
      <c r="DE412" t="s">
        <v>18456</v>
      </c>
      <c r="DF412" t="s">
        <v>18457</v>
      </c>
      <c r="DG412" t="s">
        <v>18458</v>
      </c>
      <c r="DH412" t="str">
        <f>"HSPA8"</f>
        <v>HSPA8</v>
      </c>
      <c r="DI412" t="s">
        <v>18459</v>
      </c>
      <c r="DJ412" t="s">
        <v>13777</v>
      </c>
      <c r="DK412">
        <v>9606</v>
      </c>
      <c r="DL412" s="34" t="str">
        <f>HYPERLINK("http://www.uniprot.org/uniprot/P11142", "P11142")</f>
        <v>P11142</v>
      </c>
      <c r="DM412" t="s">
        <v>18460</v>
      </c>
      <c r="DN412" t="s">
        <v>18461</v>
      </c>
      <c r="DO412" t="s">
        <v>18462</v>
      </c>
      <c r="DP412" t="s">
        <v>13780</v>
      </c>
      <c r="DQ412" t="s">
        <v>13772</v>
      </c>
      <c r="DR412" t="s">
        <v>13772</v>
      </c>
      <c r="DS412" t="s">
        <v>13772</v>
      </c>
      <c r="DT412" t="s">
        <v>14005</v>
      </c>
      <c r="DU412" t="s">
        <v>18463</v>
      </c>
      <c r="DV412" t="s">
        <v>14663</v>
      </c>
      <c r="DW412" t="s">
        <v>13812</v>
      </c>
      <c r="DX412" t="s">
        <v>18464</v>
      </c>
      <c r="DY412" t="s">
        <v>18465</v>
      </c>
      <c r="DZ412" t="s">
        <v>18466</v>
      </c>
      <c r="EA412" t="s">
        <v>13772</v>
      </c>
      <c r="EB412" t="s">
        <v>18467</v>
      </c>
    </row>
    <row r="413" spans="1:132" hidden="1">
      <c r="A413">
        <v>544</v>
      </c>
      <c r="B413">
        <v>1</v>
      </c>
      <c r="C413" t="s">
        <v>1357</v>
      </c>
      <c r="D413" t="s">
        <v>73</v>
      </c>
      <c r="E413" t="s">
        <v>73</v>
      </c>
      <c r="F413" t="s">
        <v>73</v>
      </c>
      <c r="G413" t="s">
        <v>73</v>
      </c>
      <c r="H413">
        <v>9</v>
      </c>
      <c r="I413">
        <v>1025</v>
      </c>
      <c r="J413">
        <v>112645</v>
      </c>
      <c r="K413" t="s">
        <v>1358</v>
      </c>
      <c r="L413">
        <f t="shared" si="26"/>
        <v>96</v>
      </c>
      <c r="N413">
        <v>96</v>
      </c>
      <c r="O413">
        <v>96</v>
      </c>
      <c r="P413">
        <v>1</v>
      </c>
      <c r="Q413">
        <v>3</v>
      </c>
      <c r="R413">
        <v>6</v>
      </c>
      <c r="S413">
        <v>6</v>
      </c>
      <c r="T413">
        <v>5</v>
      </c>
      <c r="U413">
        <v>7</v>
      </c>
      <c r="V413">
        <v>14</v>
      </c>
      <c r="W413">
        <v>10</v>
      </c>
      <c r="X413">
        <v>8</v>
      </c>
      <c r="Y413">
        <v>2</v>
      </c>
      <c r="Z413">
        <v>0</v>
      </c>
      <c r="AA413">
        <v>6</v>
      </c>
      <c r="AB413">
        <v>1</v>
      </c>
      <c r="AC413">
        <v>6</v>
      </c>
      <c r="AD413">
        <v>0</v>
      </c>
      <c r="AE413">
        <v>4</v>
      </c>
      <c r="AF413">
        <v>7</v>
      </c>
      <c r="AG413">
        <v>8</v>
      </c>
      <c r="AH413">
        <v>1</v>
      </c>
      <c r="AI413">
        <v>2</v>
      </c>
      <c r="AJ413">
        <v>3</v>
      </c>
      <c r="AK413">
        <v>6</v>
      </c>
      <c r="AL413">
        <v>6</v>
      </c>
      <c r="AM413">
        <v>5</v>
      </c>
      <c r="AN413">
        <v>7</v>
      </c>
      <c r="AO413">
        <v>14</v>
      </c>
      <c r="AP413">
        <v>10</v>
      </c>
      <c r="AQ413">
        <v>8</v>
      </c>
      <c r="AR413">
        <v>2</v>
      </c>
      <c r="AS413">
        <v>0</v>
      </c>
      <c r="AT413">
        <v>6</v>
      </c>
      <c r="AU413">
        <v>1</v>
      </c>
      <c r="AV413">
        <v>6</v>
      </c>
      <c r="AW413">
        <v>0</v>
      </c>
      <c r="AX413">
        <v>4</v>
      </c>
      <c r="AY413">
        <v>7</v>
      </c>
      <c r="AZ413">
        <v>8</v>
      </c>
      <c r="BA413">
        <v>1</v>
      </c>
      <c r="BB413">
        <v>2</v>
      </c>
      <c r="BC413" s="2">
        <v>3</v>
      </c>
      <c r="BD413" s="2">
        <v>6</v>
      </c>
      <c r="BE413" s="2">
        <v>6</v>
      </c>
      <c r="BF413" s="2">
        <v>5</v>
      </c>
      <c r="BG413" s="2">
        <v>7</v>
      </c>
      <c r="BH413" s="2">
        <v>14</v>
      </c>
      <c r="BI413" s="2">
        <v>10</v>
      </c>
      <c r="BJ413" s="2">
        <v>8</v>
      </c>
      <c r="BK413" s="2">
        <v>2</v>
      </c>
      <c r="BL413" s="2">
        <v>0</v>
      </c>
      <c r="BM413" s="2">
        <v>6</v>
      </c>
      <c r="BN413" s="2">
        <v>1</v>
      </c>
      <c r="BO413" s="2">
        <v>6</v>
      </c>
      <c r="BP413" s="2">
        <v>0</v>
      </c>
      <c r="BQ413" s="2">
        <v>4</v>
      </c>
      <c r="BR413" s="2">
        <v>7</v>
      </c>
      <c r="BS413" s="2">
        <v>8</v>
      </c>
      <c r="BT413" s="2">
        <v>1</v>
      </c>
      <c r="BU413" s="2">
        <v>2</v>
      </c>
      <c r="BV413" s="2">
        <f t="shared" si="29"/>
        <v>96</v>
      </c>
      <c r="BW413" s="16">
        <f t="shared" si="27"/>
        <v>5.0526315789473681</v>
      </c>
      <c r="BX413" s="16">
        <f>COUNTIF($BC$6:BU413, "=0") / COUNTIF($BC$6:BU413, "&gt;-1")</f>
        <v>0.10371517027863777</v>
      </c>
      <c r="BY413" s="18">
        <f>SUM($BC$6:BU413) / $BY$4</f>
        <v>0.8164659891312438</v>
      </c>
      <c r="BZ413" s="14">
        <f t="shared" si="28"/>
        <v>2</v>
      </c>
      <c r="CA413" t="s">
        <v>5831</v>
      </c>
      <c r="CB413" s="36">
        <v>3.6349301875041902</v>
      </c>
      <c r="CC413" s="36">
        <v>5.7783847240646802</v>
      </c>
      <c r="CD413" s="36">
        <v>9.6047859708735501</v>
      </c>
      <c r="CE413" s="36">
        <v>7.5596087957661497</v>
      </c>
      <c r="CF413" s="36">
        <v>6.0212345195582504</v>
      </c>
      <c r="CG413" s="36">
        <v>13.0161814529529</v>
      </c>
      <c r="CH413" s="36">
        <v>10.5406228286464</v>
      </c>
      <c r="CI413" s="36">
        <v>7.78546878385845</v>
      </c>
      <c r="CJ413" s="37">
        <v>1.5895165864899099</v>
      </c>
      <c r="CK413" s="37">
        <v>3.7838978813297102</v>
      </c>
      <c r="CL413" s="37">
        <v>0.80005434826734301</v>
      </c>
      <c r="CM413" s="37">
        <v>5.0792822795996404</v>
      </c>
      <c r="CN413" s="37">
        <v>3.6751702632604601</v>
      </c>
      <c r="CO413" s="37">
        <v>5.5243339926958699</v>
      </c>
      <c r="CP413" s="37">
        <v>12.068320382899399</v>
      </c>
      <c r="CQ413" s="37">
        <v>3.0452736929492299</v>
      </c>
      <c r="CR413" s="45">
        <v>-0.91782197935180898</v>
      </c>
      <c r="CS413" s="45">
        <v>-1.7978262375985701</v>
      </c>
      <c r="CT413" s="46">
        <v>4.5059839789661299E-2</v>
      </c>
      <c r="CU413" s="47">
        <v>7.0762987838693503E-2</v>
      </c>
      <c r="CV413" s="48">
        <v>7.9926521579030698</v>
      </c>
      <c r="CW413" s="49">
        <v>4.4457311784364402</v>
      </c>
      <c r="CX413" s="31" t="s">
        <v>5875</v>
      </c>
      <c r="CY413" s="31" t="s">
        <v>5877</v>
      </c>
      <c r="CZ413" t="s">
        <v>7579</v>
      </c>
      <c r="DA413" t="s">
        <v>5904</v>
      </c>
      <c r="DB413">
        <v>1849.3</v>
      </c>
      <c r="DC413" t="s">
        <v>19125</v>
      </c>
      <c r="DD413" t="s">
        <v>19126</v>
      </c>
      <c r="DE413" t="s">
        <v>19127</v>
      </c>
      <c r="DF413" t="s">
        <v>19128</v>
      </c>
      <c r="DG413" t="s">
        <v>19129</v>
      </c>
      <c r="DH413" t="str">
        <f>"SCUBE2"</f>
        <v>SCUBE2</v>
      </c>
      <c r="DI413" t="s">
        <v>19130</v>
      </c>
      <c r="DJ413" t="s">
        <v>13777</v>
      </c>
      <c r="DK413">
        <v>9606</v>
      </c>
      <c r="DL413" s="34" t="str">
        <f>HYPERLINK("http://www.uniprot.org/uniprot/Q9NQ36", "Q9NQ36")</f>
        <v>Q9NQ36</v>
      </c>
      <c r="DM413" t="s">
        <v>19131</v>
      </c>
      <c r="DN413" t="s">
        <v>13772</v>
      </c>
      <c r="DO413" t="s">
        <v>14321</v>
      </c>
      <c r="DP413" t="s">
        <v>13780</v>
      </c>
      <c r="DQ413" t="s">
        <v>13772</v>
      </c>
      <c r="DR413" t="s">
        <v>13772</v>
      </c>
      <c r="DS413" t="s">
        <v>14768</v>
      </c>
      <c r="DT413" t="s">
        <v>19132</v>
      </c>
      <c r="DU413" t="s">
        <v>14727</v>
      </c>
      <c r="DV413" t="s">
        <v>13796</v>
      </c>
      <c r="DW413" t="s">
        <v>13772</v>
      </c>
      <c r="DX413" t="s">
        <v>19133</v>
      </c>
      <c r="DY413" t="s">
        <v>19134</v>
      </c>
      <c r="DZ413" t="s">
        <v>16575</v>
      </c>
      <c r="EA413" t="s">
        <v>13772</v>
      </c>
      <c r="EB413" t="s">
        <v>19135</v>
      </c>
    </row>
    <row r="414" spans="1:132" hidden="1">
      <c r="A414">
        <v>905</v>
      </c>
      <c r="B414">
        <v>1</v>
      </c>
      <c r="C414" t="s">
        <v>2206</v>
      </c>
      <c r="D414" t="s">
        <v>73</v>
      </c>
      <c r="E414" t="s">
        <v>73</v>
      </c>
      <c r="F414" t="s">
        <v>73</v>
      </c>
      <c r="G414" t="s">
        <v>73</v>
      </c>
      <c r="H414">
        <v>43.2</v>
      </c>
      <c r="I414">
        <v>618</v>
      </c>
      <c r="J414">
        <v>68404</v>
      </c>
      <c r="K414" t="s">
        <v>2207</v>
      </c>
      <c r="L414">
        <f t="shared" si="26"/>
        <v>96</v>
      </c>
      <c r="N414">
        <v>96</v>
      </c>
      <c r="O414">
        <v>96</v>
      </c>
      <c r="P414">
        <v>1</v>
      </c>
      <c r="Q414">
        <v>8</v>
      </c>
      <c r="R414">
        <v>7</v>
      </c>
      <c r="S414">
        <v>5</v>
      </c>
      <c r="T414">
        <v>0</v>
      </c>
      <c r="U414">
        <v>20</v>
      </c>
      <c r="V414">
        <v>16</v>
      </c>
      <c r="W414">
        <v>6</v>
      </c>
      <c r="X414">
        <v>14</v>
      </c>
      <c r="Y414">
        <v>3</v>
      </c>
      <c r="Z414">
        <v>0</v>
      </c>
      <c r="AA414">
        <v>7</v>
      </c>
      <c r="AB414">
        <v>3</v>
      </c>
      <c r="AC414">
        <v>5</v>
      </c>
      <c r="AD414">
        <v>0</v>
      </c>
      <c r="AE414">
        <v>0</v>
      </c>
      <c r="AF414">
        <v>2</v>
      </c>
      <c r="AG414">
        <v>0</v>
      </c>
      <c r="AH414">
        <v>0</v>
      </c>
      <c r="AI414">
        <v>0</v>
      </c>
      <c r="AJ414">
        <v>8</v>
      </c>
      <c r="AK414">
        <v>7</v>
      </c>
      <c r="AL414">
        <v>5</v>
      </c>
      <c r="AM414">
        <v>0</v>
      </c>
      <c r="AN414">
        <v>20</v>
      </c>
      <c r="AO414">
        <v>16</v>
      </c>
      <c r="AP414">
        <v>6</v>
      </c>
      <c r="AQ414">
        <v>14</v>
      </c>
      <c r="AR414">
        <v>3</v>
      </c>
      <c r="AS414">
        <v>0</v>
      </c>
      <c r="AT414">
        <v>7</v>
      </c>
      <c r="AU414">
        <v>3</v>
      </c>
      <c r="AV414">
        <v>5</v>
      </c>
      <c r="AW414">
        <v>0</v>
      </c>
      <c r="AX414">
        <v>0</v>
      </c>
      <c r="AY414">
        <v>2</v>
      </c>
      <c r="AZ414">
        <v>0</v>
      </c>
      <c r="BA414">
        <v>0</v>
      </c>
      <c r="BB414">
        <v>0</v>
      </c>
      <c r="BC414" s="2">
        <v>8</v>
      </c>
      <c r="BD414" s="2">
        <v>7</v>
      </c>
      <c r="BE414" s="2">
        <v>5</v>
      </c>
      <c r="BF414" s="2">
        <v>0</v>
      </c>
      <c r="BG414" s="2">
        <v>20</v>
      </c>
      <c r="BH414" s="2">
        <v>16</v>
      </c>
      <c r="BI414" s="2">
        <v>6</v>
      </c>
      <c r="BJ414" s="2">
        <v>14</v>
      </c>
      <c r="BK414" s="2">
        <v>3</v>
      </c>
      <c r="BL414" s="2">
        <v>0</v>
      </c>
      <c r="BM414" s="2">
        <v>7</v>
      </c>
      <c r="BN414" s="2">
        <v>3</v>
      </c>
      <c r="BO414" s="2">
        <v>5</v>
      </c>
      <c r="BP414" s="2">
        <v>0</v>
      </c>
      <c r="BQ414" s="2">
        <v>0</v>
      </c>
      <c r="BR414" s="2">
        <v>2</v>
      </c>
      <c r="BS414" s="2">
        <v>0</v>
      </c>
      <c r="BT414" s="2">
        <v>0</v>
      </c>
      <c r="BU414" s="2">
        <v>0</v>
      </c>
      <c r="BV414" s="2">
        <f t="shared" si="29"/>
        <v>96</v>
      </c>
      <c r="BW414" s="16">
        <f t="shared" si="27"/>
        <v>5.0526315789473681</v>
      </c>
      <c r="BX414" s="16">
        <f>COUNTIF($BC$6:BU414, "=0") / COUNTIF($BC$6:BU414, "&gt;-1")</f>
        <v>0.10436237292497748</v>
      </c>
      <c r="BY414" s="18">
        <f>SUM($BC$6:BU414) / $BY$4</f>
        <v>0.81687721827063897</v>
      </c>
      <c r="BZ414" s="14">
        <f t="shared" si="28"/>
        <v>7</v>
      </c>
      <c r="CA414" t="s">
        <v>5831</v>
      </c>
      <c r="CB414" s="36">
        <v>9.6931471666778304</v>
      </c>
      <c r="CC414" s="36">
        <v>6.7414488447421297</v>
      </c>
      <c r="CD414" s="36">
        <v>8.00398830906129</v>
      </c>
      <c r="CE414" s="36">
        <v>0.37798043978830698</v>
      </c>
      <c r="CF414" s="36">
        <v>17.203527198737799</v>
      </c>
      <c r="CG414" s="36">
        <v>14.875635946231901</v>
      </c>
      <c r="CH414" s="36">
        <v>6.3243736971878404</v>
      </c>
      <c r="CI414" s="36">
        <v>13.6245703717523</v>
      </c>
      <c r="CJ414" s="37">
        <v>2.3842748797348698</v>
      </c>
      <c r="CK414" s="37">
        <v>4.4145475282179998</v>
      </c>
      <c r="CL414" s="37">
        <v>2.4001630448020301</v>
      </c>
      <c r="CM414" s="37">
        <v>4.2327352329997003</v>
      </c>
      <c r="CN414" s="37">
        <v>0.22969814145377901</v>
      </c>
      <c r="CO414" s="37">
        <v>1.5783811407702499</v>
      </c>
      <c r="CP414" s="37">
        <v>0.377135011965606</v>
      </c>
      <c r="CQ414" s="37">
        <v>0.38065921161865401</v>
      </c>
      <c r="CR414" s="45">
        <v>-2.1036959604024501</v>
      </c>
      <c r="CS414" s="45">
        <v>-4.8035142693335198</v>
      </c>
      <c r="CT414" s="46">
        <v>6.6052635581428807E-5</v>
      </c>
      <c r="CU414" s="47">
        <v>1.9727327323203501E-4</v>
      </c>
      <c r="CV414" s="48">
        <v>9.6055839967724204</v>
      </c>
      <c r="CW414" s="49">
        <v>1.9996992739453601</v>
      </c>
      <c r="CX414" s="31" t="s">
        <v>5875</v>
      </c>
      <c r="CY414" s="31" t="s">
        <v>5876</v>
      </c>
      <c r="CZ414" t="s">
        <v>8795</v>
      </c>
      <c r="DA414" t="s">
        <v>5904</v>
      </c>
      <c r="DB414">
        <v>1268.5</v>
      </c>
      <c r="DC414" t="s">
        <v>22711</v>
      </c>
      <c r="DD414" t="s">
        <v>22712</v>
      </c>
      <c r="DE414" t="s">
        <v>22713</v>
      </c>
      <c r="DF414" t="s">
        <v>22714</v>
      </c>
      <c r="DG414" t="s">
        <v>22715</v>
      </c>
      <c r="DH414" t="str">
        <f>"ATP6V1A"</f>
        <v>ATP6V1A</v>
      </c>
      <c r="DI414" t="s">
        <v>22716</v>
      </c>
      <c r="DJ414" t="s">
        <v>13777</v>
      </c>
      <c r="DK414">
        <v>9606</v>
      </c>
      <c r="DL414" s="34" t="str">
        <f>HYPERLINK("http://www.uniprot.org/uniprot/P38606", "P38606")</f>
        <v>P38606</v>
      </c>
      <c r="DM414" t="s">
        <v>22717</v>
      </c>
      <c r="DN414" t="s">
        <v>14032</v>
      </c>
      <c r="DO414" t="s">
        <v>13899</v>
      </c>
      <c r="DP414" t="s">
        <v>13780</v>
      </c>
      <c r="DQ414" t="s">
        <v>13772</v>
      </c>
      <c r="DR414" t="s">
        <v>17649</v>
      </c>
      <c r="DS414" t="s">
        <v>13772</v>
      </c>
      <c r="DT414" t="s">
        <v>14005</v>
      </c>
      <c r="DU414" t="s">
        <v>16605</v>
      </c>
      <c r="DV414" t="s">
        <v>13886</v>
      </c>
      <c r="DW414" t="s">
        <v>13772</v>
      </c>
      <c r="DX414" t="s">
        <v>22718</v>
      </c>
      <c r="DY414" t="s">
        <v>22719</v>
      </c>
      <c r="DZ414" t="s">
        <v>22720</v>
      </c>
      <c r="EA414" t="s">
        <v>13772</v>
      </c>
      <c r="EB414" t="s">
        <v>17137</v>
      </c>
    </row>
    <row r="415" spans="1:132" hidden="1">
      <c r="A415">
        <v>1927</v>
      </c>
      <c r="B415">
        <v>1</v>
      </c>
      <c r="C415" t="s">
        <v>4538</v>
      </c>
      <c r="D415" t="s">
        <v>73</v>
      </c>
      <c r="E415" t="s">
        <v>73</v>
      </c>
      <c r="F415" t="s">
        <v>73</v>
      </c>
      <c r="G415" t="s">
        <v>73</v>
      </c>
      <c r="H415">
        <v>45.8</v>
      </c>
      <c r="I415">
        <v>454</v>
      </c>
      <c r="J415">
        <v>50745</v>
      </c>
      <c r="K415" t="s">
        <v>4539</v>
      </c>
      <c r="L415">
        <f t="shared" si="26"/>
        <v>96</v>
      </c>
      <c r="N415">
        <v>96</v>
      </c>
      <c r="O415">
        <v>96</v>
      </c>
      <c r="P415">
        <v>1</v>
      </c>
      <c r="Q415">
        <v>2</v>
      </c>
      <c r="R415">
        <v>4</v>
      </c>
      <c r="S415">
        <v>0</v>
      </c>
      <c r="T415">
        <v>1</v>
      </c>
      <c r="U415">
        <v>7</v>
      </c>
      <c r="V415">
        <v>5</v>
      </c>
      <c r="W415">
        <v>8</v>
      </c>
      <c r="X415">
        <v>1</v>
      </c>
      <c r="Y415">
        <v>16</v>
      </c>
      <c r="Z415">
        <v>1</v>
      </c>
      <c r="AA415">
        <v>14</v>
      </c>
      <c r="AB415">
        <v>8</v>
      </c>
      <c r="AC415">
        <v>6</v>
      </c>
      <c r="AD415">
        <v>13</v>
      </c>
      <c r="AE415">
        <v>0</v>
      </c>
      <c r="AF415">
        <v>0</v>
      </c>
      <c r="AG415">
        <v>9</v>
      </c>
      <c r="AH415">
        <v>0</v>
      </c>
      <c r="AI415">
        <v>1</v>
      </c>
      <c r="AJ415">
        <v>2</v>
      </c>
      <c r="AK415">
        <v>4</v>
      </c>
      <c r="AL415">
        <v>0</v>
      </c>
      <c r="AM415">
        <v>1</v>
      </c>
      <c r="AN415">
        <v>7</v>
      </c>
      <c r="AO415">
        <v>5</v>
      </c>
      <c r="AP415">
        <v>8</v>
      </c>
      <c r="AQ415">
        <v>1</v>
      </c>
      <c r="AR415">
        <v>16</v>
      </c>
      <c r="AS415">
        <v>1</v>
      </c>
      <c r="AT415">
        <v>14</v>
      </c>
      <c r="AU415">
        <v>8</v>
      </c>
      <c r="AV415">
        <v>6</v>
      </c>
      <c r="AW415">
        <v>13</v>
      </c>
      <c r="AX415">
        <v>0</v>
      </c>
      <c r="AY415">
        <v>0</v>
      </c>
      <c r="AZ415">
        <v>9</v>
      </c>
      <c r="BA415">
        <v>0</v>
      </c>
      <c r="BB415">
        <v>1</v>
      </c>
      <c r="BC415" s="2">
        <v>2</v>
      </c>
      <c r="BD415" s="2">
        <v>4</v>
      </c>
      <c r="BE415" s="2">
        <v>0</v>
      </c>
      <c r="BF415" s="2">
        <v>1</v>
      </c>
      <c r="BG415" s="2">
        <v>7</v>
      </c>
      <c r="BH415" s="2">
        <v>5</v>
      </c>
      <c r="BI415" s="2">
        <v>8</v>
      </c>
      <c r="BJ415" s="2">
        <v>1</v>
      </c>
      <c r="BK415" s="2">
        <v>16</v>
      </c>
      <c r="BL415" s="2">
        <v>1</v>
      </c>
      <c r="BM415" s="2">
        <v>14</v>
      </c>
      <c r="BN415" s="2">
        <v>8</v>
      </c>
      <c r="BO415" s="2">
        <v>6</v>
      </c>
      <c r="BP415" s="2">
        <v>13</v>
      </c>
      <c r="BQ415" s="2">
        <v>0</v>
      </c>
      <c r="BR415" s="2">
        <v>0</v>
      </c>
      <c r="BS415" s="2">
        <v>9</v>
      </c>
      <c r="BT415" s="2">
        <v>0</v>
      </c>
      <c r="BU415" s="2">
        <v>1</v>
      </c>
      <c r="BV415" s="2">
        <f t="shared" si="29"/>
        <v>96</v>
      </c>
      <c r="BW415" s="16">
        <f t="shared" si="27"/>
        <v>5.0526315789473681</v>
      </c>
      <c r="BX415" s="16">
        <f>COUNTIF($BC$6:BU415, "=0") / COUNTIF($BC$6:BU415, "&gt;-1")</f>
        <v>0.10462130937098844</v>
      </c>
      <c r="BY415" s="18">
        <f>SUM($BC$6:BU415) / $BY$4</f>
        <v>0.81728844741003426</v>
      </c>
      <c r="BZ415" s="14">
        <f t="shared" si="28"/>
        <v>4</v>
      </c>
      <c r="CA415" t="s">
        <v>5831</v>
      </c>
      <c r="CB415" s="36">
        <v>2.4232867916694598</v>
      </c>
      <c r="CC415" s="36">
        <v>3.85225648270979</v>
      </c>
      <c r="CD415" s="36">
        <v>0.40019941545306398</v>
      </c>
      <c r="CE415" s="36">
        <v>1.5119217591532299</v>
      </c>
      <c r="CF415" s="36">
        <v>6.0212345195582504</v>
      </c>
      <c r="CG415" s="36">
        <v>4.6486362331974602</v>
      </c>
      <c r="CH415" s="36">
        <v>8.4324982629171306</v>
      </c>
      <c r="CI415" s="36">
        <v>0.97318359798230603</v>
      </c>
      <c r="CJ415" s="37">
        <v>12.716132691919301</v>
      </c>
      <c r="CK415" s="37">
        <v>8.8290950564359996</v>
      </c>
      <c r="CL415" s="37">
        <v>6.4004347861387396</v>
      </c>
      <c r="CM415" s="37">
        <v>5.0792822795996404</v>
      </c>
      <c r="CN415" s="37">
        <v>0.22969814145377901</v>
      </c>
      <c r="CO415" s="37">
        <v>0.19729764259628099</v>
      </c>
      <c r="CP415" s="37">
        <v>13.576860430761799</v>
      </c>
      <c r="CQ415" s="37">
        <v>1.5226368464746201</v>
      </c>
      <c r="CR415" s="45">
        <v>0.71173819576620301</v>
      </c>
      <c r="CS415" s="45">
        <v>1.7178312634324</v>
      </c>
      <c r="CT415" s="46">
        <v>0.26016886836333097</v>
      </c>
      <c r="CU415" s="47">
        <v>0.33356243822745701</v>
      </c>
      <c r="CV415" s="48">
        <v>3.5329021328300798</v>
      </c>
      <c r="CW415" s="49">
        <v>6.0689297344225199</v>
      </c>
      <c r="CX415" s="31" t="s">
        <v>5874</v>
      </c>
      <c r="CY415" s="31" t="s">
        <v>5832</v>
      </c>
      <c r="CZ415" t="s">
        <v>12174</v>
      </c>
      <c r="DA415" t="s">
        <v>5904</v>
      </c>
      <c r="DB415">
        <v>859</v>
      </c>
      <c r="DC415" t="s">
        <v>32244</v>
      </c>
      <c r="DD415" t="s">
        <v>32245</v>
      </c>
      <c r="DE415" t="s">
        <v>32246</v>
      </c>
      <c r="DF415" t="s">
        <v>32247</v>
      </c>
      <c r="DG415" t="s">
        <v>32248</v>
      </c>
      <c r="DH415" t="str">
        <f>"GDA"</f>
        <v>GDA</v>
      </c>
      <c r="DI415" t="s">
        <v>32249</v>
      </c>
      <c r="DJ415" t="s">
        <v>13777</v>
      </c>
      <c r="DK415">
        <v>9606</v>
      </c>
      <c r="DL415" s="34" t="str">
        <f>HYPERLINK("http://www.uniprot.org/uniprot/Q9Y2T3", "Q9Y2T3")</f>
        <v>Q9Y2T3</v>
      </c>
      <c r="DM415" t="s">
        <v>32250</v>
      </c>
      <c r="DN415" t="s">
        <v>13772</v>
      </c>
      <c r="DO415" t="s">
        <v>13772</v>
      </c>
      <c r="DP415" t="s">
        <v>13841</v>
      </c>
      <c r="DQ415" t="s">
        <v>13772</v>
      </c>
      <c r="DR415" t="s">
        <v>13772</v>
      </c>
      <c r="DS415" t="s">
        <v>13772</v>
      </c>
      <c r="DT415" t="s">
        <v>13856</v>
      </c>
      <c r="DU415" t="s">
        <v>13857</v>
      </c>
      <c r="DV415" t="s">
        <v>13782</v>
      </c>
      <c r="DW415" t="s">
        <v>13812</v>
      </c>
      <c r="DX415" t="s">
        <v>32251</v>
      </c>
      <c r="DY415" t="s">
        <v>32252</v>
      </c>
      <c r="DZ415" t="s">
        <v>32253</v>
      </c>
      <c r="EA415" t="s">
        <v>32254</v>
      </c>
      <c r="EB415" t="s">
        <v>27232</v>
      </c>
    </row>
    <row r="416" spans="1:132" hidden="1">
      <c r="A416">
        <v>2433</v>
      </c>
      <c r="B416">
        <v>1</v>
      </c>
      <c r="C416" t="s">
        <v>5699</v>
      </c>
      <c r="D416" t="s">
        <v>73</v>
      </c>
      <c r="E416" t="s">
        <v>5700</v>
      </c>
      <c r="F416" t="s">
        <v>5701</v>
      </c>
      <c r="G416" t="s">
        <v>73</v>
      </c>
      <c r="H416">
        <v>80.900000000000006</v>
      </c>
      <c r="I416">
        <v>204</v>
      </c>
      <c r="J416">
        <v>22923</v>
      </c>
      <c r="K416" t="s">
        <v>5702</v>
      </c>
      <c r="L416">
        <f t="shared" si="26"/>
        <v>97</v>
      </c>
      <c r="N416">
        <v>97</v>
      </c>
      <c r="O416">
        <v>90</v>
      </c>
      <c r="P416">
        <v>0.92800000000000005</v>
      </c>
      <c r="Q416">
        <v>3</v>
      </c>
      <c r="R416">
        <v>6</v>
      </c>
      <c r="S416">
        <v>3</v>
      </c>
      <c r="T416">
        <v>2</v>
      </c>
      <c r="U416">
        <v>11</v>
      </c>
      <c r="V416">
        <v>15</v>
      </c>
      <c r="W416">
        <v>4</v>
      </c>
      <c r="X416">
        <v>7</v>
      </c>
      <c r="Y416">
        <v>17</v>
      </c>
      <c r="Z416">
        <v>0</v>
      </c>
      <c r="AA416">
        <v>7</v>
      </c>
      <c r="AB416">
        <v>6</v>
      </c>
      <c r="AC416">
        <v>2</v>
      </c>
      <c r="AD416">
        <v>0</v>
      </c>
      <c r="AE416">
        <v>7</v>
      </c>
      <c r="AF416">
        <v>6</v>
      </c>
      <c r="AG416">
        <v>1</v>
      </c>
      <c r="AH416">
        <v>0</v>
      </c>
      <c r="AI416">
        <v>0</v>
      </c>
      <c r="AJ416">
        <v>2</v>
      </c>
      <c r="AK416">
        <v>6</v>
      </c>
      <c r="AL416">
        <v>3</v>
      </c>
      <c r="AM416">
        <v>2</v>
      </c>
      <c r="AN416">
        <v>10</v>
      </c>
      <c r="AO416">
        <v>14</v>
      </c>
      <c r="AP416">
        <v>4</v>
      </c>
      <c r="AQ416">
        <v>6</v>
      </c>
      <c r="AR416">
        <v>17</v>
      </c>
      <c r="AS416">
        <v>0</v>
      </c>
      <c r="AT416">
        <v>6</v>
      </c>
      <c r="AU416">
        <v>5</v>
      </c>
      <c r="AV416">
        <v>2</v>
      </c>
      <c r="AW416">
        <v>0</v>
      </c>
      <c r="AX416">
        <v>7</v>
      </c>
      <c r="AY416">
        <v>5</v>
      </c>
      <c r="AZ416">
        <v>1</v>
      </c>
      <c r="BA416">
        <v>0</v>
      </c>
      <c r="BB416">
        <v>0</v>
      </c>
      <c r="BC416" s="2">
        <v>2.7559999999999998</v>
      </c>
      <c r="BD416" s="2">
        <v>6</v>
      </c>
      <c r="BE416" s="2">
        <v>3</v>
      </c>
      <c r="BF416" s="2">
        <v>2</v>
      </c>
      <c r="BG416" s="2">
        <v>10.756</v>
      </c>
      <c r="BH416" s="2">
        <v>14.756</v>
      </c>
      <c r="BI416" s="2">
        <v>4</v>
      </c>
      <c r="BJ416" s="2">
        <v>6.7560000000000002</v>
      </c>
      <c r="BK416" s="2">
        <v>17</v>
      </c>
      <c r="BL416" s="2">
        <v>0</v>
      </c>
      <c r="BM416" s="2">
        <v>6.7560000000000002</v>
      </c>
      <c r="BN416" s="2">
        <v>5.7560000000000002</v>
      </c>
      <c r="BO416" s="2">
        <v>2</v>
      </c>
      <c r="BP416" s="2">
        <v>0</v>
      </c>
      <c r="BQ416" s="2">
        <v>7</v>
      </c>
      <c r="BR416" s="2">
        <v>5.7560000000000002</v>
      </c>
      <c r="BS416" s="2">
        <v>1</v>
      </c>
      <c r="BT416" s="2">
        <v>0</v>
      </c>
      <c r="BU416" s="2">
        <v>0</v>
      </c>
      <c r="BV416" s="2">
        <f t="shared" si="29"/>
        <v>95.292000000000002</v>
      </c>
      <c r="BW416" s="16">
        <f t="shared" si="27"/>
        <v>5.0153684210526315</v>
      </c>
      <c r="BX416" s="16">
        <f>COUNTIF($BC$6:BU416, "=0") / COUNTIF($BC$6:BU416, "&gt;-1")</f>
        <v>0.10487898578563196</v>
      </c>
      <c r="BY416" s="18">
        <f>SUM($BC$6:BU416) / $BY$4</f>
        <v>0.81769664373452622</v>
      </c>
      <c r="BZ416" s="14">
        <f t="shared" si="28"/>
        <v>4</v>
      </c>
      <c r="CA416" t="s">
        <v>5831</v>
      </c>
      <c r="CB416" s="36">
        <v>3.3926015083372398</v>
      </c>
      <c r="CC416" s="36">
        <v>5.7783847240646802</v>
      </c>
      <c r="CD416" s="36">
        <v>4.8023929854367697</v>
      </c>
      <c r="CE416" s="36">
        <v>3.0238435183064598</v>
      </c>
      <c r="CF416" s="36">
        <v>9.2899046873184297</v>
      </c>
      <c r="CG416" s="36">
        <v>13.7599632502645</v>
      </c>
      <c r="CH416" s="36">
        <v>4.21624913145856</v>
      </c>
      <c r="CI416" s="36">
        <v>6.6176484662796797</v>
      </c>
      <c r="CJ416" s="37">
        <v>13.5108909851643</v>
      </c>
      <c r="CK416" s="37">
        <v>4.2884175988403399</v>
      </c>
      <c r="CL416" s="37">
        <v>4.6403152199505904</v>
      </c>
      <c r="CM416" s="37">
        <v>1.6930940931998799</v>
      </c>
      <c r="CN416" s="37">
        <v>6.4315479607058004</v>
      </c>
      <c r="CO416" s="37">
        <v>4.5773053082337203</v>
      </c>
      <c r="CP416" s="37">
        <v>1.50854004786242</v>
      </c>
      <c r="CQ416" s="37">
        <v>0.38065921161865401</v>
      </c>
      <c r="CR416" s="45">
        <v>-0.41738188474256399</v>
      </c>
      <c r="CS416" s="45">
        <v>-1.3740191653243301</v>
      </c>
      <c r="CT416" s="46">
        <v>0.39027586804333197</v>
      </c>
      <c r="CU416" s="47">
        <v>0.47299738355251603</v>
      </c>
      <c r="CV416" s="48">
        <v>6.3601235339332902</v>
      </c>
      <c r="CW416" s="49">
        <v>4.6288463031969602</v>
      </c>
      <c r="CX416" s="31" t="s">
        <v>5875</v>
      </c>
      <c r="CY416" s="31" t="s">
        <v>5832</v>
      </c>
      <c r="CZ416" t="s">
        <v>13577</v>
      </c>
      <c r="DA416" t="s">
        <v>5904</v>
      </c>
      <c r="DB416">
        <v>407.9</v>
      </c>
      <c r="DC416" t="s">
        <v>36191</v>
      </c>
      <c r="DD416" t="s">
        <v>36192</v>
      </c>
      <c r="DE416" t="s">
        <v>36193</v>
      </c>
      <c r="DF416" t="s">
        <v>36194</v>
      </c>
      <c r="DG416" t="s">
        <v>36195</v>
      </c>
      <c r="DH416" t="str">
        <f>"CRK"</f>
        <v>CRK</v>
      </c>
      <c r="DI416" t="s">
        <v>13772</v>
      </c>
      <c r="DJ416" t="s">
        <v>13777</v>
      </c>
      <c r="DK416">
        <v>9606</v>
      </c>
      <c r="DL416" s="34" t="str">
        <f>HYPERLINK("http://www.uniprot.org/uniprot/P46108", "P46108")</f>
        <v>P46108</v>
      </c>
      <c r="DM416" t="s">
        <v>36196</v>
      </c>
      <c r="DN416" t="s">
        <v>13772</v>
      </c>
      <c r="DO416" t="s">
        <v>18623</v>
      </c>
      <c r="DP416" t="s">
        <v>13841</v>
      </c>
      <c r="DQ416" t="s">
        <v>13772</v>
      </c>
      <c r="DR416" t="s">
        <v>14244</v>
      </c>
      <c r="DS416" t="s">
        <v>17789</v>
      </c>
      <c r="DT416" t="s">
        <v>13772</v>
      </c>
      <c r="DU416" t="s">
        <v>13772</v>
      </c>
      <c r="DV416" t="s">
        <v>13886</v>
      </c>
      <c r="DW416" t="s">
        <v>13812</v>
      </c>
      <c r="DX416" t="s">
        <v>36197</v>
      </c>
      <c r="DY416" t="s">
        <v>36198</v>
      </c>
      <c r="DZ416" t="s">
        <v>36199</v>
      </c>
      <c r="EA416" t="s">
        <v>13772</v>
      </c>
      <c r="EB416" t="s">
        <v>36200</v>
      </c>
    </row>
    <row r="417" spans="1:132" hidden="1">
      <c r="A417">
        <v>1140</v>
      </c>
      <c r="B417">
        <v>1</v>
      </c>
      <c r="C417" t="s">
        <v>2745</v>
      </c>
      <c r="D417" t="s">
        <v>73</v>
      </c>
      <c r="E417" t="s">
        <v>73</v>
      </c>
      <c r="F417" t="s">
        <v>73</v>
      </c>
      <c r="G417" t="s">
        <v>73</v>
      </c>
      <c r="H417">
        <v>43.8</v>
      </c>
      <c r="I417">
        <v>281</v>
      </c>
      <c r="J417">
        <v>30690</v>
      </c>
      <c r="K417" t="s">
        <v>2746</v>
      </c>
      <c r="L417">
        <f t="shared" si="26"/>
        <v>95</v>
      </c>
      <c r="N417">
        <v>95</v>
      </c>
      <c r="O417">
        <v>95</v>
      </c>
      <c r="P417">
        <v>1</v>
      </c>
      <c r="Q417">
        <v>4</v>
      </c>
      <c r="R417">
        <v>0</v>
      </c>
      <c r="S417">
        <v>2</v>
      </c>
      <c r="T417">
        <v>1</v>
      </c>
      <c r="U417">
        <v>0</v>
      </c>
      <c r="V417">
        <v>2</v>
      </c>
      <c r="W417">
        <v>3</v>
      </c>
      <c r="X417">
        <v>3</v>
      </c>
      <c r="Y417">
        <v>12</v>
      </c>
      <c r="Z417">
        <v>5</v>
      </c>
      <c r="AA417">
        <v>10</v>
      </c>
      <c r="AB417">
        <v>17</v>
      </c>
      <c r="AC417">
        <v>13</v>
      </c>
      <c r="AD417">
        <v>3</v>
      </c>
      <c r="AE417">
        <v>3</v>
      </c>
      <c r="AF417">
        <v>6</v>
      </c>
      <c r="AG417">
        <v>4</v>
      </c>
      <c r="AH417">
        <v>4</v>
      </c>
      <c r="AI417">
        <v>3</v>
      </c>
      <c r="AJ417">
        <v>4</v>
      </c>
      <c r="AK417">
        <v>0</v>
      </c>
      <c r="AL417">
        <v>2</v>
      </c>
      <c r="AM417">
        <v>1</v>
      </c>
      <c r="AN417">
        <v>0</v>
      </c>
      <c r="AO417">
        <v>2</v>
      </c>
      <c r="AP417">
        <v>3</v>
      </c>
      <c r="AQ417">
        <v>3</v>
      </c>
      <c r="AR417">
        <v>12</v>
      </c>
      <c r="AS417">
        <v>5</v>
      </c>
      <c r="AT417">
        <v>10</v>
      </c>
      <c r="AU417">
        <v>17</v>
      </c>
      <c r="AV417">
        <v>13</v>
      </c>
      <c r="AW417">
        <v>3</v>
      </c>
      <c r="AX417">
        <v>3</v>
      </c>
      <c r="AY417">
        <v>6</v>
      </c>
      <c r="AZ417">
        <v>4</v>
      </c>
      <c r="BA417">
        <v>4</v>
      </c>
      <c r="BB417">
        <v>3</v>
      </c>
      <c r="BC417" s="2">
        <v>4</v>
      </c>
      <c r="BD417" s="2">
        <v>0</v>
      </c>
      <c r="BE417" s="2">
        <v>2</v>
      </c>
      <c r="BF417" s="2">
        <v>1</v>
      </c>
      <c r="BG417" s="2">
        <v>0</v>
      </c>
      <c r="BH417" s="2">
        <v>2</v>
      </c>
      <c r="BI417" s="2">
        <v>3</v>
      </c>
      <c r="BJ417" s="2">
        <v>3</v>
      </c>
      <c r="BK417" s="2">
        <v>12</v>
      </c>
      <c r="BL417" s="2">
        <v>5</v>
      </c>
      <c r="BM417" s="2">
        <v>10</v>
      </c>
      <c r="BN417" s="2">
        <v>17</v>
      </c>
      <c r="BO417" s="2">
        <v>13</v>
      </c>
      <c r="BP417" s="2">
        <v>3</v>
      </c>
      <c r="BQ417" s="2">
        <v>3</v>
      </c>
      <c r="BR417" s="2">
        <v>6</v>
      </c>
      <c r="BS417" s="2">
        <v>4</v>
      </c>
      <c r="BT417" s="2">
        <v>4</v>
      </c>
      <c r="BU417" s="2">
        <v>3</v>
      </c>
      <c r="BV417" s="2">
        <f t="shared" si="29"/>
        <v>95</v>
      </c>
      <c r="BW417" s="16">
        <f t="shared" si="27"/>
        <v>5</v>
      </c>
      <c r="BX417" s="16">
        <f>COUNTIF($BC$6:BU417, "=0") / COUNTIF($BC$6:BU417, "&gt;-1")</f>
        <v>0.10487991824220746</v>
      </c>
      <c r="BY417" s="18">
        <f>SUM($BC$6:BU417) / $BY$4</f>
        <v>0.81810358923705284</v>
      </c>
      <c r="BZ417" s="14">
        <f t="shared" si="28"/>
        <v>2</v>
      </c>
      <c r="CA417" t="s">
        <v>5831</v>
      </c>
      <c r="CB417" s="36">
        <v>4.8465735833389196</v>
      </c>
      <c r="CC417" s="36">
        <v>0.24076603016936199</v>
      </c>
      <c r="CD417" s="36">
        <v>3.2015953236245198</v>
      </c>
      <c r="CE417" s="36">
        <v>1.5119217591532299</v>
      </c>
      <c r="CF417" s="36">
        <v>0.215044089984223</v>
      </c>
      <c r="CG417" s="36">
        <v>1.85945449327898</v>
      </c>
      <c r="CH417" s="36">
        <v>3.1621868485939202</v>
      </c>
      <c r="CI417" s="36">
        <v>2.9195507939469199</v>
      </c>
      <c r="CJ417" s="37">
        <v>9.53709951893949</v>
      </c>
      <c r="CK417" s="37">
        <v>6.3064964688828598</v>
      </c>
      <c r="CL417" s="37">
        <v>13.600923920544799</v>
      </c>
      <c r="CM417" s="37">
        <v>11.0051116057992</v>
      </c>
      <c r="CN417" s="37">
        <v>2.7563776974453398</v>
      </c>
      <c r="CO417" s="37">
        <v>4.7351434223107498</v>
      </c>
      <c r="CP417" s="37">
        <v>6.0341601914496898</v>
      </c>
      <c r="CQ417" s="37">
        <v>4.5679105394238499</v>
      </c>
      <c r="CR417" s="45">
        <v>1.73921080805638</v>
      </c>
      <c r="CS417" s="45">
        <v>3.2601726581688801</v>
      </c>
      <c r="CT417" s="46">
        <v>6.8000598859932297E-4</v>
      </c>
      <c r="CU417" s="47">
        <v>1.602203993155E-3</v>
      </c>
      <c r="CV417" s="48">
        <v>2.24463661526126</v>
      </c>
      <c r="CW417" s="49">
        <v>7.3179029205994999</v>
      </c>
      <c r="CX417" s="31" t="s">
        <v>5874</v>
      </c>
      <c r="CY417" s="31" t="s">
        <v>5876</v>
      </c>
      <c r="CZ417" t="s">
        <v>9521</v>
      </c>
      <c r="DA417" t="s">
        <v>5904</v>
      </c>
      <c r="DB417">
        <v>348.2</v>
      </c>
      <c r="DC417" t="s">
        <v>24768</v>
      </c>
      <c r="DD417" t="s">
        <v>24769</v>
      </c>
      <c r="DE417" t="s">
        <v>24770</v>
      </c>
      <c r="DF417" t="s">
        <v>24771</v>
      </c>
      <c r="DG417" t="s">
        <v>24772</v>
      </c>
      <c r="DH417" t="str">
        <f>"APOF"</f>
        <v>APOF</v>
      </c>
      <c r="DI417" t="s">
        <v>13772</v>
      </c>
      <c r="DJ417" t="s">
        <v>13777</v>
      </c>
      <c r="DK417">
        <v>9606</v>
      </c>
      <c r="DL417" s="34" t="str">
        <f>HYPERLINK("http://www.uniprot.org/uniprot/Q13790", "Q13790")</f>
        <v>Q13790</v>
      </c>
      <c r="DM417" t="s">
        <v>24773</v>
      </c>
      <c r="DN417" t="s">
        <v>16169</v>
      </c>
      <c r="DO417" t="s">
        <v>24774</v>
      </c>
      <c r="DP417" t="s">
        <v>13793</v>
      </c>
      <c r="DQ417" t="s">
        <v>13772</v>
      </c>
      <c r="DR417" t="s">
        <v>13772</v>
      </c>
      <c r="DS417" t="s">
        <v>13808</v>
      </c>
      <c r="DT417" t="s">
        <v>13772</v>
      </c>
      <c r="DU417" t="s">
        <v>13772</v>
      </c>
      <c r="DV417" t="s">
        <v>13978</v>
      </c>
      <c r="DW417" t="s">
        <v>13772</v>
      </c>
      <c r="DX417" t="s">
        <v>24775</v>
      </c>
      <c r="DY417" t="s">
        <v>24776</v>
      </c>
      <c r="DZ417" t="s">
        <v>24777</v>
      </c>
      <c r="EA417" t="s">
        <v>13772</v>
      </c>
      <c r="EB417" t="s">
        <v>24778</v>
      </c>
    </row>
    <row r="418" spans="1:132">
      <c r="A418">
        <v>1774</v>
      </c>
      <c r="B418">
        <v>1</v>
      </c>
      <c r="C418" t="s">
        <v>4197</v>
      </c>
      <c r="D418" t="s">
        <v>73</v>
      </c>
      <c r="E418" t="s">
        <v>73</v>
      </c>
      <c r="F418" t="s">
        <v>73</v>
      </c>
      <c r="G418" t="s">
        <v>73</v>
      </c>
      <c r="H418">
        <v>28.1</v>
      </c>
      <c r="I418">
        <v>455</v>
      </c>
      <c r="J418">
        <v>48253</v>
      </c>
      <c r="K418" t="s">
        <v>4198</v>
      </c>
      <c r="L418">
        <f t="shared" si="26"/>
        <v>95</v>
      </c>
      <c r="N418">
        <v>95</v>
      </c>
      <c r="O418">
        <v>95</v>
      </c>
      <c r="P418">
        <v>1</v>
      </c>
      <c r="Q418">
        <v>6</v>
      </c>
      <c r="R418">
        <v>4</v>
      </c>
      <c r="S418">
        <v>9</v>
      </c>
      <c r="T418">
        <v>8</v>
      </c>
      <c r="U418">
        <v>9</v>
      </c>
      <c r="V418">
        <v>13</v>
      </c>
      <c r="W418">
        <v>7</v>
      </c>
      <c r="X418">
        <v>11</v>
      </c>
      <c r="Y418">
        <v>1</v>
      </c>
      <c r="Z418">
        <v>2</v>
      </c>
      <c r="AA418">
        <v>3</v>
      </c>
      <c r="AB418">
        <v>5</v>
      </c>
      <c r="AC418">
        <v>3</v>
      </c>
      <c r="AD418">
        <v>4</v>
      </c>
      <c r="AE418">
        <v>2</v>
      </c>
      <c r="AF418">
        <v>5</v>
      </c>
      <c r="AG418">
        <v>1</v>
      </c>
      <c r="AH418">
        <v>1</v>
      </c>
      <c r="AI418">
        <v>1</v>
      </c>
      <c r="AJ418">
        <v>6</v>
      </c>
      <c r="AK418">
        <v>4</v>
      </c>
      <c r="AL418">
        <v>9</v>
      </c>
      <c r="AM418">
        <v>8</v>
      </c>
      <c r="AN418">
        <v>9</v>
      </c>
      <c r="AO418">
        <v>13</v>
      </c>
      <c r="AP418">
        <v>7</v>
      </c>
      <c r="AQ418">
        <v>11</v>
      </c>
      <c r="AR418">
        <v>1</v>
      </c>
      <c r="AS418">
        <v>2</v>
      </c>
      <c r="AT418">
        <v>3</v>
      </c>
      <c r="AU418">
        <v>5</v>
      </c>
      <c r="AV418">
        <v>3</v>
      </c>
      <c r="AW418">
        <v>4</v>
      </c>
      <c r="AX418">
        <v>2</v>
      </c>
      <c r="AY418">
        <v>5</v>
      </c>
      <c r="AZ418">
        <v>1</v>
      </c>
      <c r="BA418">
        <v>1</v>
      </c>
      <c r="BB418">
        <v>1</v>
      </c>
      <c r="BC418" s="2">
        <v>6</v>
      </c>
      <c r="BD418" s="2">
        <v>4</v>
      </c>
      <c r="BE418" s="2">
        <v>9</v>
      </c>
      <c r="BF418" s="2">
        <v>8</v>
      </c>
      <c r="BG418" s="2">
        <v>9</v>
      </c>
      <c r="BH418" s="2">
        <v>13</v>
      </c>
      <c r="BI418" s="2">
        <v>7</v>
      </c>
      <c r="BJ418" s="2">
        <v>11</v>
      </c>
      <c r="BK418" s="2">
        <v>1</v>
      </c>
      <c r="BL418" s="2">
        <v>2</v>
      </c>
      <c r="BM418" s="2">
        <v>3</v>
      </c>
      <c r="BN418" s="2">
        <v>5</v>
      </c>
      <c r="BO418" s="2">
        <v>3</v>
      </c>
      <c r="BP418" s="2">
        <v>4</v>
      </c>
      <c r="BQ418" s="2">
        <v>2</v>
      </c>
      <c r="BR418" s="2">
        <v>5</v>
      </c>
      <c r="BS418" s="2">
        <v>1</v>
      </c>
      <c r="BT418" s="2">
        <v>1</v>
      </c>
      <c r="BU418" s="2">
        <v>1</v>
      </c>
      <c r="BV418" s="2">
        <f t="shared" si="29"/>
        <v>95</v>
      </c>
      <c r="BW418" s="16">
        <f t="shared" si="27"/>
        <v>5</v>
      </c>
      <c r="BX418" s="16">
        <f>COUNTIF($BC$6:BU418, "=0") / COUNTIF($BC$6:BU418, "&gt;-1")</f>
        <v>0.10462597170893335</v>
      </c>
      <c r="BY418" s="18">
        <f>SUM($BC$6:BU418) / $BY$4</f>
        <v>0.81851053473957935</v>
      </c>
      <c r="BZ418" s="14">
        <f t="shared" si="28"/>
        <v>0</v>
      </c>
      <c r="CA418" t="s">
        <v>5831</v>
      </c>
      <c r="CB418" s="36">
        <v>7.2698603750083803</v>
      </c>
      <c r="CC418" s="36">
        <v>3.85225648270979</v>
      </c>
      <c r="CD418" s="36">
        <v>14.4071789563103</v>
      </c>
      <c r="CE418" s="36">
        <v>12.0953740732258</v>
      </c>
      <c r="CF418" s="36">
        <v>7.7415872394320298</v>
      </c>
      <c r="CG418" s="36">
        <v>12.0864542063134</v>
      </c>
      <c r="CH418" s="36">
        <v>7.3784359800524904</v>
      </c>
      <c r="CI418" s="36">
        <v>10.7050195778054</v>
      </c>
      <c r="CJ418" s="37">
        <v>0.79475829324495695</v>
      </c>
      <c r="CK418" s="37">
        <v>1.89194894066486</v>
      </c>
      <c r="CL418" s="37">
        <v>4.0002717413367099</v>
      </c>
      <c r="CM418" s="37">
        <v>2.5396411397998202</v>
      </c>
      <c r="CN418" s="37">
        <v>1.8375851316302301</v>
      </c>
      <c r="CO418" s="37">
        <v>3.94595285192562</v>
      </c>
      <c r="CP418" s="37">
        <v>1.50854004786242</v>
      </c>
      <c r="CQ418" s="37">
        <v>1.5226368464746201</v>
      </c>
      <c r="CR418" s="45">
        <v>-1.92960310992138</v>
      </c>
      <c r="CS418" s="45">
        <v>-4.1868391069962296</v>
      </c>
      <c r="CT418" s="46">
        <v>1.56716423447725E-6</v>
      </c>
      <c r="CU418" s="47">
        <v>7.23057153700194E-6</v>
      </c>
      <c r="CV418" s="48">
        <v>9.4420208613572001</v>
      </c>
      <c r="CW418" s="49">
        <v>2.25516687411741</v>
      </c>
      <c r="CX418" s="31" t="s">
        <v>5875</v>
      </c>
      <c r="CY418" s="31" t="s">
        <v>5876</v>
      </c>
      <c r="CZ418" t="s">
        <v>11668</v>
      </c>
      <c r="DA418" t="s">
        <v>5904</v>
      </c>
      <c r="DB418">
        <v>781.2</v>
      </c>
      <c r="DC418" t="s">
        <v>30832</v>
      </c>
      <c r="DD418" t="s">
        <v>30833</v>
      </c>
      <c r="DE418" t="s">
        <v>30834</v>
      </c>
      <c r="DF418" t="s">
        <v>30835</v>
      </c>
      <c r="DG418" t="s">
        <v>30836</v>
      </c>
      <c r="DH418" t="str">
        <f>"PCOLCE"</f>
        <v>PCOLCE</v>
      </c>
      <c r="DI418" t="s">
        <v>30837</v>
      </c>
      <c r="DJ418" t="s">
        <v>13777</v>
      </c>
      <c r="DK418">
        <v>9606</v>
      </c>
      <c r="DL418" s="34" t="str">
        <f>HYPERLINK("http://www.uniprot.org/uniprot/Q15113", "Q15113")</f>
        <v>Q15113</v>
      </c>
      <c r="DM418" t="s">
        <v>30838</v>
      </c>
      <c r="DN418" t="s">
        <v>13772</v>
      </c>
      <c r="DO418" t="s">
        <v>14321</v>
      </c>
      <c r="DP418" t="s">
        <v>13772</v>
      </c>
      <c r="DQ418" t="s">
        <v>13772</v>
      </c>
      <c r="DR418" t="s">
        <v>13772</v>
      </c>
      <c r="DS418" t="s">
        <v>14404</v>
      </c>
      <c r="DT418" t="s">
        <v>13772</v>
      </c>
      <c r="DU418" t="s">
        <v>13772</v>
      </c>
      <c r="DV418" t="s">
        <v>13964</v>
      </c>
      <c r="DW418" t="s">
        <v>13812</v>
      </c>
      <c r="DX418" t="s">
        <v>30839</v>
      </c>
      <c r="DY418" t="s">
        <v>16659</v>
      </c>
      <c r="DZ418" t="s">
        <v>22710</v>
      </c>
      <c r="EA418" t="s">
        <v>13772</v>
      </c>
      <c r="EB418" t="s">
        <v>30840</v>
      </c>
    </row>
    <row r="419" spans="1:132" hidden="1">
      <c r="A419">
        <v>2167</v>
      </c>
      <c r="B419">
        <v>1</v>
      </c>
      <c r="C419" t="s">
        <v>5076</v>
      </c>
      <c r="D419" t="s">
        <v>73</v>
      </c>
      <c r="E419" t="s">
        <v>73</v>
      </c>
      <c r="F419" t="s">
        <v>73</v>
      </c>
      <c r="G419" t="s">
        <v>73</v>
      </c>
      <c r="H419">
        <v>35.6</v>
      </c>
      <c r="I419">
        <v>497</v>
      </c>
      <c r="J419">
        <v>55974</v>
      </c>
      <c r="K419" t="s">
        <v>5077</v>
      </c>
      <c r="L419">
        <f t="shared" si="26"/>
        <v>95</v>
      </c>
      <c r="N419">
        <v>95</v>
      </c>
      <c r="O419">
        <v>95</v>
      </c>
      <c r="P419">
        <v>1</v>
      </c>
      <c r="Q419">
        <v>7</v>
      </c>
      <c r="R419">
        <v>4</v>
      </c>
      <c r="S419">
        <v>4</v>
      </c>
      <c r="T419">
        <v>11</v>
      </c>
      <c r="U419">
        <v>11</v>
      </c>
      <c r="V419">
        <v>8</v>
      </c>
      <c r="W419">
        <v>4</v>
      </c>
      <c r="X419">
        <v>20</v>
      </c>
      <c r="Y419">
        <v>1</v>
      </c>
      <c r="Z419">
        <v>1</v>
      </c>
      <c r="AA419">
        <v>6</v>
      </c>
      <c r="AB419">
        <v>3</v>
      </c>
      <c r="AC419">
        <v>2</v>
      </c>
      <c r="AD419">
        <v>0</v>
      </c>
      <c r="AE419">
        <v>2</v>
      </c>
      <c r="AF419">
        <v>6</v>
      </c>
      <c r="AG419">
        <v>4</v>
      </c>
      <c r="AH419">
        <v>0</v>
      </c>
      <c r="AI419">
        <v>1</v>
      </c>
      <c r="AJ419">
        <v>7</v>
      </c>
      <c r="AK419">
        <v>4</v>
      </c>
      <c r="AL419">
        <v>4</v>
      </c>
      <c r="AM419">
        <v>11</v>
      </c>
      <c r="AN419">
        <v>11</v>
      </c>
      <c r="AO419">
        <v>8</v>
      </c>
      <c r="AP419">
        <v>4</v>
      </c>
      <c r="AQ419">
        <v>20</v>
      </c>
      <c r="AR419">
        <v>1</v>
      </c>
      <c r="AS419">
        <v>1</v>
      </c>
      <c r="AT419">
        <v>6</v>
      </c>
      <c r="AU419">
        <v>3</v>
      </c>
      <c r="AV419">
        <v>2</v>
      </c>
      <c r="AW419">
        <v>0</v>
      </c>
      <c r="AX419">
        <v>2</v>
      </c>
      <c r="AY419">
        <v>6</v>
      </c>
      <c r="AZ419">
        <v>4</v>
      </c>
      <c r="BA419">
        <v>0</v>
      </c>
      <c r="BB419">
        <v>1</v>
      </c>
      <c r="BC419" s="2">
        <v>7</v>
      </c>
      <c r="BD419" s="2">
        <v>4</v>
      </c>
      <c r="BE419" s="2">
        <v>4</v>
      </c>
      <c r="BF419" s="2">
        <v>11</v>
      </c>
      <c r="BG419" s="2">
        <v>11</v>
      </c>
      <c r="BH419" s="2">
        <v>8</v>
      </c>
      <c r="BI419" s="2">
        <v>4</v>
      </c>
      <c r="BJ419" s="2">
        <v>20</v>
      </c>
      <c r="BK419" s="2">
        <v>1</v>
      </c>
      <c r="BL419" s="2">
        <v>1</v>
      </c>
      <c r="BM419" s="2">
        <v>6</v>
      </c>
      <c r="BN419" s="2">
        <v>3</v>
      </c>
      <c r="BO419" s="2">
        <v>2</v>
      </c>
      <c r="BP419" s="2">
        <v>0</v>
      </c>
      <c r="BQ419" s="2">
        <v>2</v>
      </c>
      <c r="BR419" s="2">
        <v>6</v>
      </c>
      <c r="BS419" s="2">
        <v>4</v>
      </c>
      <c r="BT419" s="2">
        <v>0</v>
      </c>
      <c r="BU419" s="2">
        <v>1</v>
      </c>
      <c r="BV419" s="2">
        <f t="shared" si="29"/>
        <v>95</v>
      </c>
      <c r="BW419" s="16">
        <f t="shared" si="27"/>
        <v>5</v>
      </c>
      <c r="BX419" s="16">
        <f>COUNTIF($BC$6:BU419, "=0") / COUNTIF($BC$6:BU419, "&gt;-1")</f>
        <v>0.10462751080600051</v>
      </c>
      <c r="BY419" s="18">
        <f>SUM($BC$6:BU419) / $BY$4</f>
        <v>0.81891748024210587</v>
      </c>
      <c r="BZ419" s="14">
        <f t="shared" si="28"/>
        <v>2</v>
      </c>
      <c r="CA419" t="s">
        <v>5831</v>
      </c>
      <c r="CB419" s="36">
        <v>8.4815037708430996</v>
      </c>
      <c r="CC419" s="36">
        <v>3.85225648270979</v>
      </c>
      <c r="CD419" s="36">
        <v>6.4031906472490299</v>
      </c>
      <c r="CE419" s="36">
        <v>16.631139350685501</v>
      </c>
      <c r="CF419" s="36">
        <v>9.4619399593058091</v>
      </c>
      <c r="CG419" s="36">
        <v>7.43781797311593</v>
      </c>
      <c r="CH419" s="36">
        <v>4.21624913145856</v>
      </c>
      <c r="CI419" s="36">
        <v>19.463671959646099</v>
      </c>
      <c r="CJ419" s="37">
        <v>0.79475829324495695</v>
      </c>
      <c r="CK419" s="37">
        <v>3.7838978813297102</v>
      </c>
      <c r="CL419" s="37">
        <v>2.4001630448020301</v>
      </c>
      <c r="CM419" s="37">
        <v>1.6930940931998799</v>
      </c>
      <c r="CN419" s="37">
        <v>1.8375851316302301</v>
      </c>
      <c r="CO419" s="37">
        <v>4.7351434223107498</v>
      </c>
      <c r="CP419" s="37">
        <v>6.0341601914496898</v>
      </c>
      <c r="CQ419" s="37">
        <v>1.5226368464746201</v>
      </c>
      <c r="CR419" s="45">
        <v>-1.7101234496359901</v>
      </c>
      <c r="CS419" s="45">
        <v>-3.33083230375513</v>
      </c>
      <c r="CT419" s="46">
        <v>3.42583204526623E-4</v>
      </c>
      <c r="CU419" s="47">
        <v>8.5517971577727899E-4</v>
      </c>
      <c r="CV419" s="48">
        <v>9.49347115937673</v>
      </c>
      <c r="CW419" s="49">
        <v>2.8501798630552302</v>
      </c>
      <c r="CX419" s="31" t="s">
        <v>5875</v>
      </c>
      <c r="CY419" s="31" t="s">
        <v>5876</v>
      </c>
      <c r="CZ419" t="s">
        <v>12971</v>
      </c>
      <c r="DA419" t="s">
        <v>5904</v>
      </c>
      <c r="DB419">
        <v>889.4</v>
      </c>
      <c r="DC419" t="s">
        <v>34473</v>
      </c>
      <c r="DD419" t="s">
        <v>34474</v>
      </c>
      <c r="DE419" t="s">
        <v>34475</v>
      </c>
      <c r="DF419" t="s">
        <v>34476</v>
      </c>
      <c r="DG419" t="s">
        <v>34477</v>
      </c>
      <c r="DH419" t="str">
        <f>"CTSA"</f>
        <v>CTSA</v>
      </c>
      <c r="DI419" t="s">
        <v>34478</v>
      </c>
      <c r="DJ419" t="s">
        <v>13777</v>
      </c>
      <c r="DK419">
        <v>9606</v>
      </c>
      <c r="DL419" s="34" t="str">
        <f>HYPERLINK("http://www.uniprot.org/uniprot/P10619", "P10619")</f>
        <v>P10619</v>
      </c>
      <c r="DM419" t="s">
        <v>34479</v>
      </c>
      <c r="DN419" t="s">
        <v>13772</v>
      </c>
      <c r="DO419" t="s">
        <v>13806</v>
      </c>
      <c r="DP419" t="s">
        <v>13841</v>
      </c>
      <c r="DQ419" t="s">
        <v>13772</v>
      </c>
      <c r="DR419" t="s">
        <v>13807</v>
      </c>
      <c r="DS419" t="s">
        <v>13808</v>
      </c>
      <c r="DT419" t="s">
        <v>13772</v>
      </c>
      <c r="DU419" t="s">
        <v>34480</v>
      </c>
      <c r="DV419" t="s">
        <v>15472</v>
      </c>
      <c r="DW419" t="s">
        <v>13812</v>
      </c>
      <c r="DX419" t="s">
        <v>34481</v>
      </c>
      <c r="DY419" t="s">
        <v>34482</v>
      </c>
      <c r="DZ419" t="s">
        <v>34483</v>
      </c>
      <c r="EA419" t="s">
        <v>13772</v>
      </c>
      <c r="EB419" t="s">
        <v>34484</v>
      </c>
    </row>
    <row r="420" spans="1:132" hidden="1">
      <c r="A420">
        <v>1098</v>
      </c>
      <c r="B420">
        <v>1</v>
      </c>
      <c r="C420" t="s">
        <v>2641</v>
      </c>
      <c r="D420" t="s">
        <v>73</v>
      </c>
      <c r="E420" t="s">
        <v>73</v>
      </c>
      <c r="F420" t="s">
        <v>2642</v>
      </c>
      <c r="G420" t="s">
        <v>73</v>
      </c>
      <c r="H420">
        <v>38.9</v>
      </c>
      <c r="I420">
        <v>803</v>
      </c>
      <c r="J420">
        <v>92370</v>
      </c>
      <c r="K420" t="s">
        <v>2643</v>
      </c>
      <c r="L420">
        <f t="shared" si="26"/>
        <v>98</v>
      </c>
      <c r="N420">
        <v>98</v>
      </c>
      <c r="O420">
        <v>87</v>
      </c>
      <c r="P420">
        <v>0.88800000000000001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3</v>
      </c>
      <c r="W420">
        <v>1</v>
      </c>
      <c r="X420">
        <v>0</v>
      </c>
      <c r="Y420">
        <v>5</v>
      </c>
      <c r="Z420">
        <v>1</v>
      </c>
      <c r="AA420">
        <v>15</v>
      </c>
      <c r="AB420">
        <v>32</v>
      </c>
      <c r="AC420">
        <v>5</v>
      </c>
      <c r="AD420">
        <v>3</v>
      </c>
      <c r="AE420">
        <v>4</v>
      </c>
      <c r="AF420">
        <v>3</v>
      </c>
      <c r="AG420">
        <v>3</v>
      </c>
      <c r="AH420">
        <v>2</v>
      </c>
      <c r="AI420">
        <v>1</v>
      </c>
      <c r="AJ420">
        <v>4</v>
      </c>
      <c r="AK420">
        <v>3</v>
      </c>
      <c r="AL420">
        <v>4</v>
      </c>
      <c r="AM420">
        <v>4</v>
      </c>
      <c r="AN420">
        <v>3</v>
      </c>
      <c r="AO420">
        <v>2</v>
      </c>
      <c r="AP420">
        <v>1</v>
      </c>
      <c r="AQ420">
        <v>0</v>
      </c>
      <c r="AR420">
        <v>2</v>
      </c>
      <c r="AS420">
        <v>1</v>
      </c>
      <c r="AT420">
        <v>12</v>
      </c>
      <c r="AU420">
        <v>30</v>
      </c>
      <c r="AV420">
        <v>5</v>
      </c>
      <c r="AW420">
        <v>3</v>
      </c>
      <c r="AX420">
        <v>4</v>
      </c>
      <c r="AY420">
        <v>3</v>
      </c>
      <c r="AZ420">
        <v>3</v>
      </c>
      <c r="BA420">
        <v>2</v>
      </c>
      <c r="BB420">
        <v>1</v>
      </c>
      <c r="BC420" s="2">
        <v>4</v>
      </c>
      <c r="BD420" s="2">
        <v>3.6850000000000001</v>
      </c>
      <c r="BE420" s="2">
        <v>4</v>
      </c>
      <c r="BF420" s="2">
        <v>4</v>
      </c>
      <c r="BG420" s="2">
        <v>3.6850000000000001</v>
      </c>
      <c r="BH420" s="2">
        <v>2.6850000000000001</v>
      </c>
      <c r="BI420" s="2">
        <v>1</v>
      </c>
      <c r="BJ420" s="2">
        <v>0</v>
      </c>
      <c r="BK420" s="2">
        <v>4.0549999999999997</v>
      </c>
      <c r="BL420" s="2">
        <v>1</v>
      </c>
      <c r="BM420" s="2">
        <v>14.055</v>
      </c>
      <c r="BN420" s="2">
        <v>31.37</v>
      </c>
      <c r="BO420" s="2">
        <v>5</v>
      </c>
      <c r="BP420" s="2">
        <v>3</v>
      </c>
      <c r="BQ420" s="2">
        <v>4</v>
      </c>
      <c r="BR420" s="2">
        <v>3</v>
      </c>
      <c r="BS420" s="2">
        <v>3</v>
      </c>
      <c r="BT420" s="2">
        <v>2</v>
      </c>
      <c r="BU420" s="2">
        <v>1</v>
      </c>
      <c r="BV420" s="2">
        <f t="shared" si="29"/>
        <v>94.534999999999997</v>
      </c>
      <c r="BW420" s="16">
        <f t="shared" si="27"/>
        <v>4.9755263157894731</v>
      </c>
      <c r="BX420" s="16">
        <f>COUNTIF($BC$6:BU420, "=0") / COUNTIF($BC$6:BU420, "&gt;-1")</f>
        <v>0.10450221940393152</v>
      </c>
      <c r="BY420" s="18">
        <f>SUM($BC$6:BU420) / $BY$4</f>
        <v>0.81932243385348835</v>
      </c>
      <c r="BZ420" s="14">
        <f t="shared" si="28"/>
        <v>1</v>
      </c>
      <c r="CA420" t="s">
        <v>5831</v>
      </c>
      <c r="CB420" s="36">
        <v>4.8465735833389196</v>
      </c>
      <c r="CC420" s="36">
        <v>3.56333724650655</v>
      </c>
      <c r="CD420" s="36">
        <v>6.4031906472490299</v>
      </c>
      <c r="CE420" s="36">
        <v>6.0476870366129196</v>
      </c>
      <c r="CF420" s="36">
        <v>3.1826525317665002</v>
      </c>
      <c r="CG420" s="36">
        <v>2.5102635659266301</v>
      </c>
      <c r="CH420" s="36">
        <v>1.05406228286464</v>
      </c>
      <c r="CI420" s="36">
        <v>0.24329589949557701</v>
      </c>
      <c r="CJ420" s="37">
        <v>3.2585090023043199</v>
      </c>
      <c r="CK420" s="37">
        <v>8.8921600211248304</v>
      </c>
      <c r="CL420" s="37">
        <v>25.121706535594601</v>
      </c>
      <c r="CM420" s="37">
        <v>4.2327352329997003</v>
      </c>
      <c r="CN420" s="37">
        <v>3.6751702632604601</v>
      </c>
      <c r="CO420" s="37">
        <v>2.36757171115537</v>
      </c>
      <c r="CP420" s="37">
        <v>4.5256201435872701</v>
      </c>
      <c r="CQ420" s="37">
        <v>1.5226368464746201</v>
      </c>
      <c r="CR420" s="45">
        <v>1.0137453537172101</v>
      </c>
      <c r="CS420" s="45">
        <v>1.92438292762414</v>
      </c>
      <c r="CT420" s="46">
        <v>0.111794135538084</v>
      </c>
      <c r="CU420" s="47">
        <v>0.15646501396439</v>
      </c>
      <c r="CV420" s="48">
        <v>3.4813828492201</v>
      </c>
      <c r="CW420" s="49">
        <v>6.6995137195626402</v>
      </c>
      <c r="CX420" s="31" t="s">
        <v>5874</v>
      </c>
      <c r="CY420" s="31" t="s">
        <v>5832</v>
      </c>
      <c r="CZ420" t="s">
        <v>9393</v>
      </c>
      <c r="DA420" t="s">
        <v>5904</v>
      </c>
      <c r="DB420">
        <v>1607</v>
      </c>
      <c r="DC420" t="s">
        <v>24419</v>
      </c>
      <c r="DD420" t="s">
        <v>24420</v>
      </c>
      <c r="DE420" t="s">
        <v>24421</v>
      </c>
      <c r="DF420" t="s">
        <v>24422</v>
      </c>
      <c r="DG420" t="s">
        <v>24423</v>
      </c>
      <c r="DH420" t="str">
        <f>"HSP90B1"</f>
        <v>HSP90B1</v>
      </c>
      <c r="DI420" t="s">
        <v>24424</v>
      </c>
      <c r="DJ420" t="s">
        <v>13777</v>
      </c>
      <c r="DK420">
        <v>9606</v>
      </c>
      <c r="DL420" s="34" t="str">
        <f>HYPERLINK("http://www.uniprot.org/uniprot/P14625", "P14625")</f>
        <v>P14625</v>
      </c>
      <c r="DM420" t="s">
        <v>24425</v>
      </c>
      <c r="DN420" t="s">
        <v>13772</v>
      </c>
      <c r="DO420" t="s">
        <v>24426</v>
      </c>
      <c r="DP420" t="s">
        <v>13772</v>
      </c>
      <c r="DQ420" t="s">
        <v>13772</v>
      </c>
      <c r="DR420" t="s">
        <v>13772</v>
      </c>
      <c r="DS420" t="s">
        <v>13808</v>
      </c>
      <c r="DT420" t="s">
        <v>24427</v>
      </c>
      <c r="DU420" t="s">
        <v>14477</v>
      </c>
      <c r="DV420" t="s">
        <v>23893</v>
      </c>
      <c r="DW420" t="s">
        <v>13812</v>
      </c>
      <c r="DX420" t="s">
        <v>24428</v>
      </c>
      <c r="DY420" t="s">
        <v>24429</v>
      </c>
      <c r="DZ420" t="s">
        <v>24430</v>
      </c>
      <c r="EA420" t="s">
        <v>13772</v>
      </c>
      <c r="EB420" t="s">
        <v>24431</v>
      </c>
    </row>
    <row r="421" spans="1:132" hidden="1">
      <c r="A421">
        <v>1850</v>
      </c>
      <c r="B421">
        <v>1</v>
      </c>
      <c r="C421" t="s">
        <v>4372</v>
      </c>
      <c r="D421" t="s">
        <v>73</v>
      </c>
      <c r="E421" t="s">
        <v>73</v>
      </c>
      <c r="F421" t="s">
        <v>2658</v>
      </c>
      <c r="G421" t="s">
        <v>73</v>
      </c>
      <c r="H421">
        <v>53</v>
      </c>
      <c r="I421">
        <v>283</v>
      </c>
      <c r="J421">
        <v>30712</v>
      </c>
      <c r="K421" t="s">
        <v>4373</v>
      </c>
      <c r="L421">
        <f t="shared" si="26"/>
        <v>97</v>
      </c>
      <c r="N421">
        <v>97</v>
      </c>
      <c r="O421">
        <v>84</v>
      </c>
      <c r="P421">
        <v>0.86599999999999999</v>
      </c>
      <c r="Q421">
        <v>3</v>
      </c>
      <c r="R421">
        <v>3</v>
      </c>
      <c r="S421">
        <v>4</v>
      </c>
      <c r="T421">
        <v>8</v>
      </c>
      <c r="U421">
        <v>12</v>
      </c>
      <c r="V421">
        <v>15</v>
      </c>
      <c r="W421">
        <v>10</v>
      </c>
      <c r="X421">
        <v>9</v>
      </c>
      <c r="Y421">
        <v>0</v>
      </c>
      <c r="Z421">
        <v>0</v>
      </c>
      <c r="AA421">
        <v>8</v>
      </c>
      <c r="AB421">
        <v>9</v>
      </c>
      <c r="AC421">
        <v>1</v>
      </c>
      <c r="AD421">
        <v>0</v>
      </c>
      <c r="AE421">
        <v>1</v>
      </c>
      <c r="AF421">
        <v>2</v>
      </c>
      <c r="AG421">
        <v>12</v>
      </c>
      <c r="AH421">
        <v>0</v>
      </c>
      <c r="AI421">
        <v>0</v>
      </c>
      <c r="AJ421">
        <v>3</v>
      </c>
      <c r="AK421">
        <v>3</v>
      </c>
      <c r="AL421">
        <v>4</v>
      </c>
      <c r="AM421">
        <v>8</v>
      </c>
      <c r="AN421">
        <v>9</v>
      </c>
      <c r="AO421">
        <v>11</v>
      </c>
      <c r="AP421">
        <v>9</v>
      </c>
      <c r="AQ421">
        <v>8</v>
      </c>
      <c r="AR421">
        <v>0</v>
      </c>
      <c r="AS421">
        <v>0</v>
      </c>
      <c r="AT421">
        <v>6</v>
      </c>
      <c r="AU421">
        <v>9</v>
      </c>
      <c r="AV421">
        <v>1</v>
      </c>
      <c r="AW421">
        <v>0</v>
      </c>
      <c r="AX421">
        <v>1</v>
      </c>
      <c r="AY421">
        <v>2</v>
      </c>
      <c r="AZ421">
        <v>10</v>
      </c>
      <c r="BA421">
        <v>0</v>
      </c>
      <c r="BB421">
        <v>0</v>
      </c>
      <c r="BC421" s="2">
        <v>3</v>
      </c>
      <c r="BD421" s="2">
        <v>3</v>
      </c>
      <c r="BE421" s="2">
        <v>4</v>
      </c>
      <c r="BF421" s="2">
        <v>8</v>
      </c>
      <c r="BG421" s="2">
        <v>10.8</v>
      </c>
      <c r="BH421" s="2">
        <v>14.143000000000001</v>
      </c>
      <c r="BI421" s="2">
        <v>9.75</v>
      </c>
      <c r="BJ421" s="2">
        <v>9</v>
      </c>
      <c r="BK421" s="2">
        <v>0</v>
      </c>
      <c r="BL421" s="2">
        <v>0</v>
      </c>
      <c r="BM421" s="2">
        <v>7.7140000000000004</v>
      </c>
      <c r="BN421" s="2">
        <v>9</v>
      </c>
      <c r="BO421" s="2">
        <v>1</v>
      </c>
      <c r="BP421" s="2">
        <v>0</v>
      </c>
      <c r="BQ421" s="2">
        <v>1</v>
      </c>
      <c r="BR421" s="2">
        <v>2</v>
      </c>
      <c r="BS421" s="2">
        <v>11.818</v>
      </c>
      <c r="BT421" s="2">
        <v>0</v>
      </c>
      <c r="BU421" s="2">
        <v>0</v>
      </c>
      <c r="BV421" s="2">
        <f t="shared" si="29"/>
        <v>94.224999999999994</v>
      </c>
      <c r="BW421" s="16">
        <f t="shared" si="27"/>
        <v>4.9592105263157888</v>
      </c>
      <c r="BX421" s="16">
        <f>COUNTIF($BC$6:BU421, "=0") / COUNTIF($BC$6:BU421, "&gt;-1")</f>
        <v>0.10488360323886639</v>
      </c>
      <c r="BY421" s="18">
        <f>SUM($BC$6:BU421) / $BY$4</f>
        <v>0.81972605953744171</v>
      </c>
      <c r="BZ421" s="14">
        <f t="shared" si="28"/>
        <v>5</v>
      </c>
      <c r="CA421" t="s">
        <v>5831</v>
      </c>
      <c r="CB421" s="36">
        <v>3.6349301875041902</v>
      </c>
      <c r="CC421" s="36">
        <v>2.8891923620323401</v>
      </c>
      <c r="CD421" s="36">
        <v>6.4031906472490299</v>
      </c>
      <c r="CE421" s="36">
        <v>12.0953740732258</v>
      </c>
      <c r="CF421" s="36">
        <v>9.2899046873184297</v>
      </c>
      <c r="CG421" s="36">
        <v>13.1091541776168</v>
      </c>
      <c r="CH421" s="36">
        <v>10.329810372073499</v>
      </c>
      <c r="CI421" s="36">
        <v>8.7586523818407507</v>
      </c>
      <c r="CJ421" s="37">
        <v>0.19868957331123899</v>
      </c>
      <c r="CK421" s="37">
        <v>4.8560022810397996</v>
      </c>
      <c r="CL421" s="37">
        <v>7.2004891344060802</v>
      </c>
      <c r="CM421" s="37">
        <v>0.84654704659994096</v>
      </c>
      <c r="CN421" s="37">
        <v>0.91879256581511404</v>
      </c>
      <c r="CO421" s="37">
        <v>1.5783811407702499</v>
      </c>
      <c r="CP421" s="37">
        <v>17.800772564776601</v>
      </c>
      <c r="CQ421" s="37">
        <v>0.38065921161865401</v>
      </c>
      <c r="CR421" s="45">
        <v>-1.0328895396683</v>
      </c>
      <c r="CS421" s="45">
        <v>-1.9689032629815699</v>
      </c>
      <c r="CT421" s="46">
        <v>0.10817934581779599</v>
      </c>
      <c r="CU421" s="47">
        <v>0.15266546479389501</v>
      </c>
      <c r="CV421" s="48">
        <v>8.3137761111076092</v>
      </c>
      <c r="CW421" s="49">
        <v>4.2225416897922097</v>
      </c>
      <c r="CX421" s="31" t="s">
        <v>5875</v>
      </c>
      <c r="CY421" s="31" t="s">
        <v>5832</v>
      </c>
      <c r="CZ421" t="s">
        <v>11927</v>
      </c>
      <c r="DA421" t="s">
        <v>5904</v>
      </c>
      <c r="DB421">
        <v>574.29999999999995</v>
      </c>
      <c r="DC421" t="s">
        <v>31570</v>
      </c>
      <c r="DD421" t="s">
        <v>31571</v>
      </c>
      <c r="DE421" t="s">
        <v>31572</v>
      </c>
      <c r="DF421" t="s">
        <v>31573</v>
      </c>
      <c r="DG421" t="s">
        <v>31574</v>
      </c>
      <c r="DH421" t="str">
        <f>"VDAC1"</f>
        <v>VDAC1</v>
      </c>
      <c r="DI421" t="s">
        <v>31575</v>
      </c>
      <c r="DJ421" t="s">
        <v>13777</v>
      </c>
      <c r="DK421">
        <v>9606</v>
      </c>
      <c r="DL421" s="34" t="str">
        <f>HYPERLINK("http://www.uniprot.org/uniprot/P21796", "P21796")</f>
        <v>P21796</v>
      </c>
      <c r="DM421" t="s">
        <v>31576</v>
      </c>
      <c r="DN421" t="s">
        <v>31577</v>
      </c>
      <c r="DO421" t="s">
        <v>31578</v>
      </c>
      <c r="DP421" t="s">
        <v>13772</v>
      </c>
      <c r="DQ421" t="s">
        <v>13772</v>
      </c>
      <c r="DR421" t="s">
        <v>13772</v>
      </c>
      <c r="DS421" t="s">
        <v>24415</v>
      </c>
      <c r="DT421" t="s">
        <v>13772</v>
      </c>
      <c r="DU421" t="s">
        <v>24497</v>
      </c>
      <c r="DV421" t="s">
        <v>13991</v>
      </c>
      <c r="DW421" t="s">
        <v>13812</v>
      </c>
      <c r="DX421" t="s">
        <v>31579</v>
      </c>
      <c r="DY421" t="s">
        <v>31580</v>
      </c>
      <c r="DZ421" t="s">
        <v>31581</v>
      </c>
      <c r="EA421" t="s">
        <v>13772</v>
      </c>
      <c r="EB421" t="s">
        <v>31582</v>
      </c>
    </row>
    <row r="422" spans="1:132" hidden="1">
      <c r="A422">
        <v>224</v>
      </c>
      <c r="B422">
        <v>1</v>
      </c>
      <c r="C422" t="s">
        <v>569</v>
      </c>
      <c r="D422" t="s">
        <v>73</v>
      </c>
      <c r="E422" t="s">
        <v>73</v>
      </c>
      <c r="F422" t="s">
        <v>73</v>
      </c>
      <c r="G422" t="s">
        <v>73</v>
      </c>
      <c r="H422">
        <v>46.9</v>
      </c>
      <c r="I422">
        <v>405</v>
      </c>
      <c r="J422">
        <v>45755</v>
      </c>
      <c r="K422" t="s">
        <v>570</v>
      </c>
      <c r="L422">
        <f t="shared" si="26"/>
        <v>94</v>
      </c>
      <c r="N422">
        <v>94</v>
      </c>
      <c r="O422">
        <v>94</v>
      </c>
      <c r="P422">
        <v>1</v>
      </c>
      <c r="Q422">
        <v>7</v>
      </c>
      <c r="R422">
        <v>1</v>
      </c>
      <c r="S422">
        <v>3</v>
      </c>
      <c r="T422">
        <v>0</v>
      </c>
      <c r="U422">
        <v>0</v>
      </c>
      <c r="V422">
        <v>3</v>
      </c>
      <c r="W422">
        <v>16</v>
      </c>
      <c r="X422">
        <v>10</v>
      </c>
      <c r="Y422">
        <v>1</v>
      </c>
      <c r="Z422">
        <v>3</v>
      </c>
      <c r="AA422">
        <v>3</v>
      </c>
      <c r="AB422">
        <v>3</v>
      </c>
      <c r="AC422">
        <v>8</v>
      </c>
      <c r="AD422">
        <v>9</v>
      </c>
      <c r="AE422">
        <v>10</v>
      </c>
      <c r="AF422">
        <v>4</v>
      </c>
      <c r="AG422">
        <v>3</v>
      </c>
      <c r="AH422">
        <v>5</v>
      </c>
      <c r="AI422">
        <v>5</v>
      </c>
      <c r="AJ422">
        <v>7</v>
      </c>
      <c r="AK422">
        <v>1</v>
      </c>
      <c r="AL422">
        <v>3</v>
      </c>
      <c r="AM422">
        <v>0</v>
      </c>
      <c r="AN422">
        <v>0</v>
      </c>
      <c r="AO422">
        <v>3</v>
      </c>
      <c r="AP422">
        <v>16</v>
      </c>
      <c r="AQ422">
        <v>10</v>
      </c>
      <c r="AR422">
        <v>1</v>
      </c>
      <c r="AS422">
        <v>3</v>
      </c>
      <c r="AT422">
        <v>3</v>
      </c>
      <c r="AU422">
        <v>3</v>
      </c>
      <c r="AV422">
        <v>8</v>
      </c>
      <c r="AW422">
        <v>9</v>
      </c>
      <c r="AX422">
        <v>10</v>
      </c>
      <c r="AY422">
        <v>4</v>
      </c>
      <c r="AZ422">
        <v>3</v>
      </c>
      <c r="BA422">
        <v>5</v>
      </c>
      <c r="BB422">
        <v>5</v>
      </c>
      <c r="BC422" s="2">
        <v>7</v>
      </c>
      <c r="BD422" s="2">
        <v>1</v>
      </c>
      <c r="BE422" s="2">
        <v>3</v>
      </c>
      <c r="BF422" s="2">
        <v>0</v>
      </c>
      <c r="BG422" s="2">
        <v>0</v>
      </c>
      <c r="BH422" s="2">
        <v>3</v>
      </c>
      <c r="BI422" s="2">
        <v>16</v>
      </c>
      <c r="BJ422" s="2">
        <v>10</v>
      </c>
      <c r="BK422" s="2">
        <v>1</v>
      </c>
      <c r="BL422" s="2">
        <v>3</v>
      </c>
      <c r="BM422" s="2">
        <v>3</v>
      </c>
      <c r="BN422" s="2">
        <v>3</v>
      </c>
      <c r="BO422" s="2">
        <v>8</v>
      </c>
      <c r="BP422" s="2">
        <v>9</v>
      </c>
      <c r="BQ422" s="2">
        <v>10</v>
      </c>
      <c r="BR422" s="2">
        <v>4</v>
      </c>
      <c r="BS422" s="2">
        <v>3</v>
      </c>
      <c r="BT422" s="2">
        <v>5</v>
      </c>
      <c r="BU422" s="2">
        <v>5</v>
      </c>
      <c r="BV422" s="2">
        <f t="shared" si="29"/>
        <v>94</v>
      </c>
      <c r="BW422" s="16">
        <f t="shared" si="27"/>
        <v>4.9473684210526319</v>
      </c>
      <c r="BX422" s="16">
        <f>COUNTIF($BC$6:BU422, "=0") / COUNTIF($BC$6:BU422, "&gt;-1")</f>
        <v>0.10488451344187807</v>
      </c>
      <c r="BY422" s="18">
        <f>SUM($BC$6:BU422) / $BY$4</f>
        <v>0.82012872140309956</v>
      </c>
      <c r="BZ422" s="14">
        <f t="shared" si="28"/>
        <v>2</v>
      </c>
      <c r="CA422" t="s">
        <v>5831</v>
      </c>
      <c r="CB422" s="36">
        <v>8.4815037708430996</v>
      </c>
      <c r="CC422" s="36">
        <v>0.96306412067744696</v>
      </c>
      <c r="CD422" s="36">
        <v>4.8023929854367697</v>
      </c>
      <c r="CE422" s="36">
        <v>0.37798043978830698</v>
      </c>
      <c r="CF422" s="36">
        <v>0.215044089984223</v>
      </c>
      <c r="CG422" s="36">
        <v>2.7891817399184702</v>
      </c>
      <c r="CH422" s="36">
        <v>16.8649965258343</v>
      </c>
      <c r="CI422" s="36">
        <v>9.7318359798230603</v>
      </c>
      <c r="CJ422" s="37">
        <v>0.79475829324495695</v>
      </c>
      <c r="CK422" s="37">
        <v>1.89194894066486</v>
      </c>
      <c r="CL422" s="37">
        <v>2.4001630448020301</v>
      </c>
      <c r="CM422" s="37">
        <v>6.7723763727995303</v>
      </c>
      <c r="CN422" s="37">
        <v>9.1879256581511406</v>
      </c>
      <c r="CO422" s="37">
        <v>3.1567622815404999</v>
      </c>
      <c r="CP422" s="37">
        <v>4.5256201435872701</v>
      </c>
      <c r="CQ422" s="37">
        <v>7.6131842323730803</v>
      </c>
      <c r="CR422" s="45">
        <v>-0.31456451312459699</v>
      </c>
      <c r="CS422" s="45">
        <v>-1.21691432481919</v>
      </c>
      <c r="CT422" s="46">
        <v>0.65422362659724498</v>
      </c>
      <c r="CU422" s="47">
        <v>0.72583019269246596</v>
      </c>
      <c r="CV422" s="48">
        <v>5.5282499565382004</v>
      </c>
      <c r="CW422" s="49">
        <v>4.5428423708954204</v>
      </c>
      <c r="CX422" s="31" t="s">
        <v>5875</v>
      </c>
      <c r="CY422" s="31" t="s">
        <v>5832</v>
      </c>
      <c r="CZ422" t="s">
        <v>6472</v>
      </c>
      <c r="DA422" t="s">
        <v>5904</v>
      </c>
      <c r="DB422">
        <v>551.6</v>
      </c>
      <c r="DC422" t="s">
        <v>15724</v>
      </c>
      <c r="DD422" t="s">
        <v>15725</v>
      </c>
      <c r="DE422" t="s">
        <v>15726</v>
      </c>
      <c r="DF422" t="s">
        <v>15727</v>
      </c>
      <c r="DG422" t="s">
        <v>15728</v>
      </c>
      <c r="DH422" t="str">
        <f>"SERPINA6"</f>
        <v>SERPINA6</v>
      </c>
      <c r="DI422" t="s">
        <v>15729</v>
      </c>
      <c r="DJ422" t="s">
        <v>13777</v>
      </c>
      <c r="DK422">
        <v>9606</v>
      </c>
      <c r="DL422" s="34" t="str">
        <f>HYPERLINK("http://www.uniprot.org/uniprot/P08185", "P08185")</f>
        <v>P08185</v>
      </c>
      <c r="DM422" t="s">
        <v>15730</v>
      </c>
      <c r="DN422" t="s">
        <v>14192</v>
      </c>
      <c r="DO422" t="s">
        <v>14321</v>
      </c>
      <c r="DP422" t="s">
        <v>13793</v>
      </c>
      <c r="DQ422" t="s">
        <v>13772</v>
      </c>
      <c r="DR422" t="s">
        <v>13807</v>
      </c>
      <c r="DS422" t="s">
        <v>13808</v>
      </c>
      <c r="DT422" t="s">
        <v>15731</v>
      </c>
      <c r="DU422" t="s">
        <v>13772</v>
      </c>
      <c r="DV422" t="s">
        <v>13858</v>
      </c>
      <c r="DW422" t="s">
        <v>13812</v>
      </c>
      <c r="DX422" t="s">
        <v>15732</v>
      </c>
      <c r="DY422" t="s">
        <v>15733</v>
      </c>
      <c r="DZ422" t="s">
        <v>15734</v>
      </c>
      <c r="EA422" t="s">
        <v>13772</v>
      </c>
      <c r="EB422" t="s">
        <v>13772</v>
      </c>
    </row>
    <row r="423" spans="1:132" hidden="1">
      <c r="A423">
        <v>328</v>
      </c>
      <c r="B423">
        <v>1</v>
      </c>
      <c r="C423" t="s">
        <v>824</v>
      </c>
      <c r="D423" t="s">
        <v>73</v>
      </c>
      <c r="E423" t="s">
        <v>73</v>
      </c>
      <c r="F423" t="s">
        <v>73</v>
      </c>
      <c r="G423" t="s">
        <v>73</v>
      </c>
      <c r="H423">
        <v>67.8</v>
      </c>
      <c r="I423">
        <v>118</v>
      </c>
      <c r="J423">
        <v>12895</v>
      </c>
      <c r="K423" t="s">
        <v>825</v>
      </c>
      <c r="L423">
        <f t="shared" si="26"/>
        <v>94</v>
      </c>
      <c r="N423">
        <v>94</v>
      </c>
      <c r="O423">
        <v>94</v>
      </c>
      <c r="P423">
        <v>1</v>
      </c>
      <c r="Q423">
        <v>4</v>
      </c>
      <c r="R423">
        <v>1</v>
      </c>
      <c r="S423">
        <v>1</v>
      </c>
      <c r="T423">
        <v>0</v>
      </c>
      <c r="U423">
        <v>0</v>
      </c>
      <c r="V423">
        <v>2</v>
      </c>
      <c r="W423">
        <v>5</v>
      </c>
      <c r="X423">
        <v>10</v>
      </c>
      <c r="Y423">
        <v>12</v>
      </c>
      <c r="Z423">
        <v>1</v>
      </c>
      <c r="AA423">
        <v>11</v>
      </c>
      <c r="AB423">
        <v>7</v>
      </c>
      <c r="AC423">
        <v>5</v>
      </c>
      <c r="AD423">
        <v>1</v>
      </c>
      <c r="AE423">
        <v>12</v>
      </c>
      <c r="AF423">
        <v>15</v>
      </c>
      <c r="AG423">
        <v>2</v>
      </c>
      <c r="AH423">
        <v>1</v>
      </c>
      <c r="AI423">
        <v>4</v>
      </c>
      <c r="AJ423">
        <v>4</v>
      </c>
      <c r="AK423">
        <v>1</v>
      </c>
      <c r="AL423">
        <v>1</v>
      </c>
      <c r="AM423">
        <v>0</v>
      </c>
      <c r="AN423">
        <v>0</v>
      </c>
      <c r="AO423">
        <v>2</v>
      </c>
      <c r="AP423">
        <v>5</v>
      </c>
      <c r="AQ423">
        <v>10</v>
      </c>
      <c r="AR423">
        <v>12</v>
      </c>
      <c r="AS423">
        <v>1</v>
      </c>
      <c r="AT423">
        <v>11</v>
      </c>
      <c r="AU423">
        <v>7</v>
      </c>
      <c r="AV423">
        <v>5</v>
      </c>
      <c r="AW423">
        <v>1</v>
      </c>
      <c r="AX423">
        <v>12</v>
      </c>
      <c r="AY423">
        <v>15</v>
      </c>
      <c r="AZ423">
        <v>2</v>
      </c>
      <c r="BA423">
        <v>1</v>
      </c>
      <c r="BB423">
        <v>4</v>
      </c>
      <c r="BC423" s="2">
        <v>4</v>
      </c>
      <c r="BD423" s="2">
        <v>1</v>
      </c>
      <c r="BE423" s="2">
        <v>1</v>
      </c>
      <c r="BF423" s="2">
        <v>0</v>
      </c>
      <c r="BG423" s="2">
        <v>0</v>
      </c>
      <c r="BH423" s="2">
        <v>2</v>
      </c>
      <c r="BI423" s="2">
        <v>5</v>
      </c>
      <c r="BJ423" s="2">
        <v>10</v>
      </c>
      <c r="BK423" s="2">
        <v>12</v>
      </c>
      <c r="BL423" s="2">
        <v>1</v>
      </c>
      <c r="BM423" s="2">
        <v>11</v>
      </c>
      <c r="BN423" s="2">
        <v>7</v>
      </c>
      <c r="BO423" s="2">
        <v>5</v>
      </c>
      <c r="BP423" s="2">
        <v>1</v>
      </c>
      <c r="BQ423" s="2">
        <v>12</v>
      </c>
      <c r="BR423" s="2">
        <v>15</v>
      </c>
      <c r="BS423" s="2">
        <v>2</v>
      </c>
      <c r="BT423" s="2">
        <v>1</v>
      </c>
      <c r="BU423" s="2">
        <v>4</v>
      </c>
      <c r="BV423" s="2">
        <f t="shared" si="29"/>
        <v>94</v>
      </c>
      <c r="BW423" s="16">
        <f t="shared" si="27"/>
        <v>4.9473684210526319</v>
      </c>
      <c r="BX423" s="16">
        <f>COUNTIF($BC$6:BU423, "=0") / COUNTIF($BC$6:BU423, "&gt;-1")</f>
        <v>0.10488541928985143</v>
      </c>
      <c r="BY423" s="18">
        <f>SUM($BC$6:BU423) / $BY$4</f>
        <v>0.82053138326875741</v>
      </c>
      <c r="BZ423" s="14">
        <f t="shared" si="28"/>
        <v>2</v>
      </c>
      <c r="CA423" t="s">
        <v>5831</v>
      </c>
      <c r="CB423" s="36">
        <v>4.8465735833389196</v>
      </c>
      <c r="CC423" s="36">
        <v>0.96306412067744696</v>
      </c>
      <c r="CD423" s="36">
        <v>1.6007976618122599</v>
      </c>
      <c r="CE423" s="36">
        <v>0.37798043978830698</v>
      </c>
      <c r="CF423" s="36">
        <v>0.215044089984223</v>
      </c>
      <c r="CG423" s="36">
        <v>1.85945449327898</v>
      </c>
      <c r="CH423" s="36">
        <v>5.2703114143232002</v>
      </c>
      <c r="CI423" s="36">
        <v>9.7318359798230603</v>
      </c>
      <c r="CJ423" s="37">
        <v>9.53709951893949</v>
      </c>
      <c r="CK423" s="37">
        <v>6.9371461157711396</v>
      </c>
      <c r="CL423" s="37">
        <v>5.6003804378713999</v>
      </c>
      <c r="CM423" s="37">
        <v>4.2327352329997003</v>
      </c>
      <c r="CN423" s="37">
        <v>11.0255107897814</v>
      </c>
      <c r="CO423" s="37">
        <v>11.837858555776901</v>
      </c>
      <c r="CP423" s="37">
        <v>3.0170800957248498</v>
      </c>
      <c r="CQ423" s="37">
        <v>6.0905473858984696</v>
      </c>
      <c r="CR423" s="45">
        <v>1.19357675695334</v>
      </c>
      <c r="CS423" s="45">
        <v>2.3437849719137098</v>
      </c>
      <c r="CT423" s="46">
        <v>2.3778329449293499E-2</v>
      </c>
      <c r="CU423" s="47">
        <v>4.0170965660548903E-2</v>
      </c>
      <c r="CV423" s="48">
        <v>3.1081327228782998</v>
      </c>
      <c r="CW423" s="49">
        <v>7.28479476659541</v>
      </c>
      <c r="CX423" s="31" t="s">
        <v>5874</v>
      </c>
      <c r="CY423" s="31" t="s">
        <v>5878</v>
      </c>
      <c r="CZ423" t="s">
        <v>6836</v>
      </c>
      <c r="DA423" t="s">
        <v>5904</v>
      </c>
      <c r="DB423">
        <v>241.9</v>
      </c>
      <c r="DC423" t="s">
        <v>16835</v>
      </c>
      <c r="DD423" t="s">
        <v>16836</v>
      </c>
      <c r="DE423" t="s">
        <v>16837</v>
      </c>
      <c r="DF423" t="s">
        <v>16838</v>
      </c>
      <c r="DG423" t="s">
        <v>13772</v>
      </c>
      <c r="DH423" t="str">
        <f>"MTPN"</f>
        <v>MTPN</v>
      </c>
      <c r="DI423" t="s">
        <v>13772</v>
      </c>
      <c r="DJ423" t="s">
        <v>13777</v>
      </c>
      <c r="DK423">
        <v>9606</v>
      </c>
      <c r="DL423" s="34" t="str">
        <f>HYPERLINK("http://www.uniprot.org/uniprot/P58546", "P58546")</f>
        <v>P58546</v>
      </c>
      <c r="DM423" t="s">
        <v>16839</v>
      </c>
      <c r="DN423" t="s">
        <v>13772</v>
      </c>
      <c r="DO423" t="s">
        <v>13912</v>
      </c>
      <c r="DP423" t="s">
        <v>13772</v>
      </c>
      <c r="DQ423" t="s">
        <v>13772</v>
      </c>
      <c r="DR423" t="s">
        <v>13772</v>
      </c>
      <c r="DS423" t="s">
        <v>16840</v>
      </c>
      <c r="DT423" t="s">
        <v>13772</v>
      </c>
      <c r="DU423" t="s">
        <v>13772</v>
      </c>
      <c r="DV423" t="s">
        <v>13886</v>
      </c>
      <c r="DW423" t="s">
        <v>13812</v>
      </c>
      <c r="DX423" t="s">
        <v>16841</v>
      </c>
      <c r="DY423" t="s">
        <v>16842</v>
      </c>
      <c r="DZ423" t="s">
        <v>16843</v>
      </c>
      <c r="EA423" t="s">
        <v>13772</v>
      </c>
      <c r="EB423" t="s">
        <v>13772</v>
      </c>
    </row>
    <row r="424" spans="1:132">
      <c r="A424">
        <v>549</v>
      </c>
      <c r="B424">
        <v>1</v>
      </c>
      <c r="C424" t="s">
        <v>1370</v>
      </c>
      <c r="D424" t="s">
        <v>73</v>
      </c>
      <c r="E424" t="s">
        <v>73</v>
      </c>
      <c r="F424" t="s">
        <v>73</v>
      </c>
      <c r="G424" t="s">
        <v>73</v>
      </c>
      <c r="H424">
        <v>21.2</v>
      </c>
      <c r="I424">
        <v>325</v>
      </c>
      <c r="J424">
        <v>35892</v>
      </c>
      <c r="K424" t="s">
        <v>1371</v>
      </c>
      <c r="L424">
        <f t="shared" si="26"/>
        <v>94</v>
      </c>
      <c r="N424">
        <v>94</v>
      </c>
      <c r="O424">
        <v>94</v>
      </c>
      <c r="P424">
        <v>1</v>
      </c>
      <c r="Q424">
        <v>3</v>
      </c>
      <c r="R424">
        <v>4</v>
      </c>
      <c r="S424">
        <v>5</v>
      </c>
      <c r="T424">
        <v>1</v>
      </c>
      <c r="U424">
        <v>4</v>
      </c>
      <c r="V424">
        <v>5</v>
      </c>
      <c r="W424">
        <v>2</v>
      </c>
      <c r="X424">
        <v>9</v>
      </c>
      <c r="Y424">
        <v>4</v>
      </c>
      <c r="Z424">
        <v>2</v>
      </c>
      <c r="AA424">
        <v>9</v>
      </c>
      <c r="AB424">
        <v>7</v>
      </c>
      <c r="AC424">
        <v>8</v>
      </c>
      <c r="AD424">
        <v>5</v>
      </c>
      <c r="AE424">
        <v>7</v>
      </c>
      <c r="AF424">
        <v>6</v>
      </c>
      <c r="AG424">
        <v>6</v>
      </c>
      <c r="AH424">
        <v>1</v>
      </c>
      <c r="AI424">
        <v>6</v>
      </c>
      <c r="AJ424">
        <v>3</v>
      </c>
      <c r="AK424">
        <v>4</v>
      </c>
      <c r="AL424">
        <v>5</v>
      </c>
      <c r="AM424">
        <v>1</v>
      </c>
      <c r="AN424">
        <v>4</v>
      </c>
      <c r="AO424">
        <v>5</v>
      </c>
      <c r="AP424">
        <v>2</v>
      </c>
      <c r="AQ424">
        <v>9</v>
      </c>
      <c r="AR424">
        <v>4</v>
      </c>
      <c r="AS424">
        <v>2</v>
      </c>
      <c r="AT424">
        <v>9</v>
      </c>
      <c r="AU424">
        <v>7</v>
      </c>
      <c r="AV424">
        <v>8</v>
      </c>
      <c r="AW424">
        <v>5</v>
      </c>
      <c r="AX424">
        <v>7</v>
      </c>
      <c r="AY424">
        <v>6</v>
      </c>
      <c r="AZ424">
        <v>6</v>
      </c>
      <c r="BA424">
        <v>1</v>
      </c>
      <c r="BB424">
        <v>6</v>
      </c>
      <c r="BC424" s="2">
        <v>3</v>
      </c>
      <c r="BD424" s="2">
        <v>4</v>
      </c>
      <c r="BE424" s="2">
        <v>5</v>
      </c>
      <c r="BF424" s="2">
        <v>1</v>
      </c>
      <c r="BG424" s="2">
        <v>4</v>
      </c>
      <c r="BH424" s="2">
        <v>5</v>
      </c>
      <c r="BI424" s="2">
        <v>2</v>
      </c>
      <c r="BJ424" s="2">
        <v>9</v>
      </c>
      <c r="BK424" s="2">
        <v>4</v>
      </c>
      <c r="BL424" s="2">
        <v>2</v>
      </c>
      <c r="BM424" s="2">
        <v>9</v>
      </c>
      <c r="BN424" s="2">
        <v>7</v>
      </c>
      <c r="BO424" s="2">
        <v>8</v>
      </c>
      <c r="BP424" s="2">
        <v>5</v>
      </c>
      <c r="BQ424" s="2">
        <v>7</v>
      </c>
      <c r="BR424" s="2">
        <v>6</v>
      </c>
      <c r="BS424" s="2">
        <v>6</v>
      </c>
      <c r="BT424" s="2">
        <v>1</v>
      </c>
      <c r="BU424" s="2">
        <v>6</v>
      </c>
      <c r="BV424" s="2">
        <f t="shared" si="29"/>
        <v>94</v>
      </c>
      <c r="BW424" s="16">
        <f t="shared" si="27"/>
        <v>4.9473684210526319</v>
      </c>
      <c r="BX424" s="16">
        <f>COUNTIF($BC$6:BU424, "=0") / COUNTIF($BC$6:BU424, "&gt;-1")</f>
        <v>0.1046350960934556</v>
      </c>
      <c r="BY424" s="18">
        <f>SUM($BC$6:BU424) / $BY$4</f>
        <v>0.82093404513441526</v>
      </c>
      <c r="BZ424" s="14">
        <f t="shared" si="28"/>
        <v>0</v>
      </c>
      <c r="CA424" t="s">
        <v>5831</v>
      </c>
      <c r="CB424" s="36">
        <v>3.6349301875041902</v>
      </c>
      <c r="CC424" s="36">
        <v>3.85225648270979</v>
      </c>
      <c r="CD424" s="36">
        <v>8.00398830906129</v>
      </c>
      <c r="CE424" s="36">
        <v>1.5119217591532299</v>
      </c>
      <c r="CF424" s="36">
        <v>3.4407054397475698</v>
      </c>
      <c r="CG424" s="36">
        <v>4.6486362331974602</v>
      </c>
      <c r="CH424" s="36">
        <v>2.10812456572928</v>
      </c>
      <c r="CI424" s="36">
        <v>8.7586523818407507</v>
      </c>
      <c r="CJ424" s="37">
        <v>3.17903317297983</v>
      </c>
      <c r="CK424" s="37">
        <v>5.6758468219945701</v>
      </c>
      <c r="CL424" s="37">
        <v>5.6003804378713999</v>
      </c>
      <c r="CM424" s="37">
        <v>6.7723763727995303</v>
      </c>
      <c r="CN424" s="37">
        <v>6.4315479607058004</v>
      </c>
      <c r="CO424" s="37">
        <v>4.7351434223107498</v>
      </c>
      <c r="CP424" s="37">
        <v>9.0512402871745401</v>
      </c>
      <c r="CQ424" s="37">
        <v>9.1358210788476999</v>
      </c>
      <c r="CR424" s="45">
        <v>0.42394246826655002</v>
      </c>
      <c r="CS424" s="45">
        <v>1.4066321817587699</v>
      </c>
      <c r="CT424" s="46">
        <v>0.25326165495752601</v>
      </c>
      <c r="CU424" s="47">
        <v>0.32583085993574101</v>
      </c>
      <c r="CV424" s="48">
        <v>4.4949019198679396</v>
      </c>
      <c r="CW424" s="49">
        <v>6.32267369433551</v>
      </c>
      <c r="CX424" s="31" t="s">
        <v>5874</v>
      </c>
      <c r="CY424" s="31" t="s">
        <v>5832</v>
      </c>
      <c r="CZ424" t="s">
        <v>7597</v>
      </c>
      <c r="DA424" t="s">
        <v>5904</v>
      </c>
      <c r="DB424">
        <v>438.7</v>
      </c>
      <c r="DC424" t="s">
        <v>19183</v>
      </c>
      <c r="DD424" t="s">
        <v>19184</v>
      </c>
      <c r="DE424" t="s">
        <v>19185</v>
      </c>
      <c r="DF424" t="s">
        <v>19186</v>
      </c>
      <c r="DG424" t="s">
        <v>19187</v>
      </c>
      <c r="DH424" t="str">
        <f>"LYVE1"</f>
        <v>LYVE1</v>
      </c>
      <c r="DI424" t="s">
        <v>19188</v>
      </c>
      <c r="DJ424" t="s">
        <v>13777</v>
      </c>
      <c r="DK424">
        <v>9606</v>
      </c>
      <c r="DL424" s="34" t="str">
        <f>HYPERLINK("http://www.uniprot.org/uniprot/Q9Y5Y7", "Q9Y5Y7")</f>
        <v>Q9Y5Y7</v>
      </c>
      <c r="DM424" t="s">
        <v>19189</v>
      </c>
      <c r="DN424" t="s">
        <v>14192</v>
      </c>
      <c r="DO424" t="s">
        <v>13825</v>
      </c>
      <c r="DP424" t="s">
        <v>13793</v>
      </c>
      <c r="DQ424" t="s">
        <v>13772</v>
      </c>
      <c r="DR424" t="s">
        <v>13772</v>
      </c>
      <c r="DS424" t="s">
        <v>13855</v>
      </c>
      <c r="DT424" t="s">
        <v>13772</v>
      </c>
      <c r="DU424" t="s">
        <v>13795</v>
      </c>
      <c r="DV424" t="s">
        <v>13796</v>
      </c>
      <c r="DW424" t="s">
        <v>13772</v>
      </c>
      <c r="DX424" t="s">
        <v>19190</v>
      </c>
      <c r="DY424" t="s">
        <v>19191</v>
      </c>
      <c r="DZ424" t="s">
        <v>19192</v>
      </c>
      <c r="EA424" t="s">
        <v>13772</v>
      </c>
      <c r="EB424" t="s">
        <v>19193</v>
      </c>
    </row>
    <row r="425" spans="1:132">
      <c r="A425">
        <v>751</v>
      </c>
      <c r="B425">
        <v>1</v>
      </c>
      <c r="C425" t="s">
        <v>1845</v>
      </c>
      <c r="D425" t="s">
        <v>73</v>
      </c>
      <c r="E425" t="s">
        <v>73</v>
      </c>
      <c r="F425" t="s">
        <v>73</v>
      </c>
      <c r="G425" t="s">
        <v>73</v>
      </c>
      <c r="H425">
        <v>33.299999999999997</v>
      </c>
      <c r="I425">
        <v>675</v>
      </c>
      <c r="J425">
        <v>75152</v>
      </c>
      <c r="K425" t="s">
        <v>1846</v>
      </c>
      <c r="L425">
        <f t="shared" si="26"/>
        <v>94</v>
      </c>
      <c r="N425">
        <v>94</v>
      </c>
      <c r="O425">
        <v>94</v>
      </c>
      <c r="P425">
        <v>1</v>
      </c>
      <c r="Q425">
        <v>4</v>
      </c>
      <c r="R425">
        <v>2</v>
      </c>
      <c r="S425">
        <v>4</v>
      </c>
      <c r="T425">
        <v>3</v>
      </c>
      <c r="U425">
        <v>1</v>
      </c>
      <c r="V425">
        <v>3</v>
      </c>
      <c r="W425">
        <v>3</v>
      </c>
      <c r="X425">
        <v>5</v>
      </c>
      <c r="Y425">
        <v>4</v>
      </c>
      <c r="Z425">
        <v>14</v>
      </c>
      <c r="AA425">
        <v>4</v>
      </c>
      <c r="AB425">
        <v>6</v>
      </c>
      <c r="AC425">
        <v>8</v>
      </c>
      <c r="AD425">
        <v>11</v>
      </c>
      <c r="AE425">
        <v>4</v>
      </c>
      <c r="AF425">
        <v>5</v>
      </c>
      <c r="AG425">
        <v>3</v>
      </c>
      <c r="AH425">
        <v>5</v>
      </c>
      <c r="AI425">
        <v>5</v>
      </c>
      <c r="AJ425">
        <v>4</v>
      </c>
      <c r="AK425">
        <v>2</v>
      </c>
      <c r="AL425">
        <v>4</v>
      </c>
      <c r="AM425">
        <v>3</v>
      </c>
      <c r="AN425">
        <v>1</v>
      </c>
      <c r="AO425">
        <v>3</v>
      </c>
      <c r="AP425">
        <v>3</v>
      </c>
      <c r="AQ425">
        <v>5</v>
      </c>
      <c r="AR425">
        <v>4</v>
      </c>
      <c r="AS425">
        <v>14</v>
      </c>
      <c r="AT425">
        <v>4</v>
      </c>
      <c r="AU425">
        <v>6</v>
      </c>
      <c r="AV425">
        <v>8</v>
      </c>
      <c r="AW425">
        <v>11</v>
      </c>
      <c r="AX425">
        <v>4</v>
      </c>
      <c r="AY425">
        <v>5</v>
      </c>
      <c r="AZ425">
        <v>3</v>
      </c>
      <c r="BA425">
        <v>5</v>
      </c>
      <c r="BB425">
        <v>5</v>
      </c>
      <c r="BC425" s="2">
        <v>4</v>
      </c>
      <c r="BD425" s="2">
        <v>2</v>
      </c>
      <c r="BE425" s="2">
        <v>4</v>
      </c>
      <c r="BF425" s="2">
        <v>3</v>
      </c>
      <c r="BG425" s="2">
        <v>1</v>
      </c>
      <c r="BH425" s="2">
        <v>3</v>
      </c>
      <c r="BI425" s="2">
        <v>3</v>
      </c>
      <c r="BJ425" s="2">
        <v>5</v>
      </c>
      <c r="BK425" s="2">
        <v>4</v>
      </c>
      <c r="BL425" s="2">
        <v>14</v>
      </c>
      <c r="BM425" s="2">
        <v>4</v>
      </c>
      <c r="BN425" s="2">
        <v>6</v>
      </c>
      <c r="BO425" s="2">
        <v>8</v>
      </c>
      <c r="BP425" s="2">
        <v>11</v>
      </c>
      <c r="BQ425" s="2">
        <v>4</v>
      </c>
      <c r="BR425" s="2">
        <v>5</v>
      </c>
      <c r="BS425" s="2">
        <v>3</v>
      </c>
      <c r="BT425" s="2">
        <v>5</v>
      </c>
      <c r="BU425" s="2">
        <v>5</v>
      </c>
      <c r="BV425" s="2">
        <f t="shared" si="29"/>
        <v>94</v>
      </c>
      <c r="BW425" s="16">
        <f t="shared" si="27"/>
        <v>4.9473684210526319</v>
      </c>
      <c r="BX425" s="16">
        <f>COUNTIF($BC$6:BU425, "=0") / COUNTIF($BC$6:BU425, "&gt;-1")</f>
        <v>0.10438596491228071</v>
      </c>
      <c r="BY425" s="18">
        <f>SUM($BC$6:BU425) / $BY$4</f>
        <v>0.82133670700007311</v>
      </c>
      <c r="BZ425" s="14">
        <f t="shared" si="28"/>
        <v>0</v>
      </c>
      <c r="CA425" t="s">
        <v>5831</v>
      </c>
      <c r="CB425" s="36">
        <v>4.8465735833389196</v>
      </c>
      <c r="CC425" s="36">
        <v>1.9261282413548899</v>
      </c>
      <c r="CD425" s="36">
        <v>6.4031906472490299</v>
      </c>
      <c r="CE425" s="36">
        <v>4.5357652774596904</v>
      </c>
      <c r="CF425" s="36">
        <v>0.86017635993689201</v>
      </c>
      <c r="CG425" s="36">
        <v>2.7891817399184702</v>
      </c>
      <c r="CH425" s="36">
        <v>3.1621868485939202</v>
      </c>
      <c r="CI425" s="36">
        <v>4.8659179899115301</v>
      </c>
      <c r="CJ425" s="37">
        <v>3.17903317297983</v>
      </c>
      <c r="CK425" s="37">
        <v>2.5225985875531398</v>
      </c>
      <c r="CL425" s="37">
        <v>4.8003260896040603</v>
      </c>
      <c r="CM425" s="37">
        <v>6.7723763727995303</v>
      </c>
      <c r="CN425" s="37">
        <v>3.6751702632604601</v>
      </c>
      <c r="CO425" s="37">
        <v>3.94595285192562</v>
      </c>
      <c r="CP425" s="37">
        <v>4.5256201435872701</v>
      </c>
      <c r="CQ425" s="37">
        <v>7.6131842323730803</v>
      </c>
      <c r="CR425" s="45">
        <v>0.34959633973728699</v>
      </c>
      <c r="CS425" s="45">
        <v>1.2601350720065201</v>
      </c>
      <c r="CT425" s="46">
        <v>0.45743096860367299</v>
      </c>
      <c r="CU425" s="47">
        <v>0.54067370670646198</v>
      </c>
      <c r="CV425" s="48">
        <v>3.6736400859704199</v>
      </c>
      <c r="CW425" s="49">
        <v>4.6292827142603699</v>
      </c>
      <c r="CX425" s="31" t="s">
        <v>5874</v>
      </c>
      <c r="CY425" s="31" t="s">
        <v>5832</v>
      </c>
      <c r="CZ425" t="s">
        <v>8270</v>
      </c>
      <c r="DA425" t="s">
        <v>5904</v>
      </c>
      <c r="DB425">
        <v>1171.8</v>
      </c>
      <c r="DC425" t="s">
        <v>21169</v>
      </c>
      <c r="DD425" t="s">
        <v>13772</v>
      </c>
      <c r="DE425" t="s">
        <v>21170</v>
      </c>
      <c r="DF425" t="s">
        <v>21171</v>
      </c>
      <c r="DG425" t="s">
        <v>21172</v>
      </c>
      <c r="DH425" t="str">
        <f>"PROS1"</f>
        <v>PROS1</v>
      </c>
      <c r="DI425" t="s">
        <v>21173</v>
      </c>
      <c r="DJ425" t="s">
        <v>13777</v>
      </c>
      <c r="DK425">
        <v>9606</v>
      </c>
      <c r="DL425" s="34" t="str">
        <f>HYPERLINK("http://www.uniprot.org/uniprot/P07225", "P07225")</f>
        <v>P07225</v>
      </c>
      <c r="DM425" t="s">
        <v>21174</v>
      </c>
      <c r="DN425" t="s">
        <v>21175</v>
      </c>
      <c r="DO425" t="s">
        <v>14321</v>
      </c>
      <c r="DP425" t="s">
        <v>13793</v>
      </c>
      <c r="DQ425" t="s">
        <v>13772</v>
      </c>
      <c r="DR425" t="s">
        <v>17445</v>
      </c>
      <c r="DS425" t="s">
        <v>14768</v>
      </c>
      <c r="DT425" t="s">
        <v>14465</v>
      </c>
      <c r="DU425" t="s">
        <v>13772</v>
      </c>
      <c r="DV425" t="s">
        <v>21176</v>
      </c>
      <c r="DW425" t="s">
        <v>13812</v>
      </c>
      <c r="DX425" t="s">
        <v>21177</v>
      </c>
      <c r="DY425" t="s">
        <v>21178</v>
      </c>
      <c r="DZ425" t="s">
        <v>21179</v>
      </c>
      <c r="EA425" t="s">
        <v>13772</v>
      </c>
      <c r="EB425" t="s">
        <v>21180</v>
      </c>
    </row>
    <row r="426" spans="1:132" hidden="1">
      <c r="A426">
        <v>1401</v>
      </c>
      <c r="B426">
        <v>1</v>
      </c>
      <c r="C426" t="s">
        <v>3345</v>
      </c>
      <c r="D426" t="s">
        <v>73</v>
      </c>
      <c r="E426" t="s">
        <v>73</v>
      </c>
      <c r="F426" t="s">
        <v>73</v>
      </c>
      <c r="G426" t="s">
        <v>73</v>
      </c>
      <c r="H426">
        <v>46.1</v>
      </c>
      <c r="I426">
        <v>440</v>
      </c>
      <c r="J426">
        <v>49498</v>
      </c>
      <c r="K426" t="s">
        <v>3346</v>
      </c>
      <c r="L426">
        <f t="shared" si="26"/>
        <v>94</v>
      </c>
      <c r="N426">
        <v>94</v>
      </c>
      <c r="O426">
        <v>94</v>
      </c>
      <c r="P426">
        <v>1</v>
      </c>
      <c r="Q426">
        <v>10</v>
      </c>
      <c r="R426">
        <v>11</v>
      </c>
      <c r="S426">
        <v>0</v>
      </c>
      <c r="T426">
        <v>2</v>
      </c>
      <c r="U426">
        <v>6</v>
      </c>
      <c r="V426">
        <v>6</v>
      </c>
      <c r="W426">
        <v>7</v>
      </c>
      <c r="X426">
        <v>12</v>
      </c>
      <c r="Y426">
        <v>6</v>
      </c>
      <c r="Z426">
        <v>4</v>
      </c>
      <c r="AA426">
        <v>3</v>
      </c>
      <c r="AB426">
        <v>6</v>
      </c>
      <c r="AC426">
        <v>3</v>
      </c>
      <c r="AD426">
        <v>5</v>
      </c>
      <c r="AE426">
        <v>0</v>
      </c>
      <c r="AF426">
        <v>5</v>
      </c>
      <c r="AG426">
        <v>2</v>
      </c>
      <c r="AH426">
        <v>2</v>
      </c>
      <c r="AI426">
        <v>4</v>
      </c>
      <c r="AJ426">
        <v>10</v>
      </c>
      <c r="AK426">
        <v>11</v>
      </c>
      <c r="AL426">
        <v>0</v>
      </c>
      <c r="AM426">
        <v>2</v>
      </c>
      <c r="AN426">
        <v>6</v>
      </c>
      <c r="AO426">
        <v>6</v>
      </c>
      <c r="AP426">
        <v>7</v>
      </c>
      <c r="AQ426">
        <v>12</v>
      </c>
      <c r="AR426">
        <v>6</v>
      </c>
      <c r="AS426">
        <v>4</v>
      </c>
      <c r="AT426">
        <v>3</v>
      </c>
      <c r="AU426">
        <v>6</v>
      </c>
      <c r="AV426">
        <v>3</v>
      </c>
      <c r="AW426">
        <v>5</v>
      </c>
      <c r="AX426">
        <v>0</v>
      </c>
      <c r="AY426">
        <v>5</v>
      </c>
      <c r="AZ426">
        <v>2</v>
      </c>
      <c r="BA426">
        <v>2</v>
      </c>
      <c r="BB426">
        <v>4</v>
      </c>
      <c r="BC426" s="2">
        <v>10</v>
      </c>
      <c r="BD426" s="2">
        <v>11</v>
      </c>
      <c r="BE426" s="2">
        <v>0</v>
      </c>
      <c r="BF426" s="2">
        <v>2</v>
      </c>
      <c r="BG426" s="2">
        <v>6</v>
      </c>
      <c r="BH426" s="2">
        <v>6</v>
      </c>
      <c r="BI426" s="2">
        <v>7</v>
      </c>
      <c r="BJ426" s="2">
        <v>12</v>
      </c>
      <c r="BK426" s="2">
        <v>6</v>
      </c>
      <c r="BL426" s="2">
        <v>4</v>
      </c>
      <c r="BM426" s="2">
        <v>3</v>
      </c>
      <c r="BN426" s="2">
        <v>6</v>
      </c>
      <c r="BO426" s="2">
        <v>3</v>
      </c>
      <c r="BP426" s="2">
        <v>5</v>
      </c>
      <c r="BQ426" s="2">
        <v>0</v>
      </c>
      <c r="BR426" s="2">
        <v>5</v>
      </c>
      <c r="BS426" s="2">
        <v>2</v>
      </c>
      <c r="BT426" s="2">
        <v>2</v>
      </c>
      <c r="BU426" s="2">
        <v>4</v>
      </c>
      <c r="BV426" s="2">
        <f t="shared" si="29"/>
        <v>94</v>
      </c>
      <c r="BW426" s="16">
        <f t="shared" si="27"/>
        <v>4.9473684210526319</v>
      </c>
      <c r="BX426" s="16">
        <f>COUNTIF($BC$6:BU426, "=0") / COUNTIF($BC$6:BU426, "&gt;-1")</f>
        <v>0.10438804850606326</v>
      </c>
      <c r="BY426" s="18">
        <f>SUM($BC$6:BU426) / $BY$4</f>
        <v>0.82173936886573096</v>
      </c>
      <c r="BZ426" s="14">
        <f t="shared" si="28"/>
        <v>2</v>
      </c>
      <c r="CA426" t="s">
        <v>5831</v>
      </c>
      <c r="CB426" s="36">
        <v>12.116433958347301</v>
      </c>
      <c r="CC426" s="36">
        <v>10.5937053274519</v>
      </c>
      <c r="CD426" s="36">
        <v>0.40019941545306398</v>
      </c>
      <c r="CE426" s="36">
        <v>3.0238435183064598</v>
      </c>
      <c r="CF426" s="36">
        <v>5.1610581596213496</v>
      </c>
      <c r="CG426" s="36">
        <v>5.5783634798369501</v>
      </c>
      <c r="CH426" s="36">
        <v>7.3784359800524904</v>
      </c>
      <c r="CI426" s="36">
        <v>11.678203175787701</v>
      </c>
      <c r="CJ426" s="37">
        <v>4.7685497594697397</v>
      </c>
      <c r="CK426" s="37">
        <v>1.89194894066486</v>
      </c>
      <c r="CL426" s="37">
        <v>4.8003260896040603</v>
      </c>
      <c r="CM426" s="37">
        <v>2.5396411397998202</v>
      </c>
      <c r="CN426" s="37">
        <v>0.22969814145377901</v>
      </c>
      <c r="CO426" s="37">
        <v>3.94595285192562</v>
      </c>
      <c r="CP426" s="37">
        <v>3.0170800957248498</v>
      </c>
      <c r="CQ426" s="37">
        <v>6.0905473858984696</v>
      </c>
      <c r="CR426" s="45">
        <v>-1.0802962796669799</v>
      </c>
      <c r="CS426" s="45">
        <v>-2.0499474773538799</v>
      </c>
      <c r="CT426" s="46">
        <v>3.5291493885969298E-2</v>
      </c>
      <c r="CU426" s="47">
        <v>5.6891588939068503E-2</v>
      </c>
      <c r="CV426" s="48">
        <v>6.9912803768571496</v>
      </c>
      <c r="CW426" s="49">
        <v>3.4104680505676499</v>
      </c>
      <c r="CX426" s="31" t="s">
        <v>5875</v>
      </c>
      <c r="CY426" s="31" t="s">
        <v>5877</v>
      </c>
      <c r="CZ426" t="s">
        <v>10414</v>
      </c>
      <c r="DA426" t="s">
        <v>5904</v>
      </c>
      <c r="DB426">
        <v>777.7</v>
      </c>
      <c r="DC426" t="s">
        <v>27306</v>
      </c>
      <c r="DD426" t="s">
        <v>27307</v>
      </c>
      <c r="DE426" t="s">
        <v>27308</v>
      </c>
      <c r="DF426" t="s">
        <v>27309</v>
      </c>
      <c r="DG426" t="s">
        <v>27310</v>
      </c>
      <c r="DH426" t="str">
        <f>"PLA2G7"</f>
        <v>PLA2G7</v>
      </c>
      <c r="DI426" t="s">
        <v>27311</v>
      </c>
      <c r="DJ426" t="s">
        <v>13777</v>
      </c>
      <c r="DK426">
        <v>9606</v>
      </c>
      <c r="DL426" s="34" t="str">
        <f>HYPERLINK("http://www.uniprot.org/uniprot/Q13093", "Q13093")</f>
        <v>Q13093</v>
      </c>
      <c r="DM426" t="s">
        <v>27312</v>
      </c>
      <c r="DN426" t="s">
        <v>17548</v>
      </c>
      <c r="DO426" t="s">
        <v>14321</v>
      </c>
      <c r="DP426" t="s">
        <v>13793</v>
      </c>
      <c r="DQ426" t="s">
        <v>13772</v>
      </c>
      <c r="DR426" t="s">
        <v>27313</v>
      </c>
      <c r="DS426" t="s">
        <v>13808</v>
      </c>
      <c r="DT426" t="s">
        <v>13772</v>
      </c>
      <c r="DU426" t="s">
        <v>13857</v>
      </c>
      <c r="DV426" t="s">
        <v>13858</v>
      </c>
      <c r="DW426" t="s">
        <v>13812</v>
      </c>
      <c r="DX426" t="s">
        <v>27314</v>
      </c>
      <c r="DY426" t="s">
        <v>27315</v>
      </c>
      <c r="DZ426" t="s">
        <v>27316</v>
      </c>
      <c r="EA426" t="s">
        <v>13772</v>
      </c>
      <c r="EB426" t="s">
        <v>27317</v>
      </c>
    </row>
    <row r="427" spans="1:132" hidden="1">
      <c r="A427">
        <v>1700</v>
      </c>
      <c r="B427">
        <v>1</v>
      </c>
      <c r="C427" t="s">
        <v>4031</v>
      </c>
      <c r="D427" t="s">
        <v>4032</v>
      </c>
      <c r="E427" t="s">
        <v>73</v>
      </c>
      <c r="F427" t="s">
        <v>73</v>
      </c>
      <c r="G427" t="s">
        <v>73</v>
      </c>
      <c r="H427">
        <v>35.1</v>
      </c>
      <c r="I427">
        <v>228</v>
      </c>
      <c r="J427">
        <v>26057</v>
      </c>
      <c r="K427" t="s">
        <v>4033</v>
      </c>
      <c r="L427">
        <f t="shared" si="26"/>
        <v>94</v>
      </c>
      <c r="N427">
        <v>94</v>
      </c>
      <c r="O427">
        <v>94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6</v>
      </c>
      <c r="Z427">
        <v>4</v>
      </c>
      <c r="AA427">
        <v>8</v>
      </c>
      <c r="AB427">
        <v>5</v>
      </c>
      <c r="AC427">
        <v>4</v>
      </c>
      <c r="AD427">
        <v>0</v>
      </c>
      <c r="AE427">
        <v>39</v>
      </c>
      <c r="AF427">
        <v>18</v>
      </c>
      <c r="AG427">
        <v>1</v>
      </c>
      <c r="AH427">
        <v>2</v>
      </c>
      <c r="AI427">
        <v>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</v>
      </c>
      <c r="AS427">
        <v>4</v>
      </c>
      <c r="AT427">
        <v>8</v>
      </c>
      <c r="AU427">
        <v>5</v>
      </c>
      <c r="AV427">
        <v>4</v>
      </c>
      <c r="AW427">
        <v>0</v>
      </c>
      <c r="AX427">
        <v>39</v>
      </c>
      <c r="AY427">
        <v>18</v>
      </c>
      <c r="AZ427">
        <v>1</v>
      </c>
      <c r="BA427">
        <v>2</v>
      </c>
      <c r="BB427">
        <v>7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6</v>
      </c>
      <c r="BL427" s="2">
        <v>4</v>
      </c>
      <c r="BM427" s="2">
        <v>8</v>
      </c>
      <c r="BN427" s="2">
        <v>5</v>
      </c>
      <c r="BO427" s="2">
        <v>4</v>
      </c>
      <c r="BP427" s="2">
        <v>0</v>
      </c>
      <c r="BQ427" s="2">
        <v>39</v>
      </c>
      <c r="BR427" s="2">
        <v>18</v>
      </c>
      <c r="BS427" s="2">
        <v>1</v>
      </c>
      <c r="BT427" s="2">
        <v>2</v>
      </c>
      <c r="BU427" s="2">
        <v>7</v>
      </c>
      <c r="BV427" s="2">
        <f t="shared" si="29"/>
        <v>94</v>
      </c>
      <c r="BW427" s="16">
        <f t="shared" si="27"/>
        <v>4.9473684210526319</v>
      </c>
      <c r="BX427" s="16">
        <f>COUNTIF($BC$6:BU427, "=0") / COUNTIF($BC$6:BU427, "&gt;-1")</f>
        <v>0.10526315789473684</v>
      </c>
      <c r="BY427" s="18">
        <f>SUM($BC$6:BU427) / $BY$4</f>
        <v>0.82214203073138881</v>
      </c>
      <c r="BZ427" s="14">
        <f t="shared" si="28"/>
        <v>9</v>
      </c>
      <c r="CA427" t="s">
        <v>5831</v>
      </c>
      <c r="CB427" s="36">
        <v>0.30291084895868198</v>
      </c>
      <c r="CC427" s="36">
        <v>0.24076603016936199</v>
      </c>
      <c r="CD427" s="36">
        <v>0.40019941545306398</v>
      </c>
      <c r="CE427" s="36">
        <v>0.37798043978830698</v>
      </c>
      <c r="CF427" s="36">
        <v>0.215044089984223</v>
      </c>
      <c r="CG427" s="36">
        <v>0.23243181165987301</v>
      </c>
      <c r="CH427" s="36">
        <v>0.26351557071616</v>
      </c>
      <c r="CI427" s="36">
        <v>0.24329589949557701</v>
      </c>
      <c r="CJ427" s="37">
        <v>4.7685497594697397</v>
      </c>
      <c r="CK427" s="37">
        <v>5.0451971751062796</v>
      </c>
      <c r="CL427" s="37">
        <v>4.0002717413367099</v>
      </c>
      <c r="CM427" s="37">
        <v>3.3861881863997598</v>
      </c>
      <c r="CN427" s="37">
        <v>35.832910066789402</v>
      </c>
      <c r="CO427" s="37">
        <v>14.2054302669323</v>
      </c>
      <c r="CP427" s="37">
        <v>1.50854004786242</v>
      </c>
      <c r="CQ427" s="37">
        <v>10.658457925322301</v>
      </c>
      <c r="CR427" s="45">
        <v>4.6687877593354301</v>
      </c>
      <c r="CS427" s="45">
        <v>34.885992038924499</v>
      </c>
      <c r="CT427" s="46">
        <v>1.0493107098353201E-7</v>
      </c>
      <c r="CU427" s="47">
        <v>6.95038480079035E-7</v>
      </c>
      <c r="CV427" s="48">
        <v>0.28451801327815601</v>
      </c>
      <c r="CW427" s="49">
        <v>9.9256931461523692</v>
      </c>
      <c r="CX427" s="31" t="s">
        <v>5874</v>
      </c>
      <c r="CY427" s="31" t="s">
        <v>5876</v>
      </c>
      <c r="CZ427" t="s">
        <v>11420</v>
      </c>
      <c r="DA427" t="s">
        <v>5904</v>
      </c>
      <c r="DB427">
        <v>368.6</v>
      </c>
      <c r="DC427" t="s">
        <v>30111</v>
      </c>
      <c r="DD427" t="s">
        <v>30112</v>
      </c>
      <c r="DE427" t="s">
        <v>30113</v>
      </c>
      <c r="DF427" t="s">
        <v>30114</v>
      </c>
      <c r="DG427" t="s">
        <v>30115</v>
      </c>
      <c r="DH427" t="str">
        <f>"TNNI1"</f>
        <v>TNNI1</v>
      </c>
      <c r="DI427" t="s">
        <v>13772</v>
      </c>
      <c r="DJ427" t="s">
        <v>13777</v>
      </c>
      <c r="DK427">
        <v>9606</v>
      </c>
      <c r="DL427" s="34" t="str">
        <f>HYPERLINK("http://www.uniprot.org/uniprot/P19237", "P19237")</f>
        <v>P19237</v>
      </c>
      <c r="DM427" t="s">
        <v>30116</v>
      </c>
      <c r="DN427" t="s">
        <v>13772</v>
      </c>
      <c r="DO427" t="s">
        <v>13772</v>
      </c>
      <c r="DP427" t="s">
        <v>13793</v>
      </c>
      <c r="DQ427" t="s">
        <v>13772</v>
      </c>
      <c r="DR427" t="s">
        <v>13772</v>
      </c>
      <c r="DS427" t="s">
        <v>13772</v>
      </c>
      <c r="DT427" t="s">
        <v>13873</v>
      </c>
      <c r="DU427" t="s">
        <v>14849</v>
      </c>
      <c r="DV427" t="s">
        <v>13886</v>
      </c>
      <c r="DW427" t="s">
        <v>13772</v>
      </c>
      <c r="DX427" t="s">
        <v>30117</v>
      </c>
      <c r="DY427" t="s">
        <v>18826</v>
      </c>
      <c r="DZ427" t="s">
        <v>30118</v>
      </c>
      <c r="EA427" t="s">
        <v>13772</v>
      </c>
      <c r="EB427" t="s">
        <v>15657</v>
      </c>
    </row>
    <row r="428" spans="1:132" hidden="1">
      <c r="A428">
        <v>1905</v>
      </c>
      <c r="B428">
        <v>1</v>
      </c>
      <c r="C428" t="s">
        <v>4492</v>
      </c>
      <c r="D428" t="s">
        <v>73</v>
      </c>
      <c r="E428" t="s">
        <v>73</v>
      </c>
      <c r="F428" t="s">
        <v>73</v>
      </c>
      <c r="G428" t="s">
        <v>73</v>
      </c>
      <c r="H428">
        <v>41.6</v>
      </c>
      <c r="I428">
        <v>889</v>
      </c>
      <c r="J428">
        <v>98385</v>
      </c>
      <c r="K428" t="s">
        <v>4493</v>
      </c>
      <c r="L428">
        <f t="shared" si="26"/>
        <v>94</v>
      </c>
      <c r="N428">
        <v>94</v>
      </c>
      <c r="O428">
        <v>94</v>
      </c>
      <c r="P428">
        <v>1</v>
      </c>
      <c r="Q428">
        <v>0</v>
      </c>
      <c r="R428">
        <v>5</v>
      </c>
      <c r="S428">
        <v>0</v>
      </c>
      <c r="T428">
        <v>0</v>
      </c>
      <c r="U428">
        <v>6</v>
      </c>
      <c r="V428">
        <v>7</v>
      </c>
      <c r="W428">
        <v>10</v>
      </c>
      <c r="X428">
        <v>1</v>
      </c>
      <c r="Y428">
        <v>29</v>
      </c>
      <c r="Z428">
        <v>0</v>
      </c>
      <c r="AA428">
        <v>27</v>
      </c>
      <c r="AB428">
        <v>3</v>
      </c>
      <c r="AC428">
        <v>2</v>
      </c>
      <c r="AD428">
        <v>2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5</v>
      </c>
      <c r="AL428">
        <v>0</v>
      </c>
      <c r="AM428">
        <v>0</v>
      </c>
      <c r="AN428">
        <v>6</v>
      </c>
      <c r="AO428">
        <v>7</v>
      </c>
      <c r="AP428">
        <v>10</v>
      </c>
      <c r="AQ428">
        <v>1</v>
      </c>
      <c r="AR428">
        <v>29</v>
      </c>
      <c r="AS428">
        <v>0</v>
      </c>
      <c r="AT428">
        <v>27</v>
      </c>
      <c r="AU428">
        <v>3</v>
      </c>
      <c r="AV428">
        <v>2</v>
      </c>
      <c r="AW428">
        <v>2</v>
      </c>
      <c r="AX428">
        <v>1</v>
      </c>
      <c r="AY428">
        <v>1</v>
      </c>
      <c r="AZ428">
        <v>0</v>
      </c>
      <c r="BA428">
        <v>0</v>
      </c>
      <c r="BB428">
        <v>0</v>
      </c>
      <c r="BC428" s="2">
        <v>0</v>
      </c>
      <c r="BD428" s="2">
        <v>5</v>
      </c>
      <c r="BE428" s="2">
        <v>0</v>
      </c>
      <c r="BF428" s="2">
        <v>0</v>
      </c>
      <c r="BG428" s="2">
        <v>6</v>
      </c>
      <c r="BH428" s="2">
        <v>7</v>
      </c>
      <c r="BI428" s="2">
        <v>10</v>
      </c>
      <c r="BJ428" s="2">
        <v>1</v>
      </c>
      <c r="BK428" s="2">
        <v>29</v>
      </c>
      <c r="BL428" s="2">
        <v>0</v>
      </c>
      <c r="BM428" s="2">
        <v>27</v>
      </c>
      <c r="BN428" s="2">
        <v>3</v>
      </c>
      <c r="BO428" s="2">
        <v>2</v>
      </c>
      <c r="BP428" s="2">
        <v>2</v>
      </c>
      <c r="BQ428" s="2">
        <v>1</v>
      </c>
      <c r="BR428" s="2">
        <v>1</v>
      </c>
      <c r="BS428" s="2">
        <v>0</v>
      </c>
      <c r="BT428" s="2">
        <v>0</v>
      </c>
      <c r="BU428" s="2">
        <v>0</v>
      </c>
      <c r="BV428" s="2">
        <f t="shared" si="29"/>
        <v>94</v>
      </c>
      <c r="BW428" s="16">
        <f t="shared" si="27"/>
        <v>4.9473684210526319</v>
      </c>
      <c r="BX428" s="16">
        <f>COUNTIF($BC$6:BU428, "=0") / COUNTIF($BC$6:BU428, "&gt;-1")</f>
        <v>0.10588528057732985</v>
      </c>
      <c r="BY428" s="18">
        <f>SUM($BC$6:BU428) / $BY$4</f>
        <v>0.82254469259704666</v>
      </c>
      <c r="BZ428" s="14">
        <f t="shared" si="28"/>
        <v>7</v>
      </c>
      <c r="CA428" t="s">
        <v>5831</v>
      </c>
      <c r="CB428" s="36">
        <v>0.30291084895868198</v>
      </c>
      <c r="CC428" s="36">
        <v>4.8153206033872298</v>
      </c>
      <c r="CD428" s="36">
        <v>0.40019941545306398</v>
      </c>
      <c r="CE428" s="36">
        <v>0.37798043978830698</v>
      </c>
      <c r="CF428" s="36">
        <v>5.1610581596213496</v>
      </c>
      <c r="CG428" s="36">
        <v>6.50809072647644</v>
      </c>
      <c r="CH428" s="36">
        <v>10.5406228286464</v>
      </c>
      <c r="CI428" s="36">
        <v>0.97318359798230603</v>
      </c>
      <c r="CJ428" s="37">
        <v>23.047990504103801</v>
      </c>
      <c r="CK428" s="37">
        <v>17.027540465983702</v>
      </c>
      <c r="CL428" s="37">
        <v>2.4001630448020301</v>
      </c>
      <c r="CM428" s="37">
        <v>1.6930940931998799</v>
      </c>
      <c r="CN428" s="37">
        <v>0.91879256581511404</v>
      </c>
      <c r="CO428" s="37">
        <v>0.78919057038512497</v>
      </c>
      <c r="CP428" s="37">
        <v>0.377135011965606</v>
      </c>
      <c r="CQ428" s="37">
        <v>0.38065921161865401</v>
      </c>
      <c r="CR428" s="45">
        <v>0.66678279963529696</v>
      </c>
      <c r="CS428" s="45">
        <v>1.6036994916972001</v>
      </c>
      <c r="CT428" s="46">
        <v>0.43914317105936201</v>
      </c>
      <c r="CU428" s="47">
        <v>0.52275228014005903</v>
      </c>
      <c r="CV428" s="48">
        <v>3.63492082753922</v>
      </c>
      <c r="CW428" s="49">
        <v>5.8293206834842399</v>
      </c>
      <c r="CX428" s="31" t="s">
        <v>5874</v>
      </c>
      <c r="CY428" s="31" t="s">
        <v>5832</v>
      </c>
      <c r="CZ428" t="s">
        <v>12104</v>
      </c>
      <c r="DA428" t="s">
        <v>5904</v>
      </c>
      <c r="DB428">
        <v>1734.9</v>
      </c>
      <c r="DC428" t="s">
        <v>32031</v>
      </c>
      <c r="DD428" t="s">
        <v>32032</v>
      </c>
      <c r="DE428" t="s">
        <v>32033</v>
      </c>
      <c r="DF428" t="s">
        <v>32034</v>
      </c>
      <c r="DG428" t="s">
        <v>32035</v>
      </c>
      <c r="DH428" t="str">
        <f>"ACO1"</f>
        <v>ACO1</v>
      </c>
      <c r="DI428" t="s">
        <v>32036</v>
      </c>
      <c r="DJ428" t="s">
        <v>13777</v>
      </c>
      <c r="DK428">
        <v>9606</v>
      </c>
      <c r="DL428" s="34" t="str">
        <f>HYPERLINK("http://www.uniprot.org/uniprot/P21399", "P21399")</f>
        <v>P21399</v>
      </c>
      <c r="DM428" t="s">
        <v>32037</v>
      </c>
      <c r="DN428" t="s">
        <v>15224</v>
      </c>
      <c r="DO428" t="s">
        <v>13899</v>
      </c>
      <c r="DP428" t="s">
        <v>13793</v>
      </c>
      <c r="DQ428" t="s">
        <v>13772</v>
      </c>
      <c r="DR428" t="s">
        <v>13772</v>
      </c>
      <c r="DS428" t="s">
        <v>13772</v>
      </c>
      <c r="DT428" t="s">
        <v>24817</v>
      </c>
      <c r="DU428" t="s">
        <v>32038</v>
      </c>
      <c r="DV428" t="s">
        <v>13782</v>
      </c>
      <c r="DW428" t="s">
        <v>13812</v>
      </c>
      <c r="DX428" t="s">
        <v>32039</v>
      </c>
      <c r="DY428" t="s">
        <v>32040</v>
      </c>
      <c r="DZ428" t="s">
        <v>32041</v>
      </c>
      <c r="EA428" t="s">
        <v>13772</v>
      </c>
      <c r="EB428" t="s">
        <v>25484</v>
      </c>
    </row>
    <row r="429" spans="1:132" hidden="1">
      <c r="A429">
        <v>2304</v>
      </c>
      <c r="B429">
        <v>1</v>
      </c>
      <c r="C429" t="s">
        <v>5380</v>
      </c>
      <c r="D429" t="s">
        <v>73</v>
      </c>
      <c r="E429" t="s">
        <v>73</v>
      </c>
      <c r="F429" t="s">
        <v>73</v>
      </c>
      <c r="G429" t="s">
        <v>73</v>
      </c>
      <c r="H429">
        <v>19.8</v>
      </c>
      <c r="I429">
        <v>581</v>
      </c>
      <c r="J429">
        <v>61227</v>
      </c>
      <c r="K429" t="s">
        <v>5381</v>
      </c>
      <c r="L429">
        <f t="shared" si="26"/>
        <v>94</v>
      </c>
      <c r="N429">
        <v>94</v>
      </c>
      <c r="O429">
        <v>94</v>
      </c>
      <c r="P429">
        <v>1</v>
      </c>
      <c r="Q429">
        <v>6</v>
      </c>
      <c r="R429">
        <v>7</v>
      </c>
      <c r="S429">
        <v>8</v>
      </c>
      <c r="T429">
        <v>14</v>
      </c>
      <c r="U429">
        <v>11</v>
      </c>
      <c r="V429">
        <v>7</v>
      </c>
      <c r="W429">
        <v>8</v>
      </c>
      <c r="X429">
        <v>7</v>
      </c>
      <c r="Y429">
        <v>1</v>
      </c>
      <c r="Z429">
        <v>1</v>
      </c>
      <c r="AA429">
        <v>5</v>
      </c>
      <c r="AB429">
        <v>4</v>
      </c>
      <c r="AC429">
        <v>1</v>
      </c>
      <c r="AD429">
        <v>0</v>
      </c>
      <c r="AE429">
        <v>2</v>
      </c>
      <c r="AF429">
        <v>4</v>
      </c>
      <c r="AG429">
        <v>3</v>
      </c>
      <c r="AH429">
        <v>0</v>
      </c>
      <c r="AI429">
        <v>5</v>
      </c>
      <c r="AJ429">
        <v>6</v>
      </c>
      <c r="AK429">
        <v>7</v>
      </c>
      <c r="AL429">
        <v>8</v>
      </c>
      <c r="AM429">
        <v>14</v>
      </c>
      <c r="AN429">
        <v>11</v>
      </c>
      <c r="AO429">
        <v>7</v>
      </c>
      <c r="AP429">
        <v>8</v>
      </c>
      <c r="AQ429">
        <v>7</v>
      </c>
      <c r="AR429">
        <v>1</v>
      </c>
      <c r="AS429">
        <v>1</v>
      </c>
      <c r="AT429">
        <v>5</v>
      </c>
      <c r="AU429">
        <v>4</v>
      </c>
      <c r="AV429">
        <v>1</v>
      </c>
      <c r="AW429">
        <v>0</v>
      </c>
      <c r="AX429">
        <v>2</v>
      </c>
      <c r="AY429">
        <v>4</v>
      </c>
      <c r="AZ429">
        <v>3</v>
      </c>
      <c r="BA429">
        <v>0</v>
      </c>
      <c r="BB429">
        <v>5</v>
      </c>
      <c r="BC429" s="2">
        <v>6</v>
      </c>
      <c r="BD429" s="2">
        <v>7</v>
      </c>
      <c r="BE429" s="2">
        <v>8</v>
      </c>
      <c r="BF429" s="2">
        <v>14</v>
      </c>
      <c r="BG429" s="2">
        <v>11</v>
      </c>
      <c r="BH429" s="2">
        <v>7</v>
      </c>
      <c r="BI429" s="2">
        <v>8</v>
      </c>
      <c r="BJ429" s="2">
        <v>7</v>
      </c>
      <c r="BK429" s="2">
        <v>1</v>
      </c>
      <c r="BL429" s="2">
        <v>1</v>
      </c>
      <c r="BM429" s="2">
        <v>5</v>
      </c>
      <c r="BN429" s="2">
        <v>4</v>
      </c>
      <c r="BO429" s="2">
        <v>1</v>
      </c>
      <c r="BP429" s="2">
        <v>0</v>
      </c>
      <c r="BQ429" s="2">
        <v>2</v>
      </c>
      <c r="BR429" s="2">
        <v>4</v>
      </c>
      <c r="BS429" s="2">
        <v>3</v>
      </c>
      <c r="BT429" s="2">
        <v>0</v>
      </c>
      <c r="BU429" s="2">
        <v>5</v>
      </c>
      <c r="BV429" s="2">
        <f t="shared" si="29"/>
        <v>94</v>
      </c>
      <c r="BW429" s="16">
        <f t="shared" si="27"/>
        <v>4.9473684210526319</v>
      </c>
      <c r="BX429" s="16">
        <f>COUNTIF($BC$6:BU429, "=0") / COUNTIF($BC$6:BU429, "&gt;-1")</f>
        <v>0.10588381330685204</v>
      </c>
      <c r="BY429" s="18">
        <f>SUM($BC$6:BU429) / $BY$4</f>
        <v>0.82294735446270451</v>
      </c>
      <c r="BZ429" s="14">
        <f t="shared" si="28"/>
        <v>2</v>
      </c>
      <c r="CA429" t="s">
        <v>5831</v>
      </c>
      <c r="CB429" s="36">
        <v>7.2698603750083803</v>
      </c>
      <c r="CC429" s="36">
        <v>6.7414488447421297</v>
      </c>
      <c r="CD429" s="36">
        <v>12.806381294498101</v>
      </c>
      <c r="CE429" s="36">
        <v>21.1669046281452</v>
      </c>
      <c r="CF429" s="36">
        <v>9.4619399593058091</v>
      </c>
      <c r="CG429" s="36">
        <v>6.50809072647644</v>
      </c>
      <c r="CH429" s="36">
        <v>8.4324982629171306</v>
      </c>
      <c r="CI429" s="36">
        <v>6.8122851858761404</v>
      </c>
      <c r="CJ429" s="37">
        <v>0.79475829324495695</v>
      </c>
      <c r="CK429" s="37">
        <v>3.1532482344414299</v>
      </c>
      <c r="CL429" s="37">
        <v>3.2002173930693698</v>
      </c>
      <c r="CM429" s="37">
        <v>0.84654704659994096</v>
      </c>
      <c r="CN429" s="37">
        <v>1.8375851316302301</v>
      </c>
      <c r="CO429" s="37">
        <v>3.1567622815404999</v>
      </c>
      <c r="CP429" s="37">
        <v>4.5256201435872701</v>
      </c>
      <c r="CQ429" s="37">
        <v>7.6131842323730803</v>
      </c>
      <c r="CR429" s="45">
        <v>-1.69336011739623</v>
      </c>
      <c r="CS429" s="45">
        <v>-3.15184864441387</v>
      </c>
      <c r="CT429" s="46">
        <v>2.6169219502721302E-4</v>
      </c>
      <c r="CU429" s="47">
        <v>6.6821403997406798E-4</v>
      </c>
      <c r="CV429" s="48">
        <v>9.8999261596211596</v>
      </c>
      <c r="CW429" s="49">
        <v>3.14099034456085</v>
      </c>
      <c r="CX429" s="31" t="s">
        <v>5875</v>
      </c>
      <c r="CY429" s="31" t="s">
        <v>5876</v>
      </c>
      <c r="CZ429" t="s">
        <v>13416</v>
      </c>
      <c r="DA429" t="s">
        <v>5904</v>
      </c>
      <c r="DB429">
        <v>792</v>
      </c>
      <c r="DC429" t="s">
        <v>35751</v>
      </c>
      <c r="DD429" t="s">
        <v>35752</v>
      </c>
      <c r="DE429" t="s">
        <v>35753</v>
      </c>
      <c r="DF429" t="s">
        <v>35754</v>
      </c>
      <c r="DG429" t="s">
        <v>35755</v>
      </c>
      <c r="DH429" t="str">
        <f>"NGFR"</f>
        <v>NGFR</v>
      </c>
      <c r="DI429" t="s">
        <v>35756</v>
      </c>
      <c r="DJ429" t="s">
        <v>13777</v>
      </c>
      <c r="DK429">
        <v>9606</v>
      </c>
      <c r="DL429" s="34" t="str">
        <f>HYPERLINK("http://www.uniprot.org/uniprot/P08138", "P08138")</f>
        <v>P08138</v>
      </c>
      <c r="DM429" t="s">
        <v>35757</v>
      </c>
      <c r="DN429" t="s">
        <v>35758</v>
      </c>
      <c r="DO429" t="s">
        <v>13825</v>
      </c>
      <c r="DP429" t="s">
        <v>13780</v>
      </c>
      <c r="DQ429" t="s">
        <v>13772</v>
      </c>
      <c r="DR429" t="s">
        <v>13772</v>
      </c>
      <c r="DS429" t="s">
        <v>13826</v>
      </c>
      <c r="DT429" t="s">
        <v>13772</v>
      </c>
      <c r="DU429" t="s">
        <v>15919</v>
      </c>
      <c r="DV429" t="s">
        <v>13964</v>
      </c>
      <c r="DW429" t="s">
        <v>13812</v>
      </c>
      <c r="DX429" t="s">
        <v>35759</v>
      </c>
      <c r="DY429" t="s">
        <v>35760</v>
      </c>
      <c r="DZ429" t="s">
        <v>35761</v>
      </c>
      <c r="EA429" t="s">
        <v>13772</v>
      </c>
      <c r="EB429" t="s">
        <v>35762</v>
      </c>
    </row>
    <row r="430" spans="1:132" hidden="1">
      <c r="A430">
        <v>988</v>
      </c>
      <c r="B430">
        <v>1</v>
      </c>
      <c r="C430" t="s">
        <v>2397</v>
      </c>
      <c r="D430" t="s">
        <v>2398</v>
      </c>
      <c r="E430" t="s">
        <v>73</v>
      </c>
      <c r="F430" t="s">
        <v>179</v>
      </c>
      <c r="G430" t="s">
        <v>73</v>
      </c>
      <c r="H430">
        <v>19.100000000000001</v>
      </c>
      <c r="I430">
        <v>1499</v>
      </c>
      <c r="J430">
        <v>145215</v>
      </c>
      <c r="K430" t="s">
        <v>2399</v>
      </c>
      <c r="L430">
        <f t="shared" si="26"/>
        <v>94</v>
      </c>
      <c r="N430">
        <v>94</v>
      </c>
      <c r="O430">
        <v>93</v>
      </c>
      <c r="P430">
        <v>0.98899999999999999</v>
      </c>
      <c r="Q430">
        <v>8</v>
      </c>
      <c r="R430">
        <v>10</v>
      </c>
      <c r="S430">
        <v>15</v>
      </c>
      <c r="T430">
        <v>11</v>
      </c>
      <c r="U430">
        <v>11</v>
      </c>
      <c r="V430">
        <v>17</v>
      </c>
      <c r="W430">
        <v>7</v>
      </c>
      <c r="X430">
        <v>5</v>
      </c>
      <c r="Y430">
        <v>1</v>
      </c>
      <c r="Z430">
        <v>0</v>
      </c>
      <c r="AA430">
        <v>0</v>
      </c>
      <c r="AB430">
        <v>4</v>
      </c>
      <c r="AC430">
        <v>1</v>
      </c>
      <c r="AD430">
        <v>0</v>
      </c>
      <c r="AE430">
        <v>1</v>
      </c>
      <c r="AF430">
        <v>2</v>
      </c>
      <c r="AG430">
        <v>0</v>
      </c>
      <c r="AH430">
        <v>0</v>
      </c>
      <c r="AI430">
        <v>1</v>
      </c>
      <c r="AJ430">
        <v>8</v>
      </c>
      <c r="AK430">
        <v>10</v>
      </c>
      <c r="AL430">
        <v>15</v>
      </c>
      <c r="AM430">
        <v>11</v>
      </c>
      <c r="AN430">
        <v>11</v>
      </c>
      <c r="AO430">
        <v>16</v>
      </c>
      <c r="AP430">
        <v>7</v>
      </c>
      <c r="AQ430">
        <v>5</v>
      </c>
      <c r="AR430">
        <v>1</v>
      </c>
      <c r="AS430">
        <v>0</v>
      </c>
      <c r="AT430">
        <v>0</v>
      </c>
      <c r="AU430">
        <v>4</v>
      </c>
      <c r="AV430">
        <v>1</v>
      </c>
      <c r="AW430">
        <v>0</v>
      </c>
      <c r="AX430">
        <v>1</v>
      </c>
      <c r="AY430">
        <v>2</v>
      </c>
      <c r="AZ430">
        <v>0</v>
      </c>
      <c r="BA430">
        <v>0</v>
      </c>
      <c r="BB430">
        <v>1</v>
      </c>
      <c r="BC430" s="2">
        <v>8</v>
      </c>
      <c r="BD430" s="2">
        <v>10</v>
      </c>
      <c r="BE430" s="2">
        <v>15</v>
      </c>
      <c r="BF430" s="2">
        <v>11</v>
      </c>
      <c r="BG430" s="2">
        <v>11</v>
      </c>
      <c r="BH430" s="2">
        <v>16.151</v>
      </c>
      <c r="BI430" s="2">
        <v>7</v>
      </c>
      <c r="BJ430" s="2">
        <v>5</v>
      </c>
      <c r="BK430" s="2">
        <v>1</v>
      </c>
      <c r="BL430" s="2">
        <v>0</v>
      </c>
      <c r="BM430" s="2">
        <v>0</v>
      </c>
      <c r="BN430" s="2">
        <v>4</v>
      </c>
      <c r="BO430" s="2">
        <v>1</v>
      </c>
      <c r="BP430" s="2">
        <v>0</v>
      </c>
      <c r="BQ430" s="2">
        <v>1</v>
      </c>
      <c r="BR430" s="2">
        <v>2</v>
      </c>
      <c r="BS430" s="2">
        <v>0</v>
      </c>
      <c r="BT430" s="2">
        <v>0</v>
      </c>
      <c r="BU430" s="2">
        <v>1</v>
      </c>
      <c r="BV430" s="2">
        <f t="shared" si="29"/>
        <v>93.150999999999996</v>
      </c>
      <c r="BW430" s="16">
        <f t="shared" si="27"/>
        <v>4.9026842105263153</v>
      </c>
      <c r="BX430" s="16">
        <f>COUNTIF($BC$6:BU430, "=0") / COUNTIF($BC$6:BU430, "&gt;-1")</f>
        <v>0.10625386996904025</v>
      </c>
      <c r="BY430" s="18">
        <f>SUM($BC$6:BU430) / $BY$4</f>
        <v>0.82334637952066092</v>
      </c>
      <c r="BZ430" s="14">
        <f t="shared" si="28"/>
        <v>5</v>
      </c>
      <c r="CA430" t="s">
        <v>5831</v>
      </c>
      <c r="CB430" s="36">
        <v>9.6931471666778304</v>
      </c>
      <c r="CC430" s="36">
        <v>9.6306412067744702</v>
      </c>
      <c r="CD430" s="36">
        <v>24.0119649271839</v>
      </c>
      <c r="CE430" s="36">
        <v>16.631139350685501</v>
      </c>
      <c r="CF430" s="36">
        <v>9.4619399593058091</v>
      </c>
      <c r="CG430" s="36">
        <v>15.0615813955598</v>
      </c>
      <c r="CH430" s="36">
        <v>7.3784359800524904</v>
      </c>
      <c r="CI430" s="36">
        <v>4.8659179899115301</v>
      </c>
      <c r="CJ430" s="37">
        <v>0.79475829324495695</v>
      </c>
      <c r="CK430" s="37">
        <v>0.15766241172207099</v>
      </c>
      <c r="CL430" s="37">
        <v>3.2002173930693698</v>
      </c>
      <c r="CM430" s="37">
        <v>0.84654704659994096</v>
      </c>
      <c r="CN430" s="37">
        <v>0.91879256581511404</v>
      </c>
      <c r="CO430" s="37">
        <v>1.5783811407702499</v>
      </c>
      <c r="CP430" s="37">
        <v>0.377135011965606</v>
      </c>
      <c r="CQ430" s="37">
        <v>1.5226368464746201</v>
      </c>
      <c r="CR430" s="45">
        <v>-3.1943169458793399</v>
      </c>
      <c r="CS430" s="45">
        <v>-10.2951705297884</v>
      </c>
      <c r="CT430" s="46">
        <v>3.9657632895787198E-10</v>
      </c>
      <c r="CU430" s="47">
        <v>6.1699898621585203E-9</v>
      </c>
      <c r="CV430" s="48">
        <v>12.091845997018901</v>
      </c>
      <c r="CW430" s="49">
        <v>1.17451633870774</v>
      </c>
      <c r="CX430" s="31" t="s">
        <v>5875</v>
      </c>
      <c r="CY430" s="31" t="s">
        <v>5876</v>
      </c>
      <c r="CZ430" t="s">
        <v>9083</v>
      </c>
      <c r="DA430" t="s">
        <v>5904</v>
      </c>
      <c r="DB430">
        <v>2658.2</v>
      </c>
      <c r="DC430" t="s">
        <v>23522</v>
      </c>
      <c r="DD430" t="s">
        <v>13772</v>
      </c>
      <c r="DE430" t="s">
        <v>23523</v>
      </c>
      <c r="DF430" t="s">
        <v>23524</v>
      </c>
      <c r="DG430" t="s">
        <v>23525</v>
      </c>
      <c r="DH430" t="str">
        <f>"COL5A2"</f>
        <v>COL5A2</v>
      </c>
      <c r="DI430" t="s">
        <v>13772</v>
      </c>
      <c r="DJ430" t="s">
        <v>13777</v>
      </c>
      <c r="DK430">
        <v>9606</v>
      </c>
      <c r="DL430" s="34" t="str">
        <f>HYPERLINK("http://www.uniprot.org/uniprot/P05997", "P05997")</f>
        <v>P05997</v>
      </c>
      <c r="DM430" t="s">
        <v>23526</v>
      </c>
      <c r="DN430" t="s">
        <v>13772</v>
      </c>
      <c r="DO430" t="s">
        <v>13869</v>
      </c>
      <c r="DP430" t="s">
        <v>13793</v>
      </c>
      <c r="DQ430" t="s">
        <v>13772</v>
      </c>
      <c r="DR430" t="s">
        <v>15310</v>
      </c>
      <c r="DS430" t="s">
        <v>13872</v>
      </c>
      <c r="DT430" t="s">
        <v>13873</v>
      </c>
      <c r="DU430" t="s">
        <v>13772</v>
      </c>
      <c r="DV430" t="s">
        <v>22002</v>
      </c>
      <c r="DW430" t="s">
        <v>13812</v>
      </c>
      <c r="DX430" t="s">
        <v>23527</v>
      </c>
      <c r="DY430" t="s">
        <v>23528</v>
      </c>
      <c r="DZ430" t="s">
        <v>23529</v>
      </c>
      <c r="EA430" t="s">
        <v>13772</v>
      </c>
      <c r="EB430" t="s">
        <v>22006</v>
      </c>
    </row>
    <row r="431" spans="1:132" hidden="1">
      <c r="A431">
        <v>730</v>
      </c>
      <c r="B431">
        <v>1</v>
      </c>
      <c r="C431" t="s">
        <v>1789</v>
      </c>
      <c r="D431" t="s">
        <v>1790</v>
      </c>
      <c r="E431" t="s">
        <v>73</v>
      </c>
      <c r="F431" t="s">
        <v>1323</v>
      </c>
      <c r="G431" t="s">
        <v>73</v>
      </c>
      <c r="H431">
        <v>28.3</v>
      </c>
      <c r="I431">
        <v>770</v>
      </c>
      <c r="J431">
        <v>86697</v>
      </c>
      <c r="K431" t="s">
        <v>1791</v>
      </c>
      <c r="L431">
        <f t="shared" si="26"/>
        <v>94</v>
      </c>
      <c r="N431">
        <v>94</v>
      </c>
      <c r="O431">
        <v>92</v>
      </c>
      <c r="P431">
        <v>0.97899999999999998</v>
      </c>
      <c r="Q431">
        <v>9</v>
      </c>
      <c r="R431">
        <v>11</v>
      </c>
      <c r="S431">
        <v>12</v>
      </c>
      <c r="T431">
        <v>9</v>
      </c>
      <c r="U431">
        <v>11</v>
      </c>
      <c r="V431">
        <v>11</v>
      </c>
      <c r="W431">
        <v>7</v>
      </c>
      <c r="X431">
        <v>1</v>
      </c>
      <c r="Y431">
        <v>1</v>
      </c>
      <c r="Z431">
        <v>0</v>
      </c>
      <c r="AA431">
        <v>5</v>
      </c>
      <c r="AB431">
        <v>2</v>
      </c>
      <c r="AC431">
        <v>5</v>
      </c>
      <c r="AD431">
        <v>3</v>
      </c>
      <c r="AE431">
        <v>1</v>
      </c>
      <c r="AF431">
        <v>3</v>
      </c>
      <c r="AG431">
        <v>1</v>
      </c>
      <c r="AH431">
        <v>0</v>
      </c>
      <c r="AI431">
        <v>2</v>
      </c>
      <c r="AJ431">
        <v>9</v>
      </c>
      <c r="AK431">
        <v>10</v>
      </c>
      <c r="AL431">
        <v>11</v>
      </c>
      <c r="AM431">
        <v>9</v>
      </c>
      <c r="AN431">
        <v>11</v>
      </c>
      <c r="AO431">
        <v>11</v>
      </c>
      <c r="AP431">
        <v>7</v>
      </c>
      <c r="AQ431">
        <v>1</v>
      </c>
      <c r="AR431">
        <v>1</v>
      </c>
      <c r="AS431">
        <v>0</v>
      </c>
      <c r="AT431">
        <v>5</v>
      </c>
      <c r="AU431">
        <v>2</v>
      </c>
      <c r="AV431">
        <v>5</v>
      </c>
      <c r="AW431">
        <v>3</v>
      </c>
      <c r="AX431">
        <v>1</v>
      </c>
      <c r="AY431">
        <v>3</v>
      </c>
      <c r="AZ431">
        <v>1</v>
      </c>
      <c r="BA431">
        <v>0</v>
      </c>
      <c r="BB431">
        <v>2</v>
      </c>
      <c r="BC431" s="2">
        <v>9</v>
      </c>
      <c r="BD431" s="2">
        <v>10.476000000000001</v>
      </c>
      <c r="BE431" s="2">
        <v>11.55</v>
      </c>
      <c r="BF431" s="2">
        <v>9</v>
      </c>
      <c r="BG431" s="2">
        <v>11</v>
      </c>
      <c r="BH431" s="2">
        <v>11</v>
      </c>
      <c r="BI431" s="2">
        <v>7</v>
      </c>
      <c r="BJ431" s="2">
        <v>1</v>
      </c>
      <c r="BK431" s="2">
        <v>1</v>
      </c>
      <c r="BL431" s="2">
        <v>0</v>
      </c>
      <c r="BM431" s="2">
        <v>5</v>
      </c>
      <c r="BN431" s="2">
        <v>2</v>
      </c>
      <c r="BO431" s="2">
        <v>5</v>
      </c>
      <c r="BP431" s="2">
        <v>3</v>
      </c>
      <c r="BQ431" s="2">
        <v>1</v>
      </c>
      <c r="BR431" s="2">
        <v>3</v>
      </c>
      <c r="BS431" s="2">
        <v>1</v>
      </c>
      <c r="BT431" s="2">
        <v>0</v>
      </c>
      <c r="BU431" s="2">
        <v>2</v>
      </c>
      <c r="BV431" s="2">
        <f t="shared" si="29"/>
        <v>93.025999999999996</v>
      </c>
      <c r="BW431" s="16">
        <f t="shared" si="27"/>
        <v>4.896105263157895</v>
      </c>
      <c r="BX431" s="16">
        <f>COUNTIF($BC$6:BU431, "=0") / COUNTIF($BC$6:BU431, "&gt;-1")</f>
        <v>0.10625154435384235</v>
      </c>
      <c r="BY431" s="18">
        <f>SUM($BC$6:BU431) / $BY$4</f>
        <v>0.82374486912400857</v>
      </c>
      <c r="BZ431" s="14">
        <f t="shared" si="28"/>
        <v>2</v>
      </c>
      <c r="CA431" t="s">
        <v>5831</v>
      </c>
      <c r="CB431" s="36">
        <v>10.9047905625126</v>
      </c>
      <c r="CC431" s="36">
        <v>10.112173267113199</v>
      </c>
      <c r="CD431" s="36">
        <v>18.569252877022201</v>
      </c>
      <c r="CE431" s="36">
        <v>13.6072958323791</v>
      </c>
      <c r="CF431" s="36">
        <v>9.4619399593058091</v>
      </c>
      <c r="CG431" s="36">
        <v>10.226999713034401</v>
      </c>
      <c r="CH431" s="36">
        <v>7.3784359800524904</v>
      </c>
      <c r="CI431" s="36">
        <v>0.97318359798230603</v>
      </c>
      <c r="CJ431" s="37">
        <v>0.79475829324495695</v>
      </c>
      <c r="CK431" s="37">
        <v>3.1532482344414299</v>
      </c>
      <c r="CL431" s="37">
        <v>1.60010869653469</v>
      </c>
      <c r="CM431" s="37">
        <v>4.2327352329997003</v>
      </c>
      <c r="CN431" s="37">
        <v>0.91879256581511404</v>
      </c>
      <c r="CO431" s="37">
        <v>2.36757171115537</v>
      </c>
      <c r="CP431" s="37">
        <v>1.50854004786242</v>
      </c>
      <c r="CQ431" s="37">
        <v>3.0452736929492299</v>
      </c>
      <c r="CR431" s="45">
        <v>-2.0968202419044299</v>
      </c>
      <c r="CS431" s="45">
        <v>-4.6100641574151098</v>
      </c>
      <c r="CT431" s="46">
        <v>9.6463885378188707E-6</v>
      </c>
      <c r="CU431" s="47">
        <v>3.5458428196707799E-5</v>
      </c>
      <c r="CV431" s="48">
        <v>10.154258973675301</v>
      </c>
      <c r="CW431" s="49">
        <v>2.2026285593753601</v>
      </c>
      <c r="CX431" s="31" t="s">
        <v>5875</v>
      </c>
      <c r="CY431" s="31" t="s">
        <v>5876</v>
      </c>
      <c r="CZ431" t="s">
        <v>8195</v>
      </c>
      <c r="DA431" t="s">
        <v>5904</v>
      </c>
      <c r="DB431">
        <v>1379</v>
      </c>
      <c r="DC431" t="s">
        <v>20949</v>
      </c>
      <c r="DD431" t="s">
        <v>20950</v>
      </c>
      <c r="DE431" t="s">
        <v>20951</v>
      </c>
      <c r="DF431" t="s">
        <v>20952</v>
      </c>
      <c r="DG431" t="s">
        <v>20953</v>
      </c>
      <c r="DH431" t="str">
        <f>"APP AD1"</f>
        <v>APP AD1</v>
      </c>
      <c r="DI431" t="s">
        <v>13772</v>
      </c>
      <c r="DJ431" t="s">
        <v>13777</v>
      </c>
      <c r="DK431">
        <v>9606</v>
      </c>
      <c r="DL431" s="34" t="str">
        <f>HYPERLINK("http://www.uniprot.org/uniprot/P05067", "P05067")</f>
        <v>P05067</v>
      </c>
      <c r="DM431" t="s">
        <v>20954</v>
      </c>
      <c r="DN431" t="s">
        <v>20955</v>
      </c>
      <c r="DO431" t="s">
        <v>20956</v>
      </c>
      <c r="DP431" t="s">
        <v>13780</v>
      </c>
      <c r="DQ431" t="s">
        <v>13772</v>
      </c>
      <c r="DR431" t="s">
        <v>15137</v>
      </c>
      <c r="DS431" t="s">
        <v>13855</v>
      </c>
      <c r="DT431" t="s">
        <v>20957</v>
      </c>
      <c r="DU431" t="s">
        <v>14691</v>
      </c>
      <c r="DV431" t="s">
        <v>20958</v>
      </c>
      <c r="DW431" t="s">
        <v>13812</v>
      </c>
      <c r="DX431" t="s">
        <v>20959</v>
      </c>
      <c r="DY431" t="s">
        <v>20960</v>
      </c>
      <c r="DZ431" t="s">
        <v>20961</v>
      </c>
      <c r="EA431" t="s">
        <v>13772</v>
      </c>
      <c r="EB431" t="s">
        <v>20962</v>
      </c>
    </row>
    <row r="432" spans="1:132" hidden="1">
      <c r="A432">
        <v>497</v>
      </c>
      <c r="B432">
        <v>1</v>
      </c>
      <c r="C432" t="s">
        <v>1251</v>
      </c>
      <c r="D432" t="s">
        <v>1252</v>
      </c>
      <c r="E432" t="s">
        <v>73</v>
      </c>
      <c r="F432" t="s">
        <v>73</v>
      </c>
      <c r="G432" t="s">
        <v>73</v>
      </c>
      <c r="H432">
        <v>18.600000000000001</v>
      </c>
      <c r="I432">
        <v>742</v>
      </c>
      <c r="J432">
        <v>81405</v>
      </c>
      <c r="K432" t="s">
        <v>1253</v>
      </c>
      <c r="L432">
        <f t="shared" si="26"/>
        <v>92</v>
      </c>
      <c r="N432">
        <v>92</v>
      </c>
      <c r="O432">
        <v>92</v>
      </c>
      <c r="P432">
        <v>1</v>
      </c>
      <c r="Q432">
        <v>9</v>
      </c>
      <c r="R432">
        <v>8</v>
      </c>
      <c r="S432">
        <v>9</v>
      </c>
      <c r="T432">
        <v>15</v>
      </c>
      <c r="U432">
        <v>11</v>
      </c>
      <c r="V432">
        <v>8</v>
      </c>
      <c r="W432">
        <v>12</v>
      </c>
      <c r="X432">
        <v>4</v>
      </c>
      <c r="Y432">
        <v>2</v>
      </c>
      <c r="Z432">
        <v>1</v>
      </c>
      <c r="AA432">
        <v>3</v>
      </c>
      <c r="AB432">
        <v>4</v>
      </c>
      <c r="AC432">
        <v>2</v>
      </c>
      <c r="AD432">
        <v>1</v>
      </c>
      <c r="AE432">
        <v>0</v>
      </c>
      <c r="AF432">
        <v>1</v>
      </c>
      <c r="AG432">
        <v>1</v>
      </c>
      <c r="AH432">
        <v>0</v>
      </c>
      <c r="AI432">
        <v>1</v>
      </c>
      <c r="AJ432">
        <v>9</v>
      </c>
      <c r="AK432">
        <v>8</v>
      </c>
      <c r="AL432">
        <v>9</v>
      </c>
      <c r="AM432">
        <v>15</v>
      </c>
      <c r="AN432">
        <v>11</v>
      </c>
      <c r="AO432">
        <v>8</v>
      </c>
      <c r="AP432">
        <v>12</v>
      </c>
      <c r="AQ432">
        <v>4</v>
      </c>
      <c r="AR432">
        <v>2</v>
      </c>
      <c r="AS432">
        <v>1</v>
      </c>
      <c r="AT432">
        <v>3</v>
      </c>
      <c r="AU432">
        <v>4</v>
      </c>
      <c r="AV432">
        <v>2</v>
      </c>
      <c r="AW432">
        <v>1</v>
      </c>
      <c r="AX432">
        <v>0</v>
      </c>
      <c r="AY432">
        <v>1</v>
      </c>
      <c r="AZ432">
        <v>1</v>
      </c>
      <c r="BA432">
        <v>0</v>
      </c>
      <c r="BB432">
        <v>1</v>
      </c>
      <c r="BC432" s="2">
        <v>9</v>
      </c>
      <c r="BD432" s="2">
        <v>8</v>
      </c>
      <c r="BE432" s="2">
        <v>9</v>
      </c>
      <c r="BF432" s="2">
        <v>15</v>
      </c>
      <c r="BG432" s="2">
        <v>11</v>
      </c>
      <c r="BH432" s="2">
        <v>8</v>
      </c>
      <c r="BI432" s="2">
        <v>12</v>
      </c>
      <c r="BJ432" s="2">
        <v>4</v>
      </c>
      <c r="BK432" s="2">
        <v>2</v>
      </c>
      <c r="BL432" s="2">
        <v>1</v>
      </c>
      <c r="BM432" s="2">
        <v>3</v>
      </c>
      <c r="BN432" s="2">
        <v>4</v>
      </c>
      <c r="BO432" s="2">
        <v>2</v>
      </c>
      <c r="BP432" s="2">
        <v>1</v>
      </c>
      <c r="BQ432" s="2">
        <v>0</v>
      </c>
      <c r="BR432" s="2">
        <v>1</v>
      </c>
      <c r="BS432" s="2">
        <v>1</v>
      </c>
      <c r="BT432" s="2">
        <v>0</v>
      </c>
      <c r="BU432" s="2">
        <v>1</v>
      </c>
      <c r="BV432" s="2">
        <f t="shared" si="29"/>
        <v>92</v>
      </c>
      <c r="BW432" s="16">
        <f t="shared" si="27"/>
        <v>4.8421052631578947</v>
      </c>
      <c r="BX432" s="16">
        <f>COUNTIF($BC$6:BU432, "=0") / COUNTIF($BC$6:BU432, "&gt;-1")</f>
        <v>0.10624922963145569</v>
      </c>
      <c r="BY432" s="18">
        <f>SUM($BC$6:BU432) / $BY$4</f>
        <v>0.82413896371592898</v>
      </c>
      <c r="BZ432" s="14">
        <f t="shared" si="28"/>
        <v>2</v>
      </c>
      <c r="CA432" t="s">
        <v>5831</v>
      </c>
      <c r="CB432" s="36">
        <v>10.9047905625126</v>
      </c>
      <c r="CC432" s="36">
        <v>7.7045129654195703</v>
      </c>
      <c r="CD432" s="36">
        <v>14.4071789563103</v>
      </c>
      <c r="CE432" s="36">
        <v>22.6788263872984</v>
      </c>
      <c r="CF432" s="36">
        <v>9.4619399593058091</v>
      </c>
      <c r="CG432" s="36">
        <v>7.43781797311593</v>
      </c>
      <c r="CH432" s="36">
        <v>12.6487473943757</v>
      </c>
      <c r="CI432" s="36">
        <v>3.8927343919292201</v>
      </c>
      <c r="CJ432" s="37">
        <v>1.5895165864899099</v>
      </c>
      <c r="CK432" s="37">
        <v>1.89194894066486</v>
      </c>
      <c r="CL432" s="37">
        <v>3.2002173930693698</v>
      </c>
      <c r="CM432" s="37">
        <v>1.6930940931998799</v>
      </c>
      <c r="CN432" s="37">
        <v>0.22969814145377901</v>
      </c>
      <c r="CO432" s="37">
        <v>0.78919057038512497</v>
      </c>
      <c r="CP432" s="37">
        <v>1.50854004786242</v>
      </c>
      <c r="CQ432" s="37">
        <v>1.5226368464746201</v>
      </c>
      <c r="CR432" s="45">
        <v>-2.6805779435660999</v>
      </c>
      <c r="CS432" s="45">
        <v>-7.1740585630965104</v>
      </c>
      <c r="CT432" s="46">
        <v>1.82239230631888E-8</v>
      </c>
      <c r="CU432" s="47">
        <v>1.58335123756796E-7</v>
      </c>
      <c r="CV432" s="48">
        <v>11.1420685737834</v>
      </c>
      <c r="CW432" s="49">
        <v>1.55310532745</v>
      </c>
      <c r="CX432" s="31" t="s">
        <v>5875</v>
      </c>
      <c r="CY432" s="31" t="s">
        <v>5876</v>
      </c>
      <c r="CZ432" t="s">
        <v>7433</v>
      </c>
      <c r="DA432" t="s">
        <v>5904</v>
      </c>
      <c r="DB432">
        <v>928.3</v>
      </c>
      <c r="DC432" t="s">
        <v>18667</v>
      </c>
      <c r="DD432" t="s">
        <v>18668</v>
      </c>
      <c r="DE432" t="s">
        <v>18669</v>
      </c>
      <c r="DF432" t="s">
        <v>18670</v>
      </c>
      <c r="DG432" t="s">
        <v>18671</v>
      </c>
      <c r="DH432" t="str">
        <f>"CD44"</f>
        <v>CD44</v>
      </c>
      <c r="DI432" t="s">
        <v>18672</v>
      </c>
      <c r="DJ432" t="s">
        <v>13777</v>
      </c>
      <c r="DK432">
        <v>9606</v>
      </c>
      <c r="DL432" s="34" t="str">
        <f>HYPERLINK("http://www.uniprot.org/uniprot/P16070", "P16070")</f>
        <v>P16070</v>
      </c>
      <c r="DM432" t="s">
        <v>18673</v>
      </c>
      <c r="DN432" t="s">
        <v>13949</v>
      </c>
      <c r="DO432" t="s">
        <v>15856</v>
      </c>
      <c r="DP432" t="s">
        <v>13780</v>
      </c>
      <c r="DQ432" t="s">
        <v>13772</v>
      </c>
      <c r="DR432" t="s">
        <v>13772</v>
      </c>
      <c r="DS432" t="s">
        <v>13855</v>
      </c>
      <c r="DT432" t="s">
        <v>13772</v>
      </c>
      <c r="DU432" t="s">
        <v>18674</v>
      </c>
      <c r="DV432" t="s">
        <v>15858</v>
      </c>
      <c r="DW432" t="s">
        <v>13812</v>
      </c>
      <c r="DX432" t="s">
        <v>18675</v>
      </c>
      <c r="DY432" t="s">
        <v>18676</v>
      </c>
      <c r="DZ432" t="s">
        <v>18677</v>
      </c>
      <c r="EA432" t="s">
        <v>13772</v>
      </c>
      <c r="EB432" t="s">
        <v>18678</v>
      </c>
    </row>
    <row r="433" spans="1:132" hidden="1">
      <c r="A433">
        <v>1224</v>
      </c>
      <c r="B433">
        <v>1</v>
      </c>
      <c r="C433" t="s">
        <v>2941</v>
      </c>
      <c r="D433" t="s">
        <v>73</v>
      </c>
      <c r="E433" t="s">
        <v>73</v>
      </c>
      <c r="F433" t="s">
        <v>73</v>
      </c>
      <c r="G433" t="s">
        <v>73</v>
      </c>
      <c r="H433">
        <v>50.1</v>
      </c>
      <c r="I433">
        <v>413</v>
      </c>
      <c r="J433">
        <v>46313</v>
      </c>
      <c r="K433" t="s">
        <v>2942</v>
      </c>
      <c r="L433">
        <f t="shared" si="26"/>
        <v>92</v>
      </c>
      <c r="N433">
        <v>92</v>
      </c>
      <c r="O433">
        <v>92</v>
      </c>
      <c r="P433">
        <v>1</v>
      </c>
      <c r="Q433">
        <v>5</v>
      </c>
      <c r="R433">
        <v>14</v>
      </c>
      <c r="S433">
        <v>0</v>
      </c>
      <c r="T433">
        <v>0</v>
      </c>
      <c r="U433">
        <v>16</v>
      </c>
      <c r="V433">
        <v>17</v>
      </c>
      <c r="W433">
        <v>4</v>
      </c>
      <c r="X433">
        <v>12</v>
      </c>
      <c r="Y433">
        <v>8</v>
      </c>
      <c r="Z433">
        <v>0</v>
      </c>
      <c r="AA433">
        <v>5</v>
      </c>
      <c r="AB433">
        <v>1</v>
      </c>
      <c r="AC433">
        <v>0</v>
      </c>
      <c r="AD433">
        <v>1</v>
      </c>
      <c r="AE433">
        <v>2</v>
      </c>
      <c r="AF433">
        <v>1</v>
      </c>
      <c r="AG433">
        <v>6</v>
      </c>
      <c r="AH433">
        <v>0</v>
      </c>
      <c r="AI433">
        <v>0</v>
      </c>
      <c r="AJ433">
        <v>5</v>
      </c>
      <c r="AK433">
        <v>14</v>
      </c>
      <c r="AL433">
        <v>0</v>
      </c>
      <c r="AM433">
        <v>0</v>
      </c>
      <c r="AN433">
        <v>16</v>
      </c>
      <c r="AO433">
        <v>17</v>
      </c>
      <c r="AP433">
        <v>4</v>
      </c>
      <c r="AQ433">
        <v>12</v>
      </c>
      <c r="AR433">
        <v>8</v>
      </c>
      <c r="AS433">
        <v>0</v>
      </c>
      <c r="AT433">
        <v>5</v>
      </c>
      <c r="AU433">
        <v>1</v>
      </c>
      <c r="AV433">
        <v>0</v>
      </c>
      <c r="AW433">
        <v>1</v>
      </c>
      <c r="AX433">
        <v>2</v>
      </c>
      <c r="AY433">
        <v>1</v>
      </c>
      <c r="AZ433">
        <v>6</v>
      </c>
      <c r="BA433">
        <v>0</v>
      </c>
      <c r="BB433">
        <v>0</v>
      </c>
      <c r="BC433" s="2">
        <v>5</v>
      </c>
      <c r="BD433" s="2">
        <v>14</v>
      </c>
      <c r="BE433" s="2">
        <v>0</v>
      </c>
      <c r="BF433" s="2">
        <v>0</v>
      </c>
      <c r="BG433" s="2">
        <v>16</v>
      </c>
      <c r="BH433" s="2">
        <v>17</v>
      </c>
      <c r="BI433" s="2">
        <v>4</v>
      </c>
      <c r="BJ433" s="2">
        <v>12</v>
      </c>
      <c r="BK433" s="2">
        <v>8</v>
      </c>
      <c r="BL433" s="2">
        <v>0</v>
      </c>
      <c r="BM433" s="2">
        <v>5</v>
      </c>
      <c r="BN433" s="2">
        <v>1</v>
      </c>
      <c r="BO433" s="2">
        <v>0</v>
      </c>
      <c r="BP433" s="2">
        <v>1</v>
      </c>
      <c r="BQ433" s="2">
        <v>2</v>
      </c>
      <c r="BR433" s="2">
        <v>1</v>
      </c>
      <c r="BS433" s="2">
        <v>6</v>
      </c>
      <c r="BT433" s="2">
        <v>0</v>
      </c>
      <c r="BU433" s="2">
        <v>0</v>
      </c>
      <c r="BV433" s="2">
        <f t="shared" si="29"/>
        <v>92</v>
      </c>
      <c r="BW433" s="16">
        <f t="shared" si="27"/>
        <v>4.8421052631578947</v>
      </c>
      <c r="BX433" s="16">
        <f>COUNTIF($BC$6:BU433, "=0") / COUNTIF($BC$6:BU433, "&gt;-1")</f>
        <v>0.10673880964092475</v>
      </c>
      <c r="BY433" s="18">
        <f>SUM($BC$6:BU433) / $BY$4</f>
        <v>0.8245330583078494</v>
      </c>
      <c r="BZ433" s="14">
        <f t="shared" si="28"/>
        <v>6</v>
      </c>
      <c r="CA433" t="s">
        <v>5831</v>
      </c>
      <c r="CB433" s="36">
        <v>6.0582169791736504</v>
      </c>
      <c r="CC433" s="36">
        <v>13.4828976894843</v>
      </c>
      <c r="CD433" s="36">
        <v>0.40019941545306398</v>
      </c>
      <c r="CE433" s="36">
        <v>0.37798043978830698</v>
      </c>
      <c r="CF433" s="36">
        <v>13.762821758990301</v>
      </c>
      <c r="CG433" s="36">
        <v>15.805363192871299</v>
      </c>
      <c r="CH433" s="36">
        <v>4.21624913145856</v>
      </c>
      <c r="CI433" s="36">
        <v>11.678203175787701</v>
      </c>
      <c r="CJ433" s="37">
        <v>6.35806634595966</v>
      </c>
      <c r="CK433" s="37">
        <v>3.1532482344414299</v>
      </c>
      <c r="CL433" s="37">
        <v>0.80005434826734301</v>
      </c>
      <c r="CM433" s="37">
        <v>0.21163676164998499</v>
      </c>
      <c r="CN433" s="37">
        <v>1.8375851316302301</v>
      </c>
      <c r="CO433" s="37">
        <v>0.78919057038512497</v>
      </c>
      <c r="CP433" s="37">
        <v>9.0512402871745401</v>
      </c>
      <c r="CQ433" s="37">
        <v>0.38065921161865401</v>
      </c>
      <c r="CR433" s="45">
        <v>-1.5825674701813599</v>
      </c>
      <c r="CS433" s="45">
        <v>-2.9130662194794801</v>
      </c>
      <c r="CT433" s="46">
        <v>2.6407779596113699E-2</v>
      </c>
      <c r="CU433" s="47">
        <v>4.3782676970293498E-2</v>
      </c>
      <c r="CV433" s="48">
        <v>8.2227414728758905</v>
      </c>
      <c r="CW433" s="49">
        <v>2.8227101113908701</v>
      </c>
      <c r="CX433" s="31" t="s">
        <v>5875</v>
      </c>
      <c r="CY433" s="31" t="s">
        <v>5878</v>
      </c>
      <c r="CZ433" t="s">
        <v>9807</v>
      </c>
      <c r="DA433" t="s">
        <v>5904</v>
      </c>
      <c r="DB433">
        <v>807.7</v>
      </c>
      <c r="DC433" t="s">
        <v>25586</v>
      </c>
      <c r="DD433" t="s">
        <v>25587</v>
      </c>
      <c r="DE433" t="s">
        <v>25588</v>
      </c>
      <c r="DF433" t="s">
        <v>25589</v>
      </c>
      <c r="DG433" t="s">
        <v>25590</v>
      </c>
      <c r="DH433" t="str">
        <f>"GOT1"</f>
        <v>GOT1</v>
      </c>
      <c r="DI433" t="s">
        <v>13772</v>
      </c>
      <c r="DJ433" t="s">
        <v>13777</v>
      </c>
      <c r="DK433">
        <v>9606</v>
      </c>
      <c r="DL433" s="34" t="str">
        <f>HYPERLINK("http://www.uniprot.org/uniprot/P17174", "P17174")</f>
        <v>P17174</v>
      </c>
      <c r="DM433" t="s">
        <v>25591</v>
      </c>
      <c r="DN433" t="s">
        <v>25592</v>
      </c>
      <c r="DO433" t="s">
        <v>13899</v>
      </c>
      <c r="DP433" t="s">
        <v>13780</v>
      </c>
      <c r="DQ433" t="s">
        <v>13772</v>
      </c>
      <c r="DR433" t="s">
        <v>13772</v>
      </c>
      <c r="DS433" t="s">
        <v>13772</v>
      </c>
      <c r="DT433" t="s">
        <v>14133</v>
      </c>
      <c r="DU433" t="s">
        <v>25593</v>
      </c>
      <c r="DV433" t="s">
        <v>13782</v>
      </c>
      <c r="DW433" t="s">
        <v>13812</v>
      </c>
      <c r="DX433" t="s">
        <v>25594</v>
      </c>
      <c r="DY433" t="s">
        <v>25595</v>
      </c>
      <c r="DZ433" t="s">
        <v>25596</v>
      </c>
      <c r="EA433" t="s">
        <v>13772</v>
      </c>
      <c r="EB433" t="s">
        <v>25597</v>
      </c>
    </row>
    <row r="434" spans="1:132" hidden="1">
      <c r="A434">
        <v>1833</v>
      </c>
      <c r="B434">
        <v>1</v>
      </c>
      <c r="C434" t="s">
        <v>4332</v>
      </c>
      <c r="D434" t="s">
        <v>4333</v>
      </c>
      <c r="E434" t="s">
        <v>73</v>
      </c>
      <c r="F434" t="s">
        <v>73</v>
      </c>
      <c r="G434" t="s">
        <v>73</v>
      </c>
      <c r="H434">
        <v>37.200000000000003</v>
      </c>
      <c r="I434">
        <v>752</v>
      </c>
      <c r="J434">
        <v>64438</v>
      </c>
      <c r="K434" t="s">
        <v>4334</v>
      </c>
      <c r="L434">
        <f t="shared" si="26"/>
        <v>92</v>
      </c>
      <c r="N434">
        <v>92</v>
      </c>
      <c r="O434">
        <v>92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2</v>
      </c>
      <c r="V434">
        <v>6</v>
      </c>
      <c r="W434">
        <v>0</v>
      </c>
      <c r="X434">
        <v>0</v>
      </c>
      <c r="Y434">
        <v>13</v>
      </c>
      <c r="Z434">
        <v>2</v>
      </c>
      <c r="AA434">
        <v>25</v>
      </c>
      <c r="AB434">
        <v>3</v>
      </c>
      <c r="AC434">
        <v>14</v>
      </c>
      <c r="AD434">
        <v>0</v>
      </c>
      <c r="AE434">
        <v>7</v>
      </c>
      <c r="AF434">
        <v>10</v>
      </c>
      <c r="AG434">
        <v>0</v>
      </c>
      <c r="AH434">
        <v>0</v>
      </c>
      <c r="AI434">
        <v>7</v>
      </c>
      <c r="AJ434">
        <v>1</v>
      </c>
      <c r="AK434">
        <v>1</v>
      </c>
      <c r="AL434">
        <v>1</v>
      </c>
      <c r="AM434">
        <v>0</v>
      </c>
      <c r="AN434">
        <v>2</v>
      </c>
      <c r="AO434">
        <v>6</v>
      </c>
      <c r="AP434">
        <v>0</v>
      </c>
      <c r="AQ434">
        <v>0</v>
      </c>
      <c r="AR434">
        <v>13</v>
      </c>
      <c r="AS434">
        <v>2</v>
      </c>
      <c r="AT434">
        <v>25</v>
      </c>
      <c r="AU434">
        <v>3</v>
      </c>
      <c r="AV434">
        <v>14</v>
      </c>
      <c r="AW434">
        <v>0</v>
      </c>
      <c r="AX434">
        <v>7</v>
      </c>
      <c r="AY434">
        <v>10</v>
      </c>
      <c r="AZ434">
        <v>0</v>
      </c>
      <c r="BA434">
        <v>0</v>
      </c>
      <c r="BB434">
        <v>7</v>
      </c>
      <c r="BC434" s="2">
        <v>1</v>
      </c>
      <c r="BD434" s="2">
        <v>1</v>
      </c>
      <c r="BE434" s="2">
        <v>1</v>
      </c>
      <c r="BF434" s="2">
        <v>0</v>
      </c>
      <c r="BG434" s="2">
        <v>2</v>
      </c>
      <c r="BH434" s="2">
        <v>6</v>
      </c>
      <c r="BI434" s="2">
        <v>0</v>
      </c>
      <c r="BJ434" s="2">
        <v>0</v>
      </c>
      <c r="BK434" s="2">
        <v>13</v>
      </c>
      <c r="BL434" s="2">
        <v>2</v>
      </c>
      <c r="BM434" s="2">
        <v>25</v>
      </c>
      <c r="BN434" s="2">
        <v>3</v>
      </c>
      <c r="BO434" s="2">
        <v>14</v>
      </c>
      <c r="BP434" s="2">
        <v>0</v>
      </c>
      <c r="BQ434" s="2">
        <v>7</v>
      </c>
      <c r="BR434" s="2">
        <v>10</v>
      </c>
      <c r="BS434" s="2">
        <v>0</v>
      </c>
      <c r="BT434" s="2">
        <v>0</v>
      </c>
      <c r="BU434" s="2">
        <v>7</v>
      </c>
      <c r="BV434" s="2">
        <f t="shared" si="29"/>
        <v>92</v>
      </c>
      <c r="BW434" s="16">
        <f t="shared" si="27"/>
        <v>4.8421052631578947</v>
      </c>
      <c r="BX434" s="16">
        <f>COUNTIF($BC$6:BU434, "=0") / COUNTIF($BC$6:BU434, "&gt;-1")</f>
        <v>0.10722610722610723</v>
      </c>
      <c r="BY434" s="18">
        <f>SUM($BC$6:BU434) / $BY$4</f>
        <v>0.82492715289976992</v>
      </c>
      <c r="BZ434" s="14">
        <f t="shared" si="28"/>
        <v>6</v>
      </c>
      <c r="CA434" t="s">
        <v>5831</v>
      </c>
      <c r="CB434" s="36">
        <v>1.2116433958347299</v>
      </c>
      <c r="CC434" s="36">
        <v>0.96306412067744696</v>
      </c>
      <c r="CD434" s="36">
        <v>1.6007976618122599</v>
      </c>
      <c r="CE434" s="36">
        <v>0.37798043978830698</v>
      </c>
      <c r="CF434" s="36">
        <v>1.72035271987378</v>
      </c>
      <c r="CG434" s="36">
        <v>5.5783634798369501</v>
      </c>
      <c r="CH434" s="36">
        <v>0.26351557071616</v>
      </c>
      <c r="CI434" s="36">
        <v>0.24329589949557701</v>
      </c>
      <c r="CJ434" s="37">
        <v>10.331857812184399</v>
      </c>
      <c r="CK434" s="37">
        <v>15.766241172207099</v>
      </c>
      <c r="CL434" s="37">
        <v>2.4001630448020301</v>
      </c>
      <c r="CM434" s="37">
        <v>11.8516586523992</v>
      </c>
      <c r="CN434" s="37">
        <v>6.4315479607058004</v>
      </c>
      <c r="CO434" s="37">
        <v>7.8919057038512497</v>
      </c>
      <c r="CP434" s="37">
        <v>0.377135011965606</v>
      </c>
      <c r="CQ434" s="37">
        <v>10.658457925322301</v>
      </c>
      <c r="CR434" s="45">
        <v>2.3353839395456002</v>
      </c>
      <c r="CS434" s="45">
        <v>5.4945141125629897</v>
      </c>
      <c r="CT434" s="46">
        <v>1.2951705516223001E-4</v>
      </c>
      <c r="CU434" s="47">
        <v>3.53660856749111E-4</v>
      </c>
      <c r="CV434" s="48">
        <v>1.4948766610044</v>
      </c>
      <c r="CW434" s="49">
        <v>8.2136209104297198</v>
      </c>
      <c r="CX434" s="31" t="s">
        <v>5874</v>
      </c>
      <c r="CY434" s="31" t="s">
        <v>5876</v>
      </c>
      <c r="CZ434" t="s">
        <v>11870</v>
      </c>
      <c r="DA434" t="s">
        <v>6054</v>
      </c>
      <c r="DB434">
        <v>199.9</v>
      </c>
      <c r="DC434" t="s">
        <v>31410</v>
      </c>
      <c r="DD434" t="s">
        <v>31411</v>
      </c>
      <c r="DE434" t="s">
        <v>31412</v>
      </c>
      <c r="DF434" t="s">
        <v>31413</v>
      </c>
      <c r="DG434" t="s">
        <v>31414</v>
      </c>
      <c r="DH434" t="str">
        <f>"ELN"</f>
        <v>ELN</v>
      </c>
      <c r="DI434" t="s">
        <v>13772</v>
      </c>
      <c r="DJ434" t="s">
        <v>13777</v>
      </c>
      <c r="DK434">
        <v>9606</v>
      </c>
      <c r="DL434" s="34" t="str">
        <f>HYPERLINK("http://www.uniprot.org/uniprot/P15502", "P15502")</f>
        <v>P15502</v>
      </c>
      <c r="DM434" t="s">
        <v>31415</v>
      </c>
      <c r="DN434" t="s">
        <v>13772</v>
      </c>
      <c r="DO434" t="s">
        <v>13869</v>
      </c>
      <c r="DP434" t="s">
        <v>13780</v>
      </c>
      <c r="DQ434" t="s">
        <v>13772</v>
      </c>
      <c r="DR434" t="s">
        <v>30779</v>
      </c>
      <c r="DS434" t="s">
        <v>14404</v>
      </c>
      <c r="DT434" t="s">
        <v>13772</v>
      </c>
      <c r="DU434" t="s">
        <v>13772</v>
      </c>
      <c r="DV434" t="s">
        <v>31416</v>
      </c>
      <c r="DW434" t="s">
        <v>13772</v>
      </c>
      <c r="DX434" t="s">
        <v>31417</v>
      </c>
      <c r="DY434" t="s">
        <v>31418</v>
      </c>
      <c r="DZ434" t="s">
        <v>31419</v>
      </c>
      <c r="EA434" t="s">
        <v>13772</v>
      </c>
      <c r="EB434" t="s">
        <v>31420</v>
      </c>
    </row>
    <row r="435" spans="1:132" hidden="1">
      <c r="A435">
        <v>161</v>
      </c>
      <c r="B435">
        <v>1</v>
      </c>
      <c r="C435" t="s">
        <v>408</v>
      </c>
      <c r="D435" t="s">
        <v>409</v>
      </c>
      <c r="E435" t="s">
        <v>73</v>
      </c>
      <c r="F435" t="s">
        <v>73</v>
      </c>
      <c r="G435" t="s">
        <v>73</v>
      </c>
      <c r="H435">
        <v>16.899999999999999</v>
      </c>
      <c r="I435">
        <v>1468</v>
      </c>
      <c r="J435">
        <v>160614</v>
      </c>
      <c r="K435" t="s">
        <v>410</v>
      </c>
      <c r="L435">
        <f t="shared" si="26"/>
        <v>91</v>
      </c>
      <c r="N435">
        <v>91</v>
      </c>
      <c r="O435">
        <v>91</v>
      </c>
      <c r="P435">
        <v>1</v>
      </c>
      <c r="Q435">
        <v>4</v>
      </c>
      <c r="R435">
        <v>6</v>
      </c>
      <c r="S435">
        <v>6</v>
      </c>
      <c r="T435">
        <v>8</v>
      </c>
      <c r="U435">
        <v>8</v>
      </c>
      <c r="V435">
        <v>11</v>
      </c>
      <c r="W435">
        <v>2</v>
      </c>
      <c r="X435">
        <v>4</v>
      </c>
      <c r="Y435">
        <v>3</v>
      </c>
      <c r="Z435">
        <v>0</v>
      </c>
      <c r="AA435">
        <v>13</v>
      </c>
      <c r="AB435">
        <v>5</v>
      </c>
      <c r="AC435">
        <v>4</v>
      </c>
      <c r="AD435">
        <v>0</v>
      </c>
      <c r="AE435">
        <v>5</v>
      </c>
      <c r="AF435">
        <v>3</v>
      </c>
      <c r="AG435">
        <v>3</v>
      </c>
      <c r="AH435">
        <v>1</v>
      </c>
      <c r="AI435">
        <v>5</v>
      </c>
      <c r="AJ435">
        <v>4</v>
      </c>
      <c r="AK435">
        <v>6</v>
      </c>
      <c r="AL435">
        <v>6</v>
      </c>
      <c r="AM435">
        <v>8</v>
      </c>
      <c r="AN435">
        <v>8</v>
      </c>
      <c r="AO435">
        <v>11</v>
      </c>
      <c r="AP435">
        <v>2</v>
      </c>
      <c r="AQ435">
        <v>4</v>
      </c>
      <c r="AR435">
        <v>3</v>
      </c>
      <c r="AS435">
        <v>0</v>
      </c>
      <c r="AT435">
        <v>13</v>
      </c>
      <c r="AU435">
        <v>5</v>
      </c>
      <c r="AV435">
        <v>4</v>
      </c>
      <c r="AW435">
        <v>0</v>
      </c>
      <c r="AX435">
        <v>5</v>
      </c>
      <c r="AY435">
        <v>3</v>
      </c>
      <c r="AZ435">
        <v>3</v>
      </c>
      <c r="BA435">
        <v>1</v>
      </c>
      <c r="BB435">
        <v>5</v>
      </c>
      <c r="BC435" s="2">
        <v>4</v>
      </c>
      <c r="BD435" s="2">
        <v>6</v>
      </c>
      <c r="BE435" s="2">
        <v>6</v>
      </c>
      <c r="BF435" s="2">
        <v>8</v>
      </c>
      <c r="BG435" s="2">
        <v>8</v>
      </c>
      <c r="BH435" s="2">
        <v>11</v>
      </c>
      <c r="BI435" s="2">
        <v>2</v>
      </c>
      <c r="BJ435" s="2">
        <v>4</v>
      </c>
      <c r="BK435" s="2">
        <v>3</v>
      </c>
      <c r="BL435" s="2">
        <v>0</v>
      </c>
      <c r="BM435" s="2">
        <v>13</v>
      </c>
      <c r="BN435" s="2">
        <v>5</v>
      </c>
      <c r="BO435" s="2">
        <v>4</v>
      </c>
      <c r="BP435" s="2">
        <v>0</v>
      </c>
      <c r="BQ435" s="2">
        <v>5</v>
      </c>
      <c r="BR435" s="2">
        <v>3</v>
      </c>
      <c r="BS435" s="2">
        <v>3</v>
      </c>
      <c r="BT435" s="2">
        <v>1</v>
      </c>
      <c r="BU435" s="2">
        <v>5</v>
      </c>
      <c r="BV435" s="2">
        <f t="shared" si="29"/>
        <v>91</v>
      </c>
      <c r="BW435" s="16">
        <f t="shared" si="27"/>
        <v>4.7894736842105265</v>
      </c>
      <c r="BX435" s="16">
        <f>COUNTIF($BC$6:BU435, "=0") / COUNTIF($BC$6:BU435, "&gt;-1")</f>
        <v>0.10722154222766218</v>
      </c>
      <c r="BY435" s="18">
        <f>SUM($BC$6:BU435) / $BY$4</f>
        <v>0.82531696385482167</v>
      </c>
      <c r="BZ435" s="14">
        <f t="shared" si="28"/>
        <v>2</v>
      </c>
      <c r="CA435" t="s">
        <v>5831</v>
      </c>
      <c r="CB435" s="36">
        <v>4.8465735833389196</v>
      </c>
      <c r="CC435" s="36">
        <v>5.7783847240646802</v>
      </c>
      <c r="CD435" s="36">
        <v>9.6047859708735501</v>
      </c>
      <c r="CE435" s="36">
        <v>12.0953740732258</v>
      </c>
      <c r="CF435" s="36">
        <v>6.8814108794951396</v>
      </c>
      <c r="CG435" s="36">
        <v>10.226999713034401</v>
      </c>
      <c r="CH435" s="36">
        <v>2.10812456572928</v>
      </c>
      <c r="CI435" s="36">
        <v>3.8927343919292201</v>
      </c>
      <c r="CJ435" s="37">
        <v>2.3842748797348698</v>
      </c>
      <c r="CK435" s="37">
        <v>8.1984454095477108</v>
      </c>
      <c r="CL435" s="37">
        <v>4.0002717413367099</v>
      </c>
      <c r="CM435" s="37">
        <v>3.3861881863997598</v>
      </c>
      <c r="CN435" s="37">
        <v>4.5939628290755703</v>
      </c>
      <c r="CO435" s="37">
        <v>2.36757171115537</v>
      </c>
      <c r="CP435" s="37">
        <v>4.5256201435872701</v>
      </c>
      <c r="CQ435" s="37">
        <v>7.6131842323730803</v>
      </c>
      <c r="CR435" s="45">
        <v>-0.55217245452601504</v>
      </c>
      <c r="CS435" s="45">
        <v>-1.4954169678458999</v>
      </c>
      <c r="CT435" s="46">
        <v>0.206389698850687</v>
      </c>
      <c r="CU435" s="47">
        <v>0.27073472261001802</v>
      </c>
      <c r="CV435" s="48">
        <v>6.9292984877113799</v>
      </c>
      <c r="CW435" s="49">
        <v>4.6336898916512901</v>
      </c>
      <c r="CX435" s="31" t="s">
        <v>5875</v>
      </c>
      <c r="CY435" s="31" t="s">
        <v>5832</v>
      </c>
      <c r="CZ435" t="s">
        <v>6249</v>
      </c>
      <c r="DA435" t="s">
        <v>5904</v>
      </c>
      <c r="DB435">
        <v>2290.4</v>
      </c>
      <c r="DC435" t="s">
        <v>14996</v>
      </c>
      <c r="DD435" t="s">
        <v>14997</v>
      </c>
      <c r="DE435" t="s">
        <v>14998</v>
      </c>
      <c r="DF435" t="s">
        <v>14999</v>
      </c>
      <c r="DG435" t="s">
        <v>15000</v>
      </c>
      <c r="DH435" t="str">
        <f>"NID2"</f>
        <v>NID2</v>
      </c>
      <c r="DI435" t="s">
        <v>13772</v>
      </c>
      <c r="DJ435" t="s">
        <v>13777</v>
      </c>
      <c r="DK435">
        <v>9606</v>
      </c>
      <c r="DL435" s="34" t="str">
        <f>HYPERLINK("http://www.uniprot.org/uniprot/Q14112", "Q14112")</f>
        <v>Q14112</v>
      </c>
      <c r="DM435" t="s">
        <v>15001</v>
      </c>
      <c r="DN435" t="s">
        <v>13949</v>
      </c>
      <c r="DO435" t="s">
        <v>15002</v>
      </c>
      <c r="DP435" t="s">
        <v>13780</v>
      </c>
      <c r="DQ435" t="s">
        <v>13772</v>
      </c>
      <c r="DR435" t="s">
        <v>13772</v>
      </c>
      <c r="DS435" t="s">
        <v>14768</v>
      </c>
      <c r="DT435" t="s">
        <v>14465</v>
      </c>
      <c r="DU435" t="s">
        <v>13772</v>
      </c>
      <c r="DV435" t="s">
        <v>15003</v>
      </c>
      <c r="DW435" t="s">
        <v>13772</v>
      </c>
      <c r="DX435" t="s">
        <v>15004</v>
      </c>
      <c r="DY435" t="s">
        <v>15005</v>
      </c>
      <c r="DZ435" t="s">
        <v>15006</v>
      </c>
      <c r="EA435" t="s">
        <v>13772</v>
      </c>
      <c r="EB435" t="s">
        <v>15007</v>
      </c>
    </row>
    <row r="436" spans="1:132" hidden="1">
      <c r="A436">
        <v>456</v>
      </c>
      <c r="B436">
        <v>1</v>
      </c>
      <c r="C436" t="s">
        <v>1142</v>
      </c>
      <c r="D436" t="s">
        <v>1143</v>
      </c>
      <c r="E436" t="s">
        <v>73</v>
      </c>
      <c r="F436" t="s">
        <v>73</v>
      </c>
      <c r="G436" t="s">
        <v>73</v>
      </c>
      <c r="H436">
        <v>63.6</v>
      </c>
      <c r="I436">
        <v>77</v>
      </c>
      <c r="J436">
        <v>8664</v>
      </c>
      <c r="K436" t="s">
        <v>1144</v>
      </c>
      <c r="L436">
        <f t="shared" si="26"/>
        <v>91</v>
      </c>
      <c r="N436">
        <v>91</v>
      </c>
      <c r="O436">
        <v>91</v>
      </c>
      <c r="P436">
        <v>1</v>
      </c>
      <c r="Q436">
        <v>5</v>
      </c>
      <c r="R436">
        <v>3</v>
      </c>
      <c r="S436">
        <v>6</v>
      </c>
      <c r="T436">
        <v>6</v>
      </c>
      <c r="U436">
        <v>6</v>
      </c>
      <c r="V436">
        <v>6</v>
      </c>
      <c r="W436">
        <v>7</v>
      </c>
      <c r="X436">
        <v>6</v>
      </c>
      <c r="Y436">
        <v>1</v>
      </c>
      <c r="Z436">
        <v>2</v>
      </c>
      <c r="AA436">
        <v>5</v>
      </c>
      <c r="AB436">
        <v>7</v>
      </c>
      <c r="AC436">
        <v>1</v>
      </c>
      <c r="AD436">
        <v>0</v>
      </c>
      <c r="AE436">
        <v>4</v>
      </c>
      <c r="AF436">
        <v>9</v>
      </c>
      <c r="AG436">
        <v>6</v>
      </c>
      <c r="AH436">
        <v>4</v>
      </c>
      <c r="AI436">
        <v>7</v>
      </c>
      <c r="AJ436">
        <v>5</v>
      </c>
      <c r="AK436">
        <v>3</v>
      </c>
      <c r="AL436">
        <v>6</v>
      </c>
      <c r="AM436">
        <v>6</v>
      </c>
      <c r="AN436">
        <v>6</v>
      </c>
      <c r="AO436">
        <v>6</v>
      </c>
      <c r="AP436">
        <v>7</v>
      </c>
      <c r="AQ436">
        <v>6</v>
      </c>
      <c r="AR436">
        <v>1</v>
      </c>
      <c r="AS436">
        <v>2</v>
      </c>
      <c r="AT436">
        <v>5</v>
      </c>
      <c r="AU436">
        <v>7</v>
      </c>
      <c r="AV436">
        <v>1</v>
      </c>
      <c r="AW436">
        <v>0</v>
      </c>
      <c r="AX436">
        <v>4</v>
      </c>
      <c r="AY436">
        <v>9</v>
      </c>
      <c r="AZ436">
        <v>6</v>
      </c>
      <c r="BA436">
        <v>4</v>
      </c>
      <c r="BB436">
        <v>7</v>
      </c>
      <c r="BC436" s="2">
        <v>5</v>
      </c>
      <c r="BD436" s="2">
        <v>3</v>
      </c>
      <c r="BE436" s="2">
        <v>6</v>
      </c>
      <c r="BF436" s="2">
        <v>6</v>
      </c>
      <c r="BG436" s="2">
        <v>6</v>
      </c>
      <c r="BH436" s="2">
        <v>6</v>
      </c>
      <c r="BI436" s="2">
        <v>7</v>
      </c>
      <c r="BJ436" s="2">
        <v>6</v>
      </c>
      <c r="BK436" s="2">
        <v>1</v>
      </c>
      <c r="BL436" s="2">
        <v>2</v>
      </c>
      <c r="BM436" s="2">
        <v>5</v>
      </c>
      <c r="BN436" s="2">
        <v>7</v>
      </c>
      <c r="BO436" s="2">
        <v>1</v>
      </c>
      <c r="BP436" s="2">
        <v>0</v>
      </c>
      <c r="BQ436" s="2">
        <v>4</v>
      </c>
      <c r="BR436" s="2">
        <v>9</v>
      </c>
      <c r="BS436" s="2">
        <v>6</v>
      </c>
      <c r="BT436" s="2">
        <v>4</v>
      </c>
      <c r="BU436" s="2">
        <v>7</v>
      </c>
      <c r="BV436" s="2">
        <f t="shared" si="29"/>
        <v>91</v>
      </c>
      <c r="BW436" s="16">
        <f t="shared" si="27"/>
        <v>4.7894736842105265</v>
      </c>
      <c r="BX436" s="16">
        <f>COUNTIF($BC$6:BU436, "=0") / COUNTIF($BC$6:BU436, "&gt;-1")</f>
        <v>0.1070948833801441</v>
      </c>
      <c r="BY436" s="18">
        <f>SUM($BC$6:BU436) / $BY$4</f>
        <v>0.82570677480987331</v>
      </c>
      <c r="BZ436" s="14">
        <f t="shared" si="28"/>
        <v>1</v>
      </c>
      <c r="CA436" t="s">
        <v>5831</v>
      </c>
      <c r="CB436" s="36">
        <v>6.0582169791736504</v>
      </c>
      <c r="CC436" s="36">
        <v>2.8891923620323401</v>
      </c>
      <c r="CD436" s="36">
        <v>9.6047859708735501</v>
      </c>
      <c r="CE436" s="36">
        <v>9.0715305549193808</v>
      </c>
      <c r="CF436" s="36">
        <v>5.1610581596213496</v>
      </c>
      <c r="CG436" s="36">
        <v>5.5783634798369501</v>
      </c>
      <c r="CH436" s="36">
        <v>7.3784359800524904</v>
      </c>
      <c r="CI436" s="36">
        <v>5.8391015878938397</v>
      </c>
      <c r="CJ436" s="37">
        <v>0.79475829324495695</v>
      </c>
      <c r="CK436" s="37">
        <v>3.1532482344414299</v>
      </c>
      <c r="CL436" s="37">
        <v>5.6003804378713999</v>
      </c>
      <c r="CM436" s="37">
        <v>0.84654704659994096</v>
      </c>
      <c r="CN436" s="37">
        <v>3.6751702632604601</v>
      </c>
      <c r="CO436" s="37">
        <v>7.1027151334661296</v>
      </c>
      <c r="CP436" s="37">
        <v>9.0512402871745401</v>
      </c>
      <c r="CQ436" s="37">
        <v>10.658457925322301</v>
      </c>
      <c r="CR436" s="45">
        <v>-0.39618595721031502</v>
      </c>
      <c r="CS436" s="45">
        <v>-1.26168073972595</v>
      </c>
      <c r="CT436" s="46">
        <v>0.46305406671053401</v>
      </c>
      <c r="CU436" s="47">
        <v>0.54539290603758295</v>
      </c>
      <c r="CV436" s="48">
        <v>6.4475856343004398</v>
      </c>
      <c r="CW436" s="49">
        <v>5.1103147026726496</v>
      </c>
      <c r="CX436" s="31" t="s">
        <v>5875</v>
      </c>
      <c r="CY436" s="31" t="s">
        <v>5832</v>
      </c>
      <c r="CZ436" t="s">
        <v>7284</v>
      </c>
      <c r="DA436" t="s">
        <v>5904</v>
      </c>
      <c r="DB436">
        <v>157.1</v>
      </c>
      <c r="DC436" t="s">
        <v>18227</v>
      </c>
      <c r="DD436" t="s">
        <v>18228</v>
      </c>
      <c r="DE436" t="s">
        <v>18229</v>
      </c>
      <c r="DF436" t="s">
        <v>18230</v>
      </c>
      <c r="DG436" t="s">
        <v>18231</v>
      </c>
      <c r="DH436" t="str">
        <f>"UBA52"</f>
        <v>UBA52</v>
      </c>
      <c r="DI436" t="s">
        <v>18232</v>
      </c>
      <c r="DJ436" t="s">
        <v>13777</v>
      </c>
      <c r="DK436">
        <v>9606</v>
      </c>
      <c r="DL436" s="34" t="str">
        <f>HYPERLINK("http://www.uniprot.org/uniprot/P62987", "P62987")</f>
        <v>P62987</v>
      </c>
      <c r="DM436" t="s">
        <v>18233</v>
      </c>
      <c r="DN436" t="s">
        <v>13772</v>
      </c>
      <c r="DO436" t="s">
        <v>13912</v>
      </c>
      <c r="DP436" t="s">
        <v>13772</v>
      </c>
      <c r="DQ436" t="s">
        <v>13772</v>
      </c>
      <c r="DR436" t="s">
        <v>13772</v>
      </c>
      <c r="DS436" t="s">
        <v>13772</v>
      </c>
      <c r="DT436" t="s">
        <v>13772</v>
      </c>
      <c r="DU436" t="s">
        <v>13937</v>
      </c>
      <c r="DV436" t="s">
        <v>18234</v>
      </c>
      <c r="DW436" t="s">
        <v>13812</v>
      </c>
      <c r="DX436" t="s">
        <v>18235</v>
      </c>
      <c r="DY436" t="s">
        <v>18236</v>
      </c>
      <c r="DZ436" t="s">
        <v>18237</v>
      </c>
      <c r="EA436" t="s">
        <v>13772</v>
      </c>
      <c r="EB436" t="s">
        <v>18238</v>
      </c>
    </row>
    <row r="437" spans="1:132" hidden="1">
      <c r="A437">
        <v>1345</v>
      </c>
      <c r="B437">
        <v>1</v>
      </c>
      <c r="C437" t="s">
        <v>3218</v>
      </c>
      <c r="D437" t="s">
        <v>73</v>
      </c>
      <c r="E437" t="s">
        <v>73</v>
      </c>
      <c r="F437" t="s">
        <v>73</v>
      </c>
      <c r="G437" t="s">
        <v>73</v>
      </c>
      <c r="H437">
        <v>56.7</v>
      </c>
      <c r="I437">
        <v>321</v>
      </c>
      <c r="J437">
        <v>35915</v>
      </c>
      <c r="K437" t="s">
        <v>3219</v>
      </c>
      <c r="L437">
        <f t="shared" si="26"/>
        <v>91</v>
      </c>
      <c r="N437">
        <v>91</v>
      </c>
      <c r="O437">
        <v>91</v>
      </c>
      <c r="P437">
        <v>1</v>
      </c>
      <c r="Q437">
        <v>5</v>
      </c>
      <c r="R437">
        <v>11</v>
      </c>
      <c r="S437">
        <v>3</v>
      </c>
      <c r="T437">
        <v>9</v>
      </c>
      <c r="U437">
        <v>12</v>
      </c>
      <c r="V437">
        <v>13</v>
      </c>
      <c r="W437">
        <v>9</v>
      </c>
      <c r="X437">
        <v>7</v>
      </c>
      <c r="Y437">
        <v>1</v>
      </c>
      <c r="Z437">
        <v>1</v>
      </c>
      <c r="AA437">
        <v>5</v>
      </c>
      <c r="AB437">
        <v>4</v>
      </c>
      <c r="AC437">
        <v>5</v>
      </c>
      <c r="AD437">
        <v>0</v>
      </c>
      <c r="AE437">
        <v>4</v>
      </c>
      <c r="AF437">
        <v>1</v>
      </c>
      <c r="AG437">
        <v>1</v>
      </c>
      <c r="AH437">
        <v>0</v>
      </c>
      <c r="AI437">
        <v>0</v>
      </c>
      <c r="AJ437">
        <v>5</v>
      </c>
      <c r="AK437">
        <v>11</v>
      </c>
      <c r="AL437">
        <v>3</v>
      </c>
      <c r="AM437">
        <v>9</v>
      </c>
      <c r="AN437">
        <v>12</v>
      </c>
      <c r="AO437">
        <v>13</v>
      </c>
      <c r="AP437">
        <v>9</v>
      </c>
      <c r="AQ437">
        <v>7</v>
      </c>
      <c r="AR437">
        <v>1</v>
      </c>
      <c r="AS437">
        <v>1</v>
      </c>
      <c r="AT437">
        <v>5</v>
      </c>
      <c r="AU437">
        <v>4</v>
      </c>
      <c r="AV437">
        <v>5</v>
      </c>
      <c r="AW437">
        <v>0</v>
      </c>
      <c r="AX437">
        <v>4</v>
      </c>
      <c r="AY437">
        <v>1</v>
      </c>
      <c r="AZ437">
        <v>1</v>
      </c>
      <c r="BA437">
        <v>0</v>
      </c>
      <c r="BB437">
        <v>0</v>
      </c>
      <c r="BC437" s="2">
        <v>5</v>
      </c>
      <c r="BD437" s="2">
        <v>11</v>
      </c>
      <c r="BE437" s="2">
        <v>3</v>
      </c>
      <c r="BF437" s="2">
        <v>9</v>
      </c>
      <c r="BG437" s="2">
        <v>12</v>
      </c>
      <c r="BH437" s="2">
        <v>13</v>
      </c>
      <c r="BI437" s="2">
        <v>9</v>
      </c>
      <c r="BJ437" s="2">
        <v>7</v>
      </c>
      <c r="BK437" s="2">
        <v>1</v>
      </c>
      <c r="BL437" s="2">
        <v>1</v>
      </c>
      <c r="BM437" s="2">
        <v>5</v>
      </c>
      <c r="BN437" s="2">
        <v>4</v>
      </c>
      <c r="BO437" s="2">
        <v>5</v>
      </c>
      <c r="BP437" s="2">
        <v>0</v>
      </c>
      <c r="BQ437" s="2">
        <v>4</v>
      </c>
      <c r="BR437" s="2">
        <v>1</v>
      </c>
      <c r="BS437" s="2">
        <v>1</v>
      </c>
      <c r="BT437" s="2">
        <v>0</v>
      </c>
      <c r="BU437" s="2">
        <v>0</v>
      </c>
      <c r="BV437" s="2">
        <f t="shared" si="29"/>
        <v>91</v>
      </c>
      <c r="BW437" s="16">
        <f t="shared" si="27"/>
        <v>4.7894736842105265</v>
      </c>
      <c r="BX437" s="16">
        <f>COUNTIF($BC$6:BU437, "=0") / COUNTIF($BC$6:BU437, "&gt;-1")</f>
        <v>0.10721247563352826</v>
      </c>
      <c r="BY437" s="18">
        <f>SUM($BC$6:BU437) / $BY$4</f>
        <v>0.82609658576492506</v>
      </c>
      <c r="BZ437" s="14">
        <f t="shared" si="28"/>
        <v>3</v>
      </c>
      <c r="CA437" t="s">
        <v>5831</v>
      </c>
      <c r="CB437" s="36">
        <v>6.0582169791736504</v>
      </c>
      <c r="CC437" s="36">
        <v>10.5937053274519</v>
      </c>
      <c r="CD437" s="36">
        <v>4.8023929854367697</v>
      </c>
      <c r="CE437" s="36">
        <v>13.6072958323791</v>
      </c>
      <c r="CF437" s="36">
        <v>10.322116319242699</v>
      </c>
      <c r="CG437" s="36">
        <v>12.0864542063134</v>
      </c>
      <c r="CH437" s="36">
        <v>9.4865605457817708</v>
      </c>
      <c r="CI437" s="36">
        <v>6.8122851858761404</v>
      </c>
      <c r="CJ437" s="37">
        <v>0.79475829324495695</v>
      </c>
      <c r="CK437" s="37">
        <v>3.1532482344414299</v>
      </c>
      <c r="CL437" s="37">
        <v>3.2002173930693698</v>
      </c>
      <c r="CM437" s="37">
        <v>4.2327352329997003</v>
      </c>
      <c r="CN437" s="37">
        <v>3.6751702632604601</v>
      </c>
      <c r="CO437" s="37">
        <v>0.78919057038512497</v>
      </c>
      <c r="CP437" s="37">
        <v>1.50854004786242</v>
      </c>
      <c r="CQ437" s="37">
        <v>0.38065921161865401</v>
      </c>
      <c r="CR437" s="45">
        <v>-1.93100585235753</v>
      </c>
      <c r="CS437" s="45">
        <v>-4.1596293846321597</v>
      </c>
      <c r="CT437" s="46">
        <v>1.42799551473458E-6</v>
      </c>
      <c r="CU437" s="47">
        <v>6.7276690095593802E-6</v>
      </c>
      <c r="CV437" s="48">
        <v>9.2211284227069292</v>
      </c>
      <c r="CW437" s="49">
        <v>2.21681490586026</v>
      </c>
      <c r="CX437" s="31" t="s">
        <v>5875</v>
      </c>
      <c r="CY437" s="31" t="s">
        <v>5876</v>
      </c>
      <c r="CZ437" t="s">
        <v>10227</v>
      </c>
      <c r="DA437" t="s">
        <v>5904</v>
      </c>
      <c r="DB437">
        <v>624</v>
      </c>
      <c r="DC437" t="s">
        <v>26782</v>
      </c>
      <c r="DD437" t="s">
        <v>26783</v>
      </c>
      <c r="DE437" t="s">
        <v>26784</v>
      </c>
      <c r="DF437" t="s">
        <v>26785</v>
      </c>
      <c r="DG437" t="s">
        <v>26786</v>
      </c>
      <c r="DH437" t="str">
        <f>"ANXA5"</f>
        <v>ANXA5</v>
      </c>
      <c r="DI437" t="s">
        <v>26787</v>
      </c>
      <c r="DJ437" t="s">
        <v>13777</v>
      </c>
      <c r="DK437">
        <v>9606</v>
      </c>
      <c r="DL437" s="34" t="str">
        <f>HYPERLINK("http://www.uniprot.org/uniprot/P08758", "P08758")</f>
        <v>P08758</v>
      </c>
      <c r="DM437" t="s">
        <v>26788</v>
      </c>
      <c r="DN437" t="s">
        <v>16755</v>
      </c>
      <c r="DO437" t="s">
        <v>13772</v>
      </c>
      <c r="DP437" t="s">
        <v>13772</v>
      </c>
      <c r="DQ437" t="s">
        <v>13772</v>
      </c>
      <c r="DR437" t="s">
        <v>13772</v>
      </c>
      <c r="DS437" t="s">
        <v>15322</v>
      </c>
      <c r="DT437" t="s">
        <v>15323</v>
      </c>
      <c r="DU437" t="s">
        <v>13772</v>
      </c>
      <c r="DV437" t="s">
        <v>26789</v>
      </c>
      <c r="DW437" t="s">
        <v>13812</v>
      </c>
      <c r="DX437" t="s">
        <v>26790</v>
      </c>
      <c r="DY437" t="s">
        <v>26791</v>
      </c>
      <c r="DZ437" t="s">
        <v>26792</v>
      </c>
      <c r="EA437" t="s">
        <v>13772</v>
      </c>
      <c r="EB437" t="s">
        <v>15665</v>
      </c>
    </row>
    <row r="438" spans="1:132" hidden="1">
      <c r="A438">
        <v>2364</v>
      </c>
      <c r="B438">
        <v>1</v>
      </c>
      <c r="C438" t="s">
        <v>5508</v>
      </c>
      <c r="D438" t="s">
        <v>73</v>
      </c>
      <c r="E438" t="s">
        <v>73</v>
      </c>
      <c r="F438" t="s">
        <v>2302</v>
      </c>
      <c r="G438" t="s">
        <v>73</v>
      </c>
      <c r="H438">
        <v>61.3</v>
      </c>
      <c r="I438">
        <v>253</v>
      </c>
      <c r="J438">
        <v>28704</v>
      </c>
      <c r="K438" t="s">
        <v>5509</v>
      </c>
      <c r="L438">
        <f t="shared" si="26"/>
        <v>91</v>
      </c>
      <c r="N438">
        <v>91</v>
      </c>
      <c r="O438">
        <v>90</v>
      </c>
      <c r="P438">
        <v>0.98899999999999999</v>
      </c>
      <c r="Q438">
        <v>2</v>
      </c>
      <c r="R438">
        <v>5</v>
      </c>
      <c r="S438">
        <v>2</v>
      </c>
      <c r="T438">
        <v>4</v>
      </c>
      <c r="U438">
        <v>7</v>
      </c>
      <c r="V438">
        <v>12</v>
      </c>
      <c r="W438">
        <v>4</v>
      </c>
      <c r="X438">
        <v>4</v>
      </c>
      <c r="Y438">
        <v>14</v>
      </c>
      <c r="Z438">
        <v>1</v>
      </c>
      <c r="AA438">
        <v>13</v>
      </c>
      <c r="AB438">
        <v>7</v>
      </c>
      <c r="AC438">
        <v>6</v>
      </c>
      <c r="AD438">
        <v>0</v>
      </c>
      <c r="AE438">
        <v>5</v>
      </c>
      <c r="AF438">
        <v>5</v>
      </c>
      <c r="AG438">
        <v>0</v>
      </c>
      <c r="AH438">
        <v>0</v>
      </c>
      <c r="AI438">
        <v>0</v>
      </c>
      <c r="AJ438">
        <v>2</v>
      </c>
      <c r="AK438">
        <v>5</v>
      </c>
      <c r="AL438">
        <v>2</v>
      </c>
      <c r="AM438">
        <v>4</v>
      </c>
      <c r="AN438">
        <v>7</v>
      </c>
      <c r="AO438">
        <v>12</v>
      </c>
      <c r="AP438">
        <v>4</v>
      </c>
      <c r="AQ438">
        <v>4</v>
      </c>
      <c r="AR438">
        <v>14</v>
      </c>
      <c r="AS438">
        <v>1</v>
      </c>
      <c r="AT438">
        <v>13</v>
      </c>
      <c r="AU438">
        <v>7</v>
      </c>
      <c r="AV438">
        <v>6</v>
      </c>
      <c r="AW438">
        <v>0</v>
      </c>
      <c r="AX438">
        <v>4</v>
      </c>
      <c r="AY438">
        <v>5</v>
      </c>
      <c r="AZ438">
        <v>0</v>
      </c>
      <c r="BA438">
        <v>0</v>
      </c>
      <c r="BB438">
        <v>0</v>
      </c>
      <c r="BC438" s="2">
        <v>2</v>
      </c>
      <c r="BD438" s="2">
        <v>5</v>
      </c>
      <c r="BE438" s="2">
        <v>2</v>
      </c>
      <c r="BF438" s="2">
        <v>4</v>
      </c>
      <c r="BG438" s="2">
        <v>7</v>
      </c>
      <c r="BH438" s="2">
        <v>12</v>
      </c>
      <c r="BI438" s="2">
        <v>4</v>
      </c>
      <c r="BJ438" s="2">
        <v>4</v>
      </c>
      <c r="BK438" s="2">
        <v>14</v>
      </c>
      <c r="BL438" s="2">
        <v>1</v>
      </c>
      <c r="BM438" s="2">
        <v>13</v>
      </c>
      <c r="BN438" s="2">
        <v>7</v>
      </c>
      <c r="BO438" s="2">
        <v>6</v>
      </c>
      <c r="BP438" s="2">
        <v>0</v>
      </c>
      <c r="BQ438" s="2">
        <v>4.0369999999999999</v>
      </c>
      <c r="BR438" s="2">
        <v>5</v>
      </c>
      <c r="BS438" s="2">
        <v>0</v>
      </c>
      <c r="BT438" s="2">
        <v>0</v>
      </c>
      <c r="BU438" s="2">
        <v>0</v>
      </c>
      <c r="BV438" s="2">
        <f t="shared" si="29"/>
        <v>90.037000000000006</v>
      </c>
      <c r="BW438" s="16">
        <f t="shared" si="27"/>
        <v>4.7387894736842107</v>
      </c>
      <c r="BX438" s="16">
        <f>COUNTIF($BC$6:BU438, "=0") / COUNTIF($BC$6:BU438, "&gt;-1")</f>
        <v>0.10745107572626716</v>
      </c>
      <c r="BY438" s="18">
        <f>SUM($BC$6:BU438) / $BY$4</f>
        <v>0.8264822715776724</v>
      </c>
      <c r="BZ438" s="14">
        <f t="shared" si="28"/>
        <v>4</v>
      </c>
      <c r="CA438" t="s">
        <v>5831</v>
      </c>
      <c r="CB438" s="36">
        <v>2.4232867916694598</v>
      </c>
      <c r="CC438" s="36">
        <v>4.8153206033872298</v>
      </c>
      <c r="CD438" s="36">
        <v>3.2015953236245198</v>
      </c>
      <c r="CE438" s="36">
        <v>6.0476870366129196</v>
      </c>
      <c r="CF438" s="36">
        <v>6.0212345195582504</v>
      </c>
      <c r="CG438" s="36">
        <v>11.1567269596739</v>
      </c>
      <c r="CH438" s="36">
        <v>4.21624913145856</v>
      </c>
      <c r="CI438" s="36">
        <v>3.8927343919292201</v>
      </c>
      <c r="CJ438" s="37">
        <v>11.126616105429401</v>
      </c>
      <c r="CK438" s="37">
        <v>8.1984454095477108</v>
      </c>
      <c r="CL438" s="37">
        <v>5.6003804378713999</v>
      </c>
      <c r="CM438" s="37">
        <v>5.0792822795996404</v>
      </c>
      <c r="CN438" s="37">
        <v>3.6751702632604601</v>
      </c>
      <c r="CO438" s="37">
        <v>3.94595285192562</v>
      </c>
      <c r="CP438" s="37">
        <v>0.377135011965606</v>
      </c>
      <c r="CQ438" s="37">
        <v>0.38065921161865401</v>
      </c>
      <c r="CR438" s="45">
        <v>-4.7323052660373399E-2</v>
      </c>
      <c r="CS438" s="45">
        <v>-1.0883499597192601</v>
      </c>
      <c r="CT438" s="46">
        <v>0.94106791691661595</v>
      </c>
      <c r="CU438" s="47">
        <v>0.96156153915847598</v>
      </c>
      <c r="CV438" s="48">
        <v>5.2218543447392598</v>
      </c>
      <c r="CW438" s="49">
        <v>4.7979551964023104</v>
      </c>
      <c r="CX438" s="31" t="s">
        <v>5875</v>
      </c>
      <c r="CY438" s="31" t="s">
        <v>5832</v>
      </c>
      <c r="CZ438" t="s">
        <v>13608</v>
      </c>
      <c r="DA438" t="s">
        <v>5904</v>
      </c>
      <c r="DB438">
        <v>505</v>
      </c>
      <c r="DC438" t="s">
        <v>36276</v>
      </c>
      <c r="DD438" t="s">
        <v>36277</v>
      </c>
      <c r="DE438" t="s">
        <v>36278</v>
      </c>
      <c r="DF438" t="s">
        <v>36279</v>
      </c>
      <c r="DG438" t="s">
        <v>36280</v>
      </c>
      <c r="DH438" t="str">
        <f>"LASP1"</f>
        <v>LASP1</v>
      </c>
      <c r="DI438" t="s">
        <v>36281</v>
      </c>
      <c r="DJ438" t="s">
        <v>13777</v>
      </c>
      <c r="DK438">
        <v>9606</v>
      </c>
      <c r="DL438" s="34" t="str">
        <f>HYPERLINK("http://www.uniprot.org/uniprot/Q14847", "Q14847")</f>
        <v>Q14847</v>
      </c>
      <c r="DM438" t="s">
        <v>36282</v>
      </c>
      <c r="DN438" t="s">
        <v>14288</v>
      </c>
      <c r="DO438" t="s">
        <v>13988</v>
      </c>
      <c r="DP438" t="s">
        <v>13841</v>
      </c>
      <c r="DQ438" t="s">
        <v>13772</v>
      </c>
      <c r="DR438" t="s">
        <v>13772</v>
      </c>
      <c r="DS438" t="s">
        <v>36283</v>
      </c>
      <c r="DT438" t="s">
        <v>13856</v>
      </c>
      <c r="DU438" t="s">
        <v>13990</v>
      </c>
      <c r="DV438" t="s">
        <v>14098</v>
      </c>
      <c r="DW438" t="s">
        <v>13812</v>
      </c>
      <c r="DX438" t="s">
        <v>19487</v>
      </c>
      <c r="DY438" t="s">
        <v>36284</v>
      </c>
      <c r="DZ438" t="s">
        <v>36285</v>
      </c>
      <c r="EA438" t="s">
        <v>13772</v>
      </c>
      <c r="EB438" t="s">
        <v>13772</v>
      </c>
    </row>
    <row r="439" spans="1:132">
      <c r="A439">
        <v>2237</v>
      </c>
      <c r="B439">
        <v>1</v>
      </c>
      <c r="C439" t="s">
        <v>5232</v>
      </c>
      <c r="D439" t="s">
        <v>73</v>
      </c>
      <c r="E439" t="s">
        <v>73</v>
      </c>
      <c r="F439" t="s">
        <v>5212</v>
      </c>
      <c r="G439" t="s">
        <v>73</v>
      </c>
      <c r="H439">
        <v>74.400000000000006</v>
      </c>
      <c r="I439">
        <v>125</v>
      </c>
      <c r="J439">
        <v>12646</v>
      </c>
      <c r="K439" t="s">
        <v>5233</v>
      </c>
      <c r="L439">
        <f t="shared" si="26"/>
        <v>103</v>
      </c>
      <c r="N439">
        <v>103</v>
      </c>
      <c r="O439">
        <v>36</v>
      </c>
      <c r="P439">
        <v>0.35</v>
      </c>
      <c r="Q439">
        <v>6</v>
      </c>
      <c r="R439">
        <v>7</v>
      </c>
      <c r="S439">
        <v>4</v>
      </c>
      <c r="T439">
        <v>6</v>
      </c>
      <c r="U439">
        <v>2</v>
      </c>
      <c r="V439">
        <v>3</v>
      </c>
      <c r="W439">
        <v>4</v>
      </c>
      <c r="X439">
        <v>2</v>
      </c>
      <c r="Y439">
        <v>6</v>
      </c>
      <c r="Z439">
        <v>1</v>
      </c>
      <c r="AA439">
        <v>10</v>
      </c>
      <c r="AB439">
        <v>12</v>
      </c>
      <c r="AC439">
        <v>6</v>
      </c>
      <c r="AD439">
        <v>2</v>
      </c>
      <c r="AE439">
        <v>6</v>
      </c>
      <c r="AF439">
        <v>14</v>
      </c>
      <c r="AG439">
        <v>3</v>
      </c>
      <c r="AH439">
        <v>3</v>
      </c>
      <c r="AI439">
        <v>6</v>
      </c>
      <c r="AJ439">
        <v>2</v>
      </c>
      <c r="AK439">
        <v>1</v>
      </c>
      <c r="AL439">
        <v>2</v>
      </c>
      <c r="AM439">
        <v>1</v>
      </c>
      <c r="AN439">
        <v>0</v>
      </c>
      <c r="AO439">
        <v>1</v>
      </c>
      <c r="AP439">
        <v>2</v>
      </c>
      <c r="AQ439">
        <v>1</v>
      </c>
      <c r="AR439">
        <v>1</v>
      </c>
      <c r="AS439">
        <v>0</v>
      </c>
      <c r="AT439">
        <v>5</v>
      </c>
      <c r="AU439">
        <v>6</v>
      </c>
      <c r="AV439">
        <v>1</v>
      </c>
      <c r="AW439">
        <v>0</v>
      </c>
      <c r="AX439">
        <v>1</v>
      </c>
      <c r="AY439">
        <v>7</v>
      </c>
      <c r="AZ439">
        <v>2</v>
      </c>
      <c r="BA439">
        <v>1</v>
      </c>
      <c r="BB439">
        <v>2</v>
      </c>
      <c r="BC439" s="2">
        <v>6</v>
      </c>
      <c r="BD439" s="2">
        <v>7</v>
      </c>
      <c r="BE439" s="2">
        <v>3.3330000000000002</v>
      </c>
      <c r="BF439" s="2">
        <v>6</v>
      </c>
      <c r="BG439" s="2">
        <v>1</v>
      </c>
      <c r="BH439" s="2">
        <v>3</v>
      </c>
      <c r="BI439" s="2">
        <v>4</v>
      </c>
      <c r="BJ439" s="2">
        <v>2</v>
      </c>
      <c r="BK439" s="2">
        <v>2.6669999999999998</v>
      </c>
      <c r="BL439" s="2">
        <v>0.5</v>
      </c>
      <c r="BM439" s="2">
        <v>8.5709999999999997</v>
      </c>
      <c r="BN439" s="2">
        <v>11.143000000000001</v>
      </c>
      <c r="BO439" s="2">
        <v>2.6669999999999998</v>
      </c>
      <c r="BP439" s="2">
        <v>1</v>
      </c>
      <c r="BQ439" s="2">
        <v>6</v>
      </c>
      <c r="BR439" s="2">
        <v>13.125</v>
      </c>
      <c r="BS439" s="2">
        <v>3</v>
      </c>
      <c r="BT439" s="2">
        <v>3</v>
      </c>
      <c r="BU439" s="2">
        <v>6</v>
      </c>
      <c r="BV439" s="2">
        <f t="shared" si="29"/>
        <v>90.006</v>
      </c>
      <c r="BW439" s="16">
        <f t="shared" si="27"/>
        <v>4.7371578947368418</v>
      </c>
      <c r="BX439" s="16">
        <f>COUNTIF($BC$6:BU439, "=0") / COUNTIF($BC$6:BU439, "&gt;-1")</f>
        <v>0.10720349260247393</v>
      </c>
      <c r="BY439" s="18">
        <f>SUM($BC$6:BU439) / $BY$4</f>
        <v>0.8268678245976766</v>
      </c>
      <c r="BZ439" s="14">
        <f t="shared" si="28"/>
        <v>0</v>
      </c>
      <c r="CA439" t="s">
        <v>5831</v>
      </c>
      <c r="CB439" s="36">
        <v>7.2698603750083803</v>
      </c>
      <c r="CC439" s="36">
        <v>6.7414488447421297</v>
      </c>
      <c r="CD439" s="36">
        <v>5.2826322839804503</v>
      </c>
      <c r="CE439" s="36">
        <v>9.0715305549193808</v>
      </c>
      <c r="CF439" s="36">
        <v>0.86017635993689201</v>
      </c>
      <c r="CG439" s="36">
        <v>2.7891817399184702</v>
      </c>
      <c r="CH439" s="36">
        <v>4.21624913145856</v>
      </c>
      <c r="CI439" s="36">
        <v>1.9463671959646101</v>
      </c>
      <c r="CJ439" s="37">
        <v>2.1458473917613801</v>
      </c>
      <c r="CK439" s="37">
        <v>5.4235869632392602</v>
      </c>
      <c r="CL439" s="37">
        <v>8.8806032657674994</v>
      </c>
      <c r="CM439" s="37">
        <v>2.2856770258198398</v>
      </c>
      <c r="CN439" s="37">
        <v>5.5127553948906796</v>
      </c>
      <c r="CO439" s="37">
        <v>10.338396472045099</v>
      </c>
      <c r="CP439" s="37">
        <v>4.5256201435872701</v>
      </c>
      <c r="CQ439" s="37">
        <v>9.1358210788476999</v>
      </c>
      <c r="CR439" s="45">
        <v>0.38284012024495401</v>
      </c>
      <c r="CS439" s="45">
        <v>1.2637908549945001</v>
      </c>
      <c r="CT439" s="46">
        <v>0.49855602699569102</v>
      </c>
      <c r="CU439" s="47">
        <v>0.57804849577143402</v>
      </c>
      <c r="CV439" s="48">
        <v>4.7721808107411103</v>
      </c>
      <c r="CW439" s="49">
        <v>6.0310384669948496</v>
      </c>
      <c r="CX439" s="31" t="s">
        <v>5874</v>
      </c>
      <c r="CY439" s="31" t="s">
        <v>5832</v>
      </c>
      <c r="CZ439" t="s">
        <v>13200</v>
      </c>
      <c r="DA439" t="s">
        <v>5904</v>
      </c>
      <c r="DB439">
        <v>191.4</v>
      </c>
      <c r="DC439" t="s">
        <v>35118</v>
      </c>
      <c r="DD439" t="s">
        <v>35119</v>
      </c>
      <c r="DE439" t="s">
        <v>35120</v>
      </c>
      <c r="DF439" t="s">
        <v>35121</v>
      </c>
      <c r="DG439" t="s">
        <v>35122</v>
      </c>
      <c r="DH439" t="str">
        <f>"OXT"</f>
        <v>OXT</v>
      </c>
      <c r="DI439" t="s">
        <v>35123</v>
      </c>
      <c r="DJ439" t="s">
        <v>13777</v>
      </c>
      <c r="DK439">
        <v>9606</v>
      </c>
      <c r="DL439" s="34" t="str">
        <f>HYPERLINK("http://www.uniprot.org/uniprot/P01178", "P01178")</f>
        <v>P01178</v>
      </c>
      <c r="DM439" t="s">
        <v>35124</v>
      </c>
      <c r="DN439" t="s">
        <v>13772</v>
      </c>
      <c r="DO439" t="s">
        <v>14321</v>
      </c>
      <c r="DP439" t="s">
        <v>13772</v>
      </c>
      <c r="DQ439" t="s">
        <v>13772</v>
      </c>
      <c r="DR439" t="s">
        <v>13772</v>
      </c>
      <c r="DS439" t="s">
        <v>13808</v>
      </c>
      <c r="DT439" t="s">
        <v>13772</v>
      </c>
      <c r="DU439" t="s">
        <v>14322</v>
      </c>
      <c r="DV439" t="s">
        <v>18947</v>
      </c>
      <c r="DW439" t="s">
        <v>35125</v>
      </c>
      <c r="DX439" t="s">
        <v>35126</v>
      </c>
      <c r="DY439" t="s">
        <v>35127</v>
      </c>
      <c r="DZ439" t="s">
        <v>35128</v>
      </c>
      <c r="EA439" t="s">
        <v>13772</v>
      </c>
      <c r="EB439" t="s">
        <v>35129</v>
      </c>
    </row>
    <row r="440" spans="1:132" hidden="1">
      <c r="A440">
        <v>697</v>
      </c>
      <c r="B440">
        <v>1</v>
      </c>
      <c r="C440" t="s">
        <v>1716</v>
      </c>
      <c r="D440" t="s">
        <v>73</v>
      </c>
      <c r="E440" t="s">
        <v>73</v>
      </c>
      <c r="F440" t="s">
        <v>73</v>
      </c>
      <c r="G440" t="s">
        <v>73</v>
      </c>
      <c r="H440">
        <v>29.3</v>
      </c>
      <c r="I440">
        <v>858</v>
      </c>
      <c r="J440">
        <v>95339</v>
      </c>
      <c r="K440" t="s">
        <v>1717</v>
      </c>
      <c r="L440">
        <f t="shared" si="26"/>
        <v>90</v>
      </c>
      <c r="N440">
        <v>90</v>
      </c>
      <c r="O440">
        <v>90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4</v>
      </c>
      <c r="V440">
        <v>4</v>
      </c>
      <c r="W440">
        <v>4</v>
      </c>
      <c r="X440">
        <v>3</v>
      </c>
      <c r="Y440">
        <v>8</v>
      </c>
      <c r="Z440">
        <v>0</v>
      </c>
      <c r="AA440">
        <v>29</v>
      </c>
      <c r="AB440">
        <v>8</v>
      </c>
      <c r="AC440">
        <v>6</v>
      </c>
      <c r="AD440">
        <v>0</v>
      </c>
      <c r="AE440">
        <v>9</v>
      </c>
      <c r="AF440">
        <v>10</v>
      </c>
      <c r="AG440">
        <v>2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0</v>
      </c>
      <c r="AN440">
        <v>4</v>
      </c>
      <c r="AO440">
        <v>4</v>
      </c>
      <c r="AP440">
        <v>4</v>
      </c>
      <c r="AQ440">
        <v>3</v>
      </c>
      <c r="AR440">
        <v>8</v>
      </c>
      <c r="AS440">
        <v>0</v>
      </c>
      <c r="AT440">
        <v>29</v>
      </c>
      <c r="AU440">
        <v>8</v>
      </c>
      <c r="AV440">
        <v>6</v>
      </c>
      <c r="AW440">
        <v>0</v>
      </c>
      <c r="AX440">
        <v>9</v>
      </c>
      <c r="AY440">
        <v>10</v>
      </c>
      <c r="AZ440">
        <v>2</v>
      </c>
      <c r="BA440">
        <v>0</v>
      </c>
      <c r="BB440">
        <v>1</v>
      </c>
      <c r="BC440" s="2">
        <v>1</v>
      </c>
      <c r="BD440" s="2">
        <v>1</v>
      </c>
      <c r="BE440" s="2">
        <v>0</v>
      </c>
      <c r="BF440" s="2">
        <v>0</v>
      </c>
      <c r="BG440" s="2">
        <v>4</v>
      </c>
      <c r="BH440" s="2">
        <v>4</v>
      </c>
      <c r="BI440" s="2">
        <v>4</v>
      </c>
      <c r="BJ440" s="2">
        <v>3</v>
      </c>
      <c r="BK440" s="2">
        <v>8</v>
      </c>
      <c r="BL440" s="2">
        <v>0</v>
      </c>
      <c r="BM440" s="2">
        <v>29</v>
      </c>
      <c r="BN440" s="2">
        <v>8</v>
      </c>
      <c r="BO440" s="2">
        <v>6</v>
      </c>
      <c r="BP440" s="2">
        <v>0</v>
      </c>
      <c r="BQ440" s="2">
        <v>9</v>
      </c>
      <c r="BR440" s="2">
        <v>10</v>
      </c>
      <c r="BS440" s="2">
        <v>2</v>
      </c>
      <c r="BT440" s="2">
        <v>0</v>
      </c>
      <c r="BU440" s="2">
        <v>1</v>
      </c>
      <c r="BV440" s="2">
        <f t="shared" si="29"/>
        <v>90</v>
      </c>
      <c r="BW440" s="16">
        <f t="shared" si="27"/>
        <v>4.7368421052631575</v>
      </c>
      <c r="BX440" s="16">
        <f>COUNTIF($BC$6:BU440, "=0") / COUNTIF($BC$6:BU440, "&gt;-1")</f>
        <v>0.10756200846944948</v>
      </c>
      <c r="BY440" s="18">
        <f>SUM($BC$6:BU440) / $BY$4</f>
        <v>0.82725335191585958</v>
      </c>
      <c r="BZ440" s="14">
        <f t="shared" si="28"/>
        <v>5</v>
      </c>
      <c r="CA440" t="s">
        <v>5831</v>
      </c>
      <c r="CB440" s="36">
        <v>1.2116433958347299</v>
      </c>
      <c r="CC440" s="36">
        <v>0.96306412067744696</v>
      </c>
      <c r="CD440" s="36">
        <v>0.40019941545306398</v>
      </c>
      <c r="CE440" s="36">
        <v>0.37798043978830698</v>
      </c>
      <c r="CF440" s="36">
        <v>3.4407054397475698</v>
      </c>
      <c r="CG440" s="36">
        <v>3.7189089865579601</v>
      </c>
      <c r="CH440" s="36">
        <v>4.21624913145856</v>
      </c>
      <c r="CI440" s="36">
        <v>2.9195507939469199</v>
      </c>
      <c r="CJ440" s="37">
        <v>6.35806634595966</v>
      </c>
      <c r="CK440" s="37">
        <v>18.2888397597603</v>
      </c>
      <c r="CL440" s="37">
        <v>6.4004347861387396</v>
      </c>
      <c r="CM440" s="37">
        <v>5.0792822795996404</v>
      </c>
      <c r="CN440" s="37">
        <v>8.2691330923360304</v>
      </c>
      <c r="CO440" s="37">
        <v>7.8919057038512497</v>
      </c>
      <c r="CP440" s="37">
        <v>3.0170800957248498</v>
      </c>
      <c r="CQ440" s="37">
        <v>1.5226368464746201</v>
      </c>
      <c r="CR440" s="45">
        <v>1.6422942010557999</v>
      </c>
      <c r="CS440" s="45">
        <v>3.2946651688344</v>
      </c>
      <c r="CT440" s="46">
        <v>2.2896834913929799E-3</v>
      </c>
      <c r="CU440" s="47">
        <v>4.7277723942651404E-3</v>
      </c>
      <c r="CV440" s="48">
        <v>2.1560377154330701</v>
      </c>
      <c r="CW440" s="49">
        <v>7.1034223637306297</v>
      </c>
      <c r="CX440" s="31" t="s">
        <v>5874</v>
      </c>
      <c r="CY440" s="31" t="s">
        <v>5876</v>
      </c>
      <c r="CZ440" t="s">
        <v>8096</v>
      </c>
      <c r="DA440" t="s">
        <v>5904</v>
      </c>
      <c r="DB440">
        <v>1774.2</v>
      </c>
      <c r="DC440" t="s">
        <v>20668</v>
      </c>
      <c r="DD440" t="s">
        <v>13772</v>
      </c>
      <c r="DE440" t="s">
        <v>20669</v>
      </c>
      <c r="DF440" t="s">
        <v>20670</v>
      </c>
      <c r="DG440" t="s">
        <v>20671</v>
      </c>
      <c r="DH440" t="str">
        <f>"EEF2"</f>
        <v>EEF2</v>
      </c>
      <c r="DI440" t="s">
        <v>20672</v>
      </c>
      <c r="DJ440" t="s">
        <v>13777</v>
      </c>
      <c r="DK440">
        <v>9606</v>
      </c>
      <c r="DL440" s="34" t="str">
        <f>HYPERLINK("http://www.uniprot.org/uniprot/P13639", "P13639")</f>
        <v>P13639</v>
      </c>
      <c r="DM440" t="s">
        <v>20673</v>
      </c>
      <c r="DN440" t="s">
        <v>17925</v>
      </c>
      <c r="DO440" t="s">
        <v>13912</v>
      </c>
      <c r="DP440" t="s">
        <v>13772</v>
      </c>
      <c r="DQ440" t="s">
        <v>13772</v>
      </c>
      <c r="DR440" t="s">
        <v>20674</v>
      </c>
      <c r="DS440" t="s">
        <v>13772</v>
      </c>
      <c r="DT440" t="s">
        <v>14216</v>
      </c>
      <c r="DU440" t="s">
        <v>19001</v>
      </c>
      <c r="DV440" t="s">
        <v>20675</v>
      </c>
      <c r="DW440" t="s">
        <v>13812</v>
      </c>
      <c r="DX440" t="s">
        <v>20676</v>
      </c>
      <c r="DY440" t="s">
        <v>20677</v>
      </c>
      <c r="DZ440" t="s">
        <v>20678</v>
      </c>
      <c r="EA440" t="s">
        <v>13772</v>
      </c>
      <c r="EB440" t="s">
        <v>20679</v>
      </c>
    </row>
    <row r="441" spans="1:132" hidden="1">
      <c r="A441">
        <v>947</v>
      </c>
      <c r="B441">
        <v>1</v>
      </c>
      <c r="C441" t="s">
        <v>2306</v>
      </c>
      <c r="D441" t="s">
        <v>73</v>
      </c>
      <c r="E441" t="s">
        <v>73</v>
      </c>
      <c r="F441" t="s">
        <v>73</v>
      </c>
      <c r="G441" t="s">
        <v>73</v>
      </c>
      <c r="H441">
        <v>72.2</v>
      </c>
      <c r="I441">
        <v>230</v>
      </c>
      <c r="J441">
        <v>26182</v>
      </c>
      <c r="K441" t="s">
        <v>2307</v>
      </c>
      <c r="L441">
        <f t="shared" si="26"/>
        <v>89</v>
      </c>
      <c r="N441">
        <v>89</v>
      </c>
      <c r="O441">
        <v>89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5</v>
      </c>
      <c r="Y441">
        <v>10</v>
      </c>
      <c r="Z441">
        <v>0</v>
      </c>
      <c r="AA441">
        <v>23</v>
      </c>
      <c r="AB441">
        <v>6</v>
      </c>
      <c r="AC441">
        <v>11</v>
      </c>
      <c r="AD441">
        <v>0</v>
      </c>
      <c r="AE441">
        <v>13</v>
      </c>
      <c r="AF441">
        <v>17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5</v>
      </c>
      <c r="AR441">
        <v>10</v>
      </c>
      <c r="AS441">
        <v>0</v>
      </c>
      <c r="AT441">
        <v>23</v>
      </c>
      <c r="AU441">
        <v>6</v>
      </c>
      <c r="AV441">
        <v>11</v>
      </c>
      <c r="AW441">
        <v>0</v>
      </c>
      <c r="AX441">
        <v>13</v>
      </c>
      <c r="AY441">
        <v>17</v>
      </c>
      <c r="AZ441">
        <v>1</v>
      </c>
      <c r="BA441">
        <v>1</v>
      </c>
      <c r="BB441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5</v>
      </c>
      <c r="BK441" s="2">
        <v>10</v>
      </c>
      <c r="BL441" s="2">
        <v>0</v>
      </c>
      <c r="BM441" s="2">
        <v>23</v>
      </c>
      <c r="BN441" s="2">
        <v>6</v>
      </c>
      <c r="BO441" s="2">
        <v>11</v>
      </c>
      <c r="BP441" s="2">
        <v>0</v>
      </c>
      <c r="BQ441" s="2">
        <v>13</v>
      </c>
      <c r="BR441" s="2">
        <v>17</v>
      </c>
      <c r="BS441" s="2">
        <v>1</v>
      </c>
      <c r="BT441" s="2">
        <v>1</v>
      </c>
      <c r="BU441" s="2">
        <v>0</v>
      </c>
      <c r="BV441" s="2">
        <f t="shared" si="29"/>
        <v>89</v>
      </c>
      <c r="BW441" s="16">
        <f t="shared" si="27"/>
        <v>4.6842105263157894</v>
      </c>
      <c r="BX441" s="16">
        <f>COUNTIF($BC$6:BU441, "=0") / COUNTIF($BC$6:BU441, "&gt;-1")</f>
        <v>0.1082810236600676</v>
      </c>
      <c r="BY441" s="18">
        <f>SUM($BC$6:BU441) / $BY$4</f>
        <v>0.82763459559717401</v>
      </c>
      <c r="BZ441" s="14">
        <f t="shared" si="28"/>
        <v>8</v>
      </c>
      <c r="CA441" t="s">
        <v>5831</v>
      </c>
      <c r="CB441" s="36">
        <v>0.30291084895868198</v>
      </c>
      <c r="CC441" s="36">
        <v>0.24076603016936199</v>
      </c>
      <c r="CD441" s="36">
        <v>0.40019941545306398</v>
      </c>
      <c r="CE441" s="36">
        <v>0.37798043978830698</v>
      </c>
      <c r="CF441" s="36">
        <v>0.215044089984223</v>
      </c>
      <c r="CG441" s="36">
        <v>0.92972724663949102</v>
      </c>
      <c r="CH441" s="36">
        <v>1.05406228286464</v>
      </c>
      <c r="CI441" s="36">
        <v>4.8659179899115301</v>
      </c>
      <c r="CJ441" s="37">
        <v>7.9475829324495697</v>
      </c>
      <c r="CK441" s="37">
        <v>14.5049418784306</v>
      </c>
      <c r="CL441" s="37">
        <v>4.8003260896040603</v>
      </c>
      <c r="CM441" s="37">
        <v>9.3120175125993505</v>
      </c>
      <c r="CN441" s="37">
        <v>11.944303355596499</v>
      </c>
      <c r="CO441" s="37">
        <v>13.4162396965471</v>
      </c>
      <c r="CP441" s="37">
        <v>1.50854004786242</v>
      </c>
      <c r="CQ441" s="37">
        <v>0.38065921161865401</v>
      </c>
      <c r="CR441" s="45">
        <v>2.77259566833321</v>
      </c>
      <c r="CS441" s="45">
        <v>7.6091082484039303</v>
      </c>
      <c r="CT441" s="46">
        <v>6.2826051558629597E-5</v>
      </c>
      <c r="CU441" s="47">
        <v>1.8847815467588899E-4</v>
      </c>
      <c r="CV441" s="48">
        <v>1.0483260429711601</v>
      </c>
      <c r="CW441" s="49">
        <v>7.9768263405885298</v>
      </c>
      <c r="CX441" s="31" t="s">
        <v>5874</v>
      </c>
      <c r="CY441" s="31" t="s">
        <v>5876</v>
      </c>
      <c r="CZ441" t="s">
        <v>8944</v>
      </c>
      <c r="DA441" t="s">
        <v>5904</v>
      </c>
      <c r="DB441">
        <v>481.1</v>
      </c>
      <c r="DC441" t="s">
        <v>23131</v>
      </c>
      <c r="DD441" t="s">
        <v>23132</v>
      </c>
      <c r="DE441" t="s">
        <v>23133</v>
      </c>
      <c r="DF441" t="s">
        <v>23134</v>
      </c>
      <c r="DG441" t="s">
        <v>23135</v>
      </c>
      <c r="DH441" t="str">
        <f>"UCHL3"</f>
        <v>UCHL3</v>
      </c>
      <c r="DI441" t="s">
        <v>13772</v>
      </c>
      <c r="DJ441" t="s">
        <v>13777</v>
      </c>
      <c r="DK441">
        <v>9606</v>
      </c>
      <c r="DL441" s="34" t="str">
        <f>HYPERLINK("http://www.uniprot.org/uniprot/P15374", "P15374")</f>
        <v>P15374</v>
      </c>
      <c r="DM441" t="s">
        <v>23136</v>
      </c>
      <c r="DN441" t="s">
        <v>14109</v>
      </c>
      <c r="DO441" t="s">
        <v>13899</v>
      </c>
      <c r="DP441" t="s">
        <v>13772</v>
      </c>
      <c r="DQ441" t="s">
        <v>13772</v>
      </c>
      <c r="DR441" t="s">
        <v>13772</v>
      </c>
      <c r="DS441" t="s">
        <v>13772</v>
      </c>
      <c r="DT441" t="s">
        <v>13772</v>
      </c>
      <c r="DU441" t="s">
        <v>14083</v>
      </c>
      <c r="DV441" t="s">
        <v>13782</v>
      </c>
      <c r="DW441" t="s">
        <v>13812</v>
      </c>
      <c r="DX441" t="s">
        <v>23137</v>
      </c>
      <c r="DY441" t="s">
        <v>13914</v>
      </c>
      <c r="DZ441" t="s">
        <v>23138</v>
      </c>
      <c r="EA441" t="s">
        <v>13772</v>
      </c>
      <c r="EB441" t="s">
        <v>23139</v>
      </c>
    </row>
    <row r="442" spans="1:132" hidden="1">
      <c r="A442">
        <v>968</v>
      </c>
      <c r="B442">
        <v>1</v>
      </c>
      <c r="C442" t="s">
        <v>2350</v>
      </c>
      <c r="D442" t="s">
        <v>73</v>
      </c>
      <c r="E442" t="s">
        <v>73</v>
      </c>
      <c r="F442" t="s">
        <v>73</v>
      </c>
      <c r="G442" t="s">
        <v>73</v>
      </c>
      <c r="H442">
        <v>36.9</v>
      </c>
      <c r="I442">
        <v>333</v>
      </c>
      <c r="J442">
        <v>36901</v>
      </c>
      <c r="K442" t="s">
        <v>2351</v>
      </c>
      <c r="L442">
        <f t="shared" si="26"/>
        <v>89</v>
      </c>
      <c r="N442">
        <v>89</v>
      </c>
      <c r="O442">
        <v>89</v>
      </c>
      <c r="P442">
        <v>1</v>
      </c>
      <c r="Q442">
        <v>8</v>
      </c>
      <c r="R442">
        <v>7</v>
      </c>
      <c r="S442">
        <v>5</v>
      </c>
      <c r="T442">
        <v>2</v>
      </c>
      <c r="U442">
        <v>7</v>
      </c>
      <c r="V442">
        <v>6</v>
      </c>
      <c r="W442">
        <v>9</v>
      </c>
      <c r="X442">
        <v>9</v>
      </c>
      <c r="Y442">
        <v>3</v>
      </c>
      <c r="Z442">
        <v>0</v>
      </c>
      <c r="AA442">
        <v>9</v>
      </c>
      <c r="AB442">
        <v>6</v>
      </c>
      <c r="AC442">
        <v>2</v>
      </c>
      <c r="AD442">
        <v>0</v>
      </c>
      <c r="AE442">
        <v>6</v>
      </c>
      <c r="AF442">
        <v>5</v>
      </c>
      <c r="AG442">
        <v>2</v>
      </c>
      <c r="AH442">
        <v>1</v>
      </c>
      <c r="AI442">
        <v>2</v>
      </c>
      <c r="AJ442">
        <v>8</v>
      </c>
      <c r="AK442">
        <v>7</v>
      </c>
      <c r="AL442">
        <v>5</v>
      </c>
      <c r="AM442">
        <v>2</v>
      </c>
      <c r="AN442">
        <v>7</v>
      </c>
      <c r="AO442">
        <v>6</v>
      </c>
      <c r="AP442">
        <v>9</v>
      </c>
      <c r="AQ442">
        <v>9</v>
      </c>
      <c r="AR442">
        <v>3</v>
      </c>
      <c r="AS442">
        <v>0</v>
      </c>
      <c r="AT442">
        <v>9</v>
      </c>
      <c r="AU442">
        <v>6</v>
      </c>
      <c r="AV442">
        <v>2</v>
      </c>
      <c r="AW442">
        <v>0</v>
      </c>
      <c r="AX442">
        <v>6</v>
      </c>
      <c r="AY442">
        <v>5</v>
      </c>
      <c r="AZ442">
        <v>2</v>
      </c>
      <c r="BA442">
        <v>1</v>
      </c>
      <c r="BB442">
        <v>2</v>
      </c>
      <c r="BC442" s="2">
        <v>8</v>
      </c>
      <c r="BD442" s="2">
        <v>7</v>
      </c>
      <c r="BE442" s="2">
        <v>5</v>
      </c>
      <c r="BF442" s="2">
        <v>2</v>
      </c>
      <c r="BG442" s="2">
        <v>7</v>
      </c>
      <c r="BH442" s="2">
        <v>6</v>
      </c>
      <c r="BI442" s="2">
        <v>9</v>
      </c>
      <c r="BJ442" s="2">
        <v>9</v>
      </c>
      <c r="BK442" s="2">
        <v>3</v>
      </c>
      <c r="BL442" s="2">
        <v>0</v>
      </c>
      <c r="BM442" s="2">
        <v>9</v>
      </c>
      <c r="BN442" s="2">
        <v>6</v>
      </c>
      <c r="BO442" s="2">
        <v>2</v>
      </c>
      <c r="BP442" s="2">
        <v>0</v>
      </c>
      <c r="BQ442" s="2">
        <v>6</v>
      </c>
      <c r="BR442" s="2">
        <v>5</v>
      </c>
      <c r="BS442" s="2">
        <v>2</v>
      </c>
      <c r="BT442" s="2">
        <v>1</v>
      </c>
      <c r="BU442" s="2">
        <v>2</v>
      </c>
      <c r="BV442" s="2">
        <f t="shared" si="29"/>
        <v>89</v>
      </c>
      <c r="BW442" s="16">
        <f t="shared" si="27"/>
        <v>4.6842105263157894</v>
      </c>
      <c r="BX442" s="16">
        <f>COUNTIF($BC$6:BU442, "=0") / COUNTIF($BC$6:BU442, "&gt;-1")</f>
        <v>0.10827411778875105</v>
      </c>
      <c r="BY442" s="18">
        <f>SUM($BC$6:BU442) / $BY$4</f>
        <v>0.82801583927848832</v>
      </c>
      <c r="BZ442" s="14">
        <f t="shared" si="28"/>
        <v>2</v>
      </c>
      <c r="CA442" t="s">
        <v>5831</v>
      </c>
      <c r="CB442" s="36">
        <v>9.6931471666778304</v>
      </c>
      <c r="CC442" s="36">
        <v>6.7414488447421297</v>
      </c>
      <c r="CD442" s="36">
        <v>8.00398830906129</v>
      </c>
      <c r="CE442" s="36">
        <v>3.0238435183064598</v>
      </c>
      <c r="CF442" s="36">
        <v>6.0212345195582504</v>
      </c>
      <c r="CG442" s="36">
        <v>5.5783634798369501</v>
      </c>
      <c r="CH442" s="36">
        <v>9.4865605457817708</v>
      </c>
      <c r="CI442" s="36">
        <v>8.7586523818407507</v>
      </c>
      <c r="CJ442" s="37">
        <v>2.3842748797348698</v>
      </c>
      <c r="CK442" s="37">
        <v>5.6758468219945701</v>
      </c>
      <c r="CL442" s="37">
        <v>4.8003260896040603</v>
      </c>
      <c r="CM442" s="37">
        <v>1.6930940931998799</v>
      </c>
      <c r="CN442" s="37">
        <v>5.5127553948906796</v>
      </c>
      <c r="CO442" s="37">
        <v>3.94595285192562</v>
      </c>
      <c r="CP442" s="37">
        <v>3.0170800957248498</v>
      </c>
      <c r="CQ442" s="37">
        <v>3.0452736929492299</v>
      </c>
      <c r="CR442" s="45">
        <v>-0.871820460772737</v>
      </c>
      <c r="CS442" s="45">
        <v>-1.90550269317595</v>
      </c>
      <c r="CT442" s="46">
        <v>1.98159344270947E-2</v>
      </c>
      <c r="CU442" s="47">
        <v>3.4079331958165399E-2</v>
      </c>
      <c r="CV442" s="48">
        <v>7.1634048457256796</v>
      </c>
      <c r="CW442" s="49">
        <v>3.7593254900029698</v>
      </c>
      <c r="CX442" s="31" t="s">
        <v>5875</v>
      </c>
      <c r="CY442" s="31" t="s">
        <v>5878</v>
      </c>
      <c r="CZ442" t="s">
        <v>9012</v>
      </c>
      <c r="DA442" t="s">
        <v>5904</v>
      </c>
      <c r="DB442">
        <v>677.6</v>
      </c>
      <c r="DC442" t="s">
        <v>23318</v>
      </c>
      <c r="DD442" t="s">
        <v>23319</v>
      </c>
      <c r="DE442" t="s">
        <v>23320</v>
      </c>
      <c r="DF442" t="s">
        <v>23321</v>
      </c>
      <c r="DG442" t="s">
        <v>23322</v>
      </c>
      <c r="DH442" t="str">
        <f>"EFNB2"</f>
        <v>EFNB2</v>
      </c>
      <c r="DI442" t="s">
        <v>23323</v>
      </c>
      <c r="DJ442" t="s">
        <v>13777</v>
      </c>
      <c r="DK442">
        <v>9606</v>
      </c>
      <c r="DL442" s="34" t="str">
        <f>HYPERLINK("http://www.uniprot.org/uniprot/P52799", "P52799")</f>
        <v>P52799</v>
      </c>
      <c r="DM442" t="s">
        <v>23324</v>
      </c>
      <c r="DN442" t="s">
        <v>23325</v>
      </c>
      <c r="DO442" t="s">
        <v>13792</v>
      </c>
      <c r="DP442" t="s">
        <v>13772</v>
      </c>
      <c r="DQ442" t="s">
        <v>13772</v>
      </c>
      <c r="DR442" t="s">
        <v>13772</v>
      </c>
      <c r="DS442" t="s">
        <v>13855</v>
      </c>
      <c r="DT442" t="s">
        <v>13772</v>
      </c>
      <c r="DU442" t="s">
        <v>23326</v>
      </c>
      <c r="DV442" t="s">
        <v>20926</v>
      </c>
      <c r="DW442" t="s">
        <v>13812</v>
      </c>
      <c r="DX442" t="s">
        <v>23327</v>
      </c>
      <c r="DY442" t="s">
        <v>23328</v>
      </c>
      <c r="DZ442" t="s">
        <v>23329</v>
      </c>
      <c r="EA442" t="s">
        <v>13772</v>
      </c>
      <c r="EB442" t="s">
        <v>17265</v>
      </c>
    </row>
    <row r="443" spans="1:132" hidden="1">
      <c r="A443">
        <v>1940</v>
      </c>
      <c r="B443">
        <v>1</v>
      </c>
      <c r="C443" t="s">
        <v>4569</v>
      </c>
      <c r="D443" t="s">
        <v>4570</v>
      </c>
      <c r="E443" t="s">
        <v>73</v>
      </c>
      <c r="F443" t="s">
        <v>73</v>
      </c>
      <c r="G443" t="s">
        <v>73</v>
      </c>
      <c r="H443">
        <v>20.7</v>
      </c>
      <c r="I443">
        <v>464</v>
      </c>
      <c r="J443">
        <v>48104</v>
      </c>
      <c r="K443" t="s">
        <v>4571</v>
      </c>
      <c r="L443">
        <f t="shared" si="26"/>
        <v>89</v>
      </c>
      <c r="N443">
        <v>89</v>
      </c>
      <c r="O443">
        <v>89</v>
      </c>
      <c r="P443">
        <v>1</v>
      </c>
      <c r="Q443">
        <v>6</v>
      </c>
      <c r="R443">
        <v>10</v>
      </c>
      <c r="S443">
        <v>10</v>
      </c>
      <c r="T443">
        <v>17</v>
      </c>
      <c r="U443">
        <v>13</v>
      </c>
      <c r="V443">
        <v>9</v>
      </c>
      <c r="W443">
        <v>11</v>
      </c>
      <c r="X443">
        <v>4</v>
      </c>
      <c r="Y443">
        <v>1</v>
      </c>
      <c r="Z443">
        <v>0</v>
      </c>
      <c r="AA443">
        <v>2</v>
      </c>
      <c r="AB443">
        <v>2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6</v>
      </c>
      <c r="AK443">
        <v>10</v>
      </c>
      <c r="AL443">
        <v>10</v>
      </c>
      <c r="AM443">
        <v>17</v>
      </c>
      <c r="AN443">
        <v>13</v>
      </c>
      <c r="AO443">
        <v>9</v>
      </c>
      <c r="AP443">
        <v>11</v>
      </c>
      <c r="AQ443">
        <v>4</v>
      </c>
      <c r="AR443">
        <v>1</v>
      </c>
      <c r="AS443">
        <v>0</v>
      </c>
      <c r="AT443">
        <v>2</v>
      </c>
      <c r="AU443">
        <v>2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</v>
      </c>
      <c r="BB443">
        <v>0</v>
      </c>
      <c r="BC443" s="2">
        <v>6</v>
      </c>
      <c r="BD443" s="2">
        <v>10</v>
      </c>
      <c r="BE443" s="2">
        <v>10</v>
      </c>
      <c r="BF443" s="2">
        <v>17</v>
      </c>
      <c r="BG443" s="2">
        <v>13</v>
      </c>
      <c r="BH443" s="2">
        <v>9</v>
      </c>
      <c r="BI443" s="2">
        <v>11</v>
      </c>
      <c r="BJ443" s="2">
        <v>4</v>
      </c>
      <c r="BK443" s="2">
        <v>1</v>
      </c>
      <c r="BL443" s="2">
        <v>0</v>
      </c>
      <c r="BM443" s="2">
        <v>2</v>
      </c>
      <c r="BN443" s="2">
        <v>2</v>
      </c>
      <c r="BO443" s="2">
        <v>0</v>
      </c>
      <c r="BP443" s="2">
        <v>0</v>
      </c>
      <c r="BQ443" s="2">
        <v>1</v>
      </c>
      <c r="BR443" s="2">
        <v>1</v>
      </c>
      <c r="BS443" s="2">
        <v>1</v>
      </c>
      <c r="BT443" s="2">
        <v>1</v>
      </c>
      <c r="BU443" s="2">
        <v>0</v>
      </c>
      <c r="BV443" s="2">
        <f t="shared" si="29"/>
        <v>89</v>
      </c>
      <c r="BW443" s="16">
        <f t="shared" si="27"/>
        <v>4.6842105263157894</v>
      </c>
      <c r="BX443" s="16">
        <f>COUNTIF($BC$6:BU443, "=0") / COUNTIF($BC$6:BU443, "&gt;-1")</f>
        <v>0.10850757029560201</v>
      </c>
      <c r="BY443" s="18">
        <f>SUM($BC$6:BU443) / $BY$4</f>
        <v>0.82839708295980263</v>
      </c>
      <c r="BZ443" s="14">
        <f t="shared" si="28"/>
        <v>4</v>
      </c>
      <c r="CA443" t="s">
        <v>5831</v>
      </c>
      <c r="CB443" s="36">
        <v>7.2698603750083803</v>
      </c>
      <c r="CC443" s="36">
        <v>9.6306412067744702</v>
      </c>
      <c r="CD443" s="36">
        <v>16.007976618122601</v>
      </c>
      <c r="CE443" s="36">
        <v>25.7026699056049</v>
      </c>
      <c r="CF443" s="36">
        <v>11.1822926791796</v>
      </c>
      <c r="CG443" s="36">
        <v>8.3675452197554208</v>
      </c>
      <c r="CH443" s="36">
        <v>11.594685111511</v>
      </c>
      <c r="CI443" s="36">
        <v>3.8927343919292201</v>
      </c>
      <c r="CJ443" s="37">
        <v>0.79475829324495695</v>
      </c>
      <c r="CK443" s="37">
        <v>1.2612992937765699</v>
      </c>
      <c r="CL443" s="37">
        <v>1.60010869653469</v>
      </c>
      <c r="CM443" s="37">
        <v>0.21163676164998499</v>
      </c>
      <c r="CN443" s="37">
        <v>0.91879256581511404</v>
      </c>
      <c r="CO443" s="37">
        <v>0.78919057038512497</v>
      </c>
      <c r="CP443" s="37">
        <v>1.50854004786242</v>
      </c>
      <c r="CQ443" s="37">
        <v>0.38065921161865401</v>
      </c>
      <c r="CR443" s="45">
        <v>-3.4300021142139201</v>
      </c>
      <c r="CS443" s="45">
        <v>-12.545021855628899</v>
      </c>
      <c r="CT443" s="46">
        <v>1.3058736641625001E-10</v>
      </c>
      <c r="CU443" s="47">
        <v>2.2400755931402898E-9</v>
      </c>
      <c r="CV443" s="48">
        <v>11.7060506884857</v>
      </c>
      <c r="CW443" s="49">
        <v>0.93312318011093898</v>
      </c>
      <c r="CX443" s="31" t="s">
        <v>5875</v>
      </c>
      <c r="CY443" s="31" t="s">
        <v>5876</v>
      </c>
      <c r="CZ443" t="s">
        <v>12220</v>
      </c>
      <c r="DA443" t="s">
        <v>5904</v>
      </c>
      <c r="DB443">
        <v>658.7</v>
      </c>
      <c r="DC443" t="s">
        <v>32377</v>
      </c>
      <c r="DD443" t="s">
        <v>32378</v>
      </c>
      <c r="DE443" t="s">
        <v>32379</v>
      </c>
      <c r="DF443" t="s">
        <v>32380</v>
      </c>
      <c r="DG443" t="s">
        <v>32381</v>
      </c>
      <c r="DH443" t="str">
        <f>"TNFRSF1B"</f>
        <v>TNFRSF1B</v>
      </c>
      <c r="DI443" t="s">
        <v>32382</v>
      </c>
      <c r="DJ443" t="s">
        <v>13777</v>
      </c>
      <c r="DK443">
        <v>9606</v>
      </c>
      <c r="DL443" s="34" t="str">
        <f>HYPERLINK("http://www.uniprot.org/uniprot/P20333", "P20333")</f>
        <v>P20333</v>
      </c>
      <c r="DM443" t="s">
        <v>32383</v>
      </c>
      <c r="DN443" t="s">
        <v>17109</v>
      </c>
      <c r="DO443" t="s">
        <v>14336</v>
      </c>
      <c r="DP443" t="s">
        <v>13780</v>
      </c>
      <c r="DQ443" t="s">
        <v>13772</v>
      </c>
      <c r="DR443" t="s">
        <v>13772</v>
      </c>
      <c r="DS443" t="s">
        <v>13826</v>
      </c>
      <c r="DT443" t="s">
        <v>13772</v>
      </c>
      <c r="DU443" t="s">
        <v>13795</v>
      </c>
      <c r="DV443" t="s">
        <v>13964</v>
      </c>
      <c r="DW443" t="s">
        <v>14324</v>
      </c>
      <c r="DX443" t="s">
        <v>32384</v>
      </c>
      <c r="DY443" t="s">
        <v>32385</v>
      </c>
      <c r="DZ443" t="s">
        <v>32386</v>
      </c>
      <c r="EA443" t="s">
        <v>13772</v>
      </c>
      <c r="EB443" t="s">
        <v>32387</v>
      </c>
    </row>
    <row r="444" spans="1:132" hidden="1">
      <c r="A444">
        <v>1589</v>
      </c>
      <c r="B444">
        <v>1</v>
      </c>
      <c r="C444" t="s">
        <v>3766</v>
      </c>
      <c r="D444" t="s">
        <v>73</v>
      </c>
      <c r="E444" t="s">
        <v>73</v>
      </c>
      <c r="F444" t="s">
        <v>1871</v>
      </c>
      <c r="G444" t="s">
        <v>73</v>
      </c>
      <c r="H444">
        <v>13.3</v>
      </c>
      <c r="I444">
        <v>684</v>
      </c>
      <c r="J444">
        <v>74737</v>
      </c>
      <c r="K444" t="s">
        <v>3767</v>
      </c>
      <c r="L444">
        <f t="shared" si="26"/>
        <v>89</v>
      </c>
      <c r="N444">
        <v>89</v>
      </c>
      <c r="O444">
        <v>88</v>
      </c>
      <c r="P444">
        <v>0.98899999999999999</v>
      </c>
      <c r="Q444">
        <v>11</v>
      </c>
      <c r="R444">
        <v>15</v>
      </c>
      <c r="S444">
        <v>2</v>
      </c>
      <c r="T444">
        <v>7</v>
      </c>
      <c r="U444">
        <v>7</v>
      </c>
      <c r="V444">
        <v>7</v>
      </c>
      <c r="W444">
        <v>5</v>
      </c>
      <c r="X444">
        <v>10</v>
      </c>
      <c r="Y444">
        <v>5</v>
      </c>
      <c r="Z444">
        <v>0</v>
      </c>
      <c r="AA444">
        <v>4</v>
      </c>
      <c r="AB444">
        <v>4</v>
      </c>
      <c r="AC444">
        <v>3</v>
      </c>
      <c r="AD444">
        <v>0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11</v>
      </c>
      <c r="AK444">
        <v>14</v>
      </c>
      <c r="AL444">
        <v>2</v>
      </c>
      <c r="AM444">
        <v>7</v>
      </c>
      <c r="AN444">
        <v>7</v>
      </c>
      <c r="AO444">
        <v>7</v>
      </c>
      <c r="AP444">
        <v>5</v>
      </c>
      <c r="AQ444">
        <v>10</v>
      </c>
      <c r="AR444">
        <v>5</v>
      </c>
      <c r="AS444">
        <v>0</v>
      </c>
      <c r="AT444">
        <v>4</v>
      </c>
      <c r="AU444">
        <v>4</v>
      </c>
      <c r="AV444">
        <v>3</v>
      </c>
      <c r="AW444">
        <v>0</v>
      </c>
      <c r="AX444">
        <v>1</v>
      </c>
      <c r="AY444">
        <v>2</v>
      </c>
      <c r="AZ444">
        <v>2</v>
      </c>
      <c r="BA444">
        <v>2</v>
      </c>
      <c r="BB444">
        <v>2</v>
      </c>
      <c r="BC444" s="2">
        <v>11</v>
      </c>
      <c r="BD444" s="2">
        <v>14.875</v>
      </c>
      <c r="BE444" s="2">
        <v>2</v>
      </c>
      <c r="BF444" s="2">
        <v>7</v>
      </c>
      <c r="BG444" s="2">
        <v>7</v>
      </c>
      <c r="BH444" s="2">
        <v>7</v>
      </c>
      <c r="BI444" s="2">
        <v>5</v>
      </c>
      <c r="BJ444" s="2">
        <v>10</v>
      </c>
      <c r="BK444" s="2">
        <v>5</v>
      </c>
      <c r="BL444" s="2">
        <v>0</v>
      </c>
      <c r="BM444" s="2">
        <v>4</v>
      </c>
      <c r="BN444" s="2">
        <v>4</v>
      </c>
      <c r="BO444" s="2">
        <v>3</v>
      </c>
      <c r="BP444" s="2">
        <v>0</v>
      </c>
      <c r="BQ444" s="2">
        <v>1</v>
      </c>
      <c r="BR444" s="2">
        <v>2</v>
      </c>
      <c r="BS444" s="2">
        <v>2</v>
      </c>
      <c r="BT444" s="2">
        <v>2</v>
      </c>
      <c r="BU444" s="2">
        <v>2</v>
      </c>
      <c r="BV444" s="2">
        <f t="shared" si="29"/>
        <v>88.875</v>
      </c>
      <c r="BW444" s="16">
        <f t="shared" si="27"/>
        <v>4.6776315789473681</v>
      </c>
      <c r="BX444" s="16">
        <f>COUNTIF($BC$6:BU444, "=0") / COUNTIF($BC$6:BU444, "&gt;-1")</f>
        <v>0.10850017983455221</v>
      </c>
      <c r="BY444" s="18">
        <f>SUM($BC$6:BU444) / $BY$4</f>
        <v>0.82877779118650841</v>
      </c>
      <c r="BZ444" s="14">
        <f t="shared" si="28"/>
        <v>2</v>
      </c>
      <c r="CA444" t="s">
        <v>5831</v>
      </c>
      <c r="CB444" s="36">
        <v>13.328077354182</v>
      </c>
      <c r="CC444" s="36">
        <v>14.349655398094001</v>
      </c>
      <c r="CD444" s="36">
        <v>3.2015953236245198</v>
      </c>
      <c r="CE444" s="36">
        <v>10.5834523140726</v>
      </c>
      <c r="CF444" s="36">
        <v>6.0212345195582504</v>
      </c>
      <c r="CG444" s="36">
        <v>6.50809072647644</v>
      </c>
      <c r="CH444" s="36">
        <v>5.2703114143232002</v>
      </c>
      <c r="CI444" s="36">
        <v>9.7318359798230603</v>
      </c>
      <c r="CJ444" s="37">
        <v>3.9737914662247902</v>
      </c>
      <c r="CK444" s="37">
        <v>2.5225985875531398</v>
      </c>
      <c r="CL444" s="37">
        <v>3.2002173930693698</v>
      </c>
      <c r="CM444" s="37">
        <v>2.5396411397998202</v>
      </c>
      <c r="CN444" s="37">
        <v>0.91879256581511404</v>
      </c>
      <c r="CO444" s="37">
        <v>1.5783811407702499</v>
      </c>
      <c r="CP444" s="37">
        <v>3.0170800957248498</v>
      </c>
      <c r="CQ444" s="37">
        <v>3.0452736929492299</v>
      </c>
      <c r="CR444" s="45">
        <v>-1.7051016678337001</v>
      </c>
      <c r="CS444" s="45">
        <v>-3.3177051319658499</v>
      </c>
      <c r="CT444" s="46">
        <v>7.9333910395960896E-5</v>
      </c>
      <c r="CU444" s="47">
        <v>2.30758200238686E-4</v>
      </c>
      <c r="CV444" s="48">
        <v>8.6242816287692605</v>
      </c>
      <c r="CW444" s="49">
        <v>2.59947201023832</v>
      </c>
      <c r="CX444" s="31" t="s">
        <v>5875</v>
      </c>
      <c r="CY444" s="31" t="s">
        <v>5876</v>
      </c>
      <c r="CZ444" t="s">
        <v>11037</v>
      </c>
      <c r="DA444" t="s">
        <v>5904</v>
      </c>
      <c r="DB444">
        <v>1178.7</v>
      </c>
      <c r="DC444" t="s">
        <v>29041</v>
      </c>
      <c r="DD444" t="s">
        <v>29042</v>
      </c>
      <c r="DE444" t="s">
        <v>29043</v>
      </c>
      <c r="DF444" t="s">
        <v>29044</v>
      </c>
      <c r="DG444" t="s">
        <v>29045</v>
      </c>
      <c r="DH444" t="str">
        <f>"MASP2"</f>
        <v>MASP2</v>
      </c>
      <c r="DI444" t="s">
        <v>13772</v>
      </c>
      <c r="DJ444" t="s">
        <v>13777</v>
      </c>
      <c r="DK444">
        <v>9606</v>
      </c>
      <c r="DL444" s="34" t="str">
        <f>HYPERLINK("http://www.uniprot.org/uniprot/O00187", "O00187")</f>
        <v>O00187</v>
      </c>
      <c r="DM444" t="s">
        <v>29046</v>
      </c>
      <c r="DN444" t="s">
        <v>20457</v>
      </c>
      <c r="DO444" t="s">
        <v>14321</v>
      </c>
      <c r="DP444" t="s">
        <v>13780</v>
      </c>
      <c r="DQ444" t="s">
        <v>13772</v>
      </c>
      <c r="DR444" t="s">
        <v>13807</v>
      </c>
      <c r="DS444" t="s">
        <v>21282</v>
      </c>
      <c r="DT444" t="s">
        <v>13873</v>
      </c>
      <c r="DU444" t="s">
        <v>15176</v>
      </c>
      <c r="DV444" t="s">
        <v>29047</v>
      </c>
      <c r="DW444" t="s">
        <v>13812</v>
      </c>
      <c r="DX444" t="s">
        <v>29048</v>
      </c>
      <c r="DY444" t="s">
        <v>16659</v>
      </c>
      <c r="DZ444" t="s">
        <v>29049</v>
      </c>
      <c r="EA444" t="s">
        <v>13772</v>
      </c>
      <c r="EB444" t="s">
        <v>29050</v>
      </c>
    </row>
    <row r="445" spans="1:132" hidden="1">
      <c r="A445">
        <v>179</v>
      </c>
      <c r="B445">
        <v>1</v>
      </c>
      <c r="C445" t="s">
        <v>452</v>
      </c>
      <c r="D445" t="s">
        <v>453</v>
      </c>
      <c r="E445" t="s">
        <v>73</v>
      </c>
      <c r="F445" t="s">
        <v>73</v>
      </c>
      <c r="G445" t="s">
        <v>73</v>
      </c>
      <c r="H445">
        <v>20.7</v>
      </c>
      <c r="I445">
        <v>455</v>
      </c>
      <c r="J445">
        <v>48888</v>
      </c>
      <c r="K445" t="s">
        <v>454</v>
      </c>
      <c r="L445">
        <f t="shared" si="26"/>
        <v>88</v>
      </c>
      <c r="N445">
        <v>88</v>
      </c>
      <c r="O445">
        <v>88</v>
      </c>
      <c r="P445">
        <v>1</v>
      </c>
      <c r="Q445">
        <v>5</v>
      </c>
      <c r="R445">
        <v>6</v>
      </c>
      <c r="S445">
        <v>10</v>
      </c>
      <c r="T445">
        <v>7</v>
      </c>
      <c r="U445">
        <v>6</v>
      </c>
      <c r="V445">
        <v>8</v>
      </c>
      <c r="W445">
        <v>6</v>
      </c>
      <c r="X445">
        <v>2</v>
      </c>
      <c r="Y445">
        <v>1</v>
      </c>
      <c r="Z445">
        <v>0</v>
      </c>
      <c r="AA445">
        <v>4</v>
      </c>
      <c r="AB445">
        <v>4</v>
      </c>
      <c r="AC445">
        <v>9</v>
      </c>
      <c r="AD445">
        <v>0</v>
      </c>
      <c r="AE445">
        <v>3</v>
      </c>
      <c r="AF445">
        <v>10</v>
      </c>
      <c r="AG445">
        <v>5</v>
      </c>
      <c r="AH445">
        <v>0</v>
      </c>
      <c r="AI445">
        <v>2</v>
      </c>
      <c r="AJ445">
        <v>5</v>
      </c>
      <c r="AK445">
        <v>6</v>
      </c>
      <c r="AL445">
        <v>10</v>
      </c>
      <c r="AM445">
        <v>7</v>
      </c>
      <c r="AN445">
        <v>6</v>
      </c>
      <c r="AO445">
        <v>8</v>
      </c>
      <c r="AP445">
        <v>6</v>
      </c>
      <c r="AQ445">
        <v>2</v>
      </c>
      <c r="AR445">
        <v>1</v>
      </c>
      <c r="AS445">
        <v>0</v>
      </c>
      <c r="AT445">
        <v>4</v>
      </c>
      <c r="AU445">
        <v>4</v>
      </c>
      <c r="AV445">
        <v>9</v>
      </c>
      <c r="AW445">
        <v>0</v>
      </c>
      <c r="AX445">
        <v>3</v>
      </c>
      <c r="AY445">
        <v>10</v>
      </c>
      <c r="AZ445">
        <v>5</v>
      </c>
      <c r="BA445">
        <v>0</v>
      </c>
      <c r="BB445">
        <v>2</v>
      </c>
      <c r="BC445" s="2">
        <v>5</v>
      </c>
      <c r="BD445" s="2">
        <v>6</v>
      </c>
      <c r="BE445" s="2">
        <v>10</v>
      </c>
      <c r="BF445" s="2">
        <v>7</v>
      </c>
      <c r="BG445" s="2">
        <v>6</v>
      </c>
      <c r="BH445" s="2">
        <v>8</v>
      </c>
      <c r="BI445" s="2">
        <v>6</v>
      </c>
      <c r="BJ445" s="2">
        <v>2</v>
      </c>
      <c r="BK445" s="2">
        <v>1</v>
      </c>
      <c r="BL445" s="2">
        <v>0</v>
      </c>
      <c r="BM445" s="2">
        <v>4</v>
      </c>
      <c r="BN445" s="2">
        <v>4</v>
      </c>
      <c r="BO445" s="2">
        <v>9</v>
      </c>
      <c r="BP445" s="2">
        <v>0</v>
      </c>
      <c r="BQ445" s="2">
        <v>3</v>
      </c>
      <c r="BR445" s="2">
        <v>10</v>
      </c>
      <c r="BS445" s="2">
        <v>5</v>
      </c>
      <c r="BT445" s="2">
        <v>0</v>
      </c>
      <c r="BU445" s="2">
        <v>2</v>
      </c>
      <c r="BV445" s="2">
        <f t="shared" si="29"/>
        <v>88</v>
      </c>
      <c r="BW445" s="16">
        <f t="shared" si="27"/>
        <v>4.6315789473684212</v>
      </c>
      <c r="BX445" s="16">
        <f>COUNTIF($BC$6:BU445, "=0") / COUNTIF($BC$6:BU445, "&gt;-1")</f>
        <v>0.10861244019138756</v>
      </c>
      <c r="BY445" s="18">
        <f>SUM($BC$6:BU445) / $BY$4</f>
        <v>0.82915475123095406</v>
      </c>
      <c r="BZ445" s="14">
        <f t="shared" si="28"/>
        <v>3</v>
      </c>
      <c r="CA445" t="s">
        <v>5831</v>
      </c>
      <c r="CB445" s="36">
        <v>6.0582169791736504</v>
      </c>
      <c r="CC445" s="36">
        <v>5.7783847240646802</v>
      </c>
      <c r="CD445" s="36">
        <v>16.007976618122601</v>
      </c>
      <c r="CE445" s="36">
        <v>10.5834523140726</v>
      </c>
      <c r="CF445" s="36">
        <v>5.1610581596213496</v>
      </c>
      <c r="CG445" s="36">
        <v>7.43781797311593</v>
      </c>
      <c r="CH445" s="36">
        <v>6.3243736971878404</v>
      </c>
      <c r="CI445" s="36">
        <v>1.9463671959646101</v>
      </c>
      <c r="CJ445" s="37">
        <v>0.79475829324495695</v>
      </c>
      <c r="CK445" s="37">
        <v>2.5225985875531398</v>
      </c>
      <c r="CL445" s="37">
        <v>3.2002173930693698</v>
      </c>
      <c r="CM445" s="37">
        <v>7.6189234193994704</v>
      </c>
      <c r="CN445" s="37">
        <v>2.7563776974453398</v>
      </c>
      <c r="CO445" s="37">
        <v>7.8919057038512497</v>
      </c>
      <c r="CP445" s="37">
        <v>7.5427002393121096</v>
      </c>
      <c r="CQ445" s="37">
        <v>3.0452736929492299</v>
      </c>
      <c r="CR445" s="45">
        <v>-0.70117830657739699</v>
      </c>
      <c r="CS445" s="45">
        <v>-1.6763649768403699</v>
      </c>
      <c r="CT445" s="46">
        <v>0.122298944179025</v>
      </c>
      <c r="CU445" s="47">
        <v>0.169045441437537</v>
      </c>
      <c r="CV445" s="48">
        <v>7.4122059576654102</v>
      </c>
      <c r="CW445" s="49">
        <v>4.4215943783531104</v>
      </c>
      <c r="CX445" s="31" t="s">
        <v>5875</v>
      </c>
      <c r="CY445" s="31" t="s">
        <v>5832</v>
      </c>
      <c r="CZ445" t="s">
        <v>6315</v>
      </c>
      <c r="DA445" t="s">
        <v>5904</v>
      </c>
      <c r="DB445">
        <v>788.1</v>
      </c>
      <c r="DC445" t="s">
        <v>15217</v>
      </c>
      <c r="DD445" t="s">
        <v>15218</v>
      </c>
      <c r="DE445" t="s">
        <v>15219</v>
      </c>
      <c r="DF445" t="s">
        <v>15220</v>
      </c>
      <c r="DG445" t="s">
        <v>15221</v>
      </c>
      <c r="DH445" t="str">
        <f>"DLST"</f>
        <v>DLST</v>
      </c>
      <c r="DI445" t="s">
        <v>15222</v>
      </c>
      <c r="DJ445" t="s">
        <v>13777</v>
      </c>
      <c r="DK445">
        <v>9606</v>
      </c>
      <c r="DL445" s="34" t="str">
        <f>HYPERLINK("http://www.uniprot.org/uniprot/P36957", "P36957")</f>
        <v>P36957</v>
      </c>
      <c r="DM445" t="s">
        <v>15223</v>
      </c>
      <c r="DN445" t="s">
        <v>15224</v>
      </c>
      <c r="DO445" t="s">
        <v>15225</v>
      </c>
      <c r="DP445" t="s">
        <v>13780</v>
      </c>
      <c r="DQ445" t="s">
        <v>13772</v>
      </c>
      <c r="DR445" t="s">
        <v>13772</v>
      </c>
      <c r="DS445" t="s">
        <v>15226</v>
      </c>
      <c r="DT445" t="s">
        <v>13772</v>
      </c>
      <c r="DU445" t="s">
        <v>15096</v>
      </c>
      <c r="DV445" t="s">
        <v>13886</v>
      </c>
      <c r="DW445" t="s">
        <v>13772</v>
      </c>
      <c r="DX445" t="s">
        <v>15227</v>
      </c>
      <c r="DY445" t="s">
        <v>15228</v>
      </c>
      <c r="DZ445" t="s">
        <v>15229</v>
      </c>
      <c r="EA445" t="s">
        <v>15230</v>
      </c>
      <c r="EB445" t="s">
        <v>15231</v>
      </c>
    </row>
    <row r="446" spans="1:132" hidden="1">
      <c r="A446">
        <v>1794</v>
      </c>
      <c r="B446">
        <v>1</v>
      </c>
      <c r="C446" t="s">
        <v>4243</v>
      </c>
      <c r="D446" t="s">
        <v>73</v>
      </c>
      <c r="E446" t="s">
        <v>73</v>
      </c>
      <c r="F446" t="s">
        <v>73</v>
      </c>
      <c r="G446" t="s">
        <v>73</v>
      </c>
      <c r="H446">
        <v>38</v>
      </c>
      <c r="I446">
        <v>137</v>
      </c>
      <c r="J446">
        <v>15269</v>
      </c>
      <c r="K446" t="s">
        <v>4244</v>
      </c>
      <c r="L446">
        <f t="shared" si="26"/>
        <v>88</v>
      </c>
      <c r="N446">
        <v>88</v>
      </c>
      <c r="O446">
        <v>88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15</v>
      </c>
      <c r="Z446">
        <v>5</v>
      </c>
      <c r="AA446">
        <v>8</v>
      </c>
      <c r="AB446">
        <v>12</v>
      </c>
      <c r="AC446">
        <v>15</v>
      </c>
      <c r="AD446">
        <v>0</v>
      </c>
      <c r="AE446">
        <v>1</v>
      </c>
      <c r="AF446">
        <v>10</v>
      </c>
      <c r="AG446">
        <v>11</v>
      </c>
      <c r="AH446">
        <v>5</v>
      </c>
      <c r="AI446">
        <v>2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</v>
      </c>
      <c r="AR446">
        <v>15</v>
      </c>
      <c r="AS446">
        <v>5</v>
      </c>
      <c r="AT446">
        <v>8</v>
      </c>
      <c r="AU446">
        <v>12</v>
      </c>
      <c r="AV446">
        <v>15</v>
      </c>
      <c r="AW446">
        <v>0</v>
      </c>
      <c r="AX446">
        <v>1</v>
      </c>
      <c r="AY446">
        <v>10</v>
      </c>
      <c r="AZ446">
        <v>11</v>
      </c>
      <c r="BA446">
        <v>5</v>
      </c>
      <c r="BB446">
        <v>2</v>
      </c>
      <c r="BC446" s="2">
        <v>0</v>
      </c>
      <c r="BD446" s="2">
        <v>1</v>
      </c>
      <c r="BE446" s="2">
        <v>0</v>
      </c>
      <c r="BF446" s="2">
        <v>0</v>
      </c>
      <c r="BG446" s="2">
        <v>1</v>
      </c>
      <c r="BH446" s="2">
        <v>0</v>
      </c>
      <c r="BI446" s="2">
        <v>1</v>
      </c>
      <c r="BJ446" s="2">
        <v>1</v>
      </c>
      <c r="BK446" s="2">
        <v>15</v>
      </c>
      <c r="BL446" s="2">
        <v>5</v>
      </c>
      <c r="BM446" s="2">
        <v>8</v>
      </c>
      <c r="BN446" s="2">
        <v>12</v>
      </c>
      <c r="BO446" s="2">
        <v>15</v>
      </c>
      <c r="BP446" s="2">
        <v>0</v>
      </c>
      <c r="BQ446" s="2">
        <v>1</v>
      </c>
      <c r="BR446" s="2">
        <v>10</v>
      </c>
      <c r="BS446" s="2">
        <v>11</v>
      </c>
      <c r="BT446" s="2">
        <v>5</v>
      </c>
      <c r="BU446" s="2">
        <v>2</v>
      </c>
      <c r="BV446" s="2">
        <f t="shared" si="29"/>
        <v>88</v>
      </c>
      <c r="BW446" s="16">
        <f t="shared" si="27"/>
        <v>4.6315789473684212</v>
      </c>
      <c r="BX446" s="16">
        <f>COUNTIF($BC$6:BU446, "=0") / COUNTIF($BC$6:BU446, "&gt;-1")</f>
        <v>0.10896288339897363</v>
      </c>
      <c r="BY446" s="18">
        <f>SUM($BC$6:BU446) / $BY$4</f>
        <v>0.82953171127539971</v>
      </c>
      <c r="BZ446" s="14">
        <f t="shared" si="28"/>
        <v>5</v>
      </c>
      <c r="CA446" t="s">
        <v>5831</v>
      </c>
      <c r="CB446" s="36">
        <v>0.30291084895868198</v>
      </c>
      <c r="CC446" s="36">
        <v>0.96306412067744696</v>
      </c>
      <c r="CD446" s="36">
        <v>0.40019941545306398</v>
      </c>
      <c r="CE446" s="36">
        <v>0.37798043978830698</v>
      </c>
      <c r="CF446" s="36">
        <v>0.86017635993689201</v>
      </c>
      <c r="CG446" s="36">
        <v>0.23243181165987301</v>
      </c>
      <c r="CH446" s="36">
        <v>1.05406228286464</v>
      </c>
      <c r="CI446" s="36">
        <v>0.97318359798230603</v>
      </c>
      <c r="CJ446" s="37">
        <v>11.9213743986744</v>
      </c>
      <c r="CK446" s="37">
        <v>5.0451971751062796</v>
      </c>
      <c r="CL446" s="37">
        <v>9.6006521792081099</v>
      </c>
      <c r="CM446" s="37">
        <v>12.6982056989991</v>
      </c>
      <c r="CN446" s="37">
        <v>0.91879256581511404</v>
      </c>
      <c r="CO446" s="37">
        <v>7.8919057038512497</v>
      </c>
      <c r="CP446" s="37">
        <v>16.593940526486598</v>
      </c>
      <c r="CQ446" s="37">
        <v>3.0452736929492299</v>
      </c>
      <c r="CR446" s="45">
        <v>3.4214852609745798</v>
      </c>
      <c r="CS446" s="45">
        <v>13.1129406532347</v>
      </c>
      <c r="CT446" s="46">
        <v>2.16358830847579E-7</v>
      </c>
      <c r="CU446" s="47">
        <v>1.30400052105433E-6</v>
      </c>
      <c r="CV446" s="48">
        <v>0.64550110966515195</v>
      </c>
      <c r="CW446" s="49">
        <v>8.4644177426362592</v>
      </c>
      <c r="CX446" s="31" t="s">
        <v>5874</v>
      </c>
      <c r="CY446" s="31" t="s">
        <v>5876</v>
      </c>
      <c r="CZ446" t="s">
        <v>11732</v>
      </c>
      <c r="DA446" t="s">
        <v>5904</v>
      </c>
      <c r="DB446">
        <v>143.30000000000001</v>
      </c>
      <c r="DC446" t="s">
        <v>31015</v>
      </c>
      <c r="DD446" t="s">
        <v>31016</v>
      </c>
      <c r="DE446" t="s">
        <v>31017</v>
      </c>
      <c r="DF446" t="s">
        <v>31018</v>
      </c>
      <c r="DG446" t="s">
        <v>31019</v>
      </c>
      <c r="DH446" t="str">
        <f>"S100A9"</f>
        <v>S100A9</v>
      </c>
      <c r="DI446" t="s">
        <v>31020</v>
      </c>
      <c r="DJ446" t="s">
        <v>13777</v>
      </c>
      <c r="DK446">
        <v>9606</v>
      </c>
      <c r="DL446" s="34" t="str">
        <f>HYPERLINK("http://www.uniprot.org/uniprot/P06702", "P06702")</f>
        <v>P06702</v>
      </c>
      <c r="DM446" t="s">
        <v>31021</v>
      </c>
      <c r="DN446" t="s">
        <v>31022</v>
      </c>
      <c r="DO446" t="s">
        <v>31023</v>
      </c>
      <c r="DP446" t="s">
        <v>13793</v>
      </c>
      <c r="DQ446" t="s">
        <v>13772</v>
      </c>
      <c r="DR446" t="s">
        <v>13772</v>
      </c>
      <c r="DS446" t="s">
        <v>14096</v>
      </c>
      <c r="DT446" t="s">
        <v>14628</v>
      </c>
      <c r="DU446" t="s">
        <v>31024</v>
      </c>
      <c r="DV446" t="s">
        <v>31025</v>
      </c>
      <c r="DW446" t="s">
        <v>13812</v>
      </c>
      <c r="DX446" t="s">
        <v>31026</v>
      </c>
      <c r="DY446" t="s">
        <v>31027</v>
      </c>
      <c r="DZ446" t="s">
        <v>31028</v>
      </c>
      <c r="EA446" t="s">
        <v>13772</v>
      </c>
      <c r="EB446" t="s">
        <v>31029</v>
      </c>
    </row>
    <row r="447" spans="1:132">
      <c r="A447">
        <v>2436</v>
      </c>
      <c r="B447">
        <v>1</v>
      </c>
      <c r="C447" t="s">
        <v>5710</v>
      </c>
      <c r="D447" t="s">
        <v>73</v>
      </c>
      <c r="E447" t="s">
        <v>5711</v>
      </c>
      <c r="F447" t="s">
        <v>5712</v>
      </c>
      <c r="G447" t="s">
        <v>73</v>
      </c>
      <c r="H447">
        <v>55.7</v>
      </c>
      <c r="I447">
        <v>332</v>
      </c>
      <c r="J447">
        <v>36578</v>
      </c>
      <c r="K447" t="s">
        <v>5713</v>
      </c>
      <c r="L447">
        <f t="shared" si="26"/>
        <v>102</v>
      </c>
      <c r="N447">
        <v>102</v>
      </c>
      <c r="O447">
        <v>81</v>
      </c>
      <c r="P447">
        <v>0.79400000000000004</v>
      </c>
      <c r="Q447">
        <v>2</v>
      </c>
      <c r="R447">
        <v>6</v>
      </c>
      <c r="S447">
        <v>1</v>
      </c>
      <c r="T447">
        <v>1</v>
      </c>
      <c r="U447">
        <v>8</v>
      </c>
      <c r="V447">
        <v>4</v>
      </c>
      <c r="W447">
        <v>1</v>
      </c>
      <c r="X447">
        <v>4</v>
      </c>
      <c r="Y447">
        <v>12</v>
      </c>
      <c r="Z447">
        <v>2</v>
      </c>
      <c r="AA447">
        <v>20</v>
      </c>
      <c r="AB447">
        <v>15</v>
      </c>
      <c r="AC447">
        <v>11</v>
      </c>
      <c r="AD447">
        <v>1</v>
      </c>
      <c r="AE447">
        <v>2</v>
      </c>
      <c r="AF447">
        <v>4</v>
      </c>
      <c r="AG447">
        <v>3</v>
      </c>
      <c r="AH447">
        <v>1</v>
      </c>
      <c r="AI447">
        <v>4</v>
      </c>
      <c r="AJ447">
        <v>1</v>
      </c>
      <c r="AK447">
        <v>5</v>
      </c>
      <c r="AL447">
        <v>0</v>
      </c>
      <c r="AM447">
        <v>0</v>
      </c>
      <c r="AN447">
        <v>6</v>
      </c>
      <c r="AO447">
        <v>4</v>
      </c>
      <c r="AP447">
        <v>0</v>
      </c>
      <c r="AQ447">
        <v>3</v>
      </c>
      <c r="AR447">
        <v>11</v>
      </c>
      <c r="AS447">
        <v>1</v>
      </c>
      <c r="AT447">
        <v>19</v>
      </c>
      <c r="AU447">
        <v>13</v>
      </c>
      <c r="AV447">
        <v>10</v>
      </c>
      <c r="AW447">
        <v>0</v>
      </c>
      <c r="AX447">
        <v>1</v>
      </c>
      <c r="AY447">
        <v>2</v>
      </c>
      <c r="AZ447">
        <v>2</v>
      </c>
      <c r="BA447">
        <v>0</v>
      </c>
      <c r="BB447">
        <v>3</v>
      </c>
      <c r="BC447" s="2">
        <v>1.3120000000000001</v>
      </c>
      <c r="BD447" s="2">
        <v>5.3120000000000003</v>
      </c>
      <c r="BE447" s="2">
        <v>0.312</v>
      </c>
      <c r="BF447" s="2">
        <v>0.312</v>
      </c>
      <c r="BG447" s="2">
        <v>6.6230000000000002</v>
      </c>
      <c r="BH447" s="2">
        <v>4</v>
      </c>
      <c r="BI447" s="2">
        <v>0.312</v>
      </c>
      <c r="BJ447" s="2">
        <v>3.3119999999999998</v>
      </c>
      <c r="BK447" s="2">
        <v>11.311999999999999</v>
      </c>
      <c r="BL447" s="2">
        <v>1.3120000000000001</v>
      </c>
      <c r="BM447" s="2">
        <v>19.312000000000001</v>
      </c>
      <c r="BN447" s="2">
        <v>13.622999999999999</v>
      </c>
      <c r="BO447" s="2">
        <v>10.311999999999999</v>
      </c>
      <c r="BP447" s="2">
        <v>0.312</v>
      </c>
      <c r="BQ447" s="2">
        <v>1.3120000000000001</v>
      </c>
      <c r="BR447" s="2">
        <v>2.6230000000000002</v>
      </c>
      <c r="BS447" s="2">
        <v>2.3119999999999998</v>
      </c>
      <c r="BT447" s="2">
        <v>0.312</v>
      </c>
      <c r="BU447" s="2">
        <v>3.3119999999999998</v>
      </c>
      <c r="BV447" s="2">
        <f t="shared" si="29"/>
        <v>87.548999999999992</v>
      </c>
      <c r="BW447" s="16">
        <f t="shared" si="27"/>
        <v>4.6078421052631571</v>
      </c>
      <c r="BX447" s="16">
        <f>COUNTIF($BC$6:BU447, "=0") / COUNTIF($BC$6:BU447, "&gt;-1")</f>
        <v>0.10871636103834247</v>
      </c>
      <c r="BY447" s="18">
        <f>SUM($BC$6:BU447) / $BY$4</f>
        <v>0.82990673939961779</v>
      </c>
      <c r="BZ447" s="14">
        <f t="shared" si="28"/>
        <v>0</v>
      </c>
      <c r="CA447" t="s">
        <v>5831</v>
      </c>
      <c r="CB447" s="36">
        <v>1.5751364145851501</v>
      </c>
      <c r="CC447" s="36">
        <v>5.1042398395904698</v>
      </c>
      <c r="CD447" s="36">
        <v>0.48023929854367697</v>
      </c>
      <c r="CE447" s="36">
        <v>0.45357652774596902</v>
      </c>
      <c r="CF447" s="36">
        <v>5.6771639755834897</v>
      </c>
      <c r="CG447" s="36">
        <v>3.7189089865579601</v>
      </c>
      <c r="CH447" s="36">
        <v>0.31621868485939197</v>
      </c>
      <c r="CI447" s="36">
        <v>3.21150587334161</v>
      </c>
      <c r="CJ447" s="37">
        <v>8.9807687136680201</v>
      </c>
      <c r="CK447" s="37">
        <v>12.1715381849439</v>
      </c>
      <c r="CL447" s="37">
        <v>10.880739136435899</v>
      </c>
      <c r="CM447" s="37">
        <v>8.7194345799793904</v>
      </c>
      <c r="CN447" s="37">
        <v>1.1944303355596499</v>
      </c>
      <c r="CO447" s="37">
        <v>2.0518954830013301</v>
      </c>
      <c r="CP447" s="37">
        <v>3.4696421100835702</v>
      </c>
      <c r="CQ447" s="37">
        <v>5.0247015933662302</v>
      </c>
      <c r="CR447" s="45">
        <v>1.2545084943737199</v>
      </c>
      <c r="CS447" s="45">
        <v>2.5560294452782601</v>
      </c>
      <c r="CT447" s="46">
        <v>2.2897267618790001E-2</v>
      </c>
      <c r="CU447" s="47">
        <v>3.8903785247306401E-2</v>
      </c>
      <c r="CV447" s="48">
        <v>2.5671237001009599</v>
      </c>
      <c r="CW447" s="49">
        <v>6.5616437671297501</v>
      </c>
      <c r="CX447" s="31" t="s">
        <v>5874</v>
      </c>
      <c r="CY447" s="31" t="s">
        <v>5878</v>
      </c>
      <c r="CZ447" t="s">
        <v>7662</v>
      </c>
      <c r="DA447" t="s">
        <v>5904</v>
      </c>
      <c r="DB447">
        <v>660.2</v>
      </c>
      <c r="DC447" t="s">
        <v>19363</v>
      </c>
      <c r="DD447" t="s">
        <v>19364</v>
      </c>
      <c r="DE447" t="s">
        <v>19365</v>
      </c>
      <c r="DF447" t="s">
        <v>19366</v>
      </c>
      <c r="DG447" t="s">
        <v>19367</v>
      </c>
      <c r="DH447" t="str">
        <f>"LDHA"</f>
        <v>LDHA</v>
      </c>
      <c r="DI447" t="s">
        <v>13772</v>
      </c>
      <c r="DJ447" t="s">
        <v>13777</v>
      </c>
      <c r="DK447">
        <v>9606</v>
      </c>
      <c r="DL447" s="34" t="str">
        <f>HYPERLINK("http://www.uniprot.org/uniprot/P00338", "P00338")</f>
        <v>P00338</v>
      </c>
      <c r="DM447" t="s">
        <v>19368</v>
      </c>
      <c r="DN447" t="s">
        <v>13772</v>
      </c>
      <c r="DO447" t="s">
        <v>13899</v>
      </c>
      <c r="DP447" t="s">
        <v>13780</v>
      </c>
      <c r="DQ447" t="s">
        <v>13772</v>
      </c>
      <c r="DR447" t="s">
        <v>16230</v>
      </c>
      <c r="DS447" t="s">
        <v>13772</v>
      </c>
      <c r="DT447" t="s">
        <v>14492</v>
      </c>
      <c r="DU447" t="s">
        <v>13885</v>
      </c>
      <c r="DV447" t="s">
        <v>13991</v>
      </c>
      <c r="DW447" t="s">
        <v>13812</v>
      </c>
      <c r="DX447" t="s">
        <v>19369</v>
      </c>
      <c r="DY447" t="s">
        <v>19370</v>
      </c>
      <c r="DZ447" t="s">
        <v>19371</v>
      </c>
      <c r="EA447" t="s">
        <v>19372</v>
      </c>
      <c r="EB447" t="s">
        <v>19373</v>
      </c>
    </row>
    <row r="448" spans="1:132" hidden="1">
      <c r="A448">
        <v>200</v>
      </c>
      <c r="B448">
        <v>1</v>
      </c>
      <c r="C448" t="s">
        <v>504</v>
      </c>
      <c r="D448" t="s">
        <v>73</v>
      </c>
      <c r="E448" t="s">
        <v>73</v>
      </c>
      <c r="F448" t="s">
        <v>73</v>
      </c>
      <c r="G448" t="s">
        <v>73</v>
      </c>
      <c r="H448">
        <v>65.8</v>
      </c>
      <c r="I448">
        <v>111</v>
      </c>
      <c r="J448">
        <v>12151</v>
      </c>
      <c r="K448" t="s">
        <v>505</v>
      </c>
      <c r="L448">
        <f t="shared" si="26"/>
        <v>87</v>
      </c>
      <c r="N448">
        <v>87</v>
      </c>
      <c r="O448">
        <v>87</v>
      </c>
      <c r="P448">
        <v>1</v>
      </c>
      <c r="Q448">
        <v>3</v>
      </c>
      <c r="R448">
        <v>0</v>
      </c>
      <c r="S448">
        <v>2</v>
      </c>
      <c r="T448">
        <v>0</v>
      </c>
      <c r="U448">
        <v>1</v>
      </c>
      <c r="V448">
        <v>2</v>
      </c>
      <c r="W448">
        <v>1</v>
      </c>
      <c r="X448">
        <v>0</v>
      </c>
      <c r="Y448">
        <v>12</v>
      </c>
      <c r="Z448">
        <v>3</v>
      </c>
      <c r="AA448">
        <v>9</v>
      </c>
      <c r="AB448">
        <v>13</v>
      </c>
      <c r="AC448">
        <v>5</v>
      </c>
      <c r="AD448">
        <v>0</v>
      </c>
      <c r="AE448">
        <v>6</v>
      </c>
      <c r="AF448">
        <v>10</v>
      </c>
      <c r="AG448">
        <v>5</v>
      </c>
      <c r="AH448">
        <v>4</v>
      </c>
      <c r="AI448">
        <v>11</v>
      </c>
      <c r="AJ448">
        <v>3</v>
      </c>
      <c r="AK448">
        <v>0</v>
      </c>
      <c r="AL448">
        <v>2</v>
      </c>
      <c r="AM448">
        <v>0</v>
      </c>
      <c r="AN448">
        <v>1</v>
      </c>
      <c r="AO448">
        <v>2</v>
      </c>
      <c r="AP448">
        <v>1</v>
      </c>
      <c r="AQ448">
        <v>0</v>
      </c>
      <c r="AR448">
        <v>12</v>
      </c>
      <c r="AS448">
        <v>3</v>
      </c>
      <c r="AT448">
        <v>9</v>
      </c>
      <c r="AU448">
        <v>13</v>
      </c>
      <c r="AV448">
        <v>5</v>
      </c>
      <c r="AW448">
        <v>0</v>
      </c>
      <c r="AX448">
        <v>6</v>
      </c>
      <c r="AY448">
        <v>10</v>
      </c>
      <c r="AZ448">
        <v>5</v>
      </c>
      <c r="BA448">
        <v>4</v>
      </c>
      <c r="BB448">
        <v>11</v>
      </c>
      <c r="BC448" s="2">
        <v>3</v>
      </c>
      <c r="BD448" s="2">
        <v>0</v>
      </c>
      <c r="BE448" s="2">
        <v>2</v>
      </c>
      <c r="BF448" s="2">
        <v>0</v>
      </c>
      <c r="BG448" s="2">
        <v>1</v>
      </c>
      <c r="BH448" s="2">
        <v>2</v>
      </c>
      <c r="BI448" s="2">
        <v>1</v>
      </c>
      <c r="BJ448" s="2">
        <v>0</v>
      </c>
      <c r="BK448" s="2">
        <v>12</v>
      </c>
      <c r="BL448" s="2">
        <v>3</v>
      </c>
      <c r="BM448" s="2">
        <v>9</v>
      </c>
      <c r="BN448" s="2">
        <v>13</v>
      </c>
      <c r="BO448" s="2">
        <v>5</v>
      </c>
      <c r="BP448" s="2">
        <v>0</v>
      </c>
      <c r="BQ448" s="2">
        <v>6</v>
      </c>
      <c r="BR448" s="2">
        <v>10</v>
      </c>
      <c r="BS448" s="2">
        <v>5</v>
      </c>
      <c r="BT448" s="2">
        <v>4</v>
      </c>
      <c r="BU448" s="2">
        <v>11</v>
      </c>
      <c r="BV448" s="2">
        <f t="shared" si="29"/>
        <v>87</v>
      </c>
      <c r="BW448" s="16">
        <f t="shared" si="27"/>
        <v>4.5789473684210522</v>
      </c>
      <c r="BX448" s="16">
        <f>COUNTIF($BC$6:BU448, "=0") / COUNTIF($BC$6:BU448, "&gt;-1")</f>
        <v>0.1089461803492931</v>
      </c>
      <c r="BY448" s="18">
        <f>SUM($BC$6:BU448) / $BY$4</f>
        <v>0.83027941580719478</v>
      </c>
      <c r="BZ448" s="14">
        <f t="shared" si="28"/>
        <v>4</v>
      </c>
      <c r="CA448" t="s">
        <v>5831</v>
      </c>
      <c r="CB448" s="36">
        <v>3.6349301875041902</v>
      </c>
      <c r="CC448" s="36">
        <v>0.24076603016936199</v>
      </c>
      <c r="CD448" s="36">
        <v>3.2015953236245198</v>
      </c>
      <c r="CE448" s="36">
        <v>0.37798043978830698</v>
      </c>
      <c r="CF448" s="36">
        <v>0.86017635993689201</v>
      </c>
      <c r="CG448" s="36">
        <v>1.85945449327898</v>
      </c>
      <c r="CH448" s="36">
        <v>1.05406228286464</v>
      </c>
      <c r="CI448" s="36">
        <v>0.24329589949557701</v>
      </c>
      <c r="CJ448" s="37">
        <v>9.53709951893949</v>
      </c>
      <c r="CK448" s="37">
        <v>5.6758468219945701</v>
      </c>
      <c r="CL448" s="37">
        <v>10.400706527475499</v>
      </c>
      <c r="CM448" s="37">
        <v>4.2327352329997003</v>
      </c>
      <c r="CN448" s="37">
        <v>5.5127553948906796</v>
      </c>
      <c r="CO448" s="37">
        <v>7.8919057038512497</v>
      </c>
      <c r="CP448" s="37">
        <v>7.5427002393121096</v>
      </c>
      <c r="CQ448" s="37">
        <v>16.749005311220799</v>
      </c>
      <c r="CR448" s="45">
        <v>2.50605091441557</v>
      </c>
      <c r="CS448" s="45">
        <v>5.8874841369616702</v>
      </c>
      <c r="CT448" s="46">
        <v>1.7387779208848999E-6</v>
      </c>
      <c r="CU448" s="47">
        <v>7.9132138032108503E-6</v>
      </c>
      <c r="CV448" s="48">
        <v>1.4340326270828101</v>
      </c>
      <c r="CW448" s="49">
        <v>8.4428443438355103</v>
      </c>
      <c r="CX448" s="31" t="s">
        <v>5874</v>
      </c>
      <c r="CY448" s="31" t="s">
        <v>5876</v>
      </c>
      <c r="CZ448" t="s">
        <v>6386</v>
      </c>
      <c r="DA448" t="s">
        <v>5904</v>
      </c>
      <c r="DB448">
        <v>160.19999999999999</v>
      </c>
      <c r="DC448" t="s">
        <v>15457</v>
      </c>
      <c r="DD448" t="s">
        <v>15458</v>
      </c>
      <c r="DE448" t="s">
        <v>15459</v>
      </c>
      <c r="DF448" t="s">
        <v>15460</v>
      </c>
      <c r="DG448" t="s">
        <v>13772</v>
      </c>
      <c r="DH448" t="str">
        <f>"GUCA2A"</f>
        <v>GUCA2A</v>
      </c>
      <c r="DI448" t="s">
        <v>15461</v>
      </c>
      <c r="DJ448" t="s">
        <v>13777</v>
      </c>
      <c r="DK448">
        <v>9606</v>
      </c>
      <c r="DL448" s="34" t="str">
        <f>HYPERLINK("http://www.uniprot.org/uniprot/Q02747", "Q02747")</f>
        <v>Q02747</v>
      </c>
      <c r="DM448" t="s">
        <v>15163</v>
      </c>
      <c r="DN448" t="s">
        <v>13772</v>
      </c>
      <c r="DO448" t="s">
        <v>14321</v>
      </c>
      <c r="DP448" t="s">
        <v>13793</v>
      </c>
      <c r="DQ448" t="s">
        <v>13772</v>
      </c>
      <c r="DR448" t="s">
        <v>13772</v>
      </c>
      <c r="DS448" t="s">
        <v>13808</v>
      </c>
      <c r="DT448" t="s">
        <v>13772</v>
      </c>
      <c r="DU448" t="s">
        <v>13772</v>
      </c>
      <c r="DV448" t="s">
        <v>14506</v>
      </c>
      <c r="DW448" t="s">
        <v>13812</v>
      </c>
      <c r="DX448" t="s">
        <v>15462</v>
      </c>
      <c r="DY448" t="s">
        <v>15346</v>
      </c>
      <c r="DZ448" t="s">
        <v>15463</v>
      </c>
      <c r="EA448" t="s">
        <v>13772</v>
      </c>
      <c r="EB448" t="s">
        <v>15167</v>
      </c>
    </row>
    <row r="449" spans="1:132" hidden="1">
      <c r="A449">
        <v>1909</v>
      </c>
      <c r="B449">
        <v>1</v>
      </c>
      <c r="C449" t="s">
        <v>4497</v>
      </c>
      <c r="D449" t="s">
        <v>73</v>
      </c>
      <c r="E449" t="s">
        <v>73</v>
      </c>
      <c r="F449" t="s">
        <v>73</v>
      </c>
      <c r="G449" t="s">
        <v>73</v>
      </c>
      <c r="H449">
        <v>46.7</v>
      </c>
      <c r="I449">
        <v>261</v>
      </c>
      <c r="J449">
        <v>29918</v>
      </c>
      <c r="K449" t="s">
        <v>4498</v>
      </c>
      <c r="L449">
        <f t="shared" si="26"/>
        <v>87</v>
      </c>
      <c r="N449">
        <v>87</v>
      </c>
      <c r="O449">
        <v>87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</v>
      </c>
      <c r="W449">
        <v>2</v>
      </c>
      <c r="X449">
        <v>14</v>
      </c>
      <c r="Y449">
        <v>39</v>
      </c>
      <c r="Z449">
        <v>0</v>
      </c>
      <c r="AA449">
        <v>11</v>
      </c>
      <c r="AB449">
        <v>1</v>
      </c>
      <c r="AC449">
        <v>0</v>
      </c>
      <c r="AD449">
        <v>2</v>
      </c>
      <c r="AE449">
        <v>9</v>
      </c>
      <c r="AF449">
        <v>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2</v>
      </c>
      <c r="AQ449">
        <v>14</v>
      </c>
      <c r="AR449">
        <v>39</v>
      </c>
      <c r="AS449">
        <v>0</v>
      </c>
      <c r="AT449">
        <v>11</v>
      </c>
      <c r="AU449">
        <v>1</v>
      </c>
      <c r="AV449">
        <v>0</v>
      </c>
      <c r="AW449">
        <v>2</v>
      </c>
      <c r="AX449">
        <v>9</v>
      </c>
      <c r="AY449">
        <v>7</v>
      </c>
      <c r="AZ449">
        <v>0</v>
      </c>
      <c r="BA449">
        <v>0</v>
      </c>
      <c r="BB449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2</v>
      </c>
      <c r="BI449" s="2">
        <v>2</v>
      </c>
      <c r="BJ449" s="2">
        <v>14</v>
      </c>
      <c r="BK449" s="2">
        <v>39</v>
      </c>
      <c r="BL449" s="2">
        <v>0</v>
      </c>
      <c r="BM449" s="2">
        <v>11</v>
      </c>
      <c r="BN449" s="2">
        <v>1</v>
      </c>
      <c r="BO449" s="2">
        <v>0</v>
      </c>
      <c r="BP449" s="2">
        <v>2</v>
      </c>
      <c r="BQ449" s="2">
        <v>9</v>
      </c>
      <c r="BR449" s="2">
        <v>7</v>
      </c>
      <c r="BS449" s="2">
        <v>0</v>
      </c>
      <c r="BT449" s="2">
        <v>0</v>
      </c>
      <c r="BU449" s="2">
        <v>0</v>
      </c>
      <c r="BV449" s="2">
        <f t="shared" si="29"/>
        <v>87</v>
      </c>
      <c r="BW449" s="16">
        <f t="shared" si="27"/>
        <v>4.5789473684210522</v>
      </c>
      <c r="BX449" s="16">
        <f>COUNTIF($BC$6:BU449, "=0") / COUNTIF($BC$6:BU449, "&gt;-1")</f>
        <v>0.10988620199146515</v>
      </c>
      <c r="BY449" s="18">
        <f>SUM($BC$6:BU449) / $BY$4</f>
        <v>0.83065209221477165</v>
      </c>
      <c r="BZ449" s="14">
        <f t="shared" si="28"/>
        <v>10</v>
      </c>
      <c r="CA449" t="s">
        <v>5831</v>
      </c>
      <c r="CB449" s="36">
        <v>0.30291084895868198</v>
      </c>
      <c r="CC449" s="36">
        <v>0.24076603016936199</v>
      </c>
      <c r="CD449" s="36">
        <v>0.40019941545306398</v>
      </c>
      <c r="CE449" s="36">
        <v>0.37798043978830698</v>
      </c>
      <c r="CF449" s="36">
        <v>0.215044089984223</v>
      </c>
      <c r="CG449" s="36">
        <v>1.85945449327898</v>
      </c>
      <c r="CH449" s="36">
        <v>2.10812456572928</v>
      </c>
      <c r="CI449" s="36">
        <v>13.6245703717523</v>
      </c>
      <c r="CJ449" s="37">
        <v>30.9955734365533</v>
      </c>
      <c r="CK449" s="37">
        <v>6.9371461157711396</v>
      </c>
      <c r="CL449" s="37">
        <v>0.80005434826734301</v>
      </c>
      <c r="CM449" s="37">
        <v>0.21163676164998499</v>
      </c>
      <c r="CN449" s="37">
        <v>8.2691330923360304</v>
      </c>
      <c r="CO449" s="37">
        <v>5.5243339926958699</v>
      </c>
      <c r="CP449" s="37">
        <v>0.377135011965606</v>
      </c>
      <c r="CQ449" s="37">
        <v>0.38065921161865401</v>
      </c>
      <c r="CR449" s="45">
        <v>1.4237457746580899</v>
      </c>
      <c r="CS449" s="45">
        <v>2.79656706723094</v>
      </c>
      <c r="CT449" s="46">
        <v>0.13926843076360701</v>
      </c>
      <c r="CU449" s="47">
        <v>0.18975678244572899</v>
      </c>
      <c r="CV449" s="48">
        <v>2.3911312818892698</v>
      </c>
      <c r="CW449" s="49">
        <v>6.6869589963572498</v>
      </c>
      <c r="CX449" s="31" t="s">
        <v>5874</v>
      </c>
      <c r="CY449" s="31" t="s">
        <v>5832</v>
      </c>
      <c r="CZ449" t="s">
        <v>12116</v>
      </c>
      <c r="DA449" t="s">
        <v>5904</v>
      </c>
      <c r="DB449">
        <v>518.1</v>
      </c>
      <c r="DC449" t="s">
        <v>32062</v>
      </c>
      <c r="DD449" t="s">
        <v>32063</v>
      </c>
      <c r="DE449" t="s">
        <v>32064</v>
      </c>
      <c r="DF449" t="s">
        <v>32065</v>
      </c>
      <c r="DG449" t="s">
        <v>32066</v>
      </c>
      <c r="DH449" t="str">
        <f>"CALB1"</f>
        <v>CALB1</v>
      </c>
      <c r="DI449" t="s">
        <v>32067</v>
      </c>
      <c r="DJ449" t="s">
        <v>13777</v>
      </c>
      <c r="DK449">
        <v>9606</v>
      </c>
      <c r="DL449" s="34" t="str">
        <f>HYPERLINK("http://www.uniprot.org/uniprot/P05937", "P05937")</f>
        <v>P05937</v>
      </c>
      <c r="DM449" t="s">
        <v>32068</v>
      </c>
      <c r="DN449" t="s">
        <v>13772</v>
      </c>
      <c r="DO449" t="s">
        <v>13772</v>
      </c>
      <c r="DP449" t="s">
        <v>13841</v>
      </c>
      <c r="DQ449" t="s">
        <v>13772</v>
      </c>
      <c r="DR449" t="s">
        <v>13772</v>
      </c>
      <c r="DS449" t="s">
        <v>14096</v>
      </c>
      <c r="DT449" t="s">
        <v>32069</v>
      </c>
      <c r="DU449" t="s">
        <v>13772</v>
      </c>
      <c r="DV449" t="s">
        <v>14020</v>
      </c>
      <c r="DW449" t="s">
        <v>13812</v>
      </c>
      <c r="DX449" t="s">
        <v>32070</v>
      </c>
      <c r="DY449" t="s">
        <v>32071</v>
      </c>
      <c r="DZ449" t="s">
        <v>32072</v>
      </c>
      <c r="EA449" t="s">
        <v>13772</v>
      </c>
      <c r="EB449" t="s">
        <v>18773</v>
      </c>
    </row>
    <row r="450" spans="1:132" hidden="1">
      <c r="A450">
        <v>1996</v>
      </c>
      <c r="B450">
        <v>1</v>
      </c>
      <c r="C450" t="s">
        <v>4697</v>
      </c>
      <c r="D450" t="s">
        <v>73</v>
      </c>
      <c r="E450" t="s">
        <v>73</v>
      </c>
      <c r="F450" t="s">
        <v>73</v>
      </c>
      <c r="G450" t="s">
        <v>73</v>
      </c>
      <c r="H450">
        <v>36.6</v>
      </c>
      <c r="I450">
        <v>785</v>
      </c>
      <c r="J450">
        <v>85377</v>
      </c>
      <c r="K450" t="s">
        <v>4698</v>
      </c>
      <c r="L450">
        <f t="shared" si="26"/>
        <v>87</v>
      </c>
      <c r="N450">
        <v>87</v>
      </c>
      <c r="O450">
        <v>87</v>
      </c>
      <c r="P450">
        <v>1</v>
      </c>
      <c r="Q450">
        <v>4</v>
      </c>
      <c r="R450">
        <v>9</v>
      </c>
      <c r="S450">
        <v>10</v>
      </c>
      <c r="T450">
        <v>4</v>
      </c>
      <c r="U450">
        <v>15</v>
      </c>
      <c r="V450">
        <v>21</v>
      </c>
      <c r="W450">
        <v>16</v>
      </c>
      <c r="X450">
        <v>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</v>
      </c>
      <c r="AK450">
        <v>9</v>
      </c>
      <c r="AL450">
        <v>10</v>
      </c>
      <c r="AM450">
        <v>4</v>
      </c>
      <c r="AN450">
        <v>15</v>
      </c>
      <c r="AO450">
        <v>21</v>
      </c>
      <c r="AP450">
        <v>16</v>
      </c>
      <c r="AQ450">
        <v>8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 s="2">
        <v>4</v>
      </c>
      <c r="BD450" s="2">
        <v>9</v>
      </c>
      <c r="BE450" s="2">
        <v>10</v>
      </c>
      <c r="BF450" s="2">
        <v>4</v>
      </c>
      <c r="BG450" s="2">
        <v>15</v>
      </c>
      <c r="BH450" s="2">
        <v>21</v>
      </c>
      <c r="BI450" s="2">
        <v>16</v>
      </c>
      <c r="BJ450" s="2">
        <v>8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f t="shared" si="29"/>
        <v>87</v>
      </c>
      <c r="BW450" s="16">
        <f t="shared" si="27"/>
        <v>4.5789473684210522</v>
      </c>
      <c r="BX450" s="16">
        <f>COUNTIF($BC$6:BU450, "=0") / COUNTIF($BC$6:BU450, "&gt;-1")</f>
        <v>0.11094027202838556</v>
      </c>
      <c r="BY450" s="18">
        <f>SUM($BC$6:BU450) / $BY$4</f>
        <v>0.83102476862234864</v>
      </c>
      <c r="BZ450" s="14">
        <f t="shared" si="28"/>
        <v>11</v>
      </c>
      <c r="CA450" t="s">
        <v>5831</v>
      </c>
      <c r="CB450" s="36">
        <v>4.8465735833389196</v>
      </c>
      <c r="CC450" s="36">
        <v>8.6675770860970207</v>
      </c>
      <c r="CD450" s="36">
        <v>16.007976618122601</v>
      </c>
      <c r="CE450" s="36">
        <v>6.0476870366129196</v>
      </c>
      <c r="CF450" s="36">
        <v>12.9026453990534</v>
      </c>
      <c r="CG450" s="36">
        <v>19.5242721794293</v>
      </c>
      <c r="CH450" s="36">
        <v>16.8649965258343</v>
      </c>
      <c r="CI450" s="36">
        <v>7.78546878385845</v>
      </c>
      <c r="CJ450" s="37">
        <v>0.19868957331123899</v>
      </c>
      <c r="CK450" s="37">
        <v>0.15766241172207099</v>
      </c>
      <c r="CL450" s="37">
        <v>0.200013587066836</v>
      </c>
      <c r="CM450" s="37">
        <v>0.21163676164998499</v>
      </c>
      <c r="CN450" s="37">
        <v>0.22969814145377901</v>
      </c>
      <c r="CO450" s="37">
        <v>0.19729764259628099</v>
      </c>
      <c r="CP450" s="37">
        <v>0.377135011965606</v>
      </c>
      <c r="CQ450" s="37">
        <v>0.38065921161865401</v>
      </c>
      <c r="CR450" s="45">
        <v>-5.0843348894523004</v>
      </c>
      <c r="CS450" s="45">
        <v>-47.443445597837403</v>
      </c>
      <c r="CT450" s="46">
        <v>1.18075063488082E-14</v>
      </c>
      <c r="CU450" s="47">
        <v>5.6423012481090399E-13</v>
      </c>
      <c r="CV450" s="48">
        <v>11.580899651543399</v>
      </c>
      <c r="CW450" s="49">
        <v>0.24409904267305599</v>
      </c>
      <c r="CX450" s="31" t="s">
        <v>5875</v>
      </c>
      <c r="CY450" s="31" t="s">
        <v>5876</v>
      </c>
      <c r="CZ450" t="s">
        <v>12403</v>
      </c>
      <c r="DA450" t="s">
        <v>5904</v>
      </c>
      <c r="DB450">
        <v>1267.3</v>
      </c>
      <c r="DC450" t="s">
        <v>32901</v>
      </c>
      <c r="DD450" t="s">
        <v>32902</v>
      </c>
      <c r="DE450" t="s">
        <v>32903</v>
      </c>
      <c r="DF450" t="s">
        <v>32904</v>
      </c>
      <c r="DG450" t="s">
        <v>13772</v>
      </c>
      <c r="DH450" t="str">
        <f>"CDH15"</f>
        <v>CDH15</v>
      </c>
      <c r="DI450" t="s">
        <v>32905</v>
      </c>
      <c r="DJ450" t="s">
        <v>13777</v>
      </c>
      <c r="DK450">
        <v>9606</v>
      </c>
      <c r="DL450" s="34" t="str">
        <f>HYPERLINK("http://www.uniprot.org/uniprot/P55291", "P55291")</f>
        <v>P55291</v>
      </c>
      <c r="DM450" t="s">
        <v>32906</v>
      </c>
      <c r="DN450" t="s">
        <v>13949</v>
      </c>
      <c r="DO450" t="s">
        <v>13792</v>
      </c>
      <c r="DP450" t="s">
        <v>32506</v>
      </c>
      <c r="DQ450" t="s">
        <v>13772</v>
      </c>
      <c r="DR450" t="s">
        <v>17801</v>
      </c>
      <c r="DS450" t="s">
        <v>13826</v>
      </c>
      <c r="DT450" t="s">
        <v>13873</v>
      </c>
      <c r="DU450" t="s">
        <v>13772</v>
      </c>
      <c r="DV450" t="s">
        <v>17713</v>
      </c>
      <c r="DW450" t="s">
        <v>13772</v>
      </c>
      <c r="DX450" t="s">
        <v>32907</v>
      </c>
      <c r="DY450" t="s">
        <v>32908</v>
      </c>
      <c r="DZ450" t="s">
        <v>17716</v>
      </c>
      <c r="EA450" t="s">
        <v>13772</v>
      </c>
      <c r="EB450" t="s">
        <v>32909</v>
      </c>
    </row>
    <row r="451" spans="1:132" hidden="1">
      <c r="A451">
        <v>1539</v>
      </c>
      <c r="B451">
        <v>1</v>
      </c>
      <c r="C451" t="s">
        <v>3654</v>
      </c>
      <c r="D451" t="s">
        <v>73</v>
      </c>
      <c r="E451" t="s">
        <v>73</v>
      </c>
      <c r="F451" t="s">
        <v>3655</v>
      </c>
      <c r="G451" t="s">
        <v>73</v>
      </c>
      <c r="H451">
        <v>49.6</v>
      </c>
      <c r="I451">
        <v>673</v>
      </c>
      <c r="J451">
        <v>75803</v>
      </c>
      <c r="K451" t="s">
        <v>3656</v>
      </c>
      <c r="L451">
        <f t="shared" si="26"/>
        <v>87</v>
      </c>
      <c r="N451">
        <v>87</v>
      </c>
      <c r="O451">
        <v>85</v>
      </c>
      <c r="P451">
        <v>0.97699999999999998</v>
      </c>
      <c r="Q451">
        <v>0</v>
      </c>
      <c r="R451">
        <v>4</v>
      </c>
      <c r="S451">
        <v>0</v>
      </c>
      <c r="T451">
        <v>0</v>
      </c>
      <c r="U451">
        <v>24</v>
      </c>
      <c r="V451">
        <v>23</v>
      </c>
      <c r="W451">
        <v>16</v>
      </c>
      <c r="X451">
        <v>5</v>
      </c>
      <c r="Y451">
        <v>1</v>
      </c>
      <c r="Z451">
        <v>0</v>
      </c>
      <c r="AA451">
        <v>2</v>
      </c>
      <c r="AB451">
        <v>2</v>
      </c>
      <c r="AC451">
        <v>9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4</v>
      </c>
      <c r="AL451">
        <v>0</v>
      </c>
      <c r="AM451">
        <v>0</v>
      </c>
      <c r="AN451">
        <v>23</v>
      </c>
      <c r="AO451">
        <v>23</v>
      </c>
      <c r="AP451">
        <v>15</v>
      </c>
      <c r="AQ451">
        <v>5</v>
      </c>
      <c r="AR451">
        <v>1</v>
      </c>
      <c r="AS451">
        <v>0</v>
      </c>
      <c r="AT451">
        <v>2</v>
      </c>
      <c r="AU451">
        <v>2</v>
      </c>
      <c r="AV451">
        <v>9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 s="2">
        <v>0</v>
      </c>
      <c r="BD451" s="2">
        <v>4</v>
      </c>
      <c r="BE451" s="2">
        <v>0</v>
      </c>
      <c r="BF451" s="2">
        <v>0</v>
      </c>
      <c r="BG451" s="2">
        <v>23.561</v>
      </c>
      <c r="BH451" s="2">
        <v>23</v>
      </c>
      <c r="BI451" s="2">
        <v>15.555999999999999</v>
      </c>
      <c r="BJ451" s="2">
        <v>5</v>
      </c>
      <c r="BK451" s="2">
        <v>1</v>
      </c>
      <c r="BL451" s="2">
        <v>0</v>
      </c>
      <c r="BM451" s="2">
        <v>2</v>
      </c>
      <c r="BN451" s="2">
        <v>2</v>
      </c>
      <c r="BO451" s="2">
        <v>9</v>
      </c>
      <c r="BP451" s="2">
        <v>0</v>
      </c>
      <c r="BQ451" s="2">
        <v>0</v>
      </c>
      <c r="BR451" s="2">
        <v>0</v>
      </c>
      <c r="BS451" s="2">
        <v>1</v>
      </c>
      <c r="BT451" s="2">
        <v>0</v>
      </c>
      <c r="BU451" s="2">
        <v>0</v>
      </c>
      <c r="BV451" s="2">
        <f t="shared" si="29"/>
        <v>86.117000000000004</v>
      </c>
      <c r="BW451" s="16">
        <f t="shared" si="27"/>
        <v>4.5324736842105269</v>
      </c>
      <c r="BX451" s="16">
        <f>COUNTIF($BC$6:BU451, "=0") / COUNTIF($BC$6:BU451, "&gt;-1")</f>
        <v>0.11175359924474865</v>
      </c>
      <c r="BY451" s="18">
        <f>SUM($BC$6:BU451) / $BY$4</f>
        <v>0.8313936625785705</v>
      </c>
      <c r="BZ451" s="14">
        <f t="shared" si="28"/>
        <v>9</v>
      </c>
      <c r="CA451" t="s">
        <v>5831</v>
      </c>
      <c r="CB451" s="36">
        <v>0.30291084895868198</v>
      </c>
      <c r="CC451" s="36">
        <v>3.85225648270979</v>
      </c>
      <c r="CD451" s="36">
        <v>0.40019941545306398</v>
      </c>
      <c r="CE451" s="36">
        <v>0.37798043978830698</v>
      </c>
      <c r="CF451" s="36">
        <v>20.3001620945107</v>
      </c>
      <c r="CG451" s="36">
        <v>21.383726672708299</v>
      </c>
      <c r="CH451" s="36">
        <v>16.443371612688399</v>
      </c>
      <c r="CI451" s="36">
        <v>4.8659179899115301</v>
      </c>
      <c r="CJ451" s="37">
        <v>0.79475829324495695</v>
      </c>
      <c r="CK451" s="37">
        <v>1.2612992937765699</v>
      </c>
      <c r="CL451" s="37">
        <v>1.60010869653469</v>
      </c>
      <c r="CM451" s="37">
        <v>7.6189234193994704</v>
      </c>
      <c r="CN451" s="37">
        <v>0.22969814145377901</v>
      </c>
      <c r="CO451" s="37">
        <v>0.19729764259628099</v>
      </c>
      <c r="CP451" s="37">
        <v>1.50854004786242</v>
      </c>
      <c r="CQ451" s="37">
        <v>0.38065921161865401</v>
      </c>
      <c r="CR451" s="45">
        <v>-2.2424493782929198</v>
      </c>
      <c r="CS451" s="45">
        <v>-4.9978001950321103</v>
      </c>
      <c r="CT451" s="46">
        <v>6.9396482031514701E-3</v>
      </c>
      <c r="CU451" s="47">
        <v>1.3302649420940799E-2</v>
      </c>
      <c r="CV451" s="48">
        <v>8.49081569459109</v>
      </c>
      <c r="CW451" s="49">
        <v>1.6989105933108499</v>
      </c>
      <c r="CX451" s="31" t="s">
        <v>5875</v>
      </c>
      <c r="CY451" s="31" t="s">
        <v>5878</v>
      </c>
      <c r="CZ451" t="s">
        <v>10866</v>
      </c>
      <c r="DA451" t="s">
        <v>5904</v>
      </c>
      <c r="DB451">
        <v>1327.4</v>
      </c>
      <c r="DC451" t="s">
        <v>28562</v>
      </c>
      <c r="DD451" t="s">
        <v>28563</v>
      </c>
      <c r="DE451" t="s">
        <v>28564</v>
      </c>
      <c r="DF451" t="s">
        <v>28565</v>
      </c>
      <c r="DG451" t="s">
        <v>28566</v>
      </c>
      <c r="DH451" t="str">
        <f>"ANXA6"</f>
        <v>ANXA6</v>
      </c>
      <c r="DI451" t="s">
        <v>28567</v>
      </c>
      <c r="DJ451" t="s">
        <v>13777</v>
      </c>
      <c r="DK451">
        <v>9606</v>
      </c>
      <c r="DL451" s="34" t="str">
        <f>HYPERLINK("http://www.uniprot.org/uniprot/P08133", "P08133")</f>
        <v>P08133</v>
      </c>
      <c r="DM451" t="s">
        <v>28568</v>
      </c>
      <c r="DN451" t="s">
        <v>13772</v>
      </c>
      <c r="DO451" t="s">
        <v>13899</v>
      </c>
      <c r="DP451" t="s">
        <v>13841</v>
      </c>
      <c r="DQ451" t="s">
        <v>13772</v>
      </c>
      <c r="DR451" t="s">
        <v>13772</v>
      </c>
      <c r="DS451" t="s">
        <v>15322</v>
      </c>
      <c r="DT451" t="s">
        <v>15323</v>
      </c>
      <c r="DU451" t="s">
        <v>13772</v>
      </c>
      <c r="DV451" t="s">
        <v>13886</v>
      </c>
      <c r="DW451" t="s">
        <v>13812</v>
      </c>
      <c r="DX451" t="s">
        <v>28569</v>
      </c>
      <c r="DY451" t="s">
        <v>28570</v>
      </c>
      <c r="DZ451" t="s">
        <v>28571</v>
      </c>
      <c r="EA451" t="s">
        <v>13772</v>
      </c>
      <c r="EB451" t="s">
        <v>17020</v>
      </c>
    </row>
    <row r="452" spans="1:132" hidden="1">
      <c r="A452">
        <v>1871</v>
      </c>
      <c r="B452">
        <v>1</v>
      </c>
      <c r="C452" t="s">
        <v>4417</v>
      </c>
      <c r="D452" t="s">
        <v>73</v>
      </c>
      <c r="E452" t="s">
        <v>73</v>
      </c>
      <c r="F452" t="s">
        <v>73</v>
      </c>
      <c r="G452" t="s">
        <v>73</v>
      </c>
      <c r="H452">
        <v>48.3</v>
      </c>
      <c r="I452">
        <v>350</v>
      </c>
      <c r="J452">
        <v>38367</v>
      </c>
      <c r="K452" t="s">
        <v>4418</v>
      </c>
      <c r="L452">
        <f t="shared" si="26"/>
        <v>87</v>
      </c>
      <c r="N452">
        <v>87</v>
      </c>
      <c r="O452">
        <v>86</v>
      </c>
      <c r="P452">
        <v>0.98899999999999999</v>
      </c>
      <c r="Q452">
        <v>1</v>
      </c>
      <c r="R452">
        <v>3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15</v>
      </c>
      <c r="Z452">
        <v>13</v>
      </c>
      <c r="AA452">
        <v>7</v>
      </c>
      <c r="AB452">
        <v>5</v>
      </c>
      <c r="AC452">
        <v>6</v>
      </c>
      <c r="AD452">
        <v>9</v>
      </c>
      <c r="AE452">
        <v>11</v>
      </c>
      <c r="AF452">
        <v>6</v>
      </c>
      <c r="AG452">
        <v>4</v>
      </c>
      <c r="AH452">
        <v>3</v>
      </c>
      <c r="AI452">
        <v>2</v>
      </c>
      <c r="AJ452">
        <v>1</v>
      </c>
      <c r="AK452">
        <v>3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15</v>
      </c>
      <c r="AS452">
        <v>13</v>
      </c>
      <c r="AT452">
        <v>7</v>
      </c>
      <c r="AU452">
        <v>4</v>
      </c>
      <c r="AV452">
        <v>6</v>
      </c>
      <c r="AW452">
        <v>9</v>
      </c>
      <c r="AX452">
        <v>11</v>
      </c>
      <c r="AY452">
        <v>6</v>
      </c>
      <c r="AZ452">
        <v>4</v>
      </c>
      <c r="BA452">
        <v>3</v>
      </c>
      <c r="BB452">
        <v>2</v>
      </c>
      <c r="BC452" s="2">
        <v>1</v>
      </c>
      <c r="BD452" s="2">
        <v>3</v>
      </c>
      <c r="BE452" s="2">
        <v>1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15</v>
      </c>
      <c r="BL452" s="2">
        <v>13</v>
      </c>
      <c r="BM452" s="2">
        <v>7</v>
      </c>
      <c r="BN452" s="2">
        <v>4.0069999999999997</v>
      </c>
      <c r="BO452" s="2">
        <v>6</v>
      </c>
      <c r="BP452" s="2">
        <v>9</v>
      </c>
      <c r="BQ452" s="2">
        <v>11</v>
      </c>
      <c r="BR452" s="2">
        <v>6</v>
      </c>
      <c r="BS452" s="2">
        <v>4</v>
      </c>
      <c r="BT452" s="2">
        <v>3</v>
      </c>
      <c r="BU452" s="2">
        <v>2</v>
      </c>
      <c r="BV452" s="2">
        <f t="shared" si="29"/>
        <v>86.007000000000005</v>
      </c>
      <c r="BW452" s="16">
        <f t="shared" si="27"/>
        <v>4.5266842105263159</v>
      </c>
      <c r="BX452" s="16">
        <f>COUNTIF($BC$6:BU452, "=0") / COUNTIF($BC$6:BU452, "&gt;-1")</f>
        <v>0.11197456729070999</v>
      </c>
      <c r="BY452" s="18">
        <f>SUM($BC$6:BU452) / $BY$4</f>
        <v>0.83176208533473683</v>
      </c>
      <c r="BZ452" s="14">
        <f t="shared" si="28"/>
        <v>4</v>
      </c>
      <c r="CA452" t="s">
        <v>5831</v>
      </c>
      <c r="CB452" s="36">
        <v>1.2116433958347299</v>
      </c>
      <c r="CC452" s="36">
        <v>2.8891923620323401</v>
      </c>
      <c r="CD452" s="36">
        <v>1.6007976618122599</v>
      </c>
      <c r="CE452" s="36">
        <v>0.37798043978830698</v>
      </c>
      <c r="CF452" s="36">
        <v>0.215044089984223</v>
      </c>
      <c r="CG452" s="36">
        <v>0.23243181165987301</v>
      </c>
      <c r="CH452" s="36">
        <v>0.26351557071616</v>
      </c>
      <c r="CI452" s="36">
        <v>0.97318359798230603</v>
      </c>
      <c r="CJ452" s="37">
        <v>11.9213743986744</v>
      </c>
      <c r="CK452" s="37">
        <v>4.4145475282179998</v>
      </c>
      <c r="CL452" s="37">
        <v>3.2002173930693698</v>
      </c>
      <c r="CM452" s="37">
        <v>5.0792822795996404</v>
      </c>
      <c r="CN452" s="37">
        <v>10.1067182239663</v>
      </c>
      <c r="CO452" s="37">
        <v>4.7351434223107498</v>
      </c>
      <c r="CP452" s="37">
        <v>6.0341601914496898</v>
      </c>
      <c r="CQ452" s="37">
        <v>3.0452736929492299</v>
      </c>
      <c r="CR452" s="45">
        <v>2.5380263839303101</v>
      </c>
      <c r="CS452" s="45">
        <v>6.2516791181524196</v>
      </c>
      <c r="CT452" s="46">
        <v>1.00347156255118E-5</v>
      </c>
      <c r="CU452" s="47">
        <v>3.6684288270313798E-5</v>
      </c>
      <c r="CV452" s="48">
        <v>0.97047361622627504</v>
      </c>
      <c r="CW452" s="49">
        <v>6.0670896412796598</v>
      </c>
      <c r="CX452" s="31" t="s">
        <v>5874</v>
      </c>
      <c r="CY452" s="31" t="s">
        <v>5876</v>
      </c>
      <c r="CZ452" t="s">
        <v>11995</v>
      </c>
      <c r="DA452" t="s">
        <v>5904</v>
      </c>
      <c r="DB452">
        <v>467.6</v>
      </c>
      <c r="DC452" t="s">
        <v>31757</v>
      </c>
      <c r="DD452" t="s">
        <v>31758</v>
      </c>
      <c r="DE452" t="s">
        <v>31759</v>
      </c>
      <c r="DF452" t="s">
        <v>31760</v>
      </c>
      <c r="DG452" t="s">
        <v>31761</v>
      </c>
      <c r="DH452" t="str">
        <f>"CD5L"</f>
        <v>CD5L</v>
      </c>
      <c r="DI452" t="s">
        <v>31762</v>
      </c>
      <c r="DJ452" t="s">
        <v>13777</v>
      </c>
      <c r="DK452">
        <v>9606</v>
      </c>
      <c r="DL452" s="34" t="str">
        <f>HYPERLINK("http://www.uniprot.org/uniprot/O43866", "O43866")</f>
        <v>O43866</v>
      </c>
      <c r="DM452" t="s">
        <v>31763</v>
      </c>
      <c r="DN452" t="s">
        <v>31764</v>
      </c>
      <c r="DO452" t="s">
        <v>16449</v>
      </c>
      <c r="DP452" t="s">
        <v>13793</v>
      </c>
      <c r="DQ452" t="s">
        <v>13772</v>
      </c>
      <c r="DR452" t="s">
        <v>13772</v>
      </c>
      <c r="DS452" t="s">
        <v>14404</v>
      </c>
      <c r="DT452" t="s">
        <v>13772</v>
      </c>
      <c r="DU452" t="s">
        <v>13772</v>
      </c>
      <c r="DV452" t="s">
        <v>13796</v>
      </c>
      <c r="DW452" t="s">
        <v>13772</v>
      </c>
      <c r="DX452" t="s">
        <v>31765</v>
      </c>
      <c r="DY452" t="s">
        <v>31766</v>
      </c>
      <c r="DZ452" t="s">
        <v>24576</v>
      </c>
      <c r="EA452" t="s">
        <v>13772</v>
      </c>
      <c r="EB452" t="s">
        <v>13772</v>
      </c>
    </row>
    <row r="453" spans="1:132" hidden="1">
      <c r="A453">
        <v>282</v>
      </c>
      <c r="B453">
        <v>1</v>
      </c>
      <c r="C453" t="s">
        <v>714</v>
      </c>
      <c r="D453" t="s">
        <v>73</v>
      </c>
      <c r="E453" t="s">
        <v>73</v>
      </c>
      <c r="F453" t="s">
        <v>73</v>
      </c>
      <c r="G453" t="s">
        <v>73</v>
      </c>
      <c r="H453">
        <v>41.2</v>
      </c>
      <c r="I453">
        <v>427</v>
      </c>
      <c r="J453">
        <v>48477</v>
      </c>
      <c r="K453" t="s">
        <v>715</v>
      </c>
      <c r="L453">
        <f t="shared" si="26"/>
        <v>86</v>
      </c>
      <c r="N453">
        <v>86</v>
      </c>
      <c r="O453">
        <v>86</v>
      </c>
      <c r="P453">
        <v>1</v>
      </c>
      <c r="Q453">
        <v>2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5</v>
      </c>
      <c r="Z453">
        <v>9</v>
      </c>
      <c r="AA453">
        <v>10</v>
      </c>
      <c r="AB453">
        <v>8</v>
      </c>
      <c r="AC453">
        <v>11</v>
      </c>
      <c r="AD453">
        <v>7</v>
      </c>
      <c r="AE453">
        <v>5</v>
      </c>
      <c r="AF453">
        <v>10</v>
      </c>
      <c r="AG453">
        <v>3</v>
      </c>
      <c r="AH453">
        <v>4</v>
      </c>
      <c r="AI453">
        <v>8</v>
      </c>
      <c r="AJ453">
        <v>2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</v>
      </c>
      <c r="AR453">
        <v>5</v>
      </c>
      <c r="AS453">
        <v>9</v>
      </c>
      <c r="AT453">
        <v>10</v>
      </c>
      <c r="AU453">
        <v>8</v>
      </c>
      <c r="AV453">
        <v>11</v>
      </c>
      <c r="AW453">
        <v>7</v>
      </c>
      <c r="AX453">
        <v>5</v>
      </c>
      <c r="AY453">
        <v>10</v>
      </c>
      <c r="AZ453">
        <v>3</v>
      </c>
      <c r="BA453">
        <v>4</v>
      </c>
      <c r="BB453">
        <v>8</v>
      </c>
      <c r="BC453" s="2">
        <v>2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3</v>
      </c>
      <c r="BK453" s="2">
        <v>5</v>
      </c>
      <c r="BL453" s="2">
        <v>9</v>
      </c>
      <c r="BM453" s="2">
        <v>10</v>
      </c>
      <c r="BN453" s="2">
        <v>8</v>
      </c>
      <c r="BO453" s="2">
        <v>11</v>
      </c>
      <c r="BP453" s="2">
        <v>7</v>
      </c>
      <c r="BQ453" s="2">
        <v>5</v>
      </c>
      <c r="BR453" s="2">
        <v>10</v>
      </c>
      <c r="BS453" s="2">
        <v>3</v>
      </c>
      <c r="BT453" s="2">
        <v>4</v>
      </c>
      <c r="BU453" s="2">
        <v>8</v>
      </c>
      <c r="BV453" s="2">
        <f t="shared" si="29"/>
        <v>86</v>
      </c>
      <c r="BW453" s="16">
        <f t="shared" si="27"/>
        <v>4.5263157894736841</v>
      </c>
      <c r="BX453" s="16">
        <f>COUNTIF($BC$6:BU453, "=0") / COUNTIF($BC$6:BU453, "&gt;-1")</f>
        <v>0.11231203007518797</v>
      </c>
      <c r="BY453" s="18">
        <f>SUM($BC$6:BU453) / $BY$4</f>
        <v>0.83213047810544516</v>
      </c>
      <c r="BZ453" s="14">
        <f t="shared" si="28"/>
        <v>5</v>
      </c>
      <c r="CA453" t="s">
        <v>5831</v>
      </c>
      <c r="CB453" s="36">
        <v>2.4232867916694598</v>
      </c>
      <c r="CC453" s="36">
        <v>0.96306412067744696</v>
      </c>
      <c r="CD453" s="36">
        <v>0.40019941545306398</v>
      </c>
      <c r="CE453" s="36">
        <v>0.37798043978830698</v>
      </c>
      <c r="CF453" s="36">
        <v>0.215044089984223</v>
      </c>
      <c r="CG453" s="36">
        <v>0.23243181165987301</v>
      </c>
      <c r="CH453" s="36">
        <v>0.26351557071616</v>
      </c>
      <c r="CI453" s="36">
        <v>2.9195507939469199</v>
      </c>
      <c r="CJ453" s="37">
        <v>3.9737914662247902</v>
      </c>
      <c r="CK453" s="37">
        <v>6.3064964688828598</v>
      </c>
      <c r="CL453" s="37">
        <v>6.4004347861387396</v>
      </c>
      <c r="CM453" s="37">
        <v>9.3120175125993505</v>
      </c>
      <c r="CN453" s="37">
        <v>4.5939628290755703</v>
      </c>
      <c r="CO453" s="37">
        <v>7.8919057038512497</v>
      </c>
      <c r="CP453" s="37">
        <v>4.5256201435872701</v>
      </c>
      <c r="CQ453" s="37">
        <v>12.1810947717969</v>
      </c>
      <c r="CR453" s="45">
        <v>2.6402988009116202</v>
      </c>
      <c r="CS453" s="45">
        <v>7.0795133595533297</v>
      </c>
      <c r="CT453" s="46">
        <v>5.9747768331108496E-7</v>
      </c>
      <c r="CU453" s="47">
        <v>3.1723219851993298E-6</v>
      </c>
      <c r="CV453" s="48">
        <v>0.97438412923693096</v>
      </c>
      <c r="CW453" s="49">
        <v>6.8981654602695901</v>
      </c>
      <c r="CX453" s="31" t="s">
        <v>5874</v>
      </c>
      <c r="CY453" s="31" t="s">
        <v>5876</v>
      </c>
      <c r="CZ453" t="s">
        <v>6675</v>
      </c>
      <c r="DA453" t="s">
        <v>5904</v>
      </c>
      <c r="DB453">
        <v>612.1</v>
      </c>
      <c r="DC453" t="s">
        <v>16353</v>
      </c>
      <c r="DD453" t="s">
        <v>16354</v>
      </c>
      <c r="DE453" t="s">
        <v>16355</v>
      </c>
      <c r="DF453" t="s">
        <v>16356</v>
      </c>
      <c r="DG453" t="s">
        <v>16357</v>
      </c>
      <c r="DH453" t="str">
        <f>"SERPINA4"</f>
        <v>SERPINA4</v>
      </c>
      <c r="DI453" t="s">
        <v>16358</v>
      </c>
      <c r="DJ453" t="s">
        <v>13777</v>
      </c>
      <c r="DK453">
        <v>9606</v>
      </c>
      <c r="DL453" s="34" t="str">
        <f>HYPERLINK("http://www.uniprot.org/uniprot/P29622", "P29622")</f>
        <v>P29622</v>
      </c>
      <c r="DM453" t="s">
        <v>16359</v>
      </c>
      <c r="DN453" t="s">
        <v>13772</v>
      </c>
      <c r="DO453" t="s">
        <v>14321</v>
      </c>
      <c r="DP453" t="s">
        <v>13772</v>
      </c>
      <c r="DQ453" t="s">
        <v>13772</v>
      </c>
      <c r="DR453" t="s">
        <v>13772</v>
      </c>
      <c r="DS453" t="s">
        <v>13808</v>
      </c>
      <c r="DT453" t="s">
        <v>13772</v>
      </c>
      <c r="DU453" t="s">
        <v>14375</v>
      </c>
      <c r="DV453" t="s">
        <v>13858</v>
      </c>
      <c r="DW453" t="s">
        <v>13812</v>
      </c>
      <c r="DX453" t="s">
        <v>16360</v>
      </c>
      <c r="DY453" t="s">
        <v>16361</v>
      </c>
      <c r="DZ453" t="s">
        <v>16362</v>
      </c>
      <c r="EA453" t="s">
        <v>13772</v>
      </c>
      <c r="EB453" t="s">
        <v>15665</v>
      </c>
    </row>
    <row r="454" spans="1:132" hidden="1">
      <c r="A454">
        <v>1877</v>
      </c>
      <c r="B454">
        <v>1</v>
      </c>
      <c r="C454" t="s">
        <v>4432</v>
      </c>
      <c r="D454" t="s">
        <v>73</v>
      </c>
      <c r="E454" t="s">
        <v>73</v>
      </c>
      <c r="F454" t="s">
        <v>73</v>
      </c>
      <c r="G454" t="s">
        <v>73</v>
      </c>
      <c r="H454">
        <v>30.7</v>
      </c>
      <c r="I454">
        <v>648</v>
      </c>
      <c r="J454">
        <v>74084</v>
      </c>
      <c r="K454" t="s">
        <v>4433</v>
      </c>
      <c r="L454">
        <f t="shared" ref="L454:L517" si="30">N454</f>
        <v>86</v>
      </c>
      <c r="N454">
        <v>86</v>
      </c>
      <c r="O454">
        <v>86</v>
      </c>
      <c r="P454">
        <v>1</v>
      </c>
      <c r="Q454">
        <v>3</v>
      </c>
      <c r="R454">
        <v>4</v>
      </c>
      <c r="S454">
        <v>11</v>
      </c>
      <c r="T454">
        <v>15</v>
      </c>
      <c r="U454">
        <v>9</v>
      </c>
      <c r="V454">
        <v>12</v>
      </c>
      <c r="W454">
        <v>8</v>
      </c>
      <c r="X454">
        <v>8</v>
      </c>
      <c r="Y454">
        <v>0</v>
      </c>
      <c r="Z454">
        <v>0</v>
      </c>
      <c r="AA454">
        <v>4</v>
      </c>
      <c r="AB454">
        <v>3</v>
      </c>
      <c r="AC454">
        <v>2</v>
      </c>
      <c r="AD454">
        <v>0</v>
      </c>
      <c r="AE454">
        <v>0</v>
      </c>
      <c r="AF454">
        <v>0</v>
      </c>
      <c r="AG454">
        <v>6</v>
      </c>
      <c r="AH454">
        <v>0</v>
      </c>
      <c r="AI454">
        <v>1</v>
      </c>
      <c r="AJ454">
        <v>3</v>
      </c>
      <c r="AK454">
        <v>4</v>
      </c>
      <c r="AL454">
        <v>11</v>
      </c>
      <c r="AM454">
        <v>15</v>
      </c>
      <c r="AN454">
        <v>9</v>
      </c>
      <c r="AO454">
        <v>12</v>
      </c>
      <c r="AP454">
        <v>8</v>
      </c>
      <c r="AQ454">
        <v>8</v>
      </c>
      <c r="AR454">
        <v>0</v>
      </c>
      <c r="AS454">
        <v>0</v>
      </c>
      <c r="AT454">
        <v>4</v>
      </c>
      <c r="AU454">
        <v>3</v>
      </c>
      <c r="AV454">
        <v>2</v>
      </c>
      <c r="AW454">
        <v>0</v>
      </c>
      <c r="AX454">
        <v>0</v>
      </c>
      <c r="AY454">
        <v>0</v>
      </c>
      <c r="AZ454">
        <v>6</v>
      </c>
      <c r="BA454">
        <v>0</v>
      </c>
      <c r="BB454">
        <v>1</v>
      </c>
      <c r="BC454" s="2">
        <v>3</v>
      </c>
      <c r="BD454" s="2">
        <v>4</v>
      </c>
      <c r="BE454" s="2">
        <v>11</v>
      </c>
      <c r="BF454" s="2">
        <v>15</v>
      </c>
      <c r="BG454" s="2">
        <v>9</v>
      </c>
      <c r="BH454" s="2">
        <v>12</v>
      </c>
      <c r="BI454" s="2">
        <v>8</v>
      </c>
      <c r="BJ454" s="2">
        <v>8</v>
      </c>
      <c r="BK454" s="2">
        <v>0</v>
      </c>
      <c r="BL454" s="2">
        <v>0</v>
      </c>
      <c r="BM454" s="2">
        <v>4</v>
      </c>
      <c r="BN454" s="2">
        <v>3</v>
      </c>
      <c r="BO454" s="2">
        <v>2</v>
      </c>
      <c r="BP454" s="2">
        <v>0</v>
      </c>
      <c r="BQ454" s="2">
        <v>0</v>
      </c>
      <c r="BR454" s="2">
        <v>0</v>
      </c>
      <c r="BS454" s="2">
        <v>6</v>
      </c>
      <c r="BT454" s="2">
        <v>0</v>
      </c>
      <c r="BU454" s="2">
        <v>1</v>
      </c>
      <c r="BV454" s="2">
        <f t="shared" si="29"/>
        <v>86</v>
      </c>
      <c r="BW454" s="16">
        <f t="shared" ref="BW454:BW517" si="31">AVERAGE(BC454:BU454)</f>
        <v>4.5263157894736841</v>
      </c>
      <c r="BX454" s="16">
        <f>COUNTIF($BC$6:BU454, "=0") / COUNTIF($BC$6:BU454, "&gt;-1")</f>
        <v>0.11276520923690071</v>
      </c>
      <c r="BY454" s="18">
        <f>SUM($BC$6:BU454) / $BY$4</f>
        <v>0.83249887087615337</v>
      </c>
      <c r="BZ454" s="14">
        <f t="shared" ref="BZ454:BZ517" si="32">19-COUNTIF(BC454:BU454, "&gt;0")</f>
        <v>6</v>
      </c>
      <c r="CA454" t="s">
        <v>5831</v>
      </c>
      <c r="CB454" s="36">
        <v>3.6349301875041902</v>
      </c>
      <c r="CC454" s="36">
        <v>3.85225648270979</v>
      </c>
      <c r="CD454" s="36">
        <v>17.608774279934799</v>
      </c>
      <c r="CE454" s="36">
        <v>22.6788263872984</v>
      </c>
      <c r="CF454" s="36">
        <v>7.7415872394320298</v>
      </c>
      <c r="CG454" s="36">
        <v>11.1567269596739</v>
      </c>
      <c r="CH454" s="36">
        <v>8.4324982629171306</v>
      </c>
      <c r="CI454" s="36">
        <v>7.78546878385845</v>
      </c>
      <c r="CJ454" s="37">
        <v>0.19868957331123899</v>
      </c>
      <c r="CK454" s="37">
        <v>2.5225985875531398</v>
      </c>
      <c r="CL454" s="37">
        <v>2.4001630448020301</v>
      </c>
      <c r="CM454" s="37">
        <v>1.6930940931998799</v>
      </c>
      <c r="CN454" s="37">
        <v>0.22969814145377901</v>
      </c>
      <c r="CO454" s="37">
        <v>0.19729764259628099</v>
      </c>
      <c r="CP454" s="37">
        <v>9.0512402871745401</v>
      </c>
      <c r="CQ454" s="37">
        <v>1.5226368464746201</v>
      </c>
      <c r="CR454" s="45">
        <v>-2.2744662728596099</v>
      </c>
      <c r="CS454" s="45">
        <v>-4.65277141269988</v>
      </c>
      <c r="CT454" s="46">
        <v>1.95726204090455E-4</v>
      </c>
      <c r="CU454" s="47">
        <v>5.1755268986764598E-4</v>
      </c>
      <c r="CV454" s="48">
        <v>10.3613835729161</v>
      </c>
      <c r="CW454" s="49">
        <v>2.2269272770706898</v>
      </c>
      <c r="CX454" s="31" t="s">
        <v>5875</v>
      </c>
      <c r="CY454" s="31" t="s">
        <v>5876</v>
      </c>
      <c r="CZ454" t="s">
        <v>12013</v>
      </c>
      <c r="DA454" t="s">
        <v>5904</v>
      </c>
      <c r="DB454">
        <v>1104</v>
      </c>
      <c r="DC454" t="s">
        <v>31803</v>
      </c>
      <c r="DD454" t="s">
        <v>31804</v>
      </c>
      <c r="DE454" t="s">
        <v>31805</v>
      </c>
      <c r="DF454" t="s">
        <v>31806</v>
      </c>
      <c r="DG454" t="s">
        <v>31807</v>
      </c>
      <c r="DH454" t="str">
        <f>"GUSB"</f>
        <v>GUSB</v>
      </c>
      <c r="DI454" t="s">
        <v>13772</v>
      </c>
      <c r="DJ454" t="s">
        <v>13777</v>
      </c>
      <c r="DK454">
        <v>9606</v>
      </c>
      <c r="DL454" s="34" t="str">
        <f>HYPERLINK("http://www.uniprot.org/uniprot/P08236", "P08236")</f>
        <v>P08236</v>
      </c>
      <c r="DM454" t="s">
        <v>31808</v>
      </c>
      <c r="DN454" t="s">
        <v>13772</v>
      </c>
      <c r="DO454" t="s">
        <v>13806</v>
      </c>
      <c r="DP454" t="s">
        <v>13780</v>
      </c>
      <c r="DQ454" t="s">
        <v>13772</v>
      </c>
      <c r="DR454" t="s">
        <v>21982</v>
      </c>
      <c r="DS454" t="s">
        <v>13808</v>
      </c>
      <c r="DT454" t="s">
        <v>13772</v>
      </c>
      <c r="DU454" t="s">
        <v>15471</v>
      </c>
      <c r="DV454" t="s">
        <v>13858</v>
      </c>
      <c r="DW454" t="s">
        <v>13812</v>
      </c>
      <c r="DX454" t="s">
        <v>31809</v>
      </c>
      <c r="DY454" t="s">
        <v>31810</v>
      </c>
      <c r="DZ454" t="s">
        <v>31811</v>
      </c>
      <c r="EA454" t="s">
        <v>13772</v>
      </c>
      <c r="EB454" t="s">
        <v>31812</v>
      </c>
    </row>
    <row r="455" spans="1:132" hidden="1">
      <c r="A455">
        <v>1144</v>
      </c>
      <c r="B455">
        <v>1</v>
      </c>
      <c r="C455" t="s">
        <v>2754</v>
      </c>
      <c r="D455" t="s">
        <v>73</v>
      </c>
      <c r="E455" t="s">
        <v>73</v>
      </c>
      <c r="F455" t="s">
        <v>73</v>
      </c>
      <c r="G455" t="s">
        <v>73</v>
      </c>
      <c r="H455">
        <v>34.4</v>
      </c>
      <c r="I455">
        <v>781</v>
      </c>
      <c r="J455">
        <v>85745</v>
      </c>
      <c r="K455" t="s">
        <v>2755</v>
      </c>
      <c r="L455">
        <f t="shared" si="30"/>
        <v>85</v>
      </c>
      <c r="N455">
        <v>85</v>
      </c>
      <c r="O455">
        <v>85</v>
      </c>
      <c r="P455">
        <v>1</v>
      </c>
      <c r="Q455">
        <v>2</v>
      </c>
      <c r="R455">
        <v>9</v>
      </c>
      <c r="S455">
        <v>0</v>
      </c>
      <c r="T455">
        <v>2</v>
      </c>
      <c r="U455">
        <v>6</v>
      </c>
      <c r="V455">
        <v>2</v>
      </c>
      <c r="W455">
        <v>2</v>
      </c>
      <c r="X455">
        <v>14</v>
      </c>
      <c r="Y455">
        <v>1</v>
      </c>
      <c r="Z455">
        <v>0</v>
      </c>
      <c r="AA455">
        <v>15</v>
      </c>
      <c r="AB455">
        <v>8</v>
      </c>
      <c r="AC455">
        <v>3</v>
      </c>
      <c r="AD455">
        <v>0</v>
      </c>
      <c r="AE455">
        <v>8</v>
      </c>
      <c r="AF455">
        <v>13</v>
      </c>
      <c r="AG455">
        <v>0</v>
      </c>
      <c r="AH455">
        <v>0</v>
      </c>
      <c r="AI455">
        <v>0</v>
      </c>
      <c r="AJ455">
        <v>2</v>
      </c>
      <c r="AK455">
        <v>9</v>
      </c>
      <c r="AL455">
        <v>0</v>
      </c>
      <c r="AM455">
        <v>2</v>
      </c>
      <c r="AN455">
        <v>6</v>
      </c>
      <c r="AO455">
        <v>2</v>
      </c>
      <c r="AP455">
        <v>2</v>
      </c>
      <c r="AQ455">
        <v>14</v>
      </c>
      <c r="AR455">
        <v>1</v>
      </c>
      <c r="AS455">
        <v>0</v>
      </c>
      <c r="AT455">
        <v>15</v>
      </c>
      <c r="AU455">
        <v>8</v>
      </c>
      <c r="AV455">
        <v>3</v>
      </c>
      <c r="AW455">
        <v>0</v>
      </c>
      <c r="AX455">
        <v>8</v>
      </c>
      <c r="AY455">
        <v>13</v>
      </c>
      <c r="AZ455">
        <v>0</v>
      </c>
      <c r="BA455">
        <v>0</v>
      </c>
      <c r="BB455">
        <v>0</v>
      </c>
      <c r="BC455" s="2">
        <v>2</v>
      </c>
      <c r="BD455" s="2">
        <v>9</v>
      </c>
      <c r="BE455" s="2">
        <v>0</v>
      </c>
      <c r="BF455" s="2">
        <v>2</v>
      </c>
      <c r="BG455" s="2">
        <v>6</v>
      </c>
      <c r="BH455" s="2">
        <v>2</v>
      </c>
      <c r="BI455" s="2">
        <v>2</v>
      </c>
      <c r="BJ455" s="2">
        <v>14</v>
      </c>
      <c r="BK455" s="2">
        <v>1</v>
      </c>
      <c r="BL455" s="2">
        <v>0</v>
      </c>
      <c r="BM455" s="2">
        <v>15</v>
      </c>
      <c r="BN455" s="2">
        <v>8</v>
      </c>
      <c r="BO455" s="2">
        <v>3</v>
      </c>
      <c r="BP455" s="2">
        <v>0</v>
      </c>
      <c r="BQ455" s="2">
        <v>8</v>
      </c>
      <c r="BR455" s="2">
        <v>13</v>
      </c>
      <c r="BS455" s="2">
        <v>0</v>
      </c>
      <c r="BT455" s="2">
        <v>0</v>
      </c>
      <c r="BU455" s="2">
        <v>0</v>
      </c>
      <c r="BV455" s="2">
        <f t="shared" ref="BV455:BV518" si="33">SUM(BC455:BU455)</f>
        <v>85</v>
      </c>
      <c r="BW455" s="16">
        <f t="shared" si="31"/>
        <v>4.4736842105263159</v>
      </c>
      <c r="BX455" s="16">
        <f>COUNTIF($BC$6:BU455, "=0") / COUNTIF($BC$6:BU455, "&gt;-1")</f>
        <v>0.11321637426900585</v>
      </c>
      <c r="BY455" s="18">
        <f>SUM($BC$6:BU455) / $BY$4</f>
        <v>0.83286298000999293</v>
      </c>
      <c r="BZ455" s="14">
        <f t="shared" si="32"/>
        <v>6</v>
      </c>
      <c r="CA455" t="s">
        <v>5831</v>
      </c>
      <c r="CB455" s="36">
        <v>2.4232867916694598</v>
      </c>
      <c r="CC455" s="36">
        <v>8.6675770860970207</v>
      </c>
      <c r="CD455" s="36">
        <v>0.40019941545306398</v>
      </c>
      <c r="CE455" s="36">
        <v>3.0238435183064598</v>
      </c>
      <c r="CF455" s="36">
        <v>5.1610581596213496</v>
      </c>
      <c r="CG455" s="36">
        <v>1.85945449327898</v>
      </c>
      <c r="CH455" s="36">
        <v>2.10812456572928</v>
      </c>
      <c r="CI455" s="36">
        <v>13.6245703717523</v>
      </c>
      <c r="CJ455" s="37">
        <v>0.79475829324495695</v>
      </c>
      <c r="CK455" s="37">
        <v>9.4597447033242794</v>
      </c>
      <c r="CL455" s="37">
        <v>6.4004347861387396</v>
      </c>
      <c r="CM455" s="37">
        <v>2.5396411397998202</v>
      </c>
      <c r="CN455" s="37">
        <v>7.3503405265209096</v>
      </c>
      <c r="CO455" s="37">
        <v>10.2594774150066</v>
      </c>
      <c r="CP455" s="37">
        <v>0.377135011965606</v>
      </c>
      <c r="CQ455" s="37">
        <v>0.38065921161865401</v>
      </c>
      <c r="CR455" s="45">
        <v>3.3417587121067897E-2</v>
      </c>
      <c r="CS455" s="45">
        <v>1.0078908388693999</v>
      </c>
      <c r="CT455" s="46">
        <v>0.999999999999997</v>
      </c>
      <c r="CU455" s="47">
        <v>1</v>
      </c>
      <c r="CV455" s="48">
        <v>4.6585143002384903</v>
      </c>
      <c r="CW455" s="49">
        <v>4.6952738859524503</v>
      </c>
      <c r="CX455" s="31" t="s">
        <v>5874</v>
      </c>
      <c r="CY455" s="31" t="s">
        <v>5832</v>
      </c>
      <c r="CZ455" t="s">
        <v>9535</v>
      </c>
      <c r="DA455" t="s">
        <v>5904</v>
      </c>
      <c r="DB455">
        <v>1570.8</v>
      </c>
      <c r="DC455" t="s">
        <v>24811</v>
      </c>
      <c r="DD455" t="s">
        <v>24812</v>
      </c>
      <c r="DE455" t="s">
        <v>24813</v>
      </c>
      <c r="DF455" t="s">
        <v>24814</v>
      </c>
      <c r="DG455" t="s">
        <v>24815</v>
      </c>
      <c r="DH455" t="str">
        <f>"ACO2"</f>
        <v>ACO2</v>
      </c>
      <c r="DI455" t="s">
        <v>13772</v>
      </c>
      <c r="DJ455" t="s">
        <v>13777</v>
      </c>
      <c r="DK455">
        <v>9606</v>
      </c>
      <c r="DL455" s="34" t="str">
        <f>HYPERLINK("http://www.uniprot.org/uniprot/Q99798", "Q99798")</f>
        <v>Q99798</v>
      </c>
      <c r="DM455" t="s">
        <v>24816</v>
      </c>
      <c r="DN455" t="s">
        <v>15224</v>
      </c>
      <c r="DO455" t="s">
        <v>14491</v>
      </c>
      <c r="DP455" t="s">
        <v>13793</v>
      </c>
      <c r="DQ455" t="s">
        <v>13772</v>
      </c>
      <c r="DR455" t="s">
        <v>22610</v>
      </c>
      <c r="DS455" t="s">
        <v>14391</v>
      </c>
      <c r="DT455" t="s">
        <v>24817</v>
      </c>
      <c r="DU455" t="s">
        <v>15788</v>
      </c>
      <c r="DV455" t="s">
        <v>13886</v>
      </c>
      <c r="DW455" t="s">
        <v>13772</v>
      </c>
      <c r="DX455" t="s">
        <v>24818</v>
      </c>
      <c r="DY455" t="s">
        <v>14957</v>
      </c>
      <c r="DZ455" t="s">
        <v>24819</v>
      </c>
      <c r="EA455" t="s">
        <v>24820</v>
      </c>
      <c r="EB455" t="s">
        <v>24665</v>
      </c>
    </row>
    <row r="456" spans="1:132" hidden="1">
      <c r="A456">
        <v>668</v>
      </c>
      <c r="B456">
        <v>1</v>
      </c>
      <c r="C456" t="s">
        <v>1646</v>
      </c>
      <c r="D456" t="s">
        <v>73</v>
      </c>
      <c r="E456" t="s">
        <v>73</v>
      </c>
      <c r="F456" t="s">
        <v>73</v>
      </c>
      <c r="G456" t="s">
        <v>73</v>
      </c>
      <c r="H456">
        <v>34</v>
      </c>
      <c r="I456">
        <v>265</v>
      </c>
      <c r="J456">
        <v>28200</v>
      </c>
      <c r="K456" t="s">
        <v>1647</v>
      </c>
      <c r="L456">
        <f t="shared" si="30"/>
        <v>84</v>
      </c>
      <c r="N456">
        <v>84</v>
      </c>
      <c r="O456">
        <v>84</v>
      </c>
      <c r="P456">
        <v>1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6</v>
      </c>
      <c r="AA456">
        <v>7</v>
      </c>
      <c r="AB456">
        <v>13</v>
      </c>
      <c r="AC456">
        <v>11</v>
      </c>
      <c r="AD456">
        <v>1</v>
      </c>
      <c r="AE456">
        <v>3</v>
      </c>
      <c r="AF456">
        <v>10</v>
      </c>
      <c r="AG456">
        <v>4</v>
      </c>
      <c r="AH456">
        <v>2</v>
      </c>
      <c r="AI456">
        <v>8</v>
      </c>
      <c r="AJ456">
        <v>4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15</v>
      </c>
      <c r="AS456">
        <v>6</v>
      </c>
      <c r="AT456">
        <v>7</v>
      </c>
      <c r="AU456">
        <v>13</v>
      </c>
      <c r="AV456">
        <v>11</v>
      </c>
      <c r="AW456">
        <v>1</v>
      </c>
      <c r="AX456">
        <v>3</v>
      </c>
      <c r="AY456">
        <v>10</v>
      </c>
      <c r="AZ456">
        <v>4</v>
      </c>
      <c r="BA456">
        <v>2</v>
      </c>
      <c r="BB456">
        <v>8</v>
      </c>
      <c r="BC456" s="2">
        <v>4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15</v>
      </c>
      <c r="BL456" s="2">
        <v>6</v>
      </c>
      <c r="BM456" s="2">
        <v>7</v>
      </c>
      <c r="BN456" s="2">
        <v>13</v>
      </c>
      <c r="BO456" s="2">
        <v>11</v>
      </c>
      <c r="BP456" s="2">
        <v>1</v>
      </c>
      <c r="BQ456" s="2">
        <v>3</v>
      </c>
      <c r="BR456" s="2">
        <v>10</v>
      </c>
      <c r="BS456" s="2">
        <v>4</v>
      </c>
      <c r="BT456" s="2">
        <v>2</v>
      </c>
      <c r="BU456" s="2">
        <v>8</v>
      </c>
      <c r="BV456" s="2">
        <f t="shared" si="33"/>
        <v>84</v>
      </c>
      <c r="BW456" s="16">
        <f t="shared" si="31"/>
        <v>4.4210526315789478</v>
      </c>
      <c r="BX456" s="16">
        <f>COUNTIF($BC$6:BU456, "=0") / COUNTIF($BC$6:BU456, "&gt;-1")</f>
        <v>0.11378223830085191</v>
      </c>
      <c r="BY456" s="18">
        <f>SUM($BC$6:BU456) / $BY$4</f>
        <v>0.8332228055069637</v>
      </c>
      <c r="BZ456" s="14">
        <f t="shared" si="32"/>
        <v>7</v>
      </c>
      <c r="CA456" t="s">
        <v>5831</v>
      </c>
      <c r="CB456" s="36">
        <v>4.8465735833389196</v>
      </c>
      <c r="CC456" s="36">
        <v>0.24076603016936199</v>
      </c>
      <c r="CD456" s="36">
        <v>0.40019941545306398</v>
      </c>
      <c r="CE456" s="36">
        <v>0.37798043978830698</v>
      </c>
      <c r="CF456" s="36">
        <v>0.215044089984223</v>
      </c>
      <c r="CG456" s="36">
        <v>0.23243181165987301</v>
      </c>
      <c r="CH456" s="36">
        <v>0.26351557071616</v>
      </c>
      <c r="CI456" s="36">
        <v>0.24329589949557701</v>
      </c>
      <c r="CJ456" s="37">
        <v>11.9213743986744</v>
      </c>
      <c r="CK456" s="37">
        <v>4.4145475282179998</v>
      </c>
      <c r="CL456" s="37">
        <v>10.400706527475499</v>
      </c>
      <c r="CM456" s="37">
        <v>9.3120175125993505</v>
      </c>
      <c r="CN456" s="37">
        <v>2.7563776974453398</v>
      </c>
      <c r="CO456" s="37">
        <v>7.8919057038512497</v>
      </c>
      <c r="CP456" s="37">
        <v>6.0341601914496898</v>
      </c>
      <c r="CQ456" s="37">
        <v>12.1810947717969</v>
      </c>
      <c r="CR456" s="45">
        <v>3.1558653489597601</v>
      </c>
      <c r="CS456" s="45">
        <v>9.5181851698525897</v>
      </c>
      <c r="CT456" s="46">
        <v>2.5325536543746901E-7</v>
      </c>
      <c r="CU456" s="47">
        <v>1.4950778815146001E-6</v>
      </c>
      <c r="CV456" s="48">
        <v>0.85247585507568502</v>
      </c>
      <c r="CW456" s="49">
        <v>8.1140230414388004</v>
      </c>
      <c r="CX456" s="31" t="s">
        <v>5874</v>
      </c>
      <c r="CY456" s="31" t="s">
        <v>5876</v>
      </c>
      <c r="CZ456" t="s">
        <v>7996</v>
      </c>
      <c r="DA456" t="s">
        <v>5904</v>
      </c>
      <c r="DB456">
        <v>373.2</v>
      </c>
      <c r="DC456" t="s">
        <v>20370</v>
      </c>
      <c r="DD456" t="s">
        <v>20371</v>
      </c>
      <c r="DE456" t="s">
        <v>20372</v>
      </c>
      <c r="DF456" t="s">
        <v>20373</v>
      </c>
      <c r="DG456" t="s">
        <v>20374</v>
      </c>
      <c r="DH456" t="str">
        <f>"ELANE"</f>
        <v>ELANE</v>
      </c>
      <c r="DI456" t="s">
        <v>20375</v>
      </c>
      <c r="DJ456" t="s">
        <v>13777</v>
      </c>
      <c r="DK456">
        <v>9606</v>
      </c>
      <c r="DL456" s="34" t="str">
        <f>HYPERLINK("http://www.uniprot.org/uniprot/P08246", "P08246")</f>
        <v>P08246</v>
      </c>
      <c r="DM456" t="s">
        <v>20376</v>
      </c>
      <c r="DN456" t="s">
        <v>13772</v>
      </c>
      <c r="DO456" t="s">
        <v>20377</v>
      </c>
      <c r="DP456" t="s">
        <v>13793</v>
      </c>
      <c r="DQ456" t="s">
        <v>13772</v>
      </c>
      <c r="DR456" t="s">
        <v>13807</v>
      </c>
      <c r="DS456" t="s">
        <v>13808</v>
      </c>
      <c r="DT456" t="s">
        <v>13772</v>
      </c>
      <c r="DU456" t="s">
        <v>15176</v>
      </c>
      <c r="DV456" t="s">
        <v>15472</v>
      </c>
      <c r="DW456" t="s">
        <v>13812</v>
      </c>
      <c r="DX456" t="s">
        <v>20378</v>
      </c>
      <c r="DY456" t="s">
        <v>20379</v>
      </c>
      <c r="DZ456" t="s">
        <v>20380</v>
      </c>
      <c r="EA456" t="s">
        <v>13772</v>
      </c>
      <c r="EB456" t="s">
        <v>20381</v>
      </c>
    </row>
    <row r="457" spans="1:132" hidden="1">
      <c r="A457">
        <v>1895</v>
      </c>
      <c r="B457">
        <v>1</v>
      </c>
      <c r="C457" t="s">
        <v>4471</v>
      </c>
      <c r="D457" t="s">
        <v>73</v>
      </c>
      <c r="E457" t="s">
        <v>73</v>
      </c>
      <c r="F457" t="s">
        <v>73</v>
      </c>
      <c r="G457" t="s">
        <v>73</v>
      </c>
      <c r="H457">
        <v>17.100000000000001</v>
      </c>
      <c r="I457">
        <v>451</v>
      </c>
      <c r="J457">
        <v>42494</v>
      </c>
      <c r="K457" t="s">
        <v>4472</v>
      </c>
      <c r="L457">
        <f t="shared" si="30"/>
        <v>83</v>
      </c>
      <c r="N457">
        <v>83</v>
      </c>
      <c r="O457">
        <v>83</v>
      </c>
      <c r="P457">
        <v>1</v>
      </c>
      <c r="Q457">
        <v>5</v>
      </c>
      <c r="R457">
        <v>9</v>
      </c>
      <c r="S457">
        <v>8</v>
      </c>
      <c r="T457">
        <v>12</v>
      </c>
      <c r="U457">
        <v>13</v>
      </c>
      <c r="V457">
        <v>6</v>
      </c>
      <c r="W457">
        <v>9</v>
      </c>
      <c r="X457">
        <v>3</v>
      </c>
      <c r="Y457">
        <v>1</v>
      </c>
      <c r="Z457">
        <v>0</v>
      </c>
      <c r="AA457">
        <v>4</v>
      </c>
      <c r="AB457">
        <v>3</v>
      </c>
      <c r="AC457">
        <v>0</v>
      </c>
      <c r="AD457">
        <v>0</v>
      </c>
      <c r="AE457">
        <v>1</v>
      </c>
      <c r="AF457">
        <v>4</v>
      </c>
      <c r="AG457">
        <v>2</v>
      </c>
      <c r="AH457">
        <v>2</v>
      </c>
      <c r="AI457">
        <v>1</v>
      </c>
      <c r="AJ457">
        <v>5</v>
      </c>
      <c r="AK457">
        <v>9</v>
      </c>
      <c r="AL457">
        <v>8</v>
      </c>
      <c r="AM457">
        <v>12</v>
      </c>
      <c r="AN457">
        <v>13</v>
      </c>
      <c r="AO457">
        <v>6</v>
      </c>
      <c r="AP457">
        <v>9</v>
      </c>
      <c r="AQ457">
        <v>3</v>
      </c>
      <c r="AR457">
        <v>1</v>
      </c>
      <c r="AS457">
        <v>0</v>
      </c>
      <c r="AT457">
        <v>4</v>
      </c>
      <c r="AU457">
        <v>3</v>
      </c>
      <c r="AV457">
        <v>0</v>
      </c>
      <c r="AW457">
        <v>0</v>
      </c>
      <c r="AX457">
        <v>1</v>
      </c>
      <c r="AY457">
        <v>4</v>
      </c>
      <c r="AZ457">
        <v>2</v>
      </c>
      <c r="BA457">
        <v>2</v>
      </c>
      <c r="BB457">
        <v>1</v>
      </c>
      <c r="BC457" s="2">
        <v>5</v>
      </c>
      <c r="BD457" s="2">
        <v>9</v>
      </c>
      <c r="BE457" s="2">
        <v>8</v>
      </c>
      <c r="BF457" s="2">
        <v>12</v>
      </c>
      <c r="BG457" s="2">
        <v>13</v>
      </c>
      <c r="BH457" s="2">
        <v>6</v>
      </c>
      <c r="BI457" s="2">
        <v>9</v>
      </c>
      <c r="BJ457" s="2">
        <v>3</v>
      </c>
      <c r="BK457" s="2">
        <v>1</v>
      </c>
      <c r="BL457" s="2">
        <v>0</v>
      </c>
      <c r="BM457" s="2">
        <v>4</v>
      </c>
      <c r="BN457" s="2">
        <v>3</v>
      </c>
      <c r="BO457" s="2">
        <v>0</v>
      </c>
      <c r="BP457" s="2">
        <v>0</v>
      </c>
      <c r="BQ457" s="2">
        <v>1</v>
      </c>
      <c r="BR457" s="2">
        <v>4</v>
      </c>
      <c r="BS457" s="2">
        <v>2</v>
      </c>
      <c r="BT457" s="2">
        <v>2</v>
      </c>
      <c r="BU457" s="2">
        <v>1</v>
      </c>
      <c r="BV457" s="2">
        <f t="shared" si="33"/>
        <v>83</v>
      </c>
      <c r="BW457" s="16">
        <f t="shared" si="31"/>
        <v>4.3684210526315788</v>
      </c>
      <c r="BX457" s="16">
        <f>COUNTIF($BC$6:BU457, "=0") / COUNTIF($BC$6:BU457, "&gt;-1")</f>
        <v>0.11387983232417327</v>
      </c>
      <c r="BY457" s="18">
        <f>SUM($BC$6:BU457) / $BY$4</f>
        <v>0.83357834736706593</v>
      </c>
      <c r="BZ457" s="14">
        <f t="shared" si="32"/>
        <v>3</v>
      </c>
      <c r="CA457" t="s">
        <v>5831</v>
      </c>
      <c r="CB457" s="36">
        <v>6.0582169791736504</v>
      </c>
      <c r="CC457" s="36">
        <v>8.6675770860970207</v>
      </c>
      <c r="CD457" s="36">
        <v>12.806381294498101</v>
      </c>
      <c r="CE457" s="36">
        <v>18.143061109838801</v>
      </c>
      <c r="CF457" s="36">
        <v>11.1822926791796</v>
      </c>
      <c r="CG457" s="36">
        <v>5.5783634798369501</v>
      </c>
      <c r="CH457" s="36">
        <v>9.4865605457817708</v>
      </c>
      <c r="CI457" s="36">
        <v>2.9195507939469199</v>
      </c>
      <c r="CJ457" s="37">
        <v>0.79475829324495695</v>
      </c>
      <c r="CK457" s="37">
        <v>2.5225985875531398</v>
      </c>
      <c r="CL457" s="37">
        <v>2.4001630448020301</v>
      </c>
      <c r="CM457" s="37">
        <v>0.21163676164998499</v>
      </c>
      <c r="CN457" s="37">
        <v>0.91879256581511404</v>
      </c>
      <c r="CO457" s="37">
        <v>3.1567622815404999</v>
      </c>
      <c r="CP457" s="37">
        <v>3.0170800957248498</v>
      </c>
      <c r="CQ457" s="37">
        <v>1.5226368464746201</v>
      </c>
      <c r="CR457" s="45">
        <v>-2.2570857423433202</v>
      </c>
      <c r="CS457" s="45">
        <v>-5.1457507655049799</v>
      </c>
      <c r="CT457" s="46">
        <v>3.4224142119025399E-6</v>
      </c>
      <c r="CU457" s="47">
        <v>1.4309969423517501E-5</v>
      </c>
      <c r="CV457" s="48">
        <v>9.3552504960440892</v>
      </c>
      <c r="CW457" s="49">
        <v>1.81805355960065</v>
      </c>
      <c r="CX457" s="31" t="s">
        <v>5875</v>
      </c>
      <c r="CY457" s="31" t="s">
        <v>5876</v>
      </c>
      <c r="CZ457" t="s">
        <v>12074</v>
      </c>
      <c r="DA457" t="s">
        <v>6759</v>
      </c>
      <c r="DB457">
        <v>198.4</v>
      </c>
      <c r="DC457" t="s">
        <v>31955</v>
      </c>
      <c r="DD457" t="s">
        <v>31956</v>
      </c>
      <c r="DE457" t="s">
        <v>31957</v>
      </c>
      <c r="DF457" t="s">
        <v>31958</v>
      </c>
      <c r="DG457" t="s">
        <v>31959</v>
      </c>
      <c r="DH457" t="str">
        <f>"SPN"</f>
        <v>SPN</v>
      </c>
      <c r="DI457" t="s">
        <v>31960</v>
      </c>
      <c r="DJ457" t="s">
        <v>13777</v>
      </c>
      <c r="DK457">
        <v>9606</v>
      </c>
      <c r="DL457" s="34" t="str">
        <f>HYPERLINK("http://www.uniprot.org/uniprot/P16150", "P16150")</f>
        <v>P16150</v>
      </c>
      <c r="DM457" t="s">
        <v>31961</v>
      </c>
      <c r="DN457" t="s">
        <v>13772</v>
      </c>
      <c r="DO457" t="s">
        <v>31962</v>
      </c>
      <c r="DP457" t="s">
        <v>13793</v>
      </c>
      <c r="DQ457" t="s">
        <v>13772</v>
      </c>
      <c r="DR457" t="s">
        <v>13772</v>
      </c>
      <c r="DS457" t="s">
        <v>13855</v>
      </c>
      <c r="DT457" t="s">
        <v>13772</v>
      </c>
      <c r="DU457" t="s">
        <v>13772</v>
      </c>
      <c r="DV457" t="s">
        <v>16810</v>
      </c>
      <c r="DW457" t="s">
        <v>13772</v>
      </c>
      <c r="DX457" t="s">
        <v>31963</v>
      </c>
      <c r="DY457" t="s">
        <v>31964</v>
      </c>
      <c r="DZ457" t="s">
        <v>31965</v>
      </c>
      <c r="EA457" t="s">
        <v>13772</v>
      </c>
      <c r="EB457" t="s">
        <v>31966</v>
      </c>
    </row>
    <row r="458" spans="1:132" hidden="1">
      <c r="A458">
        <v>2126</v>
      </c>
      <c r="B458">
        <v>1</v>
      </c>
      <c r="C458" t="s">
        <v>4986</v>
      </c>
      <c r="D458" t="s">
        <v>73</v>
      </c>
      <c r="E458" t="s">
        <v>73</v>
      </c>
      <c r="F458" t="s">
        <v>73</v>
      </c>
      <c r="G458" t="s">
        <v>73</v>
      </c>
      <c r="H458">
        <v>29</v>
      </c>
      <c r="I458">
        <v>335</v>
      </c>
      <c r="J458">
        <v>36363</v>
      </c>
      <c r="K458" t="s">
        <v>4987</v>
      </c>
      <c r="L458">
        <f t="shared" si="30"/>
        <v>83</v>
      </c>
      <c r="N458">
        <v>83</v>
      </c>
      <c r="O458">
        <v>83</v>
      </c>
      <c r="P458">
        <v>1</v>
      </c>
      <c r="Q458">
        <v>4</v>
      </c>
      <c r="R458">
        <v>10</v>
      </c>
      <c r="S458">
        <v>6</v>
      </c>
      <c r="T458">
        <v>8</v>
      </c>
      <c r="U458">
        <v>9</v>
      </c>
      <c r="V458">
        <v>5</v>
      </c>
      <c r="W458">
        <v>8</v>
      </c>
      <c r="X458">
        <v>7</v>
      </c>
      <c r="Y458">
        <v>1</v>
      </c>
      <c r="Z458">
        <v>0</v>
      </c>
      <c r="AA458">
        <v>3</v>
      </c>
      <c r="AB458">
        <v>2</v>
      </c>
      <c r="AC458">
        <v>4</v>
      </c>
      <c r="AD458">
        <v>1</v>
      </c>
      <c r="AE458">
        <v>2</v>
      </c>
      <c r="AF458">
        <v>4</v>
      </c>
      <c r="AG458">
        <v>6</v>
      </c>
      <c r="AH458">
        <v>0</v>
      </c>
      <c r="AI458">
        <v>3</v>
      </c>
      <c r="AJ458">
        <v>4</v>
      </c>
      <c r="AK458">
        <v>10</v>
      </c>
      <c r="AL458">
        <v>6</v>
      </c>
      <c r="AM458">
        <v>8</v>
      </c>
      <c r="AN458">
        <v>9</v>
      </c>
      <c r="AO458">
        <v>5</v>
      </c>
      <c r="AP458">
        <v>8</v>
      </c>
      <c r="AQ458">
        <v>7</v>
      </c>
      <c r="AR458">
        <v>1</v>
      </c>
      <c r="AS458">
        <v>0</v>
      </c>
      <c r="AT458">
        <v>3</v>
      </c>
      <c r="AU458">
        <v>2</v>
      </c>
      <c r="AV458">
        <v>4</v>
      </c>
      <c r="AW458">
        <v>1</v>
      </c>
      <c r="AX458">
        <v>2</v>
      </c>
      <c r="AY458">
        <v>4</v>
      </c>
      <c r="AZ458">
        <v>6</v>
      </c>
      <c r="BA458">
        <v>0</v>
      </c>
      <c r="BB458">
        <v>3</v>
      </c>
      <c r="BC458" s="2">
        <v>4</v>
      </c>
      <c r="BD458" s="2">
        <v>10</v>
      </c>
      <c r="BE458" s="2">
        <v>6</v>
      </c>
      <c r="BF458" s="2">
        <v>8</v>
      </c>
      <c r="BG458" s="2">
        <v>9</v>
      </c>
      <c r="BH458" s="2">
        <v>5</v>
      </c>
      <c r="BI458" s="2">
        <v>8</v>
      </c>
      <c r="BJ458" s="2">
        <v>7</v>
      </c>
      <c r="BK458" s="2">
        <v>1</v>
      </c>
      <c r="BL458" s="2">
        <v>0</v>
      </c>
      <c r="BM458" s="2">
        <v>3</v>
      </c>
      <c r="BN458" s="2">
        <v>2</v>
      </c>
      <c r="BO458" s="2">
        <v>4</v>
      </c>
      <c r="BP458" s="2">
        <v>1</v>
      </c>
      <c r="BQ458" s="2">
        <v>2</v>
      </c>
      <c r="BR458" s="2">
        <v>4</v>
      </c>
      <c r="BS458" s="2">
        <v>6</v>
      </c>
      <c r="BT458" s="2">
        <v>0</v>
      </c>
      <c r="BU458" s="2">
        <v>3</v>
      </c>
      <c r="BV458" s="2">
        <f t="shared" si="33"/>
        <v>83</v>
      </c>
      <c r="BW458" s="16">
        <f t="shared" si="31"/>
        <v>4.3684210526315788</v>
      </c>
      <c r="BX458" s="16">
        <f>COUNTIF($BC$6:BU458, "=0") / COUNTIF($BC$6:BU458, "&gt;-1")</f>
        <v>0.11386081096781689</v>
      </c>
      <c r="BY458" s="18">
        <f>SUM($BC$6:BU458) / $BY$4</f>
        <v>0.83393388922716805</v>
      </c>
      <c r="BZ458" s="14">
        <f t="shared" si="32"/>
        <v>2</v>
      </c>
      <c r="CA458" t="s">
        <v>5831</v>
      </c>
      <c r="CB458" s="36">
        <v>4.8465735833389196</v>
      </c>
      <c r="CC458" s="36">
        <v>9.6306412067744702</v>
      </c>
      <c r="CD458" s="36">
        <v>9.6047859708735501</v>
      </c>
      <c r="CE458" s="36">
        <v>12.0953740732258</v>
      </c>
      <c r="CF458" s="36">
        <v>7.7415872394320298</v>
      </c>
      <c r="CG458" s="36">
        <v>4.6486362331974602</v>
      </c>
      <c r="CH458" s="36">
        <v>8.4324982629171306</v>
      </c>
      <c r="CI458" s="36">
        <v>6.8122851858761404</v>
      </c>
      <c r="CJ458" s="37">
        <v>0.79475829324495695</v>
      </c>
      <c r="CK458" s="37">
        <v>1.89194894066486</v>
      </c>
      <c r="CL458" s="37">
        <v>1.60010869653469</v>
      </c>
      <c r="CM458" s="37">
        <v>3.3861881863997598</v>
      </c>
      <c r="CN458" s="37">
        <v>1.8375851316302301</v>
      </c>
      <c r="CO458" s="37">
        <v>3.1567622815404999</v>
      </c>
      <c r="CP458" s="37">
        <v>9.0512402871745401</v>
      </c>
      <c r="CQ458" s="37">
        <v>4.5679105394238499</v>
      </c>
      <c r="CR458" s="45">
        <v>-1.3935727732196901</v>
      </c>
      <c r="CS458" s="45">
        <v>-2.42757217715506</v>
      </c>
      <c r="CT458" s="46">
        <v>2.0309869071483198E-3</v>
      </c>
      <c r="CU458" s="47">
        <v>4.2997792432981803E-3</v>
      </c>
      <c r="CV458" s="48">
        <v>7.9765477194544401</v>
      </c>
      <c r="CW458" s="49">
        <v>3.2858127945766702</v>
      </c>
      <c r="CX458" s="31" t="s">
        <v>5875</v>
      </c>
      <c r="CY458" s="31" t="s">
        <v>5876</v>
      </c>
      <c r="CZ458" t="s">
        <v>12833</v>
      </c>
      <c r="DA458" t="s">
        <v>5904</v>
      </c>
      <c r="DB458">
        <v>420.6</v>
      </c>
      <c r="DC458" t="s">
        <v>34101</v>
      </c>
      <c r="DD458" t="s">
        <v>34102</v>
      </c>
      <c r="DE458" t="s">
        <v>34103</v>
      </c>
      <c r="DF458" t="s">
        <v>34104</v>
      </c>
      <c r="DG458" t="s">
        <v>34105</v>
      </c>
      <c r="DH458" t="str">
        <f>"PLAUR"</f>
        <v>PLAUR</v>
      </c>
      <c r="DI458" t="s">
        <v>34106</v>
      </c>
      <c r="DJ458" t="s">
        <v>13777</v>
      </c>
      <c r="DK458">
        <v>9606</v>
      </c>
      <c r="DL458" s="34" t="str">
        <f>HYPERLINK("http://www.uniprot.org/uniprot/Q03405", "Q03405")</f>
        <v>Q03405</v>
      </c>
      <c r="DM458" t="s">
        <v>34107</v>
      </c>
      <c r="DN458" t="s">
        <v>13772</v>
      </c>
      <c r="DO458" t="s">
        <v>23642</v>
      </c>
      <c r="DP458" t="s">
        <v>13780</v>
      </c>
      <c r="DQ458" t="s">
        <v>13772</v>
      </c>
      <c r="DR458" t="s">
        <v>13772</v>
      </c>
      <c r="DS458" t="s">
        <v>14404</v>
      </c>
      <c r="DT458" t="s">
        <v>13772</v>
      </c>
      <c r="DU458" t="s">
        <v>13795</v>
      </c>
      <c r="DV458" t="s">
        <v>15699</v>
      </c>
      <c r="DW458" t="s">
        <v>13812</v>
      </c>
      <c r="DX458" t="s">
        <v>34108</v>
      </c>
      <c r="DY458" t="s">
        <v>34109</v>
      </c>
      <c r="DZ458" t="s">
        <v>34110</v>
      </c>
      <c r="EA458" t="s">
        <v>13772</v>
      </c>
      <c r="EB458" t="s">
        <v>34111</v>
      </c>
    </row>
    <row r="459" spans="1:132" hidden="1">
      <c r="A459">
        <v>2403</v>
      </c>
      <c r="B459">
        <v>1</v>
      </c>
      <c r="C459" t="s">
        <v>5598</v>
      </c>
      <c r="D459" t="s">
        <v>73</v>
      </c>
      <c r="E459" t="s">
        <v>73</v>
      </c>
      <c r="F459" t="s">
        <v>73</v>
      </c>
      <c r="G459" t="s">
        <v>73</v>
      </c>
      <c r="H459">
        <v>51.4</v>
      </c>
      <c r="I459">
        <v>510</v>
      </c>
      <c r="J459">
        <v>57462</v>
      </c>
      <c r="K459" t="s">
        <v>5599</v>
      </c>
      <c r="L459">
        <f t="shared" si="30"/>
        <v>83</v>
      </c>
      <c r="N459">
        <v>83</v>
      </c>
      <c r="O459">
        <v>83</v>
      </c>
      <c r="P459">
        <v>1</v>
      </c>
      <c r="Q459">
        <v>0</v>
      </c>
      <c r="R459">
        <v>4</v>
      </c>
      <c r="S459">
        <v>1</v>
      </c>
      <c r="T459">
        <v>3</v>
      </c>
      <c r="U459">
        <v>2</v>
      </c>
      <c r="V459">
        <v>2</v>
      </c>
      <c r="W459">
        <v>0</v>
      </c>
      <c r="X459">
        <v>2</v>
      </c>
      <c r="Y459">
        <v>2</v>
      </c>
      <c r="Z459">
        <v>1</v>
      </c>
      <c r="AA459">
        <v>11</v>
      </c>
      <c r="AB459">
        <v>27</v>
      </c>
      <c r="AC459">
        <v>3</v>
      </c>
      <c r="AD459">
        <v>1</v>
      </c>
      <c r="AE459">
        <v>6</v>
      </c>
      <c r="AF459">
        <v>14</v>
      </c>
      <c r="AG459">
        <v>3</v>
      </c>
      <c r="AH459">
        <v>0</v>
      </c>
      <c r="AI459">
        <v>1</v>
      </c>
      <c r="AJ459">
        <v>0</v>
      </c>
      <c r="AK459">
        <v>4</v>
      </c>
      <c r="AL459">
        <v>1</v>
      </c>
      <c r="AM459">
        <v>3</v>
      </c>
      <c r="AN459">
        <v>2</v>
      </c>
      <c r="AO459">
        <v>2</v>
      </c>
      <c r="AP459">
        <v>0</v>
      </c>
      <c r="AQ459">
        <v>2</v>
      </c>
      <c r="AR459">
        <v>2</v>
      </c>
      <c r="AS459">
        <v>1</v>
      </c>
      <c r="AT459">
        <v>11</v>
      </c>
      <c r="AU459">
        <v>27</v>
      </c>
      <c r="AV459">
        <v>3</v>
      </c>
      <c r="AW459">
        <v>1</v>
      </c>
      <c r="AX459">
        <v>6</v>
      </c>
      <c r="AY459">
        <v>14</v>
      </c>
      <c r="AZ459">
        <v>3</v>
      </c>
      <c r="BA459">
        <v>0</v>
      </c>
      <c r="BB459">
        <v>1</v>
      </c>
      <c r="BC459" s="2">
        <v>0</v>
      </c>
      <c r="BD459" s="2">
        <v>4</v>
      </c>
      <c r="BE459" s="2">
        <v>1</v>
      </c>
      <c r="BF459" s="2">
        <v>3</v>
      </c>
      <c r="BG459" s="2">
        <v>2</v>
      </c>
      <c r="BH459" s="2">
        <v>2</v>
      </c>
      <c r="BI459" s="2">
        <v>0</v>
      </c>
      <c r="BJ459" s="2">
        <v>2</v>
      </c>
      <c r="BK459" s="2">
        <v>2</v>
      </c>
      <c r="BL459" s="2">
        <v>1</v>
      </c>
      <c r="BM459" s="2">
        <v>11</v>
      </c>
      <c r="BN459" s="2">
        <v>27</v>
      </c>
      <c r="BO459" s="2">
        <v>3</v>
      </c>
      <c r="BP459" s="2">
        <v>1</v>
      </c>
      <c r="BQ459" s="2">
        <v>6</v>
      </c>
      <c r="BR459" s="2">
        <v>14</v>
      </c>
      <c r="BS459" s="2">
        <v>3</v>
      </c>
      <c r="BT459" s="2">
        <v>0</v>
      </c>
      <c r="BU459" s="2">
        <v>1</v>
      </c>
      <c r="BV459" s="2">
        <f t="shared" si="33"/>
        <v>83</v>
      </c>
      <c r="BW459" s="16">
        <f t="shared" si="31"/>
        <v>4.3684210526315788</v>
      </c>
      <c r="BX459" s="16">
        <f>COUNTIF($BC$6:BU459, "=0") / COUNTIF($BC$6:BU459, "&gt;-1")</f>
        <v>0.11395780199397171</v>
      </c>
      <c r="BY459" s="18">
        <f>SUM($BC$6:BU459) / $BY$4</f>
        <v>0.83428943108727016</v>
      </c>
      <c r="BZ459" s="14">
        <f t="shared" si="32"/>
        <v>3</v>
      </c>
      <c r="CA459" t="s">
        <v>5831</v>
      </c>
      <c r="CB459" s="36">
        <v>0.30291084895868198</v>
      </c>
      <c r="CC459" s="36">
        <v>3.85225648270979</v>
      </c>
      <c r="CD459" s="36">
        <v>1.6007976618122599</v>
      </c>
      <c r="CE459" s="36">
        <v>4.5357652774596904</v>
      </c>
      <c r="CF459" s="36">
        <v>1.72035271987378</v>
      </c>
      <c r="CG459" s="36">
        <v>1.85945449327898</v>
      </c>
      <c r="CH459" s="36">
        <v>0.26351557071616</v>
      </c>
      <c r="CI459" s="36">
        <v>1.9463671959646101</v>
      </c>
      <c r="CJ459" s="37">
        <v>1.5895165864899099</v>
      </c>
      <c r="CK459" s="37">
        <v>6.9371461157711396</v>
      </c>
      <c r="CL459" s="37">
        <v>21.601467403218301</v>
      </c>
      <c r="CM459" s="37">
        <v>2.5396411397998202</v>
      </c>
      <c r="CN459" s="37">
        <v>5.5127553948906796</v>
      </c>
      <c r="CO459" s="37">
        <v>11.048667985391701</v>
      </c>
      <c r="CP459" s="37">
        <v>4.5256201435872701</v>
      </c>
      <c r="CQ459" s="37">
        <v>1.5226368464746201</v>
      </c>
      <c r="CR459" s="45">
        <v>1.7730927652869799</v>
      </c>
      <c r="CS459" s="45">
        <v>3.43734886307465</v>
      </c>
      <c r="CT459" s="46">
        <v>5.5845520447843997E-3</v>
      </c>
      <c r="CU459" s="47">
        <v>1.0892318711255899E-2</v>
      </c>
      <c r="CV459" s="48">
        <v>2.01017753134674</v>
      </c>
      <c r="CW459" s="49">
        <v>6.9096814519529302</v>
      </c>
      <c r="CX459" s="31" t="s">
        <v>5874</v>
      </c>
      <c r="CY459" s="31" t="s">
        <v>5878</v>
      </c>
      <c r="CZ459" t="s">
        <v>13723</v>
      </c>
      <c r="DA459" t="s">
        <v>5904</v>
      </c>
      <c r="DB459">
        <v>899.4</v>
      </c>
      <c r="DC459" t="s">
        <v>36598</v>
      </c>
      <c r="DD459" t="s">
        <v>36599</v>
      </c>
      <c r="DE459" t="s">
        <v>36600</v>
      </c>
      <c r="DF459" t="s">
        <v>36601</v>
      </c>
      <c r="DG459" t="s">
        <v>36602</v>
      </c>
      <c r="DH459" t="str">
        <f>"P4HB"</f>
        <v>P4HB</v>
      </c>
      <c r="DI459" t="s">
        <v>36603</v>
      </c>
      <c r="DJ459" t="s">
        <v>13777</v>
      </c>
      <c r="DK459">
        <v>9606</v>
      </c>
      <c r="DL459" s="34" t="str">
        <f>HYPERLINK("http://www.uniprot.org/uniprot/P07237", "P07237")</f>
        <v>P07237</v>
      </c>
      <c r="DM459" t="s">
        <v>36604</v>
      </c>
      <c r="DN459" t="s">
        <v>13772</v>
      </c>
      <c r="DO459" t="s">
        <v>24225</v>
      </c>
      <c r="DP459" t="s">
        <v>13772</v>
      </c>
      <c r="DQ459" t="s">
        <v>13772</v>
      </c>
      <c r="DR459" t="s">
        <v>36605</v>
      </c>
      <c r="DS459" t="s">
        <v>14909</v>
      </c>
      <c r="DT459" t="s">
        <v>13772</v>
      </c>
      <c r="DU459" t="s">
        <v>23747</v>
      </c>
      <c r="DV459" t="s">
        <v>15256</v>
      </c>
      <c r="DW459" t="s">
        <v>13812</v>
      </c>
      <c r="DX459" t="s">
        <v>36606</v>
      </c>
      <c r="DY459" t="s">
        <v>36607</v>
      </c>
      <c r="DZ459" t="s">
        <v>36608</v>
      </c>
      <c r="EA459" t="s">
        <v>13772</v>
      </c>
      <c r="EB459" t="s">
        <v>36609</v>
      </c>
    </row>
    <row r="460" spans="1:132" hidden="1">
      <c r="A460">
        <v>1483</v>
      </c>
      <c r="B460">
        <v>1</v>
      </c>
      <c r="C460" t="s">
        <v>3530</v>
      </c>
      <c r="D460" t="s">
        <v>73</v>
      </c>
      <c r="E460" t="s">
        <v>73</v>
      </c>
      <c r="F460" t="s">
        <v>304</v>
      </c>
      <c r="G460" t="s">
        <v>73</v>
      </c>
      <c r="H460">
        <v>38.5</v>
      </c>
      <c r="I460">
        <v>641</v>
      </c>
      <c r="J460">
        <v>70097</v>
      </c>
      <c r="K460" t="s">
        <v>3531</v>
      </c>
      <c r="L460">
        <f t="shared" si="30"/>
        <v>107</v>
      </c>
      <c r="N460">
        <v>107</v>
      </c>
      <c r="O460">
        <v>52</v>
      </c>
      <c r="P460">
        <v>0.48599999999999999</v>
      </c>
      <c r="Q460">
        <v>2</v>
      </c>
      <c r="R460">
        <v>9</v>
      </c>
      <c r="S460">
        <v>2</v>
      </c>
      <c r="T460">
        <v>1</v>
      </c>
      <c r="U460">
        <v>5</v>
      </c>
      <c r="V460">
        <v>6</v>
      </c>
      <c r="W460">
        <v>5</v>
      </c>
      <c r="X460">
        <v>2</v>
      </c>
      <c r="Y460">
        <v>8</v>
      </c>
      <c r="Z460">
        <v>2</v>
      </c>
      <c r="AA460">
        <v>16</v>
      </c>
      <c r="AB460">
        <v>12</v>
      </c>
      <c r="AC460">
        <v>13</v>
      </c>
      <c r="AD460">
        <v>6</v>
      </c>
      <c r="AE460">
        <v>10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6</v>
      </c>
      <c r="AL460">
        <v>0</v>
      </c>
      <c r="AM460">
        <v>0</v>
      </c>
      <c r="AN460">
        <v>3</v>
      </c>
      <c r="AO460">
        <v>3</v>
      </c>
      <c r="AP460">
        <v>1</v>
      </c>
      <c r="AQ460">
        <v>0</v>
      </c>
      <c r="AR460">
        <v>4</v>
      </c>
      <c r="AS460">
        <v>0</v>
      </c>
      <c r="AT460">
        <v>12</v>
      </c>
      <c r="AU460">
        <v>6</v>
      </c>
      <c r="AV460">
        <v>9</v>
      </c>
      <c r="AW460">
        <v>3</v>
      </c>
      <c r="AX460">
        <v>4</v>
      </c>
      <c r="AY460">
        <v>0</v>
      </c>
      <c r="AZ460">
        <v>1</v>
      </c>
      <c r="BA460">
        <v>0</v>
      </c>
      <c r="BB460">
        <v>0</v>
      </c>
      <c r="BC460" s="2">
        <v>0.5</v>
      </c>
      <c r="BD460" s="2">
        <v>7.8609999999999998</v>
      </c>
      <c r="BE460" s="2">
        <v>0.5</v>
      </c>
      <c r="BF460" s="2">
        <v>0</v>
      </c>
      <c r="BG460" s="2">
        <v>3.4449999999999998</v>
      </c>
      <c r="BH460" s="2">
        <v>4.5750000000000002</v>
      </c>
      <c r="BI460" s="2">
        <v>3.41</v>
      </c>
      <c r="BJ460" s="2">
        <v>0.5</v>
      </c>
      <c r="BK460" s="2">
        <v>6.4260000000000002</v>
      </c>
      <c r="BL460" s="2">
        <v>0.5</v>
      </c>
      <c r="BM460" s="2">
        <v>15.429</v>
      </c>
      <c r="BN460" s="2">
        <v>10.135999999999999</v>
      </c>
      <c r="BO460" s="2">
        <v>12.75</v>
      </c>
      <c r="BP460" s="2">
        <v>5.6</v>
      </c>
      <c r="BQ460" s="2">
        <v>7.524</v>
      </c>
      <c r="BR460" s="2">
        <v>0.5</v>
      </c>
      <c r="BS460" s="2">
        <v>3</v>
      </c>
      <c r="BT460" s="2">
        <v>0.2</v>
      </c>
      <c r="BU460" s="2">
        <v>0</v>
      </c>
      <c r="BV460" s="2">
        <f t="shared" si="33"/>
        <v>82.855999999999995</v>
      </c>
      <c r="BW460" s="16">
        <f t="shared" si="31"/>
        <v>4.3608421052631572</v>
      </c>
      <c r="BX460" s="16">
        <f>COUNTIF($BC$6:BU460, "=0") / COUNTIF($BC$6:BU460, "&gt;-1")</f>
        <v>0.1139386928860613</v>
      </c>
      <c r="BY460" s="18">
        <f>SUM($BC$6:BU460) / $BY$4</f>
        <v>0.8346443561036635</v>
      </c>
      <c r="BZ460" s="14">
        <f t="shared" si="32"/>
        <v>2</v>
      </c>
      <c r="CA460" t="s">
        <v>5831</v>
      </c>
      <c r="CB460" s="36">
        <v>0.60582169791736495</v>
      </c>
      <c r="CC460" s="36">
        <v>7.6082065533518302</v>
      </c>
      <c r="CD460" s="36">
        <v>0.80039883090612896</v>
      </c>
      <c r="CE460" s="36">
        <v>0.37798043978830698</v>
      </c>
      <c r="CF460" s="36">
        <v>2.9245996237854301</v>
      </c>
      <c r="CG460" s="36">
        <v>4.2767453345416602</v>
      </c>
      <c r="CH460" s="36">
        <v>3.58381176173978</v>
      </c>
      <c r="CI460" s="36">
        <v>0.48659179899115301</v>
      </c>
      <c r="CJ460" s="37">
        <v>5.0864530767677296</v>
      </c>
      <c r="CK460" s="37">
        <v>9.7120045620795992</v>
      </c>
      <c r="CL460" s="37">
        <v>8.0805489175001597</v>
      </c>
      <c r="CM460" s="37">
        <v>10.8358021964792</v>
      </c>
      <c r="CN460" s="37">
        <v>6.8909442436133599</v>
      </c>
      <c r="CO460" s="37">
        <v>0.39459528519256198</v>
      </c>
      <c r="CP460" s="37">
        <v>4.5256201435872701</v>
      </c>
      <c r="CQ460" s="37">
        <v>0.38065921161865401</v>
      </c>
      <c r="CR460" s="45">
        <v>1.0817736517938901</v>
      </c>
      <c r="CS460" s="45">
        <v>2.2215583131344201</v>
      </c>
      <c r="CT460" s="46">
        <v>8.5982942668806905E-2</v>
      </c>
      <c r="CU460" s="47">
        <v>0.124390721337007</v>
      </c>
      <c r="CV460" s="48">
        <v>2.5830195051277101</v>
      </c>
      <c r="CW460" s="49">
        <v>5.7383284546048197</v>
      </c>
      <c r="CX460" s="31" t="s">
        <v>5874</v>
      </c>
      <c r="CY460" s="31" t="s">
        <v>5832</v>
      </c>
      <c r="CZ460" t="s">
        <v>10676</v>
      </c>
      <c r="DA460" t="s">
        <v>5904</v>
      </c>
      <c r="DB460">
        <v>1304.7</v>
      </c>
      <c r="DC460" t="s">
        <v>28046</v>
      </c>
      <c r="DD460" t="s">
        <v>28047</v>
      </c>
      <c r="DE460" t="s">
        <v>28048</v>
      </c>
      <c r="DF460" t="s">
        <v>28049</v>
      </c>
      <c r="DG460" t="s">
        <v>28050</v>
      </c>
      <c r="DH460" t="str">
        <f>"HSPA1B"</f>
        <v>HSPA1B</v>
      </c>
      <c r="DI460" t="s">
        <v>13772</v>
      </c>
      <c r="DJ460" t="s">
        <v>13777</v>
      </c>
      <c r="DK460">
        <v>9606</v>
      </c>
      <c r="DL460" s="34" t="str">
        <f>HYPERLINK("http://www.uniprot.org/uniprot/P0DMV9", "P0DMV9")</f>
        <v>P0DMV9</v>
      </c>
      <c r="DM460" t="s">
        <v>28051</v>
      </c>
      <c r="DN460" t="s">
        <v>15280</v>
      </c>
      <c r="DO460" t="s">
        <v>13988</v>
      </c>
      <c r="DP460" t="s">
        <v>13793</v>
      </c>
      <c r="DQ460" t="s">
        <v>13772</v>
      </c>
      <c r="DR460" t="s">
        <v>13772</v>
      </c>
      <c r="DS460" t="s">
        <v>13772</v>
      </c>
      <c r="DT460" t="s">
        <v>14005</v>
      </c>
      <c r="DU460" t="s">
        <v>28052</v>
      </c>
      <c r="DV460" t="s">
        <v>14098</v>
      </c>
      <c r="DW460" t="s">
        <v>13812</v>
      </c>
      <c r="DX460" t="s">
        <v>28053</v>
      </c>
      <c r="DY460" t="s">
        <v>28054</v>
      </c>
      <c r="DZ460" t="s">
        <v>28055</v>
      </c>
      <c r="EA460" t="s">
        <v>13772</v>
      </c>
      <c r="EB460" t="s">
        <v>28056</v>
      </c>
    </row>
    <row r="461" spans="1:132" hidden="1">
      <c r="A461">
        <v>119</v>
      </c>
      <c r="B461">
        <v>1</v>
      </c>
      <c r="C461" t="s">
        <v>310</v>
      </c>
      <c r="D461" t="s">
        <v>73</v>
      </c>
      <c r="E461" t="s">
        <v>73</v>
      </c>
      <c r="F461" t="s">
        <v>73</v>
      </c>
      <c r="G461" t="s">
        <v>73</v>
      </c>
      <c r="H461">
        <v>10.8</v>
      </c>
      <c r="I461">
        <v>2244</v>
      </c>
      <c r="J461">
        <v>230915</v>
      </c>
      <c r="K461" t="s">
        <v>311</v>
      </c>
      <c r="L461">
        <f t="shared" si="30"/>
        <v>82</v>
      </c>
      <c r="N461">
        <v>82</v>
      </c>
      <c r="O461">
        <v>82</v>
      </c>
      <c r="P461">
        <v>1</v>
      </c>
      <c r="Q461">
        <v>4</v>
      </c>
      <c r="R461">
        <v>8</v>
      </c>
      <c r="S461">
        <v>18</v>
      </c>
      <c r="T461">
        <v>12</v>
      </c>
      <c r="U461">
        <v>11</v>
      </c>
      <c r="V461">
        <v>17</v>
      </c>
      <c r="W461">
        <v>9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4</v>
      </c>
      <c r="AK461">
        <v>8</v>
      </c>
      <c r="AL461">
        <v>18</v>
      </c>
      <c r="AM461">
        <v>12</v>
      </c>
      <c r="AN461">
        <v>11</v>
      </c>
      <c r="AO461">
        <v>17</v>
      </c>
      <c r="AP461">
        <v>9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B461">
        <v>0</v>
      </c>
      <c r="BC461" s="2">
        <v>4</v>
      </c>
      <c r="BD461" s="2">
        <v>8</v>
      </c>
      <c r="BE461" s="2">
        <v>18</v>
      </c>
      <c r="BF461" s="2">
        <v>12</v>
      </c>
      <c r="BG461" s="2">
        <v>11</v>
      </c>
      <c r="BH461" s="2">
        <v>17</v>
      </c>
      <c r="BI461" s="2">
        <v>9</v>
      </c>
      <c r="BJ461" s="2">
        <v>0</v>
      </c>
      <c r="BK461" s="2">
        <v>0</v>
      </c>
      <c r="BL461" s="2">
        <v>0</v>
      </c>
      <c r="BM461" s="2">
        <v>1</v>
      </c>
      <c r="BN461" s="2">
        <v>0</v>
      </c>
      <c r="BO461" s="2">
        <v>0</v>
      </c>
      <c r="BP461" s="2">
        <v>1</v>
      </c>
      <c r="BQ461" s="2">
        <v>0</v>
      </c>
      <c r="BR461" s="2">
        <v>1</v>
      </c>
      <c r="BS461" s="2">
        <v>0</v>
      </c>
      <c r="BT461" s="2">
        <v>0</v>
      </c>
      <c r="BU461" s="2">
        <v>0</v>
      </c>
      <c r="BV461" s="2">
        <f t="shared" si="33"/>
        <v>82</v>
      </c>
      <c r="BW461" s="16">
        <f t="shared" si="31"/>
        <v>4.3157894736842106</v>
      </c>
      <c r="BX461" s="16">
        <f>COUNTIF($BC$6:BU461, "=0") / COUNTIF($BC$6:BU461, "&gt;-1")</f>
        <v>0.11472760849492152</v>
      </c>
      <c r="BY461" s="18">
        <f>SUM($BC$6:BU461) / $BY$4</f>
        <v>0.83499561432689695</v>
      </c>
      <c r="BZ461" s="14">
        <f t="shared" si="32"/>
        <v>9</v>
      </c>
      <c r="CA461" t="s">
        <v>5831</v>
      </c>
      <c r="CB461" s="36">
        <v>4.8465735833389196</v>
      </c>
      <c r="CC461" s="36">
        <v>7.7045129654195703</v>
      </c>
      <c r="CD461" s="36">
        <v>28.814357912620601</v>
      </c>
      <c r="CE461" s="36">
        <v>18.143061109838801</v>
      </c>
      <c r="CF461" s="36">
        <v>9.4619399593058091</v>
      </c>
      <c r="CG461" s="36">
        <v>15.805363192871299</v>
      </c>
      <c r="CH461" s="36">
        <v>9.4865605457817708</v>
      </c>
      <c r="CI461" s="36">
        <v>0.24329589949557701</v>
      </c>
      <c r="CJ461" s="37">
        <v>0.19868957331123899</v>
      </c>
      <c r="CK461" s="37">
        <v>0.63064964688828595</v>
      </c>
      <c r="CL461" s="37">
        <v>0.200013587066836</v>
      </c>
      <c r="CM461" s="37">
        <v>0.21163676164998499</v>
      </c>
      <c r="CN461" s="37">
        <v>0.22969814145377901</v>
      </c>
      <c r="CO461" s="37">
        <v>0.78919057038512497</v>
      </c>
      <c r="CP461" s="37">
        <v>0.377135011965606</v>
      </c>
      <c r="CQ461" s="37">
        <v>0.38065921161865401</v>
      </c>
      <c r="CR461" s="45">
        <v>-4.5201959540282504</v>
      </c>
      <c r="CS461" s="45">
        <v>-31.3174027442574</v>
      </c>
      <c r="CT461" s="46">
        <v>2.0636846216492099E-9</v>
      </c>
      <c r="CU461" s="47">
        <v>2.3803534687643501E-8</v>
      </c>
      <c r="CV461" s="48">
        <v>11.813208146083999</v>
      </c>
      <c r="CW461" s="49">
        <v>0.37720906304243901</v>
      </c>
      <c r="CX461" s="31" t="s">
        <v>5875</v>
      </c>
      <c r="CY461" s="31" t="s">
        <v>5876</v>
      </c>
      <c r="CZ461" t="s">
        <v>6102</v>
      </c>
      <c r="DA461" t="s">
        <v>5904</v>
      </c>
      <c r="DB461">
        <v>2973</v>
      </c>
      <c r="DC461" t="s">
        <v>14510</v>
      </c>
      <c r="DD461" t="s">
        <v>14511</v>
      </c>
      <c r="DE461" t="s">
        <v>14512</v>
      </c>
      <c r="DF461" t="s">
        <v>14513</v>
      </c>
      <c r="DG461" t="s">
        <v>14514</v>
      </c>
      <c r="DH461" t="str">
        <f>"ACAN"</f>
        <v>ACAN</v>
      </c>
      <c r="DI461" t="s">
        <v>14515</v>
      </c>
      <c r="DJ461" t="s">
        <v>13777</v>
      </c>
      <c r="DK461">
        <v>9606</v>
      </c>
      <c r="DL461" s="34" t="str">
        <f>HYPERLINK("http://www.uniprot.org/uniprot/P16112", "P16112")</f>
        <v>P16112</v>
      </c>
      <c r="DM461" t="s">
        <v>14516</v>
      </c>
      <c r="DN461" t="s">
        <v>13772</v>
      </c>
      <c r="DO461" t="s">
        <v>13869</v>
      </c>
      <c r="DP461" t="s">
        <v>13780</v>
      </c>
      <c r="DQ461" t="s">
        <v>13772</v>
      </c>
      <c r="DR461" t="s">
        <v>14517</v>
      </c>
      <c r="DS461" t="s">
        <v>14518</v>
      </c>
      <c r="DT461" t="s">
        <v>14519</v>
      </c>
      <c r="DU461" t="s">
        <v>13772</v>
      </c>
      <c r="DV461" t="s">
        <v>14520</v>
      </c>
      <c r="DW461" t="s">
        <v>13812</v>
      </c>
      <c r="DX461" t="s">
        <v>14521</v>
      </c>
      <c r="DY461" t="s">
        <v>14522</v>
      </c>
      <c r="DZ461" t="s">
        <v>14523</v>
      </c>
      <c r="EA461" t="s">
        <v>13772</v>
      </c>
      <c r="EB461" t="s">
        <v>14524</v>
      </c>
    </row>
    <row r="462" spans="1:132" hidden="1">
      <c r="A462">
        <v>317</v>
      </c>
      <c r="B462">
        <v>1</v>
      </c>
      <c r="C462" t="s">
        <v>794</v>
      </c>
      <c r="D462" t="s">
        <v>73</v>
      </c>
      <c r="E462" t="s">
        <v>73</v>
      </c>
      <c r="F462" t="s">
        <v>795</v>
      </c>
      <c r="G462" t="s">
        <v>73</v>
      </c>
      <c r="H462">
        <v>64</v>
      </c>
      <c r="I462">
        <v>353</v>
      </c>
      <c r="J462">
        <v>37429</v>
      </c>
      <c r="K462" t="s">
        <v>796</v>
      </c>
      <c r="L462">
        <f t="shared" si="30"/>
        <v>82</v>
      </c>
      <c r="N462">
        <v>82</v>
      </c>
      <c r="O462">
        <v>71</v>
      </c>
      <c r="P462">
        <v>0.86599999999999999</v>
      </c>
      <c r="Q462">
        <v>0</v>
      </c>
      <c r="R462">
        <v>6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4</v>
      </c>
      <c r="Y462">
        <v>8</v>
      </c>
      <c r="Z462">
        <v>0</v>
      </c>
      <c r="AA462">
        <v>17</v>
      </c>
      <c r="AB462">
        <v>16</v>
      </c>
      <c r="AC462">
        <v>11</v>
      </c>
      <c r="AD462">
        <v>0</v>
      </c>
      <c r="AE462">
        <v>9</v>
      </c>
      <c r="AF462">
        <v>7</v>
      </c>
      <c r="AG462">
        <v>1</v>
      </c>
      <c r="AH462">
        <v>0</v>
      </c>
      <c r="AI462">
        <v>0</v>
      </c>
      <c r="AJ462">
        <v>0</v>
      </c>
      <c r="AK462">
        <v>6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4</v>
      </c>
      <c r="AR462">
        <v>5</v>
      </c>
      <c r="AS462">
        <v>0</v>
      </c>
      <c r="AT462">
        <v>14</v>
      </c>
      <c r="AU462">
        <v>14</v>
      </c>
      <c r="AV462">
        <v>9</v>
      </c>
      <c r="AW462">
        <v>0</v>
      </c>
      <c r="AX462">
        <v>8</v>
      </c>
      <c r="AY462">
        <v>7</v>
      </c>
      <c r="AZ462">
        <v>1</v>
      </c>
      <c r="BA462">
        <v>0</v>
      </c>
      <c r="BB462">
        <v>0</v>
      </c>
      <c r="BC462" s="2">
        <v>0</v>
      </c>
      <c r="BD462" s="2">
        <v>6</v>
      </c>
      <c r="BE462" s="2">
        <v>0</v>
      </c>
      <c r="BF462" s="2">
        <v>0</v>
      </c>
      <c r="BG462" s="2">
        <v>1</v>
      </c>
      <c r="BH462" s="2">
        <v>1</v>
      </c>
      <c r="BI462" s="2">
        <v>1</v>
      </c>
      <c r="BJ462" s="2">
        <v>4</v>
      </c>
      <c r="BK462" s="2">
        <v>8</v>
      </c>
      <c r="BL462" s="2">
        <v>0</v>
      </c>
      <c r="BM462" s="2">
        <v>17</v>
      </c>
      <c r="BN462" s="2">
        <v>16</v>
      </c>
      <c r="BO462" s="2">
        <v>11</v>
      </c>
      <c r="BP462" s="2">
        <v>0</v>
      </c>
      <c r="BQ462" s="2">
        <v>9</v>
      </c>
      <c r="BR462" s="2">
        <v>7</v>
      </c>
      <c r="BS462" s="2">
        <v>1</v>
      </c>
      <c r="BT462" s="2">
        <v>0</v>
      </c>
      <c r="BU462" s="2">
        <v>0</v>
      </c>
      <c r="BV462" s="2">
        <f t="shared" si="33"/>
        <v>82</v>
      </c>
      <c r="BW462" s="16">
        <f t="shared" si="31"/>
        <v>4.3157894736842106</v>
      </c>
      <c r="BX462" s="16">
        <f>COUNTIF($BC$6:BU462, "=0") / COUNTIF($BC$6:BU462, "&gt;-1")</f>
        <v>0.11528273638143499</v>
      </c>
      <c r="BY462" s="18">
        <f>SUM($BC$6:BU462) / $BY$4</f>
        <v>0.8353468725501304</v>
      </c>
      <c r="BZ462" s="14">
        <f t="shared" si="32"/>
        <v>7</v>
      </c>
      <c r="CA462" t="s">
        <v>5831</v>
      </c>
      <c r="CB462" s="36">
        <v>0.30291084895868198</v>
      </c>
      <c r="CC462" s="36">
        <v>5.7783847240646802</v>
      </c>
      <c r="CD462" s="36">
        <v>0.40019941545306398</v>
      </c>
      <c r="CE462" s="36">
        <v>0.37798043978830698</v>
      </c>
      <c r="CF462" s="36">
        <v>0.86017635993689201</v>
      </c>
      <c r="CG462" s="36">
        <v>0.92972724663949102</v>
      </c>
      <c r="CH462" s="36">
        <v>1.05406228286464</v>
      </c>
      <c r="CI462" s="36">
        <v>3.8927343919292201</v>
      </c>
      <c r="CJ462" s="37">
        <v>6.35806634595966</v>
      </c>
      <c r="CK462" s="37">
        <v>10.7210439971009</v>
      </c>
      <c r="CL462" s="37">
        <v>12.800869572277501</v>
      </c>
      <c r="CM462" s="37">
        <v>9.3120175125993505</v>
      </c>
      <c r="CN462" s="37">
        <v>8.2691330923360304</v>
      </c>
      <c r="CO462" s="37">
        <v>5.5243339926958699</v>
      </c>
      <c r="CP462" s="37">
        <v>1.50854004786242</v>
      </c>
      <c r="CQ462" s="37">
        <v>0.38065921161865401</v>
      </c>
      <c r="CR462" s="45">
        <v>1.90873818304986</v>
      </c>
      <c r="CS462" s="45">
        <v>4.0360366726919503</v>
      </c>
      <c r="CT462" s="46">
        <v>2.1744019360694601E-3</v>
      </c>
      <c r="CU462" s="47">
        <v>4.5458590475952196E-3</v>
      </c>
      <c r="CV462" s="48">
        <v>1.6995219637043699</v>
      </c>
      <c r="CW462" s="49">
        <v>6.8593329715562898</v>
      </c>
      <c r="CX462" s="31" t="s">
        <v>5874</v>
      </c>
      <c r="CY462" s="31" t="s">
        <v>5876</v>
      </c>
      <c r="CZ462" t="s">
        <v>6794</v>
      </c>
      <c r="DA462" t="s">
        <v>5904</v>
      </c>
      <c r="DB462">
        <v>690.3</v>
      </c>
      <c r="DC462" t="s">
        <v>16717</v>
      </c>
      <c r="DD462" t="s">
        <v>13772</v>
      </c>
      <c r="DE462" t="s">
        <v>16718</v>
      </c>
      <c r="DF462" t="s">
        <v>16719</v>
      </c>
      <c r="DG462" t="s">
        <v>16720</v>
      </c>
      <c r="DH462" t="str">
        <f>"HNRNPA2B1"</f>
        <v>HNRNPA2B1</v>
      </c>
      <c r="DI462" t="s">
        <v>16721</v>
      </c>
      <c r="DJ462" t="s">
        <v>13777</v>
      </c>
      <c r="DK462">
        <v>9606</v>
      </c>
      <c r="DL462" s="34" t="str">
        <f>HYPERLINK("http://www.uniprot.org/uniprot/P22626", "P22626")</f>
        <v>P22626</v>
      </c>
      <c r="DM462" t="s">
        <v>16722</v>
      </c>
      <c r="DN462" t="s">
        <v>16723</v>
      </c>
      <c r="DO462" t="s">
        <v>15254</v>
      </c>
      <c r="DP462" t="s">
        <v>13841</v>
      </c>
      <c r="DQ462" t="s">
        <v>13772</v>
      </c>
      <c r="DR462" t="s">
        <v>13807</v>
      </c>
      <c r="DS462" t="s">
        <v>14096</v>
      </c>
      <c r="DT462" t="s">
        <v>13772</v>
      </c>
      <c r="DU462" t="s">
        <v>16089</v>
      </c>
      <c r="DV462" t="s">
        <v>14663</v>
      </c>
      <c r="DW462" t="s">
        <v>13812</v>
      </c>
      <c r="DX462" t="s">
        <v>16724</v>
      </c>
      <c r="DY462" t="s">
        <v>16725</v>
      </c>
      <c r="DZ462" t="s">
        <v>16726</v>
      </c>
      <c r="EA462" t="s">
        <v>13772</v>
      </c>
      <c r="EB462" t="s">
        <v>16727</v>
      </c>
    </row>
    <row r="463" spans="1:132" hidden="1">
      <c r="A463">
        <v>1804</v>
      </c>
      <c r="B463">
        <v>1</v>
      </c>
      <c r="C463" t="s">
        <v>4265</v>
      </c>
      <c r="D463" t="s">
        <v>73</v>
      </c>
      <c r="E463" t="s">
        <v>73</v>
      </c>
      <c r="F463" t="s">
        <v>73</v>
      </c>
      <c r="G463" t="s">
        <v>73</v>
      </c>
      <c r="H463">
        <v>42.7</v>
      </c>
      <c r="I463">
        <v>490</v>
      </c>
      <c r="J463">
        <v>54805</v>
      </c>
      <c r="K463" t="s">
        <v>4266</v>
      </c>
      <c r="L463">
        <f t="shared" si="30"/>
        <v>82</v>
      </c>
      <c r="N463">
        <v>82</v>
      </c>
      <c r="O463">
        <v>82</v>
      </c>
      <c r="P463">
        <v>1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8</v>
      </c>
      <c r="Z463">
        <v>0</v>
      </c>
      <c r="AA463">
        <v>24</v>
      </c>
      <c r="AB463">
        <v>9</v>
      </c>
      <c r="AC463">
        <v>9</v>
      </c>
      <c r="AD463">
        <v>0</v>
      </c>
      <c r="AE463">
        <v>5</v>
      </c>
      <c r="AF463">
        <v>9</v>
      </c>
      <c r="AG463">
        <v>5</v>
      </c>
      <c r="AH463">
        <v>0</v>
      </c>
      <c r="AI463">
        <v>7</v>
      </c>
      <c r="AJ463">
        <v>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</v>
      </c>
      <c r="AR463">
        <v>8</v>
      </c>
      <c r="AS463">
        <v>0</v>
      </c>
      <c r="AT463">
        <v>24</v>
      </c>
      <c r="AU463">
        <v>9</v>
      </c>
      <c r="AV463">
        <v>9</v>
      </c>
      <c r="AW463">
        <v>0</v>
      </c>
      <c r="AX463">
        <v>5</v>
      </c>
      <c r="AY463">
        <v>9</v>
      </c>
      <c r="AZ463">
        <v>5</v>
      </c>
      <c r="BA463">
        <v>0</v>
      </c>
      <c r="BB463">
        <v>7</v>
      </c>
      <c r="BC463" s="2">
        <v>3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3</v>
      </c>
      <c r="BK463" s="2">
        <v>8</v>
      </c>
      <c r="BL463" s="2">
        <v>0</v>
      </c>
      <c r="BM463" s="2">
        <v>24</v>
      </c>
      <c r="BN463" s="2">
        <v>9</v>
      </c>
      <c r="BO463" s="2">
        <v>9</v>
      </c>
      <c r="BP463" s="2">
        <v>0</v>
      </c>
      <c r="BQ463" s="2">
        <v>5</v>
      </c>
      <c r="BR463" s="2">
        <v>9</v>
      </c>
      <c r="BS463" s="2">
        <v>5</v>
      </c>
      <c r="BT463" s="2">
        <v>0</v>
      </c>
      <c r="BU463" s="2">
        <v>7</v>
      </c>
      <c r="BV463" s="2">
        <f t="shared" si="33"/>
        <v>82</v>
      </c>
      <c r="BW463" s="16">
        <f t="shared" si="31"/>
        <v>4.3157894736842106</v>
      </c>
      <c r="BX463" s="16">
        <f>COUNTIF($BC$6:BU463, "=0") / COUNTIF($BC$6:BU463, "&gt;-1")</f>
        <v>0.11606527235118363</v>
      </c>
      <c r="BY463" s="18">
        <f>SUM($BC$6:BU463) / $BY$4</f>
        <v>0.83569813077336375</v>
      </c>
      <c r="BZ463" s="14">
        <f t="shared" si="32"/>
        <v>9</v>
      </c>
      <c r="CA463" t="s">
        <v>5831</v>
      </c>
      <c r="CB463" s="36">
        <v>3.6349301875041902</v>
      </c>
      <c r="CC463" s="36">
        <v>0.24076603016936199</v>
      </c>
      <c r="CD463" s="36">
        <v>0.40019941545306398</v>
      </c>
      <c r="CE463" s="36">
        <v>0.37798043978830698</v>
      </c>
      <c r="CF463" s="36">
        <v>0.215044089984223</v>
      </c>
      <c r="CG463" s="36">
        <v>0.23243181165987301</v>
      </c>
      <c r="CH463" s="36">
        <v>0.26351557071616</v>
      </c>
      <c r="CI463" s="36">
        <v>2.9195507939469199</v>
      </c>
      <c r="CJ463" s="37">
        <v>6.35806634595966</v>
      </c>
      <c r="CK463" s="37">
        <v>15.135591525318899</v>
      </c>
      <c r="CL463" s="37">
        <v>7.2004891344060802</v>
      </c>
      <c r="CM463" s="37">
        <v>7.6189234193994704</v>
      </c>
      <c r="CN463" s="37">
        <v>4.5939628290755703</v>
      </c>
      <c r="CO463" s="37">
        <v>7.1027151334661296</v>
      </c>
      <c r="CP463" s="37">
        <v>7.5427002393121096</v>
      </c>
      <c r="CQ463" s="37">
        <v>10.658457925322301</v>
      </c>
      <c r="CR463" s="45">
        <v>2.8817682446388901</v>
      </c>
      <c r="CS463" s="45">
        <v>7.9922215225163704</v>
      </c>
      <c r="CT463" s="46">
        <v>1.0243492858090901E-7</v>
      </c>
      <c r="CU463" s="47">
        <v>6.8528967220627999E-7</v>
      </c>
      <c r="CV463" s="48">
        <v>1.03555229240276</v>
      </c>
      <c r="CW463" s="49">
        <v>8.2763633190325194</v>
      </c>
      <c r="CX463" s="31" t="s">
        <v>5874</v>
      </c>
      <c r="CY463" s="31" t="s">
        <v>5876</v>
      </c>
      <c r="CZ463" t="s">
        <v>11765</v>
      </c>
      <c r="DA463" t="s">
        <v>5904</v>
      </c>
      <c r="DB463">
        <v>826.6</v>
      </c>
      <c r="DC463" t="s">
        <v>31120</v>
      </c>
      <c r="DD463" t="s">
        <v>31121</v>
      </c>
      <c r="DE463" t="s">
        <v>31122</v>
      </c>
      <c r="DF463" t="s">
        <v>31123</v>
      </c>
      <c r="DG463" t="s">
        <v>31124</v>
      </c>
      <c r="DH463" t="str">
        <f>"MYOC"</f>
        <v>MYOC</v>
      </c>
      <c r="DI463" t="s">
        <v>31125</v>
      </c>
      <c r="DJ463" t="s">
        <v>13777</v>
      </c>
      <c r="DK463">
        <v>9606</v>
      </c>
      <c r="DL463" s="34" t="str">
        <f>HYPERLINK("http://www.uniprot.org/uniprot/Q99972", "Q99972")</f>
        <v>Q99972</v>
      </c>
      <c r="DM463" t="s">
        <v>31126</v>
      </c>
      <c r="DN463" t="s">
        <v>13772</v>
      </c>
      <c r="DO463" t="s">
        <v>31127</v>
      </c>
      <c r="DP463" t="s">
        <v>13793</v>
      </c>
      <c r="DQ463" t="s">
        <v>13772</v>
      </c>
      <c r="DR463" t="s">
        <v>31128</v>
      </c>
      <c r="DS463" t="s">
        <v>16820</v>
      </c>
      <c r="DT463" t="s">
        <v>13873</v>
      </c>
      <c r="DU463" t="s">
        <v>13772</v>
      </c>
      <c r="DV463" t="s">
        <v>19014</v>
      </c>
      <c r="DW463" t="s">
        <v>13812</v>
      </c>
      <c r="DX463" t="s">
        <v>31129</v>
      </c>
      <c r="DY463" t="s">
        <v>31130</v>
      </c>
      <c r="DZ463" t="s">
        <v>31131</v>
      </c>
      <c r="EA463" t="s">
        <v>13772</v>
      </c>
      <c r="EB463" t="s">
        <v>13772</v>
      </c>
    </row>
    <row r="464" spans="1:132" hidden="1">
      <c r="A464">
        <v>1988</v>
      </c>
      <c r="B464">
        <v>1</v>
      </c>
      <c r="C464" t="s">
        <v>4680</v>
      </c>
      <c r="D464" t="s">
        <v>73</v>
      </c>
      <c r="E464" t="s">
        <v>73</v>
      </c>
      <c r="F464" t="s">
        <v>73</v>
      </c>
      <c r="G464" t="s">
        <v>73</v>
      </c>
      <c r="H464">
        <v>43.9</v>
      </c>
      <c r="I464">
        <v>346</v>
      </c>
      <c r="J464">
        <v>35659</v>
      </c>
      <c r="K464" t="s">
        <v>4681</v>
      </c>
      <c r="L464">
        <f t="shared" si="30"/>
        <v>82</v>
      </c>
      <c r="N464">
        <v>82</v>
      </c>
      <c r="O464">
        <v>82</v>
      </c>
      <c r="P464">
        <v>1</v>
      </c>
      <c r="Q464">
        <v>1</v>
      </c>
      <c r="R464">
        <v>10</v>
      </c>
      <c r="S464">
        <v>5</v>
      </c>
      <c r="T464">
        <v>9</v>
      </c>
      <c r="U464">
        <v>7</v>
      </c>
      <c r="V464">
        <v>7</v>
      </c>
      <c r="W464">
        <v>10</v>
      </c>
      <c r="X464">
        <v>3</v>
      </c>
      <c r="Y464">
        <v>3</v>
      </c>
      <c r="Z464">
        <v>0</v>
      </c>
      <c r="AA464">
        <v>7</v>
      </c>
      <c r="AB464">
        <v>2</v>
      </c>
      <c r="AC464">
        <v>2</v>
      </c>
      <c r="AD464">
        <v>0</v>
      </c>
      <c r="AE464">
        <v>1</v>
      </c>
      <c r="AF464">
        <v>10</v>
      </c>
      <c r="AG464">
        <v>1</v>
      </c>
      <c r="AH464">
        <v>0</v>
      </c>
      <c r="AI464">
        <v>4</v>
      </c>
      <c r="AJ464">
        <v>1</v>
      </c>
      <c r="AK464">
        <v>10</v>
      </c>
      <c r="AL464">
        <v>5</v>
      </c>
      <c r="AM464">
        <v>9</v>
      </c>
      <c r="AN464">
        <v>7</v>
      </c>
      <c r="AO464">
        <v>7</v>
      </c>
      <c r="AP464">
        <v>10</v>
      </c>
      <c r="AQ464">
        <v>3</v>
      </c>
      <c r="AR464">
        <v>3</v>
      </c>
      <c r="AS464">
        <v>0</v>
      </c>
      <c r="AT464">
        <v>7</v>
      </c>
      <c r="AU464">
        <v>2</v>
      </c>
      <c r="AV464">
        <v>2</v>
      </c>
      <c r="AW464">
        <v>0</v>
      </c>
      <c r="AX464">
        <v>1</v>
      </c>
      <c r="AY464">
        <v>10</v>
      </c>
      <c r="AZ464">
        <v>1</v>
      </c>
      <c r="BA464">
        <v>0</v>
      </c>
      <c r="BB464">
        <v>4</v>
      </c>
      <c r="BC464" s="2">
        <v>1</v>
      </c>
      <c r="BD464" s="2">
        <v>10</v>
      </c>
      <c r="BE464" s="2">
        <v>5</v>
      </c>
      <c r="BF464" s="2">
        <v>9</v>
      </c>
      <c r="BG464" s="2">
        <v>7</v>
      </c>
      <c r="BH464" s="2">
        <v>7</v>
      </c>
      <c r="BI464" s="2">
        <v>10</v>
      </c>
      <c r="BJ464" s="2">
        <v>3</v>
      </c>
      <c r="BK464" s="2">
        <v>3</v>
      </c>
      <c r="BL464" s="2">
        <v>0</v>
      </c>
      <c r="BM464" s="2">
        <v>7</v>
      </c>
      <c r="BN464" s="2">
        <v>2</v>
      </c>
      <c r="BO464" s="2">
        <v>2</v>
      </c>
      <c r="BP464" s="2">
        <v>0</v>
      </c>
      <c r="BQ464" s="2">
        <v>1</v>
      </c>
      <c r="BR464" s="2">
        <v>10</v>
      </c>
      <c r="BS464" s="2">
        <v>1</v>
      </c>
      <c r="BT464" s="2">
        <v>0</v>
      </c>
      <c r="BU464" s="2">
        <v>4</v>
      </c>
      <c r="BV464" s="2">
        <f t="shared" si="33"/>
        <v>82</v>
      </c>
      <c r="BW464" s="16">
        <f t="shared" si="31"/>
        <v>4.3157894736842106</v>
      </c>
      <c r="BX464" s="16">
        <f>COUNTIF($BC$6:BU464, "=0") / COUNTIF($BC$6:BU464, "&gt;-1")</f>
        <v>0.11615640408210068</v>
      </c>
      <c r="BY464" s="18">
        <f>SUM($BC$6:BU464) / $BY$4</f>
        <v>0.8360493889965972</v>
      </c>
      <c r="BZ464" s="14">
        <f t="shared" si="32"/>
        <v>3</v>
      </c>
      <c r="CA464" t="s">
        <v>5831</v>
      </c>
      <c r="CB464" s="36">
        <v>1.2116433958347299</v>
      </c>
      <c r="CC464" s="36">
        <v>9.6306412067744702</v>
      </c>
      <c r="CD464" s="36">
        <v>8.00398830906129</v>
      </c>
      <c r="CE464" s="36">
        <v>13.6072958323791</v>
      </c>
      <c r="CF464" s="36">
        <v>6.0212345195582504</v>
      </c>
      <c r="CG464" s="36">
        <v>6.50809072647644</v>
      </c>
      <c r="CH464" s="36">
        <v>10.5406228286464</v>
      </c>
      <c r="CI464" s="36">
        <v>2.9195507939469199</v>
      </c>
      <c r="CJ464" s="37">
        <v>2.3842748797348698</v>
      </c>
      <c r="CK464" s="37">
        <v>4.4145475282179998</v>
      </c>
      <c r="CL464" s="37">
        <v>1.60010869653469</v>
      </c>
      <c r="CM464" s="37">
        <v>1.6930940931998799</v>
      </c>
      <c r="CN464" s="37">
        <v>0.91879256581511404</v>
      </c>
      <c r="CO464" s="37">
        <v>7.8919057038512497</v>
      </c>
      <c r="CP464" s="37">
        <v>1.50854004786242</v>
      </c>
      <c r="CQ464" s="37">
        <v>6.0905473858984696</v>
      </c>
      <c r="CR464" s="45">
        <v>-1.0897611166399399</v>
      </c>
      <c r="CS464" s="45">
        <v>-2.2052480802441798</v>
      </c>
      <c r="CT464" s="46">
        <v>3.0470596623439698E-2</v>
      </c>
      <c r="CU464" s="47">
        <v>4.9719095466051598E-2</v>
      </c>
      <c r="CV464" s="48">
        <v>7.3053834515846896</v>
      </c>
      <c r="CW464" s="49">
        <v>3.3127263626393399</v>
      </c>
      <c r="CX464" s="31" t="s">
        <v>5875</v>
      </c>
      <c r="CY464" s="31" t="s">
        <v>5878</v>
      </c>
      <c r="CZ464" t="s">
        <v>12381</v>
      </c>
      <c r="DA464" t="s">
        <v>5904</v>
      </c>
      <c r="DB464">
        <v>416</v>
      </c>
      <c r="DC464" t="s">
        <v>32848</v>
      </c>
      <c r="DD464" t="s">
        <v>13772</v>
      </c>
      <c r="DE464" t="s">
        <v>32849</v>
      </c>
      <c r="DF464" t="s">
        <v>32850</v>
      </c>
      <c r="DG464" t="s">
        <v>32851</v>
      </c>
      <c r="DH464" t="str">
        <f>"GAS1"</f>
        <v>GAS1</v>
      </c>
      <c r="DI464" t="s">
        <v>13772</v>
      </c>
      <c r="DJ464" t="s">
        <v>13777</v>
      </c>
      <c r="DK464">
        <v>9606</v>
      </c>
      <c r="DL464" s="34" t="str">
        <f>HYPERLINK("http://www.uniprot.org/uniprot/P54826", "P54826")</f>
        <v>P54826</v>
      </c>
      <c r="DM464" t="s">
        <v>32852</v>
      </c>
      <c r="DN464" t="s">
        <v>32853</v>
      </c>
      <c r="DO464" t="s">
        <v>13792</v>
      </c>
      <c r="DP464" t="s">
        <v>13772</v>
      </c>
      <c r="DQ464" t="s">
        <v>13772</v>
      </c>
      <c r="DR464" t="s">
        <v>13772</v>
      </c>
      <c r="DS464" t="s">
        <v>13808</v>
      </c>
      <c r="DT464" t="s">
        <v>13772</v>
      </c>
      <c r="DU464" t="s">
        <v>13772</v>
      </c>
      <c r="DV464" t="s">
        <v>27905</v>
      </c>
      <c r="DW464" t="s">
        <v>13772</v>
      </c>
      <c r="DX464" t="s">
        <v>32854</v>
      </c>
      <c r="DY464" t="s">
        <v>32855</v>
      </c>
      <c r="DZ464" t="s">
        <v>13772</v>
      </c>
      <c r="EA464" t="s">
        <v>13772</v>
      </c>
      <c r="EB464" t="s">
        <v>32856</v>
      </c>
    </row>
    <row r="465" spans="1:132" hidden="1">
      <c r="A465">
        <v>810</v>
      </c>
      <c r="B465">
        <v>1</v>
      </c>
      <c r="C465" t="s">
        <v>1986</v>
      </c>
      <c r="D465" t="s">
        <v>73</v>
      </c>
      <c r="E465" t="s">
        <v>73</v>
      </c>
      <c r="F465" t="s">
        <v>1987</v>
      </c>
      <c r="G465" t="s">
        <v>73</v>
      </c>
      <c r="H465">
        <v>64.099999999999994</v>
      </c>
      <c r="I465">
        <v>198</v>
      </c>
      <c r="J465">
        <v>22230</v>
      </c>
      <c r="K465" t="s">
        <v>1988</v>
      </c>
      <c r="L465">
        <f t="shared" si="30"/>
        <v>100</v>
      </c>
      <c r="N465">
        <v>100</v>
      </c>
      <c r="O465">
        <v>73</v>
      </c>
      <c r="P465">
        <v>0.73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10</v>
      </c>
      <c r="X465">
        <v>2</v>
      </c>
      <c r="Y465">
        <v>15</v>
      </c>
      <c r="Z465">
        <v>3</v>
      </c>
      <c r="AA465">
        <v>8</v>
      </c>
      <c r="AB465">
        <v>10</v>
      </c>
      <c r="AC465">
        <v>3</v>
      </c>
      <c r="AD465">
        <v>0</v>
      </c>
      <c r="AE465">
        <v>34</v>
      </c>
      <c r="AF465">
        <v>9</v>
      </c>
      <c r="AG465">
        <v>2</v>
      </c>
      <c r="AH465">
        <v>1</v>
      </c>
      <c r="AI465">
        <v>2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9</v>
      </c>
      <c r="AQ465">
        <v>2</v>
      </c>
      <c r="AR465">
        <v>7</v>
      </c>
      <c r="AS465">
        <v>3</v>
      </c>
      <c r="AT465">
        <v>6</v>
      </c>
      <c r="AU465">
        <v>6</v>
      </c>
      <c r="AV465">
        <v>2</v>
      </c>
      <c r="AW465">
        <v>0</v>
      </c>
      <c r="AX465">
        <v>26</v>
      </c>
      <c r="AY465">
        <v>6</v>
      </c>
      <c r="AZ465">
        <v>2</v>
      </c>
      <c r="BA465">
        <v>1</v>
      </c>
      <c r="BB465">
        <v>2</v>
      </c>
      <c r="BC465" s="2">
        <v>0</v>
      </c>
      <c r="BD465" s="2">
        <v>0</v>
      </c>
      <c r="BE465" s="2">
        <v>0</v>
      </c>
      <c r="BF465" s="2">
        <v>0</v>
      </c>
      <c r="BG465" s="2">
        <v>1</v>
      </c>
      <c r="BH465" s="2">
        <v>0</v>
      </c>
      <c r="BI465" s="2">
        <v>9.3000000000000007</v>
      </c>
      <c r="BJ465" s="2">
        <v>2</v>
      </c>
      <c r="BK465" s="2">
        <v>8.3019999999999996</v>
      </c>
      <c r="BL465" s="2">
        <v>3</v>
      </c>
      <c r="BM465" s="2">
        <v>6.2930000000000001</v>
      </c>
      <c r="BN465" s="2">
        <v>7.0659999999999998</v>
      </c>
      <c r="BO465" s="2">
        <v>2.105</v>
      </c>
      <c r="BP465" s="2">
        <v>0</v>
      </c>
      <c r="BQ465" s="2">
        <v>30.187000000000001</v>
      </c>
      <c r="BR465" s="2">
        <v>6.7850000000000001</v>
      </c>
      <c r="BS465" s="2">
        <v>2</v>
      </c>
      <c r="BT465" s="2">
        <v>1</v>
      </c>
      <c r="BU465" s="2">
        <v>2</v>
      </c>
      <c r="BV465" s="2">
        <f t="shared" si="33"/>
        <v>81.037999999999997</v>
      </c>
      <c r="BW465" s="16">
        <f t="shared" si="31"/>
        <v>4.2651578947368423</v>
      </c>
      <c r="BX465" s="16">
        <f>COUNTIF($BC$6:BU465, "=0") / COUNTIF($BC$6:BU465, "&gt;-1")</f>
        <v>0.1165903890160183</v>
      </c>
      <c r="BY465" s="18">
        <f>SUM($BC$6:BU465) / $BY$4</f>
        <v>0.83639652636116302</v>
      </c>
      <c r="BZ465" s="14">
        <f t="shared" si="32"/>
        <v>6</v>
      </c>
      <c r="CA465" t="s">
        <v>5831</v>
      </c>
      <c r="CB465" s="36">
        <v>0.30291084895868198</v>
      </c>
      <c r="CC465" s="36">
        <v>0.24076603016936199</v>
      </c>
      <c r="CD465" s="36">
        <v>0.40019941545306398</v>
      </c>
      <c r="CE465" s="36">
        <v>0.37798043978830698</v>
      </c>
      <c r="CF465" s="36">
        <v>0.86017635993689201</v>
      </c>
      <c r="CG465" s="36">
        <v>0.23243181165987301</v>
      </c>
      <c r="CH465" s="36">
        <v>9.8027792306411605</v>
      </c>
      <c r="CI465" s="36">
        <v>1.9463671959646101</v>
      </c>
      <c r="CJ465" s="37">
        <v>6.5964938339331498</v>
      </c>
      <c r="CK465" s="37">
        <v>3.9730927753962</v>
      </c>
      <c r="CL465" s="37">
        <v>5.68038587269813</v>
      </c>
      <c r="CM465" s="37">
        <v>1.77774879785988</v>
      </c>
      <c r="CN465" s="37">
        <v>27.7475354876164</v>
      </c>
      <c r="CO465" s="37">
        <v>5.3664958786188501</v>
      </c>
      <c r="CP465" s="37">
        <v>3.0170800957248498</v>
      </c>
      <c r="CQ465" s="37">
        <v>3.0452736929492299</v>
      </c>
      <c r="CR465" s="45">
        <v>1.9195647307078201</v>
      </c>
      <c r="CS465" s="45">
        <v>4.0388079771184398</v>
      </c>
      <c r="CT465" s="46">
        <v>1.06503319672218E-2</v>
      </c>
      <c r="CU465" s="47">
        <v>1.9520745441291499E-2</v>
      </c>
      <c r="CV465" s="48">
        <v>1.77045141657149</v>
      </c>
      <c r="CW465" s="49">
        <v>7.1505133043495901</v>
      </c>
      <c r="CX465" s="31" t="s">
        <v>5874</v>
      </c>
      <c r="CY465" s="31" t="s">
        <v>5878</v>
      </c>
      <c r="CZ465" t="s">
        <v>8474</v>
      </c>
      <c r="DA465" t="s">
        <v>5904</v>
      </c>
      <c r="DB465">
        <v>328.6</v>
      </c>
      <c r="DC465" t="s">
        <v>21783</v>
      </c>
      <c r="DD465" t="s">
        <v>21784</v>
      </c>
      <c r="DE465" t="s">
        <v>21785</v>
      </c>
      <c r="DF465" t="s">
        <v>21786</v>
      </c>
      <c r="DG465" t="s">
        <v>21787</v>
      </c>
      <c r="DH465" t="str">
        <f>"MYL3"</f>
        <v>MYL3</v>
      </c>
      <c r="DI465" t="s">
        <v>13772</v>
      </c>
      <c r="DJ465" t="s">
        <v>13777</v>
      </c>
      <c r="DK465">
        <v>9606</v>
      </c>
      <c r="DL465" s="34" t="str">
        <f>HYPERLINK("http://www.uniprot.org/uniprot/P08590", "P08590")</f>
        <v>P08590</v>
      </c>
      <c r="DM465" t="s">
        <v>21788</v>
      </c>
      <c r="DN465" t="s">
        <v>13772</v>
      </c>
      <c r="DO465" t="s">
        <v>13772</v>
      </c>
      <c r="DP465" t="s">
        <v>13772</v>
      </c>
      <c r="DQ465" t="s">
        <v>13772</v>
      </c>
      <c r="DR465" t="s">
        <v>14848</v>
      </c>
      <c r="DS465" t="s">
        <v>14096</v>
      </c>
      <c r="DT465" t="s">
        <v>13772</v>
      </c>
      <c r="DU465" t="s">
        <v>17523</v>
      </c>
      <c r="DV465" t="s">
        <v>14478</v>
      </c>
      <c r="DW465" t="s">
        <v>13812</v>
      </c>
      <c r="DX465" t="s">
        <v>21789</v>
      </c>
      <c r="DY465" t="s">
        <v>21790</v>
      </c>
      <c r="DZ465" t="s">
        <v>21791</v>
      </c>
      <c r="EA465" t="s">
        <v>13772</v>
      </c>
      <c r="EB465" t="s">
        <v>15657</v>
      </c>
    </row>
    <row r="466" spans="1:132" hidden="1">
      <c r="A466">
        <v>407</v>
      </c>
      <c r="B466">
        <v>1</v>
      </c>
      <c r="C466" t="s">
        <v>1021</v>
      </c>
      <c r="D466" t="s">
        <v>73</v>
      </c>
      <c r="E466" t="s">
        <v>73</v>
      </c>
      <c r="F466" t="s">
        <v>73</v>
      </c>
      <c r="G466" t="s">
        <v>73</v>
      </c>
      <c r="H466">
        <v>84.7</v>
      </c>
      <c r="I466">
        <v>118</v>
      </c>
      <c r="J466">
        <v>12779</v>
      </c>
      <c r="K466" t="s">
        <v>1022</v>
      </c>
      <c r="L466">
        <f t="shared" si="30"/>
        <v>81</v>
      </c>
      <c r="N466">
        <v>81</v>
      </c>
      <c r="O466">
        <v>81</v>
      </c>
      <c r="P466">
        <v>1</v>
      </c>
      <c r="Q466">
        <v>3</v>
      </c>
      <c r="R466">
        <v>5</v>
      </c>
      <c r="S466">
        <v>0</v>
      </c>
      <c r="T466">
        <v>1</v>
      </c>
      <c r="U466">
        <v>8</v>
      </c>
      <c r="V466">
        <v>3</v>
      </c>
      <c r="W466">
        <v>4</v>
      </c>
      <c r="X466">
        <v>10</v>
      </c>
      <c r="Y466">
        <v>12</v>
      </c>
      <c r="Z466">
        <v>0</v>
      </c>
      <c r="AA466">
        <v>7</v>
      </c>
      <c r="AB466">
        <v>4</v>
      </c>
      <c r="AC466">
        <v>5</v>
      </c>
      <c r="AD466">
        <v>3</v>
      </c>
      <c r="AE466">
        <v>6</v>
      </c>
      <c r="AF466">
        <v>6</v>
      </c>
      <c r="AG466">
        <v>1</v>
      </c>
      <c r="AH466">
        <v>1</v>
      </c>
      <c r="AI466">
        <v>2</v>
      </c>
      <c r="AJ466">
        <v>3</v>
      </c>
      <c r="AK466">
        <v>5</v>
      </c>
      <c r="AL466">
        <v>0</v>
      </c>
      <c r="AM466">
        <v>1</v>
      </c>
      <c r="AN466">
        <v>8</v>
      </c>
      <c r="AO466">
        <v>3</v>
      </c>
      <c r="AP466">
        <v>4</v>
      </c>
      <c r="AQ466">
        <v>10</v>
      </c>
      <c r="AR466">
        <v>12</v>
      </c>
      <c r="AS466">
        <v>0</v>
      </c>
      <c r="AT466">
        <v>7</v>
      </c>
      <c r="AU466">
        <v>4</v>
      </c>
      <c r="AV466">
        <v>5</v>
      </c>
      <c r="AW466">
        <v>3</v>
      </c>
      <c r="AX466">
        <v>6</v>
      </c>
      <c r="AY466">
        <v>6</v>
      </c>
      <c r="AZ466">
        <v>1</v>
      </c>
      <c r="BA466">
        <v>1</v>
      </c>
      <c r="BB466">
        <v>2</v>
      </c>
      <c r="BC466" s="2">
        <v>3</v>
      </c>
      <c r="BD466" s="2">
        <v>5</v>
      </c>
      <c r="BE466" s="2">
        <v>0</v>
      </c>
      <c r="BF466" s="2">
        <v>1</v>
      </c>
      <c r="BG466" s="2">
        <v>8</v>
      </c>
      <c r="BH466" s="2">
        <v>3</v>
      </c>
      <c r="BI466" s="2">
        <v>4</v>
      </c>
      <c r="BJ466" s="2">
        <v>10</v>
      </c>
      <c r="BK466" s="2">
        <v>12</v>
      </c>
      <c r="BL466" s="2">
        <v>0</v>
      </c>
      <c r="BM466" s="2">
        <v>7</v>
      </c>
      <c r="BN466" s="2">
        <v>4</v>
      </c>
      <c r="BO466" s="2">
        <v>5</v>
      </c>
      <c r="BP466" s="2">
        <v>3</v>
      </c>
      <c r="BQ466" s="2">
        <v>6</v>
      </c>
      <c r="BR466" s="2">
        <v>6</v>
      </c>
      <c r="BS466" s="2">
        <v>1</v>
      </c>
      <c r="BT466" s="2">
        <v>1</v>
      </c>
      <c r="BU466" s="2">
        <v>2</v>
      </c>
      <c r="BV466" s="2">
        <f t="shared" si="33"/>
        <v>81</v>
      </c>
      <c r="BW466" s="16">
        <f t="shared" si="31"/>
        <v>4.2631578947368425</v>
      </c>
      <c r="BX466" s="16">
        <f>COUNTIF($BC$6:BU466, "=0") / COUNTIF($BC$6:BU466, "&gt;-1")</f>
        <v>0.11656581801575522</v>
      </c>
      <c r="BY466" s="18">
        <f>SUM($BC$6:BU466) / $BY$4</f>
        <v>0.8367435009475277</v>
      </c>
      <c r="BZ466" s="14">
        <f t="shared" si="32"/>
        <v>2</v>
      </c>
      <c r="CA466" t="s">
        <v>5831</v>
      </c>
      <c r="CB466" s="36">
        <v>3.6349301875041902</v>
      </c>
      <c r="CC466" s="36">
        <v>4.8153206033872298</v>
      </c>
      <c r="CD466" s="36">
        <v>0.40019941545306398</v>
      </c>
      <c r="CE466" s="36">
        <v>1.5119217591532299</v>
      </c>
      <c r="CF466" s="36">
        <v>6.8814108794951396</v>
      </c>
      <c r="CG466" s="36">
        <v>2.7891817399184702</v>
      </c>
      <c r="CH466" s="36">
        <v>4.21624913145856</v>
      </c>
      <c r="CI466" s="36">
        <v>9.7318359798230603</v>
      </c>
      <c r="CJ466" s="37">
        <v>9.53709951893949</v>
      </c>
      <c r="CK466" s="37">
        <v>4.4145475282179998</v>
      </c>
      <c r="CL466" s="37">
        <v>3.2002173930693698</v>
      </c>
      <c r="CM466" s="37">
        <v>4.2327352329997003</v>
      </c>
      <c r="CN466" s="37">
        <v>5.5127553948906796</v>
      </c>
      <c r="CO466" s="37">
        <v>4.7351434223107498</v>
      </c>
      <c r="CP466" s="37">
        <v>1.50854004786242</v>
      </c>
      <c r="CQ466" s="37">
        <v>3.0452736929492299</v>
      </c>
      <c r="CR466" s="45">
        <v>6.3313126791936694E-2</v>
      </c>
      <c r="CS466" s="45">
        <v>1.0648968338165801</v>
      </c>
      <c r="CT466" s="46">
        <v>0.93113057402228705</v>
      </c>
      <c r="CU466" s="47">
        <v>0.95687611984778798</v>
      </c>
      <c r="CV466" s="48">
        <v>4.2476312120241202</v>
      </c>
      <c r="CW466" s="49">
        <v>4.5232890289049603</v>
      </c>
      <c r="CX466" s="31" t="s">
        <v>5874</v>
      </c>
      <c r="CY466" s="31" t="s">
        <v>5832</v>
      </c>
      <c r="CZ466" t="s">
        <v>7114</v>
      </c>
      <c r="DA466" t="s">
        <v>5904</v>
      </c>
      <c r="DB466">
        <v>210.3</v>
      </c>
      <c r="DC466" t="s">
        <v>17697</v>
      </c>
      <c r="DD466" t="s">
        <v>17698</v>
      </c>
      <c r="DE466" t="s">
        <v>17699</v>
      </c>
      <c r="DF466" t="s">
        <v>17700</v>
      </c>
      <c r="DG466" t="s">
        <v>17701</v>
      </c>
      <c r="DH466" t="str">
        <f>"DDT"</f>
        <v>DDT</v>
      </c>
      <c r="DI466" t="s">
        <v>13772</v>
      </c>
      <c r="DJ466" t="s">
        <v>13777</v>
      </c>
      <c r="DK466">
        <v>9606</v>
      </c>
      <c r="DL466" s="34" t="str">
        <f>HYPERLINK("http://www.uniprot.org/uniprot/P30046", "P30046")</f>
        <v>P30046</v>
      </c>
      <c r="DM466" t="s">
        <v>17702</v>
      </c>
      <c r="DN466" t="s">
        <v>17703</v>
      </c>
      <c r="DO466" t="s">
        <v>13899</v>
      </c>
      <c r="DP466" t="s">
        <v>13841</v>
      </c>
      <c r="DQ466" t="s">
        <v>13772</v>
      </c>
      <c r="DR466" t="s">
        <v>13772</v>
      </c>
      <c r="DS466" t="s">
        <v>13772</v>
      </c>
      <c r="DT466" t="s">
        <v>13772</v>
      </c>
      <c r="DU466" t="s">
        <v>15788</v>
      </c>
      <c r="DV466" t="s">
        <v>14020</v>
      </c>
      <c r="DW466" t="s">
        <v>13812</v>
      </c>
      <c r="DX466" t="s">
        <v>17704</v>
      </c>
      <c r="DY466" t="s">
        <v>17705</v>
      </c>
      <c r="DZ466" t="s">
        <v>17706</v>
      </c>
      <c r="EA466" t="s">
        <v>13772</v>
      </c>
      <c r="EB466" t="s">
        <v>13772</v>
      </c>
    </row>
    <row r="467" spans="1:132" hidden="1">
      <c r="A467">
        <v>766</v>
      </c>
      <c r="B467">
        <v>1</v>
      </c>
      <c r="C467" t="s">
        <v>1883</v>
      </c>
      <c r="D467" t="s">
        <v>73</v>
      </c>
      <c r="E467" t="s">
        <v>73</v>
      </c>
      <c r="F467" t="s">
        <v>73</v>
      </c>
      <c r="G467" t="s">
        <v>73</v>
      </c>
      <c r="H467">
        <v>37.4</v>
      </c>
      <c r="I467">
        <v>756</v>
      </c>
      <c r="J467">
        <v>82448</v>
      </c>
      <c r="K467" t="s">
        <v>1884</v>
      </c>
      <c r="L467">
        <f t="shared" si="30"/>
        <v>81</v>
      </c>
      <c r="N467">
        <v>81</v>
      </c>
      <c r="O467">
        <v>81</v>
      </c>
      <c r="P467">
        <v>1</v>
      </c>
      <c r="Q467">
        <v>8</v>
      </c>
      <c r="R467">
        <v>5</v>
      </c>
      <c r="S467">
        <v>15</v>
      </c>
      <c r="T467">
        <v>7</v>
      </c>
      <c r="U467">
        <v>8</v>
      </c>
      <c r="V467">
        <v>8</v>
      </c>
      <c r="W467">
        <v>7</v>
      </c>
      <c r="X467">
        <v>9</v>
      </c>
      <c r="Y467">
        <v>1</v>
      </c>
      <c r="Z467">
        <v>0</v>
      </c>
      <c r="AA467">
        <v>1</v>
      </c>
      <c r="AB467">
        <v>4</v>
      </c>
      <c r="AC467">
        <v>0</v>
      </c>
      <c r="AD467">
        <v>0</v>
      </c>
      <c r="AE467">
        <v>1</v>
      </c>
      <c r="AF467">
        <v>3</v>
      </c>
      <c r="AG467">
        <v>1</v>
      </c>
      <c r="AH467">
        <v>1</v>
      </c>
      <c r="AI467">
        <v>2</v>
      </c>
      <c r="AJ467">
        <v>8</v>
      </c>
      <c r="AK467">
        <v>5</v>
      </c>
      <c r="AL467">
        <v>15</v>
      </c>
      <c r="AM467">
        <v>7</v>
      </c>
      <c r="AN467">
        <v>8</v>
      </c>
      <c r="AO467">
        <v>8</v>
      </c>
      <c r="AP467">
        <v>7</v>
      </c>
      <c r="AQ467">
        <v>9</v>
      </c>
      <c r="AR467">
        <v>1</v>
      </c>
      <c r="AS467">
        <v>0</v>
      </c>
      <c r="AT467">
        <v>1</v>
      </c>
      <c r="AU467">
        <v>4</v>
      </c>
      <c r="AV467">
        <v>0</v>
      </c>
      <c r="AW467">
        <v>0</v>
      </c>
      <c r="AX467">
        <v>1</v>
      </c>
      <c r="AY467">
        <v>3</v>
      </c>
      <c r="AZ467">
        <v>1</v>
      </c>
      <c r="BA467">
        <v>1</v>
      </c>
      <c r="BB467">
        <v>2</v>
      </c>
      <c r="BC467" s="2">
        <v>8</v>
      </c>
      <c r="BD467" s="2">
        <v>5</v>
      </c>
      <c r="BE467" s="2">
        <v>15</v>
      </c>
      <c r="BF467" s="2">
        <v>7</v>
      </c>
      <c r="BG467" s="2">
        <v>8</v>
      </c>
      <c r="BH467" s="2">
        <v>8</v>
      </c>
      <c r="BI467" s="2">
        <v>7</v>
      </c>
      <c r="BJ467" s="2">
        <v>9</v>
      </c>
      <c r="BK467" s="2">
        <v>1</v>
      </c>
      <c r="BL467" s="2">
        <v>0</v>
      </c>
      <c r="BM467" s="2">
        <v>1</v>
      </c>
      <c r="BN467" s="2">
        <v>4</v>
      </c>
      <c r="BO467" s="2">
        <v>0</v>
      </c>
      <c r="BP467" s="2">
        <v>0</v>
      </c>
      <c r="BQ467" s="2">
        <v>1</v>
      </c>
      <c r="BR467" s="2">
        <v>3</v>
      </c>
      <c r="BS467" s="2">
        <v>1</v>
      </c>
      <c r="BT467" s="2">
        <v>1</v>
      </c>
      <c r="BU467" s="2">
        <v>2</v>
      </c>
      <c r="BV467" s="2">
        <f t="shared" si="33"/>
        <v>81</v>
      </c>
      <c r="BW467" s="16">
        <f t="shared" si="31"/>
        <v>4.2631578947368425</v>
      </c>
      <c r="BX467" s="16">
        <f>COUNTIF($BC$6:BU467, "=0") / COUNTIF($BC$6:BU467, "&gt;-1")</f>
        <v>0.11665527455001139</v>
      </c>
      <c r="BY467" s="18">
        <f>SUM($BC$6:BU467) / $BY$4</f>
        <v>0.83709047553389249</v>
      </c>
      <c r="BZ467" s="14">
        <f t="shared" si="32"/>
        <v>3</v>
      </c>
      <c r="CA467" t="s">
        <v>5831</v>
      </c>
      <c r="CB467" s="36">
        <v>9.6931471666778304</v>
      </c>
      <c r="CC467" s="36">
        <v>4.8153206033872298</v>
      </c>
      <c r="CD467" s="36">
        <v>24.0119649271839</v>
      </c>
      <c r="CE467" s="36">
        <v>10.5834523140726</v>
      </c>
      <c r="CF467" s="36">
        <v>6.8814108794951396</v>
      </c>
      <c r="CG467" s="36">
        <v>7.43781797311593</v>
      </c>
      <c r="CH467" s="36">
        <v>7.3784359800524904</v>
      </c>
      <c r="CI467" s="36">
        <v>8.7586523818407507</v>
      </c>
      <c r="CJ467" s="37">
        <v>0.79475829324495695</v>
      </c>
      <c r="CK467" s="37">
        <v>0.63064964688828595</v>
      </c>
      <c r="CL467" s="37">
        <v>3.2002173930693698</v>
      </c>
      <c r="CM467" s="37">
        <v>0.21163676164998499</v>
      </c>
      <c r="CN467" s="37">
        <v>0.91879256581511404</v>
      </c>
      <c r="CO467" s="37">
        <v>2.36757171115537</v>
      </c>
      <c r="CP467" s="37">
        <v>1.50854004786242</v>
      </c>
      <c r="CQ467" s="37">
        <v>3.0452736929492299</v>
      </c>
      <c r="CR467" s="45">
        <v>-2.5782404716782499</v>
      </c>
      <c r="CS467" s="45">
        <v>-6.2757308667176099</v>
      </c>
      <c r="CT467" s="46">
        <v>4.27239206611335E-7</v>
      </c>
      <c r="CU467" s="47">
        <v>2.3050244292176002E-6</v>
      </c>
      <c r="CV467" s="48">
        <v>9.9450252782282291</v>
      </c>
      <c r="CW467" s="49">
        <v>1.58468001407934</v>
      </c>
      <c r="CX467" s="31" t="s">
        <v>5875</v>
      </c>
      <c r="CY467" s="31" t="s">
        <v>5876</v>
      </c>
      <c r="CZ467" t="s">
        <v>8324</v>
      </c>
      <c r="DA467" t="s">
        <v>5904</v>
      </c>
      <c r="DB467">
        <v>1327.4</v>
      </c>
      <c r="DC467" t="s">
        <v>21324</v>
      </c>
      <c r="DD467" t="s">
        <v>21325</v>
      </c>
      <c r="DE467" t="s">
        <v>21326</v>
      </c>
      <c r="DF467" t="s">
        <v>21327</v>
      </c>
      <c r="DG467" t="s">
        <v>21328</v>
      </c>
      <c r="DH467" t="str">
        <f>"COMP"</f>
        <v>COMP</v>
      </c>
      <c r="DI467" t="s">
        <v>13772</v>
      </c>
      <c r="DJ467" t="s">
        <v>13777</v>
      </c>
      <c r="DK467">
        <v>9606</v>
      </c>
      <c r="DL467" s="34" t="str">
        <f>HYPERLINK("http://www.uniprot.org/uniprot/P49747", "P49747")</f>
        <v>P49747</v>
      </c>
      <c r="DM467" t="s">
        <v>21329</v>
      </c>
      <c r="DN467" t="s">
        <v>21330</v>
      </c>
      <c r="DO467" t="s">
        <v>13869</v>
      </c>
      <c r="DP467" t="s">
        <v>13780</v>
      </c>
      <c r="DQ467" t="s">
        <v>13772</v>
      </c>
      <c r="DR467" t="s">
        <v>14517</v>
      </c>
      <c r="DS467" t="s">
        <v>14768</v>
      </c>
      <c r="DT467" t="s">
        <v>14465</v>
      </c>
      <c r="DU467" t="s">
        <v>14073</v>
      </c>
      <c r="DV467" t="s">
        <v>13796</v>
      </c>
      <c r="DW467" t="s">
        <v>13812</v>
      </c>
      <c r="DX467" t="s">
        <v>21331</v>
      </c>
      <c r="DY467" t="s">
        <v>21332</v>
      </c>
      <c r="DZ467" t="s">
        <v>21333</v>
      </c>
      <c r="EA467" t="s">
        <v>13772</v>
      </c>
      <c r="EB467" t="s">
        <v>21334</v>
      </c>
    </row>
    <row r="468" spans="1:132" hidden="1">
      <c r="A468">
        <v>2149</v>
      </c>
      <c r="B468">
        <v>1</v>
      </c>
      <c r="C468" t="s">
        <v>5038</v>
      </c>
      <c r="D468" t="s">
        <v>73</v>
      </c>
      <c r="E468" t="s">
        <v>73</v>
      </c>
      <c r="F468" t="s">
        <v>73</v>
      </c>
      <c r="G468" t="s">
        <v>73</v>
      </c>
      <c r="H468">
        <v>27.4</v>
      </c>
      <c r="I468">
        <v>1333</v>
      </c>
      <c r="J468">
        <v>146873</v>
      </c>
      <c r="K468" t="s">
        <v>5039</v>
      </c>
      <c r="L468">
        <f t="shared" si="30"/>
        <v>81</v>
      </c>
      <c r="N468">
        <v>81</v>
      </c>
      <c r="O468">
        <v>81</v>
      </c>
      <c r="P468">
        <v>1</v>
      </c>
      <c r="Q468">
        <v>0</v>
      </c>
      <c r="R468">
        <v>2</v>
      </c>
      <c r="S468">
        <v>0</v>
      </c>
      <c r="T468">
        <v>0</v>
      </c>
      <c r="U468">
        <v>1</v>
      </c>
      <c r="V468">
        <v>3</v>
      </c>
      <c r="W468">
        <v>0</v>
      </c>
      <c r="X468">
        <v>0</v>
      </c>
      <c r="Y468">
        <v>1</v>
      </c>
      <c r="Z468">
        <v>9</v>
      </c>
      <c r="AA468">
        <v>12</v>
      </c>
      <c r="AB468">
        <v>1</v>
      </c>
      <c r="AC468">
        <v>8</v>
      </c>
      <c r="AD468">
        <v>22</v>
      </c>
      <c r="AE468">
        <v>3</v>
      </c>
      <c r="AF468">
        <v>1</v>
      </c>
      <c r="AG468">
        <v>17</v>
      </c>
      <c r="AH468">
        <v>1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1</v>
      </c>
      <c r="AO468">
        <v>3</v>
      </c>
      <c r="AP468">
        <v>0</v>
      </c>
      <c r="AQ468">
        <v>0</v>
      </c>
      <c r="AR468">
        <v>1</v>
      </c>
      <c r="AS468">
        <v>9</v>
      </c>
      <c r="AT468">
        <v>12</v>
      </c>
      <c r="AU468">
        <v>1</v>
      </c>
      <c r="AV468">
        <v>8</v>
      </c>
      <c r="AW468">
        <v>22</v>
      </c>
      <c r="AX468">
        <v>3</v>
      </c>
      <c r="AY468">
        <v>1</v>
      </c>
      <c r="AZ468">
        <v>17</v>
      </c>
      <c r="BA468">
        <v>1</v>
      </c>
      <c r="BB468">
        <v>0</v>
      </c>
      <c r="BC468" s="2">
        <v>0</v>
      </c>
      <c r="BD468" s="2">
        <v>2</v>
      </c>
      <c r="BE468" s="2">
        <v>0</v>
      </c>
      <c r="BF468" s="2">
        <v>0</v>
      </c>
      <c r="BG468" s="2">
        <v>1</v>
      </c>
      <c r="BH468" s="2">
        <v>3</v>
      </c>
      <c r="BI468" s="2">
        <v>0</v>
      </c>
      <c r="BJ468" s="2">
        <v>0</v>
      </c>
      <c r="BK468" s="2">
        <v>1</v>
      </c>
      <c r="BL468" s="2">
        <v>9</v>
      </c>
      <c r="BM468" s="2">
        <v>12</v>
      </c>
      <c r="BN468" s="2">
        <v>1</v>
      </c>
      <c r="BO468" s="2">
        <v>8</v>
      </c>
      <c r="BP468" s="2">
        <v>22</v>
      </c>
      <c r="BQ468" s="2">
        <v>3</v>
      </c>
      <c r="BR468" s="2">
        <v>1</v>
      </c>
      <c r="BS468" s="2">
        <v>17</v>
      </c>
      <c r="BT468" s="2">
        <v>1</v>
      </c>
      <c r="BU468" s="2">
        <v>0</v>
      </c>
      <c r="BV468" s="2">
        <f t="shared" si="33"/>
        <v>81</v>
      </c>
      <c r="BW468" s="16">
        <f t="shared" si="31"/>
        <v>4.2631578947368425</v>
      </c>
      <c r="BX468" s="16">
        <f>COUNTIF($BC$6:BU468, "=0") / COUNTIF($BC$6:BU468, "&gt;-1")</f>
        <v>0.11708537001250427</v>
      </c>
      <c r="BY468" s="18">
        <f>SUM($BC$6:BU468) / $BY$4</f>
        <v>0.83743745012025717</v>
      </c>
      <c r="BZ468" s="14">
        <f t="shared" si="32"/>
        <v>6</v>
      </c>
      <c r="CA468" t="s">
        <v>5831</v>
      </c>
      <c r="CB468" s="36">
        <v>0.30291084895868198</v>
      </c>
      <c r="CC468" s="36">
        <v>1.9261282413548899</v>
      </c>
      <c r="CD468" s="36">
        <v>0.40019941545306398</v>
      </c>
      <c r="CE468" s="36">
        <v>0.37798043978830698</v>
      </c>
      <c r="CF468" s="36">
        <v>0.86017635993689201</v>
      </c>
      <c r="CG468" s="36">
        <v>2.7891817399184702</v>
      </c>
      <c r="CH468" s="36">
        <v>0.26351557071616</v>
      </c>
      <c r="CI468" s="36">
        <v>0.24329589949557701</v>
      </c>
      <c r="CJ468" s="37">
        <v>0.79475829324495695</v>
      </c>
      <c r="CK468" s="37">
        <v>7.5677957626594301</v>
      </c>
      <c r="CL468" s="37">
        <v>0.80005434826734301</v>
      </c>
      <c r="CM468" s="37">
        <v>6.7723763727995303</v>
      </c>
      <c r="CN468" s="37">
        <v>2.7563776974453398</v>
      </c>
      <c r="CO468" s="37">
        <v>0.78919057038512497</v>
      </c>
      <c r="CP468" s="37">
        <v>25.645180813661199</v>
      </c>
      <c r="CQ468" s="37">
        <v>0.38065921161865401</v>
      </c>
      <c r="CR468" s="45">
        <v>2.3940968986801598</v>
      </c>
      <c r="CS468" s="45">
        <v>6.3526350652125601</v>
      </c>
      <c r="CT468" s="46">
        <v>4.6094578903164204E-3</v>
      </c>
      <c r="CU468" s="47">
        <v>9.0697862606520102E-3</v>
      </c>
      <c r="CV468" s="48">
        <v>0.89542356445275595</v>
      </c>
      <c r="CW468" s="49">
        <v>5.6882991337601903</v>
      </c>
      <c r="CX468" s="31" t="s">
        <v>5874</v>
      </c>
      <c r="CY468" s="31" t="s">
        <v>5876</v>
      </c>
      <c r="CZ468" t="s">
        <v>12912</v>
      </c>
      <c r="DA468" t="s">
        <v>5904</v>
      </c>
      <c r="DB468">
        <v>2450.6</v>
      </c>
      <c r="DC468" t="s">
        <v>34316</v>
      </c>
      <c r="DD468" t="s">
        <v>34317</v>
      </c>
      <c r="DE468" t="s">
        <v>34318</v>
      </c>
      <c r="DF468" t="s">
        <v>34319</v>
      </c>
      <c r="DG468" t="s">
        <v>34320</v>
      </c>
      <c r="DH468" t="str">
        <f>"XDH"</f>
        <v>XDH</v>
      </c>
      <c r="DI468" t="s">
        <v>34321</v>
      </c>
      <c r="DJ468" t="s">
        <v>13777</v>
      </c>
      <c r="DK468">
        <v>9606</v>
      </c>
      <c r="DL468" s="34" t="str">
        <f>HYPERLINK("http://www.uniprot.org/uniprot/P47989", "P47989")</f>
        <v>P47989</v>
      </c>
      <c r="DM468" t="s">
        <v>34322</v>
      </c>
      <c r="DN468" t="s">
        <v>13772</v>
      </c>
      <c r="DO468" t="s">
        <v>34323</v>
      </c>
      <c r="DP468" t="s">
        <v>13793</v>
      </c>
      <c r="DQ468" t="s">
        <v>13772</v>
      </c>
      <c r="DR468" t="s">
        <v>13807</v>
      </c>
      <c r="DS468" t="s">
        <v>13772</v>
      </c>
      <c r="DT468" t="s">
        <v>34324</v>
      </c>
      <c r="DU468" t="s">
        <v>13885</v>
      </c>
      <c r="DV468" t="s">
        <v>14506</v>
      </c>
      <c r="DW468" t="s">
        <v>13812</v>
      </c>
      <c r="DX468" t="s">
        <v>34325</v>
      </c>
      <c r="DY468" t="s">
        <v>34326</v>
      </c>
      <c r="DZ468" t="s">
        <v>34327</v>
      </c>
      <c r="EA468" t="s">
        <v>13772</v>
      </c>
      <c r="EB468" t="s">
        <v>34328</v>
      </c>
    </row>
    <row r="469" spans="1:132" hidden="1">
      <c r="A469">
        <v>2320</v>
      </c>
      <c r="B469">
        <v>1</v>
      </c>
      <c r="C469" t="s">
        <v>5413</v>
      </c>
      <c r="D469" t="s">
        <v>5414</v>
      </c>
      <c r="E469" t="s">
        <v>73</v>
      </c>
      <c r="F469" t="s">
        <v>73</v>
      </c>
      <c r="G469" t="s">
        <v>73</v>
      </c>
      <c r="H469">
        <v>23.9</v>
      </c>
      <c r="I469">
        <v>1682</v>
      </c>
      <c r="J469">
        <v>192412</v>
      </c>
      <c r="K469" t="s">
        <v>5415</v>
      </c>
      <c r="L469">
        <f t="shared" si="30"/>
        <v>81</v>
      </c>
      <c r="N469">
        <v>81</v>
      </c>
      <c r="O469">
        <v>81</v>
      </c>
      <c r="P469">
        <v>1</v>
      </c>
      <c r="Q469">
        <v>1</v>
      </c>
      <c r="R469">
        <v>2</v>
      </c>
      <c r="S469">
        <v>0</v>
      </c>
      <c r="T469">
        <v>0</v>
      </c>
      <c r="U469">
        <v>4</v>
      </c>
      <c r="V469">
        <v>4</v>
      </c>
      <c r="W469">
        <v>4</v>
      </c>
      <c r="X469">
        <v>1</v>
      </c>
      <c r="Y469">
        <v>0</v>
      </c>
      <c r="Z469">
        <v>0</v>
      </c>
      <c r="AA469">
        <v>22</v>
      </c>
      <c r="AB469">
        <v>33</v>
      </c>
      <c r="AC469">
        <v>3</v>
      </c>
      <c r="AD469">
        <v>1</v>
      </c>
      <c r="AE469">
        <v>1</v>
      </c>
      <c r="AF469">
        <v>5</v>
      </c>
      <c r="AG469">
        <v>0</v>
      </c>
      <c r="AH469">
        <v>0</v>
      </c>
      <c r="AI469">
        <v>0</v>
      </c>
      <c r="AJ469">
        <v>1</v>
      </c>
      <c r="AK469">
        <v>2</v>
      </c>
      <c r="AL469">
        <v>0</v>
      </c>
      <c r="AM469">
        <v>0</v>
      </c>
      <c r="AN469">
        <v>4</v>
      </c>
      <c r="AO469">
        <v>4</v>
      </c>
      <c r="AP469">
        <v>4</v>
      </c>
      <c r="AQ469">
        <v>1</v>
      </c>
      <c r="AR469">
        <v>0</v>
      </c>
      <c r="AS469">
        <v>0</v>
      </c>
      <c r="AT469">
        <v>22</v>
      </c>
      <c r="AU469">
        <v>33</v>
      </c>
      <c r="AV469">
        <v>3</v>
      </c>
      <c r="AW469">
        <v>1</v>
      </c>
      <c r="AX469">
        <v>1</v>
      </c>
      <c r="AY469">
        <v>5</v>
      </c>
      <c r="AZ469">
        <v>0</v>
      </c>
      <c r="BA469">
        <v>0</v>
      </c>
      <c r="BB469">
        <v>0</v>
      </c>
      <c r="BC469" s="2">
        <v>1</v>
      </c>
      <c r="BD469" s="2">
        <v>2</v>
      </c>
      <c r="BE469" s="2">
        <v>0</v>
      </c>
      <c r="BF469" s="2">
        <v>0</v>
      </c>
      <c r="BG469" s="2">
        <v>4</v>
      </c>
      <c r="BH469" s="2">
        <v>4</v>
      </c>
      <c r="BI469" s="2">
        <v>4</v>
      </c>
      <c r="BJ469" s="2">
        <v>1</v>
      </c>
      <c r="BK469" s="2">
        <v>0</v>
      </c>
      <c r="BL469" s="2">
        <v>0</v>
      </c>
      <c r="BM469" s="2">
        <v>22</v>
      </c>
      <c r="BN469" s="2">
        <v>33</v>
      </c>
      <c r="BO469" s="2">
        <v>3</v>
      </c>
      <c r="BP469" s="2">
        <v>1</v>
      </c>
      <c r="BQ469" s="2">
        <v>1</v>
      </c>
      <c r="BR469" s="2">
        <v>5</v>
      </c>
      <c r="BS469" s="2">
        <v>0</v>
      </c>
      <c r="BT469" s="2">
        <v>0</v>
      </c>
      <c r="BU469" s="2">
        <v>0</v>
      </c>
      <c r="BV469" s="2">
        <f t="shared" si="33"/>
        <v>81</v>
      </c>
      <c r="BW469" s="16">
        <f t="shared" si="31"/>
        <v>4.2631578947368425</v>
      </c>
      <c r="BX469" s="16">
        <f>COUNTIF($BC$6:BU469, "=0") / COUNTIF($BC$6:BU469, "&gt;-1")</f>
        <v>0.11762704174228675</v>
      </c>
      <c r="BY469" s="18">
        <f>SUM($BC$6:BU469) / $BY$4</f>
        <v>0.83778442470662196</v>
      </c>
      <c r="BZ469" s="14">
        <f t="shared" si="32"/>
        <v>7</v>
      </c>
      <c r="CA469" t="s">
        <v>5831</v>
      </c>
      <c r="CB469" s="36">
        <v>1.2116433958347299</v>
      </c>
      <c r="CC469" s="36">
        <v>1.9261282413548899</v>
      </c>
      <c r="CD469" s="36">
        <v>0.40019941545306398</v>
      </c>
      <c r="CE469" s="36">
        <v>0.37798043978830698</v>
      </c>
      <c r="CF469" s="36">
        <v>3.4407054397475698</v>
      </c>
      <c r="CG469" s="36">
        <v>3.7189089865579601</v>
      </c>
      <c r="CH469" s="36">
        <v>4.21624913145856</v>
      </c>
      <c r="CI469" s="36">
        <v>0.97318359798230603</v>
      </c>
      <c r="CJ469" s="37">
        <v>0.19868957331123899</v>
      </c>
      <c r="CK469" s="37">
        <v>13.874292231542301</v>
      </c>
      <c r="CL469" s="37">
        <v>26.4017934928223</v>
      </c>
      <c r="CM469" s="37">
        <v>2.5396411397998202</v>
      </c>
      <c r="CN469" s="37">
        <v>0.91879256581511404</v>
      </c>
      <c r="CO469" s="37">
        <v>3.94595285192562</v>
      </c>
      <c r="CP469" s="37">
        <v>0.377135011965606</v>
      </c>
      <c r="CQ469" s="37">
        <v>0.38065921161865401</v>
      </c>
      <c r="CR469" s="45">
        <v>1.51335916851458</v>
      </c>
      <c r="CS469" s="45">
        <v>2.9902834381268599</v>
      </c>
      <c r="CT469" s="46">
        <v>6.2674451782859797E-2</v>
      </c>
      <c r="CU469" s="47">
        <v>9.4011677674289598E-2</v>
      </c>
      <c r="CV469" s="48">
        <v>2.0331248310221701</v>
      </c>
      <c r="CW469" s="49">
        <v>6.0796195098500796</v>
      </c>
      <c r="CX469" s="31" t="s">
        <v>5874</v>
      </c>
      <c r="CY469" s="31" t="s">
        <v>5877</v>
      </c>
      <c r="CZ469" t="s">
        <v>13461</v>
      </c>
      <c r="DA469" t="s">
        <v>5904</v>
      </c>
      <c r="DB469">
        <v>3478.3</v>
      </c>
      <c r="DC469" t="s">
        <v>35875</v>
      </c>
      <c r="DD469" t="s">
        <v>35876</v>
      </c>
      <c r="DE469" t="s">
        <v>35877</v>
      </c>
      <c r="DF469" t="s">
        <v>35878</v>
      </c>
      <c r="DG469" t="s">
        <v>35879</v>
      </c>
      <c r="DH469" t="str">
        <f>"CLTC"</f>
        <v>CLTC</v>
      </c>
      <c r="DI469" t="s">
        <v>13772</v>
      </c>
      <c r="DJ469" t="s">
        <v>13777</v>
      </c>
      <c r="DK469">
        <v>9606</v>
      </c>
      <c r="DL469" s="34" t="str">
        <f>HYPERLINK("http://www.uniprot.org/uniprot/Q00610", "Q00610")</f>
        <v>Q00610</v>
      </c>
      <c r="DM469" t="s">
        <v>35880</v>
      </c>
      <c r="DN469" t="s">
        <v>35881</v>
      </c>
      <c r="DO469" t="s">
        <v>32362</v>
      </c>
      <c r="DP469" t="s">
        <v>13841</v>
      </c>
      <c r="DQ469" t="s">
        <v>13772</v>
      </c>
      <c r="DR469" t="s">
        <v>17801</v>
      </c>
      <c r="DS469" t="s">
        <v>14096</v>
      </c>
      <c r="DT469" t="s">
        <v>13772</v>
      </c>
      <c r="DU469" t="s">
        <v>13772</v>
      </c>
      <c r="DV469" t="s">
        <v>13886</v>
      </c>
      <c r="DW469" t="s">
        <v>13812</v>
      </c>
      <c r="DX469" t="s">
        <v>35882</v>
      </c>
      <c r="DY469" t="s">
        <v>35883</v>
      </c>
      <c r="DZ469" t="s">
        <v>35884</v>
      </c>
      <c r="EA469" t="s">
        <v>13772</v>
      </c>
      <c r="EB469" t="s">
        <v>32366</v>
      </c>
    </row>
    <row r="470" spans="1:132" hidden="1">
      <c r="A470">
        <v>1416</v>
      </c>
      <c r="B470">
        <v>1</v>
      </c>
      <c r="C470" t="s">
        <v>3378</v>
      </c>
      <c r="D470" t="s">
        <v>3379</v>
      </c>
      <c r="E470" t="s">
        <v>73</v>
      </c>
      <c r="F470" t="s">
        <v>601</v>
      </c>
      <c r="G470" t="s">
        <v>73</v>
      </c>
      <c r="H470">
        <v>46.2</v>
      </c>
      <c r="I470">
        <v>130</v>
      </c>
      <c r="J470">
        <v>14135</v>
      </c>
      <c r="K470" t="s">
        <v>3380</v>
      </c>
      <c r="L470">
        <f t="shared" si="30"/>
        <v>123</v>
      </c>
      <c r="N470">
        <v>123</v>
      </c>
      <c r="O470">
        <v>32</v>
      </c>
      <c r="P470">
        <v>0.26</v>
      </c>
      <c r="Q470">
        <v>2</v>
      </c>
      <c r="R470">
        <v>6</v>
      </c>
      <c r="S470">
        <v>1</v>
      </c>
      <c r="T470">
        <v>4</v>
      </c>
      <c r="U470">
        <v>2</v>
      </c>
      <c r="V470">
        <v>3</v>
      </c>
      <c r="W470">
        <v>2</v>
      </c>
      <c r="X470">
        <v>3</v>
      </c>
      <c r="Y470">
        <v>22</v>
      </c>
      <c r="Z470">
        <v>5</v>
      </c>
      <c r="AA470">
        <v>9</v>
      </c>
      <c r="AB470">
        <v>17</v>
      </c>
      <c r="AC470">
        <v>20</v>
      </c>
      <c r="AD470">
        <v>3</v>
      </c>
      <c r="AE470">
        <v>8</v>
      </c>
      <c r="AF470">
        <v>5</v>
      </c>
      <c r="AG470">
        <v>4</v>
      </c>
      <c r="AH470">
        <v>4</v>
      </c>
      <c r="AI470">
        <v>3</v>
      </c>
      <c r="AJ470">
        <v>0</v>
      </c>
      <c r="AK470">
        <v>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</v>
      </c>
      <c r="AS470">
        <v>1</v>
      </c>
      <c r="AT470">
        <v>2</v>
      </c>
      <c r="AU470">
        <v>3</v>
      </c>
      <c r="AV470">
        <v>7</v>
      </c>
      <c r="AW470">
        <v>0</v>
      </c>
      <c r="AX470">
        <v>3</v>
      </c>
      <c r="AY470">
        <v>2</v>
      </c>
      <c r="AZ470">
        <v>1</v>
      </c>
      <c r="BA470">
        <v>1</v>
      </c>
      <c r="BB470">
        <v>1</v>
      </c>
      <c r="BC470" s="2">
        <v>0.66700000000000004</v>
      </c>
      <c r="BD470" s="2">
        <v>4.6669999999999998</v>
      </c>
      <c r="BE470" s="2">
        <v>0.33300000000000002</v>
      </c>
      <c r="BF470" s="2">
        <v>1.667</v>
      </c>
      <c r="BG470" s="2">
        <v>0.66700000000000004</v>
      </c>
      <c r="BH470" s="2">
        <v>1.333</v>
      </c>
      <c r="BI470" s="2">
        <v>0.83299999999999996</v>
      </c>
      <c r="BJ470" s="2">
        <v>0</v>
      </c>
      <c r="BK470" s="2">
        <v>18.268000000000001</v>
      </c>
      <c r="BL470" s="2">
        <v>5</v>
      </c>
      <c r="BM470" s="2">
        <v>3.9289999999999998</v>
      </c>
      <c r="BN470" s="2">
        <v>9.5229999999999997</v>
      </c>
      <c r="BO470" s="2">
        <v>13.913</v>
      </c>
      <c r="BP470" s="2">
        <v>1.333</v>
      </c>
      <c r="BQ470" s="2">
        <v>6.6</v>
      </c>
      <c r="BR470" s="2">
        <v>3.5</v>
      </c>
      <c r="BS470" s="2">
        <v>2</v>
      </c>
      <c r="BT470" s="2">
        <v>4</v>
      </c>
      <c r="BU470" s="2">
        <v>2.5</v>
      </c>
      <c r="BV470" s="2">
        <f t="shared" si="33"/>
        <v>80.73299999999999</v>
      </c>
      <c r="BW470" s="16">
        <f t="shared" si="31"/>
        <v>4.2491052631578938</v>
      </c>
      <c r="BX470" s="16">
        <f>COUNTIF($BC$6:BU470, "=0") / COUNTIF($BC$6:BU470, "&gt;-1")</f>
        <v>0.11748726655348048</v>
      </c>
      <c r="BY470" s="18">
        <f>SUM($BC$6:BU470) / $BY$4</f>
        <v>0.83813025556194276</v>
      </c>
      <c r="BZ470" s="14">
        <f t="shared" si="32"/>
        <v>1</v>
      </c>
      <c r="CA470" t="s">
        <v>5831</v>
      </c>
      <c r="CB470" s="36">
        <v>0.84815037708430996</v>
      </c>
      <c r="CC470" s="36">
        <v>4.5264013671840004</v>
      </c>
      <c r="CD470" s="36">
        <v>0.48023929854367697</v>
      </c>
      <c r="CE470" s="36">
        <v>2.5702669905604898</v>
      </c>
      <c r="CF470" s="36">
        <v>0.60212345195582395</v>
      </c>
      <c r="CG470" s="36">
        <v>1.20864542063134</v>
      </c>
      <c r="CH470" s="36">
        <v>0.84324982629171297</v>
      </c>
      <c r="CI470" s="36">
        <v>0.24329589949557701</v>
      </c>
      <c r="CJ470" s="37">
        <v>14.5440767663827</v>
      </c>
      <c r="CK470" s="37">
        <v>2.4595336228643099</v>
      </c>
      <c r="CL470" s="37">
        <v>7.6005163085397598</v>
      </c>
      <c r="CM470" s="37">
        <v>11.7670039477392</v>
      </c>
      <c r="CN470" s="37">
        <v>6.0640309343797503</v>
      </c>
      <c r="CO470" s="37">
        <v>2.7621669963479398</v>
      </c>
      <c r="CP470" s="37">
        <v>3.0170800957248498</v>
      </c>
      <c r="CQ470" s="37">
        <v>3.8065921161865401</v>
      </c>
      <c r="CR470" s="45">
        <v>2.1286238887012101</v>
      </c>
      <c r="CS470" s="45">
        <v>4.5945317717509804</v>
      </c>
      <c r="CT470" s="46">
        <v>6.5297594662850505E-4</v>
      </c>
      <c r="CU470" s="47">
        <v>1.5601461010516799E-3</v>
      </c>
      <c r="CV470" s="48">
        <v>1.41529657896837</v>
      </c>
      <c r="CW470" s="49">
        <v>6.50262509852063</v>
      </c>
      <c r="CX470" s="31" t="s">
        <v>5874</v>
      </c>
      <c r="CY470" s="31" t="s">
        <v>5876</v>
      </c>
      <c r="CZ470" t="s">
        <v>10457</v>
      </c>
      <c r="DA470" t="s">
        <v>5904</v>
      </c>
      <c r="DB470">
        <v>258.10000000000002</v>
      </c>
      <c r="DC470" t="s">
        <v>27421</v>
      </c>
      <c r="DD470" t="s">
        <v>27422</v>
      </c>
      <c r="DE470" t="s">
        <v>27423</v>
      </c>
      <c r="DF470" t="s">
        <v>27424</v>
      </c>
      <c r="DG470" t="s">
        <v>27425</v>
      </c>
      <c r="DH470" t="str">
        <f>"HIST1H2AB"</f>
        <v>HIST1H2AB</v>
      </c>
      <c r="DI470" t="s">
        <v>27426</v>
      </c>
      <c r="DJ470" t="s">
        <v>13777</v>
      </c>
      <c r="DK470">
        <v>9606</v>
      </c>
      <c r="DL470" s="34" t="str">
        <f>HYPERLINK("http://www.uniprot.org/uniprot/P04908", "P04908")</f>
        <v>P04908</v>
      </c>
      <c r="DM470" t="s">
        <v>27427</v>
      </c>
      <c r="DN470" t="s">
        <v>13772</v>
      </c>
      <c r="DO470" t="s">
        <v>15870</v>
      </c>
      <c r="DP470" t="s">
        <v>13772</v>
      </c>
      <c r="DQ470" t="s">
        <v>13772</v>
      </c>
      <c r="DR470" t="s">
        <v>13772</v>
      </c>
      <c r="DS470" t="s">
        <v>13772</v>
      </c>
      <c r="DT470" t="s">
        <v>13772</v>
      </c>
      <c r="DU470" t="s">
        <v>15871</v>
      </c>
      <c r="DV470" t="s">
        <v>15872</v>
      </c>
      <c r="DW470" t="s">
        <v>13812</v>
      </c>
      <c r="DX470" t="s">
        <v>27428</v>
      </c>
      <c r="DY470" t="s">
        <v>15874</v>
      </c>
      <c r="DZ470" t="s">
        <v>15875</v>
      </c>
      <c r="EA470" t="s">
        <v>13772</v>
      </c>
      <c r="EB470" t="s">
        <v>15876</v>
      </c>
    </row>
    <row r="471" spans="1:132" hidden="1">
      <c r="A471">
        <v>120</v>
      </c>
      <c r="B471">
        <v>1</v>
      </c>
      <c r="C471" t="s">
        <v>312</v>
      </c>
      <c r="D471" t="s">
        <v>313</v>
      </c>
      <c r="E471" t="s">
        <v>73</v>
      </c>
      <c r="F471" t="s">
        <v>73</v>
      </c>
      <c r="G471" t="s">
        <v>73</v>
      </c>
      <c r="H471">
        <v>54.4</v>
      </c>
      <c r="I471">
        <v>472</v>
      </c>
      <c r="J471">
        <v>52348</v>
      </c>
      <c r="K471" t="s">
        <v>314</v>
      </c>
      <c r="L471">
        <f t="shared" si="30"/>
        <v>80</v>
      </c>
      <c r="N471">
        <v>80</v>
      </c>
      <c r="O471">
        <v>80</v>
      </c>
      <c r="P471">
        <v>1</v>
      </c>
      <c r="Q471">
        <v>2</v>
      </c>
      <c r="R471">
        <v>9</v>
      </c>
      <c r="S471">
        <v>0</v>
      </c>
      <c r="T471">
        <v>4</v>
      </c>
      <c r="U471">
        <v>18</v>
      </c>
      <c r="V471">
        <v>17</v>
      </c>
      <c r="W471">
        <v>5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22</v>
      </c>
      <c r="AH471">
        <v>0</v>
      </c>
      <c r="AI471">
        <v>0</v>
      </c>
      <c r="AJ471">
        <v>2</v>
      </c>
      <c r="AK471">
        <v>9</v>
      </c>
      <c r="AL471">
        <v>0</v>
      </c>
      <c r="AM471">
        <v>4</v>
      </c>
      <c r="AN471">
        <v>18</v>
      </c>
      <c r="AO471">
        <v>17</v>
      </c>
      <c r="AP471">
        <v>5</v>
      </c>
      <c r="AQ471">
        <v>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22</v>
      </c>
      <c r="BA471">
        <v>0</v>
      </c>
      <c r="BB471">
        <v>0</v>
      </c>
      <c r="BC471" s="2">
        <v>2</v>
      </c>
      <c r="BD471" s="2">
        <v>9</v>
      </c>
      <c r="BE471" s="2">
        <v>0</v>
      </c>
      <c r="BF471" s="2">
        <v>4</v>
      </c>
      <c r="BG471" s="2">
        <v>18</v>
      </c>
      <c r="BH471" s="2">
        <v>17</v>
      </c>
      <c r="BI471" s="2">
        <v>5</v>
      </c>
      <c r="BJ471" s="2">
        <v>3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22</v>
      </c>
      <c r="BT471" s="2">
        <v>0</v>
      </c>
      <c r="BU471" s="2">
        <v>0</v>
      </c>
      <c r="BV471" s="2">
        <f t="shared" si="33"/>
        <v>80</v>
      </c>
      <c r="BW471" s="16">
        <f t="shared" si="31"/>
        <v>4.2105263157894735</v>
      </c>
      <c r="BX471" s="16">
        <f>COUNTIF($BC$6:BU471, "=0") / COUNTIF($BC$6:BU471, "&gt;-1")</f>
        <v>0.11847752428281003</v>
      </c>
      <c r="BY471" s="18">
        <f>SUM($BC$6:BU471) / $BY$4</f>
        <v>0.83847294651143878</v>
      </c>
      <c r="BZ471" s="14">
        <f t="shared" si="32"/>
        <v>11</v>
      </c>
      <c r="CA471" t="s">
        <v>5831</v>
      </c>
      <c r="CB471" s="36">
        <v>2.4232867916694598</v>
      </c>
      <c r="CC471" s="36">
        <v>8.6675770860970207</v>
      </c>
      <c r="CD471" s="36">
        <v>0.40019941545306398</v>
      </c>
      <c r="CE471" s="36">
        <v>6.0476870366129196</v>
      </c>
      <c r="CF471" s="36">
        <v>15.4831744788641</v>
      </c>
      <c r="CG471" s="36">
        <v>15.805363192871299</v>
      </c>
      <c r="CH471" s="36">
        <v>5.2703114143232002</v>
      </c>
      <c r="CI471" s="36">
        <v>2.9195507939469199</v>
      </c>
      <c r="CJ471" s="37">
        <v>0.19868957331123899</v>
      </c>
      <c r="CK471" s="37">
        <v>0.15766241172207099</v>
      </c>
      <c r="CL471" s="37">
        <v>0.200013587066836</v>
      </c>
      <c r="CM471" s="37">
        <v>0.21163676164998499</v>
      </c>
      <c r="CN471" s="37">
        <v>0.22969814145377901</v>
      </c>
      <c r="CO471" s="37">
        <v>0.19729764259628099</v>
      </c>
      <c r="CP471" s="37">
        <v>33.187881052973303</v>
      </c>
      <c r="CQ471" s="37">
        <v>0.38065921161865401</v>
      </c>
      <c r="CR471" s="45">
        <v>-0.79884341665997105</v>
      </c>
      <c r="CS471" s="45">
        <v>-1.6401423118285701</v>
      </c>
      <c r="CT471" s="46">
        <v>0.47543379832434102</v>
      </c>
      <c r="CU471" s="47">
        <v>0.55508762841009396</v>
      </c>
      <c r="CV471" s="48">
        <v>7.12714377622975</v>
      </c>
      <c r="CW471" s="49">
        <v>4.3454422977990204</v>
      </c>
      <c r="CX471" s="31" t="s">
        <v>5875</v>
      </c>
      <c r="CY471" s="31" t="s">
        <v>5832</v>
      </c>
      <c r="CZ471" t="s">
        <v>6106</v>
      </c>
      <c r="DA471" t="s">
        <v>5904</v>
      </c>
      <c r="DB471">
        <v>918.7</v>
      </c>
      <c r="DC471" t="s">
        <v>14525</v>
      </c>
      <c r="DD471" t="s">
        <v>14526</v>
      </c>
      <c r="DE471" t="s">
        <v>14527</v>
      </c>
      <c r="DF471" t="s">
        <v>14528</v>
      </c>
      <c r="DG471" t="s">
        <v>14529</v>
      </c>
      <c r="DH471" t="str">
        <f>"SELENBP1"</f>
        <v>SELENBP1</v>
      </c>
      <c r="DI471" t="s">
        <v>14530</v>
      </c>
      <c r="DJ471" t="s">
        <v>13777</v>
      </c>
      <c r="DK471">
        <v>9606</v>
      </c>
      <c r="DL471" s="34" t="str">
        <f>HYPERLINK("http://www.uniprot.org/uniprot/Q13228", "Q13228")</f>
        <v>Q13228</v>
      </c>
      <c r="DM471" t="s">
        <v>14531</v>
      </c>
      <c r="DN471" t="s">
        <v>14347</v>
      </c>
      <c r="DO471" t="s">
        <v>14532</v>
      </c>
      <c r="DP471" t="s">
        <v>13841</v>
      </c>
      <c r="DQ471" t="s">
        <v>13772</v>
      </c>
      <c r="DR471" t="s">
        <v>13807</v>
      </c>
      <c r="DS471" t="s">
        <v>13772</v>
      </c>
      <c r="DT471" t="s">
        <v>14533</v>
      </c>
      <c r="DU471" t="s">
        <v>13885</v>
      </c>
      <c r="DV471" t="s">
        <v>13886</v>
      </c>
      <c r="DW471" t="s">
        <v>13772</v>
      </c>
      <c r="DX471" t="s">
        <v>14534</v>
      </c>
      <c r="DY471" t="s">
        <v>14535</v>
      </c>
      <c r="DZ471" t="s">
        <v>14536</v>
      </c>
      <c r="EA471" t="s">
        <v>14537</v>
      </c>
      <c r="EB471" t="s">
        <v>13772</v>
      </c>
    </row>
    <row r="472" spans="1:132" hidden="1">
      <c r="A472">
        <v>175</v>
      </c>
      <c r="B472">
        <v>1</v>
      </c>
      <c r="C472" t="s">
        <v>444</v>
      </c>
      <c r="D472" t="s">
        <v>73</v>
      </c>
      <c r="E472" t="s">
        <v>73</v>
      </c>
      <c r="F472" t="s">
        <v>73</v>
      </c>
      <c r="G472" t="s">
        <v>73</v>
      </c>
      <c r="H472">
        <v>16.399999999999999</v>
      </c>
      <c r="I472">
        <v>792</v>
      </c>
      <c r="J472">
        <v>86640</v>
      </c>
      <c r="K472" t="s">
        <v>445</v>
      </c>
      <c r="L472">
        <f t="shared" si="30"/>
        <v>80</v>
      </c>
      <c r="N472">
        <v>80</v>
      </c>
      <c r="O472">
        <v>80</v>
      </c>
      <c r="P472">
        <v>1</v>
      </c>
      <c r="Q472">
        <v>9</v>
      </c>
      <c r="R472">
        <v>10</v>
      </c>
      <c r="S472">
        <v>7</v>
      </c>
      <c r="T472">
        <v>12</v>
      </c>
      <c r="U472">
        <v>9</v>
      </c>
      <c r="V472">
        <v>7</v>
      </c>
      <c r="W472">
        <v>7</v>
      </c>
      <c r="X472">
        <v>3</v>
      </c>
      <c r="Y472">
        <v>1</v>
      </c>
      <c r="Z472">
        <v>0</v>
      </c>
      <c r="AA472">
        <v>4</v>
      </c>
      <c r="AB472">
        <v>2</v>
      </c>
      <c r="AC472">
        <v>1</v>
      </c>
      <c r="AD472">
        <v>0</v>
      </c>
      <c r="AE472">
        <v>1</v>
      </c>
      <c r="AF472">
        <v>3</v>
      </c>
      <c r="AG472">
        <v>2</v>
      </c>
      <c r="AH472">
        <v>1</v>
      </c>
      <c r="AI472">
        <v>1</v>
      </c>
      <c r="AJ472">
        <v>9</v>
      </c>
      <c r="AK472">
        <v>10</v>
      </c>
      <c r="AL472">
        <v>7</v>
      </c>
      <c r="AM472">
        <v>12</v>
      </c>
      <c r="AN472">
        <v>9</v>
      </c>
      <c r="AO472">
        <v>7</v>
      </c>
      <c r="AP472">
        <v>7</v>
      </c>
      <c r="AQ472">
        <v>3</v>
      </c>
      <c r="AR472">
        <v>1</v>
      </c>
      <c r="AS472">
        <v>0</v>
      </c>
      <c r="AT472">
        <v>4</v>
      </c>
      <c r="AU472">
        <v>2</v>
      </c>
      <c r="AV472">
        <v>1</v>
      </c>
      <c r="AW472">
        <v>0</v>
      </c>
      <c r="AX472">
        <v>1</v>
      </c>
      <c r="AY472">
        <v>3</v>
      </c>
      <c r="AZ472">
        <v>2</v>
      </c>
      <c r="BA472">
        <v>1</v>
      </c>
      <c r="BB472">
        <v>1</v>
      </c>
      <c r="BC472" s="2">
        <v>9</v>
      </c>
      <c r="BD472" s="2">
        <v>10</v>
      </c>
      <c r="BE472" s="2">
        <v>7</v>
      </c>
      <c r="BF472" s="2">
        <v>12</v>
      </c>
      <c r="BG472" s="2">
        <v>9</v>
      </c>
      <c r="BH472" s="2">
        <v>7</v>
      </c>
      <c r="BI472" s="2">
        <v>7</v>
      </c>
      <c r="BJ472" s="2">
        <v>3</v>
      </c>
      <c r="BK472" s="2">
        <v>1</v>
      </c>
      <c r="BL472" s="2">
        <v>0</v>
      </c>
      <c r="BM472" s="2">
        <v>4</v>
      </c>
      <c r="BN472" s="2">
        <v>2</v>
      </c>
      <c r="BO472" s="2">
        <v>1</v>
      </c>
      <c r="BP472" s="2">
        <v>0</v>
      </c>
      <c r="BQ472" s="2">
        <v>1</v>
      </c>
      <c r="BR472" s="2">
        <v>3</v>
      </c>
      <c r="BS472" s="2">
        <v>2</v>
      </c>
      <c r="BT472" s="2">
        <v>1</v>
      </c>
      <c r="BU472" s="2">
        <v>1</v>
      </c>
      <c r="BV472" s="2">
        <f t="shared" si="33"/>
        <v>80</v>
      </c>
      <c r="BW472" s="16">
        <f t="shared" si="31"/>
        <v>4.2105263157894735</v>
      </c>
      <c r="BX472" s="16">
        <f>COUNTIF($BC$6:BU472, "=0") / COUNTIF($BC$6:BU472, "&gt;-1")</f>
        <v>0.11844922799504114</v>
      </c>
      <c r="BY472" s="18">
        <f>SUM($BC$6:BU472) / $BY$4</f>
        <v>0.8388156374609349</v>
      </c>
      <c r="BZ472" s="14">
        <f t="shared" si="32"/>
        <v>2</v>
      </c>
      <c r="CA472" t="s">
        <v>5831</v>
      </c>
      <c r="CB472" s="36">
        <v>10.9047905625126</v>
      </c>
      <c r="CC472" s="36">
        <v>9.6306412067744702</v>
      </c>
      <c r="CD472" s="36">
        <v>11.2055836326858</v>
      </c>
      <c r="CE472" s="36">
        <v>18.143061109838801</v>
      </c>
      <c r="CF472" s="36">
        <v>7.7415872394320298</v>
      </c>
      <c r="CG472" s="36">
        <v>6.50809072647644</v>
      </c>
      <c r="CH472" s="36">
        <v>7.3784359800524904</v>
      </c>
      <c r="CI472" s="36">
        <v>2.9195507939469199</v>
      </c>
      <c r="CJ472" s="37">
        <v>0.79475829324495695</v>
      </c>
      <c r="CK472" s="37">
        <v>2.5225985875531398</v>
      </c>
      <c r="CL472" s="37">
        <v>1.60010869653469</v>
      </c>
      <c r="CM472" s="37">
        <v>0.84654704659994096</v>
      </c>
      <c r="CN472" s="37">
        <v>0.91879256581511404</v>
      </c>
      <c r="CO472" s="37">
        <v>2.36757171115537</v>
      </c>
      <c r="CP472" s="37">
        <v>3.0170800957248498</v>
      </c>
      <c r="CQ472" s="37">
        <v>1.5226368464746201</v>
      </c>
      <c r="CR472" s="45">
        <v>-2.3451396793986699</v>
      </c>
      <c r="CS472" s="45">
        <v>-5.4769114997315098</v>
      </c>
      <c r="CT472" s="46">
        <v>5.9547551905532796E-7</v>
      </c>
      <c r="CU472" s="47">
        <v>3.1723219851993298E-6</v>
      </c>
      <c r="CV472" s="48">
        <v>9.3039676564649305</v>
      </c>
      <c r="CW472" s="49">
        <v>1.69876173038783</v>
      </c>
      <c r="CX472" s="31" t="s">
        <v>5875</v>
      </c>
      <c r="CY472" s="31" t="s">
        <v>5876</v>
      </c>
      <c r="CZ472" t="s">
        <v>6302</v>
      </c>
      <c r="DA472" t="s">
        <v>5904</v>
      </c>
      <c r="DB472">
        <v>1499.2</v>
      </c>
      <c r="DC472" t="s">
        <v>15168</v>
      </c>
      <c r="DD472" t="s">
        <v>15169</v>
      </c>
      <c r="DE472" t="s">
        <v>15170</v>
      </c>
      <c r="DF472" t="s">
        <v>15171</v>
      </c>
      <c r="DG472" t="s">
        <v>15172</v>
      </c>
      <c r="DH472" t="str">
        <f>"FURIN"</f>
        <v>FURIN</v>
      </c>
      <c r="DI472" t="s">
        <v>15173</v>
      </c>
      <c r="DJ472" t="s">
        <v>13777</v>
      </c>
      <c r="DK472">
        <v>9606</v>
      </c>
      <c r="DL472" s="34" t="str">
        <f>HYPERLINK("http://www.uniprot.org/uniprot/P09958", "P09958")</f>
        <v>P09958</v>
      </c>
      <c r="DM472" t="s">
        <v>15174</v>
      </c>
      <c r="DN472" t="s">
        <v>13772</v>
      </c>
      <c r="DO472" t="s">
        <v>15175</v>
      </c>
      <c r="DP472" t="s">
        <v>13793</v>
      </c>
      <c r="DQ472" t="s">
        <v>13772</v>
      </c>
      <c r="DR472" t="s">
        <v>13772</v>
      </c>
      <c r="DS472" t="s">
        <v>13826</v>
      </c>
      <c r="DT472" t="s">
        <v>13873</v>
      </c>
      <c r="DU472" t="s">
        <v>15176</v>
      </c>
      <c r="DV472" t="s">
        <v>15177</v>
      </c>
      <c r="DW472" t="s">
        <v>13812</v>
      </c>
      <c r="DX472" t="s">
        <v>15178</v>
      </c>
      <c r="DY472" t="s">
        <v>15179</v>
      </c>
      <c r="DZ472" t="s">
        <v>15180</v>
      </c>
      <c r="EA472" t="s">
        <v>13772</v>
      </c>
      <c r="EB472" t="s">
        <v>15181</v>
      </c>
    </row>
    <row r="473" spans="1:132" hidden="1">
      <c r="A473">
        <v>218</v>
      </c>
      <c r="B473">
        <v>1</v>
      </c>
      <c r="C473" t="s">
        <v>554</v>
      </c>
      <c r="D473" t="s">
        <v>555</v>
      </c>
      <c r="E473" t="s">
        <v>73</v>
      </c>
      <c r="F473" t="s">
        <v>73</v>
      </c>
      <c r="G473" t="s">
        <v>73</v>
      </c>
      <c r="H473">
        <v>27.4</v>
      </c>
      <c r="I473">
        <v>434</v>
      </c>
      <c r="J473">
        <v>45991</v>
      </c>
      <c r="K473" t="s">
        <v>556</v>
      </c>
      <c r="L473">
        <f t="shared" si="30"/>
        <v>80</v>
      </c>
      <c r="N473">
        <v>80</v>
      </c>
      <c r="O473">
        <v>80</v>
      </c>
      <c r="P473">
        <v>1</v>
      </c>
      <c r="Q473">
        <v>4</v>
      </c>
      <c r="R473">
        <v>8</v>
      </c>
      <c r="S473">
        <v>11</v>
      </c>
      <c r="T473">
        <v>10</v>
      </c>
      <c r="U473">
        <v>11</v>
      </c>
      <c r="V473">
        <v>16</v>
      </c>
      <c r="W473">
        <v>10</v>
      </c>
      <c r="X473">
        <v>6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4</v>
      </c>
      <c r="AK473">
        <v>8</v>
      </c>
      <c r="AL473">
        <v>11</v>
      </c>
      <c r="AM473">
        <v>10</v>
      </c>
      <c r="AN473">
        <v>11</v>
      </c>
      <c r="AO473">
        <v>16</v>
      </c>
      <c r="AP473">
        <v>10</v>
      </c>
      <c r="AQ473">
        <v>6</v>
      </c>
      <c r="AR473">
        <v>0</v>
      </c>
      <c r="AS473">
        <v>0</v>
      </c>
      <c r="AT473">
        <v>0</v>
      </c>
      <c r="AU473">
        <v>2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 s="2">
        <v>4</v>
      </c>
      <c r="BD473" s="2">
        <v>8</v>
      </c>
      <c r="BE473" s="2">
        <v>11</v>
      </c>
      <c r="BF473" s="2">
        <v>10</v>
      </c>
      <c r="BG473" s="2">
        <v>11</v>
      </c>
      <c r="BH473" s="2">
        <v>16</v>
      </c>
      <c r="BI473" s="2">
        <v>10</v>
      </c>
      <c r="BJ473" s="2">
        <v>6</v>
      </c>
      <c r="BK473" s="2">
        <v>0</v>
      </c>
      <c r="BL473" s="2">
        <v>0</v>
      </c>
      <c r="BM473" s="2">
        <v>0</v>
      </c>
      <c r="BN473" s="2">
        <v>2</v>
      </c>
      <c r="BO473" s="2">
        <v>0</v>
      </c>
      <c r="BP473" s="2">
        <v>0</v>
      </c>
      <c r="BQ473" s="2">
        <v>0</v>
      </c>
      <c r="BR473" s="2">
        <v>1</v>
      </c>
      <c r="BS473" s="2">
        <v>0</v>
      </c>
      <c r="BT473" s="2">
        <v>0</v>
      </c>
      <c r="BU473" s="2">
        <v>1</v>
      </c>
      <c r="BV473" s="2">
        <f t="shared" si="33"/>
        <v>80</v>
      </c>
      <c r="BW473" s="16">
        <f t="shared" si="31"/>
        <v>4.2105263157894735</v>
      </c>
      <c r="BX473" s="16">
        <f>COUNTIF($BC$6:BU473, "=0") / COUNTIF($BC$6:BU473, "&gt;-1")</f>
        <v>0.11909581646423752</v>
      </c>
      <c r="BY473" s="18">
        <f>SUM($BC$6:BU473) / $BY$4</f>
        <v>0.83915832841043092</v>
      </c>
      <c r="BZ473" s="14">
        <f t="shared" si="32"/>
        <v>8</v>
      </c>
      <c r="CA473" t="s">
        <v>5831</v>
      </c>
      <c r="CB473" s="36">
        <v>4.8465735833389196</v>
      </c>
      <c r="CC473" s="36">
        <v>7.7045129654195703</v>
      </c>
      <c r="CD473" s="36">
        <v>17.608774279934799</v>
      </c>
      <c r="CE473" s="36">
        <v>15.119217591532299</v>
      </c>
      <c r="CF473" s="36">
        <v>9.4619399593058091</v>
      </c>
      <c r="CG473" s="36">
        <v>14.875635946231901</v>
      </c>
      <c r="CH473" s="36">
        <v>10.5406228286464</v>
      </c>
      <c r="CI473" s="36">
        <v>5.8391015878938397</v>
      </c>
      <c r="CJ473" s="37">
        <v>0.19868957331123899</v>
      </c>
      <c r="CK473" s="37">
        <v>0.15766241172207099</v>
      </c>
      <c r="CL473" s="37">
        <v>1.60010869653469</v>
      </c>
      <c r="CM473" s="37">
        <v>0.21163676164998499</v>
      </c>
      <c r="CN473" s="37">
        <v>0.22969814145377901</v>
      </c>
      <c r="CO473" s="37">
        <v>0.78919057038512497</v>
      </c>
      <c r="CP473" s="37">
        <v>0.377135011965606</v>
      </c>
      <c r="CQ473" s="37">
        <v>1.5226368464746201</v>
      </c>
      <c r="CR473" s="45">
        <v>-3.9014938247862498</v>
      </c>
      <c r="CS473" s="45">
        <v>-16.905930754740499</v>
      </c>
      <c r="CT473" s="46">
        <v>5.3902069516234399E-12</v>
      </c>
      <c r="CU473" s="47">
        <v>1.27576396566052E-10</v>
      </c>
      <c r="CV473" s="48">
        <v>10.749547342787899</v>
      </c>
      <c r="CW473" s="49">
        <v>0.63584475168713805</v>
      </c>
      <c r="CX473" s="31" t="s">
        <v>5875</v>
      </c>
      <c r="CY473" s="31" t="s">
        <v>5876</v>
      </c>
      <c r="CZ473" t="s">
        <v>6450</v>
      </c>
      <c r="DA473" t="s">
        <v>5904</v>
      </c>
      <c r="DB473">
        <v>726.9</v>
      </c>
      <c r="DC473" t="s">
        <v>15658</v>
      </c>
      <c r="DD473" t="s">
        <v>13772</v>
      </c>
      <c r="DE473" t="s">
        <v>15659</v>
      </c>
      <c r="DF473" t="s">
        <v>15660</v>
      </c>
      <c r="DG473" t="s">
        <v>13772</v>
      </c>
      <c r="DH473" t="str">
        <f>"ISLR"</f>
        <v>ISLR</v>
      </c>
      <c r="DI473" t="s">
        <v>13772</v>
      </c>
      <c r="DJ473" t="s">
        <v>13777</v>
      </c>
      <c r="DK473">
        <v>9606</v>
      </c>
      <c r="DL473" s="34" t="str">
        <f>HYPERLINK("http://www.uniprot.org/uniprot/O14498", "O14498")</f>
        <v>O14498</v>
      </c>
      <c r="DM473" t="s">
        <v>15661</v>
      </c>
      <c r="DN473" t="s">
        <v>13772</v>
      </c>
      <c r="DO473" t="s">
        <v>14321</v>
      </c>
      <c r="DP473" t="s">
        <v>13793</v>
      </c>
      <c r="DQ473" t="s">
        <v>13772</v>
      </c>
      <c r="DR473" t="s">
        <v>13772</v>
      </c>
      <c r="DS473" t="s">
        <v>15662</v>
      </c>
      <c r="DT473" t="s">
        <v>13772</v>
      </c>
      <c r="DU473" t="s">
        <v>13772</v>
      </c>
      <c r="DV473" t="s">
        <v>13796</v>
      </c>
      <c r="DW473" t="s">
        <v>13772</v>
      </c>
      <c r="DX473" t="s">
        <v>15663</v>
      </c>
      <c r="DY473" t="s">
        <v>15664</v>
      </c>
      <c r="DZ473" t="s">
        <v>13772</v>
      </c>
      <c r="EA473" t="s">
        <v>13772</v>
      </c>
      <c r="EB473" t="s">
        <v>15665</v>
      </c>
    </row>
    <row r="474" spans="1:132" hidden="1">
      <c r="A474">
        <v>507</v>
      </c>
      <c r="B474">
        <v>1</v>
      </c>
      <c r="C474" t="s">
        <v>1278</v>
      </c>
      <c r="D474" t="s">
        <v>1279</v>
      </c>
      <c r="E474" t="s">
        <v>73</v>
      </c>
      <c r="F474" t="s">
        <v>73</v>
      </c>
      <c r="G474" t="s">
        <v>73</v>
      </c>
      <c r="H474">
        <v>20.7</v>
      </c>
      <c r="I474">
        <v>1157</v>
      </c>
      <c r="J474">
        <v>123513</v>
      </c>
      <c r="K474" t="s">
        <v>1280</v>
      </c>
      <c r="L474">
        <f t="shared" si="30"/>
        <v>80</v>
      </c>
      <c r="N474">
        <v>80</v>
      </c>
      <c r="O474">
        <v>80</v>
      </c>
      <c r="P474">
        <v>1</v>
      </c>
      <c r="Q474">
        <v>7</v>
      </c>
      <c r="R474">
        <v>9</v>
      </c>
      <c r="S474">
        <v>2</v>
      </c>
      <c r="T474">
        <v>6</v>
      </c>
      <c r="U474">
        <v>7</v>
      </c>
      <c r="V474">
        <v>14</v>
      </c>
      <c r="W474">
        <v>16</v>
      </c>
      <c r="X474">
        <v>6</v>
      </c>
      <c r="Y474">
        <v>0</v>
      </c>
      <c r="Z474">
        <v>1</v>
      </c>
      <c r="AA474">
        <v>1</v>
      </c>
      <c r="AB474">
        <v>2</v>
      </c>
      <c r="AC474">
        <v>0</v>
      </c>
      <c r="AD474">
        <v>3</v>
      </c>
      <c r="AE474">
        <v>2</v>
      </c>
      <c r="AF474">
        <v>2</v>
      </c>
      <c r="AG474">
        <v>1</v>
      </c>
      <c r="AH474">
        <v>0</v>
      </c>
      <c r="AI474">
        <v>1</v>
      </c>
      <c r="AJ474">
        <v>7</v>
      </c>
      <c r="AK474">
        <v>9</v>
      </c>
      <c r="AL474">
        <v>2</v>
      </c>
      <c r="AM474">
        <v>6</v>
      </c>
      <c r="AN474">
        <v>7</v>
      </c>
      <c r="AO474">
        <v>14</v>
      </c>
      <c r="AP474">
        <v>16</v>
      </c>
      <c r="AQ474">
        <v>6</v>
      </c>
      <c r="AR474">
        <v>0</v>
      </c>
      <c r="AS474">
        <v>1</v>
      </c>
      <c r="AT474">
        <v>1</v>
      </c>
      <c r="AU474">
        <v>2</v>
      </c>
      <c r="AV474">
        <v>0</v>
      </c>
      <c r="AW474">
        <v>3</v>
      </c>
      <c r="AX474">
        <v>2</v>
      </c>
      <c r="AY474">
        <v>2</v>
      </c>
      <c r="AZ474">
        <v>1</v>
      </c>
      <c r="BA474">
        <v>0</v>
      </c>
      <c r="BB474">
        <v>1</v>
      </c>
      <c r="BC474" s="2">
        <v>7</v>
      </c>
      <c r="BD474" s="2">
        <v>9</v>
      </c>
      <c r="BE474" s="2">
        <v>2</v>
      </c>
      <c r="BF474" s="2">
        <v>6</v>
      </c>
      <c r="BG474" s="2">
        <v>7</v>
      </c>
      <c r="BH474" s="2">
        <v>14</v>
      </c>
      <c r="BI474" s="2">
        <v>16</v>
      </c>
      <c r="BJ474" s="2">
        <v>6</v>
      </c>
      <c r="BK474" s="2">
        <v>0</v>
      </c>
      <c r="BL474" s="2">
        <v>1</v>
      </c>
      <c r="BM474" s="2">
        <v>1</v>
      </c>
      <c r="BN474" s="2">
        <v>2</v>
      </c>
      <c r="BO474" s="2">
        <v>0</v>
      </c>
      <c r="BP474" s="2">
        <v>3</v>
      </c>
      <c r="BQ474" s="2">
        <v>2</v>
      </c>
      <c r="BR474" s="2">
        <v>2</v>
      </c>
      <c r="BS474" s="2">
        <v>1</v>
      </c>
      <c r="BT474" s="2">
        <v>0</v>
      </c>
      <c r="BU474" s="2">
        <v>1</v>
      </c>
      <c r="BV474" s="2">
        <f t="shared" si="33"/>
        <v>80</v>
      </c>
      <c r="BW474" s="16">
        <f t="shared" si="31"/>
        <v>4.2105263157894735</v>
      </c>
      <c r="BX474" s="16">
        <f>COUNTIF($BC$6:BU474, "=0") / COUNTIF($BC$6:BU474, "&gt;-1")</f>
        <v>0.11917854337335877</v>
      </c>
      <c r="BY474" s="18">
        <f>SUM($BC$6:BU474) / $BY$4</f>
        <v>0.83950101935992694</v>
      </c>
      <c r="BZ474" s="14">
        <f t="shared" si="32"/>
        <v>3</v>
      </c>
      <c r="CA474" t="s">
        <v>5831</v>
      </c>
      <c r="CB474" s="36">
        <v>8.4815037708430996</v>
      </c>
      <c r="CC474" s="36">
        <v>8.6675770860970207</v>
      </c>
      <c r="CD474" s="36">
        <v>3.2015953236245198</v>
      </c>
      <c r="CE474" s="36">
        <v>9.0715305549193808</v>
      </c>
      <c r="CF474" s="36">
        <v>6.0212345195582504</v>
      </c>
      <c r="CG474" s="36">
        <v>13.0161814529529</v>
      </c>
      <c r="CH474" s="36">
        <v>16.8649965258343</v>
      </c>
      <c r="CI474" s="36">
        <v>5.8391015878938397</v>
      </c>
      <c r="CJ474" s="37">
        <v>0.19868957331123899</v>
      </c>
      <c r="CK474" s="37">
        <v>0.63064964688828595</v>
      </c>
      <c r="CL474" s="37">
        <v>1.60010869653469</v>
      </c>
      <c r="CM474" s="37">
        <v>0.21163676164998499</v>
      </c>
      <c r="CN474" s="37">
        <v>1.8375851316302301</v>
      </c>
      <c r="CO474" s="37">
        <v>1.5783811407702499</v>
      </c>
      <c r="CP474" s="37">
        <v>1.50854004786242</v>
      </c>
      <c r="CQ474" s="37">
        <v>1.5226368464746201</v>
      </c>
      <c r="CR474" s="45">
        <v>-2.9325355530989898</v>
      </c>
      <c r="CS474" s="45">
        <v>-7.8303187413948701</v>
      </c>
      <c r="CT474" s="46">
        <v>1.15610013580934E-8</v>
      </c>
      <c r="CU474" s="47">
        <v>1.0893394237414799E-7</v>
      </c>
      <c r="CV474" s="48">
        <v>8.8954651027154004</v>
      </c>
      <c r="CW474" s="49">
        <v>1.1360284806402099</v>
      </c>
      <c r="CX474" s="31" t="s">
        <v>5875</v>
      </c>
      <c r="CY474" s="31" t="s">
        <v>5876</v>
      </c>
      <c r="CZ474" t="s">
        <v>7471</v>
      </c>
      <c r="DA474" t="s">
        <v>5904</v>
      </c>
      <c r="DB474">
        <v>1599</v>
      </c>
      <c r="DC474" t="s">
        <v>18784</v>
      </c>
      <c r="DD474" t="s">
        <v>18785</v>
      </c>
      <c r="DE474" t="s">
        <v>18786</v>
      </c>
      <c r="DF474" t="s">
        <v>18787</v>
      </c>
      <c r="DG474" t="s">
        <v>18788</v>
      </c>
      <c r="DH474" t="str">
        <f>"NCAM1"</f>
        <v>NCAM1</v>
      </c>
      <c r="DI474" t="s">
        <v>18789</v>
      </c>
      <c r="DJ474" t="s">
        <v>13777</v>
      </c>
      <c r="DK474">
        <v>9606</v>
      </c>
      <c r="DL474" s="34" t="str">
        <f>HYPERLINK("http://www.uniprot.org/uniprot/P13591", "P13591")</f>
        <v>P13591</v>
      </c>
      <c r="DM474" t="s">
        <v>18790</v>
      </c>
      <c r="DN474" t="s">
        <v>16592</v>
      </c>
      <c r="DO474" t="s">
        <v>14336</v>
      </c>
      <c r="DP474" t="s">
        <v>13780</v>
      </c>
      <c r="DQ474" t="s">
        <v>13772</v>
      </c>
      <c r="DR474" t="s">
        <v>13772</v>
      </c>
      <c r="DS474" t="s">
        <v>13951</v>
      </c>
      <c r="DT474" t="s">
        <v>13772</v>
      </c>
      <c r="DU474" t="s">
        <v>18791</v>
      </c>
      <c r="DV474" t="s">
        <v>16276</v>
      </c>
      <c r="DW474" t="s">
        <v>13812</v>
      </c>
      <c r="DX474" t="s">
        <v>18792</v>
      </c>
      <c r="DY474" t="s">
        <v>18793</v>
      </c>
      <c r="DZ474" t="s">
        <v>18794</v>
      </c>
      <c r="EA474" t="s">
        <v>13772</v>
      </c>
      <c r="EB474" t="s">
        <v>18795</v>
      </c>
    </row>
    <row r="475" spans="1:132" hidden="1">
      <c r="A475">
        <v>793</v>
      </c>
      <c r="B475">
        <v>1</v>
      </c>
      <c r="C475" t="s">
        <v>1946</v>
      </c>
      <c r="D475" t="s">
        <v>1947</v>
      </c>
      <c r="E475" t="s">
        <v>73</v>
      </c>
      <c r="F475" t="s">
        <v>73</v>
      </c>
      <c r="G475" t="s">
        <v>73</v>
      </c>
      <c r="H475">
        <v>28.5</v>
      </c>
      <c r="I475">
        <v>583</v>
      </c>
      <c r="J475">
        <v>64947</v>
      </c>
      <c r="K475" t="s">
        <v>1948</v>
      </c>
      <c r="L475">
        <f t="shared" si="30"/>
        <v>80</v>
      </c>
      <c r="N475">
        <v>80</v>
      </c>
      <c r="O475">
        <v>80</v>
      </c>
      <c r="P475">
        <v>1</v>
      </c>
      <c r="Q475">
        <v>7</v>
      </c>
      <c r="R475">
        <v>7</v>
      </c>
      <c r="S475">
        <v>4</v>
      </c>
      <c r="T475">
        <v>1</v>
      </c>
      <c r="U475">
        <v>8</v>
      </c>
      <c r="V475">
        <v>4</v>
      </c>
      <c r="W475">
        <v>13</v>
      </c>
      <c r="X475">
        <v>11</v>
      </c>
      <c r="Y475">
        <v>0</v>
      </c>
      <c r="Z475">
        <v>0</v>
      </c>
      <c r="AA475">
        <v>9</v>
      </c>
      <c r="AB475">
        <v>9</v>
      </c>
      <c r="AC475">
        <v>3</v>
      </c>
      <c r="AD475">
        <v>1</v>
      </c>
      <c r="AE475">
        <v>2</v>
      </c>
      <c r="AF475">
        <v>1</v>
      </c>
      <c r="AG475">
        <v>0</v>
      </c>
      <c r="AH475">
        <v>0</v>
      </c>
      <c r="AI475">
        <v>0</v>
      </c>
      <c r="AJ475">
        <v>7</v>
      </c>
      <c r="AK475">
        <v>7</v>
      </c>
      <c r="AL475">
        <v>4</v>
      </c>
      <c r="AM475">
        <v>1</v>
      </c>
      <c r="AN475">
        <v>8</v>
      </c>
      <c r="AO475">
        <v>4</v>
      </c>
      <c r="AP475">
        <v>13</v>
      </c>
      <c r="AQ475">
        <v>11</v>
      </c>
      <c r="AR475">
        <v>0</v>
      </c>
      <c r="AS475">
        <v>0</v>
      </c>
      <c r="AT475">
        <v>9</v>
      </c>
      <c r="AU475">
        <v>9</v>
      </c>
      <c r="AV475">
        <v>3</v>
      </c>
      <c r="AW475">
        <v>1</v>
      </c>
      <c r="AX475">
        <v>2</v>
      </c>
      <c r="AY475">
        <v>1</v>
      </c>
      <c r="AZ475">
        <v>0</v>
      </c>
      <c r="BA475">
        <v>0</v>
      </c>
      <c r="BB475">
        <v>0</v>
      </c>
      <c r="BC475" s="2">
        <v>7</v>
      </c>
      <c r="BD475" s="2">
        <v>7</v>
      </c>
      <c r="BE475" s="2">
        <v>4</v>
      </c>
      <c r="BF475" s="2">
        <v>1</v>
      </c>
      <c r="BG475" s="2">
        <v>8</v>
      </c>
      <c r="BH475" s="2">
        <v>4</v>
      </c>
      <c r="BI475" s="2">
        <v>13</v>
      </c>
      <c r="BJ475" s="2">
        <v>11</v>
      </c>
      <c r="BK475" s="2">
        <v>0</v>
      </c>
      <c r="BL475" s="2">
        <v>0</v>
      </c>
      <c r="BM475" s="2">
        <v>9</v>
      </c>
      <c r="BN475" s="2">
        <v>9</v>
      </c>
      <c r="BO475" s="2">
        <v>3</v>
      </c>
      <c r="BP475" s="2">
        <v>1</v>
      </c>
      <c r="BQ475" s="2">
        <v>2</v>
      </c>
      <c r="BR475" s="2">
        <v>1</v>
      </c>
      <c r="BS475" s="2">
        <v>0</v>
      </c>
      <c r="BT475" s="2">
        <v>0</v>
      </c>
      <c r="BU475" s="2">
        <v>0</v>
      </c>
      <c r="BV475" s="2">
        <f t="shared" si="33"/>
        <v>80</v>
      </c>
      <c r="BW475" s="16">
        <f t="shared" si="31"/>
        <v>4.2105263157894735</v>
      </c>
      <c r="BX475" s="16">
        <f>COUNTIF($BC$6:BU475, "=0") / COUNTIF($BC$6:BU475, "&gt;-1")</f>
        <v>0.11948488241881298</v>
      </c>
      <c r="BY475" s="18">
        <f>SUM($BC$6:BU475) / $BY$4</f>
        <v>0.83984371030942295</v>
      </c>
      <c r="BZ475" s="14">
        <f t="shared" si="32"/>
        <v>5</v>
      </c>
      <c r="CA475" t="s">
        <v>5831</v>
      </c>
      <c r="CB475" s="36">
        <v>8.4815037708430996</v>
      </c>
      <c r="CC475" s="36">
        <v>6.7414488447421297</v>
      </c>
      <c r="CD475" s="36">
        <v>6.4031906472490299</v>
      </c>
      <c r="CE475" s="36">
        <v>1.5119217591532299</v>
      </c>
      <c r="CF475" s="36">
        <v>6.8814108794951396</v>
      </c>
      <c r="CG475" s="36">
        <v>3.7189089865579601</v>
      </c>
      <c r="CH475" s="36">
        <v>13.7028096772403</v>
      </c>
      <c r="CI475" s="36">
        <v>10.7050195778054</v>
      </c>
      <c r="CJ475" s="37">
        <v>0.19868957331123899</v>
      </c>
      <c r="CK475" s="37">
        <v>5.6758468219945701</v>
      </c>
      <c r="CL475" s="37">
        <v>7.2004891344060802</v>
      </c>
      <c r="CM475" s="37">
        <v>2.5396411397998202</v>
      </c>
      <c r="CN475" s="37">
        <v>1.8375851316302301</v>
      </c>
      <c r="CO475" s="37">
        <v>0.78919057038512497</v>
      </c>
      <c r="CP475" s="37">
        <v>0.377135011965606</v>
      </c>
      <c r="CQ475" s="37">
        <v>0.38065921161865401</v>
      </c>
      <c r="CR475" s="45">
        <v>-1.4669441677824</v>
      </c>
      <c r="CS475" s="45">
        <v>-3.0604500266104302</v>
      </c>
      <c r="CT475" s="46">
        <v>7.0928627039265699E-3</v>
      </c>
      <c r="CU475" s="47">
        <v>1.35188750681677E-2</v>
      </c>
      <c r="CV475" s="48">
        <v>7.2682767678857898</v>
      </c>
      <c r="CW475" s="49">
        <v>2.3749045743889199</v>
      </c>
      <c r="CX475" s="31" t="s">
        <v>5875</v>
      </c>
      <c r="CY475" s="31" t="s">
        <v>5878</v>
      </c>
      <c r="CZ475" t="s">
        <v>8416</v>
      </c>
      <c r="DA475" t="s">
        <v>5904</v>
      </c>
      <c r="DB475">
        <v>1156.3</v>
      </c>
      <c r="DC475" t="s">
        <v>21608</v>
      </c>
      <c r="DD475" t="s">
        <v>21609</v>
      </c>
      <c r="DE475" t="s">
        <v>21610</v>
      </c>
      <c r="DF475" t="s">
        <v>21611</v>
      </c>
      <c r="DG475" t="s">
        <v>21612</v>
      </c>
      <c r="DH475" t="str">
        <f>"ALCAM"</f>
        <v>ALCAM</v>
      </c>
      <c r="DI475" t="s">
        <v>21613</v>
      </c>
      <c r="DJ475" t="s">
        <v>13777</v>
      </c>
      <c r="DK475">
        <v>9606</v>
      </c>
      <c r="DL475" s="34" t="str">
        <f>HYPERLINK("http://www.uniprot.org/uniprot/Q13740", "Q13740")</f>
        <v>Q13740</v>
      </c>
      <c r="DM475" t="s">
        <v>21614</v>
      </c>
      <c r="DN475" t="s">
        <v>21615</v>
      </c>
      <c r="DO475" t="s">
        <v>21616</v>
      </c>
      <c r="DP475" t="s">
        <v>13780</v>
      </c>
      <c r="DQ475" t="s">
        <v>13772</v>
      </c>
      <c r="DR475" t="s">
        <v>13772</v>
      </c>
      <c r="DS475" t="s">
        <v>13951</v>
      </c>
      <c r="DT475" t="s">
        <v>13772</v>
      </c>
      <c r="DU475" t="s">
        <v>13772</v>
      </c>
      <c r="DV475" t="s">
        <v>13796</v>
      </c>
      <c r="DW475" t="s">
        <v>13812</v>
      </c>
      <c r="DX475" t="s">
        <v>21617</v>
      </c>
      <c r="DY475" t="s">
        <v>21618</v>
      </c>
      <c r="DZ475" t="s">
        <v>21409</v>
      </c>
      <c r="EA475" t="s">
        <v>13772</v>
      </c>
      <c r="EB475" t="s">
        <v>18478</v>
      </c>
    </row>
    <row r="476" spans="1:132">
      <c r="A476">
        <v>1099</v>
      </c>
      <c r="B476">
        <v>1</v>
      </c>
      <c r="C476" t="s">
        <v>2644</v>
      </c>
      <c r="D476" t="s">
        <v>73</v>
      </c>
      <c r="E476" t="s">
        <v>73</v>
      </c>
      <c r="F476" t="s">
        <v>73</v>
      </c>
      <c r="G476" t="s">
        <v>73</v>
      </c>
      <c r="H476">
        <v>16.899999999999999</v>
      </c>
      <c r="I476">
        <v>946</v>
      </c>
      <c r="J476">
        <v>106535</v>
      </c>
      <c r="K476" t="s">
        <v>2645</v>
      </c>
      <c r="L476">
        <f t="shared" si="30"/>
        <v>80</v>
      </c>
      <c r="N476">
        <v>80</v>
      </c>
      <c r="O476">
        <v>80</v>
      </c>
      <c r="P476">
        <v>1</v>
      </c>
      <c r="Q476">
        <v>4</v>
      </c>
      <c r="R476">
        <v>3</v>
      </c>
      <c r="S476">
        <v>1</v>
      </c>
      <c r="T476">
        <v>2</v>
      </c>
      <c r="U476">
        <v>3</v>
      </c>
      <c r="V476">
        <v>7</v>
      </c>
      <c r="W476">
        <v>2</v>
      </c>
      <c r="X476">
        <v>3</v>
      </c>
      <c r="Y476">
        <v>2</v>
      </c>
      <c r="Z476">
        <v>8</v>
      </c>
      <c r="AA476">
        <v>3</v>
      </c>
      <c r="AB476">
        <v>7</v>
      </c>
      <c r="AC476">
        <v>8</v>
      </c>
      <c r="AD476">
        <v>11</v>
      </c>
      <c r="AE476">
        <v>1</v>
      </c>
      <c r="AF476">
        <v>3</v>
      </c>
      <c r="AG476">
        <v>3</v>
      </c>
      <c r="AH476">
        <v>5</v>
      </c>
      <c r="AI476">
        <v>4</v>
      </c>
      <c r="AJ476">
        <v>4</v>
      </c>
      <c r="AK476">
        <v>3</v>
      </c>
      <c r="AL476">
        <v>1</v>
      </c>
      <c r="AM476">
        <v>2</v>
      </c>
      <c r="AN476">
        <v>3</v>
      </c>
      <c r="AO476">
        <v>7</v>
      </c>
      <c r="AP476">
        <v>2</v>
      </c>
      <c r="AQ476">
        <v>3</v>
      </c>
      <c r="AR476">
        <v>2</v>
      </c>
      <c r="AS476">
        <v>8</v>
      </c>
      <c r="AT476">
        <v>3</v>
      </c>
      <c r="AU476">
        <v>7</v>
      </c>
      <c r="AV476">
        <v>8</v>
      </c>
      <c r="AW476">
        <v>11</v>
      </c>
      <c r="AX476">
        <v>1</v>
      </c>
      <c r="AY476">
        <v>3</v>
      </c>
      <c r="AZ476">
        <v>3</v>
      </c>
      <c r="BA476">
        <v>5</v>
      </c>
      <c r="BB476">
        <v>4</v>
      </c>
      <c r="BC476" s="2">
        <v>4</v>
      </c>
      <c r="BD476" s="2">
        <v>3</v>
      </c>
      <c r="BE476" s="2">
        <v>1</v>
      </c>
      <c r="BF476" s="2">
        <v>2</v>
      </c>
      <c r="BG476" s="2">
        <v>3</v>
      </c>
      <c r="BH476" s="2">
        <v>7</v>
      </c>
      <c r="BI476" s="2">
        <v>2</v>
      </c>
      <c r="BJ476" s="2">
        <v>3</v>
      </c>
      <c r="BK476" s="2">
        <v>2</v>
      </c>
      <c r="BL476" s="2">
        <v>8</v>
      </c>
      <c r="BM476" s="2">
        <v>3</v>
      </c>
      <c r="BN476" s="2">
        <v>7</v>
      </c>
      <c r="BO476" s="2">
        <v>8</v>
      </c>
      <c r="BP476" s="2">
        <v>11</v>
      </c>
      <c r="BQ476" s="2">
        <v>1</v>
      </c>
      <c r="BR476" s="2">
        <v>3</v>
      </c>
      <c r="BS476" s="2">
        <v>3</v>
      </c>
      <c r="BT476" s="2">
        <v>5</v>
      </c>
      <c r="BU476" s="2">
        <v>4</v>
      </c>
      <c r="BV476" s="2">
        <f t="shared" si="33"/>
        <v>80</v>
      </c>
      <c r="BW476" s="16">
        <f t="shared" si="31"/>
        <v>4.2105263157894735</v>
      </c>
      <c r="BX476" s="16">
        <f>COUNTIF($BC$6:BU476, "=0") / COUNTIF($BC$6:BU476, "&gt;-1")</f>
        <v>0.1192311990166499</v>
      </c>
      <c r="BY476" s="18">
        <f>SUM($BC$6:BU476) / $BY$4</f>
        <v>0.84018640125891897</v>
      </c>
      <c r="BZ476" s="14">
        <f t="shared" si="32"/>
        <v>0</v>
      </c>
      <c r="CA476" t="s">
        <v>5831</v>
      </c>
      <c r="CB476" s="36">
        <v>4.8465735833389196</v>
      </c>
      <c r="CC476" s="36">
        <v>2.8891923620323401</v>
      </c>
      <c r="CD476" s="36">
        <v>1.6007976618122599</v>
      </c>
      <c r="CE476" s="36">
        <v>3.0238435183064598</v>
      </c>
      <c r="CF476" s="36">
        <v>2.5805290798106801</v>
      </c>
      <c r="CG476" s="36">
        <v>6.50809072647644</v>
      </c>
      <c r="CH476" s="36">
        <v>2.10812456572928</v>
      </c>
      <c r="CI476" s="36">
        <v>2.9195507939469199</v>
      </c>
      <c r="CJ476" s="37">
        <v>1.5895165864899099</v>
      </c>
      <c r="CK476" s="37">
        <v>1.89194894066486</v>
      </c>
      <c r="CL476" s="37">
        <v>5.6003804378713999</v>
      </c>
      <c r="CM476" s="37">
        <v>6.7723763727995303</v>
      </c>
      <c r="CN476" s="37">
        <v>0.91879256581511404</v>
      </c>
      <c r="CO476" s="37">
        <v>2.36757171115537</v>
      </c>
      <c r="CP476" s="37">
        <v>4.5256201435872701</v>
      </c>
      <c r="CQ476" s="37">
        <v>6.0905473858984696</v>
      </c>
      <c r="CR476" s="45">
        <v>7.1518009282619893E-2</v>
      </c>
      <c r="CS476" s="45">
        <v>1.1238844557272301</v>
      </c>
      <c r="CT476" s="46">
        <v>0.82799250038392902</v>
      </c>
      <c r="CU476" s="47">
        <v>0.87646674486843101</v>
      </c>
      <c r="CV476" s="48">
        <v>3.3095877864316599</v>
      </c>
      <c r="CW476" s="49">
        <v>3.7195942680352401</v>
      </c>
      <c r="CX476" s="31" t="s">
        <v>5874</v>
      </c>
      <c r="CY476" s="31" t="s">
        <v>5832</v>
      </c>
      <c r="CZ476" t="s">
        <v>9396</v>
      </c>
      <c r="DA476" t="s">
        <v>5904</v>
      </c>
      <c r="DB476">
        <v>1731.5</v>
      </c>
      <c r="DC476" t="s">
        <v>24432</v>
      </c>
      <c r="DD476" t="s">
        <v>24433</v>
      </c>
      <c r="DE476" t="s">
        <v>24434</v>
      </c>
      <c r="DF476" t="s">
        <v>24435</v>
      </c>
      <c r="DG476" t="s">
        <v>24436</v>
      </c>
      <c r="DH476" t="str">
        <f>"ITIH2"</f>
        <v>ITIH2</v>
      </c>
      <c r="DI476" t="s">
        <v>24437</v>
      </c>
      <c r="DJ476" t="s">
        <v>13777</v>
      </c>
      <c r="DK476">
        <v>9606</v>
      </c>
      <c r="DL476" s="34" t="str">
        <f>HYPERLINK("http://www.uniprot.org/uniprot/P19823", "P19823")</f>
        <v>P19823</v>
      </c>
      <c r="DM476" t="s">
        <v>24438</v>
      </c>
      <c r="DN476" t="s">
        <v>13772</v>
      </c>
      <c r="DO476" t="s">
        <v>14321</v>
      </c>
      <c r="DP476" t="s">
        <v>13793</v>
      </c>
      <c r="DQ476" t="s">
        <v>13772</v>
      </c>
      <c r="DR476" t="s">
        <v>13772</v>
      </c>
      <c r="DS476" t="s">
        <v>13808</v>
      </c>
      <c r="DT476" t="s">
        <v>13772</v>
      </c>
      <c r="DU476" t="s">
        <v>14375</v>
      </c>
      <c r="DV476" t="s">
        <v>24439</v>
      </c>
      <c r="DW476" t="s">
        <v>13772</v>
      </c>
      <c r="DX476" t="s">
        <v>24440</v>
      </c>
      <c r="DY476" t="s">
        <v>24441</v>
      </c>
      <c r="DZ476" t="s">
        <v>20851</v>
      </c>
      <c r="EA476" t="s">
        <v>13772</v>
      </c>
      <c r="EB476" t="s">
        <v>17241</v>
      </c>
    </row>
    <row r="477" spans="1:132" hidden="1">
      <c r="A477">
        <v>2234</v>
      </c>
      <c r="B477">
        <v>1</v>
      </c>
      <c r="C477" t="s">
        <v>5225</v>
      </c>
      <c r="D477" t="s">
        <v>73</v>
      </c>
      <c r="E477" t="s">
        <v>73</v>
      </c>
      <c r="F477" t="s">
        <v>73</v>
      </c>
      <c r="G477" t="s">
        <v>73</v>
      </c>
      <c r="H477">
        <v>31</v>
      </c>
      <c r="I477">
        <v>481</v>
      </c>
      <c r="J477">
        <v>53659</v>
      </c>
      <c r="K477" t="s">
        <v>5226</v>
      </c>
      <c r="L477">
        <f t="shared" si="30"/>
        <v>80</v>
      </c>
      <c r="N477">
        <v>80</v>
      </c>
      <c r="O477">
        <v>80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</v>
      </c>
      <c r="W477">
        <v>1</v>
      </c>
      <c r="X477">
        <v>1</v>
      </c>
      <c r="Y477">
        <v>6</v>
      </c>
      <c r="Z477">
        <v>20</v>
      </c>
      <c r="AA477">
        <v>2</v>
      </c>
      <c r="AB477">
        <v>1</v>
      </c>
      <c r="AC477">
        <v>11</v>
      </c>
      <c r="AD477">
        <v>11</v>
      </c>
      <c r="AE477">
        <v>2</v>
      </c>
      <c r="AF477">
        <v>4</v>
      </c>
      <c r="AG477">
        <v>5</v>
      </c>
      <c r="AH477">
        <v>4</v>
      </c>
      <c r="AI477">
        <v>10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1</v>
      </c>
      <c r="AQ477">
        <v>1</v>
      </c>
      <c r="AR477">
        <v>6</v>
      </c>
      <c r="AS477">
        <v>20</v>
      </c>
      <c r="AT477">
        <v>2</v>
      </c>
      <c r="AU477">
        <v>1</v>
      </c>
      <c r="AV477">
        <v>11</v>
      </c>
      <c r="AW477">
        <v>11</v>
      </c>
      <c r="AX477">
        <v>2</v>
      </c>
      <c r="AY477">
        <v>4</v>
      </c>
      <c r="AZ477">
        <v>5</v>
      </c>
      <c r="BA477">
        <v>4</v>
      </c>
      <c r="BB477">
        <v>10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2</v>
      </c>
      <c r="BI477" s="2">
        <v>1</v>
      </c>
      <c r="BJ477" s="2">
        <v>1</v>
      </c>
      <c r="BK477" s="2">
        <v>6</v>
      </c>
      <c r="BL477" s="2">
        <v>20</v>
      </c>
      <c r="BM477" s="2">
        <v>2</v>
      </c>
      <c r="BN477" s="2">
        <v>1</v>
      </c>
      <c r="BO477" s="2">
        <v>11</v>
      </c>
      <c r="BP477" s="2">
        <v>11</v>
      </c>
      <c r="BQ477" s="2">
        <v>2</v>
      </c>
      <c r="BR477" s="2">
        <v>4</v>
      </c>
      <c r="BS477" s="2">
        <v>5</v>
      </c>
      <c r="BT477" s="2">
        <v>4</v>
      </c>
      <c r="BU477" s="2">
        <v>10</v>
      </c>
      <c r="BV477" s="2">
        <f t="shared" si="33"/>
        <v>80</v>
      </c>
      <c r="BW477" s="16">
        <f t="shared" si="31"/>
        <v>4.2105263157894735</v>
      </c>
      <c r="BX477" s="16">
        <f>COUNTIF($BC$6:BU477, "=0") / COUNTIF($BC$6:BU477, "&gt;-1")</f>
        <v>0.11953612845673506</v>
      </c>
      <c r="BY477" s="18">
        <f>SUM($BC$6:BU477) / $BY$4</f>
        <v>0.8405290922084151</v>
      </c>
      <c r="BZ477" s="14">
        <f t="shared" si="32"/>
        <v>5</v>
      </c>
      <c r="CA477" t="s">
        <v>5831</v>
      </c>
      <c r="CB477" s="36">
        <v>0.30291084895868198</v>
      </c>
      <c r="CC477" s="36">
        <v>0.24076603016936199</v>
      </c>
      <c r="CD477" s="36">
        <v>0.40019941545306398</v>
      </c>
      <c r="CE477" s="36">
        <v>0.37798043978830698</v>
      </c>
      <c r="CF477" s="36">
        <v>0.215044089984223</v>
      </c>
      <c r="CG477" s="36">
        <v>1.85945449327898</v>
      </c>
      <c r="CH477" s="36">
        <v>1.05406228286464</v>
      </c>
      <c r="CI477" s="36">
        <v>0.97318359798230603</v>
      </c>
      <c r="CJ477" s="37">
        <v>4.7685497594697397</v>
      </c>
      <c r="CK477" s="37">
        <v>1.2612992937765699</v>
      </c>
      <c r="CL477" s="37">
        <v>0.80005434826734301</v>
      </c>
      <c r="CM477" s="37">
        <v>9.3120175125993505</v>
      </c>
      <c r="CN477" s="37">
        <v>1.8375851316302301</v>
      </c>
      <c r="CO477" s="37">
        <v>3.1567622815404999</v>
      </c>
      <c r="CP477" s="37">
        <v>7.5427002393121096</v>
      </c>
      <c r="CQ477" s="37">
        <v>15.2263684647462</v>
      </c>
      <c r="CR477" s="45">
        <v>2.6793770006702</v>
      </c>
      <c r="CS477" s="45">
        <v>8.0952369882303099</v>
      </c>
      <c r="CT477" s="46">
        <v>2.95571641809076E-4</v>
      </c>
      <c r="CU477" s="47">
        <v>7.4900541049345397E-4</v>
      </c>
      <c r="CV477" s="48">
        <v>0.67795014980994595</v>
      </c>
      <c r="CW477" s="49">
        <v>5.48816712891775</v>
      </c>
      <c r="CX477" s="31" t="s">
        <v>5874</v>
      </c>
      <c r="CY477" s="31" t="s">
        <v>5876</v>
      </c>
      <c r="CZ477" t="s">
        <v>13190</v>
      </c>
      <c r="DA477" t="s">
        <v>5904</v>
      </c>
      <c r="DB477">
        <v>761.1</v>
      </c>
      <c r="DC477" t="s">
        <v>35087</v>
      </c>
      <c r="DD477" t="s">
        <v>13772</v>
      </c>
      <c r="DE477" t="s">
        <v>35088</v>
      </c>
      <c r="DF477" t="s">
        <v>35089</v>
      </c>
      <c r="DG477" t="s">
        <v>35090</v>
      </c>
      <c r="DH477" t="str">
        <f>"LBP"</f>
        <v>LBP</v>
      </c>
      <c r="DI477" t="s">
        <v>13772</v>
      </c>
      <c r="DJ477" t="s">
        <v>13777</v>
      </c>
      <c r="DK477">
        <v>9606</v>
      </c>
      <c r="DL477" s="34" t="str">
        <f>HYPERLINK("http://www.uniprot.org/uniprot/P18428", "P18428")</f>
        <v>P18428</v>
      </c>
      <c r="DM477" t="s">
        <v>35091</v>
      </c>
      <c r="DN477" t="s">
        <v>35092</v>
      </c>
      <c r="DO477" t="s">
        <v>17261</v>
      </c>
      <c r="DP477" t="s">
        <v>13793</v>
      </c>
      <c r="DQ477" t="s">
        <v>13772</v>
      </c>
      <c r="DR477" t="s">
        <v>13772</v>
      </c>
      <c r="DS477" t="s">
        <v>13808</v>
      </c>
      <c r="DT477" t="s">
        <v>13772</v>
      </c>
      <c r="DU477" t="s">
        <v>21730</v>
      </c>
      <c r="DV477" t="s">
        <v>13796</v>
      </c>
      <c r="DW477" t="s">
        <v>13772</v>
      </c>
      <c r="DX477" t="s">
        <v>35093</v>
      </c>
      <c r="DY477" t="s">
        <v>35094</v>
      </c>
      <c r="DZ477" t="s">
        <v>35095</v>
      </c>
      <c r="EA477" t="s">
        <v>13772</v>
      </c>
      <c r="EB477" t="s">
        <v>35096</v>
      </c>
    </row>
    <row r="478" spans="1:132" hidden="1">
      <c r="A478">
        <v>137</v>
      </c>
      <c r="B478">
        <v>1</v>
      </c>
      <c r="C478" t="s">
        <v>358</v>
      </c>
      <c r="D478" t="s">
        <v>73</v>
      </c>
      <c r="E478" t="s">
        <v>73</v>
      </c>
      <c r="F478" t="s">
        <v>359</v>
      </c>
      <c r="G478" t="s">
        <v>73</v>
      </c>
      <c r="H478">
        <v>51.7</v>
      </c>
      <c r="I478">
        <v>149</v>
      </c>
      <c r="J478">
        <v>16837</v>
      </c>
      <c r="K478" t="s">
        <v>360</v>
      </c>
      <c r="L478">
        <f t="shared" si="30"/>
        <v>80</v>
      </c>
      <c r="N478">
        <v>80</v>
      </c>
      <c r="O478">
        <v>77</v>
      </c>
      <c r="P478">
        <v>0.96299999999999997</v>
      </c>
      <c r="Q478">
        <v>2</v>
      </c>
      <c r="R478">
        <v>5</v>
      </c>
      <c r="S478">
        <v>2</v>
      </c>
      <c r="T478">
        <v>0</v>
      </c>
      <c r="U478">
        <v>4</v>
      </c>
      <c r="V478">
        <v>7</v>
      </c>
      <c r="W478">
        <v>5</v>
      </c>
      <c r="X478">
        <v>10</v>
      </c>
      <c r="Y478">
        <v>7</v>
      </c>
      <c r="Z478">
        <v>1</v>
      </c>
      <c r="AA478">
        <v>7</v>
      </c>
      <c r="AB478">
        <v>3</v>
      </c>
      <c r="AC478">
        <v>2</v>
      </c>
      <c r="AD478">
        <v>0</v>
      </c>
      <c r="AE478">
        <v>8</v>
      </c>
      <c r="AF478">
        <v>11</v>
      </c>
      <c r="AG478">
        <v>2</v>
      </c>
      <c r="AH478">
        <v>1</v>
      </c>
      <c r="AI478">
        <v>3</v>
      </c>
      <c r="AJ478">
        <v>2</v>
      </c>
      <c r="AK478">
        <v>4</v>
      </c>
      <c r="AL478">
        <v>2</v>
      </c>
      <c r="AM478">
        <v>0</v>
      </c>
      <c r="AN478">
        <v>3</v>
      </c>
      <c r="AO478">
        <v>7</v>
      </c>
      <c r="AP478">
        <v>5</v>
      </c>
      <c r="AQ478">
        <v>9</v>
      </c>
      <c r="AR478">
        <v>7</v>
      </c>
      <c r="AS478">
        <v>1</v>
      </c>
      <c r="AT478">
        <v>7</v>
      </c>
      <c r="AU478">
        <v>3</v>
      </c>
      <c r="AV478">
        <v>2</v>
      </c>
      <c r="AW478">
        <v>0</v>
      </c>
      <c r="AX478">
        <v>8</v>
      </c>
      <c r="AY478">
        <v>11</v>
      </c>
      <c r="AZ478">
        <v>2</v>
      </c>
      <c r="BA478">
        <v>1</v>
      </c>
      <c r="BB478">
        <v>3</v>
      </c>
      <c r="BC478" s="2">
        <v>2</v>
      </c>
      <c r="BD478" s="2">
        <v>5</v>
      </c>
      <c r="BE478" s="2">
        <v>2</v>
      </c>
      <c r="BF478" s="2">
        <v>0</v>
      </c>
      <c r="BG478" s="2">
        <v>4</v>
      </c>
      <c r="BH478" s="2">
        <v>7</v>
      </c>
      <c r="BI478" s="2">
        <v>5</v>
      </c>
      <c r="BJ478" s="2">
        <v>9.8179999999999996</v>
      </c>
      <c r="BK478" s="2">
        <v>7</v>
      </c>
      <c r="BL478" s="2">
        <v>1</v>
      </c>
      <c r="BM478" s="2">
        <v>7</v>
      </c>
      <c r="BN478" s="2">
        <v>3</v>
      </c>
      <c r="BO478" s="2">
        <v>2</v>
      </c>
      <c r="BP478" s="2">
        <v>0</v>
      </c>
      <c r="BQ478" s="2">
        <v>8</v>
      </c>
      <c r="BR478" s="2">
        <v>11</v>
      </c>
      <c r="BS478" s="2">
        <v>2</v>
      </c>
      <c r="BT478" s="2">
        <v>1</v>
      </c>
      <c r="BU478" s="2">
        <v>3</v>
      </c>
      <c r="BV478" s="2">
        <f t="shared" si="33"/>
        <v>79.817999999999998</v>
      </c>
      <c r="BW478" s="16">
        <f t="shared" si="31"/>
        <v>4.2009473684210521</v>
      </c>
      <c r="BX478" s="16">
        <f>COUNTIF($BC$6:BU478, "=0") / COUNTIF($BC$6:BU478, "&gt;-1")</f>
        <v>0.11950595304328475</v>
      </c>
      <c r="BY478" s="18">
        <f>SUM($BC$6:BU478) / $BY$4</f>
        <v>0.84087100353600097</v>
      </c>
      <c r="BZ478" s="14">
        <f t="shared" si="32"/>
        <v>2</v>
      </c>
      <c r="CA478" t="s">
        <v>5831</v>
      </c>
      <c r="CB478" s="36">
        <v>2.4232867916694598</v>
      </c>
      <c r="CC478" s="36">
        <v>4.8153206033872298</v>
      </c>
      <c r="CD478" s="36">
        <v>3.2015953236245198</v>
      </c>
      <c r="CE478" s="36">
        <v>0.37798043978830698</v>
      </c>
      <c r="CF478" s="36">
        <v>3.4407054397475698</v>
      </c>
      <c r="CG478" s="36">
        <v>6.50809072647644</v>
      </c>
      <c r="CH478" s="36">
        <v>5.2703114143232002</v>
      </c>
      <c r="CI478" s="36">
        <v>9.5371992602266005</v>
      </c>
      <c r="CJ478" s="37">
        <v>5.5633080527147003</v>
      </c>
      <c r="CK478" s="37">
        <v>4.4145475282179998</v>
      </c>
      <c r="CL478" s="37">
        <v>2.4001630448020301</v>
      </c>
      <c r="CM478" s="37">
        <v>1.6930940931998799</v>
      </c>
      <c r="CN478" s="37">
        <v>7.3503405265209096</v>
      </c>
      <c r="CO478" s="37">
        <v>8.6810962742363706</v>
      </c>
      <c r="CP478" s="37">
        <v>3.0170800957248498</v>
      </c>
      <c r="CQ478" s="37">
        <v>4.5679105394238499</v>
      </c>
      <c r="CR478" s="45">
        <v>4.0843106548632997E-2</v>
      </c>
      <c r="CS478" s="45">
        <v>1.05939790438717</v>
      </c>
      <c r="CT478" s="46">
        <v>1</v>
      </c>
      <c r="CU478" s="47">
        <v>1</v>
      </c>
      <c r="CV478" s="48">
        <v>4.4468112499054202</v>
      </c>
      <c r="CW478" s="49">
        <v>4.7109425193550702</v>
      </c>
      <c r="CX478" s="31" t="s">
        <v>5874</v>
      </c>
      <c r="CY478" s="31" t="s">
        <v>5832</v>
      </c>
      <c r="CZ478" t="s">
        <v>6170</v>
      </c>
      <c r="DA478" t="s">
        <v>5904</v>
      </c>
      <c r="DB478">
        <v>298.89999999999998</v>
      </c>
      <c r="DC478" t="s">
        <v>14731</v>
      </c>
      <c r="DD478" t="s">
        <v>13772</v>
      </c>
      <c r="DE478" t="s">
        <v>14732</v>
      </c>
      <c r="DF478" t="s">
        <v>14733</v>
      </c>
      <c r="DG478" t="s">
        <v>14734</v>
      </c>
      <c r="DH478" t="str">
        <f>"CALM3"</f>
        <v>CALM3</v>
      </c>
      <c r="DI478" t="s">
        <v>13772</v>
      </c>
      <c r="DJ478" t="s">
        <v>13777</v>
      </c>
      <c r="DK478">
        <v>9606</v>
      </c>
      <c r="DL478" s="34" t="str">
        <f>HYPERLINK("http://www.uniprot.org/uniprot/P0DP25", "P0DP25")</f>
        <v>P0DP25</v>
      </c>
      <c r="DM478" t="s">
        <v>14735</v>
      </c>
      <c r="DN478" t="s">
        <v>13772</v>
      </c>
      <c r="DO478" t="s">
        <v>13988</v>
      </c>
      <c r="DP478" t="s">
        <v>13793</v>
      </c>
      <c r="DQ478" t="s">
        <v>13772</v>
      </c>
      <c r="DR478" t="s">
        <v>14736</v>
      </c>
      <c r="DS478" t="s">
        <v>14096</v>
      </c>
      <c r="DT478" t="s">
        <v>13873</v>
      </c>
      <c r="DU478" t="s">
        <v>13772</v>
      </c>
      <c r="DV478" t="s">
        <v>14663</v>
      </c>
      <c r="DW478" t="s">
        <v>13812</v>
      </c>
      <c r="DX478" t="s">
        <v>14737</v>
      </c>
      <c r="DY478" t="s">
        <v>14738</v>
      </c>
      <c r="DZ478" t="s">
        <v>14739</v>
      </c>
      <c r="EA478" t="s">
        <v>13772</v>
      </c>
      <c r="EB478" t="s">
        <v>13772</v>
      </c>
    </row>
    <row r="479" spans="1:132" hidden="1">
      <c r="A479">
        <v>849</v>
      </c>
      <c r="B479">
        <v>1</v>
      </c>
      <c r="C479" t="s">
        <v>2083</v>
      </c>
      <c r="D479" t="s">
        <v>73</v>
      </c>
      <c r="E479" t="s">
        <v>73</v>
      </c>
      <c r="F479" t="s">
        <v>1272</v>
      </c>
      <c r="G479" t="s">
        <v>73</v>
      </c>
      <c r="H479">
        <v>51.5</v>
      </c>
      <c r="I479">
        <v>198</v>
      </c>
      <c r="J479">
        <v>21935</v>
      </c>
      <c r="K479" t="s">
        <v>2084</v>
      </c>
      <c r="L479">
        <f t="shared" si="30"/>
        <v>93</v>
      </c>
      <c r="N479">
        <v>93</v>
      </c>
      <c r="O479">
        <v>73</v>
      </c>
      <c r="P479">
        <v>0.78500000000000003</v>
      </c>
      <c r="Q479">
        <v>5</v>
      </c>
      <c r="R479">
        <v>5</v>
      </c>
      <c r="S479">
        <v>2</v>
      </c>
      <c r="T479">
        <v>0</v>
      </c>
      <c r="U479">
        <v>8</v>
      </c>
      <c r="V479">
        <v>8</v>
      </c>
      <c r="W479">
        <v>3</v>
      </c>
      <c r="X479">
        <v>7</v>
      </c>
      <c r="Y479">
        <v>24</v>
      </c>
      <c r="Z479">
        <v>0</v>
      </c>
      <c r="AA479">
        <v>5</v>
      </c>
      <c r="AB479">
        <v>4</v>
      </c>
      <c r="AC479">
        <v>4</v>
      </c>
      <c r="AD479">
        <v>2</v>
      </c>
      <c r="AE479">
        <v>7</v>
      </c>
      <c r="AF479">
        <v>6</v>
      </c>
      <c r="AG479">
        <v>1</v>
      </c>
      <c r="AH479">
        <v>0</v>
      </c>
      <c r="AI479">
        <v>2</v>
      </c>
      <c r="AJ479">
        <v>4</v>
      </c>
      <c r="AK479">
        <v>4</v>
      </c>
      <c r="AL479">
        <v>1</v>
      </c>
      <c r="AM479">
        <v>0</v>
      </c>
      <c r="AN479">
        <v>7</v>
      </c>
      <c r="AO479">
        <v>7</v>
      </c>
      <c r="AP479">
        <v>2</v>
      </c>
      <c r="AQ479">
        <v>6</v>
      </c>
      <c r="AR479">
        <v>20</v>
      </c>
      <c r="AS479">
        <v>0</v>
      </c>
      <c r="AT479">
        <v>4</v>
      </c>
      <c r="AU479">
        <v>3</v>
      </c>
      <c r="AV479">
        <v>3</v>
      </c>
      <c r="AW479">
        <v>0</v>
      </c>
      <c r="AX479">
        <v>6</v>
      </c>
      <c r="AY479">
        <v>5</v>
      </c>
      <c r="AZ479">
        <v>0</v>
      </c>
      <c r="BA479">
        <v>0</v>
      </c>
      <c r="BB479">
        <v>1</v>
      </c>
      <c r="BC479" s="2">
        <v>4.6669999999999998</v>
      </c>
      <c r="BD479" s="2">
        <v>4.3639999999999999</v>
      </c>
      <c r="BE479" s="2">
        <v>1.333</v>
      </c>
      <c r="BF479" s="2">
        <v>0</v>
      </c>
      <c r="BG479" s="2">
        <v>7.4379999999999997</v>
      </c>
      <c r="BH479" s="2">
        <v>7.3680000000000003</v>
      </c>
      <c r="BI479" s="2">
        <v>2.286</v>
      </c>
      <c r="BJ479" s="2">
        <v>6.5</v>
      </c>
      <c r="BK479" s="2">
        <v>21.908999999999999</v>
      </c>
      <c r="BL479" s="2">
        <v>0</v>
      </c>
      <c r="BM479" s="2">
        <v>4.2670000000000003</v>
      </c>
      <c r="BN479" s="2">
        <v>3.375</v>
      </c>
      <c r="BO479" s="2">
        <v>3.2309999999999999</v>
      </c>
      <c r="BP479" s="2">
        <v>0</v>
      </c>
      <c r="BQ479" s="2">
        <v>6.375</v>
      </c>
      <c r="BR479" s="2">
        <v>5.3849999999999998</v>
      </c>
      <c r="BS479" s="2">
        <v>0</v>
      </c>
      <c r="BT479" s="2">
        <v>0</v>
      </c>
      <c r="BU479" s="2">
        <v>1.167</v>
      </c>
      <c r="BV479" s="2">
        <f t="shared" si="33"/>
        <v>79.665000000000006</v>
      </c>
      <c r="BW479" s="16">
        <f t="shared" si="31"/>
        <v>4.1928947368421055</v>
      </c>
      <c r="BX479" s="16">
        <f>COUNTIF($BC$6:BU479, "=0") / COUNTIF($BC$6:BU479, "&gt;-1")</f>
        <v>0.11980901621141461</v>
      </c>
      <c r="BY479" s="18">
        <f>SUM($BC$6:BU479) / $BY$4</f>
        <v>0.84121225946714595</v>
      </c>
      <c r="BZ479" s="14">
        <f t="shared" si="32"/>
        <v>5</v>
      </c>
      <c r="CA479" t="s">
        <v>5831</v>
      </c>
      <c r="CB479" s="36">
        <v>5.6947239604232296</v>
      </c>
      <c r="CC479" s="36">
        <v>4.2374821309807702</v>
      </c>
      <c r="CD479" s="36">
        <v>2.08103696035593</v>
      </c>
      <c r="CE479" s="36">
        <v>0.37798043978830698</v>
      </c>
      <c r="CF479" s="36">
        <v>6.3653050635330004</v>
      </c>
      <c r="CG479" s="36">
        <v>6.8799816251322303</v>
      </c>
      <c r="CH479" s="36">
        <v>2.4243432505886702</v>
      </c>
      <c r="CI479" s="36">
        <v>6.3256933868849901</v>
      </c>
      <c r="CJ479" s="37">
        <v>17.4052066220646</v>
      </c>
      <c r="CK479" s="37">
        <v>2.7117934816196301</v>
      </c>
      <c r="CL479" s="37">
        <v>2.7201847841089699</v>
      </c>
      <c r="CM479" s="37">
        <v>2.7089505491198098</v>
      </c>
      <c r="CN479" s="37">
        <v>5.8802724212167297</v>
      </c>
      <c r="CO479" s="37">
        <v>4.2616290800796799</v>
      </c>
      <c r="CP479" s="37">
        <v>0.377135011965606</v>
      </c>
      <c r="CQ479" s="37">
        <v>1.82716421576954</v>
      </c>
      <c r="CR479" s="45">
        <v>0.141216599959686</v>
      </c>
      <c r="CS479" s="45">
        <v>1.10195235266992</v>
      </c>
      <c r="CT479" s="46">
        <v>0.83563440459276594</v>
      </c>
      <c r="CU479" s="47">
        <v>0.88315863613358703</v>
      </c>
      <c r="CV479" s="48">
        <v>4.2983183522108899</v>
      </c>
      <c r="CW479" s="49">
        <v>4.7365420207430704</v>
      </c>
      <c r="CX479" s="31" t="s">
        <v>5874</v>
      </c>
      <c r="CY479" s="31" t="s">
        <v>5832</v>
      </c>
      <c r="CZ479" t="s">
        <v>8610</v>
      </c>
      <c r="DA479" t="s">
        <v>5904</v>
      </c>
      <c r="DB479">
        <v>386</v>
      </c>
      <c r="DC479" t="s">
        <v>22159</v>
      </c>
      <c r="DD479" t="s">
        <v>22160</v>
      </c>
      <c r="DE479" t="s">
        <v>22161</v>
      </c>
      <c r="DF479" t="s">
        <v>22162</v>
      </c>
      <c r="DG479" t="s">
        <v>22163</v>
      </c>
      <c r="DH479" t="str">
        <f>"PRDX2"</f>
        <v>PRDX2</v>
      </c>
      <c r="DI479" t="s">
        <v>22164</v>
      </c>
      <c r="DJ479" t="s">
        <v>13777</v>
      </c>
      <c r="DK479">
        <v>9606</v>
      </c>
      <c r="DL479" s="34" t="str">
        <f>HYPERLINK("http://www.uniprot.org/uniprot/P32119", "P32119")</f>
        <v>P32119</v>
      </c>
      <c r="DM479" t="s">
        <v>22165</v>
      </c>
      <c r="DN479" t="s">
        <v>13772</v>
      </c>
      <c r="DO479" t="s">
        <v>13899</v>
      </c>
      <c r="DP479" t="s">
        <v>13780</v>
      </c>
      <c r="DQ479" t="s">
        <v>13772</v>
      </c>
      <c r="DR479" t="s">
        <v>13772</v>
      </c>
      <c r="DS479" t="s">
        <v>18188</v>
      </c>
      <c r="DT479" t="s">
        <v>13772</v>
      </c>
      <c r="DU479" t="s">
        <v>18755</v>
      </c>
      <c r="DV479" t="s">
        <v>15256</v>
      </c>
      <c r="DW479" t="s">
        <v>13812</v>
      </c>
      <c r="DX479" t="s">
        <v>22166</v>
      </c>
      <c r="DY479" t="s">
        <v>14194</v>
      </c>
      <c r="DZ479" t="s">
        <v>22167</v>
      </c>
      <c r="EA479" t="s">
        <v>13772</v>
      </c>
      <c r="EB479" t="s">
        <v>18760</v>
      </c>
    </row>
    <row r="480" spans="1:132" hidden="1">
      <c r="A480">
        <v>60</v>
      </c>
      <c r="B480">
        <v>1</v>
      </c>
      <c r="C480" t="s">
        <v>173</v>
      </c>
      <c r="D480" t="s">
        <v>174</v>
      </c>
      <c r="E480" t="s">
        <v>73</v>
      </c>
      <c r="F480" t="s">
        <v>73</v>
      </c>
      <c r="G480" t="s">
        <v>73</v>
      </c>
      <c r="H480">
        <v>40.200000000000003</v>
      </c>
      <c r="I480">
        <v>184</v>
      </c>
      <c r="J480">
        <v>20150</v>
      </c>
      <c r="K480" t="s">
        <v>175</v>
      </c>
      <c r="L480">
        <f t="shared" si="30"/>
        <v>79</v>
      </c>
      <c r="N480">
        <v>79</v>
      </c>
      <c r="O480">
        <v>79</v>
      </c>
      <c r="P480">
        <v>1</v>
      </c>
      <c r="Q480">
        <v>0</v>
      </c>
      <c r="R480">
        <v>3</v>
      </c>
      <c r="S480">
        <v>0</v>
      </c>
      <c r="T480">
        <v>0</v>
      </c>
      <c r="U480">
        <v>3</v>
      </c>
      <c r="V480">
        <v>0</v>
      </c>
      <c r="W480">
        <v>0</v>
      </c>
      <c r="X480">
        <v>0</v>
      </c>
      <c r="Y480">
        <v>16</v>
      </c>
      <c r="Z480">
        <v>0</v>
      </c>
      <c r="AA480">
        <v>12</v>
      </c>
      <c r="AB480">
        <v>5</v>
      </c>
      <c r="AC480">
        <v>8</v>
      </c>
      <c r="AD480">
        <v>0</v>
      </c>
      <c r="AE480">
        <v>17</v>
      </c>
      <c r="AF480">
        <v>11</v>
      </c>
      <c r="AG480">
        <v>0</v>
      </c>
      <c r="AH480">
        <v>0</v>
      </c>
      <c r="AI480">
        <v>4</v>
      </c>
      <c r="AJ480">
        <v>0</v>
      </c>
      <c r="AK480">
        <v>3</v>
      </c>
      <c r="AL480">
        <v>0</v>
      </c>
      <c r="AM480">
        <v>0</v>
      </c>
      <c r="AN480">
        <v>3</v>
      </c>
      <c r="AO480">
        <v>0</v>
      </c>
      <c r="AP480">
        <v>0</v>
      </c>
      <c r="AQ480">
        <v>0</v>
      </c>
      <c r="AR480">
        <v>16</v>
      </c>
      <c r="AS480">
        <v>0</v>
      </c>
      <c r="AT480">
        <v>12</v>
      </c>
      <c r="AU480">
        <v>5</v>
      </c>
      <c r="AV480">
        <v>8</v>
      </c>
      <c r="AW480">
        <v>0</v>
      </c>
      <c r="AX480">
        <v>17</v>
      </c>
      <c r="AY480">
        <v>11</v>
      </c>
      <c r="AZ480">
        <v>0</v>
      </c>
      <c r="BA480">
        <v>0</v>
      </c>
      <c r="BB480">
        <v>4</v>
      </c>
      <c r="BC480" s="2">
        <v>0</v>
      </c>
      <c r="BD480" s="2">
        <v>3</v>
      </c>
      <c r="BE480" s="2">
        <v>0</v>
      </c>
      <c r="BF480" s="2">
        <v>0</v>
      </c>
      <c r="BG480" s="2">
        <v>3</v>
      </c>
      <c r="BH480" s="2">
        <v>0</v>
      </c>
      <c r="BI480" s="2">
        <v>0</v>
      </c>
      <c r="BJ480" s="2">
        <v>0</v>
      </c>
      <c r="BK480" s="2">
        <v>16</v>
      </c>
      <c r="BL480" s="2">
        <v>0</v>
      </c>
      <c r="BM480" s="2">
        <v>12</v>
      </c>
      <c r="BN480" s="2">
        <v>5</v>
      </c>
      <c r="BO480" s="2">
        <v>8</v>
      </c>
      <c r="BP480" s="2">
        <v>0</v>
      </c>
      <c r="BQ480" s="2">
        <v>17</v>
      </c>
      <c r="BR480" s="2">
        <v>11</v>
      </c>
      <c r="BS480" s="2">
        <v>0</v>
      </c>
      <c r="BT480" s="2">
        <v>0</v>
      </c>
      <c r="BU480" s="2">
        <v>4</v>
      </c>
      <c r="BV480" s="2">
        <f t="shared" si="33"/>
        <v>79</v>
      </c>
      <c r="BW480" s="16">
        <f t="shared" si="31"/>
        <v>4.1578947368421053</v>
      </c>
      <c r="BX480" s="16">
        <f>COUNTIF($BC$6:BU480, "=0") / COUNTIF($BC$6:BU480, "&gt;-1")</f>
        <v>0.12066481994459834</v>
      </c>
      <c r="BY480" s="18">
        <f>SUM($BC$6:BU480) / $BY$4</f>
        <v>0.8415506667797733</v>
      </c>
      <c r="BZ480" s="14">
        <f t="shared" si="32"/>
        <v>10</v>
      </c>
      <c r="CA480" t="s">
        <v>5831</v>
      </c>
      <c r="CB480" s="36">
        <v>0.30291084895868198</v>
      </c>
      <c r="CC480" s="36">
        <v>2.8891923620323401</v>
      </c>
      <c r="CD480" s="36">
        <v>0.40019941545306398</v>
      </c>
      <c r="CE480" s="36">
        <v>0.37798043978830698</v>
      </c>
      <c r="CF480" s="36">
        <v>2.5805290798106801</v>
      </c>
      <c r="CG480" s="36">
        <v>0.23243181165987301</v>
      </c>
      <c r="CH480" s="36">
        <v>0.26351557071616</v>
      </c>
      <c r="CI480" s="36">
        <v>0.24329589949557701</v>
      </c>
      <c r="CJ480" s="37">
        <v>12.716132691919301</v>
      </c>
      <c r="CK480" s="37">
        <v>7.5677957626594301</v>
      </c>
      <c r="CL480" s="37">
        <v>4.0002717413367099</v>
      </c>
      <c r="CM480" s="37">
        <v>6.7723763727995303</v>
      </c>
      <c r="CN480" s="37">
        <v>15.619473618856899</v>
      </c>
      <c r="CO480" s="37">
        <v>8.6810962742363706</v>
      </c>
      <c r="CP480" s="37">
        <v>0.377135011965606</v>
      </c>
      <c r="CQ480" s="37">
        <v>6.0905473858984696</v>
      </c>
      <c r="CR480" s="45">
        <v>2.8473409568101999</v>
      </c>
      <c r="CS480" s="45">
        <v>8.4807076531868493</v>
      </c>
      <c r="CT480" s="46">
        <v>8.1240539053332904E-6</v>
      </c>
      <c r="CU480" s="47">
        <v>3.0533663273415602E-5</v>
      </c>
      <c r="CV480" s="48">
        <v>0.91125692848933504</v>
      </c>
      <c r="CW480" s="49">
        <v>7.7281036074590501</v>
      </c>
      <c r="CX480" s="31" t="s">
        <v>5874</v>
      </c>
      <c r="CY480" s="31" t="s">
        <v>5876</v>
      </c>
      <c r="CZ480" t="s">
        <v>5913</v>
      </c>
      <c r="DA480" t="s">
        <v>5904</v>
      </c>
      <c r="DB480">
        <v>318.2</v>
      </c>
      <c r="DC480" t="s">
        <v>13833</v>
      </c>
      <c r="DD480" t="s">
        <v>13834</v>
      </c>
      <c r="DE480" t="s">
        <v>13835</v>
      </c>
      <c r="DF480" t="s">
        <v>13836</v>
      </c>
      <c r="DG480" t="s">
        <v>13837</v>
      </c>
      <c r="DH480" t="str">
        <f>"EIF5A"</f>
        <v>EIF5A</v>
      </c>
      <c r="DI480" t="s">
        <v>13772</v>
      </c>
      <c r="DJ480" t="s">
        <v>13777</v>
      </c>
      <c r="DK480">
        <v>9606</v>
      </c>
      <c r="DL480" s="34" t="str">
        <f>HYPERLINK("http://www.uniprot.org/uniprot/P63241", "P63241")</f>
        <v>P63241</v>
      </c>
      <c r="DM480" t="s">
        <v>13838</v>
      </c>
      <c r="DN480" t="s">
        <v>13839</v>
      </c>
      <c r="DO480" t="s">
        <v>13840</v>
      </c>
      <c r="DP480" t="s">
        <v>13841</v>
      </c>
      <c r="DQ480" t="s">
        <v>13772</v>
      </c>
      <c r="DR480" t="s">
        <v>13772</v>
      </c>
      <c r="DS480" t="s">
        <v>13772</v>
      </c>
      <c r="DT480" t="s">
        <v>13772</v>
      </c>
      <c r="DU480" t="s">
        <v>13842</v>
      </c>
      <c r="DV480" t="s">
        <v>13843</v>
      </c>
      <c r="DW480" t="s">
        <v>13812</v>
      </c>
      <c r="DX480" t="s">
        <v>13844</v>
      </c>
      <c r="DY480" t="s">
        <v>13845</v>
      </c>
      <c r="DZ480" t="s">
        <v>13846</v>
      </c>
      <c r="EA480" t="s">
        <v>13772</v>
      </c>
      <c r="EB480" t="s">
        <v>13847</v>
      </c>
    </row>
    <row r="481" spans="1:132" hidden="1">
      <c r="A481">
        <v>517</v>
      </c>
      <c r="B481">
        <v>1</v>
      </c>
      <c r="C481" t="s">
        <v>1304</v>
      </c>
      <c r="D481" t="s">
        <v>73</v>
      </c>
      <c r="E481" t="s">
        <v>73</v>
      </c>
      <c r="F481" t="s">
        <v>73</v>
      </c>
      <c r="G481" t="s">
        <v>73</v>
      </c>
      <c r="H481">
        <v>35.1</v>
      </c>
      <c r="I481">
        <v>461</v>
      </c>
      <c r="J481">
        <v>51895</v>
      </c>
      <c r="K481" t="s">
        <v>1305</v>
      </c>
      <c r="L481">
        <f t="shared" si="30"/>
        <v>79</v>
      </c>
      <c r="N481">
        <v>79</v>
      </c>
      <c r="O481">
        <v>79</v>
      </c>
      <c r="P481">
        <v>1</v>
      </c>
      <c r="Q481">
        <v>7</v>
      </c>
      <c r="R481">
        <v>4</v>
      </c>
      <c r="S481">
        <v>3</v>
      </c>
      <c r="T481">
        <v>3</v>
      </c>
      <c r="U481">
        <v>5</v>
      </c>
      <c r="V481">
        <v>3</v>
      </c>
      <c r="W481">
        <v>7</v>
      </c>
      <c r="X481">
        <v>9</v>
      </c>
      <c r="Y481">
        <v>0</v>
      </c>
      <c r="Z481">
        <v>0</v>
      </c>
      <c r="AA481">
        <v>6</v>
      </c>
      <c r="AB481">
        <v>6</v>
      </c>
      <c r="AC481">
        <v>4</v>
      </c>
      <c r="AD481">
        <v>3</v>
      </c>
      <c r="AE481">
        <v>3</v>
      </c>
      <c r="AF481">
        <v>8</v>
      </c>
      <c r="AG481">
        <v>3</v>
      </c>
      <c r="AH481">
        <v>0</v>
      </c>
      <c r="AI481">
        <v>5</v>
      </c>
      <c r="AJ481">
        <v>7</v>
      </c>
      <c r="AK481">
        <v>4</v>
      </c>
      <c r="AL481">
        <v>3</v>
      </c>
      <c r="AM481">
        <v>3</v>
      </c>
      <c r="AN481">
        <v>5</v>
      </c>
      <c r="AO481">
        <v>3</v>
      </c>
      <c r="AP481">
        <v>7</v>
      </c>
      <c r="AQ481">
        <v>9</v>
      </c>
      <c r="AR481">
        <v>0</v>
      </c>
      <c r="AS481">
        <v>0</v>
      </c>
      <c r="AT481">
        <v>6</v>
      </c>
      <c r="AU481">
        <v>6</v>
      </c>
      <c r="AV481">
        <v>4</v>
      </c>
      <c r="AW481">
        <v>3</v>
      </c>
      <c r="AX481">
        <v>3</v>
      </c>
      <c r="AY481">
        <v>8</v>
      </c>
      <c r="AZ481">
        <v>3</v>
      </c>
      <c r="BA481">
        <v>0</v>
      </c>
      <c r="BB481">
        <v>5</v>
      </c>
      <c r="BC481" s="2">
        <v>7</v>
      </c>
      <c r="BD481" s="2">
        <v>4</v>
      </c>
      <c r="BE481" s="2">
        <v>3</v>
      </c>
      <c r="BF481" s="2">
        <v>3</v>
      </c>
      <c r="BG481" s="2">
        <v>5</v>
      </c>
      <c r="BH481" s="2">
        <v>3</v>
      </c>
      <c r="BI481" s="2">
        <v>7</v>
      </c>
      <c r="BJ481" s="2">
        <v>9</v>
      </c>
      <c r="BK481" s="2">
        <v>0</v>
      </c>
      <c r="BL481" s="2">
        <v>0</v>
      </c>
      <c r="BM481" s="2">
        <v>6</v>
      </c>
      <c r="BN481" s="2">
        <v>6</v>
      </c>
      <c r="BO481" s="2">
        <v>4</v>
      </c>
      <c r="BP481" s="2">
        <v>3</v>
      </c>
      <c r="BQ481" s="2">
        <v>3</v>
      </c>
      <c r="BR481" s="2">
        <v>8</v>
      </c>
      <c r="BS481" s="2">
        <v>3</v>
      </c>
      <c r="BT481" s="2">
        <v>0</v>
      </c>
      <c r="BU481" s="2">
        <v>5</v>
      </c>
      <c r="BV481" s="2">
        <f t="shared" si="33"/>
        <v>79</v>
      </c>
      <c r="BW481" s="16">
        <f t="shared" si="31"/>
        <v>4.1578947368421053</v>
      </c>
      <c r="BX481" s="16">
        <f>COUNTIF($BC$6:BU481, "=0") / COUNTIF($BC$6:BU481, "&gt;-1")</f>
        <v>0.12074303405572756</v>
      </c>
      <c r="BY481" s="18">
        <f>SUM($BC$6:BU481) / $BY$4</f>
        <v>0.84188907409240066</v>
      </c>
      <c r="BZ481" s="14">
        <f t="shared" si="32"/>
        <v>3</v>
      </c>
      <c r="CA481" t="s">
        <v>5831</v>
      </c>
      <c r="CB481" s="36">
        <v>8.4815037708430996</v>
      </c>
      <c r="CC481" s="36">
        <v>3.85225648270979</v>
      </c>
      <c r="CD481" s="36">
        <v>4.8023929854367697</v>
      </c>
      <c r="CE481" s="36">
        <v>4.5357652774596904</v>
      </c>
      <c r="CF481" s="36">
        <v>4.3008817996844604</v>
      </c>
      <c r="CG481" s="36">
        <v>2.7891817399184702</v>
      </c>
      <c r="CH481" s="36">
        <v>7.3784359800524904</v>
      </c>
      <c r="CI481" s="36">
        <v>8.7586523818407507</v>
      </c>
      <c r="CJ481" s="37">
        <v>0.19868957331123899</v>
      </c>
      <c r="CK481" s="37">
        <v>3.7838978813297102</v>
      </c>
      <c r="CL481" s="37">
        <v>4.8003260896040603</v>
      </c>
      <c r="CM481" s="37">
        <v>3.3861881863997598</v>
      </c>
      <c r="CN481" s="37">
        <v>2.7563776974453398</v>
      </c>
      <c r="CO481" s="37">
        <v>6.3135245630809997</v>
      </c>
      <c r="CP481" s="37">
        <v>4.5256201435872701</v>
      </c>
      <c r="CQ481" s="37">
        <v>7.6131842323730803</v>
      </c>
      <c r="CR481" s="45">
        <v>-0.47043144729419301</v>
      </c>
      <c r="CS481" s="45">
        <v>-1.3451773083507601</v>
      </c>
      <c r="CT481" s="46">
        <v>0.323125362162341</v>
      </c>
      <c r="CU481" s="47">
        <v>0.40330385687799603</v>
      </c>
      <c r="CV481" s="48">
        <v>5.6123838022431896</v>
      </c>
      <c r="CW481" s="49">
        <v>4.1722260458914304</v>
      </c>
      <c r="CX481" s="31" t="s">
        <v>5875</v>
      </c>
      <c r="CY481" s="31" t="s">
        <v>5832</v>
      </c>
      <c r="CZ481" t="s">
        <v>7507</v>
      </c>
      <c r="DA481" t="s">
        <v>5904</v>
      </c>
      <c r="DB481">
        <v>805.1</v>
      </c>
      <c r="DC481" t="s">
        <v>18884</v>
      </c>
      <c r="DD481" t="s">
        <v>18885</v>
      </c>
      <c r="DE481" t="s">
        <v>18886</v>
      </c>
      <c r="DF481" t="s">
        <v>18887</v>
      </c>
      <c r="DG481" t="s">
        <v>18888</v>
      </c>
      <c r="DH481" t="str">
        <f>"CTSC"</f>
        <v>CTSC</v>
      </c>
      <c r="DI481" t="s">
        <v>18889</v>
      </c>
      <c r="DJ481" t="s">
        <v>13777</v>
      </c>
      <c r="DK481">
        <v>9606</v>
      </c>
      <c r="DL481" s="34" t="str">
        <f>HYPERLINK("http://www.uniprot.org/uniprot/P53634", "P53634")</f>
        <v>P53634</v>
      </c>
      <c r="DM481" t="s">
        <v>18890</v>
      </c>
      <c r="DN481" t="s">
        <v>13772</v>
      </c>
      <c r="DO481" t="s">
        <v>13806</v>
      </c>
      <c r="DP481" t="s">
        <v>13780</v>
      </c>
      <c r="DQ481" t="s">
        <v>13772</v>
      </c>
      <c r="DR481" t="s">
        <v>16657</v>
      </c>
      <c r="DS481" t="s">
        <v>13808</v>
      </c>
      <c r="DT481" t="s">
        <v>18321</v>
      </c>
      <c r="DU481" t="s">
        <v>14083</v>
      </c>
      <c r="DV481" t="s">
        <v>15472</v>
      </c>
      <c r="DW481" t="s">
        <v>13812</v>
      </c>
      <c r="DX481" t="s">
        <v>18891</v>
      </c>
      <c r="DY481" t="s">
        <v>18892</v>
      </c>
      <c r="DZ481" t="s">
        <v>18893</v>
      </c>
      <c r="EA481" t="s">
        <v>13772</v>
      </c>
      <c r="EB481" t="s">
        <v>18894</v>
      </c>
    </row>
    <row r="482" spans="1:132" hidden="1">
      <c r="A482">
        <v>607</v>
      </c>
      <c r="B482">
        <v>1</v>
      </c>
      <c r="C482" t="s">
        <v>1502</v>
      </c>
      <c r="D482" t="s">
        <v>1503</v>
      </c>
      <c r="E482" t="s">
        <v>73</v>
      </c>
      <c r="F482" t="s">
        <v>73</v>
      </c>
      <c r="G482" t="s">
        <v>73</v>
      </c>
      <c r="H482">
        <v>15.9</v>
      </c>
      <c r="I482">
        <v>1003</v>
      </c>
      <c r="J482">
        <v>106706</v>
      </c>
      <c r="K482" t="s">
        <v>1504</v>
      </c>
      <c r="L482">
        <f t="shared" si="30"/>
        <v>79</v>
      </c>
      <c r="N482">
        <v>79</v>
      </c>
      <c r="O482">
        <v>79</v>
      </c>
      <c r="P482">
        <v>1</v>
      </c>
      <c r="Q482">
        <v>6</v>
      </c>
      <c r="R482">
        <v>1</v>
      </c>
      <c r="S482">
        <v>6</v>
      </c>
      <c r="T482">
        <v>2</v>
      </c>
      <c r="U482">
        <v>7</v>
      </c>
      <c r="V482">
        <v>10</v>
      </c>
      <c r="W482">
        <v>12</v>
      </c>
      <c r="X482">
        <v>11</v>
      </c>
      <c r="Y482">
        <v>3</v>
      </c>
      <c r="Z482">
        <v>0</v>
      </c>
      <c r="AA482">
        <v>1</v>
      </c>
      <c r="AB482">
        <v>7</v>
      </c>
      <c r="AC482">
        <v>1</v>
      </c>
      <c r="AD482">
        <v>0</v>
      </c>
      <c r="AE482">
        <v>4</v>
      </c>
      <c r="AF482">
        <v>3</v>
      </c>
      <c r="AG482">
        <v>0</v>
      </c>
      <c r="AH482">
        <v>1</v>
      </c>
      <c r="AI482">
        <v>4</v>
      </c>
      <c r="AJ482">
        <v>6</v>
      </c>
      <c r="AK482">
        <v>1</v>
      </c>
      <c r="AL482">
        <v>6</v>
      </c>
      <c r="AM482">
        <v>2</v>
      </c>
      <c r="AN482">
        <v>7</v>
      </c>
      <c r="AO482">
        <v>10</v>
      </c>
      <c r="AP482">
        <v>12</v>
      </c>
      <c r="AQ482">
        <v>11</v>
      </c>
      <c r="AR482">
        <v>3</v>
      </c>
      <c r="AS482">
        <v>0</v>
      </c>
      <c r="AT482">
        <v>1</v>
      </c>
      <c r="AU482">
        <v>7</v>
      </c>
      <c r="AV482">
        <v>1</v>
      </c>
      <c r="AW482">
        <v>0</v>
      </c>
      <c r="AX482">
        <v>4</v>
      </c>
      <c r="AY482">
        <v>3</v>
      </c>
      <c r="AZ482">
        <v>0</v>
      </c>
      <c r="BA482">
        <v>1</v>
      </c>
      <c r="BB482">
        <v>4</v>
      </c>
      <c r="BC482" s="2">
        <v>6</v>
      </c>
      <c r="BD482" s="2">
        <v>1</v>
      </c>
      <c r="BE482" s="2">
        <v>6</v>
      </c>
      <c r="BF482" s="2">
        <v>2</v>
      </c>
      <c r="BG482" s="2">
        <v>7</v>
      </c>
      <c r="BH482" s="2">
        <v>10</v>
      </c>
      <c r="BI482" s="2">
        <v>12</v>
      </c>
      <c r="BJ482" s="2">
        <v>11</v>
      </c>
      <c r="BK482" s="2">
        <v>3</v>
      </c>
      <c r="BL482" s="2">
        <v>0</v>
      </c>
      <c r="BM482" s="2">
        <v>1</v>
      </c>
      <c r="BN482" s="2">
        <v>7</v>
      </c>
      <c r="BO482" s="2">
        <v>1</v>
      </c>
      <c r="BP482" s="2">
        <v>0</v>
      </c>
      <c r="BQ482" s="2">
        <v>4</v>
      </c>
      <c r="BR482" s="2">
        <v>3</v>
      </c>
      <c r="BS482" s="2">
        <v>0</v>
      </c>
      <c r="BT482" s="2">
        <v>1</v>
      </c>
      <c r="BU482" s="2">
        <v>4</v>
      </c>
      <c r="BV482" s="2">
        <f t="shared" si="33"/>
        <v>79</v>
      </c>
      <c r="BW482" s="16">
        <f t="shared" si="31"/>
        <v>4.1578947368421053</v>
      </c>
      <c r="BX482" s="16">
        <f>COUNTIF($BC$6:BU482, "=0") / COUNTIF($BC$6:BU482, "&gt;-1")</f>
        <v>0.12082092022509103</v>
      </c>
      <c r="BY482" s="18">
        <f>SUM($BC$6:BU482) / $BY$4</f>
        <v>0.8422274814050279</v>
      </c>
      <c r="BZ482" s="14">
        <f t="shared" si="32"/>
        <v>3</v>
      </c>
      <c r="CA482" t="s">
        <v>5831</v>
      </c>
      <c r="CB482" s="36">
        <v>7.2698603750083803</v>
      </c>
      <c r="CC482" s="36">
        <v>0.96306412067744696</v>
      </c>
      <c r="CD482" s="36">
        <v>9.6047859708735501</v>
      </c>
      <c r="CE482" s="36">
        <v>3.0238435183064598</v>
      </c>
      <c r="CF482" s="36">
        <v>6.0212345195582504</v>
      </c>
      <c r="CG482" s="36">
        <v>9.2972724663949098</v>
      </c>
      <c r="CH482" s="36">
        <v>12.6487473943757</v>
      </c>
      <c r="CI482" s="36">
        <v>10.7050195778054</v>
      </c>
      <c r="CJ482" s="37">
        <v>2.3842748797348698</v>
      </c>
      <c r="CK482" s="37">
        <v>0.63064964688828595</v>
      </c>
      <c r="CL482" s="37">
        <v>5.6003804378713999</v>
      </c>
      <c r="CM482" s="37">
        <v>0.84654704659994096</v>
      </c>
      <c r="CN482" s="37">
        <v>3.6751702632604601</v>
      </c>
      <c r="CO482" s="37">
        <v>2.36757171115537</v>
      </c>
      <c r="CP482" s="37">
        <v>0.377135011965606</v>
      </c>
      <c r="CQ482" s="37">
        <v>6.0905473858984696</v>
      </c>
      <c r="CR482" s="45">
        <v>-1.44127676268954</v>
      </c>
      <c r="CS482" s="45">
        <v>-2.70949750058884</v>
      </c>
      <c r="CT482" s="46">
        <v>7.2422691789608201E-3</v>
      </c>
      <c r="CU482" s="47">
        <v>1.3764426365695401E-2</v>
      </c>
      <c r="CV482" s="48">
        <v>7.4417284928750096</v>
      </c>
      <c r="CW482" s="49">
        <v>2.7465345479218</v>
      </c>
      <c r="CX482" s="31" t="s">
        <v>5875</v>
      </c>
      <c r="CY482" s="31" t="s">
        <v>5878</v>
      </c>
      <c r="CZ482" t="s">
        <v>7794</v>
      </c>
      <c r="DA482" t="s">
        <v>5904</v>
      </c>
      <c r="DB482">
        <v>1483.8</v>
      </c>
      <c r="DC482" t="s">
        <v>19781</v>
      </c>
      <c r="DD482" t="s">
        <v>19782</v>
      </c>
      <c r="DE482" t="s">
        <v>19783</v>
      </c>
      <c r="DF482" t="s">
        <v>19784</v>
      </c>
      <c r="DG482" t="s">
        <v>19785</v>
      </c>
      <c r="DH482" t="str">
        <f>"ROBO4"</f>
        <v>ROBO4</v>
      </c>
      <c r="DI482" t="s">
        <v>13772</v>
      </c>
      <c r="DJ482" t="s">
        <v>13777</v>
      </c>
      <c r="DK482">
        <v>9606</v>
      </c>
      <c r="DL482" s="34" t="str">
        <f>HYPERLINK("http://www.uniprot.org/uniprot/Q8WZ75", "Q8WZ75")</f>
        <v>Q8WZ75</v>
      </c>
      <c r="DM482" t="s">
        <v>19786</v>
      </c>
      <c r="DN482" t="s">
        <v>19787</v>
      </c>
      <c r="DO482" t="s">
        <v>13772</v>
      </c>
      <c r="DP482" t="s">
        <v>13780</v>
      </c>
      <c r="DQ482" t="s">
        <v>13772</v>
      </c>
      <c r="DR482" t="s">
        <v>13772</v>
      </c>
      <c r="DS482" t="s">
        <v>16182</v>
      </c>
      <c r="DT482" t="s">
        <v>13772</v>
      </c>
      <c r="DU482" t="s">
        <v>15919</v>
      </c>
      <c r="DV482" t="s">
        <v>13964</v>
      </c>
      <c r="DW482" t="s">
        <v>13772</v>
      </c>
      <c r="DX482" t="s">
        <v>19788</v>
      </c>
      <c r="DY482" t="s">
        <v>19789</v>
      </c>
      <c r="DZ482" t="s">
        <v>19790</v>
      </c>
      <c r="EA482" t="s">
        <v>13772</v>
      </c>
      <c r="EB482" t="s">
        <v>13772</v>
      </c>
    </row>
    <row r="483" spans="1:132" hidden="1">
      <c r="A483">
        <v>901</v>
      </c>
      <c r="B483">
        <v>1</v>
      </c>
      <c r="C483" t="s">
        <v>2197</v>
      </c>
      <c r="D483" t="s">
        <v>73</v>
      </c>
      <c r="E483" t="s">
        <v>73</v>
      </c>
      <c r="F483" t="s">
        <v>73</v>
      </c>
      <c r="G483" t="s">
        <v>73</v>
      </c>
      <c r="H483">
        <v>21.7</v>
      </c>
      <c r="I483">
        <v>1177</v>
      </c>
      <c r="J483">
        <v>133172</v>
      </c>
      <c r="K483" t="s">
        <v>2198</v>
      </c>
      <c r="L483">
        <f t="shared" si="30"/>
        <v>79</v>
      </c>
      <c r="N483">
        <v>79</v>
      </c>
      <c r="O483">
        <v>79</v>
      </c>
      <c r="P483">
        <v>1</v>
      </c>
      <c r="Q483">
        <v>0</v>
      </c>
      <c r="R483">
        <v>10</v>
      </c>
      <c r="S483">
        <v>1</v>
      </c>
      <c r="T483">
        <v>5</v>
      </c>
      <c r="U483">
        <v>7</v>
      </c>
      <c r="V483">
        <v>0</v>
      </c>
      <c r="W483">
        <v>2</v>
      </c>
      <c r="X483">
        <v>0</v>
      </c>
      <c r="Y483">
        <v>0</v>
      </c>
      <c r="Z483">
        <v>4</v>
      </c>
      <c r="AA483">
        <v>5</v>
      </c>
      <c r="AB483">
        <v>6</v>
      </c>
      <c r="AC483">
        <v>3</v>
      </c>
      <c r="AD483">
        <v>26</v>
      </c>
      <c r="AE483">
        <v>1</v>
      </c>
      <c r="AF483">
        <v>1</v>
      </c>
      <c r="AG483">
        <v>3</v>
      </c>
      <c r="AH483">
        <v>0</v>
      </c>
      <c r="AI483">
        <v>5</v>
      </c>
      <c r="AJ483">
        <v>0</v>
      </c>
      <c r="AK483">
        <v>10</v>
      </c>
      <c r="AL483">
        <v>1</v>
      </c>
      <c r="AM483">
        <v>5</v>
      </c>
      <c r="AN483">
        <v>7</v>
      </c>
      <c r="AO483">
        <v>0</v>
      </c>
      <c r="AP483">
        <v>2</v>
      </c>
      <c r="AQ483">
        <v>0</v>
      </c>
      <c r="AR483">
        <v>0</v>
      </c>
      <c r="AS483">
        <v>4</v>
      </c>
      <c r="AT483">
        <v>5</v>
      </c>
      <c r="AU483">
        <v>6</v>
      </c>
      <c r="AV483">
        <v>3</v>
      </c>
      <c r="AW483">
        <v>26</v>
      </c>
      <c r="AX483">
        <v>1</v>
      </c>
      <c r="AY483">
        <v>1</v>
      </c>
      <c r="AZ483">
        <v>3</v>
      </c>
      <c r="BA483">
        <v>0</v>
      </c>
      <c r="BB483">
        <v>5</v>
      </c>
      <c r="BC483" s="2">
        <v>0</v>
      </c>
      <c r="BD483" s="2">
        <v>10</v>
      </c>
      <c r="BE483" s="2">
        <v>1</v>
      </c>
      <c r="BF483" s="2">
        <v>5</v>
      </c>
      <c r="BG483" s="2">
        <v>7</v>
      </c>
      <c r="BH483" s="2">
        <v>0</v>
      </c>
      <c r="BI483" s="2">
        <v>2</v>
      </c>
      <c r="BJ483" s="2">
        <v>0</v>
      </c>
      <c r="BK483" s="2">
        <v>0</v>
      </c>
      <c r="BL483" s="2">
        <v>4</v>
      </c>
      <c r="BM483" s="2">
        <v>5</v>
      </c>
      <c r="BN483" s="2">
        <v>6</v>
      </c>
      <c r="BO483" s="2">
        <v>3</v>
      </c>
      <c r="BP483" s="2">
        <v>26</v>
      </c>
      <c r="BQ483" s="2">
        <v>1</v>
      </c>
      <c r="BR483" s="2">
        <v>1</v>
      </c>
      <c r="BS483" s="2">
        <v>3</v>
      </c>
      <c r="BT483" s="2">
        <v>0</v>
      </c>
      <c r="BU483" s="2">
        <v>5</v>
      </c>
      <c r="BV483" s="2">
        <f t="shared" si="33"/>
        <v>79</v>
      </c>
      <c r="BW483" s="16">
        <f t="shared" si="31"/>
        <v>4.1578947368421053</v>
      </c>
      <c r="BX483" s="16">
        <f>COUNTIF($BC$6:BU483, "=0") / COUNTIF($BC$6:BU483, "&gt;-1")</f>
        <v>0.12111869632239594</v>
      </c>
      <c r="BY483" s="18">
        <f>SUM($BC$6:BU483) / $BY$4</f>
        <v>0.84256588871765525</v>
      </c>
      <c r="BZ483" s="14">
        <f t="shared" si="32"/>
        <v>5</v>
      </c>
      <c r="CA483" t="s">
        <v>5831</v>
      </c>
      <c r="CB483" s="36">
        <v>0.30291084895868198</v>
      </c>
      <c r="CC483" s="36">
        <v>9.6306412067744702</v>
      </c>
      <c r="CD483" s="36">
        <v>1.6007976618122599</v>
      </c>
      <c r="CE483" s="36">
        <v>7.5596087957661497</v>
      </c>
      <c r="CF483" s="36">
        <v>6.0212345195582504</v>
      </c>
      <c r="CG483" s="36">
        <v>0.23243181165987301</v>
      </c>
      <c r="CH483" s="36">
        <v>2.10812456572928</v>
      </c>
      <c r="CI483" s="36">
        <v>0.24329589949557701</v>
      </c>
      <c r="CJ483" s="37">
        <v>0.19868957331123899</v>
      </c>
      <c r="CK483" s="37">
        <v>3.1532482344414299</v>
      </c>
      <c r="CL483" s="37">
        <v>4.8003260896040603</v>
      </c>
      <c r="CM483" s="37">
        <v>2.5396411397998202</v>
      </c>
      <c r="CN483" s="37">
        <v>0.91879256581511404</v>
      </c>
      <c r="CO483" s="37">
        <v>0.78919057038512497</v>
      </c>
      <c r="CP483" s="37">
        <v>4.5256201435872701</v>
      </c>
      <c r="CQ483" s="37">
        <v>7.6131842323730803</v>
      </c>
      <c r="CR483" s="45">
        <v>-0.24108993218784899</v>
      </c>
      <c r="CS483" s="45">
        <v>-1.12879059281931</v>
      </c>
      <c r="CT483" s="46">
        <v>0.87348392231536898</v>
      </c>
      <c r="CU483" s="47">
        <v>0.91163922625426197</v>
      </c>
      <c r="CV483" s="48">
        <v>3.46238066371932</v>
      </c>
      <c r="CW483" s="49">
        <v>3.0673365686646399</v>
      </c>
      <c r="CX483" s="31" t="s">
        <v>5875</v>
      </c>
      <c r="CY483" s="31" t="s">
        <v>5832</v>
      </c>
      <c r="CZ483" t="s">
        <v>8781</v>
      </c>
      <c r="DA483" t="s">
        <v>5904</v>
      </c>
      <c r="DB483">
        <v>1724.5</v>
      </c>
      <c r="DC483" t="s">
        <v>22676</v>
      </c>
      <c r="DD483" t="s">
        <v>22677</v>
      </c>
      <c r="DE483" t="s">
        <v>22678</v>
      </c>
      <c r="DF483" t="s">
        <v>22679</v>
      </c>
      <c r="DG483" t="s">
        <v>22680</v>
      </c>
      <c r="DH483" t="str">
        <f>"MUC4"</f>
        <v>MUC4</v>
      </c>
      <c r="DI483" t="s">
        <v>13772</v>
      </c>
      <c r="DJ483" t="s">
        <v>13777</v>
      </c>
      <c r="DK483">
        <v>9606</v>
      </c>
      <c r="DL483" s="34" t="str">
        <f>HYPERLINK("http://www.uniprot.org/uniprot/Q99102", "Q99102")</f>
        <v>Q99102</v>
      </c>
      <c r="DM483" t="s">
        <v>22681</v>
      </c>
      <c r="DN483" t="s">
        <v>13949</v>
      </c>
      <c r="DO483" t="s">
        <v>14336</v>
      </c>
      <c r="DP483" t="s">
        <v>13780</v>
      </c>
      <c r="DQ483" t="s">
        <v>13772</v>
      </c>
      <c r="DR483" t="s">
        <v>13772</v>
      </c>
      <c r="DS483" t="s">
        <v>13963</v>
      </c>
      <c r="DT483" t="s">
        <v>13772</v>
      </c>
      <c r="DU483" t="s">
        <v>13772</v>
      </c>
      <c r="DV483" t="s">
        <v>13796</v>
      </c>
      <c r="DW483" t="s">
        <v>13772</v>
      </c>
      <c r="DX483" t="s">
        <v>22682</v>
      </c>
      <c r="DY483" t="s">
        <v>22683</v>
      </c>
      <c r="DZ483" t="s">
        <v>22684</v>
      </c>
      <c r="EA483" t="s">
        <v>13772</v>
      </c>
      <c r="EB483" t="s">
        <v>19090</v>
      </c>
    </row>
    <row r="484" spans="1:132" hidden="1">
      <c r="A484">
        <v>975</v>
      </c>
      <c r="B484">
        <v>1</v>
      </c>
      <c r="C484" t="s">
        <v>2366</v>
      </c>
      <c r="D484" t="s">
        <v>73</v>
      </c>
      <c r="E484" t="s">
        <v>73</v>
      </c>
      <c r="F484" t="s">
        <v>73</v>
      </c>
      <c r="G484" t="s">
        <v>73</v>
      </c>
      <c r="H484">
        <v>44.3</v>
      </c>
      <c r="I484">
        <v>183</v>
      </c>
      <c r="J484">
        <v>21044</v>
      </c>
      <c r="K484" t="s">
        <v>2367</v>
      </c>
      <c r="L484">
        <f t="shared" si="30"/>
        <v>79</v>
      </c>
      <c r="N484">
        <v>79</v>
      </c>
      <c r="O484">
        <v>79</v>
      </c>
      <c r="P484">
        <v>1</v>
      </c>
      <c r="Q484">
        <v>4</v>
      </c>
      <c r="R484">
        <v>3</v>
      </c>
      <c r="S484">
        <v>3</v>
      </c>
      <c r="T484">
        <v>2</v>
      </c>
      <c r="U484">
        <v>0</v>
      </c>
      <c r="V484">
        <v>3</v>
      </c>
      <c r="W484">
        <v>6</v>
      </c>
      <c r="X484">
        <v>4</v>
      </c>
      <c r="Y484">
        <v>4</v>
      </c>
      <c r="Z484">
        <v>2</v>
      </c>
      <c r="AA484">
        <v>4</v>
      </c>
      <c r="AB484">
        <v>12</v>
      </c>
      <c r="AC484">
        <v>4</v>
      </c>
      <c r="AD484">
        <v>2</v>
      </c>
      <c r="AE484">
        <v>3</v>
      </c>
      <c r="AF484">
        <v>10</v>
      </c>
      <c r="AG484">
        <v>4</v>
      </c>
      <c r="AH484">
        <v>4</v>
      </c>
      <c r="AI484">
        <v>5</v>
      </c>
      <c r="AJ484">
        <v>4</v>
      </c>
      <c r="AK484">
        <v>3</v>
      </c>
      <c r="AL484">
        <v>3</v>
      </c>
      <c r="AM484">
        <v>2</v>
      </c>
      <c r="AN484">
        <v>0</v>
      </c>
      <c r="AO484">
        <v>3</v>
      </c>
      <c r="AP484">
        <v>6</v>
      </c>
      <c r="AQ484">
        <v>4</v>
      </c>
      <c r="AR484">
        <v>4</v>
      </c>
      <c r="AS484">
        <v>2</v>
      </c>
      <c r="AT484">
        <v>4</v>
      </c>
      <c r="AU484">
        <v>12</v>
      </c>
      <c r="AV484">
        <v>4</v>
      </c>
      <c r="AW484">
        <v>2</v>
      </c>
      <c r="AX484">
        <v>3</v>
      </c>
      <c r="AY484">
        <v>10</v>
      </c>
      <c r="AZ484">
        <v>4</v>
      </c>
      <c r="BA484">
        <v>4</v>
      </c>
      <c r="BB484">
        <v>5</v>
      </c>
      <c r="BC484" s="2">
        <v>4</v>
      </c>
      <c r="BD484" s="2">
        <v>3</v>
      </c>
      <c r="BE484" s="2">
        <v>3</v>
      </c>
      <c r="BF484" s="2">
        <v>2</v>
      </c>
      <c r="BG484" s="2">
        <v>0</v>
      </c>
      <c r="BH484" s="2">
        <v>3</v>
      </c>
      <c r="BI484" s="2">
        <v>6</v>
      </c>
      <c r="BJ484" s="2">
        <v>4</v>
      </c>
      <c r="BK484" s="2">
        <v>4</v>
      </c>
      <c r="BL484" s="2">
        <v>2</v>
      </c>
      <c r="BM484" s="2">
        <v>4</v>
      </c>
      <c r="BN484" s="2">
        <v>12</v>
      </c>
      <c r="BO484" s="2">
        <v>4</v>
      </c>
      <c r="BP484" s="2">
        <v>2</v>
      </c>
      <c r="BQ484" s="2">
        <v>3</v>
      </c>
      <c r="BR484" s="2">
        <v>10</v>
      </c>
      <c r="BS484" s="2">
        <v>4</v>
      </c>
      <c r="BT484" s="2">
        <v>4</v>
      </c>
      <c r="BU484" s="2">
        <v>5</v>
      </c>
      <c r="BV484" s="2">
        <f t="shared" si="33"/>
        <v>79</v>
      </c>
      <c r="BW484" s="16">
        <f t="shared" si="31"/>
        <v>4.1578947368421053</v>
      </c>
      <c r="BX484" s="16">
        <f>COUNTIF($BC$6:BU484, "=0") / COUNTIF($BC$6:BU484, "&gt;-1")</f>
        <v>0.12097571695418086</v>
      </c>
      <c r="BY484" s="18">
        <f>SUM($BC$6:BU484) / $BY$4</f>
        <v>0.84290429603028261</v>
      </c>
      <c r="BZ484" s="14">
        <f t="shared" si="32"/>
        <v>1</v>
      </c>
      <c r="CA484" t="s">
        <v>5831</v>
      </c>
      <c r="CB484" s="36">
        <v>4.8465735833389196</v>
      </c>
      <c r="CC484" s="36">
        <v>2.8891923620323401</v>
      </c>
      <c r="CD484" s="36">
        <v>4.8023929854367697</v>
      </c>
      <c r="CE484" s="36">
        <v>3.0238435183064598</v>
      </c>
      <c r="CF484" s="36">
        <v>0.215044089984223</v>
      </c>
      <c r="CG484" s="36">
        <v>2.7891817399184702</v>
      </c>
      <c r="CH484" s="36">
        <v>6.3243736971878404</v>
      </c>
      <c r="CI484" s="36">
        <v>3.8927343919292201</v>
      </c>
      <c r="CJ484" s="37">
        <v>3.17903317297983</v>
      </c>
      <c r="CK484" s="37">
        <v>2.5225985875531398</v>
      </c>
      <c r="CL484" s="37">
        <v>9.6006521792081099</v>
      </c>
      <c r="CM484" s="37">
        <v>3.3861881863997598</v>
      </c>
      <c r="CN484" s="37">
        <v>2.7563776974453398</v>
      </c>
      <c r="CO484" s="37">
        <v>7.8919057038512497</v>
      </c>
      <c r="CP484" s="37">
        <v>6.0341601914496898</v>
      </c>
      <c r="CQ484" s="37">
        <v>7.6131842323730803</v>
      </c>
      <c r="CR484" s="45">
        <v>0.570579943060044</v>
      </c>
      <c r="CS484" s="45">
        <v>1.4933675304870999</v>
      </c>
      <c r="CT484" s="46">
        <v>0.239581228819776</v>
      </c>
      <c r="CU484" s="47">
        <v>0.309420544556815</v>
      </c>
      <c r="CV484" s="48">
        <v>3.59791704601678</v>
      </c>
      <c r="CW484" s="49">
        <v>5.3730124939075301</v>
      </c>
      <c r="CX484" s="31" t="s">
        <v>5874</v>
      </c>
      <c r="CY484" s="31" t="s">
        <v>5832</v>
      </c>
      <c r="CZ484" t="s">
        <v>9034</v>
      </c>
      <c r="DA484" t="s">
        <v>5904</v>
      </c>
      <c r="DB484">
        <v>231.5</v>
      </c>
      <c r="DC484" t="s">
        <v>23392</v>
      </c>
      <c r="DD484" t="s">
        <v>23393</v>
      </c>
      <c r="DE484" t="s">
        <v>23394</v>
      </c>
      <c r="DF484" t="s">
        <v>23395</v>
      </c>
      <c r="DG484" t="s">
        <v>23396</v>
      </c>
      <c r="DH484" t="str">
        <f>"SPP2"</f>
        <v>SPP2</v>
      </c>
      <c r="DI484" t="s">
        <v>23397</v>
      </c>
      <c r="DJ484" t="s">
        <v>13777</v>
      </c>
      <c r="DK484">
        <v>9606</v>
      </c>
      <c r="DL484" s="34" t="str">
        <f>HYPERLINK("http://www.uniprot.org/uniprot/Q13103", "Q13103")</f>
        <v>Q13103</v>
      </c>
      <c r="DM484" t="s">
        <v>23398</v>
      </c>
      <c r="DN484" t="s">
        <v>13772</v>
      </c>
      <c r="DO484" t="s">
        <v>14321</v>
      </c>
      <c r="DP484" t="s">
        <v>13793</v>
      </c>
      <c r="DQ484" t="s">
        <v>13772</v>
      </c>
      <c r="DR484" t="s">
        <v>13772</v>
      </c>
      <c r="DS484" t="s">
        <v>13808</v>
      </c>
      <c r="DT484" t="s">
        <v>13772</v>
      </c>
      <c r="DU484" t="s">
        <v>13772</v>
      </c>
      <c r="DV484" t="s">
        <v>15554</v>
      </c>
      <c r="DW484" t="s">
        <v>13772</v>
      </c>
      <c r="DX484" t="s">
        <v>23399</v>
      </c>
      <c r="DY484" t="s">
        <v>23400</v>
      </c>
      <c r="DZ484" t="s">
        <v>23401</v>
      </c>
      <c r="EA484" t="s">
        <v>13772</v>
      </c>
      <c r="EB484" t="s">
        <v>18981</v>
      </c>
    </row>
    <row r="485" spans="1:132" hidden="1">
      <c r="A485">
        <v>158</v>
      </c>
      <c r="B485">
        <v>1</v>
      </c>
      <c r="C485" t="s">
        <v>401</v>
      </c>
      <c r="D485" t="s">
        <v>73</v>
      </c>
      <c r="E485" t="s">
        <v>73</v>
      </c>
      <c r="F485" t="s">
        <v>73</v>
      </c>
      <c r="G485" t="s">
        <v>73</v>
      </c>
      <c r="H485">
        <v>24.9</v>
      </c>
      <c r="I485">
        <v>1657</v>
      </c>
      <c r="J485">
        <v>188805</v>
      </c>
      <c r="K485" t="s">
        <v>402</v>
      </c>
      <c r="L485">
        <f t="shared" si="30"/>
        <v>78</v>
      </c>
      <c r="N485">
        <v>78</v>
      </c>
      <c r="O485">
        <v>78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4</v>
      </c>
      <c r="W485">
        <v>1</v>
      </c>
      <c r="X485">
        <v>1</v>
      </c>
      <c r="Y485">
        <v>9</v>
      </c>
      <c r="Z485">
        <v>0</v>
      </c>
      <c r="AA485">
        <v>21</v>
      </c>
      <c r="AB485">
        <v>17</v>
      </c>
      <c r="AC485">
        <v>9</v>
      </c>
      <c r="AD485">
        <v>1</v>
      </c>
      <c r="AE485">
        <v>6</v>
      </c>
      <c r="AF485">
        <v>6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</v>
      </c>
      <c r="AO485">
        <v>4</v>
      </c>
      <c r="AP485">
        <v>1</v>
      </c>
      <c r="AQ485">
        <v>1</v>
      </c>
      <c r="AR485">
        <v>9</v>
      </c>
      <c r="AS485">
        <v>0</v>
      </c>
      <c r="AT485">
        <v>21</v>
      </c>
      <c r="AU485">
        <v>17</v>
      </c>
      <c r="AV485">
        <v>9</v>
      </c>
      <c r="AW485">
        <v>1</v>
      </c>
      <c r="AX485">
        <v>6</v>
      </c>
      <c r="AY485">
        <v>6</v>
      </c>
      <c r="AZ485">
        <v>1</v>
      </c>
      <c r="BA485">
        <v>0</v>
      </c>
      <c r="BB485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2</v>
      </c>
      <c r="BH485" s="2">
        <v>4</v>
      </c>
      <c r="BI485" s="2">
        <v>1</v>
      </c>
      <c r="BJ485" s="2">
        <v>1</v>
      </c>
      <c r="BK485" s="2">
        <v>9</v>
      </c>
      <c r="BL485" s="2">
        <v>0</v>
      </c>
      <c r="BM485" s="2">
        <v>21</v>
      </c>
      <c r="BN485" s="2">
        <v>17</v>
      </c>
      <c r="BO485" s="2">
        <v>9</v>
      </c>
      <c r="BP485" s="2">
        <v>1</v>
      </c>
      <c r="BQ485" s="2">
        <v>6</v>
      </c>
      <c r="BR485" s="2">
        <v>6</v>
      </c>
      <c r="BS485" s="2">
        <v>1</v>
      </c>
      <c r="BT485" s="2">
        <v>0</v>
      </c>
      <c r="BU485" s="2">
        <v>0</v>
      </c>
      <c r="BV485" s="2">
        <f t="shared" si="33"/>
        <v>78</v>
      </c>
      <c r="BW485" s="16">
        <f t="shared" si="31"/>
        <v>4.1052631578947372</v>
      </c>
      <c r="BX485" s="16">
        <f>COUNTIF($BC$6:BU485, "=0") / COUNTIF($BC$6:BU485, "&gt;-1")</f>
        <v>0.12149122807017544</v>
      </c>
      <c r="BY485" s="18">
        <f>SUM($BC$6:BU485) / $BY$4</f>
        <v>0.8432384197060413</v>
      </c>
      <c r="BZ485" s="14">
        <f t="shared" si="32"/>
        <v>7</v>
      </c>
      <c r="CA485" t="s">
        <v>5831</v>
      </c>
      <c r="CB485" s="36">
        <v>0.30291084895868198</v>
      </c>
      <c r="CC485" s="36">
        <v>0.24076603016936199</v>
      </c>
      <c r="CD485" s="36">
        <v>0.40019941545306398</v>
      </c>
      <c r="CE485" s="36">
        <v>0.37798043978830698</v>
      </c>
      <c r="CF485" s="36">
        <v>1.72035271987378</v>
      </c>
      <c r="CG485" s="36">
        <v>3.7189089865579601</v>
      </c>
      <c r="CH485" s="36">
        <v>1.05406228286464</v>
      </c>
      <c r="CI485" s="36">
        <v>0.97318359798230603</v>
      </c>
      <c r="CJ485" s="37">
        <v>7.1528246392046197</v>
      </c>
      <c r="CK485" s="37">
        <v>13.243642584653999</v>
      </c>
      <c r="CL485" s="37">
        <v>13.600923920544799</v>
      </c>
      <c r="CM485" s="37">
        <v>7.6189234193994704</v>
      </c>
      <c r="CN485" s="37">
        <v>5.5127553948906796</v>
      </c>
      <c r="CO485" s="37">
        <v>4.7351434223107498</v>
      </c>
      <c r="CP485" s="37">
        <v>1.50854004786242</v>
      </c>
      <c r="CQ485" s="37">
        <v>0.38065921161865401</v>
      </c>
      <c r="CR485" s="45">
        <v>2.4486080673339301</v>
      </c>
      <c r="CS485" s="45">
        <v>6.1164297101425698</v>
      </c>
      <c r="CT485" s="46">
        <v>1.1246885850169901E-4</v>
      </c>
      <c r="CU485" s="47">
        <v>3.1220608438853298E-4</v>
      </c>
      <c r="CV485" s="48">
        <v>1.09854554020601</v>
      </c>
      <c r="CW485" s="49">
        <v>6.7191765800606804</v>
      </c>
      <c r="CX485" s="31" t="s">
        <v>5874</v>
      </c>
      <c r="CY485" s="31" t="s">
        <v>5876</v>
      </c>
      <c r="CZ485" t="s">
        <v>6238</v>
      </c>
      <c r="DA485" t="s">
        <v>5904</v>
      </c>
      <c r="DB485">
        <v>3323.5</v>
      </c>
      <c r="DC485" t="s">
        <v>14961</v>
      </c>
      <c r="DD485" t="s">
        <v>14962</v>
      </c>
      <c r="DE485" t="s">
        <v>14963</v>
      </c>
      <c r="DF485" t="s">
        <v>14964</v>
      </c>
      <c r="DG485" t="s">
        <v>14965</v>
      </c>
      <c r="DH485" t="str">
        <f>"IQGAP1"</f>
        <v>IQGAP1</v>
      </c>
      <c r="DI485" t="s">
        <v>14966</v>
      </c>
      <c r="DJ485" t="s">
        <v>13777</v>
      </c>
      <c r="DK485">
        <v>9606</v>
      </c>
      <c r="DL485" s="34" t="str">
        <f>HYPERLINK("http://www.uniprot.org/uniprot/P46940", "P46940")</f>
        <v>P46940</v>
      </c>
      <c r="DM485" t="s">
        <v>14967</v>
      </c>
      <c r="DN485" t="s">
        <v>14563</v>
      </c>
      <c r="DO485" t="s">
        <v>14968</v>
      </c>
      <c r="DP485" t="s">
        <v>13793</v>
      </c>
      <c r="DQ485" t="s">
        <v>13772</v>
      </c>
      <c r="DR485" t="s">
        <v>13772</v>
      </c>
      <c r="DS485" t="s">
        <v>14096</v>
      </c>
      <c r="DT485" t="s">
        <v>13772</v>
      </c>
      <c r="DU485" t="s">
        <v>14969</v>
      </c>
      <c r="DV485" t="s">
        <v>13886</v>
      </c>
      <c r="DW485" t="s">
        <v>13812</v>
      </c>
      <c r="DX485" t="s">
        <v>14970</v>
      </c>
      <c r="DY485" t="s">
        <v>14971</v>
      </c>
      <c r="DZ485" t="s">
        <v>14972</v>
      </c>
      <c r="EA485" t="s">
        <v>13772</v>
      </c>
      <c r="EB485" t="s">
        <v>14973</v>
      </c>
    </row>
    <row r="486" spans="1:132" hidden="1">
      <c r="A486">
        <v>756</v>
      </c>
      <c r="B486">
        <v>1</v>
      </c>
      <c r="C486" t="s">
        <v>1857</v>
      </c>
      <c r="D486" t="s">
        <v>1858</v>
      </c>
      <c r="E486" t="s">
        <v>73</v>
      </c>
      <c r="F486" t="s">
        <v>73</v>
      </c>
      <c r="G486" t="s">
        <v>73</v>
      </c>
      <c r="H486">
        <v>12.3</v>
      </c>
      <c r="I486">
        <v>481</v>
      </c>
      <c r="J486">
        <v>51323</v>
      </c>
      <c r="K486" t="s">
        <v>1859</v>
      </c>
      <c r="L486">
        <f t="shared" si="30"/>
        <v>78</v>
      </c>
      <c r="N486">
        <v>78</v>
      </c>
      <c r="O486">
        <v>78</v>
      </c>
      <c r="P486">
        <v>1</v>
      </c>
      <c r="Q486">
        <v>4</v>
      </c>
      <c r="R486">
        <v>8</v>
      </c>
      <c r="S486">
        <v>7</v>
      </c>
      <c r="T486">
        <v>6</v>
      </c>
      <c r="U486">
        <v>7</v>
      </c>
      <c r="V486">
        <v>5</v>
      </c>
      <c r="W486">
        <v>7</v>
      </c>
      <c r="X486">
        <v>3</v>
      </c>
      <c r="Y486">
        <v>3</v>
      </c>
      <c r="Z486">
        <v>1</v>
      </c>
      <c r="AA486">
        <v>3</v>
      </c>
      <c r="AB486">
        <v>6</v>
      </c>
      <c r="AC486">
        <v>2</v>
      </c>
      <c r="AD486">
        <v>0</v>
      </c>
      <c r="AE486">
        <v>1</v>
      </c>
      <c r="AF486">
        <v>5</v>
      </c>
      <c r="AG486">
        <v>2</v>
      </c>
      <c r="AH486">
        <v>3</v>
      </c>
      <c r="AI486">
        <v>5</v>
      </c>
      <c r="AJ486">
        <v>4</v>
      </c>
      <c r="AK486">
        <v>8</v>
      </c>
      <c r="AL486">
        <v>7</v>
      </c>
      <c r="AM486">
        <v>6</v>
      </c>
      <c r="AN486">
        <v>7</v>
      </c>
      <c r="AO486">
        <v>5</v>
      </c>
      <c r="AP486">
        <v>7</v>
      </c>
      <c r="AQ486">
        <v>3</v>
      </c>
      <c r="AR486">
        <v>3</v>
      </c>
      <c r="AS486">
        <v>1</v>
      </c>
      <c r="AT486">
        <v>3</v>
      </c>
      <c r="AU486">
        <v>6</v>
      </c>
      <c r="AV486">
        <v>2</v>
      </c>
      <c r="AW486">
        <v>0</v>
      </c>
      <c r="AX486">
        <v>1</v>
      </c>
      <c r="AY486">
        <v>5</v>
      </c>
      <c r="AZ486">
        <v>2</v>
      </c>
      <c r="BA486">
        <v>3</v>
      </c>
      <c r="BB486">
        <v>5</v>
      </c>
      <c r="BC486" s="2">
        <v>4</v>
      </c>
      <c r="BD486" s="2">
        <v>8</v>
      </c>
      <c r="BE486" s="2">
        <v>7</v>
      </c>
      <c r="BF486" s="2">
        <v>6</v>
      </c>
      <c r="BG486" s="2">
        <v>7</v>
      </c>
      <c r="BH486" s="2">
        <v>5</v>
      </c>
      <c r="BI486" s="2">
        <v>7</v>
      </c>
      <c r="BJ486" s="2">
        <v>3</v>
      </c>
      <c r="BK486" s="2">
        <v>3</v>
      </c>
      <c r="BL486" s="2">
        <v>1</v>
      </c>
      <c r="BM486" s="2">
        <v>3</v>
      </c>
      <c r="BN486" s="2">
        <v>6</v>
      </c>
      <c r="BO486" s="2">
        <v>2</v>
      </c>
      <c r="BP486" s="2">
        <v>0</v>
      </c>
      <c r="BQ486" s="2">
        <v>1</v>
      </c>
      <c r="BR486" s="2">
        <v>5</v>
      </c>
      <c r="BS486" s="2">
        <v>2</v>
      </c>
      <c r="BT486" s="2">
        <v>3</v>
      </c>
      <c r="BU486" s="2">
        <v>5</v>
      </c>
      <c r="BV486" s="2">
        <f t="shared" si="33"/>
        <v>78</v>
      </c>
      <c r="BW486" s="16">
        <f t="shared" si="31"/>
        <v>4.1052631578947372</v>
      </c>
      <c r="BX486" s="16">
        <f>COUNTIF($BC$6:BU486, "=0") / COUNTIF($BC$6:BU486, "&gt;-1")</f>
        <v>0.12134806871648977</v>
      </c>
      <c r="BY486" s="18">
        <f>SUM($BC$6:BU486) / $BY$4</f>
        <v>0.84357254338179988</v>
      </c>
      <c r="BZ486" s="14">
        <f t="shared" si="32"/>
        <v>1</v>
      </c>
      <c r="CA486" t="s">
        <v>5831</v>
      </c>
      <c r="CB486" s="36">
        <v>4.8465735833389196</v>
      </c>
      <c r="CC486" s="36">
        <v>7.7045129654195703</v>
      </c>
      <c r="CD486" s="36">
        <v>11.2055836326858</v>
      </c>
      <c r="CE486" s="36">
        <v>9.0715305549193808</v>
      </c>
      <c r="CF486" s="36">
        <v>6.0212345195582504</v>
      </c>
      <c r="CG486" s="36">
        <v>4.6486362331974602</v>
      </c>
      <c r="CH486" s="36">
        <v>7.3784359800524904</v>
      </c>
      <c r="CI486" s="36">
        <v>2.9195507939469199</v>
      </c>
      <c r="CJ486" s="37">
        <v>2.3842748797348698</v>
      </c>
      <c r="CK486" s="37">
        <v>1.89194894066486</v>
      </c>
      <c r="CL486" s="37">
        <v>4.8003260896040603</v>
      </c>
      <c r="CM486" s="37">
        <v>1.6930940931998799</v>
      </c>
      <c r="CN486" s="37">
        <v>0.91879256581511404</v>
      </c>
      <c r="CO486" s="37">
        <v>3.94595285192562</v>
      </c>
      <c r="CP486" s="37">
        <v>3.0170800957248498</v>
      </c>
      <c r="CQ486" s="37">
        <v>7.6131842323730803</v>
      </c>
      <c r="CR486" s="45">
        <v>-1.0499960701111699</v>
      </c>
      <c r="CS486" s="45">
        <v>-2.0482302480412602</v>
      </c>
      <c r="CT486" s="46">
        <v>2.3145480386853001E-2</v>
      </c>
      <c r="CU486" s="47">
        <v>3.9200826275454903E-2</v>
      </c>
      <c r="CV486" s="48">
        <v>6.7245072828898502</v>
      </c>
      <c r="CW486" s="49">
        <v>3.2830817186302901</v>
      </c>
      <c r="CX486" s="31" t="s">
        <v>5875</v>
      </c>
      <c r="CY486" s="31" t="s">
        <v>5878</v>
      </c>
      <c r="CZ486" t="s">
        <v>8289</v>
      </c>
      <c r="DA486" t="s">
        <v>5904</v>
      </c>
      <c r="DB486">
        <v>664.1</v>
      </c>
      <c r="DC486" t="s">
        <v>21219</v>
      </c>
      <c r="DD486" t="s">
        <v>21220</v>
      </c>
      <c r="DE486" t="s">
        <v>21221</v>
      </c>
      <c r="DF486" t="s">
        <v>21222</v>
      </c>
      <c r="DG486" t="s">
        <v>21223</v>
      </c>
      <c r="DH486" t="str">
        <f>"CREB3L3"</f>
        <v>CREB3L3</v>
      </c>
      <c r="DI486" t="s">
        <v>21224</v>
      </c>
      <c r="DJ486" t="s">
        <v>13777</v>
      </c>
      <c r="DK486">
        <v>9606</v>
      </c>
      <c r="DL486" s="34" t="str">
        <f>HYPERLINK("http://www.uniprot.org/uniprot/Q68CJ9", "Q68CJ9")</f>
        <v>Q68CJ9</v>
      </c>
      <c r="DM486" t="s">
        <v>21225</v>
      </c>
      <c r="DN486" t="s">
        <v>21226</v>
      </c>
      <c r="DO486" t="s">
        <v>20410</v>
      </c>
      <c r="DP486" t="s">
        <v>13841</v>
      </c>
      <c r="DQ486" t="s">
        <v>13772</v>
      </c>
      <c r="DR486" t="s">
        <v>13772</v>
      </c>
      <c r="DS486" t="s">
        <v>14417</v>
      </c>
      <c r="DT486" t="s">
        <v>13772</v>
      </c>
      <c r="DU486" t="s">
        <v>21227</v>
      </c>
      <c r="DV486" t="s">
        <v>13978</v>
      </c>
      <c r="DW486" t="s">
        <v>13772</v>
      </c>
      <c r="DX486" t="s">
        <v>21228</v>
      </c>
      <c r="DY486" t="s">
        <v>21229</v>
      </c>
      <c r="DZ486" t="s">
        <v>21230</v>
      </c>
      <c r="EA486" t="s">
        <v>13772</v>
      </c>
      <c r="EB486" t="s">
        <v>21231</v>
      </c>
    </row>
    <row r="487" spans="1:132" hidden="1">
      <c r="A487">
        <v>1082</v>
      </c>
      <c r="B487">
        <v>1</v>
      </c>
      <c r="C487" t="s">
        <v>2603</v>
      </c>
      <c r="D487" t="s">
        <v>73</v>
      </c>
      <c r="E487" t="s">
        <v>73</v>
      </c>
      <c r="F487" t="s">
        <v>73</v>
      </c>
      <c r="G487" t="s">
        <v>73</v>
      </c>
      <c r="H487">
        <v>45.4</v>
      </c>
      <c r="I487">
        <v>559</v>
      </c>
      <c r="J487">
        <v>61358</v>
      </c>
      <c r="K487" t="s">
        <v>2604</v>
      </c>
      <c r="L487">
        <f t="shared" si="30"/>
        <v>78</v>
      </c>
      <c r="N487">
        <v>78</v>
      </c>
      <c r="O487">
        <v>78</v>
      </c>
      <c r="P487">
        <v>1</v>
      </c>
      <c r="Q487">
        <v>5</v>
      </c>
      <c r="R487">
        <v>16</v>
      </c>
      <c r="S487">
        <v>1</v>
      </c>
      <c r="T487">
        <v>0</v>
      </c>
      <c r="U487">
        <v>12</v>
      </c>
      <c r="V487">
        <v>17</v>
      </c>
      <c r="W487">
        <v>3</v>
      </c>
      <c r="X487">
        <v>4</v>
      </c>
      <c r="Y487">
        <v>0</v>
      </c>
      <c r="Z487">
        <v>0</v>
      </c>
      <c r="AA487">
        <v>4</v>
      </c>
      <c r="AB487">
        <v>10</v>
      </c>
      <c r="AC487">
        <v>0</v>
      </c>
      <c r="AD487">
        <v>0</v>
      </c>
      <c r="AE487">
        <v>2</v>
      </c>
      <c r="AF487">
        <v>3</v>
      </c>
      <c r="AG487">
        <v>1</v>
      </c>
      <c r="AH487">
        <v>0</v>
      </c>
      <c r="AI487">
        <v>0</v>
      </c>
      <c r="AJ487">
        <v>5</v>
      </c>
      <c r="AK487">
        <v>16</v>
      </c>
      <c r="AL487">
        <v>1</v>
      </c>
      <c r="AM487">
        <v>0</v>
      </c>
      <c r="AN487">
        <v>12</v>
      </c>
      <c r="AO487">
        <v>17</v>
      </c>
      <c r="AP487">
        <v>3</v>
      </c>
      <c r="AQ487">
        <v>4</v>
      </c>
      <c r="AR487">
        <v>0</v>
      </c>
      <c r="AS487">
        <v>0</v>
      </c>
      <c r="AT487">
        <v>4</v>
      </c>
      <c r="AU487">
        <v>10</v>
      </c>
      <c r="AV487">
        <v>0</v>
      </c>
      <c r="AW487">
        <v>0</v>
      </c>
      <c r="AX487">
        <v>2</v>
      </c>
      <c r="AY487">
        <v>3</v>
      </c>
      <c r="AZ487">
        <v>1</v>
      </c>
      <c r="BA487">
        <v>0</v>
      </c>
      <c r="BB487">
        <v>0</v>
      </c>
      <c r="BC487" s="2">
        <v>5</v>
      </c>
      <c r="BD487" s="2">
        <v>16</v>
      </c>
      <c r="BE487" s="2">
        <v>1</v>
      </c>
      <c r="BF487" s="2">
        <v>0</v>
      </c>
      <c r="BG487" s="2">
        <v>12</v>
      </c>
      <c r="BH487" s="2">
        <v>17</v>
      </c>
      <c r="BI487" s="2">
        <v>3</v>
      </c>
      <c r="BJ487" s="2">
        <v>4</v>
      </c>
      <c r="BK487" s="2">
        <v>0</v>
      </c>
      <c r="BL487" s="2">
        <v>0</v>
      </c>
      <c r="BM487" s="2">
        <v>4</v>
      </c>
      <c r="BN487" s="2">
        <v>10</v>
      </c>
      <c r="BO487" s="2">
        <v>0</v>
      </c>
      <c r="BP487" s="2">
        <v>0</v>
      </c>
      <c r="BQ487" s="2">
        <v>2</v>
      </c>
      <c r="BR487" s="2">
        <v>3</v>
      </c>
      <c r="BS487" s="2">
        <v>1</v>
      </c>
      <c r="BT487" s="2">
        <v>0</v>
      </c>
      <c r="BU487" s="2">
        <v>0</v>
      </c>
      <c r="BV487" s="2">
        <f t="shared" si="33"/>
        <v>78</v>
      </c>
      <c r="BW487" s="16">
        <f t="shared" si="31"/>
        <v>4.1052631578947372</v>
      </c>
      <c r="BX487" s="16">
        <f>COUNTIF($BC$6:BU487, "=0") / COUNTIF($BC$6:BU487, "&gt;-1")</f>
        <v>0.12186066826818083</v>
      </c>
      <c r="BY487" s="18">
        <f>SUM($BC$6:BU487) / $BY$4</f>
        <v>0.84390666705755857</v>
      </c>
      <c r="BZ487" s="14">
        <f t="shared" si="32"/>
        <v>7</v>
      </c>
      <c r="CA487" t="s">
        <v>5831</v>
      </c>
      <c r="CB487" s="36">
        <v>6.0582169791736504</v>
      </c>
      <c r="CC487" s="36">
        <v>15.4090259308391</v>
      </c>
      <c r="CD487" s="36">
        <v>1.6007976618122599</v>
      </c>
      <c r="CE487" s="36">
        <v>0.37798043978830698</v>
      </c>
      <c r="CF487" s="36">
        <v>10.322116319242699</v>
      </c>
      <c r="CG487" s="36">
        <v>15.805363192871299</v>
      </c>
      <c r="CH487" s="36">
        <v>3.1621868485939202</v>
      </c>
      <c r="CI487" s="36">
        <v>3.8927343919292201</v>
      </c>
      <c r="CJ487" s="37">
        <v>0.19868957331123899</v>
      </c>
      <c r="CK487" s="37">
        <v>2.5225985875531398</v>
      </c>
      <c r="CL487" s="37">
        <v>8.0005434826734305</v>
      </c>
      <c r="CM487" s="37">
        <v>0.21163676164998499</v>
      </c>
      <c r="CN487" s="37">
        <v>1.8375851316302301</v>
      </c>
      <c r="CO487" s="37">
        <v>2.36757171115537</v>
      </c>
      <c r="CP487" s="37">
        <v>1.50854004786242</v>
      </c>
      <c r="CQ487" s="37">
        <v>0.38065921161865401</v>
      </c>
      <c r="CR487" s="45">
        <v>-1.6584425863538901</v>
      </c>
      <c r="CS487" s="45">
        <v>-3.32564043865144</v>
      </c>
      <c r="CT487" s="46">
        <v>1.56613986975324E-2</v>
      </c>
      <c r="CU487" s="47">
        <v>2.7499936295667101E-2</v>
      </c>
      <c r="CV487" s="48">
        <v>7.0785527205313201</v>
      </c>
      <c r="CW487" s="49">
        <v>2.1284780634318099</v>
      </c>
      <c r="CX487" s="31" t="s">
        <v>5875</v>
      </c>
      <c r="CY487" s="31" t="s">
        <v>5878</v>
      </c>
      <c r="CZ487" t="s">
        <v>9338</v>
      </c>
      <c r="DA487" t="s">
        <v>5904</v>
      </c>
      <c r="DB487">
        <v>1129</v>
      </c>
      <c r="DC487" t="s">
        <v>24250</v>
      </c>
      <c r="DD487" t="s">
        <v>13772</v>
      </c>
      <c r="DE487" t="s">
        <v>24251</v>
      </c>
      <c r="DF487" t="s">
        <v>24252</v>
      </c>
      <c r="DG487" t="s">
        <v>24253</v>
      </c>
      <c r="DH487" t="str">
        <f>"GLUD1"</f>
        <v>GLUD1</v>
      </c>
      <c r="DI487" t="s">
        <v>24254</v>
      </c>
      <c r="DJ487" t="s">
        <v>13777</v>
      </c>
      <c r="DK487">
        <v>9606</v>
      </c>
      <c r="DL487" s="34" t="str">
        <f>HYPERLINK("http://www.uniprot.org/uniprot/P00367", "P00367")</f>
        <v>P00367</v>
      </c>
      <c r="DM487" t="s">
        <v>24255</v>
      </c>
      <c r="DN487" t="s">
        <v>13772</v>
      </c>
      <c r="DO487" t="s">
        <v>14491</v>
      </c>
      <c r="DP487" t="s">
        <v>13841</v>
      </c>
      <c r="DQ487" t="s">
        <v>13772</v>
      </c>
      <c r="DR487" t="s">
        <v>13807</v>
      </c>
      <c r="DS487" t="s">
        <v>14391</v>
      </c>
      <c r="DT487" t="s">
        <v>24256</v>
      </c>
      <c r="DU487" t="s">
        <v>13885</v>
      </c>
      <c r="DV487" t="s">
        <v>24257</v>
      </c>
      <c r="DW487" t="s">
        <v>13812</v>
      </c>
      <c r="DX487" t="s">
        <v>24258</v>
      </c>
      <c r="DY487" t="s">
        <v>16960</v>
      </c>
      <c r="DZ487" t="s">
        <v>24259</v>
      </c>
      <c r="EA487" t="s">
        <v>13772</v>
      </c>
      <c r="EB487" t="s">
        <v>24260</v>
      </c>
    </row>
    <row r="488" spans="1:132" hidden="1">
      <c r="A488">
        <v>1677</v>
      </c>
      <c r="B488">
        <v>1</v>
      </c>
      <c r="C488" t="s">
        <v>3975</v>
      </c>
      <c r="D488" t="s">
        <v>73</v>
      </c>
      <c r="E488" t="s">
        <v>73</v>
      </c>
      <c r="F488" t="s">
        <v>73</v>
      </c>
      <c r="G488" t="s">
        <v>73</v>
      </c>
      <c r="H488">
        <v>37</v>
      </c>
      <c r="I488">
        <v>346</v>
      </c>
      <c r="J488">
        <v>37959</v>
      </c>
      <c r="K488" t="s">
        <v>3976</v>
      </c>
      <c r="L488">
        <f t="shared" si="30"/>
        <v>78</v>
      </c>
      <c r="N488">
        <v>78</v>
      </c>
      <c r="O488">
        <v>78</v>
      </c>
      <c r="P488">
        <v>1</v>
      </c>
      <c r="Q488">
        <v>3</v>
      </c>
      <c r="R488">
        <v>4</v>
      </c>
      <c r="S488">
        <v>1</v>
      </c>
      <c r="T488">
        <v>2</v>
      </c>
      <c r="U488">
        <v>4</v>
      </c>
      <c r="V488">
        <v>5</v>
      </c>
      <c r="W488">
        <v>3</v>
      </c>
      <c r="X488">
        <v>9</v>
      </c>
      <c r="Y488">
        <v>3</v>
      </c>
      <c r="Z488">
        <v>0</v>
      </c>
      <c r="AA488">
        <v>16</v>
      </c>
      <c r="AB488">
        <v>4</v>
      </c>
      <c r="AC488">
        <v>3</v>
      </c>
      <c r="AD488">
        <v>0</v>
      </c>
      <c r="AE488">
        <v>7</v>
      </c>
      <c r="AF488">
        <v>7</v>
      </c>
      <c r="AG488">
        <v>3</v>
      </c>
      <c r="AH488">
        <v>0</v>
      </c>
      <c r="AI488">
        <v>4</v>
      </c>
      <c r="AJ488">
        <v>3</v>
      </c>
      <c r="AK488">
        <v>4</v>
      </c>
      <c r="AL488">
        <v>1</v>
      </c>
      <c r="AM488">
        <v>2</v>
      </c>
      <c r="AN488">
        <v>4</v>
      </c>
      <c r="AO488">
        <v>5</v>
      </c>
      <c r="AP488">
        <v>3</v>
      </c>
      <c r="AQ488">
        <v>9</v>
      </c>
      <c r="AR488">
        <v>3</v>
      </c>
      <c r="AS488">
        <v>0</v>
      </c>
      <c r="AT488">
        <v>16</v>
      </c>
      <c r="AU488">
        <v>4</v>
      </c>
      <c r="AV488">
        <v>3</v>
      </c>
      <c r="AW488">
        <v>0</v>
      </c>
      <c r="AX488">
        <v>7</v>
      </c>
      <c r="AY488">
        <v>7</v>
      </c>
      <c r="AZ488">
        <v>3</v>
      </c>
      <c r="BA488">
        <v>0</v>
      </c>
      <c r="BB488">
        <v>4</v>
      </c>
      <c r="BC488" s="2">
        <v>3</v>
      </c>
      <c r="BD488" s="2">
        <v>4</v>
      </c>
      <c r="BE488" s="2">
        <v>1</v>
      </c>
      <c r="BF488" s="2">
        <v>2</v>
      </c>
      <c r="BG488" s="2">
        <v>4</v>
      </c>
      <c r="BH488" s="2">
        <v>5</v>
      </c>
      <c r="BI488" s="2">
        <v>3</v>
      </c>
      <c r="BJ488" s="2">
        <v>9</v>
      </c>
      <c r="BK488" s="2">
        <v>3</v>
      </c>
      <c r="BL488" s="2">
        <v>0</v>
      </c>
      <c r="BM488" s="2">
        <v>16</v>
      </c>
      <c r="BN488" s="2">
        <v>4</v>
      </c>
      <c r="BO488" s="2">
        <v>3</v>
      </c>
      <c r="BP488" s="2">
        <v>0</v>
      </c>
      <c r="BQ488" s="2">
        <v>7</v>
      </c>
      <c r="BR488" s="2">
        <v>7</v>
      </c>
      <c r="BS488" s="2">
        <v>3</v>
      </c>
      <c r="BT488" s="2">
        <v>0</v>
      </c>
      <c r="BU488" s="2">
        <v>4</v>
      </c>
      <c r="BV488" s="2">
        <f t="shared" si="33"/>
        <v>78</v>
      </c>
      <c r="BW488" s="16">
        <f t="shared" si="31"/>
        <v>4.1052631578947372</v>
      </c>
      <c r="BX488" s="16">
        <f>COUNTIF($BC$6:BU488, "=0") / COUNTIF($BC$6:BU488, "&gt;-1")</f>
        <v>0.12193527296502125</v>
      </c>
      <c r="BY488" s="18">
        <f>SUM($BC$6:BU488) / $BY$4</f>
        <v>0.84424079073331715</v>
      </c>
      <c r="BZ488" s="14">
        <f t="shared" si="32"/>
        <v>3</v>
      </c>
      <c r="CA488" t="s">
        <v>5831</v>
      </c>
      <c r="CB488" s="36">
        <v>3.6349301875041902</v>
      </c>
      <c r="CC488" s="36">
        <v>3.85225648270979</v>
      </c>
      <c r="CD488" s="36">
        <v>1.6007976618122599</v>
      </c>
      <c r="CE488" s="36">
        <v>3.0238435183064598</v>
      </c>
      <c r="CF488" s="36">
        <v>3.4407054397475698</v>
      </c>
      <c r="CG488" s="36">
        <v>4.6486362331974602</v>
      </c>
      <c r="CH488" s="36">
        <v>3.1621868485939202</v>
      </c>
      <c r="CI488" s="36">
        <v>8.7586523818407507</v>
      </c>
      <c r="CJ488" s="37">
        <v>2.3842748797348698</v>
      </c>
      <c r="CK488" s="37">
        <v>10.0903943502126</v>
      </c>
      <c r="CL488" s="37">
        <v>3.2002173930693698</v>
      </c>
      <c r="CM488" s="37">
        <v>2.5396411397998202</v>
      </c>
      <c r="CN488" s="37">
        <v>6.4315479607058004</v>
      </c>
      <c r="CO488" s="37">
        <v>5.5243339926958699</v>
      </c>
      <c r="CP488" s="37">
        <v>4.5256201435872701</v>
      </c>
      <c r="CQ488" s="37">
        <v>6.0905473858984696</v>
      </c>
      <c r="CR488" s="45">
        <v>0.305644345523781</v>
      </c>
      <c r="CS488" s="45">
        <v>1.26973931046545</v>
      </c>
      <c r="CT488" s="46">
        <v>0.46731944224708</v>
      </c>
      <c r="CU488" s="47">
        <v>0.54752488067127203</v>
      </c>
      <c r="CV488" s="48">
        <v>4.01525109421405</v>
      </c>
      <c r="CW488" s="49">
        <v>5.0983221557130101</v>
      </c>
      <c r="CX488" s="31" t="s">
        <v>5874</v>
      </c>
      <c r="CY488" s="31" t="s">
        <v>5832</v>
      </c>
      <c r="CZ488" t="s">
        <v>11340</v>
      </c>
      <c r="DA488" t="s">
        <v>5904</v>
      </c>
      <c r="DB488">
        <v>704.9</v>
      </c>
      <c r="DC488" t="s">
        <v>29886</v>
      </c>
      <c r="DD488" t="s">
        <v>29887</v>
      </c>
      <c r="DE488" t="s">
        <v>29888</v>
      </c>
      <c r="DF488" t="s">
        <v>29889</v>
      </c>
      <c r="DG488" t="s">
        <v>29890</v>
      </c>
      <c r="DH488" t="str">
        <f>"EFNB1"</f>
        <v>EFNB1</v>
      </c>
      <c r="DI488" t="s">
        <v>29891</v>
      </c>
      <c r="DJ488" t="s">
        <v>13777</v>
      </c>
      <c r="DK488">
        <v>9606</v>
      </c>
      <c r="DL488" s="34" t="str">
        <f>HYPERLINK("http://www.uniprot.org/uniprot/P98172", "P98172")</f>
        <v>P98172</v>
      </c>
      <c r="DM488" t="s">
        <v>29892</v>
      </c>
      <c r="DN488" t="s">
        <v>14726</v>
      </c>
      <c r="DO488" t="s">
        <v>18976</v>
      </c>
      <c r="DP488" t="s">
        <v>13793</v>
      </c>
      <c r="DQ488" t="s">
        <v>13772</v>
      </c>
      <c r="DR488" t="s">
        <v>29893</v>
      </c>
      <c r="DS488" t="s">
        <v>13855</v>
      </c>
      <c r="DT488" t="s">
        <v>13772</v>
      </c>
      <c r="DU488" t="s">
        <v>14727</v>
      </c>
      <c r="DV488" t="s">
        <v>13964</v>
      </c>
      <c r="DW488" t="s">
        <v>13772</v>
      </c>
      <c r="DX488" t="s">
        <v>29894</v>
      </c>
      <c r="DY488" t="s">
        <v>29895</v>
      </c>
      <c r="DZ488" t="s">
        <v>20391</v>
      </c>
      <c r="EA488" t="s">
        <v>13772</v>
      </c>
      <c r="EB488" t="s">
        <v>17265</v>
      </c>
    </row>
    <row r="489" spans="1:132" hidden="1">
      <c r="A489">
        <v>1771</v>
      </c>
      <c r="B489">
        <v>1</v>
      </c>
      <c r="C489" t="s">
        <v>4191</v>
      </c>
      <c r="D489" t="s">
        <v>73</v>
      </c>
      <c r="E489" t="s">
        <v>73</v>
      </c>
      <c r="F489" t="s">
        <v>73</v>
      </c>
      <c r="G489" t="s">
        <v>73</v>
      </c>
      <c r="H489">
        <v>61.8</v>
      </c>
      <c r="I489">
        <v>207</v>
      </c>
      <c r="J489">
        <v>22917</v>
      </c>
      <c r="K489" t="s">
        <v>4192</v>
      </c>
      <c r="L489">
        <f t="shared" si="30"/>
        <v>78</v>
      </c>
      <c r="N489">
        <v>78</v>
      </c>
      <c r="O489">
        <v>78</v>
      </c>
      <c r="P489">
        <v>1</v>
      </c>
      <c r="Q489">
        <v>2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5</v>
      </c>
      <c r="X489">
        <v>2</v>
      </c>
      <c r="Y489">
        <v>5</v>
      </c>
      <c r="Z489">
        <v>1</v>
      </c>
      <c r="AA489">
        <v>18</v>
      </c>
      <c r="AB489">
        <v>7</v>
      </c>
      <c r="AC489">
        <v>5</v>
      </c>
      <c r="AD489">
        <v>0</v>
      </c>
      <c r="AE489">
        <v>16</v>
      </c>
      <c r="AF489">
        <v>8</v>
      </c>
      <c r="AG489">
        <v>3</v>
      </c>
      <c r="AH489">
        <v>2</v>
      </c>
      <c r="AI489">
        <v>2</v>
      </c>
      <c r="AJ489">
        <v>2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5</v>
      </c>
      <c r="AQ489">
        <v>2</v>
      </c>
      <c r="AR489">
        <v>5</v>
      </c>
      <c r="AS489">
        <v>1</v>
      </c>
      <c r="AT489">
        <v>18</v>
      </c>
      <c r="AU489">
        <v>7</v>
      </c>
      <c r="AV489">
        <v>5</v>
      </c>
      <c r="AW489">
        <v>0</v>
      </c>
      <c r="AX489">
        <v>16</v>
      </c>
      <c r="AY489">
        <v>8</v>
      </c>
      <c r="AZ489">
        <v>3</v>
      </c>
      <c r="BA489">
        <v>2</v>
      </c>
      <c r="BB489">
        <v>2</v>
      </c>
      <c r="BC489" s="2">
        <v>2</v>
      </c>
      <c r="BD489" s="2">
        <v>1</v>
      </c>
      <c r="BE489" s="2">
        <v>0</v>
      </c>
      <c r="BF489" s="2">
        <v>0</v>
      </c>
      <c r="BG489" s="2">
        <v>0</v>
      </c>
      <c r="BH489" s="2">
        <v>1</v>
      </c>
      <c r="BI489" s="2">
        <v>5</v>
      </c>
      <c r="BJ489" s="2">
        <v>2</v>
      </c>
      <c r="BK489" s="2">
        <v>5</v>
      </c>
      <c r="BL489" s="2">
        <v>1</v>
      </c>
      <c r="BM489" s="2">
        <v>18</v>
      </c>
      <c r="BN489" s="2">
        <v>7</v>
      </c>
      <c r="BO489" s="2">
        <v>5</v>
      </c>
      <c r="BP489" s="2">
        <v>0</v>
      </c>
      <c r="BQ489" s="2">
        <v>16</v>
      </c>
      <c r="BR489" s="2">
        <v>8</v>
      </c>
      <c r="BS489" s="2">
        <v>3</v>
      </c>
      <c r="BT489" s="2">
        <v>2</v>
      </c>
      <c r="BU489" s="2">
        <v>2</v>
      </c>
      <c r="BV489" s="2">
        <f t="shared" si="33"/>
        <v>78</v>
      </c>
      <c r="BW489" s="16">
        <f t="shared" si="31"/>
        <v>4.1052631578947372</v>
      </c>
      <c r="BX489" s="16">
        <f>COUNTIF($BC$6:BU489, "=0") / COUNTIF($BC$6:BU489, "&gt;-1")</f>
        <v>0.12211831230969987</v>
      </c>
      <c r="BY489" s="18">
        <f>SUM($BC$6:BU489) / $BY$4</f>
        <v>0.84457491440907584</v>
      </c>
      <c r="BZ489" s="14">
        <f t="shared" si="32"/>
        <v>4</v>
      </c>
      <c r="CA489" t="s">
        <v>5831</v>
      </c>
      <c r="CB489" s="36">
        <v>2.4232867916694598</v>
      </c>
      <c r="CC489" s="36">
        <v>0.96306412067744696</v>
      </c>
      <c r="CD489" s="36">
        <v>0.40019941545306398</v>
      </c>
      <c r="CE489" s="36">
        <v>0.37798043978830698</v>
      </c>
      <c r="CF489" s="36">
        <v>0.215044089984223</v>
      </c>
      <c r="CG489" s="36">
        <v>0.92972724663949102</v>
      </c>
      <c r="CH489" s="36">
        <v>5.2703114143232002</v>
      </c>
      <c r="CI489" s="36">
        <v>1.9463671959646101</v>
      </c>
      <c r="CJ489" s="37">
        <v>3.9737914662247902</v>
      </c>
      <c r="CK489" s="37">
        <v>11.351693643989099</v>
      </c>
      <c r="CL489" s="37">
        <v>5.6003804378713999</v>
      </c>
      <c r="CM489" s="37">
        <v>4.2327352329997003</v>
      </c>
      <c r="CN489" s="37">
        <v>14.7006810530418</v>
      </c>
      <c r="CO489" s="37">
        <v>6.3135245630809997</v>
      </c>
      <c r="CP489" s="37">
        <v>4.5256201435872701</v>
      </c>
      <c r="CQ489" s="37">
        <v>3.0452736929492299</v>
      </c>
      <c r="CR489" s="45">
        <v>2.0275789652029599</v>
      </c>
      <c r="CS489" s="45">
        <v>4.2905782356452002</v>
      </c>
      <c r="CT489" s="46">
        <v>3.8342676659251898E-4</v>
      </c>
      <c r="CU489" s="47">
        <v>9.5004632166813198E-4</v>
      </c>
      <c r="CV489" s="48">
        <v>1.5657475893124799</v>
      </c>
      <c r="CW489" s="49">
        <v>6.71796252921804</v>
      </c>
      <c r="CX489" s="31" t="s">
        <v>5874</v>
      </c>
      <c r="CY489" s="31" t="s">
        <v>5876</v>
      </c>
      <c r="CZ489" t="s">
        <v>11659</v>
      </c>
      <c r="DA489" t="s">
        <v>5904</v>
      </c>
      <c r="DB489">
        <v>372.5</v>
      </c>
      <c r="DC489" t="s">
        <v>30802</v>
      </c>
      <c r="DD489" t="s">
        <v>30803</v>
      </c>
      <c r="DE489" t="s">
        <v>30804</v>
      </c>
      <c r="DF489" t="s">
        <v>30805</v>
      </c>
      <c r="DG489" t="s">
        <v>30806</v>
      </c>
      <c r="DH489" t="str">
        <f>"HSPB1"</f>
        <v>HSPB1</v>
      </c>
      <c r="DI489" t="s">
        <v>30807</v>
      </c>
      <c r="DJ489" t="s">
        <v>13777</v>
      </c>
      <c r="DK489">
        <v>9606</v>
      </c>
      <c r="DL489" s="34" t="str">
        <f>HYPERLINK("http://www.uniprot.org/uniprot/P04792", "P04792")</f>
        <v>P04792</v>
      </c>
      <c r="DM489" t="s">
        <v>30808</v>
      </c>
      <c r="DN489" t="s">
        <v>15280</v>
      </c>
      <c r="DO489" t="s">
        <v>15843</v>
      </c>
      <c r="DP489" t="s">
        <v>13772</v>
      </c>
      <c r="DQ489" t="s">
        <v>13772</v>
      </c>
      <c r="DR489" t="s">
        <v>21970</v>
      </c>
      <c r="DS489" t="s">
        <v>13772</v>
      </c>
      <c r="DT489" t="s">
        <v>13772</v>
      </c>
      <c r="DU489" t="s">
        <v>14477</v>
      </c>
      <c r="DV489" t="s">
        <v>14098</v>
      </c>
      <c r="DW489" t="s">
        <v>13812</v>
      </c>
      <c r="DX489" t="s">
        <v>30809</v>
      </c>
      <c r="DY489" t="s">
        <v>30810</v>
      </c>
      <c r="DZ489" t="s">
        <v>30811</v>
      </c>
      <c r="EA489" t="s">
        <v>13772</v>
      </c>
      <c r="EB489" t="s">
        <v>30812</v>
      </c>
    </row>
    <row r="490" spans="1:132" hidden="1">
      <c r="A490">
        <v>2181</v>
      </c>
      <c r="B490">
        <v>1</v>
      </c>
      <c r="C490" t="s">
        <v>5102</v>
      </c>
      <c r="D490" t="s">
        <v>73</v>
      </c>
      <c r="E490" t="s">
        <v>73</v>
      </c>
      <c r="F490" t="s">
        <v>649</v>
      </c>
      <c r="G490" t="s">
        <v>73</v>
      </c>
      <c r="H490">
        <v>62.7</v>
      </c>
      <c r="I490">
        <v>244</v>
      </c>
      <c r="J490">
        <v>27850</v>
      </c>
      <c r="K490" t="s">
        <v>5103</v>
      </c>
      <c r="L490">
        <f t="shared" si="30"/>
        <v>114</v>
      </c>
      <c r="N490">
        <v>114</v>
      </c>
      <c r="O490">
        <v>58</v>
      </c>
      <c r="P490">
        <v>0.50900000000000001</v>
      </c>
      <c r="Q490">
        <v>2</v>
      </c>
      <c r="R490">
        <v>7</v>
      </c>
      <c r="S490">
        <v>4</v>
      </c>
      <c r="T490">
        <v>1</v>
      </c>
      <c r="U490">
        <v>12</v>
      </c>
      <c r="V490">
        <v>6</v>
      </c>
      <c r="W490">
        <v>7</v>
      </c>
      <c r="X490">
        <v>9</v>
      </c>
      <c r="Y490">
        <v>16</v>
      </c>
      <c r="Z490">
        <v>1</v>
      </c>
      <c r="AA490">
        <v>12</v>
      </c>
      <c r="AB490">
        <v>9</v>
      </c>
      <c r="AC490">
        <v>11</v>
      </c>
      <c r="AD490">
        <v>2</v>
      </c>
      <c r="AE490">
        <v>5</v>
      </c>
      <c r="AF490">
        <v>4</v>
      </c>
      <c r="AG490">
        <v>2</v>
      </c>
      <c r="AH490">
        <v>2</v>
      </c>
      <c r="AI490">
        <v>2</v>
      </c>
      <c r="AJ490">
        <v>0</v>
      </c>
      <c r="AK490">
        <v>5</v>
      </c>
      <c r="AL490">
        <v>2</v>
      </c>
      <c r="AM490">
        <v>0</v>
      </c>
      <c r="AN490">
        <v>5</v>
      </c>
      <c r="AO490">
        <v>2</v>
      </c>
      <c r="AP490">
        <v>3</v>
      </c>
      <c r="AQ490">
        <v>5</v>
      </c>
      <c r="AR490">
        <v>8</v>
      </c>
      <c r="AS490">
        <v>0</v>
      </c>
      <c r="AT490">
        <v>8</v>
      </c>
      <c r="AU490">
        <v>5</v>
      </c>
      <c r="AV490">
        <v>7</v>
      </c>
      <c r="AW490">
        <v>0</v>
      </c>
      <c r="AX490">
        <v>3</v>
      </c>
      <c r="AY490">
        <v>2</v>
      </c>
      <c r="AZ490">
        <v>1</v>
      </c>
      <c r="BA490">
        <v>2</v>
      </c>
      <c r="BB490">
        <v>0</v>
      </c>
      <c r="BC490" s="2">
        <v>0</v>
      </c>
      <c r="BD490" s="2">
        <v>5.6349999999999998</v>
      </c>
      <c r="BE490" s="2">
        <v>2.3650000000000002</v>
      </c>
      <c r="BF490" s="2">
        <v>0</v>
      </c>
      <c r="BG490" s="2">
        <v>7.5890000000000004</v>
      </c>
      <c r="BH490" s="2">
        <v>2.73</v>
      </c>
      <c r="BI490" s="2">
        <v>5.3470000000000004</v>
      </c>
      <c r="BJ490" s="2">
        <v>6.8140000000000001</v>
      </c>
      <c r="BK490" s="2">
        <v>11.108000000000001</v>
      </c>
      <c r="BL490" s="2">
        <v>0</v>
      </c>
      <c r="BM490" s="2">
        <v>10.101000000000001</v>
      </c>
      <c r="BN490" s="2">
        <v>7.2389999999999999</v>
      </c>
      <c r="BO490" s="2">
        <v>8.5259999999999998</v>
      </c>
      <c r="BP490" s="2">
        <v>0.5</v>
      </c>
      <c r="BQ490" s="2">
        <v>3.72</v>
      </c>
      <c r="BR490" s="2">
        <v>3.1179999999999999</v>
      </c>
      <c r="BS490" s="2">
        <v>1.1000000000000001</v>
      </c>
      <c r="BT490" s="2">
        <v>2</v>
      </c>
      <c r="BU490" s="2">
        <v>0</v>
      </c>
      <c r="BV490" s="2">
        <f t="shared" si="33"/>
        <v>77.891999999999982</v>
      </c>
      <c r="BW490" s="16">
        <f t="shared" si="31"/>
        <v>4.0995789473684203</v>
      </c>
      <c r="BX490" s="16">
        <f>COUNTIF($BC$6:BU490, "=0") / COUNTIF($BC$6:BU490, "&gt;-1")</f>
        <v>0.12230059685295713</v>
      </c>
      <c r="BY490" s="18">
        <f>SUM($BC$6:BU490) / $BY$4</f>
        <v>0.84490857545205289</v>
      </c>
      <c r="BZ490" s="14">
        <f t="shared" si="32"/>
        <v>4</v>
      </c>
      <c r="CA490" t="s">
        <v>5831</v>
      </c>
      <c r="CB490" s="36">
        <v>0.30291084895868198</v>
      </c>
      <c r="CC490" s="36">
        <v>5.3931590757937</v>
      </c>
      <c r="CD490" s="36">
        <v>3.8419143883494198</v>
      </c>
      <c r="CE490" s="36">
        <v>0.37798043978830698</v>
      </c>
      <c r="CF490" s="36">
        <v>6.5373403355203799</v>
      </c>
      <c r="CG490" s="36">
        <v>2.5102635659266301</v>
      </c>
      <c r="CH490" s="36">
        <v>5.5865300991825997</v>
      </c>
      <c r="CI490" s="36">
        <v>6.6176484662796797</v>
      </c>
      <c r="CJ490" s="37">
        <v>8.8218170550190305</v>
      </c>
      <c r="CK490" s="37">
        <v>6.3695614335716799</v>
      </c>
      <c r="CL490" s="37">
        <v>5.7603913075248698</v>
      </c>
      <c r="CM490" s="37">
        <v>7.1956498960994999</v>
      </c>
      <c r="CN490" s="37">
        <v>3.3995324935159199</v>
      </c>
      <c r="CO490" s="37">
        <v>2.4464907681938901</v>
      </c>
      <c r="CP490" s="37">
        <v>1.6593940526486699</v>
      </c>
      <c r="CQ490" s="37">
        <v>0.38065921161865401</v>
      </c>
      <c r="CR490" s="45">
        <v>0.22521390989248299</v>
      </c>
      <c r="CS490" s="45">
        <v>1.15611487619169</v>
      </c>
      <c r="CT490" s="46">
        <v>0.74624739923665495</v>
      </c>
      <c r="CU490" s="47">
        <v>0.80914021084168897</v>
      </c>
      <c r="CV490" s="48">
        <v>3.8959684024749199</v>
      </c>
      <c r="CW490" s="49">
        <v>4.5041870272740301</v>
      </c>
      <c r="CX490" s="31" t="s">
        <v>5874</v>
      </c>
      <c r="CY490" s="31" t="s">
        <v>5832</v>
      </c>
      <c r="CZ490" t="s">
        <v>13015</v>
      </c>
      <c r="DA490" t="s">
        <v>5904</v>
      </c>
      <c r="DB490">
        <v>503.8</v>
      </c>
      <c r="DC490" t="s">
        <v>34603</v>
      </c>
      <c r="DD490" t="s">
        <v>34604</v>
      </c>
      <c r="DE490" t="s">
        <v>34605</v>
      </c>
      <c r="DF490" t="s">
        <v>34606</v>
      </c>
      <c r="DG490" t="s">
        <v>34607</v>
      </c>
      <c r="DH490" t="str">
        <f>"YWHAB"</f>
        <v>YWHAB</v>
      </c>
      <c r="DI490" t="s">
        <v>13772</v>
      </c>
      <c r="DJ490" t="s">
        <v>13777</v>
      </c>
      <c r="DK490">
        <v>9606</v>
      </c>
      <c r="DL490" s="34" t="str">
        <f>HYPERLINK("http://www.uniprot.org/uniprot/P31946", "P31946")</f>
        <v>P31946</v>
      </c>
      <c r="DM490" t="s">
        <v>34608</v>
      </c>
      <c r="DN490" t="s">
        <v>14563</v>
      </c>
      <c r="DO490" t="s">
        <v>34609</v>
      </c>
      <c r="DP490" t="s">
        <v>29290</v>
      </c>
      <c r="DQ490" t="s">
        <v>13772</v>
      </c>
      <c r="DR490" t="s">
        <v>13772</v>
      </c>
      <c r="DS490" t="s">
        <v>13772</v>
      </c>
      <c r="DT490" t="s">
        <v>13772</v>
      </c>
      <c r="DU490" t="s">
        <v>13772</v>
      </c>
      <c r="DV490" t="s">
        <v>34551</v>
      </c>
      <c r="DW490" t="s">
        <v>13812</v>
      </c>
      <c r="DX490" t="s">
        <v>34610</v>
      </c>
      <c r="DY490" t="s">
        <v>34611</v>
      </c>
      <c r="DZ490" t="s">
        <v>34612</v>
      </c>
      <c r="EA490" t="s">
        <v>13772</v>
      </c>
      <c r="EB490" t="s">
        <v>34613</v>
      </c>
    </row>
    <row r="491" spans="1:132" hidden="1">
      <c r="A491">
        <v>433</v>
      </c>
      <c r="B491">
        <v>1</v>
      </c>
      <c r="C491" t="s">
        <v>1086</v>
      </c>
      <c r="D491" t="s">
        <v>73</v>
      </c>
      <c r="E491" t="s">
        <v>73</v>
      </c>
      <c r="F491" t="s">
        <v>73</v>
      </c>
      <c r="G491" t="s">
        <v>73</v>
      </c>
      <c r="H491">
        <v>22</v>
      </c>
      <c r="I491">
        <v>1063</v>
      </c>
      <c r="J491">
        <v>114589</v>
      </c>
      <c r="K491" t="s">
        <v>1087</v>
      </c>
      <c r="L491">
        <f t="shared" si="30"/>
        <v>77</v>
      </c>
      <c r="N491">
        <v>77</v>
      </c>
      <c r="O491">
        <v>77</v>
      </c>
      <c r="P491">
        <v>1</v>
      </c>
      <c r="Q491">
        <v>14</v>
      </c>
      <c r="R491">
        <v>3</v>
      </c>
      <c r="S491">
        <v>2</v>
      </c>
      <c r="T491">
        <v>0</v>
      </c>
      <c r="U491">
        <v>3</v>
      </c>
      <c r="V491">
        <v>14</v>
      </c>
      <c r="W491">
        <v>3</v>
      </c>
      <c r="X491">
        <v>6</v>
      </c>
      <c r="Y491">
        <v>0</v>
      </c>
      <c r="Z491">
        <v>0</v>
      </c>
      <c r="AA491">
        <v>8</v>
      </c>
      <c r="AB491">
        <v>3</v>
      </c>
      <c r="AC491">
        <v>1</v>
      </c>
      <c r="AD491">
        <v>1</v>
      </c>
      <c r="AE491">
        <v>1</v>
      </c>
      <c r="AF491">
        <v>4</v>
      </c>
      <c r="AG491">
        <v>10</v>
      </c>
      <c r="AH491">
        <v>3</v>
      </c>
      <c r="AI491">
        <v>1</v>
      </c>
      <c r="AJ491">
        <v>14</v>
      </c>
      <c r="AK491">
        <v>3</v>
      </c>
      <c r="AL491">
        <v>2</v>
      </c>
      <c r="AM491">
        <v>0</v>
      </c>
      <c r="AN491">
        <v>3</v>
      </c>
      <c r="AO491">
        <v>14</v>
      </c>
      <c r="AP491">
        <v>3</v>
      </c>
      <c r="AQ491">
        <v>6</v>
      </c>
      <c r="AR491">
        <v>0</v>
      </c>
      <c r="AS491">
        <v>0</v>
      </c>
      <c r="AT491">
        <v>8</v>
      </c>
      <c r="AU491">
        <v>3</v>
      </c>
      <c r="AV491">
        <v>1</v>
      </c>
      <c r="AW491">
        <v>1</v>
      </c>
      <c r="AX491">
        <v>1</v>
      </c>
      <c r="AY491">
        <v>4</v>
      </c>
      <c r="AZ491">
        <v>10</v>
      </c>
      <c r="BA491">
        <v>3</v>
      </c>
      <c r="BB491">
        <v>1</v>
      </c>
      <c r="BC491" s="2">
        <v>14</v>
      </c>
      <c r="BD491" s="2">
        <v>3</v>
      </c>
      <c r="BE491" s="2">
        <v>2</v>
      </c>
      <c r="BF491" s="2">
        <v>0</v>
      </c>
      <c r="BG491" s="2">
        <v>3</v>
      </c>
      <c r="BH491" s="2">
        <v>14</v>
      </c>
      <c r="BI491" s="2">
        <v>3</v>
      </c>
      <c r="BJ491" s="2">
        <v>6</v>
      </c>
      <c r="BK491" s="2">
        <v>0</v>
      </c>
      <c r="BL491" s="2">
        <v>0</v>
      </c>
      <c r="BM491" s="2">
        <v>8</v>
      </c>
      <c r="BN491" s="2">
        <v>3</v>
      </c>
      <c r="BO491" s="2">
        <v>1</v>
      </c>
      <c r="BP491" s="2">
        <v>1</v>
      </c>
      <c r="BQ491" s="2">
        <v>1</v>
      </c>
      <c r="BR491" s="2">
        <v>4</v>
      </c>
      <c r="BS491" s="2">
        <v>10</v>
      </c>
      <c r="BT491" s="2">
        <v>3</v>
      </c>
      <c r="BU491" s="2">
        <v>1</v>
      </c>
      <c r="BV491" s="2">
        <f t="shared" si="33"/>
        <v>77</v>
      </c>
      <c r="BW491" s="16">
        <f t="shared" si="31"/>
        <v>4.0526315789473681</v>
      </c>
      <c r="BX491" s="16">
        <f>COUNTIF($BC$6:BU491, "=0") / COUNTIF($BC$6:BU491, "&gt;-1")</f>
        <v>0.12237383582412822</v>
      </c>
      <c r="BY491" s="18">
        <f>SUM($BC$6:BU491) / $BY$4</f>
        <v>0.84523841549094281</v>
      </c>
      <c r="BZ491" s="14">
        <f t="shared" si="32"/>
        <v>3</v>
      </c>
      <c r="CA491" t="s">
        <v>5831</v>
      </c>
      <c r="CB491" s="36">
        <v>16.963007541686199</v>
      </c>
      <c r="CC491" s="36">
        <v>2.8891923620323401</v>
      </c>
      <c r="CD491" s="36">
        <v>3.2015953236245198</v>
      </c>
      <c r="CE491" s="36">
        <v>0.37798043978830698</v>
      </c>
      <c r="CF491" s="36">
        <v>2.5805290798106801</v>
      </c>
      <c r="CG491" s="36">
        <v>13.0161814529529</v>
      </c>
      <c r="CH491" s="36">
        <v>3.1621868485939202</v>
      </c>
      <c r="CI491" s="36">
        <v>5.8391015878938397</v>
      </c>
      <c r="CJ491" s="37">
        <v>0.19868957331123899</v>
      </c>
      <c r="CK491" s="37">
        <v>5.0451971751062796</v>
      </c>
      <c r="CL491" s="37">
        <v>2.4001630448020301</v>
      </c>
      <c r="CM491" s="37">
        <v>0.84654704659994096</v>
      </c>
      <c r="CN491" s="37">
        <v>0.91879256581511404</v>
      </c>
      <c r="CO491" s="37">
        <v>3.1567622815404999</v>
      </c>
      <c r="CP491" s="37">
        <v>15.0854004786242</v>
      </c>
      <c r="CQ491" s="37">
        <v>1.5226368464746201</v>
      </c>
      <c r="CR491" s="45">
        <v>-0.78750361461009499</v>
      </c>
      <c r="CS491" s="45">
        <v>-1.6463105321</v>
      </c>
      <c r="CT491" s="46">
        <v>0.307790856725703</v>
      </c>
      <c r="CU491" s="47">
        <v>0.38705278787499098</v>
      </c>
      <c r="CV491" s="48">
        <v>6.0037218295478398</v>
      </c>
      <c r="CW491" s="49">
        <v>3.6467736265342401</v>
      </c>
      <c r="CX491" s="31" t="s">
        <v>5875</v>
      </c>
      <c r="CY491" s="31" t="s">
        <v>5832</v>
      </c>
      <c r="CZ491" t="s">
        <v>7203</v>
      </c>
      <c r="DA491" t="s">
        <v>5904</v>
      </c>
      <c r="DB491">
        <v>1736.8</v>
      </c>
      <c r="DC491" t="s">
        <v>17978</v>
      </c>
      <c r="DD491" t="s">
        <v>17979</v>
      </c>
      <c r="DE491" t="s">
        <v>17980</v>
      </c>
      <c r="DF491" t="s">
        <v>17981</v>
      </c>
      <c r="DG491" t="s">
        <v>17982</v>
      </c>
      <c r="DH491" t="str">
        <f>"DSG1"</f>
        <v>DSG1</v>
      </c>
      <c r="DI491" t="s">
        <v>17983</v>
      </c>
      <c r="DJ491" t="s">
        <v>13777</v>
      </c>
      <c r="DK491">
        <v>9606</v>
      </c>
      <c r="DL491" s="34" t="str">
        <f>HYPERLINK("http://www.uniprot.org/uniprot/Q02413", "Q02413")</f>
        <v>Q02413</v>
      </c>
      <c r="DM491" t="s">
        <v>17984</v>
      </c>
      <c r="DN491" t="s">
        <v>13949</v>
      </c>
      <c r="DO491" t="s">
        <v>17424</v>
      </c>
      <c r="DP491" t="s">
        <v>13780</v>
      </c>
      <c r="DQ491" t="s">
        <v>13772</v>
      </c>
      <c r="DR491" t="s">
        <v>17985</v>
      </c>
      <c r="DS491" t="s">
        <v>13826</v>
      </c>
      <c r="DT491" t="s">
        <v>13873</v>
      </c>
      <c r="DU491" t="s">
        <v>13772</v>
      </c>
      <c r="DV491" t="s">
        <v>17425</v>
      </c>
      <c r="DW491" t="s">
        <v>13772</v>
      </c>
      <c r="DX491" t="s">
        <v>17986</v>
      </c>
      <c r="DY491" t="s">
        <v>17987</v>
      </c>
      <c r="DZ491" t="s">
        <v>17988</v>
      </c>
      <c r="EA491" t="s">
        <v>13772</v>
      </c>
      <c r="EB491" t="s">
        <v>17989</v>
      </c>
    </row>
    <row r="492" spans="1:132" hidden="1">
      <c r="A492">
        <v>933</v>
      </c>
      <c r="B492">
        <v>1</v>
      </c>
      <c r="C492" t="s">
        <v>2270</v>
      </c>
      <c r="D492" t="s">
        <v>73</v>
      </c>
      <c r="E492" t="s">
        <v>73</v>
      </c>
      <c r="F492" t="s">
        <v>73</v>
      </c>
      <c r="G492" t="s">
        <v>73</v>
      </c>
      <c r="H492">
        <v>72.400000000000006</v>
      </c>
      <c r="I492">
        <v>330</v>
      </c>
      <c r="J492">
        <v>36065</v>
      </c>
      <c r="K492" t="s">
        <v>2271</v>
      </c>
      <c r="L492">
        <f t="shared" si="30"/>
        <v>77</v>
      </c>
      <c r="N492">
        <v>77</v>
      </c>
      <c r="O492">
        <v>77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19</v>
      </c>
      <c r="Z492">
        <v>0</v>
      </c>
      <c r="AA492">
        <v>20</v>
      </c>
      <c r="AB492">
        <v>4</v>
      </c>
      <c r="AC492">
        <v>6</v>
      </c>
      <c r="AD492">
        <v>0</v>
      </c>
      <c r="AE492">
        <v>16</v>
      </c>
      <c r="AF492">
        <v>12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19</v>
      </c>
      <c r="AS492">
        <v>0</v>
      </c>
      <c r="AT492">
        <v>20</v>
      </c>
      <c r="AU492">
        <v>4</v>
      </c>
      <c r="AV492">
        <v>6</v>
      </c>
      <c r="AW492">
        <v>0</v>
      </c>
      <c r="AX492">
        <v>16</v>
      </c>
      <c r="AY492">
        <v>12</v>
      </c>
      <c r="AZ492">
        <v>0</v>
      </c>
      <c r="BA492">
        <v>0</v>
      </c>
      <c r="BB49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19</v>
      </c>
      <c r="BL492" s="2">
        <v>0</v>
      </c>
      <c r="BM492" s="2">
        <v>20</v>
      </c>
      <c r="BN492" s="2">
        <v>4</v>
      </c>
      <c r="BO492" s="2">
        <v>6</v>
      </c>
      <c r="BP492" s="2">
        <v>0</v>
      </c>
      <c r="BQ492" s="2">
        <v>16</v>
      </c>
      <c r="BR492" s="2">
        <v>12</v>
      </c>
      <c r="BS492" s="2">
        <v>0</v>
      </c>
      <c r="BT492" s="2">
        <v>0</v>
      </c>
      <c r="BU492" s="2">
        <v>0</v>
      </c>
      <c r="BV492" s="2">
        <f t="shared" si="33"/>
        <v>77</v>
      </c>
      <c r="BW492" s="16">
        <f t="shared" si="31"/>
        <v>4.0526315789473681</v>
      </c>
      <c r="BX492" s="16">
        <f>COUNTIF($BC$6:BU492, "=0") / COUNTIF($BC$6:BU492, "&gt;-1")</f>
        <v>0.12352750459310494</v>
      </c>
      <c r="BY492" s="18">
        <f>SUM($BC$6:BU492) / $BY$4</f>
        <v>0.84556825552983272</v>
      </c>
      <c r="BZ492" s="14">
        <f t="shared" si="32"/>
        <v>13</v>
      </c>
      <c r="CA492" t="s">
        <v>5831</v>
      </c>
      <c r="CB492" s="36">
        <v>0.30291084895868198</v>
      </c>
      <c r="CC492" s="36">
        <v>0.24076603016936199</v>
      </c>
      <c r="CD492" s="36">
        <v>0.40019941545306398</v>
      </c>
      <c r="CE492" s="36">
        <v>0.37798043978830698</v>
      </c>
      <c r="CF492" s="36">
        <v>0.215044089984223</v>
      </c>
      <c r="CG492" s="36">
        <v>0.23243181165987301</v>
      </c>
      <c r="CH492" s="36">
        <v>0.26351557071616</v>
      </c>
      <c r="CI492" s="36">
        <v>0.24329589949557701</v>
      </c>
      <c r="CJ492" s="37">
        <v>15.1004075716542</v>
      </c>
      <c r="CK492" s="37">
        <v>12.6129929377657</v>
      </c>
      <c r="CL492" s="37">
        <v>3.2002173930693698</v>
      </c>
      <c r="CM492" s="37">
        <v>5.0792822795996404</v>
      </c>
      <c r="CN492" s="37">
        <v>14.7006810530418</v>
      </c>
      <c r="CO492" s="37">
        <v>9.4702868446214996</v>
      </c>
      <c r="CP492" s="37">
        <v>0.377135011965606</v>
      </c>
      <c r="CQ492" s="37">
        <v>0.38065921161865401</v>
      </c>
      <c r="CR492" s="45">
        <v>4.3316239798708596</v>
      </c>
      <c r="CS492" s="45">
        <v>26.765292292661002</v>
      </c>
      <c r="CT492" s="46">
        <v>8.3531655710619601E-7</v>
      </c>
      <c r="CU492" s="47">
        <v>4.2335361871518597E-6</v>
      </c>
      <c r="CV492" s="48">
        <v>0.28451801327815601</v>
      </c>
      <c r="CW492" s="49">
        <v>7.6152077879170603</v>
      </c>
      <c r="CX492" s="31" t="s">
        <v>5874</v>
      </c>
      <c r="CY492" s="31" t="s">
        <v>5876</v>
      </c>
      <c r="CZ492" t="s">
        <v>8894</v>
      </c>
      <c r="DA492" t="s">
        <v>5904</v>
      </c>
      <c r="DB492">
        <v>644.4</v>
      </c>
      <c r="DC492" t="s">
        <v>22980</v>
      </c>
      <c r="DD492" t="s">
        <v>22981</v>
      </c>
      <c r="DE492" t="s">
        <v>22982</v>
      </c>
      <c r="DF492" t="s">
        <v>22983</v>
      </c>
      <c r="DG492" t="s">
        <v>22984</v>
      </c>
      <c r="DH492" t="str">
        <f>"PDLIM1"</f>
        <v>PDLIM1</v>
      </c>
      <c r="DI492" t="s">
        <v>22985</v>
      </c>
      <c r="DJ492" t="s">
        <v>13777</v>
      </c>
      <c r="DK492">
        <v>9606</v>
      </c>
      <c r="DL492" s="34" t="str">
        <f>HYPERLINK("http://www.uniprot.org/uniprot/O00151", "O00151")</f>
        <v>O00151</v>
      </c>
      <c r="DM492" t="s">
        <v>22986</v>
      </c>
      <c r="DN492" t="s">
        <v>13772</v>
      </c>
      <c r="DO492" t="s">
        <v>13988</v>
      </c>
      <c r="DP492" t="s">
        <v>13793</v>
      </c>
      <c r="DQ492" t="s">
        <v>13772</v>
      </c>
      <c r="DR492" t="s">
        <v>13772</v>
      </c>
      <c r="DS492" t="s">
        <v>14576</v>
      </c>
      <c r="DT492" t="s">
        <v>13856</v>
      </c>
      <c r="DU492" t="s">
        <v>13772</v>
      </c>
      <c r="DV492" t="s">
        <v>13886</v>
      </c>
      <c r="DW492" t="s">
        <v>13812</v>
      </c>
      <c r="DX492" t="s">
        <v>22987</v>
      </c>
      <c r="DY492" t="s">
        <v>22988</v>
      </c>
      <c r="DZ492" t="s">
        <v>22989</v>
      </c>
      <c r="EA492" t="s">
        <v>13772</v>
      </c>
      <c r="EB492" t="s">
        <v>13772</v>
      </c>
    </row>
    <row r="493" spans="1:132" hidden="1">
      <c r="A493">
        <v>1259</v>
      </c>
      <c r="B493">
        <v>1</v>
      </c>
      <c r="C493" t="s">
        <v>3015</v>
      </c>
      <c r="D493" t="s">
        <v>3016</v>
      </c>
      <c r="E493" t="s">
        <v>73</v>
      </c>
      <c r="F493" t="s">
        <v>73</v>
      </c>
      <c r="G493" t="s">
        <v>73</v>
      </c>
      <c r="H493">
        <v>25.7</v>
      </c>
      <c r="I493">
        <v>1264</v>
      </c>
      <c r="J493">
        <v>135611</v>
      </c>
      <c r="K493" t="s">
        <v>3017</v>
      </c>
      <c r="L493">
        <f t="shared" si="30"/>
        <v>77</v>
      </c>
      <c r="N493">
        <v>77</v>
      </c>
      <c r="O493">
        <v>77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6</v>
      </c>
      <c r="Z493">
        <v>0</v>
      </c>
      <c r="AA493">
        <v>10</v>
      </c>
      <c r="AB493">
        <v>1</v>
      </c>
      <c r="AC493">
        <v>5</v>
      </c>
      <c r="AD493">
        <v>0</v>
      </c>
      <c r="AE493">
        <v>40</v>
      </c>
      <c r="AF493">
        <v>10</v>
      </c>
      <c r="AG493">
        <v>0</v>
      </c>
      <c r="AH493">
        <v>1</v>
      </c>
      <c r="AI493">
        <v>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6</v>
      </c>
      <c r="AS493">
        <v>0</v>
      </c>
      <c r="AT493">
        <v>10</v>
      </c>
      <c r="AU493">
        <v>1</v>
      </c>
      <c r="AV493">
        <v>5</v>
      </c>
      <c r="AW493">
        <v>0</v>
      </c>
      <c r="AX493">
        <v>40</v>
      </c>
      <c r="AY493">
        <v>10</v>
      </c>
      <c r="AZ493">
        <v>0</v>
      </c>
      <c r="BA493">
        <v>1</v>
      </c>
      <c r="BB493">
        <v>3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</v>
      </c>
      <c r="BK493" s="2">
        <v>6</v>
      </c>
      <c r="BL493" s="2">
        <v>0</v>
      </c>
      <c r="BM493" s="2">
        <v>10</v>
      </c>
      <c r="BN493" s="2">
        <v>1</v>
      </c>
      <c r="BO493" s="2">
        <v>5</v>
      </c>
      <c r="BP493" s="2">
        <v>0</v>
      </c>
      <c r="BQ493" s="2">
        <v>40</v>
      </c>
      <c r="BR493" s="2">
        <v>10</v>
      </c>
      <c r="BS493" s="2">
        <v>0</v>
      </c>
      <c r="BT493" s="2">
        <v>1</v>
      </c>
      <c r="BU493" s="2">
        <v>3</v>
      </c>
      <c r="BV493" s="2">
        <f t="shared" si="33"/>
        <v>77</v>
      </c>
      <c r="BW493" s="16">
        <f t="shared" si="31"/>
        <v>4.0526315789473681</v>
      </c>
      <c r="BX493" s="16">
        <f>COUNTIF($BC$6:BU493, "=0") / COUNTIF($BC$6:BU493, "&gt;-1")</f>
        <v>0.12435289042277825</v>
      </c>
      <c r="BY493" s="18">
        <f>SUM($BC$6:BU493) / $BY$4</f>
        <v>0.84589809556872264</v>
      </c>
      <c r="BZ493" s="14">
        <f t="shared" si="32"/>
        <v>10</v>
      </c>
      <c r="CA493" t="s">
        <v>5831</v>
      </c>
      <c r="CB493" s="36">
        <v>0.30291084895868198</v>
      </c>
      <c r="CC493" s="36">
        <v>0.24076603016936199</v>
      </c>
      <c r="CD493" s="36">
        <v>0.40019941545306398</v>
      </c>
      <c r="CE493" s="36">
        <v>0.37798043978830698</v>
      </c>
      <c r="CF493" s="36">
        <v>0.215044089984223</v>
      </c>
      <c r="CG493" s="36">
        <v>0.23243181165987301</v>
      </c>
      <c r="CH493" s="36">
        <v>0.26351557071616</v>
      </c>
      <c r="CI493" s="36">
        <v>0.97318359798230603</v>
      </c>
      <c r="CJ493" s="37">
        <v>4.7685497594697397</v>
      </c>
      <c r="CK493" s="37">
        <v>6.3064964688828598</v>
      </c>
      <c r="CL493" s="37">
        <v>0.80005434826734301</v>
      </c>
      <c r="CM493" s="37">
        <v>4.2327352329997003</v>
      </c>
      <c r="CN493" s="37">
        <v>36.751702632604598</v>
      </c>
      <c r="CO493" s="37">
        <v>7.8919057038512497</v>
      </c>
      <c r="CP493" s="37">
        <v>0.377135011965606</v>
      </c>
      <c r="CQ493" s="37">
        <v>4.5679105394238499</v>
      </c>
      <c r="CR493" s="45">
        <v>4.0805068458269602</v>
      </c>
      <c r="CS493" s="45">
        <v>21.854888426158801</v>
      </c>
      <c r="CT493" s="46">
        <v>6.8846750273344904E-6</v>
      </c>
      <c r="CU493" s="47">
        <v>2.64703884671654E-5</v>
      </c>
      <c r="CV493" s="48">
        <v>0.37575397558899698</v>
      </c>
      <c r="CW493" s="49">
        <v>8.2120612121831105</v>
      </c>
      <c r="CX493" s="31" t="s">
        <v>5874</v>
      </c>
      <c r="CY493" s="31" t="s">
        <v>5876</v>
      </c>
      <c r="CZ493" t="s">
        <v>9923</v>
      </c>
      <c r="DA493" t="s">
        <v>5904</v>
      </c>
      <c r="DB493">
        <v>1726.8</v>
      </c>
      <c r="DC493" t="s">
        <v>25926</v>
      </c>
      <c r="DD493" t="s">
        <v>25927</v>
      </c>
      <c r="DE493" t="s">
        <v>25928</v>
      </c>
      <c r="DF493" t="s">
        <v>25929</v>
      </c>
      <c r="DG493" t="s">
        <v>25930</v>
      </c>
      <c r="DH493" t="str">
        <f>"SYNPO2"</f>
        <v>SYNPO2</v>
      </c>
      <c r="DI493" t="s">
        <v>13772</v>
      </c>
      <c r="DJ493" t="s">
        <v>13777</v>
      </c>
      <c r="DK493">
        <v>9606</v>
      </c>
      <c r="DL493" s="34" t="str">
        <f>HYPERLINK("http://www.uniprot.org/uniprot/Q9UMS6", "Q9UMS6")</f>
        <v>Q9UMS6</v>
      </c>
      <c r="DM493" t="s">
        <v>25931</v>
      </c>
      <c r="DN493" t="s">
        <v>13772</v>
      </c>
      <c r="DO493" t="s">
        <v>16593</v>
      </c>
      <c r="DP493" t="s">
        <v>14942</v>
      </c>
      <c r="DQ493" t="s">
        <v>13772</v>
      </c>
      <c r="DR493" t="s">
        <v>14505</v>
      </c>
      <c r="DS493" t="s">
        <v>13772</v>
      </c>
      <c r="DT493" t="s">
        <v>13772</v>
      </c>
      <c r="DU493" t="s">
        <v>14849</v>
      </c>
      <c r="DV493" t="s">
        <v>13782</v>
      </c>
      <c r="DW493" t="s">
        <v>13772</v>
      </c>
      <c r="DX493" t="s">
        <v>25932</v>
      </c>
      <c r="DY493" t="s">
        <v>25933</v>
      </c>
      <c r="DZ493" t="s">
        <v>25934</v>
      </c>
      <c r="EA493" t="s">
        <v>13772</v>
      </c>
      <c r="EB493" t="s">
        <v>13772</v>
      </c>
    </row>
    <row r="494" spans="1:132" hidden="1">
      <c r="A494">
        <v>1807</v>
      </c>
      <c r="B494">
        <v>1</v>
      </c>
      <c r="C494" t="s">
        <v>4272</v>
      </c>
      <c r="D494" t="s">
        <v>4273</v>
      </c>
      <c r="E494" t="s">
        <v>73</v>
      </c>
      <c r="F494" t="s">
        <v>73</v>
      </c>
      <c r="G494" t="s">
        <v>73</v>
      </c>
      <c r="H494">
        <v>31.2</v>
      </c>
      <c r="I494">
        <v>509</v>
      </c>
      <c r="J494">
        <v>55213</v>
      </c>
      <c r="K494" t="s">
        <v>4274</v>
      </c>
      <c r="L494">
        <f t="shared" si="30"/>
        <v>77</v>
      </c>
      <c r="N494">
        <v>77</v>
      </c>
      <c r="O494">
        <v>77</v>
      </c>
      <c r="P494">
        <v>1</v>
      </c>
      <c r="Q494">
        <v>5</v>
      </c>
      <c r="R494">
        <v>7</v>
      </c>
      <c r="S494">
        <v>10</v>
      </c>
      <c r="T494">
        <v>10</v>
      </c>
      <c r="U494">
        <v>8</v>
      </c>
      <c r="V494">
        <v>10</v>
      </c>
      <c r="W494">
        <v>10</v>
      </c>
      <c r="X494">
        <v>1</v>
      </c>
      <c r="Y494">
        <v>0</v>
      </c>
      <c r="Z494">
        <v>0</v>
      </c>
      <c r="AA494">
        <v>6</v>
      </c>
      <c r="AB494">
        <v>3</v>
      </c>
      <c r="AC494">
        <v>0</v>
      </c>
      <c r="AD494">
        <v>0</v>
      </c>
      <c r="AE494">
        <v>2</v>
      </c>
      <c r="AF494">
        <v>4</v>
      </c>
      <c r="AG494">
        <v>0</v>
      </c>
      <c r="AH494">
        <v>1</v>
      </c>
      <c r="AI494">
        <v>0</v>
      </c>
      <c r="AJ494">
        <v>5</v>
      </c>
      <c r="AK494">
        <v>7</v>
      </c>
      <c r="AL494">
        <v>10</v>
      </c>
      <c r="AM494">
        <v>10</v>
      </c>
      <c r="AN494">
        <v>8</v>
      </c>
      <c r="AO494">
        <v>10</v>
      </c>
      <c r="AP494">
        <v>10</v>
      </c>
      <c r="AQ494">
        <v>1</v>
      </c>
      <c r="AR494">
        <v>0</v>
      </c>
      <c r="AS494">
        <v>0</v>
      </c>
      <c r="AT494">
        <v>6</v>
      </c>
      <c r="AU494">
        <v>3</v>
      </c>
      <c r="AV494">
        <v>0</v>
      </c>
      <c r="AW494">
        <v>0</v>
      </c>
      <c r="AX494">
        <v>2</v>
      </c>
      <c r="AY494">
        <v>4</v>
      </c>
      <c r="AZ494">
        <v>0</v>
      </c>
      <c r="BA494">
        <v>1</v>
      </c>
      <c r="BB494">
        <v>0</v>
      </c>
      <c r="BC494" s="2">
        <v>5</v>
      </c>
      <c r="BD494" s="2">
        <v>7</v>
      </c>
      <c r="BE494" s="2">
        <v>10</v>
      </c>
      <c r="BF494" s="2">
        <v>10</v>
      </c>
      <c r="BG494" s="2">
        <v>8</v>
      </c>
      <c r="BH494" s="2">
        <v>10</v>
      </c>
      <c r="BI494" s="2">
        <v>10</v>
      </c>
      <c r="BJ494" s="2">
        <v>1</v>
      </c>
      <c r="BK494" s="2">
        <v>0</v>
      </c>
      <c r="BL494" s="2">
        <v>0</v>
      </c>
      <c r="BM494" s="2">
        <v>6</v>
      </c>
      <c r="BN494" s="2">
        <v>3</v>
      </c>
      <c r="BO494" s="2">
        <v>0</v>
      </c>
      <c r="BP494" s="2">
        <v>0</v>
      </c>
      <c r="BQ494" s="2">
        <v>2</v>
      </c>
      <c r="BR494" s="2">
        <v>4</v>
      </c>
      <c r="BS494" s="2">
        <v>0</v>
      </c>
      <c r="BT494" s="2">
        <v>1</v>
      </c>
      <c r="BU494" s="2">
        <v>0</v>
      </c>
      <c r="BV494" s="2">
        <f t="shared" si="33"/>
        <v>77</v>
      </c>
      <c r="BW494" s="16">
        <f t="shared" si="31"/>
        <v>4.0526315789473681</v>
      </c>
      <c r="BX494" s="16">
        <f>COUNTIF($BC$6:BU494, "=0") / COUNTIF($BC$6:BU494, "&gt;-1")</f>
        <v>0.12474437627811862</v>
      </c>
      <c r="BY494" s="18">
        <f>SUM($BC$6:BU494) / $BY$4</f>
        <v>0.84622793560761256</v>
      </c>
      <c r="BZ494" s="14">
        <f t="shared" si="32"/>
        <v>6</v>
      </c>
      <c r="CA494" t="s">
        <v>5831</v>
      </c>
      <c r="CB494" s="36">
        <v>6.0582169791736504</v>
      </c>
      <c r="CC494" s="36">
        <v>6.7414488447421297</v>
      </c>
      <c r="CD494" s="36">
        <v>16.007976618122601</v>
      </c>
      <c r="CE494" s="36">
        <v>15.119217591532299</v>
      </c>
      <c r="CF494" s="36">
        <v>6.8814108794951396</v>
      </c>
      <c r="CG494" s="36">
        <v>9.2972724663949098</v>
      </c>
      <c r="CH494" s="36">
        <v>10.5406228286464</v>
      </c>
      <c r="CI494" s="36">
        <v>0.97318359798230603</v>
      </c>
      <c r="CJ494" s="37">
        <v>0.19868957331123899</v>
      </c>
      <c r="CK494" s="37">
        <v>3.7838978813297102</v>
      </c>
      <c r="CL494" s="37">
        <v>2.4001630448020301</v>
      </c>
      <c r="CM494" s="37">
        <v>0.21163676164998499</v>
      </c>
      <c r="CN494" s="37">
        <v>1.8375851316302301</v>
      </c>
      <c r="CO494" s="37">
        <v>3.1567622815404999</v>
      </c>
      <c r="CP494" s="37">
        <v>0.377135011965606</v>
      </c>
      <c r="CQ494" s="37">
        <v>0.38065921161865401</v>
      </c>
      <c r="CR494" s="45">
        <v>-2.2779461371678802</v>
      </c>
      <c r="CS494" s="45">
        <v>-5.8007680052142403</v>
      </c>
      <c r="CT494" s="46">
        <v>2.1718101404393601E-5</v>
      </c>
      <c r="CU494" s="47">
        <v>7.1927771482867896E-5</v>
      </c>
      <c r="CV494" s="48">
        <v>8.9524187257611807</v>
      </c>
      <c r="CW494" s="49">
        <v>1.54331611223099</v>
      </c>
      <c r="CX494" s="31" t="s">
        <v>5875</v>
      </c>
      <c r="CY494" s="31" t="s">
        <v>5876</v>
      </c>
      <c r="CZ494" t="s">
        <v>11777</v>
      </c>
      <c r="DA494" t="s">
        <v>5904</v>
      </c>
      <c r="DB494">
        <v>899.4</v>
      </c>
      <c r="DC494" t="s">
        <v>31152</v>
      </c>
      <c r="DD494" t="s">
        <v>31153</v>
      </c>
      <c r="DE494" t="s">
        <v>31154</v>
      </c>
      <c r="DF494" t="s">
        <v>31155</v>
      </c>
      <c r="DG494" t="s">
        <v>31156</v>
      </c>
      <c r="DH494" t="str">
        <f>"NECTIN4"</f>
        <v>NECTIN4</v>
      </c>
      <c r="DI494" t="s">
        <v>13772</v>
      </c>
      <c r="DJ494" t="s">
        <v>13777</v>
      </c>
      <c r="DK494">
        <v>9606</v>
      </c>
      <c r="DL494" s="34" t="str">
        <f>HYPERLINK("http://www.uniprot.org/uniprot/Q96NY8", "Q96NY8")</f>
        <v>Q96NY8</v>
      </c>
      <c r="DM494" t="s">
        <v>31157</v>
      </c>
      <c r="DN494" t="s">
        <v>16592</v>
      </c>
      <c r="DO494" t="s">
        <v>20839</v>
      </c>
      <c r="DP494" t="s">
        <v>13780</v>
      </c>
      <c r="DQ494" t="s">
        <v>13772</v>
      </c>
      <c r="DR494" t="s">
        <v>19583</v>
      </c>
      <c r="DS494" t="s">
        <v>13951</v>
      </c>
      <c r="DT494" t="s">
        <v>13772</v>
      </c>
      <c r="DU494" t="s">
        <v>18791</v>
      </c>
      <c r="DV494" t="s">
        <v>13796</v>
      </c>
      <c r="DW494" t="s">
        <v>13812</v>
      </c>
      <c r="DX494" t="s">
        <v>31158</v>
      </c>
      <c r="DY494" t="s">
        <v>31159</v>
      </c>
      <c r="DZ494" t="s">
        <v>31160</v>
      </c>
      <c r="EA494" t="s">
        <v>13772</v>
      </c>
      <c r="EB494" t="s">
        <v>18872</v>
      </c>
    </row>
    <row r="495" spans="1:132" hidden="1">
      <c r="A495">
        <v>518</v>
      </c>
      <c r="B495">
        <v>1</v>
      </c>
      <c r="C495" t="s">
        <v>1306</v>
      </c>
      <c r="D495" t="s">
        <v>73</v>
      </c>
      <c r="E495" t="s">
        <v>73</v>
      </c>
      <c r="F495" t="s">
        <v>73</v>
      </c>
      <c r="G495" t="s">
        <v>73</v>
      </c>
      <c r="H495">
        <v>35.6</v>
      </c>
      <c r="I495">
        <v>337</v>
      </c>
      <c r="J495">
        <v>37654</v>
      </c>
      <c r="K495" t="s">
        <v>1307</v>
      </c>
      <c r="L495">
        <f t="shared" si="30"/>
        <v>76</v>
      </c>
      <c r="N495">
        <v>76</v>
      </c>
      <c r="O495">
        <v>76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2</v>
      </c>
      <c r="V495">
        <v>0</v>
      </c>
      <c r="W495">
        <v>0</v>
      </c>
      <c r="X495">
        <v>5</v>
      </c>
      <c r="Y495">
        <v>9</v>
      </c>
      <c r="Z495">
        <v>3</v>
      </c>
      <c r="AA495">
        <v>10</v>
      </c>
      <c r="AB495">
        <v>12</v>
      </c>
      <c r="AC495">
        <v>15</v>
      </c>
      <c r="AD495">
        <v>3</v>
      </c>
      <c r="AE495">
        <v>4</v>
      </c>
      <c r="AF495">
        <v>3</v>
      </c>
      <c r="AG495">
        <v>5</v>
      </c>
      <c r="AH495">
        <v>0</v>
      </c>
      <c r="AI495">
        <v>4</v>
      </c>
      <c r="AJ495">
        <v>0</v>
      </c>
      <c r="AK495">
        <v>1</v>
      </c>
      <c r="AL495">
        <v>0</v>
      </c>
      <c r="AM495">
        <v>0</v>
      </c>
      <c r="AN495">
        <v>2</v>
      </c>
      <c r="AO495">
        <v>0</v>
      </c>
      <c r="AP495">
        <v>0</v>
      </c>
      <c r="AQ495">
        <v>5</v>
      </c>
      <c r="AR495">
        <v>9</v>
      </c>
      <c r="AS495">
        <v>3</v>
      </c>
      <c r="AT495">
        <v>10</v>
      </c>
      <c r="AU495">
        <v>12</v>
      </c>
      <c r="AV495">
        <v>15</v>
      </c>
      <c r="AW495">
        <v>3</v>
      </c>
      <c r="AX495">
        <v>4</v>
      </c>
      <c r="AY495">
        <v>3</v>
      </c>
      <c r="AZ495">
        <v>5</v>
      </c>
      <c r="BA495">
        <v>0</v>
      </c>
      <c r="BB495">
        <v>4</v>
      </c>
      <c r="BC495" s="2">
        <v>0</v>
      </c>
      <c r="BD495" s="2">
        <v>1</v>
      </c>
      <c r="BE495" s="2">
        <v>0</v>
      </c>
      <c r="BF495" s="2">
        <v>0</v>
      </c>
      <c r="BG495" s="2">
        <v>2</v>
      </c>
      <c r="BH495" s="2">
        <v>0</v>
      </c>
      <c r="BI495" s="2">
        <v>0</v>
      </c>
      <c r="BJ495" s="2">
        <v>5</v>
      </c>
      <c r="BK495" s="2">
        <v>9</v>
      </c>
      <c r="BL495" s="2">
        <v>3</v>
      </c>
      <c r="BM495" s="2">
        <v>10</v>
      </c>
      <c r="BN495" s="2">
        <v>12</v>
      </c>
      <c r="BO495" s="2">
        <v>15</v>
      </c>
      <c r="BP495" s="2">
        <v>3</v>
      </c>
      <c r="BQ495" s="2">
        <v>4</v>
      </c>
      <c r="BR495" s="2">
        <v>3</v>
      </c>
      <c r="BS495" s="2">
        <v>5</v>
      </c>
      <c r="BT495" s="2">
        <v>0</v>
      </c>
      <c r="BU495" s="2">
        <v>4</v>
      </c>
      <c r="BV495" s="2">
        <f t="shared" si="33"/>
        <v>76</v>
      </c>
      <c r="BW495" s="16">
        <f t="shared" si="31"/>
        <v>4</v>
      </c>
      <c r="BX495" s="16">
        <f>COUNTIF($BC$6:BU495, "=0") / COUNTIF($BC$6:BU495, "&gt;-1")</f>
        <v>0.1251342642320086</v>
      </c>
      <c r="BY495" s="18">
        <f>SUM($BC$6:BU495) / $BY$4</f>
        <v>0.84655349200963381</v>
      </c>
      <c r="BZ495" s="14">
        <f t="shared" si="32"/>
        <v>6</v>
      </c>
      <c r="CA495" t="s">
        <v>5831</v>
      </c>
      <c r="CB495" s="36">
        <v>0.30291084895868198</v>
      </c>
      <c r="CC495" s="36">
        <v>0.96306412067744696</v>
      </c>
      <c r="CD495" s="36">
        <v>0.40019941545306398</v>
      </c>
      <c r="CE495" s="36">
        <v>0.37798043978830698</v>
      </c>
      <c r="CF495" s="36">
        <v>1.72035271987378</v>
      </c>
      <c r="CG495" s="36">
        <v>0.23243181165987301</v>
      </c>
      <c r="CH495" s="36">
        <v>0.26351557071616</v>
      </c>
      <c r="CI495" s="36">
        <v>4.8659179899115301</v>
      </c>
      <c r="CJ495" s="37">
        <v>7.1528246392046197</v>
      </c>
      <c r="CK495" s="37">
        <v>6.3064964688828598</v>
      </c>
      <c r="CL495" s="37">
        <v>9.6006521792081099</v>
      </c>
      <c r="CM495" s="37">
        <v>12.6982056989991</v>
      </c>
      <c r="CN495" s="37">
        <v>3.6751702632604601</v>
      </c>
      <c r="CO495" s="37">
        <v>2.36757171115537</v>
      </c>
      <c r="CP495" s="37">
        <v>7.5427002393121096</v>
      </c>
      <c r="CQ495" s="37">
        <v>6.0905473858984696</v>
      </c>
      <c r="CR495" s="45">
        <v>2.3802311903382201</v>
      </c>
      <c r="CS495" s="45">
        <v>6.0740634959619104</v>
      </c>
      <c r="CT495" s="46">
        <v>2.7078020561338999E-5</v>
      </c>
      <c r="CU495" s="47">
        <v>8.7092287286229703E-5</v>
      </c>
      <c r="CV495" s="48">
        <v>1.14079661462986</v>
      </c>
      <c r="CW495" s="49">
        <v>6.9292710732401401</v>
      </c>
      <c r="CX495" s="31" t="s">
        <v>5874</v>
      </c>
      <c r="CY495" s="31" t="s">
        <v>5876</v>
      </c>
      <c r="CZ495" t="s">
        <v>7510</v>
      </c>
      <c r="DA495" t="s">
        <v>5904</v>
      </c>
      <c r="DB495">
        <v>670.2</v>
      </c>
      <c r="DC495" t="s">
        <v>18895</v>
      </c>
      <c r="DD495" t="s">
        <v>13772</v>
      </c>
      <c r="DE495" t="s">
        <v>18896</v>
      </c>
      <c r="DF495" t="s">
        <v>18897</v>
      </c>
      <c r="DG495" t="s">
        <v>18898</v>
      </c>
      <c r="DH495" t="str">
        <f>"TALDO1"</f>
        <v>TALDO1</v>
      </c>
      <c r="DI495" t="s">
        <v>18899</v>
      </c>
      <c r="DJ495" t="s">
        <v>13777</v>
      </c>
      <c r="DK495">
        <v>9606</v>
      </c>
      <c r="DL495" s="34" t="str">
        <f>HYPERLINK("http://www.uniprot.org/uniprot/P37837", "P37837")</f>
        <v>P37837</v>
      </c>
      <c r="DM495" t="s">
        <v>18900</v>
      </c>
      <c r="DN495" t="s">
        <v>18901</v>
      </c>
      <c r="DO495" t="s">
        <v>13899</v>
      </c>
      <c r="DP495" t="s">
        <v>13772</v>
      </c>
      <c r="DQ495" t="s">
        <v>13772</v>
      </c>
      <c r="DR495" t="s">
        <v>13807</v>
      </c>
      <c r="DS495" t="s">
        <v>13772</v>
      </c>
      <c r="DT495" t="s">
        <v>18902</v>
      </c>
      <c r="DU495" t="s">
        <v>14111</v>
      </c>
      <c r="DV495" t="s">
        <v>13886</v>
      </c>
      <c r="DW495" t="s">
        <v>13812</v>
      </c>
      <c r="DX495" t="s">
        <v>18903</v>
      </c>
      <c r="DY495" t="s">
        <v>16331</v>
      </c>
      <c r="DZ495" t="s">
        <v>18904</v>
      </c>
      <c r="EA495" t="s">
        <v>18905</v>
      </c>
      <c r="EB495" t="s">
        <v>18906</v>
      </c>
    </row>
    <row r="496" spans="1:132" hidden="1">
      <c r="A496">
        <v>1240</v>
      </c>
      <c r="B496">
        <v>1</v>
      </c>
      <c r="C496" t="s">
        <v>2974</v>
      </c>
      <c r="D496" t="s">
        <v>2975</v>
      </c>
      <c r="E496" t="s">
        <v>73</v>
      </c>
      <c r="F496" t="s">
        <v>73</v>
      </c>
      <c r="G496" t="s">
        <v>73</v>
      </c>
      <c r="H496">
        <v>45</v>
      </c>
      <c r="I496">
        <v>262</v>
      </c>
      <c r="J496">
        <v>28756</v>
      </c>
      <c r="K496" t="s">
        <v>2976</v>
      </c>
      <c r="L496">
        <f t="shared" si="30"/>
        <v>76</v>
      </c>
      <c r="N496">
        <v>76</v>
      </c>
      <c r="O496">
        <v>76</v>
      </c>
      <c r="P496">
        <v>1</v>
      </c>
      <c r="Q496">
        <v>5</v>
      </c>
      <c r="R496">
        <v>0</v>
      </c>
      <c r="S496">
        <v>2</v>
      </c>
      <c r="T496">
        <v>0</v>
      </c>
      <c r="U496">
        <v>5</v>
      </c>
      <c r="V496">
        <v>4</v>
      </c>
      <c r="W496">
        <v>15</v>
      </c>
      <c r="X496">
        <v>16</v>
      </c>
      <c r="Y496">
        <v>8</v>
      </c>
      <c r="Z496">
        <v>0</v>
      </c>
      <c r="AA496">
        <v>4</v>
      </c>
      <c r="AB496">
        <v>4</v>
      </c>
      <c r="AC496">
        <v>6</v>
      </c>
      <c r="AD496">
        <v>1</v>
      </c>
      <c r="AE496">
        <v>1</v>
      </c>
      <c r="AF496">
        <v>1</v>
      </c>
      <c r="AG496">
        <v>3</v>
      </c>
      <c r="AH496">
        <v>1</v>
      </c>
      <c r="AI496">
        <v>0</v>
      </c>
      <c r="AJ496">
        <v>5</v>
      </c>
      <c r="AK496">
        <v>0</v>
      </c>
      <c r="AL496">
        <v>2</v>
      </c>
      <c r="AM496">
        <v>0</v>
      </c>
      <c r="AN496">
        <v>5</v>
      </c>
      <c r="AO496">
        <v>4</v>
      </c>
      <c r="AP496">
        <v>15</v>
      </c>
      <c r="AQ496">
        <v>16</v>
      </c>
      <c r="AR496">
        <v>8</v>
      </c>
      <c r="AS496">
        <v>0</v>
      </c>
      <c r="AT496">
        <v>4</v>
      </c>
      <c r="AU496">
        <v>4</v>
      </c>
      <c r="AV496">
        <v>6</v>
      </c>
      <c r="AW496">
        <v>1</v>
      </c>
      <c r="AX496">
        <v>1</v>
      </c>
      <c r="AY496">
        <v>1</v>
      </c>
      <c r="AZ496">
        <v>3</v>
      </c>
      <c r="BA496">
        <v>1</v>
      </c>
      <c r="BB496">
        <v>0</v>
      </c>
      <c r="BC496" s="2">
        <v>5</v>
      </c>
      <c r="BD496" s="2">
        <v>0</v>
      </c>
      <c r="BE496" s="2">
        <v>2</v>
      </c>
      <c r="BF496" s="2">
        <v>0</v>
      </c>
      <c r="BG496" s="2">
        <v>5</v>
      </c>
      <c r="BH496" s="2">
        <v>4</v>
      </c>
      <c r="BI496" s="2">
        <v>15</v>
      </c>
      <c r="BJ496" s="2">
        <v>16</v>
      </c>
      <c r="BK496" s="2">
        <v>8</v>
      </c>
      <c r="BL496" s="2">
        <v>0</v>
      </c>
      <c r="BM496" s="2">
        <v>4</v>
      </c>
      <c r="BN496" s="2">
        <v>4</v>
      </c>
      <c r="BO496" s="2">
        <v>6</v>
      </c>
      <c r="BP496" s="2">
        <v>1</v>
      </c>
      <c r="BQ496" s="2">
        <v>1</v>
      </c>
      <c r="BR496" s="2">
        <v>1</v>
      </c>
      <c r="BS496" s="2">
        <v>3</v>
      </c>
      <c r="BT496" s="2">
        <v>1</v>
      </c>
      <c r="BU496" s="2">
        <v>0</v>
      </c>
      <c r="BV496" s="2">
        <f t="shared" si="33"/>
        <v>76</v>
      </c>
      <c r="BW496" s="16">
        <f t="shared" si="31"/>
        <v>4</v>
      </c>
      <c r="BX496" s="16">
        <f>COUNTIF($BC$6:BU496, "=0") / COUNTIF($BC$6:BU496, "&gt;-1")</f>
        <v>0.12530817879729875</v>
      </c>
      <c r="BY496" s="18">
        <f>SUM($BC$6:BU496) / $BY$4</f>
        <v>0.84687904841165507</v>
      </c>
      <c r="BZ496" s="14">
        <f t="shared" si="32"/>
        <v>4</v>
      </c>
      <c r="CA496" t="s">
        <v>5831</v>
      </c>
      <c r="CB496" s="36">
        <v>6.0582169791736504</v>
      </c>
      <c r="CC496" s="36">
        <v>0.24076603016936199</v>
      </c>
      <c r="CD496" s="36">
        <v>3.2015953236245198</v>
      </c>
      <c r="CE496" s="36">
        <v>0.37798043978830698</v>
      </c>
      <c r="CF496" s="36">
        <v>4.3008817996844604</v>
      </c>
      <c r="CG496" s="36">
        <v>3.7189089865579601</v>
      </c>
      <c r="CH496" s="36">
        <v>15.8109342429696</v>
      </c>
      <c r="CI496" s="36">
        <v>15.5709375677169</v>
      </c>
      <c r="CJ496" s="37">
        <v>6.35806634595966</v>
      </c>
      <c r="CK496" s="37">
        <v>2.5225985875531398</v>
      </c>
      <c r="CL496" s="37">
        <v>3.2002173930693698</v>
      </c>
      <c r="CM496" s="37">
        <v>5.0792822795996404</v>
      </c>
      <c r="CN496" s="37">
        <v>0.91879256581511404</v>
      </c>
      <c r="CO496" s="37">
        <v>0.78919057038512497</v>
      </c>
      <c r="CP496" s="37">
        <v>4.5256201435872701</v>
      </c>
      <c r="CQ496" s="37">
        <v>0.38065921161865401</v>
      </c>
      <c r="CR496" s="45">
        <v>-1.0272869939123701</v>
      </c>
      <c r="CS496" s="45">
        <v>-2.0728247695476298</v>
      </c>
      <c r="CT496" s="46">
        <v>0.116139299981509</v>
      </c>
      <c r="CU496" s="47">
        <v>0.161532623051205</v>
      </c>
      <c r="CV496" s="48">
        <v>6.1600276712106004</v>
      </c>
      <c r="CW496" s="49">
        <v>2.9718033871984999</v>
      </c>
      <c r="CX496" s="31" t="s">
        <v>5875</v>
      </c>
      <c r="CY496" s="31" t="s">
        <v>5832</v>
      </c>
      <c r="CZ496" t="s">
        <v>9864</v>
      </c>
      <c r="DA496" t="s">
        <v>5904</v>
      </c>
      <c r="DB496">
        <v>479.6</v>
      </c>
      <c r="DC496" t="s">
        <v>25748</v>
      </c>
      <c r="DD496" t="s">
        <v>25749</v>
      </c>
      <c r="DE496" t="s">
        <v>25750</v>
      </c>
      <c r="DF496" t="s">
        <v>25751</v>
      </c>
      <c r="DG496" t="s">
        <v>25752</v>
      </c>
      <c r="DH496" t="str">
        <f>"PRDX3"</f>
        <v>PRDX3</v>
      </c>
      <c r="DI496" t="s">
        <v>25753</v>
      </c>
      <c r="DJ496" t="s">
        <v>13777</v>
      </c>
      <c r="DK496">
        <v>9606</v>
      </c>
      <c r="DL496" s="34" t="str">
        <f>HYPERLINK("http://www.uniprot.org/uniprot/P30048", "P30048")</f>
        <v>P30048</v>
      </c>
      <c r="DM496" t="s">
        <v>25754</v>
      </c>
      <c r="DN496" t="s">
        <v>13772</v>
      </c>
      <c r="DO496" t="s">
        <v>25755</v>
      </c>
      <c r="DP496" t="s">
        <v>13780</v>
      </c>
      <c r="DQ496" t="s">
        <v>13772</v>
      </c>
      <c r="DR496" t="s">
        <v>13772</v>
      </c>
      <c r="DS496" t="s">
        <v>17158</v>
      </c>
      <c r="DT496" t="s">
        <v>13772</v>
      </c>
      <c r="DU496" t="s">
        <v>18755</v>
      </c>
      <c r="DV496" t="s">
        <v>15256</v>
      </c>
      <c r="DW496" t="s">
        <v>13812</v>
      </c>
      <c r="DX496" t="s">
        <v>25756</v>
      </c>
      <c r="DY496" t="s">
        <v>25757</v>
      </c>
      <c r="DZ496" t="s">
        <v>25758</v>
      </c>
      <c r="EA496" t="s">
        <v>13772</v>
      </c>
      <c r="EB496" t="s">
        <v>17385</v>
      </c>
    </row>
    <row r="497" spans="1:132" hidden="1">
      <c r="A497">
        <v>1137</v>
      </c>
      <c r="B497">
        <v>1</v>
      </c>
      <c r="C497" t="s">
        <v>2738</v>
      </c>
      <c r="D497" t="s">
        <v>73</v>
      </c>
      <c r="E497" t="s">
        <v>73</v>
      </c>
      <c r="F497" t="s">
        <v>2739</v>
      </c>
      <c r="G497" t="s">
        <v>73</v>
      </c>
      <c r="H497">
        <v>24.5</v>
      </c>
      <c r="I497">
        <v>1202</v>
      </c>
      <c r="J497">
        <v>135119</v>
      </c>
      <c r="K497" t="s">
        <v>2740</v>
      </c>
      <c r="L497">
        <f t="shared" si="30"/>
        <v>79</v>
      </c>
      <c r="N497">
        <v>79</v>
      </c>
      <c r="O497">
        <v>70</v>
      </c>
      <c r="P497">
        <v>0.88600000000000001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</v>
      </c>
      <c r="X497">
        <v>1</v>
      </c>
      <c r="Y497">
        <v>7</v>
      </c>
      <c r="Z497">
        <v>0</v>
      </c>
      <c r="AA497">
        <v>11</v>
      </c>
      <c r="AB497">
        <v>3</v>
      </c>
      <c r="AC497">
        <v>4</v>
      </c>
      <c r="AD497">
        <v>0</v>
      </c>
      <c r="AE497">
        <v>40</v>
      </c>
      <c r="AF497">
        <v>9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</v>
      </c>
      <c r="AQ497">
        <v>0</v>
      </c>
      <c r="AR497">
        <v>6</v>
      </c>
      <c r="AS497">
        <v>0</v>
      </c>
      <c r="AT497">
        <v>10</v>
      </c>
      <c r="AU497">
        <v>2</v>
      </c>
      <c r="AV497">
        <v>3</v>
      </c>
      <c r="AW497">
        <v>0</v>
      </c>
      <c r="AX497">
        <v>39</v>
      </c>
      <c r="AY497">
        <v>8</v>
      </c>
      <c r="AZ497">
        <v>0</v>
      </c>
      <c r="BA497">
        <v>0</v>
      </c>
      <c r="BB497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2.4</v>
      </c>
      <c r="BJ497" s="2">
        <v>0</v>
      </c>
      <c r="BK497" s="2">
        <v>6.75</v>
      </c>
      <c r="BL497" s="2">
        <v>0</v>
      </c>
      <c r="BM497" s="2">
        <v>10.769</v>
      </c>
      <c r="BN497" s="2">
        <v>3</v>
      </c>
      <c r="BO497" s="2">
        <v>4</v>
      </c>
      <c r="BP497" s="2">
        <v>0</v>
      </c>
      <c r="BQ497" s="2">
        <v>39.765000000000001</v>
      </c>
      <c r="BR497" s="2">
        <v>8.8000000000000007</v>
      </c>
      <c r="BS497" s="2">
        <v>0.5</v>
      </c>
      <c r="BT497" s="2">
        <v>0</v>
      </c>
      <c r="BU497" s="2">
        <v>0</v>
      </c>
      <c r="BV497" s="2">
        <f t="shared" si="33"/>
        <v>75.983999999999995</v>
      </c>
      <c r="BW497" s="16">
        <f t="shared" si="31"/>
        <v>3.9991578947368418</v>
      </c>
      <c r="BX497" s="16">
        <f>COUNTIF($BC$6:BU497, "=0") / COUNTIF($BC$6:BU497, "&gt;-1")</f>
        <v>0.12623020967051776</v>
      </c>
      <c r="BY497" s="18">
        <f>SUM($BC$6:BU497) / $BY$4</f>
        <v>0.84720453627548642</v>
      </c>
      <c r="BZ497" s="14">
        <f t="shared" si="32"/>
        <v>11</v>
      </c>
      <c r="CA497" t="s">
        <v>5831</v>
      </c>
      <c r="CB497" s="36">
        <v>0.30291084895868198</v>
      </c>
      <c r="CC497" s="36">
        <v>0.24076603016936199</v>
      </c>
      <c r="CD497" s="36">
        <v>0.40019941545306398</v>
      </c>
      <c r="CE497" s="36">
        <v>0.37798043978830698</v>
      </c>
      <c r="CF497" s="36">
        <v>0.215044089984223</v>
      </c>
      <c r="CG497" s="36">
        <v>0.23243181165987301</v>
      </c>
      <c r="CH497" s="36">
        <v>2.5297494788751398</v>
      </c>
      <c r="CI497" s="36">
        <v>0.24329589949557701</v>
      </c>
      <c r="CJ497" s="37">
        <v>5.4043563940657098</v>
      </c>
      <c r="CK497" s="37">
        <v>6.8110161863934904</v>
      </c>
      <c r="CL497" s="37">
        <v>2.4001630448020301</v>
      </c>
      <c r="CM497" s="37">
        <v>3.3861881863997598</v>
      </c>
      <c r="CN497" s="37">
        <v>36.567944119441499</v>
      </c>
      <c r="CO497" s="37">
        <v>6.9448770193891001</v>
      </c>
      <c r="CP497" s="37">
        <v>0.75427002393121101</v>
      </c>
      <c r="CQ497" s="37">
        <v>0.38065921161865401</v>
      </c>
      <c r="CR497" s="45">
        <v>3.5461745400761502</v>
      </c>
      <c r="CS497" s="45">
        <v>13.792219403063999</v>
      </c>
      <c r="CT497" s="46">
        <v>1.10713159402346E-4</v>
      </c>
      <c r="CU497" s="47">
        <v>3.0861293183403999E-4</v>
      </c>
      <c r="CV497" s="48">
        <v>0.56779725179802798</v>
      </c>
      <c r="CW497" s="49">
        <v>7.8311842732551904</v>
      </c>
      <c r="CX497" s="31" t="s">
        <v>5874</v>
      </c>
      <c r="CY497" s="31" t="s">
        <v>5876</v>
      </c>
      <c r="CZ497" t="s">
        <v>9514</v>
      </c>
      <c r="DA497" t="s">
        <v>5904</v>
      </c>
      <c r="DB497">
        <v>2158.3000000000002</v>
      </c>
      <c r="DC497" t="s">
        <v>24747</v>
      </c>
      <c r="DD497" t="s">
        <v>24748</v>
      </c>
      <c r="DE497" t="s">
        <v>24749</v>
      </c>
      <c r="DF497" t="s">
        <v>24750</v>
      </c>
      <c r="DG497" t="s">
        <v>24751</v>
      </c>
      <c r="DH497" t="str">
        <f>"MYBPC1"</f>
        <v>MYBPC1</v>
      </c>
      <c r="DI497" t="s">
        <v>24752</v>
      </c>
      <c r="DJ497" t="s">
        <v>13777</v>
      </c>
      <c r="DK497">
        <v>9606</v>
      </c>
      <c r="DL497" s="34" t="str">
        <f>HYPERLINK("http://www.uniprot.org/uniprot/Q00872", "Q00872")</f>
        <v>Q00872</v>
      </c>
      <c r="DM497" t="s">
        <v>24753</v>
      </c>
      <c r="DN497" t="s">
        <v>13949</v>
      </c>
      <c r="DO497" t="s">
        <v>24754</v>
      </c>
      <c r="DP497" t="s">
        <v>13780</v>
      </c>
      <c r="DQ497" t="s">
        <v>13772</v>
      </c>
      <c r="DR497" t="s">
        <v>13807</v>
      </c>
      <c r="DS497" t="s">
        <v>15552</v>
      </c>
      <c r="DT497" t="s">
        <v>13772</v>
      </c>
      <c r="DU497" t="s">
        <v>14849</v>
      </c>
      <c r="DV497" t="s">
        <v>13782</v>
      </c>
      <c r="DW497" t="s">
        <v>13812</v>
      </c>
      <c r="DX497" t="s">
        <v>24755</v>
      </c>
      <c r="DY497" t="s">
        <v>24756</v>
      </c>
      <c r="DZ497" t="s">
        <v>24757</v>
      </c>
      <c r="EA497" t="s">
        <v>13772</v>
      </c>
      <c r="EB497" t="s">
        <v>15657</v>
      </c>
    </row>
    <row r="498" spans="1:132" hidden="1">
      <c r="A498">
        <v>118</v>
      </c>
      <c r="B498">
        <v>1</v>
      </c>
      <c r="C498" t="s">
        <v>308</v>
      </c>
      <c r="D498" t="s">
        <v>73</v>
      </c>
      <c r="E498" t="s">
        <v>73</v>
      </c>
      <c r="F498" t="s">
        <v>73</v>
      </c>
      <c r="G498" t="s">
        <v>73</v>
      </c>
      <c r="H498">
        <v>43.4</v>
      </c>
      <c r="I498">
        <v>175</v>
      </c>
      <c r="J498">
        <v>18760</v>
      </c>
      <c r="K498" t="s">
        <v>309</v>
      </c>
      <c r="L498">
        <f t="shared" si="30"/>
        <v>75</v>
      </c>
      <c r="N498">
        <v>75</v>
      </c>
      <c r="O498">
        <v>75</v>
      </c>
      <c r="P498">
        <v>1</v>
      </c>
      <c r="Q498">
        <v>3</v>
      </c>
      <c r="R498">
        <v>6</v>
      </c>
      <c r="S498">
        <v>2</v>
      </c>
      <c r="T498">
        <v>2</v>
      </c>
      <c r="U498">
        <v>3</v>
      </c>
      <c r="V498">
        <v>6</v>
      </c>
      <c r="W498">
        <v>5</v>
      </c>
      <c r="X498">
        <v>0</v>
      </c>
      <c r="Y498">
        <v>6</v>
      </c>
      <c r="Z498">
        <v>1</v>
      </c>
      <c r="AA498">
        <v>6</v>
      </c>
      <c r="AB498">
        <v>7</v>
      </c>
      <c r="AC498">
        <v>6</v>
      </c>
      <c r="AD498">
        <v>3</v>
      </c>
      <c r="AE498">
        <v>4</v>
      </c>
      <c r="AF498">
        <v>1</v>
      </c>
      <c r="AG498">
        <v>6</v>
      </c>
      <c r="AH498">
        <v>1</v>
      </c>
      <c r="AI498">
        <v>7</v>
      </c>
      <c r="AJ498">
        <v>3</v>
      </c>
      <c r="AK498">
        <v>6</v>
      </c>
      <c r="AL498">
        <v>2</v>
      </c>
      <c r="AM498">
        <v>2</v>
      </c>
      <c r="AN498">
        <v>3</v>
      </c>
      <c r="AO498">
        <v>6</v>
      </c>
      <c r="AP498">
        <v>5</v>
      </c>
      <c r="AQ498">
        <v>0</v>
      </c>
      <c r="AR498">
        <v>6</v>
      </c>
      <c r="AS498">
        <v>1</v>
      </c>
      <c r="AT498">
        <v>6</v>
      </c>
      <c r="AU498">
        <v>7</v>
      </c>
      <c r="AV498">
        <v>6</v>
      </c>
      <c r="AW498">
        <v>3</v>
      </c>
      <c r="AX498">
        <v>4</v>
      </c>
      <c r="AY498">
        <v>1</v>
      </c>
      <c r="AZ498">
        <v>6</v>
      </c>
      <c r="BA498">
        <v>1</v>
      </c>
      <c r="BB498">
        <v>7</v>
      </c>
      <c r="BC498" s="2">
        <v>3</v>
      </c>
      <c r="BD498" s="2">
        <v>6</v>
      </c>
      <c r="BE498" s="2">
        <v>2</v>
      </c>
      <c r="BF498" s="2">
        <v>2</v>
      </c>
      <c r="BG498" s="2">
        <v>3</v>
      </c>
      <c r="BH498" s="2">
        <v>6</v>
      </c>
      <c r="BI498" s="2">
        <v>5</v>
      </c>
      <c r="BJ498" s="2">
        <v>0</v>
      </c>
      <c r="BK498" s="2">
        <v>6</v>
      </c>
      <c r="BL498" s="2">
        <v>1</v>
      </c>
      <c r="BM498" s="2">
        <v>6</v>
      </c>
      <c r="BN498" s="2">
        <v>7</v>
      </c>
      <c r="BO498" s="2">
        <v>6</v>
      </c>
      <c r="BP498" s="2">
        <v>3</v>
      </c>
      <c r="BQ498" s="2">
        <v>4</v>
      </c>
      <c r="BR498" s="2">
        <v>1</v>
      </c>
      <c r="BS498" s="2">
        <v>6</v>
      </c>
      <c r="BT498" s="2">
        <v>1</v>
      </c>
      <c r="BU498" s="2">
        <v>7</v>
      </c>
      <c r="BV498" s="2">
        <f t="shared" si="33"/>
        <v>75</v>
      </c>
      <c r="BW498" s="16">
        <f t="shared" si="31"/>
        <v>3.9473684210526314</v>
      </c>
      <c r="BX498" s="16">
        <f>COUNTIF($BC$6:BU498, "=0") / COUNTIF($BC$6:BU498, "&gt;-1")</f>
        <v>0.12608092238710367</v>
      </c>
      <c r="BY498" s="18">
        <f>SUM($BC$6:BU498) / $BY$4</f>
        <v>0.8475258090406389</v>
      </c>
      <c r="BZ498" s="14">
        <f t="shared" si="32"/>
        <v>1</v>
      </c>
      <c r="CA498" t="s">
        <v>5831</v>
      </c>
      <c r="CB498" s="36">
        <v>3.6349301875041902</v>
      </c>
      <c r="CC498" s="36">
        <v>5.7783847240646802</v>
      </c>
      <c r="CD498" s="36">
        <v>3.2015953236245198</v>
      </c>
      <c r="CE498" s="36">
        <v>3.0238435183064598</v>
      </c>
      <c r="CF498" s="36">
        <v>2.5805290798106801</v>
      </c>
      <c r="CG498" s="36">
        <v>5.5783634798369501</v>
      </c>
      <c r="CH498" s="36">
        <v>5.2703114143232002</v>
      </c>
      <c r="CI498" s="36">
        <v>0.24329589949557701</v>
      </c>
      <c r="CJ498" s="37">
        <v>4.7685497594697397</v>
      </c>
      <c r="CK498" s="37">
        <v>3.7838978813297102</v>
      </c>
      <c r="CL498" s="37">
        <v>5.6003804378713999</v>
      </c>
      <c r="CM498" s="37">
        <v>5.0792822795996404</v>
      </c>
      <c r="CN498" s="37">
        <v>3.6751702632604601</v>
      </c>
      <c r="CO498" s="37">
        <v>0.78919057038512497</v>
      </c>
      <c r="CP498" s="37">
        <v>9.0512402871745401</v>
      </c>
      <c r="CQ498" s="37">
        <v>10.658457925322301</v>
      </c>
      <c r="CR498" s="45">
        <v>0.44827802146088103</v>
      </c>
      <c r="CS498" s="45">
        <v>1.4808704519031399</v>
      </c>
      <c r="CT498" s="46">
        <v>0.33490791708369999</v>
      </c>
      <c r="CU498" s="47">
        <v>0.41580079310399698</v>
      </c>
      <c r="CV498" s="48">
        <v>3.6639067033707802</v>
      </c>
      <c r="CW498" s="49">
        <v>5.4257711755516196</v>
      </c>
      <c r="CX498" s="31" t="s">
        <v>5874</v>
      </c>
      <c r="CY498" s="31" t="s">
        <v>5832</v>
      </c>
      <c r="CZ498" t="s">
        <v>6099</v>
      </c>
      <c r="DA498" t="s">
        <v>5904</v>
      </c>
      <c r="DB498">
        <v>337.8</v>
      </c>
      <c r="DC498" t="s">
        <v>14498</v>
      </c>
      <c r="DD498" t="s">
        <v>14499</v>
      </c>
      <c r="DE498" t="s">
        <v>14500</v>
      </c>
      <c r="DF498" t="s">
        <v>14501</v>
      </c>
      <c r="DG498" t="s">
        <v>14502</v>
      </c>
      <c r="DH498" t="str">
        <f>"NBL1"</f>
        <v>NBL1</v>
      </c>
      <c r="DI498" t="s">
        <v>14503</v>
      </c>
      <c r="DJ498" t="s">
        <v>13777</v>
      </c>
      <c r="DK498">
        <v>9606</v>
      </c>
      <c r="DL498" s="34" t="str">
        <f>HYPERLINK("http://www.uniprot.org/uniprot/P41271", "P41271")</f>
        <v>P41271</v>
      </c>
      <c r="DM498" t="s">
        <v>14504</v>
      </c>
      <c r="DN498" t="s">
        <v>13772</v>
      </c>
      <c r="DO498" t="s">
        <v>14321</v>
      </c>
      <c r="DP498" t="s">
        <v>13841</v>
      </c>
      <c r="DQ498" t="s">
        <v>13772</v>
      </c>
      <c r="DR498" t="s">
        <v>14505</v>
      </c>
      <c r="DS498" t="s">
        <v>13808</v>
      </c>
      <c r="DT498" t="s">
        <v>13772</v>
      </c>
      <c r="DU498" t="s">
        <v>13772</v>
      </c>
      <c r="DV498" t="s">
        <v>14506</v>
      </c>
      <c r="DW498" t="s">
        <v>13812</v>
      </c>
      <c r="DX498" t="s">
        <v>14507</v>
      </c>
      <c r="DY498" t="s">
        <v>14508</v>
      </c>
      <c r="DZ498" t="s">
        <v>14509</v>
      </c>
      <c r="EA498" t="s">
        <v>13772</v>
      </c>
      <c r="EB498" t="s">
        <v>13772</v>
      </c>
    </row>
    <row r="499" spans="1:132" hidden="1">
      <c r="A499">
        <v>786</v>
      </c>
      <c r="B499">
        <v>1</v>
      </c>
      <c r="C499" t="s">
        <v>1931</v>
      </c>
      <c r="D499" t="s">
        <v>1932</v>
      </c>
      <c r="E499" t="s">
        <v>73</v>
      </c>
      <c r="F499" t="s">
        <v>73</v>
      </c>
      <c r="G499" t="s">
        <v>73</v>
      </c>
      <c r="H499">
        <v>28.9</v>
      </c>
      <c r="I499">
        <v>249</v>
      </c>
      <c r="J499">
        <v>28954</v>
      </c>
      <c r="K499" t="s">
        <v>1933</v>
      </c>
      <c r="L499">
        <f t="shared" si="30"/>
        <v>75</v>
      </c>
      <c r="N499">
        <v>75</v>
      </c>
      <c r="O499">
        <v>75</v>
      </c>
      <c r="P499">
        <v>1</v>
      </c>
      <c r="Q499">
        <v>5</v>
      </c>
      <c r="R499">
        <v>8</v>
      </c>
      <c r="S499">
        <v>5</v>
      </c>
      <c r="T499">
        <v>4</v>
      </c>
      <c r="U499">
        <v>5</v>
      </c>
      <c r="V499">
        <v>7</v>
      </c>
      <c r="W499">
        <v>9</v>
      </c>
      <c r="X499">
        <v>4</v>
      </c>
      <c r="Y499">
        <v>3</v>
      </c>
      <c r="Z499">
        <v>0</v>
      </c>
      <c r="AA499">
        <v>6</v>
      </c>
      <c r="AB499">
        <v>5</v>
      </c>
      <c r="AC499">
        <v>2</v>
      </c>
      <c r="AD499">
        <v>0</v>
      </c>
      <c r="AE499">
        <v>4</v>
      </c>
      <c r="AF499">
        <v>5</v>
      </c>
      <c r="AG499">
        <v>1</v>
      </c>
      <c r="AH499">
        <v>2</v>
      </c>
      <c r="AI499">
        <v>0</v>
      </c>
      <c r="AJ499">
        <v>5</v>
      </c>
      <c r="AK499">
        <v>8</v>
      </c>
      <c r="AL499">
        <v>5</v>
      </c>
      <c r="AM499">
        <v>4</v>
      </c>
      <c r="AN499">
        <v>5</v>
      </c>
      <c r="AO499">
        <v>7</v>
      </c>
      <c r="AP499">
        <v>9</v>
      </c>
      <c r="AQ499">
        <v>4</v>
      </c>
      <c r="AR499">
        <v>3</v>
      </c>
      <c r="AS499">
        <v>0</v>
      </c>
      <c r="AT499">
        <v>6</v>
      </c>
      <c r="AU499">
        <v>5</v>
      </c>
      <c r="AV499">
        <v>2</v>
      </c>
      <c r="AW499">
        <v>0</v>
      </c>
      <c r="AX499">
        <v>4</v>
      </c>
      <c r="AY499">
        <v>5</v>
      </c>
      <c r="AZ499">
        <v>1</v>
      </c>
      <c r="BA499">
        <v>2</v>
      </c>
      <c r="BB499">
        <v>0</v>
      </c>
      <c r="BC499" s="2">
        <v>5</v>
      </c>
      <c r="BD499" s="2">
        <v>8</v>
      </c>
      <c r="BE499" s="2">
        <v>5</v>
      </c>
      <c r="BF499" s="2">
        <v>4</v>
      </c>
      <c r="BG499" s="2">
        <v>5</v>
      </c>
      <c r="BH499" s="2">
        <v>7</v>
      </c>
      <c r="BI499" s="2">
        <v>9</v>
      </c>
      <c r="BJ499" s="2">
        <v>4</v>
      </c>
      <c r="BK499" s="2">
        <v>3</v>
      </c>
      <c r="BL499" s="2">
        <v>0</v>
      </c>
      <c r="BM499" s="2">
        <v>6</v>
      </c>
      <c r="BN499" s="2">
        <v>5</v>
      </c>
      <c r="BO499" s="2">
        <v>2</v>
      </c>
      <c r="BP499" s="2">
        <v>0</v>
      </c>
      <c r="BQ499" s="2">
        <v>4</v>
      </c>
      <c r="BR499" s="2">
        <v>5</v>
      </c>
      <c r="BS499" s="2">
        <v>1</v>
      </c>
      <c r="BT499" s="2">
        <v>2</v>
      </c>
      <c r="BU499" s="2">
        <v>0</v>
      </c>
      <c r="BV499" s="2">
        <f t="shared" si="33"/>
        <v>75</v>
      </c>
      <c r="BW499" s="16">
        <f t="shared" si="31"/>
        <v>3.9473684210526314</v>
      </c>
      <c r="BX499" s="16">
        <f>COUNTIF($BC$6:BU499, "=0") / COUNTIF($BC$6:BU499, "&gt;-1")</f>
        <v>0.12614532282122309</v>
      </c>
      <c r="BY499" s="18">
        <f>SUM($BC$6:BU499) / $BY$4</f>
        <v>0.84784708180579149</v>
      </c>
      <c r="BZ499" s="14">
        <f t="shared" si="32"/>
        <v>3</v>
      </c>
      <c r="CA499" t="s">
        <v>5831</v>
      </c>
      <c r="CB499" s="36">
        <v>6.0582169791736504</v>
      </c>
      <c r="CC499" s="36">
        <v>7.7045129654195703</v>
      </c>
      <c r="CD499" s="36">
        <v>8.00398830906129</v>
      </c>
      <c r="CE499" s="36">
        <v>6.0476870366129196</v>
      </c>
      <c r="CF499" s="36">
        <v>4.3008817996844604</v>
      </c>
      <c r="CG499" s="36">
        <v>6.50809072647644</v>
      </c>
      <c r="CH499" s="36">
        <v>9.4865605457817708</v>
      </c>
      <c r="CI499" s="36">
        <v>3.8927343919292201</v>
      </c>
      <c r="CJ499" s="37">
        <v>2.3842748797348698</v>
      </c>
      <c r="CK499" s="37">
        <v>3.7838978813297102</v>
      </c>
      <c r="CL499" s="37">
        <v>4.0002717413367099</v>
      </c>
      <c r="CM499" s="37">
        <v>1.6930940931998799</v>
      </c>
      <c r="CN499" s="37">
        <v>3.6751702632604601</v>
      </c>
      <c r="CO499" s="37">
        <v>3.94595285192562</v>
      </c>
      <c r="CP499" s="37">
        <v>1.50854004786242</v>
      </c>
      <c r="CQ499" s="37">
        <v>0.38065921161865401</v>
      </c>
      <c r="CR499" s="45">
        <v>-1.1175259920709499</v>
      </c>
      <c r="CS499" s="45">
        <v>-2.43323091173405</v>
      </c>
      <c r="CT499" s="46">
        <v>3.3659411527267999E-3</v>
      </c>
      <c r="CU499" s="47">
        <v>6.8030653509795497E-3</v>
      </c>
      <c r="CV499" s="48">
        <v>6.5003340942674104</v>
      </c>
      <c r="CW499" s="49">
        <v>2.6714826212835399</v>
      </c>
      <c r="CX499" s="31" t="s">
        <v>5875</v>
      </c>
      <c r="CY499" s="31" t="s">
        <v>5876</v>
      </c>
      <c r="CZ499" t="s">
        <v>8393</v>
      </c>
      <c r="DA499" t="s">
        <v>5896</v>
      </c>
      <c r="DB499">
        <v>183.3</v>
      </c>
      <c r="DC499" t="s">
        <v>21536</v>
      </c>
      <c r="DD499" t="s">
        <v>21537</v>
      </c>
      <c r="DE499" t="s">
        <v>21538</v>
      </c>
      <c r="DF499" t="s">
        <v>21539</v>
      </c>
      <c r="DG499" t="s">
        <v>21540</v>
      </c>
      <c r="DH499" t="str">
        <f>"CD209"</f>
        <v>CD209</v>
      </c>
      <c r="DI499" t="s">
        <v>21541</v>
      </c>
      <c r="DJ499" t="s">
        <v>13777</v>
      </c>
      <c r="DK499">
        <v>9606</v>
      </c>
      <c r="DL499" s="34" t="str">
        <f>HYPERLINK("http://www.uniprot.org/uniprot/Q9NNX6", "Q9NNX6")</f>
        <v>Q9NNX6</v>
      </c>
      <c r="DM499" t="s">
        <v>21542</v>
      </c>
      <c r="DN499" t="s">
        <v>21543</v>
      </c>
      <c r="DO499" t="s">
        <v>14336</v>
      </c>
      <c r="DP499" t="s">
        <v>13780</v>
      </c>
      <c r="DQ499" t="s">
        <v>13772</v>
      </c>
      <c r="DR499" t="s">
        <v>13772</v>
      </c>
      <c r="DS499" t="s">
        <v>17249</v>
      </c>
      <c r="DT499" t="s">
        <v>21544</v>
      </c>
      <c r="DU499" t="s">
        <v>18791</v>
      </c>
      <c r="DV499" t="s">
        <v>13796</v>
      </c>
      <c r="DW499" t="s">
        <v>13812</v>
      </c>
      <c r="DX499" t="s">
        <v>21545</v>
      </c>
      <c r="DY499" t="s">
        <v>21546</v>
      </c>
      <c r="DZ499" t="s">
        <v>21547</v>
      </c>
      <c r="EA499" t="s">
        <v>13772</v>
      </c>
      <c r="EB499" t="s">
        <v>21548</v>
      </c>
    </row>
    <row r="500" spans="1:132" hidden="1">
      <c r="A500">
        <v>1396</v>
      </c>
      <c r="B500">
        <v>1</v>
      </c>
      <c r="C500" t="s">
        <v>3335</v>
      </c>
      <c r="D500" t="s">
        <v>73</v>
      </c>
      <c r="E500" t="s">
        <v>73</v>
      </c>
      <c r="F500" t="s">
        <v>73</v>
      </c>
      <c r="G500" t="s">
        <v>73</v>
      </c>
      <c r="H500">
        <v>57.4</v>
      </c>
      <c r="I500">
        <v>230</v>
      </c>
      <c r="J500">
        <v>26191</v>
      </c>
      <c r="K500" t="s">
        <v>3336</v>
      </c>
      <c r="L500">
        <f t="shared" si="30"/>
        <v>75</v>
      </c>
      <c r="N500">
        <v>75</v>
      </c>
      <c r="O500">
        <v>75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6</v>
      </c>
      <c r="Z500">
        <v>0</v>
      </c>
      <c r="AA500">
        <v>13</v>
      </c>
      <c r="AB500">
        <v>6</v>
      </c>
      <c r="AC500">
        <v>18</v>
      </c>
      <c r="AD500">
        <v>2</v>
      </c>
      <c r="AE500">
        <v>15</v>
      </c>
      <c r="AF500">
        <v>8</v>
      </c>
      <c r="AG500">
        <v>2</v>
      </c>
      <c r="AH500">
        <v>0</v>
      </c>
      <c r="AI500">
        <v>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0</v>
      </c>
      <c r="AR500">
        <v>6</v>
      </c>
      <c r="AS500">
        <v>0</v>
      </c>
      <c r="AT500">
        <v>13</v>
      </c>
      <c r="AU500">
        <v>6</v>
      </c>
      <c r="AV500">
        <v>18</v>
      </c>
      <c r="AW500">
        <v>2</v>
      </c>
      <c r="AX500">
        <v>15</v>
      </c>
      <c r="AY500">
        <v>8</v>
      </c>
      <c r="AZ500">
        <v>2</v>
      </c>
      <c r="BA500">
        <v>0</v>
      </c>
      <c r="BB500">
        <v>3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2</v>
      </c>
      <c r="BJ500" s="2">
        <v>0</v>
      </c>
      <c r="BK500" s="2">
        <v>6</v>
      </c>
      <c r="BL500" s="2">
        <v>0</v>
      </c>
      <c r="BM500" s="2">
        <v>13</v>
      </c>
      <c r="BN500" s="2">
        <v>6</v>
      </c>
      <c r="BO500" s="2">
        <v>18</v>
      </c>
      <c r="BP500" s="2">
        <v>2</v>
      </c>
      <c r="BQ500" s="2">
        <v>15</v>
      </c>
      <c r="BR500" s="2">
        <v>8</v>
      </c>
      <c r="BS500" s="2">
        <v>2</v>
      </c>
      <c r="BT500" s="2">
        <v>0</v>
      </c>
      <c r="BU500" s="2">
        <v>3</v>
      </c>
      <c r="BV500" s="2">
        <f t="shared" si="33"/>
        <v>75</v>
      </c>
      <c r="BW500" s="16">
        <f t="shared" si="31"/>
        <v>3.9473684210526314</v>
      </c>
      <c r="BX500" s="16">
        <f>COUNTIF($BC$6:BU500, "=0") / COUNTIF($BC$6:BU500, "&gt;-1")</f>
        <v>0.12684742158426368</v>
      </c>
      <c r="BY500" s="18">
        <f>SUM($BC$6:BU500) / $BY$4</f>
        <v>0.84816835457094397</v>
      </c>
      <c r="BZ500" s="14">
        <f t="shared" si="32"/>
        <v>9</v>
      </c>
      <c r="CA500" t="s">
        <v>5831</v>
      </c>
      <c r="CB500" s="36">
        <v>0.30291084895868198</v>
      </c>
      <c r="CC500" s="36">
        <v>0.24076603016936199</v>
      </c>
      <c r="CD500" s="36">
        <v>0.40019941545306398</v>
      </c>
      <c r="CE500" s="36">
        <v>0.37798043978830698</v>
      </c>
      <c r="CF500" s="36">
        <v>0.215044089984223</v>
      </c>
      <c r="CG500" s="36">
        <v>0.23243181165987301</v>
      </c>
      <c r="CH500" s="36">
        <v>2.10812456572928</v>
      </c>
      <c r="CI500" s="36">
        <v>0.24329589949557701</v>
      </c>
      <c r="CJ500" s="37">
        <v>4.7685497594697397</v>
      </c>
      <c r="CK500" s="37">
        <v>8.1984454095477108</v>
      </c>
      <c r="CL500" s="37">
        <v>4.8003260896040603</v>
      </c>
      <c r="CM500" s="37">
        <v>15.2378468387989</v>
      </c>
      <c r="CN500" s="37">
        <v>13.7818884872267</v>
      </c>
      <c r="CO500" s="37">
        <v>6.3135245630809997</v>
      </c>
      <c r="CP500" s="37">
        <v>3.0170800957248498</v>
      </c>
      <c r="CQ500" s="37">
        <v>4.5679105394238499</v>
      </c>
      <c r="CR500" s="45">
        <v>3.63507383383021</v>
      </c>
      <c r="CS500" s="45">
        <v>14.726815776620899</v>
      </c>
      <c r="CT500" s="46">
        <v>5.2078726424428501E-8</v>
      </c>
      <c r="CU500" s="47">
        <v>3.8286448327409498E-7</v>
      </c>
      <c r="CV500" s="48">
        <v>0.51509413765479595</v>
      </c>
      <c r="CW500" s="49">
        <v>7.5856964728596097</v>
      </c>
      <c r="CX500" s="31" t="s">
        <v>5874</v>
      </c>
      <c r="CY500" s="31" t="s">
        <v>5876</v>
      </c>
      <c r="CZ500" t="s">
        <v>10397</v>
      </c>
      <c r="DA500" t="s">
        <v>5904</v>
      </c>
      <c r="DB500">
        <v>401.4</v>
      </c>
      <c r="DC500" t="s">
        <v>27256</v>
      </c>
      <c r="DD500" t="s">
        <v>27257</v>
      </c>
      <c r="DE500" t="s">
        <v>27258</v>
      </c>
      <c r="DF500" t="s">
        <v>27259</v>
      </c>
      <c r="DG500" t="s">
        <v>27260</v>
      </c>
      <c r="DH500" t="str">
        <f>"APOBEC2"</f>
        <v>APOBEC2</v>
      </c>
      <c r="DI500" t="s">
        <v>13772</v>
      </c>
      <c r="DJ500" t="s">
        <v>13777</v>
      </c>
      <c r="DK500">
        <v>9606</v>
      </c>
      <c r="DL500" s="34" t="str">
        <f>HYPERLINK("http://www.uniprot.org/uniprot/Q9Y235", "Q9Y235")</f>
        <v>Q9Y235</v>
      </c>
      <c r="DM500" t="s">
        <v>27261</v>
      </c>
      <c r="DN500" t="s">
        <v>25660</v>
      </c>
      <c r="DO500" t="s">
        <v>13772</v>
      </c>
      <c r="DP500" t="s">
        <v>13793</v>
      </c>
      <c r="DQ500" t="s">
        <v>13772</v>
      </c>
      <c r="DR500" t="s">
        <v>13772</v>
      </c>
      <c r="DS500" t="s">
        <v>13772</v>
      </c>
      <c r="DT500" t="s">
        <v>13856</v>
      </c>
      <c r="DU500" t="s">
        <v>13857</v>
      </c>
      <c r="DV500" t="s">
        <v>13772</v>
      </c>
      <c r="DW500" t="s">
        <v>13812</v>
      </c>
      <c r="DX500" t="s">
        <v>27262</v>
      </c>
      <c r="DY500" t="s">
        <v>23727</v>
      </c>
      <c r="DZ500" t="s">
        <v>27263</v>
      </c>
      <c r="EA500" t="s">
        <v>13772</v>
      </c>
      <c r="EB500" t="s">
        <v>27264</v>
      </c>
    </row>
    <row r="501" spans="1:132" hidden="1">
      <c r="A501">
        <v>1708</v>
      </c>
      <c r="B501">
        <v>1</v>
      </c>
      <c r="C501" t="s">
        <v>4052</v>
      </c>
      <c r="D501" t="s">
        <v>73</v>
      </c>
      <c r="E501" t="s">
        <v>73</v>
      </c>
      <c r="F501" t="s">
        <v>73</v>
      </c>
      <c r="G501" t="s">
        <v>73</v>
      </c>
      <c r="H501">
        <v>22.2</v>
      </c>
      <c r="I501">
        <v>676</v>
      </c>
      <c r="J501">
        <v>71914</v>
      </c>
      <c r="K501" t="s">
        <v>4053</v>
      </c>
      <c r="L501">
        <f t="shared" si="30"/>
        <v>75</v>
      </c>
      <c r="N501">
        <v>75</v>
      </c>
      <c r="O501">
        <v>75</v>
      </c>
      <c r="P501">
        <v>1</v>
      </c>
      <c r="Q501">
        <v>5</v>
      </c>
      <c r="R501">
        <v>10</v>
      </c>
      <c r="S501">
        <v>6</v>
      </c>
      <c r="T501">
        <v>8</v>
      </c>
      <c r="U501">
        <v>12</v>
      </c>
      <c r="V501">
        <v>14</v>
      </c>
      <c r="W501">
        <v>8</v>
      </c>
      <c r="X501">
        <v>8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5</v>
      </c>
      <c r="AK501">
        <v>10</v>
      </c>
      <c r="AL501">
        <v>6</v>
      </c>
      <c r="AM501">
        <v>8</v>
      </c>
      <c r="AN501">
        <v>12</v>
      </c>
      <c r="AO501">
        <v>14</v>
      </c>
      <c r="AP501">
        <v>8</v>
      </c>
      <c r="AQ501">
        <v>8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0</v>
      </c>
      <c r="BC501" s="2">
        <v>5</v>
      </c>
      <c r="BD501" s="2">
        <v>10</v>
      </c>
      <c r="BE501" s="2">
        <v>6</v>
      </c>
      <c r="BF501" s="2">
        <v>8</v>
      </c>
      <c r="BG501" s="2">
        <v>12</v>
      </c>
      <c r="BH501" s="2">
        <v>14</v>
      </c>
      <c r="BI501" s="2">
        <v>8</v>
      </c>
      <c r="BJ501" s="2">
        <v>8</v>
      </c>
      <c r="BK501" s="2">
        <v>1</v>
      </c>
      <c r="BL501" s="2">
        <v>0</v>
      </c>
      <c r="BM501" s="2">
        <v>0</v>
      </c>
      <c r="BN501" s="2">
        <v>0</v>
      </c>
      <c r="BO501" s="2">
        <v>1</v>
      </c>
      <c r="BP501" s="2">
        <v>0</v>
      </c>
      <c r="BQ501" s="2">
        <v>0</v>
      </c>
      <c r="BR501" s="2">
        <v>1</v>
      </c>
      <c r="BS501" s="2">
        <v>0</v>
      </c>
      <c r="BT501" s="2">
        <v>1</v>
      </c>
      <c r="BU501" s="2">
        <v>0</v>
      </c>
      <c r="BV501" s="2">
        <f t="shared" si="33"/>
        <v>75</v>
      </c>
      <c r="BW501" s="16">
        <f t="shared" si="31"/>
        <v>3.9473684210526314</v>
      </c>
      <c r="BX501" s="16">
        <f>COUNTIF($BC$6:BU501, "=0") / COUNTIF($BC$6:BU501, "&gt;-1")</f>
        <v>0.12733446519524619</v>
      </c>
      <c r="BY501" s="18">
        <f>SUM($BC$6:BU501) / $BY$4</f>
        <v>0.84848962733609656</v>
      </c>
      <c r="BZ501" s="14">
        <f t="shared" si="32"/>
        <v>7</v>
      </c>
      <c r="CA501" t="s">
        <v>5831</v>
      </c>
      <c r="CB501" s="36">
        <v>6.0582169791736504</v>
      </c>
      <c r="CC501" s="36">
        <v>9.6306412067744702</v>
      </c>
      <c r="CD501" s="36">
        <v>9.6047859708735501</v>
      </c>
      <c r="CE501" s="36">
        <v>12.0953740732258</v>
      </c>
      <c r="CF501" s="36">
        <v>10.322116319242699</v>
      </c>
      <c r="CG501" s="36">
        <v>13.0161814529529</v>
      </c>
      <c r="CH501" s="36">
        <v>8.4324982629171306</v>
      </c>
      <c r="CI501" s="36">
        <v>7.78546878385845</v>
      </c>
      <c r="CJ501" s="37">
        <v>0.79475829324495695</v>
      </c>
      <c r="CK501" s="37">
        <v>0.15766241172207099</v>
      </c>
      <c r="CL501" s="37">
        <v>0.200013587066836</v>
      </c>
      <c r="CM501" s="37">
        <v>0.84654704659994096</v>
      </c>
      <c r="CN501" s="37">
        <v>0.22969814145377901</v>
      </c>
      <c r="CO501" s="37">
        <v>0.78919057038512497</v>
      </c>
      <c r="CP501" s="37">
        <v>0.377135011965606</v>
      </c>
      <c r="CQ501" s="37">
        <v>0.38065921161865401</v>
      </c>
      <c r="CR501" s="45">
        <v>-4.0275733635509203</v>
      </c>
      <c r="CS501" s="45">
        <v>-20.3792703651431</v>
      </c>
      <c r="CT501" s="46">
        <v>1.49271122064565E-15</v>
      </c>
      <c r="CU501" s="47">
        <v>1.24827975826492E-13</v>
      </c>
      <c r="CV501" s="48">
        <v>9.6181603811273302</v>
      </c>
      <c r="CW501" s="49">
        <v>0.47195803425712102</v>
      </c>
      <c r="CX501" s="31" t="s">
        <v>5875</v>
      </c>
      <c r="CY501" s="31" t="s">
        <v>5876</v>
      </c>
      <c r="CZ501" t="s">
        <v>11449</v>
      </c>
      <c r="DA501" t="s">
        <v>5904</v>
      </c>
      <c r="DB501">
        <v>950.3</v>
      </c>
      <c r="DC501" t="s">
        <v>30187</v>
      </c>
      <c r="DD501" t="s">
        <v>30188</v>
      </c>
      <c r="DE501" t="s">
        <v>30189</v>
      </c>
      <c r="DF501" t="s">
        <v>30190</v>
      </c>
      <c r="DG501" t="s">
        <v>30191</v>
      </c>
      <c r="DH501" t="str">
        <f>"VASN"</f>
        <v>VASN</v>
      </c>
      <c r="DI501" t="s">
        <v>30192</v>
      </c>
      <c r="DJ501" t="s">
        <v>13777</v>
      </c>
      <c r="DK501">
        <v>9606</v>
      </c>
      <c r="DL501" s="34" t="str">
        <f>HYPERLINK("http://www.uniprot.org/uniprot/Q6EMK4", "Q6EMK4")</f>
        <v>Q6EMK4</v>
      </c>
      <c r="DM501" t="s">
        <v>30193</v>
      </c>
      <c r="DN501" t="s">
        <v>13772</v>
      </c>
      <c r="DO501" t="s">
        <v>17261</v>
      </c>
      <c r="DP501" t="s">
        <v>13793</v>
      </c>
      <c r="DQ501" t="s">
        <v>13772</v>
      </c>
      <c r="DR501" t="s">
        <v>13772</v>
      </c>
      <c r="DS501" t="s">
        <v>30194</v>
      </c>
      <c r="DT501" t="s">
        <v>13772</v>
      </c>
      <c r="DU501" t="s">
        <v>13772</v>
      </c>
      <c r="DV501" t="s">
        <v>13796</v>
      </c>
      <c r="DW501" t="s">
        <v>13772</v>
      </c>
      <c r="DX501" t="s">
        <v>30195</v>
      </c>
      <c r="DY501" t="s">
        <v>30196</v>
      </c>
      <c r="DZ501" t="s">
        <v>30197</v>
      </c>
      <c r="EA501" t="s">
        <v>13772</v>
      </c>
      <c r="EB501" t="s">
        <v>13772</v>
      </c>
    </row>
    <row r="502" spans="1:132" hidden="1">
      <c r="A502">
        <v>2180</v>
      </c>
      <c r="B502">
        <v>1</v>
      </c>
      <c r="C502" t="s">
        <v>5100</v>
      </c>
      <c r="D502" t="s">
        <v>73</v>
      </c>
      <c r="E502" t="s">
        <v>73</v>
      </c>
      <c r="F502" t="s">
        <v>73</v>
      </c>
      <c r="G502" t="s">
        <v>73</v>
      </c>
      <c r="H502">
        <v>57.6</v>
      </c>
      <c r="I502">
        <v>118</v>
      </c>
      <c r="J502">
        <v>12484</v>
      </c>
      <c r="K502" t="s">
        <v>5101</v>
      </c>
      <c r="L502">
        <f t="shared" si="30"/>
        <v>75</v>
      </c>
      <c r="N502">
        <v>75</v>
      </c>
      <c r="O502">
        <v>75</v>
      </c>
      <c r="P502">
        <v>1</v>
      </c>
      <c r="Q502">
        <v>9</v>
      </c>
      <c r="R502">
        <v>8</v>
      </c>
      <c r="S502">
        <v>8</v>
      </c>
      <c r="T502">
        <v>7</v>
      </c>
      <c r="U502">
        <v>11</v>
      </c>
      <c r="V502">
        <v>6</v>
      </c>
      <c r="W502">
        <v>3</v>
      </c>
      <c r="X502">
        <v>2</v>
      </c>
      <c r="Y502">
        <v>2</v>
      </c>
      <c r="Z502">
        <v>1</v>
      </c>
      <c r="AA502">
        <v>1</v>
      </c>
      <c r="AB502">
        <v>3</v>
      </c>
      <c r="AC502">
        <v>3</v>
      </c>
      <c r="AD502">
        <v>0</v>
      </c>
      <c r="AE502">
        <v>1</v>
      </c>
      <c r="AF502">
        <v>3</v>
      </c>
      <c r="AG502">
        <v>2</v>
      </c>
      <c r="AH502">
        <v>3</v>
      </c>
      <c r="AI502">
        <v>2</v>
      </c>
      <c r="AJ502">
        <v>9</v>
      </c>
      <c r="AK502">
        <v>8</v>
      </c>
      <c r="AL502">
        <v>8</v>
      </c>
      <c r="AM502">
        <v>7</v>
      </c>
      <c r="AN502">
        <v>11</v>
      </c>
      <c r="AO502">
        <v>6</v>
      </c>
      <c r="AP502">
        <v>3</v>
      </c>
      <c r="AQ502">
        <v>2</v>
      </c>
      <c r="AR502">
        <v>2</v>
      </c>
      <c r="AS502">
        <v>1</v>
      </c>
      <c r="AT502">
        <v>1</v>
      </c>
      <c r="AU502">
        <v>3</v>
      </c>
      <c r="AV502">
        <v>3</v>
      </c>
      <c r="AW502">
        <v>0</v>
      </c>
      <c r="AX502">
        <v>1</v>
      </c>
      <c r="AY502">
        <v>3</v>
      </c>
      <c r="AZ502">
        <v>2</v>
      </c>
      <c r="BA502">
        <v>3</v>
      </c>
      <c r="BB502">
        <v>2</v>
      </c>
      <c r="BC502" s="2">
        <v>9</v>
      </c>
      <c r="BD502" s="2">
        <v>8</v>
      </c>
      <c r="BE502" s="2">
        <v>8</v>
      </c>
      <c r="BF502" s="2">
        <v>7</v>
      </c>
      <c r="BG502" s="2">
        <v>11</v>
      </c>
      <c r="BH502" s="2">
        <v>6</v>
      </c>
      <c r="BI502" s="2">
        <v>3</v>
      </c>
      <c r="BJ502" s="2">
        <v>2</v>
      </c>
      <c r="BK502" s="2">
        <v>2</v>
      </c>
      <c r="BL502" s="2">
        <v>1</v>
      </c>
      <c r="BM502" s="2">
        <v>1</v>
      </c>
      <c r="BN502" s="2">
        <v>3</v>
      </c>
      <c r="BO502" s="2">
        <v>3</v>
      </c>
      <c r="BP502" s="2">
        <v>0</v>
      </c>
      <c r="BQ502" s="2">
        <v>1</v>
      </c>
      <c r="BR502" s="2">
        <v>3</v>
      </c>
      <c r="BS502" s="2">
        <v>2</v>
      </c>
      <c r="BT502" s="2">
        <v>3</v>
      </c>
      <c r="BU502" s="2">
        <v>2</v>
      </c>
      <c r="BV502" s="2">
        <f t="shared" si="33"/>
        <v>75</v>
      </c>
      <c r="BW502" s="16">
        <f t="shared" si="31"/>
        <v>3.9473684210526314</v>
      </c>
      <c r="BX502" s="16">
        <f>COUNTIF($BC$6:BU502, "=0") / COUNTIF($BC$6:BU502, "&gt;-1")</f>
        <v>0.12718415757704118</v>
      </c>
      <c r="BY502" s="18">
        <f>SUM($BC$6:BU502) / $BY$4</f>
        <v>0.84881090010124904</v>
      </c>
      <c r="BZ502" s="14">
        <f t="shared" si="32"/>
        <v>1</v>
      </c>
      <c r="CA502" t="s">
        <v>5831</v>
      </c>
      <c r="CB502" s="36">
        <v>10.9047905625126</v>
      </c>
      <c r="CC502" s="36">
        <v>7.7045129654195703</v>
      </c>
      <c r="CD502" s="36">
        <v>12.806381294498101</v>
      </c>
      <c r="CE502" s="36">
        <v>10.5834523140726</v>
      </c>
      <c r="CF502" s="36">
        <v>9.4619399593058091</v>
      </c>
      <c r="CG502" s="36">
        <v>5.5783634798369501</v>
      </c>
      <c r="CH502" s="36">
        <v>3.1621868485939202</v>
      </c>
      <c r="CI502" s="36">
        <v>1.9463671959646101</v>
      </c>
      <c r="CJ502" s="37">
        <v>1.5895165864899099</v>
      </c>
      <c r="CK502" s="37">
        <v>0.63064964688828595</v>
      </c>
      <c r="CL502" s="37">
        <v>2.4001630448020301</v>
      </c>
      <c r="CM502" s="37">
        <v>2.5396411397998202</v>
      </c>
      <c r="CN502" s="37">
        <v>0.91879256581511404</v>
      </c>
      <c r="CO502" s="37">
        <v>2.36757171115537</v>
      </c>
      <c r="CP502" s="37">
        <v>3.0170800957248498</v>
      </c>
      <c r="CQ502" s="37">
        <v>3.0452736929492299</v>
      </c>
      <c r="CR502" s="45">
        <v>-1.8933331978029799</v>
      </c>
      <c r="CS502" s="45">
        <v>-3.7645628047225101</v>
      </c>
      <c r="CT502" s="46">
        <v>1.7399742745222399E-4</v>
      </c>
      <c r="CU502" s="47">
        <v>4.6192174192673702E-4</v>
      </c>
      <c r="CV502" s="48">
        <v>7.7684993275255101</v>
      </c>
      <c r="CW502" s="49">
        <v>2.0635860604530798</v>
      </c>
      <c r="CX502" s="31" t="s">
        <v>5875</v>
      </c>
      <c r="CY502" s="31" t="s">
        <v>5876</v>
      </c>
      <c r="CZ502" t="s">
        <v>13012</v>
      </c>
      <c r="DA502" t="s">
        <v>5904</v>
      </c>
      <c r="DB502">
        <v>100.5</v>
      </c>
      <c r="DC502" t="s">
        <v>34595</v>
      </c>
      <c r="DD502" t="s">
        <v>34596</v>
      </c>
      <c r="DE502" t="s">
        <v>34597</v>
      </c>
      <c r="DF502" t="s">
        <v>34598</v>
      </c>
      <c r="DG502" t="s">
        <v>34599</v>
      </c>
      <c r="DH502" t="str">
        <f>"SLURP2"</f>
        <v>SLURP2</v>
      </c>
      <c r="DI502" t="s">
        <v>13772</v>
      </c>
      <c r="DJ502" t="s">
        <v>13777</v>
      </c>
      <c r="DK502">
        <v>9606</v>
      </c>
      <c r="DL502" s="34" t="str">
        <f>HYPERLINK("http://www.uniprot.org/uniprot/P0DP57", "P0DP57")</f>
        <v>P0DP57</v>
      </c>
      <c r="DM502" t="s">
        <v>34600</v>
      </c>
      <c r="DN502" t="s">
        <v>13772</v>
      </c>
      <c r="DO502" t="s">
        <v>14321</v>
      </c>
      <c r="DP502" t="s">
        <v>13772</v>
      </c>
      <c r="DQ502" t="s">
        <v>13772</v>
      </c>
      <c r="DR502" t="s">
        <v>13772</v>
      </c>
      <c r="DS502" t="s">
        <v>13808</v>
      </c>
      <c r="DT502" t="s">
        <v>13772</v>
      </c>
      <c r="DU502" t="s">
        <v>13772</v>
      </c>
      <c r="DV502" t="s">
        <v>14506</v>
      </c>
      <c r="DW502" t="s">
        <v>13812</v>
      </c>
      <c r="DX502" t="s">
        <v>34601</v>
      </c>
      <c r="DY502" t="s">
        <v>14508</v>
      </c>
      <c r="DZ502" t="s">
        <v>34602</v>
      </c>
      <c r="EA502" t="s">
        <v>13772</v>
      </c>
      <c r="EB502" t="s">
        <v>13772</v>
      </c>
    </row>
    <row r="503" spans="1:132" hidden="1">
      <c r="A503">
        <v>1177</v>
      </c>
      <c r="B503">
        <v>1</v>
      </c>
      <c r="C503" t="s">
        <v>2825</v>
      </c>
      <c r="D503" t="s">
        <v>73</v>
      </c>
      <c r="E503" t="s">
        <v>73</v>
      </c>
      <c r="F503" t="s">
        <v>2826</v>
      </c>
      <c r="G503" t="s">
        <v>73</v>
      </c>
      <c r="H503">
        <v>62</v>
      </c>
      <c r="I503">
        <v>445</v>
      </c>
      <c r="J503">
        <v>50398</v>
      </c>
      <c r="K503" t="s">
        <v>2827</v>
      </c>
      <c r="L503">
        <f t="shared" si="30"/>
        <v>85</v>
      </c>
      <c r="N503">
        <v>85</v>
      </c>
      <c r="O503">
        <v>60</v>
      </c>
      <c r="P503">
        <v>0.70599999999999996</v>
      </c>
      <c r="Q503">
        <v>1</v>
      </c>
      <c r="R503">
        <v>3</v>
      </c>
      <c r="S503">
        <v>0</v>
      </c>
      <c r="T503">
        <v>0</v>
      </c>
      <c r="U503">
        <v>11</v>
      </c>
      <c r="V503">
        <v>10</v>
      </c>
      <c r="W503">
        <v>7</v>
      </c>
      <c r="X503">
        <v>5</v>
      </c>
      <c r="Y503">
        <v>12</v>
      </c>
      <c r="Z503">
        <v>1</v>
      </c>
      <c r="AA503">
        <v>13</v>
      </c>
      <c r="AB503">
        <v>7</v>
      </c>
      <c r="AC503">
        <v>8</v>
      </c>
      <c r="AD503">
        <v>2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0</v>
      </c>
      <c r="AK503">
        <v>3</v>
      </c>
      <c r="AL503">
        <v>0</v>
      </c>
      <c r="AM503">
        <v>0</v>
      </c>
      <c r="AN503">
        <v>9</v>
      </c>
      <c r="AO503">
        <v>9</v>
      </c>
      <c r="AP503">
        <v>3</v>
      </c>
      <c r="AQ503">
        <v>2</v>
      </c>
      <c r="AR503">
        <v>9</v>
      </c>
      <c r="AS503">
        <v>1</v>
      </c>
      <c r="AT503">
        <v>10</v>
      </c>
      <c r="AU503">
        <v>4</v>
      </c>
      <c r="AV503">
        <v>4</v>
      </c>
      <c r="AW503">
        <v>1</v>
      </c>
      <c r="AX503">
        <v>2</v>
      </c>
      <c r="AY503">
        <v>2</v>
      </c>
      <c r="AZ503">
        <v>1</v>
      </c>
      <c r="BA503">
        <v>0</v>
      </c>
      <c r="BB503">
        <v>0</v>
      </c>
      <c r="BC503" s="2">
        <v>0.5</v>
      </c>
      <c r="BD503" s="2">
        <v>3</v>
      </c>
      <c r="BE503" s="2">
        <v>0</v>
      </c>
      <c r="BF503" s="2">
        <v>0</v>
      </c>
      <c r="BG503" s="2">
        <v>10.5</v>
      </c>
      <c r="BH503" s="2">
        <v>9.75</v>
      </c>
      <c r="BI503" s="2">
        <v>6</v>
      </c>
      <c r="BJ503" s="2">
        <v>2.75</v>
      </c>
      <c r="BK503" s="2">
        <v>10.587999999999999</v>
      </c>
      <c r="BL503" s="2">
        <v>1</v>
      </c>
      <c r="BM503" s="2">
        <v>11.875</v>
      </c>
      <c r="BN503" s="2">
        <v>5.5</v>
      </c>
      <c r="BO503" s="2">
        <v>6.2859999999999996</v>
      </c>
      <c r="BP503" s="2">
        <v>1.5</v>
      </c>
      <c r="BQ503" s="2">
        <v>2</v>
      </c>
      <c r="BR503" s="2">
        <v>2</v>
      </c>
      <c r="BS503" s="2">
        <v>1</v>
      </c>
      <c r="BT503" s="2">
        <v>0</v>
      </c>
      <c r="BU503" s="2">
        <v>0</v>
      </c>
      <c r="BV503" s="2">
        <f t="shared" si="33"/>
        <v>74.248999999999995</v>
      </c>
      <c r="BW503" s="16">
        <f t="shared" si="31"/>
        <v>3.9078421052631578</v>
      </c>
      <c r="BX503" s="16">
        <f>COUNTIF($BC$6:BU503, "=0") / COUNTIF($BC$6:BU503, "&gt;-1")</f>
        <v>0.12735151130839145</v>
      </c>
      <c r="BY503" s="18">
        <f>SUM($BC$6:BU503) / $BY$4</f>
        <v>0.84912895585511317</v>
      </c>
      <c r="BZ503" s="14">
        <f t="shared" si="32"/>
        <v>4</v>
      </c>
      <c r="CA503" t="s">
        <v>5831</v>
      </c>
      <c r="CB503" s="36">
        <v>0.60582169791736495</v>
      </c>
      <c r="CC503" s="36">
        <v>2.8891923620323401</v>
      </c>
      <c r="CD503" s="36">
        <v>0.40019941545306398</v>
      </c>
      <c r="CE503" s="36">
        <v>0.37798043978830698</v>
      </c>
      <c r="CF503" s="36">
        <v>9.0318517793373694</v>
      </c>
      <c r="CG503" s="36">
        <v>9.1113270170670102</v>
      </c>
      <c r="CH503" s="36">
        <v>6.3243736971878404</v>
      </c>
      <c r="CI503" s="36">
        <v>2.7249140743504601</v>
      </c>
      <c r="CJ503" s="37">
        <v>8.4244379083965502</v>
      </c>
      <c r="CK503" s="37">
        <v>7.5047307979706002</v>
      </c>
      <c r="CL503" s="37">
        <v>4.4002989154703904</v>
      </c>
      <c r="CM503" s="37">
        <v>5.3332463935796302</v>
      </c>
      <c r="CN503" s="37">
        <v>1.8375851316302301</v>
      </c>
      <c r="CO503" s="37">
        <v>1.5783811407702499</v>
      </c>
      <c r="CP503" s="37">
        <v>1.50854004786242</v>
      </c>
      <c r="CQ503" s="37">
        <v>0.38065921161865401</v>
      </c>
      <c r="CR503" s="45">
        <v>-2.6177903156326499E-2</v>
      </c>
      <c r="CS503" s="45">
        <v>-1.0160741046242701</v>
      </c>
      <c r="CT503" s="46">
        <v>1</v>
      </c>
      <c r="CU503" s="47">
        <v>1</v>
      </c>
      <c r="CV503" s="48">
        <v>3.93320756039172</v>
      </c>
      <c r="CW503" s="49">
        <v>3.8709849434123398</v>
      </c>
      <c r="CX503" s="31" t="s">
        <v>5875</v>
      </c>
      <c r="CY503" s="31" t="s">
        <v>5832</v>
      </c>
      <c r="CZ503" t="s">
        <v>9648</v>
      </c>
      <c r="DA503" t="s">
        <v>5904</v>
      </c>
      <c r="DB503">
        <v>897.9</v>
      </c>
      <c r="DC503" t="s">
        <v>25135</v>
      </c>
      <c r="DD503" t="s">
        <v>25136</v>
      </c>
      <c r="DE503" t="s">
        <v>25137</v>
      </c>
      <c r="DF503" t="s">
        <v>25138</v>
      </c>
      <c r="DG503" t="s">
        <v>25139</v>
      </c>
      <c r="DH503" t="str">
        <f>"GDI2"</f>
        <v>GDI2</v>
      </c>
      <c r="DI503" t="s">
        <v>25140</v>
      </c>
      <c r="DJ503" t="s">
        <v>13777</v>
      </c>
      <c r="DK503">
        <v>9606</v>
      </c>
      <c r="DL503" s="34" t="str">
        <f>HYPERLINK("http://www.uniprot.org/uniprot/P50395", "P50395")</f>
        <v>P50395</v>
      </c>
      <c r="DM503" t="s">
        <v>25141</v>
      </c>
      <c r="DN503" t="s">
        <v>13772</v>
      </c>
      <c r="DO503" t="s">
        <v>15896</v>
      </c>
      <c r="DP503" t="s">
        <v>13841</v>
      </c>
      <c r="DQ503" t="s">
        <v>13772</v>
      </c>
      <c r="DR503" t="s">
        <v>13772</v>
      </c>
      <c r="DS503" t="s">
        <v>13772</v>
      </c>
      <c r="DT503" t="s">
        <v>13772</v>
      </c>
      <c r="DU503" t="s">
        <v>14301</v>
      </c>
      <c r="DV503" t="s">
        <v>13886</v>
      </c>
      <c r="DW503" t="s">
        <v>13772</v>
      </c>
      <c r="DX503" t="s">
        <v>25142</v>
      </c>
      <c r="DY503" t="s">
        <v>25143</v>
      </c>
      <c r="DZ503" t="s">
        <v>25144</v>
      </c>
      <c r="EA503" t="s">
        <v>13772</v>
      </c>
      <c r="EB503" t="s">
        <v>25145</v>
      </c>
    </row>
    <row r="504" spans="1:132" hidden="1">
      <c r="A504">
        <v>196</v>
      </c>
      <c r="B504">
        <v>1</v>
      </c>
      <c r="C504" t="s">
        <v>495</v>
      </c>
      <c r="D504" t="s">
        <v>73</v>
      </c>
      <c r="E504" t="s">
        <v>73</v>
      </c>
      <c r="F504" t="s">
        <v>73</v>
      </c>
      <c r="G504" t="s">
        <v>73</v>
      </c>
      <c r="H504">
        <v>31.7</v>
      </c>
      <c r="I504">
        <v>319</v>
      </c>
      <c r="J504">
        <v>35837</v>
      </c>
      <c r="K504" t="s">
        <v>496</v>
      </c>
      <c r="L504">
        <f t="shared" si="30"/>
        <v>74</v>
      </c>
      <c r="N504">
        <v>74</v>
      </c>
      <c r="O504">
        <v>74</v>
      </c>
      <c r="P504">
        <v>1</v>
      </c>
      <c r="Q504">
        <v>5</v>
      </c>
      <c r="R504">
        <v>5</v>
      </c>
      <c r="S504">
        <v>6</v>
      </c>
      <c r="T504">
        <v>9</v>
      </c>
      <c r="U504">
        <v>10</v>
      </c>
      <c r="V504">
        <v>5</v>
      </c>
      <c r="W504">
        <v>3</v>
      </c>
      <c r="X504">
        <v>9</v>
      </c>
      <c r="Y504">
        <v>2</v>
      </c>
      <c r="Z504">
        <v>1</v>
      </c>
      <c r="AA504">
        <v>1</v>
      </c>
      <c r="AB504">
        <v>3</v>
      </c>
      <c r="AC504">
        <v>2</v>
      </c>
      <c r="AD504">
        <v>2</v>
      </c>
      <c r="AE504">
        <v>2</v>
      </c>
      <c r="AF504">
        <v>1</v>
      </c>
      <c r="AG504">
        <v>6</v>
      </c>
      <c r="AH504">
        <v>0</v>
      </c>
      <c r="AI504">
        <v>2</v>
      </c>
      <c r="AJ504">
        <v>5</v>
      </c>
      <c r="AK504">
        <v>5</v>
      </c>
      <c r="AL504">
        <v>6</v>
      </c>
      <c r="AM504">
        <v>9</v>
      </c>
      <c r="AN504">
        <v>10</v>
      </c>
      <c r="AO504">
        <v>5</v>
      </c>
      <c r="AP504">
        <v>3</v>
      </c>
      <c r="AQ504">
        <v>9</v>
      </c>
      <c r="AR504">
        <v>2</v>
      </c>
      <c r="AS504">
        <v>1</v>
      </c>
      <c r="AT504">
        <v>1</v>
      </c>
      <c r="AU504">
        <v>3</v>
      </c>
      <c r="AV504">
        <v>2</v>
      </c>
      <c r="AW504">
        <v>2</v>
      </c>
      <c r="AX504">
        <v>2</v>
      </c>
      <c r="AY504">
        <v>1</v>
      </c>
      <c r="AZ504">
        <v>6</v>
      </c>
      <c r="BA504">
        <v>0</v>
      </c>
      <c r="BB504">
        <v>2</v>
      </c>
      <c r="BC504" s="2">
        <v>5</v>
      </c>
      <c r="BD504" s="2">
        <v>5</v>
      </c>
      <c r="BE504" s="2">
        <v>6</v>
      </c>
      <c r="BF504" s="2">
        <v>9</v>
      </c>
      <c r="BG504" s="2">
        <v>10</v>
      </c>
      <c r="BH504" s="2">
        <v>5</v>
      </c>
      <c r="BI504" s="2">
        <v>3</v>
      </c>
      <c r="BJ504" s="2">
        <v>9</v>
      </c>
      <c r="BK504" s="2">
        <v>2</v>
      </c>
      <c r="BL504" s="2">
        <v>1</v>
      </c>
      <c r="BM504" s="2">
        <v>1</v>
      </c>
      <c r="BN504" s="2">
        <v>3</v>
      </c>
      <c r="BO504" s="2">
        <v>2</v>
      </c>
      <c r="BP504" s="2">
        <v>2</v>
      </c>
      <c r="BQ504" s="2">
        <v>2</v>
      </c>
      <c r="BR504" s="2">
        <v>1</v>
      </c>
      <c r="BS504" s="2">
        <v>6</v>
      </c>
      <c r="BT504" s="2">
        <v>0</v>
      </c>
      <c r="BU504" s="2">
        <v>2</v>
      </c>
      <c r="BV504" s="2">
        <f t="shared" si="33"/>
        <v>74</v>
      </c>
      <c r="BW504" s="16">
        <f t="shared" si="31"/>
        <v>3.8947368421052633</v>
      </c>
      <c r="BX504" s="16">
        <f>COUNTIF($BC$6:BU504, "=0") / COUNTIF($BC$6:BU504, "&gt;-1")</f>
        <v>0.12720177196498259</v>
      </c>
      <c r="BY504" s="18">
        <f>SUM($BC$6:BU504) / $BY$4</f>
        <v>0.84944594498339698</v>
      </c>
      <c r="BZ504" s="14">
        <f t="shared" si="32"/>
        <v>1</v>
      </c>
      <c r="CA504" t="s">
        <v>5831</v>
      </c>
      <c r="CB504" s="36">
        <v>6.0582169791736504</v>
      </c>
      <c r="CC504" s="36">
        <v>4.8153206033872298</v>
      </c>
      <c r="CD504" s="36">
        <v>9.6047859708735501</v>
      </c>
      <c r="CE504" s="36">
        <v>13.6072958323791</v>
      </c>
      <c r="CF504" s="36">
        <v>8.6017635993689208</v>
      </c>
      <c r="CG504" s="36">
        <v>4.6486362331974602</v>
      </c>
      <c r="CH504" s="36">
        <v>3.1621868485939202</v>
      </c>
      <c r="CI504" s="36">
        <v>8.7586523818407507</v>
      </c>
      <c r="CJ504" s="37">
        <v>1.5895165864899099</v>
      </c>
      <c r="CK504" s="37">
        <v>0.63064964688828595</v>
      </c>
      <c r="CL504" s="37">
        <v>2.4001630448020301</v>
      </c>
      <c r="CM504" s="37">
        <v>1.6930940931998799</v>
      </c>
      <c r="CN504" s="37">
        <v>1.8375851316302301</v>
      </c>
      <c r="CO504" s="37">
        <v>0.78919057038512497</v>
      </c>
      <c r="CP504" s="37">
        <v>9.0512402871745401</v>
      </c>
      <c r="CQ504" s="37">
        <v>3.0452736929492299</v>
      </c>
      <c r="CR504" s="45">
        <v>-1.6189294707335999</v>
      </c>
      <c r="CS504" s="45">
        <v>-2.8168306663716902</v>
      </c>
      <c r="CT504" s="46">
        <v>2.0742916610842202E-3</v>
      </c>
      <c r="CU504" s="47">
        <v>4.3638400039790696E-3</v>
      </c>
      <c r="CV504" s="48">
        <v>7.4071073061018202</v>
      </c>
      <c r="CW504" s="49">
        <v>2.6295891316899001</v>
      </c>
      <c r="CX504" s="31" t="s">
        <v>5875</v>
      </c>
      <c r="CY504" s="31" t="s">
        <v>5876</v>
      </c>
      <c r="CZ504" t="s">
        <v>6374</v>
      </c>
      <c r="DA504" t="s">
        <v>5904</v>
      </c>
      <c r="DB504">
        <v>484.2</v>
      </c>
      <c r="DC504" t="s">
        <v>15415</v>
      </c>
      <c r="DD504" t="s">
        <v>15416</v>
      </c>
      <c r="DE504" t="s">
        <v>15417</v>
      </c>
      <c r="DF504" t="s">
        <v>15418</v>
      </c>
      <c r="DG504" t="s">
        <v>13772</v>
      </c>
      <c r="DH504" t="str">
        <f>"GGH"</f>
        <v>GGH</v>
      </c>
      <c r="DI504" t="s">
        <v>13772</v>
      </c>
      <c r="DJ504" t="s">
        <v>13777</v>
      </c>
      <c r="DK504">
        <v>9606</v>
      </c>
      <c r="DL504" s="34" t="str">
        <f>HYPERLINK("http://www.uniprot.org/uniprot/Q92820", "Q92820")</f>
        <v>Q92820</v>
      </c>
      <c r="DM504" t="s">
        <v>15419</v>
      </c>
      <c r="DN504" t="s">
        <v>13772</v>
      </c>
      <c r="DO504" t="s">
        <v>14402</v>
      </c>
      <c r="DP504" t="s">
        <v>13793</v>
      </c>
      <c r="DQ504" t="s">
        <v>13772</v>
      </c>
      <c r="DR504" t="s">
        <v>13772</v>
      </c>
      <c r="DS504" t="s">
        <v>13808</v>
      </c>
      <c r="DT504" t="s">
        <v>13772</v>
      </c>
      <c r="DU504" t="s">
        <v>13857</v>
      </c>
      <c r="DV504" t="s">
        <v>13858</v>
      </c>
      <c r="DW504" t="s">
        <v>13812</v>
      </c>
      <c r="DX504" t="s">
        <v>15420</v>
      </c>
      <c r="DY504" t="s">
        <v>15421</v>
      </c>
      <c r="DZ504" t="s">
        <v>15422</v>
      </c>
      <c r="EA504" t="s">
        <v>13772</v>
      </c>
      <c r="EB504" t="s">
        <v>13890</v>
      </c>
    </row>
    <row r="505" spans="1:132" hidden="1">
      <c r="A505">
        <v>695</v>
      </c>
      <c r="B505">
        <v>1</v>
      </c>
      <c r="C505" t="s">
        <v>1711</v>
      </c>
      <c r="D505" t="s">
        <v>1712</v>
      </c>
      <c r="E505" t="s">
        <v>73</v>
      </c>
      <c r="F505" t="s">
        <v>73</v>
      </c>
      <c r="G505" t="s">
        <v>73</v>
      </c>
      <c r="H505">
        <v>11.5</v>
      </c>
      <c r="I505">
        <v>1474</v>
      </c>
      <c r="J505">
        <v>162466</v>
      </c>
      <c r="K505" t="s">
        <v>1713</v>
      </c>
      <c r="L505">
        <f t="shared" si="30"/>
        <v>74</v>
      </c>
      <c r="N505">
        <v>74</v>
      </c>
      <c r="O505">
        <v>74</v>
      </c>
      <c r="P505">
        <v>1</v>
      </c>
      <c r="Q505">
        <v>5</v>
      </c>
      <c r="R505">
        <v>10</v>
      </c>
      <c r="S505">
        <v>10</v>
      </c>
      <c r="T505">
        <v>7</v>
      </c>
      <c r="U505">
        <v>12</v>
      </c>
      <c r="V505">
        <v>10</v>
      </c>
      <c r="W505">
        <v>8</v>
      </c>
      <c r="X505">
        <v>5</v>
      </c>
      <c r="Y505">
        <v>0</v>
      </c>
      <c r="Z505">
        <v>0</v>
      </c>
      <c r="AA505">
        <v>2</v>
      </c>
      <c r="AB505">
        <v>2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5</v>
      </c>
      <c r="AK505">
        <v>10</v>
      </c>
      <c r="AL505">
        <v>10</v>
      </c>
      <c r="AM505">
        <v>7</v>
      </c>
      <c r="AN505">
        <v>12</v>
      </c>
      <c r="AO505">
        <v>10</v>
      </c>
      <c r="AP505">
        <v>8</v>
      </c>
      <c r="AQ505">
        <v>5</v>
      </c>
      <c r="AR505">
        <v>0</v>
      </c>
      <c r="AS505">
        <v>0</v>
      </c>
      <c r="AT505">
        <v>2</v>
      </c>
      <c r="AU505">
        <v>2</v>
      </c>
      <c r="AV505">
        <v>1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1</v>
      </c>
      <c r="BC505" s="2">
        <v>5</v>
      </c>
      <c r="BD505" s="2">
        <v>10</v>
      </c>
      <c r="BE505" s="2">
        <v>10</v>
      </c>
      <c r="BF505" s="2">
        <v>7</v>
      </c>
      <c r="BG505" s="2">
        <v>12</v>
      </c>
      <c r="BH505" s="2">
        <v>10</v>
      </c>
      <c r="BI505" s="2">
        <v>8</v>
      </c>
      <c r="BJ505" s="2">
        <v>5</v>
      </c>
      <c r="BK505" s="2">
        <v>0</v>
      </c>
      <c r="BL505" s="2">
        <v>0</v>
      </c>
      <c r="BM505" s="2">
        <v>2</v>
      </c>
      <c r="BN505" s="2">
        <v>2</v>
      </c>
      <c r="BO505" s="2">
        <v>1</v>
      </c>
      <c r="BP505" s="2">
        <v>0</v>
      </c>
      <c r="BQ505" s="2">
        <v>0</v>
      </c>
      <c r="BR505" s="2">
        <v>0</v>
      </c>
      <c r="BS505" s="2">
        <v>1</v>
      </c>
      <c r="BT505" s="2">
        <v>0</v>
      </c>
      <c r="BU505" s="2">
        <v>1</v>
      </c>
      <c r="BV505" s="2">
        <f t="shared" si="33"/>
        <v>74</v>
      </c>
      <c r="BW505" s="16">
        <f t="shared" si="31"/>
        <v>3.8947368421052633</v>
      </c>
      <c r="BX505" s="16">
        <f>COUNTIF($BC$6:BU505, "=0") / COUNTIF($BC$6:BU505, "&gt;-1")</f>
        <v>0.12757894736842104</v>
      </c>
      <c r="BY505" s="18">
        <f>SUM($BC$6:BU505) / $BY$4</f>
        <v>0.8497629341116808</v>
      </c>
      <c r="BZ505" s="14">
        <f t="shared" si="32"/>
        <v>6</v>
      </c>
      <c r="CA505" t="s">
        <v>5831</v>
      </c>
      <c r="CB505" s="36">
        <v>6.0582169791736504</v>
      </c>
      <c r="CC505" s="36">
        <v>9.6306412067744702</v>
      </c>
      <c r="CD505" s="36">
        <v>16.007976618122601</v>
      </c>
      <c r="CE505" s="36">
        <v>10.5834523140726</v>
      </c>
      <c r="CF505" s="36">
        <v>10.322116319242699</v>
      </c>
      <c r="CG505" s="36">
        <v>9.2972724663949098</v>
      </c>
      <c r="CH505" s="36">
        <v>8.4324982629171306</v>
      </c>
      <c r="CI505" s="36">
        <v>4.8659179899115301</v>
      </c>
      <c r="CJ505" s="37">
        <v>0.19868957331123899</v>
      </c>
      <c r="CK505" s="37">
        <v>1.2612992937765699</v>
      </c>
      <c r="CL505" s="37">
        <v>1.60010869653469</v>
      </c>
      <c r="CM505" s="37">
        <v>0.84654704659994096</v>
      </c>
      <c r="CN505" s="37">
        <v>0.22969814145377901</v>
      </c>
      <c r="CO505" s="37">
        <v>0.19729764259628099</v>
      </c>
      <c r="CP505" s="37">
        <v>1.50854004786242</v>
      </c>
      <c r="CQ505" s="37">
        <v>1.5226368464746201</v>
      </c>
      <c r="CR505" s="45">
        <v>-3.23560966207187</v>
      </c>
      <c r="CS505" s="45">
        <v>-10.2104491136408</v>
      </c>
      <c r="CT505" s="46">
        <v>9.1493178214547695E-11</v>
      </c>
      <c r="CU505" s="47">
        <v>1.61076147961927E-9</v>
      </c>
      <c r="CV505" s="48">
        <v>9.3997615195762005</v>
      </c>
      <c r="CW505" s="49">
        <v>0.92060216107619197</v>
      </c>
      <c r="CX505" s="31" t="s">
        <v>5875</v>
      </c>
      <c r="CY505" s="31" t="s">
        <v>5876</v>
      </c>
      <c r="CZ505" t="s">
        <v>8090</v>
      </c>
      <c r="DA505" t="s">
        <v>5904</v>
      </c>
      <c r="DB505">
        <v>3010.3</v>
      </c>
      <c r="DC505" t="s">
        <v>20647</v>
      </c>
      <c r="DD505" t="s">
        <v>20648</v>
      </c>
      <c r="DE505" t="s">
        <v>20649</v>
      </c>
      <c r="DF505" t="s">
        <v>20650</v>
      </c>
      <c r="DG505" t="s">
        <v>20651</v>
      </c>
      <c r="DH505" t="str">
        <f>"ADGRL1"</f>
        <v>ADGRL1</v>
      </c>
      <c r="DI505" t="s">
        <v>13772</v>
      </c>
      <c r="DJ505" t="s">
        <v>13777</v>
      </c>
      <c r="DK505">
        <v>9606</v>
      </c>
      <c r="DL505" s="34" t="str">
        <f>HYPERLINK("http://www.uniprot.org/uniprot/O94910", "O94910")</f>
        <v>O94910</v>
      </c>
      <c r="DM505" t="s">
        <v>20652</v>
      </c>
      <c r="DN505" t="s">
        <v>13772</v>
      </c>
      <c r="DO505" t="s">
        <v>20653</v>
      </c>
      <c r="DP505" t="s">
        <v>13780</v>
      </c>
      <c r="DQ505" t="s">
        <v>13772</v>
      </c>
      <c r="DR505" t="s">
        <v>13772</v>
      </c>
      <c r="DS505" t="s">
        <v>13855</v>
      </c>
      <c r="DT505" t="s">
        <v>14277</v>
      </c>
      <c r="DU505" t="s">
        <v>13977</v>
      </c>
      <c r="DV505" t="s">
        <v>20654</v>
      </c>
      <c r="DW505" t="s">
        <v>13772</v>
      </c>
      <c r="DX505" t="s">
        <v>20655</v>
      </c>
      <c r="DY505" t="s">
        <v>20656</v>
      </c>
      <c r="DZ505" t="s">
        <v>20657</v>
      </c>
      <c r="EA505" t="s">
        <v>13772</v>
      </c>
      <c r="EB505" t="s">
        <v>13772</v>
      </c>
    </row>
    <row r="506" spans="1:132" hidden="1">
      <c r="A506">
        <v>1016</v>
      </c>
      <c r="B506">
        <v>1</v>
      </c>
      <c r="C506" t="s">
        <v>2457</v>
      </c>
      <c r="D506" t="s">
        <v>73</v>
      </c>
      <c r="E506" t="s">
        <v>73</v>
      </c>
      <c r="F506" t="s">
        <v>73</v>
      </c>
      <c r="G506" t="s">
        <v>73</v>
      </c>
      <c r="H506">
        <v>34.4</v>
      </c>
      <c r="I506">
        <v>573</v>
      </c>
      <c r="J506">
        <v>60968</v>
      </c>
      <c r="K506" t="s">
        <v>2458</v>
      </c>
      <c r="L506">
        <f t="shared" si="30"/>
        <v>74</v>
      </c>
      <c r="N506">
        <v>74</v>
      </c>
      <c r="O506">
        <v>74</v>
      </c>
      <c r="P506">
        <v>1</v>
      </c>
      <c r="Q506">
        <v>2</v>
      </c>
      <c r="R506">
        <v>13</v>
      </c>
      <c r="S506">
        <v>0</v>
      </c>
      <c r="T506">
        <v>0</v>
      </c>
      <c r="U506">
        <v>7</v>
      </c>
      <c r="V506">
        <v>5</v>
      </c>
      <c r="W506">
        <v>0</v>
      </c>
      <c r="X506">
        <v>5</v>
      </c>
      <c r="Y506">
        <v>3</v>
      </c>
      <c r="Z506">
        <v>0</v>
      </c>
      <c r="AA506">
        <v>9</v>
      </c>
      <c r="AB506">
        <v>17</v>
      </c>
      <c r="AC506">
        <v>7</v>
      </c>
      <c r="AD506">
        <v>0</v>
      </c>
      <c r="AE506">
        <v>3</v>
      </c>
      <c r="AF506">
        <v>3</v>
      </c>
      <c r="AG506">
        <v>0</v>
      </c>
      <c r="AH506">
        <v>0</v>
      </c>
      <c r="AI506">
        <v>0</v>
      </c>
      <c r="AJ506">
        <v>2</v>
      </c>
      <c r="AK506">
        <v>13</v>
      </c>
      <c r="AL506">
        <v>0</v>
      </c>
      <c r="AM506">
        <v>0</v>
      </c>
      <c r="AN506">
        <v>7</v>
      </c>
      <c r="AO506">
        <v>5</v>
      </c>
      <c r="AP506">
        <v>0</v>
      </c>
      <c r="AQ506">
        <v>5</v>
      </c>
      <c r="AR506">
        <v>3</v>
      </c>
      <c r="AS506">
        <v>0</v>
      </c>
      <c r="AT506">
        <v>9</v>
      </c>
      <c r="AU506">
        <v>17</v>
      </c>
      <c r="AV506">
        <v>7</v>
      </c>
      <c r="AW506">
        <v>0</v>
      </c>
      <c r="AX506">
        <v>3</v>
      </c>
      <c r="AY506">
        <v>3</v>
      </c>
      <c r="AZ506">
        <v>0</v>
      </c>
      <c r="BA506">
        <v>0</v>
      </c>
      <c r="BB506">
        <v>0</v>
      </c>
      <c r="BC506" s="2">
        <v>2</v>
      </c>
      <c r="BD506" s="2">
        <v>13</v>
      </c>
      <c r="BE506" s="2">
        <v>0</v>
      </c>
      <c r="BF506" s="2">
        <v>0</v>
      </c>
      <c r="BG506" s="2">
        <v>7</v>
      </c>
      <c r="BH506" s="2">
        <v>5</v>
      </c>
      <c r="BI506" s="2">
        <v>0</v>
      </c>
      <c r="BJ506" s="2">
        <v>5</v>
      </c>
      <c r="BK506" s="2">
        <v>3</v>
      </c>
      <c r="BL506" s="2">
        <v>0</v>
      </c>
      <c r="BM506" s="2">
        <v>9</v>
      </c>
      <c r="BN506" s="2">
        <v>17</v>
      </c>
      <c r="BO506" s="2">
        <v>7</v>
      </c>
      <c r="BP506" s="2">
        <v>0</v>
      </c>
      <c r="BQ506" s="2">
        <v>3</v>
      </c>
      <c r="BR506" s="2">
        <v>3</v>
      </c>
      <c r="BS506" s="2">
        <v>0</v>
      </c>
      <c r="BT506" s="2">
        <v>0</v>
      </c>
      <c r="BU506" s="2">
        <v>0</v>
      </c>
      <c r="BV506" s="2">
        <f t="shared" si="33"/>
        <v>74</v>
      </c>
      <c r="BW506" s="16">
        <f t="shared" si="31"/>
        <v>3.8947368421052633</v>
      </c>
      <c r="BX506" s="16">
        <f>COUNTIF($BC$6:BU506, "=0") / COUNTIF($BC$6:BU506, "&gt;-1")</f>
        <v>0.12816472318520852</v>
      </c>
      <c r="BY506" s="18">
        <f>SUM($BC$6:BU506) / $BY$4</f>
        <v>0.85007992323996462</v>
      </c>
      <c r="BZ506" s="14">
        <f t="shared" si="32"/>
        <v>8</v>
      </c>
      <c r="CA506" t="s">
        <v>5831</v>
      </c>
      <c r="CB506" s="36">
        <v>2.4232867916694598</v>
      </c>
      <c r="CC506" s="36">
        <v>12.519833568806799</v>
      </c>
      <c r="CD506" s="36">
        <v>0.40019941545306398</v>
      </c>
      <c r="CE506" s="36">
        <v>0.37798043978830698</v>
      </c>
      <c r="CF506" s="36">
        <v>6.0212345195582504</v>
      </c>
      <c r="CG506" s="36">
        <v>4.6486362331974602</v>
      </c>
      <c r="CH506" s="36">
        <v>0.26351557071616</v>
      </c>
      <c r="CI506" s="36">
        <v>4.8659179899115301</v>
      </c>
      <c r="CJ506" s="37">
        <v>2.3842748797348698</v>
      </c>
      <c r="CK506" s="37">
        <v>5.6758468219945701</v>
      </c>
      <c r="CL506" s="37">
        <v>13.600923920544799</v>
      </c>
      <c r="CM506" s="37">
        <v>5.9258293261995796</v>
      </c>
      <c r="CN506" s="37">
        <v>2.7563776974453398</v>
      </c>
      <c r="CO506" s="37">
        <v>2.36757171115537</v>
      </c>
      <c r="CP506" s="37">
        <v>0.377135011965606</v>
      </c>
      <c r="CQ506" s="37">
        <v>0.38065921161865401</v>
      </c>
      <c r="CR506" s="45">
        <v>8.4618040538562797E-2</v>
      </c>
      <c r="CS506" s="45">
        <v>1.06180129095428</v>
      </c>
      <c r="CT506" s="46">
        <v>0.94793476680615296</v>
      </c>
      <c r="CU506" s="47">
        <v>0.96672005944103001</v>
      </c>
      <c r="CV506" s="48">
        <v>3.9400755661376299</v>
      </c>
      <c r="CW506" s="49">
        <v>4.1835773225823498</v>
      </c>
      <c r="CX506" s="31" t="s">
        <v>5874</v>
      </c>
      <c r="CY506" s="31" t="s">
        <v>5832</v>
      </c>
      <c r="CZ506" t="s">
        <v>9161</v>
      </c>
      <c r="DA506" t="s">
        <v>5904</v>
      </c>
      <c r="DB506">
        <v>1124</v>
      </c>
      <c r="DC506" t="s">
        <v>23739</v>
      </c>
      <c r="DD506" t="s">
        <v>23740</v>
      </c>
      <c r="DE506" t="s">
        <v>23741</v>
      </c>
      <c r="DF506" t="s">
        <v>23742</v>
      </c>
      <c r="DG506" t="s">
        <v>23743</v>
      </c>
      <c r="DH506" t="str">
        <f>"HSPD1"</f>
        <v>HSPD1</v>
      </c>
      <c r="DI506" t="s">
        <v>23744</v>
      </c>
      <c r="DJ506" t="s">
        <v>13777</v>
      </c>
      <c r="DK506">
        <v>9606</v>
      </c>
      <c r="DL506" s="34" t="str">
        <f>HYPERLINK("http://www.uniprot.org/uniprot/P10809", "P10809")</f>
        <v>P10809</v>
      </c>
      <c r="DM506" t="s">
        <v>23745</v>
      </c>
      <c r="DN506" t="s">
        <v>14563</v>
      </c>
      <c r="DO506" t="s">
        <v>14491</v>
      </c>
      <c r="DP506" t="s">
        <v>13841</v>
      </c>
      <c r="DQ506" t="s">
        <v>13772</v>
      </c>
      <c r="DR506" t="s">
        <v>23746</v>
      </c>
      <c r="DS506" t="s">
        <v>14391</v>
      </c>
      <c r="DT506" t="s">
        <v>14005</v>
      </c>
      <c r="DU506" t="s">
        <v>23747</v>
      </c>
      <c r="DV506" t="s">
        <v>13991</v>
      </c>
      <c r="DW506" t="s">
        <v>13812</v>
      </c>
      <c r="DX506" t="s">
        <v>23748</v>
      </c>
      <c r="DY506" t="s">
        <v>23749</v>
      </c>
      <c r="DZ506" t="s">
        <v>23750</v>
      </c>
      <c r="EA506" t="s">
        <v>13772</v>
      </c>
      <c r="EB506" t="s">
        <v>23751</v>
      </c>
    </row>
    <row r="507" spans="1:132" hidden="1">
      <c r="A507">
        <v>1534</v>
      </c>
      <c r="B507">
        <v>1</v>
      </c>
      <c r="C507" t="s">
        <v>3643</v>
      </c>
      <c r="D507" t="s">
        <v>73</v>
      </c>
      <c r="E507" t="s">
        <v>73</v>
      </c>
      <c r="F507" t="s">
        <v>73</v>
      </c>
      <c r="G507" t="s">
        <v>73</v>
      </c>
      <c r="H507">
        <v>44.5</v>
      </c>
      <c r="I507">
        <v>539</v>
      </c>
      <c r="J507">
        <v>58526</v>
      </c>
      <c r="K507" t="s">
        <v>3644</v>
      </c>
      <c r="L507">
        <f t="shared" si="30"/>
        <v>74</v>
      </c>
      <c r="N507">
        <v>74</v>
      </c>
      <c r="O507">
        <v>74</v>
      </c>
      <c r="P507">
        <v>1</v>
      </c>
      <c r="Q507">
        <v>2</v>
      </c>
      <c r="R507">
        <v>6</v>
      </c>
      <c r="S507">
        <v>0</v>
      </c>
      <c r="T507">
        <v>2</v>
      </c>
      <c r="U507">
        <v>17</v>
      </c>
      <c r="V507">
        <v>7</v>
      </c>
      <c r="W507">
        <v>2</v>
      </c>
      <c r="X507">
        <v>7</v>
      </c>
      <c r="Y507">
        <v>0</v>
      </c>
      <c r="Z507">
        <v>0</v>
      </c>
      <c r="AA507">
        <v>11</v>
      </c>
      <c r="AB507">
        <v>12</v>
      </c>
      <c r="AC507">
        <v>6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2</v>
      </c>
      <c r="AK507">
        <v>6</v>
      </c>
      <c r="AL507">
        <v>0</v>
      </c>
      <c r="AM507">
        <v>2</v>
      </c>
      <c r="AN507">
        <v>17</v>
      </c>
      <c r="AO507">
        <v>7</v>
      </c>
      <c r="AP507">
        <v>2</v>
      </c>
      <c r="AQ507">
        <v>7</v>
      </c>
      <c r="AR507">
        <v>0</v>
      </c>
      <c r="AS507">
        <v>0</v>
      </c>
      <c r="AT507">
        <v>11</v>
      </c>
      <c r="AU507">
        <v>12</v>
      </c>
      <c r="AV507">
        <v>6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1</v>
      </c>
      <c r="BC507" s="2">
        <v>2</v>
      </c>
      <c r="BD507" s="2">
        <v>6</v>
      </c>
      <c r="BE507" s="2">
        <v>0</v>
      </c>
      <c r="BF507" s="2">
        <v>2</v>
      </c>
      <c r="BG507" s="2">
        <v>17</v>
      </c>
      <c r="BH507" s="2">
        <v>7</v>
      </c>
      <c r="BI507" s="2">
        <v>2</v>
      </c>
      <c r="BJ507" s="2">
        <v>7</v>
      </c>
      <c r="BK507" s="2">
        <v>0</v>
      </c>
      <c r="BL507" s="2">
        <v>0</v>
      </c>
      <c r="BM507" s="2">
        <v>11</v>
      </c>
      <c r="BN507" s="2">
        <v>12</v>
      </c>
      <c r="BO507" s="2">
        <v>6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1</v>
      </c>
      <c r="BV507" s="2">
        <f t="shared" si="33"/>
        <v>74</v>
      </c>
      <c r="BW507" s="16">
        <f t="shared" si="31"/>
        <v>3.8947368421052633</v>
      </c>
      <c r="BX507" s="16">
        <f>COUNTIF($BC$6:BU507, "=0") / COUNTIF($BC$6:BU507, "&gt;-1")</f>
        <v>0.12864332145103796</v>
      </c>
      <c r="BY507" s="18">
        <f>SUM($BC$6:BU507) / $BY$4</f>
        <v>0.85039691236824855</v>
      </c>
      <c r="BZ507" s="14">
        <f t="shared" si="32"/>
        <v>7</v>
      </c>
      <c r="CA507" t="s">
        <v>5831</v>
      </c>
      <c r="CB507" s="36">
        <v>2.4232867916694598</v>
      </c>
      <c r="CC507" s="36">
        <v>5.7783847240646802</v>
      </c>
      <c r="CD507" s="36">
        <v>0.40019941545306398</v>
      </c>
      <c r="CE507" s="36">
        <v>3.0238435183064598</v>
      </c>
      <c r="CF507" s="36">
        <v>14.6229981189272</v>
      </c>
      <c r="CG507" s="36">
        <v>6.50809072647644</v>
      </c>
      <c r="CH507" s="36">
        <v>2.10812456572928</v>
      </c>
      <c r="CI507" s="36">
        <v>6.8122851858761404</v>
      </c>
      <c r="CJ507" s="37">
        <v>0.19868957331123899</v>
      </c>
      <c r="CK507" s="37">
        <v>6.9371461157711396</v>
      </c>
      <c r="CL507" s="37">
        <v>9.6006521792081099</v>
      </c>
      <c r="CM507" s="37">
        <v>5.0792822795996404</v>
      </c>
      <c r="CN507" s="37">
        <v>0.22969814145377901</v>
      </c>
      <c r="CO507" s="37">
        <v>0.19729764259628099</v>
      </c>
      <c r="CP507" s="37">
        <v>0.377135011965606</v>
      </c>
      <c r="CQ507" s="37">
        <v>1.5226368464746201</v>
      </c>
      <c r="CR507" s="45">
        <v>-0.74293351045220102</v>
      </c>
      <c r="CS507" s="45">
        <v>-1.7262979314092199</v>
      </c>
      <c r="CT507" s="46">
        <v>0.29437544416447797</v>
      </c>
      <c r="CU507" s="47">
        <v>0.37298706845840102</v>
      </c>
      <c r="CV507" s="48">
        <v>5.2096516308128402</v>
      </c>
      <c r="CW507" s="49">
        <v>3.0178172237975498</v>
      </c>
      <c r="CX507" s="31" t="s">
        <v>5875</v>
      </c>
      <c r="CY507" s="31" t="s">
        <v>5832</v>
      </c>
      <c r="CZ507" t="s">
        <v>10849</v>
      </c>
      <c r="DA507" t="s">
        <v>5904</v>
      </c>
      <c r="DB507">
        <v>1070.0999999999999</v>
      </c>
      <c r="DC507" t="s">
        <v>28511</v>
      </c>
      <c r="DD507" t="s">
        <v>28512</v>
      </c>
      <c r="DE507" t="s">
        <v>28513</v>
      </c>
      <c r="DF507" t="s">
        <v>28514</v>
      </c>
      <c r="DG507" t="s">
        <v>28515</v>
      </c>
      <c r="DH507" t="str">
        <f>"ALDH7A1"</f>
        <v>ALDH7A1</v>
      </c>
      <c r="DI507" t="s">
        <v>28516</v>
      </c>
      <c r="DJ507" t="s">
        <v>13777</v>
      </c>
      <c r="DK507">
        <v>9606</v>
      </c>
      <c r="DL507" s="34" t="str">
        <f>HYPERLINK("http://www.uniprot.org/uniprot/P49419", "P49419")</f>
        <v>P49419</v>
      </c>
      <c r="DM507" t="s">
        <v>28517</v>
      </c>
      <c r="DN507" t="s">
        <v>13772</v>
      </c>
      <c r="DO507" t="s">
        <v>19098</v>
      </c>
      <c r="DP507" t="s">
        <v>13780</v>
      </c>
      <c r="DQ507" t="s">
        <v>13772</v>
      </c>
      <c r="DR507" t="s">
        <v>17649</v>
      </c>
      <c r="DS507" t="s">
        <v>14391</v>
      </c>
      <c r="DT507" t="s">
        <v>14492</v>
      </c>
      <c r="DU507" t="s">
        <v>13885</v>
      </c>
      <c r="DV507" t="s">
        <v>14020</v>
      </c>
      <c r="DW507" t="s">
        <v>13812</v>
      </c>
      <c r="DX507" t="s">
        <v>28518</v>
      </c>
      <c r="DY507" t="s">
        <v>28519</v>
      </c>
      <c r="DZ507" t="s">
        <v>28520</v>
      </c>
      <c r="EA507" t="s">
        <v>28521</v>
      </c>
      <c r="EB507" t="s">
        <v>28522</v>
      </c>
    </row>
    <row r="508" spans="1:132" hidden="1">
      <c r="A508">
        <v>2191</v>
      </c>
      <c r="B508">
        <v>1</v>
      </c>
      <c r="C508" t="s">
        <v>5124</v>
      </c>
      <c r="D508" t="s">
        <v>5125</v>
      </c>
      <c r="E508" t="s">
        <v>73</v>
      </c>
      <c r="F508" t="s">
        <v>73</v>
      </c>
      <c r="G508" t="s">
        <v>73</v>
      </c>
      <c r="H508">
        <v>54</v>
      </c>
      <c r="I508">
        <v>372</v>
      </c>
      <c r="J508">
        <v>40814</v>
      </c>
      <c r="K508" t="s">
        <v>5126</v>
      </c>
      <c r="L508">
        <f t="shared" si="30"/>
        <v>74</v>
      </c>
      <c r="N508">
        <v>74</v>
      </c>
      <c r="O508">
        <v>74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5</v>
      </c>
      <c r="V508">
        <v>1</v>
      </c>
      <c r="W508">
        <v>2</v>
      </c>
      <c r="X508">
        <v>1</v>
      </c>
      <c r="Y508">
        <v>17</v>
      </c>
      <c r="Z508">
        <v>0</v>
      </c>
      <c r="AA508">
        <v>16</v>
      </c>
      <c r="AB508">
        <v>2</v>
      </c>
      <c r="AC508">
        <v>7</v>
      </c>
      <c r="AD508">
        <v>0</v>
      </c>
      <c r="AE508">
        <v>9</v>
      </c>
      <c r="AF508">
        <v>11</v>
      </c>
      <c r="AG508">
        <v>0</v>
      </c>
      <c r="AH508">
        <v>0</v>
      </c>
      <c r="AI508">
        <v>2</v>
      </c>
      <c r="AJ508">
        <v>0</v>
      </c>
      <c r="AK508">
        <v>1</v>
      </c>
      <c r="AL508">
        <v>0</v>
      </c>
      <c r="AM508">
        <v>0</v>
      </c>
      <c r="AN508">
        <v>5</v>
      </c>
      <c r="AO508">
        <v>1</v>
      </c>
      <c r="AP508">
        <v>2</v>
      </c>
      <c r="AQ508">
        <v>1</v>
      </c>
      <c r="AR508">
        <v>17</v>
      </c>
      <c r="AS508">
        <v>0</v>
      </c>
      <c r="AT508">
        <v>16</v>
      </c>
      <c r="AU508">
        <v>2</v>
      </c>
      <c r="AV508">
        <v>7</v>
      </c>
      <c r="AW508">
        <v>0</v>
      </c>
      <c r="AX508">
        <v>9</v>
      </c>
      <c r="AY508">
        <v>11</v>
      </c>
      <c r="AZ508">
        <v>0</v>
      </c>
      <c r="BA508">
        <v>0</v>
      </c>
      <c r="BB508">
        <v>2</v>
      </c>
      <c r="BC508" s="2">
        <v>0</v>
      </c>
      <c r="BD508" s="2">
        <v>1</v>
      </c>
      <c r="BE508" s="2">
        <v>0</v>
      </c>
      <c r="BF508" s="2">
        <v>0</v>
      </c>
      <c r="BG508" s="2">
        <v>5</v>
      </c>
      <c r="BH508" s="2">
        <v>1</v>
      </c>
      <c r="BI508" s="2">
        <v>2</v>
      </c>
      <c r="BJ508" s="2">
        <v>1</v>
      </c>
      <c r="BK508" s="2">
        <v>17</v>
      </c>
      <c r="BL508" s="2">
        <v>0</v>
      </c>
      <c r="BM508" s="2">
        <v>16</v>
      </c>
      <c r="BN508" s="2">
        <v>2</v>
      </c>
      <c r="BO508" s="2">
        <v>7</v>
      </c>
      <c r="BP508" s="2">
        <v>0</v>
      </c>
      <c r="BQ508" s="2">
        <v>9</v>
      </c>
      <c r="BR508" s="2">
        <v>11</v>
      </c>
      <c r="BS508" s="2">
        <v>0</v>
      </c>
      <c r="BT508" s="2">
        <v>0</v>
      </c>
      <c r="BU508" s="2">
        <v>2</v>
      </c>
      <c r="BV508" s="2">
        <f t="shared" si="33"/>
        <v>74</v>
      </c>
      <c r="BW508" s="16">
        <f t="shared" si="31"/>
        <v>3.8947368421052633</v>
      </c>
      <c r="BX508" s="16">
        <f>COUNTIF($BC$6:BU508, "=0") / COUNTIF($BC$6:BU508, "&gt;-1")</f>
        <v>0.12912001674165532</v>
      </c>
      <c r="BY508" s="18">
        <f>SUM($BC$6:BU508) / $BY$4</f>
        <v>0.85071390149653237</v>
      </c>
      <c r="BZ508" s="14">
        <f t="shared" si="32"/>
        <v>7</v>
      </c>
      <c r="CA508" t="s">
        <v>5831</v>
      </c>
      <c r="CB508" s="36">
        <v>0.30291084895868198</v>
      </c>
      <c r="CC508" s="36">
        <v>0.96306412067744696</v>
      </c>
      <c r="CD508" s="36">
        <v>0.40019941545306398</v>
      </c>
      <c r="CE508" s="36">
        <v>0.37798043978830698</v>
      </c>
      <c r="CF508" s="36">
        <v>4.3008817996844604</v>
      </c>
      <c r="CG508" s="36">
        <v>0.92972724663949102</v>
      </c>
      <c r="CH508" s="36">
        <v>2.10812456572928</v>
      </c>
      <c r="CI508" s="36">
        <v>0.97318359798230603</v>
      </c>
      <c r="CJ508" s="37">
        <v>13.5108909851643</v>
      </c>
      <c r="CK508" s="37">
        <v>10.0903943502126</v>
      </c>
      <c r="CL508" s="37">
        <v>1.60010869653469</v>
      </c>
      <c r="CM508" s="37">
        <v>5.9258293261995796</v>
      </c>
      <c r="CN508" s="37">
        <v>8.2691330923360304</v>
      </c>
      <c r="CO508" s="37">
        <v>8.6810962742363706</v>
      </c>
      <c r="CP508" s="37">
        <v>0.377135011965606</v>
      </c>
      <c r="CQ508" s="37">
        <v>3.0452736929492299</v>
      </c>
      <c r="CR508" s="45">
        <v>2.1543267387039999</v>
      </c>
      <c r="CS508" s="45">
        <v>4.9729145621987598</v>
      </c>
      <c r="CT508" s="46">
        <v>7.0824912903730101E-4</v>
      </c>
      <c r="CU508" s="47">
        <v>1.65670862701383E-3</v>
      </c>
      <c r="CV508" s="48">
        <v>1.2945090043641301</v>
      </c>
      <c r="CW508" s="49">
        <v>6.4374826786997899</v>
      </c>
      <c r="CX508" s="31" t="s">
        <v>5874</v>
      </c>
      <c r="CY508" s="31" t="s">
        <v>5876</v>
      </c>
      <c r="CZ508" t="s">
        <v>13050</v>
      </c>
      <c r="DA508" t="s">
        <v>5904</v>
      </c>
      <c r="DB508">
        <v>734.2</v>
      </c>
      <c r="DC508" t="s">
        <v>34704</v>
      </c>
      <c r="DD508" t="s">
        <v>34705</v>
      </c>
      <c r="DE508" t="s">
        <v>34706</v>
      </c>
      <c r="DF508" t="s">
        <v>34707</v>
      </c>
      <c r="DG508" t="s">
        <v>34708</v>
      </c>
      <c r="DH508" t="str">
        <f>"NSFL1C"</f>
        <v>NSFL1C</v>
      </c>
      <c r="DI508" t="s">
        <v>34709</v>
      </c>
      <c r="DJ508" t="s">
        <v>13777</v>
      </c>
      <c r="DK508">
        <v>9606</v>
      </c>
      <c r="DL508" s="34" t="str">
        <f>HYPERLINK("http://www.uniprot.org/uniprot/Q9UNZ2", "Q9UNZ2")</f>
        <v>Q9UNZ2</v>
      </c>
      <c r="DM508" t="s">
        <v>34710</v>
      </c>
      <c r="DN508" t="s">
        <v>13772</v>
      </c>
      <c r="DO508" t="s">
        <v>34711</v>
      </c>
      <c r="DP508" t="s">
        <v>13780</v>
      </c>
      <c r="DQ508" t="s">
        <v>13772</v>
      </c>
      <c r="DR508" t="s">
        <v>13772</v>
      </c>
      <c r="DS508" t="s">
        <v>13772</v>
      </c>
      <c r="DT508" t="s">
        <v>13900</v>
      </c>
      <c r="DU508" t="s">
        <v>13772</v>
      </c>
      <c r="DV508" t="s">
        <v>13782</v>
      </c>
      <c r="DW508" t="s">
        <v>13812</v>
      </c>
      <c r="DX508" t="s">
        <v>34712</v>
      </c>
      <c r="DY508" t="s">
        <v>34713</v>
      </c>
      <c r="DZ508" t="s">
        <v>34714</v>
      </c>
      <c r="EA508" t="s">
        <v>13772</v>
      </c>
      <c r="EB508" t="s">
        <v>13772</v>
      </c>
    </row>
    <row r="509" spans="1:132" hidden="1">
      <c r="A509">
        <v>275</v>
      </c>
      <c r="B509">
        <v>1</v>
      </c>
      <c r="C509" t="s">
        <v>698</v>
      </c>
      <c r="D509" t="s">
        <v>73</v>
      </c>
      <c r="E509" t="s">
        <v>73</v>
      </c>
      <c r="F509" t="s">
        <v>73</v>
      </c>
      <c r="G509" t="s">
        <v>73</v>
      </c>
      <c r="H509">
        <v>52.5</v>
      </c>
      <c r="I509">
        <v>356</v>
      </c>
      <c r="J509">
        <v>38260</v>
      </c>
      <c r="K509" t="s">
        <v>699</v>
      </c>
      <c r="L509">
        <f t="shared" si="30"/>
        <v>73</v>
      </c>
      <c r="N509">
        <v>73</v>
      </c>
      <c r="O509">
        <v>73</v>
      </c>
      <c r="P509">
        <v>1</v>
      </c>
      <c r="Q509">
        <v>3</v>
      </c>
      <c r="R509">
        <v>14</v>
      </c>
      <c r="S509">
        <v>2</v>
      </c>
      <c r="T509">
        <v>1</v>
      </c>
      <c r="U509">
        <v>17</v>
      </c>
      <c r="V509">
        <v>19</v>
      </c>
      <c r="W509">
        <v>7</v>
      </c>
      <c r="X509">
        <v>8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14</v>
      </c>
      <c r="AL509">
        <v>2</v>
      </c>
      <c r="AM509">
        <v>1</v>
      </c>
      <c r="AN509">
        <v>17</v>
      </c>
      <c r="AO509">
        <v>19</v>
      </c>
      <c r="AP509">
        <v>7</v>
      </c>
      <c r="AQ509">
        <v>8</v>
      </c>
      <c r="AR509">
        <v>2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s="2">
        <v>3</v>
      </c>
      <c r="BD509" s="2">
        <v>14</v>
      </c>
      <c r="BE509" s="2">
        <v>2</v>
      </c>
      <c r="BF509" s="2">
        <v>1</v>
      </c>
      <c r="BG509" s="2">
        <v>17</v>
      </c>
      <c r="BH509" s="2">
        <v>19</v>
      </c>
      <c r="BI509" s="2">
        <v>7</v>
      </c>
      <c r="BJ509" s="2">
        <v>8</v>
      </c>
      <c r="BK509" s="2">
        <v>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f t="shared" si="33"/>
        <v>73</v>
      </c>
      <c r="BW509" s="16">
        <f t="shared" si="31"/>
        <v>3.8421052631578947</v>
      </c>
      <c r="BX509" s="16">
        <f>COUNTIF($BC$6:BU509, "=0") / COUNTIF($BC$6:BU509, "&gt;-1")</f>
        <v>0.12990810359231411</v>
      </c>
      <c r="BY509" s="18">
        <f>SUM($BC$6:BU509) / $BY$4</f>
        <v>0.85102660698794752</v>
      </c>
      <c r="BZ509" s="14">
        <f t="shared" si="32"/>
        <v>10</v>
      </c>
      <c r="CA509" t="s">
        <v>5831</v>
      </c>
      <c r="CB509" s="36">
        <v>3.6349301875041902</v>
      </c>
      <c r="CC509" s="36">
        <v>13.4828976894843</v>
      </c>
      <c r="CD509" s="36">
        <v>3.2015953236245198</v>
      </c>
      <c r="CE509" s="36">
        <v>1.5119217591532299</v>
      </c>
      <c r="CF509" s="36">
        <v>14.6229981189272</v>
      </c>
      <c r="CG509" s="36">
        <v>17.6648176861503</v>
      </c>
      <c r="CH509" s="36">
        <v>7.3784359800524904</v>
      </c>
      <c r="CI509" s="36">
        <v>7.78546878385845</v>
      </c>
      <c r="CJ509" s="37">
        <v>1.5895165864899099</v>
      </c>
      <c r="CK509" s="37">
        <v>0.15766241172207099</v>
      </c>
      <c r="CL509" s="37">
        <v>0.200013587066836</v>
      </c>
      <c r="CM509" s="37">
        <v>0.21163676164998499</v>
      </c>
      <c r="CN509" s="37">
        <v>0.22969814145377901</v>
      </c>
      <c r="CO509" s="37">
        <v>0.19729764259628099</v>
      </c>
      <c r="CP509" s="37">
        <v>0.377135011965606</v>
      </c>
      <c r="CQ509" s="37">
        <v>0.38065921161865401</v>
      </c>
      <c r="CR509" s="45">
        <v>-4.0613042541284603</v>
      </c>
      <c r="CS509" s="45">
        <v>-20.7209787304892</v>
      </c>
      <c r="CT509" s="46">
        <v>8.8794673643734002E-9</v>
      </c>
      <c r="CU509" s="47">
        <v>8.7358289217144198E-8</v>
      </c>
      <c r="CV509" s="48">
        <v>8.6603831910943292</v>
      </c>
      <c r="CW509" s="49">
        <v>0.41795241932039101</v>
      </c>
      <c r="CX509" s="31" t="s">
        <v>5875</v>
      </c>
      <c r="CY509" s="31" t="s">
        <v>5876</v>
      </c>
      <c r="CZ509" t="s">
        <v>6652</v>
      </c>
      <c r="DA509" t="s">
        <v>5904</v>
      </c>
      <c r="DB509">
        <v>664.1</v>
      </c>
      <c r="DC509" t="s">
        <v>16281</v>
      </c>
      <c r="DD509" t="s">
        <v>16282</v>
      </c>
      <c r="DE509" t="s">
        <v>16283</v>
      </c>
      <c r="DF509" t="s">
        <v>16284</v>
      </c>
      <c r="DG509" t="s">
        <v>16285</v>
      </c>
      <c r="DH509" t="str">
        <f>"SORD"</f>
        <v>SORD</v>
      </c>
      <c r="DI509" t="s">
        <v>13772</v>
      </c>
      <c r="DJ509" t="s">
        <v>13777</v>
      </c>
      <c r="DK509">
        <v>9606</v>
      </c>
      <c r="DL509" s="34" t="str">
        <f>HYPERLINK("http://www.uniprot.org/uniprot/Q00796", "Q00796")</f>
        <v>Q00796</v>
      </c>
      <c r="DM509" t="s">
        <v>16286</v>
      </c>
      <c r="DN509" t="s">
        <v>13772</v>
      </c>
      <c r="DO509" t="s">
        <v>16287</v>
      </c>
      <c r="DP509" t="s">
        <v>13780</v>
      </c>
      <c r="DQ509" t="s">
        <v>13772</v>
      </c>
      <c r="DR509" t="s">
        <v>13772</v>
      </c>
      <c r="DS509" t="s">
        <v>13772</v>
      </c>
      <c r="DT509" t="s">
        <v>16288</v>
      </c>
      <c r="DU509" t="s">
        <v>13885</v>
      </c>
      <c r="DV509" t="s">
        <v>13886</v>
      </c>
      <c r="DW509" t="s">
        <v>13812</v>
      </c>
      <c r="DX509" t="s">
        <v>16289</v>
      </c>
      <c r="DY509" t="s">
        <v>16290</v>
      </c>
      <c r="DZ509" t="s">
        <v>16291</v>
      </c>
      <c r="EA509" t="s">
        <v>13772</v>
      </c>
      <c r="EB509" t="s">
        <v>16292</v>
      </c>
    </row>
    <row r="510" spans="1:132" hidden="1">
      <c r="A510">
        <v>860</v>
      </c>
      <c r="B510">
        <v>1</v>
      </c>
      <c r="C510" t="s">
        <v>2108</v>
      </c>
      <c r="D510" t="s">
        <v>73</v>
      </c>
      <c r="E510" t="s">
        <v>73</v>
      </c>
      <c r="F510" t="s">
        <v>73</v>
      </c>
      <c r="G510" t="s">
        <v>73</v>
      </c>
      <c r="H510">
        <v>19.600000000000001</v>
      </c>
      <c r="I510">
        <v>547</v>
      </c>
      <c r="J510">
        <v>59595</v>
      </c>
      <c r="K510" t="s">
        <v>2109</v>
      </c>
      <c r="L510">
        <f t="shared" si="30"/>
        <v>73</v>
      </c>
      <c r="N510">
        <v>73</v>
      </c>
      <c r="O510">
        <v>73</v>
      </c>
      <c r="P510">
        <v>1</v>
      </c>
      <c r="Q510">
        <v>2</v>
      </c>
      <c r="R510">
        <v>1</v>
      </c>
      <c r="S510">
        <v>1</v>
      </c>
      <c r="T510">
        <v>0</v>
      </c>
      <c r="U510">
        <v>3</v>
      </c>
      <c r="V510">
        <v>1</v>
      </c>
      <c r="W510">
        <v>3</v>
      </c>
      <c r="X510">
        <v>1</v>
      </c>
      <c r="Y510">
        <v>3</v>
      </c>
      <c r="Z510">
        <v>13</v>
      </c>
      <c r="AA510">
        <v>2</v>
      </c>
      <c r="AB510">
        <v>5</v>
      </c>
      <c r="AC510">
        <v>4</v>
      </c>
      <c r="AD510">
        <v>11</v>
      </c>
      <c r="AE510">
        <v>11</v>
      </c>
      <c r="AF510">
        <v>5</v>
      </c>
      <c r="AG510">
        <v>5</v>
      </c>
      <c r="AH510">
        <v>1</v>
      </c>
      <c r="AI510">
        <v>1</v>
      </c>
      <c r="AJ510">
        <v>2</v>
      </c>
      <c r="AK510">
        <v>1</v>
      </c>
      <c r="AL510">
        <v>1</v>
      </c>
      <c r="AM510">
        <v>0</v>
      </c>
      <c r="AN510">
        <v>3</v>
      </c>
      <c r="AO510">
        <v>1</v>
      </c>
      <c r="AP510">
        <v>3</v>
      </c>
      <c r="AQ510">
        <v>1</v>
      </c>
      <c r="AR510">
        <v>3</v>
      </c>
      <c r="AS510">
        <v>13</v>
      </c>
      <c r="AT510">
        <v>2</v>
      </c>
      <c r="AU510">
        <v>5</v>
      </c>
      <c r="AV510">
        <v>4</v>
      </c>
      <c r="AW510">
        <v>11</v>
      </c>
      <c r="AX510">
        <v>11</v>
      </c>
      <c r="AY510">
        <v>5</v>
      </c>
      <c r="AZ510">
        <v>5</v>
      </c>
      <c r="BA510">
        <v>1</v>
      </c>
      <c r="BB510">
        <v>1</v>
      </c>
      <c r="BC510" s="2">
        <v>2</v>
      </c>
      <c r="BD510" s="2">
        <v>1</v>
      </c>
      <c r="BE510" s="2">
        <v>1</v>
      </c>
      <c r="BF510" s="2">
        <v>0</v>
      </c>
      <c r="BG510" s="2">
        <v>3</v>
      </c>
      <c r="BH510" s="2">
        <v>1</v>
      </c>
      <c r="BI510" s="2">
        <v>3</v>
      </c>
      <c r="BJ510" s="2">
        <v>1</v>
      </c>
      <c r="BK510" s="2">
        <v>3</v>
      </c>
      <c r="BL510" s="2">
        <v>13</v>
      </c>
      <c r="BM510" s="2">
        <v>2</v>
      </c>
      <c r="BN510" s="2">
        <v>5</v>
      </c>
      <c r="BO510" s="2">
        <v>4</v>
      </c>
      <c r="BP510" s="2">
        <v>11</v>
      </c>
      <c r="BQ510" s="2">
        <v>11</v>
      </c>
      <c r="BR510" s="2">
        <v>5</v>
      </c>
      <c r="BS510" s="2">
        <v>5</v>
      </c>
      <c r="BT510" s="2">
        <v>1</v>
      </c>
      <c r="BU510" s="2">
        <v>1</v>
      </c>
      <c r="BV510" s="2">
        <f t="shared" si="33"/>
        <v>73</v>
      </c>
      <c r="BW510" s="16">
        <f t="shared" si="31"/>
        <v>3.8421052631578947</v>
      </c>
      <c r="BX510" s="16">
        <f>COUNTIF($BC$6:BU510, "=0") / COUNTIF($BC$6:BU510, "&gt;-1")</f>
        <v>0.12975508077123502</v>
      </c>
      <c r="BY510" s="18">
        <f>SUM($BC$6:BU510) / $BY$4</f>
        <v>0.85133931247936256</v>
      </c>
      <c r="BZ510" s="14">
        <f t="shared" si="32"/>
        <v>1</v>
      </c>
      <c r="CA510" t="s">
        <v>5831</v>
      </c>
      <c r="CB510" s="36">
        <v>2.4232867916694598</v>
      </c>
      <c r="CC510" s="36">
        <v>0.96306412067744696</v>
      </c>
      <c r="CD510" s="36">
        <v>1.6007976618122599</v>
      </c>
      <c r="CE510" s="36">
        <v>0.37798043978830698</v>
      </c>
      <c r="CF510" s="36">
        <v>2.5805290798106801</v>
      </c>
      <c r="CG510" s="36">
        <v>0.92972724663949102</v>
      </c>
      <c r="CH510" s="36">
        <v>3.1621868485939202</v>
      </c>
      <c r="CI510" s="36">
        <v>0.97318359798230603</v>
      </c>
      <c r="CJ510" s="37">
        <v>2.3842748797348698</v>
      </c>
      <c r="CK510" s="37">
        <v>1.2612992937765699</v>
      </c>
      <c r="CL510" s="37">
        <v>4.0002717413367099</v>
      </c>
      <c r="CM510" s="37">
        <v>3.3861881863997598</v>
      </c>
      <c r="CN510" s="37">
        <v>10.1067182239663</v>
      </c>
      <c r="CO510" s="37">
        <v>3.94595285192562</v>
      </c>
      <c r="CP510" s="37">
        <v>7.5427002393121096</v>
      </c>
      <c r="CQ510" s="37">
        <v>1.5226368464746201</v>
      </c>
      <c r="CR510" s="45">
        <v>1.2677814071450799</v>
      </c>
      <c r="CS510" s="45">
        <v>2.6247546892792299</v>
      </c>
      <c r="CT510" s="46">
        <v>2.59732025123325E-2</v>
      </c>
      <c r="CU510" s="47">
        <v>4.3331851572943697E-2</v>
      </c>
      <c r="CV510" s="48">
        <v>1.62634447337173</v>
      </c>
      <c r="CW510" s="49">
        <v>4.2687552828658202</v>
      </c>
      <c r="CX510" s="31" t="s">
        <v>5874</v>
      </c>
      <c r="CY510" s="31" t="s">
        <v>5878</v>
      </c>
      <c r="CZ510" t="s">
        <v>8646</v>
      </c>
      <c r="DA510" t="s">
        <v>5904</v>
      </c>
      <c r="DB510">
        <v>819.3</v>
      </c>
      <c r="DC510" t="s">
        <v>22269</v>
      </c>
      <c r="DD510" t="s">
        <v>22270</v>
      </c>
      <c r="DE510" t="s">
        <v>22271</v>
      </c>
      <c r="DF510" t="s">
        <v>22272</v>
      </c>
      <c r="DG510" t="s">
        <v>22273</v>
      </c>
      <c r="DH510" t="str">
        <f>"CPN2"</f>
        <v>CPN2</v>
      </c>
      <c r="DI510" t="s">
        <v>22274</v>
      </c>
      <c r="DJ510" t="s">
        <v>13777</v>
      </c>
      <c r="DK510">
        <v>9606</v>
      </c>
      <c r="DL510" s="34" t="str">
        <f>HYPERLINK("http://www.uniprot.org/uniprot/P22792", "P22792")</f>
        <v>P22792</v>
      </c>
      <c r="DM510" t="s">
        <v>21385</v>
      </c>
      <c r="DN510" t="s">
        <v>13772</v>
      </c>
      <c r="DO510" t="s">
        <v>14321</v>
      </c>
      <c r="DP510" t="s">
        <v>13793</v>
      </c>
      <c r="DQ510" t="s">
        <v>13772</v>
      </c>
      <c r="DR510" t="s">
        <v>13772</v>
      </c>
      <c r="DS510" t="s">
        <v>19328</v>
      </c>
      <c r="DT510" t="s">
        <v>13772</v>
      </c>
      <c r="DU510" t="s">
        <v>13772</v>
      </c>
      <c r="DV510" t="s">
        <v>13796</v>
      </c>
      <c r="DW510" t="s">
        <v>13772</v>
      </c>
      <c r="DX510" t="s">
        <v>22275</v>
      </c>
      <c r="DY510" t="s">
        <v>22276</v>
      </c>
      <c r="DZ510" t="s">
        <v>14148</v>
      </c>
      <c r="EA510" t="s">
        <v>13772</v>
      </c>
      <c r="EB510" t="s">
        <v>22277</v>
      </c>
    </row>
    <row r="511" spans="1:132" hidden="1">
      <c r="A511">
        <v>1883</v>
      </c>
      <c r="B511">
        <v>1</v>
      </c>
      <c r="C511" t="s">
        <v>4445</v>
      </c>
      <c r="D511" t="s">
        <v>4446</v>
      </c>
      <c r="E511" t="s">
        <v>73</v>
      </c>
      <c r="F511" t="s">
        <v>73</v>
      </c>
      <c r="G511" t="s">
        <v>73</v>
      </c>
      <c r="H511">
        <v>24.5</v>
      </c>
      <c r="I511">
        <v>474</v>
      </c>
      <c r="J511">
        <v>52476</v>
      </c>
      <c r="K511" t="s">
        <v>4447</v>
      </c>
      <c r="L511">
        <f t="shared" si="30"/>
        <v>73</v>
      </c>
      <c r="N511">
        <v>73</v>
      </c>
      <c r="O511">
        <v>73</v>
      </c>
      <c r="P511">
        <v>1</v>
      </c>
      <c r="Q511">
        <v>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7</v>
      </c>
      <c r="Z511">
        <v>0</v>
      </c>
      <c r="AA511">
        <v>15</v>
      </c>
      <c r="AB511">
        <v>6</v>
      </c>
      <c r="AC511">
        <v>14</v>
      </c>
      <c r="AD511">
        <v>0</v>
      </c>
      <c r="AE511">
        <v>7</v>
      </c>
      <c r="AF511">
        <v>16</v>
      </c>
      <c r="AG511">
        <v>4</v>
      </c>
      <c r="AH511">
        <v>1</v>
      </c>
      <c r="AI511">
        <v>1</v>
      </c>
      <c r="AJ511">
        <v>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7</v>
      </c>
      <c r="AS511">
        <v>0</v>
      </c>
      <c r="AT511">
        <v>15</v>
      </c>
      <c r="AU511">
        <v>6</v>
      </c>
      <c r="AV511">
        <v>14</v>
      </c>
      <c r="AW511">
        <v>0</v>
      </c>
      <c r="AX511">
        <v>7</v>
      </c>
      <c r="AY511">
        <v>16</v>
      </c>
      <c r="AZ511">
        <v>4</v>
      </c>
      <c r="BA511">
        <v>1</v>
      </c>
      <c r="BB511">
        <v>1</v>
      </c>
      <c r="BC511" s="2">
        <v>2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7</v>
      </c>
      <c r="BL511" s="2">
        <v>0</v>
      </c>
      <c r="BM511" s="2">
        <v>15</v>
      </c>
      <c r="BN511" s="2">
        <v>6</v>
      </c>
      <c r="BO511" s="2">
        <v>14</v>
      </c>
      <c r="BP511" s="2">
        <v>0</v>
      </c>
      <c r="BQ511" s="2">
        <v>7</v>
      </c>
      <c r="BR511" s="2">
        <v>16</v>
      </c>
      <c r="BS511" s="2">
        <v>4</v>
      </c>
      <c r="BT511" s="2">
        <v>1</v>
      </c>
      <c r="BU511" s="2">
        <v>1</v>
      </c>
      <c r="BV511" s="2">
        <f t="shared" si="33"/>
        <v>73</v>
      </c>
      <c r="BW511" s="16">
        <f t="shared" si="31"/>
        <v>3.8421052631578947</v>
      </c>
      <c r="BX511" s="16">
        <f>COUNTIF($BC$6:BU511, "=0") / COUNTIF($BC$6:BU511, "&gt;-1")</f>
        <v>0.13043478260869565</v>
      </c>
      <c r="BY511" s="18">
        <f>SUM($BC$6:BU511) / $BY$4</f>
        <v>0.85165201797077772</v>
      </c>
      <c r="BZ511" s="14">
        <f t="shared" si="32"/>
        <v>9</v>
      </c>
      <c r="CA511" t="s">
        <v>5831</v>
      </c>
      <c r="CB511" s="36">
        <v>2.4232867916694598</v>
      </c>
      <c r="CC511" s="36">
        <v>0.24076603016936199</v>
      </c>
      <c r="CD511" s="36">
        <v>0.40019941545306398</v>
      </c>
      <c r="CE511" s="36">
        <v>0.37798043978830698</v>
      </c>
      <c r="CF511" s="36">
        <v>0.215044089984223</v>
      </c>
      <c r="CG511" s="36">
        <v>0.23243181165987301</v>
      </c>
      <c r="CH511" s="36">
        <v>0.26351557071616</v>
      </c>
      <c r="CI511" s="36">
        <v>0.24329589949557701</v>
      </c>
      <c r="CJ511" s="37">
        <v>5.5633080527147003</v>
      </c>
      <c r="CK511" s="37">
        <v>9.4597447033242794</v>
      </c>
      <c r="CL511" s="37">
        <v>4.8003260896040603</v>
      </c>
      <c r="CM511" s="37">
        <v>11.8516586523992</v>
      </c>
      <c r="CN511" s="37">
        <v>6.4315479607058004</v>
      </c>
      <c r="CO511" s="37">
        <v>12.627049126161999</v>
      </c>
      <c r="CP511" s="37">
        <v>6.0341601914496898</v>
      </c>
      <c r="CQ511" s="37">
        <v>1.5226368464746201</v>
      </c>
      <c r="CR511" s="45">
        <v>3.58383307371097</v>
      </c>
      <c r="CS511" s="45">
        <v>13.258311340338601</v>
      </c>
      <c r="CT511" s="46">
        <v>4.37878587634807E-8</v>
      </c>
      <c r="CU511" s="47">
        <v>3.2548975014187302E-7</v>
      </c>
      <c r="CV511" s="48">
        <v>0.54956500611700299</v>
      </c>
      <c r="CW511" s="49">
        <v>7.2863039528542899</v>
      </c>
      <c r="CX511" s="31" t="s">
        <v>5874</v>
      </c>
      <c r="CY511" s="31" t="s">
        <v>5876</v>
      </c>
      <c r="CZ511" t="s">
        <v>12032</v>
      </c>
      <c r="DA511" t="s">
        <v>5904</v>
      </c>
      <c r="DB511">
        <v>921</v>
      </c>
      <c r="DC511" t="s">
        <v>31847</v>
      </c>
      <c r="DD511" t="s">
        <v>31848</v>
      </c>
      <c r="DE511" t="s">
        <v>31849</v>
      </c>
      <c r="DF511" t="s">
        <v>31850</v>
      </c>
      <c r="DG511" t="s">
        <v>31851</v>
      </c>
      <c r="DH511" t="str">
        <f>"CORO1A"</f>
        <v>CORO1A</v>
      </c>
      <c r="DI511" t="s">
        <v>31852</v>
      </c>
      <c r="DJ511" t="s">
        <v>13777</v>
      </c>
      <c r="DK511">
        <v>9606</v>
      </c>
      <c r="DL511" s="34" t="str">
        <f>HYPERLINK("http://www.uniprot.org/uniprot/P31146", "P31146")</f>
        <v>P31146</v>
      </c>
      <c r="DM511" t="s">
        <v>31853</v>
      </c>
      <c r="DN511" t="s">
        <v>13772</v>
      </c>
      <c r="DO511" t="s">
        <v>31854</v>
      </c>
      <c r="DP511" t="s">
        <v>13793</v>
      </c>
      <c r="DQ511" t="s">
        <v>13772</v>
      </c>
      <c r="DR511" t="s">
        <v>13807</v>
      </c>
      <c r="DS511" t="s">
        <v>13781</v>
      </c>
      <c r="DT511" t="s">
        <v>13772</v>
      </c>
      <c r="DU511" t="s">
        <v>13990</v>
      </c>
      <c r="DV511" t="s">
        <v>19111</v>
      </c>
      <c r="DW511" t="s">
        <v>13772</v>
      </c>
      <c r="DX511" t="s">
        <v>31855</v>
      </c>
      <c r="DY511" t="s">
        <v>31856</v>
      </c>
      <c r="DZ511" t="s">
        <v>31857</v>
      </c>
      <c r="EA511" t="s">
        <v>13772</v>
      </c>
      <c r="EB511" t="s">
        <v>13772</v>
      </c>
    </row>
    <row r="512" spans="1:132" hidden="1">
      <c r="A512">
        <v>2230</v>
      </c>
      <c r="B512">
        <v>1</v>
      </c>
      <c r="C512" t="s">
        <v>5214</v>
      </c>
      <c r="D512" t="s">
        <v>5215</v>
      </c>
      <c r="E512" t="s">
        <v>73</v>
      </c>
      <c r="F512" t="s">
        <v>73</v>
      </c>
      <c r="G512" t="s">
        <v>73</v>
      </c>
      <c r="H512">
        <v>10.5</v>
      </c>
      <c r="I512">
        <v>1036</v>
      </c>
      <c r="J512">
        <v>113979</v>
      </c>
      <c r="K512" t="s">
        <v>5216</v>
      </c>
      <c r="L512">
        <f t="shared" si="30"/>
        <v>73</v>
      </c>
      <c r="N512">
        <v>73</v>
      </c>
      <c r="O512">
        <v>73</v>
      </c>
      <c r="P512">
        <v>1</v>
      </c>
      <c r="Q512">
        <v>6</v>
      </c>
      <c r="R512">
        <v>6</v>
      </c>
      <c r="S512">
        <v>4</v>
      </c>
      <c r="T512">
        <v>3</v>
      </c>
      <c r="U512">
        <v>10</v>
      </c>
      <c r="V512">
        <v>5</v>
      </c>
      <c r="W512">
        <v>7</v>
      </c>
      <c r="X512">
        <v>2</v>
      </c>
      <c r="Y512">
        <v>3</v>
      </c>
      <c r="Z512">
        <v>0</v>
      </c>
      <c r="AA512">
        <v>4</v>
      </c>
      <c r="AB512">
        <v>3</v>
      </c>
      <c r="AC512">
        <v>2</v>
      </c>
      <c r="AD512">
        <v>1</v>
      </c>
      <c r="AE512">
        <v>4</v>
      </c>
      <c r="AF512">
        <v>7</v>
      </c>
      <c r="AG512">
        <v>1</v>
      </c>
      <c r="AH512">
        <v>2</v>
      </c>
      <c r="AI512">
        <v>3</v>
      </c>
      <c r="AJ512">
        <v>6</v>
      </c>
      <c r="AK512">
        <v>6</v>
      </c>
      <c r="AL512">
        <v>4</v>
      </c>
      <c r="AM512">
        <v>3</v>
      </c>
      <c r="AN512">
        <v>10</v>
      </c>
      <c r="AO512">
        <v>5</v>
      </c>
      <c r="AP512">
        <v>7</v>
      </c>
      <c r="AQ512">
        <v>2</v>
      </c>
      <c r="AR512">
        <v>3</v>
      </c>
      <c r="AS512">
        <v>0</v>
      </c>
      <c r="AT512">
        <v>4</v>
      </c>
      <c r="AU512">
        <v>3</v>
      </c>
      <c r="AV512">
        <v>2</v>
      </c>
      <c r="AW512">
        <v>1</v>
      </c>
      <c r="AX512">
        <v>4</v>
      </c>
      <c r="AY512">
        <v>7</v>
      </c>
      <c r="AZ512">
        <v>1</v>
      </c>
      <c r="BA512">
        <v>2</v>
      </c>
      <c r="BB512">
        <v>3</v>
      </c>
      <c r="BC512" s="2">
        <v>6</v>
      </c>
      <c r="BD512" s="2">
        <v>6</v>
      </c>
      <c r="BE512" s="2">
        <v>4</v>
      </c>
      <c r="BF512" s="2">
        <v>3</v>
      </c>
      <c r="BG512" s="2">
        <v>10</v>
      </c>
      <c r="BH512" s="2">
        <v>5</v>
      </c>
      <c r="BI512" s="2">
        <v>7</v>
      </c>
      <c r="BJ512" s="2">
        <v>2</v>
      </c>
      <c r="BK512" s="2">
        <v>3</v>
      </c>
      <c r="BL512" s="2">
        <v>0</v>
      </c>
      <c r="BM512" s="2">
        <v>4</v>
      </c>
      <c r="BN512" s="2">
        <v>3</v>
      </c>
      <c r="BO512" s="2">
        <v>2</v>
      </c>
      <c r="BP512" s="2">
        <v>1</v>
      </c>
      <c r="BQ512" s="2">
        <v>4</v>
      </c>
      <c r="BR512" s="2">
        <v>7</v>
      </c>
      <c r="BS512" s="2">
        <v>1</v>
      </c>
      <c r="BT512" s="2">
        <v>2</v>
      </c>
      <c r="BU512" s="2">
        <v>3</v>
      </c>
      <c r="BV512" s="2">
        <f t="shared" si="33"/>
        <v>73</v>
      </c>
      <c r="BW512" s="16">
        <f t="shared" si="31"/>
        <v>3.8421052631578947</v>
      </c>
      <c r="BX512" s="16">
        <f>COUNTIF($BC$6:BU512, "=0") / COUNTIF($BC$6:BU512, "&gt;-1")</f>
        <v>0.13028132461330841</v>
      </c>
      <c r="BY512" s="18">
        <f>SUM($BC$6:BU512) / $BY$4</f>
        <v>0.85196472346219287</v>
      </c>
      <c r="BZ512" s="14">
        <f t="shared" si="32"/>
        <v>1</v>
      </c>
      <c r="CA512" t="s">
        <v>5831</v>
      </c>
      <c r="CB512" s="36">
        <v>7.2698603750083803</v>
      </c>
      <c r="CC512" s="36">
        <v>5.7783847240646802</v>
      </c>
      <c r="CD512" s="36">
        <v>6.4031906472490299</v>
      </c>
      <c r="CE512" s="36">
        <v>4.5357652774596904</v>
      </c>
      <c r="CF512" s="36">
        <v>8.6017635993689208</v>
      </c>
      <c r="CG512" s="36">
        <v>4.6486362331974602</v>
      </c>
      <c r="CH512" s="36">
        <v>7.3784359800524904</v>
      </c>
      <c r="CI512" s="36">
        <v>1.9463671959646101</v>
      </c>
      <c r="CJ512" s="37">
        <v>2.3842748797348698</v>
      </c>
      <c r="CK512" s="37">
        <v>2.5225985875531398</v>
      </c>
      <c r="CL512" s="37">
        <v>2.4001630448020301</v>
      </c>
      <c r="CM512" s="37">
        <v>1.6930940931998799</v>
      </c>
      <c r="CN512" s="37">
        <v>3.6751702632604601</v>
      </c>
      <c r="CO512" s="37">
        <v>5.5243339926958699</v>
      </c>
      <c r="CP512" s="37">
        <v>1.50854004786242</v>
      </c>
      <c r="CQ512" s="37">
        <v>4.5679105394238499</v>
      </c>
      <c r="CR512" s="45">
        <v>-0.92088536700312296</v>
      </c>
      <c r="CS512" s="45">
        <v>-1.9180359259766899</v>
      </c>
      <c r="CT512" s="46">
        <v>3.2487035177109901E-2</v>
      </c>
      <c r="CU512" s="47">
        <v>5.2752006149239097E-2</v>
      </c>
      <c r="CV512" s="48">
        <v>5.8203005040456599</v>
      </c>
      <c r="CW512" s="49">
        <v>3.0345106810665698</v>
      </c>
      <c r="CX512" s="31" t="s">
        <v>5875</v>
      </c>
      <c r="CY512" s="31" t="s">
        <v>5877</v>
      </c>
      <c r="CZ512" t="s">
        <v>13176</v>
      </c>
      <c r="DA512" t="s">
        <v>5904</v>
      </c>
      <c r="DB512">
        <v>1872.8</v>
      </c>
      <c r="DC512" t="s">
        <v>35051</v>
      </c>
      <c r="DD512" t="s">
        <v>35052</v>
      </c>
      <c r="DE512" t="s">
        <v>35053</v>
      </c>
      <c r="DF512" t="s">
        <v>35054</v>
      </c>
      <c r="DG512" t="s">
        <v>35055</v>
      </c>
      <c r="DH512" t="str">
        <f>"CRIM1"</f>
        <v>CRIM1</v>
      </c>
      <c r="DI512" t="s">
        <v>35056</v>
      </c>
      <c r="DJ512" t="s">
        <v>13777</v>
      </c>
      <c r="DK512">
        <v>9606</v>
      </c>
      <c r="DL512" s="34" t="str">
        <f>HYPERLINK("http://www.uniprot.org/uniprot/Q9NZV1", "Q9NZV1")</f>
        <v>Q9NZV1</v>
      </c>
      <c r="DM512" t="s">
        <v>35057</v>
      </c>
      <c r="DN512" t="s">
        <v>13772</v>
      </c>
      <c r="DO512" t="s">
        <v>14336</v>
      </c>
      <c r="DP512" t="s">
        <v>13793</v>
      </c>
      <c r="DQ512" t="s">
        <v>13772</v>
      </c>
      <c r="DR512" t="s">
        <v>13772</v>
      </c>
      <c r="DS512" t="s">
        <v>13826</v>
      </c>
      <c r="DT512" t="s">
        <v>13772</v>
      </c>
      <c r="DU512" t="s">
        <v>13772</v>
      </c>
      <c r="DV512" t="s">
        <v>13978</v>
      </c>
      <c r="DW512" t="s">
        <v>13772</v>
      </c>
      <c r="DX512" t="s">
        <v>26471</v>
      </c>
      <c r="DY512" t="s">
        <v>34956</v>
      </c>
      <c r="DZ512" t="s">
        <v>35058</v>
      </c>
      <c r="EA512" t="s">
        <v>13772</v>
      </c>
      <c r="EB512" t="s">
        <v>13772</v>
      </c>
    </row>
    <row r="513" spans="1:132" hidden="1">
      <c r="A513">
        <v>1594</v>
      </c>
      <c r="B513">
        <v>1</v>
      </c>
      <c r="C513" t="s">
        <v>3778</v>
      </c>
      <c r="D513" t="s">
        <v>73</v>
      </c>
      <c r="E513" t="s">
        <v>73</v>
      </c>
      <c r="F513" t="s">
        <v>3776</v>
      </c>
      <c r="G513" t="s">
        <v>73</v>
      </c>
      <c r="H513">
        <v>60.4</v>
      </c>
      <c r="I513">
        <v>498</v>
      </c>
      <c r="J513">
        <v>55562</v>
      </c>
      <c r="K513" t="s">
        <v>3779</v>
      </c>
      <c r="L513">
        <f t="shared" si="30"/>
        <v>97</v>
      </c>
      <c r="N513">
        <v>97</v>
      </c>
      <c r="O513">
        <v>24</v>
      </c>
      <c r="P513">
        <v>0.247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</v>
      </c>
      <c r="X513">
        <v>5</v>
      </c>
      <c r="Y513">
        <v>3</v>
      </c>
      <c r="Z513">
        <v>1</v>
      </c>
      <c r="AA513">
        <v>12</v>
      </c>
      <c r="AB513">
        <v>0</v>
      </c>
      <c r="AC513">
        <v>5</v>
      </c>
      <c r="AD513">
        <v>0</v>
      </c>
      <c r="AE513">
        <v>45</v>
      </c>
      <c r="AF513">
        <v>18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5</v>
      </c>
      <c r="AQ513">
        <v>4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9</v>
      </c>
      <c r="AY513">
        <v>5</v>
      </c>
      <c r="AZ513">
        <v>0</v>
      </c>
      <c r="BA513">
        <v>0</v>
      </c>
      <c r="BB513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6.6669999999999998</v>
      </c>
      <c r="BJ513" s="2">
        <v>4.8</v>
      </c>
      <c r="BK513" s="2">
        <v>1.5</v>
      </c>
      <c r="BL513" s="2">
        <v>1</v>
      </c>
      <c r="BM513" s="2">
        <v>6</v>
      </c>
      <c r="BN513" s="2">
        <v>0</v>
      </c>
      <c r="BO513" s="2">
        <v>2.5</v>
      </c>
      <c r="BP513" s="2">
        <v>0</v>
      </c>
      <c r="BQ513" s="2">
        <v>33.923000000000002</v>
      </c>
      <c r="BR513" s="2">
        <v>15.833</v>
      </c>
      <c r="BS513" s="2">
        <v>0</v>
      </c>
      <c r="BT513" s="2">
        <v>0.5</v>
      </c>
      <c r="BU513" s="2">
        <v>0</v>
      </c>
      <c r="BV513" s="2">
        <f t="shared" si="33"/>
        <v>72.722999999999999</v>
      </c>
      <c r="BW513" s="16">
        <f t="shared" si="31"/>
        <v>3.8275263157894734</v>
      </c>
      <c r="BX513" s="16">
        <f>COUNTIF($BC$6:BU513, "=0") / COUNTIF($BC$6:BU513, "&gt;-1")</f>
        <v>0.13106092001657688</v>
      </c>
      <c r="BY513" s="18">
        <f>SUM($BC$6:BU513) / $BY$4</f>
        <v>0.85227624238619537</v>
      </c>
      <c r="BZ513" s="14">
        <f t="shared" si="32"/>
        <v>10</v>
      </c>
      <c r="CA513" t="s">
        <v>5831</v>
      </c>
      <c r="CB513" s="36">
        <v>0.30291084895868198</v>
      </c>
      <c r="CC513" s="36">
        <v>0.24076603016936199</v>
      </c>
      <c r="CD513" s="36">
        <v>0.40019941545306398</v>
      </c>
      <c r="CE513" s="36">
        <v>0.37798043978830698</v>
      </c>
      <c r="CF513" s="36">
        <v>0.215044089984223</v>
      </c>
      <c r="CG513" s="36">
        <v>0.23243181165987301</v>
      </c>
      <c r="CH513" s="36">
        <v>7.0622172951930899</v>
      </c>
      <c r="CI513" s="36">
        <v>4.6712812703150703</v>
      </c>
      <c r="CJ513" s="37">
        <v>1.19213743986744</v>
      </c>
      <c r="CK513" s="37">
        <v>3.7838978813297102</v>
      </c>
      <c r="CL513" s="37">
        <v>0.200013587066836</v>
      </c>
      <c r="CM513" s="37">
        <v>2.1163676164998502</v>
      </c>
      <c r="CN513" s="37">
        <v>31.147067981132398</v>
      </c>
      <c r="CO513" s="37">
        <v>12.469211012084999</v>
      </c>
      <c r="CP513" s="37">
        <v>0.377135011965606</v>
      </c>
      <c r="CQ513" s="37">
        <v>0.38065921161865401</v>
      </c>
      <c r="CR513" s="45">
        <v>1.84869982842613</v>
      </c>
      <c r="CS513" s="45">
        <v>3.8263449324422401</v>
      </c>
      <c r="CT513" s="46">
        <v>5.6007035166598301E-2</v>
      </c>
      <c r="CU513" s="47">
        <v>8.5544992069530201E-2</v>
      </c>
      <c r="CV513" s="48">
        <v>1.68785390019021</v>
      </c>
      <c r="CW513" s="49">
        <v>6.4583112176956803</v>
      </c>
      <c r="CX513" s="31" t="s">
        <v>5874</v>
      </c>
      <c r="CY513" s="31" t="s">
        <v>5877</v>
      </c>
      <c r="CZ513" t="s">
        <v>11051</v>
      </c>
      <c r="DA513" t="s">
        <v>5904</v>
      </c>
      <c r="DB513">
        <v>963.8</v>
      </c>
      <c r="DC513" t="s">
        <v>29083</v>
      </c>
      <c r="DD513" t="s">
        <v>29084</v>
      </c>
      <c r="DE513" t="s">
        <v>29085</v>
      </c>
      <c r="DF513" t="s">
        <v>29086</v>
      </c>
      <c r="DG513" t="s">
        <v>29087</v>
      </c>
      <c r="DH513" t="str">
        <f>"MYOT"</f>
        <v>MYOT</v>
      </c>
      <c r="DI513" t="s">
        <v>29088</v>
      </c>
      <c r="DJ513" t="s">
        <v>13777</v>
      </c>
      <c r="DK513">
        <v>9606</v>
      </c>
      <c r="DL513" s="34" t="str">
        <f>HYPERLINK("http://www.uniprot.org/uniprot/Q9UBF9", "Q9UBF9")</f>
        <v>Q9UBF9</v>
      </c>
      <c r="DM513" t="s">
        <v>29089</v>
      </c>
      <c r="DN513" t="s">
        <v>13772</v>
      </c>
      <c r="DO513" t="s">
        <v>17663</v>
      </c>
      <c r="DP513" t="s">
        <v>13780</v>
      </c>
      <c r="DQ513" t="s">
        <v>13772</v>
      </c>
      <c r="DR513" t="s">
        <v>29090</v>
      </c>
      <c r="DS513" t="s">
        <v>15552</v>
      </c>
      <c r="DT513" t="s">
        <v>13772</v>
      </c>
      <c r="DU513" t="s">
        <v>14849</v>
      </c>
      <c r="DV513" t="s">
        <v>17914</v>
      </c>
      <c r="DW513" t="s">
        <v>13812</v>
      </c>
      <c r="DX513" t="s">
        <v>29091</v>
      </c>
      <c r="DY513" t="s">
        <v>29092</v>
      </c>
      <c r="DZ513" t="s">
        <v>29093</v>
      </c>
      <c r="EA513" t="s">
        <v>13772</v>
      </c>
      <c r="EB513" t="s">
        <v>13772</v>
      </c>
    </row>
    <row r="514" spans="1:132" hidden="1">
      <c r="A514">
        <v>540</v>
      </c>
      <c r="B514">
        <v>1</v>
      </c>
      <c r="C514" t="s">
        <v>1348</v>
      </c>
      <c r="D514" t="s">
        <v>73</v>
      </c>
      <c r="E514" t="s">
        <v>73</v>
      </c>
      <c r="F514" t="s">
        <v>1349</v>
      </c>
      <c r="G514" t="s">
        <v>73</v>
      </c>
      <c r="H514">
        <v>14.9</v>
      </c>
      <c r="I514">
        <v>3320</v>
      </c>
      <c r="J514">
        <v>352399</v>
      </c>
      <c r="K514" t="s">
        <v>1350</v>
      </c>
      <c r="L514">
        <f t="shared" si="30"/>
        <v>72</v>
      </c>
      <c r="N514">
        <v>72</v>
      </c>
      <c r="O514">
        <v>65</v>
      </c>
      <c r="P514">
        <v>0.90300000000000002</v>
      </c>
      <c r="Q514">
        <v>0</v>
      </c>
      <c r="R514">
        <v>4</v>
      </c>
      <c r="S514">
        <v>1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29</v>
      </c>
      <c r="AA514">
        <v>0</v>
      </c>
      <c r="AB514">
        <v>1</v>
      </c>
      <c r="AC514">
        <v>15</v>
      </c>
      <c r="AD514">
        <v>8</v>
      </c>
      <c r="AE514">
        <v>1</v>
      </c>
      <c r="AF514">
        <v>2</v>
      </c>
      <c r="AG514">
        <v>2</v>
      </c>
      <c r="AH514">
        <v>1</v>
      </c>
      <c r="AI514">
        <v>4</v>
      </c>
      <c r="AJ514">
        <v>0</v>
      </c>
      <c r="AK514">
        <v>4</v>
      </c>
      <c r="AL514">
        <v>1</v>
      </c>
      <c r="AM514">
        <v>2</v>
      </c>
      <c r="AN514">
        <v>0</v>
      </c>
      <c r="AO514">
        <v>0</v>
      </c>
      <c r="AP514">
        <v>0</v>
      </c>
      <c r="AQ514">
        <v>0</v>
      </c>
      <c r="AR514">
        <v>2</v>
      </c>
      <c r="AS514">
        <v>27</v>
      </c>
      <c r="AT514">
        <v>0</v>
      </c>
      <c r="AU514">
        <v>1</v>
      </c>
      <c r="AV514">
        <v>12</v>
      </c>
      <c r="AW514">
        <v>7</v>
      </c>
      <c r="AX514">
        <v>1</v>
      </c>
      <c r="AY514">
        <v>1</v>
      </c>
      <c r="AZ514">
        <v>2</v>
      </c>
      <c r="BA514">
        <v>1</v>
      </c>
      <c r="BB514">
        <v>4</v>
      </c>
      <c r="BC514" s="2">
        <v>0</v>
      </c>
      <c r="BD514" s="2">
        <v>4</v>
      </c>
      <c r="BE514" s="2">
        <v>1</v>
      </c>
      <c r="BF514" s="2">
        <v>2</v>
      </c>
      <c r="BG514" s="2">
        <v>0</v>
      </c>
      <c r="BH514" s="2">
        <v>0</v>
      </c>
      <c r="BI514" s="2">
        <v>0</v>
      </c>
      <c r="BJ514" s="2">
        <v>0</v>
      </c>
      <c r="BK514" s="2">
        <v>2</v>
      </c>
      <c r="BL514" s="2">
        <v>29</v>
      </c>
      <c r="BM514" s="2">
        <v>0</v>
      </c>
      <c r="BN514" s="2">
        <v>1</v>
      </c>
      <c r="BO514" s="2">
        <v>15</v>
      </c>
      <c r="BP514" s="2">
        <v>8</v>
      </c>
      <c r="BQ514" s="2">
        <v>1</v>
      </c>
      <c r="BR514" s="2">
        <v>2</v>
      </c>
      <c r="BS514" s="2">
        <v>2</v>
      </c>
      <c r="BT514" s="2">
        <v>1</v>
      </c>
      <c r="BU514" s="2">
        <v>4</v>
      </c>
      <c r="BV514" s="2">
        <f t="shared" si="33"/>
        <v>72</v>
      </c>
      <c r="BW514" s="16">
        <f t="shared" si="31"/>
        <v>3.7894736842105261</v>
      </c>
      <c r="BX514" s="16">
        <f>COUNTIF($BC$6:BU514, "=0") / COUNTIF($BC$6:BU514, "&gt;-1")</f>
        <v>0.13142384448350738</v>
      </c>
      <c r="BY514" s="18">
        <f>SUM($BC$6:BU514) / $BY$4</f>
        <v>0.85258466424074186</v>
      </c>
      <c r="BZ514" s="14">
        <f t="shared" si="32"/>
        <v>6</v>
      </c>
      <c r="CA514" t="s">
        <v>5831</v>
      </c>
      <c r="CB514" s="36">
        <v>0.30291084895868198</v>
      </c>
      <c r="CC514" s="36">
        <v>3.85225648270979</v>
      </c>
      <c r="CD514" s="36">
        <v>1.6007976618122599</v>
      </c>
      <c r="CE514" s="36">
        <v>3.0238435183064598</v>
      </c>
      <c r="CF514" s="36">
        <v>0.215044089984223</v>
      </c>
      <c r="CG514" s="36">
        <v>0.23243181165987301</v>
      </c>
      <c r="CH514" s="36">
        <v>0.26351557071616</v>
      </c>
      <c r="CI514" s="36">
        <v>0.24329589949557701</v>
      </c>
      <c r="CJ514" s="37">
        <v>1.5895165864899099</v>
      </c>
      <c r="CK514" s="37">
        <v>0.15766241172207099</v>
      </c>
      <c r="CL514" s="37">
        <v>0.80005434826734301</v>
      </c>
      <c r="CM514" s="37">
        <v>12.6982056989991</v>
      </c>
      <c r="CN514" s="37">
        <v>0.91879256581511404</v>
      </c>
      <c r="CO514" s="37">
        <v>1.5783811407702499</v>
      </c>
      <c r="CP514" s="37">
        <v>3.0170800957248498</v>
      </c>
      <c r="CQ514" s="37">
        <v>6.0905473858984696</v>
      </c>
      <c r="CR514" s="45">
        <v>1.40323275216148</v>
      </c>
      <c r="CS514" s="45">
        <v>2.7583702230430802</v>
      </c>
      <c r="CT514" s="46">
        <v>0.119723018516943</v>
      </c>
      <c r="CU514" s="47">
        <v>0.166171575493433</v>
      </c>
      <c r="CV514" s="48">
        <v>1.2167619854553799</v>
      </c>
      <c r="CW514" s="49">
        <v>3.3562800292108901</v>
      </c>
      <c r="CX514" s="31" t="s">
        <v>5874</v>
      </c>
      <c r="CY514" s="31" t="s">
        <v>5832</v>
      </c>
      <c r="CZ514" t="s">
        <v>7567</v>
      </c>
      <c r="DA514" t="s">
        <v>6054</v>
      </c>
      <c r="DB514">
        <v>1696</v>
      </c>
      <c r="DC514" t="s">
        <v>19081</v>
      </c>
      <c r="DD514" t="s">
        <v>19082</v>
      </c>
      <c r="DE514" t="s">
        <v>19083</v>
      </c>
      <c r="DF514" t="s">
        <v>19084</v>
      </c>
      <c r="DG514" t="s">
        <v>19085</v>
      </c>
      <c r="DH514" t="str">
        <f>"MUC5B"</f>
        <v>MUC5B</v>
      </c>
      <c r="DI514" t="s">
        <v>19086</v>
      </c>
      <c r="DJ514" t="s">
        <v>13777</v>
      </c>
      <c r="DK514">
        <v>9606</v>
      </c>
      <c r="DL514" s="34" t="str">
        <f>HYPERLINK("http://www.uniprot.org/uniprot/Q9HC84", "Q9HC84")</f>
        <v>Q9HC84</v>
      </c>
      <c r="DM514" t="s">
        <v>19087</v>
      </c>
      <c r="DN514" t="s">
        <v>13772</v>
      </c>
      <c r="DO514" t="s">
        <v>14321</v>
      </c>
      <c r="DP514" t="s">
        <v>13793</v>
      </c>
      <c r="DQ514" t="s">
        <v>13772</v>
      </c>
      <c r="DR514" t="s">
        <v>13772</v>
      </c>
      <c r="DS514" t="s">
        <v>14404</v>
      </c>
      <c r="DT514" t="s">
        <v>13772</v>
      </c>
      <c r="DU514" t="s">
        <v>13772</v>
      </c>
      <c r="DV514" t="s">
        <v>13796</v>
      </c>
      <c r="DW514" t="s">
        <v>13772</v>
      </c>
      <c r="DX514" t="s">
        <v>19088</v>
      </c>
      <c r="DY514" t="s">
        <v>19089</v>
      </c>
      <c r="DZ514" t="s">
        <v>13772</v>
      </c>
      <c r="EA514" t="s">
        <v>13772</v>
      </c>
      <c r="EB514" t="s">
        <v>19090</v>
      </c>
    </row>
    <row r="515" spans="1:132" hidden="1">
      <c r="A515">
        <v>1363</v>
      </c>
      <c r="B515">
        <v>1</v>
      </c>
      <c r="C515" t="s">
        <v>3259</v>
      </c>
      <c r="D515" t="s">
        <v>73</v>
      </c>
      <c r="E515" t="s">
        <v>73</v>
      </c>
      <c r="F515" t="s">
        <v>73</v>
      </c>
      <c r="G515" t="s">
        <v>73</v>
      </c>
      <c r="H515">
        <v>63.1</v>
      </c>
      <c r="I515">
        <v>233</v>
      </c>
      <c r="J515">
        <v>26205</v>
      </c>
      <c r="K515" t="s">
        <v>3260</v>
      </c>
      <c r="L515">
        <f t="shared" si="30"/>
        <v>72</v>
      </c>
      <c r="N515">
        <v>72</v>
      </c>
      <c r="O515">
        <v>72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3</v>
      </c>
      <c r="W515">
        <v>1</v>
      </c>
      <c r="X515">
        <v>0</v>
      </c>
      <c r="Y515">
        <v>6</v>
      </c>
      <c r="Z515">
        <v>0</v>
      </c>
      <c r="AA515">
        <v>14</v>
      </c>
      <c r="AB515">
        <v>7</v>
      </c>
      <c r="AC515">
        <v>12</v>
      </c>
      <c r="AD515">
        <v>0</v>
      </c>
      <c r="AE515">
        <v>16</v>
      </c>
      <c r="AF515">
        <v>10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3</v>
      </c>
      <c r="AP515">
        <v>1</v>
      </c>
      <c r="AQ515">
        <v>0</v>
      </c>
      <c r="AR515">
        <v>6</v>
      </c>
      <c r="AS515">
        <v>0</v>
      </c>
      <c r="AT515">
        <v>14</v>
      </c>
      <c r="AU515">
        <v>7</v>
      </c>
      <c r="AV515">
        <v>12</v>
      </c>
      <c r="AW515">
        <v>0</v>
      </c>
      <c r="AX515">
        <v>16</v>
      </c>
      <c r="AY515">
        <v>10</v>
      </c>
      <c r="AZ515">
        <v>1</v>
      </c>
      <c r="BA515">
        <v>0</v>
      </c>
      <c r="BB515">
        <v>0</v>
      </c>
      <c r="BC515" s="2">
        <v>0</v>
      </c>
      <c r="BD515" s="2">
        <v>1</v>
      </c>
      <c r="BE515" s="2">
        <v>0</v>
      </c>
      <c r="BF515" s="2">
        <v>0</v>
      </c>
      <c r="BG515" s="2">
        <v>1</v>
      </c>
      <c r="BH515" s="2">
        <v>3</v>
      </c>
      <c r="BI515" s="2">
        <v>1</v>
      </c>
      <c r="BJ515" s="2">
        <v>0</v>
      </c>
      <c r="BK515" s="2">
        <v>6</v>
      </c>
      <c r="BL515" s="2">
        <v>0</v>
      </c>
      <c r="BM515" s="2">
        <v>14</v>
      </c>
      <c r="BN515" s="2">
        <v>7</v>
      </c>
      <c r="BO515" s="2">
        <v>12</v>
      </c>
      <c r="BP515" s="2">
        <v>0</v>
      </c>
      <c r="BQ515" s="2">
        <v>16</v>
      </c>
      <c r="BR515" s="2">
        <v>10</v>
      </c>
      <c r="BS515" s="2">
        <v>1</v>
      </c>
      <c r="BT515" s="2">
        <v>0</v>
      </c>
      <c r="BU515" s="2">
        <v>0</v>
      </c>
      <c r="BV515" s="2">
        <f t="shared" si="33"/>
        <v>72</v>
      </c>
      <c r="BW515" s="16">
        <f t="shared" si="31"/>
        <v>3.7894736842105261</v>
      </c>
      <c r="BX515" s="16">
        <f>COUNTIF($BC$6:BU515, "=0") / COUNTIF($BC$6:BU515, "&gt;-1")</f>
        <v>0.13199174406604747</v>
      </c>
      <c r="BY515" s="18">
        <f>SUM($BC$6:BU515) / $BY$4</f>
        <v>0.85289308609528824</v>
      </c>
      <c r="BZ515" s="14">
        <f t="shared" si="32"/>
        <v>8</v>
      </c>
      <c r="CA515" t="s">
        <v>5831</v>
      </c>
      <c r="CB515" s="36">
        <v>0.30291084895868198</v>
      </c>
      <c r="CC515" s="36">
        <v>0.96306412067744696</v>
      </c>
      <c r="CD515" s="36">
        <v>0.40019941545306398</v>
      </c>
      <c r="CE515" s="36">
        <v>0.37798043978830698</v>
      </c>
      <c r="CF515" s="36">
        <v>0.86017635993689201</v>
      </c>
      <c r="CG515" s="36">
        <v>2.7891817399184702</v>
      </c>
      <c r="CH515" s="36">
        <v>1.05406228286464</v>
      </c>
      <c r="CI515" s="36">
        <v>0.24329589949557701</v>
      </c>
      <c r="CJ515" s="37">
        <v>4.7685497594697397</v>
      </c>
      <c r="CK515" s="37">
        <v>8.8290950564359996</v>
      </c>
      <c r="CL515" s="37">
        <v>5.6003804378713999</v>
      </c>
      <c r="CM515" s="37">
        <v>10.1585645591993</v>
      </c>
      <c r="CN515" s="37">
        <v>14.7006810530418</v>
      </c>
      <c r="CO515" s="37">
        <v>7.8919057038512497</v>
      </c>
      <c r="CP515" s="37">
        <v>1.50854004786242</v>
      </c>
      <c r="CQ515" s="37">
        <v>0.38065921161865401</v>
      </c>
      <c r="CR515" s="45">
        <v>2.7490778430180001</v>
      </c>
      <c r="CS515" s="45">
        <v>7.7012399462958303</v>
      </c>
      <c r="CT515" s="46">
        <v>1.42577098616139E-5</v>
      </c>
      <c r="CU515" s="47">
        <v>5.0467766653014201E-5</v>
      </c>
      <c r="CV515" s="48">
        <v>0.87385888838663495</v>
      </c>
      <c r="CW515" s="49">
        <v>6.7297969786688201</v>
      </c>
      <c r="CX515" s="31" t="s">
        <v>5874</v>
      </c>
      <c r="CY515" s="31" t="s">
        <v>5876</v>
      </c>
      <c r="CZ515" t="s">
        <v>10288</v>
      </c>
      <c r="DA515" t="s">
        <v>5904</v>
      </c>
      <c r="DB515">
        <v>423.7</v>
      </c>
      <c r="DC515" t="s">
        <v>26962</v>
      </c>
      <c r="DD515" t="s">
        <v>26963</v>
      </c>
      <c r="DE515" t="s">
        <v>26964</v>
      </c>
      <c r="DF515" t="s">
        <v>26965</v>
      </c>
      <c r="DG515" t="s">
        <v>26966</v>
      </c>
      <c r="DH515" t="str">
        <f>"MSRA"</f>
        <v>MSRA</v>
      </c>
      <c r="DI515" t="s">
        <v>13772</v>
      </c>
      <c r="DJ515" t="s">
        <v>13777</v>
      </c>
      <c r="DK515">
        <v>9606</v>
      </c>
      <c r="DL515" s="34" t="str">
        <f>HYPERLINK("http://www.uniprot.org/uniprot/Q9UJ68", "Q9UJ68")</f>
        <v>Q9UJ68</v>
      </c>
      <c r="DM515" t="s">
        <v>26967</v>
      </c>
      <c r="DN515" t="s">
        <v>13772</v>
      </c>
      <c r="DO515" t="s">
        <v>26968</v>
      </c>
      <c r="DP515" t="s">
        <v>26969</v>
      </c>
      <c r="DQ515" t="s">
        <v>13772</v>
      </c>
      <c r="DR515" t="s">
        <v>13772</v>
      </c>
      <c r="DS515" t="s">
        <v>14391</v>
      </c>
      <c r="DT515" t="s">
        <v>13772</v>
      </c>
      <c r="DU515" t="s">
        <v>13885</v>
      </c>
      <c r="DV515" t="s">
        <v>26970</v>
      </c>
      <c r="DW515" t="s">
        <v>13772</v>
      </c>
      <c r="DX515" t="s">
        <v>26971</v>
      </c>
      <c r="DY515" t="s">
        <v>26972</v>
      </c>
      <c r="DZ515" t="s">
        <v>26973</v>
      </c>
      <c r="EA515" t="s">
        <v>13772</v>
      </c>
      <c r="EB515" t="s">
        <v>26974</v>
      </c>
    </row>
    <row r="516" spans="1:132" hidden="1">
      <c r="A516">
        <v>1711</v>
      </c>
      <c r="B516">
        <v>1</v>
      </c>
      <c r="C516" t="s">
        <v>4058</v>
      </c>
      <c r="D516" t="s">
        <v>73</v>
      </c>
      <c r="E516" t="s">
        <v>73</v>
      </c>
      <c r="F516" t="s">
        <v>73</v>
      </c>
      <c r="G516" t="s">
        <v>73</v>
      </c>
      <c r="H516">
        <v>29</v>
      </c>
      <c r="I516">
        <v>303</v>
      </c>
      <c r="J516">
        <v>35110</v>
      </c>
      <c r="K516" t="s">
        <v>4059</v>
      </c>
      <c r="L516">
        <f t="shared" si="30"/>
        <v>72</v>
      </c>
      <c r="N516">
        <v>72</v>
      </c>
      <c r="O516">
        <v>72</v>
      </c>
      <c r="P516">
        <v>1</v>
      </c>
      <c r="Q516">
        <v>5</v>
      </c>
      <c r="R516">
        <v>6</v>
      </c>
      <c r="S516">
        <v>1</v>
      </c>
      <c r="T516">
        <v>3</v>
      </c>
      <c r="U516">
        <v>5</v>
      </c>
      <c r="V516">
        <v>6</v>
      </c>
      <c r="W516">
        <v>4</v>
      </c>
      <c r="X516">
        <v>9</v>
      </c>
      <c r="Y516">
        <v>2</v>
      </c>
      <c r="Z516">
        <v>0</v>
      </c>
      <c r="AA516">
        <v>4</v>
      </c>
      <c r="AB516">
        <v>5</v>
      </c>
      <c r="AC516">
        <v>3</v>
      </c>
      <c r="AD516">
        <v>5</v>
      </c>
      <c r="AE516">
        <v>4</v>
      </c>
      <c r="AF516">
        <v>5</v>
      </c>
      <c r="AG516">
        <v>2</v>
      </c>
      <c r="AH516">
        <v>0</v>
      </c>
      <c r="AI516">
        <v>3</v>
      </c>
      <c r="AJ516">
        <v>5</v>
      </c>
      <c r="AK516">
        <v>6</v>
      </c>
      <c r="AL516">
        <v>1</v>
      </c>
      <c r="AM516">
        <v>3</v>
      </c>
      <c r="AN516">
        <v>5</v>
      </c>
      <c r="AO516">
        <v>6</v>
      </c>
      <c r="AP516">
        <v>4</v>
      </c>
      <c r="AQ516">
        <v>9</v>
      </c>
      <c r="AR516">
        <v>2</v>
      </c>
      <c r="AS516">
        <v>0</v>
      </c>
      <c r="AT516">
        <v>4</v>
      </c>
      <c r="AU516">
        <v>5</v>
      </c>
      <c r="AV516">
        <v>3</v>
      </c>
      <c r="AW516">
        <v>5</v>
      </c>
      <c r="AX516">
        <v>4</v>
      </c>
      <c r="AY516">
        <v>5</v>
      </c>
      <c r="AZ516">
        <v>2</v>
      </c>
      <c r="BA516">
        <v>0</v>
      </c>
      <c r="BB516">
        <v>3</v>
      </c>
      <c r="BC516" s="2">
        <v>5</v>
      </c>
      <c r="BD516" s="2">
        <v>6</v>
      </c>
      <c r="BE516" s="2">
        <v>1</v>
      </c>
      <c r="BF516" s="2">
        <v>3</v>
      </c>
      <c r="BG516" s="2">
        <v>5</v>
      </c>
      <c r="BH516" s="2">
        <v>6</v>
      </c>
      <c r="BI516" s="2">
        <v>4</v>
      </c>
      <c r="BJ516" s="2">
        <v>9</v>
      </c>
      <c r="BK516" s="2">
        <v>2</v>
      </c>
      <c r="BL516" s="2">
        <v>0</v>
      </c>
      <c r="BM516" s="2">
        <v>4</v>
      </c>
      <c r="BN516" s="2">
        <v>5</v>
      </c>
      <c r="BO516" s="2">
        <v>3</v>
      </c>
      <c r="BP516" s="2">
        <v>5</v>
      </c>
      <c r="BQ516" s="2">
        <v>4</v>
      </c>
      <c r="BR516" s="2">
        <v>5</v>
      </c>
      <c r="BS516" s="2">
        <v>2</v>
      </c>
      <c r="BT516" s="2">
        <v>0</v>
      </c>
      <c r="BU516" s="2">
        <v>3</v>
      </c>
      <c r="BV516" s="2">
        <f t="shared" si="33"/>
        <v>72</v>
      </c>
      <c r="BW516" s="16">
        <f t="shared" si="31"/>
        <v>3.7894736842105261</v>
      </c>
      <c r="BX516" s="16">
        <f>COUNTIF($BC$6:BU516, "=0") / COUNTIF($BC$6:BU516, "&gt;-1")</f>
        <v>0.13193943763518384</v>
      </c>
      <c r="BY516" s="18">
        <f>SUM($BC$6:BU516) / $BY$4</f>
        <v>0.85320150794983474</v>
      </c>
      <c r="BZ516" s="14">
        <f t="shared" si="32"/>
        <v>2</v>
      </c>
      <c r="CA516" t="s">
        <v>5831</v>
      </c>
      <c r="CB516" s="36">
        <v>6.0582169791736504</v>
      </c>
      <c r="CC516" s="36">
        <v>5.7783847240646802</v>
      </c>
      <c r="CD516" s="36">
        <v>1.6007976618122599</v>
      </c>
      <c r="CE516" s="36">
        <v>4.5357652774596904</v>
      </c>
      <c r="CF516" s="36">
        <v>4.3008817996844604</v>
      </c>
      <c r="CG516" s="36">
        <v>5.5783634798369501</v>
      </c>
      <c r="CH516" s="36">
        <v>4.21624913145856</v>
      </c>
      <c r="CI516" s="36">
        <v>8.7586523818407507</v>
      </c>
      <c r="CJ516" s="37">
        <v>1.5895165864899099</v>
      </c>
      <c r="CK516" s="37">
        <v>2.5225985875531398</v>
      </c>
      <c r="CL516" s="37">
        <v>4.0002717413367099</v>
      </c>
      <c r="CM516" s="37">
        <v>2.5396411397998202</v>
      </c>
      <c r="CN516" s="37">
        <v>3.6751702632604601</v>
      </c>
      <c r="CO516" s="37">
        <v>3.94595285192562</v>
      </c>
      <c r="CP516" s="37">
        <v>3.0170800957248498</v>
      </c>
      <c r="CQ516" s="37">
        <v>4.5679105394238499</v>
      </c>
      <c r="CR516" s="45">
        <v>-0.718641293089336</v>
      </c>
      <c r="CS516" s="45">
        <v>-1.5788957977879301</v>
      </c>
      <c r="CT516" s="46">
        <v>0.10264874557676799</v>
      </c>
      <c r="CU516" s="47">
        <v>0.145800447538977</v>
      </c>
      <c r="CV516" s="48">
        <v>5.1034139294163703</v>
      </c>
      <c r="CW516" s="49">
        <v>3.2322677256893</v>
      </c>
      <c r="CX516" s="31" t="s">
        <v>5875</v>
      </c>
      <c r="CY516" s="31" t="s">
        <v>5832</v>
      </c>
      <c r="CZ516" t="s">
        <v>11458</v>
      </c>
      <c r="DA516" t="s">
        <v>5904</v>
      </c>
      <c r="DB516">
        <v>588.20000000000005</v>
      </c>
      <c r="DC516" t="s">
        <v>30216</v>
      </c>
      <c r="DD516" t="s">
        <v>30217</v>
      </c>
      <c r="DE516" t="s">
        <v>30218</v>
      </c>
      <c r="DF516" t="s">
        <v>30219</v>
      </c>
      <c r="DG516" t="s">
        <v>30220</v>
      </c>
      <c r="DH516" t="str">
        <f>"ATP1B1"</f>
        <v>ATP1B1</v>
      </c>
      <c r="DI516" t="s">
        <v>30221</v>
      </c>
      <c r="DJ516" t="s">
        <v>13777</v>
      </c>
      <c r="DK516">
        <v>9606</v>
      </c>
      <c r="DL516" s="34" t="str">
        <f>HYPERLINK("http://www.uniprot.org/uniprot/P05026", "P05026")</f>
        <v>P05026</v>
      </c>
      <c r="DM516" t="s">
        <v>30222</v>
      </c>
      <c r="DN516" t="s">
        <v>30223</v>
      </c>
      <c r="DO516" t="s">
        <v>13792</v>
      </c>
      <c r="DP516" t="s">
        <v>13841</v>
      </c>
      <c r="DQ516" t="s">
        <v>13772</v>
      </c>
      <c r="DR516" t="s">
        <v>13772</v>
      </c>
      <c r="DS516" t="s">
        <v>14417</v>
      </c>
      <c r="DT516" t="s">
        <v>19051</v>
      </c>
      <c r="DU516" t="s">
        <v>13772</v>
      </c>
      <c r="DV516" t="s">
        <v>30224</v>
      </c>
      <c r="DW516" t="s">
        <v>13772</v>
      </c>
      <c r="DX516" t="s">
        <v>30225</v>
      </c>
      <c r="DY516" t="s">
        <v>30226</v>
      </c>
      <c r="DZ516" t="s">
        <v>30227</v>
      </c>
      <c r="EA516" t="s">
        <v>13772</v>
      </c>
      <c r="EB516" t="s">
        <v>30228</v>
      </c>
    </row>
    <row r="517" spans="1:132" hidden="1">
      <c r="A517">
        <v>2098</v>
      </c>
      <c r="B517">
        <v>1</v>
      </c>
      <c r="C517" t="s">
        <v>4927</v>
      </c>
      <c r="D517" t="s">
        <v>73</v>
      </c>
      <c r="E517" t="s">
        <v>73</v>
      </c>
      <c r="F517" t="s">
        <v>73</v>
      </c>
      <c r="G517" t="s">
        <v>73</v>
      </c>
      <c r="H517">
        <v>31.9</v>
      </c>
      <c r="I517">
        <v>273</v>
      </c>
      <c r="J517">
        <v>30866</v>
      </c>
      <c r="K517" t="s">
        <v>4928</v>
      </c>
      <c r="L517">
        <f t="shared" si="30"/>
        <v>72</v>
      </c>
      <c r="N517">
        <v>72</v>
      </c>
      <c r="O517">
        <v>72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3</v>
      </c>
      <c r="Y517">
        <v>15</v>
      </c>
      <c r="Z517">
        <v>1</v>
      </c>
      <c r="AA517">
        <v>16</v>
      </c>
      <c r="AB517">
        <v>7</v>
      </c>
      <c r="AC517">
        <v>10</v>
      </c>
      <c r="AD517">
        <v>1</v>
      </c>
      <c r="AE517">
        <v>5</v>
      </c>
      <c r="AF517">
        <v>3</v>
      </c>
      <c r="AG517">
        <v>5</v>
      </c>
      <c r="AH517">
        <v>1</v>
      </c>
      <c r="AI517">
        <v>3</v>
      </c>
      <c r="AJ517">
        <v>0</v>
      </c>
      <c r="AK517">
        <v>0</v>
      </c>
      <c r="AL517">
        <v>0</v>
      </c>
      <c r="AM517">
        <v>0</v>
      </c>
      <c r="AN517">
        <v>2</v>
      </c>
      <c r="AO517">
        <v>0</v>
      </c>
      <c r="AP517">
        <v>0</v>
      </c>
      <c r="AQ517">
        <v>3</v>
      </c>
      <c r="AR517">
        <v>15</v>
      </c>
      <c r="AS517">
        <v>1</v>
      </c>
      <c r="AT517">
        <v>16</v>
      </c>
      <c r="AU517">
        <v>7</v>
      </c>
      <c r="AV517">
        <v>10</v>
      </c>
      <c r="AW517">
        <v>1</v>
      </c>
      <c r="AX517">
        <v>5</v>
      </c>
      <c r="AY517">
        <v>3</v>
      </c>
      <c r="AZ517">
        <v>5</v>
      </c>
      <c r="BA517">
        <v>1</v>
      </c>
      <c r="BB517">
        <v>3</v>
      </c>
      <c r="BC517" s="2">
        <v>0</v>
      </c>
      <c r="BD517" s="2">
        <v>0</v>
      </c>
      <c r="BE517" s="2">
        <v>0</v>
      </c>
      <c r="BF517" s="2">
        <v>0</v>
      </c>
      <c r="BG517" s="2">
        <v>2</v>
      </c>
      <c r="BH517" s="2">
        <v>0</v>
      </c>
      <c r="BI517" s="2">
        <v>0</v>
      </c>
      <c r="BJ517" s="2">
        <v>3</v>
      </c>
      <c r="BK517" s="2">
        <v>15</v>
      </c>
      <c r="BL517" s="2">
        <v>1</v>
      </c>
      <c r="BM517" s="2">
        <v>16</v>
      </c>
      <c r="BN517" s="2">
        <v>7</v>
      </c>
      <c r="BO517" s="2">
        <v>10</v>
      </c>
      <c r="BP517" s="2">
        <v>1</v>
      </c>
      <c r="BQ517" s="2">
        <v>5</v>
      </c>
      <c r="BR517" s="2">
        <v>3</v>
      </c>
      <c r="BS517" s="2">
        <v>5</v>
      </c>
      <c r="BT517" s="2">
        <v>1</v>
      </c>
      <c r="BU517" s="2">
        <v>3</v>
      </c>
      <c r="BV517" s="2">
        <f t="shared" si="33"/>
        <v>72</v>
      </c>
      <c r="BW517" s="16">
        <f t="shared" si="31"/>
        <v>3.7894736842105261</v>
      </c>
      <c r="BX517" s="16">
        <f>COUNTIF($BC$6:BU517, "=0") / COUNTIF($BC$6:BU517, "&gt;-1")</f>
        <v>0.13229851973684212</v>
      </c>
      <c r="BY517" s="18">
        <f>SUM($BC$6:BU517) / $BY$4</f>
        <v>0.85350992980438112</v>
      </c>
      <c r="BZ517" s="14">
        <f t="shared" si="32"/>
        <v>6</v>
      </c>
      <c r="CA517" t="s">
        <v>5831</v>
      </c>
      <c r="CB517" s="36">
        <v>0.30291084895868198</v>
      </c>
      <c r="CC517" s="36">
        <v>0.24076603016936199</v>
      </c>
      <c r="CD517" s="36">
        <v>0.40019941545306398</v>
      </c>
      <c r="CE517" s="36">
        <v>0.37798043978830698</v>
      </c>
      <c r="CF517" s="36">
        <v>1.72035271987378</v>
      </c>
      <c r="CG517" s="36">
        <v>0.23243181165987301</v>
      </c>
      <c r="CH517" s="36">
        <v>0.26351557071616</v>
      </c>
      <c r="CI517" s="36">
        <v>2.9195507939469199</v>
      </c>
      <c r="CJ517" s="37">
        <v>11.9213743986744</v>
      </c>
      <c r="CK517" s="37">
        <v>10.0903943502126</v>
      </c>
      <c r="CL517" s="37">
        <v>5.6003804378713999</v>
      </c>
      <c r="CM517" s="37">
        <v>8.4654704659994096</v>
      </c>
      <c r="CN517" s="37">
        <v>4.5939628290755703</v>
      </c>
      <c r="CO517" s="37">
        <v>2.36757171115537</v>
      </c>
      <c r="CP517" s="37">
        <v>7.5427002393121096</v>
      </c>
      <c r="CQ517" s="37">
        <v>4.5679105394238499</v>
      </c>
      <c r="CR517" s="45">
        <v>2.83930943306108</v>
      </c>
      <c r="CS517" s="45">
        <v>8.5401458422622394</v>
      </c>
      <c r="CT517" s="46">
        <v>6.9462224233435703E-7</v>
      </c>
      <c r="CU517" s="47">
        <v>3.5746329240129601E-6</v>
      </c>
      <c r="CV517" s="48">
        <v>0.80721345382076903</v>
      </c>
      <c r="CW517" s="49">
        <v>6.8937206214655804</v>
      </c>
      <c r="CX517" s="31" t="s">
        <v>5874</v>
      </c>
      <c r="CY517" s="31" t="s">
        <v>5876</v>
      </c>
      <c r="CZ517" t="s">
        <v>12744</v>
      </c>
      <c r="DA517" t="s">
        <v>5904</v>
      </c>
      <c r="DB517">
        <v>496.5</v>
      </c>
      <c r="DC517" t="s">
        <v>33854</v>
      </c>
      <c r="DD517" t="s">
        <v>33855</v>
      </c>
      <c r="DE517" t="s">
        <v>33856</v>
      </c>
      <c r="DF517" t="s">
        <v>33857</v>
      </c>
      <c r="DG517" t="s">
        <v>33858</v>
      </c>
      <c r="DH517" t="str">
        <f>"NQO1"</f>
        <v>NQO1</v>
      </c>
      <c r="DI517" t="s">
        <v>33859</v>
      </c>
      <c r="DJ517" t="s">
        <v>13777</v>
      </c>
      <c r="DK517">
        <v>9606</v>
      </c>
      <c r="DL517" s="34" t="str">
        <f>HYPERLINK("http://www.uniprot.org/uniprot/P15559", "P15559")</f>
        <v>P15559</v>
      </c>
      <c r="DM517" t="s">
        <v>33860</v>
      </c>
      <c r="DN517" t="s">
        <v>13772</v>
      </c>
      <c r="DO517" t="s">
        <v>13899</v>
      </c>
      <c r="DP517" t="s">
        <v>13780</v>
      </c>
      <c r="DQ517" t="s">
        <v>13772</v>
      </c>
      <c r="DR517" t="s">
        <v>13772</v>
      </c>
      <c r="DS517" t="s">
        <v>13772</v>
      </c>
      <c r="DT517" t="s">
        <v>33861</v>
      </c>
      <c r="DU517" t="s">
        <v>13885</v>
      </c>
      <c r="DV517" t="s">
        <v>13938</v>
      </c>
      <c r="DW517" t="s">
        <v>13812</v>
      </c>
      <c r="DX517" t="s">
        <v>33862</v>
      </c>
      <c r="DY517" t="s">
        <v>33863</v>
      </c>
      <c r="DZ517" t="s">
        <v>33864</v>
      </c>
      <c r="EA517" t="s">
        <v>13772</v>
      </c>
      <c r="EB517" t="s">
        <v>33865</v>
      </c>
    </row>
    <row r="518" spans="1:132" hidden="1">
      <c r="A518">
        <v>2245</v>
      </c>
      <c r="B518">
        <v>1</v>
      </c>
      <c r="C518" t="s">
        <v>5251</v>
      </c>
      <c r="D518" t="s">
        <v>73</v>
      </c>
      <c r="E518" t="s">
        <v>73</v>
      </c>
      <c r="F518" t="s">
        <v>73</v>
      </c>
      <c r="G518" t="s">
        <v>73</v>
      </c>
      <c r="H518">
        <v>33.299999999999997</v>
      </c>
      <c r="I518">
        <v>667</v>
      </c>
      <c r="J518">
        <v>70547</v>
      </c>
      <c r="K518" t="s">
        <v>5252</v>
      </c>
      <c r="L518">
        <f t="shared" ref="L518:L581" si="34">N518</f>
        <v>72</v>
      </c>
      <c r="N518">
        <v>72</v>
      </c>
      <c r="O518">
        <v>72</v>
      </c>
      <c r="P518">
        <v>1</v>
      </c>
      <c r="Q518">
        <v>5</v>
      </c>
      <c r="R518">
        <v>13</v>
      </c>
      <c r="S518">
        <v>14</v>
      </c>
      <c r="T518">
        <v>11</v>
      </c>
      <c r="U518">
        <v>7</v>
      </c>
      <c r="V518">
        <v>4</v>
      </c>
      <c r="W518">
        <v>8</v>
      </c>
      <c r="X518">
        <v>1</v>
      </c>
      <c r="Y518">
        <v>1</v>
      </c>
      <c r="Z518">
        <v>0</v>
      </c>
      <c r="AA518">
        <v>2</v>
      </c>
      <c r="AB518">
        <v>2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5</v>
      </c>
      <c r="AK518">
        <v>13</v>
      </c>
      <c r="AL518">
        <v>14</v>
      </c>
      <c r="AM518">
        <v>11</v>
      </c>
      <c r="AN518">
        <v>7</v>
      </c>
      <c r="AO518">
        <v>4</v>
      </c>
      <c r="AP518">
        <v>8</v>
      </c>
      <c r="AQ518">
        <v>1</v>
      </c>
      <c r="AR518">
        <v>1</v>
      </c>
      <c r="AS518">
        <v>0</v>
      </c>
      <c r="AT518">
        <v>2</v>
      </c>
      <c r="AU518">
        <v>2</v>
      </c>
      <c r="AV518">
        <v>1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 s="2">
        <v>5</v>
      </c>
      <c r="BD518" s="2">
        <v>13</v>
      </c>
      <c r="BE518" s="2">
        <v>14</v>
      </c>
      <c r="BF518" s="2">
        <v>11</v>
      </c>
      <c r="BG518" s="2">
        <v>7</v>
      </c>
      <c r="BH518" s="2">
        <v>4</v>
      </c>
      <c r="BI518" s="2">
        <v>8</v>
      </c>
      <c r="BJ518" s="2">
        <v>1</v>
      </c>
      <c r="BK518" s="2">
        <v>1</v>
      </c>
      <c r="BL518" s="2">
        <v>0</v>
      </c>
      <c r="BM518" s="2">
        <v>2</v>
      </c>
      <c r="BN518" s="2">
        <v>2</v>
      </c>
      <c r="BO518" s="2">
        <v>1</v>
      </c>
      <c r="BP518" s="2">
        <v>0</v>
      </c>
      <c r="BQ518" s="2">
        <v>0</v>
      </c>
      <c r="BR518" s="2">
        <v>1</v>
      </c>
      <c r="BS518" s="2">
        <v>1</v>
      </c>
      <c r="BT518" s="2">
        <v>0</v>
      </c>
      <c r="BU518" s="2">
        <v>1</v>
      </c>
      <c r="BV518" s="2">
        <f t="shared" si="33"/>
        <v>72</v>
      </c>
      <c r="BW518" s="16">
        <f t="shared" ref="BW518:BW581" si="35">AVERAGE(BC518:BU518)</f>
        <v>3.7894736842105261</v>
      </c>
      <c r="BX518" s="16">
        <f>COUNTIF($BC$6:BU518, "=0") / COUNTIF($BC$6:BU518, "&gt;-1")</f>
        <v>0.13245101056735406</v>
      </c>
      <c r="BY518" s="18">
        <f>SUM($BC$6:BU518) / $BY$4</f>
        <v>0.85381835165892761</v>
      </c>
      <c r="BZ518" s="14">
        <f t="shared" ref="BZ518:BZ581" si="36">19-COUNTIF(BC518:BU518, "&gt;0")</f>
        <v>4</v>
      </c>
      <c r="CA518" t="s">
        <v>5831</v>
      </c>
      <c r="CB518" s="36">
        <v>6.0582169791736504</v>
      </c>
      <c r="CC518" s="36">
        <v>12.519833568806799</v>
      </c>
      <c r="CD518" s="36">
        <v>22.411167265371599</v>
      </c>
      <c r="CE518" s="36">
        <v>16.631139350685501</v>
      </c>
      <c r="CF518" s="36">
        <v>6.0212345195582504</v>
      </c>
      <c r="CG518" s="36">
        <v>3.7189089865579601</v>
      </c>
      <c r="CH518" s="36">
        <v>8.4324982629171306</v>
      </c>
      <c r="CI518" s="36">
        <v>0.97318359798230603</v>
      </c>
      <c r="CJ518" s="37">
        <v>0.79475829324495695</v>
      </c>
      <c r="CK518" s="37">
        <v>1.2612992937765699</v>
      </c>
      <c r="CL518" s="37">
        <v>1.60010869653469</v>
      </c>
      <c r="CM518" s="37">
        <v>0.84654704659994096</v>
      </c>
      <c r="CN518" s="37">
        <v>0.22969814145377901</v>
      </c>
      <c r="CO518" s="37">
        <v>0.78919057038512497</v>
      </c>
      <c r="CP518" s="37">
        <v>1.50854004786242</v>
      </c>
      <c r="CQ518" s="37">
        <v>1.5226368464746201</v>
      </c>
      <c r="CR518" s="45">
        <v>-3.0186088127348998</v>
      </c>
      <c r="CS518" s="45">
        <v>-8.9755836205413306</v>
      </c>
      <c r="CT518" s="46">
        <v>1.1204660687717199E-6</v>
      </c>
      <c r="CU518" s="47">
        <v>5.5516698342180104E-6</v>
      </c>
      <c r="CV518" s="48">
        <v>9.5957728163816505</v>
      </c>
      <c r="CW518" s="49">
        <v>1.06909736704151</v>
      </c>
      <c r="CX518" s="31" t="s">
        <v>5875</v>
      </c>
      <c r="CY518" s="31" t="s">
        <v>5876</v>
      </c>
      <c r="CZ518" t="s">
        <v>13227</v>
      </c>
      <c r="DA518" t="s">
        <v>5904</v>
      </c>
      <c r="DB518">
        <v>761.1</v>
      </c>
      <c r="DC518" t="s">
        <v>35199</v>
      </c>
      <c r="DD518" t="s">
        <v>35200</v>
      </c>
      <c r="DE518" t="s">
        <v>35201</v>
      </c>
      <c r="DF518" t="s">
        <v>35202</v>
      </c>
      <c r="DG518" t="s">
        <v>35203</v>
      </c>
      <c r="DH518" t="str">
        <f>"THBD"</f>
        <v>THBD</v>
      </c>
      <c r="DI518" t="s">
        <v>35204</v>
      </c>
      <c r="DJ518" t="s">
        <v>13777</v>
      </c>
      <c r="DK518">
        <v>9606</v>
      </c>
      <c r="DL518" s="34" t="str">
        <f>HYPERLINK("http://www.uniprot.org/uniprot/P07204", "P07204")</f>
        <v>P07204</v>
      </c>
      <c r="DM518" t="s">
        <v>35205</v>
      </c>
      <c r="DN518" t="s">
        <v>16755</v>
      </c>
      <c r="DO518" t="s">
        <v>13825</v>
      </c>
      <c r="DP518" t="s">
        <v>13793</v>
      </c>
      <c r="DQ518" t="s">
        <v>13772</v>
      </c>
      <c r="DR518" t="s">
        <v>35206</v>
      </c>
      <c r="DS518" t="s">
        <v>13963</v>
      </c>
      <c r="DT518" t="s">
        <v>13772</v>
      </c>
      <c r="DU518" t="s">
        <v>13795</v>
      </c>
      <c r="DV518" t="s">
        <v>27331</v>
      </c>
      <c r="DW518" t="s">
        <v>13812</v>
      </c>
      <c r="DX518" t="s">
        <v>35207</v>
      </c>
      <c r="DY518" t="s">
        <v>35208</v>
      </c>
      <c r="DZ518" t="s">
        <v>35209</v>
      </c>
      <c r="EA518" t="s">
        <v>13772</v>
      </c>
      <c r="EB518" t="s">
        <v>34917</v>
      </c>
    </row>
    <row r="519" spans="1:132">
      <c r="A519">
        <v>1577</v>
      </c>
      <c r="B519">
        <v>1</v>
      </c>
      <c r="C519" t="s">
        <v>3737</v>
      </c>
      <c r="D519" t="s">
        <v>73</v>
      </c>
      <c r="E519" t="s">
        <v>73</v>
      </c>
      <c r="F519" t="s">
        <v>3738</v>
      </c>
      <c r="G519" t="s">
        <v>73</v>
      </c>
      <c r="H519">
        <v>50.5</v>
      </c>
      <c r="I519">
        <v>376</v>
      </c>
      <c r="J519">
        <v>41941</v>
      </c>
      <c r="K519" t="s">
        <v>3739</v>
      </c>
      <c r="L519">
        <f t="shared" si="34"/>
        <v>523</v>
      </c>
      <c r="N519">
        <v>523</v>
      </c>
      <c r="O519">
        <v>44</v>
      </c>
      <c r="P519">
        <v>8.4000000000000005E-2</v>
      </c>
      <c r="Q519">
        <v>18</v>
      </c>
      <c r="R519">
        <v>25</v>
      </c>
      <c r="S519">
        <v>8</v>
      </c>
      <c r="T519">
        <v>20</v>
      </c>
      <c r="U519">
        <v>55</v>
      </c>
      <c r="V519">
        <v>29</v>
      </c>
      <c r="W519">
        <v>17</v>
      </c>
      <c r="X519">
        <v>27</v>
      </c>
      <c r="Y519">
        <v>40</v>
      </c>
      <c r="Z519">
        <v>12</v>
      </c>
      <c r="AA519">
        <v>41</v>
      </c>
      <c r="AB519">
        <v>49</v>
      </c>
      <c r="AC519">
        <v>53</v>
      </c>
      <c r="AD519">
        <v>11</v>
      </c>
      <c r="AE519">
        <v>29</v>
      </c>
      <c r="AF519">
        <v>41</v>
      </c>
      <c r="AG519">
        <v>19</v>
      </c>
      <c r="AH519">
        <v>11</v>
      </c>
      <c r="AI519">
        <v>18</v>
      </c>
      <c r="AJ519">
        <v>0</v>
      </c>
      <c r="AK519">
        <v>0</v>
      </c>
      <c r="AL519">
        <v>0</v>
      </c>
      <c r="AM519">
        <v>0</v>
      </c>
      <c r="AN519">
        <v>2</v>
      </c>
      <c r="AO519">
        <v>0</v>
      </c>
      <c r="AP519">
        <v>2</v>
      </c>
      <c r="AQ519">
        <v>3</v>
      </c>
      <c r="AR519">
        <v>5</v>
      </c>
      <c r="AS519">
        <v>0</v>
      </c>
      <c r="AT519">
        <v>8</v>
      </c>
      <c r="AU519">
        <v>3</v>
      </c>
      <c r="AV519">
        <v>4</v>
      </c>
      <c r="AW519">
        <v>0</v>
      </c>
      <c r="AX519">
        <v>7</v>
      </c>
      <c r="AY519">
        <v>10</v>
      </c>
      <c r="AZ519">
        <v>0</v>
      </c>
      <c r="BA519">
        <v>0</v>
      </c>
      <c r="BB519">
        <v>0</v>
      </c>
      <c r="BC519" s="2">
        <v>0.98899999999999999</v>
      </c>
      <c r="BD519" s="2">
        <v>1.4259999999999999</v>
      </c>
      <c r="BE519" s="2">
        <v>0.442</v>
      </c>
      <c r="BF519" s="2">
        <v>1.141</v>
      </c>
      <c r="BG519" s="2">
        <v>4.9850000000000003</v>
      </c>
      <c r="BH519" s="2">
        <v>1.611</v>
      </c>
      <c r="BI519" s="2">
        <v>2.8319999999999999</v>
      </c>
      <c r="BJ519" s="2">
        <v>4.3970000000000002</v>
      </c>
      <c r="BK519" s="2">
        <v>7.2080000000000002</v>
      </c>
      <c r="BL519" s="2">
        <v>0.72199999999999998</v>
      </c>
      <c r="BM519" s="2">
        <v>9.9849999999999994</v>
      </c>
      <c r="BN519" s="2">
        <v>5.6189999999999998</v>
      </c>
      <c r="BO519" s="2">
        <v>6.9870000000000001</v>
      </c>
      <c r="BP519" s="2">
        <v>0.64600000000000002</v>
      </c>
      <c r="BQ519" s="2">
        <v>8.1980000000000004</v>
      </c>
      <c r="BR519" s="2">
        <v>11.74</v>
      </c>
      <c r="BS519" s="2">
        <v>1.0880000000000001</v>
      </c>
      <c r="BT519" s="2">
        <v>0.57599999999999996</v>
      </c>
      <c r="BU519" s="2">
        <v>1.012</v>
      </c>
      <c r="BV519" s="2">
        <f t="shared" ref="BV519:BV582" si="37">SUM(BC519:BU519)</f>
        <v>71.603999999999985</v>
      </c>
      <c r="BW519" s="16">
        <f t="shared" si="35"/>
        <v>3.7686315789473674</v>
      </c>
      <c r="BX519" s="16">
        <f>COUNTIF($BC$6:BU519, "=0") / COUNTIF($BC$6:BU519, "&gt;-1")</f>
        <v>0.132193323776367</v>
      </c>
      <c r="BY519" s="18">
        <f>SUM($BC$6:BU519) / $BY$4</f>
        <v>0.85412507719327391</v>
      </c>
      <c r="BZ519" s="14">
        <f t="shared" si="36"/>
        <v>0</v>
      </c>
      <c r="CA519" t="s">
        <v>5831</v>
      </c>
      <c r="CB519" s="36">
        <v>1.2116433958347299</v>
      </c>
      <c r="CC519" s="36">
        <v>1.3482897689484299</v>
      </c>
      <c r="CD519" s="36">
        <v>0.64031906472490296</v>
      </c>
      <c r="CE519" s="36">
        <v>1.66311393506855</v>
      </c>
      <c r="CF519" s="36">
        <v>4.3008817996844604</v>
      </c>
      <c r="CG519" s="36">
        <v>1.48756359462319</v>
      </c>
      <c r="CH519" s="36">
        <v>2.9513743920209898</v>
      </c>
      <c r="CI519" s="36">
        <v>4.2820078311221499</v>
      </c>
      <c r="CJ519" s="37">
        <v>5.7222597113636899</v>
      </c>
      <c r="CK519" s="37">
        <v>6.3064964688828598</v>
      </c>
      <c r="CL519" s="37">
        <v>4.4803043502971196</v>
      </c>
      <c r="CM519" s="37">
        <v>5.9258293261995796</v>
      </c>
      <c r="CN519" s="37">
        <v>7.5340990396839302</v>
      </c>
      <c r="CO519" s="37">
        <v>9.2335296735059593</v>
      </c>
      <c r="CP519" s="37">
        <v>1.6593940526486699</v>
      </c>
      <c r="CQ519" s="37">
        <v>1.5226368464746201</v>
      </c>
      <c r="CR519" s="45">
        <v>1.20097476744021</v>
      </c>
      <c r="CS519" s="45">
        <v>2.36981214660632</v>
      </c>
      <c r="CT519" s="46">
        <v>1.3063737828730999E-2</v>
      </c>
      <c r="CU519" s="47">
        <v>2.33057082864561E-2</v>
      </c>
      <c r="CV519" s="48">
        <v>2.2356492227534202</v>
      </c>
      <c r="CW519" s="49">
        <v>5.2980686836320503</v>
      </c>
      <c r="CX519" s="31" t="s">
        <v>5874</v>
      </c>
      <c r="CY519" s="31" t="s">
        <v>5878</v>
      </c>
      <c r="CZ519" t="s">
        <v>10996</v>
      </c>
      <c r="DA519" t="s">
        <v>5904</v>
      </c>
      <c r="DB519">
        <v>771.2</v>
      </c>
      <c r="DC519" t="s">
        <v>28923</v>
      </c>
      <c r="DD519" t="s">
        <v>28924</v>
      </c>
      <c r="DE519" t="s">
        <v>28925</v>
      </c>
      <c r="DF519" t="s">
        <v>28926</v>
      </c>
      <c r="DG519" t="s">
        <v>28927</v>
      </c>
      <c r="DH519" t="str">
        <f>"ACTBL2"</f>
        <v>ACTBL2</v>
      </c>
      <c r="DI519" t="s">
        <v>13772</v>
      </c>
      <c r="DJ519" t="s">
        <v>13777</v>
      </c>
      <c r="DK519">
        <v>9606</v>
      </c>
      <c r="DL519" s="34" t="str">
        <f>HYPERLINK("http://www.uniprot.org/uniprot/Q562R1", "Q562R1")</f>
        <v>Q562R1</v>
      </c>
      <c r="DM519" t="s">
        <v>28928</v>
      </c>
      <c r="DN519" t="s">
        <v>13772</v>
      </c>
      <c r="DO519" t="s">
        <v>13988</v>
      </c>
      <c r="DP519" t="s">
        <v>13772</v>
      </c>
      <c r="DQ519" t="s">
        <v>13772</v>
      </c>
      <c r="DR519" t="s">
        <v>13772</v>
      </c>
      <c r="DS519" t="s">
        <v>13772</v>
      </c>
      <c r="DT519" t="s">
        <v>14005</v>
      </c>
      <c r="DU519" t="s">
        <v>13772</v>
      </c>
      <c r="DV519" t="s">
        <v>28929</v>
      </c>
      <c r="DW519" t="s">
        <v>13772</v>
      </c>
      <c r="DX519" t="s">
        <v>13772</v>
      </c>
      <c r="DY519" t="s">
        <v>28930</v>
      </c>
      <c r="DZ519" t="s">
        <v>25799</v>
      </c>
      <c r="EA519" t="s">
        <v>13772</v>
      </c>
      <c r="EB519" t="s">
        <v>13772</v>
      </c>
    </row>
    <row r="520" spans="1:132" hidden="1">
      <c r="A520">
        <v>316</v>
      </c>
      <c r="B520">
        <v>1</v>
      </c>
      <c r="C520" t="s">
        <v>792</v>
      </c>
      <c r="D520" t="s">
        <v>73</v>
      </c>
      <c r="E520" t="s">
        <v>73</v>
      </c>
      <c r="F520" t="s">
        <v>73</v>
      </c>
      <c r="G520" t="s">
        <v>73</v>
      </c>
      <c r="H520">
        <v>65.7</v>
      </c>
      <c r="I520">
        <v>105</v>
      </c>
      <c r="J520">
        <v>11632</v>
      </c>
      <c r="K520" t="s">
        <v>793</v>
      </c>
      <c r="L520">
        <f t="shared" si="34"/>
        <v>71</v>
      </c>
      <c r="N520">
        <v>71</v>
      </c>
      <c r="O520">
        <v>69</v>
      </c>
      <c r="P520">
        <v>0.97199999999999998</v>
      </c>
      <c r="Q520">
        <v>0</v>
      </c>
      <c r="R520">
        <v>4</v>
      </c>
      <c r="S520">
        <v>5</v>
      </c>
      <c r="T520">
        <v>4</v>
      </c>
      <c r="U520">
        <v>4</v>
      </c>
      <c r="V520">
        <v>3</v>
      </c>
      <c r="W520">
        <v>1</v>
      </c>
      <c r="X520">
        <v>7</v>
      </c>
      <c r="Y520">
        <v>7</v>
      </c>
      <c r="Z520">
        <v>0</v>
      </c>
      <c r="AA520">
        <v>1</v>
      </c>
      <c r="AB520">
        <v>3</v>
      </c>
      <c r="AC520">
        <v>4</v>
      </c>
      <c r="AD520">
        <v>1</v>
      </c>
      <c r="AE520">
        <v>8</v>
      </c>
      <c r="AF520">
        <v>6</v>
      </c>
      <c r="AG520">
        <v>11</v>
      </c>
      <c r="AH520">
        <v>0</v>
      </c>
      <c r="AI520">
        <v>2</v>
      </c>
      <c r="AJ520">
        <v>0</v>
      </c>
      <c r="AK520">
        <v>4</v>
      </c>
      <c r="AL520">
        <v>4</v>
      </c>
      <c r="AM520">
        <v>3</v>
      </c>
      <c r="AN520">
        <v>4</v>
      </c>
      <c r="AO520">
        <v>3</v>
      </c>
      <c r="AP520">
        <v>1</v>
      </c>
      <c r="AQ520">
        <v>7</v>
      </c>
      <c r="AR520">
        <v>7</v>
      </c>
      <c r="AS520">
        <v>0</v>
      </c>
      <c r="AT520">
        <v>1</v>
      </c>
      <c r="AU520">
        <v>3</v>
      </c>
      <c r="AV520">
        <v>4</v>
      </c>
      <c r="AW520">
        <v>1</v>
      </c>
      <c r="AX520">
        <v>8</v>
      </c>
      <c r="AY520">
        <v>6</v>
      </c>
      <c r="AZ520">
        <v>11</v>
      </c>
      <c r="BA520">
        <v>0</v>
      </c>
      <c r="BB520">
        <v>2</v>
      </c>
      <c r="BC520" s="2">
        <v>0</v>
      </c>
      <c r="BD520" s="2">
        <v>4</v>
      </c>
      <c r="BE520" s="2">
        <v>5</v>
      </c>
      <c r="BF520" s="2">
        <v>4</v>
      </c>
      <c r="BG520" s="2">
        <v>4</v>
      </c>
      <c r="BH520" s="2">
        <v>3</v>
      </c>
      <c r="BI520" s="2">
        <v>1</v>
      </c>
      <c r="BJ520" s="2">
        <v>7</v>
      </c>
      <c r="BK520" s="2">
        <v>7</v>
      </c>
      <c r="BL520" s="2">
        <v>0</v>
      </c>
      <c r="BM520" s="2">
        <v>1</v>
      </c>
      <c r="BN520" s="2">
        <v>3</v>
      </c>
      <c r="BO520" s="2">
        <v>4</v>
      </c>
      <c r="BP520" s="2">
        <v>1</v>
      </c>
      <c r="BQ520" s="2">
        <v>8</v>
      </c>
      <c r="BR520" s="2">
        <v>6</v>
      </c>
      <c r="BS520" s="2">
        <v>11</v>
      </c>
      <c r="BT520" s="2">
        <v>0</v>
      </c>
      <c r="BU520" s="2">
        <v>2</v>
      </c>
      <c r="BV520" s="2">
        <f t="shared" si="37"/>
        <v>71</v>
      </c>
      <c r="BW520" s="16">
        <f t="shared" si="35"/>
        <v>3.736842105263158</v>
      </c>
      <c r="BX520" s="16">
        <f>COUNTIF($BC$6:BU520, "=0") / COUNTIF($BC$6:BU520, "&gt;-1")</f>
        <v>0.13224322943280531</v>
      </c>
      <c r="BY520" s="18">
        <f>SUM($BC$6:BU520) / $BY$4</f>
        <v>0.85442921541095174</v>
      </c>
      <c r="BZ520" s="14">
        <f t="shared" si="36"/>
        <v>3</v>
      </c>
      <c r="CA520" t="s">
        <v>5831</v>
      </c>
      <c r="CB520" s="36">
        <v>0.30291084895868198</v>
      </c>
      <c r="CC520" s="36">
        <v>3.85225648270979</v>
      </c>
      <c r="CD520" s="36">
        <v>8.00398830906129</v>
      </c>
      <c r="CE520" s="36">
        <v>6.0476870366129196</v>
      </c>
      <c r="CF520" s="36">
        <v>3.4407054397475698</v>
      </c>
      <c r="CG520" s="36">
        <v>2.7891817399184702</v>
      </c>
      <c r="CH520" s="36">
        <v>1.05406228286464</v>
      </c>
      <c r="CI520" s="36">
        <v>6.8122851858761404</v>
      </c>
      <c r="CJ520" s="37">
        <v>5.5633080527147003</v>
      </c>
      <c r="CK520" s="37">
        <v>0.63064964688828595</v>
      </c>
      <c r="CL520" s="37">
        <v>2.4001630448020301</v>
      </c>
      <c r="CM520" s="37">
        <v>3.3861881863997598</v>
      </c>
      <c r="CN520" s="37">
        <v>7.3503405265209096</v>
      </c>
      <c r="CO520" s="37">
        <v>4.7351434223107498</v>
      </c>
      <c r="CP520" s="37">
        <v>16.593940526486598</v>
      </c>
      <c r="CQ520" s="37">
        <v>3.0452736929492299</v>
      </c>
      <c r="CR520" s="45">
        <v>0.389142248159143</v>
      </c>
      <c r="CS520" s="45">
        <v>1.35296729343598</v>
      </c>
      <c r="CT520" s="46">
        <v>0.48489261931011701</v>
      </c>
      <c r="CU520" s="47">
        <v>0.56318257346956302</v>
      </c>
      <c r="CV520" s="48">
        <v>4.03788466571869</v>
      </c>
      <c r="CW520" s="49">
        <v>5.4631258873840398</v>
      </c>
      <c r="CX520" s="31" t="s">
        <v>5874</v>
      </c>
      <c r="CY520" s="31" t="s">
        <v>5832</v>
      </c>
      <c r="CZ520" t="s">
        <v>6790</v>
      </c>
      <c r="DA520" t="s">
        <v>5904</v>
      </c>
      <c r="DB520">
        <v>196.4</v>
      </c>
      <c r="DC520" t="s">
        <v>16706</v>
      </c>
      <c r="DD520" t="s">
        <v>13772</v>
      </c>
      <c r="DE520" t="s">
        <v>16707</v>
      </c>
      <c r="DF520" t="s">
        <v>16708</v>
      </c>
      <c r="DG520" t="s">
        <v>16709</v>
      </c>
      <c r="DH520" t="str">
        <f>"CYCS"</f>
        <v>CYCS</v>
      </c>
      <c r="DI520" t="s">
        <v>16710</v>
      </c>
      <c r="DJ520" t="s">
        <v>13777</v>
      </c>
      <c r="DK520">
        <v>9606</v>
      </c>
      <c r="DL520" s="34" t="str">
        <f>HYPERLINK("http://www.uniprot.org/uniprot/P99999", "P99999")</f>
        <v>P99999</v>
      </c>
      <c r="DM520" t="s">
        <v>16711</v>
      </c>
      <c r="DN520" t="s">
        <v>16712</v>
      </c>
      <c r="DO520" t="s">
        <v>14491</v>
      </c>
      <c r="DP520" t="s">
        <v>13793</v>
      </c>
      <c r="DQ520" t="s">
        <v>13772</v>
      </c>
      <c r="DR520" t="s">
        <v>13807</v>
      </c>
      <c r="DS520" t="s">
        <v>13772</v>
      </c>
      <c r="DT520" t="s">
        <v>16031</v>
      </c>
      <c r="DU520" t="s">
        <v>13772</v>
      </c>
      <c r="DV520" t="s">
        <v>13886</v>
      </c>
      <c r="DW520" t="s">
        <v>13812</v>
      </c>
      <c r="DX520" t="s">
        <v>16713</v>
      </c>
      <c r="DY520" t="s">
        <v>16714</v>
      </c>
      <c r="DZ520" t="s">
        <v>16715</v>
      </c>
      <c r="EA520" t="s">
        <v>13772</v>
      </c>
      <c r="EB520" t="s">
        <v>16716</v>
      </c>
    </row>
    <row r="521" spans="1:132" hidden="1">
      <c r="A521">
        <v>509</v>
      </c>
      <c r="B521">
        <v>1</v>
      </c>
      <c r="C521" t="s">
        <v>1283</v>
      </c>
      <c r="D521" t="s">
        <v>1284</v>
      </c>
      <c r="E521" t="s">
        <v>73</v>
      </c>
      <c r="F521" t="s">
        <v>73</v>
      </c>
      <c r="G521" t="s">
        <v>73</v>
      </c>
      <c r="H521">
        <v>45.9</v>
      </c>
      <c r="I521">
        <v>495</v>
      </c>
      <c r="J521">
        <v>53761</v>
      </c>
      <c r="K521" t="s">
        <v>1285</v>
      </c>
      <c r="L521">
        <f t="shared" si="34"/>
        <v>71</v>
      </c>
      <c r="N521">
        <v>71</v>
      </c>
      <c r="O521">
        <v>71</v>
      </c>
      <c r="P521">
        <v>1</v>
      </c>
      <c r="Q521">
        <v>3</v>
      </c>
      <c r="R521">
        <v>3</v>
      </c>
      <c r="S521">
        <v>0</v>
      </c>
      <c r="T521">
        <v>0</v>
      </c>
      <c r="U521">
        <v>8</v>
      </c>
      <c r="V521">
        <v>8</v>
      </c>
      <c r="W521">
        <v>2</v>
      </c>
      <c r="X521">
        <v>7</v>
      </c>
      <c r="Y521">
        <v>8</v>
      </c>
      <c r="Z521">
        <v>0</v>
      </c>
      <c r="AA521">
        <v>15</v>
      </c>
      <c r="AB521">
        <v>12</v>
      </c>
      <c r="AC521">
        <v>1</v>
      </c>
      <c r="AD521">
        <v>1</v>
      </c>
      <c r="AE521">
        <v>0</v>
      </c>
      <c r="AF521">
        <v>3</v>
      </c>
      <c r="AG521">
        <v>0</v>
      </c>
      <c r="AH521">
        <v>0</v>
      </c>
      <c r="AI521">
        <v>0</v>
      </c>
      <c r="AJ521">
        <v>3</v>
      </c>
      <c r="AK521">
        <v>3</v>
      </c>
      <c r="AL521">
        <v>0</v>
      </c>
      <c r="AM521">
        <v>0</v>
      </c>
      <c r="AN521">
        <v>8</v>
      </c>
      <c r="AO521">
        <v>8</v>
      </c>
      <c r="AP521">
        <v>2</v>
      </c>
      <c r="AQ521">
        <v>7</v>
      </c>
      <c r="AR521">
        <v>8</v>
      </c>
      <c r="AS521">
        <v>0</v>
      </c>
      <c r="AT521">
        <v>15</v>
      </c>
      <c r="AU521">
        <v>12</v>
      </c>
      <c r="AV521">
        <v>1</v>
      </c>
      <c r="AW521">
        <v>1</v>
      </c>
      <c r="AX521">
        <v>0</v>
      </c>
      <c r="AY521">
        <v>3</v>
      </c>
      <c r="AZ521">
        <v>0</v>
      </c>
      <c r="BA521">
        <v>0</v>
      </c>
      <c r="BB521">
        <v>0</v>
      </c>
      <c r="BC521" s="2">
        <v>3</v>
      </c>
      <c r="BD521" s="2">
        <v>3</v>
      </c>
      <c r="BE521" s="2">
        <v>0</v>
      </c>
      <c r="BF521" s="2">
        <v>0</v>
      </c>
      <c r="BG521" s="2">
        <v>8</v>
      </c>
      <c r="BH521" s="2">
        <v>8</v>
      </c>
      <c r="BI521" s="2">
        <v>2</v>
      </c>
      <c r="BJ521" s="2">
        <v>7</v>
      </c>
      <c r="BK521" s="2">
        <v>8</v>
      </c>
      <c r="BL521" s="2">
        <v>0</v>
      </c>
      <c r="BM521" s="2">
        <v>15</v>
      </c>
      <c r="BN521" s="2">
        <v>12</v>
      </c>
      <c r="BO521" s="2">
        <v>1</v>
      </c>
      <c r="BP521" s="2">
        <v>1</v>
      </c>
      <c r="BQ521" s="2">
        <v>0</v>
      </c>
      <c r="BR521" s="2">
        <v>3</v>
      </c>
      <c r="BS521" s="2">
        <v>0</v>
      </c>
      <c r="BT521" s="2">
        <v>0</v>
      </c>
      <c r="BU521" s="2">
        <v>0</v>
      </c>
      <c r="BV521" s="2">
        <f t="shared" si="37"/>
        <v>71</v>
      </c>
      <c r="BW521" s="16">
        <f t="shared" si="35"/>
        <v>3.736842105263158</v>
      </c>
      <c r="BX521" s="16">
        <f>COUNTIF($BC$6:BU521, "=0") / COUNTIF($BC$6:BU521, "&gt;-1")</f>
        <v>0.13270093839249286</v>
      </c>
      <c r="BY521" s="18">
        <f>SUM($BC$6:BU521) / $BY$4</f>
        <v>0.85473335362862946</v>
      </c>
      <c r="BZ521" s="14">
        <f t="shared" si="36"/>
        <v>7</v>
      </c>
      <c r="CA521" t="s">
        <v>5831</v>
      </c>
      <c r="CB521" s="36">
        <v>3.6349301875041902</v>
      </c>
      <c r="CC521" s="36">
        <v>2.8891923620323401</v>
      </c>
      <c r="CD521" s="36">
        <v>0.40019941545306398</v>
      </c>
      <c r="CE521" s="36">
        <v>0.37798043978830698</v>
      </c>
      <c r="CF521" s="36">
        <v>6.8814108794951396</v>
      </c>
      <c r="CG521" s="36">
        <v>7.43781797311593</v>
      </c>
      <c r="CH521" s="36">
        <v>2.10812456572928</v>
      </c>
      <c r="CI521" s="36">
        <v>6.8122851858761404</v>
      </c>
      <c r="CJ521" s="37">
        <v>6.35806634595966</v>
      </c>
      <c r="CK521" s="37">
        <v>9.4597447033242794</v>
      </c>
      <c r="CL521" s="37">
        <v>9.6006521792081099</v>
      </c>
      <c r="CM521" s="37">
        <v>0.84654704659994096</v>
      </c>
      <c r="CN521" s="37">
        <v>0.22969814145377901</v>
      </c>
      <c r="CO521" s="37">
        <v>2.36757171115537</v>
      </c>
      <c r="CP521" s="37">
        <v>0.377135011965606</v>
      </c>
      <c r="CQ521" s="37">
        <v>0.38065921161865401</v>
      </c>
      <c r="CR521" s="45">
        <v>-1.88729199715633E-2</v>
      </c>
      <c r="CS521" s="45">
        <v>-1.03112303658579</v>
      </c>
      <c r="CT521" s="46">
        <v>0.99999999999999101</v>
      </c>
      <c r="CU521" s="47">
        <v>1</v>
      </c>
      <c r="CV521" s="48">
        <v>3.8177426261242999</v>
      </c>
      <c r="CW521" s="49">
        <v>3.7025092939106798</v>
      </c>
      <c r="CX521" s="31" t="s">
        <v>5875</v>
      </c>
      <c r="CY521" s="31" t="s">
        <v>5832</v>
      </c>
      <c r="CZ521" t="s">
        <v>7478</v>
      </c>
      <c r="DA521" t="s">
        <v>5904</v>
      </c>
      <c r="DB521">
        <v>633.6</v>
      </c>
      <c r="DC521" t="s">
        <v>18804</v>
      </c>
      <c r="DD521" t="s">
        <v>18805</v>
      </c>
      <c r="DE521" t="s">
        <v>18806</v>
      </c>
      <c r="DF521" t="s">
        <v>18807</v>
      </c>
      <c r="DG521" t="s">
        <v>18808</v>
      </c>
      <c r="DH521" t="str">
        <f>"RNH1"</f>
        <v>RNH1</v>
      </c>
      <c r="DI521" t="s">
        <v>18809</v>
      </c>
      <c r="DJ521" t="s">
        <v>13777</v>
      </c>
      <c r="DK521">
        <v>9606</v>
      </c>
      <c r="DL521" s="34" t="str">
        <f>HYPERLINK("http://www.uniprot.org/uniprot/P13489", "P13489")</f>
        <v>P13489</v>
      </c>
      <c r="DM521" t="s">
        <v>18810</v>
      </c>
      <c r="DN521" t="s">
        <v>13772</v>
      </c>
      <c r="DO521" t="s">
        <v>13899</v>
      </c>
      <c r="DP521" t="s">
        <v>13793</v>
      </c>
      <c r="DQ521" t="s">
        <v>13772</v>
      </c>
      <c r="DR521" t="s">
        <v>13772</v>
      </c>
      <c r="DS521" t="s">
        <v>14614</v>
      </c>
      <c r="DT521" t="s">
        <v>13772</v>
      </c>
      <c r="DU521" t="s">
        <v>13772</v>
      </c>
      <c r="DV521" t="s">
        <v>13886</v>
      </c>
      <c r="DW521" t="s">
        <v>13812</v>
      </c>
      <c r="DX521" t="s">
        <v>18811</v>
      </c>
      <c r="DY521" t="s">
        <v>18812</v>
      </c>
      <c r="DZ521" t="s">
        <v>18813</v>
      </c>
      <c r="EA521" t="s">
        <v>13772</v>
      </c>
      <c r="EB521" t="s">
        <v>13772</v>
      </c>
    </row>
    <row r="522" spans="1:132" hidden="1">
      <c r="A522">
        <v>702</v>
      </c>
      <c r="B522">
        <v>1</v>
      </c>
      <c r="C522" t="s">
        <v>1728</v>
      </c>
      <c r="D522" t="s">
        <v>1729</v>
      </c>
      <c r="E522" t="s">
        <v>73</v>
      </c>
      <c r="F522" t="s">
        <v>73</v>
      </c>
      <c r="G522" t="s">
        <v>73</v>
      </c>
      <c r="H522">
        <v>39.6</v>
      </c>
      <c r="I522">
        <v>273</v>
      </c>
      <c r="J522">
        <v>30406</v>
      </c>
      <c r="K522" t="s">
        <v>1730</v>
      </c>
      <c r="L522">
        <f t="shared" si="34"/>
        <v>71</v>
      </c>
      <c r="N522">
        <v>71</v>
      </c>
      <c r="O522">
        <v>71</v>
      </c>
      <c r="P522">
        <v>1</v>
      </c>
      <c r="Q522">
        <v>4</v>
      </c>
      <c r="R522">
        <v>6</v>
      </c>
      <c r="S522">
        <v>7</v>
      </c>
      <c r="T522">
        <v>10</v>
      </c>
      <c r="U522">
        <v>11</v>
      </c>
      <c r="V522">
        <v>16</v>
      </c>
      <c r="W522">
        <v>10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4</v>
      </c>
      <c r="AK522">
        <v>6</v>
      </c>
      <c r="AL522">
        <v>7</v>
      </c>
      <c r="AM522">
        <v>10</v>
      </c>
      <c r="AN522">
        <v>11</v>
      </c>
      <c r="AO522">
        <v>16</v>
      </c>
      <c r="AP522">
        <v>10</v>
      </c>
      <c r="AQ522">
        <v>7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 s="2">
        <v>4</v>
      </c>
      <c r="BD522" s="2">
        <v>6</v>
      </c>
      <c r="BE522" s="2">
        <v>7</v>
      </c>
      <c r="BF522" s="2">
        <v>10</v>
      </c>
      <c r="BG522" s="2">
        <v>11</v>
      </c>
      <c r="BH522" s="2">
        <v>16</v>
      </c>
      <c r="BI522" s="2">
        <v>10</v>
      </c>
      <c r="BJ522" s="2">
        <v>7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f t="shared" si="37"/>
        <v>71</v>
      </c>
      <c r="BW522" s="16">
        <f t="shared" si="35"/>
        <v>3.736842105263158</v>
      </c>
      <c r="BX522" s="16">
        <f>COUNTIF($BC$6:BU522, "=0") / COUNTIF($BC$6:BU522, "&gt;-1")</f>
        <v>0.13356408429196784</v>
      </c>
      <c r="BY522" s="18">
        <f>SUM($BC$6:BU522) / $BY$4</f>
        <v>0.85503749184630717</v>
      </c>
      <c r="BZ522" s="14">
        <f t="shared" si="36"/>
        <v>11</v>
      </c>
      <c r="CA522" t="s">
        <v>5831</v>
      </c>
      <c r="CB522" s="36">
        <v>4.8465735833389196</v>
      </c>
      <c r="CC522" s="36">
        <v>5.7783847240646802</v>
      </c>
      <c r="CD522" s="36">
        <v>11.2055836326858</v>
      </c>
      <c r="CE522" s="36">
        <v>15.119217591532299</v>
      </c>
      <c r="CF522" s="36">
        <v>9.4619399593058091</v>
      </c>
      <c r="CG522" s="36">
        <v>14.875635946231901</v>
      </c>
      <c r="CH522" s="36">
        <v>10.5406228286464</v>
      </c>
      <c r="CI522" s="36">
        <v>6.8122851858761404</v>
      </c>
      <c r="CJ522" s="37">
        <v>0.19868957331123899</v>
      </c>
      <c r="CK522" s="37">
        <v>0.15766241172207099</v>
      </c>
      <c r="CL522" s="37">
        <v>0.200013587066836</v>
      </c>
      <c r="CM522" s="37">
        <v>0.21163676164998499</v>
      </c>
      <c r="CN522" s="37">
        <v>0.22969814145377901</v>
      </c>
      <c r="CO522" s="37">
        <v>0.19729764259628099</v>
      </c>
      <c r="CP522" s="37">
        <v>0.377135011965606</v>
      </c>
      <c r="CQ522" s="37">
        <v>0.38065921161865401</v>
      </c>
      <c r="CR522" s="45">
        <v>-4.8275811325346201</v>
      </c>
      <c r="CS522" s="45">
        <v>-40.270663595458998</v>
      </c>
      <c r="CT522" s="46">
        <v>3.4181849186228502E-15</v>
      </c>
      <c r="CU522" s="47">
        <v>2.0788779186897099E-13</v>
      </c>
      <c r="CV522" s="48">
        <v>9.8300304314602407</v>
      </c>
      <c r="CW522" s="49">
        <v>0.24409904267305599</v>
      </c>
      <c r="CX522" s="31" t="s">
        <v>5875</v>
      </c>
      <c r="CY522" s="31" t="s">
        <v>5876</v>
      </c>
      <c r="CZ522" t="s">
        <v>8114</v>
      </c>
      <c r="DA522" t="s">
        <v>5904</v>
      </c>
      <c r="DB522">
        <v>501.9</v>
      </c>
      <c r="DC522" t="s">
        <v>20717</v>
      </c>
      <c r="DD522" t="s">
        <v>20718</v>
      </c>
      <c r="DE522" t="s">
        <v>20719</v>
      </c>
      <c r="DF522" t="s">
        <v>20720</v>
      </c>
      <c r="DG522" t="s">
        <v>20721</v>
      </c>
      <c r="DH522" t="str">
        <f>"CHODL"</f>
        <v>CHODL</v>
      </c>
      <c r="DI522" t="s">
        <v>20722</v>
      </c>
      <c r="DJ522" t="s">
        <v>13777</v>
      </c>
      <c r="DK522">
        <v>9606</v>
      </c>
      <c r="DL522" s="34" t="str">
        <f>HYPERLINK("http://www.uniprot.org/uniprot/Q9H9P2", "Q9H9P2")</f>
        <v>Q9H9P2</v>
      </c>
      <c r="DM522" t="s">
        <v>20723</v>
      </c>
      <c r="DN522" t="s">
        <v>20100</v>
      </c>
      <c r="DO522" t="s">
        <v>20724</v>
      </c>
      <c r="DP522" t="s">
        <v>20725</v>
      </c>
      <c r="DQ522" t="s">
        <v>13772</v>
      </c>
      <c r="DR522" t="s">
        <v>13772</v>
      </c>
      <c r="DS522" t="s">
        <v>13855</v>
      </c>
      <c r="DT522" t="s">
        <v>14277</v>
      </c>
      <c r="DU522" t="s">
        <v>13772</v>
      </c>
      <c r="DV522" t="s">
        <v>13796</v>
      </c>
      <c r="DW522" t="s">
        <v>13772</v>
      </c>
      <c r="DX522" t="s">
        <v>20726</v>
      </c>
      <c r="DY522" t="s">
        <v>20727</v>
      </c>
      <c r="DZ522" t="s">
        <v>20728</v>
      </c>
      <c r="EA522" t="s">
        <v>13772</v>
      </c>
      <c r="EB522" t="s">
        <v>13772</v>
      </c>
    </row>
    <row r="523" spans="1:132" hidden="1">
      <c r="A523">
        <v>1598</v>
      </c>
      <c r="B523">
        <v>1</v>
      </c>
      <c r="C523" t="s">
        <v>3787</v>
      </c>
      <c r="D523" t="s">
        <v>73</v>
      </c>
      <c r="E523" t="s">
        <v>73</v>
      </c>
      <c r="F523" t="s">
        <v>73</v>
      </c>
      <c r="G523" t="s">
        <v>73</v>
      </c>
      <c r="H523">
        <v>71.7</v>
      </c>
      <c r="I523">
        <v>219</v>
      </c>
      <c r="J523">
        <v>21940</v>
      </c>
      <c r="K523" t="s">
        <v>3788</v>
      </c>
      <c r="L523">
        <f t="shared" si="34"/>
        <v>71</v>
      </c>
      <c r="N523">
        <v>71</v>
      </c>
      <c r="O523">
        <v>71</v>
      </c>
      <c r="P523">
        <v>1</v>
      </c>
      <c r="Q523">
        <v>3</v>
      </c>
      <c r="R523">
        <v>1</v>
      </c>
      <c r="S523">
        <v>2</v>
      </c>
      <c r="T523">
        <v>1</v>
      </c>
      <c r="U523">
        <v>3</v>
      </c>
      <c r="V523">
        <v>2</v>
      </c>
      <c r="W523">
        <v>5</v>
      </c>
      <c r="X523">
        <v>4</v>
      </c>
      <c r="Y523">
        <v>10</v>
      </c>
      <c r="Z523">
        <v>2</v>
      </c>
      <c r="AA523">
        <v>11</v>
      </c>
      <c r="AB523">
        <v>3</v>
      </c>
      <c r="AC523">
        <v>7</v>
      </c>
      <c r="AD523">
        <v>0</v>
      </c>
      <c r="AE523">
        <v>8</v>
      </c>
      <c r="AF523">
        <v>7</v>
      </c>
      <c r="AG523">
        <v>1</v>
      </c>
      <c r="AH523">
        <v>1</v>
      </c>
      <c r="AI523">
        <v>0</v>
      </c>
      <c r="AJ523">
        <v>3</v>
      </c>
      <c r="AK523">
        <v>1</v>
      </c>
      <c r="AL523">
        <v>2</v>
      </c>
      <c r="AM523">
        <v>1</v>
      </c>
      <c r="AN523">
        <v>3</v>
      </c>
      <c r="AO523">
        <v>2</v>
      </c>
      <c r="AP523">
        <v>5</v>
      </c>
      <c r="AQ523">
        <v>4</v>
      </c>
      <c r="AR523">
        <v>10</v>
      </c>
      <c r="AS523">
        <v>2</v>
      </c>
      <c r="AT523">
        <v>11</v>
      </c>
      <c r="AU523">
        <v>3</v>
      </c>
      <c r="AV523">
        <v>7</v>
      </c>
      <c r="AW523">
        <v>0</v>
      </c>
      <c r="AX523">
        <v>8</v>
      </c>
      <c r="AY523">
        <v>7</v>
      </c>
      <c r="AZ523">
        <v>1</v>
      </c>
      <c r="BA523">
        <v>1</v>
      </c>
      <c r="BB523">
        <v>0</v>
      </c>
      <c r="BC523" s="2">
        <v>3</v>
      </c>
      <c r="BD523" s="2">
        <v>1</v>
      </c>
      <c r="BE523" s="2">
        <v>2</v>
      </c>
      <c r="BF523" s="2">
        <v>1</v>
      </c>
      <c r="BG523" s="2">
        <v>3</v>
      </c>
      <c r="BH523" s="2">
        <v>2</v>
      </c>
      <c r="BI523" s="2">
        <v>5</v>
      </c>
      <c r="BJ523" s="2">
        <v>4</v>
      </c>
      <c r="BK523" s="2">
        <v>10</v>
      </c>
      <c r="BL523" s="2">
        <v>2</v>
      </c>
      <c r="BM523" s="2">
        <v>11</v>
      </c>
      <c r="BN523" s="2">
        <v>3</v>
      </c>
      <c r="BO523" s="2">
        <v>7</v>
      </c>
      <c r="BP523" s="2">
        <v>0</v>
      </c>
      <c r="BQ523" s="2">
        <v>8</v>
      </c>
      <c r="BR523" s="2">
        <v>7</v>
      </c>
      <c r="BS523" s="2">
        <v>1</v>
      </c>
      <c r="BT523" s="2">
        <v>1</v>
      </c>
      <c r="BU523" s="2">
        <v>0</v>
      </c>
      <c r="BV523" s="2">
        <f t="shared" si="37"/>
        <v>71</v>
      </c>
      <c r="BW523" s="16">
        <f t="shared" si="35"/>
        <v>3.736842105263158</v>
      </c>
      <c r="BX523" s="16">
        <f>COUNTIF($BC$6:BU523, "=0") / COUNTIF($BC$6:BU523, "&gt;-1")</f>
        <v>0.13350944929892297</v>
      </c>
      <c r="BY523" s="18">
        <f>SUM($BC$6:BU523) / $BY$4</f>
        <v>0.85534163006398489</v>
      </c>
      <c r="BZ523" s="14">
        <f t="shared" si="36"/>
        <v>2</v>
      </c>
      <c r="CA523" t="s">
        <v>5831</v>
      </c>
      <c r="CB523" s="36">
        <v>3.6349301875041902</v>
      </c>
      <c r="CC523" s="36">
        <v>0.96306412067744696</v>
      </c>
      <c r="CD523" s="36">
        <v>3.2015953236245198</v>
      </c>
      <c r="CE523" s="36">
        <v>1.5119217591532299</v>
      </c>
      <c r="CF523" s="36">
        <v>2.5805290798106801</v>
      </c>
      <c r="CG523" s="36">
        <v>1.85945449327898</v>
      </c>
      <c r="CH523" s="36">
        <v>5.2703114143232002</v>
      </c>
      <c r="CI523" s="36">
        <v>3.8927343919292201</v>
      </c>
      <c r="CJ523" s="37">
        <v>7.9475829324495697</v>
      </c>
      <c r="CK523" s="37">
        <v>6.9371461157711396</v>
      </c>
      <c r="CL523" s="37">
        <v>2.4001630448020301</v>
      </c>
      <c r="CM523" s="37">
        <v>5.9258293261995796</v>
      </c>
      <c r="CN523" s="37">
        <v>7.3503405265209096</v>
      </c>
      <c r="CO523" s="37">
        <v>5.5243339926958699</v>
      </c>
      <c r="CP523" s="37">
        <v>1.50854004786242</v>
      </c>
      <c r="CQ523" s="37">
        <v>0.38065921161865401</v>
      </c>
      <c r="CR523" s="45">
        <v>0.79357765108452405</v>
      </c>
      <c r="CS523" s="45">
        <v>1.65722697995927</v>
      </c>
      <c r="CT523" s="46">
        <v>0.146376770454688</v>
      </c>
      <c r="CU523" s="47">
        <v>0.19823088954288801</v>
      </c>
      <c r="CV523" s="48">
        <v>2.8643175962876799</v>
      </c>
      <c r="CW523" s="49">
        <v>4.7468243997400199</v>
      </c>
      <c r="CX523" s="31" t="s">
        <v>5874</v>
      </c>
      <c r="CY523" s="31" t="s">
        <v>5832</v>
      </c>
      <c r="CZ523" t="s">
        <v>11067</v>
      </c>
      <c r="DA523" t="s">
        <v>5904</v>
      </c>
      <c r="DB523">
        <v>109.4</v>
      </c>
      <c r="DC523" t="s">
        <v>29116</v>
      </c>
      <c r="DD523" t="s">
        <v>29117</v>
      </c>
      <c r="DE523" t="s">
        <v>29118</v>
      </c>
      <c r="DF523" t="s">
        <v>29119</v>
      </c>
      <c r="DG523" t="s">
        <v>29120</v>
      </c>
      <c r="DH523" t="str">
        <f>"BASP1"</f>
        <v>BASP1</v>
      </c>
      <c r="DI523" t="s">
        <v>29121</v>
      </c>
      <c r="DJ523" t="s">
        <v>13777</v>
      </c>
      <c r="DK523">
        <v>9606</v>
      </c>
      <c r="DL523" s="34" t="str">
        <f>HYPERLINK("http://www.uniprot.org/uniprot/P80723", "P80723")</f>
        <v>P80723</v>
      </c>
      <c r="DM523" t="s">
        <v>29122</v>
      </c>
      <c r="DN523" t="s">
        <v>13772</v>
      </c>
      <c r="DO523" t="s">
        <v>15856</v>
      </c>
      <c r="DP523" t="s">
        <v>13780</v>
      </c>
      <c r="DQ523" t="s">
        <v>13772</v>
      </c>
      <c r="DR523" t="s">
        <v>13772</v>
      </c>
      <c r="DS523" t="s">
        <v>13772</v>
      </c>
      <c r="DT523" t="s">
        <v>13772</v>
      </c>
      <c r="DU523" t="s">
        <v>13772</v>
      </c>
      <c r="DV523" t="s">
        <v>20565</v>
      </c>
      <c r="DW523" t="s">
        <v>13772</v>
      </c>
      <c r="DX523" t="s">
        <v>29123</v>
      </c>
      <c r="DY523" t="s">
        <v>29124</v>
      </c>
      <c r="DZ523" t="s">
        <v>29125</v>
      </c>
      <c r="EA523" t="s">
        <v>13772</v>
      </c>
      <c r="EB523" t="s">
        <v>13772</v>
      </c>
    </row>
    <row r="524" spans="1:132" hidden="1">
      <c r="A524">
        <v>70</v>
      </c>
      <c r="B524">
        <v>1</v>
      </c>
      <c r="C524" t="s">
        <v>198</v>
      </c>
      <c r="D524" t="s">
        <v>199</v>
      </c>
      <c r="E524" t="s">
        <v>73</v>
      </c>
      <c r="F524" t="s">
        <v>73</v>
      </c>
      <c r="G524" t="s">
        <v>73</v>
      </c>
      <c r="H524">
        <v>18.600000000000001</v>
      </c>
      <c r="I524">
        <v>467</v>
      </c>
      <c r="J524">
        <v>50837</v>
      </c>
      <c r="K524" t="s">
        <v>200</v>
      </c>
      <c r="L524">
        <f t="shared" si="34"/>
        <v>70</v>
      </c>
      <c r="N524">
        <v>70</v>
      </c>
      <c r="O524">
        <v>70</v>
      </c>
      <c r="P524">
        <v>1</v>
      </c>
      <c r="Q524">
        <v>4</v>
      </c>
      <c r="R524">
        <v>11</v>
      </c>
      <c r="S524">
        <v>9</v>
      </c>
      <c r="T524">
        <v>10</v>
      </c>
      <c r="U524">
        <v>10</v>
      </c>
      <c r="V524">
        <v>2</v>
      </c>
      <c r="W524">
        <v>3</v>
      </c>
      <c r="X524">
        <v>3</v>
      </c>
      <c r="Y524">
        <v>3</v>
      </c>
      <c r="Z524">
        <v>0</v>
      </c>
      <c r="AA524">
        <v>0</v>
      </c>
      <c r="AB524">
        <v>1</v>
      </c>
      <c r="AC524">
        <v>3</v>
      </c>
      <c r="AD524">
        <v>2</v>
      </c>
      <c r="AE524">
        <v>2</v>
      </c>
      <c r="AF524">
        <v>5</v>
      </c>
      <c r="AG524">
        <v>0</v>
      </c>
      <c r="AH524">
        <v>0</v>
      </c>
      <c r="AI524">
        <v>2</v>
      </c>
      <c r="AJ524">
        <v>4</v>
      </c>
      <c r="AK524">
        <v>11</v>
      </c>
      <c r="AL524">
        <v>9</v>
      </c>
      <c r="AM524">
        <v>10</v>
      </c>
      <c r="AN524">
        <v>10</v>
      </c>
      <c r="AO524">
        <v>2</v>
      </c>
      <c r="AP524">
        <v>3</v>
      </c>
      <c r="AQ524">
        <v>3</v>
      </c>
      <c r="AR524">
        <v>3</v>
      </c>
      <c r="AS524">
        <v>0</v>
      </c>
      <c r="AT524">
        <v>0</v>
      </c>
      <c r="AU524">
        <v>1</v>
      </c>
      <c r="AV524">
        <v>3</v>
      </c>
      <c r="AW524">
        <v>2</v>
      </c>
      <c r="AX524">
        <v>2</v>
      </c>
      <c r="AY524">
        <v>5</v>
      </c>
      <c r="AZ524">
        <v>0</v>
      </c>
      <c r="BA524">
        <v>0</v>
      </c>
      <c r="BB524">
        <v>2</v>
      </c>
      <c r="BC524" s="2">
        <v>4</v>
      </c>
      <c r="BD524" s="2">
        <v>11</v>
      </c>
      <c r="BE524" s="2">
        <v>9</v>
      </c>
      <c r="BF524" s="2">
        <v>10</v>
      </c>
      <c r="BG524" s="2">
        <v>10</v>
      </c>
      <c r="BH524" s="2">
        <v>2</v>
      </c>
      <c r="BI524" s="2">
        <v>3</v>
      </c>
      <c r="BJ524" s="2">
        <v>3</v>
      </c>
      <c r="BK524" s="2">
        <v>3</v>
      </c>
      <c r="BL524" s="2">
        <v>0</v>
      </c>
      <c r="BM524" s="2">
        <v>0</v>
      </c>
      <c r="BN524" s="2">
        <v>1</v>
      </c>
      <c r="BO524" s="2">
        <v>3</v>
      </c>
      <c r="BP524" s="2">
        <v>2</v>
      </c>
      <c r="BQ524" s="2">
        <v>2</v>
      </c>
      <c r="BR524" s="2">
        <v>5</v>
      </c>
      <c r="BS524" s="2">
        <v>0</v>
      </c>
      <c r="BT524" s="2">
        <v>0</v>
      </c>
      <c r="BU524" s="2">
        <v>2</v>
      </c>
      <c r="BV524" s="2">
        <f t="shared" si="37"/>
        <v>70</v>
      </c>
      <c r="BW524" s="16">
        <f t="shared" si="35"/>
        <v>3.6842105263157894</v>
      </c>
      <c r="BX524" s="16">
        <f>COUNTIF($BC$6:BU524, "=0") / COUNTIF($BC$6:BU524, "&gt;-1")</f>
        <v>0.13365784403204542</v>
      </c>
      <c r="BY524" s="18">
        <f>SUM($BC$6:BU524) / $BY$4</f>
        <v>0.85564148464479395</v>
      </c>
      <c r="BZ524" s="14">
        <f t="shared" si="36"/>
        <v>4</v>
      </c>
      <c r="CA524" t="s">
        <v>5831</v>
      </c>
      <c r="CB524" s="36">
        <v>4.8465735833389196</v>
      </c>
      <c r="CC524" s="36">
        <v>10.5937053274519</v>
      </c>
      <c r="CD524" s="36">
        <v>14.4071789563103</v>
      </c>
      <c r="CE524" s="36">
        <v>15.119217591532299</v>
      </c>
      <c r="CF524" s="36">
        <v>8.6017635993689208</v>
      </c>
      <c r="CG524" s="36">
        <v>1.85945449327898</v>
      </c>
      <c r="CH524" s="36">
        <v>3.1621868485939202</v>
      </c>
      <c r="CI524" s="36">
        <v>2.9195507939469199</v>
      </c>
      <c r="CJ524" s="37">
        <v>2.3842748797348698</v>
      </c>
      <c r="CK524" s="37">
        <v>0.15766241172207099</v>
      </c>
      <c r="CL524" s="37">
        <v>0.80005434826734301</v>
      </c>
      <c r="CM524" s="37">
        <v>2.5396411397998202</v>
      </c>
      <c r="CN524" s="37">
        <v>1.8375851316302301</v>
      </c>
      <c r="CO524" s="37">
        <v>3.94595285192562</v>
      </c>
      <c r="CP524" s="37">
        <v>0.377135011965606</v>
      </c>
      <c r="CQ524" s="37">
        <v>3.0452736929492299</v>
      </c>
      <c r="CR524" s="45">
        <v>-1.9274985522968899</v>
      </c>
      <c r="CS524" s="45">
        <v>-4.0768389206699602</v>
      </c>
      <c r="CT524" s="46">
        <v>8.6802447895044398E-4</v>
      </c>
      <c r="CU524" s="47">
        <v>1.9819398512554501E-3</v>
      </c>
      <c r="CV524" s="48">
        <v>7.6887038992277699</v>
      </c>
      <c r="CW524" s="49">
        <v>1.88594743349935</v>
      </c>
      <c r="CX524" s="31" t="s">
        <v>5875</v>
      </c>
      <c r="CY524" s="31" t="s">
        <v>5876</v>
      </c>
      <c r="CZ524" t="s">
        <v>5949</v>
      </c>
      <c r="DA524" t="s">
        <v>5904</v>
      </c>
      <c r="DB524">
        <v>783.1</v>
      </c>
      <c r="DC524" t="s">
        <v>13969</v>
      </c>
      <c r="DD524" t="s">
        <v>13970</v>
      </c>
      <c r="DE524" t="s">
        <v>13971</v>
      </c>
      <c r="DF524" t="s">
        <v>13972</v>
      </c>
      <c r="DG524" t="s">
        <v>13973</v>
      </c>
      <c r="DH524" t="str">
        <f>"GPRC5C"</f>
        <v>GPRC5C</v>
      </c>
      <c r="DI524" t="s">
        <v>13974</v>
      </c>
      <c r="DJ524" t="s">
        <v>13777</v>
      </c>
      <c r="DK524">
        <v>9606</v>
      </c>
      <c r="DL524" s="34" t="str">
        <f>HYPERLINK("http://www.uniprot.org/uniprot/Q9NQ84", "Q9NQ84")</f>
        <v>Q9NQ84</v>
      </c>
      <c r="DM524" t="s">
        <v>13975</v>
      </c>
      <c r="DN524" t="s">
        <v>13772</v>
      </c>
      <c r="DO524" t="s">
        <v>13976</v>
      </c>
      <c r="DP524" t="s">
        <v>13841</v>
      </c>
      <c r="DQ524" t="s">
        <v>13772</v>
      </c>
      <c r="DR524" t="s">
        <v>13772</v>
      </c>
      <c r="DS524" t="s">
        <v>13855</v>
      </c>
      <c r="DT524" t="s">
        <v>13772</v>
      </c>
      <c r="DU524" t="s">
        <v>13977</v>
      </c>
      <c r="DV524" t="s">
        <v>13978</v>
      </c>
      <c r="DW524" t="s">
        <v>13772</v>
      </c>
      <c r="DX524" t="s">
        <v>13979</v>
      </c>
      <c r="DY524" t="s">
        <v>13980</v>
      </c>
      <c r="DZ524" t="s">
        <v>13981</v>
      </c>
      <c r="EA524" t="s">
        <v>13772</v>
      </c>
      <c r="EB524" t="s">
        <v>13772</v>
      </c>
    </row>
    <row r="525" spans="1:132" hidden="1">
      <c r="A525">
        <v>112</v>
      </c>
      <c r="B525">
        <v>1</v>
      </c>
      <c r="C525" t="s">
        <v>293</v>
      </c>
      <c r="D525" t="s">
        <v>73</v>
      </c>
      <c r="E525" t="s">
        <v>73</v>
      </c>
      <c r="F525" t="s">
        <v>73</v>
      </c>
      <c r="G525" t="s">
        <v>73</v>
      </c>
      <c r="H525">
        <v>47.8</v>
      </c>
      <c r="I525">
        <v>663</v>
      </c>
      <c r="J525">
        <v>75068</v>
      </c>
      <c r="K525" t="s">
        <v>294</v>
      </c>
      <c r="L525">
        <f t="shared" si="34"/>
        <v>70</v>
      </c>
      <c r="N525">
        <v>70</v>
      </c>
      <c r="O525">
        <v>70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36</v>
      </c>
      <c r="AB525">
        <v>31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36</v>
      </c>
      <c r="AU525">
        <v>31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0</v>
      </c>
      <c r="BM525" s="2">
        <v>36</v>
      </c>
      <c r="BN525" s="2">
        <v>31</v>
      </c>
      <c r="BO525" s="2">
        <v>0</v>
      </c>
      <c r="BP525" s="2">
        <v>0</v>
      </c>
      <c r="BQ525" s="2">
        <v>0</v>
      </c>
      <c r="BR525" s="2">
        <v>1</v>
      </c>
      <c r="BS525" s="2">
        <v>0</v>
      </c>
      <c r="BT525" s="2">
        <v>0</v>
      </c>
      <c r="BU525" s="2">
        <v>0</v>
      </c>
      <c r="BV525" s="2">
        <f t="shared" si="37"/>
        <v>70</v>
      </c>
      <c r="BW525" s="16">
        <f t="shared" si="35"/>
        <v>3.6842105263157894</v>
      </c>
      <c r="BX525" s="16">
        <f>COUNTIF($BC$6:BU525, "=0") / COUNTIF($BC$6:BU525, "&gt;-1")</f>
        <v>0.13481781376518218</v>
      </c>
      <c r="BY525" s="18">
        <f>SUM($BC$6:BU525) / $BY$4</f>
        <v>0.855941339225603</v>
      </c>
      <c r="BZ525" s="14">
        <f t="shared" si="36"/>
        <v>14</v>
      </c>
      <c r="CA525" t="s">
        <v>5831</v>
      </c>
      <c r="CB525" s="36">
        <v>0.30291084895868198</v>
      </c>
      <c r="CC525" s="36">
        <v>0.24076603016936199</v>
      </c>
      <c r="CD525" s="36">
        <v>0.40019941545306398</v>
      </c>
      <c r="CE525" s="36">
        <v>0.37798043978830698</v>
      </c>
      <c r="CF525" s="36">
        <v>0.215044089984223</v>
      </c>
      <c r="CG525" s="36">
        <v>0.23243181165987301</v>
      </c>
      <c r="CH525" s="36">
        <v>1.05406228286464</v>
      </c>
      <c r="CI525" s="36">
        <v>0.97318359798230603</v>
      </c>
      <c r="CJ525" s="37">
        <v>0.19868957331123899</v>
      </c>
      <c r="CK525" s="37">
        <v>22.703387287978298</v>
      </c>
      <c r="CL525" s="37">
        <v>24.801684796287599</v>
      </c>
      <c r="CM525" s="37">
        <v>0.21163676164998499</v>
      </c>
      <c r="CN525" s="37">
        <v>0.22969814145377901</v>
      </c>
      <c r="CO525" s="37">
        <v>0.78919057038512497</v>
      </c>
      <c r="CP525" s="37">
        <v>0.377135011965606</v>
      </c>
      <c r="CQ525" s="37">
        <v>0.38065921161865401</v>
      </c>
      <c r="CR525" s="45">
        <v>3.4332994754129502</v>
      </c>
      <c r="CS525" s="45">
        <v>13.088648406445399</v>
      </c>
      <c r="CT525" s="46">
        <v>3.2896581293509002E-3</v>
      </c>
      <c r="CU525" s="47">
        <v>6.6893048283761499E-3</v>
      </c>
      <c r="CV525" s="48">
        <v>0.474572314607557</v>
      </c>
      <c r="CW525" s="49">
        <v>6.21151016933129</v>
      </c>
      <c r="CX525" s="31" t="s">
        <v>5874</v>
      </c>
      <c r="CY525" s="31" t="s">
        <v>5876</v>
      </c>
      <c r="CZ525" t="s">
        <v>6079</v>
      </c>
      <c r="DA525" t="s">
        <v>5904</v>
      </c>
      <c r="DB525">
        <v>1164.0999999999999</v>
      </c>
      <c r="DC525" t="s">
        <v>14423</v>
      </c>
      <c r="DD525" t="s">
        <v>14424</v>
      </c>
      <c r="DE525" t="s">
        <v>14425</v>
      </c>
      <c r="DF525" t="s">
        <v>14426</v>
      </c>
      <c r="DG525" t="s">
        <v>14427</v>
      </c>
      <c r="DH525" t="str">
        <f>"ALOX15"</f>
        <v>ALOX15</v>
      </c>
      <c r="DI525" t="s">
        <v>14428</v>
      </c>
      <c r="DJ525" t="s">
        <v>13777</v>
      </c>
      <c r="DK525">
        <v>9606</v>
      </c>
      <c r="DL525" s="34" t="str">
        <f>HYPERLINK("http://www.uniprot.org/uniprot/P16050", "P16050")</f>
        <v>P16050</v>
      </c>
      <c r="DM525" t="s">
        <v>14429</v>
      </c>
      <c r="DN525" t="s">
        <v>14430</v>
      </c>
      <c r="DO525" t="s">
        <v>14431</v>
      </c>
      <c r="DP525" t="s">
        <v>13780</v>
      </c>
      <c r="DQ525" t="s">
        <v>13772</v>
      </c>
      <c r="DR525" t="s">
        <v>13772</v>
      </c>
      <c r="DS525" t="s">
        <v>13772</v>
      </c>
      <c r="DT525" t="s">
        <v>14432</v>
      </c>
      <c r="DU525" t="s">
        <v>14433</v>
      </c>
      <c r="DV525" t="s">
        <v>13772</v>
      </c>
      <c r="DW525" t="s">
        <v>13812</v>
      </c>
      <c r="DX525" t="s">
        <v>14434</v>
      </c>
      <c r="DY525" t="s">
        <v>14435</v>
      </c>
      <c r="DZ525" t="s">
        <v>14436</v>
      </c>
      <c r="EA525" t="s">
        <v>14437</v>
      </c>
      <c r="EB525" t="s">
        <v>14438</v>
      </c>
    </row>
    <row r="526" spans="1:132" hidden="1">
      <c r="A526">
        <v>900</v>
      </c>
      <c r="B526">
        <v>1</v>
      </c>
      <c r="C526" t="s">
        <v>2195</v>
      </c>
      <c r="D526" t="s">
        <v>73</v>
      </c>
      <c r="E526" t="s">
        <v>73</v>
      </c>
      <c r="F526" t="s">
        <v>73</v>
      </c>
      <c r="G526" t="s">
        <v>73</v>
      </c>
      <c r="H526">
        <v>53.1</v>
      </c>
      <c r="I526">
        <v>262</v>
      </c>
      <c r="J526">
        <v>27517</v>
      </c>
      <c r="K526" t="s">
        <v>2196</v>
      </c>
      <c r="L526">
        <f t="shared" si="34"/>
        <v>70</v>
      </c>
      <c r="N526">
        <v>70</v>
      </c>
      <c r="O526">
        <v>70</v>
      </c>
      <c r="P526">
        <v>1</v>
      </c>
      <c r="Q526">
        <v>1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8</v>
      </c>
      <c r="Z526">
        <v>1</v>
      </c>
      <c r="AA526">
        <v>12</v>
      </c>
      <c r="AB526">
        <v>6</v>
      </c>
      <c r="AC526">
        <v>7</v>
      </c>
      <c r="AD526">
        <v>0</v>
      </c>
      <c r="AE526">
        <v>3</v>
      </c>
      <c r="AF526">
        <v>15</v>
      </c>
      <c r="AG526">
        <v>4</v>
      </c>
      <c r="AH526">
        <v>1</v>
      </c>
      <c r="AI526">
        <v>11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8</v>
      </c>
      <c r="AS526">
        <v>1</v>
      </c>
      <c r="AT526">
        <v>12</v>
      </c>
      <c r="AU526">
        <v>6</v>
      </c>
      <c r="AV526">
        <v>7</v>
      </c>
      <c r="AW526">
        <v>0</v>
      </c>
      <c r="AX526">
        <v>3</v>
      </c>
      <c r="AY526">
        <v>15</v>
      </c>
      <c r="AZ526">
        <v>4</v>
      </c>
      <c r="BA526">
        <v>1</v>
      </c>
      <c r="BB526">
        <v>11</v>
      </c>
      <c r="BC526" s="2">
        <v>1</v>
      </c>
      <c r="BD526" s="2">
        <v>0</v>
      </c>
      <c r="BE526" s="2">
        <v>1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8</v>
      </c>
      <c r="BL526" s="2">
        <v>1</v>
      </c>
      <c r="BM526" s="2">
        <v>12</v>
      </c>
      <c r="BN526" s="2">
        <v>6</v>
      </c>
      <c r="BO526" s="2">
        <v>7</v>
      </c>
      <c r="BP526" s="2">
        <v>0</v>
      </c>
      <c r="BQ526" s="2">
        <v>3</v>
      </c>
      <c r="BR526" s="2">
        <v>15</v>
      </c>
      <c r="BS526" s="2">
        <v>4</v>
      </c>
      <c r="BT526" s="2">
        <v>1</v>
      </c>
      <c r="BU526" s="2">
        <v>11</v>
      </c>
      <c r="BV526" s="2">
        <f t="shared" si="37"/>
        <v>70</v>
      </c>
      <c r="BW526" s="16">
        <f t="shared" si="35"/>
        <v>3.6842105263157894</v>
      </c>
      <c r="BX526" s="16">
        <f>COUNTIF($BC$6:BU526, "=0") / COUNTIF($BC$6:BU526, "&gt;-1")</f>
        <v>0.13526618850388927</v>
      </c>
      <c r="BY526" s="18">
        <f>SUM($BC$6:BU526) / $BY$4</f>
        <v>0.85624119380641206</v>
      </c>
      <c r="BZ526" s="14">
        <f t="shared" si="36"/>
        <v>7</v>
      </c>
      <c r="CA526" t="s">
        <v>5831</v>
      </c>
      <c r="CB526" s="36">
        <v>1.2116433958347299</v>
      </c>
      <c r="CC526" s="36">
        <v>0.24076603016936199</v>
      </c>
      <c r="CD526" s="36">
        <v>1.6007976618122599</v>
      </c>
      <c r="CE526" s="36">
        <v>0.37798043978830698</v>
      </c>
      <c r="CF526" s="36">
        <v>0.215044089984223</v>
      </c>
      <c r="CG526" s="36">
        <v>0.23243181165987301</v>
      </c>
      <c r="CH526" s="36">
        <v>0.26351557071616</v>
      </c>
      <c r="CI526" s="36">
        <v>0.24329589949557701</v>
      </c>
      <c r="CJ526" s="37">
        <v>6.35806634595966</v>
      </c>
      <c r="CK526" s="37">
        <v>7.5677957626594301</v>
      </c>
      <c r="CL526" s="37">
        <v>4.8003260896040603</v>
      </c>
      <c r="CM526" s="37">
        <v>5.9258293261995796</v>
      </c>
      <c r="CN526" s="37">
        <v>2.7563776974453398</v>
      </c>
      <c r="CO526" s="37">
        <v>11.837858555776901</v>
      </c>
      <c r="CP526" s="37">
        <v>6.0341601914496898</v>
      </c>
      <c r="CQ526" s="37">
        <v>16.749005311220799</v>
      </c>
      <c r="CR526" s="45">
        <v>3.6692288415946699</v>
      </c>
      <c r="CS526" s="45">
        <v>14.1442878370929</v>
      </c>
      <c r="CT526" s="46">
        <v>3.03895025319152E-8</v>
      </c>
      <c r="CU526" s="47">
        <v>2.33684795331623E-7</v>
      </c>
      <c r="CV526" s="48">
        <v>0.54818436243256097</v>
      </c>
      <c r="CW526" s="49">
        <v>7.7536774100394297</v>
      </c>
      <c r="CX526" s="31" t="s">
        <v>5874</v>
      </c>
      <c r="CY526" s="31" t="s">
        <v>5876</v>
      </c>
      <c r="CZ526" t="s">
        <v>8778</v>
      </c>
      <c r="DA526" t="s">
        <v>5904</v>
      </c>
      <c r="DB526">
        <v>478.8</v>
      </c>
      <c r="DC526" t="s">
        <v>22662</v>
      </c>
      <c r="DD526" t="s">
        <v>22663</v>
      </c>
      <c r="DE526" t="s">
        <v>22664</v>
      </c>
      <c r="DF526" t="s">
        <v>22665</v>
      </c>
      <c r="DG526" t="s">
        <v>22666</v>
      </c>
      <c r="DH526" t="str">
        <f>"FSTL3"</f>
        <v>FSTL3</v>
      </c>
      <c r="DI526" t="s">
        <v>22667</v>
      </c>
      <c r="DJ526" t="s">
        <v>13777</v>
      </c>
      <c r="DK526">
        <v>9606</v>
      </c>
      <c r="DL526" s="34" t="str">
        <f>HYPERLINK("http://www.uniprot.org/uniprot/O95633", "O95633")</f>
        <v>O95633</v>
      </c>
      <c r="DM526" t="s">
        <v>22668</v>
      </c>
      <c r="DN526" t="s">
        <v>22669</v>
      </c>
      <c r="DO526" t="s">
        <v>22670</v>
      </c>
      <c r="DP526" t="s">
        <v>22671</v>
      </c>
      <c r="DQ526" t="s">
        <v>13772</v>
      </c>
      <c r="DR526" t="s">
        <v>14244</v>
      </c>
      <c r="DS526" t="s">
        <v>14404</v>
      </c>
      <c r="DT526" t="s">
        <v>13772</v>
      </c>
      <c r="DU526" t="s">
        <v>13772</v>
      </c>
      <c r="DV526" t="s">
        <v>13964</v>
      </c>
      <c r="DW526" t="s">
        <v>13812</v>
      </c>
      <c r="DX526" t="s">
        <v>22672</v>
      </c>
      <c r="DY526" t="s">
        <v>22673</v>
      </c>
      <c r="DZ526" t="s">
        <v>22674</v>
      </c>
      <c r="EA526" t="s">
        <v>13772</v>
      </c>
      <c r="EB526" t="s">
        <v>22675</v>
      </c>
    </row>
    <row r="527" spans="1:132" hidden="1">
      <c r="A527">
        <v>1386</v>
      </c>
      <c r="B527">
        <v>1</v>
      </c>
      <c r="C527" t="s">
        <v>3312</v>
      </c>
      <c r="D527" t="s">
        <v>3313</v>
      </c>
      <c r="E527" t="s">
        <v>73</v>
      </c>
      <c r="F527" t="s">
        <v>73</v>
      </c>
      <c r="G527" t="s">
        <v>73</v>
      </c>
      <c r="H527">
        <v>28.6</v>
      </c>
      <c r="I527">
        <v>843</v>
      </c>
      <c r="J527">
        <v>92992</v>
      </c>
      <c r="K527" t="s">
        <v>3314</v>
      </c>
      <c r="L527">
        <f t="shared" si="34"/>
        <v>70</v>
      </c>
      <c r="N527">
        <v>70</v>
      </c>
      <c r="O527">
        <v>70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2</v>
      </c>
      <c r="Y527">
        <v>0</v>
      </c>
      <c r="Z527">
        <v>13</v>
      </c>
      <c r="AA527">
        <v>0</v>
      </c>
      <c r="AB527">
        <v>0</v>
      </c>
      <c r="AC527">
        <v>10</v>
      </c>
      <c r="AD527">
        <v>24</v>
      </c>
      <c r="AE527">
        <v>2</v>
      </c>
      <c r="AF527">
        <v>2</v>
      </c>
      <c r="AG527">
        <v>4</v>
      </c>
      <c r="AH527">
        <v>5</v>
      </c>
      <c r="AI527">
        <v>5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2</v>
      </c>
      <c r="AR527">
        <v>0</v>
      </c>
      <c r="AS527">
        <v>13</v>
      </c>
      <c r="AT527">
        <v>0</v>
      </c>
      <c r="AU527">
        <v>0</v>
      </c>
      <c r="AV527">
        <v>10</v>
      </c>
      <c r="AW527">
        <v>24</v>
      </c>
      <c r="AX527">
        <v>2</v>
      </c>
      <c r="AY527">
        <v>2</v>
      </c>
      <c r="AZ527">
        <v>4</v>
      </c>
      <c r="BA527">
        <v>5</v>
      </c>
      <c r="BB527">
        <v>5</v>
      </c>
      <c r="BC527" s="2">
        <v>1</v>
      </c>
      <c r="BD527" s="2">
        <v>0</v>
      </c>
      <c r="BE527" s="2">
        <v>0</v>
      </c>
      <c r="BF527" s="2">
        <v>0</v>
      </c>
      <c r="BG527" s="2">
        <v>1</v>
      </c>
      <c r="BH527" s="2">
        <v>0</v>
      </c>
      <c r="BI527" s="2">
        <v>1</v>
      </c>
      <c r="BJ527" s="2">
        <v>2</v>
      </c>
      <c r="BK527" s="2">
        <v>0</v>
      </c>
      <c r="BL527" s="2">
        <v>13</v>
      </c>
      <c r="BM527" s="2">
        <v>0</v>
      </c>
      <c r="BN527" s="2">
        <v>0</v>
      </c>
      <c r="BO527" s="2">
        <v>10</v>
      </c>
      <c r="BP527" s="2">
        <v>24</v>
      </c>
      <c r="BQ527" s="2">
        <v>2</v>
      </c>
      <c r="BR527" s="2">
        <v>2</v>
      </c>
      <c r="BS527" s="2">
        <v>4</v>
      </c>
      <c r="BT527" s="2">
        <v>5</v>
      </c>
      <c r="BU527" s="2">
        <v>5</v>
      </c>
      <c r="BV527" s="2">
        <f t="shared" si="37"/>
        <v>70</v>
      </c>
      <c r="BW527" s="16">
        <f t="shared" si="35"/>
        <v>3.6842105263157894</v>
      </c>
      <c r="BX527" s="16">
        <f>COUNTIF($BC$6:BU527, "=0") / COUNTIF($BC$6:BU527, "&gt;-1")</f>
        <v>0.13571284533172009</v>
      </c>
      <c r="BY527" s="18">
        <f>SUM($BC$6:BU527) / $BY$4</f>
        <v>0.856541048387221</v>
      </c>
      <c r="BZ527" s="14">
        <f t="shared" si="36"/>
        <v>7</v>
      </c>
      <c r="CA527" t="s">
        <v>5831</v>
      </c>
      <c r="CB527" s="36">
        <v>1.2116433958347299</v>
      </c>
      <c r="CC527" s="36">
        <v>0.24076603016936199</v>
      </c>
      <c r="CD527" s="36">
        <v>0.40019941545306398</v>
      </c>
      <c r="CE527" s="36">
        <v>0.37798043978830698</v>
      </c>
      <c r="CF527" s="36">
        <v>0.86017635993689201</v>
      </c>
      <c r="CG527" s="36">
        <v>0.23243181165987301</v>
      </c>
      <c r="CH527" s="36">
        <v>1.05406228286464</v>
      </c>
      <c r="CI527" s="36">
        <v>1.9463671959646101</v>
      </c>
      <c r="CJ527" s="37">
        <v>0.19868957331123899</v>
      </c>
      <c r="CK527" s="37">
        <v>0.15766241172207099</v>
      </c>
      <c r="CL527" s="37">
        <v>0.200013587066836</v>
      </c>
      <c r="CM527" s="37">
        <v>8.4654704659994096</v>
      </c>
      <c r="CN527" s="37">
        <v>1.8375851316302301</v>
      </c>
      <c r="CO527" s="37">
        <v>1.5783811407702499</v>
      </c>
      <c r="CP527" s="37">
        <v>6.0341601914496898</v>
      </c>
      <c r="CQ527" s="37">
        <v>7.6131842323730803</v>
      </c>
      <c r="CR527" s="45">
        <v>1.76159972060833</v>
      </c>
      <c r="CS527" s="45">
        <v>4.1250293567567997</v>
      </c>
      <c r="CT527" s="46">
        <v>2.2450083955762701E-2</v>
      </c>
      <c r="CU527" s="47">
        <v>3.83140463428705E-2</v>
      </c>
      <c r="CV527" s="48">
        <v>0.79045336645893505</v>
      </c>
      <c r="CW527" s="49">
        <v>3.2606433417903502</v>
      </c>
      <c r="CX527" s="31" t="s">
        <v>5874</v>
      </c>
      <c r="CY527" s="31" t="s">
        <v>5878</v>
      </c>
      <c r="CZ527" t="s">
        <v>10367</v>
      </c>
      <c r="DA527" t="s">
        <v>5904</v>
      </c>
      <c r="DB527">
        <v>1443.3</v>
      </c>
      <c r="DC527" t="s">
        <v>27171</v>
      </c>
      <c r="DD527" t="s">
        <v>27172</v>
      </c>
      <c r="DE527" t="s">
        <v>27173</v>
      </c>
      <c r="DF527" t="s">
        <v>27174</v>
      </c>
      <c r="DG527" t="s">
        <v>27175</v>
      </c>
      <c r="DH527" t="str">
        <f>"GPLD1"</f>
        <v>GPLD1</v>
      </c>
      <c r="DI527" t="s">
        <v>27176</v>
      </c>
      <c r="DJ527" t="s">
        <v>13777</v>
      </c>
      <c r="DK527">
        <v>9606</v>
      </c>
      <c r="DL527" s="34" t="str">
        <f>HYPERLINK("http://www.uniprot.org/uniprot/P80108", "P80108")</f>
        <v>P80108</v>
      </c>
      <c r="DM527" t="s">
        <v>27177</v>
      </c>
      <c r="DN527" t="s">
        <v>13772</v>
      </c>
      <c r="DO527" t="s">
        <v>14321</v>
      </c>
      <c r="DP527" t="s">
        <v>13780</v>
      </c>
      <c r="DQ527" t="s">
        <v>13772</v>
      </c>
      <c r="DR527" t="s">
        <v>13772</v>
      </c>
      <c r="DS527" t="s">
        <v>14404</v>
      </c>
      <c r="DT527" t="s">
        <v>13772</v>
      </c>
      <c r="DU527" t="s">
        <v>13857</v>
      </c>
      <c r="DV527" t="s">
        <v>13858</v>
      </c>
      <c r="DW527" t="s">
        <v>13772</v>
      </c>
      <c r="DX527" t="s">
        <v>27178</v>
      </c>
      <c r="DY527" t="s">
        <v>27179</v>
      </c>
      <c r="DZ527" t="s">
        <v>27180</v>
      </c>
      <c r="EA527" t="s">
        <v>13772</v>
      </c>
      <c r="EB527" t="s">
        <v>16280</v>
      </c>
    </row>
    <row r="528" spans="1:132">
      <c r="A528">
        <v>1407</v>
      </c>
      <c r="B528">
        <v>1</v>
      </c>
      <c r="C528" t="s">
        <v>3360</v>
      </c>
      <c r="D528" t="s">
        <v>73</v>
      </c>
      <c r="E528" t="s">
        <v>73</v>
      </c>
      <c r="F528" t="s">
        <v>73</v>
      </c>
      <c r="G528" t="s">
        <v>73</v>
      </c>
      <c r="H528">
        <v>57.1</v>
      </c>
      <c r="I528">
        <v>333</v>
      </c>
      <c r="J528">
        <v>31705</v>
      </c>
      <c r="K528" t="s">
        <v>3361</v>
      </c>
      <c r="L528">
        <f t="shared" si="34"/>
        <v>70</v>
      </c>
      <c r="N528">
        <v>70</v>
      </c>
      <c r="O528">
        <v>70</v>
      </c>
      <c r="P528">
        <v>1</v>
      </c>
      <c r="Q528">
        <v>4</v>
      </c>
      <c r="R528">
        <v>1</v>
      </c>
      <c r="S528">
        <v>2</v>
      </c>
      <c r="T528">
        <v>3</v>
      </c>
      <c r="U528">
        <v>5</v>
      </c>
      <c r="V528">
        <v>2</v>
      </c>
      <c r="W528">
        <v>10</v>
      </c>
      <c r="X528">
        <v>4</v>
      </c>
      <c r="Y528">
        <v>6</v>
      </c>
      <c r="Z528">
        <v>1</v>
      </c>
      <c r="AA528">
        <v>10</v>
      </c>
      <c r="AB528">
        <v>3</v>
      </c>
      <c r="AC528">
        <v>4</v>
      </c>
      <c r="AD528">
        <v>1</v>
      </c>
      <c r="AE528">
        <v>4</v>
      </c>
      <c r="AF528">
        <v>4</v>
      </c>
      <c r="AG528">
        <v>3</v>
      </c>
      <c r="AH528">
        <v>1</v>
      </c>
      <c r="AI528">
        <v>2</v>
      </c>
      <c r="AJ528">
        <v>4</v>
      </c>
      <c r="AK528">
        <v>1</v>
      </c>
      <c r="AL528">
        <v>2</v>
      </c>
      <c r="AM528">
        <v>3</v>
      </c>
      <c r="AN528">
        <v>5</v>
      </c>
      <c r="AO528">
        <v>2</v>
      </c>
      <c r="AP528">
        <v>10</v>
      </c>
      <c r="AQ528">
        <v>4</v>
      </c>
      <c r="AR528">
        <v>6</v>
      </c>
      <c r="AS528">
        <v>1</v>
      </c>
      <c r="AT528">
        <v>10</v>
      </c>
      <c r="AU528">
        <v>3</v>
      </c>
      <c r="AV528">
        <v>4</v>
      </c>
      <c r="AW528">
        <v>1</v>
      </c>
      <c r="AX528">
        <v>4</v>
      </c>
      <c r="AY528">
        <v>4</v>
      </c>
      <c r="AZ528">
        <v>3</v>
      </c>
      <c r="BA528">
        <v>1</v>
      </c>
      <c r="BB528">
        <v>2</v>
      </c>
      <c r="BC528" s="2">
        <v>4</v>
      </c>
      <c r="BD528" s="2">
        <v>1</v>
      </c>
      <c r="BE528" s="2">
        <v>2</v>
      </c>
      <c r="BF528" s="2">
        <v>3</v>
      </c>
      <c r="BG528" s="2">
        <v>5</v>
      </c>
      <c r="BH528" s="2">
        <v>2</v>
      </c>
      <c r="BI528" s="2">
        <v>10</v>
      </c>
      <c r="BJ528" s="2">
        <v>4</v>
      </c>
      <c r="BK528" s="2">
        <v>6</v>
      </c>
      <c r="BL528" s="2">
        <v>1</v>
      </c>
      <c r="BM528" s="2">
        <v>10</v>
      </c>
      <c r="BN528" s="2">
        <v>3</v>
      </c>
      <c r="BO528" s="2">
        <v>4</v>
      </c>
      <c r="BP528" s="2">
        <v>1</v>
      </c>
      <c r="BQ528" s="2">
        <v>4</v>
      </c>
      <c r="BR528" s="2">
        <v>4</v>
      </c>
      <c r="BS528" s="2">
        <v>3</v>
      </c>
      <c r="BT528" s="2">
        <v>1</v>
      </c>
      <c r="BU528" s="2">
        <v>2</v>
      </c>
      <c r="BV528" s="2">
        <f t="shared" si="37"/>
        <v>70</v>
      </c>
      <c r="BW528" s="16">
        <f t="shared" si="35"/>
        <v>3.6842105263157894</v>
      </c>
      <c r="BX528" s="16">
        <f>COUNTIF($BC$6:BU528, "=0") / COUNTIF($BC$6:BU528, "&gt;-1")</f>
        <v>0.13545335614370535</v>
      </c>
      <c r="BY528" s="18">
        <f>SUM($BC$6:BU528) / $BY$4</f>
        <v>0.85684090296803006</v>
      </c>
      <c r="BZ528" s="14">
        <f t="shared" si="36"/>
        <v>0</v>
      </c>
      <c r="CA528" t="s">
        <v>5831</v>
      </c>
      <c r="CB528" s="36">
        <v>4.8465735833389196</v>
      </c>
      <c r="CC528" s="36">
        <v>0.96306412067744696</v>
      </c>
      <c r="CD528" s="36">
        <v>3.2015953236245198</v>
      </c>
      <c r="CE528" s="36">
        <v>4.5357652774596904</v>
      </c>
      <c r="CF528" s="36">
        <v>4.3008817996844604</v>
      </c>
      <c r="CG528" s="36">
        <v>1.85945449327898</v>
      </c>
      <c r="CH528" s="36">
        <v>10.5406228286464</v>
      </c>
      <c r="CI528" s="36">
        <v>3.8927343919292201</v>
      </c>
      <c r="CJ528" s="37">
        <v>4.7685497594697397</v>
      </c>
      <c r="CK528" s="37">
        <v>6.3064964688828598</v>
      </c>
      <c r="CL528" s="37">
        <v>2.4001630448020301</v>
      </c>
      <c r="CM528" s="37">
        <v>3.3861881863997598</v>
      </c>
      <c r="CN528" s="37">
        <v>3.6751702632604601</v>
      </c>
      <c r="CO528" s="37">
        <v>3.1567622815404999</v>
      </c>
      <c r="CP528" s="37">
        <v>4.5256201435872701</v>
      </c>
      <c r="CQ528" s="37">
        <v>3.0452736929492299</v>
      </c>
      <c r="CR528" s="45">
        <v>-9.0951534766335607E-2</v>
      </c>
      <c r="CS528" s="45">
        <v>-1.0920050979799301</v>
      </c>
      <c r="CT528" s="46">
        <v>0.84376453202308799</v>
      </c>
      <c r="CU528" s="47">
        <v>0.89034459293918899</v>
      </c>
      <c r="CV528" s="48">
        <v>4.2675864773299503</v>
      </c>
      <c r="CW528" s="49">
        <v>3.9080279801114801</v>
      </c>
      <c r="CX528" s="31" t="s">
        <v>5875</v>
      </c>
      <c r="CY528" s="31" t="s">
        <v>5832</v>
      </c>
      <c r="CZ528" t="s">
        <v>10434</v>
      </c>
      <c r="DA528" t="s">
        <v>5904</v>
      </c>
      <c r="DB528">
        <v>201.4</v>
      </c>
      <c r="DC528" t="s">
        <v>27365</v>
      </c>
      <c r="DD528" t="s">
        <v>27366</v>
      </c>
      <c r="DE528" t="s">
        <v>27367</v>
      </c>
      <c r="DF528" t="s">
        <v>27368</v>
      </c>
      <c r="DG528" t="s">
        <v>27369</v>
      </c>
      <c r="DH528" t="str">
        <f>"MARCKS"</f>
        <v>MARCKS</v>
      </c>
      <c r="DI528" t="s">
        <v>27370</v>
      </c>
      <c r="DJ528" t="s">
        <v>13777</v>
      </c>
      <c r="DK528">
        <v>9606</v>
      </c>
      <c r="DL528" s="34" t="str">
        <f>HYPERLINK("http://www.uniprot.org/uniprot/P29966", "P29966")</f>
        <v>P29966</v>
      </c>
      <c r="DM528" t="s">
        <v>27371</v>
      </c>
      <c r="DN528" t="s">
        <v>13772</v>
      </c>
      <c r="DO528" t="s">
        <v>17081</v>
      </c>
      <c r="DP528" t="s">
        <v>13793</v>
      </c>
      <c r="DQ528" t="s">
        <v>13772</v>
      </c>
      <c r="DR528" t="s">
        <v>13772</v>
      </c>
      <c r="DS528" t="s">
        <v>13772</v>
      </c>
      <c r="DT528" t="s">
        <v>13772</v>
      </c>
      <c r="DU528" t="s">
        <v>15941</v>
      </c>
      <c r="DV528" t="s">
        <v>21052</v>
      </c>
      <c r="DW528" t="s">
        <v>13772</v>
      </c>
      <c r="DX528" t="s">
        <v>27372</v>
      </c>
      <c r="DY528" t="s">
        <v>27373</v>
      </c>
      <c r="DZ528" t="s">
        <v>27374</v>
      </c>
      <c r="EA528" t="s">
        <v>13772</v>
      </c>
      <c r="EB528" t="s">
        <v>27375</v>
      </c>
    </row>
    <row r="529" spans="1:132" hidden="1">
      <c r="A529">
        <v>1610</v>
      </c>
      <c r="B529">
        <v>1</v>
      </c>
      <c r="C529" t="s">
        <v>3817</v>
      </c>
      <c r="D529" t="s">
        <v>73</v>
      </c>
      <c r="E529" t="s">
        <v>73</v>
      </c>
      <c r="F529" t="s">
        <v>73</v>
      </c>
      <c r="G529" t="s">
        <v>73</v>
      </c>
      <c r="H529">
        <v>40.4</v>
      </c>
      <c r="I529">
        <v>245</v>
      </c>
      <c r="J529">
        <v>28048</v>
      </c>
      <c r="K529" t="s">
        <v>3818</v>
      </c>
      <c r="L529">
        <f t="shared" si="34"/>
        <v>70</v>
      </c>
      <c r="N529">
        <v>70</v>
      </c>
      <c r="O529">
        <v>70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</v>
      </c>
      <c r="W529">
        <v>0</v>
      </c>
      <c r="X529">
        <v>12</v>
      </c>
      <c r="Y529">
        <v>3</v>
      </c>
      <c r="Z529">
        <v>1</v>
      </c>
      <c r="AA529">
        <v>14</v>
      </c>
      <c r="AB529">
        <v>1</v>
      </c>
      <c r="AC529">
        <v>9</v>
      </c>
      <c r="AD529">
        <v>3</v>
      </c>
      <c r="AE529">
        <v>16</v>
      </c>
      <c r="AF529">
        <v>5</v>
      </c>
      <c r="AG529">
        <v>1</v>
      </c>
      <c r="AH529">
        <v>0</v>
      </c>
      <c r="AI529">
        <v>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</v>
      </c>
      <c r="AP529">
        <v>0</v>
      </c>
      <c r="AQ529">
        <v>12</v>
      </c>
      <c r="AR529">
        <v>3</v>
      </c>
      <c r="AS529">
        <v>1</v>
      </c>
      <c r="AT529">
        <v>14</v>
      </c>
      <c r="AU529">
        <v>1</v>
      </c>
      <c r="AV529">
        <v>9</v>
      </c>
      <c r="AW529">
        <v>3</v>
      </c>
      <c r="AX529">
        <v>16</v>
      </c>
      <c r="AY529">
        <v>5</v>
      </c>
      <c r="AZ529">
        <v>1</v>
      </c>
      <c r="BA529">
        <v>0</v>
      </c>
      <c r="BB529">
        <v>3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2</v>
      </c>
      <c r="BI529" s="2">
        <v>0</v>
      </c>
      <c r="BJ529" s="2">
        <v>12</v>
      </c>
      <c r="BK529" s="2">
        <v>3</v>
      </c>
      <c r="BL529" s="2">
        <v>1</v>
      </c>
      <c r="BM529" s="2">
        <v>14</v>
      </c>
      <c r="BN529" s="2">
        <v>1</v>
      </c>
      <c r="BO529" s="2">
        <v>9</v>
      </c>
      <c r="BP529" s="2">
        <v>3</v>
      </c>
      <c r="BQ529" s="2">
        <v>16</v>
      </c>
      <c r="BR529" s="2">
        <v>5</v>
      </c>
      <c r="BS529" s="2">
        <v>1</v>
      </c>
      <c r="BT529" s="2">
        <v>0</v>
      </c>
      <c r="BU529" s="2">
        <v>3</v>
      </c>
      <c r="BV529" s="2">
        <f t="shared" si="37"/>
        <v>70</v>
      </c>
      <c r="BW529" s="16">
        <f t="shared" si="35"/>
        <v>3.6842105263157894</v>
      </c>
      <c r="BX529" s="16">
        <f>COUNTIF($BC$6:BU529, "=0") / COUNTIF($BC$6:BU529, "&gt;-1")</f>
        <v>0.13589795098433105</v>
      </c>
      <c r="BY529" s="18">
        <f>SUM($BC$6:BU529) / $BY$4</f>
        <v>0.85714075754883912</v>
      </c>
      <c r="BZ529" s="14">
        <f t="shared" si="36"/>
        <v>7</v>
      </c>
      <c r="CA529" t="s">
        <v>5831</v>
      </c>
      <c r="CB529" s="36">
        <v>0.30291084895868198</v>
      </c>
      <c r="CC529" s="36">
        <v>0.24076603016936199</v>
      </c>
      <c r="CD529" s="36">
        <v>0.40019941545306398</v>
      </c>
      <c r="CE529" s="36">
        <v>0.37798043978830698</v>
      </c>
      <c r="CF529" s="36">
        <v>0.215044089984223</v>
      </c>
      <c r="CG529" s="36">
        <v>1.85945449327898</v>
      </c>
      <c r="CH529" s="36">
        <v>0.26351557071616</v>
      </c>
      <c r="CI529" s="36">
        <v>11.678203175787701</v>
      </c>
      <c r="CJ529" s="37">
        <v>2.3842748797348698</v>
      </c>
      <c r="CK529" s="37">
        <v>8.8290950564359996</v>
      </c>
      <c r="CL529" s="37">
        <v>0.80005434826734301</v>
      </c>
      <c r="CM529" s="37">
        <v>7.6189234193994704</v>
      </c>
      <c r="CN529" s="37">
        <v>14.7006810530418</v>
      </c>
      <c r="CO529" s="37">
        <v>3.94595285192562</v>
      </c>
      <c r="CP529" s="37">
        <v>1.50854004786242</v>
      </c>
      <c r="CQ529" s="37">
        <v>4.5679105394238499</v>
      </c>
      <c r="CR529" s="45">
        <v>1.43157387988714</v>
      </c>
      <c r="CS529" s="45">
        <v>2.89185148087161</v>
      </c>
      <c r="CT529" s="46">
        <v>6.2506725705120503E-2</v>
      </c>
      <c r="CU529" s="47">
        <v>9.3970785385900202E-2</v>
      </c>
      <c r="CV529" s="48">
        <v>1.91725925801706</v>
      </c>
      <c r="CW529" s="49">
        <v>5.5444290245114303</v>
      </c>
      <c r="CX529" s="31" t="s">
        <v>5874</v>
      </c>
      <c r="CY529" s="31" t="s">
        <v>5877</v>
      </c>
      <c r="CZ529" t="s">
        <v>11111</v>
      </c>
      <c r="DA529" t="s">
        <v>5904</v>
      </c>
      <c r="DB529">
        <v>461.1</v>
      </c>
      <c r="DC529" t="s">
        <v>29237</v>
      </c>
      <c r="DD529" t="s">
        <v>13772</v>
      </c>
      <c r="DE529" t="s">
        <v>29238</v>
      </c>
      <c r="DF529" t="s">
        <v>29239</v>
      </c>
      <c r="DG529" t="s">
        <v>29240</v>
      </c>
      <c r="DH529" t="str">
        <f>"CMBL"</f>
        <v>CMBL</v>
      </c>
      <c r="DI529" t="s">
        <v>13772</v>
      </c>
      <c r="DJ529" t="s">
        <v>13777</v>
      </c>
      <c r="DK529">
        <v>9606</v>
      </c>
      <c r="DL529" s="34" t="str">
        <f>HYPERLINK("http://www.uniprot.org/uniprot/Q96DG6", "Q96DG6")</f>
        <v>Q96DG6</v>
      </c>
      <c r="DM529" t="s">
        <v>22457</v>
      </c>
      <c r="DN529" t="s">
        <v>13772</v>
      </c>
      <c r="DO529" t="s">
        <v>13899</v>
      </c>
      <c r="DP529" t="s">
        <v>13793</v>
      </c>
      <c r="DQ529" t="s">
        <v>13772</v>
      </c>
      <c r="DR529" t="s">
        <v>13772</v>
      </c>
      <c r="DS529" t="s">
        <v>13772</v>
      </c>
      <c r="DT529" t="s">
        <v>13772</v>
      </c>
      <c r="DU529" t="s">
        <v>13857</v>
      </c>
      <c r="DV529" t="s">
        <v>13886</v>
      </c>
      <c r="DW529" t="s">
        <v>13772</v>
      </c>
      <c r="DX529" t="s">
        <v>25670</v>
      </c>
      <c r="DY529" t="s">
        <v>15111</v>
      </c>
      <c r="DZ529" t="s">
        <v>16563</v>
      </c>
      <c r="EA529" t="s">
        <v>13772</v>
      </c>
      <c r="EB529" t="s">
        <v>22556</v>
      </c>
    </row>
    <row r="530" spans="1:132" hidden="1">
      <c r="A530">
        <v>300</v>
      </c>
      <c r="B530">
        <v>1</v>
      </c>
      <c r="C530" t="s">
        <v>753</v>
      </c>
      <c r="D530" t="s">
        <v>73</v>
      </c>
      <c r="E530" t="s">
        <v>73</v>
      </c>
      <c r="F530" t="s">
        <v>73</v>
      </c>
      <c r="G530" t="s">
        <v>73</v>
      </c>
      <c r="H530">
        <v>44.1</v>
      </c>
      <c r="I530">
        <v>417</v>
      </c>
      <c r="J530">
        <v>46838</v>
      </c>
      <c r="K530" t="s">
        <v>754</v>
      </c>
      <c r="L530">
        <f t="shared" si="34"/>
        <v>69</v>
      </c>
      <c r="N530">
        <v>69</v>
      </c>
      <c r="O530">
        <v>69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</v>
      </c>
      <c r="X530">
        <v>12</v>
      </c>
      <c r="Y530">
        <v>0</v>
      </c>
      <c r="Z530">
        <v>5</v>
      </c>
      <c r="AA530">
        <v>5</v>
      </c>
      <c r="AB530">
        <v>2</v>
      </c>
      <c r="AC530">
        <v>0</v>
      </c>
      <c r="AD530">
        <v>0</v>
      </c>
      <c r="AE530">
        <v>24</v>
      </c>
      <c r="AF530">
        <v>3</v>
      </c>
      <c r="AG530">
        <v>9</v>
      </c>
      <c r="AH530">
        <v>0</v>
      </c>
      <c r="AI530">
        <v>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</v>
      </c>
      <c r="AQ530">
        <v>12</v>
      </c>
      <c r="AR530">
        <v>0</v>
      </c>
      <c r="AS530">
        <v>5</v>
      </c>
      <c r="AT530">
        <v>5</v>
      </c>
      <c r="AU530">
        <v>2</v>
      </c>
      <c r="AV530">
        <v>0</v>
      </c>
      <c r="AW530">
        <v>0</v>
      </c>
      <c r="AX530">
        <v>24</v>
      </c>
      <c r="AY530">
        <v>3</v>
      </c>
      <c r="AZ530">
        <v>9</v>
      </c>
      <c r="BA530">
        <v>0</v>
      </c>
      <c r="BB530">
        <v>7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2</v>
      </c>
      <c r="BJ530" s="2">
        <v>12</v>
      </c>
      <c r="BK530" s="2">
        <v>0</v>
      </c>
      <c r="BL530" s="2">
        <v>5</v>
      </c>
      <c r="BM530" s="2">
        <v>5</v>
      </c>
      <c r="BN530" s="2">
        <v>2</v>
      </c>
      <c r="BO530" s="2">
        <v>0</v>
      </c>
      <c r="BP530" s="2">
        <v>0</v>
      </c>
      <c r="BQ530" s="2">
        <v>24</v>
      </c>
      <c r="BR530" s="2">
        <v>3</v>
      </c>
      <c r="BS530" s="2">
        <v>9</v>
      </c>
      <c r="BT530" s="2">
        <v>0</v>
      </c>
      <c r="BU530" s="2">
        <v>7</v>
      </c>
      <c r="BV530" s="2">
        <f t="shared" si="37"/>
        <v>69</v>
      </c>
      <c r="BW530" s="16">
        <f t="shared" si="35"/>
        <v>3.6315789473684212</v>
      </c>
      <c r="BX530" s="16">
        <f>COUNTIF($BC$6:BU530, "=0") / COUNTIF($BC$6:BU530, "&gt;-1")</f>
        <v>0.13664160401002506</v>
      </c>
      <c r="BY530" s="18">
        <f>SUM($BC$6:BU530) / $BY$4</f>
        <v>0.8574363284927794</v>
      </c>
      <c r="BZ530" s="14">
        <f t="shared" si="36"/>
        <v>10</v>
      </c>
      <c r="CA530" t="s">
        <v>5831</v>
      </c>
      <c r="CB530" s="36">
        <v>0.30291084895868198</v>
      </c>
      <c r="CC530" s="36">
        <v>0.24076603016936199</v>
      </c>
      <c r="CD530" s="36">
        <v>0.40019941545306398</v>
      </c>
      <c r="CE530" s="36">
        <v>0.37798043978830698</v>
      </c>
      <c r="CF530" s="36">
        <v>0.215044089984223</v>
      </c>
      <c r="CG530" s="36">
        <v>0.23243181165987301</v>
      </c>
      <c r="CH530" s="36">
        <v>2.10812456572928</v>
      </c>
      <c r="CI530" s="36">
        <v>11.678203175787701</v>
      </c>
      <c r="CJ530" s="37">
        <v>0.19868957331123899</v>
      </c>
      <c r="CK530" s="37">
        <v>3.1532482344414299</v>
      </c>
      <c r="CL530" s="37">
        <v>1.60010869653469</v>
      </c>
      <c r="CM530" s="37">
        <v>0.21163676164998499</v>
      </c>
      <c r="CN530" s="37">
        <v>22.0510215795627</v>
      </c>
      <c r="CO530" s="37">
        <v>2.36757171115537</v>
      </c>
      <c r="CP530" s="37">
        <v>13.576860430761799</v>
      </c>
      <c r="CQ530" s="37">
        <v>10.658457925322301</v>
      </c>
      <c r="CR530" s="45">
        <v>1.6651017770884899</v>
      </c>
      <c r="CS530" s="45">
        <v>3.4596792168641701</v>
      </c>
      <c r="CT530" s="46">
        <v>8.8908656433367997E-2</v>
      </c>
      <c r="CU530" s="47">
        <v>0.12786851173587599</v>
      </c>
      <c r="CV530" s="48">
        <v>1.9444575471913099</v>
      </c>
      <c r="CW530" s="49">
        <v>6.7271993640924501</v>
      </c>
      <c r="CX530" s="31" t="s">
        <v>5874</v>
      </c>
      <c r="CY530" s="31" t="s">
        <v>5832</v>
      </c>
      <c r="CZ530" t="s">
        <v>6729</v>
      </c>
      <c r="DA530" t="s">
        <v>5904</v>
      </c>
      <c r="DB530">
        <v>798.1</v>
      </c>
      <c r="DC530" t="s">
        <v>16534</v>
      </c>
      <c r="DD530" t="s">
        <v>13772</v>
      </c>
      <c r="DE530" t="s">
        <v>16535</v>
      </c>
      <c r="DF530" t="s">
        <v>16536</v>
      </c>
      <c r="DG530" t="s">
        <v>16537</v>
      </c>
      <c r="DH530" t="str">
        <f>"CPA2"</f>
        <v>CPA2</v>
      </c>
      <c r="DI530" t="s">
        <v>13772</v>
      </c>
      <c r="DJ530" t="s">
        <v>13777</v>
      </c>
      <c r="DK530">
        <v>9606</v>
      </c>
      <c r="DL530" s="34" t="str">
        <f>HYPERLINK("http://www.uniprot.org/uniprot/P48052", "P48052")</f>
        <v>P48052</v>
      </c>
      <c r="DM530" t="s">
        <v>16538</v>
      </c>
      <c r="DN530" t="s">
        <v>13772</v>
      </c>
      <c r="DO530" t="s">
        <v>14321</v>
      </c>
      <c r="DP530" t="s">
        <v>13793</v>
      </c>
      <c r="DQ530" t="s">
        <v>13772</v>
      </c>
      <c r="DR530" t="s">
        <v>13772</v>
      </c>
      <c r="DS530" t="s">
        <v>13808</v>
      </c>
      <c r="DT530" t="s">
        <v>13856</v>
      </c>
      <c r="DU530" t="s">
        <v>16539</v>
      </c>
      <c r="DV530" t="s">
        <v>15387</v>
      </c>
      <c r="DW530" t="s">
        <v>13812</v>
      </c>
      <c r="DX530" t="s">
        <v>16540</v>
      </c>
      <c r="DY530" t="s">
        <v>16541</v>
      </c>
      <c r="DZ530" t="s">
        <v>16542</v>
      </c>
      <c r="EA530" t="s">
        <v>13772</v>
      </c>
      <c r="EB530" t="s">
        <v>13772</v>
      </c>
    </row>
    <row r="531" spans="1:132" hidden="1">
      <c r="A531">
        <v>843</v>
      </c>
      <c r="B531">
        <v>1</v>
      </c>
      <c r="C531" t="s">
        <v>2069</v>
      </c>
      <c r="D531" t="s">
        <v>73</v>
      </c>
      <c r="E531" t="s">
        <v>73</v>
      </c>
      <c r="F531" t="s">
        <v>73</v>
      </c>
      <c r="G531" t="s">
        <v>73</v>
      </c>
      <c r="H531">
        <v>23.9</v>
      </c>
      <c r="I531">
        <v>891</v>
      </c>
      <c r="J531">
        <v>99730</v>
      </c>
      <c r="K531" t="s">
        <v>2070</v>
      </c>
      <c r="L531">
        <f t="shared" si="34"/>
        <v>69</v>
      </c>
      <c r="N531">
        <v>69</v>
      </c>
      <c r="O531">
        <v>69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11</v>
      </c>
      <c r="AA531">
        <v>1</v>
      </c>
      <c r="AB531">
        <v>1</v>
      </c>
      <c r="AC531">
        <v>17</v>
      </c>
      <c r="AD531">
        <v>26</v>
      </c>
      <c r="AE531">
        <v>2</v>
      </c>
      <c r="AF531">
        <v>0</v>
      </c>
      <c r="AG531">
        <v>6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11</v>
      </c>
      <c r="AT531">
        <v>1</v>
      </c>
      <c r="AU531">
        <v>1</v>
      </c>
      <c r="AV531">
        <v>17</v>
      </c>
      <c r="AW531">
        <v>26</v>
      </c>
      <c r="AX531">
        <v>2</v>
      </c>
      <c r="AY531">
        <v>0</v>
      </c>
      <c r="AZ531">
        <v>6</v>
      </c>
      <c r="BA531">
        <v>1</v>
      </c>
      <c r="BB531">
        <v>1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1</v>
      </c>
      <c r="BL531" s="2">
        <v>11</v>
      </c>
      <c r="BM531" s="2">
        <v>1</v>
      </c>
      <c r="BN531" s="2">
        <v>1</v>
      </c>
      <c r="BO531" s="2">
        <v>17</v>
      </c>
      <c r="BP531" s="2">
        <v>26</v>
      </c>
      <c r="BQ531" s="2">
        <v>2</v>
      </c>
      <c r="BR531" s="2">
        <v>0</v>
      </c>
      <c r="BS531" s="2">
        <v>6</v>
      </c>
      <c r="BT531" s="2">
        <v>1</v>
      </c>
      <c r="BU531" s="2">
        <v>1</v>
      </c>
      <c r="BV531" s="2">
        <f t="shared" si="37"/>
        <v>69</v>
      </c>
      <c r="BW531" s="16">
        <f t="shared" si="35"/>
        <v>3.6315789473684212</v>
      </c>
      <c r="BX531" s="16">
        <f>COUNTIF($BC$6:BU531, "=0") / COUNTIF($BC$6:BU531, "&gt;-1")</f>
        <v>0.13708224934960977</v>
      </c>
      <c r="BY531" s="18">
        <f>SUM($BC$6:BU531) / $BY$4</f>
        <v>0.85773189943671979</v>
      </c>
      <c r="BZ531" s="14">
        <f t="shared" si="36"/>
        <v>7</v>
      </c>
      <c r="CA531" t="s">
        <v>5831</v>
      </c>
      <c r="CB531" s="36">
        <v>1.2116433958347299</v>
      </c>
      <c r="CC531" s="36">
        <v>0.96306412067744696</v>
      </c>
      <c r="CD531" s="36">
        <v>0.40019941545306398</v>
      </c>
      <c r="CE531" s="36">
        <v>0.37798043978830698</v>
      </c>
      <c r="CF531" s="36">
        <v>0.215044089984223</v>
      </c>
      <c r="CG531" s="36">
        <v>0.23243181165987301</v>
      </c>
      <c r="CH531" s="36">
        <v>0.26351557071616</v>
      </c>
      <c r="CI531" s="36">
        <v>0.24329589949557701</v>
      </c>
      <c r="CJ531" s="37">
        <v>0.79475829324495695</v>
      </c>
      <c r="CK531" s="37">
        <v>0.63064964688828595</v>
      </c>
      <c r="CL531" s="37">
        <v>0.80005434826734301</v>
      </c>
      <c r="CM531" s="37">
        <v>14.391299792199</v>
      </c>
      <c r="CN531" s="37">
        <v>1.8375851316302301</v>
      </c>
      <c r="CO531" s="37">
        <v>0.19729764259628099</v>
      </c>
      <c r="CP531" s="37">
        <v>9.0512402871745401</v>
      </c>
      <c r="CQ531" s="37">
        <v>1.5226368464746201</v>
      </c>
      <c r="CR531" s="45">
        <v>2.6102587433311499</v>
      </c>
      <c r="CS531" s="45">
        <v>7.47996286479811</v>
      </c>
      <c r="CT531" s="46">
        <v>6.1719389508565698E-3</v>
      </c>
      <c r="CU531" s="47">
        <v>1.19681946612262E-2</v>
      </c>
      <c r="CV531" s="48">
        <v>0.48839684295117303</v>
      </c>
      <c r="CW531" s="49">
        <v>3.6531902485594001</v>
      </c>
      <c r="CX531" s="31" t="s">
        <v>5874</v>
      </c>
      <c r="CY531" s="31" t="s">
        <v>5878</v>
      </c>
      <c r="CZ531" t="s">
        <v>8590</v>
      </c>
      <c r="DA531" t="s">
        <v>5904</v>
      </c>
      <c r="DB531">
        <v>1621.3</v>
      </c>
      <c r="DC531" t="s">
        <v>22106</v>
      </c>
      <c r="DD531" t="s">
        <v>22107</v>
      </c>
      <c r="DE531" t="s">
        <v>22108</v>
      </c>
      <c r="DF531" t="s">
        <v>22109</v>
      </c>
      <c r="DG531" t="s">
        <v>22110</v>
      </c>
      <c r="DH531" t="str">
        <f>"ITIH3"</f>
        <v>ITIH3</v>
      </c>
      <c r="DI531" t="s">
        <v>13772</v>
      </c>
      <c r="DJ531" t="s">
        <v>13777</v>
      </c>
      <c r="DK531">
        <v>9606</v>
      </c>
      <c r="DL531" s="34" t="str">
        <f>HYPERLINK("http://www.uniprot.org/uniprot/Q06033", "Q06033")</f>
        <v>Q06033</v>
      </c>
      <c r="DM531" t="s">
        <v>22111</v>
      </c>
      <c r="DN531" t="s">
        <v>13772</v>
      </c>
      <c r="DO531" t="s">
        <v>14321</v>
      </c>
      <c r="DP531" t="s">
        <v>13780</v>
      </c>
      <c r="DQ531" t="s">
        <v>13772</v>
      </c>
      <c r="DR531" t="s">
        <v>13772</v>
      </c>
      <c r="DS531" t="s">
        <v>13808</v>
      </c>
      <c r="DT531" t="s">
        <v>13772</v>
      </c>
      <c r="DU531" t="s">
        <v>14375</v>
      </c>
      <c r="DV531" t="s">
        <v>22112</v>
      </c>
      <c r="DW531" t="s">
        <v>13772</v>
      </c>
      <c r="DX531" t="s">
        <v>22113</v>
      </c>
      <c r="DY531" t="s">
        <v>22114</v>
      </c>
      <c r="DZ531" t="s">
        <v>20851</v>
      </c>
      <c r="EA531" t="s">
        <v>13772</v>
      </c>
      <c r="EB531" t="s">
        <v>15665</v>
      </c>
    </row>
    <row r="532" spans="1:132" hidden="1">
      <c r="A532">
        <v>1962</v>
      </c>
      <c r="B532">
        <v>1</v>
      </c>
      <c r="C532" t="s">
        <v>4626</v>
      </c>
      <c r="D532" t="s">
        <v>73</v>
      </c>
      <c r="E532" t="s">
        <v>73</v>
      </c>
      <c r="F532" t="s">
        <v>73</v>
      </c>
      <c r="G532" t="s">
        <v>73</v>
      </c>
      <c r="H532">
        <v>38.799999999999997</v>
      </c>
      <c r="I532">
        <v>201</v>
      </c>
      <c r="J532">
        <v>22269</v>
      </c>
      <c r="K532" t="s">
        <v>4627</v>
      </c>
      <c r="L532">
        <f t="shared" si="34"/>
        <v>69</v>
      </c>
      <c r="N532">
        <v>69</v>
      </c>
      <c r="O532">
        <v>69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5</v>
      </c>
      <c r="Y532">
        <v>2</v>
      </c>
      <c r="Z532">
        <v>8</v>
      </c>
      <c r="AA532">
        <v>4</v>
      </c>
      <c r="AB532">
        <v>2</v>
      </c>
      <c r="AC532">
        <v>9</v>
      </c>
      <c r="AD532">
        <v>9</v>
      </c>
      <c r="AE532">
        <v>12</v>
      </c>
      <c r="AF532">
        <v>4</v>
      </c>
      <c r="AG532">
        <v>4</v>
      </c>
      <c r="AH532">
        <v>2</v>
      </c>
      <c r="AI532">
        <v>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5</v>
      </c>
      <c r="AR532">
        <v>2</v>
      </c>
      <c r="AS532">
        <v>8</v>
      </c>
      <c r="AT532">
        <v>4</v>
      </c>
      <c r="AU532">
        <v>2</v>
      </c>
      <c r="AV532">
        <v>9</v>
      </c>
      <c r="AW532">
        <v>9</v>
      </c>
      <c r="AX532">
        <v>12</v>
      </c>
      <c r="AY532">
        <v>4</v>
      </c>
      <c r="AZ532">
        <v>4</v>
      </c>
      <c r="BA532">
        <v>2</v>
      </c>
      <c r="BB532">
        <v>8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5</v>
      </c>
      <c r="BK532" s="2">
        <v>2</v>
      </c>
      <c r="BL532" s="2">
        <v>8</v>
      </c>
      <c r="BM532" s="2">
        <v>4</v>
      </c>
      <c r="BN532" s="2">
        <v>2</v>
      </c>
      <c r="BO532" s="2">
        <v>9</v>
      </c>
      <c r="BP532" s="2">
        <v>9</v>
      </c>
      <c r="BQ532" s="2">
        <v>12</v>
      </c>
      <c r="BR532" s="2">
        <v>4</v>
      </c>
      <c r="BS532" s="2">
        <v>4</v>
      </c>
      <c r="BT532" s="2">
        <v>2</v>
      </c>
      <c r="BU532" s="2">
        <v>8</v>
      </c>
      <c r="BV532" s="2">
        <f t="shared" si="37"/>
        <v>69</v>
      </c>
      <c r="BW532" s="16">
        <f t="shared" si="35"/>
        <v>3.6315789473684212</v>
      </c>
      <c r="BX532" s="16">
        <f>COUNTIF($BC$6:BU532, "=0") / COUNTIF($BC$6:BU532, "&gt;-1")</f>
        <v>0.13752122241086587</v>
      </c>
      <c r="BY532" s="18">
        <f>SUM($BC$6:BU532) / $BY$4</f>
        <v>0.85802747038066007</v>
      </c>
      <c r="BZ532" s="14">
        <f t="shared" si="36"/>
        <v>7</v>
      </c>
      <c r="CA532" t="s">
        <v>5831</v>
      </c>
      <c r="CB532" s="36">
        <v>0.30291084895868198</v>
      </c>
      <c r="CC532" s="36">
        <v>0.24076603016936199</v>
      </c>
      <c r="CD532" s="36">
        <v>0.40019941545306398</v>
      </c>
      <c r="CE532" s="36">
        <v>0.37798043978830698</v>
      </c>
      <c r="CF532" s="36">
        <v>0.215044089984223</v>
      </c>
      <c r="CG532" s="36">
        <v>0.23243181165987301</v>
      </c>
      <c r="CH532" s="36">
        <v>0.26351557071616</v>
      </c>
      <c r="CI532" s="36">
        <v>4.8659179899115301</v>
      </c>
      <c r="CJ532" s="37">
        <v>1.5895165864899099</v>
      </c>
      <c r="CK532" s="37">
        <v>2.5225985875531398</v>
      </c>
      <c r="CL532" s="37">
        <v>1.60010869653469</v>
      </c>
      <c r="CM532" s="37">
        <v>7.6189234193994704</v>
      </c>
      <c r="CN532" s="37">
        <v>11.0255107897814</v>
      </c>
      <c r="CO532" s="37">
        <v>3.1567622815404999</v>
      </c>
      <c r="CP532" s="37">
        <v>6.0341601914496898</v>
      </c>
      <c r="CQ532" s="37">
        <v>12.1810947717969</v>
      </c>
      <c r="CR532" s="45">
        <v>2.45945827194664</v>
      </c>
      <c r="CS532" s="45">
        <v>6.6285295110899103</v>
      </c>
      <c r="CT532" s="46">
        <v>5.5259875857648999E-4</v>
      </c>
      <c r="CU532" s="47">
        <v>1.3346157743237301E-3</v>
      </c>
      <c r="CV532" s="48">
        <v>0.86234577458015005</v>
      </c>
      <c r="CW532" s="49">
        <v>5.7160844155682096</v>
      </c>
      <c r="CX532" s="31" t="s">
        <v>5874</v>
      </c>
      <c r="CY532" s="31" t="s">
        <v>5876</v>
      </c>
      <c r="CZ532" t="s">
        <v>12297</v>
      </c>
      <c r="DA532" t="s">
        <v>5904</v>
      </c>
      <c r="DB532">
        <v>295.8</v>
      </c>
      <c r="DC532" t="s">
        <v>32586</v>
      </c>
      <c r="DD532" t="s">
        <v>13772</v>
      </c>
      <c r="DE532" t="s">
        <v>32587</v>
      </c>
      <c r="DF532" t="s">
        <v>32588</v>
      </c>
      <c r="DG532" t="s">
        <v>32589</v>
      </c>
      <c r="DH532" t="str">
        <f>"C8G"</f>
        <v>C8G</v>
      </c>
      <c r="DI532" t="s">
        <v>13772</v>
      </c>
      <c r="DJ532" t="s">
        <v>13777</v>
      </c>
      <c r="DK532">
        <v>9606</v>
      </c>
      <c r="DL532" s="34" t="str">
        <f>HYPERLINK("http://www.uniprot.org/uniprot/P07360", "P07360")</f>
        <v>P07360</v>
      </c>
      <c r="DM532" t="s">
        <v>32590</v>
      </c>
      <c r="DN532" t="s">
        <v>16369</v>
      </c>
      <c r="DO532" t="s">
        <v>20220</v>
      </c>
      <c r="DP532" t="s">
        <v>13793</v>
      </c>
      <c r="DQ532" t="s">
        <v>13772</v>
      </c>
      <c r="DR532" t="s">
        <v>13772</v>
      </c>
      <c r="DS532" t="s">
        <v>13808</v>
      </c>
      <c r="DT532" t="s">
        <v>32591</v>
      </c>
      <c r="DU532" t="s">
        <v>13772</v>
      </c>
      <c r="DV532" t="s">
        <v>15344</v>
      </c>
      <c r="DW532" t="s">
        <v>13812</v>
      </c>
      <c r="DX532" t="s">
        <v>32592</v>
      </c>
      <c r="DY532" t="s">
        <v>32593</v>
      </c>
      <c r="DZ532" t="s">
        <v>32594</v>
      </c>
      <c r="EA532" t="s">
        <v>13772</v>
      </c>
      <c r="EB532" t="s">
        <v>16375</v>
      </c>
    </row>
    <row r="533" spans="1:132" hidden="1">
      <c r="A533">
        <v>2066</v>
      </c>
      <c r="B533">
        <v>1</v>
      </c>
      <c r="C533" t="s">
        <v>4856</v>
      </c>
      <c r="D533" t="s">
        <v>73</v>
      </c>
      <c r="E533" t="s">
        <v>73</v>
      </c>
      <c r="F533" t="s">
        <v>73</v>
      </c>
      <c r="G533" t="s">
        <v>73</v>
      </c>
      <c r="H533">
        <v>44.8</v>
      </c>
      <c r="I533">
        <v>493</v>
      </c>
      <c r="J533">
        <v>54680</v>
      </c>
      <c r="K533" t="s">
        <v>4857</v>
      </c>
      <c r="L533">
        <f t="shared" si="34"/>
        <v>69</v>
      </c>
      <c r="N533">
        <v>69</v>
      </c>
      <c r="O533">
        <v>69</v>
      </c>
      <c r="P533">
        <v>1</v>
      </c>
      <c r="Q533">
        <v>3</v>
      </c>
      <c r="R533">
        <v>6</v>
      </c>
      <c r="S533">
        <v>0</v>
      </c>
      <c r="T533">
        <v>0</v>
      </c>
      <c r="U533">
        <v>10</v>
      </c>
      <c r="V533">
        <v>9</v>
      </c>
      <c r="W533">
        <v>5</v>
      </c>
      <c r="X533">
        <v>2</v>
      </c>
      <c r="Y533">
        <v>2</v>
      </c>
      <c r="Z533">
        <v>0</v>
      </c>
      <c r="AA533">
        <v>2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27</v>
      </c>
      <c r="AH533">
        <v>0</v>
      </c>
      <c r="AI533">
        <v>0</v>
      </c>
      <c r="AJ533">
        <v>3</v>
      </c>
      <c r="AK533">
        <v>6</v>
      </c>
      <c r="AL533">
        <v>0</v>
      </c>
      <c r="AM533">
        <v>0</v>
      </c>
      <c r="AN533">
        <v>10</v>
      </c>
      <c r="AO533">
        <v>9</v>
      </c>
      <c r="AP533">
        <v>5</v>
      </c>
      <c r="AQ533">
        <v>2</v>
      </c>
      <c r="AR533">
        <v>2</v>
      </c>
      <c r="AS533">
        <v>0</v>
      </c>
      <c r="AT533">
        <v>2</v>
      </c>
      <c r="AU533">
        <v>0</v>
      </c>
      <c r="AV533">
        <v>0</v>
      </c>
      <c r="AW533">
        <v>1</v>
      </c>
      <c r="AX533">
        <v>1</v>
      </c>
      <c r="AY533">
        <v>1</v>
      </c>
      <c r="AZ533">
        <v>27</v>
      </c>
      <c r="BA533">
        <v>0</v>
      </c>
      <c r="BB533">
        <v>0</v>
      </c>
      <c r="BC533" s="2">
        <v>3</v>
      </c>
      <c r="BD533" s="2">
        <v>6</v>
      </c>
      <c r="BE533" s="2">
        <v>0</v>
      </c>
      <c r="BF533" s="2">
        <v>0</v>
      </c>
      <c r="BG533" s="2">
        <v>10</v>
      </c>
      <c r="BH533" s="2">
        <v>9</v>
      </c>
      <c r="BI533" s="2">
        <v>5</v>
      </c>
      <c r="BJ533" s="2">
        <v>2</v>
      </c>
      <c r="BK533" s="2">
        <v>2</v>
      </c>
      <c r="BL533" s="2">
        <v>0</v>
      </c>
      <c r="BM533" s="2">
        <v>2</v>
      </c>
      <c r="BN533" s="2">
        <v>0</v>
      </c>
      <c r="BO533" s="2">
        <v>0</v>
      </c>
      <c r="BP533" s="2">
        <v>1</v>
      </c>
      <c r="BQ533" s="2">
        <v>1</v>
      </c>
      <c r="BR533" s="2">
        <v>1</v>
      </c>
      <c r="BS533" s="2">
        <v>27</v>
      </c>
      <c r="BT533" s="2">
        <v>0</v>
      </c>
      <c r="BU533" s="2">
        <v>0</v>
      </c>
      <c r="BV533" s="2">
        <f t="shared" si="37"/>
        <v>69</v>
      </c>
      <c r="BW533" s="16">
        <f t="shared" si="35"/>
        <v>3.6315789473684212</v>
      </c>
      <c r="BX533" s="16">
        <f>COUNTIF($BC$6:BU533, "=0") / COUNTIF($BC$6:BU533, "&gt;-1")</f>
        <v>0.13795853269537481</v>
      </c>
      <c r="BY533" s="18">
        <f>SUM($BC$6:BU533) / $BY$4</f>
        <v>0.85832304132460047</v>
      </c>
      <c r="BZ533" s="14">
        <f t="shared" si="36"/>
        <v>7</v>
      </c>
      <c r="CA533" t="s">
        <v>5831</v>
      </c>
      <c r="CB533" s="36">
        <v>3.6349301875041902</v>
      </c>
      <c r="CC533" s="36">
        <v>5.7783847240646802</v>
      </c>
      <c r="CD533" s="36">
        <v>0.40019941545306398</v>
      </c>
      <c r="CE533" s="36">
        <v>0.37798043978830698</v>
      </c>
      <c r="CF533" s="36">
        <v>8.6017635993689208</v>
      </c>
      <c r="CG533" s="36">
        <v>8.3675452197554208</v>
      </c>
      <c r="CH533" s="36">
        <v>5.2703114143232002</v>
      </c>
      <c r="CI533" s="36">
        <v>1.9463671959646101</v>
      </c>
      <c r="CJ533" s="37">
        <v>1.5895165864899099</v>
      </c>
      <c r="CK533" s="37">
        <v>1.2612992937765699</v>
      </c>
      <c r="CL533" s="37">
        <v>0.200013587066836</v>
      </c>
      <c r="CM533" s="37">
        <v>0.21163676164998499</v>
      </c>
      <c r="CN533" s="37">
        <v>0.91879256581511404</v>
      </c>
      <c r="CO533" s="37">
        <v>0.78919057038512497</v>
      </c>
      <c r="CP533" s="37">
        <v>40.7305812922854</v>
      </c>
      <c r="CQ533" s="37">
        <v>0.38065921161865401</v>
      </c>
      <c r="CR533" s="45">
        <v>0.31168542325123499</v>
      </c>
      <c r="CS533" s="45">
        <v>1.3404614568937601</v>
      </c>
      <c r="CT533" s="46">
        <v>0.71952667591764397</v>
      </c>
      <c r="CU533" s="47">
        <v>0.78654141534134603</v>
      </c>
      <c r="CV533" s="48">
        <v>4.2971852745278003</v>
      </c>
      <c r="CW533" s="49">
        <v>5.7602112336359497</v>
      </c>
      <c r="CX533" s="31" t="s">
        <v>5874</v>
      </c>
      <c r="CY533" s="31" t="s">
        <v>5832</v>
      </c>
      <c r="CZ533" t="s">
        <v>12639</v>
      </c>
      <c r="DA533" t="s">
        <v>5904</v>
      </c>
      <c r="DB533">
        <v>963.8</v>
      </c>
      <c r="DC533" t="s">
        <v>33555</v>
      </c>
      <c r="DD533" t="s">
        <v>33556</v>
      </c>
      <c r="DE533" t="s">
        <v>33557</v>
      </c>
      <c r="DF533" t="s">
        <v>33558</v>
      </c>
      <c r="DG533" t="s">
        <v>33559</v>
      </c>
      <c r="DH533" t="str">
        <f>"PEPD"</f>
        <v>PEPD</v>
      </c>
      <c r="DI533" t="s">
        <v>33560</v>
      </c>
      <c r="DJ533" t="s">
        <v>13777</v>
      </c>
      <c r="DK533">
        <v>9606</v>
      </c>
      <c r="DL533" s="34" t="str">
        <f>HYPERLINK("http://www.uniprot.org/uniprot/P12955", "P12955")</f>
        <v>P12955</v>
      </c>
      <c r="DM533" t="s">
        <v>33561</v>
      </c>
      <c r="DN533" t="s">
        <v>19063</v>
      </c>
      <c r="DO533" t="s">
        <v>13772</v>
      </c>
      <c r="DP533" t="s">
        <v>13780</v>
      </c>
      <c r="DQ533" t="s">
        <v>13772</v>
      </c>
      <c r="DR533" t="s">
        <v>13807</v>
      </c>
      <c r="DS533" t="s">
        <v>13772</v>
      </c>
      <c r="DT533" t="s">
        <v>15674</v>
      </c>
      <c r="DU533" t="s">
        <v>33562</v>
      </c>
      <c r="DV533" t="s">
        <v>13886</v>
      </c>
      <c r="DW533" t="s">
        <v>13812</v>
      </c>
      <c r="DX533" t="s">
        <v>33563</v>
      </c>
      <c r="DY533" t="s">
        <v>33564</v>
      </c>
      <c r="DZ533" t="s">
        <v>33565</v>
      </c>
      <c r="EA533" t="s">
        <v>13772</v>
      </c>
      <c r="EB533" t="s">
        <v>13772</v>
      </c>
    </row>
    <row r="534" spans="1:132">
      <c r="A534">
        <v>2168</v>
      </c>
      <c r="B534">
        <v>1</v>
      </c>
      <c r="C534" t="s">
        <v>5078</v>
      </c>
      <c r="D534" t="s">
        <v>73</v>
      </c>
      <c r="E534" t="s">
        <v>73</v>
      </c>
      <c r="F534" t="s">
        <v>73</v>
      </c>
      <c r="G534" t="s">
        <v>73</v>
      </c>
      <c r="H534">
        <v>26</v>
      </c>
      <c r="I534">
        <v>496</v>
      </c>
      <c r="J534">
        <v>54942</v>
      </c>
      <c r="K534" t="s">
        <v>5079</v>
      </c>
      <c r="L534">
        <f t="shared" si="34"/>
        <v>69</v>
      </c>
      <c r="N534">
        <v>69</v>
      </c>
      <c r="O534">
        <v>69</v>
      </c>
      <c r="P534">
        <v>1</v>
      </c>
      <c r="Q534">
        <v>9</v>
      </c>
      <c r="R534">
        <v>9</v>
      </c>
      <c r="S534">
        <v>1</v>
      </c>
      <c r="T534">
        <v>5</v>
      </c>
      <c r="U534">
        <v>5</v>
      </c>
      <c r="V534">
        <v>6</v>
      </c>
      <c r="W534">
        <v>8</v>
      </c>
      <c r="X534">
        <v>2</v>
      </c>
      <c r="Y534">
        <v>1</v>
      </c>
      <c r="Z534">
        <v>2</v>
      </c>
      <c r="AA534">
        <v>3</v>
      </c>
      <c r="AB534">
        <v>4</v>
      </c>
      <c r="AC534">
        <v>1</v>
      </c>
      <c r="AD534">
        <v>2</v>
      </c>
      <c r="AE534">
        <v>1</v>
      </c>
      <c r="AF534">
        <v>1</v>
      </c>
      <c r="AG534">
        <v>3</v>
      </c>
      <c r="AH534">
        <v>3</v>
      </c>
      <c r="AI534">
        <v>3</v>
      </c>
      <c r="AJ534">
        <v>9</v>
      </c>
      <c r="AK534">
        <v>9</v>
      </c>
      <c r="AL534">
        <v>1</v>
      </c>
      <c r="AM534">
        <v>5</v>
      </c>
      <c r="AN534">
        <v>5</v>
      </c>
      <c r="AO534">
        <v>6</v>
      </c>
      <c r="AP534">
        <v>8</v>
      </c>
      <c r="AQ534">
        <v>2</v>
      </c>
      <c r="AR534">
        <v>1</v>
      </c>
      <c r="AS534">
        <v>2</v>
      </c>
      <c r="AT534">
        <v>3</v>
      </c>
      <c r="AU534">
        <v>4</v>
      </c>
      <c r="AV534">
        <v>1</v>
      </c>
      <c r="AW534">
        <v>2</v>
      </c>
      <c r="AX534">
        <v>1</v>
      </c>
      <c r="AY534">
        <v>1</v>
      </c>
      <c r="AZ534">
        <v>3</v>
      </c>
      <c r="BA534">
        <v>3</v>
      </c>
      <c r="BB534">
        <v>3</v>
      </c>
      <c r="BC534" s="2">
        <v>9</v>
      </c>
      <c r="BD534" s="2">
        <v>9</v>
      </c>
      <c r="BE534" s="2">
        <v>1</v>
      </c>
      <c r="BF534" s="2">
        <v>5</v>
      </c>
      <c r="BG534" s="2">
        <v>5</v>
      </c>
      <c r="BH534" s="2">
        <v>6</v>
      </c>
      <c r="BI534" s="2">
        <v>8</v>
      </c>
      <c r="BJ534" s="2">
        <v>2</v>
      </c>
      <c r="BK534" s="2">
        <v>1</v>
      </c>
      <c r="BL534" s="2">
        <v>2</v>
      </c>
      <c r="BM534" s="2">
        <v>3</v>
      </c>
      <c r="BN534" s="2">
        <v>4</v>
      </c>
      <c r="BO534" s="2">
        <v>1</v>
      </c>
      <c r="BP534" s="2">
        <v>2</v>
      </c>
      <c r="BQ534" s="2">
        <v>1</v>
      </c>
      <c r="BR534" s="2">
        <v>1</v>
      </c>
      <c r="BS534" s="2">
        <v>3</v>
      </c>
      <c r="BT534" s="2">
        <v>3</v>
      </c>
      <c r="BU534" s="2">
        <v>3</v>
      </c>
      <c r="BV534" s="2">
        <f t="shared" si="37"/>
        <v>69</v>
      </c>
      <c r="BW534" s="16">
        <f t="shared" si="35"/>
        <v>3.6315789473684212</v>
      </c>
      <c r="BX534" s="16">
        <f>COUNTIF($BC$6:BU534, "=0") / COUNTIF($BC$6:BU534, "&gt;-1")</f>
        <v>0.13769774151825689</v>
      </c>
      <c r="BY534" s="18">
        <f>SUM($BC$6:BU534) / $BY$4</f>
        <v>0.85861861226854075</v>
      </c>
      <c r="BZ534" s="14">
        <f t="shared" si="36"/>
        <v>0</v>
      </c>
      <c r="CA534" t="s">
        <v>5831</v>
      </c>
      <c r="CB534" s="36">
        <v>10.9047905625126</v>
      </c>
      <c r="CC534" s="36">
        <v>8.6675770860970207</v>
      </c>
      <c r="CD534" s="36">
        <v>1.6007976618122599</v>
      </c>
      <c r="CE534" s="36">
        <v>7.5596087957661497</v>
      </c>
      <c r="CF534" s="36">
        <v>4.3008817996844604</v>
      </c>
      <c r="CG534" s="36">
        <v>5.5783634798369501</v>
      </c>
      <c r="CH534" s="36">
        <v>8.4324982629171306</v>
      </c>
      <c r="CI534" s="36">
        <v>1.9463671959646101</v>
      </c>
      <c r="CJ534" s="37">
        <v>0.79475829324495695</v>
      </c>
      <c r="CK534" s="37">
        <v>1.89194894066486</v>
      </c>
      <c r="CL534" s="37">
        <v>3.2002173930693698</v>
      </c>
      <c r="CM534" s="37">
        <v>0.84654704659994096</v>
      </c>
      <c r="CN534" s="37">
        <v>0.91879256581511404</v>
      </c>
      <c r="CO534" s="37">
        <v>0.78919057038512497</v>
      </c>
      <c r="CP534" s="37">
        <v>4.5256201435872701</v>
      </c>
      <c r="CQ534" s="37">
        <v>4.5679105394238499</v>
      </c>
      <c r="CR534" s="45">
        <v>-1.5783108902257901</v>
      </c>
      <c r="CS534" s="45">
        <v>-2.7938936627426201</v>
      </c>
      <c r="CT534" s="46">
        <v>3.6716921866182502E-3</v>
      </c>
      <c r="CU534" s="47">
        <v>7.3324240980525597E-3</v>
      </c>
      <c r="CV534" s="48">
        <v>6.1238606055738902</v>
      </c>
      <c r="CW534" s="49">
        <v>2.1918731865988099</v>
      </c>
      <c r="CX534" s="31" t="s">
        <v>5875</v>
      </c>
      <c r="CY534" s="31" t="s">
        <v>5876</v>
      </c>
      <c r="CZ534" t="s">
        <v>12975</v>
      </c>
      <c r="DA534" t="s">
        <v>5904</v>
      </c>
      <c r="DB534">
        <v>912.9</v>
      </c>
      <c r="DC534" t="s">
        <v>34485</v>
      </c>
      <c r="DD534" t="s">
        <v>34486</v>
      </c>
      <c r="DE534" t="s">
        <v>34487</v>
      </c>
      <c r="DF534" t="s">
        <v>34488</v>
      </c>
      <c r="DG534" t="s">
        <v>34489</v>
      </c>
      <c r="DH534" t="str">
        <f>"PLTP"</f>
        <v>PLTP</v>
      </c>
      <c r="DI534" t="s">
        <v>13772</v>
      </c>
      <c r="DJ534" t="s">
        <v>13777</v>
      </c>
      <c r="DK534">
        <v>9606</v>
      </c>
      <c r="DL534" s="34" t="str">
        <f>HYPERLINK("http://www.uniprot.org/uniprot/P55058", "P55058")</f>
        <v>P55058</v>
      </c>
      <c r="DM534" t="s">
        <v>34490</v>
      </c>
      <c r="DN534" t="s">
        <v>13898</v>
      </c>
      <c r="DO534" t="s">
        <v>14321</v>
      </c>
      <c r="DP534" t="s">
        <v>13780</v>
      </c>
      <c r="DQ534" t="s">
        <v>13772</v>
      </c>
      <c r="DR534" t="s">
        <v>13772</v>
      </c>
      <c r="DS534" t="s">
        <v>13808</v>
      </c>
      <c r="DT534" t="s">
        <v>13772</v>
      </c>
      <c r="DU534" t="s">
        <v>13772</v>
      </c>
      <c r="DV534" t="s">
        <v>13796</v>
      </c>
      <c r="DW534" t="s">
        <v>13772</v>
      </c>
      <c r="DX534" t="s">
        <v>34491</v>
      </c>
      <c r="DY534" t="s">
        <v>34492</v>
      </c>
      <c r="DZ534" t="s">
        <v>34493</v>
      </c>
      <c r="EA534" t="s">
        <v>13772</v>
      </c>
      <c r="EB534" t="s">
        <v>33677</v>
      </c>
    </row>
    <row r="535" spans="1:132" hidden="1">
      <c r="A535">
        <v>2269</v>
      </c>
      <c r="B535">
        <v>1</v>
      </c>
      <c r="C535" t="s">
        <v>5302</v>
      </c>
      <c r="D535" t="s">
        <v>73</v>
      </c>
      <c r="E535" t="s">
        <v>73</v>
      </c>
      <c r="F535" t="s">
        <v>73</v>
      </c>
      <c r="G535" t="s">
        <v>73</v>
      </c>
      <c r="H535">
        <v>21.4</v>
      </c>
      <c r="I535">
        <v>248</v>
      </c>
      <c r="J535">
        <v>27338</v>
      </c>
      <c r="K535" t="s">
        <v>5303</v>
      </c>
      <c r="L535">
        <f t="shared" si="34"/>
        <v>69</v>
      </c>
      <c r="N535">
        <v>69</v>
      </c>
      <c r="O535">
        <v>69</v>
      </c>
      <c r="P535">
        <v>1</v>
      </c>
      <c r="Q535">
        <v>9</v>
      </c>
      <c r="R535">
        <v>4</v>
      </c>
      <c r="S535">
        <v>9</v>
      </c>
      <c r="T535">
        <v>6</v>
      </c>
      <c r="U535">
        <v>9</v>
      </c>
      <c r="V535">
        <v>4</v>
      </c>
      <c r="W535">
        <v>8</v>
      </c>
      <c r="X535">
        <v>3</v>
      </c>
      <c r="Y535">
        <v>1</v>
      </c>
      <c r="Z535">
        <v>0</v>
      </c>
      <c r="AA535">
        <v>1</v>
      </c>
      <c r="AB535">
        <v>3</v>
      </c>
      <c r="AC535">
        <v>1</v>
      </c>
      <c r="AD535">
        <v>0</v>
      </c>
      <c r="AE535">
        <v>2</v>
      </c>
      <c r="AF535">
        <v>2</v>
      </c>
      <c r="AG535">
        <v>1</v>
      </c>
      <c r="AH535">
        <v>1</v>
      </c>
      <c r="AI535">
        <v>5</v>
      </c>
      <c r="AJ535">
        <v>9</v>
      </c>
      <c r="AK535">
        <v>4</v>
      </c>
      <c r="AL535">
        <v>9</v>
      </c>
      <c r="AM535">
        <v>6</v>
      </c>
      <c r="AN535">
        <v>9</v>
      </c>
      <c r="AO535">
        <v>4</v>
      </c>
      <c r="AP535">
        <v>8</v>
      </c>
      <c r="AQ535">
        <v>3</v>
      </c>
      <c r="AR535">
        <v>1</v>
      </c>
      <c r="AS535">
        <v>0</v>
      </c>
      <c r="AT535">
        <v>1</v>
      </c>
      <c r="AU535">
        <v>3</v>
      </c>
      <c r="AV535">
        <v>1</v>
      </c>
      <c r="AW535">
        <v>0</v>
      </c>
      <c r="AX535">
        <v>2</v>
      </c>
      <c r="AY535">
        <v>2</v>
      </c>
      <c r="AZ535">
        <v>1</v>
      </c>
      <c r="BA535">
        <v>1</v>
      </c>
      <c r="BB535">
        <v>5</v>
      </c>
      <c r="BC535" s="2">
        <v>9</v>
      </c>
      <c r="BD535" s="2">
        <v>4</v>
      </c>
      <c r="BE535" s="2">
        <v>9</v>
      </c>
      <c r="BF535" s="2">
        <v>6</v>
      </c>
      <c r="BG535" s="2">
        <v>9</v>
      </c>
      <c r="BH535" s="2">
        <v>4</v>
      </c>
      <c r="BI535" s="2">
        <v>8</v>
      </c>
      <c r="BJ535" s="2">
        <v>3</v>
      </c>
      <c r="BK535" s="2">
        <v>1</v>
      </c>
      <c r="BL535" s="2">
        <v>0</v>
      </c>
      <c r="BM535" s="2">
        <v>1</v>
      </c>
      <c r="BN535" s="2">
        <v>3</v>
      </c>
      <c r="BO535" s="2">
        <v>1</v>
      </c>
      <c r="BP535" s="2">
        <v>0</v>
      </c>
      <c r="BQ535" s="2">
        <v>2</v>
      </c>
      <c r="BR535" s="2">
        <v>2</v>
      </c>
      <c r="BS535" s="2">
        <v>1</v>
      </c>
      <c r="BT535" s="2">
        <v>1</v>
      </c>
      <c r="BU535" s="2">
        <v>5</v>
      </c>
      <c r="BV535" s="2">
        <f t="shared" si="37"/>
        <v>69</v>
      </c>
      <c r="BW535" s="16">
        <f t="shared" si="35"/>
        <v>3.6315789473684212</v>
      </c>
      <c r="BX535" s="16">
        <f>COUNTIF($BC$6:BU535, "=0") / COUNTIF($BC$6:BU535, "&gt;-1")</f>
        <v>0.13763654419066534</v>
      </c>
      <c r="BY535" s="18">
        <f>SUM($BC$6:BU535) / $BY$4</f>
        <v>0.85891418321248114</v>
      </c>
      <c r="BZ535" s="14">
        <f t="shared" si="36"/>
        <v>2</v>
      </c>
      <c r="CA535" t="s">
        <v>5831</v>
      </c>
      <c r="CB535" s="36">
        <v>10.9047905625126</v>
      </c>
      <c r="CC535" s="36">
        <v>3.85225648270979</v>
      </c>
      <c r="CD535" s="36">
        <v>14.4071789563103</v>
      </c>
      <c r="CE535" s="36">
        <v>9.0715305549193808</v>
      </c>
      <c r="CF535" s="36">
        <v>7.7415872394320298</v>
      </c>
      <c r="CG535" s="36">
        <v>3.7189089865579601</v>
      </c>
      <c r="CH535" s="36">
        <v>8.4324982629171306</v>
      </c>
      <c r="CI535" s="36">
        <v>2.9195507939469199</v>
      </c>
      <c r="CJ535" s="37">
        <v>0.79475829324495695</v>
      </c>
      <c r="CK535" s="37">
        <v>0.63064964688828595</v>
      </c>
      <c r="CL535" s="37">
        <v>2.4001630448020301</v>
      </c>
      <c r="CM535" s="37">
        <v>0.84654704659994096</v>
      </c>
      <c r="CN535" s="37">
        <v>1.8375851316302301</v>
      </c>
      <c r="CO535" s="37">
        <v>1.5783811407702499</v>
      </c>
      <c r="CP535" s="37">
        <v>1.50854004786242</v>
      </c>
      <c r="CQ535" s="37">
        <v>7.6131842323730803</v>
      </c>
      <c r="CR535" s="45">
        <v>-1.89855529731545</v>
      </c>
      <c r="CS535" s="45">
        <v>-3.5472969696743499</v>
      </c>
      <c r="CT535" s="46">
        <v>6.6066694401770501E-4</v>
      </c>
      <c r="CU535" s="47">
        <v>1.5673268991058299E-3</v>
      </c>
      <c r="CV535" s="48">
        <v>7.6310377299132597</v>
      </c>
      <c r="CW535" s="49">
        <v>2.1512260730213999</v>
      </c>
      <c r="CX535" s="31" t="s">
        <v>5875</v>
      </c>
      <c r="CY535" s="31" t="s">
        <v>5876</v>
      </c>
      <c r="CZ535" t="s">
        <v>13310</v>
      </c>
      <c r="DA535" t="s">
        <v>5904</v>
      </c>
      <c r="DB535">
        <v>338.2</v>
      </c>
      <c r="DC535" t="s">
        <v>35431</v>
      </c>
      <c r="DD535" t="s">
        <v>35432</v>
      </c>
      <c r="DE535" t="s">
        <v>35433</v>
      </c>
      <c r="DF535" t="s">
        <v>35434</v>
      </c>
      <c r="DG535" t="s">
        <v>35435</v>
      </c>
      <c r="DH535" t="str">
        <f>"POMC"</f>
        <v>POMC</v>
      </c>
      <c r="DI535" t="s">
        <v>13772</v>
      </c>
      <c r="DJ535" t="s">
        <v>13777</v>
      </c>
      <c r="DK535">
        <v>9606</v>
      </c>
      <c r="DL535" s="34" t="str">
        <f>HYPERLINK("http://www.uniprot.org/uniprot/P01189", "P01189")</f>
        <v>P01189</v>
      </c>
      <c r="DM535" t="s">
        <v>35436</v>
      </c>
      <c r="DN535" t="s">
        <v>13772</v>
      </c>
      <c r="DO535" t="s">
        <v>14321</v>
      </c>
      <c r="DP535" t="s">
        <v>13793</v>
      </c>
      <c r="DQ535" t="s">
        <v>13772</v>
      </c>
      <c r="DR535" t="s">
        <v>14627</v>
      </c>
      <c r="DS535" t="s">
        <v>13808</v>
      </c>
      <c r="DT535" t="s">
        <v>13772</v>
      </c>
      <c r="DU535" t="s">
        <v>35437</v>
      </c>
      <c r="DV535" t="s">
        <v>35438</v>
      </c>
      <c r="DW535" t="s">
        <v>13812</v>
      </c>
      <c r="DX535" t="s">
        <v>35439</v>
      </c>
      <c r="DY535" t="s">
        <v>35440</v>
      </c>
      <c r="DZ535" t="s">
        <v>35441</v>
      </c>
      <c r="EA535" t="s">
        <v>13772</v>
      </c>
      <c r="EB535" t="s">
        <v>35442</v>
      </c>
    </row>
    <row r="536" spans="1:132" hidden="1">
      <c r="A536">
        <v>2429</v>
      </c>
      <c r="B536">
        <v>1</v>
      </c>
      <c r="C536" t="s">
        <v>5684</v>
      </c>
      <c r="D536" t="s">
        <v>73</v>
      </c>
      <c r="E536" t="s">
        <v>5685</v>
      </c>
      <c r="F536" t="s">
        <v>5686</v>
      </c>
      <c r="G536" t="s">
        <v>73</v>
      </c>
      <c r="H536">
        <v>46.4</v>
      </c>
      <c r="I536">
        <v>724</v>
      </c>
      <c r="J536">
        <v>83266</v>
      </c>
      <c r="K536" t="s">
        <v>5687</v>
      </c>
      <c r="L536">
        <f t="shared" si="34"/>
        <v>131</v>
      </c>
      <c r="N536">
        <v>131</v>
      </c>
      <c r="O536">
        <v>40</v>
      </c>
      <c r="P536">
        <v>0.30499999999999999</v>
      </c>
      <c r="Q536">
        <v>4</v>
      </c>
      <c r="R536">
        <v>7</v>
      </c>
      <c r="S536">
        <v>1</v>
      </c>
      <c r="T536">
        <v>2</v>
      </c>
      <c r="U536">
        <v>7</v>
      </c>
      <c r="V536">
        <v>9</v>
      </c>
      <c r="W536">
        <v>8</v>
      </c>
      <c r="X536">
        <v>4</v>
      </c>
      <c r="Y536">
        <v>26</v>
      </c>
      <c r="Z536">
        <v>0</v>
      </c>
      <c r="AA536">
        <v>22</v>
      </c>
      <c r="AB536">
        <v>13</v>
      </c>
      <c r="AC536">
        <v>6</v>
      </c>
      <c r="AD536">
        <v>1</v>
      </c>
      <c r="AE536">
        <v>8</v>
      </c>
      <c r="AF536">
        <v>6</v>
      </c>
      <c r="AG536">
        <v>3</v>
      </c>
      <c r="AH536">
        <v>1</v>
      </c>
      <c r="AI536">
        <v>3</v>
      </c>
      <c r="AJ536">
        <v>1</v>
      </c>
      <c r="AK536">
        <v>1</v>
      </c>
      <c r="AL536">
        <v>0</v>
      </c>
      <c r="AM536">
        <v>0</v>
      </c>
      <c r="AN536">
        <v>1</v>
      </c>
      <c r="AO536">
        <v>2</v>
      </c>
      <c r="AP536">
        <v>1</v>
      </c>
      <c r="AQ536">
        <v>1</v>
      </c>
      <c r="AR536">
        <v>10</v>
      </c>
      <c r="AS536">
        <v>0</v>
      </c>
      <c r="AT536">
        <v>10</v>
      </c>
      <c r="AU536">
        <v>5</v>
      </c>
      <c r="AV536">
        <v>2</v>
      </c>
      <c r="AW536">
        <v>0</v>
      </c>
      <c r="AX536">
        <v>4</v>
      </c>
      <c r="AY536">
        <v>2</v>
      </c>
      <c r="AZ536">
        <v>0</v>
      </c>
      <c r="BA536">
        <v>0</v>
      </c>
      <c r="BB536">
        <v>0</v>
      </c>
      <c r="BC536" s="2">
        <v>1.9450000000000001</v>
      </c>
      <c r="BD536" s="2">
        <v>2.89</v>
      </c>
      <c r="BE536" s="2">
        <v>0.315</v>
      </c>
      <c r="BF536" s="2">
        <v>0.63</v>
      </c>
      <c r="BG536" s="2">
        <v>2.89</v>
      </c>
      <c r="BH536" s="2">
        <v>4.2050000000000001</v>
      </c>
      <c r="BI536" s="2">
        <v>3.2050000000000001</v>
      </c>
      <c r="BJ536" s="2">
        <v>1.9450000000000001</v>
      </c>
      <c r="BK536" s="2">
        <v>15.039</v>
      </c>
      <c r="BL536" s="2">
        <v>0</v>
      </c>
      <c r="BM536" s="2">
        <v>13.78</v>
      </c>
      <c r="BN536" s="2">
        <v>7.52</v>
      </c>
      <c r="BO536" s="2">
        <v>3.26</v>
      </c>
      <c r="BP536" s="2">
        <v>0.315</v>
      </c>
      <c r="BQ536" s="2">
        <v>5.26</v>
      </c>
      <c r="BR536" s="2">
        <v>3.26</v>
      </c>
      <c r="BS536" s="2">
        <v>0.94499999999999995</v>
      </c>
      <c r="BT536" s="2">
        <v>0.315</v>
      </c>
      <c r="BU536" s="2">
        <v>0.94499999999999995</v>
      </c>
      <c r="BV536" s="2">
        <f t="shared" si="37"/>
        <v>68.663999999999987</v>
      </c>
      <c r="BW536" s="16">
        <f t="shared" si="35"/>
        <v>3.6138947368421044</v>
      </c>
      <c r="BX536" s="16">
        <f>COUNTIF($BC$6:BU536, "=0") / COUNTIF($BC$6:BU536, "&gt;-1")</f>
        <v>0.13747645951035781</v>
      </c>
      <c r="BY536" s="18">
        <f>SUM($BC$6:BU536) / $BY$4</f>
        <v>0.85920831485443372</v>
      </c>
      <c r="BZ536" s="14">
        <f t="shared" si="36"/>
        <v>1</v>
      </c>
      <c r="CA536" t="s">
        <v>5831</v>
      </c>
      <c r="CB536" s="36">
        <v>2.3021224520859902</v>
      </c>
      <c r="CC536" s="36">
        <v>2.7928859499645999</v>
      </c>
      <c r="CD536" s="36">
        <v>0.48023929854367697</v>
      </c>
      <c r="CE536" s="36">
        <v>0.90715305549193803</v>
      </c>
      <c r="CF536" s="36">
        <v>2.49451144381699</v>
      </c>
      <c r="CG536" s="36">
        <v>3.9048544358858601</v>
      </c>
      <c r="CH536" s="36">
        <v>3.3729993051668501</v>
      </c>
      <c r="CI536" s="36">
        <v>1.8490488361663799</v>
      </c>
      <c r="CJ536" s="37">
        <v>11.9213743986744</v>
      </c>
      <c r="CK536" s="37">
        <v>8.7029651270583397</v>
      </c>
      <c r="CL536" s="37">
        <v>6.0004076120050698</v>
      </c>
      <c r="CM536" s="37">
        <v>2.7936052537798002</v>
      </c>
      <c r="CN536" s="37">
        <v>4.8696005988201003</v>
      </c>
      <c r="CO536" s="37">
        <v>2.6043288822709099</v>
      </c>
      <c r="CP536" s="37">
        <v>1.3576860430761799</v>
      </c>
      <c r="CQ536" s="37">
        <v>1.37037316182716</v>
      </c>
      <c r="CR536" s="45">
        <v>1.10120678686301</v>
      </c>
      <c r="CS536" s="45">
        <v>2.1885078678323602</v>
      </c>
      <c r="CT536" s="46">
        <v>3.5396072405145099E-2</v>
      </c>
      <c r="CU536" s="47">
        <v>5.6923010670774099E-2</v>
      </c>
      <c r="CV536" s="48">
        <v>2.2629768471402798</v>
      </c>
      <c r="CW536" s="49">
        <v>4.9525426346889896</v>
      </c>
      <c r="CX536" s="31" t="s">
        <v>5874</v>
      </c>
      <c r="CY536" s="31" t="s">
        <v>5877</v>
      </c>
      <c r="CZ536" t="s">
        <v>10379</v>
      </c>
      <c r="DA536" t="s">
        <v>5904</v>
      </c>
      <c r="DB536">
        <v>1476.8</v>
      </c>
      <c r="DC536" t="s">
        <v>27201</v>
      </c>
      <c r="DD536" t="s">
        <v>27202</v>
      </c>
      <c r="DE536" t="s">
        <v>27203</v>
      </c>
      <c r="DF536" t="s">
        <v>27204</v>
      </c>
      <c r="DG536" t="s">
        <v>27205</v>
      </c>
      <c r="DH536" t="str">
        <f>"HSP90AB1"</f>
        <v>HSP90AB1</v>
      </c>
      <c r="DI536" t="s">
        <v>27206</v>
      </c>
      <c r="DJ536" t="s">
        <v>13777</v>
      </c>
      <c r="DK536">
        <v>9606</v>
      </c>
      <c r="DL536" s="34" t="str">
        <f>HYPERLINK("http://www.uniprot.org/uniprot/P08238", "P08238")</f>
        <v>P08238</v>
      </c>
      <c r="DM536" t="s">
        <v>27207</v>
      </c>
      <c r="DN536" t="s">
        <v>15280</v>
      </c>
      <c r="DO536" t="s">
        <v>27208</v>
      </c>
      <c r="DP536" t="s">
        <v>13793</v>
      </c>
      <c r="DQ536" t="s">
        <v>13772</v>
      </c>
      <c r="DR536" t="s">
        <v>13772</v>
      </c>
      <c r="DS536" t="s">
        <v>13772</v>
      </c>
      <c r="DT536" t="s">
        <v>14005</v>
      </c>
      <c r="DU536" t="s">
        <v>14477</v>
      </c>
      <c r="DV536" t="s">
        <v>27209</v>
      </c>
      <c r="DW536" t="s">
        <v>13812</v>
      </c>
      <c r="DX536" t="s">
        <v>27210</v>
      </c>
      <c r="DY536" t="s">
        <v>27211</v>
      </c>
      <c r="DZ536" t="s">
        <v>27212</v>
      </c>
      <c r="EA536" t="s">
        <v>13772</v>
      </c>
      <c r="EB536" t="s">
        <v>27213</v>
      </c>
    </row>
    <row r="537" spans="1:132" hidden="1">
      <c r="A537">
        <v>2007</v>
      </c>
      <c r="B537">
        <v>1</v>
      </c>
      <c r="C537" t="s">
        <v>4721</v>
      </c>
      <c r="D537" t="s">
        <v>73</v>
      </c>
      <c r="E537" t="s">
        <v>73</v>
      </c>
      <c r="F537" t="s">
        <v>73</v>
      </c>
      <c r="G537" t="s">
        <v>73</v>
      </c>
      <c r="H537">
        <v>40.700000000000003</v>
      </c>
      <c r="I537">
        <v>366</v>
      </c>
      <c r="J537">
        <v>39887</v>
      </c>
      <c r="K537" t="s">
        <v>4722</v>
      </c>
      <c r="L537">
        <f t="shared" si="34"/>
        <v>68</v>
      </c>
      <c r="N537">
        <v>68</v>
      </c>
      <c r="O537">
        <v>68</v>
      </c>
      <c r="P537">
        <v>1</v>
      </c>
      <c r="Q537">
        <v>4</v>
      </c>
      <c r="R537">
        <v>10</v>
      </c>
      <c r="S537">
        <v>7</v>
      </c>
      <c r="T537">
        <v>8</v>
      </c>
      <c r="U537">
        <v>9</v>
      </c>
      <c r="V537">
        <v>6</v>
      </c>
      <c r="W537">
        <v>8</v>
      </c>
      <c r="X537">
        <v>2</v>
      </c>
      <c r="Y537">
        <v>1</v>
      </c>
      <c r="Z537">
        <v>0</v>
      </c>
      <c r="AA537">
        <v>4</v>
      </c>
      <c r="AB537">
        <v>2</v>
      </c>
      <c r="AC537">
        <v>2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2</v>
      </c>
      <c r="AJ537">
        <v>4</v>
      </c>
      <c r="AK537">
        <v>10</v>
      </c>
      <c r="AL537">
        <v>7</v>
      </c>
      <c r="AM537">
        <v>8</v>
      </c>
      <c r="AN537">
        <v>9</v>
      </c>
      <c r="AO537">
        <v>6</v>
      </c>
      <c r="AP537">
        <v>8</v>
      </c>
      <c r="AQ537">
        <v>2</v>
      </c>
      <c r="AR537">
        <v>1</v>
      </c>
      <c r="AS537">
        <v>0</v>
      </c>
      <c r="AT537">
        <v>4</v>
      </c>
      <c r="AU537">
        <v>2</v>
      </c>
      <c r="AV537">
        <v>2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2</v>
      </c>
      <c r="BC537" s="2">
        <v>4</v>
      </c>
      <c r="BD537" s="2">
        <v>10</v>
      </c>
      <c r="BE537" s="2">
        <v>7</v>
      </c>
      <c r="BF537" s="2">
        <v>8</v>
      </c>
      <c r="BG537" s="2">
        <v>9</v>
      </c>
      <c r="BH537" s="2">
        <v>6</v>
      </c>
      <c r="BI537" s="2">
        <v>8</v>
      </c>
      <c r="BJ537" s="2">
        <v>2</v>
      </c>
      <c r="BK537" s="2">
        <v>1</v>
      </c>
      <c r="BL537" s="2">
        <v>0</v>
      </c>
      <c r="BM537" s="2">
        <v>4</v>
      </c>
      <c r="BN537" s="2">
        <v>2</v>
      </c>
      <c r="BO537" s="2">
        <v>2</v>
      </c>
      <c r="BP537" s="2">
        <v>1</v>
      </c>
      <c r="BQ537" s="2">
        <v>0</v>
      </c>
      <c r="BR537" s="2">
        <v>1</v>
      </c>
      <c r="BS537" s="2">
        <v>0</v>
      </c>
      <c r="BT537" s="2">
        <v>1</v>
      </c>
      <c r="BU537" s="2">
        <v>2</v>
      </c>
      <c r="BV537" s="2">
        <f t="shared" si="37"/>
        <v>68</v>
      </c>
      <c r="BW537" s="16">
        <f t="shared" si="35"/>
        <v>3.5789473684210527</v>
      </c>
      <c r="BX537" s="16">
        <f>COUNTIF($BC$6:BU537, "=0") / COUNTIF($BC$6:BU537, "&gt;-1")</f>
        <v>0.13751483973090622</v>
      </c>
      <c r="BY537" s="18">
        <f>SUM($BC$6:BU537) / $BY$4</f>
        <v>0.85949960216150545</v>
      </c>
      <c r="BZ537" s="14">
        <f t="shared" si="36"/>
        <v>3</v>
      </c>
      <c r="CA537" t="s">
        <v>5831</v>
      </c>
      <c r="CB537" s="36">
        <v>4.8465735833389196</v>
      </c>
      <c r="CC537" s="36">
        <v>9.6306412067744702</v>
      </c>
      <c r="CD537" s="36">
        <v>11.2055836326858</v>
      </c>
      <c r="CE537" s="36">
        <v>12.0953740732258</v>
      </c>
      <c r="CF537" s="36">
        <v>7.7415872394320298</v>
      </c>
      <c r="CG537" s="36">
        <v>5.5783634798369501</v>
      </c>
      <c r="CH537" s="36">
        <v>8.4324982629171306</v>
      </c>
      <c r="CI537" s="36">
        <v>1.9463671959646101</v>
      </c>
      <c r="CJ537" s="37">
        <v>0.79475829324495695</v>
      </c>
      <c r="CK537" s="37">
        <v>2.5225985875531398</v>
      </c>
      <c r="CL537" s="37">
        <v>1.60010869653469</v>
      </c>
      <c r="CM537" s="37">
        <v>1.6930940931998799</v>
      </c>
      <c r="CN537" s="37">
        <v>0.22969814145377901</v>
      </c>
      <c r="CO537" s="37">
        <v>0.78919057038512497</v>
      </c>
      <c r="CP537" s="37">
        <v>0.377135011965606</v>
      </c>
      <c r="CQ537" s="37">
        <v>3.0452736929492299</v>
      </c>
      <c r="CR537" s="45">
        <v>-2.33558225565038</v>
      </c>
      <c r="CS537" s="45">
        <v>-5.5625935251095697</v>
      </c>
      <c r="CT537" s="46">
        <v>2.0801738770441402E-6</v>
      </c>
      <c r="CU537" s="47">
        <v>9.0365995048216295E-6</v>
      </c>
      <c r="CV537" s="48">
        <v>7.6846235842719697</v>
      </c>
      <c r="CW537" s="49">
        <v>1.3814821359108</v>
      </c>
      <c r="CX537" s="31" t="s">
        <v>5875</v>
      </c>
      <c r="CY537" s="31" t="s">
        <v>5876</v>
      </c>
      <c r="CZ537" t="s">
        <v>12440</v>
      </c>
      <c r="DA537" t="s">
        <v>5904</v>
      </c>
      <c r="DB537">
        <v>641.70000000000005</v>
      </c>
      <c r="DC537" t="s">
        <v>33006</v>
      </c>
      <c r="DD537" t="s">
        <v>33007</v>
      </c>
      <c r="DE537" t="s">
        <v>33008</v>
      </c>
      <c r="DF537" t="s">
        <v>33009</v>
      </c>
      <c r="DG537" t="s">
        <v>33010</v>
      </c>
      <c r="DH537" t="str">
        <f>"IST1"</f>
        <v>IST1</v>
      </c>
      <c r="DI537" t="s">
        <v>33011</v>
      </c>
      <c r="DJ537" t="s">
        <v>13777</v>
      </c>
      <c r="DK537">
        <v>9606</v>
      </c>
      <c r="DL537" s="34" t="str">
        <f>HYPERLINK("http://www.uniprot.org/uniprot/P53990", "P53990")</f>
        <v>P53990</v>
      </c>
      <c r="DM537" t="s">
        <v>33012</v>
      </c>
      <c r="DN537" t="s">
        <v>21625</v>
      </c>
      <c r="DO537" t="s">
        <v>33013</v>
      </c>
      <c r="DP537" t="s">
        <v>13841</v>
      </c>
      <c r="DQ537" t="s">
        <v>13772</v>
      </c>
      <c r="DR537" t="s">
        <v>13772</v>
      </c>
      <c r="DS537" t="s">
        <v>13772</v>
      </c>
      <c r="DT537" t="s">
        <v>13772</v>
      </c>
      <c r="DU537" t="s">
        <v>13772</v>
      </c>
      <c r="DV537" t="s">
        <v>13782</v>
      </c>
      <c r="DW537" t="s">
        <v>13812</v>
      </c>
      <c r="DX537" t="s">
        <v>33014</v>
      </c>
      <c r="DY537" t="s">
        <v>33015</v>
      </c>
      <c r="DZ537" t="s">
        <v>33016</v>
      </c>
      <c r="EA537" t="s">
        <v>13772</v>
      </c>
      <c r="EB537" t="s">
        <v>13890</v>
      </c>
    </row>
    <row r="538" spans="1:132" hidden="1">
      <c r="A538">
        <v>2143</v>
      </c>
      <c r="B538">
        <v>1</v>
      </c>
      <c r="C538" t="s">
        <v>5024</v>
      </c>
      <c r="D538" t="s">
        <v>73</v>
      </c>
      <c r="E538" t="s">
        <v>73</v>
      </c>
      <c r="F538" t="s">
        <v>2496</v>
      </c>
      <c r="G538" t="s">
        <v>73</v>
      </c>
      <c r="H538">
        <v>48.9</v>
      </c>
      <c r="I538">
        <v>356</v>
      </c>
      <c r="J538">
        <v>37497</v>
      </c>
      <c r="K538" t="s">
        <v>5025</v>
      </c>
      <c r="L538">
        <f t="shared" si="34"/>
        <v>74</v>
      </c>
      <c r="N538">
        <v>74</v>
      </c>
      <c r="O538">
        <v>46</v>
      </c>
      <c r="P538">
        <v>0.622</v>
      </c>
      <c r="Q538">
        <v>2</v>
      </c>
      <c r="R538">
        <v>4</v>
      </c>
      <c r="S538">
        <v>0</v>
      </c>
      <c r="T538">
        <v>0</v>
      </c>
      <c r="U538">
        <v>2</v>
      </c>
      <c r="V538">
        <v>4</v>
      </c>
      <c r="W538">
        <v>2</v>
      </c>
      <c r="X538">
        <v>4</v>
      </c>
      <c r="Y538">
        <v>13</v>
      </c>
      <c r="Z538">
        <v>1</v>
      </c>
      <c r="AA538">
        <v>11</v>
      </c>
      <c r="AB538">
        <v>10</v>
      </c>
      <c r="AC538">
        <v>5</v>
      </c>
      <c r="AD538">
        <v>0</v>
      </c>
      <c r="AE538">
        <v>8</v>
      </c>
      <c r="AF538">
        <v>7</v>
      </c>
      <c r="AG538">
        <v>0</v>
      </c>
      <c r="AH538">
        <v>0</v>
      </c>
      <c r="AI538">
        <v>1</v>
      </c>
      <c r="AJ538">
        <v>0</v>
      </c>
      <c r="AK538">
        <v>4</v>
      </c>
      <c r="AL538">
        <v>0</v>
      </c>
      <c r="AM538">
        <v>0</v>
      </c>
      <c r="AN538">
        <v>2</v>
      </c>
      <c r="AO538">
        <v>3</v>
      </c>
      <c r="AP538">
        <v>1</v>
      </c>
      <c r="AQ538">
        <v>2</v>
      </c>
      <c r="AR538">
        <v>8</v>
      </c>
      <c r="AS538">
        <v>0</v>
      </c>
      <c r="AT538">
        <v>8</v>
      </c>
      <c r="AU538">
        <v>6</v>
      </c>
      <c r="AV538">
        <v>4</v>
      </c>
      <c r="AW538">
        <v>0</v>
      </c>
      <c r="AX538">
        <v>5</v>
      </c>
      <c r="AY538">
        <v>3</v>
      </c>
      <c r="AZ538">
        <v>0</v>
      </c>
      <c r="BA538">
        <v>0</v>
      </c>
      <c r="BB538">
        <v>0</v>
      </c>
      <c r="BC538" s="2">
        <v>1</v>
      </c>
      <c r="BD538" s="2">
        <v>4</v>
      </c>
      <c r="BE538" s="2">
        <v>0</v>
      </c>
      <c r="BF538" s="2">
        <v>0</v>
      </c>
      <c r="BG538" s="2">
        <v>2</v>
      </c>
      <c r="BH538" s="2">
        <v>3.5</v>
      </c>
      <c r="BI538" s="2">
        <v>2</v>
      </c>
      <c r="BJ538" s="2">
        <v>4</v>
      </c>
      <c r="BK538" s="2">
        <v>12</v>
      </c>
      <c r="BL538" s="2">
        <v>0.5</v>
      </c>
      <c r="BM538" s="2">
        <v>10.182</v>
      </c>
      <c r="BN538" s="2">
        <v>9</v>
      </c>
      <c r="BO538" s="2">
        <v>5</v>
      </c>
      <c r="BP538" s="2">
        <v>0</v>
      </c>
      <c r="BQ538" s="2">
        <v>7.5</v>
      </c>
      <c r="BR538" s="2">
        <v>6</v>
      </c>
      <c r="BS538" s="2">
        <v>0</v>
      </c>
      <c r="BT538" s="2">
        <v>0</v>
      </c>
      <c r="BU538" s="2">
        <v>0.5</v>
      </c>
      <c r="BV538" s="2">
        <f t="shared" si="37"/>
        <v>67.182000000000002</v>
      </c>
      <c r="BW538" s="16">
        <f t="shared" si="35"/>
        <v>3.5358947368421054</v>
      </c>
      <c r="BX538" s="16">
        <f>COUNTIF($BC$6:BU538, "=0") / COUNTIF($BC$6:BU538, "&gt;-1")</f>
        <v>0.13775056778907871</v>
      </c>
      <c r="BY538" s="18">
        <f>SUM($BC$6:BU538) / $BY$4</f>
        <v>0.85978738545361844</v>
      </c>
      <c r="BZ538" s="14">
        <f t="shared" si="36"/>
        <v>5</v>
      </c>
      <c r="CA538" t="s">
        <v>5831</v>
      </c>
      <c r="CB538" s="36">
        <v>1.2116433958347299</v>
      </c>
      <c r="CC538" s="36">
        <v>3.85225648270979</v>
      </c>
      <c r="CD538" s="36">
        <v>0.40019941545306398</v>
      </c>
      <c r="CE538" s="36">
        <v>0.37798043978830698</v>
      </c>
      <c r="CF538" s="36">
        <v>1.72035271987378</v>
      </c>
      <c r="CG538" s="36">
        <v>3.25404536323822</v>
      </c>
      <c r="CH538" s="36">
        <v>2.10812456572928</v>
      </c>
      <c r="CI538" s="36">
        <v>3.8927343919292201</v>
      </c>
      <c r="CJ538" s="37">
        <v>9.53709951893949</v>
      </c>
      <c r="CK538" s="37">
        <v>6.4326263982605099</v>
      </c>
      <c r="CL538" s="37">
        <v>7.2004891344060802</v>
      </c>
      <c r="CM538" s="37">
        <v>4.2327352329997003</v>
      </c>
      <c r="CN538" s="37">
        <v>6.8909442436133599</v>
      </c>
      <c r="CO538" s="37">
        <v>4.7351434223107498</v>
      </c>
      <c r="CP538" s="37">
        <v>0.377135011965606</v>
      </c>
      <c r="CQ538" s="37">
        <v>0.76131842323730803</v>
      </c>
      <c r="CR538" s="45">
        <v>1.2010844343315099</v>
      </c>
      <c r="CS538" s="45">
        <v>2.3884573356765801</v>
      </c>
      <c r="CT538" s="46">
        <v>2.5399853735161002E-2</v>
      </c>
      <c r="CU538" s="47">
        <v>4.2481255372056798E-2</v>
      </c>
      <c r="CV538" s="48">
        <v>2.1021670968195498</v>
      </c>
      <c r="CW538" s="49">
        <v>5.0209364232166003</v>
      </c>
      <c r="CX538" s="31" t="s">
        <v>5874</v>
      </c>
      <c r="CY538" s="31" t="s">
        <v>5878</v>
      </c>
      <c r="CZ538" t="s">
        <v>12889</v>
      </c>
      <c r="DA538" t="s">
        <v>5904</v>
      </c>
      <c r="DB538">
        <v>727.6</v>
      </c>
      <c r="DC538" t="s">
        <v>34260</v>
      </c>
      <c r="DD538" t="s">
        <v>34261</v>
      </c>
      <c r="DE538" t="s">
        <v>34262</v>
      </c>
      <c r="DF538" t="s">
        <v>34263</v>
      </c>
      <c r="DG538" t="s">
        <v>34264</v>
      </c>
      <c r="DH538" t="str">
        <f>"PCBP1"</f>
        <v>PCBP1</v>
      </c>
      <c r="DI538" t="s">
        <v>13772</v>
      </c>
      <c r="DJ538" t="s">
        <v>13777</v>
      </c>
      <c r="DK538">
        <v>9606</v>
      </c>
      <c r="DL538" s="34" t="str">
        <f>HYPERLINK("http://www.uniprot.org/uniprot/Q15365", "Q15365")</f>
        <v>Q15365</v>
      </c>
      <c r="DM538" t="s">
        <v>34265</v>
      </c>
      <c r="DN538" t="s">
        <v>34266</v>
      </c>
      <c r="DO538" t="s">
        <v>13912</v>
      </c>
      <c r="DP538" t="s">
        <v>13772</v>
      </c>
      <c r="DQ538" t="s">
        <v>13772</v>
      </c>
      <c r="DR538" t="s">
        <v>13772</v>
      </c>
      <c r="DS538" t="s">
        <v>14096</v>
      </c>
      <c r="DT538" t="s">
        <v>13772</v>
      </c>
      <c r="DU538" t="s">
        <v>23916</v>
      </c>
      <c r="DV538" t="s">
        <v>13991</v>
      </c>
      <c r="DW538" t="s">
        <v>13812</v>
      </c>
      <c r="DX538" t="s">
        <v>34267</v>
      </c>
      <c r="DY538" t="s">
        <v>34268</v>
      </c>
      <c r="DZ538" t="s">
        <v>34269</v>
      </c>
      <c r="EA538" t="s">
        <v>13772</v>
      </c>
      <c r="EB538" t="s">
        <v>22927</v>
      </c>
    </row>
    <row r="539" spans="1:132" hidden="1">
      <c r="A539">
        <v>1384</v>
      </c>
      <c r="B539">
        <v>1</v>
      </c>
      <c r="C539" t="s">
        <v>3306</v>
      </c>
      <c r="D539" t="s">
        <v>3307</v>
      </c>
      <c r="E539" t="s">
        <v>73</v>
      </c>
      <c r="F539" t="s">
        <v>73</v>
      </c>
      <c r="G539" t="s">
        <v>73</v>
      </c>
      <c r="H539">
        <v>9.6</v>
      </c>
      <c r="I539">
        <v>2502</v>
      </c>
      <c r="J539">
        <v>274868</v>
      </c>
      <c r="K539" t="s">
        <v>3308</v>
      </c>
      <c r="L539">
        <f t="shared" si="34"/>
        <v>67</v>
      </c>
      <c r="N539">
        <v>67</v>
      </c>
      <c r="O539">
        <v>67</v>
      </c>
      <c r="P539">
        <v>1</v>
      </c>
      <c r="Q539">
        <v>8</v>
      </c>
      <c r="R539">
        <v>7</v>
      </c>
      <c r="S539">
        <v>6</v>
      </c>
      <c r="T539">
        <v>5</v>
      </c>
      <c r="U539">
        <v>7</v>
      </c>
      <c r="V539">
        <v>7</v>
      </c>
      <c r="W539">
        <v>10</v>
      </c>
      <c r="X539">
        <v>5</v>
      </c>
      <c r="Y539">
        <v>1</v>
      </c>
      <c r="Z539">
        <v>0</v>
      </c>
      <c r="AA539">
        <v>3</v>
      </c>
      <c r="AB539">
        <v>4</v>
      </c>
      <c r="AC539">
        <v>2</v>
      </c>
      <c r="AD539">
        <v>0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8</v>
      </c>
      <c r="AK539">
        <v>7</v>
      </c>
      <c r="AL539">
        <v>6</v>
      </c>
      <c r="AM539">
        <v>5</v>
      </c>
      <c r="AN539">
        <v>7</v>
      </c>
      <c r="AO539">
        <v>7</v>
      </c>
      <c r="AP539">
        <v>10</v>
      </c>
      <c r="AQ539">
        <v>5</v>
      </c>
      <c r="AR539">
        <v>1</v>
      </c>
      <c r="AS539">
        <v>0</v>
      </c>
      <c r="AT539">
        <v>3</v>
      </c>
      <c r="AU539">
        <v>4</v>
      </c>
      <c r="AV539">
        <v>2</v>
      </c>
      <c r="AW539">
        <v>0</v>
      </c>
      <c r="AX539">
        <v>0</v>
      </c>
      <c r="AY539">
        <v>2</v>
      </c>
      <c r="AZ539">
        <v>0</v>
      </c>
      <c r="BA539">
        <v>0</v>
      </c>
      <c r="BB539">
        <v>0</v>
      </c>
      <c r="BC539" s="2">
        <v>8</v>
      </c>
      <c r="BD539" s="2">
        <v>7</v>
      </c>
      <c r="BE539" s="2">
        <v>6</v>
      </c>
      <c r="BF539" s="2">
        <v>5</v>
      </c>
      <c r="BG539" s="2">
        <v>7</v>
      </c>
      <c r="BH539" s="2">
        <v>7</v>
      </c>
      <c r="BI539" s="2">
        <v>10</v>
      </c>
      <c r="BJ539" s="2">
        <v>5</v>
      </c>
      <c r="BK539" s="2">
        <v>1</v>
      </c>
      <c r="BL539" s="2">
        <v>0</v>
      </c>
      <c r="BM539" s="2">
        <v>3</v>
      </c>
      <c r="BN539" s="2">
        <v>4</v>
      </c>
      <c r="BO539" s="2">
        <v>2</v>
      </c>
      <c r="BP539" s="2">
        <v>0</v>
      </c>
      <c r="BQ539" s="2">
        <v>0</v>
      </c>
      <c r="BR539" s="2">
        <v>2</v>
      </c>
      <c r="BS539" s="2">
        <v>0</v>
      </c>
      <c r="BT539" s="2">
        <v>0</v>
      </c>
      <c r="BU539" s="2">
        <v>0</v>
      </c>
      <c r="BV539" s="2">
        <f t="shared" si="37"/>
        <v>67</v>
      </c>
      <c r="BW539" s="16">
        <f t="shared" si="35"/>
        <v>3.5263157894736841</v>
      </c>
      <c r="BX539" s="16">
        <f>COUNTIF($BC$6:BU539, "=0") / COUNTIF($BC$6:BU539, "&gt;-1")</f>
        <v>0.13808397397989355</v>
      </c>
      <c r="BY539" s="18">
        <f>SUM($BC$6:BU539) / $BY$4</f>
        <v>0.86007438912382139</v>
      </c>
      <c r="BZ539" s="14">
        <f t="shared" si="36"/>
        <v>6</v>
      </c>
      <c r="CA539" t="s">
        <v>5831</v>
      </c>
      <c r="CB539" s="36">
        <v>9.6931471666778304</v>
      </c>
      <c r="CC539" s="36">
        <v>6.7414488447421297</v>
      </c>
      <c r="CD539" s="36">
        <v>9.6047859708735501</v>
      </c>
      <c r="CE539" s="36">
        <v>7.5596087957661497</v>
      </c>
      <c r="CF539" s="36">
        <v>6.0212345195582504</v>
      </c>
      <c r="CG539" s="36">
        <v>6.50809072647644</v>
      </c>
      <c r="CH539" s="36">
        <v>10.5406228286464</v>
      </c>
      <c r="CI539" s="36">
        <v>4.8659179899115301</v>
      </c>
      <c r="CJ539" s="37">
        <v>0.79475829324495695</v>
      </c>
      <c r="CK539" s="37">
        <v>1.89194894066486</v>
      </c>
      <c r="CL539" s="37">
        <v>3.2002173930693698</v>
      </c>
      <c r="CM539" s="37">
        <v>1.6930940931998799</v>
      </c>
      <c r="CN539" s="37">
        <v>0.22969814145377901</v>
      </c>
      <c r="CO539" s="37">
        <v>1.5783811407702499</v>
      </c>
      <c r="CP539" s="37">
        <v>0.377135011965606</v>
      </c>
      <c r="CQ539" s="37">
        <v>0.38065921161865401</v>
      </c>
      <c r="CR539" s="45">
        <v>-2.3225842426688299</v>
      </c>
      <c r="CS539" s="45">
        <v>-6.0650020197375003</v>
      </c>
      <c r="CT539" s="46">
        <v>9.8175453723226105E-8</v>
      </c>
      <c r="CU539" s="47">
        <v>6.7651409979645905E-7</v>
      </c>
      <c r="CV539" s="48">
        <v>7.6918571053315299</v>
      </c>
      <c r="CW539" s="49">
        <v>1.26823652824842</v>
      </c>
      <c r="CX539" s="31" t="s">
        <v>5875</v>
      </c>
      <c r="CY539" s="31" t="s">
        <v>5876</v>
      </c>
      <c r="CZ539" t="s">
        <v>10358</v>
      </c>
      <c r="DA539" t="s">
        <v>5904</v>
      </c>
      <c r="DB539">
        <v>4371.6000000000004</v>
      </c>
      <c r="DC539" t="s">
        <v>27147</v>
      </c>
      <c r="DD539" t="s">
        <v>27148</v>
      </c>
      <c r="DE539" t="s">
        <v>27149</v>
      </c>
      <c r="DF539" t="s">
        <v>27150</v>
      </c>
      <c r="DG539" t="s">
        <v>27151</v>
      </c>
      <c r="DH539" t="str">
        <f>"IGF2R"</f>
        <v>IGF2R</v>
      </c>
      <c r="DI539" t="s">
        <v>27152</v>
      </c>
      <c r="DJ539" t="s">
        <v>13777</v>
      </c>
      <c r="DK539">
        <v>9606</v>
      </c>
      <c r="DL539" s="34" t="str">
        <f>HYPERLINK("http://www.uniprot.org/uniprot/P11717", "P11717")</f>
        <v>P11717</v>
      </c>
      <c r="DM539" t="s">
        <v>27153</v>
      </c>
      <c r="DN539" t="s">
        <v>14192</v>
      </c>
      <c r="DO539" t="s">
        <v>18613</v>
      </c>
      <c r="DP539" t="s">
        <v>13793</v>
      </c>
      <c r="DQ539" t="s">
        <v>13772</v>
      </c>
      <c r="DR539" t="s">
        <v>13772</v>
      </c>
      <c r="DS539" t="s">
        <v>13826</v>
      </c>
      <c r="DT539" t="s">
        <v>13772</v>
      </c>
      <c r="DU539" t="s">
        <v>13795</v>
      </c>
      <c r="DV539" t="s">
        <v>27154</v>
      </c>
      <c r="DW539" t="s">
        <v>13812</v>
      </c>
      <c r="DX539" t="s">
        <v>27155</v>
      </c>
      <c r="DY539" t="s">
        <v>27156</v>
      </c>
      <c r="DZ539" t="s">
        <v>27157</v>
      </c>
      <c r="EA539" t="s">
        <v>13772</v>
      </c>
      <c r="EB539" t="s">
        <v>27158</v>
      </c>
    </row>
    <row r="540" spans="1:132" hidden="1">
      <c r="A540">
        <v>1847</v>
      </c>
      <c r="B540">
        <v>1</v>
      </c>
      <c r="C540" t="s">
        <v>4365</v>
      </c>
      <c r="D540" t="s">
        <v>4366</v>
      </c>
      <c r="E540" t="s">
        <v>73</v>
      </c>
      <c r="F540" t="s">
        <v>73</v>
      </c>
      <c r="G540" t="s">
        <v>73</v>
      </c>
      <c r="H540">
        <v>8.5</v>
      </c>
      <c r="I540">
        <v>1014</v>
      </c>
      <c r="J540">
        <v>106937</v>
      </c>
      <c r="K540" t="s">
        <v>4367</v>
      </c>
      <c r="L540">
        <f t="shared" si="34"/>
        <v>67</v>
      </c>
      <c r="N540">
        <v>67</v>
      </c>
      <c r="O540">
        <v>67</v>
      </c>
      <c r="P540">
        <v>1</v>
      </c>
      <c r="Q540">
        <v>4</v>
      </c>
      <c r="R540">
        <v>10</v>
      </c>
      <c r="S540">
        <v>10</v>
      </c>
      <c r="T540">
        <v>11</v>
      </c>
      <c r="U540">
        <v>9</v>
      </c>
      <c r="V540">
        <v>7</v>
      </c>
      <c r="W540">
        <v>9</v>
      </c>
      <c r="X540">
        <v>2</v>
      </c>
      <c r="Y540">
        <v>3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4</v>
      </c>
      <c r="AK540">
        <v>10</v>
      </c>
      <c r="AL540">
        <v>10</v>
      </c>
      <c r="AM540">
        <v>11</v>
      </c>
      <c r="AN540">
        <v>9</v>
      </c>
      <c r="AO540">
        <v>7</v>
      </c>
      <c r="AP540">
        <v>9</v>
      </c>
      <c r="AQ540">
        <v>2</v>
      </c>
      <c r="AR540">
        <v>3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 s="2">
        <v>4</v>
      </c>
      <c r="BD540" s="2">
        <v>10</v>
      </c>
      <c r="BE540" s="2">
        <v>10</v>
      </c>
      <c r="BF540" s="2">
        <v>11</v>
      </c>
      <c r="BG540" s="2">
        <v>9</v>
      </c>
      <c r="BH540" s="2">
        <v>7</v>
      </c>
      <c r="BI540" s="2">
        <v>9</v>
      </c>
      <c r="BJ540" s="2">
        <v>2</v>
      </c>
      <c r="BK540" s="2">
        <v>3</v>
      </c>
      <c r="BL540" s="2">
        <v>0</v>
      </c>
      <c r="BM540" s="2">
        <v>1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0</v>
      </c>
      <c r="BT540" s="2">
        <v>0</v>
      </c>
      <c r="BU540" s="2">
        <v>0</v>
      </c>
      <c r="BV540" s="2">
        <f t="shared" si="37"/>
        <v>67</v>
      </c>
      <c r="BW540" s="16">
        <f t="shared" si="35"/>
        <v>3.5263157894736841</v>
      </c>
      <c r="BX540" s="16">
        <f>COUNTIF($BC$6:BU540, "=0") / COUNTIF($BC$6:BU540, "&gt;-1")</f>
        <v>0.13861288735858338</v>
      </c>
      <c r="BY540" s="18">
        <f>SUM($BC$6:BU540) / $BY$4</f>
        <v>0.86036139279402435</v>
      </c>
      <c r="BZ540" s="14">
        <f t="shared" si="36"/>
        <v>8</v>
      </c>
      <c r="CA540" t="s">
        <v>5831</v>
      </c>
      <c r="CB540" s="36">
        <v>4.8465735833389196</v>
      </c>
      <c r="CC540" s="36">
        <v>9.6306412067744702</v>
      </c>
      <c r="CD540" s="36">
        <v>16.007976618122601</v>
      </c>
      <c r="CE540" s="36">
        <v>16.631139350685501</v>
      </c>
      <c r="CF540" s="36">
        <v>7.7415872394320298</v>
      </c>
      <c r="CG540" s="36">
        <v>6.50809072647644</v>
      </c>
      <c r="CH540" s="36">
        <v>9.4865605457817708</v>
      </c>
      <c r="CI540" s="36">
        <v>1.9463671959646101</v>
      </c>
      <c r="CJ540" s="37">
        <v>2.3842748797348698</v>
      </c>
      <c r="CK540" s="37">
        <v>0.63064964688828595</v>
      </c>
      <c r="CL540" s="37">
        <v>0.200013587066836</v>
      </c>
      <c r="CM540" s="37">
        <v>0.21163676164998499</v>
      </c>
      <c r="CN540" s="37">
        <v>0.22969814145377901</v>
      </c>
      <c r="CO540" s="37">
        <v>0.78919057038512497</v>
      </c>
      <c r="CP540" s="37">
        <v>0.377135011965606</v>
      </c>
      <c r="CQ540" s="37">
        <v>0.38065921161865401</v>
      </c>
      <c r="CR540" s="45">
        <v>-3.4618528294317299</v>
      </c>
      <c r="CS540" s="45">
        <v>-13.991030065046701</v>
      </c>
      <c r="CT540" s="46">
        <v>1.09924160764419E-8</v>
      </c>
      <c r="CU540" s="47">
        <v>1.05056090787709E-7</v>
      </c>
      <c r="CV540" s="48">
        <v>9.0998670583220402</v>
      </c>
      <c r="CW540" s="49">
        <v>0.65040722634539305</v>
      </c>
      <c r="CX540" s="31" t="s">
        <v>5875</v>
      </c>
      <c r="CY540" s="31" t="s">
        <v>5876</v>
      </c>
      <c r="CZ540" t="s">
        <v>11917</v>
      </c>
      <c r="DA540" t="s">
        <v>5904</v>
      </c>
      <c r="DB540">
        <v>1879.4</v>
      </c>
      <c r="DC540" t="s">
        <v>31539</v>
      </c>
      <c r="DD540" t="s">
        <v>31540</v>
      </c>
      <c r="DE540" t="s">
        <v>31541</v>
      </c>
      <c r="DF540" t="s">
        <v>31542</v>
      </c>
      <c r="DG540" t="s">
        <v>31543</v>
      </c>
      <c r="DH540" t="str">
        <f>"UBAP2L"</f>
        <v>UBAP2L</v>
      </c>
      <c r="DI540" t="s">
        <v>31544</v>
      </c>
      <c r="DJ540" t="s">
        <v>13777</v>
      </c>
      <c r="DK540">
        <v>9606</v>
      </c>
      <c r="DL540" s="34" t="str">
        <f>HYPERLINK("http://www.uniprot.org/uniprot/Q14157", "Q14157")</f>
        <v>Q14157</v>
      </c>
      <c r="DM540" t="s">
        <v>31545</v>
      </c>
      <c r="DN540" t="s">
        <v>13772</v>
      </c>
      <c r="DO540" t="s">
        <v>13772</v>
      </c>
      <c r="DP540" t="s">
        <v>13780</v>
      </c>
      <c r="DQ540" t="s">
        <v>13772</v>
      </c>
      <c r="DR540" t="s">
        <v>13772</v>
      </c>
      <c r="DS540" t="s">
        <v>13772</v>
      </c>
      <c r="DT540" t="s">
        <v>13772</v>
      </c>
      <c r="DU540" t="s">
        <v>13772</v>
      </c>
      <c r="DV540" t="s">
        <v>14098</v>
      </c>
      <c r="DW540" t="s">
        <v>13772</v>
      </c>
      <c r="DX540" t="s">
        <v>31546</v>
      </c>
      <c r="DY540" t="s">
        <v>31547</v>
      </c>
      <c r="DZ540" t="s">
        <v>14235</v>
      </c>
      <c r="EA540" t="s">
        <v>13772</v>
      </c>
      <c r="EB540" t="s">
        <v>13772</v>
      </c>
    </row>
    <row r="541" spans="1:132" hidden="1">
      <c r="A541">
        <v>916</v>
      </c>
      <c r="B541">
        <v>1</v>
      </c>
      <c r="C541" t="s">
        <v>2231</v>
      </c>
      <c r="D541" t="s">
        <v>2232</v>
      </c>
      <c r="E541" t="s">
        <v>73</v>
      </c>
      <c r="F541" t="s">
        <v>73</v>
      </c>
      <c r="G541" t="s">
        <v>73</v>
      </c>
      <c r="H541">
        <v>60.5</v>
      </c>
      <c r="I541">
        <v>177</v>
      </c>
      <c r="J541">
        <v>20151</v>
      </c>
      <c r="K541" t="s">
        <v>2233</v>
      </c>
      <c r="L541">
        <f t="shared" si="34"/>
        <v>66</v>
      </c>
      <c r="N541">
        <v>66</v>
      </c>
      <c r="O541">
        <v>66</v>
      </c>
      <c r="P541">
        <v>1</v>
      </c>
      <c r="Q541">
        <v>4</v>
      </c>
      <c r="R541">
        <v>5</v>
      </c>
      <c r="S541">
        <v>4</v>
      </c>
      <c r="T541">
        <v>5</v>
      </c>
      <c r="U541">
        <v>13</v>
      </c>
      <c r="V541">
        <v>6</v>
      </c>
      <c r="W541">
        <v>4</v>
      </c>
      <c r="X541">
        <v>10</v>
      </c>
      <c r="Y541">
        <v>0</v>
      </c>
      <c r="Z541">
        <v>0</v>
      </c>
      <c r="AA541">
        <v>4</v>
      </c>
      <c r="AB541">
        <v>3</v>
      </c>
      <c r="AC541">
        <v>2</v>
      </c>
      <c r="AD541">
        <v>0</v>
      </c>
      <c r="AE541">
        <v>0</v>
      </c>
      <c r="AF541">
        <v>3</v>
      </c>
      <c r="AG541">
        <v>0</v>
      </c>
      <c r="AH541">
        <v>0</v>
      </c>
      <c r="AI541">
        <v>3</v>
      </c>
      <c r="AJ541">
        <v>4</v>
      </c>
      <c r="AK541">
        <v>5</v>
      </c>
      <c r="AL541">
        <v>4</v>
      </c>
      <c r="AM541">
        <v>5</v>
      </c>
      <c r="AN541">
        <v>13</v>
      </c>
      <c r="AO541">
        <v>6</v>
      </c>
      <c r="AP541">
        <v>4</v>
      </c>
      <c r="AQ541">
        <v>10</v>
      </c>
      <c r="AR541">
        <v>0</v>
      </c>
      <c r="AS541">
        <v>0</v>
      </c>
      <c r="AT541">
        <v>4</v>
      </c>
      <c r="AU541">
        <v>3</v>
      </c>
      <c r="AV541">
        <v>2</v>
      </c>
      <c r="AW541">
        <v>0</v>
      </c>
      <c r="AX541">
        <v>0</v>
      </c>
      <c r="AY541">
        <v>3</v>
      </c>
      <c r="AZ541">
        <v>0</v>
      </c>
      <c r="BA541">
        <v>0</v>
      </c>
      <c r="BB541">
        <v>3</v>
      </c>
      <c r="BC541" s="2">
        <v>4</v>
      </c>
      <c r="BD541" s="2">
        <v>5</v>
      </c>
      <c r="BE541" s="2">
        <v>4</v>
      </c>
      <c r="BF541" s="2">
        <v>5</v>
      </c>
      <c r="BG541" s="2">
        <v>13</v>
      </c>
      <c r="BH541" s="2">
        <v>6</v>
      </c>
      <c r="BI541" s="2">
        <v>4</v>
      </c>
      <c r="BJ541" s="2">
        <v>10</v>
      </c>
      <c r="BK541" s="2">
        <v>0</v>
      </c>
      <c r="BL541" s="2">
        <v>0</v>
      </c>
      <c r="BM541" s="2">
        <v>4</v>
      </c>
      <c r="BN541" s="2">
        <v>3</v>
      </c>
      <c r="BO541" s="2">
        <v>2</v>
      </c>
      <c r="BP541" s="2">
        <v>0</v>
      </c>
      <c r="BQ541" s="2">
        <v>0</v>
      </c>
      <c r="BR541" s="2">
        <v>3</v>
      </c>
      <c r="BS541" s="2">
        <v>0</v>
      </c>
      <c r="BT541" s="2">
        <v>0</v>
      </c>
      <c r="BU541" s="2">
        <v>3</v>
      </c>
      <c r="BV541" s="2">
        <f t="shared" si="37"/>
        <v>66</v>
      </c>
      <c r="BW541" s="16">
        <f t="shared" si="35"/>
        <v>3.4736842105263159</v>
      </c>
      <c r="BX541" s="16">
        <f>COUNTIF($BC$6:BU541, "=0") / COUNTIF($BC$6:BU541, "&gt;-1")</f>
        <v>0.13894344069128045</v>
      </c>
      <c r="BY541" s="18">
        <f>SUM($BC$6:BU541) / $BY$4</f>
        <v>0.86064411282735853</v>
      </c>
      <c r="BZ541" s="14">
        <f t="shared" si="36"/>
        <v>6</v>
      </c>
      <c r="CA541" t="s">
        <v>5831</v>
      </c>
      <c r="CB541" s="36">
        <v>4.8465735833389196</v>
      </c>
      <c r="CC541" s="36">
        <v>4.8153206033872298</v>
      </c>
      <c r="CD541" s="36">
        <v>6.4031906472490299</v>
      </c>
      <c r="CE541" s="36">
        <v>7.5596087957661497</v>
      </c>
      <c r="CF541" s="36">
        <v>11.1822926791796</v>
      </c>
      <c r="CG541" s="36">
        <v>5.5783634798369501</v>
      </c>
      <c r="CH541" s="36">
        <v>4.21624913145856</v>
      </c>
      <c r="CI541" s="36">
        <v>9.7318359798230603</v>
      </c>
      <c r="CJ541" s="37">
        <v>0.19868957331123899</v>
      </c>
      <c r="CK541" s="37">
        <v>2.5225985875531398</v>
      </c>
      <c r="CL541" s="37">
        <v>2.4001630448020301</v>
      </c>
      <c r="CM541" s="37">
        <v>1.6930940931998799</v>
      </c>
      <c r="CN541" s="37">
        <v>0.22969814145377901</v>
      </c>
      <c r="CO541" s="37">
        <v>2.36757171115537</v>
      </c>
      <c r="CP541" s="37">
        <v>0.377135011965606</v>
      </c>
      <c r="CQ541" s="37">
        <v>4.5679105394238499</v>
      </c>
      <c r="CR541" s="45">
        <v>-1.8915618978634601</v>
      </c>
      <c r="CS541" s="45">
        <v>-3.7844927261289998</v>
      </c>
      <c r="CT541" s="46">
        <v>9.1571673086914893E-5</v>
      </c>
      <c r="CU541" s="47">
        <v>2.6292467508646399E-4</v>
      </c>
      <c r="CV541" s="48">
        <v>6.7916793625049401</v>
      </c>
      <c r="CW541" s="49">
        <v>1.79460758785811</v>
      </c>
      <c r="CX541" s="31" t="s">
        <v>5875</v>
      </c>
      <c r="CY541" s="31" t="s">
        <v>5876</v>
      </c>
      <c r="CZ541" t="s">
        <v>8834</v>
      </c>
      <c r="DA541" t="s">
        <v>5904</v>
      </c>
      <c r="DB541">
        <v>224.2</v>
      </c>
      <c r="DC541" t="s">
        <v>22815</v>
      </c>
      <c r="DD541" t="s">
        <v>22816</v>
      </c>
      <c r="DE541" t="s">
        <v>22817</v>
      </c>
      <c r="DF541" t="s">
        <v>22818</v>
      </c>
      <c r="DG541" t="s">
        <v>22819</v>
      </c>
      <c r="DH541" t="str">
        <f>"GGACT"</f>
        <v>GGACT</v>
      </c>
      <c r="DI541" t="s">
        <v>22820</v>
      </c>
      <c r="DJ541" t="s">
        <v>13777</v>
      </c>
      <c r="DK541">
        <v>9606</v>
      </c>
      <c r="DL541" s="34" t="str">
        <f>HYPERLINK("http://www.uniprot.org/uniprot/Q9BVM4", "Q9BVM4")</f>
        <v>Q9BVM4</v>
      </c>
      <c r="DM541" t="s">
        <v>22821</v>
      </c>
      <c r="DN541" t="s">
        <v>13772</v>
      </c>
      <c r="DO541" t="s">
        <v>13772</v>
      </c>
      <c r="DP541" t="s">
        <v>13772</v>
      </c>
      <c r="DQ541" t="s">
        <v>13772</v>
      </c>
      <c r="DR541" t="s">
        <v>13772</v>
      </c>
      <c r="DS541" t="s">
        <v>13772</v>
      </c>
      <c r="DT541" t="s">
        <v>13772</v>
      </c>
      <c r="DU541" t="s">
        <v>15788</v>
      </c>
      <c r="DV541" t="s">
        <v>13772</v>
      </c>
      <c r="DW541" t="s">
        <v>13812</v>
      </c>
      <c r="DX541" t="s">
        <v>22822</v>
      </c>
      <c r="DY541" t="s">
        <v>15835</v>
      </c>
      <c r="DZ541" t="s">
        <v>22823</v>
      </c>
      <c r="EA541" t="s">
        <v>13772</v>
      </c>
      <c r="EB541" t="s">
        <v>13772</v>
      </c>
    </row>
    <row r="542" spans="1:132" hidden="1">
      <c r="A542">
        <v>1308</v>
      </c>
      <c r="B542">
        <v>1</v>
      </c>
      <c r="C542" t="s">
        <v>3137</v>
      </c>
      <c r="D542" t="s">
        <v>73</v>
      </c>
      <c r="E542" t="s">
        <v>73</v>
      </c>
      <c r="F542" t="s">
        <v>73</v>
      </c>
      <c r="G542" t="s">
        <v>73</v>
      </c>
      <c r="H542">
        <v>21.3</v>
      </c>
      <c r="I542">
        <v>656</v>
      </c>
      <c r="J542">
        <v>70422</v>
      </c>
      <c r="K542" t="s">
        <v>3138</v>
      </c>
      <c r="L542">
        <f t="shared" si="34"/>
        <v>66</v>
      </c>
      <c r="N542">
        <v>66</v>
      </c>
      <c r="O542">
        <v>65</v>
      </c>
      <c r="P542">
        <v>0.98499999999999999</v>
      </c>
      <c r="Q542">
        <v>5</v>
      </c>
      <c r="R542">
        <v>5</v>
      </c>
      <c r="S542">
        <v>4</v>
      </c>
      <c r="T542">
        <v>5</v>
      </c>
      <c r="U542">
        <v>4</v>
      </c>
      <c r="V542">
        <v>4</v>
      </c>
      <c r="W542">
        <v>2</v>
      </c>
      <c r="X542">
        <v>7</v>
      </c>
      <c r="Y542">
        <v>0</v>
      </c>
      <c r="Z542">
        <v>4</v>
      </c>
      <c r="AA542">
        <v>0</v>
      </c>
      <c r="AB542">
        <v>1</v>
      </c>
      <c r="AC542">
        <v>3</v>
      </c>
      <c r="AD542">
        <v>5</v>
      </c>
      <c r="AE542">
        <v>4</v>
      </c>
      <c r="AF542">
        <v>2</v>
      </c>
      <c r="AG542">
        <v>5</v>
      </c>
      <c r="AH542">
        <v>2</v>
      </c>
      <c r="AI542">
        <v>4</v>
      </c>
      <c r="AJ542">
        <v>5</v>
      </c>
      <c r="AK542">
        <v>5</v>
      </c>
      <c r="AL542">
        <v>4</v>
      </c>
      <c r="AM542">
        <v>5</v>
      </c>
      <c r="AN542">
        <v>4</v>
      </c>
      <c r="AO542">
        <v>3</v>
      </c>
      <c r="AP542">
        <v>2</v>
      </c>
      <c r="AQ542">
        <v>7</v>
      </c>
      <c r="AR542">
        <v>0</v>
      </c>
      <c r="AS542">
        <v>4</v>
      </c>
      <c r="AT542">
        <v>0</v>
      </c>
      <c r="AU542">
        <v>1</v>
      </c>
      <c r="AV542">
        <v>3</v>
      </c>
      <c r="AW542">
        <v>5</v>
      </c>
      <c r="AX542">
        <v>4</v>
      </c>
      <c r="AY542">
        <v>2</v>
      </c>
      <c r="AZ542">
        <v>5</v>
      </c>
      <c r="BA542">
        <v>2</v>
      </c>
      <c r="BB542">
        <v>4</v>
      </c>
      <c r="BC542" s="2">
        <v>5</v>
      </c>
      <c r="BD542" s="2">
        <v>5</v>
      </c>
      <c r="BE542" s="2">
        <v>4</v>
      </c>
      <c r="BF542" s="2">
        <v>5</v>
      </c>
      <c r="BG542" s="2">
        <v>4</v>
      </c>
      <c r="BH542" s="2">
        <v>4</v>
      </c>
      <c r="BI542" s="2">
        <v>2</v>
      </c>
      <c r="BJ542" s="2">
        <v>7</v>
      </c>
      <c r="BK542" s="2">
        <v>0</v>
      </c>
      <c r="BL542" s="2">
        <v>4</v>
      </c>
      <c r="BM542" s="2">
        <v>0</v>
      </c>
      <c r="BN542" s="2">
        <v>1</v>
      </c>
      <c r="BO542" s="2">
        <v>3</v>
      </c>
      <c r="BP542" s="2">
        <v>5</v>
      </c>
      <c r="BQ542" s="2">
        <v>4</v>
      </c>
      <c r="BR542" s="2">
        <v>2</v>
      </c>
      <c r="BS542" s="2">
        <v>5</v>
      </c>
      <c r="BT542" s="2">
        <v>2</v>
      </c>
      <c r="BU542" s="2">
        <v>4</v>
      </c>
      <c r="BV542" s="2">
        <f t="shared" si="37"/>
        <v>66</v>
      </c>
      <c r="BW542" s="16">
        <f t="shared" si="35"/>
        <v>3.4736842105263159</v>
      </c>
      <c r="BX542" s="16">
        <f>COUNTIF($BC$6:BU542, "=0") / COUNTIF($BC$6:BU542, "&gt;-1")</f>
        <v>0.13888072135646379</v>
      </c>
      <c r="BY542" s="18">
        <f>SUM($BC$6:BU542) / $BY$4</f>
        <v>0.86092683286069283</v>
      </c>
      <c r="BZ542" s="14">
        <f t="shared" si="36"/>
        <v>2</v>
      </c>
      <c r="CA542" t="s">
        <v>5831</v>
      </c>
      <c r="CB542" s="36">
        <v>6.0582169791736504</v>
      </c>
      <c r="CC542" s="36">
        <v>4.8153206033872298</v>
      </c>
      <c r="CD542" s="36">
        <v>6.4031906472490299</v>
      </c>
      <c r="CE542" s="36">
        <v>7.5596087957661497</v>
      </c>
      <c r="CF542" s="36">
        <v>3.4407054397475698</v>
      </c>
      <c r="CG542" s="36">
        <v>3.7189089865579601</v>
      </c>
      <c r="CH542" s="36">
        <v>2.10812456572928</v>
      </c>
      <c r="CI542" s="36">
        <v>6.8122851858761404</v>
      </c>
      <c r="CJ542" s="37">
        <v>0.19868957331123899</v>
      </c>
      <c r="CK542" s="37">
        <v>0.15766241172207099</v>
      </c>
      <c r="CL542" s="37">
        <v>0.80005434826734301</v>
      </c>
      <c r="CM542" s="37">
        <v>2.5396411397998202</v>
      </c>
      <c r="CN542" s="37">
        <v>3.6751702632604601</v>
      </c>
      <c r="CO542" s="37">
        <v>1.5783811407702499</v>
      </c>
      <c r="CP542" s="37">
        <v>7.5427002393121096</v>
      </c>
      <c r="CQ542" s="37">
        <v>6.0905473858984696</v>
      </c>
      <c r="CR542" s="45">
        <v>-1.02334938934043</v>
      </c>
      <c r="CS542" s="45">
        <v>-1.8118336499007801</v>
      </c>
      <c r="CT542" s="46">
        <v>0.108662868582247</v>
      </c>
      <c r="CU542" s="47">
        <v>0.152721552692276</v>
      </c>
      <c r="CV542" s="48">
        <v>5.1145451504358803</v>
      </c>
      <c r="CW542" s="49">
        <v>2.8228558127927199</v>
      </c>
      <c r="CX542" s="31" t="s">
        <v>5875</v>
      </c>
      <c r="CY542" s="31" t="s">
        <v>5832</v>
      </c>
      <c r="CZ542" t="s">
        <v>10104</v>
      </c>
      <c r="DA542" t="s">
        <v>5904</v>
      </c>
      <c r="DB542">
        <v>1057.7</v>
      </c>
      <c r="DC542" t="s">
        <v>26435</v>
      </c>
      <c r="DD542" t="s">
        <v>13772</v>
      </c>
      <c r="DE542" t="s">
        <v>26436</v>
      </c>
      <c r="DF542" t="s">
        <v>26437</v>
      </c>
      <c r="DG542" t="s">
        <v>26438</v>
      </c>
      <c r="DH542" t="str">
        <f>"HGFAC"</f>
        <v>HGFAC</v>
      </c>
      <c r="DI542" t="s">
        <v>13772</v>
      </c>
      <c r="DJ542" t="s">
        <v>13777</v>
      </c>
      <c r="DK542">
        <v>9606</v>
      </c>
      <c r="DL542" s="34" t="str">
        <f>HYPERLINK("http://www.uniprot.org/uniprot/Q04756", "Q04756")</f>
        <v>Q04756</v>
      </c>
      <c r="DM542" t="s">
        <v>26439</v>
      </c>
      <c r="DN542" t="s">
        <v>13772</v>
      </c>
      <c r="DO542" t="s">
        <v>14321</v>
      </c>
      <c r="DP542" t="s">
        <v>13793</v>
      </c>
      <c r="DQ542" t="s">
        <v>13772</v>
      </c>
      <c r="DR542" t="s">
        <v>13772</v>
      </c>
      <c r="DS542" t="s">
        <v>23928</v>
      </c>
      <c r="DT542" t="s">
        <v>13772</v>
      </c>
      <c r="DU542" t="s">
        <v>15176</v>
      </c>
      <c r="DV542" t="s">
        <v>15472</v>
      </c>
      <c r="DW542" t="s">
        <v>13812</v>
      </c>
      <c r="DX542" t="s">
        <v>17126</v>
      </c>
      <c r="DY542" t="s">
        <v>26440</v>
      </c>
      <c r="DZ542" t="s">
        <v>21852</v>
      </c>
      <c r="EA542" t="s">
        <v>13772</v>
      </c>
      <c r="EB542" t="s">
        <v>26441</v>
      </c>
    </row>
    <row r="543" spans="1:132" hidden="1">
      <c r="A543">
        <v>2060</v>
      </c>
      <c r="B543">
        <v>1</v>
      </c>
      <c r="C543" t="s">
        <v>4843</v>
      </c>
      <c r="D543" t="s">
        <v>73</v>
      </c>
      <c r="E543" t="s">
        <v>73</v>
      </c>
      <c r="F543" t="s">
        <v>73</v>
      </c>
      <c r="G543" t="s">
        <v>73</v>
      </c>
      <c r="H543">
        <v>44</v>
      </c>
      <c r="I543">
        <v>134</v>
      </c>
      <c r="J543">
        <v>14400</v>
      </c>
      <c r="K543" t="s">
        <v>4844</v>
      </c>
      <c r="L543">
        <f t="shared" si="34"/>
        <v>66</v>
      </c>
      <c r="N543">
        <v>66</v>
      </c>
      <c r="O543">
        <v>66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4</v>
      </c>
      <c r="Z543">
        <v>0</v>
      </c>
      <c r="AA543">
        <v>13</v>
      </c>
      <c r="AB543">
        <v>8</v>
      </c>
      <c r="AC543">
        <v>6</v>
      </c>
      <c r="AD543">
        <v>0</v>
      </c>
      <c r="AE543">
        <v>14</v>
      </c>
      <c r="AF543">
        <v>8</v>
      </c>
      <c r="AG543">
        <v>1</v>
      </c>
      <c r="AH543">
        <v>1</v>
      </c>
      <c r="AI543">
        <v>10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</v>
      </c>
      <c r="AS543">
        <v>0</v>
      </c>
      <c r="AT543">
        <v>13</v>
      </c>
      <c r="AU543">
        <v>8</v>
      </c>
      <c r="AV543">
        <v>6</v>
      </c>
      <c r="AW543">
        <v>0</v>
      </c>
      <c r="AX543">
        <v>14</v>
      </c>
      <c r="AY543">
        <v>8</v>
      </c>
      <c r="AZ543">
        <v>1</v>
      </c>
      <c r="BA543">
        <v>1</v>
      </c>
      <c r="BB543">
        <v>10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4</v>
      </c>
      <c r="BL543" s="2">
        <v>0</v>
      </c>
      <c r="BM543" s="2">
        <v>13</v>
      </c>
      <c r="BN543" s="2">
        <v>8</v>
      </c>
      <c r="BO543" s="2">
        <v>6</v>
      </c>
      <c r="BP543" s="2">
        <v>0</v>
      </c>
      <c r="BQ543" s="2">
        <v>14</v>
      </c>
      <c r="BR543" s="2">
        <v>8</v>
      </c>
      <c r="BS543" s="2">
        <v>1</v>
      </c>
      <c r="BT543" s="2">
        <v>1</v>
      </c>
      <c r="BU543" s="2">
        <v>10</v>
      </c>
      <c r="BV543" s="2">
        <f t="shared" si="37"/>
        <v>66</v>
      </c>
      <c r="BW543" s="16">
        <f t="shared" si="35"/>
        <v>3.4736842105263159</v>
      </c>
      <c r="BX543" s="16">
        <f>COUNTIF($BC$6:BU543, "=0") / COUNTIF($BC$6:BU543, "&gt;-1")</f>
        <v>0.13950303267462336</v>
      </c>
      <c r="BY543" s="18">
        <f>SUM($BC$6:BU543) / $BY$4</f>
        <v>0.86120955289402701</v>
      </c>
      <c r="BZ543" s="14">
        <f t="shared" si="36"/>
        <v>9</v>
      </c>
      <c r="CA543" t="s">
        <v>5831</v>
      </c>
      <c r="CB543" s="36">
        <v>1.2116433958347299</v>
      </c>
      <c r="CC543" s="36">
        <v>0.24076603016936199</v>
      </c>
      <c r="CD543" s="36">
        <v>0.40019941545306398</v>
      </c>
      <c r="CE543" s="36">
        <v>0.37798043978830698</v>
      </c>
      <c r="CF543" s="36">
        <v>0.215044089984223</v>
      </c>
      <c r="CG543" s="36">
        <v>0.23243181165987301</v>
      </c>
      <c r="CH543" s="36">
        <v>0.26351557071616</v>
      </c>
      <c r="CI543" s="36">
        <v>0.24329589949557701</v>
      </c>
      <c r="CJ543" s="37">
        <v>3.17903317297983</v>
      </c>
      <c r="CK543" s="37">
        <v>8.1984454095477108</v>
      </c>
      <c r="CL543" s="37">
        <v>6.4004347861387396</v>
      </c>
      <c r="CM543" s="37">
        <v>5.0792822795996404</v>
      </c>
      <c r="CN543" s="37">
        <v>12.863095921411601</v>
      </c>
      <c r="CO543" s="37">
        <v>6.3135245630809997</v>
      </c>
      <c r="CP543" s="37">
        <v>1.50854004786242</v>
      </c>
      <c r="CQ543" s="37">
        <v>15.2263684647462</v>
      </c>
      <c r="CR543" s="45">
        <v>3.88933576321309</v>
      </c>
      <c r="CS543" s="45">
        <v>18.452433499470299</v>
      </c>
      <c r="CT543" s="46">
        <v>5.5253226278863103E-8</v>
      </c>
      <c r="CU543" s="47">
        <v>4.0178704761477602E-7</v>
      </c>
      <c r="CV543" s="48">
        <v>0.39810958163766202</v>
      </c>
      <c r="CW543" s="49">
        <v>7.3460905806708903</v>
      </c>
      <c r="CX543" s="31" t="s">
        <v>5874</v>
      </c>
      <c r="CY543" s="31" t="s">
        <v>5876</v>
      </c>
      <c r="CZ543" t="s">
        <v>12620</v>
      </c>
      <c r="DA543" t="s">
        <v>5904</v>
      </c>
      <c r="DB543">
        <v>206.1</v>
      </c>
      <c r="DC543" t="s">
        <v>33503</v>
      </c>
      <c r="DD543" t="s">
        <v>33504</v>
      </c>
      <c r="DE543" t="s">
        <v>33505</v>
      </c>
      <c r="DF543" t="s">
        <v>33506</v>
      </c>
      <c r="DG543" t="s">
        <v>13772</v>
      </c>
      <c r="DH543" t="str">
        <f>"SYCN"</f>
        <v>SYCN</v>
      </c>
      <c r="DI543" t="s">
        <v>33507</v>
      </c>
      <c r="DJ543" t="s">
        <v>13777</v>
      </c>
      <c r="DK543">
        <v>9606</v>
      </c>
      <c r="DL543" s="34" t="str">
        <f>HYPERLINK("http://www.uniprot.org/uniprot/Q0VAF6", "Q0VAF6")</f>
        <v>Q0VAF6</v>
      </c>
      <c r="DM543" t="s">
        <v>33508</v>
      </c>
      <c r="DN543" t="s">
        <v>28294</v>
      </c>
      <c r="DO543" t="s">
        <v>14033</v>
      </c>
      <c r="DP543" t="s">
        <v>13793</v>
      </c>
      <c r="DQ543" t="s">
        <v>13772</v>
      </c>
      <c r="DR543" t="s">
        <v>13772</v>
      </c>
      <c r="DS543" t="s">
        <v>13808</v>
      </c>
      <c r="DT543" t="s">
        <v>13772</v>
      </c>
      <c r="DU543" t="s">
        <v>13772</v>
      </c>
      <c r="DV543" t="s">
        <v>14506</v>
      </c>
      <c r="DW543" t="s">
        <v>13772</v>
      </c>
      <c r="DX543" t="s">
        <v>33509</v>
      </c>
      <c r="DY543" t="s">
        <v>33510</v>
      </c>
      <c r="DZ543" t="s">
        <v>13772</v>
      </c>
      <c r="EA543" t="s">
        <v>13772</v>
      </c>
      <c r="EB543" t="s">
        <v>13772</v>
      </c>
    </row>
    <row r="544" spans="1:132" hidden="1">
      <c r="A544">
        <v>2246</v>
      </c>
      <c r="B544">
        <v>1</v>
      </c>
      <c r="C544" t="s">
        <v>5253</v>
      </c>
      <c r="D544" t="s">
        <v>73</v>
      </c>
      <c r="E544" t="s">
        <v>73</v>
      </c>
      <c r="F544" t="s">
        <v>73</v>
      </c>
      <c r="G544" t="s">
        <v>73</v>
      </c>
      <c r="H544">
        <v>40.200000000000003</v>
      </c>
      <c r="I544">
        <v>259</v>
      </c>
      <c r="J544">
        <v>27828</v>
      </c>
      <c r="K544" t="s">
        <v>5254</v>
      </c>
      <c r="L544">
        <f t="shared" si="34"/>
        <v>66</v>
      </c>
      <c r="N544">
        <v>66</v>
      </c>
      <c r="O544">
        <v>66</v>
      </c>
      <c r="P544">
        <v>1</v>
      </c>
      <c r="Q544">
        <v>2</v>
      </c>
      <c r="R544">
        <v>7</v>
      </c>
      <c r="S544">
        <v>7</v>
      </c>
      <c r="T544">
        <v>9</v>
      </c>
      <c r="U544">
        <v>11</v>
      </c>
      <c r="V544">
        <v>7</v>
      </c>
      <c r="W544">
        <v>1</v>
      </c>
      <c r="X544">
        <v>2</v>
      </c>
      <c r="Y544">
        <v>3</v>
      </c>
      <c r="Z544">
        <v>0</v>
      </c>
      <c r="AA544">
        <v>8</v>
      </c>
      <c r="AB544">
        <v>2</v>
      </c>
      <c r="AC544">
        <v>1</v>
      </c>
      <c r="AD544">
        <v>0</v>
      </c>
      <c r="AE544">
        <v>1</v>
      </c>
      <c r="AF544">
        <v>3</v>
      </c>
      <c r="AG544">
        <v>0</v>
      </c>
      <c r="AH544">
        <v>1</v>
      </c>
      <c r="AI544">
        <v>1</v>
      </c>
      <c r="AJ544">
        <v>2</v>
      </c>
      <c r="AK544">
        <v>7</v>
      </c>
      <c r="AL544">
        <v>7</v>
      </c>
      <c r="AM544">
        <v>9</v>
      </c>
      <c r="AN544">
        <v>11</v>
      </c>
      <c r="AO544">
        <v>7</v>
      </c>
      <c r="AP544">
        <v>1</v>
      </c>
      <c r="AQ544">
        <v>2</v>
      </c>
      <c r="AR544">
        <v>3</v>
      </c>
      <c r="AS544">
        <v>0</v>
      </c>
      <c r="AT544">
        <v>8</v>
      </c>
      <c r="AU544">
        <v>2</v>
      </c>
      <c r="AV544">
        <v>1</v>
      </c>
      <c r="AW544">
        <v>0</v>
      </c>
      <c r="AX544">
        <v>1</v>
      </c>
      <c r="AY544">
        <v>3</v>
      </c>
      <c r="AZ544">
        <v>0</v>
      </c>
      <c r="BA544">
        <v>1</v>
      </c>
      <c r="BB544">
        <v>1</v>
      </c>
      <c r="BC544" s="2">
        <v>2</v>
      </c>
      <c r="BD544" s="2">
        <v>7</v>
      </c>
      <c r="BE544" s="2">
        <v>7</v>
      </c>
      <c r="BF544" s="2">
        <v>9</v>
      </c>
      <c r="BG544" s="2">
        <v>11</v>
      </c>
      <c r="BH544" s="2">
        <v>7</v>
      </c>
      <c r="BI544" s="2">
        <v>1</v>
      </c>
      <c r="BJ544" s="2">
        <v>2</v>
      </c>
      <c r="BK544" s="2">
        <v>3</v>
      </c>
      <c r="BL544" s="2">
        <v>0</v>
      </c>
      <c r="BM544" s="2">
        <v>8</v>
      </c>
      <c r="BN544" s="2">
        <v>2</v>
      </c>
      <c r="BO544" s="2">
        <v>1</v>
      </c>
      <c r="BP544" s="2">
        <v>0</v>
      </c>
      <c r="BQ544" s="2">
        <v>1</v>
      </c>
      <c r="BR544" s="2">
        <v>3</v>
      </c>
      <c r="BS544" s="2">
        <v>0</v>
      </c>
      <c r="BT544" s="2">
        <v>1</v>
      </c>
      <c r="BU544" s="2">
        <v>1</v>
      </c>
      <c r="BV544" s="2">
        <f t="shared" si="37"/>
        <v>66</v>
      </c>
      <c r="BW544" s="16">
        <f t="shared" si="35"/>
        <v>3.4736842105263159</v>
      </c>
      <c r="BX544" s="16">
        <f>COUNTIF($BC$6:BU544, "=0") / COUNTIF($BC$6:BU544, "&gt;-1")</f>
        <v>0.13953715457474855</v>
      </c>
      <c r="BY544" s="18">
        <f>SUM($BC$6:BU544) / $BY$4</f>
        <v>0.86149227292736119</v>
      </c>
      <c r="BZ544" s="14">
        <f t="shared" si="36"/>
        <v>3</v>
      </c>
      <c r="CA544" t="s">
        <v>5831</v>
      </c>
      <c r="CB544" s="36">
        <v>2.4232867916694598</v>
      </c>
      <c r="CC544" s="36">
        <v>6.7414488447421297</v>
      </c>
      <c r="CD544" s="36">
        <v>11.2055836326858</v>
      </c>
      <c r="CE544" s="36">
        <v>13.6072958323791</v>
      </c>
      <c r="CF544" s="36">
        <v>9.4619399593058091</v>
      </c>
      <c r="CG544" s="36">
        <v>6.50809072647644</v>
      </c>
      <c r="CH544" s="36">
        <v>1.05406228286464</v>
      </c>
      <c r="CI544" s="36">
        <v>1.9463671959646101</v>
      </c>
      <c r="CJ544" s="37">
        <v>2.3842748797348698</v>
      </c>
      <c r="CK544" s="37">
        <v>5.0451971751062796</v>
      </c>
      <c r="CL544" s="37">
        <v>1.60010869653469</v>
      </c>
      <c r="CM544" s="37">
        <v>0.84654704659994096</v>
      </c>
      <c r="CN544" s="37">
        <v>0.91879256581511404</v>
      </c>
      <c r="CO544" s="37">
        <v>2.36757171115537</v>
      </c>
      <c r="CP544" s="37">
        <v>0.377135011965606</v>
      </c>
      <c r="CQ544" s="37">
        <v>1.5226368464746201</v>
      </c>
      <c r="CR544" s="45">
        <v>-1.61150835525058</v>
      </c>
      <c r="CS544" s="45">
        <v>-3.51528000705957</v>
      </c>
      <c r="CT544" s="46">
        <v>3.5881688152013002E-3</v>
      </c>
      <c r="CU544" s="47">
        <v>7.1870806508074004E-3</v>
      </c>
      <c r="CV544" s="48">
        <v>6.6185094082609996</v>
      </c>
      <c r="CW544" s="49">
        <v>1.8827829916733101</v>
      </c>
      <c r="CX544" s="31" t="s">
        <v>5875</v>
      </c>
      <c r="CY544" s="31" t="s">
        <v>5876</v>
      </c>
      <c r="CZ544" t="s">
        <v>13231</v>
      </c>
      <c r="DA544" t="s">
        <v>5904</v>
      </c>
      <c r="DB544">
        <v>336.6</v>
      </c>
      <c r="DC544" t="s">
        <v>35210</v>
      </c>
      <c r="DD544" t="s">
        <v>35211</v>
      </c>
      <c r="DE544" t="s">
        <v>35212</v>
      </c>
      <c r="DF544" t="s">
        <v>35213</v>
      </c>
      <c r="DG544" t="s">
        <v>35214</v>
      </c>
      <c r="DH544" t="str">
        <f>"PRNP"</f>
        <v>PRNP</v>
      </c>
      <c r="DI544" t="s">
        <v>35215</v>
      </c>
      <c r="DJ544" t="s">
        <v>13777</v>
      </c>
      <c r="DK544">
        <v>9606</v>
      </c>
      <c r="DL544" s="34" t="str">
        <f>HYPERLINK("http://www.uniprot.org/uniprot/P04156", "P04156")</f>
        <v>P04156</v>
      </c>
      <c r="DM544" t="s">
        <v>35216</v>
      </c>
      <c r="DN544" t="s">
        <v>32853</v>
      </c>
      <c r="DO544" t="s">
        <v>35217</v>
      </c>
      <c r="DP544" t="s">
        <v>29290</v>
      </c>
      <c r="DQ544" t="s">
        <v>13772</v>
      </c>
      <c r="DR544" t="s">
        <v>16144</v>
      </c>
      <c r="DS544" t="s">
        <v>14404</v>
      </c>
      <c r="DT544" t="s">
        <v>20010</v>
      </c>
      <c r="DU544" t="s">
        <v>35218</v>
      </c>
      <c r="DV544" t="s">
        <v>15699</v>
      </c>
      <c r="DW544" t="s">
        <v>13812</v>
      </c>
      <c r="DX544" t="s">
        <v>35219</v>
      </c>
      <c r="DY544" t="s">
        <v>35220</v>
      </c>
      <c r="DZ544" t="s">
        <v>35221</v>
      </c>
      <c r="EA544" t="s">
        <v>13772</v>
      </c>
      <c r="EB544" t="s">
        <v>35222</v>
      </c>
    </row>
    <row r="545" spans="1:132" hidden="1">
      <c r="A545">
        <v>234</v>
      </c>
      <c r="B545">
        <v>1</v>
      </c>
      <c r="C545" t="s">
        <v>593</v>
      </c>
      <c r="D545" t="s">
        <v>594</v>
      </c>
      <c r="E545" t="s">
        <v>73</v>
      </c>
      <c r="F545" t="s">
        <v>595</v>
      </c>
      <c r="G545" t="s">
        <v>73</v>
      </c>
      <c r="H545">
        <v>68.099999999999994</v>
      </c>
      <c r="I545">
        <v>166</v>
      </c>
      <c r="J545">
        <v>18736</v>
      </c>
      <c r="K545" t="s">
        <v>596</v>
      </c>
      <c r="L545">
        <f t="shared" si="34"/>
        <v>77</v>
      </c>
      <c r="N545">
        <v>77</v>
      </c>
      <c r="O545">
        <v>61</v>
      </c>
      <c r="P545">
        <v>0.79200000000000004</v>
      </c>
      <c r="Q545">
        <v>0</v>
      </c>
      <c r="R545">
        <v>3</v>
      </c>
      <c r="S545">
        <v>0</v>
      </c>
      <c r="T545">
        <v>0</v>
      </c>
      <c r="U545">
        <v>2</v>
      </c>
      <c r="V545">
        <v>2</v>
      </c>
      <c r="W545">
        <v>0</v>
      </c>
      <c r="X545">
        <v>1</v>
      </c>
      <c r="Y545">
        <v>12</v>
      </c>
      <c r="Z545">
        <v>1</v>
      </c>
      <c r="AA545">
        <v>6</v>
      </c>
      <c r="AB545">
        <v>4</v>
      </c>
      <c r="AC545">
        <v>9</v>
      </c>
      <c r="AD545">
        <v>2</v>
      </c>
      <c r="AE545">
        <v>23</v>
      </c>
      <c r="AF545">
        <v>10</v>
      </c>
      <c r="AG545">
        <v>0</v>
      </c>
      <c r="AH545">
        <v>0</v>
      </c>
      <c r="AI545">
        <v>2</v>
      </c>
      <c r="AJ545">
        <v>0</v>
      </c>
      <c r="AK545">
        <v>2</v>
      </c>
      <c r="AL545">
        <v>0</v>
      </c>
      <c r="AM545">
        <v>0</v>
      </c>
      <c r="AN545">
        <v>1</v>
      </c>
      <c r="AO545">
        <v>2</v>
      </c>
      <c r="AP545">
        <v>0</v>
      </c>
      <c r="AQ545">
        <v>0</v>
      </c>
      <c r="AR545">
        <v>7</v>
      </c>
      <c r="AS545">
        <v>1</v>
      </c>
      <c r="AT545">
        <v>5</v>
      </c>
      <c r="AU545">
        <v>2</v>
      </c>
      <c r="AV545">
        <v>8</v>
      </c>
      <c r="AW545">
        <v>2</v>
      </c>
      <c r="AX545">
        <v>21</v>
      </c>
      <c r="AY545">
        <v>9</v>
      </c>
      <c r="AZ545">
        <v>0</v>
      </c>
      <c r="BA545">
        <v>0</v>
      </c>
      <c r="BB545">
        <v>1</v>
      </c>
      <c r="BC545" s="2">
        <v>0</v>
      </c>
      <c r="BD545" s="2">
        <v>2.25</v>
      </c>
      <c r="BE545" s="2">
        <v>0</v>
      </c>
      <c r="BF545" s="2">
        <v>0</v>
      </c>
      <c r="BG545" s="2">
        <v>1.167</v>
      </c>
      <c r="BH545" s="2">
        <v>2</v>
      </c>
      <c r="BI545" s="2">
        <v>0</v>
      </c>
      <c r="BJ545" s="2">
        <v>0</v>
      </c>
      <c r="BK545" s="2">
        <v>8.0980000000000008</v>
      </c>
      <c r="BL545" s="2">
        <v>1</v>
      </c>
      <c r="BM545" s="2">
        <v>5.3120000000000003</v>
      </c>
      <c r="BN545" s="2">
        <v>2.3330000000000002</v>
      </c>
      <c r="BO545" s="2">
        <v>8.5</v>
      </c>
      <c r="BP545" s="2">
        <v>2</v>
      </c>
      <c r="BQ545" s="2">
        <v>22.355</v>
      </c>
      <c r="BR545" s="2">
        <v>9.4499999999999993</v>
      </c>
      <c r="BS545" s="2">
        <v>0</v>
      </c>
      <c r="BT545" s="2">
        <v>0</v>
      </c>
      <c r="BU545" s="2">
        <v>1.5</v>
      </c>
      <c r="BV545" s="2">
        <f t="shared" si="37"/>
        <v>65.965000000000003</v>
      </c>
      <c r="BW545" s="16">
        <f t="shared" si="35"/>
        <v>3.4718421052631583</v>
      </c>
      <c r="BX545" s="16">
        <f>COUNTIF($BC$6:BU545, "=0") / COUNTIF($BC$6:BU545, "&gt;-1")</f>
        <v>0.13996101364522417</v>
      </c>
      <c r="BY545" s="18">
        <f>SUM($BC$6:BU545) / $BY$4</f>
        <v>0.86177484303340524</v>
      </c>
      <c r="BZ545" s="14">
        <f t="shared" si="36"/>
        <v>7</v>
      </c>
      <c r="CA545" t="s">
        <v>5831</v>
      </c>
      <c r="CB545" s="36">
        <v>0.30291084895868198</v>
      </c>
      <c r="CC545" s="36">
        <v>2.2150474775581301</v>
      </c>
      <c r="CD545" s="36">
        <v>0.40019941545306398</v>
      </c>
      <c r="CE545" s="36">
        <v>0.37798043978830698</v>
      </c>
      <c r="CF545" s="36">
        <v>1.03221163192427</v>
      </c>
      <c r="CG545" s="36">
        <v>1.85945449327898</v>
      </c>
      <c r="CH545" s="36">
        <v>0.26351557071616</v>
      </c>
      <c r="CI545" s="36">
        <v>0.24329589949557701</v>
      </c>
      <c r="CJ545" s="37">
        <v>6.4375421752841504</v>
      </c>
      <c r="CK545" s="37">
        <v>3.3424431285079099</v>
      </c>
      <c r="CL545" s="37">
        <v>1.84012500101489</v>
      </c>
      <c r="CM545" s="37">
        <v>7.1956498960994999</v>
      </c>
      <c r="CN545" s="37">
        <v>20.5809534742586</v>
      </c>
      <c r="CO545" s="37">
        <v>7.4973104186586896</v>
      </c>
      <c r="CP545" s="37">
        <v>0.377135011965606</v>
      </c>
      <c r="CQ545" s="37">
        <v>2.2839552697119201</v>
      </c>
      <c r="CR545" s="45">
        <v>2.6641927278783899</v>
      </c>
      <c r="CS545" s="45">
        <v>7.4022342767557703</v>
      </c>
      <c r="CT545" s="46">
        <v>2.0739560240842E-4</v>
      </c>
      <c r="CU545" s="47">
        <v>5.3987415568573099E-4</v>
      </c>
      <c r="CV545" s="48">
        <v>0.83682697214664603</v>
      </c>
      <c r="CW545" s="49">
        <v>6.1943892969376497</v>
      </c>
      <c r="CX545" s="31" t="s">
        <v>5874</v>
      </c>
      <c r="CY545" s="31" t="s">
        <v>5876</v>
      </c>
      <c r="CZ545" t="s">
        <v>6507</v>
      </c>
      <c r="DA545" t="s">
        <v>5904</v>
      </c>
      <c r="DB545">
        <v>337</v>
      </c>
      <c r="DC545" t="s">
        <v>15837</v>
      </c>
      <c r="DD545" t="s">
        <v>15838</v>
      </c>
      <c r="DE545" t="s">
        <v>15839</v>
      </c>
      <c r="DF545" t="s">
        <v>15840</v>
      </c>
      <c r="DG545" t="s">
        <v>15841</v>
      </c>
      <c r="DH545" t="str">
        <f>"CFL2"</f>
        <v>CFL2</v>
      </c>
      <c r="DI545" t="s">
        <v>13772</v>
      </c>
      <c r="DJ545" t="s">
        <v>13777</v>
      </c>
      <c r="DK545">
        <v>9606</v>
      </c>
      <c r="DL545" s="34" t="str">
        <f>HYPERLINK("http://www.uniprot.org/uniprot/Q9Y281", "Q9Y281")</f>
        <v>Q9Y281</v>
      </c>
      <c r="DM545" t="s">
        <v>15842</v>
      </c>
      <c r="DN545" t="s">
        <v>13772</v>
      </c>
      <c r="DO545" t="s">
        <v>15843</v>
      </c>
      <c r="DP545" t="s">
        <v>13780</v>
      </c>
      <c r="DQ545" t="s">
        <v>13772</v>
      </c>
      <c r="DR545" t="s">
        <v>15844</v>
      </c>
      <c r="DS545" t="s">
        <v>13772</v>
      </c>
      <c r="DT545" t="s">
        <v>13772</v>
      </c>
      <c r="DU545" t="s">
        <v>13990</v>
      </c>
      <c r="DV545" t="s">
        <v>13886</v>
      </c>
      <c r="DW545" t="s">
        <v>13772</v>
      </c>
      <c r="DX545" t="s">
        <v>15845</v>
      </c>
      <c r="DY545" t="s">
        <v>15846</v>
      </c>
      <c r="DZ545" t="s">
        <v>15847</v>
      </c>
      <c r="EA545" t="s">
        <v>13772</v>
      </c>
      <c r="EB545" t="s">
        <v>13772</v>
      </c>
    </row>
    <row r="546" spans="1:132" hidden="1">
      <c r="A546">
        <v>1057</v>
      </c>
      <c r="B546">
        <v>1</v>
      </c>
      <c r="C546" t="s">
        <v>2539</v>
      </c>
      <c r="D546" t="s">
        <v>73</v>
      </c>
      <c r="E546" t="s">
        <v>73</v>
      </c>
      <c r="F546" t="s">
        <v>2299</v>
      </c>
      <c r="G546" t="s">
        <v>73</v>
      </c>
      <c r="H546">
        <v>63.2</v>
      </c>
      <c r="I546">
        <v>310</v>
      </c>
      <c r="J546">
        <v>32704</v>
      </c>
      <c r="K546" t="s">
        <v>2540</v>
      </c>
      <c r="L546">
        <f t="shared" si="34"/>
        <v>66</v>
      </c>
      <c r="N546">
        <v>66</v>
      </c>
      <c r="O546">
        <v>60</v>
      </c>
      <c r="P546">
        <v>0.90900000000000003</v>
      </c>
      <c r="Q546">
        <v>1</v>
      </c>
      <c r="R546">
        <v>1</v>
      </c>
      <c r="S546">
        <v>5</v>
      </c>
      <c r="T546">
        <v>0</v>
      </c>
      <c r="U546">
        <v>4</v>
      </c>
      <c r="V546">
        <v>0</v>
      </c>
      <c r="W546">
        <v>4</v>
      </c>
      <c r="X546">
        <v>6</v>
      </c>
      <c r="Y546">
        <v>7</v>
      </c>
      <c r="Z546">
        <v>0</v>
      </c>
      <c r="AA546">
        <v>8</v>
      </c>
      <c r="AB546">
        <v>3</v>
      </c>
      <c r="AC546">
        <v>5</v>
      </c>
      <c r="AD546">
        <v>0</v>
      </c>
      <c r="AE546">
        <v>14</v>
      </c>
      <c r="AF546">
        <v>6</v>
      </c>
      <c r="AG546">
        <v>0</v>
      </c>
      <c r="AH546">
        <v>0</v>
      </c>
      <c r="AI546">
        <v>2</v>
      </c>
      <c r="AJ546">
        <v>1</v>
      </c>
      <c r="AK546">
        <v>1</v>
      </c>
      <c r="AL546">
        <v>5</v>
      </c>
      <c r="AM546">
        <v>0</v>
      </c>
      <c r="AN546">
        <v>4</v>
      </c>
      <c r="AO546">
        <v>0</v>
      </c>
      <c r="AP546">
        <v>4</v>
      </c>
      <c r="AQ546">
        <v>6</v>
      </c>
      <c r="AR546">
        <v>7</v>
      </c>
      <c r="AS546">
        <v>0</v>
      </c>
      <c r="AT546">
        <v>7</v>
      </c>
      <c r="AU546">
        <v>3</v>
      </c>
      <c r="AV546">
        <v>3</v>
      </c>
      <c r="AW546">
        <v>0</v>
      </c>
      <c r="AX546">
        <v>12</v>
      </c>
      <c r="AY546">
        <v>5</v>
      </c>
      <c r="AZ546">
        <v>0</v>
      </c>
      <c r="BA546">
        <v>0</v>
      </c>
      <c r="BB546">
        <v>2</v>
      </c>
      <c r="BC546" s="2">
        <v>1</v>
      </c>
      <c r="BD546" s="2">
        <v>1</v>
      </c>
      <c r="BE546" s="2">
        <v>5</v>
      </c>
      <c r="BF546" s="2">
        <v>0</v>
      </c>
      <c r="BG546" s="2">
        <v>4</v>
      </c>
      <c r="BH546" s="2">
        <v>0</v>
      </c>
      <c r="BI546" s="2">
        <v>4</v>
      </c>
      <c r="BJ546" s="2">
        <v>6</v>
      </c>
      <c r="BK546" s="2">
        <v>7</v>
      </c>
      <c r="BL546" s="2">
        <v>0</v>
      </c>
      <c r="BM546" s="2">
        <v>8</v>
      </c>
      <c r="BN546" s="2">
        <v>3</v>
      </c>
      <c r="BO546" s="2">
        <v>5</v>
      </c>
      <c r="BP546" s="2">
        <v>0</v>
      </c>
      <c r="BQ546" s="2">
        <v>13.856999999999999</v>
      </c>
      <c r="BR546" s="2">
        <v>5.8330000000000002</v>
      </c>
      <c r="BS546" s="2">
        <v>0</v>
      </c>
      <c r="BT546" s="2">
        <v>0</v>
      </c>
      <c r="BU546" s="2">
        <v>2</v>
      </c>
      <c r="BV546" s="2">
        <f t="shared" si="37"/>
        <v>65.69</v>
      </c>
      <c r="BW546" s="16">
        <f t="shared" si="35"/>
        <v>3.4573684210526316</v>
      </c>
      <c r="BX546" s="16">
        <f>COUNTIF($BC$6:BU546, "=0") / COUNTIF($BC$6:BU546, "&gt;-1")</f>
        <v>0.14028602004085999</v>
      </c>
      <c r="BY546" s="18">
        <f>SUM($BC$6:BU546) / $BY$4</f>
        <v>0.86205623513931018</v>
      </c>
      <c r="BZ546" s="14">
        <f t="shared" si="36"/>
        <v>6</v>
      </c>
      <c r="CA546" t="s">
        <v>5831</v>
      </c>
      <c r="CB546" s="36">
        <v>1.2116433958347299</v>
      </c>
      <c r="CC546" s="36">
        <v>0.96306412067744696</v>
      </c>
      <c r="CD546" s="36">
        <v>8.00398830906129</v>
      </c>
      <c r="CE546" s="36">
        <v>0.37798043978830698</v>
      </c>
      <c r="CF546" s="36">
        <v>3.4407054397475698</v>
      </c>
      <c r="CG546" s="36">
        <v>0.23243181165987301</v>
      </c>
      <c r="CH546" s="36">
        <v>4.21624913145856</v>
      </c>
      <c r="CI546" s="36">
        <v>5.8391015878938397</v>
      </c>
      <c r="CJ546" s="37">
        <v>5.5633080527147003</v>
      </c>
      <c r="CK546" s="37">
        <v>5.0451971751062796</v>
      </c>
      <c r="CL546" s="37">
        <v>2.4001630448020301</v>
      </c>
      <c r="CM546" s="37">
        <v>4.2327352329997003</v>
      </c>
      <c r="CN546" s="37">
        <v>12.771216664830099</v>
      </c>
      <c r="CO546" s="37">
        <v>4.5773053082337203</v>
      </c>
      <c r="CP546" s="37">
        <v>0.377135011965606</v>
      </c>
      <c r="CQ546" s="37">
        <v>3.0452736929492299</v>
      </c>
      <c r="CR546" s="45">
        <v>0.69199659325487906</v>
      </c>
      <c r="CS546" s="45">
        <v>1.56524921198853</v>
      </c>
      <c r="CT546" s="46">
        <v>0.299913850666786</v>
      </c>
      <c r="CU546" s="47">
        <v>0.37785756326945402</v>
      </c>
      <c r="CV546" s="48">
        <v>3.0356455295151998</v>
      </c>
      <c r="CW546" s="49">
        <v>4.7515417729501701</v>
      </c>
      <c r="CX546" s="31" t="s">
        <v>5874</v>
      </c>
      <c r="CY546" s="31" t="s">
        <v>5832</v>
      </c>
      <c r="CZ546" t="s">
        <v>9247</v>
      </c>
      <c r="DA546" t="s">
        <v>5904</v>
      </c>
      <c r="DB546">
        <v>317.39999999999998</v>
      </c>
      <c r="DC546" t="s">
        <v>24002</v>
      </c>
      <c r="DD546" t="s">
        <v>24003</v>
      </c>
      <c r="DE546" t="s">
        <v>24004</v>
      </c>
      <c r="DF546" t="s">
        <v>24005</v>
      </c>
      <c r="DG546" t="s">
        <v>24006</v>
      </c>
      <c r="DH546" t="str">
        <f>"YBX3"</f>
        <v>YBX3</v>
      </c>
      <c r="DI546" t="s">
        <v>24007</v>
      </c>
      <c r="DJ546" t="s">
        <v>13777</v>
      </c>
      <c r="DK546">
        <v>9606</v>
      </c>
      <c r="DL546" s="34" t="str">
        <f>HYPERLINK("http://www.uniprot.org/uniprot/P16989", "P16989")</f>
        <v>P16989</v>
      </c>
      <c r="DM546" t="s">
        <v>24008</v>
      </c>
      <c r="DN546" t="s">
        <v>14445</v>
      </c>
      <c r="DO546" t="s">
        <v>13912</v>
      </c>
      <c r="DP546" t="s">
        <v>13780</v>
      </c>
      <c r="DQ546" t="s">
        <v>13772</v>
      </c>
      <c r="DR546" t="s">
        <v>13772</v>
      </c>
      <c r="DS546" t="s">
        <v>13772</v>
      </c>
      <c r="DT546" t="s">
        <v>13772</v>
      </c>
      <c r="DU546" t="s">
        <v>22954</v>
      </c>
      <c r="DV546" t="s">
        <v>14098</v>
      </c>
      <c r="DW546" t="s">
        <v>13772</v>
      </c>
      <c r="DX546" t="s">
        <v>24009</v>
      </c>
      <c r="DY546" t="s">
        <v>24010</v>
      </c>
      <c r="DZ546" t="s">
        <v>24011</v>
      </c>
      <c r="EA546" t="s">
        <v>13772</v>
      </c>
      <c r="EB546" t="s">
        <v>13772</v>
      </c>
    </row>
    <row r="547" spans="1:132" hidden="1">
      <c r="A547">
        <v>1428</v>
      </c>
      <c r="B547">
        <v>1</v>
      </c>
      <c r="C547" t="s">
        <v>3404</v>
      </c>
      <c r="D547" t="s">
        <v>73</v>
      </c>
      <c r="E547" t="s">
        <v>73</v>
      </c>
      <c r="F547" t="s">
        <v>73</v>
      </c>
      <c r="G547" t="s">
        <v>73</v>
      </c>
      <c r="H547">
        <v>61.6</v>
      </c>
      <c r="I547">
        <v>268</v>
      </c>
      <c r="J547">
        <v>29201</v>
      </c>
      <c r="K547" t="s">
        <v>3405</v>
      </c>
      <c r="L547">
        <f t="shared" si="34"/>
        <v>65</v>
      </c>
      <c r="N547">
        <v>65</v>
      </c>
      <c r="O547">
        <v>65</v>
      </c>
      <c r="P547">
        <v>1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2</v>
      </c>
      <c r="Z547">
        <v>7</v>
      </c>
      <c r="AA547">
        <v>4</v>
      </c>
      <c r="AB547">
        <v>5</v>
      </c>
      <c r="AC547">
        <v>0</v>
      </c>
      <c r="AD547">
        <v>0</v>
      </c>
      <c r="AE547">
        <v>15</v>
      </c>
      <c r="AF547">
        <v>4</v>
      </c>
      <c r="AG547">
        <v>21</v>
      </c>
      <c r="AH547">
        <v>0</v>
      </c>
      <c r="AI547">
        <v>3</v>
      </c>
      <c r="AJ547">
        <v>0</v>
      </c>
      <c r="AK547">
        <v>3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2</v>
      </c>
      <c r="AS547">
        <v>7</v>
      </c>
      <c r="AT547">
        <v>4</v>
      </c>
      <c r="AU547">
        <v>5</v>
      </c>
      <c r="AV547">
        <v>0</v>
      </c>
      <c r="AW547">
        <v>0</v>
      </c>
      <c r="AX547">
        <v>15</v>
      </c>
      <c r="AY547">
        <v>4</v>
      </c>
      <c r="AZ547">
        <v>21</v>
      </c>
      <c r="BA547">
        <v>0</v>
      </c>
      <c r="BB547">
        <v>3</v>
      </c>
      <c r="BC547" s="2">
        <v>0</v>
      </c>
      <c r="BD547" s="2">
        <v>3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2</v>
      </c>
      <c r="BL547" s="2">
        <v>7</v>
      </c>
      <c r="BM547" s="2">
        <v>4</v>
      </c>
      <c r="BN547" s="2">
        <v>5</v>
      </c>
      <c r="BO547" s="2">
        <v>0</v>
      </c>
      <c r="BP547" s="2">
        <v>0</v>
      </c>
      <c r="BQ547" s="2">
        <v>15</v>
      </c>
      <c r="BR547" s="2">
        <v>4</v>
      </c>
      <c r="BS547" s="2">
        <v>21</v>
      </c>
      <c r="BT547" s="2">
        <v>0</v>
      </c>
      <c r="BU547" s="2">
        <v>3</v>
      </c>
      <c r="BV547" s="2">
        <f t="shared" si="37"/>
        <v>65</v>
      </c>
      <c r="BW547" s="16">
        <f t="shared" si="35"/>
        <v>3.4210526315789473</v>
      </c>
      <c r="BX547" s="16">
        <f>COUNTIF($BC$6:BU547, "=0") / COUNTIF($BC$6:BU547, "&gt;-1")</f>
        <v>0.14090114585356381</v>
      </c>
      <c r="BY547" s="18">
        <f>SUM($BC$6:BU547) / $BY$4</f>
        <v>0.8623346715357757</v>
      </c>
      <c r="BZ547" s="14">
        <f t="shared" si="36"/>
        <v>9</v>
      </c>
      <c r="CA547" t="s">
        <v>5831</v>
      </c>
      <c r="CB547" s="36">
        <v>0.30291084895868198</v>
      </c>
      <c r="CC547" s="36">
        <v>2.8891923620323401</v>
      </c>
      <c r="CD547" s="36">
        <v>0.40019941545306398</v>
      </c>
      <c r="CE547" s="36">
        <v>0.37798043978830698</v>
      </c>
      <c r="CF547" s="36">
        <v>0.215044089984223</v>
      </c>
      <c r="CG547" s="36">
        <v>0.23243181165987301</v>
      </c>
      <c r="CH547" s="36">
        <v>0.26351557071616</v>
      </c>
      <c r="CI547" s="36">
        <v>0.97318359798230603</v>
      </c>
      <c r="CJ547" s="37">
        <v>1.5895165864899099</v>
      </c>
      <c r="CK547" s="37">
        <v>2.5225985875531398</v>
      </c>
      <c r="CL547" s="37">
        <v>4.0002717413367099</v>
      </c>
      <c r="CM547" s="37">
        <v>0.21163676164998499</v>
      </c>
      <c r="CN547" s="37">
        <v>13.7818884872267</v>
      </c>
      <c r="CO547" s="37">
        <v>3.1567622815404999</v>
      </c>
      <c r="CP547" s="37">
        <v>31.679341005110899</v>
      </c>
      <c r="CQ547" s="37">
        <v>4.5679105394238499</v>
      </c>
      <c r="CR547" s="45">
        <v>3.1398313751945799</v>
      </c>
      <c r="CS547" s="45">
        <v>10.878129168994001</v>
      </c>
      <c r="CT547" s="46">
        <v>3.2298109393399499E-4</v>
      </c>
      <c r="CU547" s="47">
        <v>8.1537491261072603E-4</v>
      </c>
      <c r="CV547" s="48">
        <v>0.70680726707187003</v>
      </c>
      <c r="CW547" s="49">
        <v>7.6887407487914601</v>
      </c>
      <c r="CX547" s="31" t="s">
        <v>5874</v>
      </c>
      <c r="CY547" s="31" t="s">
        <v>5876</v>
      </c>
      <c r="CZ547" t="s">
        <v>10494</v>
      </c>
      <c r="DA547" t="s">
        <v>5904</v>
      </c>
      <c r="DB547">
        <v>468</v>
      </c>
      <c r="DC547" t="s">
        <v>27522</v>
      </c>
      <c r="DD547" t="s">
        <v>27523</v>
      </c>
      <c r="DE547" t="s">
        <v>27524</v>
      </c>
      <c r="DF547" t="s">
        <v>27525</v>
      </c>
      <c r="DG547" t="s">
        <v>27526</v>
      </c>
      <c r="DH547" t="str">
        <f>"CTRC"</f>
        <v>CTRC</v>
      </c>
      <c r="DI547" t="s">
        <v>27527</v>
      </c>
      <c r="DJ547" t="s">
        <v>13777</v>
      </c>
      <c r="DK547">
        <v>9606</v>
      </c>
      <c r="DL547" s="34" t="str">
        <f>HYPERLINK("http://www.uniprot.org/uniprot/Q99895", "Q99895")</f>
        <v>Q99895</v>
      </c>
      <c r="DM547" t="s">
        <v>27528</v>
      </c>
      <c r="DN547" t="s">
        <v>13772</v>
      </c>
      <c r="DO547" t="s">
        <v>13772</v>
      </c>
      <c r="DP547" t="s">
        <v>13793</v>
      </c>
      <c r="DQ547" t="s">
        <v>13772</v>
      </c>
      <c r="DR547" t="s">
        <v>13807</v>
      </c>
      <c r="DS547" t="s">
        <v>13808</v>
      </c>
      <c r="DT547" t="s">
        <v>13772</v>
      </c>
      <c r="DU547" t="s">
        <v>15176</v>
      </c>
      <c r="DV547" t="s">
        <v>15472</v>
      </c>
      <c r="DW547" t="s">
        <v>13812</v>
      </c>
      <c r="DX547" t="s">
        <v>27529</v>
      </c>
      <c r="DY547" t="s">
        <v>15346</v>
      </c>
      <c r="DZ547" t="s">
        <v>27530</v>
      </c>
      <c r="EA547" t="s">
        <v>13772</v>
      </c>
      <c r="EB547" t="s">
        <v>27531</v>
      </c>
    </row>
    <row r="548" spans="1:132" hidden="1">
      <c r="A548">
        <v>1960</v>
      </c>
      <c r="B548">
        <v>1</v>
      </c>
      <c r="C548" t="s">
        <v>4621</v>
      </c>
      <c r="D548" t="s">
        <v>4622</v>
      </c>
      <c r="E548" t="s">
        <v>73</v>
      </c>
      <c r="F548" t="s">
        <v>73</v>
      </c>
      <c r="G548" t="s">
        <v>73</v>
      </c>
      <c r="H548">
        <v>28.5</v>
      </c>
      <c r="I548">
        <v>326</v>
      </c>
      <c r="J548">
        <v>34745</v>
      </c>
      <c r="K548" t="s">
        <v>4623</v>
      </c>
      <c r="L548">
        <f t="shared" si="34"/>
        <v>65</v>
      </c>
      <c r="N548">
        <v>65</v>
      </c>
      <c r="O548">
        <v>65</v>
      </c>
      <c r="P548">
        <v>1</v>
      </c>
      <c r="Q548">
        <v>2</v>
      </c>
      <c r="R548">
        <v>3</v>
      </c>
      <c r="S548">
        <v>5</v>
      </c>
      <c r="T548">
        <v>3</v>
      </c>
      <c r="U548">
        <v>1</v>
      </c>
      <c r="V548">
        <v>1</v>
      </c>
      <c r="W548">
        <v>0</v>
      </c>
      <c r="X548">
        <v>0</v>
      </c>
      <c r="Y548">
        <v>7</v>
      </c>
      <c r="Z548">
        <v>1</v>
      </c>
      <c r="AA548">
        <v>9</v>
      </c>
      <c r="AB548">
        <v>9</v>
      </c>
      <c r="AC548">
        <v>4</v>
      </c>
      <c r="AD548">
        <v>0</v>
      </c>
      <c r="AE548">
        <v>7</v>
      </c>
      <c r="AF548">
        <v>8</v>
      </c>
      <c r="AG548">
        <v>1</v>
      </c>
      <c r="AH548">
        <v>1</v>
      </c>
      <c r="AI548">
        <v>3</v>
      </c>
      <c r="AJ548">
        <v>2</v>
      </c>
      <c r="AK548">
        <v>3</v>
      </c>
      <c r="AL548">
        <v>5</v>
      </c>
      <c r="AM548">
        <v>3</v>
      </c>
      <c r="AN548">
        <v>1</v>
      </c>
      <c r="AO548">
        <v>1</v>
      </c>
      <c r="AP548">
        <v>0</v>
      </c>
      <c r="AQ548">
        <v>0</v>
      </c>
      <c r="AR548">
        <v>7</v>
      </c>
      <c r="AS548">
        <v>1</v>
      </c>
      <c r="AT548">
        <v>9</v>
      </c>
      <c r="AU548">
        <v>9</v>
      </c>
      <c r="AV548">
        <v>4</v>
      </c>
      <c r="AW548">
        <v>0</v>
      </c>
      <c r="AX548">
        <v>7</v>
      </c>
      <c r="AY548">
        <v>8</v>
      </c>
      <c r="AZ548">
        <v>1</v>
      </c>
      <c r="BA548">
        <v>1</v>
      </c>
      <c r="BB548">
        <v>3</v>
      </c>
      <c r="BC548" s="2">
        <v>2</v>
      </c>
      <c r="BD548" s="2">
        <v>3</v>
      </c>
      <c r="BE548" s="2">
        <v>5</v>
      </c>
      <c r="BF548" s="2">
        <v>3</v>
      </c>
      <c r="BG548" s="2">
        <v>1</v>
      </c>
      <c r="BH548" s="2">
        <v>1</v>
      </c>
      <c r="BI548" s="2">
        <v>0</v>
      </c>
      <c r="BJ548" s="2">
        <v>0</v>
      </c>
      <c r="BK548" s="2">
        <v>7</v>
      </c>
      <c r="BL548" s="2">
        <v>1</v>
      </c>
      <c r="BM548" s="2">
        <v>9</v>
      </c>
      <c r="BN548" s="2">
        <v>9</v>
      </c>
      <c r="BO548" s="2">
        <v>4</v>
      </c>
      <c r="BP548" s="2">
        <v>0</v>
      </c>
      <c r="BQ548" s="2">
        <v>7</v>
      </c>
      <c r="BR548" s="2">
        <v>8</v>
      </c>
      <c r="BS548" s="2">
        <v>1</v>
      </c>
      <c r="BT548" s="2">
        <v>1</v>
      </c>
      <c r="BU548" s="2">
        <v>3</v>
      </c>
      <c r="BV548" s="2">
        <f t="shared" si="37"/>
        <v>65</v>
      </c>
      <c r="BW548" s="16">
        <f t="shared" si="35"/>
        <v>3.4210526315789473</v>
      </c>
      <c r="BX548" s="16">
        <f>COUNTIF($BC$6:BU548, "=0") / COUNTIF($BC$6:BU548, "&gt;-1")</f>
        <v>0.14093244160124066</v>
      </c>
      <c r="BY548" s="18">
        <f>SUM($BC$6:BU548) / $BY$4</f>
        <v>0.86261310793224122</v>
      </c>
      <c r="BZ548" s="14">
        <f t="shared" si="36"/>
        <v>3</v>
      </c>
      <c r="CA548" t="s">
        <v>5831</v>
      </c>
      <c r="CB548" s="36">
        <v>2.4232867916694598</v>
      </c>
      <c r="CC548" s="36">
        <v>2.8891923620323401</v>
      </c>
      <c r="CD548" s="36">
        <v>8.00398830906129</v>
      </c>
      <c r="CE548" s="36">
        <v>4.5357652774596904</v>
      </c>
      <c r="CF548" s="36">
        <v>0.86017635993689201</v>
      </c>
      <c r="CG548" s="36">
        <v>0.92972724663949102</v>
      </c>
      <c r="CH548" s="36">
        <v>0.26351557071616</v>
      </c>
      <c r="CI548" s="36">
        <v>0.24329589949557701</v>
      </c>
      <c r="CJ548" s="37">
        <v>5.5633080527147003</v>
      </c>
      <c r="CK548" s="37">
        <v>5.6758468219945701</v>
      </c>
      <c r="CL548" s="37">
        <v>7.2004891344060802</v>
      </c>
      <c r="CM548" s="37">
        <v>3.3861881863997598</v>
      </c>
      <c r="CN548" s="37">
        <v>6.4315479607058004</v>
      </c>
      <c r="CO548" s="37">
        <v>6.3135245630809997</v>
      </c>
      <c r="CP548" s="37">
        <v>1.50854004786242</v>
      </c>
      <c r="CQ548" s="37">
        <v>4.5679105394238499</v>
      </c>
      <c r="CR548" s="45">
        <v>1.1962683754468699</v>
      </c>
      <c r="CS548" s="45">
        <v>2.0173438174410001</v>
      </c>
      <c r="CT548" s="46">
        <v>3.9940198441972302E-2</v>
      </c>
      <c r="CU548" s="47">
        <v>6.33175183831267E-2</v>
      </c>
      <c r="CV548" s="48">
        <v>2.5186184771263598</v>
      </c>
      <c r="CW548" s="49">
        <v>5.08091941332352</v>
      </c>
      <c r="CX548" s="31" t="s">
        <v>5874</v>
      </c>
      <c r="CY548" s="31" t="s">
        <v>5877</v>
      </c>
      <c r="CZ548" t="s">
        <v>12291</v>
      </c>
      <c r="DA548" t="s">
        <v>5904</v>
      </c>
      <c r="DB548">
        <v>407.5</v>
      </c>
      <c r="DC548" t="s">
        <v>32576</v>
      </c>
      <c r="DD548" t="s">
        <v>13772</v>
      </c>
      <c r="DE548" t="s">
        <v>32577</v>
      </c>
      <c r="DF548" t="s">
        <v>32578</v>
      </c>
      <c r="DG548" t="s">
        <v>32579</v>
      </c>
      <c r="DH548" t="str">
        <f>"NPDC1"</f>
        <v>NPDC1</v>
      </c>
      <c r="DI548" t="s">
        <v>13772</v>
      </c>
      <c r="DJ548" t="s">
        <v>13777</v>
      </c>
      <c r="DK548">
        <v>9606</v>
      </c>
      <c r="DL548" s="34" t="str">
        <f>HYPERLINK("http://www.uniprot.org/uniprot/Q9NQX5", "Q9NQX5")</f>
        <v>Q9NQX5</v>
      </c>
      <c r="DM548" t="s">
        <v>32580</v>
      </c>
      <c r="DN548" t="s">
        <v>13772</v>
      </c>
      <c r="DO548" t="s">
        <v>13825</v>
      </c>
      <c r="DP548" t="s">
        <v>13772</v>
      </c>
      <c r="DQ548" t="s">
        <v>13772</v>
      </c>
      <c r="DR548" t="s">
        <v>13772</v>
      </c>
      <c r="DS548" t="s">
        <v>13855</v>
      </c>
      <c r="DT548" t="s">
        <v>13772</v>
      </c>
      <c r="DU548" t="s">
        <v>13772</v>
      </c>
      <c r="DV548" t="s">
        <v>13782</v>
      </c>
      <c r="DW548" t="s">
        <v>13772</v>
      </c>
      <c r="DX548" t="s">
        <v>32581</v>
      </c>
      <c r="DY548" t="s">
        <v>13798</v>
      </c>
      <c r="DZ548" t="s">
        <v>13772</v>
      </c>
      <c r="EA548" t="s">
        <v>13772</v>
      </c>
      <c r="EB548" t="s">
        <v>13799</v>
      </c>
    </row>
    <row r="549" spans="1:132" hidden="1">
      <c r="A549">
        <v>1358</v>
      </c>
      <c r="B549">
        <v>1</v>
      </c>
      <c r="C549" t="s">
        <v>3247</v>
      </c>
      <c r="D549" t="s">
        <v>73</v>
      </c>
      <c r="E549" t="s">
        <v>73</v>
      </c>
      <c r="F549" t="s">
        <v>2929</v>
      </c>
      <c r="G549" t="s">
        <v>73</v>
      </c>
      <c r="H549">
        <v>52.6</v>
      </c>
      <c r="I549">
        <v>323</v>
      </c>
      <c r="J549">
        <v>36214</v>
      </c>
      <c r="K549" t="s">
        <v>3248</v>
      </c>
      <c r="L549">
        <f t="shared" si="34"/>
        <v>73</v>
      </c>
      <c r="N549">
        <v>73</v>
      </c>
      <c r="O549">
        <v>58</v>
      </c>
      <c r="P549">
        <v>0.79500000000000004</v>
      </c>
      <c r="Q549">
        <v>1</v>
      </c>
      <c r="R549">
        <v>3</v>
      </c>
      <c r="S549">
        <v>1</v>
      </c>
      <c r="T549">
        <v>2</v>
      </c>
      <c r="U549">
        <v>1</v>
      </c>
      <c r="V549">
        <v>2</v>
      </c>
      <c r="W549">
        <v>2</v>
      </c>
      <c r="X549">
        <v>6</v>
      </c>
      <c r="Y549">
        <v>15</v>
      </c>
      <c r="Z549">
        <v>0</v>
      </c>
      <c r="AA549">
        <v>14</v>
      </c>
      <c r="AB549">
        <v>18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2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5</v>
      </c>
      <c r="AR549">
        <v>14</v>
      </c>
      <c r="AS549">
        <v>0</v>
      </c>
      <c r="AT549">
        <v>13</v>
      </c>
      <c r="AU549">
        <v>15</v>
      </c>
      <c r="AV549">
        <v>6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 s="2">
        <v>0</v>
      </c>
      <c r="BD549" s="2">
        <v>2.5</v>
      </c>
      <c r="BE549" s="2">
        <v>0</v>
      </c>
      <c r="BF549" s="2">
        <v>2</v>
      </c>
      <c r="BG549" s="2">
        <v>0</v>
      </c>
      <c r="BH549" s="2">
        <v>1.083</v>
      </c>
      <c r="BI549" s="2">
        <v>1.0620000000000001</v>
      </c>
      <c r="BJ549" s="2">
        <v>5.4550000000000001</v>
      </c>
      <c r="BK549" s="2">
        <v>14.737</v>
      </c>
      <c r="BL549" s="2">
        <v>0</v>
      </c>
      <c r="BM549" s="2">
        <v>13.619</v>
      </c>
      <c r="BN549" s="2">
        <v>16.731000000000002</v>
      </c>
      <c r="BO549" s="2">
        <v>6.3330000000000002</v>
      </c>
      <c r="BP549" s="2">
        <v>0</v>
      </c>
      <c r="BQ549" s="2">
        <v>0</v>
      </c>
      <c r="BR549" s="2">
        <v>0</v>
      </c>
      <c r="BS549" s="2">
        <v>0</v>
      </c>
      <c r="BT549" s="2">
        <v>0.5</v>
      </c>
      <c r="BU549" s="2">
        <v>0</v>
      </c>
      <c r="BV549" s="2">
        <f t="shared" si="37"/>
        <v>64.02000000000001</v>
      </c>
      <c r="BW549" s="16">
        <f t="shared" si="35"/>
        <v>3.3694736842105271</v>
      </c>
      <c r="BX549" s="16">
        <f>COUNTIF($BC$6:BU549, "=0") / COUNTIF($BC$6:BU549, "&gt;-1")</f>
        <v>0.14154411764705882</v>
      </c>
      <c r="BY549" s="18">
        <f>SUM($BC$6:BU549) / $BY$4</f>
        <v>0.86288734636457542</v>
      </c>
      <c r="BZ549" s="14">
        <f t="shared" si="36"/>
        <v>9</v>
      </c>
      <c r="CA549" t="s">
        <v>5831</v>
      </c>
      <c r="CB549" s="36">
        <v>0.30291084895868198</v>
      </c>
      <c r="CC549" s="36">
        <v>2.4076603016936202</v>
      </c>
      <c r="CD549" s="36">
        <v>0.40019941545306398</v>
      </c>
      <c r="CE549" s="36">
        <v>3.0238435183064598</v>
      </c>
      <c r="CF549" s="36">
        <v>0.215044089984223</v>
      </c>
      <c r="CG549" s="36">
        <v>1.0226999713034399</v>
      </c>
      <c r="CH549" s="36">
        <v>1.1594685111511001</v>
      </c>
      <c r="CI549" s="36">
        <v>5.3525097889026796</v>
      </c>
      <c r="CJ549" s="37">
        <v>11.682946910700901</v>
      </c>
      <c r="CK549" s="37">
        <v>8.5768351976806798</v>
      </c>
      <c r="CL549" s="37">
        <v>13.360907616064599</v>
      </c>
      <c r="CM549" s="37">
        <v>5.3332463935796302</v>
      </c>
      <c r="CN549" s="37">
        <v>0.22969814145377901</v>
      </c>
      <c r="CO549" s="37">
        <v>0.19729764259628099</v>
      </c>
      <c r="CP549" s="37">
        <v>0.377135011965606</v>
      </c>
      <c r="CQ549" s="37">
        <v>0.38065921161865401</v>
      </c>
      <c r="CR549" s="45">
        <v>1.5034663844370499</v>
      </c>
      <c r="CS549" s="45">
        <v>2.8909358601676001</v>
      </c>
      <c r="CT549" s="46">
        <v>7.8831649667161094E-2</v>
      </c>
      <c r="CU549" s="47">
        <v>0.11540125520203701</v>
      </c>
      <c r="CV549" s="48">
        <v>1.7355420557191601</v>
      </c>
      <c r="CW549" s="49">
        <v>5.0173407657075204</v>
      </c>
      <c r="CX549" s="31" t="s">
        <v>5874</v>
      </c>
      <c r="CY549" s="31" t="s">
        <v>5832</v>
      </c>
      <c r="CZ549" t="s">
        <v>10270</v>
      </c>
      <c r="DA549" t="s">
        <v>5904</v>
      </c>
      <c r="DB549">
        <v>608.20000000000005</v>
      </c>
      <c r="DC549" t="s">
        <v>26912</v>
      </c>
      <c r="DD549" t="s">
        <v>26913</v>
      </c>
      <c r="DE549" t="s">
        <v>26914</v>
      </c>
      <c r="DF549" t="s">
        <v>26915</v>
      </c>
      <c r="DG549" t="s">
        <v>26916</v>
      </c>
      <c r="DH549" t="str">
        <f>"ANXA3"</f>
        <v>ANXA3</v>
      </c>
      <c r="DI549" t="s">
        <v>26917</v>
      </c>
      <c r="DJ549" t="s">
        <v>13777</v>
      </c>
      <c r="DK549">
        <v>9606</v>
      </c>
      <c r="DL549" s="34" t="str">
        <f>HYPERLINK("http://www.uniprot.org/uniprot/P12429", "P12429")</f>
        <v>P12429</v>
      </c>
      <c r="DM549" t="s">
        <v>26918</v>
      </c>
      <c r="DN549" t="s">
        <v>13772</v>
      </c>
      <c r="DO549" t="s">
        <v>13772</v>
      </c>
      <c r="DP549" t="s">
        <v>13793</v>
      </c>
      <c r="DQ549" t="s">
        <v>13772</v>
      </c>
      <c r="DR549" t="s">
        <v>13772</v>
      </c>
      <c r="DS549" t="s">
        <v>15322</v>
      </c>
      <c r="DT549" t="s">
        <v>15323</v>
      </c>
      <c r="DU549" t="s">
        <v>19418</v>
      </c>
      <c r="DV549" t="s">
        <v>13886</v>
      </c>
      <c r="DW549" t="s">
        <v>13812</v>
      </c>
      <c r="DX549" t="s">
        <v>26919</v>
      </c>
      <c r="DY549" t="s">
        <v>26920</v>
      </c>
      <c r="DZ549" t="s">
        <v>26921</v>
      </c>
      <c r="EA549" t="s">
        <v>13772</v>
      </c>
      <c r="EB549" t="s">
        <v>13772</v>
      </c>
    </row>
    <row r="550" spans="1:132" hidden="1">
      <c r="A550">
        <v>1339</v>
      </c>
      <c r="B550">
        <v>1</v>
      </c>
      <c r="C550" t="s">
        <v>3209</v>
      </c>
      <c r="D550" t="s">
        <v>73</v>
      </c>
      <c r="E550" t="s">
        <v>73</v>
      </c>
      <c r="F550" t="s">
        <v>73</v>
      </c>
      <c r="G550" t="s">
        <v>73</v>
      </c>
      <c r="H550">
        <v>32.700000000000003</v>
      </c>
      <c r="I550">
        <v>346</v>
      </c>
      <c r="J550">
        <v>37119</v>
      </c>
      <c r="K550" t="s">
        <v>3210</v>
      </c>
      <c r="L550">
        <f t="shared" si="34"/>
        <v>64</v>
      </c>
      <c r="N550">
        <v>64</v>
      </c>
      <c r="O550">
        <v>64</v>
      </c>
      <c r="P550">
        <v>1</v>
      </c>
      <c r="Q550">
        <v>2</v>
      </c>
      <c r="R550">
        <v>5</v>
      </c>
      <c r="S550">
        <v>6</v>
      </c>
      <c r="T550">
        <v>10</v>
      </c>
      <c r="U550">
        <v>3</v>
      </c>
      <c r="V550">
        <v>5</v>
      </c>
      <c r="W550">
        <v>8</v>
      </c>
      <c r="X550">
        <v>5</v>
      </c>
      <c r="Y550">
        <v>3</v>
      </c>
      <c r="Z550">
        <v>0</v>
      </c>
      <c r="AA550">
        <v>4</v>
      </c>
      <c r="AB550">
        <v>1</v>
      </c>
      <c r="AC550">
        <v>1</v>
      </c>
      <c r="AD550">
        <v>0</v>
      </c>
      <c r="AE550">
        <v>1</v>
      </c>
      <c r="AF550">
        <v>4</v>
      </c>
      <c r="AG550">
        <v>4</v>
      </c>
      <c r="AH550">
        <v>0</v>
      </c>
      <c r="AI550">
        <v>2</v>
      </c>
      <c r="AJ550">
        <v>2</v>
      </c>
      <c r="AK550">
        <v>5</v>
      </c>
      <c r="AL550">
        <v>6</v>
      </c>
      <c r="AM550">
        <v>10</v>
      </c>
      <c r="AN550">
        <v>3</v>
      </c>
      <c r="AO550">
        <v>5</v>
      </c>
      <c r="AP550">
        <v>8</v>
      </c>
      <c r="AQ550">
        <v>5</v>
      </c>
      <c r="AR550">
        <v>3</v>
      </c>
      <c r="AS550">
        <v>0</v>
      </c>
      <c r="AT550">
        <v>4</v>
      </c>
      <c r="AU550">
        <v>1</v>
      </c>
      <c r="AV550">
        <v>1</v>
      </c>
      <c r="AW550">
        <v>0</v>
      </c>
      <c r="AX550">
        <v>1</v>
      </c>
      <c r="AY550">
        <v>4</v>
      </c>
      <c r="AZ550">
        <v>4</v>
      </c>
      <c r="BA550">
        <v>0</v>
      </c>
      <c r="BB550">
        <v>2</v>
      </c>
      <c r="BC550" s="2">
        <v>2</v>
      </c>
      <c r="BD550" s="2">
        <v>5</v>
      </c>
      <c r="BE550" s="2">
        <v>6</v>
      </c>
      <c r="BF550" s="2">
        <v>10</v>
      </c>
      <c r="BG550" s="2">
        <v>3</v>
      </c>
      <c r="BH550" s="2">
        <v>5</v>
      </c>
      <c r="BI550" s="2">
        <v>8</v>
      </c>
      <c r="BJ550" s="2">
        <v>5</v>
      </c>
      <c r="BK550" s="2">
        <v>3</v>
      </c>
      <c r="BL550" s="2">
        <v>0</v>
      </c>
      <c r="BM550" s="2">
        <v>4</v>
      </c>
      <c r="BN550" s="2">
        <v>1</v>
      </c>
      <c r="BO550" s="2">
        <v>1</v>
      </c>
      <c r="BP550" s="2">
        <v>0</v>
      </c>
      <c r="BQ550" s="2">
        <v>1</v>
      </c>
      <c r="BR550" s="2">
        <v>4</v>
      </c>
      <c r="BS550" s="2">
        <v>4</v>
      </c>
      <c r="BT550" s="2">
        <v>0</v>
      </c>
      <c r="BU550" s="2">
        <v>2</v>
      </c>
      <c r="BV550" s="2">
        <f t="shared" si="37"/>
        <v>64</v>
      </c>
      <c r="BW550" s="16">
        <f t="shared" si="35"/>
        <v>3.3684210526315788</v>
      </c>
      <c r="BX550" s="16">
        <f>COUNTIF($BC$6:BU550, "=0") / COUNTIF($BC$6:BU550, "&gt;-1")</f>
        <v>0.14157411878319653</v>
      </c>
      <c r="BY550" s="18">
        <f>SUM($BC$6:BU550) / $BY$4</f>
        <v>0.86316149912417228</v>
      </c>
      <c r="BZ550" s="14">
        <f t="shared" si="36"/>
        <v>3</v>
      </c>
      <c r="CA550" t="s">
        <v>5831</v>
      </c>
      <c r="CB550" s="36">
        <v>2.4232867916694598</v>
      </c>
      <c r="CC550" s="36">
        <v>4.8153206033872298</v>
      </c>
      <c r="CD550" s="36">
        <v>9.6047859708735501</v>
      </c>
      <c r="CE550" s="36">
        <v>15.119217591532299</v>
      </c>
      <c r="CF550" s="36">
        <v>2.5805290798106801</v>
      </c>
      <c r="CG550" s="36">
        <v>4.6486362331974602</v>
      </c>
      <c r="CH550" s="36">
        <v>8.4324982629171306</v>
      </c>
      <c r="CI550" s="36">
        <v>4.8659179899115301</v>
      </c>
      <c r="CJ550" s="37">
        <v>2.3842748797348698</v>
      </c>
      <c r="CK550" s="37">
        <v>2.5225985875531398</v>
      </c>
      <c r="CL550" s="37">
        <v>0.80005434826734301</v>
      </c>
      <c r="CM550" s="37">
        <v>0.84654704659994096</v>
      </c>
      <c r="CN550" s="37">
        <v>0.91879256581511404</v>
      </c>
      <c r="CO550" s="37">
        <v>3.1567622815404999</v>
      </c>
      <c r="CP550" s="37">
        <v>6.0341601914496898</v>
      </c>
      <c r="CQ550" s="37">
        <v>3.0452736929492299</v>
      </c>
      <c r="CR550" s="45">
        <v>-1.4061311951092901</v>
      </c>
      <c r="CS550" s="45">
        <v>-2.6633325461006199</v>
      </c>
      <c r="CT550" s="46">
        <v>9.5203416754459404E-3</v>
      </c>
      <c r="CU550" s="47">
        <v>1.75457536663177E-2</v>
      </c>
      <c r="CV550" s="48">
        <v>6.5612740654124204</v>
      </c>
      <c r="CW550" s="49">
        <v>2.4635579492387301</v>
      </c>
      <c r="CX550" s="31" t="s">
        <v>5875</v>
      </c>
      <c r="CY550" s="31" t="s">
        <v>5878</v>
      </c>
      <c r="CZ550" t="s">
        <v>10208</v>
      </c>
      <c r="DA550" t="s">
        <v>5904</v>
      </c>
      <c r="DB550">
        <v>582.79999999999995</v>
      </c>
      <c r="DC550" t="s">
        <v>26729</v>
      </c>
      <c r="DD550" t="s">
        <v>26730</v>
      </c>
      <c r="DE550" t="s">
        <v>26731</v>
      </c>
      <c r="DF550" t="s">
        <v>26732</v>
      </c>
      <c r="DG550" t="s">
        <v>26733</v>
      </c>
      <c r="DH550" t="str">
        <f>"AGA"</f>
        <v>AGA</v>
      </c>
      <c r="DI550" t="s">
        <v>13772</v>
      </c>
      <c r="DJ550" t="s">
        <v>13777</v>
      </c>
      <c r="DK550">
        <v>9606</v>
      </c>
      <c r="DL550" s="34" t="str">
        <f>HYPERLINK("http://www.uniprot.org/uniprot/P20933", "P20933")</f>
        <v>P20933</v>
      </c>
      <c r="DM550" t="s">
        <v>26734</v>
      </c>
      <c r="DN550" t="s">
        <v>13772</v>
      </c>
      <c r="DO550" t="s">
        <v>13806</v>
      </c>
      <c r="DP550" t="s">
        <v>13793</v>
      </c>
      <c r="DQ550" t="s">
        <v>13772</v>
      </c>
      <c r="DR550" t="s">
        <v>13807</v>
      </c>
      <c r="DS550" t="s">
        <v>13808</v>
      </c>
      <c r="DT550" t="s">
        <v>13772</v>
      </c>
      <c r="DU550" t="s">
        <v>26735</v>
      </c>
      <c r="DV550" t="s">
        <v>26736</v>
      </c>
      <c r="DW550" t="s">
        <v>13812</v>
      </c>
      <c r="DX550" t="s">
        <v>26737</v>
      </c>
      <c r="DY550" t="s">
        <v>26738</v>
      </c>
      <c r="DZ550" t="s">
        <v>26739</v>
      </c>
      <c r="EA550" t="s">
        <v>13772</v>
      </c>
      <c r="EB550" t="s">
        <v>13890</v>
      </c>
    </row>
    <row r="551" spans="1:132" hidden="1">
      <c r="A551">
        <v>1923</v>
      </c>
      <c r="B551">
        <v>1</v>
      </c>
      <c r="C551" t="s">
        <v>4529</v>
      </c>
      <c r="D551" t="s">
        <v>73</v>
      </c>
      <c r="E551" t="s">
        <v>73</v>
      </c>
      <c r="F551" t="s">
        <v>73</v>
      </c>
      <c r="G551" t="s">
        <v>73</v>
      </c>
      <c r="H551">
        <v>39</v>
      </c>
      <c r="I551">
        <v>806</v>
      </c>
      <c r="J551">
        <v>89302</v>
      </c>
      <c r="K551" t="s">
        <v>4530</v>
      </c>
      <c r="L551">
        <f t="shared" si="34"/>
        <v>64</v>
      </c>
      <c r="N551">
        <v>64</v>
      </c>
      <c r="O551">
        <v>64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1</v>
      </c>
      <c r="X551">
        <v>3</v>
      </c>
      <c r="Y551">
        <v>12</v>
      </c>
      <c r="Z551">
        <v>0</v>
      </c>
      <c r="AA551">
        <v>27</v>
      </c>
      <c r="AB551">
        <v>10</v>
      </c>
      <c r="AC551">
        <v>7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</v>
      </c>
      <c r="AP551">
        <v>1</v>
      </c>
      <c r="AQ551">
        <v>3</v>
      </c>
      <c r="AR551">
        <v>12</v>
      </c>
      <c r="AS551">
        <v>0</v>
      </c>
      <c r="AT551">
        <v>27</v>
      </c>
      <c r="AU551">
        <v>10</v>
      </c>
      <c r="AV551">
        <v>7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3</v>
      </c>
      <c r="BI551" s="2">
        <v>1</v>
      </c>
      <c r="BJ551" s="2">
        <v>3</v>
      </c>
      <c r="BK551" s="2">
        <v>12</v>
      </c>
      <c r="BL551" s="2">
        <v>0</v>
      </c>
      <c r="BM551" s="2">
        <v>27</v>
      </c>
      <c r="BN551" s="2">
        <v>10</v>
      </c>
      <c r="BO551" s="2">
        <v>7</v>
      </c>
      <c r="BP551" s="2">
        <v>0</v>
      </c>
      <c r="BQ551" s="2">
        <v>0</v>
      </c>
      <c r="BR551" s="2">
        <v>1</v>
      </c>
      <c r="BS551" s="2">
        <v>0</v>
      </c>
      <c r="BT551" s="2">
        <v>0</v>
      </c>
      <c r="BU551" s="2">
        <v>0</v>
      </c>
      <c r="BV551" s="2">
        <f t="shared" si="37"/>
        <v>64</v>
      </c>
      <c r="BW551" s="16">
        <f t="shared" si="35"/>
        <v>3.3684210526315788</v>
      </c>
      <c r="BX551" s="16">
        <f>COUNTIF($BC$6:BU551, "=0") / COUNTIF($BC$6:BU551, "&gt;-1")</f>
        <v>0.14237516869095818</v>
      </c>
      <c r="BY551" s="18">
        <f>SUM($BC$6:BU551) / $BY$4</f>
        <v>0.86343565188376914</v>
      </c>
      <c r="BZ551" s="14">
        <f t="shared" si="36"/>
        <v>11</v>
      </c>
      <c r="CA551" t="s">
        <v>5831</v>
      </c>
      <c r="CB551" s="36">
        <v>0.30291084895868198</v>
      </c>
      <c r="CC551" s="36">
        <v>0.24076603016936199</v>
      </c>
      <c r="CD551" s="36">
        <v>0.40019941545306398</v>
      </c>
      <c r="CE551" s="36">
        <v>0.37798043978830698</v>
      </c>
      <c r="CF551" s="36">
        <v>0.215044089984223</v>
      </c>
      <c r="CG551" s="36">
        <v>2.7891817399184702</v>
      </c>
      <c r="CH551" s="36">
        <v>1.05406228286464</v>
      </c>
      <c r="CI551" s="36">
        <v>2.9195507939469199</v>
      </c>
      <c r="CJ551" s="37">
        <v>9.53709951893949</v>
      </c>
      <c r="CK551" s="37">
        <v>17.027540465983702</v>
      </c>
      <c r="CL551" s="37">
        <v>8.0005434826734305</v>
      </c>
      <c r="CM551" s="37">
        <v>5.9258293261995796</v>
      </c>
      <c r="CN551" s="37">
        <v>0.22969814145377901</v>
      </c>
      <c r="CO551" s="37">
        <v>0.78919057038512497</v>
      </c>
      <c r="CP551" s="37">
        <v>0.377135011965606</v>
      </c>
      <c r="CQ551" s="37">
        <v>0.38065921161865401</v>
      </c>
      <c r="CR551" s="45">
        <v>2.2158614570778998</v>
      </c>
      <c r="CS551" s="45">
        <v>5.09268020865649</v>
      </c>
      <c r="CT551" s="46">
        <v>6.9739015419398396E-3</v>
      </c>
      <c r="CU551" s="47">
        <v>1.33301146615936E-2</v>
      </c>
      <c r="CV551" s="48">
        <v>1.03746195513546</v>
      </c>
      <c r="CW551" s="49">
        <v>5.2834619661524203</v>
      </c>
      <c r="CX551" s="31" t="s">
        <v>5874</v>
      </c>
      <c r="CY551" s="31" t="s">
        <v>5878</v>
      </c>
      <c r="CZ551" t="s">
        <v>12160</v>
      </c>
      <c r="DA551" t="s">
        <v>5904</v>
      </c>
      <c r="DB551">
        <v>1644</v>
      </c>
      <c r="DC551" t="s">
        <v>32200</v>
      </c>
      <c r="DD551" t="s">
        <v>32201</v>
      </c>
      <c r="DE551" t="s">
        <v>32202</v>
      </c>
      <c r="DF551" t="s">
        <v>32203</v>
      </c>
      <c r="DG551" t="s">
        <v>32204</v>
      </c>
      <c r="DH551" t="str">
        <f>"VCP"</f>
        <v>VCP</v>
      </c>
      <c r="DI551" t="s">
        <v>13772</v>
      </c>
      <c r="DJ551" t="s">
        <v>13777</v>
      </c>
      <c r="DK551">
        <v>9606</v>
      </c>
      <c r="DL551" s="34" t="str">
        <f>HYPERLINK("http://www.uniprot.org/uniprot/P55072", "P55072")</f>
        <v>P55072</v>
      </c>
      <c r="DM551" t="s">
        <v>32205</v>
      </c>
      <c r="DN551" t="s">
        <v>32206</v>
      </c>
      <c r="DO551" t="s">
        <v>14613</v>
      </c>
      <c r="DP551" t="s">
        <v>13772</v>
      </c>
      <c r="DQ551" t="s">
        <v>13772</v>
      </c>
      <c r="DR551" t="s">
        <v>32207</v>
      </c>
      <c r="DS551" t="s">
        <v>13772</v>
      </c>
      <c r="DT551" t="s">
        <v>17953</v>
      </c>
      <c r="DU551" t="s">
        <v>13857</v>
      </c>
      <c r="DV551" t="s">
        <v>14663</v>
      </c>
      <c r="DW551" t="s">
        <v>13812</v>
      </c>
      <c r="DX551" t="s">
        <v>32208</v>
      </c>
      <c r="DY551" t="s">
        <v>32209</v>
      </c>
      <c r="DZ551" t="s">
        <v>32210</v>
      </c>
      <c r="EA551" t="s">
        <v>13772</v>
      </c>
      <c r="EB551" t="s">
        <v>32211</v>
      </c>
    </row>
    <row r="552" spans="1:132" hidden="1">
      <c r="A552">
        <v>2459</v>
      </c>
      <c r="B552">
        <v>1</v>
      </c>
      <c r="C552" t="s">
        <v>5785</v>
      </c>
      <c r="D552" t="s">
        <v>73</v>
      </c>
      <c r="E552" t="s">
        <v>5786</v>
      </c>
      <c r="F552" t="s">
        <v>73</v>
      </c>
      <c r="G552" t="s">
        <v>73</v>
      </c>
      <c r="H552">
        <v>36.5</v>
      </c>
      <c r="I552">
        <v>381</v>
      </c>
      <c r="J552">
        <v>40082</v>
      </c>
      <c r="K552" t="s">
        <v>5787</v>
      </c>
      <c r="L552">
        <f t="shared" si="34"/>
        <v>64</v>
      </c>
      <c r="N552">
        <v>64</v>
      </c>
      <c r="O552">
        <v>64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2</v>
      </c>
      <c r="Y552">
        <v>5</v>
      </c>
      <c r="Z552">
        <v>0</v>
      </c>
      <c r="AA552">
        <v>16</v>
      </c>
      <c r="AB552">
        <v>6</v>
      </c>
      <c r="AC552">
        <v>7</v>
      </c>
      <c r="AD552">
        <v>2</v>
      </c>
      <c r="AE552">
        <v>11</v>
      </c>
      <c r="AF552">
        <v>7</v>
      </c>
      <c r="AG552">
        <v>3</v>
      </c>
      <c r="AH552">
        <v>1</v>
      </c>
      <c r="AI552">
        <v>2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2</v>
      </c>
      <c r="AR552">
        <v>5</v>
      </c>
      <c r="AS552">
        <v>0</v>
      </c>
      <c r="AT552">
        <v>16</v>
      </c>
      <c r="AU552">
        <v>6</v>
      </c>
      <c r="AV552">
        <v>7</v>
      </c>
      <c r="AW552">
        <v>2</v>
      </c>
      <c r="AX552">
        <v>11</v>
      </c>
      <c r="AY552">
        <v>7</v>
      </c>
      <c r="AZ552">
        <v>3</v>
      </c>
      <c r="BA552">
        <v>1</v>
      </c>
      <c r="BB552">
        <v>2</v>
      </c>
      <c r="BC552" s="2">
        <v>1</v>
      </c>
      <c r="BD552" s="2">
        <v>0</v>
      </c>
      <c r="BE552" s="2">
        <v>0</v>
      </c>
      <c r="BF552" s="2">
        <v>0</v>
      </c>
      <c r="BG552" s="2">
        <v>1</v>
      </c>
      <c r="BH552" s="2">
        <v>0</v>
      </c>
      <c r="BI552" s="2">
        <v>0</v>
      </c>
      <c r="BJ552" s="2">
        <v>2</v>
      </c>
      <c r="BK552" s="2">
        <v>5</v>
      </c>
      <c r="BL552" s="2">
        <v>0</v>
      </c>
      <c r="BM552" s="2">
        <v>16</v>
      </c>
      <c r="BN552" s="2">
        <v>6</v>
      </c>
      <c r="BO552" s="2">
        <v>7</v>
      </c>
      <c r="BP552" s="2">
        <v>2</v>
      </c>
      <c r="BQ552" s="2">
        <v>11</v>
      </c>
      <c r="BR552" s="2">
        <v>7</v>
      </c>
      <c r="BS552" s="2">
        <v>3</v>
      </c>
      <c r="BT552" s="2">
        <v>1</v>
      </c>
      <c r="BU552" s="2">
        <v>2</v>
      </c>
      <c r="BV552" s="2">
        <f t="shared" si="37"/>
        <v>64</v>
      </c>
      <c r="BW552" s="16">
        <f t="shared" si="35"/>
        <v>3.3684210526315788</v>
      </c>
      <c r="BX552" s="16">
        <f>COUNTIF($BC$6:BU552, "=0") / COUNTIF($BC$6:BU552, "&gt;-1")</f>
        <v>0.14269219667083613</v>
      </c>
      <c r="BY552" s="18">
        <f>SUM($BC$6:BU552) / $BY$4</f>
        <v>0.863709804643366</v>
      </c>
      <c r="BZ552" s="14">
        <f t="shared" si="36"/>
        <v>6</v>
      </c>
      <c r="CA552" t="s">
        <v>5831</v>
      </c>
      <c r="CB552" s="36">
        <v>1.2116433958347299</v>
      </c>
      <c r="CC552" s="36">
        <v>0.24076603016936199</v>
      </c>
      <c r="CD552" s="36">
        <v>0.40019941545306398</v>
      </c>
      <c r="CE552" s="36">
        <v>0.37798043978830698</v>
      </c>
      <c r="CF552" s="36">
        <v>0.86017635993689201</v>
      </c>
      <c r="CG552" s="36">
        <v>0.23243181165987301</v>
      </c>
      <c r="CH552" s="36">
        <v>0.26351557071616</v>
      </c>
      <c r="CI552" s="36">
        <v>1.9463671959646101</v>
      </c>
      <c r="CJ552" s="37">
        <v>3.9737914662247902</v>
      </c>
      <c r="CK552" s="37">
        <v>10.0903943502126</v>
      </c>
      <c r="CL552" s="37">
        <v>4.8003260896040603</v>
      </c>
      <c r="CM552" s="37">
        <v>5.9258293261995796</v>
      </c>
      <c r="CN552" s="37">
        <v>10.1067182239663</v>
      </c>
      <c r="CO552" s="37">
        <v>5.5243339926958699</v>
      </c>
      <c r="CP552" s="37">
        <v>4.5256201435872701</v>
      </c>
      <c r="CQ552" s="37">
        <v>3.0452736929492299</v>
      </c>
      <c r="CR552" s="45">
        <v>2.9241324786504799</v>
      </c>
      <c r="CS552" s="45">
        <v>8.6737016962275302</v>
      </c>
      <c r="CT552" s="46">
        <v>3.1185772929827599E-7</v>
      </c>
      <c r="CU552" s="47">
        <v>1.7386068408378901E-6</v>
      </c>
      <c r="CV552" s="48">
        <v>0.69163502744037497</v>
      </c>
      <c r="CW552" s="49">
        <v>5.9990359106799502</v>
      </c>
      <c r="CX552" s="31" t="s">
        <v>5874</v>
      </c>
      <c r="CY552" s="31" t="s">
        <v>5876</v>
      </c>
      <c r="CZ552" t="s">
        <v>12723</v>
      </c>
      <c r="DA552" t="s">
        <v>5904</v>
      </c>
      <c r="DB552">
        <v>485.7</v>
      </c>
      <c r="DC552" t="s">
        <v>33797</v>
      </c>
      <c r="DD552" t="s">
        <v>13772</v>
      </c>
      <c r="DE552" t="s">
        <v>33798</v>
      </c>
      <c r="DF552" t="s">
        <v>33799</v>
      </c>
      <c r="DG552" t="s">
        <v>33800</v>
      </c>
      <c r="DH552" t="str">
        <f>"VASP"</f>
        <v>VASP</v>
      </c>
      <c r="DI552" t="s">
        <v>13772</v>
      </c>
      <c r="DJ552" t="s">
        <v>13777</v>
      </c>
      <c r="DK552">
        <v>9606</v>
      </c>
      <c r="DL552" s="34" t="str">
        <f>HYPERLINK("http://www.uniprot.org/uniprot/P50552", "P50552")</f>
        <v>P50552</v>
      </c>
      <c r="DM552" t="s">
        <v>33801</v>
      </c>
      <c r="DN552" t="s">
        <v>13772</v>
      </c>
      <c r="DO552" t="s">
        <v>31973</v>
      </c>
      <c r="DP552" t="s">
        <v>13793</v>
      </c>
      <c r="DQ552" t="s">
        <v>13772</v>
      </c>
      <c r="DR552" t="s">
        <v>13772</v>
      </c>
      <c r="DS552" t="s">
        <v>30721</v>
      </c>
      <c r="DT552" t="s">
        <v>13772</v>
      </c>
      <c r="DU552" t="s">
        <v>13990</v>
      </c>
      <c r="DV552" t="s">
        <v>13886</v>
      </c>
      <c r="DW552" t="s">
        <v>13812</v>
      </c>
      <c r="DX552" t="s">
        <v>33802</v>
      </c>
      <c r="DY552" t="s">
        <v>33803</v>
      </c>
      <c r="DZ552" t="s">
        <v>33804</v>
      </c>
      <c r="EA552" t="s">
        <v>13772</v>
      </c>
      <c r="EB552" t="s">
        <v>33805</v>
      </c>
    </row>
    <row r="553" spans="1:132" hidden="1">
      <c r="A553">
        <v>1748</v>
      </c>
      <c r="B553">
        <v>1</v>
      </c>
      <c r="C553" t="s">
        <v>4135</v>
      </c>
      <c r="D553" t="s">
        <v>73</v>
      </c>
      <c r="E553" t="s">
        <v>73</v>
      </c>
      <c r="F553" t="s">
        <v>73</v>
      </c>
      <c r="G553" t="s">
        <v>73</v>
      </c>
      <c r="H553">
        <v>2</v>
      </c>
      <c r="I553">
        <v>952</v>
      </c>
      <c r="J553">
        <v>107131</v>
      </c>
      <c r="K553" t="s">
        <v>4136</v>
      </c>
      <c r="L553">
        <f t="shared" si="34"/>
        <v>63</v>
      </c>
      <c r="N553">
        <v>63</v>
      </c>
      <c r="O553">
        <v>63</v>
      </c>
      <c r="P553">
        <v>1</v>
      </c>
      <c r="Q553">
        <v>2</v>
      </c>
      <c r="R553">
        <v>10</v>
      </c>
      <c r="S553">
        <v>6</v>
      </c>
      <c r="T553">
        <v>11</v>
      </c>
      <c r="U553">
        <v>5</v>
      </c>
      <c r="V553">
        <v>4</v>
      </c>
      <c r="W553">
        <v>6</v>
      </c>
      <c r="X553">
        <v>3</v>
      </c>
      <c r="Y553">
        <v>0</v>
      </c>
      <c r="Z553">
        <v>2</v>
      </c>
      <c r="AA553">
        <v>1</v>
      </c>
      <c r="AB553">
        <v>2</v>
      </c>
      <c r="AC553">
        <v>1</v>
      </c>
      <c r="AD553">
        <v>0</v>
      </c>
      <c r="AE553">
        <v>1</v>
      </c>
      <c r="AF553">
        <v>3</v>
      </c>
      <c r="AG553">
        <v>4</v>
      </c>
      <c r="AH553">
        <v>0</v>
      </c>
      <c r="AI553">
        <v>2</v>
      </c>
      <c r="AJ553">
        <v>2</v>
      </c>
      <c r="AK553">
        <v>10</v>
      </c>
      <c r="AL553">
        <v>6</v>
      </c>
      <c r="AM553">
        <v>11</v>
      </c>
      <c r="AN553">
        <v>5</v>
      </c>
      <c r="AO553">
        <v>4</v>
      </c>
      <c r="AP553">
        <v>6</v>
      </c>
      <c r="AQ553">
        <v>3</v>
      </c>
      <c r="AR553">
        <v>0</v>
      </c>
      <c r="AS553">
        <v>2</v>
      </c>
      <c r="AT553">
        <v>1</v>
      </c>
      <c r="AU553">
        <v>2</v>
      </c>
      <c r="AV553">
        <v>1</v>
      </c>
      <c r="AW553">
        <v>0</v>
      </c>
      <c r="AX553">
        <v>1</v>
      </c>
      <c r="AY553">
        <v>3</v>
      </c>
      <c r="AZ553">
        <v>4</v>
      </c>
      <c r="BA553">
        <v>0</v>
      </c>
      <c r="BB553">
        <v>2</v>
      </c>
      <c r="BC553" s="2">
        <v>2</v>
      </c>
      <c r="BD553" s="2">
        <v>10</v>
      </c>
      <c r="BE553" s="2">
        <v>6</v>
      </c>
      <c r="BF553" s="2">
        <v>11</v>
      </c>
      <c r="BG553" s="2">
        <v>5</v>
      </c>
      <c r="BH553" s="2">
        <v>4</v>
      </c>
      <c r="BI553" s="2">
        <v>6</v>
      </c>
      <c r="BJ553" s="2">
        <v>3</v>
      </c>
      <c r="BK553" s="2">
        <v>0</v>
      </c>
      <c r="BL553" s="2">
        <v>2</v>
      </c>
      <c r="BM553" s="2">
        <v>1</v>
      </c>
      <c r="BN553" s="2">
        <v>2</v>
      </c>
      <c r="BO553" s="2">
        <v>1</v>
      </c>
      <c r="BP553" s="2">
        <v>0</v>
      </c>
      <c r="BQ553" s="2">
        <v>1</v>
      </c>
      <c r="BR553" s="2">
        <v>3</v>
      </c>
      <c r="BS553" s="2">
        <v>4</v>
      </c>
      <c r="BT553" s="2">
        <v>0</v>
      </c>
      <c r="BU553" s="2">
        <v>2</v>
      </c>
      <c r="BV553" s="2">
        <f t="shared" si="37"/>
        <v>63</v>
      </c>
      <c r="BW553" s="16">
        <f t="shared" si="35"/>
        <v>3.3157894736842106</v>
      </c>
      <c r="BX553" s="16">
        <f>COUNTIF($BC$6:BU553, "=0") / COUNTIF($BC$6:BU553, "&gt;-1")</f>
        <v>0.14271993853246254</v>
      </c>
      <c r="BY553" s="18">
        <f>SUM($BC$6:BU553) / $BY$4</f>
        <v>0.86397967376609408</v>
      </c>
      <c r="BZ553" s="14">
        <f t="shared" si="36"/>
        <v>3</v>
      </c>
      <c r="CA553" t="s">
        <v>5831</v>
      </c>
      <c r="CB553" s="36">
        <v>2.4232867916694598</v>
      </c>
      <c r="CC553" s="36">
        <v>9.6306412067744702</v>
      </c>
      <c r="CD553" s="36">
        <v>9.6047859708735501</v>
      </c>
      <c r="CE553" s="36">
        <v>16.631139350685501</v>
      </c>
      <c r="CF553" s="36">
        <v>4.3008817996844604</v>
      </c>
      <c r="CG553" s="36">
        <v>3.7189089865579601</v>
      </c>
      <c r="CH553" s="36">
        <v>6.3243736971878404</v>
      </c>
      <c r="CI553" s="36">
        <v>2.9195507939469199</v>
      </c>
      <c r="CJ553" s="37">
        <v>0.19868957331123899</v>
      </c>
      <c r="CK553" s="37">
        <v>0.63064964688828595</v>
      </c>
      <c r="CL553" s="37">
        <v>1.60010869653469</v>
      </c>
      <c r="CM553" s="37">
        <v>0.84654704659994096</v>
      </c>
      <c r="CN553" s="37">
        <v>0.91879256581511404</v>
      </c>
      <c r="CO553" s="37">
        <v>2.36757171115537</v>
      </c>
      <c r="CP553" s="37">
        <v>6.0341601914496898</v>
      </c>
      <c r="CQ553" s="37">
        <v>3.0452736929492299</v>
      </c>
      <c r="CR553" s="45">
        <v>-1.9049028359007301</v>
      </c>
      <c r="CS553" s="45">
        <v>-3.5516112605812902</v>
      </c>
      <c r="CT553" s="46">
        <v>2.1408451069460299E-3</v>
      </c>
      <c r="CU553" s="47">
        <v>4.4897347227175399E-3</v>
      </c>
      <c r="CV553" s="48">
        <v>6.9441960746725204</v>
      </c>
      <c r="CW553" s="49">
        <v>1.95522414058795</v>
      </c>
      <c r="CX553" s="31" t="s">
        <v>5875</v>
      </c>
      <c r="CY553" s="31" t="s">
        <v>5876</v>
      </c>
      <c r="CZ553" t="s">
        <v>11578</v>
      </c>
      <c r="DA553" t="s">
        <v>5904</v>
      </c>
      <c r="DB553">
        <v>1751.9</v>
      </c>
      <c r="DC553" t="s">
        <v>30559</v>
      </c>
      <c r="DD553" t="s">
        <v>30560</v>
      </c>
      <c r="DE553" t="s">
        <v>30561</v>
      </c>
      <c r="DF553" t="s">
        <v>30562</v>
      </c>
      <c r="DG553" t="s">
        <v>30563</v>
      </c>
      <c r="DH553" t="str">
        <f>"XYLT1"</f>
        <v>XYLT1</v>
      </c>
      <c r="DI553" t="s">
        <v>30564</v>
      </c>
      <c r="DJ553" t="s">
        <v>13777</v>
      </c>
      <c r="DK553">
        <v>9606</v>
      </c>
      <c r="DL553" s="34" t="str">
        <f>HYPERLINK("http://www.uniprot.org/uniprot/Q86Y38", "Q86Y38")</f>
        <v>Q86Y38</v>
      </c>
      <c r="DM553" t="s">
        <v>30565</v>
      </c>
      <c r="DN553" t="s">
        <v>13772</v>
      </c>
      <c r="DO553" t="s">
        <v>23147</v>
      </c>
      <c r="DP553" t="s">
        <v>13793</v>
      </c>
      <c r="DQ553" t="s">
        <v>13772</v>
      </c>
      <c r="DR553" t="s">
        <v>14517</v>
      </c>
      <c r="DS553" t="s">
        <v>14417</v>
      </c>
      <c r="DT553" t="s">
        <v>18390</v>
      </c>
      <c r="DU553" t="s">
        <v>15995</v>
      </c>
      <c r="DV553" t="s">
        <v>13796</v>
      </c>
      <c r="DW553" t="s">
        <v>13812</v>
      </c>
      <c r="DX553" t="s">
        <v>30566</v>
      </c>
      <c r="DY553" t="s">
        <v>30567</v>
      </c>
      <c r="DZ553" t="s">
        <v>30568</v>
      </c>
      <c r="EA553" t="s">
        <v>30569</v>
      </c>
      <c r="EB553" t="s">
        <v>30570</v>
      </c>
    </row>
    <row r="554" spans="1:132" hidden="1">
      <c r="A554">
        <v>2254</v>
      </c>
      <c r="B554">
        <v>1</v>
      </c>
      <c r="C554" t="s">
        <v>5268</v>
      </c>
      <c r="D554" t="s">
        <v>73</v>
      </c>
      <c r="E554" t="s">
        <v>73</v>
      </c>
      <c r="F554" t="s">
        <v>73</v>
      </c>
      <c r="G554" t="s">
        <v>73</v>
      </c>
      <c r="H554">
        <v>46.5</v>
      </c>
      <c r="I554">
        <v>245</v>
      </c>
      <c r="J554">
        <v>26569</v>
      </c>
      <c r="K554" t="s">
        <v>5269</v>
      </c>
      <c r="L554">
        <f t="shared" si="34"/>
        <v>63</v>
      </c>
      <c r="N554">
        <v>63</v>
      </c>
      <c r="O554">
        <v>63</v>
      </c>
      <c r="P554">
        <v>1</v>
      </c>
      <c r="Q554">
        <v>4</v>
      </c>
      <c r="R554">
        <v>1</v>
      </c>
      <c r="S554">
        <v>3</v>
      </c>
      <c r="T554">
        <v>1</v>
      </c>
      <c r="U554">
        <v>19</v>
      </c>
      <c r="V554">
        <v>9</v>
      </c>
      <c r="W554">
        <v>8</v>
      </c>
      <c r="X554">
        <v>7</v>
      </c>
      <c r="Y554">
        <v>0</v>
      </c>
      <c r="Z554">
        <v>0</v>
      </c>
      <c r="AA554">
        <v>4</v>
      </c>
      <c r="AB554">
        <v>3</v>
      </c>
      <c r="AC554">
        <v>0</v>
      </c>
      <c r="AD554">
        <v>0</v>
      </c>
      <c r="AE554">
        <v>1</v>
      </c>
      <c r="AF554">
        <v>3</v>
      </c>
      <c r="AG554">
        <v>0</v>
      </c>
      <c r="AH554">
        <v>0</v>
      </c>
      <c r="AI554">
        <v>0</v>
      </c>
      <c r="AJ554">
        <v>4</v>
      </c>
      <c r="AK554">
        <v>1</v>
      </c>
      <c r="AL554">
        <v>3</v>
      </c>
      <c r="AM554">
        <v>1</v>
      </c>
      <c r="AN554">
        <v>19</v>
      </c>
      <c r="AO554">
        <v>9</v>
      </c>
      <c r="AP554">
        <v>8</v>
      </c>
      <c r="AQ554">
        <v>7</v>
      </c>
      <c r="AR554">
        <v>0</v>
      </c>
      <c r="AS554">
        <v>0</v>
      </c>
      <c r="AT554">
        <v>4</v>
      </c>
      <c r="AU554">
        <v>3</v>
      </c>
      <c r="AV554">
        <v>0</v>
      </c>
      <c r="AW554">
        <v>0</v>
      </c>
      <c r="AX554">
        <v>1</v>
      </c>
      <c r="AY554">
        <v>3</v>
      </c>
      <c r="AZ554">
        <v>0</v>
      </c>
      <c r="BA554">
        <v>0</v>
      </c>
      <c r="BB554">
        <v>0</v>
      </c>
      <c r="BC554" s="2">
        <v>4</v>
      </c>
      <c r="BD554" s="2">
        <v>1</v>
      </c>
      <c r="BE554" s="2">
        <v>3</v>
      </c>
      <c r="BF554" s="2">
        <v>1</v>
      </c>
      <c r="BG554" s="2">
        <v>19</v>
      </c>
      <c r="BH554" s="2">
        <v>9</v>
      </c>
      <c r="BI554" s="2">
        <v>8</v>
      </c>
      <c r="BJ554" s="2">
        <v>7</v>
      </c>
      <c r="BK554" s="2">
        <v>0</v>
      </c>
      <c r="BL554" s="2">
        <v>0</v>
      </c>
      <c r="BM554" s="2">
        <v>4</v>
      </c>
      <c r="BN554" s="2">
        <v>3</v>
      </c>
      <c r="BO554" s="2">
        <v>0</v>
      </c>
      <c r="BP554" s="2">
        <v>0</v>
      </c>
      <c r="BQ554" s="2">
        <v>1</v>
      </c>
      <c r="BR554" s="2">
        <v>3</v>
      </c>
      <c r="BS554" s="2">
        <v>0</v>
      </c>
      <c r="BT554" s="2">
        <v>0</v>
      </c>
      <c r="BU554" s="2">
        <v>0</v>
      </c>
      <c r="BV554" s="2">
        <f t="shared" si="37"/>
        <v>63</v>
      </c>
      <c r="BW554" s="16">
        <f t="shared" si="35"/>
        <v>3.3157894736842106</v>
      </c>
      <c r="BX554" s="16">
        <f>COUNTIF($BC$6:BU554, "=0") / COUNTIF($BC$6:BU554, "&gt;-1")</f>
        <v>0.14313105167289808</v>
      </c>
      <c r="BY554" s="18">
        <f>SUM($BC$6:BU554) / $BY$4</f>
        <v>0.86424954288882228</v>
      </c>
      <c r="BZ554" s="14">
        <f t="shared" si="36"/>
        <v>7</v>
      </c>
      <c r="CA554" t="s">
        <v>5831</v>
      </c>
      <c r="CB554" s="36">
        <v>4.8465735833389196</v>
      </c>
      <c r="CC554" s="36">
        <v>0.96306412067744696</v>
      </c>
      <c r="CD554" s="36">
        <v>4.8023929854367697</v>
      </c>
      <c r="CE554" s="36">
        <v>1.5119217591532299</v>
      </c>
      <c r="CF554" s="36">
        <v>16.343350838801001</v>
      </c>
      <c r="CG554" s="36">
        <v>8.3675452197554208</v>
      </c>
      <c r="CH554" s="36">
        <v>8.4324982629171306</v>
      </c>
      <c r="CI554" s="36">
        <v>6.8122851858761404</v>
      </c>
      <c r="CJ554" s="37">
        <v>0.19868957331123899</v>
      </c>
      <c r="CK554" s="37">
        <v>2.5225985875531398</v>
      </c>
      <c r="CL554" s="37">
        <v>2.4001630448020301</v>
      </c>
      <c r="CM554" s="37">
        <v>0.21163676164998499</v>
      </c>
      <c r="CN554" s="37">
        <v>0.91879256581511404</v>
      </c>
      <c r="CO554" s="37">
        <v>2.36757171115537</v>
      </c>
      <c r="CP554" s="37">
        <v>0.377135011965606</v>
      </c>
      <c r="CQ554" s="37">
        <v>0.38065921161865401</v>
      </c>
      <c r="CR554" s="45">
        <v>-2.2749864896583301</v>
      </c>
      <c r="CS554" s="45">
        <v>-5.5538299152522201</v>
      </c>
      <c r="CT554" s="46">
        <v>1.5390614887654801E-4</v>
      </c>
      <c r="CU554" s="47">
        <v>4.1350688192132802E-4</v>
      </c>
      <c r="CV554" s="48">
        <v>6.5099539944945004</v>
      </c>
      <c r="CW554" s="49">
        <v>1.1721558084838899</v>
      </c>
      <c r="CX554" s="31" t="s">
        <v>5875</v>
      </c>
      <c r="CY554" s="31" t="s">
        <v>5876</v>
      </c>
      <c r="CZ554" t="s">
        <v>13257</v>
      </c>
      <c r="DA554" t="s">
        <v>5904</v>
      </c>
      <c r="DB554">
        <v>494.2</v>
      </c>
      <c r="DC554" t="s">
        <v>35292</v>
      </c>
      <c r="DD554" t="s">
        <v>35293</v>
      </c>
      <c r="DE554" t="s">
        <v>35294</v>
      </c>
      <c r="DF554" t="s">
        <v>35295</v>
      </c>
      <c r="DG554" t="s">
        <v>35296</v>
      </c>
      <c r="DH554" t="str">
        <f>"EIF6"</f>
        <v>EIF6</v>
      </c>
      <c r="DI554" t="s">
        <v>13772</v>
      </c>
      <c r="DJ554" t="s">
        <v>13777</v>
      </c>
      <c r="DK554">
        <v>9606</v>
      </c>
      <c r="DL554" s="34" t="str">
        <f>HYPERLINK("http://www.uniprot.org/uniprot/P56537", "P56537")</f>
        <v>P56537</v>
      </c>
      <c r="DM554" t="s">
        <v>35297</v>
      </c>
      <c r="DN554" t="s">
        <v>35298</v>
      </c>
      <c r="DO554" t="s">
        <v>13912</v>
      </c>
      <c r="DP554" t="s">
        <v>13841</v>
      </c>
      <c r="DQ554" t="s">
        <v>13772</v>
      </c>
      <c r="DR554" t="s">
        <v>13772</v>
      </c>
      <c r="DS554" t="s">
        <v>13772</v>
      </c>
      <c r="DT554" t="s">
        <v>13772</v>
      </c>
      <c r="DU554" t="s">
        <v>18130</v>
      </c>
      <c r="DV554" t="s">
        <v>13782</v>
      </c>
      <c r="DW554" t="s">
        <v>13772</v>
      </c>
      <c r="DX554" t="s">
        <v>35299</v>
      </c>
      <c r="DY554" t="s">
        <v>35300</v>
      </c>
      <c r="DZ554" t="s">
        <v>35301</v>
      </c>
      <c r="EA554" t="s">
        <v>13772</v>
      </c>
      <c r="EB554" t="s">
        <v>13772</v>
      </c>
    </row>
    <row r="555" spans="1:132" hidden="1">
      <c r="A555">
        <v>1130</v>
      </c>
      <c r="B555">
        <v>1</v>
      </c>
      <c r="C555" t="s">
        <v>2717</v>
      </c>
      <c r="D555" t="s">
        <v>2718</v>
      </c>
      <c r="E555" t="s">
        <v>73</v>
      </c>
      <c r="F555" t="s">
        <v>2719</v>
      </c>
      <c r="G555" t="s">
        <v>73</v>
      </c>
      <c r="H555">
        <v>32</v>
      </c>
      <c r="I555">
        <v>713</v>
      </c>
      <c r="J555">
        <v>81201</v>
      </c>
      <c r="K555" t="s">
        <v>2720</v>
      </c>
      <c r="L555">
        <f t="shared" si="34"/>
        <v>64</v>
      </c>
      <c r="N555">
        <v>64</v>
      </c>
      <c r="O555">
        <v>58</v>
      </c>
      <c r="P555">
        <v>0.90600000000000003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6</v>
      </c>
      <c r="Z555">
        <v>2</v>
      </c>
      <c r="AA555">
        <v>4</v>
      </c>
      <c r="AB555">
        <v>5</v>
      </c>
      <c r="AC555">
        <v>6</v>
      </c>
      <c r="AD555">
        <v>8</v>
      </c>
      <c r="AE555">
        <v>7</v>
      </c>
      <c r="AF555">
        <v>6</v>
      </c>
      <c r="AG555">
        <v>5</v>
      </c>
      <c r="AH555">
        <v>6</v>
      </c>
      <c r="AI555">
        <v>7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6</v>
      </c>
      <c r="AS555">
        <v>2</v>
      </c>
      <c r="AT555">
        <v>2</v>
      </c>
      <c r="AU555">
        <v>4</v>
      </c>
      <c r="AV555">
        <v>6</v>
      </c>
      <c r="AW555">
        <v>8</v>
      </c>
      <c r="AX555">
        <v>6</v>
      </c>
      <c r="AY555">
        <v>5</v>
      </c>
      <c r="AZ555">
        <v>5</v>
      </c>
      <c r="BA555">
        <v>6</v>
      </c>
      <c r="BB555">
        <v>7</v>
      </c>
      <c r="BC555" s="2">
        <v>0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6</v>
      </c>
      <c r="BL555" s="2">
        <v>2</v>
      </c>
      <c r="BM555" s="2">
        <v>4</v>
      </c>
      <c r="BN555" s="2">
        <v>4.8</v>
      </c>
      <c r="BO555" s="2">
        <v>6</v>
      </c>
      <c r="BP555" s="2">
        <v>8</v>
      </c>
      <c r="BQ555" s="2">
        <v>6.8570000000000002</v>
      </c>
      <c r="BR555" s="2">
        <v>5.8330000000000002</v>
      </c>
      <c r="BS555" s="2">
        <v>5</v>
      </c>
      <c r="BT555" s="2">
        <v>6</v>
      </c>
      <c r="BU555" s="2">
        <v>7</v>
      </c>
      <c r="BV555" s="2">
        <f t="shared" si="37"/>
        <v>62.49</v>
      </c>
      <c r="BW555" s="16">
        <f t="shared" si="35"/>
        <v>3.2889473684210526</v>
      </c>
      <c r="BX555" s="16">
        <f>COUNTIF($BC$6:BU555, "=0") / COUNTIF($BC$6:BU555, "&gt;-1")</f>
        <v>0.14354066985645933</v>
      </c>
      <c r="BY555" s="18">
        <f>SUM($BC$6:BU555) / $BY$4</f>
        <v>0.8645172273567473</v>
      </c>
      <c r="BZ555" s="14">
        <f t="shared" si="36"/>
        <v>7</v>
      </c>
      <c r="CA555" t="s">
        <v>5831</v>
      </c>
      <c r="CB555" s="36">
        <v>0.30291084895868198</v>
      </c>
      <c r="CC555" s="36">
        <v>0.96306412067744696</v>
      </c>
      <c r="CD555" s="36">
        <v>0.40019941545306398</v>
      </c>
      <c r="CE555" s="36">
        <v>0.37798043978830698</v>
      </c>
      <c r="CF555" s="36">
        <v>0.215044089984223</v>
      </c>
      <c r="CG555" s="36">
        <v>0.23243181165987301</v>
      </c>
      <c r="CH555" s="36">
        <v>0.26351557071616</v>
      </c>
      <c r="CI555" s="36">
        <v>0.24329589949557701</v>
      </c>
      <c r="CJ555" s="37">
        <v>4.7685497594697397</v>
      </c>
      <c r="CK555" s="37">
        <v>2.5225985875531398</v>
      </c>
      <c r="CL555" s="37">
        <v>3.84026087168324</v>
      </c>
      <c r="CM555" s="37">
        <v>5.0792822795996404</v>
      </c>
      <c r="CN555" s="37">
        <v>6.3396687041242901</v>
      </c>
      <c r="CO555" s="37">
        <v>4.5773053082337203</v>
      </c>
      <c r="CP555" s="37">
        <v>7.5427002393121096</v>
      </c>
      <c r="CQ555" s="37">
        <v>10.658457925322301</v>
      </c>
      <c r="CR555" s="45">
        <v>3.4501674688662001</v>
      </c>
      <c r="CS555" s="45">
        <v>15.1174579001996</v>
      </c>
      <c r="CT555" s="46">
        <v>4.3055046570924902E-8</v>
      </c>
      <c r="CU555" s="47">
        <v>3.2363849613425599E-7</v>
      </c>
      <c r="CV555" s="48">
        <v>0.37480527459166701</v>
      </c>
      <c r="CW555" s="49">
        <v>5.6661029594122798</v>
      </c>
      <c r="CX555" s="31" t="s">
        <v>5874</v>
      </c>
      <c r="CY555" s="31" t="s">
        <v>5876</v>
      </c>
      <c r="CZ555" t="s">
        <v>9497</v>
      </c>
      <c r="DA555" t="s">
        <v>5904</v>
      </c>
      <c r="DB555">
        <v>1286.2</v>
      </c>
      <c r="DC555" t="s">
        <v>24697</v>
      </c>
      <c r="DD555" t="s">
        <v>24698</v>
      </c>
      <c r="DE555" t="s">
        <v>24699</v>
      </c>
      <c r="DF555" t="s">
        <v>24700</v>
      </c>
      <c r="DG555" t="s">
        <v>24701</v>
      </c>
      <c r="DH555" t="str">
        <f>"C1R"</f>
        <v>C1R</v>
      </c>
      <c r="DI555" t="s">
        <v>13772</v>
      </c>
      <c r="DJ555" t="s">
        <v>13777</v>
      </c>
      <c r="DK555">
        <v>9606</v>
      </c>
      <c r="DL555" s="34" t="str">
        <f>HYPERLINK("http://www.uniprot.org/uniprot/P00736", "P00736")</f>
        <v>P00736</v>
      </c>
      <c r="DM555" t="s">
        <v>24702</v>
      </c>
      <c r="DN555" t="s">
        <v>20457</v>
      </c>
      <c r="DO555" t="s">
        <v>14321</v>
      </c>
      <c r="DP555" t="s">
        <v>13793</v>
      </c>
      <c r="DQ555" t="s">
        <v>13772</v>
      </c>
      <c r="DR555" t="s">
        <v>15310</v>
      </c>
      <c r="DS555" t="s">
        <v>21282</v>
      </c>
      <c r="DT555" t="s">
        <v>13772</v>
      </c>
      <c r="DU555" t="s">
        <v>15176</v>
      </c>
      <c r="DV555" t="s">
        <v>14770</v>
      </c>
      <c r="DW555" t="s">
        <v>13812</v>
      </c>
      <c r="DX555" t="s">
        <v>24703</v>
      </c>
      <c r="DY555" t="s">
        <v>24704</v>
      </c>
      <c r="DZ555" t="s">
        <v>24705</v>
      </c>
      <c r="EA555" t="s">
        <v>13772</v>
      </c>
      <c r="EB555" t="s">
        <v>20461</v>
      </c>
    </row>
    <row r="556" spans="1:132" hidden="1">
      <c r="A556">
        <v>812</v>
      </c>
      <c r="B556">
        <v>1</v>
      </c>
      <c r="C556" t="s">
        <v>1992</v>
      </c>
      <c r="D556" t="s">
        <v>73</v>
      </c>
      <c r="E556" t="s">
        <v>73</v>
      </c>
      <c r="F556" t="s">
        <v>73</v>
      </c>
      <c r="G556" t="s">
        <v>73</v>
      </c>
      <c r="H556">
        <v>36.6</v>
      </c>
      <c r="I556">
        <v>902</v>
      </c>
      <c r="J556">
        <v>99261</v>
      </c>
      <c r="K556" t="s">
        <v>1993</v>
      </c>
      <c r="L556">
        <f t="shared" si="34"/>
        <v>62</v>
      </c>
      <c r="N556">
        <v>62</v>
      </c>
      <c r="O556">
        <v>62</v>
      </c>
      <c r="P556">
        <v>1</v>
      </c>
      <c r="Q556">
        <v>4</v>
      </c>
      <c r="R556">
        <v>8</v>
      </c>
      <c r="S556">
        <v>1</v>
      </c>
      <c r="T556">
        <v>1</v>
      </c>
      <c r="U556">
        <v>14</v>
      </c>
      <c r="V556">
        <v>15</v>
      </c>
      <c r="W556">
        <v>9</v>
      </c>
      <c r="X556">
        <v>6</v>
      </c>
      <c r="Y556">
        <v>1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4</v>
      </c>
      <c r="AK556">
        <v>8</v>
      </c>
      <c r="AL556">
        <v>1</v>
      </c>
      <c r="AM556">
        <v>1</v>
      </c>
      <c r="AN556">
        <v>14</v>
      </c>
      <c r="AO556">
        <v>15</v>
      </c>
      <c r="AP556">
        <v>9</v>
      </c>
      <c r="AQ556">
        <v>6</v>
      </c>
      <c r="AR556">
        <v>1</v>
      </c>
      <c r="AS556">
        <v>0</v>
      </c>
      <c r="AT556">
        <v>2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 s="2">
        <v>4</v>
      </c>
      <c r="BD556" s="2">
        <v>8</v>
      </c>
      <c r="BE556" s="2">
        <v>1</v>
      </c>
      <c r="BF556" s="2">
        <v>1</v>
      </c>
      <c r="BG556" s="2">
        <v>14</v>
      </c>
      <c r="BH556" s="2">
        <v>15</v>
      </c>
      <c r="BI556" s="2">
        <v>9</v>
      </c>
      <c r="BJ556" s="2">
        <v>6</v>
      </c>
      <c r="BK556" s="2">
        <v>1</v>
      </c>
      <c r="BL556" s="2">
        <v>0</v>
      </c>
      <c r="BM556" s="2">
        <v>2</v>
      </c>
      <c r="BN556" s="2">
        <v>1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f t="shared" si="37"/>
        <v>62</v>
      </c>
      <c r="BW556" s="16">
        <f t="shared" si="35"/>
        <v>3.263157894736842</v>
      </c>
      <c r="BX556" s="16">
        <f>COUNTIF($BC$6:BU556, "=0") / COUNTIF($BC$6:BU556, "&gt;-1")</f>
        <v>0.1440443213296399</v>
      </c>
      <c r="BY556" s="18">
        <f>SUM($BC$6:BU556) / $BY$4</f>
        <v>0.86478281284260672</v>
      </c>
      <c r="BZ556" s="14">
        <f t="shared" si="36"/>
        <v>8</v>
      </c>
      <c r="CA556" t="s">
        <v>5831</v>
      </c>
      <c r="CB556" s="36">
        <v>4.8465735833389196</v>
      </c>
      <c r="CC556" s="36">
        <v>7.7045129654195703</v>
      </c>
      <c r="CD556" s="36">
        <v>1.6007976618122599</v>
      </c>
      <c r="CE556" s="36">
        <v>1.5119217591532299</v>
      </c>
      <c r="CF556" s="36">
        <v>12.042469039116501</v>
      </c>
      <c r="CG556" s="36">
        <v>13.945908699592399</v>
      </c>
      <c r="CH556" s="36">
        <v>9.4865605457817708</v>
      </c>
      <c r="CI556" s="36">
        <v>5.8391015878938397</v>
      </c>
      <c r="CJ556" s="37">
        <v>0.79475829324495695</v>
      </c>
      <c r="CK556" s="37">
        <v>1.2612992937765699</v>
      </c>
      <c r="CL556" s="37">
        <v>0.80005434826734301</v>
      </c>
      <c r="CM556" s="37">
        <v>0.21163676164998499</v>
      </c>
      <c r="CN556" s="37">
        <v>0.22969814145377901</v>
      </c>
      <c r="CO556" s="37">
        <v>0.19729764259628099</v>
      </c>
      <c r="CP556" s="37">
        <v>0.377135011965606</v>
      </c>
      <c r="CQ556" s="37">
        <v>0.38065921161865401</v>
      </c>
      <c r="CR556" s="45">
        <v>-3.42956547982127</v>
      </c>
      <c r="CS556" s="45">
        <v>-13.3985484437413</v>
      </c>
      <c r="CT556" s="46">
        <v>9.9100720149556E-8</v>
      </c>
      <c r="CU556" s="47">
        <v>6.7651409979645905E-7</v>
      </c>
      <c r="CV556" s="48">
        <v>7.1222307302635501</v>
      </c>
      <c r="CW556" s="49">
        <v>0.53156733807164702</v>
      </c>
      <c r="CX556" s="31" t="s">
        <v>5875</v>
      </c>
      <c r="CY556" s="31" t="s">
        <v>5876</v>
      </c>
      <c r="CZ556" t="s">
        <v>8480</v>
      </c>
      <c r="DA556" t="s">
        <v>5904</v>
      </c>
      <c r="DB556">
        <v>1729.2</v>
      </c>
      <c r="DC556" t="s">
        <v>21804</v>
      </c>
      <c r="DD556" t="s">
        <v>21805</v>
      </c>
      <c r="DE556" t="s">
        <v>21806</v>
      </c>
      <c r="DF556" t="s">
        <v>21807</v>
      </c>
      <c r="DG556" t="s">
        <v>21808</v>
      </c>
      <c r="DH556" t="str">
        <f>"ALDH1L1"</f>
        <v>ALDH1L1</v>
      </c>
      <c r="DI556" t="s">
        <v>21809</v>
      </c>
      <c r="DJ556" t="s">
        <v>13777</v>
      </c>
      <c r="DK556">
        <v>9606</v>
      </c>
      <c r="DL556" s="34" t="str">
        <f>HYPERLINK("http://www.uniprot.org/uniprot/O75891", "O75891")</f>
        <v>O75891</v>
      </c>
      <c r="DM556" t="s">
        <v>21810</v>
      </c>
      <c r="DN556" t="s">
        <v>14132</v>
      </c>
      <c r="DO556" t="s">
        <v>13899</v>
      </c>
      <c r="DP556" t="s">
        <v>13780</v>
      </c>
      <c r="DQ556" t="s">
        <v>13772</v>
      </c>
      <c r="DR556" t="s">
        <v>13772</v>
      </c>
      <c r="DS556" t="s">
        <v>13772</v>
      </c>
      <c r="DT556" t="s">
        <v>15759</v>
      </c>
      <c r="DU556" t="s">
        <v>13885</v>
      </c>
      <c r="DV556" t="s">
        <v>21811</v>
      </c>
      <c r="DW556" t="s">
        <v>13812</v>
      </c>
      <c r="DX556" t="s">
        <v>21812</v>
      </c>
      <c r="DY556" t="s">
        <v>15111</v>
      </c>
      <c r="DZ556" t="s">
        <v>21813</v>
      </c>
      <c r="EA556" t="s">
        <v>13772</v>
      </c>
      <c r="EB556" t="s">
        <v>15414</v>
      </c>
    </row>
    <row r="557" spans="1:132" hidden="1">
      <c r="A557">
        <v>1297</v>
      </c>
      <c r="B557">
        <v>1</v>
      </c>
      <c r="C557" t="s">
        <v>3110</v>
      </c>
      <c r="D557" t="s">
        <v>73</v>
      </c>
      <c r="E557" t="s">
        <v>73</v>
      </c>
      <c r="F557" t="s">
        <v>73</v>
      </c>
      <c r="G557" t="s">
        <v>73</v>
      </c>
      <c r="H557">
        <v>66.8</v>
      </c>
      <c r="I557">
        <v>223</v>
      </c>
      <c r="J557">
        <v>24892</v>
      </c>
      <c r="K557" t="s">
        <v>3111</v>
      </c>
      <c r="L557">
        <f t="shared" si="34"/>
        <v>62</v>
      </c>
      <c r="N557">
        <v>62</v>
      </c>
      <c r="O557">
        <v>62</v>
      </c>
      <c r="P557">
        <v>1</v>
      </c>
      <c r="Q557">
        <v>2</v>
      </c>
      <c r="R557">
        <v>7</v>
      </c>
      <c r="S557">
        <v>1</v>
      </c>
      <c r="T557">
        <v>1</v>
      </c>
      <c r="U557">
        <v>8</v>
      </c>
      <c r="V557">
        <v>7</v>
      </c>
      <c r="W557">
        <v>2</v>
      </c>
      <c r="X557">
        <v>12</v>
      </c>
      <c r="Y557">
        <v>5</v>
      </c>
      <c r="Z557">
        <v>0</v>
      </c>
      <c r="AA557">
        <v>3</v>
      </c>
      <c r="AB557">
        <v>1</v>
      </c>
      <c r="AC557">
        <v>3</v>
      </c>
      <c r="AD557">
        <v>0</v>
      </c>
      <c r="AE557">
        <v>5</v>
      </c>
      <c r="AF557">
        <v>5</v>
      </c>
      <c r="AG557">
        <v>0</v>
      </c>
      <c r="AH557">
        <v>0</v>
      </c>
      <c r="AI557">
        <v>0</v>
      </c>
      <c r="AJ557">
        <v>2</v>
      </c>
      <c r="AK557">
        <v>7</v>
      </c>
      <c r="AL557">
        <v>1</v>
      </c>
      <c r="AM557">
        <v>1</v>
      </c>
      <c r="AN557">
        <v>8</v>
      </c>
      <c r="AO557">
        <v>7</v>
      </c>
      <c r="AP557">
        <v>2</v>
      </c>
      <c r="AQ557">
        <v>12</v>
      </c>
      <c r="AR557">
        <v>5</v>
      </c>
      <c r="AS557">
        <v>0</v>
      </c>
      <c r="AT557">
        <v>3</v>
      </c>
      <c r="AU557">
        <v>1</v>
      </c>
      <c r="AV557">
        <v>3</v>
      </c>
      <c r="AW557">
        <v>0</v>
      </c>
      <c r="AX557">
        <v>5</v>
      </c>
      <c r="AY557">
        <v>5</v>
      </c>
      <c r="AZ557">
        <v>0</v>
      </c>
      <c r="BA557">
        <v>0</v>
      </c>
      <c r="BB557">
        <v>0</v>
      </c>
      <c r="BC557" s="2">
        <v>2</v>
      </c>
      <c r="BD557" s="2">
        <v>7</v>
      </c>
      <c r="BE557" s="2">
        <v>1</v>
      </c>
      <c r="BF557" s="2">
        <v>1</v>
      </c>
      <c r="BG557" s="2">
        <v>8</v>
      </c>
      <c r="BH557" s="2">
        <v>7</v>
      </c>
      <c r="BI557" s="2">
        <v>2</v>
      </c>
      <c r="BJ557" s="2">
        <v>12</v>
      </c>
      <c r="BK557" s="2">
        <v>5</v>
      </c>
      <c r="BL557" s="2">
        <v>0</v>
      </c>
      <c r="BM557" s="2">
        <v>3</v>
      </c>
      <c r="BN557" s="2">
        <v>1</v>
      </c>
      <c r="BO557" s="2">
        <v>3</v>
      </c>
      <c r="BP557" s="2">
        <v>0</v>
      </c>
      <c r="BQ557" s="2">
        <v>5</v>
      </c>
      <c r="BR557" s="2">
        <v>5</v>
      </c>
      <c r="BS557" s="2">
        <v>0</v>
      </c>
      <c r="BT557" s="2">
        <v>0</v>
      </c>
      <c r="BU557" s="2">
        <v>0</v>
      </c>
      <c r="BV557" s="2">
        <f t="shared" si="37"/>
        <v>62</v>
      </c>
      <c r="BW557" s="16">
        <f t="shared" si="35"/>
        <v>3.263157894736842</v>
      </c>
      <c r="BX557" s="16">
        <f>COUNTIF($BC$6:BU557, "=0") / COUNTIF($BC$6:BU557, "&gt;-1")</f>
        <v>0.1442601067887109</v>
      </c>
      <c r="BY557" s="18">
        <f>SUM($BC$6:BU557) / $BY$4</f>
        <v>0.86504839832846614</v>
      </c>
      <c r="BZ557" s="14">
        <f t="shared" si="36"/>
        <v>5</v>
      </c>
      <c r="CA557" t="s">
        <v>5831</v>
      </c>
      <c r="CB557" s="36">
        <v>2.4232867916694598</v>
      </c>
      <c r="CC557" s="36">
        <v>6.7414488447421297</v>
      </c>
      <c r="CD557" s="36">
        <v>1.6007976618122599</v>
      </c>
      <c r="CE557" s="36">
        <v>1.5119217591532299</v>
      </c>
      <c r="CF557" s="36">
        <v>6.8814108794951396</v>
      </c>
      <c r="CG557" s="36">
        <v>6.50809072647644</v>
      </c>
      <c r="CH557" s="36">
        <v>2.10812456572928</v>
      </c>
      <c r="CI557" s="36">
        <v>11.678203175787701</v>
      </c>
      <c r="CJ557" s="37">
        <v>3.9737914662247902</v>
      </c>
      <c r="CK557" s="37">
        <v>1.89194894066486</v>
      </c>
      <c r="CL557" s="37">
        <v>0.80005434826734301</v>
      </c>
      <c r="CM557" s="37">
        <v>2.5396411397998202</v>
      </c>
      <c r="CN557" s="37">
        <v>4.5939628290755703</v>
      </c>
      <c r="CO557" s="37">
        <v>3.94595285192562</v>
      </c>
      <c r="CP557" s="37">
        <v>0.377135011965606</v>
      </c>
      <c r="CQ557" s="37">
        <v>0.38065921161865401</v>
      </c>
      <c r="CR557" s="45">
        <v>-1.03680156093645</v>
      </c>
      <c r="CS557" s="45">
        <v>-2.1322473936211201</v>
      </c>
      <c r="CT557" s="46">
        <v>5.0793796298304501E-2</v>
      </c>
      <c r="CU557" s="47">
        <v>7.8842342746092101E-2</v>
      </c>
      <c r="CV557" s="48">
        <v>4.9316605506081999</v>
      </c>
      <c r="CW557" s="49">
        <v>2.3128932249427798</v>
      </c>
      <c r="CX557" s="31" t="s">
        <v>5875</v>
      </c>
      <c r="CY557" s="31" t="s">
        <v>5877</v>
      </c>
      <c r="CZ557" t="s">
        <v>10065</v>
      </c>
      <c r="DA557" t="s">
        <v>5904</v>
      </c>
      <c r="DB557">
        <v>448</v>
      </c>
      <c r="DC557" t="s">
        <v>26321</v>
      </c>
      <c r="DD557" t="s">
        <v>26322</v>
      </c>
      <c r="DE557" t="s">
        <v>26323</v>
      </c>
      <c r="DF557" t="s">
        <v>26324</v>
      </c>
      <c r="DG557" t="s">
        <v>26325</v>
      </c>
      <c r="DH557" t="str">
        <f>"UCHL1"</f>
        <v>UCHL1</v>
      </c>
      <c r="DI557" t="s">
        <v>13772</v>
      </c>
      <c r="DJ557" t="s">
        <v>13777</v>
      </c>
      <c r="DK557">
        <v>9606</v>
      </c>
      <c r="DL557" s="34" t="str">
        <f>HYPERLINK("http://www.uniprot.org/uniprot/P09936", "P09936")</f>
        <v>P09936</v>
      </c>
      <c r="DM557" t="s">
        <v>26326</v>
      </c>
      <c r="DN557" t="s">
        <v>14109</v>
      </c>
      <c r="DO557" t="s">
        <v>20724</v>
      </c>
      <c r="DP557" t="s">
        <v>13793</v>
      </c>
      <c r="DQ557" t="s">
        <v>13772</v>
      </c>
      <c r="DR557" t="s">
        <v>26327</v>
      </c>
      <c r="DS557" t="s">
        <v>13772</v>
      </c>
      <c r="DT557" t="s">
        <v>13772</v>
      </c>
      <c r="DU557" t="s">
        <v>14083</v>
      </c>
      <c r="DV557" t="s">
        <v>26328</v>
      </c>
      <c r="DW557" t="s">
        <v>13812</v>
      </c>
      <c r="DX557" t="s">
        <v>26329</v>
      </c>
      <c r="DY557" t="s">
        <v>26330</v>
      </c>
      <c r="DZ557" t="s">
        <v>26331</v>
      </c>
      <c r="EA557" t="s">
        <v>13772</v>
      </c>
      <c r="EB557" t="s">
        <v>26332</v>
      </c>
    </row>
    <row r="558" spans="1:132" hidden="1">
      <c r="A558">
        <v>1400</v>
      </c>
      <c r="B558">
        <v>1</v>
      </c>
      <c r="C558" t="s">
        <v>3343</v>
      </c>
      <c r="D558" t="s">
        <v>73</v>
      </c>
      <c r="E558" t="s">
        <v>73</v>
      </c>
      <c r="F558" t="s">
        <v>73</v>
      </c>
      <c r="G558" t="s">
        <v>73</v>
      </c>
      <c r="H558">
        <v>12.6</v>
      </c>
      <c r="I558">
        <v>2897</v>
      </c>
      <c r="J558">
        <v>333619</v>
      </c>
      <c r="K558" t="s">
        <v>3344</v>
      </c>
      <c r="L558">
        <f t="shared" si="34"/>
        <v>62</v>
      </c>
      <c r="N558">
        <v>62</v>
      </c>
      <c r="O558">
        <v>62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6</v>
      </c>
      <c r="Y558">
        <v>0</v>
      </c>
      <c r="Z558">
        <v>0</v>
      </c>
      <c r="AA558">
        <v>21</v>
      </c>
      <c r="AB558">
        <v>12</v>
      </c>
      <c r="AC558">
        <v>1</v>
      </c>
      <c r="AD558">
        <v>3</v>
      </c>
      <c r="AE558">
        <v>1</v>
      </c>
      <c r="AF558">
        <v>5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6</v>
      </c>
      <c r="AR558">
        <v>0</v>
      </c>
      <c r="AS558">
        <v>0</v>
      </c>
      <c r="AT558">
        <v>21</v>
      </c>
      <c r="AU558">
        <v>12</v>
      </c>
      <c r="AV558">
        <v>1</v>
      </c>
      <c r="AW558">
        <v>3</v>
      </c>
      <c r="AX558">
        <v>1</v>
      </c>
      <c r="AY558">
        <v>5</v>
      </c>
      <c r="AZ558">
        <v>6</v>
      </c>
      <c r="BA558">
        <v>2</v>
      </c>
      <c r="BB558">
        <v>4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6</v>
      </c>
      <c r="BK558" s="2">
        <v>0</v>
      </c>
      <c r="BL558" s="2">
        <v>0</v>
      </c>
      <c r="BM558" s="2">
        <v>21</v>
      </c>
      <c r="BN558" s="2">
        <v>12</v>
      </c>
      <c r="BO558" s="2">
        <v>1</v>
      </c>
      <c r="BP558" s="2">
        <v>3</v>
      </c>
      <c r="BQ558" s="2">
        <v>1</v>
      </c>
      <c r="BR558" s="2">
        <v>5</v>
      </c>
      <c r="BS558" s="2">
        <v>6</v>
      </c>
      <c r="BT558" s="2">
        <v>2</v>
      </c>
      <c r="BU558" s="2">
        <v>4</v>
      </c>
      <c r="BV558" s="2">
        <f t="shared" si="37"/>
        <v>62</v>
      </c>
      <c r="BW558" s="16">
        <f t="shared" si="35"/>
        <v>3.263157894736842</v>
      </c>
      <c r="BX558" s="16">
        <f>COUNTIF($BC$6:BU558, "=0") / COUNTIF($BC$6:BU558, "&gt;-1")</f>
        <v>0.14476063576663176</v>
      </c>
      <c r="BY558" s="18">
        <f>SUM($BC$6:BU558) / $BY$4</f>
        <v>0.86531398381432556</v>
      </c>
      <c r="BZ558" s="14">
        <f t="shared" si="36"/>
        <v>8</v>
      </c>
      <c r="CA558" t="s">
        <v>5831</v>
      </c>
      <c r="CB558" s="36">
        <v>0.30291084895868198</v>
      </c>
      <c r="CC558" s="36">
        <v>0.24076603016936199</v>
      </c>
      <c r="CD558" s="36">
        <v>0.40019941545306398</v>
      </c>
      <c r="CE558" s="36">
        <v>0.37798043978830698</v>
      </c>
      <c r="CF558" s="36">
        <v>0.215044089984223</v>
      </c>
      <c r="CG558" s="36">
        <v>0.23243181165987301</v>
      </c>
      <c r="CH558" s="36">
        <v>1.05406228286464</v>
      </c>
      <c r="CI558" s="36">
        <v>5.8391015878938397</v>
      </c>
      <c r="CJ558" s="37">
        <v>0.19868957331123899</v>
      </c>
      <c r="CK558" s="37">
        <v>13.243642584653999</v>
      </c>
      <c r="CL558" s="37">
        <v>9.6006521792081099</v>
      </c>
      <c r="CM558" s="37">
        <v>0.84654704659994096</v>
      </c>
      <c r="CN558" s="37">
        <v>0.91879256581511404</v>
      </c>
      <c r="CO558" s="37">
        <v>3.94595285192562</v>
      </c>
      <c r="CP558" s="37">
        <v>9.0512402871745401</v>
      </c>
      <c r="CQ558" s="37">
        <v>6.0905473858984696</v>
      </c>
      <c r="CR558" s="45">
        <v>2.1639278596874498</v>
      </c>
      <c r="CS558" s="45">
        <v>5.0673687937733503</v>
      </c>
      <c r="CT558" s="46">
        <v>9.4103152062121592E-3</v>
      </c>
      <c r="CU558" s="47">
        <v>1.7439060589905599E-2</v>
      </c>
      <c r="CV558" s="48">
        <v>1.0828120633464999</v>
      </c>
      <c r="CW558" s="49">
        <v>5.4870080593233803</v>
      </c>
      <c r="CX558" s="31" t="s">
        <v>5874</v>
      </c>
      <c r="CY558" s="31" t="s">
        <v>5878</v>
      </c>
      <c r="CZ558" t="s">
        <v>10410</v>
      </c>
      <c r="DA558" t="s">
        <v>5904</v>
      </c>
      <c r="DB558">
        <v>5518.7</v>
      </c>
      <c r="DC558" t="s">
        <v>27296</v>
      </c>
      <c r="DD558" t="s">
        <v>27297</v>
      </c>
      <c r="DE558" t="s">
        <v>27298</v>
      </c>
      <c r="DF558" t="s">
        <v>27299</v>
      </c>
      <c r="DG558" t="s">
        <v>27300</v>
      </c>
      <c r="DH558" t="str">
        <f>"DSP"</f>
        <v>DSP</v>
      </c>
      <c r="DI558" t="s">
        <v>13772</v>
      </c>
      <c r="DJ558" t="s">
        <v>13777</v>
      </c>
      <c r="DK558">
        <v>9606</v>
      </c>
      <c r="DL558" s="34" t="str">
        <f>HYPERLINK("http://www.uniprot.org/uniprot/P15924", "P15924")</f>
        <v>P15924</v>
      </c>
      <c r="DM558" t="s">
        <v>27301</v>
      </c>
      <c r="DN558" t="s">
        <v>13772</v>
      </c>
      <c r="DO558" t="s">
        <v>17480</v>
      </c>
      <c r="DP558" t="s">
        <v>13780</v>
      </c>
      <c r="DQ558" t="s">
        <v>13772</v>
      </c>
      <c r="DR558" t="s">
        <v>27302</v>
      </c>
      <c r="DS558" t="s">
        <v>19296</v>
      </c>
      <c r="DT558" t="s">
        <v>13772</v>
      </c>
      <c r="DU558" t="s">
        <v>13772</v>
      </c>
      <c r="DV558" t="s">
        <v>14478</v>
      </c>
      <c r="DW558" t="s">
        <v>13812</v>
      </c>
      <c r="DX558" t="s">
        <v>27303</v>
      </c>
      <c r="DY558" t="s">
        <v>27304</v>
      </c>
      <c r="DZ558" t="s">
        <v>27305</v>
      </c>
      <c r="EA558" t="s">
        <v>13772</v>
      </c>
      <c r="EB558" t="s">
        <v>17989</v>
      </c>
    </row>
    <row r="559" spans="1:132" hidden="1">
      <c r="A559">
        <v>1573</v>
      </c>
      <c r="B559">
        <v>1</v>
      </c>
      <c r="C559" t="s">
        <v>3728</v>
      </c>
      <c r="D559" t="s">
        <v>73</v>
      </c>
      <c r="E559" t="s">
        <v>73</v>
      </c>
      <c r="F559" t="s">
        <v>73</v>
      </c>
      <c r="G559" t="s">
        <v>73</v>
      </c>
      <c r="H559">
        <v>43</v>
      </c>
      <c r="I559">
        <v>79</v>
      </c>
      <c r="J559">
        <v>8433</v>
      </c>
      <c r="K559" t="s">
        <v>3729</v>
      </c>
      <c r="L559">
        <f t="shared" si="34"/>
        <v>62</v>
      </c>
      <c r="N559">
        <v>62</v>
      </c>
      <c r="O559">
        <v>62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4</v>
      </c>
      <c r="Z559">
        <v>4</v>
      </c>
      <c r="AA559">
        <v>8</v>
      </c>
      <c r="AB559">
        <v>8</v>
      </c>
      <c r="AC559">
        <v>5</v>
      </c>
      <c r="AD559">
        <v>1</v>
      </c>
      <c r="AE559">
        <v>9</v>
      </c>
      <c r="AF559">
        <v>9</v>
      </c>
      <c r="AG559">
        <v>4</v>
      </c>
      <c r="AH559">
        <v>0</v>
      </c>
      <c r="AI559">
        <v>7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4</v>
      </c>
      <c r="AS559">
        <v>4</v>
      </c>
      <c r="AT559">
        <v>8</v>
      </c>
      <c r="AU559">
        <v>8</v>
      </c>
      <c r="AV559">
        <v>5</v>
      </c>
      <c r="AW559">
        <v>1</v>
      </c>
      <c r="AX559">
        <v>9</v>
      </c>
      <c r="AY559">
        <v>9</v>
      </c>
      <c r="AZ559">
        <v>4</v>
      </c>
      <c r="BA559">
        <v>0</v>
      </c>
      <c r="BB559">
        <v>7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1</v>
      </c>
      <c r="BK559" s="2">
        <v>4</v>
      </c>
      <c r="BL559" s="2">
        <v>4</v>
      </c>
      <c r="BM559" s="2">
        <v>8</v>
      </c>
      <c r="BN559" s="2">
        <v>8</v>
      </c>
      <c r="BO559" s="2">
        <v>5</v>
      </c>
      <c r="BP559" s="2">
        <v>1</v>
      </c>
      <c r="BQ559" s="2">
        <v>9</v>
      </c>
      <c r="BR559" s="2">
        <v>9</v>
      </c>
      <c r="BS559" s="2">
        <v>4</v>
      </c>
      <c r="BT559" s="2">
        <v>0</v>
      </c>
      <c r="BU559" s="2">
        <v>7</v>
      </c>
      <c r="BV559" s="2">
        <f t="shared" si="37"/>
        <v>62</v>
      </c>
      <c r="BW559" s="16">
        <f t="shared" si="35"/>
        <v>3.263157894736842</v>
      </c>
      <c r="BX559" s="16">
        <f>COUNTIF($BC$6:BU559, "=0") / COUNTIF($BC$6:BU559, "&gt;-1")</f>
        <v>0.14506935208056243</v>
      </c>
      <c r="BY559" s="18">
        <f>SUM($BC$6:BU559) / $BY$4</f>
        <v>0.86557956930018498</v>
      </c>
      <c r="BZ559" s="14">
        <f t="shared" si="36"/>
        <v>6</v>
      </c>
      <c r="CA559" t="s">
        <v>5831</v>
      </c>
      <c r="CB559" s="36">
        <v>1.2116433958347299</v>
      </c>
      <c r="CC559" s="36">
        <v>0.96306412067744696</v>
      </c>
      <c r="CD559" s="36">
        <v>0.40019941545306398</v>
      </c>
      <c r="CE559" s="36">
        <v>0.37798043978830698</v>
      </c>
      <c r="CF559" s="36">
        <v>0.215044089984223</v>
      </c>
      <c r="CG559" s="36">
        <v>0.23243181165987301</v>
      </c>
      <c r="CH559" s="36">
        <v>0.26351557071616</v>
      </c>
      <c r="CI559" s="36">
        <v>0.97318359798230603</v>
      </c>
      <c r="CJ559" s="37">
        <v>3.17903317297983</v>
      </c>
      <c r="CK559" s="37">
        <v>5.0451971751062796</v>
      </c>
      <c r="CL559" s="37">
        <v>6.4004347861387396</v>
      </c>
      <c r="CM559" s="37">
        <v>4.2327352329997003</v>
      </c>
      <c r="CN559" s="37">
        <v>8.2691330923360304</v>
      </c>
      <c r="CO559" s="37">
        <v>7.1027151334661296</v>
      </c>
      <c r="CP559" s="37">
        <v>6.0341601914496898</v>
      </c>
      <c r="CQ559" s="37">
        <v>10.658457925322301</v>
      </c>
      <c r="CR559" s="45">
        <v>3.1619556527163701</v>
      </c>
      <c r="CS559" s="45">
        <v>10.981492560358999</v>
      </c>
      <c r="CT559" s="46">
        <v>1.8863776566786701E-8</v>
      </c>
      <c r="CU559" s="47">
        <v>1.6179316055359299E-7</v>
      </c>
      <c r="CV559" s="48">
        <v>0.57963280526201399</v>
      </c>
      <c r="CW559" s="49">
        <v>6.3652333387248401</v>
      </c>
      <c r="CX559" s="31" t="s">
        <v>5874</v>
      </c>
      <c r="CY559" s="31" t="s">
        <v>5876</v>
      </c>
      <c r="CZ559" t="s">
        <v>10982</v>
      </c>
      <c r="DA559" t="s">
        <v>5904</v>
      </c>
      <c r="DB559">
        <v>101.3</v>
      </c>
      <c r="DC559" t="s">
        <v>28889</v>
      </c>
      <c r="DD559" t="s">
        <v>28890</v>
      </c>
      <c r="DE559" t="s">
        <v>28891</v>
      </c>
      <c r="DF559" t="s">
        <v>28892</v>
      </c>
      <c r="DG559" t="s">
        <v>13772</v>
      </c>
      <c r="DH559" t="str">
        <f>"SPINK1"</f>
        <v>SPINK1</v>
      </c>
      <c r="DI559" t="s">
        <v>28893</v>
      </c>
      <c r="DJ559" t="s">
        <v>13777</v>
      </c>
      <c r="DK559">
        <v>9606</v>
      </c>
      <c r="DL559" s="34" t="str">
        <f>HYPERLINK("http://www.uniprot.org/uniprot/P00995", "P00995")</f>
        <v>P00995</v>
      </c>
      <c r="DM559" t="s">
        <v>28894</v>
      </c>
      <c r="DN559" t="s">
        <v>13772</v>
      </c>
      <c r="DO559" t="s">
        <v>14321</v>
      </c>
      <c r="DP559" t="s">
        <v>13793</v>
      </c>
      <c r="DQ559" t="s">
        <v>13772</v>
      </c>
      <c r="DR559" t="s">
        <v>13807</v>
      </c>
      <c r="DS559" t="s">
        <v>13808</v>
      </c>
      <c r="DT559" t="s">
        <v>13772</v>
      </c>
      <c r="DU559" t="s">
        <v>14375</v>
      </c>
      <c r="DV559" t="s">
        <v>14506</v>
      </c>
      <c r="DW559" t="s">
        <v>13812</v>
      </c>
      <c r="DX559" t="s">
        <v>28895</v>
      </c>
      <c r="DY559" t="s">
        <v>15835</v>
      </c>
      <c r="DZ559" t="s">
        <v>20851</v>
      </c>
      <c r="EA559" t="s">
        <v>13772</v>
      </c>
      <c r="EB559" t="s">
        <v>13772</v>
      </c>
    </row>
    <row r="560" spans="1:132" hidden="1">
      <c r="A560">
        <v>1602</v>
      </c>
      <c r="B560">
        <v>1</v>
      </c>
      <c r="C560" t="s">
        <v>3796</v>
      </c>
      <c r="D560" t="s">
        <v>3797</v>
      </c>
      <c r="E560" t="s">
        <v>73</v>
      </c>
      <c r="F560" t="s">
        <v>73</v>
      </c>
      <c r="G560" t="s">
        <v>73</v>
      </c>
      <c r="H560">
        <v>18.600000000000001</v>
      </c>
      <c r="I560">
        <v>698</v>
      </c>
      <c r="J560">
        <v>76251</v>
      </c>
      <c r="K560" t="s">
        <v>3798</v>
      </c>
      <c r="L560">
        <f t="shared" si="34"/>
        <v>62</v>
      </c>
      <c r="N560">
        <v>62</v>
      </c>
      <c r="O560">
        <v>62</v>
      </c>
      <c r="P560">
        <v>1</v>
      </c>
      <c r="Q560">
        <v>0</v>
      </c>
      <c r="R560">
        <v>2</v>
      </c>
      <c r="S560">
        <v>1</v>
      </c>
      <c r="T560">
        <v>9</v>
      </c>
      <c r="U560">
        <v>19</v>
      </c>
      <c r="V560">
        <v>16</v>
      </c>
      <c r="W560">
        <v>5</v>
      </c>
      <c r="X560">
        <v>3</v>
      </c>
      <c r="Y560">
        <v>2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2</v>
      </c>
      <c r="AL560">
        <v>1</v>
      </c>
      <c r="AM560">
        <v>9</v>
      </c>
      <c r="AN560">
        <v>19</v>
      </c>
      <c r="AO560">
        <v>16</v>
      </c>
      <c r="AP560">
        <v>5</v>
      </c>
      <c r="AQ560">
        <v>3</v>
      </c>
      <c r="AR560">
        <v>2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1</v>
      </c>
      <c r="AY560">
        <v>2</v>
      </c>
      <c r="AZ560">
        <v>0</v>
      </c>
      <c r="BA560">
        <v>0</v>
      </c>
      <c r="BB560">
        <v>1</v>
      </c>
      <c r="BC560" s="2">
        <v>0</v>
      </c>
      <c r="BD560" s="2">
        <v>2</v>
      </c>
      <c r="BE560" s="2">
        <v>1</v>
      </c>
      <c r="BF560" s="2">
        <v>9</v>
      </c>
      <c r="BG560" s="2">
        <v>19</v>
      </c>
      <c r="BH560" s="2">
        <v>16</v>
      </c>
      <c r="BI560" s="2">
        <v>5</v>
      </c>
      <c r="BJ560" s="2">
        <v>3</v>
      </c>
      <c r="BK560" s="2">
        <v>2</v>
      </c>
      <c r="BL560" s="2">
        <v>0</v>
      </c>
      <c r="BM560" s="2">
        <v>1</v>
      </c>
      <c r="BN560" s="2">
        <v>0</v>
      </c>
      <c r="BO560" s="2">
        <v>0</v>
      </c>
      <c r="BP560" s="2">
        <v>0</v>
      </c>
      <c r="BQ560" s="2">
        <v>1</v>
      </c>
      <c r="BR560" s="2">
        <v>2</v>
      </c>
      <c r="BS560" s="2">
        <v>0</v>
      </c>
      <c r="BT560" s="2">
        <v>0</v>
      </c>
      <c r="BU560" s="2">
        <v>1</v>
      </c>
      <c r="BV560" s="2">
        <f t="shared" si="37"/>
        <v>62</v>
      </c>
      <c r="BW560" s="16">
        <f t="shared" si="35"/>
        <v>3.263157894736842</v>
      </c>
      <c r="BX560" s="16">
        <f>COUNTIF($BC$6:BU560, "=0") / COUNTIF($BC$6:BU560, "&gt;-1")</f>
        <v>0.14547178757705073</v>
      </c>
      <c r="BY560" s="18">
        <f>SUM($BC$6:BU560) / $BY$4</f>
        <v>0.8658451547860444</v>
      </c>
      <c r="BZ560" s="14">
        <f t="shared" si="36"/>
        <v>7</v>
      </c>
      <c r="CA560" t="s">
        <v>5831</v>
      </c>
      <c r="CB560" s="36">
        <v>0.30291084895868198</v>
      </c>
      <c r="CC560" s="36">
        <v>1.9261282413548899</v>
      </c>
      <c r="CD560" s="36">
        <v>1.6007976618122599</v>
      </c>
      <c r="CE560" s="36">
        <v>13.6072958323791</v>
      </c>
      <c r="CF560" s="36">
        <v>16.343350838801001</v>
      </c>
      <c r="CG560" s="36">
        <v>14.875635946231901</v>
      </c>
      <c r="CH560" s="36">
        <v>5.2703114143232002</v>
      </c>
      <c r="CI560" s="36">
        <v>2.9195507939469199</v>
      </c>
      <c r="CJ560" s="37">
        <v>1.5895165864899099</v>
      </c>
      <c r="CK560" s="37">
        <v>0.63064964688828595</v>
      </c>
      <c r="CL560" s="37">
        <v>0.200013587066836</v>
      </c>
      <c r="CM560" s="37">
        <v>0.21163676164998499</v>
      </c>
      <c r="CN560" s="37">
        <v>0.91879256581511404</v>
      </c>
      <c r="CO560" s="37">
        <v>1.5783811407702499</v>
      </c>
      <c r="CP560" s="37">
        <v>0.377135011965606</v>
      </c>
      <c r="CQ560" s="37">
        <v>1.5226368464746201</v>
      </c>
      <c r="CR560" s="45">
        <v>-2.8787636445691298</v>
      </c>
      <c r="CS560" s="45">
        <v>-8.0876234517475094</v>
      </c>
      <c r="CT560" s="46">
        <v>1.28741810976034E-4</v>
      </c>
      <c r="CU560" s="47">
        <v>3.5298471943838997E-4</v>
      </c>
      <c r="CV560" s="48">
        <v>7.1057476972259801</v>
      </c>
      <c r="CW560" s="49">
        <v>0.87859526839007596</v>
      </c>
      <c r="CX560" s="31" t="s">
        <v>5875</v>
      </c>
      <c r="CY560" s="31" t="s">
        <v>5876</v>
      </c>
      <c r="CZ560" t="s">
        <v>11082</v>
      </c>
      <c r="DA560" t="s">
        <v>5904</v>
      </c>
      <c r="DB560">
        <v>973</v>
      </c>
      <c r="DC560" t="s">
        <v>29159</v>
      </c>
      <c r="DD560" t="s">
        <v>29160</v>
      </c>
      <c r="DE560" t="s">
        <v>29161</v>
      </c>
      <c r="DF560" t="s">
        <v>29162</v>
      </c>
      <c r="DG560" t="s">
        <v>29163</v>
      </c>
      <c r="DH560" t="str">
        <f>"DBN1"</f>
        <v>DBN1</v>
      </c>
      <c r="DI560" t="s">
        <v>29164</v>
      </c>
      <c r="DJ560" t="s">
        <v>13777</v>
      </c>
      <c r="DK560">
        <v>9606</v>
      </c>
      <c r="DL560" s="34" t="str">
        <f>HYPERLINK("http://www.uniprot.org/uniprot/Q16643", "Q16643")</f>
        <v>Q16643</v>
      </c>
      <c r="DM560" t="s">
        <v>29165</v>
      </c>
      <c r="DN560" t="s">
        <v>14726</v>
      </c>
      <c r="DO560" t="s">
        <v>29166</v>
      </c>
      <c r="DP560" t="s">
        <v>13780</v>
      </c>
      <c r="DQ560" t="s">
        <v>13772</v>
      </c>
      <c r="DR560" t="s">
        <v>29167</v>
      </c>
      <c r="DS560" t="s">
        <v>13772</v>
      </c>
      <c r="DT560" t="s">
        <v>13772</v>
      </c>
      <c r="DU560" t="s">
        <v>19657</v>
      </c>
      <c r="DV560" t="s">
        <v>13886</v>
      </c>
      <c r="DW560" t="s">
        <v>13812</v>
      </c>
      <c r="DX560" t="s">
        <v>29168</v>
      </c>
      <c r="DY560" t="s">
        <v>29169</v>
      </c>
      <c r="DZ560" t="s">
        <v>29170</v>
      </c>
      <c r="EA560" t="s">
        <v>13772</v>
      </c>
      <c r="EB560" t="s">
        <v>13772</v>
      </c>
    </row>
    <row r="561" spans="1:132" hidden="1">
      <c r="A561">
        <v>1903</v>
      </c>
      <c r="B561">
        <v>1</v>
      </c>
      <c r="C561" t="s">
        <v>4487</v>
      </c>
      <c r="D561" t="s">
        <v>73</v>
      </c>
      <c r="E561" t="s">
        <v>73</v>
      </c>
      <c r="F561" t="s">
        <v>73</v>
      </c>
      <c r="G561" t="s">
        <v>73</v>
      </c>
      <c r="H561">
        <v>42.3</v>
      </c>
      <c r="I561">
        <v>298</v>
      </c>
      <c r="J561">
        <v>34198</v>
      </c>
      <c r="K561" t="s">
        <v>4488</v>
      </c>
      <c r="L561">
        <f t="shared" si="34"/>
        <v>62</v>
      </c>
      <c r="N561">
        <v>62</v>
      </c>
      <c r="O561">
        <v>62</v>
      </c>
      <c r="P561">
        <v>1</v>
      </c>
      <c r="Q561">
        <v>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</v>
      </c>
      <c r="Y561">
        <v>5</v>
      </c>
      <c r="Z561">
        <v>0</v>
      </c>
      <c r="AA561">
        <v>9</v>
      </c>
      <c r="AB561">
        <v>10</v>
      </c>
      <c r="AC561">
        <v>7</v>
      </c>
      <c r="AD561">
        <v>0</v>
      </c>
      <c r="AE561">
        <v>3</v>
      </c>
      <c r="AF561">
        <v>4</v>
      </c>
      <c r="AG561">
        <v>3</v>
      </c>
      <c r="AH561">
        <v>1</v>
      </c>
      <c r="AI561">
        <v>5</v>
      </c>
      <c r="AJ561">
        <v>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10</v>
      </c>
      <c r="AR561">
        <v>5</v>
      </c>
      <c r="AS561">
        <v>0</v>
      </c>
      <c r="AT561">
        <v>9</v>
      </c>
      <c r="AU561">
        <v>10</v>
      </c>
      <c r="AV561">
        <v>7</v>
      </c>
      <c r="AW561">
        <v>0</v>
      </c>
      <c r="AX561">
        <v>3</v>
      </c>
      <c r="AY561">
        <v>4</v>
      </c>
      <c r="AZ561">
        <v>3</v>
      </c>
      <c r="BA561">
        <v>1</v>
      </c>
      <c r="BB561">
        <v>5</v>
      </c>
      <c r="BC561" s="2">
        <v>5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10</v>
      </c>
      <c r="BK561" s="2">
        <v>5</v>
      </c>
      <c r="BL561" s="2">
        <v>0</v>
      </c>
      <c r="BM561" s="2">
        <v>9</v>
      </c>
      <c r="BN561" s="2">
        <v>10</v>
      </c>
      <c r="BO561" s="2">
        <v>7</v>
      </c>
      <c r="BP561" s="2">
        <v>0</v>
      </c>
      <c r="BQ561" s="2">
        <v>3</v>
      </c>
      <c r="BR561" s="2">
        <v>4</v>
      </c>
      <c r="BS561" s="2">
        <v>3</v>
      </c>
      <c r="BT561" s="2">
        <v>1</v>
      </c>
      <c r="BU561" s="2">
        <v>5</v>
      </c>
      <c r="BV561" s="2">
        <f t="shared" si="37"/>
        <v>62</v>
      </c>
      <c r="BW561" s="16">
        <f t="shared" si="35"/>
        <v>3.263157894736842</v>
      </c>
      <c r="BX561" s="16">
        <f>COUNTIF($BC$6:BU561, "=0") / COUNTIF($BC$6:BU561, "&gt;-1")</f>
        <v>0.14596743657705413</v>
      </c>
      <c r="BY561" s="18">
        <f>SUM($BC$6:BU561) / $BY$4</f>
        <v>0.86611074027190382</v>
      </c>
      <c r="BZ561" s="14">
        <f t="shared" si="36"/>
        <v>8</v>
      </c>
      <c r="CA561" t="s">
        <v>5831</v>
      </c>
      <c r="CB561" s="36">
        <v>6.0582169791736504</v>
      </c>
      <c r="CC561" s="36">
        <v>0.24076603016936199</v>
      </c>
      <c r="CD561" s="36">
        <v>0.40019941545306398</v>
      </c>
      <c r="CE561" s="36">
        <v>0.37798043978830698</v>
      </c>
      <c r="CF561" s="36">
        <v>0.215044089984223</v>
      </c>
      <c r="CG561" s="36">
        <v>0.23243181165987301</v>
      </c>
      <c r="CH561" s="36">
        <v>0.26351557071616</v>
      </c>
      <c r="CI561" s="36">
        <v>9.7318359798230603</v>
      </c>
      <c r="CJ561" s="37">
        <v>3.9737914662247902</v>
      </c>
      <c r="CK561" s="37">
        <v>5.6758468219945701</v>
      </c>
      <c r="CL561" s="37">
        <v>8.0005434826734305</v>
      </c>
      <c r="CM561" s="37">
        <v>5.9258293261995796</v>
      </c>
      <c r="CN561" s="37">
        <v>2.7563776974453398</v>
      </c>
      <c r="CO561" s="37">
        <v>3.1567622815404999</v>
      </c>
      <c r="CP561" s="37">
        <v>4.5256201435872701</v>
      </c>
      <c r="CQ561" s="37">
        <v>7.6131842323730803</v>
      </c>
      <c r="CR561" s="45">
        <v>1.17234799232829</v>
      </c>
      <c r="CS561" s="45">
        <v>2.3760261677883499</v>
      </c>
      <c r="CT561" s="46">
        <v>8.7427421576247694E-2</v>
      </c>
      <c r="CU561" s="47">
        <v>0.12605376085023601</v>
      </c>
      <c r="CV561" s="48">
        <v>2.1899987895959598</v>
      </c>
      <c r="CW561" s="49">
        <v>5.2034944315048204</v>
      </c>
      <c r="CX561" s="31" t="s">
        <v>5874</v>
      </c>
      <c r="CY561" s="31" t="s">
        <v>5832</v>
      </c>
      <c r="CZ561" t="s">
        <v>12096</v>
      </c>
      <c r="DA561" t="s">
        <v>5904</v>
      </c>
      <c r="DB561">
        <v>538.1</v>
      </c>
      <c r="DC561" t="s">
        <v>32011</v>
      </c>
      <c r="DD561" t="s">
        <v>32012</v>
      </c>
      <c r="DE561" t="s">
        <v>32013</v>
      </c>
      <c r="DF561" t="s">
        <v>32014</v>
      </c>
      <c r="DG561" t="s">
        <v>32015</v>
      </c>
      <c r="DH561" t="str">
        <f>"OGN"</f>
        <v>OGN</v>
      </c>
      <c r="DI561" t="s">
        <v>32016</v>
      </c>
      <c r="DJ561" t="s">
        <v>13777</v>
      </c>
      <c r="DK561">
        <v>9606</v>
      </c>
      <c r="DL561" s="34" t="str">
        <f>HYPERLINK("http://www.uniprot.org/uniprot/P20774", "P20774")</f>
        <v>P20774</v>
      </c>
      <c r="DM561" t="s">
        <v>32017</v>
      </c>
      <c r="DN561" t="s">
        <v>13772</v>
      </c>
      <c r="DO561" t="s">
        <v>13869</v>
      </c>
      <c r="DP561" t="s">
        <v>13772</v>
      </c>
      <c r="DQ561" t="s">
        <v>13772</v>
      </c>
      <c r="DR561" t="s">
        <v>13772</v>
      </c>
      <c r="DS561" t="s">
        <v>19328</v>
      </c>
      <c r="DT561" t="s">
        <v>13772</v>
      </c>
      <c r="DU561" t="s">
        <v>15740</v>
      </c>
      <c r="DV561" t="s">
        <v>13796</v>
      </c>
      <c r="DW561" t="s">
        <v>13772</v>
      </c>
      <c r="DX561" t="s">
        <v>32018</v>
      </c>
      <c r="DY561" t="s">
        <v>32019</v>
      </c>
      <c r="DZ561" t="s">
        <v>22024</v>
      </c>
      <c r="EA561" t="s">
        <v>13772</v>
      </c>
      <c r="EB561" t="s">
        <v>31606</v>
      </c>
    </row>
    <row r="562" spans="1:132" hidden="1">
      <c r="A562">
        <v>551</v>
      </c>
      <c r="B562">
        <v>1</v>
      </c>
      <c r="C562" t="s">
        <v>1375</v>
      </c>
      <c r="D562" t="s">
        <v>73</v>
      </c>
      <c r="E562" t="s">
        <v>73</v>
      </c>
      <c r="F562" t="s">
        <v>73</v>
      </c>
      <c r="G562" t="s">
        <v>73</v>
      </c>
      <c r="H562">
        <v>15.5</v>
      </c>
      <c r="I562">
        <v>471</v>
      </c>
      <c r="J562">
        <v>52385</v>
      </c>
      <c r="K562" t="s">
        <v>1376</v>
      </c>
      <c r="L562">
        <f t="shared" si="34"/>
        <v>61</v>
      </c>
      <c r="N562">
        <v>61</v>
      </c>
      <c r="O562">
        <v>61</v>
      </c>
      <c r="P562">
        <v>1</v>
      </c>
      <c r="Q562">
        <v>3</v>
      </c>
      <c r="R562">
        <v>9</v>
      </c>
      <c r="S562">
        <v>5</v>
      </c>
      <c r="T562">
        <v>7</v>
      </c>
      <c r="U562">
        <v>9</v>
      </c>
      <c r="V562">
        <v>10</v>
      </c>
      <c r="W562">
        <v>4</v>
      </c>
      <c r="X562">
        <v>2</v>
      </c>
      <c r="Y562">
        <v>1</v>
      </c>
      <c r="Z562">
        <v>0</v>
      </c>
      <c r="AA562">
        <v>2</v>
      </c>
      <c r="AB562">
        <v>5</v>
      </c>
      <c r="AC562">
        <v>0</v>
      </c>
      <c r="AD562">
        <v>0</v>
      </c>
      <c r="AE562">
        <v>1</v>
      </c>
      <c r="AF562">
        <v>2</v>
      </c>
      <c r="AG562">
        <v>0</v>
      </c>
      <c r="AH562">
        <v>0</v>
      </c>
      <c r="AI562">
        <v>1</v>
      </c>
      <c r="AJ562">
        <v>3</v>
      </c>
      <c r="AK562">
        <v>9</v>
      </c>
      <c r="AL562">
        <v>5</v>
      </c>
      <c r="AM562">
        <v>7</v>
      </c>
      <c r="AN562">
        <v>9</v>
      </c>
      <c r="AO562">
        <v>10</v>
      </c>
      <c r="AP562">
        <v>4</v>
      </c>
      <c r="AQ562">
        <v>2</v>
      </c>
      <c r="AR562">
        <v>1</v>
      </c>
      <c r="AS562">
        <v>0</v>
      </c>
      <c r="AT562">
        <v>2</v>
      </c>
      <c r="AU562">
        <v>5</v>
      </c>
      <c r="AV562">
        <v>0</v>
      </c>
      <c r="AW562">
        <v>0</v>
      </c>
      <c r="AX562">
        <v>1</v>
      </c>
      <c r="AY562">
        <v>2</v>
      </c>
      <c r="AZ562">
        <v>0</v>
      </c>
      <c r="BA562">
        <v>0</v>
      </c>
      <c r="BB562">
        <v>1</v>
      </c>
      <c r="BC562" s="2">
        <v>3</v>
      </c>
      <c r="BD562" s="2">
        <v>9</v>
      </c>
      <c r="BE562" s="2">
        <v>5</v>
      </c>
      <c r="BF562" s="2">
        <v>7</v>
      </c>
      <c r="BG562" s="2">
        <v>9</v>
      </c>
      <c r="BH562" s="2">
        <v>10</v>
      </c>
      <c r="BI562" s="2">
        <v>4</v>
      </c>
      <c r="BJ562" s="2">
        <v>2</v>
      </c>
      <c r="BK562" s="2">
        <v>1</v>
      </c>
      <c r="BL562" s="2">
        <v>0</v>
      </c>
      <c r="BM562" s="2">
        <v>2</v>
      </c>
      <c r="BN562" s="2">
        <v>5</v>
      </c>
      <c r="BO562" s="2">
        <v>0</v>
      </c>
      <c r="BP562" s="2">
        <v>0</v>
      </c>
      <c r="BQ562" s="2">
        <v>1</v>
      </c>
      <c r="BR562" s="2">
        <v>2</v>
      </c>
      <c r="BS562" s="2">
        <v>0</v>
      </c>
      <c r="BT562" s="2">
        <v>0</v>
      </c>
      <c r="BU562" s="2">
        <v>1</v>
      </c>
      <c r="BV562" s="2">
        <f t="shared" si="37"/>
        <v>61</v>
      </c>
      <c r="BW562" s="16">
        <f t="shared" si="35"/>
        <v>3.2105263157894739</v>
      </c>
      <c r="BX562" s="16">
        <f>COUNTIF($BC$6:BU562, "=0") / COUNTIF($BC$6:BU562, "&gt;-1")</f>
        <v>0.14617783237267315</v>
      </c>
      <c r="BY562" s="18">
        <f>SUM($BC$6:BU562) / $BY$4</f>
        <v>0.86637204212089458</v>
      </c>
      <c r="BZ562" s="14">
        <f t="shared" si="36"/>
        <v>5</v>
      </c>
      <c r="CA562" t="s">
        <v>5831</v>
      </c>
      <c r="CB562" s="36">
        <v>3.6349301875041902</v>
      </c>
      <c r="CC562" s="36">
        <v>8.6675770860970207</v>
      </c>
      <c r="CD562" s="36">
        <v>8.00398830906129</v>
      </c>
      <c r="CE562" s="36">
        <v>10.5834523140726</v>
      </c>
      <c r="CF562" s="36">
        <v>7.7415872394320298</v>
      </c>
      <c r="CG562" s="36">
        <v>9.2972724663949098</v>
      </c>
      <c r="CH562" s="36">
        <v>4.21624913145856</v>
      </c>
      <c r="CI562" s="36">
        <v>1.9463671959646101</v>
      </c>
      <c r="CJ562" s="37">
        <v>0.79475829324495695</v>
      </c>
      <c r="CK562" s="37">
        <v>1.2612992937765699</v>
      </c>
      <c r="CL562" s="37">
        <v>4.0002717413367099</v>
      </c>
      <c r="CM562" s="37">
        <v>0.21163676164998499</v>
      </c>
      <c r="CN562" s="37">
        <v>0.91879256581511404</v>
      </c>
      <c r="CO562" s="37">
        <v>1.5783811407702499</v>
      </c>
      <c r="CP562" s="37">
        <v>0.377135011965606</v>
      </c>
      <c r="CQ562" s="37">
        <v>1.5226368464746201</v>
      </c>
      <c r="CR562" s="45">
        <v>-2.1762351013565802</v>
      </c>
      <c r="CS562" s="45">
        <v>-5.0719054859169104</v>
      </c>
      <c r="CT562" s="46">
        <v>2.0524423019211499E-5</v>
      </c>
      <c r="CU562" s="47">
        <v>6.8999190954032705E-5</v>
      </c>
      <c r="CV562" s="48">
        <v>6.7614279912481496</v>
      </c>
      <c r="CW562" s="49">
        <v>1.3331139568792301</v>
      </c>
      <c r="CX562" s="31" t="s">
        <v>5875</v>
      </c>
      <c r="CY562" s="31" t="s">
        <v>5876</v>
      </c>
      <c r="CZ562" t="s">
        <v>7604</v>
      </c>
      <c r="DA562" t="s">
        <v>5904</v>
      </c>
      <c r="DB562">
        <v>745.3</v>
      </c>
      <c r="DC562" t="s">
        <v>19200</v>
      </c>
      <c r="DD562" t="s">
        <v>19201</v>
      </c>
      <c r="DE562" t="s">
        <v>19202</v>
      </c>
      <c r="DF562" t="s">
        <v>19203</v>
      </c>
      <c r="DG562" t="s">
        <v>19204</v>
      </c>
      <c r="DH562" t="str">
        <f>"EFEMP2"</f>
        <v>EFEMP2</v>
      </c>
      <c r="DI562" t="s">
        <v>19205</v>
      </c>
      <c r="DJ562" t="s">
        <v>13777</v>
      </c>
      <c r="DK562">
        <v>9606</v>
      </c>
      <c r="DL562" s="34" t="str">
        <f>HYPERLINK("http://www.uniprot.org/uniprot/O95967", "O95967")</f>
        <v>O95967</v>
      </c>
      <c r="DM562" t="s">
        <v>19206</v>
      </c>
      <c r="DN562" t="s">
        <v>13772</v>
      </c>
      <c r="DO562" t="s">
        <v>14321</v>
      </c>
      <c r="DP562" t="s">
        <v>13793</v>
      </c>
      <c r="DQ562" t="s">
        <v>13772</v>
      </c>
      <c r="DR562" t="s">
        <v>13807</v>
      </c>
      <c r="DS562" t="s">
        <v>14768</v>
      </c>
      <c r="DT562" t="s">
        <v>14465</v>
      </c>
      <c r="DU562" t="s">
        <v>13772</v>
      </c>
      <c r="DV562" t="s">
        <v>13796</v>
      </c>
      <c r="DW562" t="s">
        <v>13812</v>
      </c>
      <c r="DX562" t="s">
        <v>19207</v>
      </c>
      <c r="DY562" t="s">
        <v>19208</v>
      </c>
      <c r="DZ562" t="s">
        <v>19209</v>
      </c>
      <c r="EA562" t="s">
        <v>13772</v>
      </c>
      <c r="EB562" t="s">
        <v>14774</v>
      </c>
    </row>
    <row r="563" spans="1:132" hidden="1">
      <c r="A563">
        <v>573</v>
      </c>
      <c r="B563">
        <v>1</v>
      </c>
      <c r="C563" t="s">
        <v>1426</v>
      </c>
      <c r="D563" t="s">
        <v>73</v>
      </c>
      <c r="E563" t="s">
        <v>73</v>
      </c>
      <c r="F563" t="s">
        <v>73</v>
      </c>
      <c r="G563" t="s">
        <v>73</v>
      </c>
      <c r="H563">
        <v>59.6</v>
      </c>
      <c r="I563">
        <v>89</v>
      </c>
      <c r="J563">
        <v>10058</v>
      </c>
      <c r="K563" t="s">
        <v>1427</v>
      </c>
      <c r="L563">
        <f t="shared" si="34"/>
        <v>61</v>
      </c>
      <c r="N563">
        <v>61</v>
      </c>
      <c r="O563">
        <v>61</v>
      </c>
      <c r="P563">
        <v>1</v>
      </c>
      <c r="Q563">
        <v>4</v>
      </c>
      <c r="R563">
        <v>0</v>
      </c>
      <c r="S563">
        <v>0</v>
      </c>
      <c r="T563">
        <v>1</v>
      </c>
      <c r="U563">
        <v>4</v>
      </c>
      <c r="V563">
        <v>6</v>
      </c>
      <c r="W563">
        <v>3</v>
      </c>
      <c r="X563">
        <v>12</v>
      </c>
      <c r="Y563">
        <v>6</v>
      </c>
      <c r="Z563">
        <v>0</v>
      </c>
      <c r="AA563">
        <v>4</v>
      </c>
      <c r="AB563">
        <v>3</v>
      </c>
      <c r="AC563">
        <v>6</v>
      </c>
      <c r="AD563">
        <v>0</v>
      </c>
      <c r="AE563">
        <v>3</v>
      </c>
      <c r="AF563">
        <v>5</v>
      </c>
      <c r="AG563">
        <v>2</v>
      </c>
      <c r="AH563">
        <v>0</v>
      </c>
      <c r="AI563">
        <v>2</v>
      </c>
      <c r="AJ563">
        <v>4</v>
      </c>
      <c r="AK563">
        <v>0</v>
      </c>
      <c r="AL563">
        <v>0</v>
      </c>
      <c r="AM563">
        <v>1</v>
      </c>
      <c r="AN563">
        <v>4</v>
      </c>
      <c r="AO563">
        <v>6</v>
      </c>
      <c r="AP563">
        <v>3</v>
      </c>
      <c r="AQ563">
        <v>12</v>
      </c>
      <c r="AR563">
        <v>6</v>
      </c>
      <c r="AS563">
        <v>0</v>
      </c>
      <c r="AT563">
        <v>4</v>
      </c>
      <c r="AU563">
        <v>3</v>
      </c>
      <c r="AV563">
        <v>6</v>
      </c>
      <c r="AW563">
        <v>0</v>
      </c>
      <c r="AX563">
        <v>3</v>
      </c>
      <c r="AY563">
        <v>5</v>
      </c>
      <c r="AZ563">
        <v>2</v>
      </c>
      <c r="BA563">
        <v>0</v>
      </c>
      <c r="BB563">
        <v>2</v>
      </c>
      <c r="BC563" s="2">
        <v>4</v>
      </c>
      <c r="BD563" s="2">
        <v>0</v>
      </c>
      <c r="BE563" s="2">
        <v>0</v>
      </c>
      <c r="BF563" s="2">
        <v>1</v>
      </c>
      <c r="BG563" s="2">
        <v>4</v>
      </c>
      <c r="BH563" s="2">
        <v>6</v>
      </c>
      <c r="BI563" s="2">
        <v>3</v>
      </c>
      <c r="BJ563" s="2">
        <v>12</v>
      </c>
      <c r="BK563" s="2">
        <v>6</v>
      </c>
      <c r="BL563" s="2">
        <v>0</v>
      </c>
      <c r="BM563" s="2">
        <v>4</v>
      </c>
      <c r="BN563" s="2">
        <v>3</v>
      </c>
      <c r="BO563" s="2">
        <v>6</v>
      </c>
      <c r="BP563" s="2">
        <v>0</v>
      </c>
      <c r="BQ563" s="2">
        <v>3</v>
      </c>
      <c r="BR563" s="2">
        <v>5</v>
      </c>
      <c r="BS563" s="2">
        <v>2</v>
      </c>
      <c r="BT563" s="2">
        <v>0</v>
      </c>
      <c r="BU563" s="2">
        <v>2</v>
      </c>
      <c r="BV563" s="2">
        <f t="shared" si="37"/>
        <v>61</v>
      </c>
      <c r="BW563" s="16">
        <f t="shared" si="35"/>
        <v>3.2105263157894739</v>
      </c>
      <c r="BX563" s="16">
        <f>COUNTIF($BC$6:BU563, "=0") / COUNTIF($BC$6:BU563, "&gt;-1")</f>
        <v>0.14638747406149782</v>
      </c>
      <c r="BY563" s="18">
        <f>SUM($BC$6:BU563) / $BY$4</f>
        <v>0.86663334396988534</v>
      </c>
      <c r="BZ563" s="14">
        <f t="shared" si="36"/>
        <v>5</v>
      </c>
      <c r="CA563" t="s">
        <v>5831</v>
      </c>
      <c r="CB563" s="36">
        <v>4.8465735833389196</v>
      </c>
      <c r="CC563" s="36">
        <v>0.24076603016936199</v>
      </c>
      <c r="CD563" s="36">
        <v>0.40019941545306398</v>
      </c>
      <c r="CE563" s="36">
        <v>1.5119217591532299</v>
      </c>
      <c r="CF563" s="36">
        <v>3.4407054397475698</v>
      </c>
      <c r="CG563" s="36">
        <v>5.5783634798369501</v>
      </c>
      <c r="CH563" s="36">
        <v>3.1621868485939202</v>
      </c>
      <c r="CI563" s="36">
        <v>11.678203175787701</v>
      </c>
      <c r="CJ563" s="37">
        <v>4.7685497594697397</v>
      </c>
      <c r="CK563" s="37">
        <v>2.5225985875531398</v>
      </c>
      <c r="CL563" s="37">
        <v>2.4001630448020301</v>
      </c>
      <c r="CM563" s="37">
        <v>5.0792822795996404</v>
      </c>
      <c r="CN563" s="37">
        <v>2.7563776974453398</v>
      </c>
      <c r="CO563" s="37">
        <v>3.94595285192562</v>
      </c>
      <c r="CP563" s="37">
        <v>3.0170800957248498</v>
      </c>
      <c r="CQ563" s="37">
        <v>3.0452736929492299</v>
      </c>
      <c r="CR563" s="45">
        <v>-0.208599962545303</v>
      </c>
      <c r="CS563" s="45">
        <v>-1.1207048543860001</v>
      </c>
      <c r="CT563" s="46">
        <v>0.77846513514294802</v>
      </c>
      <c r="CU563" s="47">
        <v>0.83519703989177596</v>
      </c>
      <c r="CV563" s="48">
        <v>3.8573649665100902</v>
      </c>
      <c r="CW563" s="49">
        <v>3.4419097511837</v>
      </c>
      <c r="CX563" s="31" t="s">
        <v>5875</v>
      </c>
      <c r="CY563" s="31" t="s">
        <v>5832</v>
      </c>
      <c r="CZ563" t="s">
        <v>7682</v>
      </c>
      <c r="DA563" t="s">
        <v>5904</v>
      </c>
      <c r="DB563">
        <v>183.7</v>
      </c>
      <c r="DC563" t="s">
        <v>19422</v>
      </c>
      <c r="DD563" t="s">
        <v>19423</v>
      </c>
      <c r="DE563" t="s">
        <v>19424</v>
      </c>
      <c r="DF563" t="s">
        <v>19425</v>
      </c>
      <c r="DG563" t="s">
        <v>19426</v>
      </c>
      <c r="DH563" t="str">
        <f>"BANF1"</f>
        <v>BANF1</v>
      </c>
      <c r="DI563" t="s">
        <v>19427</v>
      </c>
      <c r="DJ563" t="s">
        <v>13777</v>
      </c>
      <c r="DK563">
        <v>9606</v>
      </c>
      <c r="DL563" s="34" t="str">
        <f>HYPERLINK("http://www.uniprot.org/uniprot/O75531", "O75531")</f>
        <v>O75531</v>
      </c>
      <c r="DM563" t="s">
        <v>19428</v>
      </c>
      <c r="DN563" t="s">
        <v>14563</v>
      </c>
      <c r="DO563" t="s">
        <v>19429</v>
      </c>
      <c r="DP563" t="s">
        <v>13772</v>
      </c>
      <c r="DQ563" t="s">
        <v>13772</v>
      </c>
      <c r="DR563" t="s">
        <v>13807</v>
      </c>
      <c r="DS563" t="s">
        <v>13772</v>
      </c>
      <c r="DT563" t="s">
        <v>13772</v>
      </c>
      <c r="DU563" t="s">
        <v>15871</v>
      </c>
      <c r="DV563" t="s">
        <v>13886</v>
      </c>
      <c r="DW563" t="s">
        <v>13812</v>
      </c>
      <c r="DX563" t="s">
        <v>19430</v>
      </c>
      <c r="DY563" t="s">
        <v>19431</v>
      </c>
      <c r="DZ563" t="s">
        <v>19432</v>
      </c>
      <c r="EA563" t="s">
        <v>13772</v>
      </c>
      <c r="EB563" t="s">
        <v>19433</v>
      </c>
    </row>
    <row r="564" spans="1:132" hidden="1">
      <c r="A564">
        <v>939</v>
      </c>
      <c r="B564">
        <v>1</v>
      </c>
      <c r="C564" t="s">
        <v>2285</v>
      </c>
      <c r="D564" t="s">
        <v>73</v>
      </c>
      <c r="E564" t="s">
        <v>73</v>
      </c>
      <c r="F564" t="s">
        <v>2286</v>
      </c>
      <c r="G564" t="s">
        <v>73</v>
      </c>
      <c r="H564">
        <v>37.700000000000003</v>
      </c>
      <c r="I564">
        <v>470</v>
      </c>
      <c r="J564">
        <v>53467</v>
      </c>
      <c r="K564" t="s">
        <v>2287</v>
      </c>
      <c r="L564">
        <f t="shared" si="34"/>
        <v>68</v>
      </c>
      <c r="N564">
        <v>68</v>
      </c>
      <c r="O564">
        <v>58</v>
      </c>
      <c r="P564">
        <v>0.85299999999999998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</v>
      </c>
      <c r="X564">
        <v>1</v>
      </c>
      <c r="Y564">
        <v>9</v>
      </c>
      <c r="Z564">
        <v>2</v>
      </c>
      <c r="AA564">
        <v>14</v>
      </c>
      <c r="AB564">
        <v>4</v>
      </c>
      <c r="AC564">
        <v>6</v>
      </c>
      <c r="AD564">
        <v>0</v>
      </c>
      <c r="AE564">
        <v>15</v>
      </c>
      <c r="AF564">
        <v>9</v>
      </c>
      <c r="AG564">
        <v>2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</v>
      </c>
      <c r="AQ564">
        <v>1</v>
      </c>
      <c r="AR564">
        <v>8</v>
      </c>
      <c r="AS564">
        <v>2</v>
      </c>
      <c r="AT564">
        <v>11</v>
      </c>
      <c r="AU564">
        <v>3</v>
      </c>
      <c r="AV564">
        <v>4</v>
      </c>
      <c r="AW564">
        <v>0</v>
      </c>
      <c r="AX564">
        <v>14</v>
      </c>
      <c r="AY564">
        <v>8</v>
      </c>
      <c r="AZ564">
        <v>2</v>
      </c>
      <c r="BA564">
        <v>2</v>
      </c>
      <c r="BB564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2</v>
      </c>
      <c r="BJ564" s="2">
        <v>1</v>
      </c>
      <c r="BK564" s="2">
        <v>8.2270000000000003</v>
      </c>
      <c r="BL564" s="2">
        <v>2</v>
      </c>
      <c r="BM564" s="2">
        <v>11.682</v>
      </c>
      <c r="BN564" s="2">
        <v>3.2269999999999999</v>
      </c>
      <c r="BO564" s="2">
        <v>4.4550000000000001</v>
      </c>
      <c r="BP564" s="2">
        <v>0</v>
      </c>
      <c r="BQ564" s="2">
        <v>14.227</v>
      </c>
      <c r="BR564" s="2">
        <v>8.2270000000000003</v>
      </c>
      <c r="BS564" s="2">
        <v>2</v>
      </c>
      <c r="BT564" s="2">
        <v>2.0840000000000001</v>
      </c>
      <c r="BU564" s="2">
        <v>1</v>
      </c>
      <c r="BV564" s="2">
        <f t="shared" si="37"/>
        <v>60.129000000000005</v>
      </c>
      <c r="BW564" s="16">
        <f t="shared" si="35"/>
        <v>3.1646842105263162</v>
      </c>
      <c r="BX564" s="16">
        <f>COUNTIF($BC$6:BU564, "=0") / COUNTIF($BC$6:BU564, "&gt;-1")</f>
        <v>0.14678467187647115</v>
      </c>
      <c r="BY564" s="18">
        <f>SUM($BC$6:BU564) / $BY$4</f>
        <v>0.86689091477116365</v>
      </c>
      <c r="BZ564" s="14">
        <f t="shared" si="36"/>
        <v>7</v>
      </c>
      <c r="CA564" t="s">
        <v>5831</v>
      </c>
      <c r="CB564" s="36">
        <v>0.30291084895868198</v>
      </c>
      <c r="CC564" s="36">
        <v>0.24076603016936199</v>
      </c>
      <c r="CD564" s="36">
        <v>0.40019941545306398</v>
      </c>
      <c r="CE564" s="36">
        <v>0.37798043978830698</v>
      </c>
      <c r="CF564" s="36">
        <v>0.215044089984223</v>
      </c>
      <c r="CG564" s="36">
        <v>0.23243181165987301</v>
      </c>
      <c r="CH564" s="36">
        <v>2.10812456572928</v>
      </c>
      <c r="CI564" s="36">
        <v>0.97318359798230603</v>
      </c>
      <c r="CJ564" s="37">
        <v>6.5170180046086497</v>
      </c>
      <c r="CK564" s="37">
        <v>7.3786008685929403</v>
      </c>
      <c r="CL564" s="37">
        <v>2.5601739144555</v>
      </c>
      <c r="CM564" s="37">
        <v>3.8094617096997299</v>
      </c>
      <c r="CN564" s="37">
        <v>13.0468544345746</v>
      </c>
      <c r="CO564" s="37">
        <v>6.4713626771580204</v>
      </c>
      <c r="CP564" s="37">
        <v>3.0170800957248498</v>
      </c>
      <c r="CQ564" s="37">
        <v>1.5226368464746201</v>
      </c>
      <c r="CR564" s="45">
        <v>2.9932374455841799</v>
      </c>
      <c r="CS564" s="45">
        <v>9.1375944707760794</v>
      </c>
      <c r="CT564" s="46">
        <v>5.2407292543574802E-6</v>
      </c>
      <c r="CU564" s="47">
        <v>2.0994298629731501E-5</v>
      </c>
      <c r="CV564" s="48">
        <v>0.60633009996563703</v>
      </c>
      <c r="CW564" s="49">
        <v>5.5403985689111197</v>
      </c>
      <c r="CX564" s="31" t="s">
        <v>5874</v>
      </c>
      <c r="CY564" s="31" t="s">
        <v>5876</v>
      </c>
      <c r="CZ564" t="s">
        <v>8917</v>
      </c>
      <c r="DA564" t="s">
        <v>5904</v>
      </c>
      <c r="DB564">
        <v>938.7</v>
      </c>
      <c r="DC564" t="s">
        <v>23046</v>
      </c>
      <c r="DD564" t="s">
        <v>13772</v>
      </c>
      <c r="DE564" t="s">
        <v>23047</v>
      </c>
      <c r="DF564" t="s">
        <v>23048</v>
      </c>
      <c r="DG564" t="s">
        <v>23049</v>
      </c>
      <c r="DH564" t="str">
        <f>"DES"</f>
        <v>DES</v>
      </c>
      <c r="DI564" t="s">
        <v>13772</v>
      </c>
      <c r="DJ564" t="s">
        <v>13777</v>
      </c>
      <c r="DK564">
        <v>9606</v>
      </c>
      <c r="DL564" s="34" t="str">
        <f>HYPERLINK("http://www.uniprot.org/uniprot/P17661", "P17661")</f>
        <v>P17661</v>
      </c>
      <c r="DM564" t="s">
        <v>23050</v>
      </c>
      <c r="DN564" t="s">
        <v>13772</v>
      </c>
      <c r="DO564" t="s">
        <v>23051</v>
      </c>
      <c r="DP564" t="s">
        <v>13793</v>
      </c>
      <c r="DQ564" t="s">
        <v>13772</v>
      </c>
      <c r="DR564" t="s">
        <v>23052</v>
      </c>
      <c r="DS564" t="s">
        <v>14245</v>
      </c>
      <c r="DT564" t="s">
        <v>13772</v>
      </c>
      <c r="DU564" t="s">
        <v>17512</v>
      </c>
      <c r="DV564" t="s">
        <v>18935</v>
      </c>
      <c r="DW564" t="s">
        <v>13772</v>
      </c>
      <c r="DX564" t="s">
        <v>23053</v>
      </c>
      <c r="DY564" t="s">
        <v>23054</v>
      </c>
      <c r="DZ564" t="s">
        <v>23055</v>
      </c>
      <c r="EA564" t="s">
        <v>13772</v>
      </c>
      <c r="EB564" t="s">
        <v>15657</v>
      </c>
    </row>
    <row r="565" spans="1:132" hidden="1">
      <c r="A565">
        <v>1064</v>
      </c>
      <c r="B565">
        <v>1</v>
      </c>
      <c r="C565" t="s">
        <v>2555</v>
      </c>
      <c r="D565" t="s">
        <v>2556</v>
      </c>
      <c r="E565" t="s">
        <v>73</v>
      </c>
      <c r="F565" t="s">
        <v>1987</v>
      </c>
      <c r="G565" t="s">
        <v>73</v>
      </c>
      <c r="H565">
        <v>55</v>
      </c>
      <c r="I565">
        <v>160</v>
      </c>
      <c r="J565">
        <v>17948</v>
      </c>
      <c r="K565" t="s">
        <v>2557</v>
      </c>
      <c r="L565">
        <f t="shared" si="34"/>
        <v>78</v>
      </c>
      <c r="N565">
        <v>78</v>
      </c>
      <c r="O565">
        <v>57</v>
      </c>
      <c r="P565">
        <v>0.73099999999999998</v>
      </c>
      <c r="Q565">
        <v>2</v>
      </c>
      <c r="R565">
        <v>3</v>
      </c>
      <c r="S565">
        <v>1</v>
      </c>
      <c r="T565">
        <v>0</v>
      </c>
      <c r="U565">
        <v>4</v>
      </c>
      <c r="V565">
        <v>2</v>
      </c>
      <c r="W565">
        <v>2</v>
      </c>
      <c r="X565">
        <v>3</v>
      </c>
      <c r="Y565">
        <v>15</v>
      </c>
      <c r="Z565">
        <v>2</v>
      </c>
      <c r="AA565">
        <v>11</v>
      </c>
      <c r="AB565">
        <v>8</v>
      </c>
      <c r="AC565">
        <v>7</v>
      </c>
      <c r="AD565">
        <v>1</v>
      </c>
      <c r="AE565">
        <v>8</v>
      </c>
      <c r="AF565">
        <v>4</v>
      </c>
      <c r="AG565">
        <v>3</v>
      </c>
      <c r="AH565">
        <v>2</v>
      </c>
      <c r="AI565">
        <v>0</v>
      </c>
      <c r="AJ565">
        <v>2</v>
      </c>
      <c r="AK565">
        <v>3</v>
      </c>
      <c r="AL565">
        <v>1</v>
      </c>
      <c r="AM565">
        <v>0</v>
      </c>
      <c r="AN565">
        <v>4</v>
      </c>
      <c r="AO565">
        <v>2</v>
      </c>
      <c r="AP565">
        <v>1</v>
      </c>
      <c r="AQ565">
        <v>3</v>
      </c>
      <c r="AR565">
        <v>7</v>
      </c>
      <c r="AS565">
        <v>2</v>
      </c>
      <c r="AT565">
        <v>9</v>
      </c>
      <c r="AU565">
        <v>5</v>
      </c>
      <c r="AV565">
        <v>6</v>
      </c>
      <c r="AW565">
        <v>1</v>
      </c>
      <c r="AX565">
        <v>3</v>
      </c>
      <c r="AY565">
        <v>3</v>
      </c>
      <c r="AZ565">
        <v>3</v>
      </c>
      <c r="BA565">
        <v>2</v>
      </c>
      <c r="BB565">
        <v>0</v>
      </c>
      <c r="BC565" s="2">
        <v>2</v>
      </c>
      <c r="BD565" s="2">
        <v>3</v>
      </c>
      <c r="BE565" s="2">
        <v>1</v>
      </c>
      <c r="BF565" s="2">
        <v>0</v>
      </c>
      <c r="BG565" s="2">
        <v>4</v>
      </c>
      <c r="BH565" s="2">
        <v>2</v>
      </c>
      <c r="BI565" s="2">
        <v>1.0329999999999999</v>
      </c>
      <c r="BJ565" s="2">
        <v>3</v>
      </c>
      <c r="BK565" s="2">
        <v>8.3019999999999996</v>
      </c>
      <c r="BL565" s="2">
        <v>2</v>
      </c>
      <c r="BM565" s="2">
        <v>9.4390000000000001</v>
      </c>
      <c r="BN565" s="2">
        <v>5.625</v>
      </c>
      <c r="BO565" s="2">
        <v>6.3159999999999998</v>
      </c>
      <c r="BP565" s="2">
        <v>1</v>
      </c>
      <c r="BQ565" s="2">
        <v>3.2589999999999999</v>
      </c>
      <c r="BR565" s="2">
        <v>3.12</v>
      </c>
      <c r="BS565" s="2">
        <v>3</v>
      </c>
      <c r="BT565" s="2">
        <v>2</v>
      </c>
      <c r="BU565" s="2">
        <v>0</v>
      </c>
      <c r="BV565" s="2">
        <f t="shared" si="37"/>
        <v>60.094000000000001</v>
      </c>
      <c r="BW565" s="16">
        <f t="shared" si="35"/>
        <v>3.1628421052631581</v>
      </c>
      <c r="BX565" s="16">
        <f>COUNTIF($BC$6:BU565, "=0") / COUNTIF($BC$6:BU565, "&gt;-1")</f>
        <v>0.14671052631578949</v>
      </c>
      <c r="BY565" s="18">
        <f>SUM($BC$6:BU565) / $BY$4</f>
        <v>0.86714833564515126</v>
      </c>
      <c r="BZ565" s="14">
        <f t="shared" si="36"/>
        <v>2</v>
      </c>
      <c r="CA565" t="s">
        <v>5831</v>
      </c>
      <c r="CB565" s="36">
        <v>2.4232867916694598</v>
      </c>
      <c r="CC565" s="36">
        <v>2.8891923620323401</v>
      </c>
      <c r="CD565" s="36">
        <v>1.6007976618122599</v>
      </c>
      <c r="CE565" s="36">
        <v>0.37798043978830698</v>
      </c>
      <c r="CF565" s="36">
        <v>3.4407054397475698</v>
      </c>
      <c r="CG565" s="36">
        <v>1.85945449327898</v>
      </c>
      <c r="CH565" s="36">
        <v>1.05406228286464</v>
      </c>
      <c r="CI565" s="36">
        <v>2.9195507939469199</v>
      </c>
      <c r="CJ565" s="37">
        <v>6.5964938339331498</v>
      </c>
      <c r="CK565" s="37">
        <v>5.9281066807498899</v>
      </c>
      <c r="CL565" s="37">
        <v>4.4803043502971196</v>
      </c>
      <c r="CM565" s="37">
        <v>5.3332463935796302</v>
      </c>
      <c r="CN565" s="37">
        <v>3.03201546718988</v>
      </c>
      <c r="CO565" s="37">
        <v>2.4464907681938901</v>
      </c>
      <c r="CP565" s="37">
        <v>4.5256201435872701</v>
      </c>
      <c r="CQ565" s="37">
        <v>0.38065921161865401</v>
      </c>
      <c r="CR565" s="45">
        <v>0.93771617624625503</v>
      </c>
      <c r="CS565" s="45">
        <v>1.9754227022459301</v>
      </c>
      <c r="CT565" s="46">
        <v>6.6948220233508604E-2</v>
      </c>
      <c r="CU565" s="47">
        <v>9.9751357096252297E-2</v>
      </c>
      <c r="CV565" s="48">
        <v>2.0706287831425598</v>
      </c>
      <c r="CW565" s="49">
        <v>4.0903671061436802</v>
      </c>
      <c r="CX565" s="31" t="s">
        <v>5874</v>
      </c>
      <c r="CY565" s="31" t="s">
        <v>5877</v>
      </c>
      <c r="CZ565" t="s">
        <v>9271</v>
      </c>
      <c r="DA565" t="s">
        <v>5904</v>
      </c>
      <c r="DB565">
        <v>300.8</v>
      </c>
      <c r="DC565" t="s">
        <v>24071</v>
      </c>
      <c r="DD565" t="s">
        <v>24072</v>
      </c>
      <c r="DE565" t="s">
        <v>24073</v>
      </c>
      <c r="DF565" t="s">
        <v>24074</v>
      </c>
      <c r="DG565" t="s">
        <v>24075</v>
      </c>
      <c r="DH565" t="str">
        <f>"MYL6"</f>
        <v>MYL6</v>
      </c>
      <c r="DI565" t="s">
        <v>13772</v>
      </c>
      <c r="DJ565" t="s">
        <v>13777</v>
      </c>
      <c r="DK565">
        <v>9606</v>
      </c>
      <c r="DL565" s="34" t="str">
        <f>HYPERLINK("http://www.uniprot.org/uniprot/P60660", "P60660")</f>
        <v>P60660</v>
      </c>
      <c r="DM565" t="s">
        <v>24076</v>
      </c>
      <c r="DN565" t="s">
        <v>13772</v>
      </c>
      <c r="DO565" t="s">
        <v>13772</v>
      </c>
      <c r="DP565" t="s">
        <v>13780</v>
      </c>
      <c r="DQ565" t="s">
        <v>13772</v>
      </c>
      <c r="DR565" t="s">
        <v>13772</v>
      </c>
      <c r="DS565" t="s">
        <v>14096</v>
      </c>
      <c r="DT565" t="s">
        <v>13772</v>
      </c>
      <c r="DU565" t="s">
        <v>17523</v>
      </c>
      <c r="DV565" t="s">
        <v>13886</v>
      </c>
      <c r="DW565" t="s">
        <v>13772</v>
      </c>
      <c r="DX565" t="s">
        <v>24068</v>
      </c>
      <c r="DY565" t="s">
        <v>24077</v>
      </c>
      <c r="DZ565" t="s">
        <v>24078</v>
      </c>
      <c r="EA565" t="s">
        <v>13772</v>
      </c>
      <c r="EB565" t="s">
        <v>17525</v>
      </c>
    </row>
    <row r="566" spans="1:132" hidden="1">
      <c r="A566">
        <v>87</v>
      </c>
      <c r="B566">
        <v>1</v>
      </c>
      <c r="C566" t="s">
        <v>239</v>
      </c>
      <c r="D566" t="s">
        <v>73</v>
      </c>
      <c r="E566" t="s">
        <v>73</v>
      </c>
      <c r="F566" t="s">
        <v>73</v>
      </c>
      <c r="G566" t="s">
        <v>73</v>
      </c>
      <c r="H566">
        <v>17</v>
      </c>
      <c r="I566">
        <v>612</v>
      </c>
      <c r="J566">
        <v>66436</v>
      </c>
      <c r="K566" t="s">
        <v>240</v>
      </c>
      <c r="L566">
        <f t="shared" si="34"/>
        <v>60</v>
      </c>
      <c r="N566">
        <v>60</v>
      </c>
      <c r="O566">
        <v>60</v>
      </c>
      <c r="P566">
        <v>1</v>
      </c>
      <c r="Q566">
        <v>9</v>
      </c>
      <c r="R566">
        <v>6</v>
      </c>
      <c r="S566">
        <v>3</v>
      </c>
      <c r="T566">
        <v>0</v>
      </c>
      <c r="U566">
        <v>9</v>
      </c>
      <c r="V566">
        <v>12</v>
      </c>
      <c r="W566">
        <v>6</v>
      </c>
      <c r="X566">
        <v>9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9</v>
      </c>
      <c r="AK566">
        <v>6</v>
      </c>
      <c r="AL566">
        <v>3</v>
      </c>
      <c r="AM566">
        <v>0</v>
      </c>
      <c r="AN566">
        <v>9</v>
      </c>
      <c r="AO566">
        <v>12</v>
      </c>
      <c r="AP566">
        <v>6</v>
      </c>
      <c r="AQ566">
        <v>9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2</v>
      </c>
      <c r="BB566">
        <v>0</v>
      </c>
      <c r="BC566" s="2">
        <v>9</v>
      </c>
      <c r="BD566" s="2">
        <v>6</v>
      </c>
      <c r="BE566" s="2">
        <v>3</v>
      </c>
      <c r="BF566" s="2">
        <v>0</v>
      </c>
      <c r="BG566" s="2">
        <v>9</v>
      </c>
      <c r="BH566" s="2">
        <v>12</v>
      </c>
      <c r="BI566" s="2">
        <v>6</v>
      </c>
      <c r="BJ566" s="2">
        <v>9</v>
      </c>
      <c r="BK566" s="2">
        <v>0</v>
      </c>
      <c r="BL566" s="2">
        <v>1</v>
      </c>
      <c r="BM566" s="2">
        <v>1</v>
      </c>
      <c r="BN566" s="2">
        <v>1</v>
      </c>
      <c r="BO566" s="2">
        <v>1</v>
      </c>
      <c r="BP566" s="2">
        <v>0</v>
      </c>
      <c r="BQ566" s="2">
        <v>0</v>
      </c>
      <c r="BR566" s="2">
        <v>0</v>
      </c>
      <c r="BS566" s="2">
        <v>0</v>
      </c>
      <c r="BT566" s="2">
        <v>2</v>
      </c>
      <c r="BU566" s="2">
        <v>0</v>
      </c>
      <c r="BV566" s="2">
        <f t="shared" si="37"/>
        <v>60</v>
      </c>
      <c r="BW566" s="16">
        <f t="shared" si="35"/>
        <v>3.1578947368421053</v>
      </c>
      <c r="BX566" s="16">
        <f>COUNTIF($BC$6:BU566, "=0") / COUNTIF($BC$6:BU566, "&gt;-1")</f>
        <v>0.14710573224505114</v>
      </c>
      <c r="BY566" s="18">
        <f>SUM($BC$6:BU566) / $BY$4</f>
        <v>0.86740535385727324</v>
      </c>
      <c r="BZ566" s="14">
        <f t="shared" si="36"/>
        <v>7</v>
      </c>
      <c r="CA566" t="s">
        <v>5831</v>
      </c>
      <c r="CB566" s="36">
        <v>10.9047905625126</v>
      </c>
      <c r="CC566" s="36">
        <v>5.7783847240646802</v>
      </c>
      <c r="CD566" s="36">
        <v>4.8023929854367697</v>
      </c>
      <c r="CE566" s="36">
        <v>0.37798043978830698</v>
      </c>
      <c r="CF566" s="36">
        <v>7.7415872394320298</v>
      </c>
      <c r="CG566" s="36">
        <v>11.1567269596739</v>
      </c>
      <c r="CH566" s="36">
        <v>6.3243736971878404</v>
      </c>
      <c r="CI566" s="36">
        <v>8.7586523818407507</v>
      </c>
      <c r="CJ566" s="37">
        <v>0.19868957331123899</v>
      </c>
      <c r="CK566" s="37">
        <v>0.63064964688828595</v>
      </c>
      <c r="CL566" s="37">
        <v>0.80005434826734301</v>
      </c>
      <c r="CM566" s="37">
        <v>0.84654704659994096</v>
      </c>
      <c r="CN566" s="37">
        <v>0.22969814145377901</v>
      </c>
      <c r="CO566" s="37">
        <v>0.19729764259628099</v>
      </c>
      <c r="CP566" s="37">
        <v>0.377135011965606</v>
      </c>
      <c r="CQ566" s="37">
        <v>0.38065921161865401</v>
      </c>
      <c r="CR566" s="45">
        <v>-3.6135976493487001</v>
      </c>
      <c r="CS566" s="45">
        <v>-15.255121107144101</v>
      </c>
      <c r="CT566" s="46">
        <v>5.1947831481949901E-9</v>
      </c>
      <c r="CU566" s="47">
        <v>5.2656211002158302E-8</v>
      </c>
      <c r="CV566" s="48">
        <v>6.9806111237421096</v>
      </c>
      <c r="CW566" s="49">
        <v>0.457591327837641</v>
      </c>
      <c r="CX566" s="31" t="s">
        <v>5875</v>
      </c>
      <c r="CY566" s="31" t="s">
        <v>5876</v>
      </c>
      <c r="CZ566" t="s">
        <v>5999</v>
      </c>
      <c r="DA566" t="s">
        <v>5904</v>
      </c>
      <c r="DB566">
        <v>602.1</v>
      </c>
      <c r="DC566" t="s">
        <v>14150</v>
      </c>
      <c r="DD566" t="s">
        <v>14151</v>
      </c>
      <c r="DE566" t="s">
        <v>14152</v>
      </c>
      <c r="DF566" t="s">
        <v>14153</v>
      </c>
      <c r="DG566" t="s">
        <v>14154</v>
      </c>
      <c r="DH566" t="str">
        <f>"GP1BA"</f>
        <v>GP1BA</v>
      </c>
      <c r="DI566" t="s">
        <v>13772</v>
      </c>
      <c r="DJ566" t="s">
        <v>13777</v>
      </c>
      <c r="DK566">
        <v>9606</v>
      </c>
      <c r="DL566" s="34" t="str">
        <f>HYPERLINK("http://www.uniprot.org/uniprot/P07359", "P07359")</f>
        <v>P07359</v>
      </c>
      <c r="DM566" t="s">
        <v>14155</v>
      </c>
      <c r="DN566" t="s">
        <v>14156</v>
      </c>
      <c r="DO566" t="s">
        <v>13825</v>
      </c>
      <c r="DP566" t="s">
        <v>13793</v>
      </c>
      <c r="DQ566" t="s">
        <v>13772</v>
      </c>
      <c r="DR566" t="s">
        <v>14157</v>
      </c>
      <c r="DS566" t="s">
        <v>14158</v>
      </c>
      <c r="DT566" t="s">
        <v>13772</v>
      </c>
      <c r="DU566" t="s">
        <v>13772</v>
      </c>
      <c r="DV566" t="s">
        <v>14159</v>
      </c>
      <c r="DW566" t="s">
        <v>13812</v>
      </c>
      <c r="DX566" t="s">
        <v>14160</v>
      </c>
      <c r="DY566" t="s">
        <v>14161</v>
      </c>
      <c r="DZ566" t="s">
        <v>14162</v>
      </c>
      <c r="EA566" t="s">
        <v>13772</v>
      </c>
      <c r="EB566" t="s">
        <v>14163</v>
      </c>
    </row>
    <row r="567" spans="1:132" hidden="1">
      <c r="A567">
        <v>527</v>
      </c>
      <c r="B567">
        <v>1</v>
      </c>
      <c r="C567" t="s">
        <v>1327</v>
      </c>
      <c r="D567" t="s">
        <v>73</v>
      </c>
      <c r="E567" t="s">
        <v>73</v>
      </c>
      <c r="F567" t="s">
        <v>73</v>
      </c>
      <c r="G567" t="s">
        <v>73</v>
      </c>
      <c r="H567">
        <v>22.7</v>
      </c>
      <c r="I567">
        <v>437</v>
      </c>
      <c r="J567">
        <v>50079</v>
      </c>
      <c r="K567" t="s">
        <v>1328</v>
      </c>
      <c r="L567">
        <f t="shared" si="34"/>
        <v>60</v>
      </c>
      <c r="N567">
        <v>60</v>
      </c>
      <c r="O567">
        <v>60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2</v>
      </c>
      <c r="X567">
        <v>3</v>
      </c>
      <c r="Y567">
        <v>7</v>
      </c>
      <c r="Z567">
        <v>0</v>
      </c>
      <c r="AA567">
        <v>11</v>
      </c>
      <c r="AB567">
        <v>8</v>
      </c>
      <c r="AC567">
        <v>6</v>
      </c>
      <c r="AD567">
        <v>0</v>
      </c>
      <c r="AE567">
        <v>7</v>
      </c>
      <c r="AF567">
        <v>12</v>
      </c>
      <c r="AG567">
        <v>2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2</v>
      </c>
      <c r="AQ567">
        <v>3</v>
      </c>
      <c r="AR567">
        <v>7</v>
      </c>
      <c r="AS567">
        <v>0</v>
      </c>
      <c r="AT567">
        <v>11</v>
      </c>
      <c r="AU567">
        <v>8</v>
      </c>
      <c r="AV567">
        <v>6</v>
      </c>
      <c r="AW567">
        <v>0</v>
      </c>
      <c r="AX567">
        <v>7</v>
      </c>
      <c r="AY567">
        <v>12</v>
      </c>
      <c r="AZ567">
        <v>2</v>
      </c>
      <c r="BA567">
        <v>0</v>
      </c>
      <c r="BB567">
        <v>0</v>
      </c>
      <c r="BC567" s="2">
        <v>0</v>
      </c>
      <c r="BD567" s="2">
        <v>1</v>
      </c>
      <c r="BE567" s="2">
        <v>0</v>
      </c>
      <c r="BF567" s="2">
        <v>0</v>
      </c>
      <c r="BG567" s="2">
        <v>0</v>
      </c>
      <c r="BH567" s="2">
        <v>1</v>
      </c>
      <c r="BI567" s="2">
        <v>2</v>
      </c>
      <c r="BJ567" s="2">
        <v>3</v>
      </c>
      <c r="BK567" s="2">
        <v>7</v>
      </c>
      <c r="BL567" s="2">
        <v>0</v>
      </c>
      <c r="BM567" s="2">
        <v>11</v>
      </c>
      <c r="BN567" s="2">
        <v>8</v>
      </c>
      <c r="BO567" s="2">
        <v>6</v>
      </c>
      <c r="BP567" s="2">
        <v>0</v>
      </c>
      <c r="BQ567" s="2">
        <v>7</v>
      </c>
      <c r="BR567" s="2">
        <v>12</v>
      </c>
      <c r="BS567" s="2">
        <v>2</v>
      </c>
      <c r="BT567" s="2">
        <v>0</v>
      </c>
      <c r="BU567" s="2">
        <v>0</v>
      </c>
      <c r="BV567" s="2">
        <f t="shared" si="37"/>
        <v>60</v>
      </c>
      <c r="BW567" s="16">
        <f t="shared" si="35"/>
        <v>3.1578947368421053</v>
      </c>
      <c r="BX567" s="16">
        <f>COUNTIF($BC$6:BU567, "=0") / COUNTIF($BC$6:BU567, "&gt;-1")</f>
        <v>0.14759318224386589</v>
      </c>
      <c r="BY567" s="18">
        <f>SUM($BC$6:BU567) / $BY$4</f>
        <v>0.86766237206939534</v>
      </c>
      <c r="BZ567" s="14">
        <f t="shared" si="36"/>
        <v>8</v>
      </c>
      <c r="CA567" t="s">
        <v>5831</v>
      </c>
      <c r="CB567" s="36">
        <v>0.30291084895868198</v>
      </c>
      <c r="CC567" s="36">
        <v>0.96306412067744696</v>
      </c>
      <c r="CD567" s="36">
        <v>0.40019941545306398</v>
      </c>
      <c r="CE567" s="36">
        <v>0.37798043978830698</v>
      </c>
      <c r="CF567" s="36">
        <v>0.215044089984223</v>
      </c>
      <c r="CG567" s="36">
        <v>0.92972724663949102</v>
      </c>
      <c r="CH567" s="36">
        <v>2.10812456572928</v>
      </c>
      <c r="CI567" s="36">
        <v>2.9195507939469199</v>
      </c>
      <c r="CJ567" s="37">
        <v>5.5633080527147003</v>
      </c>
      <c r="CK567" s="37">
        <v>6.9371461157711396</v>
      </c>
      <c r="CL567" s="37">
        <v>6.4004347861387396</v>
      </c>
      <c r="CM567" s="37">
        <v>5.0792822795996404</v>
      </c>
      <c r="CN567" s="37">
        <v>6.4315479607058004</v>
      </c>
      <c r="CO567" s="37">
        <v>9.4702868446214996</v>
      </c>
      <c r="CP567" s="37">
        <v>3.0170800957248498</v>
      </c>
      <c r="CQ567" s="37">
        <v>0.38065921161865401</v>
      </c>
      <c r="CR567" s="45">
        <v>2.2768806403715902</v>
      </c>
      <c r="CS567" s="45">
        <v>5.2673535689111999</v>
      </c>
      <c r="CT567" s="46">
        <v>9.5988757907464696E-5</v>
      </c>
      <c r="CU567" s="47">
        <v>2.7210372474616E-4</v>
      </c>
      <c r="CV567" s="48">
        <v>1.02707519014718</v>
      </c>
      <c r="CW567" s="49">
        <v>5.4099681683618801</v>
      </c>
      <c r="CX567" s="31" t="s">
        <v>5874</v>
      </c>
      <c r="CY567" s="31" t="s">
        <v>5876</v>
      </c>
      <c r="CZ567" t="s">
        <v>7540</v>
      </c>
      <c r="DA567" t="s">
        <v>5904</v>
      </c>
      <c r="DB567">
        <v>898.3</v>
      </c>
      <c r="DC567" t="s">
        <v>18994</v>
      </c>
      <c r="DD567" t="s">
        <v>18995</v>
      </c>
      <c r="DE567" t="s">
        <v>18996</v>
      </c>
      <c r="DF567" t="s">
        <v>18997</v>
      </c>
      <c r="DG567" t="s">
        <v>18998</v>
      </c>
      <c r="DH567" t="str">
        <f>"EEF1G"</f>
        <v>EEF1G</v>
      </c>
      <c r="DI567" t="s">
        <v>18999</v>
      </c>
      <c r="DJ567" t="s">
        <v>13777</v>
      </c>
      <c r="DK567">
        <v>9606</v>
      </c>
      <c r="DL567" s="34" t="str">
        <f>HYPERLINK("http://www.uniprot.org/uniprot/P26641", "P26641")</f>
        <v>P26641</v>
      </c>
      <c r="DM567" t="s">
        <v>19000</v>
      </c>
      <c r="DN567" t="s">
        <v>17925</v>
      </c>
      <c r="DO567" t="s">
        <v>13772</v>
      </c>
      <c r="DP567" t="s">
        <v>13841</v>
      </c>
      <c r="DQ567" t="s">
        <v>13772</v>
      </c>
      <c r="DR567" t="s">
        <v>13772</v>
      </c>
      <c r="DS567" t="s">
        <v>13772</v>
      </c>
      <c r="DT567" t="s">
        <v>13772</v>
      </c>
      <c r="DU567" t="s">
        <v>19001</v>
      </c>
      <c r="DV567" t="s">
        <v>14312</v>
      </c>
      <c r="DW567" t="s">
        <v>13812</v>
      </c>
      <c r="DX567" t="s">
        <v>19002</v>
      </c>
      <c r="DY567" t="s">
        <v>19003</v>
      </c>
      <c r="DZ567" t="s">
        <v>19004</v>
      </c>
      <c r="EA567" t="s">
        <v>13772</v>
      </c>
      <c r="EB567" t="s">
        <v>19005</v>
      </c>
    </row>
    <row r="568" spans="1:132" hidden="1">
      <c r="A568">
        <v>848</v>
      </c>
      <c r="B568">
        <v>1</v>
      </c>
      <c r="C568" t="s">
        <v>2081</v>
      </c>
      <c r="D568" t="s">
        <v>73</v>
      </c>
      <c r="E568" t="s">
        <v>73</v>
      </c>
      <c r="F568" t="s">
        <v>73</v>
      </c>
      <c r="G568" t="s">
        <v>73</v>
      </c>
      <c r="H568">
        <v>75</v>
      </c>
      <c r="I568">
        <v>208</v>
      </c>
      <c r="J568">
        <v>22552</v>
      </c>
      <c r="K568" t="s">
        <v>2082</v>
      </c>
      <c r="L568">
        <f t="shared" si="34"/>
        <v>60</v>
      </c>
      <c r="N568">
        <v>60</v>
      </c>
      <c r="O568">
        <v>60</v>
      </c>
      <c r="P568">
        <v>1</v>
      </c>
      <c r="Q568">
        <v>3</v>
      </c>
      <c r="R568">
        <v>6</v>
      </c>
      <c r="S568">
        <v>2</v>
      </c>
      <c r="T568">
        <v>0</v>
      </c>
      <c r="U568">
        <v>10</v>
      </c>
      <c r="V568">
        <v>6</v>
      </c>
      <c r="W568">
        <v>6</v>
      </c>
      <c r="X568">
        <v>4</v>
      </c>
      <c r="Y568">
        <v>10</v>
      </c>
      <c r="Z568">
        <v>0</v>
      </c>
      <c r="AA568">
        <v>7</v>
      </c>
      <c r="AB568">
        <v>0</v>
      </c>
      <c r="AC568">
        <v>3</v>
      </c>
      <c r="AD568">
        <v>2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6</v>
      </c>
      <c r="AL568">
        <v>2</v>
      </c>
      <c r="AM568">
        <v>0</v>
      </c>
      <c r="AN568">
        <v>10</v>
      </c>
      <c r="AO568">
        <v>6</v>
      </c>
      <c r="AP568">
        <v>6</v>
      </c>
      <c r="AQ568">
        <v>4</v>
      </c>
      <c r="AR568">
        <v>10</v>
      </c>
      <c r="AS568">
        <v>0</v>
      </c>
      <c r="AT568">
        <v>7</v>
      </c>
      <c r="AU568">
        <v>0</v>
      </c>
      <c r="AV568">
        <v>3</v>
      </c>
      <c r="AW568">
        <v>2</v>
      </c>
      <c r="AX568">
        <v>1</v>
      </c>
      <c r="AY568">
        <v>0</v>
      </c>
      <c r="AZ568">
        <v>0</v>
      </c>
      <c r="BA568">
        <v>0</v>
      </c>
      <c r="BB568">
        <v>0</v>
      </c>
      <c r="BC568" s="2">
        <v>3</v>
      </c>
      <c r="BD568" s="2">
        <v>6</v>
      </c>
      <c r="BE568" s="2">
        <v>2</v>
      </c>
      <c r="BF568" s="2">
        <v>0</v>
      </c>
      <c r="BG568" s="2">
        <v>10</v>
      </c>
      <c r="BH568" s="2">
        <v>6</v>
      </c>
      <c r="BI568" s="2">
        <v>6</v>
      </c>
      <c r="BJ568" s="2">
        <v>4</v>
      </c>
      <c r="BK568" s="2">
        <v>10</v>
      </c>
      <c r="BL568" s="2">
        <v>0</v>
      </c>
      <c r="BM568" s="2">
        <v>7</v>
      </c>
      <c r="BN568" s="2">
        <v>0</v>
      </c>
      <c r="BO568" s="2">
        <v>3</v>
      </c>
      <c r="BP568" s="2">
        <v>2</v>
      </c>
      <c r="BQ568" s="2">
        <v>1</v>
      </c>
      <c r="BR568" s="2">
        <v>0</v>
      </c>
      <c r="BS568" s="2">
        <v>0</v>
      </c>
      <c r="BT568" s="2">
        <v>0</v>
      </c>
      <c r="BU568" s="2">
        <v>0</v>
      </c>
      <c r="BV568" s="2">
        <f t="shared" si="37"/>
        <v>60</v>
      </c>
      <c r="BW568" s="16">
        <f t="shared" si="35"/>
        <v>3.1578947368421053</v>
      </c>
      <c r="BX568" s="16">
        <f>COUNTIF($BC$6:BU568, "=0") / COUNTIF($BC$6:BU568, "&gt;-1")</f>
        <v>0.14798541647190802</v>
      </c>
      <c r="BY568" s="18">
        <f>SUM($BC$6:BU568) / $BY$4</f>
        <v>0.86791939028151732</v>
      </c>
      <c r="BZ568" s="14">
        <f t="shared" si="36"/>
        <v>7</v>
      </c>
      <c r="CA568" t="s">
        <v>5831</v>
      </c>
      <c r="CB568" s="36">
        <v>3.6349301875041902</v>
      </c>
      <c r="CC568" s="36">
        <v>5.7783847240646802</v>
      </c>
      <c r="CD568" s="36">
        <v>3.2015953236245198</v>
      </c>
      <c r="CE568" s="36">
        <v>0.37798043978830698</v>
      </c>
      <c r="CF568" s="36">
        <v>8.6017635993689208</v>
      </c>
      <c r="CG568" s="36">
        <v>5.5783634798369501</v>
      </c>
      <c r="CH568" s="36">
        <v>6.3243736971878404</v>
      </c>
      <c r="CI568" s="36">
        <v>3.8927343919292201</v>
      </c>
      <c r="CJ568" s="37">
        <v>7.9475829324495697</v>
      </c>
      <c r="CK568" s="37">
        <v>4.4145475282179998</v>
      </c>
      <c r="CL568" s="37">
        <v>0.200013587066836</v>
      </c>
      <c r="CM568" s="37">
        <v>2.5396411397998202</v>
      </c>
      <c r="CN568" s="37">
        <v>0.91879256581511404</v>
      </c>
      <c r="CO568" s="37">
        <v>0.19729764259628099</v>
      </c>
      <c r="CP568" s="37">
        <v>0.377135011965606</v>
      </c>
      <c r="CQ568" s="37">
        <v>0.38065921161865401</v>
      </c>
      <c r="CR568" s="45">
        <v>-1.0312198790407301</v>
      </c>
      <c r="CS568" s="45">
        <v>-2.20257148503224</v>
      </c>
      <c r="CT568" s="46">
        <v>9.2896128786934401E-2</v>
      </c>
      <c r="CU568" s="47">
        <v>0.132773706810002</v>
      </c>
      <c r="CV568" s="48">
        <v>4.6737657304130797</v>
      </c>
      <c r="CW568" s="49">
        <v>2.1219587024412401</v>
      </c>
      <c r="CX568" s="31" t="s">
        <v>5875</v>
      </c>
      <c r="CY568" s="31" t="s">
        <v>5832</v>
      </c>
      <c r="CZ568" t="s">
        <v>8607</v>
      </c>
      <c r="DA568" t="s">
        <v>5904</v>
      </c>
      <c r="DB568">
        <v>373.2</v>
      </c>
      <c r="DC568" t="s">
        <v>22150</v>
      </c>
      <c r="DD568" t="s">
        <v>22151</v>
      </c>
      <c r="DE568" t="s">
        <v>22152</v>
      </c>
      <c r="DF568" t="s">
        <v>22153</v>
      </c>
      <c r="DG568" t="s">
        <v>22154</v>
      </c>
      <c r="DH568" t="str">
        <f>"GPX1"</f>
        <v>GPX1</v>
      </c>
      <c r="DI568" t="s">
        <v>13772</v>
      </c>
      <c r="DJ568" t="s">
        <v>13777</v>
      </c>
      <c r="DK568">
        <v>9606</v>
      </c>
      <c r="DL568" s="34" t="str">
        <f>HYPERLINK("http://www.uniprot.org/uniprot/P07203", "P07203")</f>
        <v>P07203</v>
      </c>
      <c r="DM568" t="s">
        <v>22155</v>
      </c>
      <c r="DN568" t="s">
        <v>13772</v>
      </c>
      <c r="DO568" t="s">
        <v>13899</v>
      </c>
      <c r="DP568" t="s">
        <v>17380</v>
      </c>
      <c r="DQ568" t="s">
        <v>13772</v>
      </c>
      <c r="DR568" t="s">
        <v>13772</v>
      </c>
      <c r="DS568" t="s">
        <v>13772</v>
      </c>
      <c r="DT568" t="s">
        <v>13772</v>
      </c>
      <c r="DU568" t="s">
        <v>13810</v>
      </c>
      <c r="DV568" t="s">
        <v>13886</v>
      </c>
      <c r="DW568" t="s">
        <v>13812</v>
      </c>
      <c r="DX568" t="s">
        <v>22156</v>
      </c>
      <c r="DY568" t="s">
        <v>17383</v>
      </c>
      <c r="DZ568" t="s">
        <v>22157</v>
      </c>
      <c r="EA568" t="s">
        <v>13772</v>
      </c>
      <c r="EB568" t="s">
        <v>22158</v>
      </c>
    </row>
    <row r="569" spans="1:132" hidden="1">
      <c r="A569">
        <v>880</v>
      </c>
      <c r="B569">
        <v>1</v>
      </c>
      <c r="C569" t="s">
        <v>2148</v>
      </c>
      <c r="D569" t="s">
        <v>2149</v>
      </c>
      <c r="E569" t="s">
        <v>73</v>
      </c>
      <c r="F569" t="s">
        <v>73</v>
      </c>
      <c r="G569" t="s">
        <v>73</v>
      </c>
      <c r="H569">
        <v>51.4</v>
      </c>
      <c r="I569">
        <v>315</v>
      </c>
      <c r="J569">
        <v>34545</v>
      </c>
      <c r="K569" t="s">
        <v>2150</v>
      </c>
      <c r="L569">
        <f t="shared" si="34"/>
        <v>60</v>
      </c>
      <c r="N569">
        <v>60</v>
      </c>
      <c r="O569">
        <v>60</v>
      </c>
      <c r="P569">
        <v>1</v>
      </c>
      <c r="Q569">
        <v>1</v>
      </c>
      <c r="R569">
        <v>11</v>
      </c>
      <c r="S569">
        <v>0</v>
      </c>
      <c r="T569">
        <v>2</v>
      </c>
      <c r="U569">
        <v>9</v>
      </c>
      <c r="V569">
        <v>9</v>
      </c>
      <c r="W569">
        <v>2</v>
      </c>
      <c r="X569">
        <v>8</v>
      </c>
      <c r="Y569">
        <v>2</v>
      </c>
      <c r="Z569">
        <v>0</v>
      </c>
      <c r="AA569">
        <v>10</v>
      </c>
      <c r="AB569">
        <v>0</v>
      </c>
      <c r="AC569">
        <v>2</v>
      </c>
      <c r="AD569">
        <v>0</v>
      </c>
      <c r="AE569">
        <v>3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11</v>
      </c>
      <c r="AL569">
        <v>0</v>
      </c>
      <c r="AM569">
        <v>2</v>
      </c>
      <c r="AN569">
        <v>9</v>
      </c>
      <c r="AO569">
        <v>9</v>
      </c>
      <c r="AP569">
        <v>2</v>
      </c>
      <c r="AQ569">
        <v>8</v>
      </c>
      <c r="AR569">
        <v>2</v>
      </c>
      <c r="AS569">
        <v>0</v>
      </c>
      <c r="AT569">
        <v>10</v>
      </c>
      <c r="AU569">
        <v>0</v>
      </c>
      <c r="AV569">
        <v>2</v>
      </c>
      <c r="AW569">
        <v>0</v>
      </c>
      <c r="AX569">
        <v>3</v>
      </c>
      <c r="AY569">
        <v>1</v>
      </c>
      <c r="AZ569">
        <v>0</v>
      </c>
      <c r="BA569">
        <v>0</v>
      </c>
      <c r="BB569">
        <v>0</v>
      </c>
      <c r="BC569" s="2">
        <v>1</v>
      </c>
      <c r="BD569" s="2">
        <v>11</v>
      </c>
      <c r="BE569" s="2">
        <v>0</v>
      </c>
      <c r="BF569" s="2">
        <v>2</v>
      </c>
      <c r="BG569" s="2">
        <v>9</v>
      </c>
      <c r="BH569" s="2">
        <v>9</v>
      </c>
      <c r="BI569" s="2">
        <v>2</v>
      </c>
      <c r="BJ569" s="2">
        <v>8</v>
      </c>
      <c r="BK569" s="2">
        <v>2</v>
      </c>
      <c r="BL569" s="2">
        <v>0</v>
      </c>
      <c r="BM569" s="2">
        <v>10</v>
      </c>
      <c r="BN569" s="2">
        <v>0</v>
      </c>
      <c r="BO569" s="2">
        <v>2</v>
      </c>
      <c r="BP569" s="2">
        <v>0</v>
      </c>
      <c r="BQ569" s="2">
        <v>3</v>
      </c>
      <c r="BR569" s="2">
        <v>1</v>
      </c>
      <c r="BS569" s="2">
        <v>0</v>
      </c>
      <c r="BT569" s="2">
        <v>0</v>
      </c>
      <c r="BU569" s="2">
        <v>0</v>
      </c>
      <c r="BV569" s="2">
        <f t="shared" si="37"/>
        <v>60</v>
      </c>
      <c r="BW569" s="16">
        <f t="shared" si="35"/>
        <v>3.1578947368421053</v>
      </c>
      <c r="BX569" s="16">
        <f>COUNTIF($BC$6:BU569, "=0") / COUNTIF($BC$6:BU569, "&gt;-1")</f>
        <v>0.14837625979843225</v>
      </c>
      <c r="BY569" s="18">
        <f>SUM($BC$6:BU569) / $BY$4</f>
        <v>0.86817640849363931</v>
      </c>
      <c r="BZ569" s="14">
        <f t="shared" si="36"/>
        <v>7</v>
      </c>
      <c r="CA569" t="s">
        <v>5831</v>
      </c>
      <c r="CB569" s="36">
        <v>1.2116433958347299</v>
      </c>
      <c r="CC569" s="36">
        <v>10.5937053274519</v>
      </c>
      <c r="CD569" s="36">
        <v>0.40019941545306398</v>
      </c>
      <c r="CE569" s="36">
        <v>3.0238435183064598</v>
      </c>
      <c r="CF569" s="36">
        <v>7.7415872394320298</v>
      </c>
      <c r="CG569" s="36">
        <v>8.3675452197554208</v>
      </c>
      <c r="CH569" s="36">
        <v>2.10812456572928</v>
      </c>
      <c r="CI569" s="36">
        <v>7.78546878385845</v>
      </c>
      <c r="CJ569" s="37">
        <v>1.5895165864899099</v>
      </c>
      <c r="CK569" s="37">
        <v>6.3064964688828598</v>
      </c>
      <c r="CL569" s="37">
        <v>0.200013587066836</v>
      </c>
      <c r="CM569" s="37">
        <v>1.6930940931998799</v>
      </c>
      <c r="CN569" s="37">
        <v>2.7563776974453398</v>
      </c>
      <c r="CO569" s="37">
        <v>0.78919057038512497</v>
      </c>
      <c r="CP569" s="37">
        <v>0.377135011965606</v>
      </c>
      <c r="CQ569" s="37">
        <v>0.38065921161865401</v>
      </c>
      <c r="CR569" s="45">
        <v>-1.4167715505981999</v>
      </c>
      <c r="CS569" s="45">
        <v>-2.9258234195848098</v>
      </c>
      <c r="CT569" s="46">
        <v>2.5045262432235399E-2</v>
      </c>
      <c r="CU569" s="47">
        <v>4.2078145531101903E-2</v>
      </c>
      <c r="CV569" s="48">
        <v>5.1540146832276701</v>
      </c>
      <c r="CW569" s="49">
        <v>1.76156040338178</v>
      </c>
      <c r="CX569" s="31" t="s">
        <v>5875</v>
      </c>
      <c r="CY569" s="31" t="s">
        <v>5878</v>
      </c>
      <c r="CZ569" t="s">
        <v>8708</v>
      </c>
      <c r="DA569" t="s">
        <v>5904</v>
      </c>
      <c r="DB569">
        <v>533.1</v>
      </c>
      <c r="DC569" t="s">
        <v>22452</v>
      </c>
      <c r="DD569" t="s">
        <v>22453</v>
      </c>
      <c r="DE569" t="s">
        <v>22454</v>
      </c>
      <c r="DF569" t="s">
        <v>22455</v>
      </c>
      <c r="DG569" t="s">
        <v>22456</v>
      </c>
      <c r="DH569" t="str">
        <f>"NIT2"</f>
        <v>NIT2</v>
      </c>
      <c r="DI569" t="s">
        <v>13772</v>
      </c>
      <c r="DJ569" t="s">
        <v>13777</v>
      </c>
      <c r="DK569">
        <v>9606</v>
      </c>
      <c r="DL569" s="34" t="str">
        <f>HYPERLINK("http://www.uniprot.org/uniprot/Q9NQR4", "Q9NQR4")</f>
        <v>Q9NQR4</v>
      </c>
      <c r="DM569" t="s">
        <v>22457</v>
      </c>
      <c r="DN569" t="s">
        <v>13772</v>
      </c>
      <c r="DO569" t="s">
        <v>13899</v>
      </c>
      <c r="DP569" t="s">
        <v>13793</v>
      </c>
      <c r="DQ569" t="s">
        <v>13772</v>
      </c>
      <c r="DR569" t="s">
        <v>13772</v>
      </c>
      <c r="DS569" t="s">
        <v>13772</v>
      </c>
      <c r="DT569" t="s">
        <v>13772</v>
      </c>
      <c r="DU569" t="s">
        <v>13857</v>
      </c>
      <c r="DV569" t="s">
        <v>13886</v>
      </c>
      <c r="DW569" t="s">
        <v>13772</v>
      </c>
      <c r="DX569" t="s">
        <v>22458</v>
      </c>
      <c r="DY569" t="s">
        <v>22459</v>
      </c>
      <c r="DZ569" t="s">
        <v>22460</v>
      </c>
      <c r="EA569" t="s">
        <v>13772</v>
      </c>
      <c r="EB569" t="s">
        <v>13890</v>
      </c>
    </row>
    <row r="570" spans="1:132" hidden="1">
      <c r="A570">
        <v>926</v>
      </c>
      <c r="B570">
        <v>1</v>
      </c>
      <c r="C570" t="s">
        <v>2251</v>
      </c>
      <c r="D570" t="s">
        <v>2252</v>
      </c>
      <c r="E570" t="s">
        <v>73</v>
      </c>
      <c r="F570" t="s">
        <v>73</v>
      </c>
      <c r="G570" t="s">
        <v>73</v>
      </c>
      <c r="H570">
        <v>31.3</v>
      </c>
      <c r="I570">
        <v>441</v>
      </c>
      <c r="J570">
        <v>49175</v>
      </c>
      <c r="K570" t="s">
        <v>2253</v>
      </c>
      <c r="L570">
        <f t="shared" si="34"/>
        <v>60</v>
      </c>
      <c r="N570">
        <v>60</v>
      </c>
      <c r="O570">
        <v>60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3</v>
      </c>
      <c r="V570">
        <v>2</v>
      </c>
      <c r="W570">
        <v>5</v>
      </c>
      <c r="X570">
        <v>6</v>
      </c>
      <c r="Y570">
        <v>7</v>
      </c>
      <c r="Z570">
        <v>0</v>
      </c>
      <c r="AA570">
        <v>7</v>
      </c>
      <c r="AB570">
        <v>2</v>
      </c>
      <c r="AC570">
        <v>3</v>
      </c>
      <c r="AD570">
        <v>0</v>
      </c>
      <c r="AE570">
        <v>12</v>
      </c>
      <c r="AF570">
        <v>9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M570">
        <v>0</v>
      </c>
      <c r="AN570">
        <v>3</v>
      </c>
      <c r="AO570">
        <v>2</v>
      </c>
      <c r="AP570">
        <v>5</v>
      </c>
      <c r="AQ570">
        <v>6</v>
      </c>
      <c r="AR570">
        <v>7</v>
      </c>
      <c r="AS570">
        <v>0</v>
      </c>
      <c r="AT570">
        <v>7</v>
      </c>
      <c r="AU570">
        <v>2</v>
      </c>
      <c r="AV570">
        <v>3</v>
      </c>
      <c r="AW570">
        <v>0</v>
      </c>
      <c r="AX570">
        <v>12</v>
      </c>
      <c r="AY570">
        <v>9</v>
      </c>
      <c r="AZ570">
        <v>0</v>
      </c>
      <c r="BA570">
        <v>2</v>
      </c>
      <c r="BB570">
        <v>2</v>
      </c>
      <c r="BC570" s="2">
        <v>0</v>
      </c>
      <c r="BD570" s="2">
        <v>0</v>
      </c>
      <c r="BE570" s="2">
        <v>0</v>
      </c>
      <c r="BF570" s="2">
        <v>0</v>
      </c>
      <c r="BG570" s="2">
        <v>3</v>
      </c>
      <c r="BH570" s="2">
        <v>2</v>
      </c>
      <c r="BI570" s="2">
        <v>5</v>
      </c>
      <c r="BJ570" s="2">
        <v>6</v>
      </c>
      <c r="BK570" s="2">
        <v>7</v>
      </c>
      <c r="BL570" s="2">
        <v>0</v>
      </c>
      <c r="BM570" s="2">
        <v>7</v>
      </c>
      <c r="BN570" s="2">
        <v>2</v>
      </c>
      <c r="BO570" s="2">
        <v>3</v>
      </c>
      <c r="BP570" s="2">
        <v>0</v>
      </c>
      <c r="BQ570" s="2">
        <v>12</v>
      </c>
      <c r="BR570" s="2">
        <v>9</v>
      </c>
      <c r="BS570" s="2">
        <v>0</v>
      </c>
      <c r="BT570" s="2">
        <v>2</v>
      </c>
      <c r="BU570" s="2">
        <v>2</v>
      </c>
      <c r="BV570" s="2">
        <f t="shared" si="37"/>
        <v>60</v>
      </c>
      <c r="BW570" s="16">
        <f t="shared" si="35"/>
        <v>3.1578947368421053</v>
      </c>
      <c r="BX570" s="16">
        <f>COUNTIF($BC$6:BU570, "=0") / COUNTIF($BC$6:BU570, "&gt;-1")</f>
        <v>0.1487657196087564</v>
      </c>
      <c r="BY570" s="18">
        <f>SUM($BC$6:BU570) / $BY$4</f>
        <v>0.8684334267057614</v>
      </c>
      <c r="BZ570" s="14">
        <f t="shared" si="36"/>
        <v>7</v>
      </c>
      <c r="CA570" t="s">
        <v>5831</v>
      </c>
      <c r="CB570" s="36">
        <v>0.30291084895868198</v>
      </c>
      <c r="CC570" s="36">
        <v>0.24076603016936199</v>
      </c>
      <c r="CD570" s="36">
        <v>0.40019941545306398</v>
      </c>
      <c r="CE570" s="36">
        <v>0.37798043978830698</v>
      </c>
      <c r="CF570" s="36">
        <v>2.5805290798106801</v>
      </c>
      <c r="CG570" s="36">
        <v>1.85945449327898</v>
      </c>
      <c r="CH570" s="36">
        <v>5.2703114143232002</v>
      </c>
      <c r="CI570" s="36">
        <v>5.8391015878938397</v>
      </c>
      <c r="CJ570" s="37">
        <v>5.5633080527147003</v>
      </c>
      <c r="CK570" s="37">
        <v>4.4145475282179998</v>
      </c>
      <c r="CL570" s="37">
        <v>1.60010869653469</v>
      </c>
      <c r="CM570" s="37">
        <v>2.5396411397998202</v>
      </c>
      <c r="CN570" s="37">
        <v>11.0255107897814</v>
      </c>
      <c r="CO570" s="37">
        <v>7.1027151334661296</v>
      </c>
      <c r="CP570" s="37">
        <v>0.377135011965606</v>
      </c>
      <c r="CQ570" s="37">
        <v>3.0452736929492299</v>
      </c>
      <c r="CR570" s="45">
        <v>1.00106444363536</v>
      </c>
      <c r="CS570" s="45">
        <v>2.11414287905765</v>
      </c>
      <c r="CT570" s="46">
        <v>0.108394761998655</v>
      </c>
      <c r="CU570" s="47">
        <v>0.15266546479389501</v>
      </c>
      <c r="CV570" s="48">
        <v>2.1089066637095102</v>
      </c>
      <c r="CW570" s="49">
        <v>4.4585300056786901</v>
      </c>
      <c r="CX570" s="31" t="s">
        <v>5874</v>
      </c>
      <c r="CY570" s="31" t="s">
        <v>5832</v>
      </c>
      <c r="CZ570" t="s">
        <v>8866</v>
      </c>
      <c r="DA570" t="s">
        <v>5904</v>
      </c>
      <c r="DB570">
        <v>669.8</v>
      </c>
      <c r="DC570" t="s">
        <v>22906</v>
      </c>
      <c r="DD570" t="s">
        <v>22907</v>
      </c>
      <c r="DE570" t="s">
        <v>22908</v>
      </c>
      <c r="DF570" t="s">
        <v>22909</v>
      </c>
      <c r="DG570" t="s">
        <v>22910</v>
      </c>
      <c r="DH570" t="str">
        <f>"BIN1"</f>
        <v>BIN1</v>
      </c>
      <c r="DI570" t="s">
        <v>22911</v>
      </c>
      <c r="DJ570" t="s">
        <v>13777</v>
      </c>
      <c r="DK570">
        <v>9606</v>
      </c>
      <c r="DL570" s="34" t="str">
        <f>HYPERLINK("http://www.uniprot.org/uniprot/O00499", "O00499")</f>
        <v>O00499</v>
      </c>
      <c r="DM570" t="s">
        <v>22912</v>
      </c>
      <c r="DN570" t="s">
        <v>22913</v>
      </c>
      <c r="DO570" t="s">
        <v>22914</v>
      </c>
      <c r="DP570" t="s">
        <v>13841</v>
      </c>
      <c r="DQ570" t="s">
        <v>13772</v>
      </c>
      <c r="DR570" t="s">
        <v>13807</v>
      </c>
      <c r="DS570" t="s">
        <v>17173</v>
      </c>
      <c r="DT570" t="s">
        <v>13772</v>
      </c>
      <c r="DU570" t="s">
        <v>14727</v>
      </c>
      <c r="DV570" t="s">
        <v>13886</v>
      </c>
      <c r="DW570" t="s">
        <v>13812</v>
      </c>
      <c r="DX570" t="s">
        <v>22915</v>
      </c>
      <c r="DY570" t="s">
        <v>22916</v>
      </c>
      <c r="DZ570" t="s">
        <v>22917</v>
      </c>
      <c r="EA570" t="s">
        <v>13772</v>
      </c>
      <c r="EB570" t="s">
        <v>18627</v>
      </c>
    </row>
    <row r="571" spans="1:132" hidden="1">
      <c r="A571">
        <v>1191</v>
      </c>
      <c r="B571">
        <v>1</v>
      </c>
      <c r="C571" t="s">
        <v>2859</v>
      </c>
      <c r="D571" t="s">
        <v>73</v>
      </c>
      <c r="E571" t="s">
        <v>73</v>
      </c>
      <c r="F571" t="s">
        <v>73</v>
      </c>
      <c r="G571" t="s">
        <v>73</v>
      </c>
      <c r="H571">
        <v>35</v>
      </c>
      <c r="I571">
        <v>523</v>
      </c>
      <c r="J571">
        <v>59302</v>
      </c>
      <c r="K571" t="s">
        <v>2860</v>
      </c>
      <c r="L571">
        <f t="shared" si="34"/>
        <v>60</v>
      </c>
      <c r="N571">
        <v>60</v>
      </c>
      <c r="O571">
        <v>60</v>
      </c>
      <c r="P571">
        <v>1</v>
      </c>
      <c r="Q571">
        <v>9</v>
      </c>
      <c r="R571">
        <v>9</v>
      </c>
      <c r="S571">
        <v>2</v>
      </c>
      <c r="T571">
        <v>3</v>
      </c>
      <c r="U571">
        <v>8</v>
      </c>
      <c r="V571">
        <v>7</v>
      </c>
      <c r="W571">
        <v>4</v>
      </c>
      <c r="X571">
        <v>6</v>
      </c>
      <c r="Y571">
        <v>0</v>
      </c>
      <c r="Z571">
        <v>0</v>
      </c>
      <c r="AA571">
        <v>5</v>
      </c>
      <c r="AB571">
        <v>1</v>
      </c>
      <c r="AC571">
        <v>2</v>
      </c>
      <c r="AD571">
        <v>0</v>
      </c>
      <c r="AE571">
        <v>2</v>
      </c>
      <c r="AF571">
        <v>0</v>
      </c>
      <c r="AG571">
        <v>1</v>
      </c>
      <c r="AH571">
        <v>0</v>
      </c>
      <c r="AI571">
        <v>1</v>
      </c>
      <c r="AJ571">
        <v>9</v>
      </c>
      <c r="AK571">
        <v>9</v>
      </c>
      <c r="AL571">
        <v>2</v>
      </c>
      <c r="AM571">
        <v>3</v>
      </c>
      <c r="AN571">
        <v>8</v>
      </c>
      <c r="AO571">
        <v>7</v>
      </c>
      <c r="AP571">
        <v>4</v>
      </c>
      <c r="AQ571">
        <v>6</v>
      </c>
      <c r="AR571">
        <v>0</v>
      </c>
      <c r="AS571">
        <v>0</v>
      </c>
      <c r="AT571">
        <v>5</v>
      </c>
      <c r="AU571">
        <v>1</v>
      </c>
      <c r="AV571">
        <v>2</v>
      </c>
      <c r="AW571">
        <v>0</v>
      </c>
      <c r="AX571">
        <v>2</v>
      </c>
      <c r="AY571">
        <v>0</v>
      </c>
      <c r="AZ571">
        <v>1</v>
      </c>
      <c r="BA571">
        <v>0</v>
      </c>
      <c r="BB571">
        <v>1</v>
      </c>
      <c r="BC571" s="2">
        <v>9</v>
      </c>
      <c r="BD571" s="2">
        <v>9</v>
      </c>
      <c r="BE571" s="2">
        <v>2</v>
      </c>
      <c r="BF571" s="2">
        <v>3</v>
      </c>
      <c r="BG571" s="2">
        <v>8</v>
      </c>
      <c r="BH571" s="2">
        <v>7</v>
      </c>
      <c r="BI571" s="2">
        <v>4</v>
      </c>
      <c r="BJ571" s="2">
        <v>6</v>
      </c>
      <c r="BK571" s="2">
        <v>0</v>
      </c>
      <c r="BL571" s="2">
        <v>0</v>
      </c>
      <c r="BM571" s="2">
        <v>5</v>
      </c>
      <c r="BN571" s="2">
        <v>1</v>
      </c>
      <c r="BO571" s="2">
        <v>2</v>
      </c>
      <c r="BP571" s="2">
        <v>0</v>
      </c>
      <c r="BQ571" s="2">
        <v>2</v>
      </c>
      <c r="BR571" s="2">
        <v>0</v>
      </c>
      <c r="BS571" s="2">
        <v>1</v>
      </c>
      <c r="BT571" s="2">
        <v>0</v>
      </c>
      <c r="BU571" s="2">
        <v>1</v>
      </c>
      <c r="BV571" s="2">
        <f t="shared" si="37"/>
        <v>60</v>
      </c>
      <c r="BW571" s="16">
        <f t="shared" si="35"/>
        <v>3.1578947368421053</v>
      </c>
      <c r="BX571" s="16">
        <f>COUNTIF($BC$6:BU571, "=0") / COUNTIF($BC$6:BU571, "&gt;-1")</f>
        <v>0.14896782592523711</v>
      </c>
      <c r="BY571" s="18">
        <f>SUM($BC$6:BU571) / $BY$4</f>
        <v>0.86869044491788339</v>
      </c>
      <c r="BZ571" s="14">
        <f t="shared" si="36"/>
        <v>5</v>
      </c>
      <c r="CA571" t="s">
        <v>5831</v>
      </c>
      <c r="CB571" s="36">
        <v>10.9047905625126</v>
      </c>
      <c r="CC571" s="36">
        <v>8.6675770860970207</v>
      </c>
      <c r="CD571" s="36">
        <v>3.2015953236245198</v>
      </c>
      <c r="CE571" s="36">
        <v>4.5357652774596904</v>
      </c>
      <c r="CF571" s="36">
        <v>6.8814108794951396</v>
      </c>
      <c r="CG571" s="36">
        <v>6.50809072647644</v>
      </c>
      <c r="CH571" s="36">
        <v>4.21624913145856</v>
      </c>
      <c r="CI571" s="36">
        <v>5.8391015878938397</v>
      </c>
      <c r="CJ571" s="37">
        <v>0.19868957331123899</v>
      </c>
      <c r="CK571" s="37">
        <v>3.1532482344414299</v>
      </c>
      <c r="CL571" s="37">
        <v>0.80005434826734301</v>
      </c>
      <c r="CM571" s="37">
        <v>1.6930940931998799</v>
      </c>
      <c r="CN571" s="37">
        <v>1.8375851316302301</v>
      </c>
      <c r="CO571" s="37">
        <v>0.19729764259628099</v>
      </c>
      <c r="CP571" s="37">
        <v>1.50854004786242</v>
      </c>
      <c r="CQ571" s="37">
        <v>1.5226368464746201</v>
      </c>
      <c r="CR571" s="45">
        <v>-2.1252910594241299</v>
      </c>
      <c r="CS571" s="45">
        <v>-4.6516269654405296</v>
      </c>
      <c r="CT571" s="46">
        <v>7.7431971891919399E-6</v>
      </c>
      <c r="CU571" s="47">
        <v>2.9266660562539001E-5</v>
      </c>
      <c r="CV571" s="48">
        <v>6.3443225718772203</v>
      </c>
      <c r="CW571" s="49">
        <v>1.36389323972293</v>
      </c>
      <c r="CX571" s="31" t="s">
        <v>5875</v>
      </c>
      <c r="CY571" s="31" t="s">
        <v>5876</v>
      </c>
      <c r="CZ571" t="s">
        <v>9693</v>
      </c>
      <c r="DA571" t="s">
        <v>5904</v>
      </c>
      <c r="DB571">
        <v>782.3</v>
      </c>
      <c r="DC571" t="s">
        <v>25264</v>
      </c>
      <c r="DD571" t="s">
        <v>25265</v>
      </c>
      <c r="DE571" t="s">
        <v>25266</v>
      </c>
      <c r="DF571" t="s">
        <v>25267</v>
      </c>
      <c r="DG571" t="s">
        <v>25268</v>
      </c>
      <c r="DH571" t="str">
        <f>"ADA2 IDGFL"</f>
        <v>ADA2 IDGFL</v>
      </c>
      <c r="DI571" t="s">
        <v>13772</v>
      </c>
      <c r="DJ571" t="s">
        <v>13777</v>
      </c>
      <c r="DK571">
        <v>9606</v>
      </c>
      <c r="DL571" s="34" t="str">
        <f>HYPERLINK("http://www.uniprot.org/uniprot/Q9NZK5", "Q9NZK5")</f>
        <v>Q9NZK5</v>
      </c>
      <c r="DM571" t="s">
        <v>25269</v>
      </c>
      <c r="DN571" t="s">
        <v>13772</v>
      </c>
      <c r="DO571" t="s">
        <v>14321</v>
      </c>
      <c r="DP571" t="s">
        <v>13780</v>
      </c>
      <c r="DQ571" t="s">
        <v>13772</v>
      </c>
      <c r="DR571" t="s">
        <v>13807</v>
      </c>
      <c r="DS571" t="s">
        <v>13808</v>
      </c>
      <c r="DT571" t="s">
        <v>13856</v>
      </c>
      <c r="DU571" t="s">
        <v>25270</v>
      </c>
      <c r="DV571" t="s">
        <v>13796</v>
      </c>
      <c r="DW571" t="s">
        <v>13812</v>
      </c>
      <c r="DX571" t="s">
        <v>25271</v>
      </c>
      <c r="DY571" t="s">
        <v>25272</v>
      </c>
      <c r="DZ571" t="s">
        <v>25273</v>
      </c>
      <c r="EA571" t="s">
        <v>13772</v>
      </c>
      <c r="EB571" t="s">
        <v>25274</v>
      </c>
    </row>
    <row r="572" spans="1:132" hidden="1">
      <c r="A572">
        <v>1504</v>
      </c>
      <c r="B572">
        <v>1</v>
      </c>
      <c r="C572" t="s">
        <v>3581</v>
      </c>
      <c r="D572" t="s">
        <v>73</v>
      </c>
      <c r="E572" t="s">
        <v>73</v>
      </c>
      <c r="F572" t="s">
        <v>73</v>
      </c>
      <c r="G572" t="s">
        <v>73</v>
      </c>
      <c r="H572">
        <v>27.4</v>
      </c>
      <c r="I572">
        <v>580</v>
      </c>
      <c r="J572">
        <v>65151</v>
      </c>
      <c r="K572" t="s">
        <v>3582</v>
      </c>
      <c r="L572">
        <f t="shared" si="34"/>
        <v>60</v>
      </c>
      <c r="N572">
        <v>60</v>
      </c>
      <c r="O572">
        <v>60</v>
      </c>
      <c r="P572">
        <v>1</v>
      </c>
      <c r="Q572">
        <v>3</v>
      </c>
      <c r="R572">
        <v>5</v>
      </c>
      <c r="S572">
        <v>1</v>
      </c>
      <c r="T572">
        <v>5</v>
      </c>
      <c r="U572">
        <v>9</v>
      </c>
      <c r="V572">
        <v>5</v>
      </c>
      <c r="W572">
        <v>3</v>
      </c>
      <c r="X572">
        <v>5</v>
      </c>
      <c r="Y572">
        <v>4</v>
      </c>
      <c r="Z572">
        <v>0</v>
      </c>
      <c r="AA572">
        <v>5</v>
      </c>
      <c r="AB572">
        <v>2</v>
      </c>
      <c r="AC572">
        <v>6</v>
      </c>
      <c r="AD572">
        <v>2</v>
      </c>
      <c r="AE572">
        <v>1</v>
      </c>
      <c r="AF572">
        <v>1</v>
      </c>
      <c r="AG572">
        <v>1</v>
      </c>
      <c r="AH572">
        <v>0</v>
      </c>
      <c r="AI572">
        <v>2</v>
      </c>
      <c r="AJ572">
        <v>3</v>
      </c>
      <c r="AK572">
        <v>5</v>
      </c>
      <c r="AL572">
        <v>1</v>
      </c>
      <c r="AM572">
        <v>5</v>
      </c>
      <c r="AN572">
        <v>9</v>
      </c>
      <c r="AO572">
        <v>5</v>
      </c>
      <c r="AP572">
        <v>3</v>
      </c>
      <c r="AQ572">
        <v>5</v>
      </c>
      <c r="AR572">
        <v>4</v>
      </c>
      <c r="AS572">
        <v>0</v>
      </c>
      <c r="AT572">
        <v>5</v>
      </c>
      <c r="AU572">
        <v>2</v>
      </c>
      <c r="AV572">
        <v>6</v>
      </c>
      <c r="AW572">
        <v>2</v>
      </c>
      <c r="AX572">
        <v>1</v>
      </c>
      <c r="AY572">
        <v>1</v>
      </c>
      <c r="AZ572">
        <v>1</v>
      </c>
      <c r="BA572">
        <v>0</v>
      </c>
      <c r="BB572">
        <v>2</v>
      </c>
      <c r="BC572" s="2">
        <v>3</v>
      </c>
      <c r="BD572" s="2">
        <v>5</v>
      </c>
      <c r="BE572" s="2">
        <v>1</v>
      </c>
      <c r="BF572" s="2">
        <v>5</v>
      </c>
      <c r="BG572" s="2">
        <v>9</v>
      </c>
      <c r="BH572" s="2">
        <v>5</v>
      </c>
      <c r="BI572" s="2">
        <v>3</v>
      </c>
      <c r="BJ572" s="2">
        <v>5</v>
      </c>
      <c r="BK572" s="2">
        <v>4</v>
      </c>
      <c r="BL572" s="2">
        <v>0</v>
      </c>
      <c r="BM572" s="2">
        <v>5</v>
      </c>
      <c r="BN572" s="2">
        <v>2</v>
      </c>
      <c r="BO572" s="2">
        <v>6</v>
      </c>
      <c r="BP572" s="2">
        <v>2</v>
      </c>
      <c r="BQ572" s="2">
        <v>1</v>
      </c>
      <c r="BR572" s="2">
        <v>1</v>
      </c>
      <c r="BS572" s="2">
        <v>1</v>
      </c>
      <c r="BT572" s="2">
        <v>0</v>
      </c>
      <c r="BU572" s="2">
        <v>2</v>
      </c>
      <c r="BV572" s="2">
        <f t="shared" si="37"/>
        <v>60</v>
      </c>
      <c r="BW572" s="16">
        <f t="shared" si="35"/>
        <v>3.1578947368421053</v>
      </c>
      <c r="BX572" s="16">
        <f>COUNTIF($BC$6:BU572, "=0") / COUNTIF($BC$6:BU572, "&gt;-1")</f>
        <v>0.14889074538197344</v>
      </c>
      <c r="BY572" s="18">
        <f>SUM($BC$6:BU572) / $BY$4</f>
        <v>0.86894746313000548</v>
      </c>
      <c r="BZ572" s="14">
        <f t="shared" si="36"/>
        <v>2</v>
      </c>
      <c r="CA572" t="s">
        <v>5831</v>
      </c>
      <c r="CB572" s="36">
        <v>3.6349301875041902</v>
      </c>
      <c r="CC572" s="36">
        <v>4.8153206033872298</v>
      </c>
      <c r="CD572" s="36">
        <v>1.6007976618122599</v>
      </c>
      <c r="CE572" s="36">
        <v>7.5596087957661497</v>
      </c>
      <c r="CF572" s="36">
        <v>7.7415872394320298</v>
      </c>
      <c r="CG572" s="36">
        <v>4.6486362331974602</v>
      </c>
      <c r="CH572" s="36">
        <v>3.1621868485939202</v>
      </c>
      <c r="CI572" s="36">
        <v>4.8659179899115301</v>
      </c>
      <c r="CJ572" s="37">
        <v>3.17903317297983</v>
      </c>
      <c r="CK572" s="37">
        <v>3.1532482344414299</v>
      </c>
      <c r="CL572" s="37">
        <v>1.60010869653469</v>
      </c>
      <c r="CM572" s="37">
        <v>5.0792822795996404</v>
      </c>
      <c r="CN572" s="37">
        <v>0.91879256581511404</v>
      </c>
      <c r="CO572" s="37">
        <v>0.78919057038512497</v>
      </c>
      <c r="CP572" s="37">
        <v>1.50854004786242</v>
      </c>
      <c r="CQ572" s="37">
        <v>3.0452736929492299</v>
      </c>
      <c r="CR572" s="45">
        <v>-0.95102761473905695</v>
      </c>
      <c r="CS572" s="45">
        <v>-1.9731261168123</v>
      </c>
      <c r="CT572" s="46">
        <v>5.2621054142872201E-2</v>
      </c>
      <c r="CU572" s="47">
        <v>8.0741938581608996E-2</v>
      </c>
      <c r="CV572" s="48">
        <v>4.7536231949505998</v>
      </c>
      <c r="CW572" s="49">
        <v>2.40918365757094</v>
      </c>
      <c r="CX572" s="31" t="s">
        <v>5875</v>
      </c>
      <c r="CY572" s="31" t="s">
        <v>5877</v>
      </c>
      <c r="CZ572" t="s">
        <v>10745</v>
      </c>
      <c r="DA572" t="s">
        <v>5904</v>
      </c>
      <c r="DB572">
        <v>830.1</v>
      </c>
      <c r="DC572" t="s">
        <v>28235</v>
      </c>
      <c r="DD572" t="s">
        <v>28236</v>
      </c>
      <c r="DE572" t="s">
        <v>28237</v>
      </c>
      <c r="DF572" t="s">
        <v>28238</v>
      </c>
      <c r="DG572" t="s">
        <v>13772</v>
      </c>
      <c r="DH572" t="str">
        <f>"HEXB"</f>
        <v>HEXB</v>
      </c>
      <c r="DI572" t="s">
        <v>13772</v>
      </c>
      <c r="DJ572" t="s">
        <v>13777</v>
      </c>
      <c r="DK572">
        <v>9606</v>
      </c>
      <c r="DL572" s="34" t="str">
        <f>HYPERLINK("http://www.uniprot.org/uniprot/P07686", "P07686")</f>
        <v>P07686</v>
      </c>
      <c r="DM572" t="s">
        <v>28239</v>
      </c>
      <c r="DN572" t="s">
        <v>13772</v>
      </c>
      <c r="DO572" t="s">
        <v>13806</v>
      </c>
      <c r="DP572" t="s">
        <v>13793</v>
      </c>
      <c r="DQ572" t="s">
        <v>13772</v>
      </c>
      <c r="DR572" t="s">
        <v>15470</v>
      </c>
      <c r="DS572" t="s">
        <v>13808</v>
      </c>
      <c r="DT572" t="s">
        <v>13772</v>
      </c>
      <c r="DU572" t="s">
        <v>15471</v>
      </c>
      <c r="DV572" t="s">
        <v>15472</v>
      </c>
      <c r="DW572" t="s">
        <v>13812</v>
      </c>
      <c r="DX572" t="s">
        <v>28240</v>
      </c>
      <c r="DY572" t="s">
        <v>28241</v>
      </c>
      <c r="DZ572" t="s">
        <v>28242</v>
      </c>
      <c r="EA572" t="s">
        <v>13772</v>
      </c>
      <c r="EB572" t="s">
        <v>28243</v>
      </c>
    </row>
    <row r="573" spans="1:132" hidden="1">
      <c r="A573">
        <v>236</v>
      </c>
      <c r="B573">
        <v>1</v>
      </c>
      <c r="C573" t="s">
        <v>599</v>
      </c>
      <c r="D573" t="s">
        <v>600</v>
      </c>
      <c r="E573" t="s">
        <v>73</v>
      </c>
      <c r="F573" t="s">
        <v>601</v>
      </c>
      <c r="G573" t="s">
        <v>73</v>
      </c>
      <c r="H573">
        <v>46.2</v>
      </c>
      <c r="I573">
        <v>130</v>
      </c>
      <c r="J573">
        <v>14095</v>
      </c>
      <c r="K573" t="s">
        <v>602</v>
      </c>
      <c r="L573">
        <f t="shared" si="34"/>
        <v>115</v>
      </c>
      <c r="N573">
        <v>115</v>
      </c>
      <c r="O573">
        <v>24</v>
      </c>
      <c r="P573">
        <v>0.20899999999999999</v>
      </c>
      <c r="Q573">
        <v>2</v>
      </c>
      <c r="R573">
        <v>5</v>
      </c>
      <c r="S573">
        <v>1</v>
      </c>
      <c r="T573">
        <v>4</v>
      </c>
      <c r="U573">
        <v>2</v>
      </c>
      <c r="V573">
        <v>3</v>
      </c>
      <c r="W573">
        <v>2</v>
      </c>
      <c r="X573">
        <v>5</v>
      </c>
      <c r="Y573">
        <v>16</v>
      </c>
      <c r="Z573">
        <v>4</v>
      </c>
      <c r="AA573">
        <v>12</v>
      </c>
      <c r="AB573">
        <v>17</v>
      </c>
      <c r="AC573">
        <v>18</v>
      </c>
      <c r="AD573">
        <v>3</v>
      </c>
      <c r="AE573">
        <v>6</v>
      </c>
      <c r="AF573">
        <v>5</v>
      </c>
      <c r="AG573">
        <v>5</v>
      </c>
      <c r="AH573">
        <v>3</v>
      </c>
      <c r="AI573">
        <v>2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</v>
      </c>
      <c r="AR573">
        <v>3</v>
      </c>
      <c r="AS573">
        <v>0</v>
      </c>
      <c r="AT573">
        <v>5</v>
      </c>
      <c r="AU573">
        <v>3</v>
      </c>
      <c r="AV573">
        <v>5</v>
      </c>
      <c r="AW573">
        <v>0</v>
      </c>
      <c r="AX573">
        <v>1</v>
      </c>
      <c r="AY573">
        <v>2</v>
      </c>
      <c r="AZ573">
        <v>2</v>
      </c>
      <c r="BA573">
        <v>0</v>
      </c>
      <c r="BB573">
        <v>0</v>
      </c>
      <c r="BC573" s="2">
        <v>0.66700000000000004</v>
      </c>
      <c r="BD573" s="2">
        <v>2.3330000000000002</v>
      </c>
      <c r="BE573" s="2">
        <v>0.33300000000000002</v>
      </c>
      <c r="BF573" s="2">
        <v>1.667</v>
      </c>
      <c r="BG573" s="2">
        <v>0.66700000000000004</v>
      </c>
      <c r="BH573" s="2">
        <v>1.333</v>
      </c>
      <c r="BI573" s="2">
        <v>0.83299999999999996</v>
      </c>
      <c r="BJ573" s="2">
        <v>5</v>
      </c>
      <c r="BK573" s="2">
        <v>6.0890000000000004</v>
      </c>
      <c r="BL573" s="2">
        <v>0</v>
      </c>
      <c r="BM573" s="2">
        <v>9.8209999999999997</v>
      </c>
      <c r="BN573" s="2">
        <v>9.5229999999999997</v>
      </c>
      <c r="BO573" s="2">
        <v>9.9380000000000006</v>
      </c>
      <c r="BP573" s="2">
        <v>1.333</v>
      </c>
      <c r="BQ573" s="2">
        <v>2.2000000000000002</v>
      </c>
      <c r="BR573" s="2">
        <v>3.5</v>
      </c>
      <c r="BS573" s="2">
        <v>4</v>
      </c>
      <c r="BT573" s="2">
        <v>0</v>
      </c>
      <c r="BU573" s="2">
        <v>0</v>
      </c>
      <c r="BV573" s="2">
        <f t="shared" si="37"/>
        <v>59.237000000000009</v>
      </c>
      <c r="BW573" s="16">
        <f t="shared" si="35"/>
        <v>3.1177368421052636</v>
      </c>
      <c r="BX573" s="16">
        <f>COUNTIF($BC$6:BU573, "=0") / COUNTIF($BC$6:BU573, "&gt;-1")</f>
        <v>0.14890659747961452</v>
      </c>
      <c r="BY573" s="18">
        <f>SUM($BC$6:BU573) / $BY$4</f>
        <v>0.86920121292719676</v>
      </c>
      <c r="BZ573" s="14">
        <f t="shared" si="36"/>
        <v>3</v>
      </c>
      <c r="CA573" t="s">
        <v>5831</v>
      </c>
      <c r="CB573" s="36">
        <v>0.84815037708430996</v>
      </c>
      <c r="CC573" s="36">
        <v>2.2150474775581301</v>
      </c>
      <c r="CD573" s="36">
        <v>0.48023929854367697</v>
      </c>
      <c r="CE573" s="36">
        <v>2.5702669905604898</v>
      </c>
      <c r="CF573" s="36">
        <v>0.60212345195582395</v>
      </c>
      <c r="CG573" s="36">
        <v>1.20864542063134</v>
      </c>
      <c r="CH573" s="36">
        <v>0.84324982629171297</v>
      </c>
      <c r="CI573" s="36">
        <v>4.8659179899115301</v>
      </c>
      <c r="CJ573" s="37">
        <v>4.8480255887942398</v>
      </c>
      <c r="CK573" s="37">
        <v>6.1803665395051999</v>
      </c>
      <c r="CL573" s="37">
        <v>7.6005163085397598</v>
      </c>
      <c r="CM573" s="37">
        <v>8.3808157613394094</v>
      </c>
      <c r="CN573" s="37">
        <v>2.0213436447932498</v>
      </c>
      <c r="CO573" s="37">
        <v>2.7621669963479398</v>
      </c>
      <c r="CP573" s="37">
        <v>6.0341601914496898</v>
      </c>
      <c r="CQ573" s="37">
        <v>0.38065921161865401</v>
      </c>
      <c r="CR573" s="45">
        <v>1.4414516348318001</v>
      </c>
      <c r="CS573" s="45">
        <v>2.8024835560581698</v>
      </c>
      <c r="CT573" s="46">
        <v>1.44815024041056E-2</v>
      </c>
      <c r="CU573" s="47">
        <v>2.5562335378223298E-2</v>
      </c>
      <c r="CV573" s="48">
        <v>1.70420510406713</v>
      </c>
      <c r="CW573" s="49">
        <v>4.7760067802985198</v>
      </c>
      <c r="CX573" s="31" t="s">
        <v>5874</v>
      </c>
      <c r="CY573" s="31" t="s">
        <v>5878</v>
      </c>
      <c r="CZ573" t="s">
        <v>6515</v>
      </c>
      <c r="DA573" t="s">
        <v>5904</v>
      </c>
      <c r="DB573">
        <v>258.8</v>
      </c>
      <c r="DC573" t="s">
        <v>15863</v>
      </c>
      <c r="DD573" t="s">
        <v>15864</v>
      </c>
      <c r="DE573" t="s">
        <v>15865</v>
      </c>
      <c r="DF573" t="s">
        <v>15866</v>
      </c>
      <c r="DG573" t="s">
        <v>15867</v>
      </c>
      <c r="DH573" t="str">
        <f>"HIST2H2AA3"</f>
        <v>HIST2H2AA3</v>
      </c>
      <c r="DI573" t="s">
        <v>15868</v>
      </c>
      <c r="DJ573" t="s">
        <v>13777</v>
      </c>
      <c r="DK573">
        <v>9606</v>
      </c>
      <c r="DL573" s="34" t="str">
        <f>HYPERLINK("http://www.uniprot.org/uniprot/Q6FI13", "Q6FI13")</f>
        <v>Q6FI13</v>
      </c>
      <c r="DM573" t="s">
        <v>15869</v>
      </c>
      <c r="DN573" t="s">
        <v>13772</v>
      </c>
      <c r="DO573" t="s">
        <v>15870</v>
      </c>
      <c r="DP573" t="s">
        <v>13772</v>
      </c>
      <c r="DQ573" t="s">
        <v>13772</v>
      </c>
      <c r="DR573" t="s">
        <v>13772</v>
      </c>
      <c r="DS573" t="s">
        <v>13772</v>
      </c>
      <c r="DT573" t="s">
        <v>13772</v>
      </c>
      <c r="DU573" t="s">
        <v>15871</v>
      </c>
      <c r="DV573" t="s">
        <v>15872</v>
      </c>
      <c r="DW573" t="s">
        <v>13772</v>
      </c>
      <c r="DX573" t="s">
        <v>15873</v>
      </c>
      <c r="DY573" t="s">
        <v>15874</v>
      </c>
      <c r="DZ573" t="s">
        <v>15875</v>
      </c>
      <c r="EA573" t="s">
        <v>13772</v>
      </c>
      <c r="EB573" t="s">
        <v>15876</v>
      </c>
    </row>
    <row r="574" spans="1:132" hidden="1">
      <c r="A574">
        <v>984</v>
      </c>
      <c r="B574">
        <v>1</v>
      </c>
      <c r="C574" t="s">
        <v>2388</v>
      </c>
      <c r="D574" t="s">
        <v>73</v>
      </c>
      <c r="E574" t="s">
        <v>73</v>
      </c>
      <c r="F574" t="s">
        <v>179</v>
      </c>
      <c r="G574" t="s">
        <v>73</v>
      </c>
      <c r="H574">
        <v>21.7</v>
      </c>
      <c r="I574">
        <v>1466</v>
      </c>
      <c r="J574">
        <v>138879</v>
      </c>
      <c r="K574" t="s">
        <v>2389</v>
      </c>
      <c r="L574">
        <f t="shared" si="34"/>
        <v>60</v>
      </c>
      <c r="N574">
        <v>60</v>
      </c>
      <c r="O574">
        <v>59</v>
      </c>
      <c r="P574">
        <v>0.98299999999999998</v>
      </c>
      <c r="Q574">
        <v>11</v>
      </c>
      <c r="R574">
        <v>5</v>
      </c>
      <c r="S574">
        <v>6</v>
      </c>
      <c r="T574">
        <v>17</v>
      </c>
      <c r="U574">
        <v>2</v>
      </c>
      <c r="V574">
        <v>10</v>
      </c>
      <c r="W574">
        <v>2</v>
      </c>
      <c r="X574">
        <v>1</v>
      </c>
      <c r="Y574">
        <v>0</v>
      </c>
      <c r="Z574">
        <v>0</v>
      </c>
      <c r="AA574">
        <v>0</v>
      </c>
      <c r="AB574">
        <v>2</v>
      </c>
      <c r="AC574">
        <v>1</v>
      </c>
      <c r="AD574">
        <v>0</v>
      </c>
      <c r="AE574">
        <v>0</v>
      </c>
      <c r="AF574">
        <v>2</v>
      </c>
      <c r="AG574">
        <v>1</v>
      </c>
      <c r="AH574">
        <v>0</v>
      </c>
      <c r="AI574">
        <v>0</v>
      </c>
      <c r="AJ574">
        <v>11</v>
      </c>
      <c r="AK574">
        <v>5</v>
      </c>
      <c r="AL574">
        <v>6</v>
      </c>
      <c r="AM574">
        <v>17</v>
      </c>
      <c r="AN574">
        <v>2</v>
      </c>
      <c r="AO574">
        <v>9</v>
      </c>
      <c r="AP574">
        <v>2</v>
      </c>
      <c r="AQ574">
        <v>1</v>
      </c>
      <c r="AR574">
        <v>0</v>
      </c>
      <c r="AS574">
        <v>0</v>
      </c>
      <c r="AT574">
        <v>0</v>
      </c>
      <c r="AU574">
        <v>2</v>
      </c>
      <c r="AV574">
        <v>1</v>
      </c>
      <c r="AW574">
        <v>0</v>
      </c>
      <c r="AX574">
        <v>0</v>
      </c>
      <c r="AY574">
        <v>2</v>
      </c>
      <c r="AZ574">
        <v>1</v>
      </c>
      <c r="BA574">
        <v>0</v>
      </c>
      <c r="BB574">
        <v>0</v>
      </c>
      <c r="BC574" s="2">
        <v>11</v>
      </c>
      <c r="BD574" s="2">
        <v>5</v>
      </c>
      <c r="BE574" s="2">
        <v>6</v>
      </c>
      <c r="BF574" s="2">
        <v>17</v>
      </c>
      <c r="BG574" s="2">
        <v>2</v>
      </c>
      <c r="BH574" s="2">
        <v>9.0850000000000009</v>
      </c>
      <c r="BI574" s="2">
        <v>2</v>
      </c>
      <c r="BJ574" s="2">
        <v>1</v>
      </c>
      <c r="BK574" s="2">
        <v>0</v>
      </c>
      <c r="BL574" s="2">
        <v>0</v>
      </c>
      <c r="BM574" s="2">
        <v>0</v>
      </c>
      <c r="BN574" s="2">
        <v>2</v>
      </c>
      <c r="BO574" s="2">
        <v>1</v>
      </c>
      <c r="BP574" s="2">
        <v>0</v>
      </c>
      <c r="BQ574" s="2">
        <v>0</v>
      </c>
      <c r="BR574" s="2">
        <v>2</v>
      </c>
      <c r="BS574" s="2">
        <v>1</v>
      </c>
      <c r="BT574" s="2">
        <v>0</v>
      </c>
      <c r="BU574" s="2">
        <v>0</v>
      </c>
      <c r="BV574" s="2">
        <f t="shared" si="37"/>
        <v>59.085000000000001</v>
      </c>
      <c r="BW574" s="16">
        <f t="shared" si="35"/>
        <v>3.1097368421052631</v>
      </c>
      <c r="BX574" s="16">
        <f>COUNTIF($BC$6:BU574, "=0") / COUNTIF($BC$6:BU574, "&gt;-1")</f>
        <v>0.14929238738322079</v>
      </c>
      <c r="BY574" s="18">
        <f>SUM($BC$6:BU574) / $BY$4</f>
        <v>0.86945431161158393</v>
      </c>
      <c r="BZ574" s="14">
        <f t="shared" si="36"/>
        <v>7</v>
      </c>
      <c r="CA574" t="s">
        <v>5831</v>
      </c>
      <c r="CB574" s="36">
        <v>13.328077354182</v>
      </c>
      <c r="CC574" s="36">
        <v>4.8153206033872298</v>
      </c>
      <c r="CD574" s="36">
        <v>9.6047859708735501</v>
      </c>
      <c r="CE574" s="36">
        <v>25.7026699056049</v>
      </c>
      <c r="CF574" s="36">
        <v>1.72035271987378</v>
      </c>
      <c r="CG574" s="36">
        <v>8.4605179444193706</v>
      </c>
      <c r="CH574" s="36">
        <v>2.10812456572928</v>
      </c>
      <c r="CI574" s="36">
        <v>0.97318359798230603</v>
      </c>
      <c r="CJ574" s="37">
        <v>0.19868957331123899</v>
      </c>
      <c r="CK574" s="37">
        <v>0.15766241172207099</v>
      </c>
      <c r="CL574" s="37">
        <v>1.60010869653469</v>
      </c>
      <c r="CM574" s="37">
        <v>0.84654704659994096</v>
      </c>
      <c r="CN574" s="37">
        <v>0.22969814145377901</v>
      </c>
      <c r="CO574" s="37">
        <v>1.5783811407702499</v>
      </c>
      <c r="CP574" s="37">
        <v>1.50854004786242</v>
      </c>
      <c r="CQ574" s="37">
        <v>0.38065921161865401</v>
      </c>
      <c r="CR574" s="45">
        <v>-3.1641184546919301</v>
      </c>
      <c r="CS574" s="45">
        <v>-10.263091484331699</v>
      </c>
      <c r="CT574" s="46">
        <v>2.1371597054362899E-5</v>
      </c>
      <c r="CU574" s="47">
        <v>7.1132330494372005E-5</v>
      </c>
      <c r="CV574" s="48">
        <v>8.3391290827565605</v>
      </c>
      <c r="CW574" s="49">
        <v>0.81253578373413005</v>
      </c>
      <c r="CX574" s="31" t="s">
        <v>5875</v>
      </c>
      <c r="CY574" s="31" t="s">
        <v>5876</v>
      </c>
      <c r="CZ574" t="s">
        <v>9068</v>
      </c>
      <c r="DA574" t="s">
        <v>5904</v>
      </c>
      <c r="DB574">
        <v>1594.7</v>
      </c>
      <c r="DC574" t="s">
        <v>23477</v>
      </c>
      <c r="DD574" t="s">
        <v>13772</v>
      </c>
      <c r="DE574" t="s">
        <v>23478</v>
      </c>
      <c r="DF574" t="s">
        <v>23479</v>
      </c>
      <c r="DG574" t="s">
        <v>23480</v>
      </c>
      <c r="DH574" t="str">
        <f>"COL3A1"</f>
        <v>COL3A1</v>
      </c>
      <c r="DI574" t="s">
        <v>13772</v>
      </c>
      <c r="DJ574" t="s">
        <v>13777</v>
      </c>
      <c r="DK574">
        <v>9606</v>
      </c>
      <c r="DL574" s="34" t="str">
        <f>HYPERLINK("http://www.uniprot.org/uniprot/P02461", "P02461")</f>
        <v>P02461</v>
      </c>
      <c r="DM574" t="s">
        <v>23481</v>
      </c>
      <c r="DN574" t="s">
        <v>13772</v>
      </c>
      <c r="DO574" t="s">
        <v>13869</v>
      </c>
      <c r="DP574" t="s">
        <v>13780</v>
      </c>
      <c r="DQ574" t="s">
        <v>13772</v>
      </c>
      <c r="DR574" t="s">
        <v>23482</v>
      </c>
      <c r="DS574" t="s">
        <v>13872</v>
      </c>
      <c r="DT574" t="s">
        <v>13873</v>
      </c>
      <c r="DU574" t="s">
        <v>13772</v>
      </c>
      <c r="DV574" t="s">
        <v>22002</v>
      </c>
      <c r="DW574" t="s">
        <v>13812</v>
      </c>
      <c r="DX574" t="s">
        <v>23483</v>
      </c>
      <c r="DY574" t="s">
        <v>23484</v>
      </c>
      <c r="DZ574" t="s">
        <v>23485</v>
      </c>
      <c r="EA574" t="s">
        <v>13772</v>
      </c>
      <c r="EB574" t="s">
        <v>23486</v>
      </c>
    </row>
    <row r="575" spans="1:132" hidden="1">
      <c r="A575">
        <v>288</v>
      </c>
      <c r="B575">
        <v>1</v>
      </c>
      <c r="C575" t="s">
        <v>727</v>
      </c>
      <c r="D575" t="s">
        <v>73</v>
      </c>
      <c r="E575" t="s">
        <v>73</v>
      </c>
      <c r="F575" t="s">
        <v>73</v>
      </c>
      <c r="G575" t="s">
        <v>73</v>
      </c>
      <c r="H575">
        <v>30.9</v>
      </c>
      <c r="I575">
        <v>489</v>
      </c>
      <c r="J575">
        <v>50992</v>
      </c>
      <c r="K575" t="s">
        <v>728</v>
      </c>
      <c r="L575">
        <f t="shared" si="34"/>
        <v>59</v>
      </c>
      <c r="N575">
        <v>59</v>
      </c>
      <c r="O575">
        <v>59</v>
      </c>
      <c r="P575">
        <v>1</v>
      </c>
      <c r="Q575">
        <v>5</v>
      </c>
      <c r="R575">
        <v>8</v>
      </c>
      <c r="S575">
        <v>9</v>
      </c>
      <c r="T575">
        <v>4</v>
      </c>
      <c r="U575">
        <v>8</v>
      </c>
      <c r="V575">
        <v>12</v>
      </c>
      <c r="W575">
        <v>5</v>
      </c>
      <c r="X575">
        <v>6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5</v>
      </c>
      <c r="AK575">
        <v>8</v>
      </c>
      <c r="AL575">
        <v>9</v>
      </c>
      <c r="AM575">
        <v>4</v>
      </c>
      <c r="AN575">
        <v>8</v>
      </c>
      <c r="AO575">
        <v>12</v>
      </c>
      <c r="AP575">
        <v>5</v>
      </c>
      <c r="AQ575">
        <v>6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 s="2">
        <v>5</v>
      </c>
      <c r="BD575" s="2">
        <v>8</v>
      </c>
      <c r="BE575" s="2">
        <v>9</v>
      </c>
      <c r="BF575" s="2">
        <v>4</v>
      </c>
      <c r="BG575" s="2">
        <v>8</v>
      </c>
      <c r="BH575" s="2">
        <v>12</v>
      </c>
      <c r="BI575" s="2">
        <v>5</v>
      </c>
      <c r="BJ575" s="2">
        <v>6</v>
      </c>
      <c r="BK575" s="2">
        <v>0</v>
      </c>
      <c r="BL575" s="2">
        <v>0</v>
      </c>
      <c r="BM575" s="2">
        <v>1</v>
      </c>
      <c r="BN575" s="2">
        <v>0</v>
      </c>
      <c r="BO575" s="2">
        <v>0</v>
      </c>
      <c r="BP575" s="2">
        <v>0</v>
      </c>
      <c r="BQ575" s="2">
        <v>0</v>
      </c>
      <c r="BR575" s="2">
        <v>1</v>
      </c>
      <c r="BS575" s="2">
        <v>0</v>
      </c>
      <c r="BT575" s="2">
        <v>0</v>
      </c>
      <c r="BU575" s="2">
        <v>0</v>
      </c>
      <c r="BV575" s="2">
        <f t="shared" si="37"/>
        <v>59</v>
      </c>
      <c r="BW575" s="16">
        <f t="shared" si="35"/>
        <v>3.1052631578947367</v>
      </c>
      <c r="BX575" s="16">
        <f>COUNTIF($BC$6:BU575, "=0") / COUNTIF($BC$6:BU575, "&gt;-1")</f>
        <v>0.14986149584487535</v>
      </c>
      <c r="BY575" s="18">
        <f>SUM($BC$6:BU575) / $BY$4</f>
        <v>0.86970704618683725</v>
      </c>
      <c r="BZ575" s="14">
        <f t="shared" si="36"/>
        <v>9</v>
      </c>
      <c r="CA575" t="s">
        <v>5831</v>
      </c>
      <c r="CB575" s="36">
        <v>6.0582169791736504</v>
      </c>
      <c r="CC575" s="36">
        <v>7.7045129654195703</v>
      </c>
      <c r="CD575" s="36">
        <v>14.4071789563103</v>
      </c>
      <c r="CE575" s="36">
        <v>6.0476870366129196</v>
      </c>
      <c r="CF575" s="36">
        <v>6.8814108794951396</v>
      </c>
      <c r="CG575" s="36">
        <v>11.1567269596739</v>
      </c>
      <c r="CH575" s="36">
        <v>5.2703114143232002</v>
      </c>
      <c r="CI575" s="36">
        <v>5.8391015878938397</v>
      </c>
      <c r="CJ575" s="37">
        <v>0.19868957331123899</v>
      </c>
      <c r="CK575" s="37">
        <v>0.63064964688828595</v>
      </c>
      <c r="CL575" s="37">
        <v>0.200013587066836</v>
      </c>
      <c r="CM575" s="37">
        <v>0.21163676164998499</v>
      </c>
      <c r="CN575" s="37">
        <v>0.22969814145377901</v>
      </c>
      <c r="CO575" s="37">
        <v>0.78919057038512497</v>
      </c>
      <c r="CP575" s="37">
        <v>0.377135011965606</v>
      </c>
      <c r="CQ575" s="37">
        <v>0.38065921161865401</v>
      </c>
      <c r="CR575" s="45">
        <v>-3.9506983771017699</v>
      </c>
      <c r="CS575" s="45">
        <v>-20.998019728045801</v>
      </c>
      <c r="CT575" s="46">
        <v>2.1582920595206801E-12</v>
      </c>
      <c r="CU575" s="47">
        <v>6.0162391159138996E-11</v>
      </c>
      <c r="CV575" s="48">
        <v>7.9206433473628204</v>
      </c>
      <c r="CW575" s="49">
        <v>0.37720906304243901</v>
      </c>
      <c r="CX575" s="31" t="s">
        <v>5875</v>
      </c>
      <c r="CY575" s="31" t="s">
        <v>5876</v>
      </c>
      <c r="CZ575" t="s">
        <v>6693</v>
      </c>
      <c r="DA575" t="s">
        <v>5904</v>
      </c>
      <c r="DB575">
        <v>770</v>
      </c>
      <c r="DC575" t="s">
        <v>16409</v>
      </c>
      <c r="DD575" t="s">
        <v>16410</v>
      </c>
      <c r="DE575" t="s">
        <v>16411</v>
      </c>
      <c r="DF575" t="s">
        <v>16412</v>
      </c>
      <c r="DG575" t="s">
        <v>16413</v>
      </c>
      <c r="DH575" t="str">
        <f>"CLEC14A"</f>
        <v>CLEC14A</v>
      </c>
      <c r="DI575" t="s">
        <v>16414</v>
      </c>
      <c r="DJ575" t="s">
        <v>13777</v>
      </c>
      <c r="DK575">
        <v>9606</v>
      </c>
      <c r="DL575" s="34" t="str">
        <f>HYPERLINK("http://www.uniprot.org/uniprot/Q86T13", "Q86T13")</f>
        <v>Q86T13</v>
      </c>
      <c r="DM575" t="s">
        <v>16415</v>
      </c>
      <c r="DN575" t="s">
        <v>13772</v>
      </c>
      <c r="DO575" t="s">
        <v>13825</v>
      </c>
      <c r="DP575" t="s">
        <v>13772</v>
      </c>
      <c r="DQ575" t="s">
        <v>13772</v>
      </c>
      <c r="DR575" t="s">
        <v>13772</v>
      </c>
      <c r="DS575" t="s">
        <v>16416</v>
      </c>
      <c r="DT575" t="s">
        <v>14277</v>
      </c>
      <c r="DU575" t="s">
        <v>13772</v>
      </c>
      <c r="DV575" t="s">
        <v>13796</v>
      </c>
      <c r="DW575" t="s">
        <v>13772</v>
      </c>
      <c r="DX575" t="s">
        <v>16417</v>
      </c>
      <c r="DY575" t="s">
        <v>16418</v>
      </c>
      <c r="DZ575" t="s">
        <v>16419</v>
      </c>
      <c r="EA575" t="s">
        <v>13772</v>
      </c>
      <c r="EB575" t="s">
        <v>13772</v>
      </c>
    </row>
    <row r="576" spans="1:132" hidden="1">
      <c r="A576">
        <v>290</v>
      </c>
      <c r="B576">
        <v>1</v>
      </c>
      <c r="C576" t="s">
        <v>731</v>
      </c>
      <c r="D576" t="s">
        <v>73</v>
      </c>
      <c r="E576" t="s">
        <v>73</v>
      </c>
      <c r="F576" t="s">
        <v>73</v>
      </c>
      <c r="G576" t="s">
        <v>73</v>
      </c>
      <c r="H576">
        <v>51.3</v>
      </c>
      <c r="I576">
        <v>113</v>
      </c>
      <c r="J576">
        <v>12125</v>
      </c>
      <c r="K576" t="s">
        <v>732</v>
      </c>
      <c r="L576">
        <f t="shared" si="34"/>
        <v>59</v>
      </c>
      <c r="N576">
        <v>59</v>
      </c>
      <c r="O576">
        <v>59</v>
      </c>
      <c r="P576">
        <v>1</v>
      </c>
      <c r="Q576">
        <v>4</v>
      </c>
      <c r="R576">
        <v>4</v>
      </c>
      <c r="S576">
        <v>0</v>
      </c>
      <c r="T576">
        <v>5</v>
      </c>
      <c r="U576">
        <v>16</v>
      </c>
      <c r="V576">
        <v>7</v>
      </c>
      <c r="W576">
        <v>5</v>
      </c>
      <c r="X576">
        <v>8</v>
      </c>
      <c r="Y576">
        <v>1</v>
      </c>
      <c r="Z576">
        <v>0</v>
      </c>
      <c r="AA576">
        <v>3</v>
      </c>
      <c r="AB576">
        <v>0</v>
      </c>
      <c r="AC576">
        <v>0</v>
      </c>
      <c r="AD576">
        <v>1</v>
      </c>
      <c r="AE576">
        <v>0</v>
      </c>
      <c r="AF576">
        <v>3</v>
      </c>
      <c r="AG576">
        <v>0</v>
      </c>
      <c r="AH576">
        <v>0</v>
      </c>
      <c r="AI576">
        <v>2</v>
      </c>
      <c r="AJ576">
        <v>4</v>
      </c>
      <c r="AK576">
        <v>4</v>
      </c>
      <c r="AL576">
        <v>0</v>
      </c>
      <c r="AM576">
        <v>5</v>
      </c>
      <c r="AN576">
        <v>16</v>
      </c>
      <c r="AO576">
        <v>7</v>
      </c>
      <c r="AP576">
        <v>5</v>
      </c>
      <c r="AQ576">
        <v>8</v>
      </c>
      <c r="AR576">
        <v>1</v>
      </c>
      <c r="AS576">
        <v>0</v>
      </c>
      <c r="AT576">
        <v>3</v>
      </c>
      <c r="AU576">
        <v>0</v>
      </c>
      <c r="AV576">
        <v>0</v>
      </c>
      <c r="AW576">
        <v>1</v>
      </c>
      <c r="AX576">
        <v>0</v>
      </c>
      <c r="AY576">
        <v>3</v>
      </c>
      <c r="AZ576">
        <v>0</v>
      </c>
      <c r="BA576">
        <v>0</v>
      </c>
      <c r="BB576">
        <v>2</v>
      </c>
      <c r="BC576" s="2">
        <v>4</v>
      </c>
      <c r="BD576" s="2">
        <v>4</v>
      </c>
      <c r="BE576" s="2">
        <v>0</v>
      </c>
      <c r="BF576" s="2">
        <v>5</v>
      </c>
      <c r="BG576" s="2">
        <v>16</v>
      </c>
      <c r="BH576" s="2">
        <v>7</v>
      </c>
      <c r="BI576" s="2">
        <v>5</v>
      </c>
      <c r="BJ576" s="2">
        <v>8</v>
      </c>
      <c r="BK576" s="2">
        <v>1</v>
      </c>
      <c r="BL576" s="2">
        <v>0</v>
      </c>
      <c r="BM576" s="2">
        <v>3</v>
      </c>
      <c r="BN576" s="2">
        <v>0</v>
      </c>
      <c r="BO576" s="2">
        <v>0</v>
      </c>
      <c r="BP576" s="2">
        <v>1</v>
      </c>
      <c r="BQ576" s="2">
        <v>0</v>
      </c>
      <c r="BR576" s="2">
        <v>3</v>
      </c>
      <c r="BS576" s="2">
        <v>0</v>
      </c>
      <c r="BT576" s="2">
        <v>0</v>
      </c>
      <c r="BU576" s="2">
        <v>2</v>
      </c>
      <c r="BV576" s="2">
        <f t="shared" si="37"/>
        <v>59</v>
      </c>
      <c r="BW576" s="16">
        <f t="shared" si="35"/>
        <v>3.1052631578947367</v>
      </c>
      <c r="BX576" s="16">
        <f>COUNTIF($BC$6:BU576, "=0") / COUNTIF($BC$6:BU576, "&gt;-1")</f>
        <v>0.1502442621439764</v>
      </c>
      <c r="BY576" s="18">
        <f>SUM($BC$6:BU576) / $BY$4</f>
        <v>0.86995978076209057</v>
      </c>
      <c r="BZ576" s="14">
        <f t="shared" si="36"/>
        <v>7</v>
      </c>
      <c r="CA576" t="s">
        <v>5831</v>
      </c>
      <c r="CB576" s="36">
        <v>4.8465735833389196</v>
      </c>
      <c r="CC576" s="36">
        <v>3.85225648270979</v>
      </c>
      <c r="CD576" s="36">
        <v>0.40019941545306398</v>
      </c>
      <c r="CE576" s="36">
        <v>7.5596087957661497</v>
      </c>
      <c r="CF576" s="36">
        <v>13.762821758990301</v>
      </c>
      <c r="CG576" s="36">
        <v>6.50809072647644</v>
      </c>
      <c r="CH576" s="36">
        <v>5.2703114143232002</v>
      </c>
      <c r="CI576" s="36">
        <v>7.78546878385845</v>
      </c>
      <c r="CJ576" s="37">
        <v>0.79475829324495695</v>
      </c>
      <c r="CK576" s="37">
        <v>1.89194894066486</v>
      </c>
      <c r="CL576" s="37">
        <v>0.200013587066836</v>
      </c>
      <c r="CM576" s="37">
        <v>0.21163676164998499</v>
      </c>
      <c r="CN576" s="37">
        <v>0.22969814145377901</v>
      </c>
      <c r="CO576" s="37">
        <v>2.36757171115537</v>
      </c>
      <c r="CP576" s="37">
        <v>0.377135011965606</v>
      </c>
      <c r="CQ576" s="37">
        <v>3.0452736929492299</v>
      </c>
      <c r="CR576" s="45">
        <v>-2.4033335233780702</v>
      </c>
      <c r="CS576" s="45">
        <v>-5.4820281684133096</v>
      </c>
      <c r="CT576" s="46">
        <v>7.5109937119437201E-5</v>
      </c>
      <c r="CU576" s="47">
        <v>2.2038836812677E-4</v>
      </c>
      <c r="CV576" s="48">
        <v>6.2481663701145296</v>
      </c>
      <c r="CW576" s="49">
        <v>1.1397545175188299</v>
      </c>
      <c r="CX576" s="31" t="s">
        <v>5875</v>
      </c>
      <c r="CY576" s="31" t="s">
        <v>5876</v>
      </c>
      <c r="CZ576" t="s">
        <v>6699</v>
      </c>
      <c r="DA576" t="s">
        <v>5904</v>
      </c>
      <c r="DB576">
        <v>191</v>
      </c>
      <c r="DC576" t="s">
        <v>16434</v>
      </c>
      <c r="DD576" t="s">
        <v>16435</v>
      </c>
      <c r="DE576" t="s">
        <v>16436</v>
      </c>
      <c r="DF576" t="s">
        <v>16437</v>
      </c>
      <c r="DG576" t="s">
        <v>16438</v>
      </c>
      <c r="DH576" t="str">
        <f>"PDZK1IP1"</f>
        <v>PDZK1IP1</v>
      </c>
      <c r="DI576" t="s">
        <v>16439</v>
      </c>
      <c r="DJ576" t="s">
        <v>13777</v>
      </c>
      <c r="DK576">
        <v>9606</v>
      </c>
      <c r="DL576" s="34" t="str">
        <f>HYPERLINK("http://www.uniprot.org/uniprot/Q13113", "Q13113")</f>
        <v>Q13113</v>
      </c>
      <c r="DM576" t="s">
        <v>16440</v>
      </c>
      <c r="DN576" t="s">
        <v>13772</v>
      </c>
      <c r="DO576" t="s">
        <v>13825</v>
      </c>
      <c r="DP576" t="s">
        <v>13772</v>
      </c>
      <c r="DQ576" t="s">
        <v>13772</v>
      </c>
      <c r="DR576" t="s">
        <v>13772</v>
      </c>
      <c r="DS576" t="s">
        <v>13925</v>
      </c>
      <c r="DT576" t="s">
        <v>13772</v>
      </c>
      <c r="DU576" t="s">
        <v>13772</v>
      </c>
      <c r="DV576" t="s">
        <v>13782</v>
      </c>
      <c r="DW576" t="s">
        <v>13772</v>
      </c>
      <c r="DX576" t="s">
        <v>13772</v>
      </c>
      <c r="DY576" t="s">
        <v>16441</v>
      </c>
      <c r="DZ576" t="s">
        <v>13772</v>
      </c>
      <c r="EA576" t="s">
        <v>13772</v>
      </c>
      <c r="EB576" t="s">
        <v>13772</v>
      </c>
    </row>
    <row r="577" spans="1:132" hidden="1">
      <c r="A577">
        <v>325</v>
      </c>
      <c r="B577">
        <v>1</v>
      </c>
      <c r="C577" t="s">
        <v>817</v>
      </c>
      <c r="D577" t="s">
        <v>818</v>
      </c>
      <c r="E577" t="s">
        <v>73</v>
      </c>
      <c r="F577" t="s">
        <v>73</v>
      </c>
      <c r="G577" t="s">
        <v>73</v>
      </c>
      <c r="H577">
        <v>18.8</v>
      </c>
      <c r="I577">
        <v>976</v>
      </c>
      <c r="J577">
        <v>107400</v>
      </c>
      <c r="K577" t="s">
        <v>819</v>
      </c>
      <c r="L577">
        <f t="shared" si="34"/>
        <v>59</v>
      </c>
      <c r="N577">
        <v>59</v>
      </c>
      <c r="O577">
        <v>59</v>
      </c>
      <c r="P577">
        <v>1</v>
      </c>
      <c r="Q577">
        <v>6</v>
      </c>
      <c r="R577">
        <v>3</v>
      </c>
      <c r="S577">
        <v>4</v>
      </c>
      <c r="T577">
        <v>5</v>
      </c>
      <c r="U577">
        <v>3</v>
      </c>
      <c r="V577">
        <v>7</v>
      </c>
      <c r="W577">
        <v>5</v>
      </c>
      <c r="X577">
        <v>6</v>
      </c>
      <c r="Y577">
        <v>0</v>
      </c>
      <c r="Z577">
        <v>0</v>
      </c>
      <c r="AA577">
        <v>1</v>
      </c>
      <c r="AB577">
        <v>7</v>
      </c>
      <c r="AC577">
        <v>2</v>
      </c>
      <c r="AD577">
        <v>1</v>
      </c>
      <c r="AE577">
        <v>0</v>
      </c>
      <c r="AF577">
        <v>4</v>
      </c>
      <c r="AG577">
        <v>1</v>
      </c>
      <c r="AH577">
        <v>0</v>
      </c>
      <c r="AI577">
        <v>4</v>
      </c>
      <c r="AJ577">
        <v>6</v>
      </c>
      <c r="AK577">
        <v>3</v>
      </c>
      <c r="AL577">
        <v>4</v>
      </c>
      <c r="AM577">
        <v>5</v>
      </c>
      <c r="AN577">
        <v>3</v>
      </c>
      <c r="AO577">
        <v>7</v>
      </c>
      <c r="AP577">
        <v>5</v>
      </c>
      <c r="AQ577">
        <v>6</v>
      </c>
      <c r="AR577">
        <v>0</v>
      </c>
      <c r="AS577">
        <v>0</v>
      </c>
      <c r="AT577">
        <v>1</v>
      </c>
      <c r="AU577">
        <v>7</v>
      </c>
      <c r="AV577">
        <v>2</v>
      </c>
      <c r="AW577">
        <v>1</v>
      </c>
      <c r="AX577">
        <v>0</v>
      </c>
      <c r="AY577">
        <v>4</v>
      </c>
      <c r="AZ577">
        <v>1</v>
      </c>
      <c r="BA577">
        <v>0</v>
      </c>
      <c r="BB577">
        <v>4</v>
      </c>
      <c r="BC577" s="2">
        <v>6</v>
      </c>
      <c r="BD577" s="2">
        <v>3</v>
      </c>
      <c r="BE577" s="2">
        <v>4</v>
      </c>
      <c r="BF577" s="2">
        <v>5</v>
      </c>
      <c r="BG577" s="2">
        <v>3</v>
      </c>
      <c r="BH577" s="2">
        <v>7</v>
      </c>
      <c r="BI577" s="2">
        <v>5</v>
      </c>
      <c r="BJ577" s="2">
        <v>6</v>
      </c>
      <c r="BK577" s="2">
        <v>0</v>
      </c>
      <c r="BL577" s="2">
        <v>0</v>
      </c>
      <c r="BM577" s="2">
        <v>1</v>
      </c>
      <c r="BN577" s="2">
        <v>7</v>
      </c>
      <c r="BO577" s="2">
        <v>2</v>
      </c>
      <c r="BP577" s="2">
        <v>1</v>
      </c>
      <c r="BQ577" s="2">
        <v>0</v>
      </c>
      <c r="BR577" s="2">
        <v>4</v>
      </c>
      <c r="BS577" s="2">
        <v>1</v>
      </c>
      <c r="BT577" s="2">
        <v>0</v>
      </c>
      <c r="BU577" s="2">
        <v>4</v>
      </c>
      <c r="BV577" s="2">
        <f t="shared" si="37"/>
        <v>59</v>
      </c>
      <c r="BW577" s="16">
        <f t="shared" si="35"/>
        <v>3.1052631578947367</v>
      </c>
      <c r="BX577" s="16">
        <f>COUNTIF($BC$6:BU577, "=0") / COUNTIF($BC$6:BU577, "&gt;-1")</f>
        <v>0.15034965034965034</v>
      </c>
      <c r="BY577" s="18">
        <f>SUM($BC$6:BU577) / $BY$4</f>
        <v>0.87021251533734389</v>
      </c>
      <c r="BZ577" s="14">
        <f t="shared" si="36"/>
        <v>4</v>
      </c>
      <c r="CA577" t="s">
        <v>5831</v>
      </c>
      <c r="CB577" s="36">
        <v>7.2698603750083803</v>
      </c>
      <c r="CC577" s="36">
        <v>2.8891923620323401</v>
      </c>
      <c r="CD577" s="36">
        <v>6.4031906472490299</v>
      </c>
      <c r="CE577" s="36">
        <v>7.5596087957661497</v>
      </c>
      <c r="CF577" s="36">
        <v>2.5805290798106801</v>
      </c>
      <c r="CG577" s="36">
        <v>6.50809072647644</v>
      </c>
      <c r="CH577" s="36">
        <v>5.2703114143232002</v>
      </c>
      <c r="CI577" s="36">
        <v>5.8391015878938397</v>
      </c>
      <c r="CJ577" s="37">
        <v>0.19868957331123899</v>
      </c>
      <c r="CK577" s="37">
        <v>0.63064964688828595</v>
      </c>
      <c r="CL577" s="37">
        <v>5.6003804378713999</v>
      </c>
      <c r="CM577" s="37">
        <v>1.6930940931998799</v>
      </c>
      <c r="CN577" s="37">
        <v>0.22969814145377901</v>
      </c>
      <c r="CO577" s="37">
        <v>3.1567622815404999</v>
      </c>
      <c r="CP577" s="37">
        <v>1.50854004786242</v>
      </c>
      <c r="CQ577" s="37">
        <v>6.0905473858984696</v>
      </c>
      <c r="CR577" s="45">
        <v>-1.2286096202979799</v>
      </c>
      <c r="CS577" s="45">
        <v>-2.31939743959758</v>
      </c>
      <c r="CT577" s="46">
        <v>1.8815258384217801E-2</v>
      </c>
      <c r="CU577" s="47">
        <v>3.2694565867640801E-2</v>
      </c>
      <c r="CV577" s="48">
        <v>5.5399856235700096</v>
      </c>
      <c r="CW577" s="49">
        <v>2.3885452010032502</v>
      </c>
      <c r="CX577" s="31" t="s">
        <v>5875</v>
      </c>
      <c r="CY577" s="31" t="s">
        <v>5878</v>
      </c>
      <c r="CZ577" t="s">
        <v>6826</v>
      </c>
      <c r="DA577" t="s">
        <v>5904</v>
      </c>
      <c r="DB577">
        <v>1748.4</v>
      </c>
      <c r="DC577" t="s">
        <v>16801</v>
      </c>
      <c r="DD577" t="s">
        <v>16802</v>
      </c>
      <c r="DE577" t="s">
        <v>16803</v>
      </c>
      <c r="DF577" t="s">
        <v>16804</v>
      </c>
      <c r="DG577" t="s">
        <v>16805</v>
      </c>
      <c r="DH577" t="str">
        <f>"EPHA1"</f>
        <v>EPHA1</v>
      </c>
      <c r="DI577" t="s">
        <v>16806</v>
      </c>
      <c r="DJ577" t="s">
        <v>13777</v>
      </c>
      <c r="DK577">
        <v>9606</v>
      </c>
      <c r="DL577" s="34" t="str">
        <f>HYPERLINK("http://www.uniprot.org/uniprot/P21709", "P21709")</f>
        <v>P21709</v>
      </c>
      <c r="DM577" t="s">
        <v>16807</v>
      </c>
      <c r="DN577" t="s">
        <v>16808</v>
      </c>
      <c r="DO577" t="s">
        <v>13792</v>
      </c>
      <c r="DP577" t="s">
        <v>13780</v>
      </c>
      <c r="DQ577" t="s">
        <v>13772</v>
      </c>
      <c r="DR577" t="s">
        <v>13772</v>
      </c>
      <c r="DS577" t="s">
        <v>13826</v>
      </c>
      <c r="DT577" t="s">
        <v>14005</v>
      </c>
      <c r="DU577" t="s">
        <v>16809</v>
      </c>
      <c r="DV577" t="s">
        <v>16810</v>
      </c>
      <c r="DW577" t="s">
        <v>13812</v>
      </c>
      <c r="DX577" t="s">
        <v>16811</v>
      </c>
      <c r="DY577" t="s">
        <v>16812</v>
      </c>
      <c r="DZ577" t="s">
        <v>16813</v>
      </c>
      <c r="EA577" t="s">
        <v>13772</v>
      </c>
      <c r="EB577" t="s">
        <v>16814</v>
      </c>
    </row>
    <row r="578" spans="1:132" hidden="1">
      <c r="A578">
        <v>657</v>
      </c>
      <c r="B578">
        <v>1</v>
      </c>
      <c r="C578" t="s">
        <v>1622</v>
      </c>
      <c r="D578" t="s">
        <v>1623</v>
      </c>
      <c r="E578" t="s">
        <v>73</v>
      </c>
      <c r="F578" t="s">
        <v>73</v>
      </c>
      <c r="G578" t="s">
        <v>73</v>
      </c>
      <c r="H578">
        <v>29.7</v>
      </c>
      <c r="I578">
        <v>532</v>
      </c>
      <c r="J578">
        <v>59673</v>
      </c>
      <c r="K578" t="s">
        <v>1624</v>
      </c>
      <c r="L578">
        <f t="shared" si="34"/>
        <v>59</v>
      </c>
      <c r="N578">
        <v>59</v>
      </c>
      <c r="O578">
        <v>59</v>
      </c>
      <c r="P578">
        <v>1</v>
      </c>
      <c r="Q578">
        <v>1</v>
      </c>
      <c r="R578">
        <v>0</v>
      </c>
      <c r="S578">
        <v>0</v>
      </c>
      <c r="T578">
        <v>4</v>
      </c>
      <c r="U578">
        <v>1</v>
      </c>
      <c r="V578">
        <v>6</v>
      </c>
      <c r="W578">
        <v>9</v>
      </c>
      <c r="X578">
        <v>12</v>
      </c>
      <c r="Y578">
        <v>0</v>
      </c>
      <c r="Z578">
        <v>2</v>
      </c>
      <c r="AA578">
        <v>2</v>
      </c>
      <c r="AB578">
        <v>0</v>
      </c>
      <c r="AC578">
        <v>6</v>
      </c>
      <c r="AD578">
        <v>5</v>
      </c>
      <c r="AE578">
        <v>2</v>
      </c>
      <c r="AF578">
        <v>2</v>
      </c>
      <c r="AG578">
        <v>1</v>
      </c>
      <c r="AH578">
        <v>4</v>
      </c>
      <c r="AI578">
        <v>2</v>
      </c>
      <c r="AJ578">
        <v>1</v>
      </c>
      <c r="AK578">
        <v>0</v>
      </c>
      <c r="AL578">
        <v>0</v>
      </c>
      <c r="AM578">
        <v>4</v>
      </c>
      <c r="AN578">
        <v>1</v>
      </c>
      <c r="AO578">
        <v>6</v>
      </c>
      <c r="AP578">
        <v>9</v>
      </c>
      <c r="AQ578">
        <v>12</v>
      </c>
      <c r="AR578">
        <v>0</v>
      </c>
      <c r="AS578">
        <v>2</v>
      </c>
      <c r="AT578">
        <v>2</v>
      </c>
      <c r="AU578">
        <v>0</v>
      </c>
      <c r="AV578">
        <v>6</v>
      </c>
      <c r="AW578">
        <v>5</v>
      </c>
      <c r="AX578">
        <v>2</v>
      </c>
      <c r="AY578">
        <v>2</v>
      </c>
      <c r="AZ578">
        <v>1</v>
      </c>
      <c r="BA578">
        <v>4</v>
      </c>
      <c r="BB578">
        <v>2</v>
      </c>
      <c r="BC578" s="2">
        <v>1</v>
      </c>
      <c r="BD578" s="2">
        <v>0</v>
      </c>
      <c r="BE578" s="2">
        <v>0</v>
      </c>
      <c r="BF578" s="2">
        <v>4</v>
      </c>
      <c r="BG578" s="2">
        <v>1</v>
      </c>
      <c r="BH578" s="2">
        <v>6</v>
      </c>
      <c r="BI578" s="2">
        <v>9</v>
      </c>
      <c r="BJ578" s="2">
        <v>12</v>
      </c>
      <c r="BK578" s="2">
        <v>0</v>
      </c>
      <c r="BL578" s="2">
        <v>2</v>
      </c>
      <c r="BM578" s="2">
        <v>2</v>
      </c>
      <c r="BN578" s="2">
        <v>0</v>
      </c>
      <c r="BO578" s="2">
        <v>6</v>
      </c>
      <c r="BP578" s="2">
        <v>5</v>
      </c>
      <c r="BQ578" s="2">
        <v>2</v>
      </c>
      <c r="BR578" s="2">
        <v>2</v>
      </c>
      <c r="BS578" s="2">
        <v>1</v>
      </c>
      <c r="BT578" s="2">
        <v>4</v>
      </c>
      <c r="BU578" s="2">
        <v>2</v>
      </c>
      <c r="BV578" s="2">
        <f t="shared" si="37"/>
        <v>59</v>
      </c>
      <c r="BW578" s="16">
        <f t="shared" si="35"/>
        <v>3.1052631578947367</v>
      </c>
      <c r="BX578" s="16">
        <f>COUNTIF($BC$6:BU578, "=0") / COUNTIF($BC$6:BU578, "&gt;-1")</f>
        <v>0.15045467070818408</v>
      </c>
      <c r="BY578" s="18">
        <f>SUM($BC$6:BU578) / $BY$4</f>
        <v>0.87046524991259722</v>
      </c>
      <c r="BZ578" s="14">
        <f t="shared" si="36"/>
        <v>4</v>
      </c>
      <c r="CA578" t="s">
        <v>5831</v>
      </c>
      <c r="CB578" s="36">
        <v>1.2116433958347299</v>
      </c>
      <c r="CC578" s="36">
        <v>0.24076603016936199</v>
      </c>
      <c r="CD578" s="36">
        <v>0.40019941545306398</v>
      </c>
      <c r="CE578" s="36">
        <v>6.0476870366129196</v>
      </c>
      <c r="CF578" s="36">
        <v>0.86017635993689201</v>
      </c>
      <c r="CG578" s="36">
        <v>5.5783634798369501</v>
      </c>
      <c r="CH578" s="36">
        <v>9.4865605457817708</v>
      </c>
      <c r="CI578" s="36">
        <v>11.678203175787701</v>
      </c>
      <c r="CJ578" s="37">
        <v>0.19868957331123899</v>
      </c>
      <c r="CK578" s="37">
        <v>1.2612992937765699</v>
      </c>
      <c r="CL578" s="37">
        <v>0.200013587066836</v>
      </c>
      <c r="CM578" s="37">
        <v>5.0792822795996404</v>
      </c>
      <c r="CN578" s="37">
        <v>1.8375851316302301</v>
      </c>
      <c r="CO578" s="37">
        <v>1.5783811407702499</v>
      </c>
      <c r="CP578" s="37">
        <v>1.50854004786242</v>
      </c>
      <c r="CQ578" s="37">
        <v>3.0452736929492299</v>
      </c>
      <c r="CR578" s="45">
        <v>-1.2685600871732601</v>
      </c>
      <c r="CS578" s="45">
        <v>-2.4137224256039498</v>
      </c>
      <c r="CT578" s="46">
        <v>8.6078627671625593E-2</v>
      </c>
      <c r="CU578" s="47">
        <v>0.124390721337007</v>
      </c>
      <c r="CV578" s="48">
        <v>4.4379499299266696</v>
      </c>
      <c r="CW578" s="49">
        <v>1.8386330933707999</v>
      </c>
      <c r="CX578" s="31" t="s">
        <v>5875</v>
      </c>
      <c r="CY578" s="31" t="s">
        <v>5832</v>
      </c>
      <c r="CZ578" t="s">
        <v>7956</v>
      </c>
      <c r="DA578" t="s">
        <v>5904</v>
      </c>
      <c r="DB578">
        <v>953.7</v>
      </c>
      <c r="DC578" t="s">
        <v>20254</v>
      </c>
      <c r="DD578" t="s">
        <v>13772</v>
      </c>
      <c r="DE578" t="s">
        <v>20255</v>
      </c>
      <c r="DF578" t="s">
        <v>20256</v>
      </c>
      <c r="DG578" t="s">
        <v>20257</v>
      </c>
      <c r="DH578" t="str">
        <f>"BTD"</f>
        <v>BTD</v>
      </c>
      <c r="DI578" t="s">
        <v>13772</v>
      </c>
      <c r="DJ578" t="s">
        <v>13777</v>
      </c>
      <c r="DK578">
        <v>9606</v>
      </c>
      <c r="DL578" s="34" t="str">
        <f>HYPERLINK("http://www.uniprot.org/uniprot/P43251", "P43251")</f>
        <v>P43251</v>
      </c>
      <c r="DM578" t="s">
        <v>20258</v>
      </c>
      <c r="DN578" t="s">
        <v>13772</v>
      </c>
      <c r="DO578" t="s">
        <v>14321</v>
      </c>
      <c r="DP578" t="s">
        <v>13780</v>
      </c>
      <c r="DQ578" t="s">
        <v>13772</v>
      </c>
      <c r="DR578" t="s">
        <v>13807</v>
      </c>
      <c r="DS578" t="s">
        <v>13808</v>
      </c>
      <c r="DT578" t="s">
        <v>13772</v>
      </c>
      <c r="DU578" t="s">
        <v>13857</v>
      </c>
      <c r="DV578" t="s">
        <v>13858</v>
      </c>
      <c r="DW578" t="s">
        <v>13772</v>
      </c>
      <c r="DX578" t="s">
        <v>20259</v>
      </c>
      <c r="DY578" t="s">
        <v>20260</v>
      </c>
      <c r="DZ578" t="s">
        <v>20261</v>
      </c>
      <c r="EA578" t="s">
        <v>13772</v>
      </c>
      <c r="EB578" t="s">
        <v>20262</v>
      </c>
    </row>
    <row r="579" spans="1:132" hidden="1">
      <c r="A579">
        <v>742</v>
      </c>
      <c r="B579">
        <v>1</v>
      </c>
      <c r="C579" t="s">
        <v>1823</v>
      </c>
      <c r="D579" t="s">
        <v>73</v>
      </c>
      <c r="E579" t="s">
        <v>73</v>
      </c>
      <c r="F579" t="s">
        <v>73</v>
      </c>
      <c r="G579" t="s">
        <v>73</v>
      </c>
      <c r="H579">
        <v>36.700000000000003</v>
      </c>
      <c r="I579">
        <v>270</v>
      </c>
      <c r="J579">
        <v>29150</v>
      </c>
      <c r="K579" t="s">
        <v>1824</v>
      </c>
      <c r="L579">
        <f t="shared" si="34"/>
        <v>59</v>
      </c>
      <c r="N579">
        <v>59</v>
      </c>
      <c r="O579">
        <v>59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2</v>
      </c>
      <c r="Z579">
        <v>0</v>
      </c>
      <c r="AA579">
        <v>7</v>
      </c>
      <c r="AB579">
        <v>3</v>
      </c>
      <c r="AC579">
        <v>7</v>
      </c>
      <c r="AD579">
        <v>3</v>
      </c>
      <c r="AE579">
        <v>8</v>
      </c>
      <c r="AF579">
        <v>10</v>
      </c>
      <c r="AG579">
        <v>2</v>
      </c>
      <c r="AH579">
        <v>5</v>
      </c>
      <c r="AI579">
        <v>9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2</v>
      </c>
      <c r="AS579">
        <v>0</v>
      </c>
      <c r="AT579">
        <v>7</v>
      </c>
      <c r="AU579">
        <v>3</v>
      </c>
      <c r="AV579">
        <v>7</v>
      </c>
      <c r="AW579">
        <v>3</v>
      </c>
      <c r="AX579">
        <v>8</v>
      </c>
      <c r="AY579">
        <v>10</v>
      </c>
      <c r="AZ579">
        <v>2</v>
      </c>
      <c r="BA579">
        <v>5</v>
      </c>
      <c r="BB579">
        <v>9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2</v>
      </c>
      <c r="BL579" s="2">
        <v>0</v>
      </c>
      <c r="BM579" s="2">
        <v>7</v>
      </c>
      <c r="BN579" s="2">
        <v>3</v>
      </c>
      <c r="BO579" s="2">
        <v>7</v>
      </c>
      <c r="BP579" s="2">
        <v>3</v>
      </c>
      <c r="BQ579" s="2">
        <v>8</v>
      </c>
      <c r="BR579" s="2">
        <v>10</v>
      </c>
      <c r="BS579" s="2">
        <v>2</v>
      </c>
      <c r="BT579" s="2">
        <v>5</v>
      </c>
      <c r="BU579" s="2">
        <v>9</v>
      </c>
      <c r="BV579" s="2">
        <f t="shared" si="37"/>
        <v>59</v>
      </c>
      <c r="BW579" s="16">
        <f t="shared" si="35"/>
        <v>3.1052631578947367</v>
      </c>
      <c r="BX579" s="16">
        <f>COUNTIF($BC$6:BU579, "=0") / COUNTIF($BC$6:BU579, "&gt;-1")</f>
        <v>0.15074271043462315</v>
      </c>
      <c r="BY579" s="18">
        <f>SUM($BC$6:BU579) / $BY$4</f>
        <v>0.87071798448785054</v>
      </c>
      <c r="BZ579" s="14">
        <f t="shared" si="36"/>
        <v>6</v>
      </c>
      <c r="CA579" t="s">
        <v>5831</v>
      </c>
      <c r="CB579" s="36">
        <v>1.2116433958347299</v>
      </c>
      <c r="CC579" s="36">
        <v>0.96306412067744696</v>
      </c>
      <c r="CD579" s="36">
        <v>0.40019941545306398</v>
      </c>
      <c r="CE579" s="36">
        <v>0.37798043978830698</v>
      </c>
      <c r="CF579" s="36">
        <v>0.215044089984223</v>
      </c>
      <c r="CG579" s="36">
        <v>0.92972724663949102</v>
      </c>
      <c r="CH579" s="36">
        <v>0.26351557071616</v>
      </c>
      <c r="CI579" s="36">
        <v>0.24329589949557701</v>
      </c>
      <c r="CJ579" s="37">
        <v>1.5895165864899099</v>
      </c>
      <c r="CK579" s="37">
        <v>4.4145475282179998</v>
      </c>
      <c r="CL579" s="37">
        <v>2.4001630448020301</v>
      </c>
      <c r="CM579" s="37">
        <v>5.9258293261995796</v>
      </c>
      <c r="CN579" s="37">
        <v>7.3503405265209096</v>
      </c>
      <c r="CO579" s="37">
        <v>7.8919057038512497</v>
      </c>
      <c r="CP579" s="37">
        <v>3.0170800957248498</v>
      </c>
      <c r="CQ579" s="37">
        <v>13.7037316182716</v>
      </c>
      <c r="CR579" s="45">
        <v>3.0291649531721601</v>
      </c>
      <c r="CS579" s="45">
        <v>10.053950321004001</v>
      </c>
      <c r="CT579" s="46">
        <v>5.1238410014206204E-6</v>
      </c>
      <c r="CU579" s="47">
        <v>2.0649696565966201E-5</v>
      </c>
      <c r="CV579" s="48">
        <v>0.57555877232362496</v>
      </c>
      <c r="CW579" s="49">
        <v>5.7866393037597597</v>
      </c>
      <c r="CX579" s="31" t="s">
        <v>5874</v>
      </c>
      <c r="CY579" s="31" t="s">
        <v>5876</v>
      </c>
      <c r="CZ579" t="s">
        <v>8237</v>
      </c>
      <c r="DA579" t="s">
        <v>5904</v>
      </c>
      <c r="DB579">
        <v>297.7</v>
      </c>
      <c r="DC579" t="s">
        <v>21076</v>
      </c>
      <c r="DD579" t="s">
        <v>13772</v>
      </c>
      <c r="DE579" t="s">
        <v>21077</v>
      </c>
      <c r="DF579" t="s">
        <v>21078</v>
      </c>
      <c r="DG579" t="s">
        <v>21079</v>
      </c>
      <c r="DH579" t="str">
        <f>"MYDGF"</f>
        <v>MYDGF</v>
      </c>
      <c r="DI579" t="s">
        <v>13772</v>
      </c>
      <c r="DJ579" t="s">
        <v>13777</v>
      </c>
      <c r="DK579">
        <v>9606</v>
      </c>
      <c r="DL579" s="34" t="str">
        <f>HYPERLINK("http://www.uniprot.org/uniprot/Q969H8", "Q969H8")</f>
        <v>Q969H8</v>
      </c>
      <c r="DM579" t="s">
        <v>21080</v>
      </c>
      <c r="DN579" t="s">
        <v>21081</v>
      </c>
      <c r="DO579" t="s">
        <v>21082</v>
      </c>
      <c r="DP579" t="s">
        <v>13793</v>
      </c>
      <c r="DQ579" t="s">
        <v>13772</v>
      </c>
      <c r="DR579" t="s">
        <v>13772</v>
      </c>
      <c r="DS579" t="s">
        <v>13808</v>
      </c>
      <c r="DT579" t="s">
        <v>13772</v>
      </c>
      <c r="DU579" t="s">
        <v>13772</v>
      </c>
      <c r="DV579" t="s">
        <v>13772</v>
      </c>
      <c r="DW579" t="s">
        <v>13772</v>
      </c>
      <c r="DX579" t="s">
        <v>21083</v>
      </c>
      <c r="DY579" t="s">
        <v>21084</v>
      </c>
      <c r="DZ579" t="s">
        <v>13772</v>
      </c>
      <c r="EA579" t="s">
        <v>13772</v>
      </c>
      <c r="EB579" t="s">
        <v>19986</v>
      </c>
    </row>
    <row r="580" spans="1:132" hidden="1">
      <c r="A580">
        <v>1230</v>
      </c>
      <c r="B580">
        <v>1</v>
      </c>
      <c r="C580" t="s">
        <v>2953</v>
      </c>
      <c r="D580" t="s">
        <v>73</v>
      </c>
      <c r="E580" t="s">
        <v>73</v>
      </c>
      <c r="F580" t="s">
        <v>73</v>
      </c>
      <c r="G580" t="s">
        <v>73</v>
      </c>
      <c r="H580">
        <v>73.099999999999994</v>
      </c>
      <c r="I580">
        <v>156</v>
      </c>
      <c r="J580">
        <v>17266</v>
      </c>
      <c r="K580" t="s">
        <v>2954</v>
      </c>
      <c r="L580">
        <f t="shared" si="34"/>
        <v>59</v>
      </c>
      <c r="N580">
        <v>59</v>
      </c>
      <c r="O580">
        <v>59</v>
      </c>
      <c r="P580">
        <v>1</v>
      </c>
      <c r="Q580">
        <v>0</v>
      </c>
      <c r="R580">
        <v>2</v>
      </c>
      <c r="S580">
        <v>1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10</v>
      </c>
      <c r="Z580">
        <v>1</v>
      </c>
      <c r="AA580">
        <v>18</v>
      </c>
      <c r="AB580">
        <v>4</v>
      </c>
      <c r="AC580">
        <v>2</v>
      </c>
      <c r="AD580">
        <v>0</v>
      </c>
      <c r="AE580">
        <v>4</v>
      </c>
      <c r="AF580">
        <v>1</v>
      </c>
      <c r="AG580">
        <v>1</v>
      </c>
      <c r="AH580">
        <v>0</v>
      </c>
      <c r="AI580">
        <v>13</v>
      </c>
      <c r="AJ580">
        <v>0</v>
      </c>
      <c r="AK580">
        <v>2</v>
      </c>
      <c r="AL580">
        <v>1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10</v>
      </c>
      <c r="AS580">
        <v>1</v>
      </c>
      <c r="AT580">
        <v>18</v>
      </c>
      <c r="AU580">
        <v>4</v>
      </c>
      <c r="AV580">
        <v>2</v>
      </c>
      <c r="AW580">
        <v>0</v>
      </c>
      <c r="AX580">
        <v>4</v>
      </c>
      <c r="AY580">
        <v>1</v>
      </c>
      <c r="AZ580">
        <v>1</v>
      </c>
      <c r="BA580">
        <v>0</v>
      </c>
      <c r="BB580">
        <v>13</v>
      </c>
      <c r="BC580" s="2">
        <v>0</v>
      </c>
      <c r="BD580" s="2">
        <v>2</v>
      </c>
      <c r="BE580" s="2">
        <v>1</v>
      </c>
      <c r="BF580" s="2">
        <v>2</v>
      </c>
      <c r="BG580" s="2">
        <v>0</v>
      </c>
      <c r="BH580" s="2">
        <v>0</v>
      </c>
      <c r="BI580" s="2">
        <v>0</v>
      </c>
      <c r="BJ580" s="2">
        <v>0</v>
      </c>
      <c r="BK580" s="2">
        <v>10</v>
      </c>
      <c r="BL580" s="2">
        <v>1</v>
      </c>
      <c r="BM580" s="2">
        <v>18</v>
      </c>
      <c r="BN580" s="2">
        <v>4</v>
      </c>
      <c r="BO580" s="2">
        <v>2</v>
      </c>
      <c r="BP580" s="2">
        <v>0</v>
      </c>
      <c r="BQ580" s="2">
        <v>4</v>
      </c>
      <c r="BR580" s="2">
        <v>1</v>
      </c>
      <c r="BS580" s="2">
        <v>1</v>
      </c>
      <c r="BT580" s="2">
        <v>0</v>
      </c>
      <c r="BU580" s="2">
        <v>13</v>
      </c>
      <c r="BV580" s="2">
        <f t="shared" si="37"/>
        <v>59</v>
      </c>
      <c r="BW580" s="16">
        <f t="shared" si="35"/>
        <v>3.1052631578947367</v>
      </c>
      <c r="BX580" s="16">
        <f>COUNTIF($BC$6:BU580, "=0") / COUNTIF($BC$6:BU580, "&gt;-1")</f>
        <v>0.15112128146453088</v>
      </c>
      <c r="BY580" s="18">
        <f>SUM($BC$6:BU580) / $BY$4</f>
        <v>0.87097071906310386</v>
      </c>
      <c r="BZ580" s="14">
        <f t="shared" si="36"/>
        <v>7</v>
      </c>
      <c r="CA580" t="s">
        <v>5831</v>
      </c>
      <c r="CB580" s="36">
        <v>0.30291084895868198</v>
      </c>
      <c r="CC580" s="36">
        <v>1.9261282413548899</v>
      </c>
      <c r="CD580" s="36">
        <v>1.6007976618122599</v>
      </c>
      <c r="CE580" s="36">
        <v>3.0238435183064598</v>
      </c>
      <c r="CF580" s="36">
        <v>0.215044089984223</v>
      </c>
      <c r="CG580" s="36">
        <v>0.23243181165987301</v>
      </c>
      <c r="CH580" s="36">
        <v>0.26351557071616</v>
      </c>
      <c r="CI580" s="36">
        <v>0.24329589949557701</v>
      </c>
      <c r="CJ580" s="37">
        <v>7.9475829324495697</v>
      </c>
      <c r="CK580" s="37">
        <v>11.351693643989099</v>
      </c>
      <c r="CL580" s="37">
        <v>3.2002173930693698</v>
      </c>
      <c r="CM580" s="37">
        <v>1.6930940931998799</v>
      </c>
      <c r="CN580" s="37">
        <v>3.6751702632604601</v>
      </c>
      <c r="CO580" s="37">
        <v>0.78919057038512497</v>
      </c>
      <c r="CP580" s="37">
        <v>1.50854004786242</v>
      </c>
      <c r="CQ580" s="37">
        <v>19.794279004170001</v>
      </c>
      <c r="CR580" s="45">
        <v>2.62838347327807</v>
      </c>
      <c r="CS580" s="45">
        <v>6.3985623708021997</v>
      </c>
      <c r="CT580" s="46">
        <v>1.06573669503917E-3</v>
      </c>
      <c r="CU580" s="47">
        <v>2.37659282993736E-3</v>
      </c>
      <c r="CV580" s="48">
        <v>0.97599595528601601</v>
      </c>
      <c r="CW580" s="49">
        <v>6.2449709935482502</v>
      </c>
      <c r="CX580" s="31" t="s">
        <v>5874</v>
      </c>
      <c r="CY580" s="31" t="s">
        <v>5876</v>
      </c>
      <c r="CZ580" t="s">
        <v>9828</v>
      </c>
      <c r="DA580" t="s">
        <v>5904</v>
      </c>
      <c r="DB580">
        <v>104.8</v>
      </c>
      <c r="DC580" t="s">
        <v>25646</v>
      </c>
      <c r="DD580" t="s">
        <v>25647</v>
      </c>
      <c r="DE580" t="s">
        <v>25648</v>
      </c>
      <c r="DF580" t="s">
        <v>25649</v>
      </c>
      <c r="DG580" t="s">
        <v>25650</v>
      </c>
      <c r="DH580" t="str">
        <f>"PRAP1"</f>
        <v>PRAP1</v>
      </c>
      <c r="DI580" t="s">
        <v>25651</v>
      </c>
      <c r="DJ580" t="s">
        <v>13777</v>
      </c>
      <c r="DK580">
        <v>9606</v>
      </c>
      <c r="DL580" s="34" t="str">
        <f>HYPERLINK("http://www.uniprot.org/uniprot/Q96NZ9", "Q96NZ9")</f>
        <v>Q96NZ9</v>
      </c>
      <c r="DM580" t="s">
        <v>25652</v>
      </c>
      <c r="DN580" t="s">
        <v>13772</v>
      </c>
      <c r="DO580" t="s">
        <v>14321</v>
      </c>
      <c r="DP580" t="s">
        <v>13780</v>
      </c>
      <c r="DQ580" t="s">
        <v>13772</v>
      </c>
      <c r="DR580" t="s">
        <v>13772</v>
      </c>
      <c r="DS580" t="s">
        <v>13808</v>
      </c>
      <c r="DT580" t="s">
        <v>13772</v>
      </c>
      <c r="DU580" t="s">
        <v>13772</v>
      </c>
      <c r="DV580" t="s">
        <v>13772</v>
      </c>
      <c r="DW580" t="s">
        <v>13772</v>
      </c>
      <c r="DX580" t="s">
        <v>13772</v>
      </c>
      <c r="DY580" t="s">
        <v>15346</v>
      </c>
      <c r="DZ580" t="s">
        <v>13772</v>
      </c>
      <c r="EA580" t="s">
        <v>13772</v>
      </c>
      <c r="EB580" t="s">
        <v>13772</v>
      </c>
    </row>
    <row r="581" spans="1:132" hidden="1">
      <c r="A581">
        <v>1582</v>
      </c>
      <c r="B581">
        <v>1</v>
      </c>
      <c r="C581" t="s">
        <v>3749</v>
      </c>
      <c r="D581" t="s">
        <v>73</v>
      </c>
      <c r="E581" t="s">
        <v>73</v>
      </c>
      <c r="F581" t="s">
        <v>1700</v>
      </c>
      <c r="G581" t="s">
        <v>73</v>
      </c>
      <c r="H581">
        <v>50.5</v>
      </c>
      <c r="I581">
        <v>586</v>
      </c>
      <c r="J581">
        <v>66457</v>
      </c>
      <c r="K581" t="s">
        <v>3750</v>
      </c>
      <c r="L581">
        <f t="shared" si="34"/>
        <v>59</v>
      </c>
      <c r="N581">
        <v>59</v>
      </c>
      <c r="O581">
        <v>56</v>
      </c>
      <c r="P581">
        <v>0.94899999999999995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9</v>
      </c>
      <c r="Z581">
        <v>0</v>
      </c>
      <c r="AA581">
        <v>8</v>
      </c>
      <c r="AB581">
        <v>26</v>
      </c>
      <c r="AC581">
        <v>4</v>
      </c>
      <c r="AD581">
        <v>0</v>
      </c>
      <c r="AE581">
        <v>4</v>
      </c>
      <c r="AF581">
        <v>6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8</v>
      </c>
      <c r="AS581">
        <v>0</v>
      </c>
      <c r="AT581">
        <v>7</v>
      </c>
      <c r="AU581">
        <v>26</v>
      </c>
      <c r="AV581">
        <v>3</v>
      </c>
      <c r="AW581">
        <v>0</v>
      </c>
      <c r="AX581">
        <v>4</v>
      </c>
      <c r="AY581">
        <v>6</v>
      </c>
      <c r="AZ581">
        <v>0</v>
      </c>
      <c r="BA581">
        <v>0</v>
      </c>
      <c r="BB581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1</v>
      </c>
      <c r="BI581" s="2">
        <v>0</v>
      </c>
      <c r="BJ581" s="2">
        <v>1</v>
      </c>
      <c r="BK581" s="2">
        <v>9</v>
      </c>
      <c r="BL581" s="2">
        <v>0</v>
      </c>
      <c r="BM581" s="2">
        <v>7.6360000000000001</v>
      </c>
      <c r="BN581" s="2">
        <v>26</v>
      </c>
      <c r="BO581" s="2">
        <v>3.75</v>
      </c>
      <c r="BP581" s="2">
        <v>0</v>
      </c>
      <c r="BQ581" s="2">
        <v>4</v>
      </c>
      <c r="BR581" s="2">
        <v>6</v>
      </c>
      <c r="BS581" s="2">
        <v>0</v>
      </c>
      <c r="BT581" s="2">
        <v>0</v>
      </c>
      <c r="BU581" s="2">
        <v>0</v>
      </c>
      <c r="BV581" s="2">
        <f t="shared" si="37"/>
        <v>58.385999999999996</v>
      </c>
      <c r="BW581" s="16">
        <f t="shared" si="35"/>
        <v>3.0729473684210524</v>
      </c>
      <c r="BX581" s="16">
        <f>COUNTIF($BC$6:BU581, "=0") / COUNTIF($BC$6:BU581, "&gt;-1")</f>
        <v>0.15186403508771928</v>
      </c>
      <c r="BY581" s="18">
        <f>SUM($BC$6:BU581) / $BY$4</f>
        <v>0.87122082348531982</v>
      </c>
      <c r="BZ581" s="14">
        <f t="shared" si="36"/>
        <v>11</v>
      </c>
      <c r="CA581" t="s">
        <v>5831</v>
      </c>
      <c r="CB581" s="36">
        <v>0.30291084895868198</v>
      </c>
      <c r="CC581" s="36">
        <v>0.24076603016936199</v>
      </c>
      <c r="CD581" s="36">
        <v>0.40019941545306398</v>
      </c>
      <c r="CE581" s="36">
        <v>0.37798043978830698</v>
      </c>
      <c r="CF581" s="36">
        <v>0.215044089984223</v>
      </c>
      <c r="CG581" s="36">
        <v>0.92972724663949102</v>
      </c>
      <c r="CH581" s="36">
        <v>0.26351557071616</v>
      </c>
      <c r="CI581" s="36">
        <v>0.97318359798230603</v>
      </c>
      <c r="CJ581" s="37">
        <v>7.1528246392046197</v>
      </c>
      <c r="CK581" s="37">
        <v>4.7929373163509696</v>
      </c>
      <c r="CL581" s="37">
        <v>20.801413054950899</v>
      </c>
      <c r="CM581" s="37">
        <v>3.2168787770797702</v>
      </c>
      <c r="CN581" s="37">
        <v>3.6751702632604601</v>
      </c>
      <c r="CO581" s="37">
        <v>4.7351434223107498</v>
      </c>
      <c r="CP581" s="37">
        <v>0.377135011965606</v>
      </c>
      <c r="CQ581" s="37">
        <v>0.38065921161865401</v>
      </c>
      <c r="CR581" s="45">
        <v>3.32634915538809</v>
      </c>
      <c r="CS581" s="45">
        <v>12.186922401299899</v>
      </c>
      <c r="CT581" s="46">
        <v>5.2253753064266201E-5</v>
      </c>
      <c r="CU581" s="47">
        <v>1.5889891272724601E-4</v>
      </c>
      <c r="CV581" s="48">
        <v>0.46291590496145002</v>
      </c>
      <c r="CW581" s="49">
        <v>5.6415202120927201</v>
      </c>
      <c r="CX581" s="31" t="s">
        <v>5874</v>
      </c>
      <c r="CY581" s="31" t="s">
        <v>5876</v>
      </c>
      <c r="CZ581" t="s">
        <v>11013</v>
      </c>
      <c r="DA581" t="s">
        <v>5904</v>
      </c>
      <c r="DB581">
        <v>1146</v>
      </c>
      <c r="DC581" t="s">
        <v>28970</v>
      </c>
      <c r="DD581" t="s">
        <v>13772</v>
      </c>
      <c r="DE581" t="s">
        <v>28971</v>
      </c>
      <c r="DF581" t="s">
        <v>28972</v>
      </c>
      <c r="DG581" t="s">
        <v>28973</v>
      </c>
      <c r="DH581" t="str">
        <f>"LMNB1"</f>
        <v>LMNB1</v>
      </c>
      <c r="DI581" t="s">
        <v>28974</v>
      </c>
      <c r="DJ581" t="s">
        <v>13777</v>
      </c>
      <c r="DK581">
        <v>9606</v>
      </c>
      <c r="DL581" s="34" t="str">
        <f>HYPERLINK("http://www.uniprot.org/uniprot/P20700", "P20700")</f>
        <v>P20700</v>
      </c>
      <c r="DM581" t="s">
        <v>28975</v>
      </c>
      <c r="DN581" t="s">
        <v>13772</v>
      </c>
      <c r="DO581" t="s">
        <v>20600</v>
      </c>
      <c r="DP581" t="s">
        <v>13870</v>
      </c>
      <c r="DQ581" t="s">
        <v>13772</v>
      </c>
      <c r="DR581" t="s">
        <v>28976</v>
      </c>
      <c r="DS581" t="s">
        <v>14245</v>
      </c>
      <c r="DT581" t="s">
        <v>13772</v>
      </c>
      <c r="DU581" t="s">
        <v>13772</v>
      </c>
      <c r="DV581" t="s">
        <v>28977</v>
      </c>
      <c r="DW581" t="s">
        <v>13812</v>
      </c>
      <c r="DX581" t="s">
        <v>28978</v>
      </c>
      <c r="DY581" t="s">
        <v>28979</v>
      </c>
      <c r="DZ581" t="s">
        <v>28980</v>
      </c>
      <c r="EA581" t="s">
        <v>13772</v>
      </c>
      <c r="EB581" t="s">
        <v>28981</v>
      </c>
    </row>
    <row r="582" spans="1:132" hidden="1">
      <c r="A582">
        <v>165</v>
      </c>
      <c r="B582">
        <v>1</v>
      </c>
      <c r="C582" t="s">
        <v>419</v>
      </c>
      <c r="D582" t="s">
        <v>73</v>
      </c>
      <c r="E582" t="s">
        <v>73</v>
      </c>
      <c r="F582" t="s">
        <v>73</v>
      </c>
      <c r="G582" t="s">
        <v>73</v>
      </c>
      <c r="H582">
        <v>53.2</v>
      </c>
      <c r="I582">
        <v>216</v>
      </c>
      <c r="J582">
        <v>23805</v>
      </c>
      <c r="K582" t="s">
        <v>420</v>
      </c>
      <c r="L582">
        <f t="shared" ref="L582:L645" si="38">N582</f>
        <v>58</v>
      </c>
      <c r="N582">
        <v>58</v>
      </c>
      <c r="O582">
        <v>58</v>
      </c>
      <c r="P582">
        <v>1</v>
      </c>
      <c r="Q582">
        <v>1</v>
      </c>
      <c r="R582">
        <v>5</v>
      </c>
      <c r="S582">
        <v>1</v>
      </c>
      <c r="T582">
        <v>3</v>
      </c>
      <c r="U582">
        <v>10</v>
      </c>
      <c r="V582">
        <v>4</v>
      </c>
      <c r="W582">
        <v>2</v>
      </c>
      <c r="X582">
        <v>1</v>
      </c>
      <c r="Y582">
        <v>2</v>
      </c>
      <c r="Z582">
        <v>0</v>
      </c>
      <c r="AA582">
        <v>5</v>
      </c>
      <c r="AB582">
        <v>6</v>
      </c>
      <c r="AC582">
        <v>4</v>
      </c>
      <c r="AD582">
        <v>8</v>
      </c>
      <c r="AE582">
        <v>2</v>
      </c>
      <c r="AF582">
        <v>2</v>
      </c>
      <c r="AG582">
        <v>1</v>
      </c>
      <c r="AH582">
        <v>0</v>
      </c>
      <c r="AI582">
        <v>1</v>
      </c>
      <c r="AJ582">
        <v>1</v>
      </c>
      <c r="AK582">
        <v>5</v>
      </c>
      <c r="AL582">
        <v>1</v>
      </c>
      <c r="AM582">
        <v>3</v>
      </c>
      <c r="AN582">
        <v>10</v>
      </c>
      <c r="AO582">
        <v>4</v>
      </c>
      <c r="AP582">
        <v>2</v>
      </c>
      <c r="AQ582">
        <v>1</v>
      </c>
      <c r="AR582">
        <v>2</v>
      </c>
      <c r="AS582">
        <v>0</v>
      </c>
      <c r="AT582">
        <v>5</v>
      </c>
      <c r="AU582">
        <v>6</v>
      </c>
      <c r="AV582">
        <v>4</v>
      </c>
      <c r="AW582">
        <v>8</v>
      </c>
      <c r="AX582">
        <v>2</v>
      </c>
      <c r="AY582">
        <v>2</v>
      </c>
      <c r="AZ582">
        <v>1</v>
      </c>
      <c r="BA582">
        <v>0</v>
      </c>
      <c r="BB582">
        <v>1</v>
      </c>
      <c r="BC582" s="2">
        <v>1</v>
      </c>
      <c r="BD582" s="2">
        <v>5</v>
      </c>
      <c r="BE582" s="2">
        <v>1</v>
      </c>
      <c r="BF582" s="2">
        <v>3</v>
      </c>
      <c r="BG582" s="2">
        <v>10</v>
      </c>
      <c r="BH582" s="2">
        <v>4</v>
      </c>
      <c r="BI582" s="2">
        <v>2</v>
      </c>
      <c r="BJ582" s="2">
        <v>1</v>
      </c>
      <c r="BK582" s="2">
        <v>2</v>
      </c>
      <c r="BL582" s="2">
        <v>0</v>
      </c>
      <c r="BM582" s="2">
        <v>5</v>
      </c>
      <c r="BN582" s="2">
        <v>6</v>
      </c>
      <c r="BO582" s="2">
        <v>4</v>
      </c>
      <c r="BP582" s="2">
        <v>8</v>
      </c>
      <c r="BQ582" s="2">
        <v>2</v>
      </c>
      <c r="BR582" s="2">
        <v>2</v>
      </c>
      <c r="BS582" s="2">
        <v>1</v>
      </c>
      <c r="BT582" s="2">
        <v>0</v>
      </c>
      <c r="BU582" s="2">
        <v>1</v>
      </c>
      <c r="BV582" s="2">
        <f t="shared" si="37"/>
        <v>58</v>
      </c>
      <c r="BW582" s="16">
        <f t="shared" ref="BW582:BW645" si="39">AVERAGE(BC582:BU582)</f>
        <v>3.0526315789473686</v>
      </c>
      <c r="BX582" s="16">
        <f>COUNTIF($BC$6:BU582, "=0") / COUNTIF($BC$6:BU582, "&gt;-1")</f>
        <v>0.15178327100246283</v>
      </c>
      <c r="BY582" s="18">
        <f>SUM($BC$6:BU582) / $BY$4</f>
        <v>0.87146927442370448</v>
      </c>
      <c r="BZ582" s="14">
        <f t="shared" ref="BZ582:BZ645" si="40">19-COUNTIF(BC582:BU582, "&gt;0")</f>
        <v>2</v>
      </c>
      <c r="CA582" t="s">
        <v>5831</v>
      </c>
      <c r="CB582" s="36">
        <v>1.2116433958347299</v>
      </c>
      <c r="CC582" s="36">
        <v>4.8153206033872298</v>
      </c>
      <c r="CD582" s="36">
        <v>1.6007976618122599</v>
      </c>
      <c r="CE582" s="36">
        <v>4.5357652774596904</v>
      </c>
      <c r="CF582" s="36">
        <v>8.6017635993689208</v>
      </c>
      <c r="CG582" s="36">
        <v>3.7189089865579601</v>
      </c>
      <c r="CH582" s="36">
        <v>2.10812456572928</v>
      </c>
      <c r="CI582" s="36">
        <v>0.97318359798230603</v>
      </c>
      <c r="CJ582" s="37">
        <v>1.5895165864899099</v>
      </c>
      <c r="CK582" s="37">
        <v>3.1532482344414299</v>
      </c>
      <c r="CL582" s="37">
        <v>4.8003260896040603</v>
      </c>
      <c r="CM582" s="37">
        <v>3.3861881863997598</v>
      </c>
      <c r="CN582" s="37">
        <v>1.8375851316302301</v>
      </c>
      <c r="CO582" s="37">
        <v>1.5783811407702499</v>
      </c>
      <c r="CP582" s="37">
        <v>1.50854004786242</v>
      </c>
      <c r="CQ582" s="37">
        <v>1.5226368464746201</v>
      </c>
      <c r="CR582" s="45">
        <v>-0.48218032000618</v>
      </c>
      <c r="CS582" s="45">
        <v>-1.4226314493472201</v>
      </c>
      <c r="CT582" s="46">
        <v>0.34859994774122999</v>
      </c>
      <c r="CU582" s="47">
        <v>0.428701038674417</v>
      </c>
      <c r="CV582" s="48">
        <v>3.4456884610165499</v>
      </c>
      <c r="CW582" s="49">
        <v>2.4220527829590801</v>
      </c>
      <c r="CX582" s="31" t="s">
        <v>5875</v>
      </c>
      <c r="CY582" s="31" t="s">
        <v>5832</v>
      </c>
      <c r="CZ582" t="s">
        <v>6264</v>
      </c>
      <c r="DA582" t="s">
        <v>5904</v>
      </c>
      <c r="DB582">
        <v>420.2</v>
      </c>
      <c r="DC582" t="s">
        <v>15042</v>
      </c>
      <c r="DD582" t="s">
        <v>15043</v>
      </c>
      <c r="DE582" t="s">
        <v>15044</v>
      </c>
      <c r="DF582" t="s">
        <v>15045</v>
      </c>
      <c r="DG582" t="s">
        <v>15046</v>
      </c>
      <c r="DH582" t="str">
        <f>"PPIB"</f>
        <v>PPIB</v>
      </c>
      <c r="DI582" t="s">
        <v>15047</v>
      </c>
      <c r="DJ582" t="s">
        <v>13777</v>
      </c>
      <c r="DK582">
        <v>9606</v>
      </c>
      <c r="DL582" s="34" t="str">
        <f>HYPERLINK("http://www.uniprot.org/uniprot/P23284", "P23284")</f>
        <v>P23284</v>
      </c>
      <c r="DM582" t="s">
        <v>15048</v>
      </c>
      <c r="DN582" t="s">
        <v>13772</v>
      </c>
      <c r="DO582" t="s">
        <v>14908</v>
      </c>
      <c r="DP582" t="s">
        <v>13793</v>
      </c>
      <c r="DQ582" t="s">
        <v>13772</v>
      </c>
      <c r="DR582" t="s">
        <v>15049</v>
      </c>
      <c r="DS582" t="s">
        <v>13808</v>
      </c>
      <c r="DT582" t="s">
        <v>13772</v>
      </c>
      <c r="DU582" t="s">
        <v>15050</v>
      </c>
      <c r="DV582" t="s">
        <v>15051</v>
      </c>
      <c r="DW582" t="s">
        <v>13812</v>
      </c>
      <c r="DX582" t="s">
        <v>15052</v>
      </c>
      <c r="DY582" t="s">
        <v>15053</v>
      </c>
      <c r="DZ582" t="s">
        <v>15054</v>
      </c>
      <c r="EA582" t="s">
        <v>13772</v>
      </c>
      <c r="EB582" t="s">
        <v>15055</v>
      </c>
    </row>
    <row r="583" spans="1:132" hidden="1">
      <c r="A583">
        <v>578</v>
      </c>
      <c r="B583">
        <v>1</v>
      </c>
      <c r="C583" t="s">
        <v>1438</v>
      </c>
      <c r="D583" t="s">
        <v>73</v>
      </c>
      <c r="E583" t="s">
        <v>73</v>
      </c>
      <c r="F583" t="s">
        <v>73</v>
      </c>
      <c r="G583" t="s">
        <v>73</v>
      </c>
      <c r="H583">
        <v>45.5</v>
      </c>
      <c r="I583">
        <v>44</v>
      </c>
      <c r="J583">
        <v>5026</v>
      </c>
      <c r="K583" t="s">
        <v>1439</v>
      </c>
      <c r="L583">
        <f t="shared" si="38"/>
        <v>58</v>
      </c>
      <c r="N583">
        <v>58</v>
      </c>
      <c r="O583">
        <v>58</v>
      </c>
      <c r="P583">
        <v>1</v>
      </c>
      <c r="Q583">
        <v>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10</v>
      </c>
      <c r="Z583">
        <v>2</v>
      </c>
      <c r="AA583">
        <v>10</v>
      </c>
      <c r="AB583">
        <v>8</v>
      </c>
      <c r="AC583">
        <v>5</v>
      </c>
      <c r="AD583">
        <v>0</v>
      </c>
      <c r="AE583">
        <v>5</v>
      </c>
      <c r="AF583">
        <v>6</v>
      </c>
      <c r="AG583">
        <v>3</v>
      </c>
      <c r="AH583">
        <v>1</v>
      </c>
      <c r="AI583">
        <v>3</v>
      </c>
      <c r="AJ583">
        <v>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1</v>
      </c>
      <c r="AR583">
        <v>10</v>
      </c>
      <c r="AS583">
        <v>2</v>
      </c>
      <c r="AT583">
        <v>10</v>
      </c>
      <c r="AU583">
        <v>8</v>
      </c>
      <c r="AV583">
        <v>5</v>
      </c>
      <c r="AW583">
        <v>0</v>
      </c>
      <c r="AX583">
        <v>5</v>
      </c>
      <c r="AY583">
        <v>6</v>
      </c>
      <c r="AZ583">
        <v>3</v>
      </c>
      <c r="BA583">
        <v>1</v>
      </c>
      <c r="BB583">
        <v>3</v>
      </c>
      <c r="BC583" s="2">
        <v>3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1</v>
      </c>
      <c r="BK583" s="2">
        <v>10</v>
      </c>
      <c r="BL583" s="2">
        <v>2</v>
      </c>
      <c r="BM583" s="2">
        <v>10</v>
      </c>
      <c r="BN583" s="2">
        <v>8</v>
      </c>
      <c r="BO583" s="2">
        <v>5</v>
      </c>
      <c r="BP583" s="2">
        <v>0</v>
      </c>
      <c r="BQ583" s="2">
        <v>5</v>
      </c>
      <c r="BR583" s="2">
        <v>6</v>
      </c>
      <c r="BS583" s="2">
        <v>3</v>
      </c>
      <c r="BT583" s="2">
        <v>1</v>
      </c>
      <c r="BU583" s="2">
        <v>3</v>
      </c>
      <c r="BV583" s="2">
        <f t="shared" ref="BV583:BV646" si="41">SUM(BC583:BU583)</f>
        <v>58</v>
      </c>
      <c r="BW583" s="16">
        <f t="shared" si="39"/>
        <v>3.0526315789473686</v>
      </c>
      <c r="BX583" s="16">
        <f>COUNTIF($BC$6:BU583, "=0") / COUNTIF($BC$6:BU583, "&gt;-1")</f>
        <v>0.15206701875796758</v>
      </c>
      <c r="BY583" s="18">
        <f>SUM($BC$6:BU583) / $BY$4</f>
        <v>0.87171772536208902</v>
      </c>
      <c r="BZ583" s="14">
        <f t="shared" si="40"/>
        <v>6</v>
      </c>
      <c r="CA583" t="s">
        <v>5831</v>
      </c>
      <c r="CB583" s="36">
        <v>3.6349301875041902</v>
      </c>
      <c r="CC583" s="36">
        <v>0.24076603016936199</v>
      </c>
      <c r="CD583" s="36">
        <v>0.40019941545306398</v>
      </c>
      <c r="CE583" s="36">
        <v>0.37798043978830698</v>
      </c>
      <c r="CF583" s="36">
        <v>0.215044089984223</v>
      </c>
      <c r="CG583" s="36">
        <v>0.23243181165987301</v>
      </c>
      <c r="CH583" s="36">
        <v>1.05406228286464</v>
      </c>
      <c r="CI583" s="36">
        <v>0.97318359798230603</v>
      </c>
      <c r="CJ583" s="37">
        <v>7.9475829324495697</v>
      </c>
      <c r="CK583" s="37">
        <v>6.3064964688828598</v>
      </c>
      <c r="CL583" s="37">
        <v>6.4004347861387396</v>
      </c>
      <c r="CM583" s="37">
        <v>4.2327352329997003</v>
      </c>
      <c r="CN583" s="37">
        <v>4.5939628290755703</v>
      </c>
      <c r="CO583" s="37">
        <v>4.7351434223107498</v>
      </c>
      <c r="CP583" s="37">
        <v>4.5256201435872701</v>
      </c>
      <c r="CQ583" s="37">
        <v>4.5679105394238499</v>
      </c>
      <c r="CR583" s="45">
        <v>2.53796162017386</v>
      </c>
      <c r="CS583" s="45">
        <v>6.0755126370362298</v>
      </c>
      <c r="CT583" s="46">
        <v>1.4534055219396299E-6</v>
      </c>
      <c r="CU583" s="47">
        <v>6.7994985606825804E-6</v>
      </c>
      <c r="CV583" s="48">
        <v>0.89107473192574504</v>
      </c>
      <c r="CW583" s="49">
        <v>5.4137357943585398</v>
      </c>
      <c r="CX583" s="31" t="s">
        <v>5874</v>
      </c>
      <c r="CY583" s="31" t="s">
        <v>5876</v>
      </c>
      <c r="CZ583" t="s">
        <v>7700</v>
      </c>
      <c r="DA583" t="s">
        <v>5904</v>
      </c>
      <c r="DB583">
        <v>87</v>
      </c>
      <c r="DC583" t="s">
        <v>19470</v>
      </c>
      <c r="DD583" t="s">
        <v>13772</v>
      </c>
      <c r="DE583" t="s">
        <v>19471</v>
      </c>
      <c r="DF583" t="s">
        <v>19472</v>
      </c>
      <c r="DG583" t="s">
        <v>19473</v>
      </c>
      <c r="DH583" t="str">
        <f>"TMSB10"</f>
        <v>TMSB10</v>
      </c>
      <c r="DI583" t="s">
        <v>19474</v>
      </c>
      <c r="DJ583" t="s">
        <v>13777</v>
      </c>
      <c r="DK583">
        <v>9606</v>
      </c>
      <c r="DL583" s="34" t="str">
        <f>HYPERLINK("http://www.uniprot.org/uniprot/P63313", "P63313")</f>
        <v>P63313</v>
      </c>
      <c r="DM583" t="s">
        <v>19475</v>
      </c>
      <c r="DN583" t="s">
        <v>13772</v>
      </c>
      <c r="DO583" t="s">
        <v>13988</v>
      </c>
      <c r="DP583" t="s">
        <v>13793</v>
      </c>
      <c r="DQ583" t="s">
        <v>13772</v>
      </c>
      <c r="DR583" t="s">
        <v>13772</v>
      </c>
      <c r="DS583" t="s">
        <v>13772</v>
      </c>
      <c r="DT583" t="s">
        <v>13772</v>
      </c>
      <c r="DU583" t="s">
        <v>13990</v>
      </c>
      <c r="DV583" t="s">
        <v>13886</v>
      </c>
      <c r="DW583" t="s">
        <v>13772</v>
      </c>
      <c r="DX583" t="s">
        <v>19476</v>
      </c>
      <c r="DY583" t="s">
        <v>19477</v>
      </c>
      <c r="DZ583" t="s">
        <v>19478</v>
      </c>
      <c r="EA583" t="s">
        <v>13772</v>
      </c>
      <c r="EB583" t="s">
        <v>13772</v>
      </c>
    </row>
    <row r="584" spans="1:132" hidden="1">
      <c r="A584">
        <v>681</v>
      </c>
      <c r="B584">
        <v>1</v>
      </c>
      <c r="C584" t="s">
        <v>1676</v>
      </c>
      <c r="D584" t="s">
        <v>73</v>
      </c>
      <c r="E584" t="s">
        <v>73</v>
      </c>
      <c r="F584" t="s">
        <v>1677</v>
      </c>
      <c r="G584" t="s">
        <v>73</v>
      </c>
      <c r="H584">
        <v>40.4</v>
      </c>
      <c r="I584">
        <v>193</v>
      </c>
      <c r="J584">
        <v>21768</v>
      </c>
      <c r="K584" t="s">
        <v>1678</v>
      </c>
      <c r="L584">
        <f t="shared" si="38"/>
        <v>62</v>
      </c>
      <c r="N584">
        <v>62</v>
      </c>
      <c r="O584">
        <v>36</v>
      </c>
      <c r="P584">
        <v>0.58099999999999996</v>
      </c>
      <c r="Q584">
        <v>3</v>
      </c>
      <c r="R584">
        <v>3</v>
      </c>
      <c r="S584">
        <v>3</v>
      </c>
      <c r="T584">
        <v>3</v>
      </c>
      <c r="U584">
        <v>6</v>
      </c>
      <c r="V584">
        <v>4</v>
      </c>
      <c r="W584">
        <v>5</v>
      </c>
      <c r="X584">
        <v>5</v>
      </c>
      <c r="Y584">
        <v>10</v>
      </c>
      <c r="Z584">
        <v>1</v>
      </c>
      <c r="AA584">
        <v>5</v>
      </c>
      <c r="AB584">
        <v>6</v>
      </c>
      <c r="AC584">
        <v>2</v>
      </c>
      <c r="AD584">
        <v>2</v>
      </c>
      <c r="AE584">
        <v>1</v>
      </c>
      <c r="AF584">
        <v>2</v>
      </c>
      <c r="AG584">
        <v>1</v>
      </c>
      <c r="AH584">
        <v>0</v>
      </c>
      <c r="AI584">
        <v>0</v>
      </c>
      <c r="AJ584">
        <v>3</v>
      </c>
      <c r="AK584">
        <v>2</v>
      </c>
      <c r="AL584">
        <v>3</v>
      </c>
      <c r="AM584">
        <v>3</v>
      </c>
      <c r="AN584">
        <v>2</v>
      </c>
      <c r="AO584">
        <v>2</v>
      </c>
      <c r="AP584">
        <v>2</v>
      </c>
      <c r="AQ584">
        <v>2</v>
      </c>
      <c r="AR584">
        <v>6</v>
      </c>
      <c r="AS584">
        <v>1</v>
      </c>
      <c r="AT584">
        <v>1</v>
      </c>
      <c r="AU584">
        <v>2</v>
      </c>
      <c r="AV584">
        <v>1</v>
      </c>
      <c r="AW584">
        <v>2</v>
      </c>
      <c r="AX584">
        <v>1</v>
      </c>
      <c r="AY584">
        <v>2</v>
      </c>
      <c r="AZ584">
        <v>1</v>
      </c>
      <c r="BA584">
        <v>0</v>
      </c>
      <c r="BB584">
        <v>0</v>
      </c>
      <c r="BC584" s="2">
        <v>3</v>
      </c>
      <c r="BD584" s="2">
        <v>2.6669999999999998</v>
      </c>
      <c r="BE584" s="2">
        <v>3</v>
      </c>
      <c r="BF584" s="2">
        <v>3</v>
      </c>
      <c r="BG584" s="2">
        <v>4</v>
      </c>
      <c r="BH584" s="2">
        <v>3.3330000000000002</v>
      </c>
      <c r="BI584" s="2">
        <v>5</v>
      </c>
      <c r="BJ584" s="2">
        <v>4</v>
      </c>
      <c r="BK584" s="2">
        <v>10</v>
      </c>
      <c r="BL584" s="2">
        <v>1</v>
      </c>
      <c r="BM584" s="2">
        <v>5</v>
      </c>
      <c r="BN584" s="2">
        <v>6</v>
      </c>
      <c r="BO584" s="2">
        <v>2</v>
      </c>
      <c r="BP584" s="2">
        <v>2</v>
      </c>
      <c r="BQ584" s="2">
        <v>1</v>
      </c>
      <c r="BR584" s="2">
        <v>2</v>
      </c>
      <c r="BS584" s="2">
        <v>1</v>
      </c>
      <c r="BT584" s="2">
        <v>0</v>
      </c>
      <c r="BU584" s="2">
        <v>0</v>
      </c>
      <c r="BV584" s="2">
        <f t="shared" si="41"/>
        <v>58</v>
      </c>
      <c r="BW584" s="16">
        <f t="shared" si="39"/>
        <v>3.0526315789473686</v>
      </c>
      <c r="BX584" s="16">
        <f>COUNTIF($BC$6:BU584, "=0") / COUNTIF($BC$6:BU584, "&gt;-1")</f>
        <v>0.15198618307426598</v>
      </c>
      <c r="BY584" s="18">
        <f>SUM($BC$6:BU584) / $BY$4</f>
        <v>0.87196617630047368</v>
      </c>
      <c r="BZ584" s="14">
        <f t="shared" si="40"/>
        <v>2</v>
      </c>
      <c r="CA584" t="s">
        <v>5831</v>
      </c>
      <c r="CB584" s="36">
        <v>3.6349301875041902</v>
      </c>
      <c r="CC584" s="36">
        <v>2.6002731258291099</v>
      </c>
      <c r="CD584" s="36">
        <v>4.8023929854367697</v>
      </c>
      <c r="CE584" s="36">
        <v>4.5357652774596904</v>
      </c>
      <c r="CF584" s="36">
        <v>3.4407054397475698</v>
      </c>
      <c r="CG584" s="36">
        <v>3.06809991391032</v>
      </c>
      <c r="CH584" s="36">
        <v>5.2703114143232002</v>
      </c>
      <c r="CI584" s="36">
        <v>3.8927343919292201</v>
      </c>
      <c r="CJ584" s="37">
        <v>7.9475829324495697</v>
      </c>
      <c r="CK584" s="37">
        <v>3.1532482344414299</v>
      </c>
      <c r="CL584" s="37">
        <v>4.8003260896040603</v>
      </c>
      <c r="CM584" s="37">
        <v>1.6930940931998799</v>
      </c>
      <c r="CN584" s="37">
        <v>0.91879256581511404</v>
      </c>
      <c r="CO584" s="37">
        <v>1.5783811407702499</v>
      </c>
      <c r="CP584" s="37">
        <v>1.50854004786242</v>
      </c>
      <c r="CQ584" s="37">
        <v>0.38065921161865401</v>
      </c>
      <c r="CR584" s="45">
        <v>-0.36085089954134703</v>
      </c>
      <c r="CS584" s="45">
        <v>-1.4214888661617999</v>
      </c>
      <c r="CT584" s="46">
        <v>0.42981671479719202</v>
      </c>
      <c r="CU584" s="47">
        <v>0.51347746821307405</v>
      </c>
      <c r="CV584" s="48">
        <v>3.9056515920175099</v>
      </c>
      <c r="CW584" s="49">
        <v>2.7475780394701701</v>
      </c>
      <c r="CX584" s="31" t="s">
        <v>5875</v>
      </c>
      <c r="CY584" s="31" t="s">
        <v>5832</v>
      </c>
      <c r="CZ584" t="s">
        <v>8042</v>
      </c>
      <c r="DA584" t="s">
        <v>5904</v>
      </c>
      <c r="DB584">
        <v>400.6</v>
      </c>
      <c r="DC584" t="s">
        <v>20503</v>
      </c>
      <c r="DD584" t="s">
        <v>20504</v>
      </c>
      <c r="DE584" t="s">
        <v>20505</v>
      </c>
      <c r="DF584" t="s">
        <v>20506</v>
      </c>
      <c r="DG584" t="s">
        <v>20507</v>
      </c>
      <c r="DH584" t="str">
        <f>"RHOA"</f>
        <v>RHOA</v>
      </c>
      <c r="DI584" t="s">
        <v>20508</v>
      </c>
      <c r="DJ584" t="s">
        <v>13777</v>
      </c>
      <c r="DK584">
        <v>9606</v>
      </c>
      <c r="DL584" s="34" t="str">
        <f>HYPERLINK("http://www.uniprot.org/uniprot/P61586", "P61586")</f>
        <v>P61586</v>
      </c>
      <c r="DM584" t="s">
        <v>20509</v>
      </c>
      <c r="DN584" t="s">
        <v>20510</v>
      </c>
      <c r="DO584" t="s">
        <v>14215</v>
      </c>
      <c r="DP584" t="s">
        <v>13772</v>
      </c>
      <c r="DQ584" t="s">
        <v>13772</v>
      </c>
      <c r="DR584" t="s">
        <v>14244</v>
      </c>
      <c r="DS584" t="s">
        <v>13772</v>
      </c>
      <c r="DT584" t="s">
        <v>20511</v>
      </c>
      <c r="DU584" t="s">
        <v>13772</v>
      </c>
      <c r="DV584" t="s">
        <v>20512</v>
      </c>
      <c r="DW584" t="s">
        <v>13812</v>
      </c>
      <c r="DX584" t="s">
        <v>20513</v>
      </c>
      <c r="DY584" t="s">
        <v>20514</v>
      </c>
      <c r="DZ584" t="s">
        <v>20515</v>
      </c>
      <c r="EA584" t="s">
        <v>13772</v>
      </c>
      <c r="EB584" t="s">
        <v>20516</v>
      </c>
    </row>
    <row r="585" spans="1:132" hidden="1">
      <c r="A585">
        <v>682</v>
      </c>
      <c r="B585">
        <v>1</v>
      </c>
      <c r="C585" t="s">
        <v>1679</v>
      </c>
      <c r="D585" t="s">
        <v>73</v>
      </c>
      <c r="E585" t="s">
        <v>73</v>
      </c>
      <c r="F585" t="s">
        <v>73</v>
      </c>
      <c r="G585" t="s">
        <v>73</v>
      </c>
      <c r="H585">
        <v>25.9</v>
      </c>
      <c r="I585">
        <v>1845</v>
      </c>
      <c r="J585">
        <v>197369</v>
      </c>
      <c r="K585" t="s">
        <v>1680</v>
      </c>
      <c r="L585">
        <f t="shared" si="38"/>
        <v>58</v>
      </c>
      <c r="N585">
        <v>58</v>
      </c>
      <c r="O585">
        <v>58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13</v>
      </c>
      <c r="AB585">
        <v>1</v>
      </c>
      <c r="AC585">
        <v>0</v>
      </c>
      <c r="AD585">
        <v>0</v>
      </c>
      <c r="AE585">
        <v>33</v>
      </c>
      <c r="AF585">
        <v>9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13</v>
      </c>
      <c r="AU585">
        <v>1</v>
      </c>
      <c r="AV585">
        <v>0</v>
      </c>
      <c r="AW585">
        <v>0</v>
      </c>
      <c r="AX585">
        <v>33</v>
      </c>
      <c r="AY585">
        <v>9</v>
      </c>
      <c r="AZ585">
        <v>0</v>
      </c>
      <c r="BA585">
        <v>0</v>
      </c>
      <c r="BB585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1</v>
      </c>
      <c r="BM585" s="2">
        <v>13</v>
      </c>
      <c r="BN585" s="2">
        <v>1</v>
      </c>
      <c r="BO585" s="2">
        <v>0</v>
      </c>
      <c r="BP585" s="2">
        <v>0</v>
      </c>
      <c r="BQ585" s="2">
        <v>33</v>
      </c>
      <c r="BR585" s="2">
        <v>9</v>
      </c>
      <c r="BS585" s="2">
        <v>0</v>
      </c>
      <c r="BT585" s="2">
        <v>0</v>
      </c>
      <c r="BU585" s="2">
        <v>1</v>
      </c>
      <c r="BV585" s="2">
        <f t="shared" si="41"/>
        <v>58</v>
      </c>
      <c r="BW585" s="16">
        <f t="shared" si="39"/>
        <v>3.0526315789473686</v>
      </c>
      <c r="BX585" s="16">
        <f>COUNTIF($BC$6:BU585, "=0") / COUNTIF($BC$6:BU585, "&gt;-1")</f>
        <v>0.1529038112522686</v>
      </c>
      <c r="BY585" s="18">
        <f>SUM($BC$6:BU585) / $BY$4</f>
        <v>0.87221462723885834</v>
      </c>
      <c r="BZ585" s="14">
        <f t="shared" si="40"/>
        <v>13</v>
      </c>
      <c r="CA585" t="s">
        <v>5831</v>
      </c>
      <c r="CB585" s="36">
        <v>0.30291084895868198</v>
      </c>
      <c r="CC585" s="36">
        <v>0.24076603016936199</v>
      </c>
      <c r="CD585" s="36">
        <v>0.40019941545306398</v>
      </c>
      <c r="CE585" s="36">
        <v>0.37798043978830698</v>
      </c>
      <c r="CF585" s="36">
        <v>0.215044089984223</v>
      </c>
      <c r="CG585" s="36">
        <v>0.23243181165987301</v>
      </c>
      <c r="CH585" s="36">
        <v>0.26351557071616</v>
      </c>
      <c r="CI585" s="36">
        <v>0.24329589949557701</v>
      </c>
      <c r="CJ585" s="37">
        <v>0.19868957331123899</v>
      </c>
      <c r="CK585" s="37">
        <v>8.1984454095477108</v>
      </c>
      <c r="CL585" s="37">
        <v>0.80005434826734301</v>
      </c>
      <c r="CM585" s="37">
        <v>0.21163676164998499</v>
      </c>
      <c r="CN585" s="37">
        <v>30.320154671898798</v>
      </c>
      <c r="CO585" s="37">
        <v>7.1027151334661296</v>
      </c>
      <c r="CP585" s="37">
        <v>0.377135011965606</v>
      </c>
      <c r="CQ585" s="37">
        <v>1.5226368464746201</v>
      </c>
      <c r="CR585" s="45">
        <v>3.9820164648672698</v>
      </c>
      <c r="CS585" s="45">
        <v>21.409658388193002</v>
      </c>
      <c r="CT585" s="46">
        <v>2.0928859973050299E-4</v>
      </c>
      <c r="CU585" s="47">
        <v>5.4269020627793405E-4</v>
      </c>
      <c r="CV585" s="48">
        <v>0.28451801327815601</v>
      </c>
      <c r="CW585" s="49">
        <v>6.09143346957267</v>
      </c>
      <c r="CX585" s="31" t="s">
        <v>5874</v>
      </c>
      <c r="CY585" s="31" t="s">
        <v>5876</v>
      </c>
      <c r="CZ585" t="s">
        <v>8046</v>
      </c>
      <c r="DA585" t="s">
        <v>5904</v>
      </c>
      <c r="DB585">
        <v>2578.9</v>
      </c>
      <c r="DC585" t="s">
        <v>20517</v>
      </c>
      <c r="DD585" t="s">
        <v>20518</v>
      </c>
      <c r="DE585" t="s">
        <v>20519</v>
      </c>
      <c r="DF585" t="s">
        <v>20520</v>
      </c>
      <c r="DG585" t="s">
        <v>20521</v>
      </c>
      <c r="DH585" t="str">
        <f>"XIRP1"</f>
        <v>XIRP1</v>
      </c>
      <c r="DI585" t="s">
        <v>20522</v>
      </c>
      <c r="DJ585" t="s">
        <v>13777</v>
      </c>
      <c r="DK585">
        <v>9606</v>
      </c>
      <c r="DL585" s="34" t="str">
        <f>HYPERLINK("http://www.uniprot.org/uniprot/Q702N8", "Q702N8")</f>
        <v>Q702N8</v>
      </c>
      <c r="DM585" t="s">
        <v>20523</v>
      </c>
      <c r="DN585" t="s">
        <v>13772</v>
      </c>
      <c r="DO585" t="s">
        <v>20524</v>
      </c>
      <c r="DP585" t="s">
        <v>13780</v>
      </c>
      <c r="DQ585" t="s">
        <v>13772</v>
      </c>
      <c r="DR585" t="s">
        <v>13772</v>
      </c>
      <c r="DS585" t="s">
        <v>14048</v>
      </c>
      <c r="DT585" t="s">
        <v>13772</v>
      </c>
      <c r="DU585" t="s">
        <v>13990</v>
      </c>
      <c r="DV585" t="s">
        <v>13782</v>
      </c>
      <c r="DW585" t="s">
        <v>13772</v>
      </c>
      <c r="DX585" t="s">
        <v>20525</v>
      </c>
      <c r="DY585" t="s">
        <v>20526</v>
      </c>
      <c r="DZ585" t="s">
        <v>20527</v>
      </c>
      <c r="EA585" t="s">
        <v>13772</v>
      </c>
      <c r="EB585" t="s">
        <v>13772</v>
      </c>
    </row>
    <row r="586" spans="1:132" hidden="1">
      <c r="A586">
        <v>1330</v>
      </c>
      <c r="B586">
        <v>1</v>
      </c>
      <c r="C586" t="s">
        <v>3189</v>
      </c>
      <c r="D586" t="s">
        <v>73</v>
      </c>
      <c r="E586" t="s">
        <v>73</v>
      </c>
      <c r="F586" t="s">
        <v>73</v>
      </c>
      <c r="G586" t="s">
        <v>73</v>
      </c>
      <c r="H586">
        <v>49.3</v>
      </c>
      <c r="I586">
        <v>134</v>
      </c>
      <c r="J586">
        <v>15226</v>
      </c>
      <c r="K586" t="s">
        <v>3190</v>
      </c>
      <c r="L586">
        <f t="shared" si="38"/>
        <v>58</v>
      </c>
      <c r="N586">
        <v>58</v>
      </c>
      <c r="O586">
        <v>58</v>
      </c>
      <c r="P586">
        <v>1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8</v>
      </c>
      <c r="Z586">
        <v>1</v>
      </c>
      <c r="AA586">
        <v>8</v>
      </c>
      <c r="AB586">
        <v>13</v>
      </c>
      <c r="AC586">
        <v>6</v>
      </c>
      <c r="AD586">
        <v>0</v>
      </c>
      <c r="AE586">
        <v>4</v>
      </c>
      <c r="AF586">
        <v>7</v>
      </c>
      <c r="AG586">
        <v>2</v>
      </c>
      <c r="AH586">
        <v>0</v>
      </c>
      <c r="AI586">
        <v>7</v>
      </c>
      <c r="AJ586">
        <v>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8</v>
      </c>
      <c r="AS586">
        <v>1</v>
      </c>
      <c r="AT586">
        <v>8</v>
      </c>
      <c r="AU586">
        <v>13</v>
      </c>
      <c r="AV586">
        <v>6</v>
      </c>
      <c r="AW586">
        <v>0</v>
      </c>
      <c r="AX586">
        <v>4</v>
      </c>
      <c r="AY586">
        <v>7</v>
      </c>
      <c r="AZ586">
        <v>2</v>
      </c>
      <c r="BA586">
        <v>0</v>
      </c>
      <c r="BB586">
        <v>7</v>
      </c>
      <c r="BC586" s="2">
        <v>2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8</v>
      </c>
      <c r="BL586" s="2">
        <v>1</v>
      </c>
      <c r="BM586" s="2">
        <v>8</v>
      </c>
      <c r="BN586" s="2">
        <v>13</v>
      </c>
      <c r="BO586" s="2">
        <v>6</v>
      </c>
      <c r="BP586" s="2">
        <v>0</v>
      </c>
      <c r="BQ586" s="2">
        <v>4</v>
      </c>
      <c r="BR586" s="2">
        <v>7</v>
      </c>
      <c r="BS586" s="2">
        <v>2</v>
      </c>
      <c r="BT586" s="2">
        <v>0</v>
      </c>
      <c r="BU586" s="2">
        <v>7</v>
      </c>
      <c r="BV586" s="2">
        <f t="shared" si="41"/>
        <v>58</v>
      </c>
      <c r="BW586" s="16">
        <f t="shared" si="39"/>
        <v>3.0526315789473686</v>
      </c>
      <c r="BX586" s="16">
        <f>COUNTIF($BC$6:BU586, "=0") / COUNTIF($BC$6:BU586, "&gt;-1")</f>
        <v>0.1534559289790742</v>
      </c>
      <c r="BY586" s="18">
        <f>SUM($BC$6:BU586) / $BY$4</f>
        <v>0.87246307817724289</v>
      </c>
      <c r="BZ586" s="14">
        <f t="shared" si="40"/>
        <v>9</v>
      </c>
      <c r="CA586" t="s">
        <v>5831</v>
      </c>
      <c r="CB586" s="36">
        <v>2.4232867916694598</v>
      </c>
      <c r="CC586" s="36">
        <v>0.24076603016936199</v>
      </c>
      <c r="CD586" s="36">
        <v>0.40019941545306398</v>
      </c>
      <c r="CE586" s="36">
        <v>0.37798043978830698</v>
      </c>
      <c r="CF586" s="36">
        <v>0.215044089984223</v>
      </c>
      <c r="CG586" s="36">
        <v>0.23243181165987301</v>
      </c>
      <c r="CH586" s="36">
        <v>0.26351557071616</v>
      </c>
      <c r="CI586" s="36">
        <v>0.24329589949557701</v>
      </c>
      <c r="CJ586" s="37">
        <v>6.35806634595966</v>
      </c>
      <c r="CK586" s="37">
        <v>5.0451971751062796</v>
      </c>
      <c r="CL586" s="37">
        <v>10.400706527475499</v>
      </c>
      <c r="CM586" s="37">
        <v>5.0792822795996404</v>
      </c>
      <c r="CN586" s="37">
        <v>3.6751702632604601</v>
      </c>
      <c r="CO586" s="37">
        <v>5.5243339926958699</v>
      </c>
      <c r="CP586" s="37">
        <v>3.0170800957248498</v>
      </c>
      <c r="CQ586" s="37">
        <v>10.658457925322301</v>
      </c>
      <c r="CR586" s="45">
        <v>3.3097325321291602</v>
      </c>
      <c r="CS586" s="45">
        <v>11.317654429253899</v>
      </c>
      <c r="CT586" s="46">
        <v>1.4100855717576399E-7</v>
      </c>
      <c r="CU586" s="47">
        <v>9.0706466106333095E-7</v>
      </c>
      <c r="CV586" s="48">
        <v>0.54956500611700299</v>
      </c>
      <c r="CW586" s="49">
        <v>6.2197868256430704</v>
      </c>
      <c r="CX586" s="31" t="s">
        <v>5874</v>
      </c>
      <c r="CY586" s="31" t="s">
        <v>5876</v>
      </c>
      <c r="CZ586" t="s">
        <v>10178</v>
      </c>
      <c r="DA586" t="s">
        <v>5904</v>
      </c>
      <c r="DB586">
        <v>195.3</v>
      </c>
      <c r="DC586" t="s">
        <v>26649</v>
      </c>
      <c r="DD586" t="s">
        <v>26650</v>
      </c>
      <c r="DE586" t="s">
        <v>26651</v>
      </c>
      <c r="DF586" t="s">
        <v>26652</v>
      </c>
      <c r="DG586" t="s">
        <v>13772</v>
      </c>
      <c r="DH586" t="str">
        <f>"CYTL1"</f>
        <v>CYTL1</v>
      </c>
      <c r="DI586" t="s">
        <v>26653</v>
      </c>
      <c r="DJ586" t="s">
        <v>13777</v>
      </c>
      <c r="DK586">
        <v>9606</v>
      </c>
      <c r="DL586" s="34" t="str">
        <f>HYPERLINK("http://www.uniprot.org/uniprot/Q9NRR1", "Q9NRR1")</f>
        <v>Q9NRR1</v>
      </c>
      <c r="DM586" t="s">
        <v>18506</v>
      </c>
      <c r="DN586" t="s">
        <v>13772</v>
      </c>
      <c r="DO586" t="s">
        <v>14321</v>
      </c>
      <c r="DP586" t="s">
        <v>13793</v>
      </c>
      <c r="DQ586" t="s">
        <v>13772</v>
      </c>
      <c r="DR586" t="s">
        <v>13772</v>
      </c>
      <c r="DS586" t="s">
        <v>13808</v>
      </c>
      <c r="DT586" t="s">
        <v>13772</v>
      </c>
      <c r="DU586" t="s">
        <v>13772</v>
      </c>
      <c r="DV586" t="s">
        <v>13772</v>
      </c>
      <c r="DW586" t="s">
        <v>13772</v>
      </c>
      <c r="DX586" t="s">
        <v>26654</v>
      </c>
      <c r="DY586" t="s">
        <v>14508</v>
      </c>
      <c r="DZ586" t="s">
        <v>14749</v>
      </c>
      <c r="EA586" t="s">
        <v>13772</v>
      </c>
      <c r="EB586" t="s">
        <v>13772</v>
      </c>
    </row>
    <row r="587" spans="1:132" hidden="1">
      <c r="A587">
        <v>1797</v>
      </c>
      <c r="B587">
        <v>1</v>
      </c>
      <c r="C587" t="s">
        <v>4249</v>
      </c>
      <c r="D587" t="s">
        <v>4250</v>
      </c>
      <c r="E587" t="s">
        <v>73</v>
      </c>
      <c r="F587" t="s">
        <v>73</v>
      </c>
      <c r="G587" t="s">
        <v>73</v>
      </c>
      <c r="H587">
        <v>19.899999999999999</v>
      </c>
      <c r="I587">
        <v>825</v>
      </c>
      <c r="J587">
        <v>90448</v>
      </c>
      <c r="K587" t="s">
        <v>4251</v>
      </c>
      <c r="L587">
        <f t="shared" si="38"/>
        <v>58</v>
      </c>
      <c r="N587">
        <v>58</v>
      </c>
      <c r="O587">
        <v>58</v>
      </c>
      <c r="P587">
        <v>1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5</v>
      </c>
      <c r="Z587">
        <v>0</v>
      </c>
      <c r="AA587">
        <v>12</v>
      </c>
      <c r="AB587">
        <v>13</v>
      </c>
      <c r="AC587">
        <v>8</v>
      </c>
      <c r="AD587">
        <v>0</v>
      </c>
      <c r="AE587">
        <v>4</v>
      </c>
      <c r="AF587">
        <v>7</v>
      </c>
      <c r="AG587">
        <v>1</v>
      </c>
      <c r="AH587">
        <v>1</v>
      </c>
      <c r="AI587">
        <v>3</v>
      </c>
      <c r="AJ587">
        <v>0</v>
      </c>
      <c r="AK587">
        <v>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5</v>
      </c>
      <c r="AS587">
        <v>0</v>
      </c>
      <c r="AT587">
        <v>12</v>
      </c>
      <c r="AU587">
        <v>13</v>
      </c>
      <c r="AV587">
        <v>8</v>
      </c>
      <c r="AW587">
        <v>0</v>
      </c>
      <c r="AX587">
        <v>4</v>
      </c>
      <c r="AY587">
        <v>7</v>
      </c>
      <c r="AZ587">
        <v>1</v>
      </c>
      <c r="BA587">
        <v>1</v>
      </c>
      <c r="BB587">
        <v>3</v>
      </c>
      <c r="BC587" s="2">
        <v>0</v>
      </c>
      <c r="BD587" s="2">
        <v>3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1</v>
      </c>
      <c r="BK587" s="2">
        <v>5</v>
      </c>
      <c r="BL587" s="2">
        <v>0</v>
      </c>
      <c r="BM587" s="2">
        <v>12</v>
      </c>
      <c r="BN587" s="2">
        <v>13</v>
      </c>
      <c r="BO587" s="2">
        <v>8</v>
      </c>
      <c r="BP587" s="2">
        <v>0</v>
      </c>
      <c r="BQ587" s="2">
        <v>4</v>
      </c>
      <c r="BR587" s="2">
        <v>7</v>
      </c>
      <c r="BS587" s="2">
        <v>1</v>
      </c>
      <c r="BT587" s="2">
        <v>1</v>
      </c>
      <c r="BU587" s="2">
        <v>3</v>
      </c>
      <c r="BV587" s="2">
        <f t="shared" si="41"/>
        <v>58</v>
      </c>
      <c r="BW587" s="16">
        <f t="shared" si="39"/>
        <v>3.0526315789473686</v>
      </c>
      <c r="BX587" s="16">
        <f>COUNTIF($BC$6:BU587, "=0") / COUNTIF($BC$6:BU587, "&gt;-1")</f>
        <v>0.15391571712787122</v>
      </c>
      <c r="BY587" s="18">
        <f>SUM($BC$6:BU587) / $BY$4</f>
        <v>0.87271152911562755</v>
      </c>
      <c r="BZ587" s="14">
        <f t="shared" si="40"/>
        <v>8</v>
      </c>
      <c r="CA587" t="s">
        <v>5831</v>
      </c>
      <c r="CB587" s="36">
        <v>0.30291084895868198</v>
      </c>
      <c r="CC587" s="36">
        <v>2.8891923620323401</v>
      </c>
      <c r="CD587" s="36">
        <v>0.40019941545306398</v>
      </c>
      <c r="CE587" s="36">
        <v>0.37798043978830698</v>
      </c>
      <c r="CF587" s="36">
        <v>0.215044089984223</v>
      </c>
      <c r="CG587" s="36">
        <v>0.23243181165987301</v>
      </c>
      <c r="CH587" s="36">
        <v>0.26351557071616</v>
      </c>
      <c r="CI587" s="36">
        <v>0.97318359798230603</v>
      </c>
      <c r="CJ587" s="37">
        <v>3.9737914662247902</v>
      </c>
      <c r="CK587" s="37">
        <v>7.5677957626594301</v>
      </c>
      <c r="CL587" s="37">
        <v>10.400706527475499</v>
      </c>
      <c r="CM587" s="37">
        <v>6.7723763727995303</v>
      </c>
      <c r="CN587" s="37">
        <v>3.6751702632604601</v>
      </c>
      <c r="CO587" s="37">
        <v>5.5243339926958699</v>
      </c>
      <c r="CP587" s="37">
        <v>1.50854004786242</v>
      </c>
      <c r="CQ587" s="37">
        <v>4.5679105394238499</v>
      </c>
      <c r="CR587" s="45">
        <v>2.75518472721006</v>
      </c>
      <c r="CS587" s="45">
        <v>7.77981265576192</v>
      </c>
      <c r="CT587" s="46">
        <v>3.9198873466769504E-6</v>
      </c>
      <c r="CU587" s="47">
        <v>1.6075600860679599E-5</v>
      </c>
      <c r="CV587" s="48">
        <v>0.70680726707187003</v>
      </c>
      <c r="CW587" s="49">
        <v>5.4988281215502202</v>
      </c>
      <c r="CX587" s="31" t="s">
        <v>5874</v>
      </c>
      <c r="CY587" s="31" t="s">
        <v>5876</v>
      </c>
      <c r="CZ587" t="s">
        <v>11742</v>
      </c>
      <c r="DA587" t="s">
        <v>5904</v>
      </c>
      <c r="DB587">
        <v>1674.8</v>
      </c>
      <c r="DC587" t="s">
        <v>31048</v>
      </c>
      <c r="DD587" t="s">
        <v>31049</v>
      </c>
      <c r="DE587" t="s">
        <v>31050</v>
      </c>
      <c r="DF587" t="s">
        <v>31051</v>
      </c>
      <c r="DG587" t="s">
        <v>31052</v>
      </c>
      <c r="DH587" t="str">
        <f>"HNRNPU"</f>
        <v>HNRNPU</v>
      </c>
      <c r="DI587" t="s">
        <v>13772</v>
      </c>
      <c r="DJ587" t="s">
        <v>13777</v>
      </c>
      <c r="DK587">
        <v>9606</v>
      </c>
      <c r="DL587" s="34" t="str">
        <f>HYPERLINK("http://www.uniprot.org/uniprot/Q00839", "Q00839")</f>
        <v>Q00839</v>
      </c>
      <c r="DM587" t="s">
        <v>31053</v>
      </c>
      <c r="DN587" t="s">
        <v>31054</v>
      </c>
      <c r="DO587" t="s">
        <v>31055</v>
      </c>
      <c r="DP587" t="s">
        <v>13780</v>
      </c>
      <c r="DQ587" t="s">
        <v>13772</v>
      </c>
      <c r="DR587" t="s">
        <v>17649</v>
      </c>
      <c r="DS587" t="s">
        <v>13772</v>
      </c>
      <c r="DT587" t="s">
        <v>14005</v>
      </c>
      <c r="DU587" t="s">
        <v>31056</v>
      </c>
      <c r="DV587" t="s">
        <v>31057</v>
      </c>
      <c r="DW587" t="s">
        <v>13812</v>
      </c>
      <c r="DX587" t="s">
        <v>31058</v>
      </c>
      <c r="DY587" t="s">
        <v>31059</v>
      </c>
      <c r="DZ587" t="s">
        <v>31060</v>
      </c>
      <c r="EA587" t="s">
        <v>13772</v>
      </c>
      <c r="EB587" t="s">
        <v>22927</v>
      </c>
    </row>
    <row r="588" spans="1:132" hidden="1">
      <c r="A588">
        <v>1954</v>
      </c>
      <c r="B588">
        <v>1</v>
      </c>
      <c r="C588" t="s">
        <v>4610</v>
      </c>
      <c r="D588" t="s">
        <v>73</v>
      </c>
      <c r="E588" t="s">
        <v>73</v>
      </c>
      <c r="F588" t="s">
        <v>73</v>
      </c>
      <c r="G588" t="s">
        <v>73</v>
      </c>
      <c r="H588">
        <v>77.900000000000006</v>
      </c>
      <c r="I588">
        <v>113</v>
      </c>
      <c r="J588">
        <v>12354</v>
      </c>
      <c r="K588" t="s">
        <v>4611</v>
      </c>
      <c r="L588">
        <f t="shared" si="38"/>
        <v>58</v>
      </c>
      <c r="N588">
        <v>58</v>
      </c>
      <c r="O588">
        <v>58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20</v>
      </c>
      <c r="Z588">
        <v>3</v>
      </c>
      <c r="AA588">
        <v>6</v>
      </c>
      <c r="AB588">
        <v>7</v>
      </c>
      <c r="AC588">
        <v>3</v>
      </c>
      <c r="AD588">
        <v>0</v>
      </c>
      <c r="AE588">
        <v>5</v>
      </c>
      <c r="AF588">
        <v>6</v>
      </c>
      <c r="AG588">
        <v>3</v>
      </c>
      <c r="AH588">
        <v>0</v>
      </c>
      <c r="AI588">
        <v>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</v>
      </c>
      <c r="AR588">
        <v>20</v>
      </c>
      <c r="AS588">
        <v>3</v>
      </c>
      <c r="AT588">
        <v>6</v>
      </c>
      <c r="AU588">
        <v>7</v>
      </c>
      <c r="AV588">
        <v>3</v>
      </c>
      <c r="AW588">
        <v>0</v>
      </c>
      <c r="AX588">
        <v>5</v>
      </c>
      <c r="AY588">
        <v>6</v>
      </c>
      <c r="AZ588">
        <v>3</v>
      </c>
      <c r="BA588">
        <v>0</v>
      </c>
      <c r="BB588">
        <v>3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2</v>
      </c>
      <c r="BK588" s="2">
        <v>20</v>
      </c>
      <c r="BL588" s="2">
        <v>3</v>
      </c>
      <c r="BM588" s="2">
        <v>6</v>
      </c>
      <c r="BN588" s="2">
        <v>7</v>
      </c>
      <c r="BO588" s="2">
        <v>3</v>
      </c>
      <c r="BP588" s="2">
        <v>0</v>
      </c>
      <c r="BQ588" s="2">
        <v>5</v>
      </c>
      <c r="BR588" s="2">
        <v>6</v>
      </c>
      <c r="BS588" s="2">
        <v>3</v>
      </c>
      <c r="BT588" s="2">
        <v>0</v>
      </c>
      <c r="BU588" s="2">
        <v>3</v>
      </c>
      <c r="BV588" s="2">
        <f t="shared" si="41"/>
        <v>58</v>
      </c>
      <c r="BW588" s="16">
        <f t="shared" si="39"/>
        <v>3.0526315789473686</v>
      </c>
      <c r="BX588" s="16">
        <f>COUNTIF($BC$6:BU588, "=0") / COUNTIF($BC$6:BU588, "&gt;-1")</f>
        <v>0.15446420510968673</v>
      </c>
      <c r="BY588" s="18">
        <f>SUM($BC$6:BU588) / $BY$4</f>
        <v>0.87295998005401221</v>
      </c>
      <c r="BZ588" s="14">
        <f t="shared" si="40"/>
        <v>9</v>
      </c>
      <c r="CA588" t="s">
        <v>5831</v>
      </c>
      <c r="CB588" s="36">
        <v>0.30291084895868198</v>
      </c>
      <c r="CC588" s="36">
        <v>0.24076603016936199</v>
      </c>
      <c r="CD588" s="36">
        <v>0.40019941545306398</v>
      </c>
      <c r="CE588" s="36">
        <v>0.37798043978830698</v>
      </c>
      <c r="CF588" s="36">
        <v>0.215044089984223</v>
      </c>
      <c r="CG588" s="36">
        <v>0.23243181165987301</v>
      </c>
      <c r="CH588" s="36">
        <v>0.26351557071616</v>
      </c>
      <c r="CI588" s="36">
        <v>1.9463671959646101</v>
      </c>
      <c r="CJ588" s="37">
        <v>15.8951658648991</v>
      </c>
      <c r="CK588" s="37">
        <v>3.7838978813297102</v>
      </c>
      <c r="CL588" s="37">
        <v>5.6003804378713999</v>
      </c>
      <c r="CM588" s="37">
        <v>2.5396411397998202</v>
      </c>
      <c r="CN588" s="37">
        <v>4.5939628290755703</v>
      </c>
      <c r="CO588" s="37">
        <v>4.7351434223107498</v>
      </c>
      <c r="CP588" s="37">
        <v>4.5256201435872701</v>
      </c>
      <c r="CQ588" s="37">
        <v>4.5679105394238499</v>
      </c>
      <c r="CR588" s="45">
        <v>3.2442023239654101</v>
      </c>
      <c r="CS588" s="45">
        <v>11.6208140496711</v>
      </c>
      <c r="CT588" s="46">
        <v>1.24823561240908E-6</v>
      </c>
      <c r="CU588" s="47">
        <v>6.0076951417386696E-6</v>
      </c>
      <c r="CV588" s="48">
        <v>0.49740192533678601</v>
      </c>
      <c r="CW588" s="49">
        <v>5.7802152822871902</v>
      </c>
      <c r="CX588" s="31" t="s">
        <v>5874</v>
      </c>
      <c r="CY588" s="31" t="s">
        <v>5876</v>
      </c>
      <c r="CZ588" t="s">
        <v>12269</v>
      </c>
      <c r="DA588" t="s">
        <v>5904</v>
      </c>
      <c r="DB588">
        <v>72.8</v>
      </c>
      <c r="DC588" t="s">
        <v>32509</v>
      </c>
      <c r="DD588" t="s">
        <v>32510</v>
      </c>
      <c r="DE588" t="s">
        <v>32511</v>
      </c>
      <c r="DF588" t="s">
        <v>32512</v>
      </c>
      <c r="DG588" t="s">
        <v>32513</v>
      </c>
      <c r="DH588" t="str">
        <f>"SPRR1B"</f>
        <v>SPRR1B</v>
      </c>
      <c r="DI588" t="s">
        <v>13772</v>
      </c>
      <c r="DJ588" t="s">
        <v>13777</v>
      </c>
      <c r="DK588">
        <v>9606</v>
      </c>
      <c r="DL588" s="34" t="str">
        <f>HYPERLINK("http://www.uniprot.org/uniprot/P22528", "P22528")</f>
        <v>P22528</v>
      </c>
      <c r="DM588" t="s">
        <v>32514</v>
      </c>
      <c r="DN588" t="s">
        <v>16018</v>
      </c>
      <c r="DO588" t="s">
        <v>13899</v>
      </c>
      <c r="DP588" t="s">
        <v>13793</v>
      </c>
      <c r="DQ588" t="s">
        <v>13772</v>
      </c>
      <c r="DR588" t="s">
        <v>13772</v>
      </c>
      <c r="DS588" t="s">
        <v>14096</v>
      </c>
      <c r="DT588" t="s">
        <v>13772</v>
      </c>
      <c r="DU588" t="s">
        <v>13772</v>
      </c>
      <c r="DV588" t="s">
        <v>13772</v>
      </c>
      <c r="DW588" t="s">
        <v>13772</v>
      </c>
      <c r="DX588" t="s">
        <v>32515</v>
      </c>
      <c r="DY588" t="s">
        <v>32516</v>
      </c>
      <c r="DZ588" t="s">
        <v>16532</v>
      </c>
      <c r="EA588" t="s">
        <v>13772</v>
      </c>
      <c r="EB588" t="s">
        <v>16024</v>
      </c>
    </row>
    <row r="589" spans="1:132" hidden="1">
      <c r="A589">
        <v>2125</v>
      </c>
      <c r="B589">
        <v>1</v>
      </c>
      <c r="C589" t="s">
        <v>4984</v>
      </c>
      <c r="D589" t="s">
        <v>73</v>
      </c>
      <c r="E589" t="s">
        <v>73</v>
      </c>
      <c r="F589" t="s">
        <v>73</v>
      </c>
      <c r="G589" t="s">
        <v>73</v>
      </c>
      <c r="H589">
        <v>32.6</v>
      </c>
      <c r="I589">
        <v>408</v>
      </c>
      <c r="J589">
        <v>45753</v>
      </c>
      <c r="K589" t="s">
        <v>4985</v>
      </c>
      <c r="L589">
        <f t="shared" si="38"/>
        <v>58</v>
      </c>
      <c r="N589">
        <v>58</v>
      </c>
      <c r="O589">
        <v>58</v>
      </c>
      <c r="P589">
        <v>1</v>
      </c>
      <c r="Q589">
        <v>10</v>
      </c>
      <c r="R589">
        <v>8</v>
      </c>
      <c r="S589">
        <v>3</v>
      </c>
      <c r="T589">
        <v>2</v>
      </c>
      <c r="U589">
        <v>5</v>
      </c>
      <c r="V589">
        <v>12</v>
      </c>
      <c r="W589">
        <v>10</v>
      </c>
      <c r="X589">
        <v>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10</v>
      </c>
      <c r="AK589">
        <v>8</v>
      </c>
      <c r="AL589">
        <v>3</v>
      </c>
      <c r="AM589">
        <v>2</v>
      </c>
      <c r="AN589">
        <v>5</v>
      </c>
      <c r="AO589">
        <v>12</v>
      </c>
      <c r="AP589">
        <v>10</v>
      </c>
      <c r="AQ589">
        <v>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s="2">
        <v>10</v>
      </c>
      <c r="BD589" s="2">
        <v>8</v>
      </c>
      <c r="BE589" s="2">
        <v>3</v>
      </c>
      <c r="BF589" s="2">
        <v>2</v>
      </c>
      <c r="BG589" s="2">
        <v>5</v>
      </c>
      <c r="BH589" s="2">
        <v>12</v>
      </c>
      <c r="BI589" s="2">
        <v>10</v>
      </c>
      <c r="BJ589" s="2">
        <v>8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f t="shared" si="41"/>
        <v>58</v>
      </c>
      <c r="BW589" s="16">
        <f t="shared" si="39"/>
        <v>3.0526315789473686</v>
      </c>
      <c r="BX589" s="16">
        <f>COUNTIF($BC$6:BU589, "=0") / COUNTIF($BC$6:BU589, "&gt;-1")</f>
        <v>0.15519105984138429</v>
      </c>
      <c r="BY589" s="18">
        <f>SUM($BC$6:BU589) / $BY$4</f>
        <v>0.87320843099239687</v>
      </c>
      <c r="BZ589" s="14">
        <f t="shared" si="40"/>
        <v>11</v>
      </c>
      <c r="CA589" t="s">
        <v>5831</v>
      </c>
      <c r="CB589" s="36">
        <v>12.116433958347301</v>
      </c>
      <c r="CC589" s="36">
        <v>7.7045129654195703</v>
      </c>
      <c r="CD589" s="36">
        <v>4.8023929854367697</v>
      </c>
      <c r="CE589" s="36">
        <v>3.0238435183064598</v>
      </c>
      <c r="CF589" s="36">
        <v>4.3008817996844604</v>
      </c>
      <c r="CG589" s="36">
        <v>11.1567269596739</v>
      </c>
      <c r="CH589" s="36">
        <v>10.5406228286464</v>
      </c>
      <c r="CI589" s="36">
        <v>7.78546878385845</v>
      </c>
      <c r="CJ589" s="37">
        <v>0.19868957331123899</v>
      </c>
      <c r="CK589" s="37">
        <v>0.15766241172207099</v>
      </c>
      <c r="CL589" s="37">
        <v>0.200013587066836</v>
      </c>
      <c r="CM589" s="37">
        <v>0.21163676164998499</v>
      </c>
      <c r="CN589" s="37">
        <v>0.22969814145377901</v>
      </c>
      <c r="CO589" s="37">
        <v>0.19729764259628099</v>
      </c>
      <c r="CP589" s="37">
        <v>0.377135011965606</v>
      </c>
      <c r="CQ589" s="37">
        <v>0.38065921161865401</v>
      </c>
      <c r="CR589" s="45">
        <v>-4.5130830833705096</v>
      </c>
      <c r="CS589" s="45">
        <v>-31.457970464909401</v>
      </c>
      <c r="CT589" s="46">
        <v>2.3744445108678799E-11</v>
      </c>
      <c r="CU589" s="47">
        <v>4.8136465993048804E-10</v>
      </c>
      <c r="CV589" s="48">
        <v>7.6788604749216596</v>
      </c>
      <c r="CW589" s="49">
        <v>0.24409904267305599</v>
      </c>
      <c r="CX589" s="31" t="s">
        <v>5875</v>
      </c>
      <c r="CY589" s="31" t="s">
        <v>5876</v>
      </c>
      <c r="CZ589" t="s">
        <v>12830</v>
      </c>
      <c r="DA589" t="s">
        <v>5904</v>
      </c>
      <c r="DB589">
        <v>732.2</v>
      </c>
      <c r="DC589" t="s">
        <v>34088</v>
      </c>
      <c r="DD589" t="s">
        <v>34089</v>
      </c>
      <c r="DE589" t="s">
        <v>34090</v>
      </c>
      <c r="DF589" t="s">
        <v>34091</v>
      </c>
      <c r="DG589" t="s">
        <v>34092</v>
      </c>
      <c r="DH589" t="str">
        <f>"PLA2G15"</f>
        <v>PLA2G15</v>
      </c>
      <c r="DI589" t="s">
        <v>34093</v>
      </c>
      <c r="DJ589" t="s">
        <v>13777</v>
      </c>
      <c r="DK589">
        <v>9606</v>
      </c>
      <c r="DL589" s="34" t="str">
        <f>HYPERLINK("http://www.uniprot.org/uniprot/Q8NCC3", "Q8NCC3")</f>
        <v>Q8NCC3</v>
      </c>
      <c r="DM589" t="s">
        <v>34094</v>
      </c>
      <c r="DN589" t="s">
        <v>26613</v>
      </c>
      <c r="DO589" t="s">
        <v>34095</v>
      </c>
      <c r="DP589" t="s">
        <v>13841</v>
      </c>
      <c r="DQ589" t="s">
        <v>13772</v>
      </c>
      <c r="DR589" t="s">
        <v>13772</v>
      </c>
      <c r="DS589" t="s">
        <v>13808</v>
      </c>
      <c r="DT589" t="s">
        <v>13772</v>
      </c>
      <c r="DU589" t="s">
        <v>34096</v>
      </c>
      <c r="DV589" t="s">
        <v>13796</v>
      </c>
      <c r="DW589" t="s">
        <v>13812</v>
      </c>
      <c r="DX589" t="s">
        <v>34097</v>
      </c>
      <c r="DY589" t="s">
        <v>34098</v>
      </c>
      <c r="DZ589" t="s">
        <v>34099</v>
      </c>
      <c r="EA589" t="s">
        <v>13772</v>
      </c>
      <c r="EB589" t="s">
        <v>34100</v>
      </c>
    </row>
    <row r="590" spans="1:132" hidden="1">
      <c r="A590">
        <v>2196</v>
      </c>
      <c r="B590">
        <v>1</v>
      </c>
      <c r="C590" t="s">
        <v>5134</v>
      </c>
      <c r="D590" t="s">
        <v>5135</v>
      </c>
      <c r="E590" t="s">
        <v>73</v>
      </c>
      <c r="F590" t="s">
        <v>73</v>
      </c>
      <c r="G590" t="s">
        <v>73</v>
      </c>
      <c r="H590">
        <v>47.5</v>
      </c>
      <c r="I590">
        <v>366</v>
      </c>
      <c r="J590">
        <v>41497</v>
      </c>
      <c r="K590" t="s">
        <v>5136</v>
      </c>
      <c r="L590">
        <f t="shared" si="38"/>
        <v>58</v>
      </c>
      <c r="N590">
        <v>58</v>
      </c>
      <c r="O590">
        <v>58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21</v>
      </c>
      <c r="Y590">
        <v>1</v>
      </c>
      <c r="Z590">
        <v>0</v>
      </c>
      <c r="AA590">
        <v>4</v>
      </c>
      <c r="AB590">
        <v>4</v>
      </c>
      <c r="AC590">
        <v>0</v>
      </c>
      <c r="AD590">
        <v>1</v>
      </c>
      <c r="AE590">
        <v>2</v>
      </c>
      <c r="AF590">
        <v>1</v>
      </c>
      <c r="AG590">
        <v>21</v>
      </c>
      <c r="AH590">
        <v>0</v>
      </c>
      <c r="AI590">
        <v>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21</v>
      </c>
      <c r="AR590">
        <v>1</v>
      </c>
      <c r="AS590">
        <v>0</v>
      </c>
      <c r="AT590">
        <v>4</v>
      </c>
      <c r="AU590">
        <v>4</v>
      </c>
      <c r="AV590">
        <v>0</v>
      </c>
      <c r="AW590">
        <v>1</v>
      </c>
      <c r="AX590">
        <v>2</v>
      </c>
      <c r="AY590">
        <v>1</v>
      </c>
      <c r="AZ590">
        <v>21</v>
      </c>
      <c r="BA590">
        <v>0</v>
      </c>
      <c r="BB590">
        <v>3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21</v>
      </c>
      <c r="BK590" s="2">
        <v>1</v>
      </c>
      <c r="BL590" s="2">
        <v>0</v>
      </c>
      <c r="BM590" s="2">
        <v>4</v>
      </c>
      <c r="BN590" s="2">
        <v>4</v>
      </c>
      <c r="BO590" s="2">
        <v>0</v>
      </c>
      <c r="BP590" s="2">
        <v>1</v>
      </c>
      <c r="BQ590" s="2">
        <v>2</v>
      </c>
      <c r="BR590" s="2">
        <v>1</v>
      </c>
      <c r="BS590" s="2">
        <v>21</v>
      </c>
      <c r="BT590" s="2">
        <v>0</v>
      </c>
      <c r="BU590" s="2">
        <v>3</v>
      </c>
      <c r="BV590" s="2">
        <f t="shared" si="41"/>
        <v>58</v>
      </c>
      <c r="BW590" s="16">
        <f t="shared" si="39"/>
        <v>3.0526315789473686</v>
      </c>
      <c r="BX590" s="16">
        <f>COUNTIF($BC$6:BU590, "=0") / COUNTIF($BC$6:BU590, "&gt;-1")</f>
        <v>0.15582546108861897</v>
      </c>
      <c r="BY590" s="18">
        <f>SUM($BC$6:BU590) / $BY$4</f>
        <v>0.87345688193078141</v>
      </c>
      <c r="BZ590" s="14">
        <f t="shared" si="40"/>
        <v>10</v>
      </c>
      <c r="CA590" t="s">
        <v>5831</v>
      </c>
      <c r="CB590" s="36">
        <v>0.30291084895868198</v>
      </c>
      <c r="CC590" s="36">
        <v>0.24076603016936199</v>
      </c>
      <c r="CD590" s="36">
        <v>0.40019941545306398</v>
      </c>
      <c r="CE590" s="36">
        <v>0.37798043978830698</v>
      </c>
      <c r="CF590" s="36">
        <v>0.215044089984223</v>
      </c>
      <c r="CG590" s="36">
        <v>0.23243181165987301</v>
      </c>
      <c r="CH590" s="36">
        <v>0.26351557071616</v>
      </c>
      <c r="CI590" s="36">
        <v>20.436855557628402</v>
      </c>
      <c r="CJ590" s="37">
        <v>0.79475829324495695</v>
      </c>
      <c r="CK590" s="37">
        <v>2.5225985875531398</v>
      </c>
      <c r="CL590" s="37">
        <v>3.2002173930693698</v>
      </c>
      <c r="CM590" s="37">
        <v>0.21163676164998499</v>
      </c>
      <c r="CN590" s="37">
        <v>1.8375851316302301</v>
      </c>
      <c r="CO590" s="37">
        <v>0.78919057038512497</v>
      </c>
      <c r="CP590" s="37">
        <v>31.679341005110899</v>
      </c>
      <c r="CQ590" s="37">
        <v>4.5679105394238499</v>
      </c>
      <c r="CR590" s="45">
        <v>0.91335539103396501</v>
      </c>
      <c r="CS590" s="45">
        <v>2.02954336916557</v>
      </c>
      <c r="CT590" s="46">
        <v>0.37508017260681897</v>
      </c>
      <c r="CU590" s="47">
        <v>0.457898969842996</v>
      </c>
      <c r="CV590" s="48">
        <v>2.80871297054476</v>
      </c>
      <c r="CW590" s="49">
        <v>5.7004047852584403</v>
      </c>
      <c r="CX590" s="31" t="s">
        <v>5874</v>
      </c>
      <c r="CY590" s="31" t="s">
        <v>5832</v>
      </c>
      <c r="CZ590" t="s">
        <v>13064</v>
      </c>
      <c r="DA590" t="s">
        <v>5904</v>
      </c>
      <c r="DB590">
        <v>592.79999999999995</v>
      </c>
      <c r="DC590" t="s">
        <v>34746</v>
      </c>
      <c r="DD590" t="s">
        <v>34747</v>
      </c>
      <c r="DE590" t="s">
        <v>34748</v>
      </c>
      <c r="DF590" t="s">
        <v>34749</v>
      </c>
      <c r="DG590" t="s">
        <v>34750</v>
      </c>
      <c r="DH590" t="str">
        <f>"ADA"</f>
        <v>ADA</v>
      </c>
      <c r="DI590" t="s">
        <v>34751</v>
      </c>
      <c r="DJ590" t="s">
        <v>13777</v>
      </c>
      <c r="DK590">
        <v>9606</v>
      </c>
      <c r="DL590" s="34" t="str">
        <f>HYPERLINK("http://www.uniprot.org/uniprot/P00813", "P00813")</f>
        <v>P00813</v>
      </c>
      <c r="DM590" t="s">
        <v>34752</v>
      </c>
      <c r="DN590" t="s">
        <v>34753</v>
      </c>
      <c r="DO590" t="s">
        <v>34754</v>
      </c>
      <c r="DP590" t="s">
        <v>13793</v>
      </c>
      <c r="DQ590" t="s">
        <v>13772</v>
      </c>
      <c r="DR590" t="s">
        <v>34755</v>
      </c>
      <c r="DS590" t="s">
        <v>13772</v>
      </c>
      <c r="DT590" t="s">
        <v>13856</v>
      </c>
      <c r="DU590" t="s">
        <v>13857</v>
      </c>
      <c r="DV590" t="s">
        <v>14020</v>
      </c>
      <c r="DW590" t="s">
        <v>13812</v>
      </c>
      <c r="DX590" t="s">
        <v>34756</v>
      </c>
      <c r="DY590" t="s">
        <v>34757</v>
      </c>
      <c r="DZ590" t="s">
        <v>34758</v>
      </c>
      <c r="EA590" t="s">
        <v>13772</v>
      </c>
      <c r="EB590" t="s">
        <v>16304</v>
      </c>
    </row>
    <row r="591" spans="1:132" hidden="1">
      <c r="A591">
        <v>2299</v>
      </c>
      <c r="B591">
        <v>1</v>
      </c>
      <c r="C591" t="s">
        <v>5369</v>
      </c>
      <c r="D591" t="s">
        <v>73</v>
      </c>
      <c r="E591" t="s">
        <v>73</v>
      </c>
      <c r="F591" t="s">
        <v>73</v>
      </c>
      <c r="G591" t="s">
        <v>73</v>
      </c>
      <c r="H591">
        <v>22.4</v>
      </c>
      <c r="I591">
        <v>509</v>
      </c>
      <c r="J591">
        <v>56831</v>
      </c>
      <c r="K591" t="s">
        <v>5370</v>
      </c>
      <c r="L591">
        <f t="shared" si="38"/>
        <v>58</v>
      </c>
      <c r="N591">
        <v>58</v>
      </c>
      <c r="O591">
        <v>58</v>
      </c>
      <c r="P591">
        <v>1</v>
      </c>
      <c r="Q591">
        <v>3</v>
      </c>
      <c r="R591">
        <v>6</v>
      </c>
      <c r="S591">
        <v>9</v>
      </c>
      <c r="T591">
        <v>3</v>
      </c>
      <c r="U591">
        <v>5</v>
      </c>
      <c r="V591">
        <v>6</v>
      </c>
      <c r="W591">
        <v>16</v>
      </c>
      <c r="X591">
        <v>9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6</v>
      </c>
      <c r="AL591">
        <v>9</v>
      </c>
      <c r="AM591">
        <v>3</v>
      </c>
      <c r="AN591">
        <v>5</v>
      </c>
      <c r="AO591">
        <v>6</v>
      </c>
      <c r="AP591">
        <v>16</v>
      </c>
      <c r="AQ591">
        <v>9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 s="2">
        <v>3</v>
      </c>
      <c r="BD591" s="2">
        <v>6</v>
      </c>
      <c r="BE591" s="2">
        <v>9</v>
      </c>
      <c r="BF591" s="2">
        <v>3</v>
      </c>
      <c r="BG591" s="2">
        <v>5</v>
      </c>
      <c r="BH591" s="2">
        <v>6</v>
      </c>
      <c r="BI591" s="2">
        <v>16</v>
      </c>
      <c r="BJ591" s="2">
        <v>9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1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f t="shared" si="41"/>
        <v>58</v>
      </c>
      <c r="BW591" s="16">
        <f t="shared" si="39"/>
        <v>3.0526315789473686</v>
      </c>
      <c r="BX591" s="16">
        <f>COUNTIF($BC$6:BU591, "=0") / COUNTIF($BC$6:BU591, "&gt;-1")</f>
        <v>0.15645769714388361</v>
      </c>
      <c r="BY591" s="18">
        <f>SUM($BC$6:BU591) / $BY$4</f>
        <v>0.87370533286916607</v>
      </c>
      <c r="BZ591" s="14">
        <f t="shared" si="40"/>
        <v>10</v>
      </c>
      <c r="CA591" t="s">
        <v>5831</v>
      </c>
      <c r="CB591" s="36">
        <v>3.6349301875041902</v>
      </c>
      <c r="CC591" s="36">
        <v>5.7783847240646802</v>
      </c>
      <c r="CD591" s="36">
        <v>14.4071789563103</v>
      </c>
      <c r="CE591" s="36">
        <v>4.5357652774596904</v>
      </c>
      <c r="CF591" s="36">
        <v>4.3008817996844604</v>
      </c>
      <c r="CG591" s="36">
        <v>5.5783634798369501</v>
      </c>
      <c r="CH591" s="36">
        <v>16.8649965258343</v>
      </c>
      <c r="CI591" s="36">
        <v>8.7586523818407507</v>
      </c>
      <c r="CJ591" s="37">
        <v>0.19868957331123899</v>
      </c>
      <c r="CK591" s="37">
        <v>0.15766241172207099</v>
      </c>
      <c r="CL591" s="37">
        <v>0.200013587066836</v>
      </c>
      <c r="CM591" s="37">
        <v>0.21163676164998499</v>
      </c>
      <c r="CN591" s="37">
        <v>0.22969814145377901</v>
      </c>
      <c r="CO591" s="37">
        <v>0.19729764259628099</v>
      </c>
      <c r="CP591" s="37">
        <v>0.377135011965606</v>
      </c>
      <c r="CQ591" s="37">
        <v>0.38065921161865401</v>
      </c>
      <c r="CR591" s="45">
        <v>-4.5276098459328002</v>
      </c>
      <c r="CS591" s="45">
        <v>-32.701456257894598</v>
      </c>
      <c r="CT591" s="46">
        <v>5.19652148292409E-10</v>
      </c>
      <c r="CU591" s="47">
        <v>7.7254952712804798E-9</v>
      </c>
      <c r="CV591" s="48">
        <v>7.9823941665669098</v>
      </c>
      <c r="CW591" s="49">
        <v>0.24409904267305599</v>
      </c>
      <c r="CX591" s="31" t="s">
        <v>5875</v>
      </c>
      <c r="CY591" s="31" t="s">
        <v>5876</v>
      </c>
      <c r="CZ591" t="s">
        <v>13403</v>
      </c>
      <c r="DA591" t="s">
        <v>6759</v>
      </c>
      <c r="DB591">
        <v>351.3</v>
      </c>
      <c r="DC591" t="s">
        <v>35714</v>
      </c>
      <c r="DD591" t="s">
        <v>13772</v>
      </c>
      <c r="DE591" t="s">
        <v>35715</v>
      </c>
      <c r="DF591" t="s">
        <v>35716</v>
      </c>
      <c r="DG591" t="s">
        <v>35717</v>
      </c>
      <c r="DH591" t="str">
        <f>"BTN1A1"</f>
        <v>BTN1A1</v>
      </c>
      <c r="DI591" t="s">
        <v>35718</v>
      </c>
      <c r="DJ591" t="s">
        <v>13777</v>
      </c>
      <c r="DK591">
        <v>9606</v>
      </c>
      <c r="DL591" s="34" t="str">
        <f>HYPERLINK("http://www.uniprot.org/uniprot/Q13410", "Q13410")</f>
        <v>Q13410</v>
      </c>
      <c r="DM591" t="s">
        <v>35719</v>
      </c>
      <c r="DN591" t="s">
        <v>13772</v>
      </c>
      <c r="DO591" t="s">
        <v>17261</v>
      </c>
      <c r="DP591" t="s">
        <v>13793</v>
      </c>
      <c r="DQ591" t="s">
        <v>13772</v>
      </c>
      <c r="DR591" t="s">
        <v>13772</v>
      </c>
      <c r="DS591" t="s">
        <v>13951</v>
      </c>
      <c r="DT591" t="s">
        <v>13772</v>
      </c>
      <c r="DU591" t="s">
        <v>13772</v>
      </c>
      <c r="DV591" t="s">
        <v>13796</v>
      </c>
      <c r="DW591" t="s">
        <v>13772</v>
      </c>
      <c r="DX591" t="s">
        <v>35720</v>
      </c>
      <c r="DY591" t="s">
        <v>35721</v>
      </c>
      <c r="DZ591" t="s">
        <v>35722</v>
      </c>
      <c r="EA591" t="s">
        <v>13772</v>
      </c>
      <c r="EB591" t="s">
        <v>35723</v>
      </c>
    </row>
    <row r="592" spans="1:132" hidden="1">
      <c r="A592">
        <v>2328</v>
      </c>
      <c r="B592">
        <v>1</v>
      </c>
      <c r="C592" t="s">
        <v>5428</v>
      </c>
      <c r="D592" t="s">
        <v>73</v>
      </c>
      <c r="E592" t="s">
        <v>73</v>
      </c>
      <c r="F592" t="s">
        <v>1055</v>
      </c>
      <c r="G592" t="s">
        <v>73</v>
      </c>
      <c r="H592">
        <v>66.3</v>
      </c>
      <c r="I592">
        <v>89</v>
      </c>
      <c r="J592">
        <v>10350</v>
      </c>
      <c r="K592" t="s">
        <v>5429</v>
      </c>
      <c r="L592">
        <f t="shared" si="38"/>
        <v>61</v>
      </c>
      <c r="N592">
        <v>61</v>
      </c>
      <c r="O592">
        <v>41</v>
      </c>
      <c r="P592">
        <v>0.67200000000000004</v>
      </c>
      <c r="Q592">
        <v>2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8</v>
      </c>
      <c r="Y592">
        <v>9</v>
      </c>
      <c r="Z592">
        <v>0</v>
      </c>
      <c r="AA592">
        <v>10</v>
      </c>
      <c r="AB592">
        <v>5</v>
      </c>
      <c r="AC592">
        <v>5</v>
      </c>
      <c r="AD592">
        <v>1</v>
      </c>
      <c r="AE592">
        <v>8</v>
      </c>
      <c r="AF592">
        <v>6</v>
      </c>
      <c r="AG592">
        <v>0</v>
      </c>
      <c r="AH592">
        <v>0</v>
      </c>
      <c r="AI592">
        <v>4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6</v>
      </c>
      <c r="AR592">
        <v>8</v>
      </c>
      <c r="AS592">
        <v>0</v>
      </c>
      <c r="AT592">
        <v>7</v>
      </c>
      <c r="AU592">
        <v>3</v>
      </c>
      <c r="AV592">
        <v>3</v>
      </c>
      <c r="AW592">
        <v>0</v>
      </c>
      <c r="AX592">
        <v>4</v>
      </c>
      <c r="AY592">
        <v>4</v>
      </c>
      <c r="AZ592">
        <v>0</v>
      </c>
      <c r="BA592">
        <v>0</v>
      </c>
      <c r="BB592">
        <v>3</v>
      </c>
      <c r="BC592" s="2">
        <v>2</v>
      </c>
      <c r="BD592" s="2">
        <v>0.5</v>
      </c>
      <c r="BE592" s="2">
        <v>0</v>
      </c>
      <c r="BF592" s="2">
        <v>0</v>
      </c>
      <c r="BG592" s="2">
        <v>1</v>
      </c>
      <c r="BH592" s="2">
        <v>1</v>
      </c>
      <c r="BI592" s="2">
        <v>0</v>
      </c>
      <c r="BJ592" s="2">
        <v>8</v>
      </c>
      <c r="BK592" s="2">
        <v>8.8000000000000007</v>
      </c>
      <c r="BL592" s="2">
        <v>0</v>
      </c>
      <c r="BM592" s="2">
        <v>9.3330000000000002</v>
      </c>
      <c r="BN592" s="2">
        <v>4.5</v>
      </c>
      <c r="BO592" s="2">
        <v>5</v>
      </c>
      <c r="BP592" s="2">
        <v>0.5</v>
      </c>
      <c r="BQ592" s="2">
        <v>7.2</v>
      </c>
      <c r="BR592" s="2">
        <v>6</v>
      </c>
      <c r="BS592" s="2">
        <v>0</v>
      </c>
      <c r="BT592" s="2">
        <v>0</v>
      </c>
      <c r="BU592" s="2">
        <v>4</v>
      </c>
      <c r="BV592" s="2">
        <f t="shared" si="41"/>
        <v>57.833000000000006</v>
      </c>
      <c r="BW592" s="16">
        <f t="shared" si="39"/>
        <v>3.0438421052631583</v>
      </c>
      <c r="BX592" s="16">
        <f>COUNTIF($BC$6:BU592, "=0") / COUNTIF($BC$6:BU592, "&gt;-1")</f>
        <v>0.15672913117546849</v>
      </c>
      <c r="BY592" s="18">
        <f>SUM($BC$6:BU592) / $BY$4</f>
        <v>0.87395306844019371</v>
      </c>
      <c r="BZ592" s="14">
        <f t="shared" si="40"/>
        <v>6</v>
      </c>
      <c r="CA592" t="s">
        <v>5831</v>
      </c>
      <c r="CB592" s="36">
        <v>2.4232867916694598</v>
      </c>
      <c r="CC592" s="36">
        <v>0.48153206033872298</v>
      </c>
      <c r="CD592" s="36">
        <v>0.40019941545306398</v>
      </c>
      <c r="CE592" s="36">
        <v>0.37798043978830698</v>
      </c>
      <c r="CF592" s="36">
        <v>0.86017635993689201</v>
      </c>
      <c r="CG592" s="36">
        <v>0.92972724663949102</v>
      </c>
      <c r="CH592" s="36">
        <v>0.26351557071616</v>
      </c>
      <c r="CI592" s="36">
        <v>7.78546878385845</v>
      </c>
      <c r="CJ592" s="37">
        <v>6.9938729805556203</v>
      </c>
      <c r="CK592" s="37">
        <v>5.86504171606106</v>
      </c>
      <c r="CL592" s="37">
        <v>3.6002445672030401</v>
      </c>
      <c r="CM592" s="37">
        <v>4.2327352329997003</v>
      </c>
      <c r="CN592" s="37">
        <v>6.6153064738688201</v>
      </c>
      <c r="CO592" s="37">
        <v>4.7351434223107498</v>
      </c>
      <c r="CP592" s="37">
        <v>0.377135011965606</v>
      </c>
      <c r="CQ592" s="37">
        <v>6.0905473858984696</v>
      </c>
      <c r="CR592" s="45">
        <v>1.4117431186862699</v>
      </c>
      <c r="CS592" s="45">
        <v>2.84797733742715</v>
      </c>
      <c r="CT592" s="46">
        <v>2.2911945272703599E-2</v>
      </c>
      <c r="CU592" s="47">
        <v>3.8903785247306401E-2</v>
      </c>
      <c r="CV592" s="48">
        <v>1.69023583355007</v>
      </c>
      <c r="CW592" s="49">
        <v>4.8137533488578796</v>
      </c>
      <c r="CX592" s="31" t="s">
        <v>5874</v>
      </c>
      <c r="CY592" s="31" t="s">
        <v>5878</v>
      </c>
      <c r="CZ592" t="s">
        <v>13486</v>
      </c>
      <c r="DA592" t="s">
        <v>5904</v>
      </c>
      <c r="DB592">
        <v>188.7</v>
      </c>
      <c r="DC592" t="s">
        <v>35944</v>
      </c>
      <c r="DD592" t="s">
        <v>35945</v>
      </c>
      <c r="DE592" t="s">
        <v>35946</v>
      </c>
      <c r="DF592" t="s">
        <v>35947</v>
      </c>
      <c r="DG592" t="s">
        <v>35948</v>
      </c>
      <c r="DH592" t="str">
        <f>"DYNLL2"</f>
        <v>DYNLL2</v>
      </c>
      <c r="DI592" t="s">
        <v>35949</v>
      </c>
      <c r="DJ592" t="s">
        <v>13777</v>
      </c>
      <c r="DK592">
        <v>9606</v>
      </c>
      <c r="DL592" s="34" t="str">
        <f>HYPERLINK("http://www.uniprot.org/uniprot/Q96FJ2", "Q96FJ2")</f>
        <v>Q96FJ2</v>
      </c>
      <c r="DM592" t="s">
        <v>35950</v>
      </c>
      <c r="DN592" t="s">
        <v>14192</v>
      </c>
      <c r="DO592" t="s">
        <v>14676</v>
      </c>
      <c r="DP592" t="s">
        <v>13772</v>
      </c>
      <c r="DQ592" t="s">
        <v>13772</v>
      </c>
      <c r="DR592" t="s">
        <v>13772</v>
      </c>
      <c r="DS592" t="s">
        <v>13772</v>
      </c>
      <c r="DT592" t="s">
        <v>13772</v>
      </c>
      <c r="DU592" t="s">
        <v>14678</v>
      </c>
      <c r="DV592" t="s">
        <v>13772</v>
      </c>
      <c r="DW592" t="s">
        <v>13812</v>
      </c>
      <c r="DX592" t="s">
        <v>35951</v>
      </c>
      <c r="DY592" t="s">
        <v>35952</v>
      </c>
      <c r="DZ592" t="s">
        <v>35953</v>
      </c>
      <c r="EA592" t="s">
        <v>13772</v>
      </c>
      <c r="EB592" t="s">
        <v>35954</v>
      </c>
    </row>
    <row r="593" spans="1:132" hidden="1">
      <c r="A593">
        <v>632</v>
      </c>
      <c r="B593">
        <v>1</v>
      </c>
      <c r="C593" t="s">
        <v>1564</v>
      </c>
      <c r="D593" t="s">
        <v>1565</v>
      </c>
      <c r="E593" t="s">
        <v>73</v>
      </c>
      <c r="F593" t="s">
        <v>73</v>
      </c>
      <c r="G593" t="s">
        <v>73</v>
      </c>
      <c r="H593">
        <v>55</v>
      </c>
      <c r="I593">
        <v>367</v>
      </c>
      <c r="J593">
        <v>39980</v>
      </c>
      <c r="K593" t="s">
        <v>1566</v>
      </c>
      <c r="L593">
        <f t="shared" si="38"/>
        <v>57</v>
      </c>
      <c r="N593">
        <v>57</v>
      </c>
      <c r="O593">
        <v>57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7</v>
      </c>
      <c r="Z593">
        <v>2</v>
      </c>
      <c r="AA593">
        <v>14</v>
      </c>
      <c r="AB593">
        <v>5</v>
      </c>
      <c r="AC593">
        <v>12</v>
      </c>
      <c r="AD593">
        <v>0</v>
      </c>
      <c r="AE593">
        <v>5</v>
      </c>
      <c r="AF593">
        <v>7</v>
      </c>
      <c r="AG593">
        <v>1</v>
      </c>
      <c r="AH593">
        <v>1</v>
      </c>
      <c r="AI593">
        <v>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7</v>
      </c>
      <c r="AS593">
        <v>2</v>
      </c>
      <c r="AT593">
        <v>14</v>
      </c>
      <c r="AU593">
        <v>5</v>
      </c>
      <c r="AV593">
        <v>12</v>
      </c>
      <c r="AW593">
        <v>0</v>
      </c>
      <c r="AX593">
        <v>5</v>
      </c>
      <c r="AY593">
        <v>7</v>
      </c>
      <c r="AZ593">
        <v>1</v>
      </c>
      <c r="BA593">
        <v>1</v>
      </c>
      <c r="BB593">
        <v>2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1</v>
      </c>
      <c r="BJ593" s="2">
        <v>0</v>
      </c>
      <c r="BK593" s="2">
        <v>7</v>
      </c>
      <c r="BL593" s="2">
        <v>2</v>
      </c>
      <c r="BM593" s="2">
        <v>14</v>
      </c>
      <c r="BN593" s="2">
        <v>5</v>
      </c>
      <c r="BO593" s="2">
        <v>12</v>
      </c>
      <c r="BP593" s="2">
        <v>0</v>
      </c>
      <c r="BQ593" s="2">
        <v>5</v>
      </c>
      <c r="BR593" s="2">
        <v>7</v>
      </c>
      <c r="BS593" s="2">
        <v>1</v>
      </c>
      <c r="BT593" s="2">
        <v>1</v>
      </c>
      <c r="BU593" s="2">
        <v>2</v>
      </c>
      <c r="BV593" s="2">
        <f t="shared" si="41"/>
        <v>57</v>
      </c>
      <c r="BW593" s="16">
        <f t="shared" si="39"/>
        <v>3</v>
      </c>
      <c r="BX593" s="16">
        <f>COUNTIF($BC$6:BU593, "=0") / COUNTIF($BC$6:BU593, "&gt;-1")</f>
        <v>0.15717866093805943</v>
      </c>
      <c r="BY593" s="18">
        <f>SUM($BC$6:BU593) / $BY$4</f>
        <v>0.8741972357417096</v>
      </c>
      <c r="BZ593" s="14">
        <f t="shared" si="40"/>
        <v>8</v>
      </c>
      <c r="CA593" t="s">
        <v>5831</v>
      </c>
      <c r="CB593" s="36">
        <v>0.30291084895868198</v>
      </c>
      <c r="CC593" s="36">
        <v>0.24076603016936199</v>
      </c>
      <c r="CD593" s="36">
        <v>0.40019941545306398</v>
      </c>
      <c r="CE593" s="36">
        <v>0.37798043978830698</v>
      </c>
      <c r="CF593" s="36">
        <v>0.215044089984223</v>
      </c>
      <c r="CG593" s="36">
        <v>0.23243181165987301</v>
      </c>
      <c r="CH593" s="36">
        <v>1.05406228286464</v>
      </c>
      <c r="CI593" s="36">
        <v>0.24329589949557701</v>
      </c>
      <c r="CJ593" s="37">
        <v>5.5633080527147003</v>
      </c>
      <c r="CK593" s="37">
        <v>8.8290950564359996</v>
      </c>
      <c r="CL593" s="37">
        <v>4.0002717413367099</v>
      </c>
      <c r="CM593" s="37">
        <v>10.1585645591993</v>
      </c>
      <c r="CN593" s="37">
        <v>4.5939628290755703</v>
      </c>
      <c r="CO593" s="37">
        <v>5.5243339926958699</v>
      </c>
      <c r="CP593" s="37">
        <v>1.50854004786242</v>
      </c>
      <c r="CQ593" s="37">
        <v>3.0452736929492299</v>
      </c>
      <c r="CR593" s="45">
        <v>3.5459970564097998</v>
      </c>
      <c r="CS593" s="45">
        <v>14.094459641416099</v>
      </c>
      <c r="CT593" s="46">
        <v>2.9282552986403501E-7</v>
      </c>
      <c r="CU593" s="47">
        <v>1.66017185999186E-6</v>
      </c>
      <c r="CV593" s="48">
        <v>0.38333635229671598</v>
      </c>
      <c r="CW593" s="49">
        <v>5.4029187465337296</v>
      </c>
      <c r="CX593" s="31" t="s">
        <v>5874</v>
      </c>
      <c r="CY593" s="31" t="s">
        <v>5876</v>
      </c>
      <c r="CZ593" t="s">
        <v>7876</v>
      </c>
      <c r="DA593" t="s">
        <v>5904</v>
      </c>
      <c r="DB593">
        <v>422.6</v>
      </c>
      <c r="DC593" t="s">
        <v>20023</v>
      </c>
      <c r="DD593" t="s">
        <v>20024</v>
      </c>
      <c r="DE593" t="s">
        <v>20025</v>
      </c>
      <c r="DF593" t="s">
        <v>20026</v>
      </c>
      <c r="DG593" t="s">
        <v>20027</v>
      </c>
      <c r="DH593" t="str">
        <f>"LSP1"</f>
        <v>LSP1</v>
      </c>
      <c r="DI593" t="s">
        <v>20028</v>
      </c>
      <c r="DJ593" t="s">
        <v>13777</v>
      </c>
      <c r="DK593">
        <v>9606</v>
      </c>
      <c r="DL593" s="34" t="str">
        <f>HYPERLINK("http://www.uniprot.org/uniprot/P33241", "P33241")</f>
        <v>P33241</v>
      </c>
      <c r="DM593" t="s">
        <v>20029</v>
      </c>
      <c r="DN593" t="s">
        <v>13772</v>
      </c>
      <c r="DO593" t="s">
        <v>13792</v>
      </c>
      <c r="DP593" t="s">
        <v>13780</v>
      </c>
      <c r="DQ593" t="s">
        <v>13772</v>
      </c>
      <c r="DR593" t="s">
        <v>13772</v>
      </c>
      <c r="DS593" t="s">
        <v>13772</v>
      </c>
      <c r="DT593" t="s">
        <v>13772</v>
      </c>
      <c r="DU593" t="s">
        <v>13772</v>
      </c>
      <c r="DV593" t="s">
        <v>13886</v>
      </c>
      <c r="DW593" t="s">
        <v>13812</v>
      </c>
      <c r="DX593" t="s">
        <v>20030</v>
      </c>
      <c r="DY593" t="s">
        <v>20031</v>
      </c>
      <c r="DZ593" t="s">
        <v>20032</v>
      </c>
      <c r="EA593" t="s">
        <v>13772</v>
      </c>
      <c r="EB593" t="s">
        <v>13772</v>
      </c>
    </row>
    <row r="594" spans="1:132" hidden="1">
      <c r="A594">
        <v>976</v>
      </c>
      <c r="B594">
        <v>1</v>
      </c>
      <c r="C594" t="s">
        <v>2368</v>
      </c>
      <c r="D594" t="s">
        <v>2369</v>
      </c>
      <c r="E594" t="s">
        <v>73</v>
      </c>
      <c r="F594" t="s">
        <v>73</v>
      </c>
      <c r="G594" t="s">
        <v>73</v>
      </c>
      <c r="H594">
        <v>38.299999999999997</v>
      </c>
      <c r="I594">
        <v>446</v>
      </c>
      <c r="J594">
        <v>49548</v>
      </c>
      <c r="K594" t="s">
        <v>2370</v>
      </c>
      <c r="L594">
        <f t="shared" si="38"/>
        <v>57</v>
      </c>
      <c r="N594">
        <v>57</v>
      </c>
      <c r="O594">
        <v>57</v>
      </c>
      <c r="P594">
        <v>1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3</v>
      </c>
      <c r="X594">
        <v>10</v>
      </c>
      <c r="Y594">
        <v>0</v>
      </c>
      <c r="Z594">
        <v>0</v>
      </c>
      <c r="AA594">
        <v>8</v>
      </c>
      <c r="AB594">
        <v>12</v>
      </c>
      <c r="AC594">
        <v>6</v>
      </c>
      <c r="AD594">
        <v>0</v>
      </c>
      <c r="AE594">
        <v>1</v>
      </c>
      <c r="AF594">
        <v>5</v>
      </c>
      <c r="AG594">
        <v>2</v>
      </c>
      <c r="AH594">
        <v>1</v>
      </c>
      <c r="AI594">
        <v>5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3</v>
      </c>
      <c r="AQ594">
        <v>10</v>
      </c>
      <c r="AR594">
        <v>0</v>
      </c>
      <c r="AS594">
        <v>0</v>
      </c>
      <c r="AT594">
        <v>8</v>
      </c>
      <c r="AU594">
        <v>12</v>
      </c>
      <c r="AV594">
        <v>6</v>
      </c>
      <c r="AW594">
        <v>0</v>
      </c>
      <c r="AX594">
        <v>1</v>
      </c>
      <c r="AY594">
        <v>5</v>
      </c>
      <c r="AZ594">
        <v>2</v>
      </c>
      <c r="BA594">
        <v>1</v>
      </c>
      <c r="BB594">
        <v>5</v>
      </c>
      <c r="BC594" s="2">
        <v>2</v>
      </c>
      <c r="BD594" s="2">
        <v>0</v>
      </c>
      <c r="BE594" s="2">
        <v>0</v>
      </c>
      <c r="BF594" s="2">
        <v>0</v>
      </c>
      <c r="BG594" s="2">
        <v>0</v>
      </c>
      <c r="BH594" s="2">
        <v>2</v>
      </c>
      <c r="BI594" s="2">
        <v>3</v>
      </c>
      <c r="BJ594" s="2">
        <v>10</v>
      </c>
      <c r="BK594" s="2">
        <v>0</v>
      </c>
      <c r="BL594" s="2">
        <v>0</v>
      </c>
      <c r="BM594" s="2">
        <v>8</v>
      </c>
      <c r="BN594" s="2">
        <v>12</v>
      </c>
      <c r="BO594" s="2">
        <v>6</v>
      </c>
      <c r="BP594" s="2">
        <v>0</v>
      </c>
      <c r="BQ594" s="2">
        <v>1</v>
      </c>
      <c r="BR594" s="2">
        <v>5</v>
      </c>
      <c r="BS594" s="2">
        <v>2</v>
      </c>
      <c r="BT594" s="2">
        <v>1</v>
      </c>
      <c r="BU594" s="2">
        <v>5</v>
      </c>
      <c r="BV594" s="2">
        <f t="shared" si="41"/>
        <v>57</v>
      </c>
      <c r="BW594" s="16">
        <f t="shared" si="39"/>
        <v>3</v>
      </c>
      <c r="BX594" s="16">
        <f>COUNTIF($BC$6:BU594, "=0") / COUNTIF($BC$6:BU594, "&gt;-1")</f>
        <v>0.15753730676436423</v>
      </c>
      <c r="BY594" s="18">
        <f>SUM($BC$6:BU594) / $BY$4</f>
        <v>0.8744414030432256</v>
      </c>
      <c r="BZ594" s="14">
        <f t="shared" si="40"/>
        <v>7</v>
      </c>
      <c r="CA594" t="s">
        <v>5831</v>
      </c>
      <c r="CB594" s="36">
        <v>2.4232867916694598</v>
      </c>
      <c r="CC594" s="36">
        <v>0.24076603016936199</v>
      </c>
      <c r="CD594" s="36">
        <v>0.40019941545306398</v>
      </c>
      <c r="CE594" s="36">
        <v>0.37798043978830698</v>
      </c>
      <c r="CF594" s="36">
        <v>0.215044089984223</v>
      </c>
      <c r="CG594" s="36">
        <v>1.85945449327898</v>
      </c>
      <c r="CH594" s="36">
        <v>3.1621868485939202</v>
      </c>
      <c r="CI594" s="36">
        <v>9.7318359798230603</v>
      </c>
      <c r="CJ594" s="37">
        <v>0.19868957331123899</v>
      </c>
      <c r="CK594" s="37">
        <v>5.0451971751062796</v>
      </c>
      <c r="CL594" s="37">
        <v>9.6006521792081099</v>
      </c>
      <c r="CM594" s="37">
        <v>5.0792822795996404</v>
      </c>
      <c r="CN594" s="37">
        <v>0.91879256581511404</v>
      </c>
      <c r="CO594" s="37">
        <v>3.94595285192562</v>
      </c>
      <c r="CP594" s="37">
        <v>3.0170800957248498</v>
      </c>
      <c r="CQ594" s="37">
        <v>7.6131842323730803</v>
      </c>
      <c r="CR594" s="45">
        <v>0.85668515338256801</v>
      </c>
      <c r="CS594" s="45">
        <v>1.92381207104857</v>
      </c>
      <c r="CT594" s="46">
        <v>0.200684515249131</v>
      </c>
      <c r="CU594" s="47">
        <v>0.26428728484580499</v>
      </c>
      <c r="CV594" s="48">
        <v>2.3013442610950499</v>
      </c>
      <c r="CW594" s="49">
        <v>4.4273538691329897</v>
      </c>
      <c r="CX594" s="31" t="s">
        <v>5874</v>
      </c>
      <c r="CY594" s="31" t="s">
        <v>5832</v>
      </c>
      <c r="CZ594" t="s">
        <v>9038</v>
      </c>
      <c r="DA594" t="s">
        <v>5904</v>
      </c>
      <c r="DB594">
        <v>679.5</v>
      </c>
      <c r="DC594" t="s">
        <v>23402</v>
      </c>
      <c r="DD594" t="s">
        <v>23403</v>
      </c>
      <c r="DE594" t="s">
        <v>23404</v>
      </c>
      <c r="DF594" t="s">
        <v>23405</v>
      </c>
      <c r="DG594" t="s">
        <v>23406</v>
      </c>
      <c r="DH594" t="str">
        <f>"F7"</f>
        <v>F7</v>
      </c>
      <c r="DI594" t="s">
        <v>13772</v>
      </c>
      <c r="DJ594" t="s">
        <v>13777</v>
      </c>
      <c r="DK594">
        <v>9606</v>
      </c>
      <c r="DL594" s="34" t="str">
        <f>HYPERLINK("http://www.uniprot.org/uniprot/P08709", "P08709")</f>
        <v>P08709</v>
      </c>
      <c r="DM594" t="s">
        <v>23407</v>
      </c>
      <c r="DN594" t="s">
        <v>16755</v>
      </c>
      <c r="DO594" t="s">
        <v>14321</v>
      </c>
      <c r="DP594" t="s">
        <v>13780</v>
      </c>
      <c r="DQ594" t="s">
        <v>13772</v>
      </c>
      <c r="DR594" t="s">
        <v>13807</v>
      </c>
      <c r="DS594" t="s">
        <v>14768</v>
      </c>
      <c r="DT594" t="s">
        <v>14465</v>
      </c>
      <c r="DU594" t="s">
        <v>15176</v>
      </c>
      <c r="DV594" t="s">
        <v>21176</v>
      </c>
      <c r="DW594" t="s">
        <v>14324</v>
      </c>
      <c r="DX594" t="s">
        <v>23408</v>
      </c>
      <c r="DY594" t="s">
        <v>23409</v>
      </c>
      <c r="DZ594" t="s">
        <v>23410</v>
      </c>
      <c r="EA594" t="s">
        <v>13772</v>
      </c>
      <c r="EB594" t="s">
        <v>23411</v>
      </c>
    </row>
    <row r="595" spans="1:132" hidden="1">
      <c r="A595">
        <v>1268</v>
      </c>
      <c r="B595">
        <v>1</v>
      </c>
      <c r="C595" t="s">
        <v>3039</v>
      </c>
      <c r="D595" t="s">
        <v>3040</v>
      </c>
      <c r="E595" t="s">
        <v>73</v>
      </c>
      <c r="F595" t="s">
        <v>73</v>
      </c>
      <c r="G595" t="s">
        <v>73</v>
      </c>
      <c r="H595">
        <v>33.5</v>
      </c>
      <c r="I595">
        <v>666</v>
      </c>
      <c r="J595">
        <v>76051</v>
      </c>
      <c r="K595" t="s">
        <v>3041</v>
      </c>
      <c r="L595">
        <f t="shared" si="38"/>
        <v>57</v>
      </c>
      <c r="N595">
        <v>57</v>
      </c>
      <c r="O595">
        <v>57</v>
      </c>
      <c r="P595">
        <v>1</v>
      </c>
      <c r="Q595">
        <v>3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5</v>
      </c>
      <c r="Z595">
        <v>0</v>
      </c>
      <c r="AA595">
        <v>16</v>
      </c>
      <c r="AB595">
        <v>5</v>
      </c>
      <c r="AC595">
        <v>6</v>
      </c>
      <c r="AD595">
        <v>2</v>
      </c>
      <c r="AE595">
        <v>4</v>
      </c>
      <c r="AF595">
        <v>5</v>
      </c>
      <c r="AG595">
        <v>6</v>
      </c>
      <c r="AH595">
        <v>0</v>
      </c>
      <c r="AI595">
        <v>2</v>
      </c>
      <c r="AJ595">
        <v>3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5</v>
      </c>
      <c r="AS595">
        <v>0</v>
      </c>
      <c r="AT595">
        <v>16</v>
      </c>
      <c r="AU595">
        <v>5</v>
      </c>
      <c r="AV595">
        <v>6</v>
      </c>
      <c r="AW595">
        <v>2</v>
      </c>
      <c r="AX595">
        <v>4</v>
      </c>
      <c r="AY595">
        <v>5</v>
      </c>
      <c r="AZ595">
        <v>6</v>
      </c>
      <c r="BA595">
        <v>0</v>
      </c>
      <c r="BB595">
        <v>2</v>
      </c>
      <c r="BC595" s="2">
        <v>3</v>
      </c>
      <c r="BD595" s="2">
        <v>1</v>
      </c>
      <c r="BE595" s="2">
        <v>0</v>
      </c>
      <c r="BF595" s="2">
        <v>0</v>
      </c>
      <c r="BG595" s="2">
        <v>1</v>
      </c>
      <c r="BH595" s="2">
        <v>1</v>
      </c>
      <c r="BI595" s="2">
        <v>0</v>
      </c>
      <c r="BJ595" s="2">
        <v>0</v>
      </c>
      <c r="BK595" s="2">
        <v>5</v>
      </c>
      <c r="BL595" s="2">
        <v>0</v>
      </c>
      <c r="BM595" s="2">
        <v>16</v>
      </c>
      <c r="BN595" s="2">
        <v>5</v>
      </c>
      <c r="BO595" s="2">
        <v>6</v>
      </c>
      <c r="BP595" s="2">
        <v>2</v>
      </c>
      <c r="BQ595" s="2">
        <v>4</v>
      </c>
      <c r="BR595" s="2">
        <v>5</v>
      </c>
      <c r="BS595" s="2">
        <v>6</v>
      </c>
      <c r="BT595" s="2">
        <v>0</v>
      </c>
      <c r="BU595" s="2">
        <v>2</v>
      </c>
      <c r="BV595" s="2">
        <f t="shared" si="41"/>
        <v>57</v>
      </c>
      <c r="BW595" s="16">
        <f t="shared" si="39"/>
        <v>3</v>
      </c>
      <c r="BX595" s="16">
        <f>COUNTIF($BC$6:BU595, "=0") / COUNTIF($BC$6:BU595, "&gt;-1")</f>
        <v>0.15780553077609277</v>
      </c>
      <c r="BY595" s="18">
        <f>SUM($BC$6:BU595) / $BY$4</f>
        <v>0.87468557034474148</v>
      </c>
      <c r="BZ595" s="14">
        <f t="shared" si="40"/>
        <v>6</v>
      </c>
      <c r="CA595" t="s">
        <v>5831</v>
      </c>
      <c r="CB595" s="36">
        <v>3.6349301875041902</v>
      </c>
      <c r="CC595" s="36">
        <v>0.96306412067744696</v>
      </c>
      <c r="CD595" s="36">
        <v>0.40019941545306398</v>
      </c>
      <c r="CE595" s="36">
        <v>0.37798043978830698</v>
      </c>
      <c r="CF595" s="36">
        <v>0.86017635993689201</v>
      </c>
      <c r="CG595" s="36">
        <v>0.92972724663949102</v>
      </c>
      <c r="CH595" s="36">
        <v>0.26351557071616</v>
      </c>
      <c r="CI595" s="36">
        <v>0.24329589949557701</v>
      </c>
      <c r="CJ595" s="37">
        <v>3.9737914662247902</v>
      </c>
      <c r="CK595" s="37">
        <v>10.0903943502126</v>
      </c>
      <c r="CL595" s="37">
        <v>4.0002717413367099</v>
      </c>
      <c r="CM595" s="37">
        <v>5.0792822795996404</v>
      </c>
      <c r="CN595" s="37">
        <v>3.6751702632604601</v>
      </c>
      <c r="CO595" s="37">
        <v>3.94595285192562</v>
      </c>
      <c r="CP595" s="37">
        <v>9.0512402871745401</v>
      </c>
      <c r="CQ595" s="37">
        <v>3.0452736929492299</v>
      </c>
      <c r="CR595" s="45">
        <v>2.3570961554823602</v>
      </c>
      <c r="CS595" s="45">
        <v>5.5860804959963399</v>
      </c>
      <c r="CT595" s="46">
        <v>4.1336809737263303E-5</v>
      </c>
      <c r="CU595" s="47">
        <v>1.2802928571402399E-4</v>
      </c>
      <c r="CV595" s="48">
        <v>0.95911115502639099</v>
      </c>
      <c r="CW595" s="49">
        <v>5.3576721165854497</v>
      </c>
      <c r="CX595" s="31" t="s">
        <v>5874</v>
      </c>
      <c r="CY595" s="31" t="s">
        <v>5876</v>
      </c>
      <c r="CZ595" t="s">
        <v>9958</v>
      </c>
      <c r="DA595" t="s">
        <v>5904</v>
      </c>
      <c r="DB595">
        <v>968.4</v>
      </c>
      <c r="DC595" t="s">
        <v>26014</v>
      </c>
      <c r="DD595" t="s">
        <v>26015</v>
      </c>
      <c r="DE595" t="s">
        <v>26016</v>
      </c>
      <c r="DF595" t="s">
        <v>26017</v>
      </c>
      <c r="DG595" t="s">
        <v>26018</v>
      </c>
      <c r="DH595" t="str">
        <f>"SPARCL1"</f>
        <v>SPARCL1</v>
      </c>
      <c r="DI595" t="s">
        <v>13772</v>
      </c>
      <c r="DJ595" t="s">
        <v>13777</v>
      </c>
      <c r="DK595">
        <v>9606</v>
      </c>
      <c r="DL595" s="34" t="str">
        <f>HYPERLINK("http://www.uniprot.org/uniprot/Q14515", "Q14515")</f>
        <v>Q14515</v>
      </c>
      <c r="DM595" t="s">
        <v>26019</v>
      </c>
      <c r="DN595" t="s">
        <v>13772</v>
      </c>
      <c r="DO595" t="s">
        <v>13869</v>
      </c>
      <c r="DP595" t="s">
        <v>13780</v>
      </c>
      <c r="DQ595" t="s">
        <v>13772</v>
      </c>
      <c r="DR595" t="s">
        <v>13772</v>
      </c>
      <c r="DS595" t="s">
        <v>13808</v>
      </c>
      <c r="DT595" t="s">
        <v>13873</v>
      </c>
      <c r="DU595" t="s">
        <v>13772</v>
      </c>
      <c r="DV595" t="s">
        <v>13964</v>
      </c>
      <c r="DW595" t="s">
        <v>13772</v>
      </c>
      <c r="DX595" t="s">
        <v>26020</v>
      </c>
      <c r="DY595" t="s">
        <v>26021</v>
      </c>
      <c r="DZ595" t="s">
        <v>26022</v>
      </c>
      <c r="EA595" t="s">
        <v>13772</v>
      </c>
      <c r="EB595" t="s">
        <v>17241</v>
      </c>
    </row>
    <row r="596" spans="1:132" hidden="1">
      <c r="A596">
        <v>1496</v>
      </c>
      <c r="B596">
        <v>1</v>
      </c>
      <c r="C596" t="s">
        <v>3559</v>
      </c>
      <c r="D596" t="s">
        <v>73</v>
      </c>
      <c r="E596" t="s">
        <v>73</v>
      </c>
      <c r="F596" t="s">
        <v>73</v>
      </c>
      <c r="G596" t="s">
        <v>73</v>
      </c>
      <c r="H596">
        <v>55.6</v>
      </c>
      <c r="I596">
        <v>243</v>
      </c>
      <c r="J596">
        <v>26967</v>
      </c>
      <c r="K596" t="s">
        <v>3560</v>
      </c>
      <c r="L596">
        <f t="shared" si="38"/>
        <v>57</v>
      </c>
      <c r="N596">
        <v>57</v>
      </c>
      <c r="O596">
        <v>57</v>
      </c>
      <c r="P596">
        <v>1</v>
      </c>
      <c r="Q596">
        <v>0</v>
      </c>
      <c r="R596">
        <v>2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31</v>
      </c>
      <c r="Z596">
        <v>0</v>
      </c>
      <c r="AA596">
        <v>8</v>
      </c>
      <c r="AB596">
        <v>4</v>
      </c>
      <c r="AC596">
        <v>3</v>
      </c>
      <c r="AD596">
        <v>0</v>
      </c>
      <c r="AE596">
        <v>1</v>
      </c>
      <c r="AF596">
        <v>6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31</v>
      </c>
      <c r="AS596">
        <v>0</v>
      </c>
      <c r="AT596">
        <v>8</v>
      </c>
      <c r="AU596">
        <v>4</v>
      </c>
      <c r="AV596">
        <v>3</v>
      </c>
      <c r="AW596">
        <v>0</v>
      </c>
      <c r="AX596">
        <v>1</v>
      </c>
      <c r="AY596">
        <v>6</v>
      </c>
      <c r="AZ596">
        <v>0</v>
      </c>
      <c r="BA596">
        <v>0</v>
      </c>
      <c r="BB596">
        <v>0</v>
      </c>
      <c r="BC596" s="2">
        <v>0</v>
      </c>
      <c r="BD596" s="2">
        <v>2</v>
      </c>
      <c r="BE596" s="2">
        <v>0</v>
      </c>
      <c r="BF596" s="2">
        <v>0</v>
      </c>
      <c r="BG596" s="2">
        <v>1</v>
      </c>
      <c r="BH596" s="2">
        <v>1</v>
      </c>
      <c r="BI596" s="2">
        <v>0</v>
      </c>
      <c r="BJ596" s="2">
        <v>0</v>
      </c>
      <c r="BK596" s="2">
        <v>31</v>
      </c>
      <c r="BL596" s="2">
        <v>0</v>
      </c>
      <c r="BM596" s="2">
        <v>8</v>
      </c>
      <c r="BN596" s="2">
        <v>4</v>
      </c>
      <c r="BO596" s="2">
        <v>3</v>
      </c>
      <c r="BP596" s="2">
        <v>0</v>
      </c>
      <c r="BQ596" s="2">
        <v>1</v>
      </c>
      <c r="BR596" s="2">
        <v>6</v>
      </c>
      <c r="BS596" s="2">
        <v>0</v>
      </c>
      <c r="BT596" s="2">
        <v>0</v>
      </c>
      <c r="BU596" s="2">
        <v>0</v>
      </c>
      <c r="BV596" s="2">
        <f t="shared" si="41"/>
        <v>57</v>
      </c>
      <c r="BW596" s="16">
        <f t="shared" si="39"/>
        <v>3</v>
      </c>
      <c r="BX596" s="16">
        <f>COUNTIF($BC$6:BU596, "=0") / COUNTIF($BC$6:BU596, "&gt;-1")</f>
        <v>0.15842906759283998</v>
      </c>
      <c r="BY596" s="18">
        <f>SUM($BC$6:BU596) / $BY$4</f>
        <v>0.87492973764625737</v>
      </c>
      <c r="BZ596" s="14">
        <f t="shared" si="40"/>
        <v>10</v>
      </c>
      <c r="CA596" t="s">
        <v>5831</v>
      </c>
      <c r="CB596" s="36">
        <v>0.30291084895868198</v>
      </c>
      <c r="CC596" s="36">
        <v>1.9261282413548899</v>
      </c>
      <c r="CD596" s="36">
        <v>0.40019941545306398</v>
      </c>
      <c r="CE596" s="36">
        <v>0.37798043978830698</v>
      </c>
      <c r="CF596" s="36">
        <v>0.86017635993689201</v>
      </c>
      <c r="CG596" s="36">
        <v>0.92972724663949102</v>
      </c>
      <c r="CH596" s="36">
        <v>0.26351557071616</v>
      </c>
      <c r="CI596" s="36">
        <v>0.24329589949557701</v>
      </c>
      <c r="CJ596" s="37">
        <v>24.637507090593701</v>
      </c>
      <c r="CK596" s="37">
        <v>5.0451971751062796</v>
      </c>
      <c r="CL596" s="37">
        <v>3.2002173930693698</v>
      </c>
      <c r="CM596" s="37">
        <v>2.5396411397998202</v>
      </c>
      <c r="CN596" s="37">
        <v>0.91879256581511404</v>
      </c>
      <c r="CO596" s="37">
        <v>4.7351434223107498</v>
      </c>
      <c r="CP596" s="37">
        <v>0.377135011965606</v>
      </c>
      <c r="CQ596" s="37">
        <v>0.38065921161865401</v>
      </c>
      <c r="CR596" s="45">
        <v>2.7554572916587401</v>
      </c>
      <c r="CS596" s="45">
        <v>7.8874082584833003</v>
      </c>
      <c r="CT596" s="46">
        <v>9.4672113384545596E-4</v>
      </c>
      <c r="CU596" s="47">
        <v>2.1397176977790899E-3</v>
      </c>
      <c r="CV596" s="48">
        <v>0.66299175279288303</v>
      </c>
      <c r="CW596" s="49">
        <v>5.2292866262849103</v>
      </c>
      <c r="CX596" s="31" t="s">
        <v>5874</v>
      </c>
      <c r="CY596" s="31" t="s">
        <v>5876</v>
      </c>
      <c r="CZ596" t="s">
        <v>10719</v>
      </c>
      <c r="DA596" t="s">
        <v>5904</v>
      </c>
      <c r="DB596">
        <v>455.3</v>
      </c>
      <c r="DC596" t="s">
        <v>28175</v>
      </c>
      <c r="DD596" t="s">
        <v>28176</v>
      </c>
      <c r="DE596" t="s">
        <v>28177</v>
      </c>
      <c r="DF596" t="s">
        <v>28178</v>
      </c>
      <c r="DG596" t="s">
        <v>28179</v>
      </c>
      <c r="DH596" t="str">
        <f>"EFHD2"</f>
        <v>EFHD2</v>
      </c>
      <c r="DI596" t="s">
        <v>28180</v>
      </c>
      <c r="DJ596" t="s">
        <v>13777</v>
      </c>
      <c r="DK596">
        <v>9606</v>
      </c>
      <c r="DL596" s="34" t="str">
        <f>HYPERLINK("http://www.uniprot.org/uniprot/Q96C19", "Q96C19")</f>
        <v>Q96C19</v>
      </c>
      <c r="DM596" t="s">
        <v>28181</v>
      </c>
      <c r="DN596" t="s">
        <v>13772</v>
      </c>
      <c r="DO596" t="s">
        <v>13825</v>
      </c>
      <c r="DP596" t="s">
        <v>13772</v>
      </c>
      <c r="DQ596" t="s">
        <v>13772</v>
      </c>
      <c r="DR596" t="s">
        <v>13772</v>
      </c>
      <c r="DS596" t="s">
        <v>14096</v>
      </c>
      <c r="DT596" t="s">
        <v>13873</v>
      </c>
      <c r="DU596" t="s">
        <v>13772</v>
      </c>
      <c r="DV596" t="s">
        <v>13886</v>
      </c>
      <c r="DW596" t="s">
        <v>13812</v>
      </c>
      <c r="DX596" t="s">
        <v>13772</v>
      </c>
      <c r="DY596" t="s">
        <v>28182</v>
      </c>
      <c r="DZ596" t="s">
        <v>28183</v>
      </c>
      <c r="EA596" t="s">
        <v>13772</v>
      </c>
      <c r="EB596" t="s">
        <v>13772</v>
      </c>
    </row>
    <row r="597" spans="1:132" hidden="1">
      <c r="A597">
        <v>1739</v>
      </c>
      <c r="B597">
        <v>1</v>
      </c>
      <c r="C597" t="s">
        <v>4112</v>
      </c>
      <c r="D597" t="s">
        <v>73</v>
      </c>
      <c r="E597" t="s">
        <v>73</v>
      </c>
      <c r="F597" t="s">
        <v>73</v>
      </c>
      <c r="G597" t="s">
        <v>73</v>
      </c>
      <c r="H597">
        <v>69.3</v>
      </c>
      <c r="I597">
        <v>137</v>
      </c>
      <c r="J597">
        <v>14790</v>
      </c>
      <c r="K597" t="s">
        <v>4113</v>
      </c>
      <c r="L597">
        <f t="shared" si="38"/>
        <v>57</v>
      </c>
      <c r="N597">
        <v>57</v>
      </c>
      <c r="O597">
        <v>57</v>
      </c>
      <c r="P597">
        <v>1</v>
      </c>
      <c r="Q597">
        <v>1</v>
      </c>
      <c r="R597">
        <v>3</v>
      </c>
      <c r="S597">
        <v>4</v>
      </c>
      <c r="T597">
        <v>0</v>
      </c>
      <c r="U597">
        <v>5</v>
      </c>
      <c r="V597">
        <v>4</v>
      </c>
      <c r="W597">
        <v>1</v>
      </c>
      <c r="X597">
        <v>2</v>
      </c>
      <c r="Y597">
        <v>13</v>
      </c>
      <c r="Z597">
        <v>0</v>
      </c>
      <c r="AA597">
        <v>5</v>
      </c>
      <c r="AB597">
        <v>3</v>
      </c>
      <c r="AC597">
        <v>3</v>
      </c>
      <c r="AD597">
        <v>0</v>
      </c>
      <c r="AE597">
        <v>4</v>
      </c>
      <c r="AF597">
        <v>6</v>
      </c>
      <c r="AG597">
        <v>0</v>
      </c>
      <c r="AH597">
        <v>0</v>
      </c>
      <c r="AI597">
        <v>3</v>
      </c>
      <c r="AJ597">
        <v>1</v>
      </c>
      <c r="AK597">
        <v>3</v>
      </c>
      <c r="AL597">
        <v>4</v>
      </c>
      <c r="AM597">
        <v>0</v>
      </c>
      <c r="AN597">
        <v>5</v>
      </c>
      <c r="AO597">
        <v>4</v>
      </c>
      <c r="AP597">
        <v>1</v>
      </c>
      <c r="AQ597">
        <v>2</v>
      </c>
      <c r="AR597">
        <v>13</v>
      </c>
      <c r="AS597">
        <v>0</v>
      </c>
      <c r="AT597">
        <v>5</v>
      </c>
      <c r="AU597">
        <v>3</v>
      </c>
      <c r="AV597">
        <v>3</v>
      </c>
      <c r="AW597">
        <v>0</v>
      </c>
      <c r="AX597">
        <v>4</v>
      </c>
      <c r="AY597">
        <v>6</v>
      </c>
      <c r="AZ597">
        <v>0</v>
      </c>
      <c r="BA597">
        <v>0</v>
      </c>
      <c r="BB597">
        <v>3</v>
      </c>
      <c r="BC597" s="2">
        <v>1</v>
      </c>
      <c r="BD597" s="2">
        <v>3</v>
      </c>
      <c r="BE597" s="2">
        <v>4</v>
      </c>
      <c r="BF597" s="2">
        <v>0</v>
      </c>
      <c r="BG597" s="2">
        <v>5</v>
      </c>
      <c r="BH597" s="2">
        <v>4</v>
      </c>
      <c r="BI597" s="2">
        <v>1</v>
      </c>
      <c r="BJ597" s="2">
        <v>2</v>
      </c>
      <c r="BK597" s="2">
        <v>13</v>
      </c>
      <c r="BL597" s="2">
        <v>0</v>
      </c>
      <c r="BM597" s="2">
        <v>5</v>
      </c>
      <c r="BN597" s="2">
        <v>3</v>
      </c>
      <c r="BO597" s="2">
        <v>3</v>
      </c>
      <c r="BP597" s="2">
        <v>0</v>
      </c>
      <c r="BQ597" s="2">
        <v>4</v>
      </c>
      <c r="BR597" s="2">
        <v>6</v>
      </c>
      <c r="BS597" s="2">
        <v>0</v>
      </c>
      <c r="BT597" s="2">
        <v>0</v>
      </c>
      <c r="BU597" s="2">
        <v>3</v>
      </c>
      <c r="BV597" s="2">
        <f t="shared" si="41"/>
        <v>57</v>
      </c>
      <c r="BW597" s="16">
        <f t="shared" si="39"/>
        <v>3</v>
      </c>
      <c r="BX597" s="16">
        <f>COUNTIF($BC$6:BU597, "=0") / COUNTIF($BC$6:BU597, "&gt;-1")</f>
        <v>0.15860597439544807</v>
      </c>
      <c r="BY597" s="18">
        <f>SUM($BC$6:BU597) / $BY$4</f>
        <v>0.87517390494777336</v>
      </c>
      <c r="BZ597" s="14">
        <f t="shared" si="40"/>
        <v>5</v>
      </c>
      <c r="CA597" t="s">
        <v>5831</v>
      </c>
      <c r="CB597" s="36">
        <v>1.2116433958347299</v>
      </c>
      <c r="CC597" s="36">
        <v>2.8891923620323401</v>
      </c>
      <c r="CD597" s="36">
        <v>6.4031906472490299</v>
      </c>
      <c r="CE597" s="36">
        <v>0.37798043978830698</v>
      </c>
      <c r="CF597" s="36">
        <v>4.3008817996844604</v>
      </c>
      <c r="CG597" s="36">
        <v>3.7189089865579601</v>
      </c>
      <c r="CH597" s="36">
        <v>1.05406228286464</v>
      </c>
      <c r="CI597" s="36">
        <v>1.9463671959646101</v>
      </c>
      <c r="CJ597" s="37">
        <v>10.331857812184399</v>
      </c>
      <c r="CK597" s="37">
        <v>3.1532482344414299</v>
      </c>
      <c r="CL597" s="37">
        <v>2.4001630448020301</v>
      </c>
      <c r="CM597" s="37">
        <v>2.5396411397998202</v>
      </c>
      <c r="CN597" s="37">
        <v>3.6751702632604601</v>
      </c>
      <c r="CO597" s="37">
        <v>4.7351434223107498</v>
      </c>
      <c r="CP597" s="37">
        <v>0.377135011965606</v>
      </c>
      <c r="CQ597" s="37">
        <v>4.5679105394238499</v>
      </c>
      <c r="CR597" s="45">
        <v>0.55699498463561903</v>
      </c>
      <c r="CS597" s="45">
        <v>1.4510062976067399</v>
      </c>
      <c r="CT597" s="46">
        <v>0.368692424136982</v>
      </c>
      <c r="CU597" s="47">
        <v>0.451749508695313</v>
      </c>
      <c r="CV597" s="48">
        <v>2.7377783887470102</v>
      </c>
      <c r="CW597" s="49">
        <v>3.9725336835235501</v>
      </c>
      <c r="CX597" s="31" t="s">
        <v>5874</v>
      </c>
      <c r="CY597" s="31" t="s">
        <v>5832</v>
      </c>
      <c r="CZ597" t="s">
        <v>11544</v>
      </c>
      <c r="DA597" t="s">
        <v>5904</v>
      </c>
      <c r="DB597">
        <v>211.1</v>
      </c>
      <c r="DC597" t="s">
        <v>30470</v>
      </c>
      <c r="DD597" t="s">
        <v>13772</v>
      </c>
      <c r="DE597" t="s">
        <v>30471</v>
      </c>
      <c r="DF597" t="s">
        <v>30472</v>
      </c>
      <c r="DG597" t="s">
        <v>30473</v>
      </c>
      <c r="DH597" t="str">
        <f>"TSTD1"</f>
        <v>TSTD1</v>
      </c>
      <c r="DI597" t="s">
        <v>30474</v>
      </c>
      <c r="DJ597" t="s">
        <v>13777</v>
      </c>
      <c r="DK597">
        <v>9606</v>
      </c>
      <c r="DL597" s="34" t="str">
        <f>HYPERLINK("http://www.uniprot.org/uniprot/Q8NFU3", "Q8NFU3")</f>
        <v>Q8NFU3</v>
      </c>
      <c r="DM597" t="s">
        <v>30475</v>
      </c>
      <c r="DN597" t="s">
        <v>13772</v>
      </c>
      <c r="DO597" t="s">
        <v>13899</v>
      </c>
      <c r="DP597" t="s">
        <v>13841</v>
      </c>
      <c r="DQ597" t="s">
        <v>13772</v>
      </c>
      <c r="DR597" t="s">
        <v>13772</v>
      </c>
      <c r="DS597" t="s">
        <v>13772</v>
      </c>
      <c r="DT597" t="s">
        <v>13772</v>
      </c>
      <c r="DU597" t="s">
        <v>14111</v>
      </c>
      <c r="DV597" t="s">
        <v>13772</v>
      </c>
      <c r="DW597" t="s">
        <v>13812</v>
      </c>
      <c r="DX597" t="s">
        <v>30476</v>
      </c>
      <c r="DY597" t="s">
        <v>30477</v>
      </c>
      <c r="DZ597" t="s">
        <v>30478</v>
      </c>
      <c r="EA597" t="s">
        <v>13772</v>
      </c>
      <c r="EB597" t="s">
        <v>16127</v>
      </c>
    </row>
    <row r="598" spans="1:132" hidden="1">
      <c r="A598">
        <v>2205</v>
      </c>
      <c r="B598">
        <v>1</v>
      </c>
      <c r="C598" t="s">
        <v>5155</v>
      </c>
      <c r="D598" t="s">
        <v>5156</v>
      </c>
      <c r="E598" t="s">
        <v>73</v>
      </c>
      <c r="F598" t="s">
        <v>73</v>
      </c>
      <c r="G598" t="s">
        <v>73</v>
      </c>
      <c r="H598">
        <v>16.600000000000001</v>
      </c>
      <c r="I598">
        <v>2364</v>
      </c>
      <c r="J598">
        <v>274601</v>
      </c>
      <c r="K598" t="s">
        <v>5157</v>
      </c>
      <c r="L598">
        <f t="shared" si="38"/>
        <v>57</v>
      </c>
      <c r="N598">
        <v>57</v>
      </c>
      <c r="O598">
        <v>55</v>
      </c>
      <c r="P598">
        <v>0.96499999999999997</v>
      </c>
      <c r="Q598">
        <v>0</v>
      </c>
      <c r="R598">
        <v>0</v>
      </c>
      <c r="S598">
        <v>0</v>
      </c>
      <c r="T598">
        <v>0</v>
      </c>
      <c r="U598">
        <v>2</v>
      </c>
      <c r="V598">
        <v>1</v>
      </c>
      <c r="W598">
        <v>0</v>
      </c>
      <c r="X598">
        <v>5</v>
      </c>
      <c r="Y598">
        <v>3</v>
      </c>
      <c r="Z598">
        <v>0</v>
      </c>
      <c r="AA598">
        <v>19</v>
      </c>
      <c r="AB598">
        <v>12</v>
      </c>
      <c r="AC598">
        <v>5</v>
      </c>
      <c r="AD598">
        <v>1</v>
      </c>
      <c r="AE598">
        <v>6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1</v>
      </c>
      <c r="AP598">
        <v>0</v>
      </c>
      <c r="AQ598">
        <v>5</v>
      </c>
      <c r="AR598">
        <v>3</v>
      </c>
      <c r="AS598">
        <v>0</v>
      </c>
      <c r="AT598">
        <v>18</v>
      </c>
      <c r="AU598">
        <v>11</v>
      </c>
      <c r="AV598">
        <v>5</v>
      </c>
      <c r="AW598">
        <v>1</v>
      </c>
      <c r="AX598">
        <v>6</v>
      </c>
      <c r="AY598">
        <v>3</v>
      </c>
      <c r="AZ598">
        <v>0</v>
      </c>
      <c r="BA598">
        <v>0</v>
      </c>
      <c r="BB598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2</v>
      </c>
      <c r="BH598" s="2">
        <v>1</v>
      </c>
      <c r="BI598" s="2">
        <v>0</v>
      </c>
      <c r="BJ598" s="2">
        <v>5</v>
      </c>
      <c r="BK598" s="2">
        <v>3</v>
      </c>
      <c r="BL598" s="2">
        <v>0</v>
      </c>
      <c r="BM598" s="2">
        <v>19</v>
      </c>
      <c r="BN598" s="2">
        <v>12</v>
      </c>
      <c r="BO598" s="2">
        <v>5</v>
      </c>
      <c r="BP598" s="2">
        <v>1</v>
      </c>
      <c r="BQ598" s="2">
        <v>6</v>
      </c>
      <c r="BR598" s="2">
        <v>3</v>
      </c>
      <c r="BS598" s="2">
        <v>0</v>
      </c>
      <c r="BT598" s="2">
        <v>0</v>
      </c>
      <c r="BU598" s="2">
        <v>0</v>
      </c>
      <c r="BV598" s="2">
        <f t="shared" si="41"/>
        <v>57</v>
      </c>
      <c r="BW598" s="16">
        <f t="shared" si="39"/>
        <v>3</v>
      </c>
      <c r="BX598" s="16">
        <f>COUNTIF($BC$6:BU598, "=0") / COUNTIF($BC$6:BU598, "&gt;-1")</f>
        <v>0.15913730363007011</v>
      </c>
      <c r="BY598" s="18">
        <f>SUM($BC$6:BU598) / $BY$4</f>
        <v>0.87541807224928925</v>
      </c>
      <c r="BZ598" s="14">
        <f t="shared" si="40"/>
        <v>9</v>
      </c>
      <c r="CA598" t="s">
        <v>5831</v>
      </c>
      <c r="CB598" s="36">
        <v>0.30291084895868198</v>
      </c>
      <c r="CC598" s="36">
        <v>0.24076603016936199</v>
      </c>
      <c r="CD598" s="36">
        <v>0.40019941545306398</v>
      </c>
      <c r="CE598" s="36">
        <v>0.37798043978830698</v>
      </c>
      <c r="CF598" s="36">
        <v>1.72035271987378</v>
      </c>
      <c r="CG598" s="36">
        <v>0.92972724663949102</v>
      </c>
      <c r="CH598" s="36">
        <v>0.26351557071616</v>
      </c>
      <c r="CI598" s="36">
        <v>4.8659179899115301</v>
      </c>
      <c r="CJ598" s="37">
        <v>2.3842748797348698</v>
      </c>
      <c r="CK598" s="37">
        <v>11.982343290877401</v>
      </c>
      <c r="CL598" s="37">
        <v>9.6006521792081099</v>
      </c>
      <c r="CM598" s="37">
        <v>4.2327352329997003</v>
      </c>
      <c r="CN598" s="37">
        <v>5.5127553948906796</v>
      </c>
      <c r="CO598" s="37">
        <v>2.36757171115537</v>
      </c>
      <c r="CP598" s="37">
        <v>0.377135011965606</v>
      </c>
      <c r="CQ598" s="37">
        <v>0.38065921161865401</v>
      </c>
      <c r="CR598" s="45">
        <v>1.8929988020420201</v>
      </c>
      <c r="CS598" s="45">
        <v>4.0475363438666596</v>
      </c>
      <c r="CT598" s="46">
        <v>7.4565120726168303E-3</v>
      </c>
      <c r="CU598" s="47">
        <v>1.40915440016403E-2</v>
      </c>
      <c r="CV598" s="48">
        <v>1.1376712826888</v>
      </c>
      <c r="CW598" s="49">
        <v>4.6047658640562998</v>
      </c>
      <c r="CX598" s="31" t="s">
        <v>5874</v>
      </c>
      <c r="CY598" s="31" t="s">
        <v>5878</v>
      </c>
      <c r="CZ598" t="s">
        <v>13095</v>
      </c>
      <c r="DA598" t="s">
        <v>5904</v>
      </c>
      <c r="DB598">
        <v>4828.1000000000004</v>
      </c>
      <c r="DC598" t="s">
        <v>34828</v>
      </c>
      <c r="DD598" t="s">
        <v>34829</v>
      </c>
      <c r="DE598" t="s">
        <v>34830</v>
      </c>
      <c r="DF598" t="s">
        <v>34831</v>
      </c>
      <c r="DG598" t="s">
        <v>34832</v>
      </c>
      <c r="DH598" t="str">
        <f>"SPTBN1"</f>
        <v>SPTBN1</v>
      </c>
      <c r="DI598" t="s">
        <v>34833</v>
      </c>
      <c r="DJ598" t="s">
        <v>13777</v>
      </c>
      <c r="DK598">
        <v>9606</v>
      </c>
      <c r="DL598" s="34" t="str">
        <f>HYPERLINK("http://www.uniprot.org/uniprot/Q01082", "Q01082")</f>
        <v>Q01082</v>
      </c>
      <c r="DM598" t="s">
        <v>34834</v>
      </c>
      <c r="DN598" t="s">
        <v>13772</v>
      </c>
      <c r="DO598" t="s">
        <v>17663</v>
      </c>
      <c r="DP598" t="s">
        <v>13780</v>
      </c>
      <c r="DQ598" t="s">
        <v>13772</v>
      </c>
      <c r="DR598" t="s">
        <v>13772</v>
      </c>
      <c r="DS598" t="s">
        <v>14096</v>
      </c>
      <c r="DT598" t="s">
        <v>13772</v>
      </c>
      <c r="DU598" t="s">
        <v>32872</v>
      </c>
      <c r="DV598" t="s">
        <v>14182</v>
      </c>
      <c r="DW598" t="s">
        <v>13812</v>
      </c>
      <c r="DX598" t="s">
        <v>34835</v>
      </c>
      <c r="DY598" t="s">
        <v>34836</v>
      </c>
      <c r="DZ598" t="s">
        <v>34837</v>
      </c>
      <c r="EA598" t="s">
        <v>13772</v>
      </c>
      <c r="EB598" t="s">
        <v>34838</v>
      </c>
    </row>
    <row r="599" spans="1:132" hidden="1">
      <c r="A599">
        <v>2325</v>
      </c>
      <c r="B599">
        <v>1</v>
      </c>
      <c r="C599" t="s">
        <v>5421</v>
      </c>
      <c r="D599" t="s">
        <v>73</v>
      </c>
      <c r="E599" t="s">
        <v>73</v>
      </c>
      <c r="F599" t="s">
        <v>73</v>
      </c>
      <c r="G599" t="s">
        <v>73</v>
      </c>
      <c r="H599">
        <v>10.4</v>
      </c>
      <c r="I599">
        <v>597</v>
      </c>
      <c r="J599">
        <v>64848</v>
      </c>
      <c r="K599" t="s">
        <v>5422</v>
      </c>
      <c r="L599">
        <f t="shared" si="38"/>
        <v>57</v>
      </c>
      <c r="N599">
        <v>57</v>
      </c>
      <c r="O599">
        <v>57</v>
      </c>
      <c r="P599">
        <v>1</v>
      </c>
      <c r="Q599">
        <v>2</v>
      </c>
      <c r="R599">
        <v>4</v>
      </c>
      <c r="S599">
        <v>1</v>
      </c>
      <c r="T599">
        <v>6</v>
      </c>
      <c r="U599">
        <v>12</v>
      </c>
      <c r="V599">
        <v>9</v>
      </c>
      <c r="W599">
        <v>6</v>
      </c>
      <c r="X599">
        <v>4</v>
      </c>
      <c r="Y599">
        <v>0</v>
      </c>
      <c r="Z599">
        <v>0</v>
      </c>
      <c r="AA599">
        <v>3</v>
      </c>
      <c r="AB599">
        <v>1</v>
      </c>
      <c r="AC599">
        <v>0</v>
      </c>
      <c r="AD599">
        <v>3</v>
      </c>
      <c r="AE599">
        <v>0</v>
      </c>
      <c r="AF599">
        <v>3</v>
      </c>
      <c r="AG599">
        <v>0</v>
      </c>
      <c r="AH599">
        <v>0</v>
      </c>
      <c r="AI599">
        <v>3</v>
      </c>
      <c r="AJ599">
        <v>2</v>
      </c>
      <c r="AK599">
        <v>4</v>
      </c>
      <c r="AL599">
        <v>1</v>
      </c>
      <c r="AM599">
        <v>6</v>
      </c>
      <c r="AN599">
        <v>12</v>
      </c>
      <c r="AO599">
        <v>9</v>
      </c>
      <c r="AP599">
        <v>6</v>
      </c>
      <c r="AQ599">
        <v>4</v>
      </c>
      <c r="AR599">
        <v>0</v>
      </c>
      <c r="AS599">
        <v>0</v>
      </c>
      <c r="AT599">
        <v>3</v>
      </c>
      <c r="AU599">
        <v>1</v>
      </c>
      <c r="AV599">
        <v>0</v>
      </c>
      <c r="AW599">
        <v>3</v>
      </c>
      <c r="AX599">
        <v>0</v>
      </c>
      <c r="AY599">
        <v>3</v>
      </c>
      <c r="AZ599">
        <v>0</v>
      </c>
      <c r="BA599">
        <v>0</v>
      </c>
      <c r="BB599">
        <v>3</v>
      </c>
      <c r="BC599" s="2">
        <v>2</v>
      </c>
      <c r="BD599" s="2">
        <v>4</v>
      </c>
      <c r="BE599" s="2">
        <v>1</v>
      </c>
      <c r="BF599" s="2">
        <v>6</v>
      </c>
      <c r="BG599" s="2">
        <v>12</v>
      </c>
      <c r="BH599" s="2">
        <v>9</v>
      </c>
      <c r="BI599" s="2">
        <v>6</v>
      </c>
      <c r="BJ599" s="2">
        <v>4</v>
      </c>
      <c r="BK599" s="2">
        <v>0</v>
      </c>
      <c r="BL599" s="2">
        <v>0</v>
      </c>
      <c r="BM599" s="2">
        <v>3</v>
      </c>
      <c r="BN599" s="2">
        <v>1</v>
      </c>
      <c r="BO599" s="2">
        <v>0</v>
      </c>
      <c r="BP599" s="2">
        <v>3</v>
      </c>
      <c r="BQ599" s="2">
        <v>0</v>
      </c>
      <c r="BR599" s="2">
        <v>3</v>
      </c>
      <c r="BS599" s="2">
        <v>0</v>
      </c>
      <c r="BT599" s="2">
        <v>0</v>
      </c>
      <c r="BU599" s="2">
        <v>3</v>
      </c>
      <c r="BV599" s="2">
        <f t="shared" si="41"/>
        <v>57</v>
      </c>
      <c r="BW599" s="16">
        <f t="shared" si="39"/>
        <v>3</v>
      </c>
      <c r="BX599" s="16">
        <f>COUNTIF($BC$6:BU599, "=0") / COUNTIF($BC$6:BU599, "&gt;-1")</f>
        <v>0.15940102782208046</v>
      </c>
      <c r="BY599" s="18">
        <f>SUM($BC$6:BU599) / $BY$4</f>
        <v>0.87566223955080524</v>
      </c>
      <c r="BZ599" s="14">
        <f t="shared" si="40"/>
        <v>6</v>
      </c>
      <c r="CA599" t="s">
        <v>5831</v>
      </c>
      <c r="CB599" s="36">
        <v>2.4232867916694598</v>
      </c>
      <c r="CC599" s="36">
        <v>3.85225648270979</v>
      </c>
      <c r="CD599" s="36">
        <v>1.6007976618122599</v>
      </c>
      <c r="CE599" s="36">
        <v>9.0715305549193808</v>
      </c>
      <c r="CF599" s="36">
        <v>10.322116319242699</v>
      </c>
      <c r="CG599" s="36">
        <v>8.3675452197554208</v>
      </c>
      <c r="CH599" s="36">
        <v>6.3243736971878404</v>
      </c>
      <c r="CI599" s="36">
        <v>3.8927343919292201</v>
      </c>
      <c r="CJ599" s="37">
        <v>0.19868957331123899</v>
      </c>
      <c r="CK599" s="37">
        <v>1.89194894066486</v>
      </c>
      <c r="CL599" s="37">
        <v>0.80005434826734301</v>
      </c>
      <c r="CM599" s="37">
        <v>0.21163676164998499</v>
      </c>
      <c r="CN599" s="37">
        <v>0.22969814145377901</v>
      </c>
      <c r="CO599" s="37">
        <v>2.36757171115537</v>
      </c>
      <c r="CP599" s="37">
        <v>0.377135011965606</v>
      </c>
      <c r="CQ599" s="37">
        <v>4.5679105394238499</v>
      </c>
      <c r="CR599" s="45">
        <v>-2.1248597055965099</v>
      </c>
      <c r="CS599" s="45">
        <v>-4.3077661114178696</v>
      </c>
      <c r="CT599" s="46">
        <v>3.9156559955632301E-4</v>
      </c>
      <c r="CU599" s="47">
        <v>9.6663242104494396E-4</v>
      </c>
      <c r="CV599" s="48">
        <v>5.7318301399032601</v>
      </c>
      <c r="CW599" s="49">
        <v>1.3305806284865</v>
      </c>
      <c r="CX599" s="31" t="s">
        <v>5875</v>
      </c>
      <c r="CY599" s="31" t="s">
        <v>5876</v>
      </c>
      <c r="CZ599" t="s">
        <v>13475</v>
      </c>
      <c r="DA599" t="s">
        <v>5904</v>
      </c>
      <c r="DB599">
        <v>1083.2</v>
      </c>
      <c r="DC599" t="s">
        <v>35914</v>
      </c>
      <c r="DD599" t="s">
        <v>35915</v>
      </c>
      <c r="DE599" t="s">
        <v>35916</v>
      </c>
      <c r="DF599" t="s">
        <v>35917</v>
      </c>
      <c r="DG599" t="s">
        <v>35918</v>
      </c>
      <c r="DH599" t="str">
        <f>"SLC5A10"</f>
        <v>SLC5A10</v>
      </c>
      <c r="DI599" t="s">
        <v>35919</v>
      </c>
      <c r="DJ599" t="s">
        <v>13777</v>
      </c>
      <c r="DK599">
        <v>9606</v>
      </c>
      <c r="DL599" s="34" t="str">
        <f>HYPERLINK("http://www.uniprot.org/uniprot/A0PJK1", "A0PJK1")</f>
        <v>A0PJK1</v>
      </c>
      <c r="DM599" t="s">
        <v>35920</v>
      </c>
      <c r="DN599" t="s">
        <v>31290</v>
      </c>
      <c r="DO599" t="s">
        <v>13792</v>
      </c>
      <c r="DP599" t="s">
        <v>13780</v>
      </c>
      <c r="DQ599" t="s">
        <v>13772</v>
      </c>
      <c r="DR599" t="s">
        <v>13772</v>
      </c>
      <c r="DS599" t="s">
        <v>13925</v>
      </c>
      <c r="DT599" t="s">
        <v>13926</v>
      </c>
      <c r="DU599" t="s">
        <v>13772</v>
      </c>
      <c r="DV599" t="s">
        <v>13978</v>
      </c>
      <c r="DW599" t="s">
        <v>13772</v>
      </c>
      <c r="DX599" t="s">
        <v>31291</v>
      </c>
      <c r="DY599" t="s">
        <v>17329</v>
      </c>
      <c r="DZ599" t="s">
        <v>35921</v>
      </c>
      <c r="EA599" t="s">
        <v>13772</v>
      </c>
      <c r="EB599" t="s">
        <v>31292</v>
      </c>
    </row>
    <row r="600" spans="1:132" hidden="1">
      <c r="A600">
        <v>511</v>
      </c>
      <c r="B600">
        <v>1</v>
      </c>
      <c r="C600" t="s">
        <v>1289</v>
      </c>
      <c r="D600" t="s">
        <v>73</v>
      </c>
      <c r="E600" t="s">
        <v>73</v>
      </c>
      <c r="F600" t="s">
        <v>1290</v>
      </c>
      <c r="G600" t="s">
        <v>73</v>
      </c>
      <c r="H600">
        <v>33.299999999999997</v>
      </c>
      <c r="I600">
        <v>225</v>
      </c>
      <c r="J600">
        <v>26664</v>
      </c>
      <c r="K600" t="s">
        <v>1291</v>
      </c>
      <c r="L600">
        <f t="shared" si="38"/>
        <v>65</v>
      </c>
      <c r="N600">
        <v>65</v>
      </c>
      <c r="O600">
        <v>42</v>
      </c>
      <c r="P600">
        <v>0.64600000000000002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9</v>
      </c>
      <c r="Z600">
        <v>1</v>
      </c>
      <c r="AA600">
        <v>11</v>
      </c>
      <c r="AB600">
        <v>6</v>
      </c>
      <c r="AC600">
        <v>3</v>
      </c>
      <c r="AD600">
        <v>0</v>
      </c>
      <c r="AE600">
        <v>19</v>
      </c>
      <c r="AF600">
        <v>12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6</v>
      </c>
      <c r="AS600">
        <v>0</v>
      </c>
      <c r="AT600">
        <v>6</v>
      </c>
      <c r="AU600">
        <v>4</v>
      </c>
      <c r="AV600">
        <v>0</v>
      </c>
      <c r="AW600">
        <v>0</v>
      </c>
      <c r="AX600">
        <v>14</v>
      </c>
      <c r="AY600">
        <v>8</v>
      </c>
      <c r="AZ600">
        <v>0</v>
      </c>
      <c r="BA600">
        <v>1</v>
      </c>
      <c r="BB600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1</v>
      </c>
      <c r="BK600" s="2">
        <v>8.25</v>
      </c>
      <c r="BL600" s="2">
        <v>0.5</v>
      </c>
      <c r="BM600" s="2">
        <v>9</v>
      </c>
      <c r="BN600" s="2">
        <v>6</v>
      </c>
      <c r="BO600" s="2">
        <v>1.5</v>
      </c>
      <c r="BP600" s="2">
        <v>0</v>
      </c>
      <c r="BQ600" s="2">
        <v>16.593</v>
      </c>
      <c r="BR600" s="2">
        <v>10.462</v>
      </c>
      <c r="BS600" s="2">
        <v>0</v>
      </c>
      <c r="BT600" s="2">
        <v>1</v>
      </c>
      <c r="BU600" s="2">
        <v>1</v>
      </c>
      <c r="BV600" s="2">
        <f t="shared" si="41"/>
        <v>56.305000000000007</v>
      </c>
      <c r="BW600" s="16">
        <f t="shared" si="39"/>
        <v>2.9634210526315794</v>
      </c>
      <c r="BX600" s="16">
        <f>COUNTIF($BC$6:BU600, "=0") / COUNTIF($BC$6:BU600, "&gt;-1")</f>
        <v>0.1598407784166298</v>
      </c>
      <c r="BY600" s="18">
        <f>SUM($BC$6:BU600) / $BY$4</f>
        <v>0.87590342972469737</v>
      </c>
      <c r="BZ600" s="14">
        <f t="shared" si="40"/>
        <v>8</v>
      </c>
      <c r="CA600" t="s">
        <v>5831</v>
      </c>
      <c r="CB600" s="36">
        <v>0.30291084895868198</v>
      </c>
      <c r="CC600" s="36">
        <v>0.24076603016936199</v>
      </c>
      <c r="CD600" s="36">
        <v>0.40019941545306398</v>
      </c>
      <c r="CE600" s="36">
        <v>0.37798043978830698</v>
      </c>
      <c r="CF600" s="36">
        <v>0.215044089984223</v>
      </c>
      <c r="CG600" s="36">
        <v>0.23243181165987301</v>
      </c>
      <c r="CH600" s="36">
        <v>1.05406228286464</v>
      </c>
      <c r="CI600" s="36">
        <v>0.97318359798230603</v>
      </c>
      <c r="CJ600" s="37">
        <v>6.5964938339331498</v>
      </c>
      <c r="CK600" s="37">
        <v>5.6758468219945701</v>
      </c>
      <c r="CL600" s="37">
        <v>4.8003260896040603</v>
      </c>
      <c r="CM600" s="37">
        <v>1.2698205698999101</v>
      </c>
      <c r="CN600" s="37">
        <v>15.251956592530901</v>
      </c>
      <c r="CO600" s="37">
        <v>8.2865009890438106</v>
      </c>
      <c r="CP600" s="37">
        <v>0.377135011965606</v>
      </c>
      <c r="CQ600" s="37">
        <v>1.5226368464746201</v>
      </c>
      <c r="CR600" s="45">
        <v>3.2698214688628</v>
      </c>
      <c r="CS600" s="45">
        <v>11.5316242140175</v>
      </c>
      <c r="CT600" s="46">
        <v>2.3690362563819901E-5</v>
      </c>
      <c r="CU600" s="47">
        <v>7.7690453701938699E-5</v>
      </c>
      <c r="CV600" s="48">
        <v>0.474572314607557</v>
      </c>
      <c r="CW600" s="49">
        <v>5.47258959443083</v>
      </c>
      <c r="CX600" s="31" t="s">
        <v>5874</v>
      </c>
      <c r="CY600" s="31" t="s">
        <v>5876</v>
      </c>
      <c r="CZ600" t="s">
        <v>7485</v>
      </c>
      <c r="DA600" t="s">
        <v>5904</v>
      </c>
      <c r="DB600">
        <v>396.7</v>
      </c>
      <c r="DC600" t="s">
        <v>18819</v>
      </c>
      <c r="DD600" t="s">
        <v>18820</v>
      </c>
      <c r="DE600" t="s">
        <v>18821</v>
      </c>
      <c r="DF600" t="s">
        <v>18822</v>
      </c>
      <c r="DG600" t="s">
        <v>18823</v>
      </c>
      <c r="DH600" t="str">
        <f>"TNNT3"</f>
        <v>TNNT3</v>
      </c>
      <c r="DI600" t="s">
        <v>13772</v>
      </c>
      <c r="DJ600" t="s">
        <v>13777</v>
      </c>
      <c r="DK600">
        <v>9606</v>
      </c>
      <c r="DL600" s="34" t="str">
        <f>HYPERLINK("http://www.uniprot.org/uniprot/P45378", "P45378")</f>
        <v>P45378</v>
      </c>
      <c r="DM600" t="s">
        <v>18824</v>
      </c>
      <c r="DN600" t="s">
        <v>13772</v>
      </c>
      <c r="DO600" t="s">
        <v>13772</v>
      </c>
      <c r="DP600" t="s">
        <v>13841</v>
      </c>
      <c r="DQ600" t="s">
        <v>13772</v>
      </c>
      <c r="DR600" t="s">
        <v>13807</v>
      </c>
      <c r="DS600" t="s">
        <v>13772</v>
      </c>
      <c r="DT600" t="s">
        <v>13772</v>
      </c>
      <c r="DU600" t="s">
        <v>17512</v>
      </c>
      <c r="DV600" t="s">
        <v>13886</v>
      </c>
      <c r="DW600" t="s">
        <v>13772</v>
      </c>
      <c r="DX600" t="s">
        <v>18825</v>
      </c>
      <c r="DY600" t="s">
        <v>18826</v>
      </c>
      <c r="DZ600" t="s">
        <v>18827</v>
      </c>
      <c r="EA600" t="s">
        <v>13772</v>
      </c>
      <c r="EB600" t="s">
        <v>15657</v>
      </c>
    </row>
    <row r="601" spans="1:132" hidden="1">
      <c r="A601">
        <v>265</v>
      </c>
      <c r="B601">
        <v>1</v>
      </c>
      <c r="C601" t="s">
        <v>671</v>
      </c>
      <c r="D601" t="s">
        <v>73</v>
      </c>
      <c r="E601" t="s">
        <v>73</v>
      </c>
      <c r="F601" t="s">
        <v>73</v>
      </c>
      <c r="G601" t="s">
        <v>73</v>
      </c>
      <c r="H601">
        <v>30</v>
      </c>
      <c r="I601">
        <v>1277</v>
      </c>
      <c r="J601">
        <v>137837</v>
      </c>
      <c r="K601" t="s">
        <v>672</v>
      </c>
      <c r="L601">
        <f t="shared" si="38"/>
        <v>56</v>
      </c>
      <c r="N601">
        <v>56</v>
      </c>
      <c r="O601">
        <v>56</v>
      </c>
      <c r="P601">
        <v>1</v>
      </c>
      <c r="Q601">
        <v>0</v>
      </c>
      <c r="R601">
        <v>3</v>
      </c>
      <c r="S601">
        <v>1</v>
      </c>
      <c r="T601">
        <v>2</v>
      </c>
      <c r="U601">
        <v>2</v>
      </c>
      <c r="V601">
        <v>4</v>
      </c>
      <c r="W601">
        <v>2</v>
      </c>
      <c r="X601">
        <v>0</v>
      </c>
      <c r="Y601">
        <v>6</v>
      </c>
      <c r="Z601">
        <v>0</v>
      </c>
      <c r="AA601">
        <v>11</v>
      </c>
      <c r="AB601">
        <v>9</v>
      </c>
      <c r="AC601">
        <v>3</v>
      </c>
      <c r="AD601">
        <v>0</v>
      </c>
      <c r="AE601">
        <v>2</v>
      </c>
      <c r="AF601">
        <v>8</v>
      </c>
      <c r="AG601">
        <v>0</v>
      </c>
      <c r="AH601">
        <v>0</v>
      </c>
      <c r="AI601">
        <v>3</v>
      </c>
      <c r="AJ601">
        <v>0</v>
      </c>
      <c r="AK601">
        <v>3</v>
      </c>
      <c r="AL601">
        <v>1</v>
      </c>
      <c r="AM601">
        <v>2</v>
      </c>
      <c r="AN601">
        <v>2</v>
      </c>
      <c r="AO601">
        <v>4</v>
      </c>
      <c r="AP601">
        <v>2</v>
      </c>
      <c r="AQ601">
        <v>0</v>
      </c>
      <c r="AR601">
        <v>6</v>
      </c>
      <c r="AS601">
        <v>0</v>
      </c>
      <c r="AT601">
        <v>11</v>
      </c>
      <c r="AU601">
        <v>9</v>
      </c>
      <c r="AV601">
        <v>3</v>
      </c>
      <c r="AW601">
        <v>0</v>
      </c>
      <c r="AX601">
        <v>2</v>
      </c>
      <c r="AY601">
        <v>8</v>
      </c>
      <c r="AZ601">
        <v>0</v>
      </c>
      <c r="BA601">
        <v>0</v>
      </c>
      <c r="BB601">
        <v>3</v>
      </c>
      <c r="BC601" s="2">
        <v>0</v>
      </c>
      <c r="BD601" s="2">
        <v>3</v>
      </c>
      <c r="BE601" s="2">
        <v>1</v>
      </c>
      <c r="BF601" s="2">
        <v>2</v>
      </c>
      <c r="BG601" s="2">
        <v>2</v>
      </c>
      <c r="BH601" s="2">
        <v>4</v>
      </c>
      <c r="BI601" s="2">
        <v>2</v>
      </c>
      <c r="BJ601" s="2">
        <v>0</v>
      </c>
      <c r="BK601" s="2">
        <v>6</v>
      </c>
      <c r="BL601" s="2">
        <v>0</v>
      </c>
      <c r="BM601" s="2">
        <v>11</v>
      </c>
      <c r="BN601" s="2">
        <v>9</v>
      </c>
      <c r="BO601" s="2">
        <v>3</v>
      </c>
      <c r="BP601" s="2">
        <v>0</v>
      </c>
      <c r="BQ601" s="2">
        <v>2</v>
      </c>
      <c r="BR601" s="2">
        <v>8</v>
      </c>
      <c r="BS601" s="2">
        <v>0</v>
      </c>
      <c r="BT601" s="2">
        <v>0</v>
      </c>
      <c r="BU601" s="2">
        <v>3</v>
      </c>
      <c r="BV601" s="2">
        <f t="shared" si="41"/>
        <v>56</v>
      </c>
      <c r="BW601" s="16">
        <f t="shared" si="39"/>
        <v>2.9473684210526314</v>
      </c>
      <c r="BX601" s="16">
        <f>COUNTIF($BC$6:BU601, "=0") / COUNTIF($BC$6:BU601, "&gt;-1")</f>
        <v>0.16010243730130697</v>
      </c>
      <c r="BY601" s="18">
        <f>SUM($BC$6:BU601) / $BY$4</f>
        <v>0.87614331338934459</v>
      </c>
      <c r="BZ601" s="14">
        <f t="shared" si="40"/>
        <v>6</v>
      </c>
      <c r="CA601" t="s">
        <v>5831</v>
      </c>
      <c r="CB601" s="36">
        <v>0.30291084895868198</v>
      </c>
      <c r="CC601" s="36">
        <v>2.8891923620323401</v>
      </c>
      <c r="CD601" s="36">
        <v>1.6007976618122599</v>
      </c>
      <c r="CE601" s="36">
        <v>3.0238435183064598</v>
      </c>
      <c r="CF601" s="36">
        <v>1.72035271987378</v>
      </c>
      <c r="CG601" s="36">
        <v>3.7189089865579601</v>
      </c>
      <c r="CH601" s="36">
        <v>2.10812456572928</v>
      </c>
      <c r="CI601" s="36">
        <v>0.24329589949557701</v>
      </c>
      <c r="CJ601" s="37">
        <v>4.7685497594697397</v>
      </c>
      <c r="CK601" s="37">
        <v>6.9371461157711396</v>
      </c>
      <c r="CL601" s="37">
        <v>7.2004891344060802</v>
      </c>
      <c r="CM601" s="37">
        <v>2.5396411397998202</v>
      </c>
      <c r="CN601" s="37">
        <v>1.8375851316302301</v>
      </c>
      <c r="CO601" s="37">
        <v>6.3135245630809997</v>
      </c>
      <c r="CP601" s="37">
        <v>0.377135011965606</v>
      </c>
      <c r="CQ601" s="37">
        <v>4.5679105394238499</v>
      </c>
      <c r="CR601" s="45">
        <v>1.15857663496019</v>
      </c>
      <c r="CS601" s="45">
        <v>2.2131759682888501</v>
      </c>
      <c r="CT601" s="46">
        <v>4.4751842113282397E-2</v>
      </c>
      <c r="CU601" s="47">
        <v>7.0444664408908106E-2</v>
      </c>
      <c r="CV601" s="48">
        <v>1.9509283203457899</v>
      </c>
      <c r="CW601" s="49">
        <v>4.3177476744434298</v>
      </c>
      <c r="CX601" s="31" t="s">
        <v>5874</v>
      </c>
      <c r="CY601" s="31" t="s">
        <v>5877</v>
      </c>
      <c r="CZ601" t="s">
        <v>6617</v>
      </c>
      <c r="DA601" t="s">
        <v>5904</v>
      </c>
      <c r="DB601">
        <v>1980.3</v>
      </c>
      <c r="DC601" t="s">
        <v>16177</v>
      </c>
      <c r="DD601" t="s">
        <v>13772</v>
      </c>
      <c r="DE601" t="s">
        <v>16178</v>
      </c>
      <c r="DF601" t="s">
        <v>16179</v>
      </c>
      <c r="DG601" t="s">
        <v>16180</v>
      </c>
      <c r="DH601" t="str">
        <f>"PAPLN"</f>
        <v>PAPLN</v>
      </c>
      <c r="DI601" t="s">
        <v>13772</v>
      </c>
      <c r="DJ601" t="s">
        <v>13777</v>
      </c>
      <c r="DK601">
        <v>9606</v>
      </c>
      <c r="DL601" s="34" t="str">
        <f>HYPERLINK("http://www.uniprot.org/uniprot/O95428", "O95428")</f>
        <v>O95428</v>
      </c>
      <c r="DM601" t="s">
        <v>16181</v>
      </c>
      <c r="DN601" t="s">
        <v>13772</v>
      </c>
      <c r="DO601" t="s">
        <v>14321</v>
      </c>
      <c r="DP601" t="s">
        <v>13780</v>
      </c>
      <c r="DQ601" t="s">
        <v>13772</v>
      </c>
      <c r="DR601" t="s">
        <v>13772</v>
      </c>
      <c r="DS601" t="s">
        <v>16182</v>
      </c>
      <c r="DT601" t="s">
        <v>13772</v>
      </c>
      <c r="DU601" t="s">
        <v>14375</v>
      </c>
      <c r="DV601" t="s">
        <v>14506</v>
      </c>
      <c r="DW601" t="s">
        <v>13772</v>
      </c>
      <c r="DX601" t="s">
        <v>13772</v>
      </c>
      <c r="DY601" t="s">
        <v>15346</v>
      </c>
      <c r="DZ601" t="s">
        <v>16183</v>
      </c>
      <c r="EA601" t="s">
        <v>13772</v>
      </c>
      <c r="EB601" t="s">
        <v>13772</v>
      </c>
    </row>
    <row r="602" spans="1:132" hidden="1">
      <c r="A602">
        <v>326</v>
      </c>
      <c r="B602">
        <v>1</v>
      </c>
      <c r="C602" t="s">
        <v>820</v>
      </c>
      <c r="D602" t="s">
        <v>73</v>
      </c>
      <c r="E602" t="s">
        <v>73</v>
      </c>
      <c r="F602" t="s">
        <v>73</v>
      </c>
      <c r="G602" t="s">
        <v>73</v>
      </c>
      <c r="H602">
        <v>29.1</v>
      </c>
      <c r="I602">
        <v>440</v>
      </c>
      <c r="J602">
        <v>50193</v>
      </c>
      <c r="K602" t="s">
        <v>821</v>
      </c>
      <c r="L602">
        <f t="shared" si="38"/>
        <v>56</v>
      </c>
      <c r="N602">
        <v>56</v>
      </c>
      <c r="O602">
        <v>56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9</v>
      </c>
      <c r="Y602">
        <v>8</v>
      </c>
      <c r="Z602">
        <v>0</v>
      </c>
      <c r="AA602">
        <v>9</v>
      </c>
      <c r="AB602">
        <v>5</v>
      </c>
      <c r="AC602">
        <v>4</v>
      </c>
      <c r="AD602">
        <v>0</v>
      </c>
      <c r="AE602">
        <v>7</v>
      </c>
      <c r="AF602">
        <v>4</v>
      </c>
      <c r="AG602">
        <v>2</v>
      </c>
      <c r="AH602">
        <v>1</v>
      </c>
      <c r="AI602">
        <v>5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9</v>
      </c>
      <c r="AR602">
        <v>8</v>
      </c>
      <c r="AS602">
        <v>0</v>
      </c>
      <c r="AT602">
        <v>9</v>
      </c>
      <c r="AU602">
        <v>5</v>
      </c>
      <c r="AV602">
        <v>4</v>
      </c>
      <c r="AW602">
        <v>0</v>
      </c>
      <c r="AX602">
        <v>7</v>
      </c>
      <c r="AY602">
        <v>4</v>
      </c>
      <c r="AZ602">
        <v>2</v>
      </c>
      <c r="BA602">
        <v>1</v>
      </c>
      <c r="BB602">
        <v>5</v>
      </c>
      <c r="BC602" s="2">
        <v>1</v>
      </c>
      <c r="BD602" s="2">
        <v>0</v>
      </c>
      <c r="BE602" s="2">
        <v>0</v>
      </c>
      <c r="BF602" s="2">
        <v>1</v>
      </c>
      <c r="BG602" s="2">
        <v>0</v>
      </c>
      <c r="BH602" s="2">
        <v>0</v>
      </c>
      <c r="BI602" s="2">
        <v>0</v>
      </c>
      <c r="BJ602" s="2">
        <v>9</v>
      </c>
      <c r="BK602" s="2">
        <v>8</v>
      </c>
      <c r="BL602" s="2">
        <v>0</v>
      </c>
      <c r="BM602" s="2">
        <v>9</v>
      </c>
      <c r="BN602" s="2">
        <v>5</v>
      </c>
      <c r="BO602" s="2">
        <v>4</v>
      </c>
      <c r="BP602" s="2">
        <v>0</v>
      </c>
      <c r="BQ602" s="2">
        <v>7</v>
      </c>
      <c r="BR602" s="2">
        <v>4</v>
      </c>
      <c r="BS602" s="2">
        <v>2</v>
      </c>
      <c r="BT602" s="2">
        <v>1</v>
      </c>
      <c r="BU602" s="2">
        <v>5</v>
      </c>
      <c r="BV602" s="2">
        <f t="shared" si="41"/>
        <v>56</v>
      </c>
      <c r="BW602" s="16">
        <f t="shared" si="39"/>
        <v>2.9473684210526314</v>
      </c>
      <c r="BX602" s="16">
        <f>COUNTIF($BC$6:BU602, "=0") / COUNTIF($BC$6:BU602, "&gt;-1")</f>
        <v>0.16045137970554527</v>
      </c>
      <c r="BY602" s="18">
        <f>SUM($BC$6:BU602) / $BY$4</f>
        <v>0.87638319705399181</v>
      </c>
      <c r="BZ602" s="14">
        <f t="shared" si="40"/>
        <v>7</v>
      </c>
      <c r="CA602" t="s">
        <v>5831</v>
      </c>
      <c r="CB602" s="36">
        <v>1.2116433958347299</v>
      </c>
      <c r="CC602" s="36">
        <v>0.24076603016936199</v>
      </c>
      <c r="CD602" s="36">
        <v>0.40019941545306398</v>
      </c>
      <c r="CE602" s="36">
        <v>1.5119217591532299</v>
      </c>
      <c r="CF602" s="36">
        <v>0.215044089984223</v>
      </c>
      <c r="CG602" s="36">
        <v>0.23243181165987301</v>
      </c>
      <c r="CH602" s="36">
        <v>0.26351557071616</v>
      </c>
      <c r="CI602" s="36">
        <v>8.7586523818407507</v>
      </c>
      <c r="CJ602" s="37">
        <v>6.35806634595966</v>
      </c>
      <c r="CK602" s="37">
        <v>5.6758468219945701</v>
      </c>
      <c r="CL602" s="37">
        <v>4.0002717413367099</v>
      </c>
      <c r="CM602" s="37">
        <v>3.3861881863997598</v>
      </c>
      <c r="CN602" s="37">
        <v>6.4315479607058004</v>
      </c>
      <c r="CO602" s="37">
        <v>3.1567622815404999</v>
      </c>
      <c r="CP602" s="37">
        <v>3.0170800957248498</v>
      </c>
      <c r="CQ602" s="37">
        <v>7.6131842323730803</v>
      </c>
      <c r="CR602" s="45">
        <v>1.51391272819441</v>
      </c>
      <c r="CS602" s="45">
        <v>3.0885467394573798</v>
      </c>
      <c r="CT602" s="46">
        <v>1.48201872175657E-2</v>
      </c>
      <c r="CU602" s="47">
        <v>2.6091329601451201E-2</v>
      </c>
      <c r="CV602" s="48">
        <v>1.6042718068514199</v>
      </c>
      <c r="CW602" s="49">
        <v>4.9548684582543698</v>
      </c>
      <c r="CX602" s="31" t="s">
        <v>5874</v>
      </c>
      <c r="CY602" s="31" t="s">
        <v>5878</v>
      </c>
      <c r="CZ602" t="s">
        <v>6829</v>
      </c>
      <c r="DA602" t="s">
        <v>5904</v>
      </c>
      <c r="DB602">
        <v>825.9</v>
      </c>
      <c r="DC602" t="s">
        <v>16815</v>
      </c>
      <c r="DD602" t="s">
        <v>16816</v>
      </c>
      <c r="DE602" t="s">
        <v>16817</v>
      </c>
      <c r="DF602" t="s">
        <v>16818</v>
      </c>
      <c r="DG602" t="s">
        <v>13772</v>
      </c>
      <c r="DH602" t="str">
        <f>"FGL2"</f>
        <v>FGL2</v>
      </c>
      <c r="DI602" t="s">
        <v>13772</v>
      </c>
      <c r="DJ602" t="s">
        <v>13777</v>
      </c>
      <c r="DK602">
        <v>9606</v>
      </c>
      <c r="DL602" s="34" t="str">
        <f>HYPERLINK("http://www.uniprot.org/uniprot/Q14314", "Q14314")</f>
        <v>Q14314</v>
      </c>
      <c r="DM602" t="s">
        <v>16819</v>
      </c>
      <c r="DN602" t="s">
        <v>13772</v>
      </c>
      <c r="DO602" t="s">
        <v>14321</v>
      </c>
      <c r="DP602" t="s">
        <v>13793</v>
      </c>
      <c r="DQ602" t="s">
        <v>13772</v>
      </c>
      <c r="DR602" t="s">
        <v>13772</v>
      </c>
      <c r="DS602" t="s">
        <v>16820</v>
      </c>
      <c r="DT602" t="s">
        <v>13772</v>
      </c>
      <c r="DU602" t="s">
        <v>13772</v>
      </c>
      <c r="DV602" t="s">
        <v>13796</v>
      </c>
      <c r="DW602" t="s">
        <v>13772</v>
      </c>
      <c r="DX602" t="s">
        <v>16821</v>
      </c>
      <c r="DY602" t="s">
        <v>16822</v>
      </c>
      <c r="DZ602" t="s">
        <v>16823</v>
      </c>
      <c r="EA602" t="s">
        <v>13772</v>
      </c>
      <c r="EB602" t="s">
        <v>13890</v>
      </c>
    </row>
    <row r="603" spans="1:132" hidden="1">
      <c r="A603">
        <v>390</v>
      </c>
      <c r="B603">
        <v>1</v>
      </c>
      <c r="C603" t="s">
        <v>975</v>
      </c>
      <c r="D603" t="s">
        <v>976</v>
      </c>
      <c r="E603" t="s">
        <v>73</v>
      </c>
      <c r="F603" t="s">
        <v>73</v>
      </c>
      <c r="G603" t="s">
        <v>73</v>
      </c>
      <c r="H603">
        <v>15.3</v>
      </c>
      <c r="I603">
        <v>1787</v>
      </c>
      <c r="J603">
        <v>199058</v>
      </c>
      <c r="K603" t="s">
        <v>977</v>
      </c>
      <c r="L603">
        <f t="shared" si="38"/>
        <v>56</v>
      </c>
      <c r="N603">
        <v>56</v>
      </c>
      <c r="O603">
        <v>56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8</v>
      </c>
      <c r="AB603">
        <v>2</v>
      </c>
      <c r="AC603">
        <v>2</v>
      </c>
      <c r="AD603">
        <v>0</v>
      </c>
      <c r="AE603">
        <v>26</v>
      </c>
      <c r="AF603">
        <v>16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8</v>
      </c>
      <c r="AU603">
        <v>2</v>
      </c>
      <c r="AV603">
        <v>2</v>
      </c>
      <c r="AW603">
        <v>0</v>
      </c>
      <c r="AX603">
        <v>26</v>
      </c>
      <c r="AY603">
        <v>16</v>
      </c>
      <c r="AZ603">
        <v>0</v>
      </c>
      <c r="BA603">
        <v>0</v>
      </c>
      <c r="BB603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1</v>
      </c>
      <c r="BJ603" s="2">
        <v>0</v>
      </c>
      <c r="BK603" s="2">
        <v>1</v>
      </c>
      <c r="BL603" s="2">
        <v>0</v>
      </c>
      <c r="BM603" s="2">
        <v>8</v>
      </c>
      <c r="BN603" s="2">
        <v>2</v>
      </c>
      <c r="BO603" s="2">
        <v>2</v>
      </c>
      <c r="BP603" s="2">
        <v>0</v>
      </c>
      <c r="BQ603" s="2">
        <v>26</v>
      </c>
      <c r="BR603" s="2">
        <v>16</v>
      </c>
      <c r="BS603" s="2">
        <v>0</v>
      </c>
      <c r="BT603" s="2">
        <v>0</v>
      </c>
      <c r="BU603" s="2">
        <v>0</v>
      </c>
      <c r="BV603" s="2">
        <f t="shared" si="41"/>
        <v>56</v>
      </c>
      <c r="BW603" s="16">
        <f t="shared" si="39"/>
        <v>2.9473684210526314</v>
      </c>
      <c r="BX603" s="16">
        <f>COUNTIF($BC$6:BU603, "=0") / COUNTIF($BC$6:BU603, "&gt;-1")</f>
        <v>0.16123921844745642</v>
      </c>
      <c r="BY603" s="18">
        <f>SUM($BC$6:BU603) / $BY$4</f>
        <v>0.87662308071863904</v>
      </c>
      <c r="BZ603" s="14">
        <f t="shared" si="40"/>
        <v>12</v>
      </c>
      <c r="CA603" t="s">
        <v>5831</v>
      </c>
      <c r="CB603" s="36">
        <v>0.30291084895868198</v>
      </c>
      <c r="CC603" s="36">
        <v>0.24076603016936199</v>
      </c>
      <c r="CD603" s="36">
        <v>0.40019941545306398</v>
      </c>
      <c r="CE603" s="36">
        <v>0.37798043978830698</v>
      </c>
      <c r="CF603" s="36">
        <v>0.215044089984223</v>
      </c>
      <c r="CG603" s="36">
        <v>0.23243181165987301</v>
      </c>
      <c r="CH603" s="36">
        <v>1.05406228286464</v>
      </c>
      <c r="CI603" s="36">
        <v>0.24329589949557701</v>
      </c>
      <c r="CJ603" s="37">
        <v>0.79475829324495695</v>
      </c>
      <c r="CK603" s="37">
        <v>5.0451971751062796</v>
      </c>
      <c r="CL603" s="37">
        <v>1.60010869653469</v>
      </c>
      <c r="CM603" s="37">
        <v>1.6930940931998799</v>
      </c>
      <c r="CN603" s="37">
        <v>23.888606711192999</v>
      </c>
      <c r="CO603" s="37">
        <v>12.627049126161999</v>
      </c>
      <c r="CP603" s="37">
        <v>0.377135011965606</v>
      </c>
      <c r="CQ603" s="37">
        <v>0.38065921161865401</v>
      </c>
      <c r="CR603" s="45">
        <v>3.5929907421881699</v>
      </c>
      <c r="CS603" s="45">
        <v>15.132470492618699</v>
      </c>
      <c r="CT603" s="46">
        <v>2.05801077134766E-4</v>
      </c>
      <c r="CU603" s="47">
        <v>5.3987415568573099E-4</v>
      </c>
      <c r="CV603" s="48">
        <v>0.38333635229671598</v>
      </c>
      <c r="CW603" s="49">
        <v>5.8008260398781299</v>
      </c>
      <c r="CX603" s="31" t="s">
        <v>5874</v>
      </c>
      <c r="CY603" s="31" t="s">
        <v>5876</v>
      </c>
      <c r="CZ603" t="s">
        <v>7055</v>
      </c>
      <c r="DA603" t="s">
        <v>5904</v>
      </c>
      <c r="DB603">
        <v>3085.4</v>
      </c>
      <c r="DC603" t="s">
        <v>17506</v>
      </c>
      <c r="DD603" t="s">
        <v>17507</v>
      </c>
      <c r="DE603" t="s">
        <v>17508</v>
      </c>
      <c r="DF603" t="s">
        <v>17509</v>
      </c>
      <c r="DG603" t="s">
        <v>17510</v>
      </c>
      <c r="DH603" t="str">
        <f>"MYOM1"</f>
        <v>MYOM1</v>
      </c>
      <c r="DI603" t="s">
        <v>13772</v>
      </c>
      <c r="DJ603" t="s">
        <v>13777</v>
      </c>
      <c r="DK603">
        <v>9606</v>
      </c>
      <c r="DL603" s="34" t="str">
        <f>HYPERLINK("http://www.uniprot.org/uniprot/P52179", "P52179")</f>
        <v>P52179</v>
      </c>
      <c r="DM603" t="s">
        <v>17511</v>
      </c>
      <c r="DN603" t="s">
        <v>13772</v>
      </c>
      <c r="DO603" t="s">
        <v>15651</v>
      </c>
      <c r="DP603" t="s">
        <v>13780</v>
      </c>
      <c r="DQ603" t="s">
        <v>13772</v>
      </c>
      <c r="DR603" t="s">
        <v>13772</v>
      </c>
      <c r="DS603" t="s">
        <v>15552</v>
      </c>
      <c r="DT603" t="s">
        <v>13772</v>
      </c>
      <c r="DU603" t="s">
        <v>17512</v>
      </c>
      <c r="DV603" t="s">
        <v>15554</v>
      </c>
      <c r="DW603" t="s">
        <v>13812</v>
      </c>
      <c r="DX603" t="s">
        <v>17513</v>
      </c>
      <c r="DY603" t="s">
        <v>17514</v>
      </c>
      <c r="DZ603" t="s">
        <v>17515</v>
      </c>
      <c r="EA603" t="s">
        <v>13772</v>
      </c>
      <c r="EB603" t="s">
        <v>13772</v>
      </c>
    </row>
    <row r="604" spans="1:132" hidden="1">
      <c r="A604">
        <v>635</v>
      </c>
      <c r="B604">
        <v>1</v>
      </c>
      <c r="C604" t="s">
        <v>1571</v>
      </c>
      <c r="D604" t="s">
        <v>73</v>
      </c>
      <c r="E604" t="s">
        <v>73</v>
      </c>
      <c r="F604" t="s">
        <v>73</v>
      </c>
      <c r="G604" t="s">
        <v>73</v>
      </c>
      <c r="H604">
        <v>28.8</v>
      </c>
      <c r="I604">
        <v>215</v>
      </c>
      <c r="J604">
        <v>24383</v>
      </c>
      <c r="K604" t="s">
        <v>1572</v>
      </c>
      <c r="L604">
        <f t="shared" si="38"/>
        <v>56</v>
      </c>
      <c r="N604">
        <v>56</v>
      </c>
      <c r="O604">
        <v>56</v>
      </c>
      <c r="P604">
        <v>1</v>
      </c>
      <c r="Q604">
        <v>5</v>
      </c>
      <c r="R604">
        <v>9</v>
      </c>
      <c r="S604">
        <v>6</v>
      </c>
      <c r="T604">
        <v>6</v>
      </c>
      <c r="U604">
        <v>6</v>
      </c>
      <c r="V604">
        <v>3</v>
      </c>
      <c r="W604">
        <v>4</v>
      </c>
      <c r="X604">
        <v>2</v>
      </c>
      <c r="Y604">
        <v>0</v>
      </c>
      <c r="Z604">
        <v>0</v>
      </c>
      <c r="AA604">
        <v>2</v>
      </c>
      <c r="AB604">
        <v>3</v>
      </c>
      <c r="AC604">
        <v>1</v>
      </c>
      <c r="AD604">
        <v>0</v>
      </c>
      <c r="AE604">
        <v>0</v>
      </c>
      <c r="AF604">
        <v>3</v>
      </c>
      <c r="AG604">
        <v>2</v>
      </c>
      <c r="AH604">
        <v>2</v>
      </c>
      <c r="AI604">
        <v>2</v>
      </c>
      <c r="AJ604">
        <v>5</v>
      </c>
      <c r="AK604">
        <v>9</v>
      </c>
      <c r="AL604">
        <v>6</v>
      </c>
      <c r="AM604">
        <v>6</v>
      </c>
      <c r="AN604">
        <v>6</v>
      </c>
      <c r="AO604">
        <v>3</v>
      </c>
      <c r="AP604">
        <v>4</v>
      </c>
      <c r="AQ604">
        <v>2</v>
      </c>
      <c r="AR604">
        <v>0</v>
      </c>
      <c r="AS604">
        <v>0</v>
      </c>
      <c r="AT604">
        <v>2</v>
      </c>
      <c r="AU604">
        <v>3</v>
      </c>
      <c r="AV604">
        <v>1</v>
      </c>
      <c r="AW604">
        <v>0</v>
      </c>
      <c r="AX604">
        <v>0</v>
      </c>
      <c r="AY604">
        <v>3</v>
      </c>
      <c r="AZ604">
        <v>2</v>
      </c>
      <c r="BA604">
        <v>2</v>
      </c>
      <c r="BB604">
        <v>2</v>
      </c>
      <c r="BC604" s="2">
        <v>5</v>
      </c>
      <c r="BD604" s="2">
        <v>9</v>
      </c>
      <c r="BE604" s="2">
        <v>6</v>
      </c>
      <c r="BF604" s="2">
        <v>6</v>
      </c>
      <c r="BG604" s="2">
        <v>6</v>
      </c>
      <c r="BH604" s="2">
        <v>3</v>
      </c>
      <c r="BI604" s="2">
        <v>4</v>
      </c>
      <c r="BJ604" s="2">
        <v>2</v>
      </c>
      <c r="BK604" s="2">
        <v>0</v>
      </c>
      <c r="BL604" s="2">
        <v>0</v>
      </c>
      <c r="BM604" s="2">
        <v>2</v>
      </c>
      <c r="BN604" s="2">
        <v>3</v>
      </c>
      <c r="BO604" s="2">
        <v>1</v>
      </c>
      <c r="BP604" s="2">
        <v>0</v>
      </c>
      <c r="BQ604" s="2">
        <v>0</v>
      </c>
      <c r="BR604" s="2">
        <v>3</v>
      </c>
      <c r="BS604" s="2">
        <v>2</v>
      </c>
      <c r="BT604" s="2">
        <v>2</v>
      </c>
      <c r="BU604" s="2">
        <v>2</v>
      </c>
      <c r="BV604" s="2">
        <f t="shared" si="41"/>
        <v>56</v>
      </c>
      <c r="BW604" s="16">
        <f t="shared" si="39"/>
        <v>2.9473684210526314</v>
      </c>
      <c r="BX604" s="16">
        <f>COUNTIF($BC$6:BU604, "=0") / COUNTIF($BC$6:BU604, "&gt;-1")</f>
        <v>0.1613215007468588</v>
      </c>
      <c r="BY604" s="18">
        <f>SUM($BC$6:BU604) / $BY$4</f>
        <v>0.87686296438328626</v>
      </c>
      <c r="BZ604" s="14">
        <f t="shared" si="40"/>
        <v>4</v>
      </c>
      <c r="CA604" t="s">
        <v>5831</v>
      </c>
      <c r="CB604" s="36">
        <v>6.0582169791736504</v>
      </c>
      <c r="CC604" s="36">
        <v>8.6675770860970207</v>
      </c>
      <c r="CD604" s="36">
        <v>9.6047859708735501</v>
      </c>
      <c r="CE604" s="36">
        <v>9.0715305549193808</v>
      </c>
      <c r="CF604" s="36">
        <v>5.1610581596213496</v>
      </c>
      <c r="CG604" s="36">
        <v>2.7891817399184702</v>
      </c>
      <c r="CH604" s="36">
        <v>4.21624913145856</v>
      </c>
      <c r="CI604" s="36">
        <v>1.9463671959646101</v>
      </c>
      <c r="CJ604" s="37">
        <v>0.19868957331123899</v>
      </c>
      <c r="CK604" s="37">
        <v>1.2612992937765699</v>
      </c>
      <c r="CL604" s="37">
        <v>2.4001630448020301</v>
      </c>
      <c r="CM604" s="37">
        <v>0.84654704659994096</v>
      </c>
      <c r="CN604" s="37">
        <v>0.22969814145377901</v>
      </c>
      <c r="CO604" s="37">
        <v>2.36757171115537</v>
      </c>
      <c r="CP604" s="37">
        <v>3.0170800957248498</v>
      </c>
      <c r="CQ604" s="37">
        <v>3.0452736929492299</v>
      </c>
      <c r="CR604" s="45">
        <v>-1.8181243859153</v>
      </c>
      <c r="CS604" s="45">
        <v>-3.5548271757883101</v>
      </c>
      <c r="CT604" s="46">
        <v>8.7330462462313098E-4</v>
      </c>
      <c r="CU604" s="47">
        <v>1.98721358460162E-3</v>
      </c>
      <c r="CV604" s="48">
        <v>5.9393708522533197</v>
      </c>
      <c r="CW604" s="49">
        <v>1.67079032497163</v>
      </c>
      <c r="CX604" s="31" t="s">
        <v>5875</v>
      </c>
      <c r="CY604" s="31" t="s">
        <v>5876</v>
      </c>
      <c r="CZ604" t="s">
        <v>7886</v>
      </c>
      <c r="DA604" t="s">
        <v>5904</v>
      </c>
      <c r="DB604">
        <v>386</v>
      </c>
      <c r="DC604" t="s">
        <v>20053</v>
      </c>
      <c r="DD604" t="s">
        <v>20054</v>
      </c>
      <c r="DE604" t="s">
        <v>20055</v>
      </c>
      <c r="DF604" t="s">
        <v>20056</v>
      </c>
      <c r="DG604" t="s">
        <v>20057</v>
      </c>
      <c r="DH604" t="str">
        <f>"MPZL2"</f>
        <v>MPZL2</v>
      </c>
      <c r="DI604" t="s">
        <v>20058</v>
      </c>
      <c r="DJ604" t="s">
        <v>13777</v>
      </c>
      <c r="DK604">
        <v>9606</v>
      </c>
      <c r="DL604" s="34" t="str">
        <f>HYPERLINK("http://www.uniprot.org/uniprot/O60487", "O60487")</f>
        <v>O60487</v>
      </c>
      <c r="DM604" t="s">
        <v>20059</v>
      </c>
      <c r="DN604" t="s">
        <v>13949</v>
      </c>
      <c r="DO604" t="s">
        <v>13825</v>
      </c>
      <c r="DP604" t="s">
        <v>13793</v>
      </c>
      <c r="DQ604" t="s">
        <v>13772</v>
      </c>
      <c r="DR604" t="s">
        <v>14255</v>
      </c>
      <c r="DS604" t="s">
        <v>13794</v>
      </c>
      <c r="DT604" t="s">
        <v>13772</v>
      </c>
      <c r="DU604" t="s">
        <v>13772</v>
      </c>
      <c r="DV604" t="s">
        <v>13796</v>
      </c>
      <c r="DW604" t="s">
        <v>13772</v>
      </c>
      <c r="DX604" t="s">
        <v>20060</v>
      </c>
      <c r="DY604" t="s">
        <v>20061</v>
      </c>
      <c r="DZ604" t="s">
        <v>13772</v>
      </c>
      <c r="EA604" t="s">
        <v>13772</v>
      </c>
      <c r="EB604" t="s">
        <v>13772</v>
      </c>
    </row>
    <row r="605" spans="1:132" hidden="1">
      <c r="A605">
        <v>1165</v>
      </c>
      <c r="B605">
        <v>1</v>
      </c>
      <c r="C605" t="s">
        <v>2798</v>
      </c>
      <c r="D605" t="s">
        <v>2799</v>
      </c>
      <c r="E605" t="s">
        <v>73</v>
      </c>
      <c r="F605" t="s">
        <v>73</v>
      </c>
      <c r="G605" t="s">
        <v>73</v>
      </c>
      <c r="H605">
        <v>16.100000000000001</v>
      </c>
      <c r="I605">
        <v>242</v>
      </c>
      <c r="J605">
        <v>27446</v>
      </c>
      <c r="K605" t="s">
        <v>2800</v>
      </c>
      <c r="L605">
        <f t="shared" si="38"/>
        <v>56</v>
      </c>
      <c r="N605">
        <v>56</v>
      </c>
      <c r="O605">
        <v>56</v>
      </c>
      <c r="P605">
        <v>1</v>
      </c>
      <c r="Q605">
        <v>5</v>
      </c>
      <c r="R605">
        <v>3</v>
      </c>
      <c r="S605">
        <v>4</v>
      </c>
      <c r="T605">
        <v>3</v>
      </c>
      <c r="U605">
        <v>7</v>
      </c>
      <c r="V605">
        <v>5</v>
      </c>
      <c r="W605">
        <v>2</v>
      </c>
      <c r="X605">
        <v>2</v>
      </c>
      <c r="Y605">
        <v>4</v>
      </c>
      <c r="Z605">
        <v>0</v>
      </c>
      <c r="AA605">
        <v>2</v>
      </c>
      <c r="AB605">
        <v>5</v>
      </c>
      <c r="AC605">
        <v>2</v>
      </c>
      <c r="AD605">
        <v>0</v>
      </c>
      <c r="AE605">
        <v>1</v>
      </c>
      <c r="AF605">
        <v>5</v>
      </c>
      <c r="AG605">
        <v>3</v>
      </c>
      <c r="AH605">
        <v>2</v>
      </c>
      <c r="AI605">
        <v>1</v>
      </c>
      <c r="AJ605">
        <v>5</v>
      </c>
      <c r="AK605">
        <v>3</v>
      </c>
      <c r="AL605">
        <v>4</v>
      </c>
      <c r="AM605">
        <v>3</v>
      </c>
      <c r="AN605">
        <v>7</v>
      </c>
      <c r="AO605">
        <v>5</v>
      </c>
      <c r="AP605">
        <v>2</v>
      </c>
      <c r="AQ605">
        <v>2</v>
      </c>
      <c r="AR605">
        <v>4</v>
      </c>
      <c r="AS605">
        <v>0</v>
      </c>
      <c r="AT605">
        <v>2</v>
      </c>
      <c r="AU605">
        <v>5</v>
      </c>
      <c r="AV605">
        <v>2</v>
      </c>
      <c r="AW605">
        <v>0</v>
      </c>
      <c r="AX605">
        <v>1</v>
      </c>
      <c r="AY605">
        <v>5</v>
      </c>
      <c r="AZ605">
        <v>3</v>
      </c>
      <c r="BA605">
        <v>2</v>
      </c>
      <c r="BB605">
        <v>1</v>
      </c>
      <c r="BC605" s="2">
        <v>5</v>
      </c>
      <c r="BD605" s="2">
        <v>3</v>
      </c>
      <c r="BE605" s="2">
        <v>4</v>
      </c>
      <c r="BF605" s="2">
        <v>3</v>
      </c>
      <c r="BG605" s="2">
        <v>7</v>
      </c>
      <c r="BH605" s="2">
        <v>5</v>
      </c>
      <c r="BI605" s="2">
        <v>2</v>
      </c>
      <c r="BJ605" s="2">
        <v>2</v>
      </c>
      <c r="BK605" s="2">
        <v>4</v>
      </c>
      <c r="BL605" s="2">
        <v>0</v>
      </c>
      <c r="BM605" s="2">
        <v>2</v>
      </c>
      <c r="BN605" s="2">
        <v>5</v>
      </c>
      <c r="BO605" s="2">
        <v>2</v>
      </c>
      <c r="BP605" s="2">
        <v>0</v>
      </c>
      <c r="BQ605" s="2">
        <v>1</v>
      </c>
      <c r="BR605" s="2">
        <v>5</v>
      </c>
      <c r="BS605" s="2">
        <v>3</v>
      </c>
      <c r="BT605" s="2">
        <v>2</v>
      </c>
      <c r="BU605" s="2">
        <v>1</v>
      </c>
      <c r="BV605" s="2">
        <f t="shared" si="41"/>
        <v>56</v>
      </c>
      <c r="BW605" s="16">
        <f t="shared" si="39"/>
        <v>2.9473684210526314</v>
      </c>
      <c r="BX605" s="16">
        <f>COUNTIF($BC$6:BU605, "=0") / COUNTIF($BC$6:BU605, "&gt;-1")</f>
        <v>0.16122807017543861</v>
      </c>
      <c r="BY605" s="18">
        <f>SUM($BC$6:BU605) / $BY$4</f>
        <v>0.87710284804793348</v>
      </c>
      <c r="BZ605" s="14">
        <f t="shared" si="40"/>
        <v>2</v>
      </c>
      <c r="CA605" t="s">
        <v>5831</v>
      </c>
      <c r="CB605" s="36">
        <v>6.0582169791736504</v>
      </c>
      <c r="CC605" s="36">
        <v>2.8891923620323401</v>
      </c>
      <c r="CD605" s="36">
        <v>6.4031906472490299</v>
      </c>
      <c r="CE605" s="36">
        <v>4.5357652774596904</v>
      </c>
      <c r="CF605" s="36">
        <v>6.0212345195582504</v>
      </c>
      <c r="CG605" s="36">
        <v>4.6486362331974602</v>
      </c>
      <c r="CH605" s="36">
        <v>2.10812456572928</v>
      </c>
      <c r="CI605" s="36">
        <v>1.9463671959646101</v>
      </c>
      <c r="CJ605" s="37">
        <v>3.17903317297983</v>
      </c>
      <c r="CK605" s="37">
        <v>1.2612992937765699</v>
      </c>
      <c r="CL605" s="37">
        <v>4.0002717413367099</v>
      </c>
      <c r="CM605" s="37">
        <v>1.6930940931998799</v>
      </c>
      <c r="CN605" s="37">
        <v>0.91879256581511404</v>
      </c>
      <c r="CO605" s="37">
        <v>3.94595285192562</v>
      </c>
      <c r="CP605" s="37">
        <v>4.5256201435872701</v>
      </c>
      <c r="CQ605" s="37">
        <v>1.5226368464746201</v>
      </c>
      <c r="CR605" s="45">
        <v>-0.68654567424495305</v>
      </c>
      <c r="CS605" s="45">
        <v>-1.64447284440201</v>
      </c>
      <c r="CT605" s="46">
        <v>0.15196500649960001</v>
      </c>
      <c r="CU605" s="47">
        <v>0.20496893013756501</v>
      </c>
      <c r="CV605" s="48">
        <v>4.3263409725455402</v>
      </c>
      <c r="CW605" s="49">
        <v>2.6308375886369499</v>
      </c>
      <c r="CX605" s="31" t="s">
        <v>5875</v>
      </c>
      <c r="CY605" s="31" t="s">
        <v>5832</v>
      </c>
      <c r="CZ605" t="s">
        <v>9605</v>
      </c>
      <c r="DA605" t="s">
        <v>5904</v>
      </c>
      <c r="DB605">
        <v>459.9</v>
      </c>
      <c r="DC605" t="s">
        <v>25011</v>
      </c>
      <c r="DD605" t="s">
        <v>25012</v>
      </c>
      <c r="DE605" t="s">
        <v>25013</v>
      </c>
      <c r="DF605" t="s">
        <v>25014</v>
      </c>
      <c r="DG605" t="s">
        <v>25015</v>
      </c>
      <c r="DH605" t="str">
        <f>"PDGFB"</f>
        <v>PDGFB</v>
      </c>
      <c r="DI605" t="s">
        <v>25016</v>
      </c>
      <c r="DJ605" t="s">
        <v>13777</v>
      </c>
      <c r="DK605">
        <v>9606</v>
      </c>
      <c r="DL605" s="34" t="str">
        <f>HYPERLINK("http://www.uniprot.org/uniprot/P01127", "P01127")</f>
        <v>P01127</v>
      </c>
      <c r="DM605" t="s">
        <v>25017</v>
      </c>
      <c r="DN605" t="s">
        <v>13772</v>
      </c>
      <c r="DO605" t="s">
        <v>14321</v>
      </c>
      <c r="DP605" t="s">
        <v>25018</v>
      </c>
      <c r="DQ605" t="s">
        <v>13772</v>
      </c>
      <c r="DR605" t="s">
        <v>16495</v>
      </c>
      <c r="DS605" t="s">
        <v>13808</v>
      </c>
      <c r="DT605" t="s">
        <v>13772</v>
      </c>
      <c r="DU605" t="s">
        <v>25019</v>
      </c>
      <c r="DV605" t="s">
        <v>14629</v>
      </c>
      <c r="DW605" t="s">
        <v>14324</v>
      </c>
      <c r="DX605" t="s">
        <v>25020</v>
      </c>
      <c r="DY605" t="s">
        <v>25021</v>
      </c>
      <c r="DZ605" t="s">
        <v>25022</v>
      </c>
      <c r="EA605" t="s">
        <v>13772</v>
      </c>
      <c r="EB605" t="s">
        <v>25023</v>
      </c>
    </row>
    <row r="606" spans="1:132" hidden="1">
      <c r="A606">
        <v>1494</v>
      </c>
      <c r="B606">
        <v>1</v>
      </c>
      <c r="C606" t="s">
        <v>3555</v>
      </c>
      <c r="D606" t="s">
        <v>73</v>
      </c>
      <c r="E606" t="s">
        <v>73</v>
      </c>
      <c r="F606" t="s">
        <v>73</v>
      </c>
      <c r="G606" t="s">
        <v>73</v>
      </c>
      <c r="H606">
        <v>43.3</v>
      </c>
      <c r="I606">
        <v>247</v>
      </c>
      <c r="J606">
        <v>28263</v>
      </c>
      <c r="K606" t="s">
        <v>3556</v>
      </c>
      <c r="L606">
        <f t="shared" si="38"/>
        <v>56</v>
      </c>
      <c r="N606">
        <v>56</v>
      </c>
      <c r="O606">
        <v>56</v>
      </c>
      <c r="P606">
        <v>1</v>
      </c>
      <c r="Q606">
        <v>1</v>
      </c>
      <c r="R606">
        <v>0</v>
      </c>
      <c r="S606">
        <v>0</v>
      </c>
      <c r="T606">
        <v>2</v>
      </c>
      <c r="U606">
        <v>2</v>
      </c>
      <c r="V606">
        <v>3</v>
      </c>
      <c r="W606">
        <v>4</v>
      </c>
      <c r="X606">
        <v>2</v>
      </c>
      <c r="Y606">
        <v>1</v>
      </c>
      <c r="Z606">
        <v>2</v>
      </c>
      <c r="AA606">
        <v>7</v>
      </c>
      <c r="AB606">
        <v>3</v>
      </c>
      <c r="AC606">
        <v>5</v>
      </c>
      <c r="AD606">
        <v>5</v>
      </c>
      <c r="AE606">
        <v>4</v>
      </c>
      <c r="AF606">
        <v>1</v>
      </c>
      <c r="AG606">
        <v>3</v>
      </c>
      <c r="AH606">
        <v>5</v>
      </c>
      <c r="AI606">
        <v>6</v>
      </c>
      <c r="AJ606">
        <v>1</v>
      </c>
      <c r="AK606">
        <v>0</v>
      </c>
      <c r="AL606">
        <v>0</v>
      </c>
      <c r="AM606">
        <v>2</v>
      </c>
      <c r="AN606">
        <v>2</v>
      </c>
      <c r="AO606">
        <v>3</v>
      </c>
      <c r="AP606">
        <v>4</v>
      </c>
      <c r="AQ606">
        <v>2</v>
      </c>
      <c r="AR606">
        <v>1</v>
      </c>
      <c r="AS606">
        <v>2</v>
      </c>
      <c r="AT606">
        <v>7</v>
      </c>
      <c r="AU606">
        <v>3</v>
      </c>
      <c r="AV606">
        <v>5</v>
      </c>
      <c r="AW606">
        <v>5</v>
      </c>
      <c r="AX606">
        <v>4</v>
      </c>
      <c r="AY606">
        <v>1</v>
      </c>
      <c r="AZ606">
        <v>3</v>
      </c>
      <c r="BA606">
        <v>5</v>
      </c>
      <c r="BB606">
        <v>6</v>
      </c>
      <c r="BC606" s="2">
        <v>1</v>
      </c>
      <c r="BD606" s="2">
        <v>0</v>
      </c>
      <c r="BE606" s="2">
        <v>0</v>
      </c>
      <c r="BF606" s="2">
        <v>2</v>
      </c>
      <c r="BG606" s="2">
        <v>2</v>
      </c>
      <c r="BH606" s="2">
        <v>3</v>
      </c>
      <c r="BI606" s="2">
        <v>4</v>
      </c>
      <c r="BJ606" s="2">
        <v>2</v>
      </c>
      <c r="BK606" s="2">
        <v>1</v>
      </c>
      <c r="BL606" s="2">
        <v>2</v>
      </c>
      <c r="BM606" s="2">
        <v>7</v>
      </c>
      <c r="BN606" s="2">
        <v>3</v>
      </c>
      <c r="BO606" s="2">
        <v>5</v>
      </c>
      <c r="BP606" s="2">
        <v>5</v>
      </c>
      <c r="BQ606" s="2">
        <v>4</v>
      </c>
      <c r="BR606" s="2">
        <v>1</v>
      </c>
      <c r="BS606" s="2">
        <v>3</v>
      </c>
      <c r="BT606" s="2">
        <v>5</v>
      </c>
      <c r="BU606" s="2">
        <v>6</v>
      </c>
      <c r="BV606" s="2">
        <f t="shared" si="41"/>
        <v>56</v>
      </c>
      <c r="BW606" s="16">
        <f t="shared" si="39"/>
        <v>2.9473684210526314</v>
      </c>
      <c r="BX606" s="16">
        <f>COUNTIF($BC$6:BU606, "=0") / COUNTIF($BC$6:BU606, "&gt;-1")</f>
        <v>0.16113495052106139</v>
      </c>
      <c r="BY606" s="18">
        <f>SUM($BC$6:BU606) / $BY$4</f>
        <v>0.8773427317125807</v>
      </c>
      <c r="BZ606" s="14">
        <f t="shared" si="40"/>
        <v>2</v>
      </c>
      <c r="CA606" t="s">
        <v>5831</v>
      </c>
      <c r="CB606" s="36">
        <v>1.2116433958347299</v>
      </c>
      <c r="CC606" s="36">
        <v>0.24076603016936199</v>
      </c>
      <c r="CD606" s="36">
        <v>0.40019941545306398</v>
      </c>
      <c r="CE606" s="36">
        <v>3.0238435183064598</v>
      </c>
      <c r="CF606" s="36">
        <v>1.72035271987378</v>
      </c>
      <c r="CG606" s="36">
        <v>2.7891817399184702</v>
      </c>
      <c r="CH606" s="36">
        <v>4.21624913145856</v>
      </c>
      <c r="CI606" s="36">
        <v>1.9463671959646101</v>
      </c>
      <c r="CJ606" s="37">
        <v>0.79475829324495695</v>
      </c>
      <c r="CK606" s="37">
        <v>4.4145475282179998</v>
      </c>
      <c r="CL606" s="37">
        <v>2.4001630448020301</v>
      </c>
      <c r="CM606" s="37">
        <v>4.2327352329997003</v>
      </c>
      <c r="CN606" s="37">
        <v>3.6751702632604601</v>
      </c>
      <c r="CO606" s="37">
        <v>0.78919057038512497</v>
      </c>
      <c r="CP606" s="37">
        <v>4.5256201435872701</v>
      </c>
      <c r="CQ606" s="37">
        <v>9.1358210788476999</v>
      </c>
      <c r="CR606" s="45">
        <v>0.79487791949721798</v>
      </c>
      <c r="CS606" s="45">
        <v>1.9273761039536099</v>
      </c>
      <c r="CT606" s="46">
        <v>0.19391769043616999</v>
      </c>
      <c r="CU606" s="47">
        <v>0.25587955601932499</v>
      </c>
      <c r="CV606" s="48">
        <v>1.9435753933723801</v>
      </c>
      <c r="CW606" s="49">
        <v>3.7460007694181501</v>
      </c>
      <c r="CX606" s="31" t="s">
        <v>5874</v>
      </c>
      <c r="CY606" s="31" t="s">
        <v>5832</v>
      </c>
      <c r="CZ606" t="s">
        <v>10713</v>
      </c>
      <c r="DA606" t="s">
        <v>5904</v>
      </c>
      <c r="DB606">
        <v>280</v>
      </c>
      <c r="DC606" t="s">
        <v>28156</v>
      </c>
      <c r="DD606" t="s">
        <v>28157</v>
      </c>
      <c r="DE606" t="s">
        <v>28158</v>
      </c>
      <c r="DF606" t="s">
        <v>28159</v>
      </c>
      <c r="DG606" t="s">
        <v>28160</v>
      </c>
      <c r="DH606" t="str">
        <f>"CRISP2"</f>
        <v>CRISP2</v>
      </c>
      <c r="DI606" t="s">
        <v>28161</v>
      </c>
      <c r="DJ606" t="s">
        <v>13777</v>
      </c>
      <c r="DK606">
        <v>9606</v>
      </c>
      <c r="DL606" s="34" t="str">
        <f>HYPERLINK("http://www.uniprot.org/uniprot/P16562", "P16562")</f>
        <v>P16562</v>
      </c>
      <c r="DM606" t="s">
        <v>28162</v>
      </c>
      <c r="DN606" t="s">
        <v>13772</v>
      </c>
      <c r="DO606" t="s">
        <v>14321</v>
      </c>
      <c r="DP606" t="s">
        <v>13780</v>
      </c>
      <c r="DQ606" t="s">
        <v>13772</v>
      </c>
      <c r="DR606" t="s">
        <v>13772</v>
      </c>
      <c r="DS606" t="s">
        <v>13808</v>
      </c>
      <c r="DT606" t="s">
        <v>13772</v>
      </c>
      <c r="DU606" t="s">
        <v>13772</v>
      </c>
      <c r="DV606" t="s">
        <v>14506</v>
      </c>
      <c r="DW606" t="s">
        <v>13812</v>
      </c>
      <c r="DX606" t="s">
        <v>22494</v>
      </c>
      <c r="DY606" t="s">
        <v>14508</v>
      </c>
      <c r="DZ606" t="s">
        <v>13772</v>
      </c>
      <c r="EA606" t="s">
        <v>13772</v>
      </c>
      <c r="EB606" t="s">
        <v>13772</v>
      </c>
    </row>
    <row r="607" spans="1:132" hidden="1">
      <c r="A607">
        <v>1707</v>
      </c>
      <c r="B607">
        <v>1</v>
      </c>
      <c r="C607" t="s">
        <v>4050</v>
      </c>
      <c r="D607" t="s">
        <v>73</v>
      </c>
      <c r="E607" t="s">
        <v>73</v>
      </c>
      <c r="F607" t="s">
        <v>73</v>
      </c>
      <c r="G607" t="s">
        <v>73</v>
      </c>
      <c r="H607">
        <v>30.1</v>
      </c>
      <c r="I607">
        <v>269</v>
      </c>
      <c r="J607">
        <v>29217</v>
      </c>
      <c r="K607" t="s">
        <v>4051</v>
      </c>
      <c r="L607">
        <f t="shared" si="38"/>
        <v>56</v>
      </c>
      <c r="N607">
        <v>56</v>
      </c>
      <c r="O607">
        <v>56</v>
      </c>
      <c r="P607">
        <v>1</v>
      </c>
      <c r="Q607">
        <v>4</v>
      </c>
      <c r="R607">
        <v>8</v>
      </c>
      <c r="S607">
        <v>4</v>
      </c>
      <c r="T607">
        <v>5</v>
      </c>
      <c r="U607">
        <v>4</v>
      </c>
      <c r="V607">
        <v>6</v>
      </c>
      <c r="W607">
        <v>3</v>
      </c>
      <c r="X607">
        <v>2</v>
      </c>
      <c r="Y607">
        <v>2</v>
      </c>
      <c r="Z607">
        <v>0</v>
      </c>
      <c r="AA607">
        <v>3</v>
      </c>
      <c r="AB607">
        <v>3</v>
      </c>
      <c r="AC607">
        <v>0</v>
      </c>
      <c r="AD607">
        <v>0</v>
      </c>
      <c r="AE607">
        <v>2</v>
      </c>
      <c r="AF607">
        <v>4</v>
      </c>
      <c r="AG607">
        <v>2</v>
      </c>
      <c r="AH607">
        <v>1</v>
      </c>
      <c r="AI607">
        <v>3</v>
      </c>
      <c r="AJ607">
        <v>4</v>
      </c>
      <c r="AK607">
        <v>8</v>
      </c>
      <c r="AL607">
        <v>4</v>
      </c>
      <c r="AM607">
        <v>5</v>
      </c>
      <c r="AN607">
        <v>4</v>
      </c>
      <c r="AO607">
        <v>6</v>
      </c>
      <c r="AP607">
        <v>3</v>
      </c>
      <c r="AQ607">
        <v>2</v>
      </c>
      <c r="AR607">
        <v>2</v>
      </c>
      <c r="AS607">
        <v>0</v>
      </c>
      <c r="AT607">
        <v>3</v>
      </c>
      <c r="AU607">
        <v>3</v>
      </c>
      <c r="AV607">
        <v>0</v>
      </c>
      <c r="AW607">
        <v>0</v>
      </c>
      <c r="AX607">
        <v>2</v>
      </c>
      <c r="AY607">
        <v>4</v>
      </c>
      <c r="AZ607">
        <v>2</v>
      </c>
      <c r="BA607">
        <v>1</v>
      </c>
      <c r="BB607">
        <v>3</v>
      </c>
      <c r="BC607" s="2">
        <v>4</v>
      </c>
      <c r="BD607" s="2">
        <v>8</v>
      </c>
      <c r="BE607" s="2">
        <v>4</v>
      </c>
      <c r="BF607" s="2">
        <v>5</v>
      </c>
      <c r="BG607" s="2">
        <v>4</v>
      </c>
      <c r="BH607" s="2">
        <v>6</v>
      </c>
      <c r="BI607" s="2">
        <v>3</v>
      </c>
      <c r="BJ607" s="2">
        <v>2</v>
      </c>
      <c r="BK607" s="2">
        <v>2</v>
      </c>
      <c r="BL607" s="2">
        <v>0</v>
      </c>
      <c r="BM607" s="2">
        <v>3</v>
      </c>
      <c r="BN607" s="2">
        <v>3</v>
      </c>
      <c r="BO607" s="2">
        <v>0</v>
      </c>
      <c r="BP607" s="2">
        <v>0</v>
      </c>
      <c r="BQ607" s="2">
        <v>2</v>
      </c>
      <c r="BR607" s="2">
        <v>4</v>
      </c>
      <c r="BS607" s="2">
        <v>2</v>
      </c>
      <c r="BT607" s="2">
        <v>1</v>
      </c>
      <c r="BU607" s="2">
        <v>3</v>
      </c>
      <c r="BV607" s="2">
        <f t="shared" si="41"/>
        <v>56</v>
      </c>
      <c r="BW607" s="16">
        <f t="shared" si="39"/>
        <v>2.9473684210526314</v>
      </c>
      <c r="BX607" s="16">
        <f>COUNTIF($BC$6:BU607, "=0") / COUNTIF($BC$6:BU607, "&gt;-1")</f>
        <v>0.16112956810631229</v>
      </c>
      <c r="BY607" s="18">
        <f>SUM($BC$6:BU607) / $BY$4</f>
        <v>0.87758261537722793</v>
      </c>
      <c r="BZ607" s="14">
        <f t="shared" si="40"/>
        <v>3</v>
      </c>
      <c r="CA607" t="s">
        <v>5831</v>
      </c>
      <c r="CB607" s="36">
        <v>4.8465735833389196</v>
      </c>
      <c r="CC607" s="36">
        <v>7.7045129654195703</v>
      </c>
      <c r="CD607" s="36">
        <v>6.4031906472490299</v>
      </c>
      <c r="CE607" s="36">
        <v>7.5596087957661497</v>
      </c>
      <c r="CF607" s="36">
        <v>3.4407054397475698</v>
      </c>
      <c r="CG607" s="36">
        <v>5.5783634798369501</v>
      </c>
      <c r="CH607" s="36">
        <v>3.1621868485939202</v>
      </c>
      <c r="CI607" s="36">
        <v>1.9463671959646101</v>
      </c>
      <c r="CJ607" s="37">
        <v>1.5895165864899099</v>
      </c>
      <c r="CK607" s="37">
        <v>1.89194894066486</v>
      </c>
      <c r="CL607" s="37">
        <v>2.4001630448020301</v>
      </c>
      <c r="CM607" s="37">
        <v>0.21163676164998499</v>
      </c>
      <c r="CN607" s="37">
        <v>1.8375851316302301</v>
      </c>
      <c r="CO607" s="37">
        <v>3.1567622815404999</v>
      </c>
      <c r="CP607" s="37">
        <v>3.0170800957248498</v>
      </c>
      <c r="CQ607" s="37">
        <v>4.5679105394238499</v>
      </c>
      <c r="CR607" s="45">
        <v>-1.1386611390675501</v>
      </c>
      <c r="CS607" s="45">
        <v>-2.1765314736591499</v>
      </c>
      <c r="CT607" s="46">
        <v>2.1835130190655201E-2</v>
      </c>
      <c r="CU607" s="47">
        <v>3.73598519118883E-2</v>
      </c>
      <c r="CV607" s="48">
        <v>5.08018861948959</v>
      </c>
      <c r="CW607" s="49">
        <v>2.3340754227407801</v>
      </c>
      <c r="CX607" s="31" t="s">
        <v>5875</v>
      </c>
      <c r="CY607" s="31" t="s">
        <v>5878</v>
      </c>
      <c r="CZ607" t="s">
        <v>11446</v>
      </c>
      <c r="DA607" t="s">
        <v>5904</v>
      </c>
      <c r="DB607">
        <v>478.8</v>
      </c>
      <c r="DC607" t="s">
        <v>30178</v>
      </c>
      <c r="DD607" t="s">
        <v>30179</v>
      </c>
      <c r="DE607" t="s">
        <v>30180</v>
      </c>
      <c r="DF607" t="s">
        <v>30181</v>
      </c>
      <c r="DG607" t="s">
        <v>30182</v>
      </c>
      <c r="DH607" t="str">
        <f>"MPZL1"</f>
        <v>MPZL1</v>
      </c>
      <c r="DI607" t="s">
        <v>30183</v>
      </c>
      <c r="DJ607" t="s">
        <v>13777</v>
      </c>
      <c r="DK607">
        <v>9606</v>
      </c>
      <c r="DL607" s="34" t="str">
        <f>HYPERLINK("http://www.uniprot.org/uniprot/O95297", "O95297")</f>
        <v>O95297</v>
      </c>
      <c r="DM607" t="s">
        <v>30184</v>
      </c>
      <c r="DN607" t="s">
        <v>13772</v>
      </c>
      <c r="DO607" t="s">
        <v>13825</v>
      </c>
      <c r="DP607" t="s">
        <v>13841</v>
      </c>
      <c r="DQ607" t="s">
        <v>13772</v>
      </c>
      <c r="DR607" t="s">
        <v>13772</v>
      </c>
      <c r="DS607" t="s">
        <v>13794</v>
      </c>
      <c r="DT607" t="s">
        <v>13772</v>
      </c>
      <c r="DU607" t="s">
        <v>13772</v>
      </c>
      <c r="DV607" t="s">
        <v>13964</v>
      </c>
      <c r="DW607" t="s">
        <v>13812</v>
      </c>
      <c r="DX607" t="s">
        <v>30185</v>
      </c>
      <c r="DY607" t="s">
        <v>30186</v>
      </c>
      <c r="DZ607" t="s">
        <v>16532</v>
      </c>
      <c r="EA607" t="s">
        <v>13772</v>
      </c>
      <c r="EB607" t="s">
        <v>13772</v>
      </c>
    </row>
    <row r="608" spans="1:132" hidden="1">
      <c r="A608">
        <v>1738</v>
      </c>
      <c r="B608">
        <v>1</v>
      </c>
      <c r="C608" t="s">
        <v>4110</v>
      </c>
      <c r="D608" t="s">
        <v>73</v>
      </c>
      <c r="E608" t="s">
        <v>73</v>
      </c>
      <c r="F608" t="s">
        <v>73</v>
      </c>
      <c r="G608" t="s">
        <v>73</v>
      </c>
      <c r="H608">
        <v>52.3</v>
      </c>
      <c r="I608">
        <v>193</v>
      </c>
      <c r="J608">
        <v>20526</v>
      </c>
      <c r="K608" t="s">
        <v>4111</v>
      </c>
      <c r="L608">
        <f t="shared" si="38"/>
        <v>56</v>
      </c>
      <c r="N608">
        <v>56</v>
      </c>
      <c r="O608">
        <v>56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11</v>
      </c>
      <c r="Z608">
        <v>0</v>
      </c>
      <c r="AA608">
        <v>14</v>
      </c>
      <c r="AB608">
        <v>3</v>
      </c>
      <c r="AC608">
        <v>5</v>
      </c>
      <c r="AD608">
        <v>0</v>
      </c>
      <c r="AE608">
        <v>8</v>
      </c>
      <c r="AF608">
        <v>10</v>
      </c>
      <c r="AG608">
        <v>0</v>
      </c>
      <c r="AH608">
        <v>0</v>
      </c>
      <c r="AI608">
        <v>3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0</v>
      </c>
      <c r="AP608">
        <v>0</v>
      </c>
      <c r="AQ608">
        <v>0</v>
      </c>
      <c r="AR608">
        <v>11</v>
      </c>
      <c r="AS608">
        <v>0</v>
      </c>
      <c r="AT608">
        <v>14</v>
      </c>
      <c r="AU608">
        <v>3</v>
      </c>
      <c r="AV608">
        <v>5</v>
      </c>
      <c r="AW608">
        <v>0</v>
      </c>
      <c r="AX608">
        <v>8</v>
      </c>
      <c r="AY608">
        <v>10</v>
      </c>
      <c r="AZ608">
        <v>0</v>
      </c>
      <c r="BA608">
        <v>0</v>
      </c>
      <c r="BB608">
        <v>3</v>
      </c>
      <c r="BC608" s="2">
        <v>0</v>
      </c>
      <c r="BD608" s="2">
        <v>0</v>
      </c>
      <c r="BE608" s="2">
        <v>0</v>
      </c>
      <c r="BF608" s="2">
        <v>0</v>
      </c>
      <c r="BG608" s="2">
        <v>2</v>
      </c>
      <c r="BH608" s="2">
        <v>0</v>
      </c>
      <c r="BI608" s="2">
        <v>0</v>
      </c>
      <c r="BJ608" s="2">
        <v>0</v>
      </c>
      <c r="BK608" s="2">
        <v>11</v>
      </c>
      <c r="BL608" s="2">
        <v>0</v>
      </c>
      <c r="BM608" s="2">
        <v>14</v>
      </c>
      <c r="BN608" s="2">
        <v>3</v>
      </c>
      <c r="BO608" s="2">
        <v>5</v>
      </c>
      <c r="BP608" s="2">
        <v>0</v>
      </c>
      <c r="BQ608" s="2">
        <v>8</v>
      </c>
      <c r="BR608" s="2">
        <v>10</v>
      </c>
      <c r="BS608" s="2">
        <v>0</v>
      </c>
      <c r="BT608" s="2">
        <v>0</v>
      </c>
      <c r="BU608" s="2">
        <v>3</v>
      </c>
      <c r="BV608" s="2">
        <f t="shared" si="41"/>
        <v>56</v>
      </c>
      <c r="BW608" s="16">
        <f t="shared" si="39"/>
        <v>2.9473684210526314</v>
      </c>
      <c r="BX608" s="16">
        <f>COUNTIF($BC$6:BU608, "=0") / COUNTIF($BC$6:BU608, "&gt;-1")</f>
        <v>0.16182246661429694</v>
      </c>
      <c r="BY608" s="18">
        <f>SUM($BC$6:BU608) / $BY$4</f>
        <v>0.87782249904187515</v>
      </c>
      <c r="BZ608" s="14">
        <f t="shared" si="40"/>
        <v>11</v>
      </c>
      <c r="CA608" t="s">
        <v>5831</v>
      </c>
      <c r="CB608" s="36">
        <v>0.30291084895868198</v>
      </c>
      <c r="CC608" s="36">
        <v>0.24076603016936199</v>
      </c>
      <c r="CD608" s="36">
        <v>0.40019941545306398</v>
      </c>
      <c r="CE608" s="36">
        <v>0.37798043978830698</v>
      </c>
      <c r="CF608" s="36">
        <v>1.72035271987378</v>
      </c>
      <c r="CG608" s="36">
        <v>0.23243181165987301</v>
      </c>
      <c r="CH608" s="36">
        <v>0.26351557071616</v>
      </c>
      <c r="CI608" s="36">
        <v>0.24329589949557701</v>
      </c>
      <c r="CJ608" s="37">
        <v>8.7423412256945294</v>
      </c>
      <c r="CK608" s="37">
        <v>8.8290950564359996</v>
      </c>
      <c r="CL608" s="37">
        <v>2.4001630448020301</v>
      </c>
      <c r="CM608" s="37">
        <v>4.2327352329997003</v>
      </c>
      <c r="CN608" s="37">
        <v>7.3503405265209096</v>
      </c>
      <c r="CO608" s="37">
        <v>7.8919057038512497</v>
      </c>
      <c r="CP608" s="37">
        <v>0.377135011965606</v>
      </c>
      <c r="CQ608" s="37">
        <v>4.5679105394238499</v>
      </c>
      <c r="CR608" s="45">
        <v>3.2343432233787399</v>
      </c>
      <c r="CS608" s="45">
        <v>11.739304822649499</v>
      </c>
      <c r="CT608" s="46">
        <v>1.3302581228858799E-6</v>
      </c>
      <c r="CU608" s="47">
        <v>6.3116502426287701E-6</v>
      </c>
      <c r="CV608" s="48">
        <v>0.472681592014351</v>
      </c>
      <c r="CW608" s="49">
        <v>5.5489532927117304</v>
      </c>
      <c r="CX608" s="31" t="s">
        <v>5874</v>
      </c>
      <c r="CY608" s="31" t="s">
        <v>5876</v>
      </c>
      <c r="CZ608" t="s">
        <v>11541</v>
      </c>
      <c r="DA608" t="s">
        <v>5904</v>
      </c>
      <c r="DB608">
        <v>386.3</v>
      </c>
      <c r="DC608" t="s">
        <v>30459</v>
      </c>
      <c r="DD608" t="s">
        <v>30460</v>
      </c>
      <c r="DE608" t="s">
        <v>30461</v>
      </c>
      <c r="DF608" t="s">
        <v>30462</v>
      </c>
      <c r="DG608" t="s">
        <v>30463</v>
      </c>
      <c r="DH608" t="str">
        <f>"CSRP1"</f>
        <v>CSRP1</v>
      </c>
      <c r="DI608" t="s">
        <v>30464</v>
      </c>
      <c r="DJ608" t="s">
        <v>13777</v>
      </c>
      <c r="DK608">
        <v>9606</v>
      </c>
      <c r="DL608" s="34" t="str">
        <f>HYPERLINK("http://www.uniprot.org/uniprot/P21291", "P21291")</f>
        <v>P21291</v>
      </c>
      <c r="DM608" t="s">
        <v>30465</v>
      </c>
      <c r="DN608" t="s">
        <v>13772</v>
      </c>
      <c r="DO608" t="s">
        <v>14825</v>
      </c>
      <c r="DP608" t="s">
        <v>13793</v>
      </c>
      <c r="DQ608" t="s">
        <v>13772</v>
      </c>
      <c r="DR608" t="s">
        <v>13772</v>
      </c>
      <c r="DS608" t="s">
        <v>15529</v>
      </c>
      <c r="DT608" t="s">
        <v>13856</v>
      </c>
      <c r="DU608" t="s">
        <v>13772</v>
      </c>
      <c r="DV608" t="s">
        <v>13991</v>
      </c>
      <c r="DW608" t="s">
        <v>13772</v>
      </c>
      <c r="DX608" t="s">
        <v>30466</v>
      </c>
      <c r="DY608" t="s">
        <v>30467</v>
      </c>
      <c r="DZ608" t="s">
        <v>30468</v>
      </c>
      <c r="EA608" t="s">
        <v>13772</v>
      </c>
      <c r="EB608" t="s">
        <v>30469</v>
      </c>
    </row>
    <row r="609" spans="1:132" hidden="1">
      <c r="A609">
        <v>1811</v>
      </c>
      <c r="B609">
        <v>1</v>
      </c>
      <c r="C609" t="s">
        <v>4282</v>
      </c>
      <c r="D609" t="s">
        <v>73</v>
      </c>
      <c r="E609" t="s">
        <v>73</v>
      </c>
      <c r="F609" t="s">
        <v>73</v>
      </c>
      <c r="G609" t="s">
        <v>73</v>
      </c>
      <c r="H609">
        <v>32.4</v>
      </c>
      <c r="I609">
        <v>617</v>
      </c>
      <c r="J609">
        <v>67570</v>
      </c>
      <c r="K609" t="s">
        <v>4283</v>
      </c>
      <c r="L609">
        <f t="shared" si="38"/>
        <v>56</v>
      </c>
      <c r="N609">
        <v>56</v>
      </c>
      <c r="O609">
        <v>56</v>
      </c>
      <c r="P609">
        <v>1</v>
      </c>
      <c r="Q609">
        <v>1</v>
      </c>
      <c r="R609">
        <v>6</v>
      </c>
      <c r="S609">
        <v>4</v>
      </c>
      <c r="T609">
        <v>3</v>
      </c>
      <c r="U609">
        <v>1</v>
      </c>
      <c r="V609">
        <v>2</v>
      </c>
      <c r="W609">
        <v>1</v>
      </c>
      <c r="X609">
        <v>1</v>
      </c>
      <c r="Y609">
        <v>4</v>
      </c>
      <c r="Z609">
        <v>0</v>
      </c>
      <c r="AA609">
        <v>3</v>
      </c>
      <c r="AB609">
        <v>8</v>
      </c>
      <c r="AC609">
        <v>5</v>
      </c>
      <c r="AD609">
        <v>0</v>
      </c>
      <c r="AE609">
        <v>5</v>
      </c>
      <c r="AF609">
        <v>7</v>
      </c>
      <c r="AG609">
        <v>0</v>
      </c>
      <c r="AH609">
        <v>1</v>
      </c>
      <c r="AI609">
        <v>4</v>
      </c>
      <c r="AJ609">
        <v>1</v>
      </c>
      <c r="AK609">
        <v>6</v>
      </c>
      <c r="AL609">
        <v>4</v>
      </c>
      <c r="AM609">
        <v>3</v>
      </c>
      <c r="AN609">
        <v>1</v>
      </c>
      <c r="AO609">
        <v>2</v>
      </c>
      <c r="AP609">
        <v>1</v>
      </c>
      <c r="AQ609">
        <v>1</v>
      </c>
      <c r="AR609">
        <v>4</v>
      </c>
      <c r="AS609">
        <v>0</v>
      </c>
      <c r="AT609">
        <v>3</v>
      </c>
      <c r="AU609">
        <v>8</v>
      </c>
      <c r="AV609">
        <v>5</v>
      </c>
      <c r="AW609">
        <v>0</v>
      </c>
      <c r="AX609">
        <v>5</v>
      </c>
      <c r="AY609">
        <v>7</v>
      </c>
      <c r="AZ609">
        <v>0</v>
      </c>
      <c r="BA609">
        <v>1</v>
      </c>
      <c r="BB609">
        <v>4</v>
      </c>
      <c r="BC609" s="2">
        <v>1</v>
      </c>
      <c r="BD609" s="2">
        <v>6</v>
      </c>
      <c r="BE609" s="2">
        <v>4</v>
      </c>
      <c r="BF609" s="2">
        <v>3</v>
      </c>
      <c r="BG609" s="2">
        <v>1</v>
      </c>
      <c r="BH609" s="2">
        <v>2</v>
      </c>
      <c r="BI609" s="2">
        <v>1</v>
      </c>
      <c r="BJ609" s="2">
        <v>1</v>
      </c>
      <c r="BK609" s="2">
        <v>4</v>
      </c>
      <c r="BL609" s="2">
        <v>0</v>
      </c>
      <c r="BM609" s="2">
        <v>3</v>
      </c>
      <c r="BN609" s="2">
        <v>8</v>
      </c>
      <c r="BO609" s="2">
        <v>5</v>
      </c>
      <c r="BP609" s="2">
        <v>0</v>
      </c>
      <c r="BQ609" s="2">
        <v>5</v>
      </c>
      <c r="BR609" s="2">
        <v>7</v>
      </c>
      <c r="BS609" s="2">
        <v>0</v>
      </c>
      <c r="BT609" s="2">
        <v>1</v>
      </c>
      <c r="BU609" s="2">
        <v>4</v>
      </c>
      <c r="BV609" s="2">
        <f t="shared" si="41"/>
        <v>56</v>
      </c>
      <c r="BW609" s="16">
        <f t="shared" si="39"/>
        <v>2.9473684210526314</v>
      </c>
      <c r="BX609" s="16">
        <f>COUNTIF($BC$6:BU609, "=0") / COUNTIF($BC$6:BU609, "&gt;-1")</f>
        <v>0.16181596375043569</v>
      </c>
      <c r="BY609" s="18">
        <f>SUM($BC$6:BU609) / $BY$4</f>
        <v>0.87806238270652237</v>
      </c>
      <c r="BZ609" s="14">
        <f t="shared" si="40"/>
        <v>3</v>
      </c>
      <c r="CA609" t="s">
        <v>5831</v>
      </c>
      <c r="CB609" s="36">
        <v>1.2116433958347299</v>
      </c>
      <c r="CC609" s="36">
        <v>5.7783847240646802</v>
      </c>
      <c r="CD609" s="36">
        <v>6.4031906472490299</v>
      </c>
      <c r="CE609" s="36">
        <v>4.5357652774596904</v>
      </c>
      <c r="CF609" s="36">
        <v>0.86017635993689201</v>
      </c>
      <c r="CG609" s="36">
        <v>1.85945449327898</v>
      </c>
      <c r="CH609" s="36">
        <v>1.05406228286464</v>
      </c>
      <c r="CI609" s="36">
        <v>0.97318359798230603</v>
      </c>
      <c r="CJ609" s="37">
        <v>3.17903317297983</v>
      </c>
      <c r="CK609" s="37">
        <v>1.89194894066486</v>
      </c>
      <c r="CL609" s="37">
        <v>6.4004347861387396</v>
      </c>
      <c r="CM609" s="37">
        <v>4.2327352329997003</v>
      </c>
      <c r="CN609" s="37">
        <v>4.5939628290755703</v>
      </c>
      <c r="CO609" s="37">
        <v>5.5243339926958699</v>
      </c>
      <c r="CP609" s="37">
        <v>0.377135011965606</v>
      </c>
      <c r="CQ609" s="37">
        <v>6.0905473858984696</v>
      </c>
      <c r="CR609" s="45">
        <v>0.58827557315180901</v>
      </c>
      <c r="CS609" s="45">
        <v>1.4239870171892599</v>
      </c>
      <c r="CT609" s="46">
        <v>0.35882373276287299</v>
      </c>
      <c r="CU609" s="47">
        <v>0.44046436186855498</v>
      </c>
      <c r="CV609" s="48">
        <v>2.8344825973338699</v>
      </c>
      <c r="CW609" s="49">
        <v>4.0362664190523301</v>
      </c>
      <c r="CX609" s="31" t="s">
        <v>5874</v>
      </c>
      <c r="CY609" s="31" t="s">
        <v>5832</v>
      </c>
      <c r="CZ609" t="s">
        <v>11791</v>
      </c>
      <c r="DA609" t="s">
        <v>5904</v>
      </c>
      <c r="DB609">
        <v>763.8</v>
      </c>
      <c r="DC609" t="s">
        <v>31189</v>
      </c>
      <c r="DD609" t="s">
        <v>13772</v>
      </c>
      <c r="DE609" t="s">
        <v>31190</v>
      </c>
      <c r="DF609" t="s">
        <v>31191</v>
      </c>
      <c r="DG609" t="s">
        <v>31192</v>
      </c>
      <c r="DH609" t="str">
        <f>"VGF"</f>
        <v>VGF</v>
      </c>
      <c r="DI609" t="s">
        <v>13772</v>
      </c>
      <c r="DJ609" t="s">
        <v>13777</v>
      </c>
      <c r="DK609">
        <v>9606</v>
      </c>
      <c r="DL609" s="34" t="str">
        <f>HYPERLINK("http://www.uniprot.org/uniprot/O15240", "O15240")</f>
        <v>O15240</v>
      </c>
      <c r="DM609" t="s">
        <v>31193</v>
      </c>
      <c r="DN609" t="s">
        <v>13772</v>
      </c>
      <c r="DO609" t="s">
        <v>16982</v>
      </c>
      <c r="DP609" t="s">
        <v>13772</v>
      </c>
      <c r="DQ609" t="s">
        <v>13772</v>
      </c>
      <c r="DR609" t="s">
        <v>13772</v>
      </c>
      <c r="DS609" t="s">
        <v>13808</v>
      </c>
      <c r="DT609" t="s">
        <v>13772</v>
      </c>
      <c r="DU609" t="s">
        <v>31194</v>
      </c>
      <c r="DV609" t="s">
        <v>31195</v>
      </c>
      <c r="DW609" t="s">
        <v>13772</v>
      </c>
      <c r="DX609" t="s">
        <v>31196</v>
      </c>
      <c r="DY609" t="s">
        <v>31197</v>
      </c>
      <c r="DZ609" t="s">
        <v>31198</v>
      </c>
      <c r="EA609" t="s">
        <v>13772</v>
      </c>
      <c r="EB609" t="s">
        <v>17241</v>
      </c>
    </row>
    <row r="610" spans="1:132">
      <c r="A610">
        <v>2107</v>
      </c>
      <c r="B610">
        <v>1</v>
      </c>
      <c r="C610" t="s">
        <v>4946</v>
      </c>
      <c r="D610" t="s">
        <v>73</v>
      </c>
      <c r="E610" t="s">
        <v>73</v>
      </c>
      <c r="F610" t="s">
        <v>73</v>
      </c>
      <c r="G610" t="s">
        <v>73</v>
      </c>
      <c r="H610">
        <v>45.4</v>
      </c>
      <c r="I610">
        <v>262</v>
      </c>
      <c r="J610">
        <v>29852</v>
      </c>
      <c r="K610" t="s">
        <v>4947</v>
      </c>
      <c r="L610">
        <f t="shared" si="38"/>
        <v>56</v>
      </c>
      <c r="N610">
        <v>56</v>
      </c>
      <c r="O610">
        <v>56</v>
      </c>
      <c r="P610">
        <v>1</v>
      </c>
      <c r="Q610">
        <v>1</v>
      </c>
      <c r="R610">
        <v>3</v>
      </c>
      <c r="S610">
        <v>1</v>
      </c>
      <c r="T610">
        <v>4</v>
      </c>
      <c r="U610">
        <v>2</v>
      </c>
      <c r="V610">
        <v>1</v>
      </c>
      <c r="W610">
        <v>4</v>
      </c>
      <c r="X610">
        <v>3</v>
      </c>
      <c r="Y610">
        <v>7</v>
      </c>
      <c r="Z610">
        <v>1</v>
      </c>
      <c r="AA610">
        <v>7</v>
      </c>
      <c r="AB610">
        <v>7</v>
      </c>
      <c r="AC610">
        <v>1</v>
      </c>
      <c r="AD610">
        <v>2</v>
      </c>
      <c r="AE610">
        <v>2</v>
      </c>
      <c r="AF610">
        <v>1</v>
      </c>
      <c r="AG610">
        <v>6</v>
      </c>
      <c r="AH610">
        <v>1</v>
      </c>
      <c r="AI610">
        <v>2</v>
      </c>
      <c r="AJ610">
        <v>1</v>
      </c>
      <c r="AK610">
        <v>3</v>
      </c>
      <c r="AL610">
        <v>1</v>
      </c>
      <c r="AM610">
        <v>4</v>
      </c>
      <c r="AN610">
        <v>2</v>
      </c>
      <c r="AO610">
        <v>1</v>
      </c>
      <c r="AP610">
        <v>4</v>
      </c>
      <c r="AQ610">
        <v>3</v>
      </c>
      <c r="AR610">
        <v>7</v>
      </c>
      <c r="AS610">
        <v>1</v>
      </c>
      <c r="AT610">
        <v>7</v>
      </c>
      <c r="AU610">
        <v>7</v>
      </c>
      <c r="AV610">
        <v>1</v>
      </c>
      <c r="AW610">
        <v>2</v>
      </c>
      <c r="AX610">
        <v>2</v>
      </c>
      <c r="AY610">
        <v>1</v>
      </c>
      <c r="AZ610">
        <v>6</v>
      </c>
      <c r="BA610">
        <v>1</v>
      </c>
      <c r="BB610">
        <v>2</v>
      </c>
      <c r="BC610" s="2">
        <v>1</v>
      </c>
      <c r="BD610" s="2">
        <v>3</v>
      </c>
      <c r="BE610" s="2">
        <v>1</v>
      </c>
      <c r="BF610" s="2">
        <v>4</v>
      </c>
      <c r="BG610" s="2">
        <v>2</v>
      </c>
      <c r="BH610" s="2">
        <v>1</v>
      </c>
      <c r="BI610" s="2">
        <v>4</v>
      </c>
      <c r="BJ610" s="2">
        <v>3</v>
      </c>
      <c r="BK610" s="2">
        <v>7</v>
      </c>
      <c r="BL610" s="2">
        <v>1</v>
      </c>
      <c r="BM610" s="2">
        <v>7</v>
      </c>
      <c r="BN610" s="2">
        <v>7</v>
      </c>
      <c r="BO610" s="2">
        <v>1</v>
      </c>
      <c r="BP610" s="2">
        <v>2</v>
      </c>
      <c r="BQ610" s="2">
        <v>2</v>
      </c>
      <c r="BR610" s="2">
        <v>1</v>
      </c>
      <c r="BS610" s="2">
        <v>6</v>
      </c>
      <c r="BT610" s="2">
        <v>1</v>
      </c>
      <c r="BU610" s="2">
        <v>2</v>
      </c>
      <c r="BV610" s="2">
        <f t="shared" si="41"/>
        <v>56</v>
      </c>
      <c r="BW610" s="16">
        <f t="shared" si="39"/>
        <v>2.9473684210526314</v>
      </c>
      <c r="BX610" s="16">
        <f>COUNTIF($BC$6:BU610, "=0") / COUNTIF($BC$6:BU610, "&gt;-1")</f>
        <v>0.16154849934754242</v>
      </c>
      <c r="BY610" s="18">
        <f>SUM($BC$6:BU610) / $BY$4</f>
        <v>0.87830226637116959</v>
      </c>
      <c r="BZ610" s="14">
        <f t="shared" si="40"/>
        <v>0</v>
      </c>
      <c r="CA610" t="s">
        <v>5831</v>
      </c>
      <c r="CB610" s="36">
        <v>1.2116433958347299</v>
      </c>
      <c r="CC610" s="36">
        <v>2.8891923620323401</v>
      </c>
      <c r="CD610" s="36">
        <v>1.6007976618122599</v>
      </c>
      <c r="CE610" s="36">
        <v>6.0476870366129196</v>
      </c>
      <c r="CF610" s="36">
        <v>1.72035271987378</v>
      </c>
      <c r="CG610" s="36">
        <v>0.92972724663949102</v>
      </c>
      <c r="CH610" s="36">
        <v>4.21624913145856</v>
      </c>
      <c r="CI610" s="36">
        <v>2.9195507939469199</v>
      </c>
      <c r="CJ610" s="37">
        <v>5.5633080527147003</v>
      </c>
      <c r="CK610" s="37">
        <v>4.4145475282179998</v>
      </c>
      <c r="CL610" s="37">
        <v>5.6003804378713999</v>
      </c>
      <c r="CM610" s="37">
        <v>0.84654704659994096</v>
      </c>
      <c r="CN610" s="37">
        <v>1.8375851316302301</v>
      </c>
      <c r="CO610" s="37">
        <v>0.78919057038512497</v>
      </c>
      <c r="CP610" s="37">
        <v>9.0512402871745401</v>
      </c>
      <c r="CQ610" s="37">
        <v>3.0452736929492299</v>
      </c>
      <c r="CR610" s="45">
        <v>0.50151439796372099</v>
      </c>
      <c r="CS610" s="45">
        <v>1.44637952022261</v>
      </c>
      <c r="CT610" s="46">
        <v>0.40103714065111801</v>
      </c>
      <c r="CU610" s="47">
        <v>0.48341233710918502</v>
      </c>
      <c r="CV610" s="48">
        <v>2.6919000435263798</v>
      </c>
      <c r="CW610" s="49">
        <v>3.8935090934429</v>
      </c>
      <c r="CX610" s="31" t="s">
        <v>5874</v>
      </c>
      <c r="CY610" s="31" t="s">
        <v>5832</v>
      </c>
      <c r="CZ610" t="s">
        <v>12773</v>
      </c>
      <c r="DA610" t="s">
        <v>5904</v>
      </c>
      <c r="DB610">
        <v>394.8</v>
      </c>
      <c r="DC610" t="s">
        <v>33948</v>
      </c>
      <c r="DD610" t="s">
        <v>33949</v>
      </c>
      <c r="DE610" t="s">
        <v>33950</v>
      </c>
      <c r="DF610" t="s">
        <v>33951</v>
      </c>
      <c r="DG610" t="s">
        <v>33952</v>
      </c>
      <c r="DH610" t="str">
        <f>"NCCRP1"</f>
        <v>NCCRP1</v>
      </c>
      <c r="DI610" t="s">
        <v>33953</v>
      </c>
      <c r="DJ610" t="s">
        <v>13777</v>
      </c>
      <c r="DK610">
        <v>9606</v>
      </c>
      <c r="DL610" s="34" t="str">
        <f>HYPERLINK("http://www.uniprot.org/uniprot/Q6ZVX7", "Q6ZVX7")</f>
        <v>Q6ZVX7</v>
      </c>
      <c r="DM610" t="s">
        <v>33954</v>
      </c>
      <c r="DN610" t="s">
        <v>13772</v>
      </c>
      <c r="DO610" t="s">
        <v>13899</v>
      </c>
      <c r="DP610" t="s">
        <v>13772</v>
      </c>
      <c r="DQ610" t="s">
        <v>13772</v>
      </c>
      <c r="DR610" t="s">
        <v>13772</v>
      </c>
      <c r="DS610" t="s">
        <v>13772</v>
      </c>
      <c r="DT610" t="s">
        <v>13772</v>
      </c>
      <c r="DU610" t="s">
        <v>13772</v>
      </c>
      <c r="DV610" t="s">
        <v>13782</v>
      </c>
      <c r="DW610" t="s">
        <v>13772</v>
      </c>
      <c r="DX610" t="s">
        <v>33955</v>
      </c>
      <c r="DY610" t="s">
        <v>33956</v>
      </c>
      <c r="DZ610" t="s">
        <v>13772</v>
      </c>
      <c r="EA610" t="s">
        <v>13772</v>
      </c>
      <c r="EB610" t="s">
        <v>13772</v>
      </c>
    </row>
    <row r="611" spans="1:132" hidden="1">
      <c r="A611">
        <v>2336</v>
      </c>
      <c r="B611">
        <v>1</v>
      </c>
      <c r="C611" t="s">
        <v>5449</v>
      </c>
      <c r="D611" t="s">
        <v>73</v>
      </c>
      <c r="E611" t="s">
        <v>73</v>
      </c>
      <c r="F611" t="s">
        <v>73</v>
      </c>
      <c r="G611" t="s">
        <v>73</v>
      </c>
      <c r="H611">
        <v>50.4</v>
      </c>
      <c r="I611">
        <v>123</v>
      </c>
      <c r="J611">
        <v>13779</v>
      </c>
      <c r="K611" t="s">
        <v>5450</v>
      </c>
      <c r="L611">
        <f t="shared" si="38"/>
        <v>56</v>
      </c>
      <c r="N611">
        <v>56</v>
      </c>
      <c r="O611">
        <v>56</v>
      </c>
      <c r="P611">
        <v>1</v>
      </c>
      <c r="Q611">
        <v>2</v>
      </c>
      <c r="R611">
        <v>2</v>
      </c>
      <c r="S611">
        <v>0</v>
      </c>
      <c r="T611">
        <v>0</v>
      </c>
      <c r="U611">
        <v>4</v>
      </c>
      <c r="V611">
        <v>4</v>
      </c>
      <c r="W611">
        <v>2</v>
      </c>
      <c r="X611">
        <v>5</v>
      </c>
      <c r="Y611">
        <v>5</v>
      </c>
      <c r="Z611">
        <v>2</v>
      </c>
      <c r="AA611">
        <v>4</v>
      </c>
      <c r="AB611">
        <v>3</v>
      </c>
      <c r="AC611">
        <v>4</v>
      </c>
      <c r="AD611">
        <v>1</v>
      </c>
      <c r="AE611">
        <v>7</v>
      </c>
      <c r="AF611">
        <v>5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0</v>
      </c>
      <c r="AM611">
        <v>0</v>
      </c>
      <c r="AN611">
        <v>4</v>
      </c>
      <c r="AO611">
        <v>4</v>
      </c>
      <c r="AP611">
        <v>2</v>
      </c>
      <c r="AQ611">
        <v>5</v>
      </c>
      <c r="AR611">
        <v>5</v>
      </c>
      <c r="AS611">
        <v>2</v>
      </c>
      <c r="AT611">
        <v>4</v>
      </c>
      <c r="AU611">
        <v>3</v>
      </c>
      <c r="AV611">
        <v>4</v>
      </c>
      <c r="AW611">
        <v>1</v>
      </c>
      <c r="AX611">
        <v>7</v>
      </c>
      <c r="AY611">
        <v>5</v>
      </c>
      <c r="AZ611">
        <v>2</v>
      </c>
      <c r="BA611">
        <v>2</v>
      </c>
      <c r="BB611">
        <v>2</v>
      </c>
      <c r="BC611" s="2">
        <v>2</v>
      </c>
      <c r="BD611" s="2">
        <v>2</v>
      </c>
      <c r="BE611" s="2">
        <v>0</v>
      </c>
      <c r="BF611" s="2">
        <v>0</v>
      </c>
      <c r="BG611" s="2">
        <v>4</v>
      </c>
      <c r="BH611" s="2">
        <v>4</v>
      </c>
      <c r="BI611" s="2">
        <v>2</v>
      </c>
      <c r="BJ611" s="2">
        <v>5</v>
      </c>
      <c r="BK611" s="2">
        <v>5</v>
      </c>
      <c r="BL611" s="2">
        <v>2</v>
      </c>
      <c r="BM611" s="2">
        <v>4</v>
      </c>
      <c r="BN611" s="2">
        <v>3</v>
      </c>
      <c r="BO611" s="2">
        <v>4</v>
      </c>
      <c r="BP611" s="2">
        <v>1</v>
      </c>
      <c r="BQ611" s="2">
        <v>7</v>
      </c>
      <c r="BR611" s="2">
        <v>5</v>
      </c>
      <c r="BS611" s="2">
        <v>2</v>
      </c>
      <c r="BT611" s="2">
        <v>2</v>
      </c>
      <c r="BU611" s="2">
        <v>2</v>
      </c>
      <c r="BV611" s="2">
        <f t="shared" si="41"/>
        <v>56</v>
      </c>
      <c r="BW611" s="16">
        <f t="shared" si="39"/>
        <v>2.9473684210526314</v>
      </c>
      <c r="BX611" s="16">
        <f>COUNTIF($BC$6:BU611, "=0") / COUNTIF($BC$6:BU611, "&gt;-1")</f>
        <v>0.16145561924613513</v>
      </c>
      <c r="BY611" s="18">
        <f>SUM($BC$6:BU611) / $BY$4</f>
        <v>0.87854215003581682</v>
      </c>
      <c r="BZ611" s="14">
        <f t="shared" si="40"/>
        <v>2</v>
      </c>
      <c r="CA611" t="s">
        <v>5831</v>
      </c>
      <c r="CB611" s="36">
        <v>2.4232867916694598</v>
      </c>
      <c r="CC611" s="36">
        <v>1.9261282413548899</v>
      </c>
      <c r="CD611" s="36">
        <v>0.40019941545306398</v>
      </c>
      <c r="CE611" s="36">
        <v>0.37798043978830698</v>
      </c>
      <c r="CF611" s="36">
        <v>3.4407054397475698</v>
      </c>
      <c r="CG611" s="36">
        <v>3.7189089865579601</v>
      </c>
      <c r="CH611" s="36">
        <v>2.10812456572928</v>
      </c>
      <c r="CI611" s="36">
        <v>4.8659179899115301</v>
      </c>
      <c r="CJ611" s="37">
        <v>3.9737914662247902</v>
      </c>
      <c r="CK611" s="37">
        <v>2.5225985875531398</v>
      </c>
      <c r="CL611" s="37">
        <v>2.4001630448020301</v>
      </c>
      <c r="CM611" s="37">
        <v>3.3861881863997598</v>
      </c>
      <c r="CN611" s="37">
        <v>6.4315479607058004</v>
      </c>
      <c r="CO611" s="37">
        <v>3.94595285192562</v>
      </c>
      <c r="CP611" s="37">
        <v>3.0170800957248498</v>
      </c>
      <c r="CQ611" s="37">
        <v>3.0452736929492299</v>
      </c>
      <c r="CR611" s="45">
        <v>0.44216866345093098</v>
      </c>
      <c r="CS611" s="45">
        <v>1.49121127120015</v>
      </c>
      <c r="CT611" s="46">
        <v>0.37113998515565499</v>
      </c>
      <c r="CU611" s="47">
        <v>0.45391709336221803</v>
      </c>
      <c r="CV611" s="48">
        <v>2.4076564837765102</v>
      </c>
      <c r="CW611" s="49">
        <v>3.5903244857856502</v>
      </c>
      <c r="CX611" s="31" t="s">
        <v>5874</v>
      </c>
      <c r="CY611" s="31" t="s">
        <v>5832</v>
      </c>
      <c r="CZ611" t="s">
        <v>13514</v>
      </c>
      <c r="DA611" t="s">
        <v>5904</v>
      </c>
      <c r="DB611">
        <v>238.4</v>
      </c>
      <c r="DC611" t="s">
        <v>36017</v>
      </c>
      <c r="DD611" t="s">
        <v>36018</v>
      </c>
      <c r="DE611" t="s">
        <v>36019</v>
      </c>
      <c r="DF611" t="s">
        <v>36020</v>
      </c>
      <c r="DG611" t="s">
        <v>36021</v>
      </c>
      <c r="DH611" t="str">
        <f>"TXNDC17"</f>
        <v>TXNDC17</v>
      </c>
      <c r="DI611" t="s">
        <v>36022</v>
      </c>
      <c r="DJ611" t="s">
        <v>13777</v>
      </c>
      <c r="DK611">
        <v>9606</v>
      </c>
      <c r="DL611" s="34" t="str">
        <f>HYPERLINK("http://www.uniprot.org/uniprot/Q9BRA2", "Q9BRA2")</f>
        <v>Q9BRA2</v>
      </c>
      <c r="DM611" t="s">
        <v>36023</v>
      </c>
      <c r="DN611" t="s">
        <v>13772</v>
      </c>
      <c r="DO611" t="s">
        <v>13899</v>
      </c>
      <c r="DP611" t="s">
        <v>13772</v>
      </c>
      <c r="DQ611" t="s">
        <v>13772</v>
      </c>
      <c r="DR611" t="s">
        <v>13772</v>
      </c>
      <c r="DS611" t="s">
        <v>18188</v>
      </c>
      <c r="DT611" t="s">
        <v>13772</v>
      </c>
      <c r="DU611" t="s">
        <v>13772</v>
      </c>
      <c r="DV611" t="s">
        <v>16929</v>
      </c>
      <c r="DW611" t="s">
        <v>13812</v>
      </c>
      <c r="DX611" t="s">
        <v>36024</v>
      </c>
      <c r="DY611" t="s">
        <v>15111</v>
      </c>
      <c r="DZ611" t="s">
        <v>36025</v>
      </c>
      <c r="EA611" t="s">
        <v>13772</v>
      </c>
      <c r="EB611" t="s">
        <v>13772</v>
      </c>
    </row>
    <row r="612" spans="1:132" hidden="1">
      <c r="A612">
        <v>552</v>
      </c>
      <c r="B612">
        <v>1</v>
      </c>
      <c r="C612" t="s">
        <v>1377</v>
      </c>
      <c r="D612" t="s">
        <v>1378</v>
      </c>
      <c r="E612" t="s">
        <v>73</v>
      </c>
      <c r="F612" t="s">
        <v>73</v>
      </c>
      <c r="G612" t="s">
        <v>73</v>
      </c>
      <c r="H612">
        <v>34</v>
      </c>
      <c r="I612">
        <v>658</v>
      </c>
      <c r="J612">
        <v>71563</v>
      </c>
      <c r="K612" t="s">
        <v>1379</v>
      </c>
      <c r="L612">
        <f t="shared" si="38"/>
        <v>55</v>
      </c>
      <c r="N612">
        <v>55</v>
      </c>
      <c r="O612">
        <v>55</v>
      </c>
      <c r="P612">
        <v>1</v>
      </c>
      <c r="Q612">
        <v>3</v>
      </c>
      <c r="R612">
        <v>2</v>
      </c>
      <c r="S612">
        <v>7</v>
      </c>
      <c r="T612">
        <v>1</v>
      </c>
      <c r="U612">
        <v>1</v>
      </c>
      <c r="V612">
        <v>3</v>
      </c>
      <c r="W612">
        <v>14</v>
      </c>
      <c r="X612">
        <v>14</v>
      </c>
      <c r="Y612">
        <v>0</v>
      </c>
      <c r="Z612">
        <v>0</v>
      </c>
      <c r="AA612">
        <v>2</v>
      </c>
      <c r="AB612">
        <v>4</v>
      </c>
      <c r="AC612">
        <v>0</v>
      </c>
      <c r="AD612">
        <v>1</v>
      </c>
      <c r="AE612">
        <v>0</v>
      </c>
      <c r="AF612">
        <v>2</v>
      </c>
      <c r="AG612">
        <v>0</v>
      </c>
      <c r="AH612">
        <v>0</v>
      </c>
      <c r="AI612">
        <v>1</v>
      </c>
      <c r="AJ612">
        <v>3</v>
      </c>
      <c r="AK612">
        <v>2</v>
      </c>
      <c r="AL612">
        <v>7</v>
      </c>
      <c r="AM612">
        <v>1</v>
      </c>
      <c r="AN612">
        <v>1</v>
      </c>
      <c r="AO612">
        <v>3</v>
      </c>
      <c r="AP612">
        <v>14</v>
      </c>
      <c r="AQ612">
        <v>14</v>
      </c>
      <c r="AR612">
        <v>0</v>
      </c>
      <c r="AS612">
        <v>0</v>
      </c>
      <c r="AT612">
        <v>2</v>
      </c>
      <c r="AU612">
        <v>4</v>
      </c>
      <c r="AV612">
        <v>0</v>
      </c>
      <c r="AW612">
        <v>1</v>
      </c>
      <c r="AX612">
        <v>0</v>
      </c>
      <c r="AY612">
        <v>2</v>
      </c>
      <c r="AZ612">
        <v>0</v>
      </c>
      <c r="BA612">
        <v>0</v>
      </c>
      <c r="BB612">
        <v>1</v>
      </c>
      <c r="BC612" s="2">
        <v>3</v>
      </c>
      <c r="BD612" s="2">
        <v>2</v>
      </c>
      <c r="BE612" s="2">
        <v>7</v>
      </c>
      <c r="BF612" s="2">
        <v>1</v>
      </c>
      <c r="BG612" s="2">
        <v>1</v>
      </c>
      <c r="BH612" s="2">
        <v>3</v>
      </c>
      <c r="BI612" s="2">
        <v>14</v>
      </c>
      <c r="BJ612" s="2">
        <v>14</v>
      </c>
      <c r="BK612" s="2">
        <v>0</v>
      </c>
      <c r="BL612" s="2">
        <v>0</v>
      </c>
      <c r="BM612" s="2">
        <v>2</v>
      </c>
      <c r="BN612" s="2">
        <v>4</v>
      </c>
      <c r="BO612" s="2">
        <v>0</v>
      </c>
      <c r="BP612" s="2">
        <v>1</v>
      </c>
      <c r="BQ612" s="2">
        <v>0</v>
      </c>
      <c r="BR612" s="2">
        <v>2</v>
      </c>
      <c r="BS612" s="2">
        <v>0</v>
      </c>
      <c r="BT612" s="2">
        <v>0</v>
      </c>
      <c r="BU612" s="2">
        <v>1</v>
      </c>
      <c r="BV612" s="2">
        <f t="shared" si="41"/>
        <v>55</v>
      </c>
      <c r="BW612" s="16">
        <f t="shared" si="39"/>
        <v>2.8947368421052633</v>
      </c>
      <c r="BX612" s="16">
        <f>COUNTIF($BC$6:BU612, "=0") / COUNTIF($BC$6:BU612, "&gt;-1")</f>
        <v>0.16170987600797712</v>
      </c>
      <c r="BY612" s="18">
        <f>SUM($BC$6:BU612) / $BY$4</f>
        <v>0.87877775006359538</v>
      </c>
      <c r="BZ612" s="14">
        <f t="shared" si="40"/>
        <v>6</v>
      </c>
      <c r="CA612" t="s">
        <v>5831</v>
      </c>
      <c r="CB612" s="36">
        <v>3.6349301875041902</v>
      </c>
      <c r="CC612" s="36">
        <v>1.9261282413548899</v>
      </c>
      <c r="CD612" s="36">
        <v>11.2055836326858</v>
      </c>
      <c r="CE612" s="36">
        <v>1.5119217591532299</v>
      </c>
      <c r="CF612" s="36">
        <v>0.86017635993689201</v>
      </c>
      <c r="CG612" s="36">
        <v>2.7891817399184702</v>
      </c>
      <c r="CH612" s="36">
        <v>14.756871960105</v>
      </c>
      <c r="CI612" s="36">
        <v>13.6245703717523</v>
      </c>
      <c r="CJ612" s="37">
        <v>0.19868957331123899</v>
      </c>
      <c r="CK612" s="37">
        <v>1.2612992937765699</v>
      </c>
      <c r="CL612" s="37">
        <v>3.2002173930693698</v>
      </c>
      <c r="CM612" s="37">
        <v>0.21163676164998499</v>
      </c>
      <c r="CN612" s="37">
        <v>0.22969814145377901</v>
      </c>
      <c r="CO612" s="37">
        <v>1.5783811407702499</v>
      </c>
      <c r="CP612" s="37">
        <v>0.377135011965606</v>
      </c>
      <c r="CQ612" s="37">
        <v>1.5226368464746201</v>
      </c>
      <c r="CR612" s="45">
        <v>-2.38378888353451</v>
      </c>
      <c r="CS612" s="45">
        <v>-5.8637712836513201</v>
      </c>
      <c r="CT612" s="46">
        <v>6.8714550759964505E-4</v>
      </c>
      <c r="CU612" s="47">
        <v>1.6129836652075901E-3</v>
      </c>
      <c r="CV612" s="48">
        <v>6.2886705315513396</v>
      </c>
      <c r="CW612" s="49">
        <v>1.0724617703089301</v>
      </c>
      <c r="CX612" s="31" t="s">
        <v>5875</v>
      </c>
      <c r="CY612" s="31" t="s">
        <v>5876</v>
      </c>
      <c r="CZ612" t="s">
        <v>7608</v>
      </c>
      <c r="DA612" t="s">
        <v>5904</v>
      </c>
      <c r="DB612">
        <v>1020.8</v>
      </c>
      <c r="DC612" t="s">
        <v>19210</v>
      </c>
      <c r="DD612" t="s">
        <v>19211</v>
      </c>
      <c r="DE612" t="s">
        <v>19212</v>
      </c>
      <c r="DF612" t="s">
        <v>19213</v>
      </c>
      <c r="DG612" t="s">
        <v>19214</v>
      </c>
      <c r="DH612" t="str">
        <f>"MCAM"</f>
        <v>MCAM</v>
      </c>
      <c r="DI612" t="s">
        <v>19215</v>
      </c>
      <c r="DJ612" t="s">
        <v>13777</v>
      </c>
      <c r="DK612">
        <v>9606</v>
      </c>
      <c r="DL612" s="34" t="str">
        <f>HYPERLINK("http://www.uniprot.org/uniprot/P43121", "P43121")</f>
        <v>P43121</v>
      </c>
      <c r="DM612" t="s">
        <v>19216</v>
      </c>
      <c r="DN612" t="s">
        <v>13949</v>
      </c>
      <c r="DO612" t="s">
        <v>13825</v>
      </c>
      <c r="DP612" t="s">
        <v>13780</v>
      </c>
      <c r="DQ612" t="s">
        <v>13772</v>
      </c>
      <c r="DR612" t="s">
        <v>13772</v>
      </c>
      <c r="DS612" t="s">
        <v>13951</v>
      </c>
      <c r="DT612" t="s">
        <v>13772</v>
      </c>
      <c r="DU612" t="s">
        <v>13772</v>
      </c>
      <c r="DV612" t="s">
        <v>13964</v>
      </c>
      <c r="DW612" t="s">
        <v>13772</v>
      </c>
      <c r="DX612" t="s">
        <v>19217</v>
      </c>
      <c r="DY612" t="s">
        <v>19218</v>
      </c>
      <c r="DZ612" t="s">
        <v>13772</v>
      </c>
      <c r="EA612" t="s">
        <v>13772</v>
      </c>
      <c r="EB612" t="s">
        <v>13772</v>
      </c>
    </row>
    <row r="613" spans="1:132" hidden="1">
      <c r="A613">
        <v>952</v>
      </c>
      <c r="B613">
        <v>1</v>
      </c>
      <c r="C613" t="s">
        <v>2317</v>
      </c>
      <c r="D613" t="s">
        <v>73</v>
      </c>
      <c r="E613" t="s">
        <v>73</v>
      </c>
      <c r="F613" t="s">
        <v>73</v>
      </c>
      <c r="G613" t="s">
        <v>73</v>
      </c>
      <c r="H613">
        <v>32.5</v>
      </c>
      <c r="I613">
        <v>271</v>
      </c>
      <c r="J613">
        <v>30341</v>
      </c>
      <c r="K613" t="s">
        <v>2318</v>
      </c>
      <c r="L613">
        <f t="shared" si="38"/>
        <v>55</v>
      </c>
      <c r="N613">
        <v>55</v>
      </c>
      <c r="O613">
        <v>55</v>
      </c>
      <c r="P613">
        <v>1</v>
      </c>
      <c r="Q613">
        <v>0</v>
      </c>
      <c r="R613">
        <v>0</v>
      </c>
      <c r="S613">
        <v>3</v>
      </c>
      <c r="T613">
        <v>3</v>
      </c>
      <c r="U613">
        <v>1</v>
      </c>
      <c r="V613">
        <v>5</v>
      </c>
      <c r="W613">
        <v>1</v>
      </c>
      <c r="X613">
        <v>1</v>
      </c>
      <c r="Y613">
        <v>10</v>
      </c>
      <c r="Z613">
        <v>0</v>
      </c>
      <c r="AA613">
        <v>5</v>
      </c>
      <c r="AB613">
        <v>3</v>
      </c>
      <c r="AC613">
        <v>1</v>
      </c>
      <c r="AD613">
        <v>0</v>
      </c>
      <c r="AE613">
        <v>7</v>
      </c>
      <c r="AF613">
        <v>10</v>
      </c>
      <c r="AG613">
        <v>2</v>
      </c>
      <c r="AH613">
        <v>0</v>
      </c>
      <c r="AI613">
        <v>3</v>
      </c>
      <c r="AJ613">
        <v>0</v>
      </c>
      <c r="AK613">
        <v>0</v>
      </c>
      <c r="AL613">
        <v>3</v>
      </c>
      <c r="AM613">
        <v>3</v>
      </c>
      <c r="AN613">
        <v>1</v>
      </c>
      <c r="AO613">
        <v>5</v>
      </c>
      <c r="AP613">
        <v>1</v>
      </c>
      <c r="AQ613">
        <v>1</v>
      </c>
      <c r="AR613">
        <v>10</v>
      </c>
      <c r="AS613">
        <v>0</v>
      </c>
      <c r="AT613">
        <v>5</v>
      </c>
      <c r="AU613">
        <v>3</v>
      </c>
      <c r="AV613">
        <v>1</v>
      </c>
      <c r="AW613">
        <v>0</v>
      </c>
      <c r="AX613">
        <v>7</v>
      </c>
      <c r="AY613">
        <v>10</v>
      </c>
      <c r="AZ613">
        <v>2</v>
      </c>
      <c r="BA613">
        <v>0</v>
      </c>
      <c r="BB613">
        <v>3</v>
      </c>
      <c r="BC613" s="2">
        <v>0</v>
      </c>
      <c r="BD613" s="2">
        <v>0</v>
      </c>
      <c r="BE613" s="2">
        <v>3</v>
      </c>
      <c r="BF613" s="2">
        <v>3</v>
      </c>
      <c r="BG613" s="2">
        <v>1</v>
      </c>
      <c r="BH613" s="2">
        <v>5</v>
      </c>
      <c r="BI613" s="2">
        <v>1</v>
      </c>
      <c r="BJ613" s="2">
        <v>1</v>
      </c>
      <c r="BK613" s="2">
        <v>10</v>
      </c>
      <c r="BL613" s="2">
        <v>0</v>
      </c>
      <c r="BM613" s="2">
        <v>5</v>
      </c>
      <c r="BN613" s="2">
        <v>3</v>
      </c>
      <c r="BO613" s="2">
        <v>1</v>
      </c>
      <c r="BP613" s="2">
        <v>0</v>
      </c>
      <c r="BQ613" s="2">
        <v>7</v>
      </c>
      <c r="BR613" s="2">
        <v>10</v>
      </c>
      <c r="BS613" s="2">
        <v>2</v>
      </c>
      <c r="BT613" s="2">
        <v>0</v>
      </c>
      <c r="BU613" s="2">
        <v>3</v>
      </c>
      <c r="BV613" s="2">
        <f t="shared" si="41"/>
        <v>55</v>
      </c>
      <c r="BW613" s="16">
        <f t="shared" si="39"/>
        <v>2.8947368421052633</v>
      </c>
      <c r="BX613" s="16">
        <f>COUNTIF($BC$6:BU613, "=0") / COUNTIF($BC$6:BU613, "&gt;-1")</f>
        <v>0.16187673130193905</v>
      </c>
      <c r="BY613" s="18">
        <f>SUM($BC$6:BU613) / $BY$4</f>
        <v>0.87901335009137394</v>
      </c>
      <c r="BZ613" s="14">
        <f t="shared" si="40"/>
        <v>5</v>
      </c>
      <c r="CA613" t="s">
        <v>5831</v>
      </c>
      <c r="CB613" s="36">
        <v>0.30291084895868198</v>
      </c>
      <c r="CC613" s="36">
        <v>0.24076603016936199</v>
      </c>
      <c r="CD613" s="36">
        <v>4.8023929854367697</v>
      </c>
      <c r="CE613" s="36">
        <v>4.5357652774596904</v>
      </c>
      <c r="CF613" s="36">
        <v>0.86017635993689201</v>
      </c>
      <c r="CG613" s="36">
        <v>4.6486362331974602</v>
      </c>
      <c r="CH613" s="36">
        <v>1.05406228286464</v>
      </c>
      <c r="CI613" s="36">
        <v>0.97318359798230603</v>
      </c>
      <c r="CJ613" s="37">
        <v>7.9475829324495697</v>
      </c>
      <c r="CK613" s="37">
        <v>3.1532482344414299</v>
      </c>
      <c r="CL613" s="37">
        <v>2.4001630448020301</v>
      </c>
      <c r="CM613" s="37">
        <v>0.84654704659994096</v>
      </c>
      <c r="CN613" s="37">
        <v>6.4315479607058004</v>
      </c>
      <c r="CO613" s="37">
        <v>7.8919057038512497</v>
      </c>
      <c r="CP613" s="37">
        <v>3.0170800957248498</v>
      </c>
      <c r="CQ613" s="37">
        <v>4.5679105394238499</v>
      </c>
      <c r="CR613" s="45">
        <v>1.1208393130593199</v>
      </c>
      <c r="CS613" s="45">
        <v>2.0815367436095702</v>
      </c>
      <c r="CT613" s="46">
        <v>7.6779465607289904E-2</v>
      </c>
      <c r="CU613" s="47">
        <v>0.112891126354455</v>
      </c>
      <c r="CV613" s="48">
        <v>2.1772367020007302</v>
      </c>
      <c r="CW613" s="49">
        <v>4.53199819474984</v>
      </c>
      <c r="CX613" s="31" t="s">
        <v>5874</v>
      </c>
      <c r="CY613" s="31" t="s">
        <v>5832</v>
      </c>
      <c r="CZ613" t="s">
        <v>8957</v>
      </c>
      <c r="DA613" t="s">
        <v>5904</v>
      </c>
      <c r="DB613">
        <v>545.79999999999995</v>
      </c>
      <c r="DC613" t="s">
        <v>23165</v>
      </c>
      <c r="DD613" t="s">
        <v>13772</v>
      </c>
      <c r="DE613" t="s">
        <v>23166</v>
      </c>
      <c r="DF613" t="s">
        <v>23167</v>
      </c>
      <c r="DG613" t="s">
        <v>23168</v>
      </c>
      <c r="DH613" t="str">
        <f>"IGFBP5"</f>
        <v>IGFBP5</v>
      </c>
      <c r="DI613" t="s">
        <v>23169</v>
      </c>
      <c r="DJ613" t="s">
        <v>13777</v>
      </c>
      <c r="DK613">
        <v>9606</v>
      </c>
      <c r="DL613" s="34" t="str">
        <f>HYPERLINK("http://www.uniprot.org/uniprot/P24593", "P24593")</f>
        <v>P24593</v>
      </c>
      <c r="DM613" t="s">
        <v>23170</v>
      </c>
      <c r="DN613" t="s">
        <v>13772</v>
      </c>
      <c r="DO613" t="s">
        <v>14321</v>
      </c>
      <c r="DP613" t="s">
        <v>13793</v>
      </c>
      <c r="DQ613" t="s">
        <v>13772</v>
      </c>
      <c r="DR613" t="s">
        <v>13772</v>
      </c>
      <c r="DS613" t="s">
        <v>13808</v>
      </c>
      <c r="DT613" t="s">
        <v>13772</v>
      </c>
      <c r="DU613" t="s">
        <v>16896</v>
      </c>
      <c r="DV613" t="s">
        <v>13964</v>
      </c>
      <c r="DW613" t="s">
        <v>13812</v>
      </c>
      <c r="DX613" t="s">
        <v>23171</v>
      </c>
      <c r="DY613" t="s">
        <v>23172</v>
      </c>
      <c r="DZ613" t="s">
        <v>23173</v>
      </c>
      <c r="EA613" t="s">
        <v>13772</v>
      </c>
      <c r="EB613" t="s">
        <v>17241</v>
      </c>
    </row>
    <row r="614" spans="1:132" hidden="1">
      <c r="A614">
        <v>1616</v>
      </c>
      <c r="B614">
        <v>1</v>
      </c>
      <c r="C614" t="s">
        <v>3830</v>
      </c>
      <c r="D614" t="s">
        <v>73</v>
      </c>
      <c r="E614" t="s">
        <v>73</v>
      </c>
      <c r="F614" t="s">
        <v>73</v>
      </c>
      <c r="G614" t="s">
        <v>73</v>
      </c>
      <c r="H614">
        <v>21.7</v>
      </c>
      <c r="I614">
        <v>1058</v>
      </c>
      <c r="J614">
        <v>118065</v>
      </c>
      <c r="K614" t="s">
        <v>3831</v>
      </c>
      <c r="L614">
        <f t="shared" si="38"/>
        <v>55</v>
      </c>
      <c r="N614">
        <v>55</v>
      </c>
      <c r="O614">
        <v>55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2</v>
      </c>
      <c r="V614">
        <v>1</v>
      </c>
      <c r="W614">
        <v>0</v>
      </c>
      <c r="X614">
        <v>2</v>
      </c>
      <c r="Y614">
        <v>10</v>
      </c>
      <c r="Z614">
        <v>0</v>
      </c>
      <c r="AA614">
        <v>21</v>
      </c>
      <c r="AB614">
        <v>6</v>
      </c>
      <c r="AC614">
        <v>4</v>
      </c>
      <c r="AD614">
        <v>0</v>
      </c>
      <c r="AE614">
        <v>5</v>
      </c>
      <c r="AF614">
        <v>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</v>
      </c>
      <c r="AO614">
        <v>1</v>
      </c>
      <c r="AP614">
        <v>0</v>
      </c>
      <c r="AQ614">
        <v>2</v>
      </c>
      <c r="AR614">
        <v>10</v>
      </c>
      <c r="AS614">
        <v>0</v>
      </c>
      <c r="AT614">
        <v>21</v>
      </c>
      <c r="AU614">
        <v>6</v>
      </c>
      <c r="AV614">
        <v>4</v>
      </c>
      <c r="AW614">
        <v>0</v>
      </c>
      <c r="AX614">
        <v>5</v>
      </c>
      <c r="AY614">
        <v>4</v>
      </c>
      <c r="AZ614">
        <v>0</v>
      </c>
      <c r="BA614">
        <v>0</v>
      </c>
      <c r="BB614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2</v>
      </c>
      <c r="BH614" s="2">
        <v>1</v>
      </c>
      <c r="BI614" s="2">
        <v>0</v>
      </c>
      <c r="BJ614" s="2">
        <v>2</v>
      </c>
      <c r="BK614" s="2">
        <v>10</v>
      </c>
      <c r="BL614" s="2">
        <v>0</v>
      </c>
      <c r="BM614" s="2">
        <v>21</v>
      </c>
      <c r="BN614" s="2">
        <v>6</v>
      </c>
      <c r="BO614" s="2">
        <v>4</v>
      </c>
      <c r="BP614" s="2">
        <v>0</v>
      </c>
      <c r="BQ614" s="2">
        <v>5</v>
      </c>
      <c r="BR614" s="2">
        <v>4</v>
      </c>
      <c r="BS614" s="2">
        <v>0</v>
      </c>
      <c r="BT614" s="2">
        <v>0</v>
      </c>
      <c r="BU614" s="2">
        <v>0</v>
      </c>
      <c r="BV614" s="2">
        <f t="shared" si="41"/>
        <v>55</v>
      </c>
      <c r="BW614" s="16">
        <f t="shared" si="39"/>
        <v>2.8947368421052633</v>
      </c>
      <c r="BX614" s="16">
        <f>COUNTIF($BC$6:BU614, "=0") / COUNTIF($BC$6:BU614, "&gt;-1")</f>
        <v>0.16247515340074323</v>
      </c>
      <c r="BY614" s="18">
        <f>SUM($BC$6:BU614) / $BY$4</f>
        <v>0.87924895011915249</v>
      </c>
      <c r="BZ614" s="14">
        <f t="shared" si="40"/>
        <v>10</v>
      </c>
      <c r="CA614" t="s">
        <v>5831</v>
      </c>
      <c r="CB614" s="36">
        <v>0.30291084895868198</v>
      </c>
      <c r="CC614" s="36">
        <v>0.24076603016936199</v>
      </c>
      <c r="CD614" s="36">
        <v>0.40019941545306398</v>
      </c>
      <c r="CE614" s="36">
        <v>0.37798043978830698</v>
      </c>
      <c r="CF614" s="36">
        <v>1.72035271987378</v>
      </c>
      <c r="CG614" s="36">
        <v>0.92972724663949102</v>
      </c>
      <c r="CH614" s="36">
        <v>0.26351557071616</v>
      </c>
      <c r="CI614" s="36">
        <v>1.9463671959646101</v>
      </c>
      <c r="CJ614" s="37">
        <v>7.9475829324495697</v>
      </c>
      <c r="CK614" s="37">
        <v>13.243642584653999</v>
      </c>
      <c r="CL614" s="37">
        <v>4.8003260896040603</v>
      </c>
      <c r="CM614" s="37">
        <v>3.3861881863997598</v>
      </c>
      <c r="CN614" s="37">
        <v>4.5939628290755703</v>
      </c>
      <c r="CO614" s="37">
        <v>3.1567622815404999</v>
      </c>
      <c r="CP614" s="37">
        <v>0.377135011965606</v>
      </c>
      <c r="CQ614" s="37">
        <v>0.38065921161865401</v>
      </c>
      <c r="CR614" s="45">
        <v>2.4374488872900701</v>
      </c>
      <c r="CS614" s="45">
        <v>6.1286582900228899</v>
      </c>
      <c r="CT614" s="46">
        <v>4.0162944060535702E-4</v>
      </c>
      <c r="CU614" s="47">
        <v>9.878312344300871E-4</v>
      </c>
      <c r="CV614" s="48">
        <v>0.77272743344543304</v>
      </c>
      <c r="CW614" s="49">
        <v>4.7357823909134602</v>
      </c>
      <c r="CX614" s="31" t="s">
        <v>5874</v>
      </c>
      <c r="CY614" s="31" t="s">
        <v>5876</v>
      </c>
      <c r="CZ614" t="s">
        <v>11133</v>
      </c>
      <c r="DA614" t="s">
        <v>5904</v>
      </c>
      <c r="DB614">
        <v>2156.3000000000002</v>
      </c>
      <c r="DC614" t="s">
        <v>29283</v>
      </c>
      <c r="DD614" t="s">
        <v>29284</v>
      </c>
      <c r="DE614" t="s">
        <v>29285</v>
      </c>
      <c r="DF614" t="s">
        <v>29286</v>
      </c>
      <c r="DG614" t="s">
        <v>29287</v>
      </c>
      <c r="DH614" t="str">
        <f>"UBA1"</f>
        <v>UBA1</v>
      </c>
      <c r="DI614" t="s">
        <v>29288</v>
      </c>
      <c r="DJ614" t="s">
        <v>13777</v>
      </c>
      <c r="DK614">
        <v>9606</v>
      </c>
      <c r="DL614" s="34" t="str">
        <f>HYPERLINK("http://www.uniprot.org/uniprot/P22314", "P22314")</f>
        <v>P22314</v>
      </c>
      <c r="DM614" t="s">
        <v>29289</v>
      </c>
      <c r="DN614" t="s">
        <v>14109</v>
      </c>
      <c r="DO614" t="s">
        <v>19098</v>
      </c>
      <c r="DP614" t="s">
        <v>29290</v>
      </c>
      <c r="DQ614" t="s">
        <v>13772</v>
      </c>
      <c r="DR614" t="s">
        <v>22610</v>
      </c>
      <c r="DS614" t="s">
        <v>14096</v>
      </c>
      <c r="DT614" t="s">
        <v>14005</v>
      </c>
      <c r="DU614" t="s">
        <v>21123</v>
      </c>
      <c r="DV614" t="s">
        <v>19111</v>
      </c>
      <c r="DW614" t="s">
        <v>13812</v>
      </c>
      <c r="DX614" t="s">
        <v>29291</v>
      </c>
      <c r="DY614" t="s">
        <v>29292</v>
      </c>
      <c r="DZ614" t="s">
        <v>29293</v>
      </c>
      <c r="EA614" t="s">
        <v>14116</v>
      </c>
      <c r="EB614" t="s">
        <v>29294</v>
      </c>
    </row>
    <row r="615" spans="1:132" hidden="1">
      <c r="A615">
        <v>1653</v>
      </c>
      <c r="B615">
        <v>1</v>
      </c>
      <c r="C615" t="s">
        <v>3919</v>
      </c>
      <c r="D615" t="s">
        <v>3920</v>
      </c>
      <c r="E615" t="s">
        <v>73</v>
      </c>
      <c r="F615" t="s">
        <v>73</v>
      </c>
      <c r="G615" t="s">
        <v>73</v>
      </c>
      <c r="H615">
        <v>31.9</v>
      </c>
      <c r="I615">
        <v>351</v>
      </c>
      <c r="J615">
        <v>39432</v>
      </c>
      <c r="K615" t="s">
        <v>3921</v>
      </c>
      <c r="L615">
        <f t="shared" si="38"/>
        <v>55</v>
      </c>
      <c r="N615">
        <v>55</v>
      </c>
      <c r="O615">
        <v>55</v>
      </c>
      <c r="P615">
        <v>1</v>
      </c>
      <c r="Q615">
        <v>7</v>
      </c>
      <c r="R615">
        <v>8</v>
      </c>
      <c r="S615">
        <v>2</v>
      </c>
      <c r="T615">
        <v>3</v>
      </c>
      <c r="U615">
        <v>3</v>
      </c>
      <c r="V615">
        <v>2</v>
      </c>
      <c r="W615">
        <v>2</v>
      </c>
      <c r="X615">
        <v>1</v>
      </c>
      <c r="Y615">
        <v>5</v>
      </c>
      <c r="Z615">
        <v>0</v>
      </c>
      <c r="AA615">
        <v>11</v>
      </c>
      <c r="AB615">
        <v>2</v>
      </c>
      <c r="AC615">
        <v>4</v>
      </c>
      <c r="AD615">
        <v>0</v>
      </c>
      <c r="AE615">
        <v>1</v>
      </c>
      <c r="AF615">
        <v>4</v>
      </c>
      <c r="AG615">
        <v>0</v>
      </c>
      <c r="AH615">
        <v>0</v>
      </c>
      <c r="AI615">
        <v>0</v>
      </c>
      <c r="AJ615">
        <v>7</v>
      </c>
      <c r="AK615">
        <v>8</v>
      </c>
      <c r="AL615">
        <v>2</v>
      </c>
      <c r="AM615">
        <v>3</v>
      </c>
      <c r="AN615">
        <v>3</v>
      </c>
      <c r="AO615">
        <v>2</v>
      </c>
      <c r="AP615">
        <v>2</v>
      </c>
      <c r="AQ615">
        <v>1</v>
      </c>
      <c r="AR615">
        <v>5</v>
      </c>
      <c r="AS615">
        <v>0</v>
      </c>
      <c r="AT615">
        <v>11</v>
      </c>
      <c r="AU615">
        <v>2</v>
      </c>
      <c r="AV615">
        <v>4</v>
      </c>
      <c r="AW615">
        <v>0</v>
      </c>
      <c r="AX615">
        <v>1</v>
      </c>
      <c r="AY615">
        <v>4</v>
      </c>
      <c r="AZ615">
        <v>0</v>
      </c>
      <c r="BA615">
        <v>0</v>
      </c>
      <c r="BB615">
        <v>0</v>
      </c>
      <c r="BC615" s="2">
        <v>7</v>
      </c>
      <c r="BD615" s="2">
        <v>8</v>
      </c>
      <c r="BE615" s="2">
        <v>2</v>
      </c>
      <c r="BF615" s="2">
        <v>3</v>
      </c>
      <c r="BG615" s="2">
        <v>3</v>
      </c>
      <c r="BH615" s="2">
        <v>2</v>
      </c>
      <c r="BI615" s="2">
        <v>2</v>
      </c>
      <c r="BJ615" s="2">
        <v>1</v>
      </c>
      <c r="BK615" s="2">
        <v>5</v>
      </c>
      <c r="BL615" s="2">
        <v>0</v>
      </c>
      <c r="BM615" s="2">
        <v>11</v>
      </c>
      <c r="BN615" s="2">
        <v>2</v>
      </c>
      <c r="BO615" s="2">
        <v>4</v>
      </c>
      <c r="BP615" s="2">
        <v>0</v>
      </c>
      <c r="BQ615" s="2">
        <v>1</v>
      </c>
      <c r="BR615" s="2">
        <v>4</v>
      </c>
      <c r="BS615" s="2">
        <v>0</v>
      </c>
      <c r="BT615" s="2">
        <v>0</v>
      </c>
      <c r="BU615" s="2">
        <v>0</v>
      </c>
      <c r="BV615" s="2">
        <f t="shared" si="41"/>
        <v>55</v>
      </c>
      <c r="BW615" s="16">
        <f t="shared" si="39"/>
        <v>2.8947368421052633</v>
      </c>
      <c r="BX615" s="16">
        <f>COUNTIF($BC$6:BU615, "=0") / COUNTIF($BC$6:BU615, "&gt;-1")</f>
        <v>0.16264020707506471</v>
      </c>
      <c r="BY615" s="18">
        <f>SUM($BC$6:BU615) / $BY$4</f>
        <v>0.87948455014693094</v>
      </c>
      <c r="BZ615" s="14">
        <f t="shared" si="40"/>
        <v>5</v>
      </c>
      <c r="CA615" t="s">
        <v>5831</v>
      </c>
      <c r="CB615" s="36">
        <v>8.4815037708430996</v>
      </c>
      <c r="CC615" s="36">
        <v>7.7045129654195703</v>
      </c>
      <c r="CD615" s="36">
        <v>3.2015953236245198</v>
      </c>
      <c r="CE615" s="36">
        <v>4.5357652774596904</v>
      </c>
      <c r="CF615" s="36">
        <v>2.5805290798106801</v>
      </c>
      <c r="CG615" s="36">
        <v>1.85945449327898</v>
      </c>
      <c r="CH615" s="36">
        <v>2.10812456572928</v>
      </c>
      <c r="CI615" s="36">
        <v>0.97318359798230603</v>
      </c>
      <c r="CJ615" s="37">
        <v>3.9737914662247902</v>
      </c>
      <c r="CK615" s="37">
        <v>6.9371461157711396</v>
      </c>
      <c r="CL615" s="37">
        <v>1.60010869653469</v>
      </c>
      <c r="CM615" s="37">
        <v>3.3861881863997598</v>
      </c>
      <c r="CN615" s="37">
        <v>0.91879256581511404</v>
      </c>
      <c r="CO615" s="37">
        <v>3.1567622815404999</v>
      </c>
      <c r="CP615" s="37">
        <v>0.377135011965606</v>
      </c>
      <c r="CQ615" s="37">
        <v>0.38065921161865401</v>
      </c>
      <c r="CR615" s="45">
        <v>-0.43062895099399501</v>
      </c>
      <c r="CS615" s="45">
        <v>-1.5168250821178899</v>
      </c>
      <c r="CT615" s="46">
        <v>0.37967004073148403</v>
      </c>
      <c r="CU615" s="47">
        <v>0.46181683136247798</v>
      </c>
      <c r="CV615" s="48">
        <v>3.9305836342685199</v>
      </c>
      <c r="CW615" s="49">
        <v>2.5913229419837802</v>
      </c>
      <c r="CX615" s="31" t="s">
        <v>5875</v>
      </c>
      <c r="CY615" s="31" t="s">
        <v>5832</v>
      </c>
      <c r="CZ615" t="s">
        <v>11259</v>
      </c>
      <c r="DA615" t="s">
        <v>5904</v>
      </c>
      <c r="DB615">
        <v>650.20000000000005</v>
      </c>
      <c r="DC615" t="s">
        <v>29656</v>
      </c>
      <c r="DD615" t="s">
        <v>29657</v>
      </c>
      <c r="DE615" t="s">
        <v>29658</v>
      </c>
      <c r="DF615" t="s">
        <v>29659</v>
      </c>
      <c r="DG615" t="s">
        <v>29660</v>
      </c>
      <c r="DH615" t="str">
        <f>"ATP6AP2"</f>
        <v>ATP6AP2</v>
      </c>
      <c r="DI615" t="s">
        <v>29661</v>
      </c>
      <c r="DJ615" t="s">
        <v>13777</v>
      </c>
      <c r="DK615">
        <v>9606</v>
      </c>
      <c r="DL615" s="34" t="str">
        <f>HYPERLINK("http://www.uniprot.org/uniprot/O75787", "O75787")</f>
        <v>O75787</v>
      </c>
      <c r="DM615" t="s">
        <v>29662</v>
      </c>
      <c r="DN615" t="s">
        <v>13772</v>
      </c>
      <c r="DO615" t="s">
        <v>13825</v>
      </c>
      <c r="DP615" t="s">
        <v>13780</v>
      </c>
      <c r="DQ615" t="s">
        <v>13772</v>
      </c>
      <c r="DR615" t="s">
        <v>29663</v>
      </c>
      <c r="DS615" t="s">
        <v>13855</v>
      </c>
      <c r="DT615" t="s">
        <v>13772</v>
      </c>
      <c r="DU615" t="s">
        <v>13795</v>
      </c>
      <c r="DV615" t="s">
        <v>13782</v>
      </c>
      <c r="DW615" t="s">
        <v>13812</v>
      </c>
      <c r="DX615" t="s">
        <v>29664</v>
      </c>
      <c r="DY615" t="s">
        <v>29665</v>
      </c>
      <c r="DZ615" t="s">
        <v>19331</v>
      </c>
      <c r="EA615" t="s">
        <v>13772</v>
      </c>
      <c r="EB615" t="s">
        <v>16433</v>
      </c>
    </row>
    <row r="616" spans="1:132" hidden="1">
      <c r="A616">
        <v>1803</v>
      </c>
      <c r="B616">
        <v>1</v>
      </c>
      <c r="C616" t="s">
        <v>4263</v>
      </c>
      <c r="D616" t="s">
        <v>73</v>
      </c>
      <c r="E616" t="s">
        <v>73</v>
      </c>
      <c r="F616" t="s">
        <v>73</v>
      </c>
      <c r="G616" t="s">
        <v>73</v>
      </c>
      <c r="H616">
        <v>68.599999999999994</v>
      </c>
      <c r="I616">
        <v>194</v>
      </c>
      <c r="J616">
        <v>21738</v>
      </c>
      <c r="K616" t="s">
        <v>4264</v>
      </c>
      <c r="L616">
        <f t="shared" si="38"/>
        <v>55</v>
      </c>
      <c r="N616">
        <v>55</v>
      </c>
      <c r="O616">
        <v>55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10</v>
      </c>
      <c r="Z616">
        <v>1</v>
      </c>
      <c r="AA616">
        <v>14</v>
      </c>
      <c r="AB616">
        <v>3</v>
      </c>
      <c r="AC616">
        <v>5</v>
      </c>
      <c r="AD616">
        <v>0</v>
      </c>
      <c r="AE616">
        <v>5</v>
      </c>
      <c r="AF616">
        <v>11</v>
      </c>
      <c r="AG616">
        <v>4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10</v>
      </c>
      <c r="AS616">
        <v>1</v>
      </c>
      <c r="AT616">
        <v>14</v>
      </c>
      <c r="AU616">
        <v>3</v>
      </c>
      <c r="AV616">
        <v>5</v>
      </c>
      <c r="AW616">
        <v>0</v>
      </c>
      <c r="AX616">
        <v>5</v>
      </c>
      <c r="AY616">
        <v>11</v>
      </c>
      <c r="AZ616">
        <v>4</v>
      </c>
      <c r="BA616">
        <v>0</v>
      </c>
      <c r="BB616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10</v>
      </c>
      <c r="BL616" s="2">
        <v>1</v>
      </c>
      <c r="BM616" s="2">
        <v>14</v>
      </c>
      <c r="BN616" s="2">
        <v>3</v>
      </c>
      <c r="BO616" s="2">
        <v>5</v>
      </c>
      <c r="BP616" s="2">
        <v>0</v>
      </c>
      <c r="BQ616" s="2">
        <v>5</v>
      </c>
      <c r="BR616" s="2">
        <v>11</v>
      </c>
      <c r="BS616" s="2">
        <v>4</v>
      </c>
      <c r="BT616" s="2">
        <v>0</v>
      </c>
      <c r="BU616" s="2">
        <v>1</v>
      </c>
      <c r="BV616" s="2">
        <f t="shared" si="41"/>
        <v>55</v>
      </c>
      <c r="BW616" s="16">
        <f t="shared" si="39"/>
        <v>2.8947368421052633</v>
      </c>
      <c r="BX616" s="16">
        <f>COUNTIF($BC$6:BU616, "=0") / COUNTIF($BC$6:BU616, "&gt;-1")</f>
        <v>0.16314928073046775</v>
      </c>
      <c r="BY616" s="18">
        <f>SUM($BC$6:BU616) / $BY$4</f>
        <v>0.8797201501747095</v>
      </c>
      <c r="BZ616" s="14">
        <f t="shared" si="40"/>
        <v>9</v>
      </c>
      <c r="CA616" t="s">
        <v>5831</v>
      </c>
      <c r="CB616" s="36">
        <v>1.2116433958347299</v>
      </c>
      <c r="CC616" s="36">
        <v>0.24076603016936199</v>
      </c>
      <c r="CD616" s="36">
        <v>0.40019941545306398</v>
      </c>
      <c r="CE616" s="36">
        <v>0.37798043978830698</v>
      </c>
      <c r="CF616" s="36">
        <v>0.215044089984223</v>
      </c>
      <c r="CG616" s="36">
        <v>0.23243181165987301</v>
      </c>
      <c r="CH616" s="36">
        <v>0.26351557071616</v>
      </c>
      <c r="CI616" s="36">
        <v>0.24329589949557701</v>
      </c>
      <c r="CJ616" s="37">
        <v>7.9475829324495697</v>
      </c>
      <c r="CK616" s="37">
        <v>8.8290950564359996</v>
      </c>
      <c r="CL616" s="37">
        <v>2.4001630448020301</v>
      </c>
      <c r="CM616" s="37">
        <v>4.2327352329997003</v>
      </c>
      <c r="CN616" s="37">
        <v>4.5939628290755703</v>
      </c>
      <c r="CO616" s="37">
        <v>8.6810962742363706</v>
      </c>
      <c r="CP616" s="37">
        <v>6.0341601914496898</v>
      </c>
      <c r="CQ616" s="37">
        <v>1.5226368464746201</v>
      </c>
      <c r="CR616" s="45">
        <v>3.5532407142724902</v>
      </c>
      <c r="CS616" s="45">
        <v>13.8910975923803</v>
      </c>
      <c r="CT616" s="46">
        <v>3.5043316432041402E-7</v>
      </c>
      <c r="CU616" s="47">
        <v>1.90601452788908E-6</v>
      </c>
      <c r="CV616" s="48">
        <v>0.39810958163766202</v>
      </c>
      <c r="CW616" s="49">
        <v>5.5301790509904398</v>
      </c>
      <c r="CX616" s="31" t="s">
        <v>5874</v>
      </c>
      <c r="CY616" s="31" t="s">
        <v>5876</v>
      </c>
      <c r="CZ616" t="s">
        <v>11762</v>
      </c>
      <c r="DA616" t="s">
        <v>5904</v>
      </c>
      <c r="DB616">
        <v>274.2</v>
      </c>
      <c r="DC616" t="s">
        <v>31107</v>
      </c>
      <c r="DD616" t="s">
        <v>31108</v>
      </c>
      <c r="DE616" t="s">
        <v>31109</v>
      </c>
      <c r="DF616" t="s">
        <v>31110</v>
      </c>
      <c r="DG616" t="s">
        <v>31111</v>
      </c>
      <c r="DH616" t="str">
        <f>"PYCARD"</f>
        <v>PYCARD</v>
      </c>
      <c r="DI616" t="s">
        <v>31112</v>
      </c>
      <c r="DJ616" t="s">
        <v>13777</v>
      </c>
      <c r="DK616">
        <v>9606</v>
      </c>
      <c r="DL616" s="34" t="str">
        <f>HYPERLINK("http://www.uniprot.org/uniprot/Q9ULZ3", "Q9ULZ3")</f>
        <v>Q9ULZ3</v>
      </c>
      <c r="DM616" t="s">
        <v>31113</v>
      </c>
      <c r="DN616" t="s">
        <v>31114</v>
      </c>
      <c r="DO616" t="s">
        <v>31115</v>
      </c>
      <c r="DP616" t="s">
        <v>13841</v>
      </c>
      <c r="DQ616" t="s">
        <v>13772</v>
      </c>
      <c r="DR616" t="s">
        <v>14505</v>
      </c>
      <c r="DS616" t="s">
        <v>13772</v>
      </c>
      <c r="DT616" t="s">
        <v>13772</v>
      </c>
      <c r="DU616" t="s">
        <v>13772</v>
      </c>
      <c r="DV616" t="s">
        <v>13782</v>
      </c>
      <c r="DW616" t="s">
        <v>13812</v>
      </c>
      <c r="DX616" t="s">
        <v>31116</v>
      </c>
      <c r="DY616" t="s">
        <v>31117</v>
      </c>
      <c r="DZ616" t="s">
        <v>31118</v>
      </c>
      <c r="EA616" t="s">
        <v>13772</v>
      </c>
      <c r="EB616" t="s">
        <v>31119</v>
      </c>
    </row>
    <row r="617" spans="1:132" hidden="1">
      <c r="A617">
        <v>2300</v>
      </c>
      <c r="B617">
        <v>1</v>
      </c>
      <c r="C617" t="s">
        <v>5371</v>
      </c>
      <c r="D617" t="s">
        <v>5372</v>
      </c>
      <c r="E617" t="s">
        <v>73</v>
      </c>
      <c r="F617" t="s">
        <v>73</v>
      </c>
      <c r="G617" t="s">
        <v>73</v>
      </c>
      <c r="H617">
        <v>22</v>
      </c>
      <c r="I617">
        <v>368</v>
      </c>
      <c r="J617">
        <v>39410</v>
      </c>
      <c r="K617" t="s">
        <v>5373</v>
      </c>
      <c r="L617">
        <f t="shared" si="38"/>
        <v>55</v>
      </c>
      <c r="N617">
        <v>55</v>
      </c>
      <c r="O617">
        <v>55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3</v>
      </c>
      <c r="V617">
        <v>5</v>
      </c>
      <c r="W617">
        <v>2</v>
      </c>
      <c r="X617">
        <v>3</v>
      </c>
      <c r="Y617">
        <v>5</v>
      </c>
      <c r="Z617">
        <v>0</v>
      </c>
      <c r="AA617">
        <v>6</v>
      </c>
      <c r="AB617">
        <v>7</v>
      </c>
      <c r="AC617">
        <v>4</v>
      </c>
      <c r="AD617">
        <v>2</v>
      </c>
      <c r="AE617">
        <v>7</v>
      </c>
      <c r="AF617">
        <v>2</v>
      </c>
      <c r="AG617">
        <v>3</v>
      </c>
      <c r="AH617">
        <v>2</v>
      </c>
      <c r="AI617">
        <v>2</v>
      </c>
      <c r="AJ617">
        <v>1</v>
      </c>
      <c r="AK617">
        <v>1</v>
      </c>
      <c r="AL617">
        <v>0</v>
      </c>
      <c r="AM617">
        <v>0</v>
      </c>
      <c r="AN617">
        <v>3</v>
      </c>
      <c r="AO617">
        <v>5</v>
      </c>
      <c r="AP617">
        <v>2</v>
      </c>
      <c r="AQ617">
        <v>3</v>
      </c>
      <c r="AR617">
        <v>5</v>
      </c>
      <c r="AS617">
        <v>0</v>
      </c>
      <c r="AT617">
        <v>6</v>
      </c>
      <c r="AU617">
        <v>7</v>
      </c>
      <c r="AV617">
        <v>4</v>
      </c>
      <c r="AW617">
        <v>2</v>
      </c>
      <c r="AX617">
        <v>7</v>
      </c>
      <c r="AY617">
        <v>2</v>
      </c>
      <c r="AZ617">
        <v>3</v>
      </c>
      <c r="BA617">
        <v>2</v>
      </c>
      <c r="BB617">
        <v>2</v>
      </c>
      <c r="BC617" s="2">
        <v>1</v>
      </c>
      <c r="BD617" s="2">
        <v>1</v>
      </c>
      <c r="BE617" s="2">
        <v>0</v>
      </c>
      <c r="BF617" s="2">
        <v>0</v>
      </c>
      <c r="BG617" s="2">
        <v>3</v>
      </c>
      <c r="BH617" s="2">
        <v>5</v>
      </c>
      <c r="BI617" s="2">
        <v>2</v>
      </c>
      <c r="BJ617" s="2">
        <v>3</v>
      </c>
      <c r="BK617" s="2">
        <v>5</v>
      </c>
      <c r="BL617" s="2">
        <v>0</v>
      </c>
      <c r="BM617" s="2">
        <v>6</v>
      </c>
      <c r="BN617" s="2">
        <v>7</v>
      </c>
      <c r="BO617" s="2">
        <v>4</v>
      </c>
      <c r="BP617" s="2">
        <v>2</v>
      </c>
      <c r="BQ617" s="2">
        <v>7</v>
      </c>
      <c r="BR617" s="2">
        <v>2</v>
      </c>
      <c r="BS617" s="2">
        <v>3</v>
      </c>
      <c r="BT617" s="2">
        <v>2</v>
      </c>
      <c r="BU617" s="2">
        <v>2</v>
      </c>
      <c r="BV617" s="2">
        <f t="shared" si="41"/>
        <v>55</v>
      </c>
      <c r="BW617" s="16">
        <f t="shared" si="39"/>
        <v>2.8947368421052633</v>
      </c>
      <c r="BX617" s="16">
        <f>COUNTIF($BC$6:BU617, "=0") / COUNTIF($BC$6:BU617, "&gt;-1")</f>
        <v>0.16314069487444099</v>
      </c>
      <c r="BY617" s="18">
        <f>SUM($BC$6:BU617) / $BY$4</f>
        <v>0.87995575020248806</v>
      </c>
      <c r="BZ617" s="14">
        <f t="shared" si="40"/>
        <v>3</v>
      </c>
      <c r="CA617" t="s">
        <v>5831</v>
      </c>
      <c r="CB617" s="36">
        <v>1.2116433958347299</v>
      </c>
      <c r="CC617" s="36">
        <v>0.96306412067744696</v>
      </c>
      <c r="CD617" s="36">
        <v>0.40019941545306398</v>
      </c>
      <c r="CE617" s="36">
        <v>0.37798043978830698</v>
      </c>
      <c r="CF617" s="36">
        <v>2.5805290798106801</v>
      </c>
      <c r="CG617" s="36">
        <v>4.6486362331974602</v>
      </c>
      <c r="CH617" s="36">
        <v>2.10812456572928</v>
      </c>
      <c r="CI617" s="36">
        <v>2.9195507939469199</v>
      </c>
      <c r="CJ617" s="37">
        <v>3.9737914662247902</v>
      </c>
      <c r="CK617" s="37">
        <v>3.7838978813297102</v>
      </c>
      <c r="CL617" s="37">
        <v>5.6003804378713999</v>
      </c>
      <c r="CM617" s="37">
        <v>3.3861881863997598</v>
      </c>
      <c r="CN617" s="37">
        <v>6.4315479607058004</v>
      </c>
      <c r="CO617" s="37">
        <v>1.5783811407702499</v>
      </c>
      <c r="CP617" s="37">
        <v>4.5256201435872701</v>
      </c>
      <c r="CQ617" s="37">
        <v>3.0452736929492299</v>
      </c>
      <c r="CR617" s="45">
        <v>0.92068528183309295</v>
      </c>
      <c r="CS617" s="45">
        <v>2.1252898681287999</v>
      </c>
      <c r="CT617" s="46">
        <v>5.8010282905617501E-2</v>
      </c>
      <c r="CU617" s="47">
        <v>8.8001993795596603E-2</v>
      </c>
      <c r="CV617" s="48">
        <v>1.90121600555473</v>
      </c>
      <c r="CW617" s="49">
        <v>4.0406351137297802</v>
      </c>
      <c r="CX617" s="31" t="s">
        <v>5874</v>
      </c>
      <c r="CY617" s="31" t="s">
        <v>5877</v>
      </c>
      <c r="CZ617" t="s">
        <v>13407</v>
      </c>
      <c r="DA617" t="s">
        <v>5904</v>
      </c>
      <c r="DB617">
        <v>358.2</v>
      </c>
      <c r="DC617" t="s">
        <v>35724</v>
      </c>
      <c r="DD617" t="s">
        <v>35725</v>
      </c>
      <c r="DE617" t="s">
        <v>35726</v>
      </c>
      <c r="DF617" t="s">
        <v>35727</v>
      </c>
      <c r="DG617" t="s">
        <v>35728</v>
      </c>
      <c r="DH617" t="str">
        <f>"CD300LG"</f>
        <v>CD300LG</v>
      </c>
      <c r="DI617" t="s">
        <v>35729</v>
      </c>
      <c r="DJ617" t="s">
        <v>13777</v>
      </c>
      <c r="DK617">
        <v>9606</v>
      </c>
      <c r="DL617" s="34" t="str">
        <f>HYPERLINK("http://www.uniprot.org/uniprot/Q6UXG3", "Q6UXG3")</f>
        <v>Q6UXG3</v>
      </c>
      <c r="DM617" t="s">
        <v>35730</v>
      </c>
      <c r="DN617" t="s">
        <v>13791</v>
      </c>
      <c r="DO617" t="s">
        <v>14348</v>
      </c>
      <c r="DP617" t="s">
        <v>13780</v>
      </c>
      <c r="DQ617" t="s">
        <v>13772</v>
      </c>
      <c r="DR617" t="s">
        <v>13772</v>
      </c>
      <c r="DS617" t="s">
        <v>13794</v>
      </c>
      <c r="DT617" t="s">
        <v>13772</v>
      </c>
      <c r="DU617" t="s">
        <v>13795</v>
      </c>
      <c r="DV617" t="s">
        <v>13796</v>
      </c>
      <c r="DW617" t="s">
        <v>13772</v>
      </c>
      <c r="DX617" t="s">
        <v>13797</v>
      </c>
      <c r="DY617" t="s">
        <v>35731</v>
      </c>
      <c r="DZ617" t="s">
        <v>13772</v>
      </c>
      <c r="EA617" t="s">
        <v>13772</v>
      </c>
      <c r="EB617" t="s">
        <v>13799</v>
      </c>
    </row>
    <row r="618" spans="1:132" hidden="1">
      <c r="A618">
        <v>2372</v>
      </c>
      <c r="B618">
        <v>1</v>
      </c>
      <c r="C618" t="s">
        <v>5527</v>
      </c>
      <c r="D618" t="s">
        <v>73</v>
      </c>
      <c r="E618" t="s">
        <v>73</v>
      </c>
      <c r="F618" t="s">
        <v>4180</v>
      </c>
      <c r="G618" t="s">
        <v>73</v>
      </c>
      <c r="H618">
        <v>19</v>
      </c>
      <c r="I618">
        <v>364</v>
      </c>
      <c r="J618">
        <v>39392</v>
      </c>
      <c r="K618" t="s">
        <v>5528</v>
      </c>
      <c r="L618">
        <f t="shared" si="38"/>
        <v>83</v>
      </c>
      <c r="N618">
        <v>83</v>
      </c>
      <c r="O618">
        <v>50</v>
      </c>
      <c r="P618">
        <v>0.60199999999999998</v>
      </c>
      <c r="Q618">
        <v>2</v>
      </c>
      <c r="R618">
        <v>2</v>
      </c>
      <c r="S618">
        <v>1</v>
      </c>
      <c r="T618">
        <v>1</v>
      </c>
      <c r="U618">
        <v>10</v>
      </c>
      <c r="V618">
        <v>3</v>
      </c>
      <c r="W618">
        <v>3</v>
      </c>
      <c r="X618">
        <v>5</v>
      </c>
      <c r="Y618">
        <v>11</v>
      </c>
      <c r="Z618">
        <v>2</v>
      </c>
      <c r="AA618">
        <v>5</v>
      </c>
      <c r="AB618">
        <v>6</v>
      </c>
      <c r="AC618">
        <v>8</v>
      </c>
      <c r="AD618">
        <v>5</v>
      </c>
      <c r="AE618">
        <v>6</v>
      </c>
      <c r="AF618">
        <v>5</v>
      </c>
      <c r="AG618">
        <v>3</v>
      </c>
      <c r="AH618">
        <v>2</v>
      </c>
      <c r="AI618">
        <v>3</v>
      </c>
      <c r="AJ618">
        <v>1</v>
      </c>
      <c r="AK618">
        <v>1</v>
      </c>
      <c r="AL618">
        <v>0</v>
      </c>
      <c r="AM618">
        <v>0</v>
      </c>
      <c r="AN618">
        <v>8</v>
      </c>
      <c r="AO618">
        <v>1</v>
      </c>
      <c r="AP618">
        <v>2</v>
      </c>
      <c r="AQ618">
        <v>4</v>
      </c>
      <c r="AR618">
        <v>6</v>
      </c>
      <c r="AS618">
        <v>2</v>
      </c>
      <c r="AT618">
        <v>3</v>
      </c>
      <c r="AU618">
        <v>4</v>
      </c>
      <c r="AV618">
        <v>4</v>
      </c>
      <c r="AW618">
        <v>3</v>
      </c>
      <c r="AX618">
        <v>2</v>
      </c>
      <c r="AY618">
        <v>4</v>
      </c>
      <c r="AZ618">
        <v>2</v>
      </c>
      <c r="BA618">
        <v>1</v>
      </c>
      <c r="BB618">
        <v>2</v>
      </c>
      <c r="BC618" s="2">
        <v>1.0620000000000001</v>
      </c>
      <c r="BD618" s="2">
        <v>1.036</v>
      </c>
      <c r="BE618" s="2">
        <v>0</v>
      </c>
      <c r="BF618" s="2">
        <v>0</v>
      </c>
      <c r="BG618" s="2">
        <v>8.2910000000000004</v>
      </c>
      <c r="BH618" s="2">
        <v>1.0569999999999999</v>
      </c>
      <c r="BI618" s="2">
        <v>2.0910000000000002</v>
      </c>
      <c r="BJ618" s="2">
        <v>4.1109999999999998</v>
      </c>
      <c r="BK618" s="2">
        <v>7.3040000000000003</v>
      </c>
      <c r="BL618" s="2">
        <v>2</v>
      </c>
      <c r="BM618" s="2">
        <v>3.2610000000000001</v>
      </c>
      <c r="BN618" s="2">
        <v>4.4000000000000004</v>
      </c>
      <c r="BO618" s="2">
        <v>4.8890000000000002</v>
      </c>
      <c r="BP618" s="2">
        <v>3.3330000000000002</v>
      </c>
      <c r="BQ618" s="2">
        <v>2.4710000000000001</v>
      </c>
      <c r="BR618" s="2">
        <v>4.1539999999999999</v>
      </c>
      <c r="BS618" s="2">
        <v>2.1539999999999999</v>
      </c>
      <c r="BT618" s="2">
        <v>1.2</v>
      </c>
      <c r="BU618" s="2">
        <v>2.1539999999999999</v>
      </c>
      <c r="BV618" s="2">
        <f t="shared" si="41"/>
        <v>54.967999999999989</v>
      </c>
      <c r="BW618" s="16">
        <f t="shared" si="39"/>
        <v>2.8930526315789469</v>
      </c>
      <c r="BX618" s="16">
        <f>COUNTIF($BC$6:BU618, "=0") / COUNTIF($BC$6:BU618, "&gt;-1")</f>
        <v>0.16304627801150512</v>
      </c>
      <c r="BY618" s="18">
        <f>SUM($BC$6:BU618) / $BY$4</f>
        <v>0.88019121315388682</v>
      </c>
      <c r="BZ618" s="14">
        <f t="shared" si="40"/>
        <v>2</v>
      </c>
      <c r="CA618" t="s">
        <v>5831</v>
      </c>
      <c r="CB618" s="36">
        <v>1.3328077354182</v>
      </c>
      <c r="CC618" s="36">
        <v>0.96306412067744696</v>
      </c>
      <c r="CD618" s="36">
        <v>0.40019941545306398</v>
      </c>
      <c r="CE618" s="36">
        <v>0.37798043978830698</v>
      </c>
      <c r="CF618" s="36">
        <v>7.1394637874762097</v>
      </c>
      <c r="CG618" s="36">
        <v>1.0226999713034399</v>
      </c>
      <c r="CH618" s="36">
        <v>2.21353079401575</v>
      </c>
      <c r="CI618" s="36">
        <v>3.99005275172745</v>
      </c>
      <c r="CJ618" s="37">
        <v>5.8017355406881901</v>
      </c>
      <c r="CK618" s="37">
        <v>2.08114383473134</v>
      </c>
      <c r="CL618" s="37">
        <v>3.52023913237631</v>
      </c>
      <c r="CM618" s="37">
        <v>4.14808052833971</v>
      </c>
      <c r="CN618" s="37">
        <v>2.29698141453779</v>
      </c>
      <c r="CO618" s="37">
        <v>3.3146003956175201</v>
      </c>
      <c r="CP618" s="37">
        <v>3.31878810529733</v>
      </c>
      <c r="CQ618" s="37">
        <v>3.3498010622441599</v>
      </c>
      <c r="CR618" s="45">
        <v>0.52048484534744299</v>
      </c>
      <c r="CS618" s="45">
        <v>1.59585382770308</v>
      </c>
      <c r="CT618" s="46">
        <v>0.335002432710097</v>
      </c>
      <c r="CU618" s="47">
        <v>0.41580079310399698</v>
      </c>
      <c r="CV618" s="48">
        <v>2.17997487698248</v>
      </c>
      <c r="CW618" s="49">
        <v>3.47892125172904</v>
      </c>
      <c r="CX618" s="31" t="s">
        <v>5874</v>
      </c>
      <c r="CY618" s="31" t="s">
        <v>5832</v>
      </c>
      <c r="CZ618" t="s">
        <v>13636</v>
      </c>
      <c r="DA618" t="s">
        <v>5904</v>
      </c>
      <c r="DB618">
        <v>746.1</v>
      </c>
      <c r="DC618" t="s">
        <v>36348</v>
      </c>
      <c r="DD618" t="s">
        <v>36349</v>
      </c>
      <c r="DE618" t="s">
        <v>36350</v>
      </c>
      <c r="DF618" t="s">
        <v>36351</v>
      </c>
      <c r="DG618" t="s">
        <v>36352</v>
      </c>
      <c r="DH618" t="str">
        <f>"ALDOC"</f>
        <v>ALDOC</v>
      </c>
      <c r="DI618" t="s">
        <v>36353</v>
      </c>
      <c r="DJ618" t="s">
        <v>13777</v>
      </c>
      <c r="DK618">
        <v>9606</v>
      </c>
      <c r="DL618" s="34" t="str">
        <f>HYPERLINK("http://www.uniprot.org/uniprot/P09972", "P09972")</f>
        <v>P09972</v>
      </c>
      <c r="DM618" t="s">
        <v>36354</v>
      </c>
      <c r="DN618" t="s">
        <v>15772</v>
      </c>
      <c r="DO618" t="s">
        <v>13772</v>
      </c>
      <c r="DP618" t="s">
        <v>13772</v>
      </c>
      <c r="DQ618" t="s">
        <v>13772</v>
      </c>
      <c r="DR618" t="s">
        <v>13772</v>
      </c>
      <c r="DS618" t="s">
        <v>13772</v>
      </c>
      <c r="DT618" t="s">
        <v>18902</v>
      </c>
      <c r="DU618" t="s">
        <v>15788</v>
      </c>
      <c r="DV618" t="s">
        <v>13886</v>
      </c>
      <c r="DW618" t="s">
        <v>13812</v>
      </c>
      <c r="DX618" t="s">
        <v>36355</v>
      </c>
      <c r="DY618" t="s">
        <v>36356</v>
      </c>
      <c r="DZ618" t="s">
        <v>36357</v>
      </c>
      <c r="EA618" t="s">
        <v>30761</v>
      </c>
      <c r="EB618" t="s">
        <v>23835</v>
      </c>
    </row>
    <row r="619" spans="1:132" hidden="1">
      <c r="A619">
        <v>737</v>
      </c>
      <c r="B619">
        <v>1</v>
      </c>
      <c r="C619" t="s">
        <v>1807</v>
      </c>
      <c r="D619" t="s">
        <v>1808</v>
      </c>
      <c r="E619" t="s">
        <v>73</v>
      </c>
      <c r="F619" t="s">
        <v>73</v>
      </c>
      <c r="G619" t="s">
        <v>73</v>
      </c>
      <c r="H619">
        <v>2.2999999999999998</v>
      </c>
      <c r="I619">
        <v>2039</v>
      </c>
      <c r="J619">
        <v>219569</v>
      </c>
      <c r="K619" t="s">
        <v>1809</v>
      </c>
      <c r="L619">
        <f t="shared" si="38"/>
        <v>54</v>
      </c>
      <c r="N619">
        <v>54</v>
      </c>
      <c r="O619">
        <v>54</v>
      </c>
      <c r="P619">
        <v>1</v>
      </c>
      <c r="Q619">
        <v>4</v>
      </c>
      <c r="R619">
        <v>4</v>
      </c>
      <c r="S619">
        <v>3</v>
      </c>
      <c r="T619">
        <v>6</v>
      </c>
      <c r="U619">
        <v>6</v>
      </c>
      <c r="V619">
        <v>3</v>
      </c>
      <c r="W619">
        <v>4</v>
      </c>
      <c r="X619">
        <v>3</v>
      </c>
      <c r="Y619">
        <v>3</v>
      </c>
      <c r="Z619">
        <v>0</v>
      </c>
      <c r="AA619">
        <v>6</v>
      </c>
      <c r="AB619">
        <v>1</v>
      </c>
      <c r="AC619">
        <v>3</v>
      </c>
      <c r="AD619">
        <v>0</v>
      </c>
      <c r="AE619">
        <v>3</v>
      </c>
      <c r="AF619">
        <v>3</v>
      </c>
      <c r="AG619">
        <v>0</v>
      </c>
      <c r="AH619">
        <v>0</v>
      </c>
      <c r="AI619">
        <v>2</v>
      </c>
      <c r="AJ619">
        <v>4</v>
      </c>
      <c r="AK619">
        <v>4</v>
      </c>
      <c r="AL619">
        <v>3</v>
      </c>
      <c r="AM619">
        <v>6</v>
      </c>
      <c r="AN619">
        <v>6</v>
      </c>
      <c r="AO619">
        <v>3</v>
      </c>
      <c r="AP619">
        <v>4</v>
      </c>
      <c r="AQ619">
        <v>3</v>
      </c>
      <c r="AR619">
        <v>3</v>
      </c>
      <c r="AS619">
        <v>0</v>
      </c>
      <c r="AT619">
        <v>6</v>
      </c>
      <c r="AU619">
        <v>1</v>
      </c>
      <c r="AV619">
        <v>3</v>
      </c>
      <c r="AW619">
        <v>0</v>
      </c>
      <c r="AX619">
        <v>3</v>
      </c>
      <c r="AY619">
        <v>3</v>
      </c>
      <c r="AZ619">
        <v>0</v>
      </c>
      <c r="BA619">
        <v>0</v>
      </c>
      <c r="BB619">
        <v>2</v>
      </c>
      <c r="BC619" s="2">
        <v>4</v>
      </c>
      <c r="BD619" s="2">
        <v>4</v>
      </c>
      <c r="BE619" s="2">
        <v>3</v>
      </c>
      <c r="BF619" s="2">
        <v>6</v>
      </c>
      <c r="BG619" s="2">
        <v>6</v>
      </c>
      <c r="BH619" s="2">
        <v>3</v>
      </c>
      <c r="BI619" s="2">
        <v>4</v>
      </c>
      <c r="BJ619" s="2">
        <v>3</v>
      </c>
      <c r="BK619" s="2">
        <v>3</v>
      </c>
      <c r="BL619" s="2">
        <v>0</v>
      </c>
      <c r="BM619" s="2">
        <v>6</v>
      </c>
      <c r="BN619" s="2">
        <v>1</v>
      </c>
      <c r="BO619" s="2">
        <v>3</v>
      </c>
      <c r="BP619" s="2">
        <v>0</v>
      </c>
      <c r="BQ619" s="2">
        <v>3</v>
      </c>
      <c r="BR619" s="2">
        <v>3</v>
      </c>
      <c r="BS619" s="2">
        <v>0</v>
      </c>
      <c r="BT619" s="2">
        <v>0</v>
      </c>
      <c r="BU619" s="2">
        <v>2</v>
      </c>
      <c r="BV619" s="2">
        <f t="shared" si="41"/>
        <v>54</v>
      </c>
      <c r="BW619" s="16">
        <f t="shared" si="39"/>
        <v>2.8421052631578947</v>
      </c>
      <c r="BX619" s="16">
        <f>COUNTIF($BC$6:BU619, "=0") / COUNTIF($BC$6:BU619, "&gt;-1")</f>
        <v>0.16312360706326076</v>
      </c>
      <c r="BY619" s="18">
        <f>SUM($BC$6:BU619) / $BY$4</f>
        <v>0.88042252954479672</v>
      </c>
      <c r="BZ619" s="14">
        <f t="shared" si="40"/>
        <v>4</v>
      </c>
      <c r="CA619" t="s">
        <v>5831</v>
      </c>
      <c r="CB619" s="36">
        <v>4.8465735833389196</v>
      </c>
      <c r="CC619" s="36">
        <v>3.85225648270979</v>
      </c>
      <c r="CD619" s="36">
        <v>4.8023929854367697</v>
      </c>
      <c r="CE619" s="36">
        <v>9.0715305549193808</v>
      </c>
      <c r="CF619" s="36">
        <v>5.1610581596213496</v>
      </c>
      <c r="CG619" s="36">
        <v>2.7891817399184702</v>
      </c>
      <c r="CH619" s="36">
        <v>4.21624913145856</v>
      </c>
      <c r="CI619" s="36">
        <v>2.9195507939469199</v>
      </c>
      <c r="CJ619" s="37">
        <v>2.3842748797348698</v>
      </c>
      <c r="CK619" s="37">
        <v>3.7838978813297102</v>
      </c>
      <c r="CL619" s="37">
        <v>0.80005434826734301</v>
      </c>
      <c r="CM619" s="37">
        <v>2.5396411397998202</v>
      </c>
      <c r="CN619" s="37">
        <v>2.7563776974453398</v>
      </c>
      <c r="CO619" s="37">
        <v>2.36757171115537</v>
      </c>
      <c r="CP619" s="37">
        <v>0.377135011965606</v>
      </c>
      <c r="CQ619" s="37">
        <v>3.0452736929492299</v>
      </c>
      <c r="CR619" s="45">
        <v>-0.91010817765600005</v>
      </c>
      <c r="CS619" s="45">
        <v>-2.08587134529692</v>
      </c>
      <c r="CT619" s="46">
        <v>3.8515985485398398E-2</v>
      </c>
      <c r="CU619" s="47">
        <v>6.1496883746375901E-2</v>
      </c>
      <c r="CV619" s="48">
        <v>4.7073491789187702</v>
      </c>
      <c r="CW619" s="49">
        <v>2.2567782953309101</v>
      </c>
      <c r="CX619" s="31" t="s">
        <v>5875</v>
      </c>
      <c r="CY619" s="31" t="s">
        <v>5877</v>
      </c>
      <c r="CZ619" t="s">
        <v>8220</v>
      </c>
      <c r="DA619" t="s">
        <v>5904</v>
      </c>
      <c r="DB619">
        <v>3196</v>
      </c>
      <c r="DC619" t="s">
        <v>21016</v>
      </c>
      <c r="DD619" t="s">
        <v>21017</v>
      </c>
      <c r="DE619" t="s">
        <v>21018</v>
      </c>
      <c r="DF619" t="s">
        <v>21019</v>
      </c>
      <c r="DG619" t="s">
        <v>21020</v>
      </c>
      <c r="DH619" t="str">
        <f>"MYLK"</f>
        <v>MYLK</v>
      </c>
      <c r="DI619" t="s">
        <v>21021</v>
      </c>
      <c r="DJ619" t="s">
        <v>13777</v>
      </c>
      <c r="DK619">
        <v>9606</v>
      </c>
      <c r="DL619" s="34" t="str">
        <f>HYPERLINK("http://www.uniprot.org/uniprot/Q15746", "Q15746")</f>
        <v>Q15746</v>
      </c>
      <c r="DM619" t="s">
        <v>21022</v>
      </c>
      <c r="DN619" t="s">
        <v>13772</v>
      </c>
      <c r="DO619" t="s">
        <v>14870</v>
      </c>
      <c r="DP619" t="s">
        <v>14942</v>
      </c>
      <c r="DQ619" t="s">
        <v>13772</v>
      </c>
      <c r="DR619" t="s">
        <v>21023</v>
      </c>
      <c r="DS619" t="s">
        <v>15552</v>
      </c>
      <c r="DT619" t="s">
        <v>17650</v>
      </c>
      <c r="DU619" t="s">
        <v>21024</v>
      </c>
      <c r="DV619" t="s">
        <v>15256</v>
      </c>
      <c r="DW619" t="s">
        <v>13812</v>
      </c>
      <c r="DX619" t="s">
        <v>21025</v>
      </c>
      <c r="DY619" t="s">
        <v>21026</v>
      </c>
      <c r="DZ619" t="s">
        <v>21027</v>
      </c>
      <c r="EA619" t="s">
        <v>13772</v>
      </c>
      <c r="EB619" t="s">
        <v>21028</v>
      </c>
    </row>
    <row r="620" spans="1:132" hidden="1">
      <c r="A620">
        <v>871</v>
      </c>
      <c r="B620">
        <v>1</v>
      </c>
      <c r="C620" t="s">
        <v>2128</v>
      </c>
      <c r="D620" t="s">
        <v>73</v>
      </c>
      <c r="E620" t="s">
        <v>73</v>
      </c>
      <c r="F620" t="s">
        <v>73</v>
      </c>
      <c r="G620" t="s">
        <v>73</v>
      </c>
      <c r="H620">
        <v>28.4</v>
      </c>
      <c r="I620">
        <v>268</v>
      </c>
      <c r="J620">
        <v>29574</v>
      </c>
      <c r="K620" t="s">
        <v>2129</v>
      </c>
      <c r="L620">
        <f t="shared" si="38"/>
        <v>54</v>
      </c>
      <c r="N620">
        <v>54</v>
      </c>
      <c r="O620">
        <v>54</v>
      </c>
      <c r="P620">
        <v>1</v>
      </c>
      <c r="Q620">
        <v>1</v>
      </c>
      <c r="R620">
        <v>5</v>
      </c>
      <c r="S620">
        <v>6</v>
      </c>
      <c r="T620">
        <v>4</v>
      </c>
      <c r="U620">
        <v>3</v>
      </c>
      <c r="V620">
        <v>4</v>
      </c>
      <c r="W620">
        <v>3</v>
      </c>
      <c r="X620">
        <v>3</v>
      </c>
      <c r="Y620">
        <v>1</v>
      </c>
      <c r="Z620">
        <v>0</v>
      </c>
      <c r="AA620">
        <v>5</v>
      </c>
      <c r="AB620">
        <v>1</v>
      </c>
      <c r="AC620">
        <v>5</v>
      </c>
      <c r="AD620">
        <v>1</v>
      </c>
      <c r="AE620">
        <v>5</v>
      </c>
      <c r="AF620">
        <v>3</v>
      </c>
      <c r="AG620">
        <v>2</v>
      </c>
      <c r="AH620">
        <v>0</v>
      </c>
      <c r="AI620">
        <v>2</v>
      </c>
      <c r="AJ620">
        <v>1</v>
      </c>
      <c r="AK620">
        <v>5</v>
      </c>
      <c r="AL620">
        <v>6</v>
      </c>
      <c r="AM620">
        <v>4</v>
      </c>
      <c r="AN620">
        <v>3</v>
      </c>
      <c r="AO620">
        <v>4</v>
      </c>
      <c r="AP620">
        <v>3</v>
      </c>
      <c r="AQ620">
        <v>3</v>
      </c>
      <c r="AR620">
        <v>1</v>
      </c>
      <c r="AS620">
        <v>0</v>
      </c>
      <c r="AT620">
        <v>5</v>
      </c>
      <c r="AU620">
        <v>1</v>
      </c>
      <c r="AV620">
        <v>5</v>
      </c>
      <c r="AW620">
        <v>1</v>
      </c>
      <c r="AX620">
        <v>5</v>
      </c>
      <c r="AY620">
        <v>3</v>
      </c>
      <c r="AZ620">
        <v>2</v>
      </c>
      <c r="BA620">
        <v>0</v>
      </c>
      <c r="BB620">
        <v>2</v>
      </c>
      <c r="BC620" s="2">
        <v>1</v>
      </c>
      <c r="BD620" s="2">
        <v>5</v>
      </c>
      <c r="BE620" s="2">
        <v>6</v>
      </c>
      <c r="BF620" s="2">
        <v>4</v>
      </c>
      <c r="BG620" s="2">
        <v>3</v>
      </c>
      <c r="BH620" s="2">
        <v>4</v>
      </c>
      <c r="BI620" s="2">
        <v>3</v>
      </c>
      <c r="BJ620" s="2">
        <v>3</v>
      </c>
      <c r="BK620" s="2">
        <v>1</v>
      </c>
      <c r="BL620" s="2">
        <v>0</v>
      </c>
      <c r="BM620" s="2">
        <v>5</v>
      </c>
      <c r="BN620" s="2">
        <v>1</v>
      </c>
      <c r="BO620" s="2">
        <v>5</v>
      </c>
      <c r="BP620" s="2">
        <v>1</v>
      </c>
      <c r="BQ620" s="2">
        <v>5</v>
      </c>
      <c r="BR620" s="2">
        <v>3</v>
      </c>
      <c r="BS620" s="2">
        <v>2</v>
      </c>
      <c r="BT620" s="2">
        <v>0</v>
      </c>
      <c r="BU620" s="2">
        <v>2</v>
      </c>
      <c r="BV620" s="2">
        <f t="shared" si="41"/>
        <v>54</v>
      </c>
      <c r="BW620" s="16">
        <f t="shared" si="39"/>
        <v>2.8421052631578947</v>
      </c>
      <c r="BX620" s="16">
        <f>COUNTIF($BC$6:BU620, "=0") / COUNTIF($BC$6:BU620, "&gt;-1")</f>
        <v>0.16302952503209242</v>
      </c>
      <c r="BY620" s="18">
        <f>SUM($BC$6:BU620) / $BY$4</f>
        <v>0.8806538459357065</v>
      </c>
      <c r="BZ620" s="14">
        <f t="shared" si="40"/>
        <v>2</v>
      </c>
      <c r="CA620" t="s">
        <v>5831</v>
      </c>
      <c r="CB620" s="36">
        <v>1.2116433958347299</v>
      </c>
      <c r="CC620" s="36">
        <v>4.8153206033872298</v>
      </c>
      <c r="CD620" s="36">
        <v>9.6047859708735501</v>
      </c>
      <c r="CE620" s="36">
        <v>6.0476870366129196</v>
      </c>
      <c r="CF620" s="36">
        <v>2.5805290798106801</v>
      </c>
      <c r="CG620" s="36">
        <v>3.7189089865579601</v>
      </c>
      <c r="CH620" s="36">
        <v>3.1621868485939202</v>
      </c>
      <c r="CI620" s="36">
        <v>2.9195507939469199</v>
      </c>
      <c r="CJ620" s="37">
        <v>0.79475829324495695</v>
      </c>
      <c r="CK620" s="37">
        <v>3.1532482344414299</v>
      </c>
      <c r="CL620" s="37">
        <v>0.80005434826734301</v>
      </c>
      <c r="CM620" s="37">
        <v>4.2327352329997003</v>
      </c>
      <c r="CN620" s="37">
        <v>4.5939628290755703</v>
      </c>
      <c r="CO620" s="37">
        <v>2.36757171115537</v>
      </c>
      <c r="CP620" s="37">
        <v>3.0170800957248498</v>
      </c>
      <c r="CQ620" s="37">
        <v>3.0452736929492299</v>
      </c>
      <c r="CR620" s="45">
        <v>-0.55846853165575305</v>
      </c>
      <c r="CS620" s="45">
        <v>-1.54788008034405</v>
      </c>
      <c r="CT620" s="46">
        <v>0.26026844955864398</v>
      </c>
      <c r="CU620" s="47">
        <v>0.33356243822745701</v>
      </c>
      <c r="CV620" s="48">
        <v>4.2575765894522402</v>
      </c>
      <c r="CW620" s="49">
        <v>2.7505855547323099</v>
      </c>
      <c r="CX620" s="31" t="s">
        <v>5875</v>
      </c>
      <c r="CY620" s="31" t="s">
        <v>5832</v>
      </c>
      <c r="CZ620" t="s">
        <v>8679</v>
      </c>
      <c r="DA620" t="s">
        <v>5904</v>
      </c>
      <c r="DB620">
        <v>334</v>
      </c>
      <c r="DC620" t="s">
        <v>22367</v>
      </c>
      <c r="DD620" t="s">
        <v>22368</v>
      </c>
      <c r="DE620" t="s">
        <v>22369</v>
      </c>
      <c r="DF620" t="s">
        <v>22370</v>
      </c>
      <c r="DG620" t="s">
        <v>22371</v>
      </c>
      <c r="DH620" t="str">
        <f>"BSG"</f>
        <v>BSG</v>
      </c>
      <c r="DI620" t="s">
        <v>13772</v>
      </c>
      <c r="DJ620" t="s">
        <v>13777</v>
      </c>
      <c r="DK620">
        <v>9606</v>
      </c>
      <c r="DL620" s="34" t="str">
        <f>HYPERLINK("http://www.uniprot.org/uniprot/P35613", "P35613")</f>
        <v>P35613</v>
      </c>
      <c r="DM620" t="s">
        <v>22372</v>
      </c>
      <c r="DN620" t="s">
        <v>13772</v>
      </c>
      <c r="DO620" t="s">
        <v>13792</v>
      </c>
      <c r="DP620" t="s">
        <v>14942</v>
      </c>
      <c r="DQ620" t="s">
        <v>13772</v>
      </c>
      <c r="DR620" t="s">
        <v>13772</v>
      </c>
      <c r="DS620" t="s">
        <v>13794</v>
      </c>
      <c r="DT620" t="s">
        <v>22373</v>
      </c>
      <c r="DU620" t="s">
        <v>16993</v>
      </c>
      <c r="DV620" t="s">
        <v>13964</v>
      </c>
      <c r="DW620" t="s">
        <v>13812</v>
      </c>
      <c r="DX620" t="s">
        <v>22374</v>
      </c>
      <c r="DY620" t="s">
        <v>22375</v>
      </c>
      <c r="DZ620" t="s">
        <v>22376</v>
      </c>
      <c r="EA620" t="s">
        <v>13772</v>
      </c>
      <c r="EB620" t="s">
        <v>22377</v>
      </c>
    </row>
    <row r="621" spans="1:132" hidden="1">
      <c r="A621">
        <v>2151</v>
      </c>
      <c r="B621">
        <v>1</v>
      </c>
      <c r="C621" t="s">
        <v>5043</v>
      </c>
      <c r="D621" t="s">
        <v>73</v>
      </c>
      <c r="E621" t="s">
        <v>73</v>
      </c>
      <c r="F621" t="s">
        <v>73</v>
      </c>
      <c r="G621" t="s">
        <v>73</v>
      </c>
      <c r="H621">
        <v>36.4</v>
      </c>
      <c r="I621">
        <v>305</v>
      </c>
      <c r="J621">
        <v>33106</v>
      </c>
      <c r="K621" t="s">
        <v>5044</v>
      </c>
      <c r="L621">
        <f t="shared" si="38"/>
        <v>54</v>
      </c>
      <c r="N621">
        <v>54</v>
      </c>
      <c r="O621">
        <v>54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8</v>
      </c>
      <c r="Z621">
        <v>3</v>
      </c>
      <c r="AA621">
        <v>13</v>
      </c>
      <c r="AB621">
        <v>4</v>
      </c>
      <c r="AC621">
        <v>9</v>
      </c>
      <c r="AD621">
        <v>0</v>
      </c>
      <c r="AE621">
        <v>5</v>
      </c>
      <c r="AF621">
        <v>7</v>
      </c>
      <c r="AG621">
        <v>1</v>
      </c>
      <c r="AH621">
        <v>0</v>
      </c>
      <c r="AI621">
        <v>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8</v>
      </c>
      <c r="AS621">
        <v>3</v>
      </c>
      <c r="AT621">
        <v>13</v>
      </c>
      <c r="AU621">
        <v>4</v>
      </c>
      <c r="AV621">
        <v>9</v>
      </c>
      <c r="AW621">
        <v>0</v>
      </c>
      <c r="AX621">
        <v>5</v>
      </c>
      <c r="AY621">
        <v>7</v>
      </c>
      <c r="AZ621">
        <v>1</v>
      </c>
      <c r="BA621">
        <v>0</v>
      </c>
      <c r="BB621">
        <v>4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8</v>
      </c>
      <c r="BL621" s="2">
        <v>3</v>
      </c>
      <c r="BM621" s="2">
        <v>13</v>
      </c>
      <c r="BN621" s="2">
        <v>4</v>
      </c>
      <c r="BO621" s="2">
        <v>9</v>
      </c>
      <c r="BP621" s="2">
        <v>0</v>
      </c>
      <c r="BQ621" s="2">
        <v>5</v>
      </c>
      <c r="BR621" s="2">
        <v>7</v>
      </c>
      <c r="BS621" s="2">
        <v>1</v>
      </c>
      <c r="BT621" s="2">
        <v>0</v>
      </c>
      <c r="BU621" s="2">
        <v>4</v>
      </c>
      <c r="BV621" s="2">
        <f t="shared" si="41"/>
        <v>54</v>
      </c>
      <c r="BW621" s="16">
        <f t="shared" si="39"/>
        <v>2.8421052631578947</v>
      </c>
      <c r="BX621" s="16">
        <f>COUNTIF($BC$6:BU621, "=0") / COUNTIF($BC$6:BU621, "&gt;-1")</f>
        <v>0.16361927546138072</v>
      </c>
      <c r="BY621" s="18">
        <f>SUM($BC$6:BU621) / $BY$4</f>
        <v>0.88088516232661629</v>
      </c>
      <c r="BZ621" s="14">
        <f t="shared" si="40"/>
        <v>10</v>
      </c>
      <c r="CA621" t="s">
        <v>5831</v>
      </c>
      <c r="CB621" s="36">
        <v>0.30291084895868198</v>
      </c>
      <c r="CC621" s="36">
        <v>0.24076603016936199</v>
      </c>
      <c r="CD621" s="36">
        <v>0.40019941545306398</v>
      </c>
      <c r="CE621" s="36">
        <v>0.37798043978830698</v>
      </c>
      <c r="CF621" s="36">
        <v>0.215044089984223</v>
      </c>
      <c r="CG621" s="36">
        <v>0.23243181165987301</v>
      </c>
      <c r="CH621" s="36">
        <v>0.26351557071616</v>
      </c>
      <c r="CI621" s="36">
        <v>0.24329589949557701</v>
      </c>
      <c r="CJ621" s="37">
        <v>6.35806634595966</v>
      </c>
      <c r="CK621" s="37">
        <v>8.1984454095477108</v>
      </c>
      <c r="CL621" s="37">
        <v>3.2002173930693698</v>
      </c>
      <c r="CM621" s="37">
        <v>7.6189234193994704</v>
      </c>
      <c r="CN621" s="37">
        <v>4.5939628290755703</v>
      </c>
      <c r="CO621" s="37">
        <v>5.5243339926958699</v>
      </c>
      <c r="CP621" s="37">
        <v>1.50854004786242</v>
      </c>
      <c r="CQ621" s="37">
        <v>6.0905473858984696</v>
      </c>
      <c r="CR621" s="45">
        <v>3.8512337487007202</v>
      </c>
      <c r="CS621" s="45">
        <v>18.932472994855299</v>
      </c>
      <c r="CT621" s="46">
        <v>2.5772846697340801E-8</v>
      </c>
      <c r="CU621" s="47">
        <v>2.0773535470507201E-7</v>
      </c>
      <c r="CV621" s="48">
        <v>0.28451801327815601</v>
      </c>
      <c r="CW621" s="49">
        <v>5.3866296029385703</v>
      </c>
      <c r="CX621" s="31" t="s">
        <v>5874</v>
      </c>
      <c r="CY621" s="31" t="s">
        <v>5876</v>
      </c>
      <c r="CZ621" t="s">
        <v>12919</v>
      </c>
      <c r="DA621" t="s">
        <v>5904</v>
      </c>
      <c r="DB621">
        <v>408.7</v>
      </c>
      <c r="DC621" t="s">
        <v>34337</v>
      </c>
      <c r="DD621" t="s">
        <v>34338</v>
      </c>
      <c r="DE621" t="s">
        <v>34339</v>
      </c>
      <c r="DF621" t="s">
        <v>34340</v>
      </c>
      <c r="DG621" t="s">
        <v>13772</v>
      </c>
      <c r="DH621" t="str">
        <f>"TNFRSF6B"</f>
        <v>TNFRSF6B</v>
      </c>
      <c r="DI621" t="s">
        <v>34341</v>
      </c>
      <c r="DJ621" t="s">
        <v>13777</v>
      </c>
      <c r="DK621">
        <v>9606</v>
      </c>
      <c r="DL621" s="34" t="str">
        <f>HYPERLINK("http://www.uniprot.org/uniprot/O95407", "O95407")</f>
        <v>O95407</v>
      </c>
      <c r="DM621" t="s">
        <v>34342</v>
      </c>
      <c r="DN621" t="s">
        <v>17109</v>
      </c>
      <c r="DO621" t="s">
        <v>14321</v>
      </c>
      <c r="DP621" t="s">
        <v>13772</v>
      </c>
      <c r="DQ621" t="s">
        <v>13772</v>
      </c>
      <c r="DR621" t="s">
        <v>13772</v>
      </c>
      <c r="DS621" t="s">
        <v>14404</v>
      </c>
      <c r="DT621" t="s">
        <v>13772</v>
      </c>
      <c r="DU621" t="s">
        <v>13795</v>
      </c>
      <c r="DV621" t="s">
        <v>13796</v>
      </c>
      <c r="DW621" t="s">
        <v>13812</v>
      </c>
      <c r="DX621" t="s">
        <v>34343</v>
      </c>
      <c r="DY621" t="s">
        <v>22023</v>
      </c>
      <c r="DZ621" t="s">
        <v>19331</v>
      </c>
      <c r="EA621" t="s">
        <v>13772</v>
      </c>
      <c r="EB621" t="s">
        <v>24565</v>
      </c>
    </row>
    <row r="622" spans="1:132" hidden="1">
      <c r="A622">
        <v>2259</v>
      </c>
      <c r="B622">
        <v>1</v>
      </c>
      <c r="C622" t="s">
        <v>5279</v>
      </c>
      <c r="D622" t="s">
        <v>73</v>
      </c>
      <c r="E622" t="s">
        <v>73</v>
      </c>
      <c r="F622" t="s">
        <v>73</v>
      </c>
      <c r="G622" t="s">
        <v>73</v>
      </c>
      <c r="H622">
        <v>30.5</v>
      </c>
      <c r="I622">
        <v>223</v>
      </c>
      <c r="J622">
        <v>24522</v>
      </c>
      <c r="K622" t="s">
        <v>5280</v>
      </c>
      <c r="L622">
        <f t="shared" si="38"/>
        <v>54</v>
      </c>
      <c r="N622">
        <v>54</v>
      </c>
      <c r="O622">
        <v>54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12</v>
      </c>
      <c r="Z622">
        <v>4</v>
      </c>
      <c r="AA622">
        <v>10</v>
      </c>
      <c r="AB622">
        <v>0</v>
      </c>
      <c r="AC622">
        <v>4</v>
      </c>
      <c r="AD622">
        <v>2</v>
      </c>
      <c r="AE622">
        <v>6</v>
      </c>
      <c r="AF622">
        <v>10</v>
      </c>
      <c r="AG622">
        <v>1</v>
      </c>
      <c r="AH622">
        <v>1</v>
      </c>
      <c r="AI622">
        <v>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12</v>
      </c>
      <c r="AS622">
        <v>4</v>
      </c>
      <c r="AT622">
        <v>10</v>
      </c>
      <c r="AU622">
        <v>0</v>
      </c>
      <c r="AV622">
        <v>4</v>
      </c>
      <c r="AW622">
        <v>2</v>
      </c>
      <c r="AX622">
        <v>6</v>
      </c>
      <c r="AY622">
        <v>10</v>
      </c>
      <c r="AZ622">
        <v>1</v>
      </c>
      <c r="BA622">
        <v>1</v>
      </c>
      <c r="BB622">
        <v>3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12</v>
      </c>
      <c r="BL622" s="2">
        <v>4</v>
      </c>
      <c r="BM622" s="2">
        <v>10</v>
      </c>
      <c r="BN622" s="2">
        <v>0</v>
      </c>
      <c r="BO622" s="2">
        <v>4</v>
      </c>
      <c r="BP622" s="2">
        <v>2</v>
      </c>
      <c r="BQ622" s="2">
        <v>6</v>
      </c>
      <c r="BR622" s="2">
        <v>10</v>
      </c>
      <c r="BS622" s="2">
        <v>1</v>
      </c>
      <c r="BT622" s="2">
        <v>1</v>
      </c>
      <c r="BU622" s="2">
        <v>3</v>
      </c>
      <c r="BV622" s="2">
        <f t="shared" si="41"/>
        <v>54</v>
      </c>
      <c r="BW622" s="16">
        <f t="shared" si="39"/>
        <v>2.8421052631578947</v>
      </c>
      <c r="BX622" s="16">
        <f>COUNTIF($BC$6:BU622, "=0") / COUNTIF($BC$6:BU622, "&gt;-1")</f>
        <v>0.16403650942591486</v>
      </c>
      <c r="BY622" s="18">
        <f>SUM($BC$6:BU622) / $BY$4</f>
        <v>0.88111647871752619</v>
      </c>
      <c r="BZ622" s="14">
        <f t="shared" si="40"/>
        <v>8</v>
      </c>
      <c r="CA622" t="s">
        <v>5831</v>
      </c>
      <c r="CB622" s="36">
        <v>0.30291084895868198</v>
      </c>
      <c r="CC622" s="36">
        <v>0.24076603016936199</v>
      </c>
      <c r="CD622" s="36">
        <v>0.40019941545306398</v>
      </c>
      <c r="CE622" s="36">
        <v>0.37798043978830698</v>
      </c>
      <c r="CF622" s="36">
        <v>0.215044089984223</v>
      </c>
      <c r="CG622" s="36">
        <v>0.23243181165987301</v>
      </c>
      <c r="CH622" s="36">
        <v>0.26351557071616</v>
      </c>
      <c r="CI622" s="36">
        <v>0.97318359798230603</v>
      </c>
      <c r="CJ622" s="37">
        <v>9.53709951893949</v>
      </c>
      <c r="CK622" s="37">
        <v>6.3064964688828598</v>
      </c>
      <c r="CL622" s="37">
        <v>0.200013587066836</v>
      </c>
      <c r="CM622" s="37">
        <v>3.3861881863997598</v>
      </c>
      <c r="CN622" s="37">
        <v>5.5127553948906796</v>
      </c>
      <c r="CO622" s="37">
        <v>7.8919057038512497</v>
      </c>
      <c r="CP622" s="37">
        <v>1.50854004786242</v>
      </c>
      <c r="CQ622" s="37">
        <v>4.5679105394238499</v>
      </c>
      <c r="CR622" s="45">
        <v>3.36630967562439</v>
      </c>
      <c r="CS622" s="45">
        <v>12.944277364705201</v>
      </c>
      <c r="CT622" s="46">
        <v>3.5615691277489502E-6</v>
      </c>
      <c r="CU622" s="47">
        <v>1.47993151954289E-5</v>
      </c>
      <c r="CV622" s="48">
        <v>0.37575397558899698</v>
      </c>
      <c r="CW622" s="49">
        <v>4.8638636809146396</v>
      </c>
      <c r="CX622" s="31" t="s">
        <v>5874</v>
      </c>
      <c r="CY622" s="31" t="s">
        <v>5876</v>
      </c>
      <c r="CZ622" t="s">
        <v>13274</v>
      </c>
      <c r="DA622" t="s">
        <v>5904</v>
      </c>
      <c r="DB622">
        <v>276.89999999999998</v>
      </c>
      <c r="DC622" t="s">
        <v>35347</v>
      </c>
      <c r="DD622" t="s">
        <v>35348</v>
      </c>
      <c r="DE622" t="s">
        <v>35349</v>
      </c>
      <c r="DF622" t="s">
        <v>35350</v>
      </c>
      <c r="DG622" t="s">
        <v>35351</v>
      </c>
      <c r="DH622" t="str">
        <f>"IL1RN"</f>
        <v>IL1RN</v>
      </c>
      <c r="DI622" t="s">
        <v>35352</v>
      </c>
      <c r="DJ622" t="s">
        <v>13777</v>
      </c>
      <c r="DK622">
        <v>9606</v>
      </c>
      <c r="DL622" s="34" t="str">
        <f>HYPERLINK("http://www.uniprot.org/uniprot/P18510", "P18510")</f>
        <v>P18510</v>
      </c>
      <c r="DM622" t="s">
        <v>35353</v>
      </c>
      <c r="DN622" t="s">
        <v>13772</v>
      </c>
      <c r="DO622" t="s">
        <v>16449</v>
      </c>
      <c r="DP622" t="s">
        <v>13780</v>
      </c>
      <c r="DQ622" t="s">
        <v>13772</v>
      </c>
      <c r="DR622" t="s">
        <v>13772</v>
      </c>
      <c r="DS622" t="s">
        <v>13808</v>
      </c>
      <c r="DT622" t="s">
        <v>13772</v>
      </c>
      <c r="DU622" t="s">
        <v>13772</v>
      </c>
      <c r="DV622" t="s">
        <v>13796</v>
      </c>
      <c r="DW622" t="s">
        <v>14324</v>
      </c>
      <c r="DX622" t="s">
        <v>35354</v>
      </c>
      <c r="DY622" t="s">
        <v>35355</v>
      </c>
      <c r="DZ622" t="s">
        <v>35356</v>
      </c>
      <c r="EA622" t="s">
        <v>13772</v>
      </c>
      <c r="EB622" t="s">
        <v>35357</v>
      </c>
    </row>
    <row r="623" spans="1:132" hidden="1">
      <c r="A623">
        <v>2402</v>
      </c>
      <c r="B623">
        <v>1</v>
      </c>
      <c r="C623" t="s">
        <v>5596</v>
      </c>
      <c r="D623" t="s">
        <v>73</v>
      </c>
      <c r="E623" t="s">
        <v>73</v>
      </c>
      <c r="F623" t="s">
        <v>73</v>
      </c>
      <c r="G623" t="s">
        <v>73</v>
      </c>
      <c r="H623">
        <v>63.5</v>
      </c>
      <c r="I623">
        <v>115</v>
      </c>
      <c r="J623">
        <v>12439</v>
      </c>
      <c r="K623" t="s">
        <v>5597</v>
      </c>
      <c r="L623">
        <f t="shared" si="38"/>
        <v>54</v>
      </c>
      <c r="N623">
        <v>54</v>
      </c>
      <c r="O623">
        <v>54</v>
      </c>
      <c r="P623">
        <v>1</v>
      </c>
      <c r="Q623">
        <v>3</v>
      </c>
      <c r="R623">
        <v>4</v>
      </c>
      <c r="S623">
        <v>4</v>
      </c>
      <c r="T623">
        <v>5</v>
      </c>
      <c r="U623">
        <v>7</v>
      </c>
      <c r="V623">
        <v>10</v>
      </c>
      <c r="W623">
        <v>5</v>
      </c>
      <c r="X623">
        <v>7</v>
      </c>
      <c r="Y623">
        <v>1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2</v>
      </c>
      <c r="AF623">
        <v>4</v>
      </c>
      <c r="AG623">
        <v>0</v>
      </c>
      <c r="AH623">
        <v>0</v>
      </c>
      <c r="AI623">
        <v>0</v>
      </c>
      <c r="AJ623">
        <v>3</v>
      </c>
      <c r="AK623">
        <v>4</v>
      </c>
      <c r="AL623">
        <v>4</v>
      </c>
      <c r="AM623">
        <v>5</v>
      </c>
      <c r="AN623">
        <v>7</v>
      </c>
      <c r="AO623">
        <v>10</v>
      </c>
      <c r="AP623">
        <v>5</v>
      </c>
      <c r="AQ623">
        <v>7</v>
      </c>
      <c r="AR623">
        <v>1</v>
      </c>
      <c r="AS623">
        <v>0</v>
      </c>
      <c r="AT623">
        <v>2</v>
      </c>
      <c r="AU623">
        <v>0</v>
      </c>
      <c r="AV623">
        <v>0</v>
      </c>
      <c r="AW623">
        <v>0</v>
      </c>
      <c r="AX623">
        <v>2</v>
      </c>
      <c r="AY623">
        <v>4</v>
      </c>
      <c r="AZ623">
        <v>0</v>
      </c>
      <c r="BA623">
        <v>0</v>
      </c>
      <c r="BB623">
        <v>0</v>
      </c>
      <c r="BC623" s="2">
        <v>3</v>
      </c>
      <c r="BD623" s="2">
        <v>4</v>
      </c>
      <c r="BE623" s="2">
        <v>4</v>
      </c>
      <c r="BF623" s="2">
        <v>5</v>
      </c>
      <c r="BG623" s="2">
        <v>7</v>
      </c>
      <c r="BH623" s="2">
        <v>10</v>
      </c>
      <c r="BI623" s="2">
        <v>5</v>
      </c>
      <c r="BJ623" s="2">
        <v>7</v>
      </c>
      <c r="BK623" s="2">
        <v>1</v>
      </c>
      <c r="BL623" s="2">
        <v>0</v>
      </c>
      <c r="BM623" s="2">
        <v>2</v>
      </c>
      <c r="BN623" s="2">
        <v>0</v>
      </c>
      <c r="BO623" s="2">
        <v>0</v>
      </c>
      <c r="BP623" s="2">
        <v>0</v>
      </c>
      <c r="BQ623" s="2">
        <v>2</v>
      </c>
      <c r="BR623" s="2">
        <v>4</v>
      </c>
      <c r="BS623" s="2">
        <v>0</v>
      </c>
      <c r="BT623" s="2">
        <v>0</v>
      </c>
      <c r="BU623" s="2">
        <v>0</v>
      </c>
      <c r="BV623" s="2">
        <f t="shared" si="41"/>
        <v>54</v>
      </c>
      <c r="BW623" s="16">
        <f t="shared" si="39"/>
        <v>2.8421052631578947</v>
      </c>
      <c r="BX623" s="16">
        <f>COUNTIF($BC$6:BU623, "=0") / COUNTIF($BC$6:BU623, "&gt;-1")</f>
        <v>0.16436722875149037</v>
      </c>
      <c r="BY623" s="18">
        <f>SUM($BC$6:BU623) / $BY$4</f>
        <v>0.88134779510843597</v>
      </c>
      <c r="BZ623" s="14">
        <f t="shared" si="40"/>
        <v>7</v>
      </c>
      <c r="CA623" t="s">
        <v>5831</v>
      </c>
      <c r="CB623" s="36">
        <v>3.6349301875041902</v>
      </c>
      <c r="CC623" s="36">
        <v>3.85225648270979</v>
      </c>
      <c r="CD623" s="36">
        <v>6.4031906472490299</v>
      </c>
      <c r="CE623" s="36">
        <v>7.5596087957661497</v>
      </c>
      <c r="CF623" s="36">
        <v>6.0212345195582504</v>
      </c>
      <c r="CG623" s="36">
        <v>9.2972724663949098</v>
      </c>
      <c r="CH623" s="36">
        <v>5.2703114143232002</v>
      </c>
      <c r="CI623" s="36">
        <v>6.8122851858761404</v>
      </c>
      <c r="CJ623" s="37">
        <v>0.79475829324495695</v>
      </c>
      <c r="CK623" s="37">
        <v>1.2612992937765699</v>
      </c>
      <c r="CL623" s="37">
        <v>0.200013587066836</v>
      </c>
      <c r="CM623" s="37">
        <v>0.21163676164998499</v>
      </c>
      <c r="CN623" s="37">
        <v>1.8375851316302301</v>
      </c>
      <c r="CO623" s="37">
        <v>3.1567622815404999</v>
      </c>
      <c r="CP623" s="37">
        <v>0.377135011965606</v>
      </c>
      <c r="CQ623" s="37">
        <v>0.38065921161865401</v>
      </c>
      <c r="CR623" s="45">
        <v>-2.3362800560518999</v>
      </c>
      <c r="CS623" s="45">
        <v>-5.9430637104181896</v>
      </c>
      <c r="CT623" s="46">
        <v>1.78024774659114E-6</v>
      </c>
      <c r="CU623" s="47">
        <v>8.0472009626315703E-6</v>
      </c>
      <c r="CV623" s="48">
        <v>6.1063862124227102</v>
      </c>
      <c r="CW623" s="49">
        <v>1.0274811965616699</v>
      </c>
      <c r="CX623" s="31" t="s">
        <v>5875</v>
      </c>
      <c r="CY623" s="31" t="s">
        <v>5876</v>
      </c>
      <c r="CZ623" t="s">
        <v>13720</v>
      </c>
      <c r="DA623" t="s">
        <v>5904</v>
      </c>
      <c r="DB623">
        <v>213</v>
      </c>
      <c r="DC623" t="s">
        <v>36589</v>
      </c>
      <c r="DD623" t="s">
        <v>36590</v>
      </c>
      <c r="DE623" t="s">
        <v>36591</v>
      </c>
      <c r="DF623" t="s">
        <v>36592</v>
      </c>
      <c r="DG623" t="s">
        <v>13772</v>
      </c>
      <c r="DH623" t="str">
        <f>"MIEN1"</f>
        <v>MIEN1</v>
      </c>
      <c r="DI623" t="s">
        <v>36593</v>
      </c>
      <c r="DJ623" t="s">
        <v>13777</v>
      </c>
      <c r="DK623">
        <v>9606</v>
      </c>
      <c r="DL623" s="34" t="str">
        <f>HYPERLINK("http://www.uniprot.org/uniprot/Q9BRT3", "Q9BRT3")</f>
        <v>Q9BRT3</v>
      </c>
      <c r="DM623" t="s">
        <v>36594</v>
      </c>
      <c r="DN623" t="s">
        <v>17109</v>
      </c>
      <c r="DO623" t="s">
        <v>18623</v>
      </c>
      <c r="DP623" t="s">
        <v>13772</v>
      </c>
      <c r="DQ623" t="s">
        <v>13772</v>
      </c>
      <c r="DR623" t="s">
        <v>13772</v>
      </c>
      <c r="DS623" t="s">
        <v>18188</v>
      </c>
      <c r="DT623" t="s">
        <v>13772</v>
      </c>
      <c r="DU623" t="s">
        <v>13772</v>
      </c>
      <c r="DV623" t="s">
        <v>36595</v>
      </c>
      <c r="DW623" t="s">
        <v>13812</v>
      </c>
      <c r="DX623" t="s">
        <v>36596</v>
      </c>
      <c r="DY623" t="s">
        <v>36597</v>
      </c>
      <c r="DZ623" t="s">
        <v>13772</v>
      </c>
      <c r="EA623" t="s">
        <v>13772</v>
      </c>
      <c r="EB623" t="s">
        <v>13772</v>
      </c>
    </row>
    <row r="624" spans="1:132" hidden="1">
      <c r="A624">
        <v>543</v>
      </c>
      <c r="B624">
        <v>1</v>
      </c>
      <c r="C624" t="s">
        <v>1355</v>
      </c>
      <c r="D624" t="s">
        <v>73</v>
      </c>
      <c r="E624" t="s">
        <v>73</v>
      </c>
      <c r="F624" t="s">
        <v>498</v>
      </c>
      <c r="G624" t="s">
        <v>73</v>
      </c>
      <c r="H624">
        <v>79.099999999999994</v>
      </c>
      <c r="I624">
        <v>115</v>
      </c>
      <c r="J624">
        <v>11633</v>
      </c>
      <c r="K624" t="s">
        <v>1356</v>
      </c>
      <c r="L624">
        <f t="shared" si="38"/>
        <v>55</v>
      </c>
      <c r="N624">
        <v>55</v>
      </c>
      <c r="O624">
        <v>49</v>
      </c>
      <c r="P624">
        <v>0.89100000000000001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2</v>
      </c>
      <c r="W624">
        <v>0</v>
      </c>
      <c r="X624">
        <v>0</v>
      </c>
      <c r="Y624">
        <v>5</v>
      </c>
      <c r="Z624">
        <v>0</v>
      </c>
      <c r="AA624">
        <v>12</v>
      </c>
      <c r="AB624">
        <v>7</v>
      </c>
      <c r="AC624">
        <v>3</v>
      </c>
      <c r="AD624">
        <v>0</v>
      </c>
      <c r="AE624">
        <v>12</v>
      </c>
      <c r="AF624">
        <v>11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2</v>
      </c>
      <c r="AP624">
        <v>0</v>
      </c>
      <c r="AQ624">
        <v>0</v>
      </c>
      <c r="AR624">
        <v>4</v>
      </c>
      <c r="AS624">
        <v>0</v>
      </c>
      <c r="AT624">
        <v>10</v>
      </c>
      <c r="AU624">
        <v>6</v>
      </c>
      <c r="AV624">
        <v>3</v>
      </c>
      <c r="AW624">
        <v>0</v>
      </c>
      <c r="AX624">
        <v>12</v>
      </c>
      <c r="AY624">
        <v>9</v>
      </c>
      <c r="AZ624">
        <v>1</v>
      </c>
      <c r="BA624">
        <v>0</v>
      </c>
      <c r="BB624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2</v>
      </c>
      <c r="BI624" s="2">
        <v>0</v>
      </c>
      <c r="BJ624" s="2">
        <v>0</v>
      </c>
      <c r="BK624" s="2">
        <v>4.6669999999999998</v>
      </c>
      <c r="BL624" s="2">
        <v>0</v>
      </c>
      <c r="BM624" s="2">
        <v>11.429</v>
      </c>
      <c r="BN624" s="2">
        <v>6.6669999999999998</v>
      </c>
      <c r="BO624" s="2">
        <v>3</v>
      </c>
      <c r="BP624" s="2">
        <v>0</v>
      </c>
      <c r="BQ624" s="2">
        <v>12</v>
      </c>
      <c r="BR624" s="2">
        <v>10.5</v>
      </c>
      <c r="BS624" s="2">
        <v>1</v>
      </c>
      <c r="BT624" s="2">
        <v>0</v>
      </c>
      <c r="BU624" s="2">
        <v>1</v>
      </c>
      <c r="BV624" s="2">
        <f t="shared" si="41"/>
        <v>53.262999999999998</v>
      </c>
      <c r="BW624" s="16">
        <f t="shared" si="39"/>
        <v>2.8033157894736842</v>
      </c>
      <c r="BX624" s="16">
        <f>COUNTIF($BC$6:BU624, "=0") / COUNTIF($BC$6:BU624, "&gt;-1")</f>
        <v>0.16486693308392145</v>
      </c>
      <c r="BY624" s="18">
        <f>SUM($BC$6:BU624) / $BY$4</f>
        <v>0.88157595445897352</v>
      </c>
      <c r="BZ624" s="14">
        <f t="shared" si="40"/>
        <v>9</v>
      </c>
      <c r="CA624" t="s">
        <v>5831</v>
      </c>
      <c r="CB624" s="36">
        <v>0.30291084895868198</v>
      </c>
      <c r="CC624" s="36">
        <v>0.24076603016936199</v>
      </c>
      <c r="CD624" s="36">
        <v>0.40019941545306398</v>
      </c>
      <c r="CE624" s="36">
        <v>0.37798043978830698</v>
      </c>
      <c r="CF624" s="36">
        <v>0.86017635993689201</v>
      </c>
      <c r="CG624" s="36">
        <v>1.85945449327898</v>
      </c>
      <c r="CH624" s="36">
        <v>0.26351557071616</v>
      </c>
      <c r="CI624" s="36">
        <v>0.24329589949557701</v>
      </c>
      <c r="CJ624" s="37">
        <v>3.7353639782513</v>
      </c>
      <c r="CK624" s="37">
        <v>7.1894059745264602</v>
      </c>
      <c r="CL624" s="37">
        <v>5.3603641333912</v>
      </c>
      <c r="CM624" s="37">
        <v>2.5396411397998202</v>
      </c>
      <c r="CN624" s="37">
        <v>11.0255107897814</v>
      </c>
      <c r="CO624" s="37">
        <v>8.2865009890438106</v>
      </c>
      <c r="CP624" s="37">
        <v>1.50854004786242</v>
      </c>
      <c r="CQ624" s="37">
        <v>1.5226368464746201</v>
      </c>
      <c r="CR624" s="45">
        <v>2.9171315468059</v>
      </c>
      <c r="CS624" s="45">
        <v>9.0512878278216693</v>
      </c>
      <c r="CT624" s="46">
        <v>1.4083870217600799E-5</v>
      </c>
      <c r="CU624" s="47">
        <v>5.0117601997739101E-5</v>
      </c>
      <c r="CV624" s="48">
        <v>0.56853738222462802</v>
      </c>
      <c r="CW624" s="49">
        <v>5.14599548739137</v>
      </c>
      <c r="CX624" s="31" t="s">
        <v>5874</v>
      </c>
      <c r="CY624" s="31" t="s">
        <v>5876</v>
      </c>
      <c r="CZ624" t="s">
        <v>7576</v>
      </c>
      <c r="DA624" t="s">
        <v>5904</v>
      </c>
      <c r="DB624">
        <v>217.6</v>
      </c>
      <c r="DC624" t="s">
        <v>19115</v>
      </c>
      <c r="DD624" t="s">
        <v>19116</v>
      </c>
      <c r="DE624" t="s">
        <v>19117</v>
      </c>
      <c r="DF624" t="s">
        <v>19118</v>
      </c>
      <c r="DG624" t="s">
        <v>19119</v>
      </c>
      <c r="DH624" t="str">
        <f>"RPLP2"</f>
        <v>RPLP2</v>
      </c>
      <c r="DI624" t="s">
        <v>19120</v>
      </c>
      <c r="DJ624" t="s">
        <v>13777</v>
      </c>
      <c r="DK624">
        <v>9606</v>
      </c>
      <c r="DL624" s="34" t="str">
        <f>HYPERLINK("http://www.uniprot.org/uniprot/P05387", "P05387")</f>
        <v>P05387</v>
      </c>
      <c r="DM624" t="s">
        <v>19121</v>
      </c>
      <c r="DN624" t="s">
        <v>13772</v>
      </c>
      <c r="DO624" t="s">
        <v>13772</v>
      </c>
      <c r="DP624" t="s">
        <v>13772</v>
      </c>
      <c r="DQ624" t="s">
        <v>13772</v>
      </c>
      <c r="DR624" t="s">
        <v>13772</v>
      </c>
      <c r="DS624" t="s">
        <v>13772</v>
      </c>
      <c r="DT624" t="s">
        <v>13772</v>
      </c>
      <c r="DU624" t="s">
        <v>13937</v>
      </c>
      <c r="DV624" t="s">
        <v>13886</v>
      </c>
      <c r="DW624" t="s">
        <v>13812</v>
      </c>
      <c r="DX624" t="s">
        <v>19122</v>
      </c>
      <c r="DY624" t="s">
        <v>19123</v>
      </c>
      <c r="DZ624" t="s">
        <v>19124</v>
      </c>
      <c r="EA624" t="s">
        <v>13772</v>
      </c>
      <c r="EB624" t="s">
        <v>13942</v>
      </c>
    </row>
    <row r="625" spans="1:132" hidden="1">
      <c r="A625">
        <v>683</v>
      </c>
      <c r="B625">
        <v>1</v>
      </c>
      <c r="C625" t="s">
        <v>1681</v>
      </c>
      <c r="D625" t="s">
        <v>73</v>
      </c>
      <c r="E625" t="s">
        <v>73</v>
      </c>
      <c r="F625" t="s">
        <v>73</v>
      </c>
      <c r="G625" t="s">
        <v>73</v>
      </c>
      <c r="H625">
        <v>35.299999999999997</v>
      </c>
      <c r="I625">
        <v>1133</v>
      </c>
      <c r="J625">
        <v>116671</v>
      </c>
      <c r="K625" t="s">
        <v>1682</v>
      </c>
      <c r="L625">
        <f t="shared" si="38"/>
        <v>53</v>
      </c>
      <c r="N625">
        <v>53</v>
      </c>
      <c r="O625">
        <v>53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3</v>
      </c>
      <c r="W625">
        <v>2</v>
      </c>
      <c r="X625">
        <v>3</v>
      </c>
      <c r="Y625">
        <v>15</v>
      </c>
      <c r="Z625">
        <v>0</v>
      </c>
      <c r="AA625">
        <v>6</v>
      </c>
      <c r="AB625">
        <v>2</v>
      </c>
      <c r="AC625">
        <v>2</v>
      </c>
      <c r="AD625">
        <v>0</v>
      </c>
      <c r="AE625">
        <v>10</v>
      </c>
      <c r="AF625">
        <v>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3</v>
      </c>
      <c r="AP625">
        <v>2</v>
      </c>
      <c r="AQ625">
        <v>3</v>
      </c>
      <c r="AR625">
        <v>15</v>
      </c>
      <c r="AS625">
        <v>0</v>
      </c>
      <c r="AT625">
        <v>6</v>
      </c>
      <c r="AU625">
        <v>2</v>
      </c>
      <c r="AV625">
        <v>2</v>
      </c>
      <c r="AW625">
        <v>0</v>
      </c>
      <c r="AX625">
        <v>10</v>
      </c>
      <c r="AY625">
        <v>8</v>
      </c>
      <c r="AZ625">
        <v>0</v>
      </c>
      <c r="BA625">
        <v>0</v>
      </c>
      <c r="BB625">
        <v>0</v>
      </c>
      <c r="BC625" s="2">
        <v>0</v>
      </c>
      <c r="BD625" s="2">
        <v>0</v>
      </c>
      <c r="BE625" s="2">
        <v>0</v>
      </c>
      <c r="BF625" s="2">
        <v>1</v>
      </c>
      <c r="BG625" s="2">
        <v>1</v>
      </c>
      <c r="BH625" s="2">
        <v>3</v>
      </c>
      <c r="BI625" s="2">
        <v>2</v>
      </c>
      <c r="BJ625" s="2">
        <v>3</v>
      </c>
      <c r="BK625" s="2">
        <v>15</v>
      </c>
      <c r="BL625" s="2">
        <v>0</v>
      </c>
      <c r="BM625" s="2">
        <v>6</v>
      </c>
      <c r="BN625" s="2">
        <v>2</v>
      </c>
      <c r="BO625" s="2">
        <v>2</v>
      </c>
      <c r="BP625" s="2">
        <v>0</v>
      </c>
      <c r="BQ625" s="2">
        <v>10</v>
      </c>
      <c r="BR625" s="2">
        <v>8</v>
      </c>
      <c r="BS625" s="2">
        <v>0</v>
      </c>
      <c r="BT625" s="2">
        <v>0</v>
      </c>
      <c r="BU625" s="2">
        <v>0</v>
      </c>
      <c r="BV625" s="2">
        <f t="shared" si="41"/>
        <v>53</v>
      </c>
      <c r="BW625" s="16">
        <f t="shared" si="39"/>
        <v>2.7894736842105261</v>
      </c>
      <c r="BX625" s="16">
        <f>COUNTIF($BC$6:BU625, "=0") / COUNTIF($BC$6:BU625, "&gt;-1")</f>
        <v>0.16528013582342954</v>
      </c>
      <c r="BY625" s="18">
        <f>SUM($BC$6:BU625) / $BY$4</f>
        <v>0.88180298721301464</v>
      </c>
      <c r="BZ625" s="14">
        <f t="shared" si="40"/>
        <v>8</v>
      </c>
      <c r="CA625" t="s">
        <v>5831</v>
      </c>
      <c r="CB625" s="36">
        <v>0.30291084895868198</v>
      </c>
      <c r="CC625" s="36">
        <v>0.24076603016936199</v>
      </c>
      <c r="CD625" s="36">
        <v>0.40019941545306398</v>
      </c>
      <c r="CE625" s="36">
        <v>1.5119217591532299</v>
      </c>
      <c r="CF625" s="36">
        <v>0.86017635993689201</v>
      </c>
      <c r="CG625" s="36">
        <v>2.7891817399184702</v>
      </c>
      <c r="CH625" s="36">
        <v>2.10812456572928</v>
      </c>
      <c r="CI625" s="36">
        <v>2.9195507939469199</v>
      </c>
      <c r="CJ625" s="37">
        <v>11.9213743986744</v>
      </c>
      <c r="CK625" s="37">
        <v>3.7838978813297102</v>
      </c>
      <c r="CL625" s="37">
        <v>1.60010869653469</v>
      </c>
      <c r="CM625" s="37">
        <v>1.6930940931998799</v>
      </c>
      <c r="CN625" s="37">
        <v>9.1879256581511406</v>
      </c>
      <c r="CO625" s="37">
        <v>6.3135245630809997</v>
      </c>
      <c r="CP625" s="37">
        <v>0.377135011965606</v>
      </c>
      <c r="CQ625" s="37">
        <v>0.38065921161865401</v>
      </c>
      <c r="CR625" s="45">
        <v>1.5952625681560999</v>
      </c>
      <c r="CS625" s="45">
        <v>3.1670037826892399</v>
      </c>
      <c r="CT625" s="46">
        <v>1.9695234834504801E-2</v>
      </c>
      <c r="CU625" s="47">
        <v>3.3959051815164197E-2</v>
      </c>
      <c r="CV625" s="48">
        <v>1.39160393915824</v>
      </c>
      <c r="CW625" s="49">
        <v>4.4072149393193802</v>
      </c>
      <c r="CX625" s="31" t="s">
        <v>5874</v>
      </c>
      <c r="CY625" s="31" t="s">
        <v>5878</v>
      </c>
      <c r="CZ625" t="s">
        <v>8049</v>
      </c>
      <c r="DA625" t="s">
        <v>5904</v>
      </c>
      <c r="DB625">
        <v>1521.5</v>
      </c>
      <c r="DC625" t="s">
        <v>20528</v>
      </c>
      <c r="DD625" t="s">
        <v>13772</v>
      </c>
      <c r="DE625" t="s">
        <v>20529</v>
      </c>
      <c r="DF625" t="s">
        <v>20530</v>
      </c>
      <c r="DG625" t="s">
        <v>20531</v>
      </c>
      <c r="DH625" t="str">
        <f>"MAP4"</f>
        <v>MAP4</v>
      </c>
      <c r="DI625" t="s">
        <v>13772</v>
      </c>
      <c r="DJ625" t="s">
        <v>13777</v>
      </c>
      <c r="DK625">
        <v>9606</v>
      </c>
      <c r="DL625" s="34" t="str">
        <f>HYPERLINK("http://www.uniprot.org/uniprot/P27816", "P27816")</f>
        <v>P27816</v>
      </c>
      <c r="DM625" t="s">
        <v>20532</v>
      </c>
      <c r="DN625" t="s">
        <v>13772</v>
      </c>
      <c r="DO625" t="s">
        <v>20183</v>
      </c>
      <c r="DP625" t="s">
        <v>13780</v>
      </c>
      <c r="DQ625" t="s">
        <v>13772</v>
      </c>
      <c r="DR625" t="s">
        <v>13772</v>
      </c>
      <c r="DS625" t="s">
        <v>14096</v>
      </c>
      <c r="DT625" t="s">
        <v>13772</v>
      </c>
      <c r="DU625" t="s">
        <v>13772</v>
      </c>
      <c r="DV625" t="s">
        <v>13991</v>
      </c>
      <c r="DW625" t="s">
        <v>13772</v>
      </c>
      <c r="DX625" t="s">
        <v>20533</v>
      </c>
      <c r="DY625" t="s">
        <v>20534</v>
      </c>
      <c r="DZ625" t="s">
        <v>20535</v>
      </c>
      <c r="EA625" t="s">
        <v>13772</v>
      </c>
      <c r="EB625" t="s">
        <v>13772</v>
      </c>
    </row>
    <row r="626" spans="1:132" hidden="1">
      <c r="A626">
        <v>1629</v>
      </c>
      <c r="B626">
        <v>1</v>
      </c>
      <c r="C626" t="s">
        <v>3861</v>
      </c>
      <c r="D626" t="s">
        <v>3862</v>
      </c>
      <c r="E626" t="s">
        <v>73</v>
      </c>
      <c r="F626" t="s">
        <v>73</v>
      </c>
      <c r="G626" t="s">
        <v>73</v>
      </c>
      <c r="H626">
        <v>31.9</v>
      </c>
      <c r="I626">
        <v>587</v>
      </c>
      <c r="J626">
        <v>63769</v>
      </c>
      <c r="K626" t="s">
        <v>3863</v>
      </c>
      <c r="L626">
        <f t="shared" si="38"/>
        <v>53</v>
      </c>
      <c r="N626">
        <v>53</v>
      </c>
      <c r="O626">
        <v>53</v>
      </c>
      <c r="P626">
        <v>1</v>
      </c>
      <c r="Q626">
        <v>7</v>
      </c>
      <c r="R626">
        <v>9</v>
      </c>
      <c r="S626">
        <v>0</v>
      </c>
      <c r="T626">
        <v>0</v>
      </c>
      <c r="U626">
        <v>12</v>
      </c>
      <c r="V626">
        <v>8</v>
      </c>
      <c r="W626">
        <v>0</v>
      </c>
      <c r="X626">
        <v>3</v>
      </c>
      <c r="Y626">
        <v>0</v>
      </c>
      <c r="Z626">
        <v>0</v>
      </c>
      <c r="AA626">
        <v>2</v>
      </c>
      <c r="AB626">
        <v>3</v>
      </c>
      <c r="AC626">
        <v>0</v>
      </c>
      <c r="AD626">
        <v>0</v>
      </c>
      <c r="AE626">
        <v>0</v>
      </c>
      <c r="AF626">
        <v>1</v>
      </c>
      <c r="AG626">
        <v>8</v>
      </c>
      <c r="AH626">
        <v>0</v>
      </c>
      <c r="AI626">
        <v>0</v>
      </c>
      <c r="AJ626">
        <v>7</v>
      </c>
      <c r="AK626">
        <v>9</v>
      </c>
      <c r="AL626">
        <v>0</v>
      </c>
      <c r="AM626">
        <v>0</v>
      </c>
      <c r="AN626">
        <v>12</v>
      </c>
      <c r="AO626">
        <v>8</v>
      </c>
      <c r="AP626">
        <v>0</v>
      </c>
      <c r="AQ626">
        <v>3</v>
      </c>
      <c r="AR626">
        <v>0</v>
      </c>
      <c r="AS626">
        <v>0</v>
      </c>
      <c r="AT626">
        <v>2</v>
      </c>
      <c r="AU626">
        <v>3</v>
      </c>
      <c r="AV626">
        <v>0</v>
      </c>
      <c r="AW626">
        <v>0</v>
      </c>
      <c r="AX626">
        <v>0</v>
      </c>
      <c r="AY626">
        <v>1</v>
      </c>
      <c r="AZ626">
        <v>8</v>
      </c>
      <c r="BA626">
        <v>0</v>
      </c>
      <c r="BB626">
        <v>0</v>
      </c>
      <c r="BC626" s="2">
        <v>7</v>
      </c>
      <c r="BD626" s="2">
        <v>9</v>
      </c>
      <c r="BE626" s="2">
        <v>0</v>
      </c>
      <c r="BF626" s="2">
        <v>0</v>
      </c>
      <c r="BG626" s="2">
        <v>12</v>
      </c>
      <c r="BH626" s="2">
        <v>8</v>
      </c>
      <c r="BI626" s="2">
        <v>0</v>
      </c>
      <c r="BJ626" s="2">
        <v>3</v>
      </c>
      <c r="BK626" s="2">
        <v>0</v>
      </c>
      <c r="BL626" s="2">
        <v>0</v>
      </c>
      <c r="BM626" s="2">
        <v>2</v>
      </c>
      <c r="BN626" s="2">
        <v>3</v>
      </c>
      <c r="BO626" s="2">
        <v>0</v>
      </c>
      <c r="BP626" s="2">
        <v>0</v>
      </c>
      <c r="BQ626" s="2">
        <v>0</v>
      </c>
      <c r="BR626" s="2">
        <v>1</v>
      </c>
      <c r="BS626" s="2">
        <v>8</v>
      </c>
      <c r="BT626" s="2">
        <v>0</v>
      </c>
      <c r="BU626" s="2">
        <v>0</v>
      </c>
      <c r="BV626" s="2">
        <f t="shared" si="41"/>
        <v>53</v>
      </c>
      <c r="BW626" s="16">
        <f t="shared" si="39"/>
        <v>2.7894736842105261</v>
      </c>
      <c r="BX626" s="16">
        <f>COUNTIF($BC$6:BU626, "=0") / COUNTIF($BC$6:BU626, "&gt;-1")</f>
        <v>0.16586151368760063</v>
      </c>
      <c r="BY626" s="18">
        <f>SUM($BC$6:BU626) / $BY$4</f>
        <v>0.88203001996705577</v>
      </c>
      <c r="BZ626" s="14">
        <f t="shared" si="40"/>
        <v>10</v>
      </c>
      <c r="CA626" t="s">
        <v>5831</v>
      </c>
      <c r="CB626" s="36">
        <v>8.4815037708430996</v>
      </c>
      <c r="CC626" s="36">
        <v>8.6675770860970207</v>
      </c>
      <c r="CD626" s="36">
        <v>0.40019941545306398</v>
      </c>
      <c r="CE626" s="36">
        <v>0.37798043978830698</v>
      </c>
      <c r="CF626" s="36">
        <v>10.322116319242699</v>
      </c>
      <c r="CG626" s="36">
        <v>7.43781797311593</v>
      </c>
      <c r="CH626" s="36">
        <v>0.26351557071616</v>
      </c>
      <c r="CI626" s="36">
        <v>2.9195507939469199</v>
      </c>
      <c r="CJ626" s="37">
        <v>0.19868957331123899</v>
      </c>
      <c r="CK626" s="37">
        <v>1.2612992937765699</v>
      </c>
      <c r="CL626" s="37">
        <v>2.4001630448020301</v>
      </c>
      <c r="CM626" s="37">
        <v>0.21163676164998499</v>
      </c>
      <c r="CN626" s="37">
        <v>0.22969814145377901</v>
      </c>
      <c r="CO626" s="37">
        <v>0.78919057038512497</v>
      </c>
      <c r="CP626" s="37">
        <v>12.068320382899399</v>
      </c>
      <c r="CQ626" s="37">
        <v>0.38065921161865401</v>
      </c>
      <c r="CR626" s="45">
        <v>-1.2763786688273799</v>
      </c>
      <c r="CS626" s="45">
        <v>-2.2161357781258002</v>
      </c>
      <c r="CT626" s="46">
        <v>0.16628613133269801</v>
      </c>
      <c r="CU626" s="47">
        <v>0.22249084372315001</v>
      </c>
      <c r="CV626" s="48">
        <v>4.8587826711503999</v>
      </c>
      <c r="CW626" s="49">
        <v>2.1924571224871001</v>
      </c>
      <c r="CX626" s="31" t="s">
        <v>5875</v>
      </c>
      <c r="CY626" s="31" t="s">
        <v>5832</v>
      </c>
      <c r="CZ626" t="s">
        <v>11176</v>
      </c>
      <c r="DA626" t="s">
        <v>5904</v>
      </c>
      <c r="DB626">
        <v>1111.7</v>
      </c>
      <c r="DC626" t="s">
        <v>29410</v>
      </c>
      <c r="DD626" t="s">
        <v>29411</v>
      </c>
      <c r="DE626" t="s">
        <v>29412</v>
      </c>
      <c r="DF626" t="s">
        <v>29413</v>
      </c>
      <c r="DG626" t="s">
        <v>29414</v>
      </c>
      <c r="DH626" t="str">
        <f>"GK"</f>
        <v>GK</v>
      </c>
      <c r="DI626" t="s">
        <v>13772</v>
      </c>
      <c r="DJ626" t="s">
        <v>13777</v>
      </c>
      <c r="DK626">
        <v>9606</v>
      </c>
      <c r="DL626" s="34" t="str">
        <f>HYPERLINK("http://www.uniprot.org/uniprot/P32189", "P32189")</f>
        <v>P32189</v>
      </c>
      <c r="DM626" t="s">
        <v>29415</v>
      </c>
      <c r="DN626" t="s">
        <v>29416</v>
      </c>
      <c r="DO626" t="s">
        <v>13884</v>
      </c>
      <c r="DP626" t="s">
        <v>13780</v>
      </c>
      <c r="DQ626" t="s">
        <v>13772</v>
      </c>
      <c r="DR626" t="s">
        <v>13807</v>
      </c>
      <c r="DS626" t="s">
        <v>13772</v>
      </c>
      <c r="DT626" t="s">
        <v>14005</v>
      </c>
      <c r="DU626" t="s">
        <v>14006</v>
      </c>
      <c r="DV626" t="s">
        <v>13772</v>
      </c>
      <c r="DW626" t="s">
        <v>13772</v>
      </c>
      <c r="DX626" t="s">
        <v>29417</v>
      </c>
      <c r="DY626" t="s">
        <v>29418</v>
      </c>
      <c r="DZ626" t="s">
        <v>29419</v>
      </c>
      <c r="EA626" t="s">
        <v>29420</v>
      </c>
      <c r="EB626" t="s">
        <v>29421</v>
      </c>
    </row>
    <row r="627" spans="1:132" hidden="1">
      <c r="A627">
        <v>2227</v>
      </c>
      <c r="B627">
        <v>1</v>
      </c>
      <c r="C627" t="s">
        <v>5207</v>
      </c>
      <c r="D627" t="s">
        <v>73</v>
      </c>
      <c r="E627" t="s">
        <v>73</v>
      </c>
      <c r="F627" t="s">
        <v>73</v>
      </c>
      <c r="G627" t="s">
        <v>73</v>
      </c>
      <c r="H627">
        <v>62.1</v>
      </c>
      <c r="I627">
        <v>103</v>
      </c>
      <c r="J627">
        <v>11603</v>
      </c>
      <c r="K627" t="s">
        <v>5208</v>
      </c>
      <c r="L627">
        <f t="shared" si="38"/>
        <v>53</v>
      </c>
      <c r="N627">
        <v>53</v>
      </c>
      <c r="O627">
        <v>53</v>
      </c>
      <c r="P627">
        <v>1</v>
      </c>
      <c r="Q627">
        <v>1</v>
      </c>
      <c r="R627">
        <v>6</v>
      </c>
      <c r="S627">
        <v>7</v>
      </c>
      <c r="T627">
        <v>3</v>
      </c>
      <c r="U627">
        <v>1</v>
      </c>
      <c r="V627">
        <v>1</v>
      </c>
      <c r="W627">
        <v>1</v>
      </c>
      <c r="X627">
        <v>1</v>
      </c>
      <c r="Y627">
        <v>6</v>
      </c>
      <c r="Z627">
        <v>1</v>
      </c>
      <c r="AA627">
        <v>9</v>
      </c>
      <c r="AB627">
        <v>3</v>
      </c>
      <c r="AC627">
        <v>2</v>
      </c>
      <c r="AD627">
        <v>3</v>
      </c>
      <c r="AE627">
        <v>4</v>
      </c>
      <c r="AF627">
        <v>2</v>
      </c>
      <c r="AG627">
        <v>1</v>
      </c>
      <c r="AH627">
        <v>0</v>
      </c>
      <c r="AI627">
        <v>1</v>
      </c>
      <c r="AJ627">
        <v>1</v>
      </c>
      <c r="AK627">
        <v>6</v>
      </c>
      <c r="AL627">
        <v>7</v>
      </c>
      <c r="AM627">
        <v>3</v>
      </c>
      <c r="AN627">
        <v>1</v>
      </c>
      <c r="AO627">
        <v>1</v>
      </c>
      <c r="AP627">
        <v>1</v>
      </c>
      <c r="AQ627">
        <v>1</v>
      </c>
      <c r="AR627">
        <v>6</v>
      </c>
      <c r="AS627">
        <v>1</v>
      </c>
      <c r="AT627">
        <v>9</v>
      </c>
      <c r="AU627">
        <v>3</v>
      </c>
      <c r="AV627">
        <v>2</v>
      </c>
      <c r="AW627">
        <v>3</v>
      </c>
      <c r="AX627">
        <v>4</v>
      </c>
      <c r="AY627">
        <v>2</v>
      </c>
      <c r="AZ627">
        <v>1</v>
      </c>
      <c r="BA627">
        <v>0</v>
      </c>
      <c r="BB627">
        <v>1</v>
      </c>
      <c r="BC627" s="2">
        <v>1</v>
      </c>
      <c r="BD627" s="2">
        <v>6</v>
      </c>
      <c r="BE627" s="2">
        <v>7</v>
      </c>
      <c r="BF627" s="2">
        <v>3</v>
      </c>
      <c r="BG627" s="2">
        <v>1</v>
      </c>
      <c r="BH627" s="2">
        <v>1</v>
      </c>
      <c r="BI627" s="2">
        <v>1</v>
      </c>
      <c r="BJ627" s="2">
        <v>1</v>
      </c>
      <c r="BK627" s="2">
        <v>6</v>
      </c>
      <c r="BL627" s="2">
        <v>1</v>
      </c>
      <c r="BM627" s="2">
        <v>9</v>
      </c>
      <c r="BN627" s="2">
        <v>3</v>
      </c>
      <c r="BO627" s="2">
        <v>2</v>
      </c>
      <c r="BP627" s="2">
        <v>3</v>
      </c>
      <c r="BQ627" s="2">
        <v>4</v>
      </c>
      <c r="BR627" s="2">
        <v>2</v>
      </c>
      <c r="BS627" s="2">
        <v>1</v>
      </c>
      <c r="BT627" s="2">
        <v>0</v>
      </c>
      <c r="BU627" s="2">
        <v>1</v>
      </c>
      <c r="BV627" s="2">
        <f t="shared" si="41"/>
        <v>53</v>
      </c>
      <c r="BW627" s="16">
        <f t="shared" si="39"/>
        <v>2.7894736842105261</v>
      </c>
      <c r="BX627" s="16">
        <f>COUNTIF($BC$6:BU627, "=0") / COUNTIF($BC$6:BU627, "&gt;-1")</f>
        <v>0.1656794719918768</v>
      </c>
      <c r="BY627" s="18">
        <f>SUM($BC$6:BU627) / $BY$4</f>
        <v>0.88225705272109689</v>
      </c>
      <c r="BZ627" s="14">
        <f t="shared" si="40"/>
        <v>1</v>
      </c>
      <c r="CA627" t="s">
        <v>5831</v>
      </c>
      <c r="CB627" s="36">
        <v>1.2116433958347299</v>
      </c>
      <c r="CC627" s="36">
        <v>5.7783847240646802</v>
      </c>
      <c r="CD627" s="36">
        <v>11.2055836326858</v>
      </c>
      <c r="CE627" s="36">
        <v>4.5357652774596904</v>
      </c>
      <c r="CF627" s="36">
        <v>0.86017635993689201</v>
      </c>
      <c r="CG627" s="36">
        <v>0.92972724663949102</v>
      </c>
      <c r="CH627" s="36">
        <v>1.05406228286464</v>
      </c>
      <c r="CI627" s="36">
        <v>0.97318359798230603</v>
      </c>
      <c r="CJ627" s="37">
        <v>4.7685497594697397</v>
      </c>
      <c r="CK627" s="37">
        <v>5.6758468219945701</v>
      </c>
      <c r="CL627" s="37">
        <v>2.4001630448020301</v>
      </c>
      <c r="CM627" s="37">
        <v>1.6930940931998799</v>
      </c>
      <c r="CN627" s="37">
        <v>3.6751702632604601</v>
      </c>
      <c r="CO627" s="37">
        <v>1.5783811407702499</v>
      </c>
      <c r="CP627" s="37">
        <v>1.50854004786242</v>
      </c>
      <c r="CQ627" s="37">
        <v>1.5226368464746201</v>
      </c>
      <c r="CR627" s="45">
        <v>-3.6220330031059303E-2</v>
      </c>
      <c r="CS627" s="45">
        <v>-1.16326711632127</v>
      </c>
      <c r="CT627" s="46">
        <v>0.92086421533448004</v>
      </c>
      <c r="CU627" s="47">
        <v>0.94924215725541905</v>
      </c>
      <c r="CV627" s="48">
        <v>3.31856581468353</v>
      </c>
      <c r="CW627" s="49">
        <v>2.8527977522292498</v>
      </c>
      <c r="CX627" s="31" t="s">
        <v>5875</v>
      </c>
      <c r="CY627" s="31" t="s">
        <v>5832</v>
      </c>
      <c r="CZ627" t="s">
        <v>13166</v>
      </c>
      <c r="DA627" t="s">
        <v>5904</v>
      </c>
      <c r="DB627">
        <v>178.3</v>
      </c>
      <c r="DC627" t="s">
        <v>35020</v>
      </c>
      <c r="DD627" t="s">
        <v>35021</v>
      </c>
      <c r="DE627" t="s">
        <v>35022</v>
      </c>
      <c r="DF627" t="s">
        <v>35023</v>
      </c>
      <c r="DG627" t="s">
        <v>35024</v>
      </c>
      <c r="DH627" t="str">
        <f>"S100A11"</f>
        <v>S100A11</v>
      </c>
      <c r="DI627" t="s">
        <v>35025</v>
      </c>
      <c r="DJ627" t="s">
        <v>13777</v>
      </c>
      <c r="DK627">
        <v>9606</v>
      </c>
      <c r="DL627" s="34" t="str">
        <f>HYPERLINK("http://www.uniprot.org/uniprot/P31949", "P31949")</f>
        <v>P31949</v>
      </c>
      <c r="DM627" t="s">
        <v>35026</v>
      </c>
      <c r="DN627" t="s">
        <v>13772</v>
      </c>
      <c r="DO627" t="s">
        <v>13912</v>
      </c>
      <c r="DP627" t="s">
        <v>13772</v>
      </c>
      <c r="DQ627" t="s">
        <v>13772</v>
      </c>
      <c r="DR627" t="s">
        <v>13772</v>
      </c>
      <c r="DS627" t="s">
        <v>14096</v>
      </c>
      <c r="DT627" t="s">
        <v>13873</v>
      </c>
      <c r="DU627" t="s">
        <v>13772</v>
      </c>
      <c r="DV627" t="s">
        <v>15256</v>
      </c>
      <c r="DW627" t="s">
        <v>13812</v>
      </c>
      <c r="DX627" t="s">
        <v>35027</v>
      </c>
      <c r="DY627" t="s">
        <v>35028</v>
      </c>
      <c r="DZ627" t="s">
        <v>35029</v>
      </c>
      <c r="EA627" t="s">
        <v>13772</v>
      </c>
      <c r="EB627" t="s">
        <v>13890</v>
      </c>
    </row>
    <row r="628" spans="1:132" hidden="1">
      <c r="A628">
        <v>1417</v>
      </c>
      <c r="B628">
        <v>1</v>
      </c>
      <c r="C628" t="s">
        <v>3381</v>
      </c>
      <c r="D628" t="s">
        <v>3382</v>
      </c>
      <c r="E628" t="s">
        <v>73</v>
      </c>
      <c r="F628" t="s">
        <v>605</v>
      </c>
      <c r="G628" t="s">
        <v>73</v>
      </c>
      <c r="H628">
        <v>62.7</v>
      </c>
      <c r="I628">
        <v>126</v>
      </c>
      <c r="J628">
        <v>13936</v>
      </c>
      <c r="K628" t="s">
        <v>3383</v>
      </c>
      <c r="L628">
        <f t="shared" si="38"/>
        <v>78</v>
      </c>
      <c r="N628">
        <v>78</v>
      </c>
      <c r="O628">
        <v>18</v>
      </c>
      <c r="P628">
        <v>0.23100000000000001</v>
      </c>
      <c r="Q628">
        <v>1</v>
      </c>
      <c r="R628">
        <v>4</v>
      </c>
      <c r="S628">
        <v>1</v>
      </c>
      <c r="T628">
        <v>2</v>
      </c>
      <c r="U628">
        <v>1</v>
      </c>
      <c r="V628">
        <v>0</v>
      </c>
      <c r="W628">
        <v>0</v>
      </c>
      <c r="X628">
        <v>2</v>
      </c>
      <c r="Y628">
        <v>7</v>
      </c>
      <c r="Z628">
        <v>4</v>
      </c>
      <c r="AA628">
        <v>15</v>
      </c>
      <c r="AB628">
        <v>15</v>
      </c>
      <c r="AC628">
        <v>14</v>
      </c>
      <c r="AD628">
        <v>1</v>
      </c>
      <c r="AE628">
        <v>1</v>
      </c>
      <c r="AF628">
        <v>2</v>
      </c>
      <c r="AG628">
        <v>3</v>
      </c>
      <c r="AH628">
        <v>3</v>
      </c>
      <c r="AI628">
        <v>2</v>
      </c>
      <c r="AJ628">
        <v>0</v>
      </c>
      <c r="AK628">
        <v>2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3</v>
      </c>
      <c r="AU628">
        <v>4</v>
      </c>
      <c r="AV628">
        <v>3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 s="2">
        <v>0.5</v>
      </c>
      <c r="BD628" s="2">
        <v>2.8</v>
      </c>
      <c r="BE628" s="2">
        <v>1</v>
      </c>
      <c r="BF628" s="2">
        <v>1.5</v>
      </c>
      <c r="BG628" s="2">
        <v>1</v>
      </c>
      <c r="BH628" s="2">
        <v>0</v>
      </c>
      <c r="BI628" s="2">
        <v>0</v>
      </c>
      <c r="BJ628" s="2">
        <v>1</v>
      </c>
      <c r="BK628" s="2">
        <v>7</v>
      </c>
      <c r="BL628" s="2">
        <v>2.5</v>
      </c>
      <c r="BM628" s="2">
        <v>9</v>
      </c>
      <c r="BN628" s="2">
        <v>10.286</v>
      </c>
      <c r="BO628" s="2">
        <v>9.6</v>
      </c>
      <c r="BP628" s="2">
        <v>0.5</v>
      </c>
      <c r="BQ628" s="2">
        <v>0.5</v>
      </c>
      <c r="BR628" s="2">
        <v>0</v>
      </c>
      <c r="BS628" s="2">
        <v>1.5</v>
      </c>
      <c r="BT628" s="2">
        <v>3</v>
      </c>
      <c r="BU628" s="2">
        <v>1</v>
      </c>
      <c r="BV628" s="2">
        <f t="shared" si="41"/>
        <v>52.686</v>
      </c>
      <c r="BW628" s="16">
        <f t="shared" si="39"/>
        <v>2.7729473684210526</v>
      </c>
      <c r="BX628" s="16">
        <f>COUNTIF($BC$6:BU628, "=0") / COUNTIF($BC$6:BU628, "&gt;-1")</f>
        <v>0.16566697642983863</v>
      </c>
      <c r="BY628" s="18">
        <f>SUM($BC$6:BU628) / $BY$4</f>
        <v>0.8824827404131611</v>
      </c>
      <c r="BZ628" s="14">
        <f t="shared" si="40"/>
        <v>3</v>
      </c>
      <c r="CA628" t="s">
        <v>5831</v>
      </c>
      <c r="CB628" s="36">
        <v>0.60582169791736495</v>
      </c>
      <c r="CC628" s="36">
        <v>2.69657953789685</v>
      </c>
      <c r="CD628" s="36">
        <v>1.6007976618122599</v>
      </c>
      <c r="CE628" s="36">
        <v>2.2678826387298399</v>
      </c>
      <c r="CF628" s="36">
        <v>0.86017635993689201</v>
      </c>
      <c r="CG628" s="36">
        <v>0.23243181165987301</v>
      </c>
      <c r="CH628" s="36">
        <v>0.26351557071616</v>
      </c>
      <c r="CI628" s="36">
        <v>0.97318359798230603</v>
      </c>
      <c r="CJ628" s="37">
        <v>5.5633080527147003</v>
      </c>
      <c r="CK628" s="37">
        <v>5.6758468219945701</v>
      </c>
      <c r="CL628" s="37">
        <v>8.2405597871536305</v>
      </c>
      <c r="CM628" s="37">
        <v>8.1268516473594303</v>
      </c>
      <c r="CN628" s="37">
        <v>0.45939628290755702</v>
      </c>
      <c r="CO628" s="37">
        <v>0.19729764259628099</v>
      </c>
      <c r="CP628" s="37">
        <v>2.2628100717936301</v>
      </c>
      <c r="CQ628" s="37">
        <v>1.5226368464746201</v>
      </c>
      <c r="CR628" s="45">
        <v>1.75667912960997</v>
      </c>
      <c r="CS628" s="45">
        <v>3.3734100329048999</v>
      </c>
      <c r="CT628" s="46">
        <v>1.6183939004268101E-2</v>
      </c>
      <c r="CU628" s="47">
        <v>2.8343076423705101E-2</v>
      </c>
      <c r="CV628" s="48">
        <v>1.18754860958144</v>
      </c>
      <c r="CW628" s="49">
        <v>4.0060883941243004</v>
      </c>
      <c r="CX628" s="31" t="s">
        <v>5874</v>
      </c>
      <c r="CY628" s="31" t="s">
        <v>5878</v>
      </c>
      <c r="CZ628" t="s">
        <v>10462</v>
      </c>
      <c r="DA628" t="s">
        <v>5904</v>
      </c>
      <c r="DB628">
        <v>254.2</v>
      </c>
      <c r="DC628" t="s">
        <v>27429</v>
      </c>
      <c r="DD628" t="s">
        <v>27430</v>
      </c>
      <c r="DE628" t="s">
        <v>27431</v>
      </c>
      <c r="DF628" t="s">
        <v>27432</v>
      </c>
      <c r="DG628" t="s">
        <v>13772</v>
      </c>
      <c r="DH628" t="str">
        <f>"HIST1H2BD"</f>
        <v>HIST1H2BD</v>
      </c>
      <c r="DI628" t="s">
        <v>27433</v>
      </c>
      <c r="DJ628" t="s">
        <v>13777</v>
      </c>
      <c r="DK628">
        <v>9606</v>
      </c>
      <c r="DL628" s="34" t="str">
        <f>HYPERLINK("http://www.uniprot.org/uniprot/P58876", "P58876")</f>
        <v>P58876</v>
      </c>
      <c r="DM628" t="s">
        <v>27434</v>
      </c>
      <c r="DN628" t="s">
        <v>13772</v>
      </c>
      <c r="DO628" t="s">
        <v>15870</v>
      </c>
      <c r="DP628" t="s">
        <v>13772</v>
      </c>
      <c r="DQ628" t="s">
        <v>13772</v>
      </c>
      <c r="DR628" t="s">
        <v>13772</v>
      </c>
      <c r="DS628" t="s">
        <v>13772</v>
      </c>
      <c r="DT628" t="s">
        <v>13772</v>
      </c>
      <c r="DU628" t="s">
        <v>15871</v>
      </c>
      <c r="DV628" t="s">
        <v>27435</v>
      </c>
      <c r="DW628" t="s">
        <v>13772</v>
      </c>
      <c r="DX628" t="s">
        <v>27436</v>
      </c>
      <c r="DY628" t="s">
        <v>27437</v>
      </c>
      <c r="DZ628" t="s">
        <v>15875</v>
      </c>
      <c r="EA628" t="s">
        <v>13772</v>
      </c>
      <c r="EB628" t="s">
        <v>27438</v>
      </c>
    </row>
    <row r="629" spans="1:132" hidden="1">
      <c r="A629">
        <v>539</v>
      </c>
      <c r="B629">
        <v>1</v>
      </c>
      <c r="C629" t="s">
        <v>1346</v>
      </c>
      <c r="D629" t="s">
        <v>73</v>
      </c>
      <c r="E629" t="s">
        <v>73</v>
      </c>
      <c r="F629" t="s">
        <v>73</v>
      </c>
      <c r="G629" t="s">
        <v>73</v>
      </c>
      <c r="H629">
        <v>13.9</v>
      </c>
      <c r="I629">
        <v>330</v>
      </c>
      <c r="J629">
        <v>37526</v>
      </c>
      <c r="K629" t="s">
        <v>1347</v>
      </c>
      <c r="L629">
        <f t="shared" si="38"/>
        <v>52</v>
      </c>
      <c r="N629">
        <v>52</v>
      </c>
      <c r="O629">
        <v>52</v>
      </c>
      <c r="P629">
        <v>1</v>
      </c>
      <c r="Q629">
        <v>5</v>
      </c>
      <c r="R629">
        <v>1</v>
      </c>
      <c r="S629">
        <v>7</v>
      </c>
      <c r="T629">
        <v>4</v>
      </c>
      <c r="U629">
        <v>9</v>
      </c>
      <c r="V629">
        <v>2</v>
      </c>
      <c r="W629">
        <v>0</v>
      </c>
      <c r="X629">
        <v>1</v>
      </c>
      <c r="Y629">
        <v>3</v>
      </c>
      <c r="Z629">
        <v>6</v>
      </c>
      <c r="AA629">
        <v>0</v>
      </c>
      <c r="AB629">
        <v>4</v>
      </c>
      <c r="AC629">
        <v>1</v>
      </c>
      <c r="AD629">
        <v>0</v>
      </c>
      <c r="AE629">
        <v>4</v>
      </c>
      <c r="AF629">
        <v>0</v>
      </c>
      <c r="AG629">
        <v>0</v>
      </c>
      <c r="AH629">
        <v>4</v>
      </c>
      <c r="AI629">
        <v>1</v>
      </c>
      <c r="AJ629">
        <v>5</v>
      </c>
      <c r="AK629">
        <v>1</v>
      </c>
      <c r="AL629">
        <v>7</v>
      </c>
      <c r="AM629">
        <v>4</v>
      </c>
      <c r="AN629">
        <v>9</v>
      </c>
      <c r="AO629">
        <v>2</v>
      </c>
      <c r="AP629">
        <v>0</v>
      </c>
      <c r="AQ629">
        <v>1</v>
      </c>
      <c r="AR629">
        <v>3</v>
      </c>
      <c r="AS629">
        <v>6</v>
      </c>
      <c r="AT629">
        <v>0</v>
      </c>
      <c r="AU629">
        <v>4</v>
      </c>
      <c r="AV629">
        <v>1</v>
      </c>
      <c r="AW629">
        <v>0</v>
      </c>
      <c r="AX629">
        <v>4</v>
      </c>
      <c r="AY629">
        <v>0</v>
      </c>
      <c r="AZ629">
        <v>0</v>
      </c>
      <c r="BA629">
        <v>4</v>
      </c>
      <c r="BB629">
        <v>1</v>
      </c>
      <c r="BC629" s="2">
        <v>5</v>
      </c>
      <c r="BD629" s="2">
        <v>1</v>
      </c>
      <c r="BE629" s="2">
        <v>7</v>
      </c>
      <c r="BF629" s="2">
        <v>4</v>
      </c>
      <c r="BG629" s="2">
        <v>9</v>
      </c>
      <c r="BH629" s="2">
        <v>2</v>
      </c>
      <c r="BI629" s="2">
        <v>0</v>
      </c>
      <c r="BJ629" s="2">
        <v>1</v>
      </c>
      <c r="BK629" s="2">
        <v>3</v>
      </c>
      <c r="BL629" s="2">
        <v>6</v>
      </c>
      <c r="BM629" s="2">
        <v>0</v>
      </c>
      <c r="BN629" s="2">
        <v>4</v>
      </c>
      <c r="BO629" s="2">
        <v>1</v>
      </c>
      <c r="BP629" s="2">
        <v>0</v>
      </c>
      <c r="BQ629" s="2">
        <v>4</v>
      </c>
      <c r="BR629" s="2">
        <v>0</v>
      </c>
      <c r="BS629" s="2">
        <v>0</v>
      </c>
      <c r="BT629" s="2">
        <v>4</v>
      </c>
      <c r="BU629" s="2">
        <v>1</v>
      </c>
      <c r="BV629" s="2">
        <f t="shared" si="41"/>
        <v>52</v>
      </c>
      <c r="BW629" s="16">
        <f t="shared" si="39"/>
        <v>2.736842105263158</v>
      </c>
      <c r="BX629" s="16">
        <f>COUNTIF($BC$6:BU629, "=0") / COUNTIF($BC$6:BU629, "&gt;-1")</f>
        <v>0.16582321187584345</v>
      </c>
      <c r="BY629" s="18">
        <f>SUM($BC$6:BU629) / $BY$4</f>
        <v>0.88270548953033356</v>
      </c>
      <c r="BZ629" s="14">
        <f t="shared" si="40"/>
        <v>5</v>
      </c>
      <c r="CA629" t="s">
        <v>5831</v>
      </c>
      <c r="CB629" s="36">
        <v>6.0582169791736504</v>
      </c>
      <c r="CC629" s="36">
        <v>0.96306412067744696</v>
      </c>
      <c r="CD629" s="36">
        <v>11.2055836326858</v>
      </c>
      <c r="CE629" s="36">
        <v>6.0476870366129196</v>
      </c>
      <c r="CF629" s="36">
        <v>7.7415872394320298</v>
      </c>
      <c r="CG629" s="36">
        <v>1.85945449327898</v>
      </c>
      <c r="CH629" s="36">
        <v>0.26351557071616</v>
      </c>
      <c r="CI629" s="36">
        <v>0.97318359798230603</v>
      </c>
      <c r="CJ629" s="37">
        <v>2.3842748797348698</v>
      </c>
      <c r="CK629" s="37">
        <v>0.15766241172207099</v>
      </c>
      <c r="CL629" s="37">
        <v>3.2002173930693698</v>
      </c>
      <c r="CM629" s="37">
        <v>0.84654704659994096</v>
      </c>
      <c r="CN629" s="37">
        <v>3.6751702632604601</v>
      </c>
      <c r="CO629" s="37">
        <v>0.19729764259628099</v>
      </c>
      <c r="CP629" s="37">
        <v>0.377135011965606</v>
      </c>
      <c r="CQ629" s="37">
        <v>1.5226368464746201</v>
      </c>
      <c r="CR629" s="45">
        <v>-1.37305350928868</v>
      </c>
      <c r="CS629" s="45">
        <v>-2.8405840027282698</v>
      </c>
      <c r="CT629" s="46">
        <v>5.1294343408210499E-2</v>
      </c>
      <c r="CU629" s="47">
        <v>7.9251537505987998E-2</v>
      </c>
      <c r="CV629" s="48">
        <v>4.3890365838199097</v>
      </c>
      <c r="CW629" s="49">
        <v>1.5451176869279</v>
      </c>
      <c r="CX629" s="31" t="s">
        <v>5875</v>
      </c>
      <c r="CY629" s="31" t="s">
        <v>5877</v>
      </c>
      <c r="CZ629" t="s">
        <v>7564</v>
      </c>
      <c r="DA629" t="s">
        <v>5904</v>
      </c>
      <c r="DB629">
        <v>655.20000000000005</v>
      </c>
      <c r="DC629" t="s">
        <v>19068</v>
      </c>
      <c r="DD629" t="s">
        <v>19069</v>
      </c>
      <c r="DE629" t="s">
        <v>19070</v>
      </c>
      <c r="DF629" t="s">
        <v>19071</v>
      </c>
      <c r="DG629" t="s">
        <v>19072</v>
      </c>
      <c r="DH629" t="str">
        <f>"AIP"</f>
        <v>AIP</v>
      </c>
      <c r="DI629" t="s">
        <v>19073</v>
      </c>
      <c r="DJ629" t="s">
        <v>13777</v>
      </c>
      <c r="DK629">
        <v>9606</v>
      </c>
      <c r="DL629" s="34" t="str">
        <f>HYPERLINK("http://www.uniprot.org/uniprot/O00170", "O00170")</f>
        <v>O00170</v>
      </c>
      <c r="DM629" t="s">
        <v>19074</v>
      </c>
      <c r="DN629" t="s">
        <v>13772</v>
      </c>
      <c r="DO629" t="s">
        <v>13899</v>
      </c>
      <c r="DP629" t="s">
        <v>13793</v>
      </c>
      <c r="DQ629" t="s">
        <v>13772</v>
      </c>
      <c r="DR629" t="s">
        <v>19075</v>
      </c>
      <c r="DS629" t="s">
        <v>19076</v>
      </c>
      <c r="DT629" t="s">
        <v>13772</v>
      </c>
      <c r="DU629" t="s">
        <v>13772</v>
      </c>
      <c r="DV629" t="s">
        <v>13782</v>
      </c>
      <c r="DW629" t="s">
        <v>13812</v>
      </c>
      <c r="DX629" t="s">
        <v>19077</v>
      </c>
      <c r="DY629" t="s">
        <v>19078</v>
      </c>
      <c r="DZ629" t="s">
        <v>19079</v>
      </c>
      <c r="EA629" t="s">
        <v>13772</v>
      </c>
      <c r="EB629" t="s">
        <v>19080</v>
      </c>
    </row>
    <row r="630" spans="1:132" hidden="1">
      <c r="A630">
        <v>875</v>
      </c>
      <c r="B630">
        <v>1</v>
      </c>
      <c r="C630" t="s">
        <v>2137</v>
      </c>
      <c r="D630" t="s">
        <v>2138</v>
      </c>
      <c r="E630" t="s">
        <v>73</v>
      </c>
      <c r="F630" t="s">
        <v>73</v>
      </c>
      <c r="G630" t="s">
        <v>73</v>
      </c>
      <c r="H630">
        <v>25.8</v>
      </c>
      <c r="I630">
        <v>267</v>
      </c>
      <c r="J630">
        <v>30076</v>
      </c>
      <c r="K630" t="s">
        <v>2136</v>
      </c>
      <c r="L630">
        <f t="shared" si="38"/>
        <v>52</v>
      </c>
      <c r="N630">
        <v>52</v>
      </c>
      <c r="O630">
        <v>52</v>
      </c>
      <c r="P630">
        <v>1</v>
      </c>
      <c r="Q630">
        <v>3</v>
      </c>
      <c r="R630">
        <v>7</v>
      </c>
      <c r="S630">
        <v>8</v>
      </c>
      <c r="T630">
        <v>8</v>
      </c>
      <c r="U630">
        <v>7</v>
      </c>
      <c r="V630">
        <v>4</v>
      </c>
      <c r="W630">
        <v>4</v>
      </c>
      <c r="X630">
        <v>3</v>
      </c>
      <c r="Y630">
        <v>0</v>
      </c>
      <c r="Z630">
        <v>0</v>
      </c>
      <c r="AA630">
        <v>2</v>
      </c>
      <c r="AB630">
        <v>0</v>
      </c>
      <c r="AC630">
        <v>2</v>
      </c>
      <c r="AD630">
        <v>0</v>
      </c>
      <c r="AE630">
        <v>0</v>
      </c>
      <c r="AF630">
        <v>2</v>
      </c>
      <c r="AG630">
        <v>0</v>
      </c>
      <c r="AH630">
        <v>0</v>
      </c>
      <c r="AI630">
        <v>2</v>
      </c>
      <c r="AJ630">
        <v>3</v>
      </c>
      <c r="AK630">
        <v>7</v>
      </c>
      <c r="AL630">
        <v>8</v>
      </c>
      <c r="AM630">
        <v>8</v>
      </c>
      <c r="AN630">
        <v>7</v>
      </c>
      <c r="AO630">
        <v>4</v>
      </c>
      <c r="AP630">
        <v>4</v>
      </c>
      <c r="AQ630">
        <v>3</v>
      </c>
      <c r="AR630">
        <v>0</v>
      </c>
      <c r="AS630">
        <v>0</v>
      </c>
      <c r="AT630">
        <v>2</v>
      </c>
      <c r="AU630">
        <v>0</v>
      </c>
      <c r="AV630">
        <v>2</v>
      </c>
      <c r="AW630">
        <v>0</v>
      </c>
      <c r="AX630">
        <v>0</v>
      </c>
      <c r="AY630">
        <v>2</v>
      </c>
      <c r="AZ630">
        <v>0</v>
      </c>
      <c r="BA630">
        <v>0</v>
      </c>
      <c r="BB630">
        <v>2</v>
      </c>
      <c r="BC630" s="2">
        <v>3</v>
      </c>
      <c r="BD630" s="2">
        <v>7</v>
      </c>
      <c r="BE630" s="2">
        <v>8</v>
      </c>
      <c r="BF630" s="2">
        <v>8</v>
      </c>
      <c r="BG630" s="2">
        <v>7</v>
      </c>
      <c r="BH630" s="2">
        <v>4</v>
      </c>
      <c r="BI630" s="2">
        <v>4</v>
      </c>
      <c r="BJ630" s="2">
        <v>3</v>
      </c>
      <c r="BK630" s="2">
        <v>0</v>
      </c>
      <c r="BL630" s="2">
        <v>0</v>
      </c>
      <c r="BM630" s="2">
        <v>2</v>
      </c>
      <c r="BN630" s="2">
        <v>0</v>
      </c>
      <c r="BO630" s="2">
        <v>2</v>
      </c>
      <c r="BP630" s="2">
        <v>0</v>
      </c>
      <c r="BQ630" s="2">
        <v>0</v>
      </c>
      <c r="BR630" s="2">
        <v>2</v>
      </c>
      <c r="BS630" s="2">
        <v>0</v>
      </c>
      <c r="BT630" s="2">
        <v>0</v>
      </c>
      <c r="BU630" s="2">
        <v>2</v>
      </c>
      <c r="BV630" s="2">
        <f t="shared" si="41"/>
        <v>52</v>
      </c>
      <c r="BW630" s="16">
        <f t="shared" si="39"/>
        <v>2.736842105263158</v>
      </c>
      <c r="BX630" s="16">
        <f>COUNTIF($BC$6:BU630, "=0") / COUNTIF($BC$6:BU630, "&gt;-1")</f>
        <v>0.16614736842105263</v>
      </c>
      <c r="BY630" s="18">
        <f>SUM($BC$6:BU630) / $BY$4</f>
        <v>0.88292823864750603</v>
      </c>
      <c r="BZ630" s="14">
        <f t="shared" si="40"/>
        <v>7</v>
      </c>
      <c r="CA630" t="s">
        <v>5831</v>
      </c>
      <c r="CB630" s="36">
        <v>3.6349301875041902</v>
      </c>
      <c r="CC630" s="36">
        <v>6.7414488447421297</v>
      </c>
      <c r="CD630" s="36">
        <v>12.806381294498101</v>
      </c>
      <c r="CE630" s="36">
        <v>12.0953740732258</v>
      </c>
      <c r="CF630" s="36">
        <v>6.0212345195582504</v>
      </c>
      <c r="CG630" s="36">
        <v>3.7189089865579601</v>
      </c>
      <c r="CH630" s="36">
        <v>4.21624913145856</v>
      </c>
      <c r="CI630" s="36">
        <v>2.9195507939469199</v>
      </c>
      <c r="CJ630" s="37">
        <v>0.19868957331123899</v>
      </c>
      <c r="CK630" s="37">
        <v>1.2612992937765699</v>
      </c>
      <c r="CL630" s="37">
        <v>0.200013587066836</v>
      </c>
      <c r="CM630" s="37">
        <v>1.6930940931998799</v>
      </c>
      <c r="CN630" s="37">
        <v>0.22969814145377901</v>
      </c>
      <c r="CO630" s="37">
        <v>1.5783811407702499</v>
      </c>
      <c r="CP630" s="37">
        <v>0.377135011965606</v>
      </c>
      <c r="CQ630" s="37">
        <v>3.0452736929492299</v>
      </c>
      <c r="CR630" s="45">
        <v>-2.48461563446017</v>
      </c>
      <c r="CS630" s="45">
        <v>-6.0760254206047799</v>
      </c>
      <c r="CT630" s="46">
        <v>1.5780718446195E-5</v>
      </c>
      <c r="CU630" s="47">
        <v>5.4701039588106099E-5</v>
      </c>
      <c r="CV630" s="48">
        <v>6.5192597289364898</v>
      </c>
      <c r="CW630" s="49">
        <v>1.07294806681167</v>
      </c>
      <c r="CX630" s="31" t="s">
        <v>5875</v>
      </c>
      <c r="CY630" s="31" t="s">
        <v>5876</v>
      </c>
      <c r="CZ630" t="s">
        <v>8689</v>
      </c>
      <c r="DA630" t="s">
        <v>5904</v>
      </c>
      <c r="DB630">
        <v>383.6</v>
      </c>
      <c r="DC630" t="s">
        <v>22398</v>
      </c>
      <c r="DD630" t="s">
        <v>22399</v>
      </c>
      <c r="DE630" t="s">
        <v>22400</v>
      </c>
      <c r="DF630" t="s">
        <v>22401</v>
      </c>
      <c r="DG630" t="s">
        <v>22402</v>
      </c>
      <c r="DH630" t="str">
        <f>"CD200"</f>
        <v>CD200</v>
      </c>
      <c r="DI630" t="s">
        <v>22403</v>
      </c>
      <c r="DJ630" t="s">
        <v>13777</v>
      </c>
      <c r="DK630">
        <v>9606</v>
      </c>
      <c r="DL630" s="34" t="str">
        <f>HYPERLINK("http://www.uniprot.org/uniprot/P41217", "P41217")</f>
        <v>P41217</v>
      </c>
      <c r="DM630" t="s">
        <v>22404</v>
      </c>
      <c r="DN630" t="s">
        <v>13772</v>
      </c>
      <c r="DO630" t="s">
        <v>13792</v>
      </c>
      <c r="DP630" t="s">
        <v>13780</v>
      </c>
      <c r="DQ630" t="s">
        <v>13772</v>
      </c>
      <c r="DR630" t="s">
        <v>13772</v>
      </c>
      <c r="DS630" t="s">
        <v>13794</v>
      </c>
      <c r="DT630" t="s">
        <v>13772</v>
      </c>
      <c r="DU630" t="s">
        <v>13772</v>
      </c>
      <c r="DV630" t="s">
        <v>13796</v>
      </c>
      <c r="DW630" t="s">
        <v>13772</v>
      </c>
      <c r="DX630" t="s">
        <v>22405</v>
      </c>
      <c r="DY630" t="s">
        <v>22406</v>
      </c>
      <c r="DZ630" t="s">
        <v>22407</v>
      </c>
      <c r="EA630" t="s">
        <v>13772</v>
      </c>
      <c r="EB630" t="s">
        <v>13799</v>
      </c>
    </row>
    <row r="631" spans="1:132" hidden="1">
      <c r="A631">
        <v>2443</v>
      </c>
      <c r="B631">
        <v>1</v>
      </c>
      <c r="C631" t="s">
        <v>5733</v>
      </c>
      <c r="D631" t="s">
        <v>73</v>
      </c>
      <c r="E631" t="s">
        <v>5734</v>
      </c>
      <c r="F631" t="s">
        <v>73</v>
      </c>
      <c r="G631" t="s">
        <v>73</v>
      </c>
      <c r="H631">
        <v>37.9</v>
      </c>
      <c r="I631">
        <v>140</v>
      </c>
      <c r="J631">
        <v>15032</v>
      </c>
      <c r="K631" t="s">
        <v>5735</v>
      </c>
      <c r="L631">
        <f t="shared" si="38"/>
        <v>52</v>
      </c>
      <c r="N631">
        <v>52</v>
      </c>
      <c r="O631">
        <v>52</v>
      </c>
      <c r="P631">
        <v>1</v>
      </c>
      <c r="Q631">
        <v>2</v>
      </c>
      <c r="R631">
        <v>1</v>
      </c>
      <c r="S631">
        <v>0</v>
      </c>
      <c r="T631">
        <v>0</v>
      </c>
      <c r="U631">
        <v>1</v>
      </c>
      <c r="V631">
        <v>2</v>
      </c>
      <c r="W631">
        <v>3</v>
      </c>
      <c r="X631">
        <v>8</v>
      </c>
      <c r="Y631">
        <v>4</v>
      </c>
      <c r="Z631">
        <v>0</v>
      </c>
      <c r="AA631">
        <v>8</v>
      </c>
      <c r="AB631">
        <v>3</v>
      </c>
      <c r="AC631">
        <v>1</v>
      </c>
      <c r="AD631">
        <v>0</v>
      </c>
      <c r="AE631">
        <v>8</v>
      </c>
      <c r="AF631">
        <v>7</v>
      </c>
      <c r="AG631">
        <v>1</v>
      </c>
      <c r="AH631">
        <v>1</v>
      </c>
      <c r="AI631">
        <v>2</v>
      </c>
      <c r="AJ631">
        <v>2</v>
      </c>
      <c r="AK631">
        <v>1</v>
      </c>
      <c r="AL631">
        <v>0</v>
      </c>
      <c r="AM631">
        <v>0</v>
      </c>
      <c r="AN631">
        <v>1</v>
      </c>
      <c r="AO631">
        <v>2</v>
      </c>
      <c r="AP631">
        <v>3</v>
      </c>
      <c r="AQ631">
        <v>8</v>
      </c>
      <c r="AR631">
        <v>4</v>
      </c>
      <c r="AS631">
        <v>0</v>
      </c>
      <c r="AT631">
        <v>8</v>
      </c>
      <c r="AU631">
        <v>3</v>
      </c>
      <c r="AV631">
        <v>1</v>
      </c>
      <c r="AW631">
        <v>0</v>
      </c>
      <c r="AX631">
        <v>8</v>
      </c>
      <c r="AY631">
        <v>7</v>
      </c>
      <c r="AZ631">
        <v>1</v>
      </c>
      <c r="BA631">
        <v>1</v>
      </c>
      <c r="BB631">
        <v>2</v>
      </c>
      <c r="BC631" s="2">
        <v>2</v>
      </c>
      <c r="BD631" s="2">
        <v>1</v>
      </c>
      <c r="BE631" s="2">
        <v>0</v>
      </c>
      <c r="BF631" s="2">
        <v>0</v>
      </c>
      <c r="BG631" s="2">
        <v>1</v>
      </c>
      <c r="BH631" s="2">
        <v>2</v>
      </c>
      <c r="BI631" s="2">
        <v>3</v>
      </c>
      <c r="BJ631" s="2">
        <v>8</v>
      </c>
      <c r="BK631" s="2">
        <v>4</v>
      </c>
      <c r="BL631" s="2">
        <v>0</v>
      </c>
      <c r="BM631" s="2">
        <v>8</v>
      </c>
      <c r="BN631" s="2">
        <v>3</v>
      </c>
      <c r="BO631" s="2">
        <v>1</v>
      </c>
      <c r="BP631" s="2">
        <v>0</v>
      </c>
      <c r="BQ631" s="2">
        <v>8</v>
      </c>
      <c r="BR631" s="2">
        <v>7</v>
      </c>
      <c r="BS631" s="2">
        <v>1</v>
      </c>
      <c r="BT631" s="2">
        <v>1</v>
      </c>
      <c r="BU631" s="2">
        <v>2</v>
      </c>
      <c r="BV631" s="2">
        <f t="shared" si="41"/>
        <v>52</v>
      </c>
      <c r="BW631" s="16">
        <f t="shared" si="39"/>
        <v>2.736842105263158</v>
      </c>
      <c r="BX631" s="16">
        <f>COUNTIF($BC$6:BU631, "=0") / COUNTIF($BC$6:BU631, "&gt;-1")</f>
        <v>0.16621826130822262</v>
      </c>
      <c r="BY631" s="18">
        <f>SUM($BC$6:BU631) / $BY$4</f>
        <v>0.88315098776467849</v>
      </c>
      <c r="BZ631" s="14">
        <f t="shared" si="40"/>
        <v>4</v>
      </c>
      <c r="CA631" t="s">
        <v>5831</v>
      </c>
      <c r="CB631" s="36">
        <v>2.4232867916694598</v>
      </c>
      <c r="CC631" s="36">
        <v>0.96306412067744696</v>
      </c>
      <c r="CD631" s="36">
        <v>0.40019941545306398</v>
      </c>
      <c r="CE631" s="36">
        <v>0.37798043978830698</v>
      </c>
      <c r="CF631" s="36">
        <v>0.86017635993689201</v>
      </c>
      <c r="CG631" s="36">
        <v>1.85945449327898</v>
      </c>
      <c r="CH631" s="36">
        <v>3.1621868485939202</v>
      </c>
      <c r="CI631" s="36">
        <v>7.78546878385845</v>
      </c>
      <c r="CJ631" s="37">
        <v>3.17903317297983</v>
      </c>
      <c r="CK631" s="37">
        <v>5.0451971751062796</v>
      </c>
      <c r="CL631" s="37">
        <v>2.4001630448020301</v>
      </c>
      <c r="CM631" s="37">
        <v>0.84654704659994096</v>
      </c>
      <c r="CN631" s="37">
        <v>7.3503405265209096</v>
      </c>
      <c r="CO631" s="37">
        <v>5.5243339926958699</v>
      </c>
      <c r="CP631" s="37">
        <v>1.50854004786242</v>
      </c>
      <c r="CQ631" s="37">
        <v>3.0452736929492299</v>
      </c>
      <c r="CR631" s="45">
        <v>0.64264961224872497</v>
      </c>
      <c r="CS631" s="45">
        <v>1.6206664911978499</v>
      </c>
      <c r="CT631" s="46">
        <v>0.28809946508800799</v>
      </c>
      <c r="CU631" s="47">
        <v>0.365727783954226</v>
      </c>
      <c r="CV631" s="48">
        <v>2.22897715665707</v>
      </c>
      <c r="CW631" s="49">
        <v>3.6124285874395698</v>
      </c>
      <c r="CX631" s="31" t="s">
        <v>5874</v>
      </c>
      <c r="CY631" s="31" t="s">
        <v>5832</v>
      </c>
      <c r="CZ631" t="s">
        <v>8771</v>
      </c>
      <c r="DA631" t="s">
        <v>5904</v>
      </c>
      <c r="DB631">
        <v>287.7</v>
      </c>
      <c r="DC631" t="s">
        <v>22641</v>
      </c>
      <c r="DD631" t="s">
        <v>22642</v>
      </c>
      <c r="DE631" t="s">
        <v>22643</v>
      </c>
      <c r="DF631" t="s">
        <v>22644</v>
      </c>
      <c r="DG631" t="s">
        <v>22645</v>
      </c>
      <c r="DH631" t="str">
        <f>"PFN2"</f>
        <v>PFN2</v>
      </c>
      <c r="DI631" t="s">
        <v>13772</v>
      </c>
      <c r="DJ631" t="s">
        <v>13777</v>
      </c>
      <c r="DK631">
        <v>9606</v>
      </c>
      <c r="DL631" s="34" t="str">
        <f>HYPERLINK("http://www.uniprot.org/uniprot/P35080", "P35080")</f>
        <v>P35080</v>
      </c>
      <c r="DM631" t="s">
        <v>22646</v>
      </c>
      <c r="DN631" t="s">
        <v>13772</v>
      </c>
      <c r="DO631" t="s">
        <v>13988</v>
      </c>
      <c r="DP631" t="s">
        <v>13841</v>
      </c>
      <c r="DQ631" t="s">
        <v>13772</v>
      </c>
      <c r="DR631" t="s">
        <v>13772</v>
      </c>
      <c r="DS631" t="s">
        <v>13772</v>
      </c>
      <c r="DT631" t="s">
        <v>13772</v>
      </c>
      <c r="DU631" t="s">
        <v>13990</v>
      </c>
      <c r="DV631" t="s">
        <v>14020</v>
      </c>
      <c r="DW631" t="s">
        <v>13812</v>
      </c>
      <c r="DX631" t="s">
        <v>22647</v>
      </c>
      <c r="DY631" t="s">
        <v>22648</v>
      </c>
      <c r="DZ631" t="s">
        <v>22649</v>
      </c>
      <c r="EA631" t="s">
        <v>13772</v>
      </c>
      <c r="EB631" t="s">
        <v>22650</v>
      </c>
    </row>
    <row r="632" spans="1:132" hidden="1">
      <c r="A632">
        <v>1375</v>
      </c>
      <c r="B632">
        <v>1</v>
      </c>
      <c r="C632" t="s">
        <v>3288</v>
      </c>
      <c r="D632" t="s">
        <v>3289</v>
      </c>
      <c r="E632" t="s">
        <v>73</v>
      </c>
      <c r="F632" t="s">
        <v>73</v>
      </c>
      <c r="G632" t="s">
        <v>73</v>
      </c>
      <c r="H632">
        <v>13.6</v>
      </c>
      <c r="I632">
        <v>1102</v>
      </c>
      <c r="J632">
        <v>122855</v>
      </c>
      <c r="K632" t="s">
        <v>3290</v>
      </c>
      <c r="L632">
        <f t="shared" si="38"/>
        <v>52</v>
      </c>
      <c r="N632">
        <v>52</v>
      </c>
      <c r="O632">
        <v>52</v>
      </c>
      <c r="P632">
        <v>1</v>
      </c>
      <c r="Q632">
        <v>0</v>
      </c>
      <c r="R632">
        <v>0</v>
      </c>
      <c r="S632">
        <v>2</v>
      </c>
      <c r="T632">
        <v>0</v>
      </c>
      <c r="U632">
        <v>4</v>
      </c>
      <c r="V632">
        <v>8</v>
      </c>
      <c r="W632">
        <v>3</v>
      </c>
      <c r="X632">
        <v>8</v>
      </c>
      <c r="Y632">
        <v>3</v>
      </c>
      <c r="Z632">
        <v>0</v>
      </c>
      <c r="AA632">
        <v>5</v>
      </c>
      <c r="AB632">
        <v>2</v>
      </c>
      <c r="AC632">
        <v>2</v>
      </c>
      <c r="AD632">
        <v>0</v>
      </c>
      <c r="AE632">
        <v>5</v>
      </c>
      <c r="AF632">
        <v>6</v>
      </c>
      <c r="AG632">
        <v>1</v>
      </c>
      <c r="AH632">
        <v>0</v>
      </c>
      <c r="AI632">
        <v>3</v>
      </c>
      <c r="AJ632">
        <v>0</v>
      </c>
      <c r="AK632">
        <v>0</v>
      </c>
      <c r="AL632">
        <v>2</v>
      </c>
      <c r="AM632">
        <v>0</v>
      </c>
      <c r="AN632">
        <v>4</v>
      </c>
      <c r="AO632">
        <v>8</v>
      </c>
      <c r="AP632">
        <v>3</v>
      </c>
      <c r="AQ632">
        <v>8</v>
      </c>
      <c r="AR632">
        <v>3</v>
      </c>
      <c r="AS632">
        <v>0</v>
      </c>
      <c r="AT632">
        <v>5</v>
      </c>
      <c r="AU632">
        <v>2</v>
      </c>
      <c r="AV632">
        <v>2</v>
      </c>
      <c r="AW632">
        <v>0</v>
      </c>
      <c r="AX632">
        <v>5</v>
      </c>
      <c r="AY632">
        <v>6</v>
      </c>
      <c r="AZ632">
        <v>1</v>
      </c>
      <c r="BA632">
        <v>0</v>
      </c>
      <c r="BB632">
        <v>3</v>
      </c>
      <c r="BC632" s="2">
        <v>0</v>
      </c>
      <c r="BD632" s="2">
        <v>0</v>
      </c>
      <c r="BE632" s="2">
        <v>2</v>
      </c>
      <c r="BF632" s="2">
        <v>0</v>
      </c>
      <c r="BG632" s="2">
        <v>4</v>
      </c>
      <c r="BH632" s="2">
        <v>8</v>
      </c>
      <c r="BI632" s="2">
        <v>3</v>
      </c>
      <c r="BJ632" s="2">
        <v>8</v>
      </c>
      <c r="BK632" s="2">
        <v>3</v>
      </c>
      <c r="BL632" s="2">
        <v>0</v>
      </c>
      <c r="BM632" s="2">
        <v>5</v>
      </c>
      <c r="BN632" s="2">
        <v>2</v>
      </c>
      <c r="BO632" s="2">
        <v>2</v>
      </c>
      <c r="BP632" s="2">
        <v>0</v>
      </c>
      <c r="BQ632" s="2">
        <v>5</v>
      </c>
      <c r="BR632" s="2">
        <v>6</v>
      </c>
      <c r="BS632" s="2">
        <v>1</v>
      </c>
      <c r="BT632" s="2">
        <v>0</v>
      </c>
      <c r="BU632" s="2">
        <v>3</v>
      </c>
      <c r="BV632" s="2">
        <f t="shared" si="41"/>
        <v>52</v>
      </c>
      <c r="BW632" s="16">
        <f t="shared" si="39"/>
        <v>2.736842105263158</v>
      </c>
      <c r="BX632" s="16">
        <f>COUNTIF($BC$6:BU632, "=0") / COUNTIF($BC$6:BU632, "&gt;-1")</f>
        <v>0.16645681188617475</v>
      </c>
      <c r="BY632" s="18">
        <f>SUM($BC$6:BU632) / $BY$4</f>
        <v>0.88337373688185084</v>
      </c>
      <c r="BZ632" s="14">
        <f t="shared" si="40"/>
        <v>6</v>
      </c>
      <c r="CA632" t="s">
        <v>5831</v>
      </c>
      <c r="CB632" s="36">
        <v>0.30291084895868198</v>
      </c>
      <c r="CC632" s="36">
        <v>0.24076603016936199</v>
      </c>
      <c r="CD632" s="36">
        <v>3.2015953236245198</v>
      </c>
      <c r="CE632" s="36">
        <v>0.37798043978830698</v>
      </c>
      <c r="CF632" s="36">
        <v>3.4407054397475698</v>
      </c>
      <c r="CG632" s="36">
        <v>7.43781797311593</v>
      </c>
      <c r="CH632" s="36">
        <v>3.1621868485939202</v>
      </c>
      <c r="CI632" s="36">
        <v>7.78546878385845</v>
      </c>
      <c r="CJ632" s="37">
        <v>2.3842748797348698</v>
      </c>
      <c r="CK632" s="37">
        <v>3.1532482344414299</v>
      </c>
      <c r="CL632" s="37">
        <v>1.60010869653469</v>
      </c>
      <c r="CM632" s="37">
        <v>1.6930940931998799</v>
      </c>
      <c r="CN632" s="37">
        <v>4.5939628290755703</v>
      </c>
      <c r="CO632" s="37">
        <v>4.7351434223107498</v>
      </c>
      <c r="CP632" s="37">
        <v>1.50854004786242</v>
      </c>
      <c r="CQ632" s="37">
        <v>4.5679105394238499</v>
      </c>
      <c r="CR632" s="45">
        <v>-0.15515962410963</v>
      </c>
      <c r="CS632" s="45">
        <v>-1.0706853011853701</v>
      </c>
      <c r="CT632" s="46">
        <v>0.91942064189904804</v>
      </c>
      <c r="CU632" s="47">
        <v>0.94924215725541905</v>
      </c>
      <c r="CV632" s="48">
        <v>3.24367896098209</v>
      </c>
      <c r="CW632" s="49">
        <v>3.0295353428229301</v>
      </c>
      <c r="CX632" s="31" t="s">
        <v>5875</v>
      </c>
      <c r="CY632" s="31" t="s">
        <v>5832</v>
      </c>
      <c r="CZ632" t="s">
        <v>10329</v>
      </c>
      <c r="DA632" t="s">
        <v>5904</v>
      </c>
      <c r="DB632">
        <v>1266.5</v>
      </c>
      <c r="DC632" t="s">
        <v>27069</v>
      </c>
      <c r="DD632" t="s">
        <v>27070</v>
      </c>
      <c r="DE632" t="s">
        <v>27071</v>
      </c>
      <c r="DF632" t="s">
        <v>27072</v>
      </c>
      <c r="DG632" t="s">
        <v>27073</v>
      </c>
      <c r="DH632" t="str">
        <f>"EPB41L2"</f>
        <v>EPB41L2</v>
      </c>
      <c r="DI632" t="s">
        <v>13772</v>
      </c>
      <c r="DJ632" t="s">
        <v>13777</v>
      </c>
      <c r="DK632">
        <v>9606</v>
      </c>
      <c r="DL632" s="34" t="str">
        <f>HYPERLINK("http://www.uniprot.org/uniprot/O43491", "O43491")</f>
        <v>O43491</v>
      </c>
      <c r="DM632" t="s">
        <v>27074</v>
      </c>
      <c r="DN632" t="s">
        <v>14675</v>
      </c>
      <c r="DO632" t="s">
        <v>17663</v>
      </c>
      <c r="DP632" t="s">
        <v>13780</v>
      </c>
      <c r="DQ632" t="s">
        <v>13772</v>
      </c>
      <c r="DR632" t="s">
        <v>13772</v>
      </c>
      <c r="DS632" t="s">
        <v>13772</v>
      </c>
      <c r="DT632" t="s">
        <v>13772</v>
      </c>
      <c r="DU632" t="s">
        <v>13990</v>
      </c>
      <c r="DV632" t="s">
        <v>13991</v>
      </c>
      <c r="DW632" t="s">
        <v>13772</v>
      </c>
      <c r="DX632" t="s">
        <v>27075</v>
      </c>
      <c r="DY632" t="s">
        <v>27076</v>
      </c>
      <c r="DZ632" t="s">
        <v>27077</v>
      </c>
      <c r="EA632" t="s">
        <v>13772</v>
      </c>
      <c r="EB632" t="s">
        <v>15945</v>
      </c>
    </row>
    <row r="633" spans="1:132" hidden="1">
      <c r="A633">
        <v>1596</v>
      </c>
      <c r="B633">
        <v>1</v>
      </c>
      <c r="C633" t="s">
        <v>3782</v>
      </c>
      <c r="D633" t="s">
        <v>3783</v>
      </c>
      <c r="E633" t="s">
        <v>73</v>
      </c>
      <c r="F633" t="s">
        <v>73</v>
      </c>
      <c r="G633" t="s">
        <v>73</v>
      </c>
      <c r="H633">
        <v>17.399999999999999</v>
      </c>
      <c r="I633">
        <v>213</v>
      </c>
      <c r="J633">
        <v>22529</v>
      </c>
      <c r="K633" t="s">
        <v>3784</v>
      </c>
      <c r="L633">
        <f t="shared" si="38"/>
        <v>52</v>
      </c>
      <c r="N633">
        <v>52</v>
      </c>
      <c r="O633">
        <v>52</v>
      </c>
      <c r="P633">
        <v>1</v>
      </c>
      <c r="Q633">
        <v>2</v>
      </c>
      <c r="R633">
        <v>5</v>
      </c>
      <c r="S633">
        <v>7</v>
      </c>
      <c r="T633">
        <v>11</v>
      </c>
      <c r="U633">
        <v>11</v>
      </c>
      <c r="V633">
        <v>6</v>
      </c>
      <c r="W633">
        <v>4</v>
      </c>
      <c r="X633">
        <v>3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5</v>
      </c>
      <c r="AL633">
        <v>7</v>
      </c>
      <c r="AM633">
        <v>11</v>
      </c>
      <c r="AN633">
        <v>11</v>
      </c>
      <c r="AO633">
        <v>6</v>
      </c>
      <c r="AP633">
        <v>4</v>
      </c>
      <c r="AQ633">
        <v>3</v>
      </c>
      <c r="AR633">
        <v>0</v>
      </c>
      <c r="AS633">
        <v>0</v>
      </c>
      <c r="AT633">
        <v>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 s="2">
        <v>2</v>
      </c>
      <c r="BD633" s="2">
        <v>5</v>
      </c>
      <c r="BE633" s="2">
        <v>7</v>
      </c>
      <c r="BF633" s="2">
        <v>11</v>
      </c>
      <c r="BG633" s="2">
        <v>11</v>
      </c>
      <c r="BH633" s="2">
        <v>6</v>
      </c>
      <c r="BI633" s="2">
        <v>4</v>
      </c>
      <c r="BJ633" s="2">
        <v>3</v>
      </c>
      <c r="BK633" s="2">
        <v>0</v>
      </c>
      <c r="BL633" s="2">
        <v>0</v>
      </c>
      <c r="BM633" s="2">
        <v>3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f t="shared" si="41"/>
        <v>52</v>
      </c>
      <c r="BW633" s="16">
        <f t="shared" si="39"/>
        <v>2.736842105263158</v>
      </c>
      <c r="BX633" s="16">
        <f>COUNTIF($BC$6:BU633, "=0") / COUNTIF($BC$6:BU633, "&gt;-1")</f>
        <v>0.16702983573583641</v>
      </c>
      <c r="BY633" s="18">
        <f>SUM($BC$6:BU633) / $BY$4</f>
        <v>0.8835964859990233</v>
      </c>
      <c r="BZ633" s="14">
        <f t="shared" si="40"/>
        <v>10</v>
      </c>
      <c r="CA633" t="s">
        <v>5831</v>
      </c>
      <c r="CB633" s="36">
        <v>2.4232867916694598</v>
      </c>
      <c r="CC633" s="36">
        <v>4.8153206033872298</v>
      </c>
      <c r="CD633" s="36">
        <v>11.2055836326858</v>
      </c>
      <c r="CE633" s="36">
        <v>16.631139350685501</v>
      </c>
      <c r="CF633" s="36">
        <v>9.4619399593058091</v>
      </c>
      <c r="CG633" s="36">
        <v>5.5783634798369501</v>
      </c>
      <c r="CH633" s="36">
        <v>4.21624913145856</v>
      </c>
      <c r="CI633" s="36">
        <v>2.9195507939469199</v>
      </c>
      <c r="CJ633" s="37">
        <v>0.19868957331123899</v>
      </c>
      <c r="CK633" s="37">
        <v>1.89194894066486</v>
      </c>
      <c r="CL633" s="37">
        <v>0.200013587066836</v>
      </c>
      <c r="CM633" s="37">
        <v>0.21163676164998499</v>
      </c>
      <c r="CN633" s="37">
        <v>0.22969814145377901</v>
      </c>
      <c r="CO633" s="37">
        <v>0.19729764259628099</v>
      </c>
      <c r="CP633" s="37">
        <v>0.377135011965606</v>
      </c>
      <c r="CQ633" s="37">
        <v>0.38065921161865401</v>
      </c>
      <c r="CR633" s="45">
        <v>-3.4680649887477601</v>
      </c>
      <c r="CS633" s="45">
        <v>-15.527585863085999</v>
      </c>
      <c r="CT633" s="46">
        <v>6.6797547900655901E-8</v>
      </c>
      <c r="CU633" s="47">
        <v>4.7539956963339102E-7</v>
      </c>
      <c r="CV633" s="48">
        <v>7.1564292178720299</v>
      </c>
      <c r="CW633" s="49">
        <v>0.46088485879090502</v>
      </c>
      <c r="CX633" s="31" t="s">
        <v>5875</v>
      </c>
      <c r="CY633" s="31" t="s">
        <v>5876</v>
      </c>
      <c r="CZ633" t="s">
        <v>11060</v>
      </c>
      <c r="DA633" t="s">
        <v>5904</v>
      </c>
      <c r="DB633">
        <v>202.2</v>
      </c>
      <c r="DC633" t="s">
        <v>29104</v>
      </c>
      <c r="DD633" t="s">
        <v>29105</v>
      </c>
      <c r="DE633" t="s">
        <v>29106</v>
      </c>
      <c r="DF633" t="s">
        <v>29107</v>
      </c>
      <c r="DG633" t="s">
        <v>29108</v>
      </c>
      <c r="DH633" t="str">
        <f>"FAM174A"</f>
        <v>FAM174A</v>
      </c>
      <c r="DI633" t="s">
        <v>29109</v>
      </c>
      <c r="DJ633" t="s">
        <v>13777</v>
      </c>
      <c r="DK633">
        <v>9606</v>
      </c>
      <c r="DL633" s="34" t="str">
        <f>HYPERLINK("http://www.uniprot.org/uniprot/Q8TBP5", "Q8TBP5")</f>
        <v>Q8TBP5</v>
      </c>
      <c r="DM633" t="s">
        <v>25206</v>
      </c>
      <c r="DN633" t="s">
        <v>13772</v>
      </c>
      <c r="DO633" t="s">
        <v>13825</v>
      </c>
      <c r="DP633" t="s">
        <v>13772</v>
      </c>
      <c r="DQ633" t="s">
        <v>13772</v>
      </c>
      <c r="DR633" t="s">
        <v>13772</v>
      </c>
      <c r="DS633" t="s">
        <v>13855</v>
      </c>
      <c r="DT633" t="s">
        <v>13772</v>
      </c>
      <c r="DU633" t="s">
        <v>13772</v>
      </c>
      <c r="DV633" t="s">
        <v>13858</v>
      </c>
      <c r="DW633" t="s">
        <v>13772</v>
      </c>
      <c r="DX633" t="s">
        <v>13772</v>
      </c>
      <c r="DY633" t="s">
        <v>15378</v>
      </c>
      <c r="DZ633" t="s">
        <v>13772</v>
      </c>
      <c r="EA633" t="s">
        <v>13772</v>
      </c>
      <c r="EB633" t="s">
        <v>13772</v>
      </c>
    </row>
    <row r="634" spans="1:132" hidden="1">
      <c r="A634">
        <v>1605</v>
      </c>
      <c r="B634">
        <v>1</v>
      </c>
      <c r="C634" t="s">
        <v>3804</v>
      </c>
      <c r="D634" t="s">
        <v>73</v>
      </c>
      <c r="E634" t="s">
        <v>73</v>
      </c>
      <c r="F634" t="s">
        <v>73</v>
      </c>
      <c r="G634" t="s">
        <v>73</v>
      </c>
      <c r="H634">
        <v>50.3</v>
      </c>
      <c r="I634">
        <v>183</v>
      </c>
      <c r="J634">
        <v>20232</v>
      </c>
      <c r="K634" t="s">
        <v>3805</v>
      </c>
      <c r="L634">
        <f t="shared" si="38"/>
        <v>52</v>
      </c>
      <c r="N634">
        <v>52</v>
      </c>
      <c r="O634">
        <v>52</v>
      </c>
      <c r="P634">
        <v>1</v>
      </c>
      <c r="Q634">
        <v>6</v>
      </c>
      <c r="R634">
        <v>0</v>
      </c>
      <c r="S634">
        <v>4</v>
      </c>
      <c r="T634">
        <v>5</v>
      </c>
      <c r="U634">
        <v>6</v>
      </c>
      <c r="V634">
        <v>4</v>
      </c>
      <c r="W634">
        <v>8</v>
      </c>
      <c r="X634">
        <v>1</v>
      </c>
      <c r="Y634">
        <v>2</v>
      </c>
      <c r="Z634">
        <v>0</v>
      </c>
      <c r="AA634">
        <v>2</v>
      </c>
      <c r="AB634">
        <v>2</v>
      </c>
      <c r="AC634">
        <v>3</v>
      </c>
      <c r="AD634">
        <v>2</v>
      </c>
      <c r="AE634">
        <v>3</v>
      </c>
      <c r="AF634">
        <v>2</v>
      </c>
      <c r="AG634">
        <v>1</v>
      </c>
      <c r="AH634">
        <v>0</v>
      </c>
      <c r="AI634">
        <v>1</v>
      </c>
      <c r="AJ634">
        <v>6</v>
      </c>
      <c r="AK634">
        <v>0</v>
      </c>
      <c r="AL634">
        <v>4</v>
      </c>
      <c r="AM634">
        <v>5</v>
      </c>
      <c r="AN634">
        <v>6</v>
      </c>
      <c r="AO634">
        <v>4</v>
      </c>
      <c r="AP634">
        <v>8</v>
      </c>
      <c r="AQ634">
        <v>1</v>
      </c>
      <c r="AR634">
        <v>2</v>
      </c>
      <c r="AS634">
        <v>0</v>
      </c>
      <c r="AT634">
        <v>2</v>
      </c>
      <c r="AU634">
        <v>2</v>
      </c>
      <c r="AV634">
        <v>3</v>
      </c>
      <c r="AW634">
        <v>2</v>
      </c>
      <c r="AX634">
        <v>3</v>
      </c>
      <c r="AY634">
        <v>2</v>
      </c>
      <c r="AZ634">
        <v>1</v>
      </c>
      <c r="BA634">
        <v>0</v>
      </c>
      <c r="BB634">
        <v>1</v>
      </c>
      <c r="BC634" s="2">
        <v>6</v>
      </c>
      <c r="BD634" s="2">
        <v>0</v>
      </c>
      <c r="BE634" s="2">
        <v>4</v>
      </c>
      <c r="BF634" s="2">
        <v>5</v>
      </c>
      <c r="BG634" s="2">
        <v>6</v>
      </c>
      <c r="BH634" s="2">
        <v>4</v>
      </c>
      <c r="BI634" s="2">
        <v>8</v>
      </c>
      <c r="BJ634" s="2">
        <v>1</v>
      </c>
      <c r="BK634" s="2">
        <v>2</v>
      </c>
      <c r="BL634" s="2">
        <v>0</v>
      </c>
      <c r="BM634" s="2">
        <v>2</v>
      </c>
      <c r="BN634" s="2">
        <v>2</v>
      </c>
      <c r="BO634" s="2">
        <v>3</v>
      </c>
      <c r="BP634" s="2">
        <v>2</v>
      </c>
      <c r="BQ634" s="2">
        <v>3</v>
      </c>
      <c r="BR634" s="2">
        <v>2</v>
      </c>
      <c r="BS634" s="2">
        <v>1</v>
      </c>
      <c r="BT634" s="2">
        <v>0</v>
      </c>
      <c r="BU634" s="2">
        <v>1</v>
      </c>
      <c r="BV634" s="2">
        <f t="shared" si="41"/>
        <v>52</v>
      </c>
      <c r="BW634" s="16">
        <f t="shared" si="39"/>
        <v>2.736842105263158</v>
      </c>
      <c r="BX634" s="16">
        <f>COUNTIF($BC$6:BU634, "=0") / COUNTIF($BC$6:BU634, "&gt;-1")</f>
        <v>0.16701531252614843</v>
      </c>
      <c r="BY634" s="18">
        <f>SUM($BC$6:BU634) / $BY$4</f>
        <v>0.88381923511619576</v>
      </c>
      <c r="BZ634" s="14">
        <f t="shared" si="40"/>
        <v>3</v>
      </c>
      <c r="CA634" t="s">
        <v>5831</v>
      </c>
      <c r="CB634" s="36">
        <v>7.2698603750083803</v>
      </c>
      <c r="CC634" s="36">
        <v>0.24076603016936199</v>
      </c>
      <c r="CD634" s="36">
        <v>6.4031906472490299</v>
      </c>
      <c r="CE634" s="36">
        <v>7.5596087957661497</v>
      </c>
      <c r="CF634" s="36">
        <v>5.1610581596213496</v>
      </c>
      <c r="CG634" s="36">
        <v>3.7189089865579601</v>
      </c>
      <c r="CH634" s="36">
        <v>8.4324982629171306</v>
      </c>
      <c r="CI634" s="36">
        <v>0.97318359798230603</v>
      </c>
      <c r="CJ634" s="37">
        <v>1.5895165864899099</v>
      </c>
      <c r="CK634" s="37">
        <v>1.2612992937765699</v>
      </c>
      <c r="CL634" s="37">
        <v>1.60010869653469</v>
      </c>
      <c r="CM634" s="37">
        <v>2.5396411397998202</v>
      </c>
      <c r="CN634" s="37">
        <v>2.7563776974453398</v>
      </c>
      <c r="CO634" s="37">
        <v>1.5783811407702499</v>
      </c>
      <c r="CP634" s="37">
        <v>1.50854004786242</v>
      </c>
      <c r="CQ634" s="37">
        <v>1.5226368464746201</v>
      </c>
      <c r="CR634" s="45">
        <v>-1.35801729000421</v>
      </c>
      <c r="CS634" s="45">
        <v>-2.7694125199016102</v>
      </c>
      <c r="CT634" s="46">
        <v>1.13590419377574E-2</v>
      </c>
      <c r="CU634" s="47">
        <v>2.0649997435760101E-2</v>
      </c>
      <c r="CV634" s="48">
        <v>4.9698843569089597</v>
      </c>
      <c r="CW634" s="49">
        <v>1.7945626811441999</v>
      </c>
      <c r="CX634" s="31" t="s">
        <v>5875</v>
      </c>
      <c r="CY634" s="31" t="s">
        <v>5878</v>
      </c>
      <c r="CZ634" t="s">
        <v>11092</v>
      </c>
      <c r="DA634" t="s">
        <v>5904</v>
      </c>
      <c r="DB634">
        <v>293.5</v>
      </c>
      <c r="DC634" t="s">
        <v>29187</v>
      </c>
      <c r="DD634" t="s">
        <v>13772</v>
      </c>
      <c r="DE634" t="s">
        <v>29188</v>
      </c>
      <c r="DF634" t="s">
        <v>29189</v>
      </c>
      <c r="DG634" t="s">
        <v>29190</v>
      </c>
      <c r="DH634" t="str">
        <f>"ESM1"</f>
        <v>ESM1</v>
      </c>
      <c r="DI634" t="s">
        <v>13772</v>
      </c>
      <c r="DJ634" t="s">
        <v>13777</v>
      </c>
      <c r="DK634">
        <v>9606</v>
      </c>
      <c r="DL634" s="34" t="str">
        <f>HYPERLINK("http://www.uniprot.org/uniprot/Q9NQ30", "Q9NQ30")</f>
        <v>Q9NQ30</v>
      </c>
      <c r="DM634" t="s">
        <v>29191</v>
      </c>
      <c r="DN634" t="s">
        <v>22082</v>
      </c>
      <c r="DO634" t="s">
        <v>14321</v>
      </c>
      <c r="DP634" t="s">
        <v>13841</v>
      </c>
      <c r="DQ634" t="s">
        <v>13772</v>
      </c>
      <c r="DR634" t="s">
        <v>13772</v>
      </c>
      <c r="DS634" t="s">
        <v>13808</v>
      </c>
      <c r="DT634" t="s">
        <v>13772</v>
      </c>
      <c r="DU634" t="s">
        <v>13772</v>
      </c>
      <c r="DV634" t="s">
        <v>14520</v>
      </c>
      <c r="DW634" t="s">
        <v>13772</v>
      </c>
      <c r="DX634" t="s">
        <v>29192</v>
      </c>
      <c r="DY634" t="s">
        <v>15346</v>
      </c>
      <c r="DZ634" t="s">
        <v>29193</v>
      </c>
      <c r="EA634" t="s">
        <v>13772</v>
      </c>
      <c r="EB634" t="s">
        <v>13772</v>
      </c>
    </row>
    <row r="635" spans="1:132" hidden="1">
      <c r="A635">
        <v>2457</v>
      </c>
      <c r="B635">
        <v>1</v>
      </c>
      <c r="C635" t="s">
        <v>5779</v>
      </c>
      <c r="D635" t="s">
        <v>73</v>
      </c>
      <c r="E635" t="s">
        <v>5780</v>
      </c>
      <c r="F635" t="s">
        <v>73</v>
      </c>
      <c r="G635" t="s">
        <v>73</v>
      </c>
      <c r="H635">
        <v>11.8</v>
      </c>
      <c r="I635">
        <v>1502</v>
      </c>
      <c r="J635">
        <v>162453</v>
      </c>
      <c r="K635" t="s">
        <v>5781</v>
      </c>
      <c r="L635">
        <f t="shared" si="38"/>
        <v>52</v>
      </c>
      <c r="N635">
        <v>52</v>
      </c>
      <c r="O635">
        <v>52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8</v>
      </c>
      <c r="Z635">
        <v>0</v>
      </c>
      <c r="AA635">
        <v>10</v>
      </c>
      <c r="AB635">
        <v>5</v>
      </c>
      <c r="AC635">
        <v>15</v>
      </c>
      <c r="AD635">
        <v>3</v>
      </c>
      <c r="AE635">
        <v>1</v>
      </c>
      <c r="AF635">
        <v>6</v>
      </c>
      <c r="AG635">
        <v>2</v>
      </c>
      <c r="AH635">
        <v>0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8</v>
      </c>
      <c r="AS635">
        <v>0</v>
      </c>
      <c r="AT635">
        <v>10</v>
      </c>
      <c r="AU635">
        <v>5</v>
      </c>
      <c r="AV635">
        <v>15</v>
      </c>
      <c r="AW635">
        <v>3</v>
      </c>
      <c r="AX635">
        <v>1</v>
      </c>
      <c r="AY635">
        <v>6</v>
      </c>
      <c r="AZ635">
        <v>2</v>
      </c>
      <c r="BA635">
        <v>0</v>
      </c>
      <c r="BB635">
        <v>2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8</v>
      </c>
      <c r="BL635" s="2">
        <v>0</v>
      </c>
      <c r="BM635" s="2">
        <v>10</v>
      </c>
      <c r="BN635" s="2">
        <v>5</v>
      </c>
      <c r="BO635" s="2">
        <v>15</v>
      </c>
      <c r="BP635" s="2">
        <v>3</v>
      </c>
      <c r="BQ635" s="2">
        <v>1</v>
      </c>
      <c r="BR635" s="2">
        <v>6</v>
      </c>
      <c r="BS635" s="2">
        <v>2</v>
      </c>
      <c r="BT635" s="2">
        <v>0</v>
      </c>
      <c r="BU635" s="2">
        <v>2</v>
      </c>
      <c r="BV635" s="2">
        <f t="shared" si="41"/>
        <v>52</v>
      </c>
      <c r="BW635" s="16">
        <f t="shared" si="39"/>
        <v>2.736842105263158</v>
      </c>
      <c r="BX635" s="16">
        <f>COUNTIF($BC$6:BU635, "=0") / COUNTIF($BC$6:BU635, "&gt;-1")</f>
        <v>0.16758563074352548</v>
      </c>
      <c r="BY635" s="18">
        <f>SUM($BC$6:BU635) / $BY$4</f>
        <v>0.88404198423336811</v>
      </c>
      <c r="BZ635" s="14">
        <f t="shared" si="40"/>
        <v>10</v>
      </c>
      <c r="CA635" t="s">
        <v>5831</v>
      </c>
      <c r="CB635" s="36">
        <v>0.30291084895868198</v>
      </c>
      <c r="CC635" s="36">
        <v>0.24076603016936199</v>
      </c>
      <c r="CD635" s="36">
        <v>0.40019941545306398</v>
      </c>
      <c r="CE635" s="36">
        <v>0.37798043978830698</v>
      </c>
      <c r="CF635" s="36">
        <v>0.215044089984223</v>
      </c>
      <c r="CG635" s="36">
        <v>0.23243181165987301</v>
      </c>
      <c r="CH635" s="36">
        <v>0.26351557071616</v>
      </c>
      <c r="CI635" s="36">
        <v>0.24329589949557701</v>
      </c>
      <c r="CJ635" s="37">
        <v>6.35806634595966</v>
      </c>
      <c r="CK635" s="37">
        <v>6.3064964688828598</v>
      </c>
      <c r="CL635" s="37">
        <v>4.0002717413367099</v>
      </c>
      <c r="CM635" s="37">
        <v>12.6982056989991</v>
      </c>
      <c r="CN635" s="37">
        <v>0.91879256581511404</v>
      </c>
      <c r="CO635" s="37">
        <v>4.7351434223107498</v>
      </c>
      <c r="CP635" s="37">
        <v>3.0170800957248498</v>
      </c>
      <c r="CQ635" s="37">
        <v>3.0452736929492299</v>
      </c>
      <c r="CR635" s="45">
        <v>3.77642266732822</v>
      </c>
      <c r="CS635" s="45">
        <v>18.047772071911599</v>
      </c>
      <c r="CT635" s="46">
        <v>1.1879373819530199E-6</v>
      </c>
      <c r="CU635" s="47">
        <v>5.8009496972742396E-6</v>
      </c>
      <c r="CV635" s="48">
        <v>0.28451801327815601</v>
      </c>
      <c r="CW635" s="49">
        <v>5.1349162539972903</v>
      </c>
      <c r="CX635" s="31" t="s">
        <v>5874</v>
      </c>
      <c r="CY635" s="31" t="s">
        <v>5876</v>
      </c>
      <c r="CZ635" t="s">
        <v>12108</v>
      </c>
      <c r="DA635" t="s">
        <v>5904</v>
      </c>
      <c r="DB635">
        <v>1876.7</v>
      </c>
      <c r="DC635" t="s">
        <v>32042</v>
      </c>
      <c r="DD635" t="s">
        <v>32043</v>
      </c>
      <c r="DE635" t="s">
        <v>32044</v>
      </c>
      <c r="DF635" t="s">
        <v>32045</v>
      </c>
      <c r="DG635" t="s">
        <v>32046</v>
      </c>
      <c r="DH635" t="str">
        <f>"ADAMTS13"</f>
        <v>ADAMTS13</v>
      </c>
      <c r="DI635" t="s">
        <v>32047</v>
      </c>
      <c r="DJ635" t="s">
        <v>13777</v>
      </c>
      <c r="DK635">
        <v>9606</v>
      </c>
      <c r="DL635" s="34" t="str">
        <f>HYPERLINK("http://www.uniprot.org/uniprot/Q76LX8", "Q76LX8")</f>
        <v>Q76LX8</v>
      </c>
      <c r="DM635" t="s">
        <v>32048</v>
      </c>
      <c r="DN635" t="s">
        <v>16755</v>
      </c>
      <c r="DO635" t="s">
        <v>14321</v>
      </c>
      <c r="DP635" t="s">
        <v>13780</v>
      </c>
      <c r="DQ635" t="s">
        <v>13772</v>
      </c>
      <c r="DR635" t="s">
        <v>13807</v>
      </c>
      <c r="DS635" t="s">
        <v>14404</v>
      </c>
      <c r="DT635" t="s">
        <v>14628</v>
      </c>
      <c r="DU635" t="s">
        <v>15139</v>
      </c>
      <c r="DV635" t="s">
        <v>18956</v>
      </c>
      <c r="DW635" t="s">
        <v>13812</v>
      </c>
      <c r="DX635" t="s">
        <v>32049</v>
      </c>
      <c r="DY635" t="s">
        <v>32050</v>
      </c>
      <c r="DZ635" t="s">
        <v>32051</v>
      </c>
      <c r="EA635" t="s">
        <v>13772</v>
      </c>
      <c r="EB635" t="s">
        <v>18394</v>
      </c>
    </row>
    <row r="636" spans="1:132" hidden="1">
      <c r="A636">
        <v>1982</v>
      </c>
      <c r="B636">
        <v>1</v>
      </c>
      <c r="C636" t="s">
        <v>4667</v>
      </c>
      <c r="D636" t="s">
        <v>73</v>
      </c>
      <c r="E636" t="s">
        <v>73</v>
      </c>
      <c r="F636" t="s">
        <v>73</v>
      </c>
      <c r="G636" t="s">
        <v>73</v>
      </c>
      <c r="H636">
        <v>61.7</v>
      </c>
      <c r="I636">
        <v>214</v>
      </c>
      <c r="J636">
        <v>23826</v>
      </c>
      <c r="K636" t="s">
        <v>4668</v>
      </c>
      <c r="L636">
        <f t="shared" si="38"/>
        <v>52</v>
      </c>
      <c r="N636">
        <v>52</v>
      </c>
      <c r="O636">
        <v>52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16</v>
      </c>
      <c r="Z636">
        <v>0</v>
      </c>
      <c r="AA636">
        <v>17</v>
      </c>
      <c r="AB636">
        <v>3</v>
      </c>
      <c r="AC636">
        <v>4</v>
      </c>
      <c r="AD636">
        <v>0</v>
      </c>
      <c r="AE636">
        <v>3</v>
      </c>
      <c r="AF636">
        <v>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16</v>
      </c>
      <c r="AS636">
        <v>0</v>
      </c>
      <c r="AT636">
        <v>17</v>
      </c>
      <c r="AU636">
        <v>3</v>
      </c>
      <c r="AV636">
        <v>4</v>
      </c>
      <c r="AW636">
        <v>0</v>
      </c>
      <c r="AX636">
        <v>3</v>
      </c>
      <c r="AY636">
        <v>9</v>
      </c>
      <c r="AZ636">
        <v>0</v>
      </c>
      <c r="BA636">
        <v>0</v>
      </c>
      <c r="BB636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16</v>
      </c>
      <c r="BL636" s="2">
        <v>0</v>
      </c>
      <c r="BM636" s="2">
        <v>17</v>
      </c>
      <c r="BN636" s="2">
        <v>3</v>
      </c>
      <c r="BO636" s="2">
        <v>4</v>
      </c>
      <c r="BP636" s="2">
        <v>0</v>
      </c>
      <c r="BQ636" s="2">
        <v>3</v>
      </c>
      <c r="BR636" s="2">
        <v>9</v>
      </c>
      <c r="BS636" s="2">
        <v>0</v>
      </c>
      <c r="BT636" s="2">
        <v>0</v>
      </c>
      <c r="BU636" s="2">
        <v>0</v>
      </c>
      <c r="BV636" s="2">
        <f t="shared" si="41"/>
        <v>52</v>
      </c>
      <c r="BW636" s="16">
        <f t="shared" si="39"/>
        <v>2.736842105263158</v>
      </c>
      <c r="BX636" s="16">
        <f>COUNTIF($BC$6:BU636, "=0") / COUNTIF($BC$6:BU636, "&gt;-1")</f>
        <v>0.16840437067311703</v>
      </c>
      <c r="BY636" s="18">
        <f>SUM($BC$6:BU636) / $BY$4</f>
        <v>0.88426473335054057</v>
      </c>
      <c r="BZ636" s="14">
        <f t="shared" si="40"/>
        <v>13</v>
      </c>
      <c r="CA636" t="s">
        <v>5831</v>
      </c>
      <c r="CB636" s="36">
        <v>0.30291084895868198</v>
      </c>
      <c r="CC636" s="36">
        <v>0.24076603016936199</v>
      </c>
      <c r="CD636" s="36">
        <v>0.40019941545306398</v>
      </c>
      <c r="CE636" s="36">
        <v>0.37798043978830698</v>
      </c>
      <c r="CF636" s="36">
        <v>0.215044089984223</v>
      </c>
      <c r="CG636" s="36">
        <v>0.23243181165987301</v>
      </c>
      <c r="CH636" s="36">
        <v>0.26351557071616</v>
      </c>
      <c r="CI636" s="36">
        <v>0.24329589949557701</v>
      </c>
      <c r="CJ636" s="37">
        <v>12.716132691919301</v>
      </c>
      <c r="CK636" s="37">
        <v>10.7210439971009</v>
      </c>
      <c r="CL636" s="37">
        <v>2.4001630448020301</v>
      </c>
      <c r="CM636" s="37">
        <v>3.3861881863997598</v>
      </c>
      <c r="CN636" s="37">
        <v>2.7563776974453398</v>
      </c>
      <c r="CO636" s="37">
        <v>7.1027151334661296</v>
      </c>
      <c r="CP636" s="37">
        <v>0.377135011965606</v>
      </c>
      <c r="CQ636" s="37">
        <v>0.38065921161865401</v>
      </c>
      <c r="CR636" s="45">
        <v>3.7591411598612101</v>
      </c>
      <c r="CS636" s="45">
        <v>17.5034677574914</v>
      </c>
      <c r="CT636" s="46">
        <v>2.9526940735339601E-5</v>
      </c>
      <c r="CU636" s="47">
        <v>9.4064396914010298E-5</v>
      </c>
      <c r="CV636" s="48">
        <v>0.28451801327815601</v>
      </c>
      <c r="CW636" s="49">
        <v>4.9800518718397102</v>
      </c>
      <c r="CX636" s="31" t="s">
        <v>5874</v>
      </c>
      <c r="CY636" s="31" t="s">
        <v>5876</v>
      </c>
      <c r="CZ636" t="s">
        <v>12361</v>
      </c>
      <c r="DA636" t="s">
        <v>5904</v>
      </c>
      <c r="DB636">
        <v>438</v>
      </c>
      <c r="DC636" t="s">
        <v>32794</v>
      </c>
      <c r="DD636" t="s">
        <v>13772</v>
      </c>
      <c r="DE636" t="s">
        <v>32795</v>
      </c>
      <c r="DF636" t="s">
        <v>32796</v>
      </c>
      <c r="DG636" t="s">
        <v>32797</v>
      </c>
      <c r="DH636" t="str">
        <f>"OSTF1"</f>
        <v>OSTF1</v>
      </c>
      <c r="DI636" t="s">
        <v>13772</v>
      </c>
      <c r="DJ636" t="s">
        <v>13777</v>
      </c>
      <c r="DK636">
        <v>9606</v>
      </c>
      <c r="DL636" s="34" t="str">
        <f>HYPERLINK("http://www.uniprot.org/uniprot/Q92882", "Q92882")</f>
        <v>Q92882</v>
      </c>
      <c r="DM636" t="s">
        <v>32798</v>
      </c>
      <c r="DN636" t="s">
        <v>13772</v>
      </c>
      <c r="DO636" t="s">
        <v>13899</v>
      </c>
      <c r="DP636" t="s">
        <v>13793</v>
      </c>
      <c r="DQ636" t="s">
        <v>13772</v>
      </c>
      <c r="DR636" t="s">
        <v>13772</v>
      </c>
      <c r="DS636" t="s">
        <v>32799</v>
      </c>
      <c r="DT636" t="s">
        <v>13772</v>
      </c>
      <c r="DU636" t="s">
        <v>13772</v>
      </c>
      <c r="DV636" t="s">
        <v>13886</v>
      </c>
      <c r="DW636" t="s">
        <v>13812</v>
      </c>
      <c r="DX636" t="s">
        <v>32800</v>
      </c>
      <c r="DY636" t="s">
        <v>32801</v>
      </c>
      <c r="DZ636" t="s">
        <v>28155</v>
      </c>
      <c r="EA636" t="s">
        <v>13772</v>
      </c>
      <c r="EB636" t="s">
        <v>13890</v>
      </c>
    </row>
    <row r="637" spans="1:132" hidden="1">
      <c r="A637">
        <v>269</v>
      </c>
      <c r="B637">
        <v>1</v>
      </c>
      <c r="C637" t="s">
        <v>680</v>
      </c>
      <c r="D637" t="s">
        <v>73</v>
      </c>
      <c r="E637" t="s">
        <v>73</v>
      </c>
      <c r="F637" t="s">
        <v>515</v>
      </c>
      <c r="G637" t="s">
        <v>73</v>
      </c>
      <c r="H637">
        <v>38.6</v>
      </c>
      <c r="I637">
        <v>381</v>
      </c>
      <c r="J637">
        <v>42687</v>
      </c>
      <c r="K637" t="s">
        <v>681</v>
      </c>
      <c r="L637">
        <f t="shared" si="38"/>
        <v>53</v>
      </c>
      <c r="N637">
        <v>53</v>
      </c>
      <c r="O637">
        <v>51</v>
      </c>
      <c r="P637">
        <v>0.96199999999999997</v>
      </c>
      <c r="Q637">
        <v>1</v>
      </c>
      <c r="R637">
        <v>1</v>
      </c>
      <c r="S637">
        <v>1</v>
      </c>
      <c r="T637">
        <v>0</v>
      </c>
      <c r="U637">
        <v>2</v>
      </c>
      <c r="V637">
        <v>8</v>
      </c>
      <c r="W637">
        <v>1</v>
      </c>
      <c r="X637">
        <v>12</v>
      </c>
      <c r="Y637">
        <v>4</v>
      </c>
      <c r="Z637">
        <v>0</v>
      </c>
      <c r="AA637">
        <v>5</v>
      </c>
      <c r="AB637">
        <v>5</v>
      </c>
      <c r="AC637">
        <v>6</v>
      </c>
      <c r="AD637">
        <v>0</v>
      </c>
      <c r="AE637">
        <v>2</v>
      </c>
      <c r="AF637">
        <v>3</v>
      </c>
      <c r="AG637">
        <v>1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2</v>
      </c>
      <c r="AO637">
        <v>8</v>
      </c>
      <c r="AP637">
        <v>1</v>
      </c>
      <c r="AQ637">
        <v>12</v>
      </c>
      <c r="AR637">
        <v>4</v>
      </c>
      <c r="AS637">
        <v>0</v>
      </c>
      <c r="AT637">
        <v>5</v>
      </c>
      <c r="AU637">
        <v>4</v>
      </c>
      <c r="AV637">
        <v>6</v>
      </c>
      <c r="AW637">
        <v>0</v>
      </c>
      <c r="AX637">
        <v>2</v>
      </c>
      <c r="AY637">
        <v>3</v>
      </c>
      <c r="AZ637">
        <v>0</v>
      </c>
      <c r="BA637">
        <v>0</v>
      </c>
      <c r="BB637">
        <v>1</v>
      </c>
      <c r="BC637" s="2">
        <v>1</v>
      </c>
      <c r="BD637" s="2">
        <v>1</v>
      </c>
      <c r="BE637" s="2">
        <v>1</v>
      </c>
      <c r="BF637" s="2">
        <v>0</v>
      </c>
      <c r="BG637" s="2">
        <v>2</v>
      </c>
      <c r="BH637" s="2">
        <v>8</v>
      </c>
      <c r="BI637" s="2">
        <v>1</v>
      </c>
      <c r="BJ637" s="2">
        <v>12</v>
      </c>
      <c r="BK637" s="2">
        <v>4</v>
      </c>
      <c r="BL637" s="2">
        <v>0</v>
      </c>
      <c r="BM637" s="2">
        <v>5</v>
      </c>
      <c r="BN637" s="2">
        <v>4.5709999999999997</v>
      </c>
      <c r="BO637" s="2">
        <v>6</v>
      </c>
      <c r="BP637" s="2">
        <v>0</v>
      </c>
      <c r="BQ637" s="2">
        <v>2</v>
      </c>
      <c r="BR637" s="2">
        <v>3</v>
      </c>
      <c r="BS637" s="2">
        <v>0</v>
      </c>
      <c r="BT637" s="2">
        <v>0</v>
      </c>
      <c r="BU637" s="2">
        <v>1</v>
      </c>
      <c r="BV637" s="2">
        <f t="shared" si="41"/>
        <v>51.570999999999998</v>
      </c>
      <c r="BW637" s="16">
        <f t="shared" si="39"/>
        <v>2.7142631578947367</v>
      </c>
      <c r="BX637" s="16">
        <f>COUNTIF($BC$6:BU637, "=0") / COUNTIF($BC$6:BU637, "&gt;-1")</f>
        <v>0.16855429713524317</v>
      </c>
      <c r="BY637" s="18">
        <f>SUM($BC$6:BU637) / $BY$4</f>
        <v>0.88448564478749625</v>
      </c>
      <c r="BZ637" s="14">
        <f t="shared" si="40"/>
        <v>5</v>
      </c>
      <c r="CA637" t="s">
        <v>5831</v>
      </c>
      <c r="CB637" s="36">
        <v>1.2116433958347299</v>
      </c>
      <c r="CC637" s="36">
        <v>0.96306412067744696</v>
      </c>
      <c r="CD637" s="36">
        <v>1.6007976618122599</v>
      </c>
      <c r="CE637" s="36">
        <v>0.37798043978830698</v>
      </c>
      <c r="CF637" s="36">
        <v>1.72035271987378</v>
      </c>
      <c r="CG637" s="36">
        <v>7.43781797311593</v>
      </c>
      <c r="CH637" s="36">
        <v>1.05406228286464</v>
      </c>
      <c r="CI637" s="36">
        <v>11.678203175787701</v>
      </c>
      <c r="CJ637" s="37">
        <v>3.17903317297983</v>
      </c>
      <c r="CK637" s="37">
        <v>3.1532482344414299</v>
      </c>
      <c r="CL637" s="37">
        <v>3.6802500020297799</v>
      </c>
      <c r="CM637" s="37">
        <v>5.0792822795996404</v>
      </c>
      <c r="CN637" s="37">
        <v>1.8375851316302301</v>
      </c>
      <c r="CO637" s="37">
        <v>2.36757171115537</v>
      </c>
      <c r="CP637" s="37">
        <v>0.377135011965606</v>
      </c>
      <c r="CQ637" s="37">
        <v>1.5226368464746201</v>
      </c>
      <c r="CR637" s="45">
        <v>-0.28305970246669299</v>
      </c>
      <c r="CS637" s="45">
        <v>-1.2286756752632799</v>
      </c>
      <c r="CT637" s="46">
        <v>0.69948841154831098</v>
      </c>
      <c r="CU637" s="47">
        <v>0.76714384807511504</v>
      </c>
      <c r="CV637" s="48">
        <v>3.2554902212193499</v>
      </c>
      <c r="CW637" s="49">
        <v>2.64959279878456</v>
      </c>
      <c r="CX637" s="31" t="s">
        <v>5875</v>
      </c>
      <c r="CY637" s="31" t="s">
        <v>5832</v>
      </c>
      <c r="CZ637" t="s">
        <v>6630</v>
      </c>
      <c r="DA637" t="s">
        <v>5904</v>
      </c>
      <c r="DB637">
        <v>775.4</v>
      </c>
      <c r="DC637" t="s">
        <v>16213</v>
      </c>
      <c r="DD637" t="s">
        <v>16214</v>
      </c>
      <c r="DE637" t="s">
        <v>16215</v>
      </c>
      <c r="DF637" t="s">
        <v>16216</v>
      </c>
      <c r="DG637" t="s">
        <v>16217</v>
      </c>
      <c r="DH637" t="str">
        <f>"CKB"</f>
        <v>CKB</v>
      </c>
      <c r="DI637" t="s">
        <v>16218</v>
      </c>
      <c r="DJ637" t="s">
        <v>13777</v>
      </c>
      <c r="DK637">
        <v>9606</v>
      </c>
      <c r="DL637" s="34" t="str">
        <f>HYPERLINK("http://www.uniprot.org/uniprot/P12277", "P12277")</f>
        <v>P12277</v>
      </c>
      <c r="DM637" t="s">
        <v>16219</v>
      </c>
      <c r="DN637" t="s">
        <v>13772</v>
      </c>
      <c r="DO637" t="s">
        <v>13899</v>
      </c>
      <c r="DP637" t="s">
        <v>13793</v>
      </c>
      <c r="DQ637" t="s">
        <v>13772</v>
      </c>
      <c r="DR637" t="s">
        <v>13772</v>
      </c>
      <c r="DS637" t="s">
        <v>13772</v>
      </c>
      <c r="DT637" t="s">
        <v>14005</v>
      </c>
      <c r="DU637" t="s">
        <v>14006</v>
      </c>
      <c r="DV637" t="s">
        <v>16220</v>
      </c>
      <c r="DW637" t="s">
        <v>13812</v>
      </c>
      <c r="DX637" t="s">
        <v>16221</v>
      </c>
      <c r="DY637" t="s">
        <v>16222</v>
      </c>
      <c r="DZ637" t="s">
        <v>16223</v>
      </c>
      <c r="EA637" t="s">
        <v>13772</v>
      </c>
      <c r="EB637" t="s">
        <v>15511</v>
      </c>
    </row>
    <row r="638" spans="1:132" hidden="1">
      <c r="A638">
        <v>485</v>
      </c>
      <c r="B638">
        <v>1</v>
      </c>
      <c r="C638" t="s">
        <v>1218</v>
      </c>
      <c r="D638" t="s">
        <v>73</v>
      </c>
      <c r="E638" t="s">
        <v>73</v>
      </c>
      <c r="F638" t="s">
        <v>1219</v>
      </c>
      <c r="G638" t="s">
        <v>73</v>
      </c>
      <c r="H638">
        <v>38</v>
      </c>
      <c r="I638">
        <v>602</v>
      </c>
      <c r="J638">
        <v>70728</v>
      </c>
      <c r="K638" t="s">
        <v>1220</v>
      </c>
      <c r="L638">
        <f t="shared" si="38"/>
        <v>263</v>
      </c>
      <c r="N638">
        <v>263</v>
      </c>
      <c r="O638">
        <v>37</v>
      </c>
      <c r="P638">
        <v>0.14099999999999999</v>
      </c>
      <c r="Q638">
        <v>9</v>
      </c>
      <c r="R638">
        <v>29</v>
      </c>
      <c r="S638">
        <v>5</v>
      </c>
      <c r="T638">
        <v>18</v>
      </c>
      <c r="U638">
        <v>41</v>
      </c>
      <c r="V638">
        <v>40</v>
      </c>
      <c r="W638">
        <v>13</v>
      </c>
      <c r="X638">
        <v>17</v>
      </c>
      <c r="Y638">
        <v>19</v>
      </c>
      <c r="Z638">
        <v>3</v>
      </c>
      <c r="AA638">
        <v>15</v>
      </c>
      <c r="AB638">
        <v>14</v>
      </c>
      <c r="AC638">
        <v>12</v>
      </c>
      <c r="AD638">
        <v>9</v>
      </c>
      <c r="AE638">
        <v>6</v>
      </c>
      <c r="AF638">
        <v>4</v>
      </c>
      <c r="AG638">
        <v>3</v>
      </c>
      <c r="AH638">
        <v>1</v>
      </c>
      <c r="AI638">
        <v>5</v>
      </c>
      <c r="AJ638">
        <v>0</v>
      </c>
      <c r="AK638">
        <v>5</v>
      </c>
      <c r="AL638">
        <v>0</v>
      </c>
      <c r="AM638">
        <v>2</v>
      </c>
      <c r="AN638">
        <v>13</v>
      </c>
      <c r="AO638">
        <v>11</v>
      </c>
      <c r="AP638">
        <v>2</v>
      </c>
      <c r="AQ638">
        <v>3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 s="2">
        <v>0</v>
      </c>
      <c r="BD638" s="2">
        <v>7.2409999999999997</v>
      </c>
      <c r="BE638" s="2">
        <v>0</v>
      </c>
      <c r="BF638" s="2">
        <v>2.8119999999999998</v>
      </c>
      <c r="BG638" s="2">
        <v>16.87</v>
      </c>
      <c r="BH638" s="2">
        <v>15.689</v>
      </c>
      <c r="BI638" s="2">
        <v>2.956</v>
      </c>
      <c r="BJ638" s="2">
        <v>4.2839999999999998</v>
      </c>
      <c r="BK638" s="2">
        <v>0</v>
      </c>
      <c r="BL638" s="2">
        <v>0</v>
      </c>
      <c r="BM638" s="2">
        <v>0</v>
      </c>
      <c r="BN638" s="2">
        <v>0</v>
      </c>
      <c r="BO638" s="2">
        <v>1.522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f t="shared" si="41"/>
        <v>51.374000000000002</v>
      </c>
      <c r="BW638" s="16">
        <f t="shared" si="39"/>
        <v>2.7038947368421056</v>
      </c>
      <c r="BX638" s="16">
        <f>COUNTIF($BC$6:BU638, "=0") / COUNTIF($BC$6:BU638, "&gt;-1")</f>
        <v>0.1692857736758959</v>
      </c>
      <c r="BY638" s="18">
        <f>SUM($BC$6:BU638) / $BY$4</f>
        <v>0.88470571234798911</v>
      </c>
      <c r="BZ638" s="14">
        <f t="shared" si="40"/>
        <v>12</v>
      </c>
      <c r="CA638" t="s">
        <v>5831</v>
      </c>
      <c r="CB638" s="36">
        <v>0.30291084895868198</v>
      </c>
      <c r="CC638" s="36">
        <v>6.9340616688776198</v>
      </c>
      <c r="CD638" s="36">
        <v>0.40019941545306398</v>
      </c>
      <c r="CE638" s="36">
        <v>4.2333809256290396</v>
      </c>
      <c r="CF638" s="36">
        <v>14.536980482933499</v>
      </c>
      <c r="CG638" s="36">
        <v>14.59671777224</v>
      </c>
      <c r="CH638" s="36">
        <v>3.1621868485939202</v>
      </c>
      <c r="CI638" s="36">
        <v>4.18468947132392</v>
      </c>
      <c r="CJ638" s="37">
        <v>0.19868957331123899</v>
      </c>
      <c r="CK638" s="37">
        <v>0.15766241172207099</v>
      </c>
      <c r="CL638" s="37">
        <v>0.200013587066836</v>
      </c>
      <c r="CM638" s="37">
        <v>1.2698205698999101</v>
      </c>
      <c r="CN638" s="37">
        <v>0.22969814145377901</v>
      </c>
      <c r="CO638" s="37">
        <v>0.19729764259628099</v>
      </c>
      <c r="CP638" s="37">
        <v>0.377135011965606</v>
      </c>
      <c r="CQ638" s="37">
        <v>0.38065921161865401</v>
      </c>
      <c r="CR638" s="45">
        <v>-3.7007877298574199</v>
      </c>
      <c r="CS638" s="45">
        <v>-16.058289747622499</v>
      </c>
      <c r="CT638" s="46">
        <v>1.1247720969700999E-5</v>
      </c>
      <c r="CU638" s="47">
        <v>4.0674190966108002E-5</v>
      </c>
      <c r="CV638" s="48">
        <v>6.0438909292512202</v>
      </c>
      <c r="CW638" s="49">
        <v>0.37637201870429698</v>
      </c>
      <c r="CX638" s="31" t="s">
        <v>5875</v>
      </c>
      <c r="CY638" s="31" t="s">
        <v>5876</v>
      </c>
      <c r="CZ638" t="s">
        <v>7387</v>
      </c>
      <c r="DA638" t="s">
        <v>5904</v>
      </c>
      <c r="DB638">
        <v>1171.8</v>
      </c>
      <c r="DC638" t="s">
        <v>18538</v>
      </c>
      <c r="DD638" t="s">
        <v>13772</v>
      </c>
      <c r="DE638" t="s">
        <v>18539</v>
      </c>
      <c r="DF638" t="s">
        <v>18540</v>
      </c>
      <c r="DG638" t="s">
        <v>18541</v>
      </c>
      <c r="DH638" t="str">
        <f>"RDX"</f>
        <v>RDX</v>
      </c>
      <c r="DI638" t="s">
        <v>13772</v>
      </c>
      <c r="DJ638" t="s">
        <v>13777</v>
      </c>
      <c r="DK638">
        <v>9606</v>
      </c>
      <c r="DL638" s="34" t="str">
        <f>HYPERLINK("http://www.uniprot.org/uniprot/P35241", "P35241")</f>
        <v>P35241</v>
      </c>
      <c r="DM638" t="s">
        <v>18542</v>
      </c>
      <c r="DN638" t="s">
        <v>13772</v>
      </c>
      <c r="DO638" t="s">
        <v>14215</v>
      </c>
      <c r="DP638" t="s">
        <v>13780</v>
      </c>
      <c r="DQ638" t="s">
        <v>13772</v>
      </c>
      <c r="DR638" t="s">
        <v>14255</v>
      </c>
      <c r="DS638" t="s">
        <v>13772</v>
      </c>
      <c r="DT638" t="s">
        <v>13772</v>
      </c>
      <c r="DU638" t="s">
        <v>14589</v>
      </c>
      <c r="DV638" t="s">
        <v>13782</v>
      </c>
      <c r="DW638" t="s">
        <v>13772</v>
      </c>
      <c r="DX638" t="s">
        <v>18543</v>
      </c>
      <c r="DY638" t="s">
        <v>18544</v>
      </c>
      <c r="DZ638" t="s">
        <v>18545</v>
      </c>
      <c r="EA638" t="s">
        <v>13772</v>
      </c>
      <c r="EB638" t="s">
        <v>18546</v>
      </c>
    </row>
    <row r="639" spans="1:132" hidden="1">
      <c r="A639">
        <v>714</v>
      </c>
      <c r="B639">
        <v>1</v>
      </c>
      <c r="C639" t="s">
        <v>1754</v>
      </c>
      <c r="D639" t="s">
        <v>73</v>
      </c>
      <c r="E639" t="s">
        <v>73</v>
      </c>
      <c r="F639" t="s">
        <v>1755</v>
      </c>
      <c r="G639" t="s">
        <v>73</v>
      </c>
      <c r="H639">
        <v>60.1</v>
      </c>
      <c r="I639">
        <v>248</v>
      </c>
      <c r="J639">
        <v>28521</v>
      </c>
      <c r="K639" t="s">
        <v>1756</v>
      </c>
      <c r="L639">
        <f t="shared" si="38"/>
        <v>101</v>
      </c>
      <c r="N639">
        <v>101</v>
      </c>
      <c r="O639">
        <v>34</v>
      </c>
      <c r="P639">
        <v>0.33700000000000002</v>
      </c>
      <c r="Q639">
        <v>2</v>
      </c>
      <c r="R639">
        <v>1</v>
      </c>
      <c r="S639">
        <v>0</v>
      </c>
      <c r="T639">
        <v>2</v>
      </c>
      <c r="U639">
        <v>1</v>
      </c>
      <c r="V639">
        <v>1</v>
      </c>
      <c r="W639">
        <v>2</v>
      </c>
      <c r="X639">
        <v>2</v>
      </c>
      <c r="Y639">
        <v>16</v>
      </c>
      <c r="Z639">
        <v>5</v>
      </c>
      <c r="AA639">
        <v>14</v>
      </c>
      <c r="AB639">
        <v>9</v>
      </c>
      <c r="AC639">
        <v>11</v>
      </c>
      <c r="AD639">
        <v>1</v>
      </c>
      <c r="AE639">
        <v>20</v>
      </c>
      <c r="AF639">
        <v>9</v>
      </c>
      <c r="AG639">
        <v>1</v>
      </c>
      <c r="AH639">
        <v>1</v>
      </c>
      <c r="AI639">
        <v>3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6</v>
      </c>
      <c r="AS639">
        <v>0</v>
      </c>
      <c r="AT639">
        <v>5</v>
      </c>
      <c r="AU639">
        <v>4</v>
      </c>
      <c r="AV639">
        <v>5</v>
      </c>
      <c r="AW639">
        <v>1</v>
      </c>
      <c r="AX639">
        <v>5</v>
      </c>
      <c r="AY639">
        <v>4</v>
      </c>
      <c r="AZ639">
        <v>1</v>
      </c>
      <c r="BA639">
        <v>0</v>
      </c>
      <c r="BB639">
        <v>2</v>
      </c>
      <c r="BC639" s="2">
        <v>1.218</v>
      </c>
      <c r="BD639" s="2">
        <v>0.218</v>
      </c>
      <c r="BE639" s="2">
        <v>0</v>
      </c>
      <c r="BF639" s="2">
        <v>0.436</v>
      </c>
      <c r="BG639" s="2">
        <v>0.218</v>
      </c>
      <c r="BH639" s="2">
        <v>0.218</v>
      </c>
      <c r="BI639" s="2">
        <v>0.72299999999999998</v>
      </c>
      <c r="BJ639" s="2">
        <v>0.57999999999999996</v>
      </c>
      <c r="BK639" s="2">
        <v>8.4990000000000006</v>
      </c>
      <c r="BL639" s="2">
        <v>1.0900000000000001</v>
      </c>
      <c r="BM639" s="2">
        <v>7.2809999999999997</v>
      </c>
      <c r="BN639" s="2">
        <v>5.2329999999999997</v>
      </c>
      <c r="BO639" s="2">
        <v>6.468</v>
      </c>
      <c r="BP639" s="2">
        <v>1</v>
      </c>
      <c r="BQ639" s="2">
        <v>9.1639999999999997</v>
      </c>
      <c r="BR639" s="2">
        <v>5.3769999999999998</v>
      </c>
      <c r="BS639" s="2">
        <v>1</v>
      </c>
      <c r="BT639" s="2">
        <v>0.218</v>
      </c>
      <c r="BU639" s="2">
        <v>2.218</v>
      </c>
      <c r="BV639" s="2">
        <f t="shared" si="41"/>
        <v>51.159000000000006</v>
      </c>
      <c r="BW639" s="16">
        <f t="shared" si="39"/>
        <v>2.6925789473684212</v>
      </c>
      <c r="BX639" s="16">
        <f>COUNTIF($BC$6:BU639, "=0") / COUNTIF($BC$6:BU639, "&gt;-1")</f>
        <v>0.16910177652332725</v>
      </c>
      <c r="BY639" s="18">
        <f>SUM($BC$6:BU639) / $BY$4</f>
        <v>0.88492485892655459</v>
      </c>
      <c r="BZ639" s="14">
        <f t="shared" si="40"/>
        <v>1</v>
      </c>
      <c r="CA639" t="s">
        <v>5831</v>
      </c>
      <c r="CB639" s="36">
        <v>1.45397207500168</v>
      </c>
      <c r="CC639" s="36">
        <v>0.192612824135489</v>
      </c>
      <c r="CD639" s="36">
        <v>0.40019941545306398</v>
      </c>
      <c r="CE639" s="36">
        <v>0.60476870366129198</v>
      </c>
      <c r="CF639" s="36">
        <v>0.172035271987378</v>
      </c>
      <c r="CG639" s="36">
        <v>0.185945449327898</v>
      </c>
      <c r="CH639" s="36">
        <v>0.73784359800524801</v>
      </c>
      <c r="CI639" s="36">
        <v>0.58391015878938402</v>
      </c>
      <c r="CJ639" s="37">
        <v>6.7554454925821403</v>
      </c>
      <c r="CK639" s="37">
        <v>4.6037424222844896</v>
      </c>
      <c r="CL639" s="37">
        <v>4.1602826109901798</v>
      </c>
      <c r="CM639" s="37">
        <v>5.50255580289961</v>
      </c>
      <c r="CN639" s="37">
        <v>8.4528916054990493</v>
      </c>
      <c r="CO639" s="37">
        <v>4.2616290800796799</v>
      </c>
      <c r="CP639" s="37">
        <v>1.50854004786242</v>
      </c>
      <c r="CQ639" s="37">
        <v>3.3498010622441599</v>
      </c>
      <c r="CR639" s="45">
        <v>3.01407961144848</v>
      </c>
      <c r="CS639" s="45">
        <v>8.9107195393665304</v>
      </c>
      <c r="CT639" s="46">
        <v>3.1678634967029102E-6</v>
      </c>
      <c r="CU639" s="47">
        <v>1.3413295438571201E-5</v>
      </c>
      <c r="CV639" s="48">
        <v>0.54141093704517895</v>
      </c>
      <c r="CW639" s="49">
        <v>4.8243610155552199</v>
      </c>
      <c r="CX639" s="31" t="s">
        <v>5874</v>
      </c>
      <c r="CY639" s="31" t="s">
        <v>5876</v>
      </c>
      <c r="CZ639" t="s">
        <v>6207</v>
      </c>
      <c r="DA639" t="s">
        <v>5904</v>
      </c>
      <c r="DB639">
        <v>467.2</v>
      </c>
      <c r="DC639" t="s">
        <v>14854</v>
      </c>
      <c r="DD639" t="s">
        <v>14855</v>
      </c>
      <c r="DE639" t="s">
        <v>14856</v>
      </c>
      <c r="DF639" t="s">
        <v>14857</v>
      </c>
      <c r="DG639" t="s">
        <v>14858</v>
      </c>
      <c r="DH639" t="str">
        <f>"TPM4"</f>
        <v>TPM4</v>
      </c>
      <c r="DI639" t="s">
        <v>13772</v>
      </c>
      <c r="DJ639" t="s">
        <v>13777</v>
      </c>
      <c r="DK639">
        <v>9606</v>
      </c>
      <c r="DL639" s="34" t="str">
        <f>HYPERLINK("http://www.uniprot.org/uniprot/P67936", "P67936")</f>
        <v>P67936</v>
      </c>
      <c r="DM639" t="s">
        <v>14859</v>
      </c>
      <c r="DN639" t="s">
        <v>13772</v>
      </c>
      <c r="DO639" t="s">
        <v>13988</v>
      </c>
      <c r="DP639" t="s">
        <v>13780</v>
      </c>
      <c r="DQ639" t="s">
        <v>13772</v>
      </c>
      <c r="DR639" t="s">
        <v>13772</v>
      </c>
      <c r="DS639" t="s">
        <v>14245</v>
      </c>
      <c r="DT639" t="s">
        <v>13873</v>
      </c>
      <c r="DU639" t="s">
        <v>14849</v>
      </c>
      <c r="DV639" t="s">
        <v>13886</v>
      </c>
      <c r="DW639" t="s">
        <v>13772</v>
      </c>
      <c r="DX639" t="s">
        <v>14860</v>
      </c>
      <c r="DY639" t="s">
        <v>14861</v>
      </c>
      <c r="DZ639" t="s">
        <v>14862</v>
      </c>
      <c r="EA639" t="s">
        <v>13772</v>
      </c>
      <c r="EB639" t="s">
        <v>14853</v>
      </c>
    </row>
    <row r="640" spans="1:132" hidden="1">
      <c r="A640">
        <v>129</v>
      </c>
      <c r="B640">
        <v>1</v>
      </c>
      <c r="C640" t="s">
        <v>336</v>
      </c>
      <c r="D640" t="s">
        <v>337</v>
      </c>
      <c r="E640" t="s">
        <v>73</v>
      </c>
      <c r="F640" t="s">
        <v>73</v>
      </c>
      <c r="G640" t="s">
        <v>73</v>
      </c>
      <c r="H640">
        <v>6.7</v>
      </c>
      <c r="I640">
        <v>712</v>
      </c>
      <c r="J640">
        <v>79899</v>
      </c>
      <c r="K640" t="s">
        <v>338</v>
      </c>
      <c r="L640">
        <f t="shared" si="38"/>
        <v>51</v>
      </c>
      <c r="N640">
        <v>51</v>
      </c>
      <c r="O640">
        <v>51</v>
      </c>
      <c r="P640">
        <v>1</v>
      </c>
      <c r="Q640">
        <v>4</v>
      </c>
      <c r="R640">
        <v>6</v>
      </c>
      <c r="S640">
        <v>4</v>
      </c>
      <c r="T640">
        <v>5</v>
      </c>
      <c r="U640">
        <v>5</v>
      </c>
      <c r="V640">
        <v>6</v>
      </c>
      <c r="W640">
        <v>5</v>
      </c>
      <c r="X640">
        <v>2</v>
      </c>
      <c r="Y640">
        <v>1</v>
      </c>
      <c r="Z640">
        <v>0</v>
      </c>
      <c r="AA640">
        <v>1</v>
      </c>
      <c r="AB640">
        <v>3</v>
      </c>
      <c r="AC640">
        <v>2</v>
      </c>
      <c r="AD640">
        <v>0</v>
      </c>
      <c r="AE640">
        <v>2</v>
      </c>
      <c r="AF640">
        <v>3</v>
      </c>
      <c r="AG640">
        <v>1</v>
      </c>
      <c r="AH640">
        <v>0</v>
      </c>
      <c r="AI640">
        <v>1</v>
      </c>
      <c r="AJ640">
        <v>4</v>
      </c>
      <c r="AK640">
        <v>6</v>
      </c>
      <c r="AL640">
        <v>4</v>
      </c>
      <c r="AM640">
        <v>5</v>
      </c>
      <c r="AN640">
        <v>5</v>
      </c>
      <c r="AO640">
        <v>6</v>
      </c>
      <c r="AP640">
        <v>5</v>
      </c>
      <c r="AQ640">
        <v>2</v>
      </c>
      <c r="AR640">
        <v>1</v>
      </c>
      <c r="AS640">
        <v>0</v>
      </c>
      <c r="AT640">
        <v>1</v>
      </c>
      <c r="AU640">
        <v>3</v>
      </c>
      <c r="AV640">
        <v>2</v>
      </c>
      <c r="AW640">
        <v>0</v>
      </c>
      <c r="AX640">
        <v>2</v>
      </c>
      <c r="AY640">
        <v>3</v>
      </c>
      <c r="AZ640">
        <v>1</v>
      </c>
      <c r="BA640">
        <v>0</v>
      </c>
      <c r="BB640">
        <v>1</v>
      </c>
      <c r="BC640" s="2">
        <v>4</v>
      </c>
      <c r="BD640" s="2">
        <v>6</v>
      </c>
      <c r="BE640" s="2">
        <v>4</v>
      </c>
      <c r="BF640" s="2">
        <v>5</v>
      </c>
      <c r="BG640" s="2">
        <v>5</v>
      </c>
      <c r="BH640" s="2">
        <v>6</v>
      </c>
      <c r="BI640" s="2">
        <v>5</v>
      </c>
      <c r="BJ640" s="2">
        <v>2</v>
      </c>
      <c r="BK640" s="2">
        <v>1</v>
      </c>
      <c r="BL640" s="2">
        <v>0</v>
      </c>
      <c r="BM640" s="2">
        <v>1</v>
      </c>
      <c r="BN640" s="2">
        <v>3</v>
      </c>
      <c r="BO640" s="2">
        <v>2</v>
      </c>
      <c r="BP640" s="2">
        <v>0</v>
      </c>
      <c r="BQ640" s="2">
        <v>2</v>
      </c>
      <c r="BR640" s="2">
        <v>3</v>
      </c>
      <c r="BS640" s="2">
        <v>1</v>
      </c>
      <c r="BT640" s="2">
        <v>0</v>
      </c>
      <c r="BU640" s="2">
        <v>1</v>
      </c>
      <c r="BV640" s="2">
        <f t="shared" si="41"/>
        <v>51</v>
      </c>
      <c r="BW640" s="16">
        <f t="shared" si="39"/>
        <v>2.6842105263157894</v>
      </c>
      <c r="BX640" s="16">
        <f>COUNTIF($BC$6:BU640, "=0") / COUNTIF($BC$6:BU640, "&gt;-1")</f>
        <v>0.1690841276419395</v>
      </c>
      <c r="BY640" s="18">
        <f>SUM($BC$6:BU640) / $BY$4</f>
        <v>0.88514332440685839</v>
      </c>
      <c r="BZ640" s="14">
        <f t="shared" si="40"/>
        <v>3</v>
      </c>
      <c r="CA640" t="s">
        <v>5831</v>
      </c>
      <c r="CB640" s="36">
        <v>4.8465735833389196</v>
      </c>
      <c r="CC640" s="36">
        <v>5.7783847240646802</v>
      </c>
      <c r="CD640" s="36">
        <v>6.4031906472490299</v>
      </c>
      <c r="CE640" s="36">
        <v>7.5596087957661497</v>
      </c>
      <c r="CF640" s="36">
        <v>4.3008817996844604</v>
      </c>
      <c r="CG640" s="36">
        <v>5.5783634798369501</v>
      </c>
      <c r="CH640" s="36">
        <v>5.2703114143232002</v>
      </c>
      <c r="CI640" s="36">
        <v>1.9463671959646101</v>
      </c>
      <c r="CJ640" s="37">
        <v>0.79475829324495695</v>
      </c>
      <c r="CK640" s="37">
        <v>0.63064964688828595</v>
      </c>
      <c r="CL640" s="37">
        <v>2.4001630448020301</v>
      </c>
      <c r="CM640" s="37">
        <v>1.6930940931998799</v>
      </c>
      <c r="CN640" s="37">
        <v>1.8375851316302301</v>
      </c>
      <c r="CO640" s="37">
        <v>2.36757171115537</v>
      </c>
      <c r="CP640" s="37">
        <v>1.50854004786242</v>
      </c>
      <c r="CQ640" s="37">
        <v>1.5226368464746201</v>
      </c>
      <c r="CR640" s="45">
        <v>-1.6149596150777701</v>
      </c>
      <c r="CS640" s="45">
        <v>-3.2680270883573201</v>
      </c>
      <c r="CT640" s="46">
        <v>4.2904154931174899E-4</v>
      </c>
      <c r="CU640" s="47">
        <v>1.0513875329287901E-3</v>
      </c>
      <c r="CV640" s="48">
        <v>5.2104602050285003</v>
      </c>
      <c r="CW640" s="49">
        <v>1.5943748519072201</v>
      </c>
      <c r="CX640" s="31" t="s">
        <v>5875</v>
      </c>
      <c r="CY640" s="31" t="s">
        <v>5876</v>
      </c>
      <c r="CZ640" t="s">
        <v>6139</v>
      </c>
      <c r="DA640" t="s">
        <v>5904</v>
      </c>
      <c r="DB640">
        <v>1310.4000000000001</v>
      </c>
      <c r="DC640" t="s">
        <v>14634</v>
      </c>
      <c r="DD640" t="s">
        <v>13772</v>
      </c>
      <c r="DE640" t="s">
        <v>14635</v>
      </c>
      <c r="DF640" t="s">
        <v>14636</v>
      </c>
      <c r="DG640" t="s">
        <v>14637</v>
      </c>
      <c r="DH640" t="str">
        <f>"FZD6"</f>
        <v>FZD6</v>
      </c>
      <c r="DI640" t="s">
        <v>13772</v>
      </c>
      <c r="DJ640" t="s">
        <v>13777</v>
      </c>
      <c r="DK640">
        <v>9606</v>
      </c>
      <c r="DL640" s="34" t="str">
        <f>HYPERLINK("http://www.uniprot.org/uniprot/O60353", "O60353")</f>
        <v>O60353</v>
      </c>
      <c r="DM640" t="s">
        <v>14638</v>
      </c>
      <c r="DN640" t="s">
        <v>14072</v>
      </c>
      <c r="DO640" t="s">
        <v>13976</v>
      </c>
      <c r="DP640" t="s">
        <v>13780</v>
      </c>
      <c r="DQ640" t="s">
        <v>13772</v>
      </c>
      <c r="DR640" t="s">
        <v>13807</v>
      </c>
      <c r="DS640" t="s">
        <v>13855</v>
      </c>
      <c r="DT640" t="s">
        <v>13772</v>
      </c>
      <c r="DU640" t="s">
        <v>14639</v>
      </c>
      <c r="DV640" t="s">
        <v>14640</v>
      </c>
      <c r="DW640" t="s">
        <v>13772</v>
      </c>
      <c r="DX640" t="s">
        <v>14641</v>
      </c>
      <c r="DY640" t="s">
        <v>14642</v>
      </c>
      <c r="DZ640" t="s">
        <v>14643</v>
      </c>
      <c r="EA640" t="s">
        <v>13772</v>
      </c>
      <c r="EB640" t="s">
        <v>14644</v>
      </c>
    </row>
    <row r="641" spans="1:132" hidden="1">
      <c r="A641">
        <v>342</v>
      </c>
      <c r="B641">
        <v>1</v>
      </c>
      <c r="C641" t="s">
        <v>859</v>
      </c>
      <c r="D641" t="s">
        <v>73</v>
      </c>
      <c r="E641" t="s">
        <v>73</v>
      </c>
      <c r="F641" t="s">
        <v>73</v>
      </c>
      <c r="G641" t="s">
        <v>73</v>
      </c>
      <c r="H641">
        <v>12.9</v>
      </c>
      <c r="I641">
        <v>271</v>
      </c>
      <c r="J641">
        <v>28794</v>
      </c>
      <c r="K641" t="s">
        <v>860</v>
      </c>
      <c r="L641">
        <f t="shared" si="38"/>
        <v>51</v>
      </c>
      <c r="N641">
        <v>51</v>
      </c>
      <c r="O641">
        <v>51</v>
      </c>
      <c r="P641">
        <v>1</v>
      </c>
      <c r="Q641">
        <v>4</v>
      </c>
      <c r="R641">
        <v>5</v>
      </c>
      <c r="S641">
        <v>5</v>
      </c>
      <c r="T641">
        <v>7</v>
      </c>
      <c r="U641">
        <v>10</v>
      </c>
      <c r="V641">
        <v>9</v>
      </c>
      <c r="W641">
        <v>4</v>
      </c>
      <c r="X641">
        <v>3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4</v>
      </c>
      <c r="AK641">
        <v>5</v>
      </c>
      <c r="AL641">
        <v>5</v>
      </c>
      <c r="AM641">
        <v>7</v>
      </c>
      <c r="AN641">
        <v>10</v>
      </c>
      <c r="AO641">
        <v>9</v>
      </c>
      <c r="AP641">
        <v>4</v>
      </c>
      <c r="AQ641">
        <v>3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0</v>
      </c>
      <c r="BC641" s="2">
        <v>4</v>
      </c>
      <c r="BD641" s="2">
        <v>5</v>
      </c>
      <c r="BE641" s="2">
        <v>5</v>
      </c>
      <c r="BF641" s="2">
        <v>7</v>
      </c>
      <c r="BG641" s="2">
        <v>10</v>
      </c>
      <c r="BH641" s="2">
        <v>9</v>
      </c>
      <c r="BI641" s="2">
        <v>4</v>
      </c>
      <c r="BJ641" s="2">
        <v>3</v>
      </c>
      <c r="BK641" s="2">
        <v>0</v>
      </c>
      <c r="BL641" s="2">
        <v>0</v>
      </c>
      <c r="BM641" s="2">
        <v>1</v>
      </c>
      <c r="BN641" s="2">
        <v>1</v>
      </c>
      <c r="BO641" s="2">
        <v>0</v>
      </c>
      <c r="BP641" s="2">
        <v>1</v>
      </c>
      <c r="BQ641" s="2">
        <v>0</v>
      </c>
      <c r="BR641" s="2">
        <v>1</v>
      </c>
      <c r="BS641" s="2">
        <v>0</v>
      </c>
      <c r="BT641" s="2">
        <v>0</v>
      </c>
      <c r="BU641" s="2">
        <v>0</v>
      </c>
      <c r="BV641" s="2">
        <f t="shared" si="41"/>
        <v>51</v>
      </c>
      <c r="BW641" s="16">
        <f t="shared" si="39"/>
        <v>2.6842105263157894</v>
      </c>
      <c r="BX641" s="16">
        <f>COUNTIF($BC$6:BU641, "=0") / COUNTIF($BC$6:BU641, "&gt;-1")</f>
        <v>0.16939755047997351</v>
      </c>
      <c r="BY641" s="18">
        <f>SUM($BC$6:BU641) / $BY$4</f>
        <v>0.88536178988716208</v>
      </c>
      <c r="BZ641" s="14">
        <f t="shared" si="40"/>
        <v>7</v>
      </c>
      <c r="CA641" t="s">
        <v>5831</v>
      </c>
      <c r="CB641" s="36">
        <v>4.8465735833389196</v>
      </c>
      <c r="CC641" s="36">
        <v>4.8153206033872298</v>
      </c>
      <c r="CD641" s="36">
        <v>8.00398830906129</v>
      </c>
      <c r="CE641" s="36">
        <v>10.5834523140726</v>
      </c>
      <c r="CF641" s="36">
        <v>8.6017635993689208</v>
      </c>
      <c r="CG641" s="36">
        <v>8.3675452197554208</v>
      </c>
      <c r="CH641" s="36">
        <v>4.21624913145856</v>
      </c>
      <c r="CI641" s="36">
        <v>2.9195507939469199</v>
      </c>
      <c r="CJ641" s="37">
        <v>0.19868957331123899</v>
      </c>
      <c r="CK641" s="37">
        <v>0.63064964688828595</v>
      </c>
      <c r="CL641" s="37">
        <v>0.80005434826734301</v>
      </c>
      <c r="CM641" s="37">
        <v>0.21163676164998499</v>
      </c>
      <c r="CN641" s="37">
        <v>0.22969814145377901</v>
      </c>
      <c r="CO641" s="37">
        <v>0.78919057038512497</v>
      </c>
      <c r="CP641" s="37">
        <v>0.377135011965606</v>
      </c>
      <c r="CQ641" s="37">
        <v>0.38065921161865401</v>
      </c>
      <c r="CR641" s="45">
        <v>-3.45881725418359</v>
      </c>
      <c r="CS641" s="45">
        <v>-14.471695159780699</v>
      </c>
      <c r="CT641" s="46">
        <v>1.6864067149765299E-9</v>
      </c>
      <c r="CU641" s="47">
        <v>2.01395956446705E-8</v>
      </c>
      <c r="CV641" s="48">
        <v>6.5443054442987298</v>
      </c>
      <c r="CW641" s="49">
        <v>0.45221415819250199</v>
      </c>
      <c r="CX641" s="31" t="s">
        <v>5875</v>
      </c>
      <c r="CY641" s="31" t="s">
        <v>5876</v>
      </c>
      <c r="CZ641" t="s">
        <v>6886</v>
      </c>
      <c r="DA641" t="s">
        <v>5904</v>
      </c>
      <c r="DB641">
        <v>499.2</v>
      </c>
      <c r="DC641" t="s">
        <v>16986</v>
      </c>
      <c r="DD641" t="s">
        <v>16987</v>
      </c>
      <c r="DE641" t="s">
        <v>16988</v>
      </c>
      <c r="DF641" t="s">
        <v>16989</v>
      </c>
      <c r="DG641" t="s">
        <v>16990</v>
      </c>
      <c r="DH641" t="str">
        <f>"AQP1"</f>
        <v>AQP1</v>
      </c>
      <c r="DI641" t="s">
        <v>16991</v>
      </c>
      <c r="DJ641" t="s">
        <v>13777</v>
      </c>
      <c r="DK641">
        <v>9606</v>
      </c>
      <c r="DL641" s="34" t="str">
        <f>HYPERLINK("http://www.uniprot.org/uniprot/P29972", "P29972")</f>
        <v>P29972</v>
      </c>
      <c r="DM641" t="s">
        <v>16992</v>
      </c>
      <c r="DN641" t="s">
        <v>14192</v>
      </c>
      <c r="DO641" t="s">
        <v>13792</v>
      </c>
      <c r="DP641" t="s">
        <v>13780</v>
      </c>
      <c r="DQ641" t="s">
        <v>13772</v>
      </c>
      <c r="DR641" t="s">
        <v>13772</v>
      </c>
      <c r="DS641" t="s">
        <v>16604</v>
      </c>
      <c r="DT641" t="s">
        <v>13772</v>
      </c>
      <c r="DU641" t="s">
        <v>16993</v>
      </c>
      <c r="DV641" t="s">
        <v>13978</v>
      </c>
      <c r="DW641" t="s">
        <v>13812</v>
      </c>
      <c r="DX641" t="s">
        <v>16994</v>
      </c>
      <c r="DY641" t="s">
        <v>16995</v>
      </c>
      <c r="DZ641" t="s">
        <v>16996</v>
      </c>
      <c r="EA641" t="s">
        <v>13772</v>
      </c>
      <c r="EB641" t="s">
        <v>16997</v>
      </c>
    </row>
    <row r="642" spans="1:132" hidden="1">
      <c r="A642">
        <v>1001</v>
      </c>
      <c r="B642">
        <v>1</v>
      </c>
      <c r="C642" t="s">
        <v>2427</v>
      </c>
      <c r="D642" t="s">
        <v>2428</v>
      </c>
      <c r="E642" t="s">
        <v>73</v>
      </c>
      <c r="F642" t="s">
        <v>2425</v>
      </c>
      <c r="G642" t="s">
        <v>73</v>
      </c>
      <c r="H642">
        <v>17.100000000000001</v>
      </c>
      <c r="I642">
        <v>808</v>
      </c>
      <c r="J642">
        <v>89990</v>
      </c>
      <c r="K642" t="s">
        <v>2429</v>
      </c>
      <c r="L642">
        <f t="shared" si="38"/>
        <v>82</v>
      </c>
      <c r="N642">
        <v>82</v>
      </c>
      <c r="O642">
        <v>14</v>
      </c>
      <c r="P642">
        <v>0.17100000000000001</v>
      </c>
      <c r="Q642">
        <v>3</v>
      </c>
      <c r="R642">
        <v>0</v>
      </c>
      <c r="S642">
        <v>1</v>
      </c>
      <c r="T642">
        <v>0</v>
      </c>
      <c r="U642">
        <v>0</v>
      </c>
      <c r="V642">
        <v>2</v>
      </c>
      <c r="W642">
        <v>1</v>
      </c>
      <c r="X642">
        <v>1</v>
      </c>
      <c r="Y642">
        <v>6</v>
      </c>
      <c r="Z642">
        <v>2</v>
      </c>
      <c r="AA642">
        <v>22</v>
      </c>
      <c r="AB642">
        <v>8</v>
      </c>
      <c r="AC642">
        <v>2</v>
      </c>
      <c r="AD642">
        <v>0</v>
      </c>
      <c r="AE642">
        <v>7</v>
      </c>
      <c r="AF642">
        <v>11</v>
      </c>
      <c r="AG642">
        <v>6</v>
      </c>
      <c r="AH642">
        <v>3</v>
      </c>
      <c r="AI642">
        <v>7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</v>
      </c>
      <c r="AS642">
        <v>1</v>
      </c>
      <c r="AT642">
        <v>3</v>
      </c>
      <c r="AU642">
        <v>0</v>
      </c>
      <c r="AV642">
        <v>1</v>
      </c>
      <c r="AW642">
        <v>0</v>
      </c>
      <c r="AX642">
        <v>2</v>
      </c>
      <c r="AY642">
        <v>2</v>
      </c>
      <c r="AZ642">
        <v>0</v>
      </c>
      <c r="BA642">
        <v>0</v>
      </c>
      <c r="BB642">
        <v>2</v>
      </c>
      <c r="BC642" s="2">
        <v>3</v>
      </c>
      <c r="BD642" s="2">
        <v>0</v>
      </c>
      <c r="BE642" s="2">
        <v>0.5</v>
      </c>
      <c r="BF642" s="2">
        <v>0</v>
      </c>
      <c r="BG642" s="2">
        <v>0</v>
      </c>
      <c r="BH642" s="2">
        <v>1</v>
      </c>
      <c r="BI642" s="2">
        <v>0.5</v>
      </c>
      <c r="BJ642" s="2">
        <v>0.5</v>
      </c>
      <c r="BK642" s="2">
        <v>6</v>
      </c>
      <c r="BL642" s="2">
        <v>2</v>
      </c>
      <c r="BM642" s="2">
        <v>12.5</v>
      </c>
      <c r="BN642" s="2">
        <v>0</v>
      </c>
      <c r="BO642" s="2">
        <v>1.5</v>
      </c>
      <c r="BP642" s="2">
        <v>0</v>
      </c>
      <c r="BQ642" s="2">
        <v>7</v>
      </c>
      <c r="BR642" s="2">
        <v>5</v>
      </c>
      <c r="BS642" s="2">
        <v>3</v>
      </c>
      <c r="BT642" s="2">
        <v>1.5</v>
      </c>
      <c r="BU642" s="2">
        <v>7</v>
      </c>
      <c r="BV642" s="2">
        <f t="shared" si="41"/>
        <v>51</v>
      </c>
      <c r="BW642" s="16">
        <f t="shared" si="39"/>
        <v>2.6842105263157894</v>
      </c>
      <c r="BX642" s="16">
        <f>COUNTIF($BC$6:BU642, "=0") / COUNTIF($BC$6:BU642, "&gt;-1")</f>
        <v>0.1695447409733124</v>
      </c>
      <c r="BY642" s="18">
        <f>SUM($BC$6:BU642) / $BY$4</f>
        <v>0.88558025536746576</v>
      </c>
      <c r="BZ642" s="14">
        <f t="shared" si="40"/>
        <v>5</v>
      </c>
      <c r="CA642" t="s">
        <v>5831</v>
      </c>
      <c r="CB642" s="36">
        <v>3.6349301875041902</v>
      </c>
      <c r="CC642" s="36">
        <v>0.24076603016936199</v>
      </c>
      <c r="CD642" s="36">
        <v>0.80039883090612896</v>
      </c>
      <c r="CE642" s="36">
        <v>0.37798043978830698</v>
      </c>
      <c r="CF642" s="36">
        <v>0.215044089984223</v>
      </c>
      <c r="CG642" s="36">
        <v>0.92972724663949102</v>
      </c>
      <c r="CH642" s="36">
        <v>0.52703114143231999</v>
      </c>
      <c r="CI642" s="36">
        <v>0.48659179899115301</v>
      </c>
      <c r="CJ642" s="37">
        <v>4.7685497594697397</v>
      </c>
      <c r="CK642" s="37">
        <v>7.88312058610357</v>
      </c>
      <c r="CL642" s="37">
        <v>0.200013587066836</v>
      </c>
      <c r="CM642" s="37">
        <v>1.2698205698999101</v>
      </c>
      <c r="CN642" s="37">
        <v>6.4315479607058004</v>
      </c>
      <c r="CO642" s="37">
        <v>3.94595285192562</v>
      </c>
      <c r="CP642" s="37">
        <v>4.5256201435872701</v>
      </c>
      <c r="CQ642" s="37">
        <v>10.658457925322301</v>
      </c>
      <c r="CR642" s="45">
        <v>2.3299790892862098</v>
      </c>
      <c r="CS642" s="45">
        <v>5.5020103618828502</v>
      </c>
      <c r="CT642" s="46">
        <v>5.8354547392201403E-4</v>
      </c>
      <c r="CU642" s="47">
        <v>1.40428748940226E-3</v>
      </c>
      <c r="CV642" s="48">
        <v>0.90155872067689702</v>
      </c>
      <c r="CW642" s="49">
        <v>4.9603854230101296</v>
      </c>
      <c r="CX642" s="31" t="s">
        <v>5874</v>
      </c>
      <c r="CY642" s="31" t="s">
        <v>5876</v>
      </c>
      <c r="CZ642" t="s">
        <v>9116</v>
      </c>
      <c r="DA642" t="s">
        <v>5904</v>
      </c>
      <c r="DB642">
        <v>1574.3</v>
      </c>
      <c r="DC642" t="s">
        <v>23610</v>
      </c>
      <c r="DD642" t="s">
        <v>23611</v>
      </c>
      <c r="DE642" t="s">
        <v>23612</v>
      </c>
      <c r="DF642" t="s">
        <v>23613</v>
      </c>
      <c r="DG642" t="s">
        <v>23614</v>
      </c>
      <c r="DH642" t="str">
        <f>"POSTN"</f>
        <v>POSTN</v>
      </c>
      <c r="DI642" t="s">
        <v>23615</v>
      </c>
      <c r="DJ642" t="s">
        <v>13777</v>
      </c>
      <c r="DK642">
        <v>9606</v>
      </c>
      <c r="DL642" s="34" t="str">
        <f>HYPERLINK("http://www.uniprot.org/uniprot/Q15063", "Q15063")</f>
        <v>Q15063</v>
      </c>
      <c r="DM642" t="s">
        <v>23616</v>
      </c>
      <c r="DN642" t="s">
        <v>13949</v>
      </c>
      <c r="DO642" t="s">
        <v>23617</v>
      </c>
      <c r="DP642" t="s">
        <v>13780</v>
      </c>
      <c r="DQ642" t="s">
        <v>13772</v>
      </c>
      <c r="DR642" t="s">
        <v>13772</v>
      </c>
      <c r="DS642" t="s">
        <v>14404</v>
      </c>
      <c r="DT642" t="s">
        <v>13772</v>
      </c>
      <c r="DU642" t="s">
        <v>14073</v>
      </c>
      <c r="DV642" t="s">
        <v>23618</v>
      </c>
      <c r="DW642" t="s">
        <v>13812</v>
      </c>
      <c r="DX642" t="s">
        <v>23619</v>
      </c>
      <c r="DY642" t="s">
        <v>23620</v>
      </c>
      <c r="DZ642" t="s">
        <v>23621</v>
      </c>
      <c r="EA642" t="s">
        <v>13772</v>
      </c>
      <c r="EB642" t="s">
        <v>13772</v>
      </c>
    </row>
    <row r="643" spans="1:132" hidden="1">
      <c r="A643">
        <v>1335</v>
      </c>
      <c r="B643">
        <v>1</v>
      </c>
      <c r="C643" t="s">
        <v>3199</v>
      </c>
      <c r="D643" t="s">
        <v>73</v>
      </c>
      <c r="E643" t="s">
        <v>73</v>
      </c>
      <c r="F643" t="s">
        <v>73</v>
      </c>
      <c r="G643" t="s">
        <v>73</v>
      </c>
      <c r="H643">
        <v>37.299999999999997</v>
      </c>
      <c r="I643">
        <v>394</v>
      </c>
      <c r="J643">
        <v>41747</v>
      </c>
      <c r="K643" t="s">
        <v>3200</v>
      </c>
      <c r="L643">
        <f t="shared" si="38"/>
        <v>51</v>
      </c>
      <c r="N643">
        <v>51</v>
      </c>
      <c r="O643">
        <v>51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4</v>
      </c>
      <c r="W643">
        <v>4</v>
      </c>
      <c r="X643">
        <v>3</v>
      </c>
      <c r="Y643">
        <v>9</v>
      </c>
      <c r="Z643">
        <v>1</v>
      </c>
      <c r="AA643">
        <v>9</v>
      </c>
      <c r="AB643">
        <v>8</v>
      </c>
      <c r="AC643">
        <v>4</v>
      </c>
      <c r="AD643">
        <v>4</v>
      </c>
      <c r="AE643">
        <v>2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4</v>
      </c>
      <c r="AP643">
        <v>4</v>
      </c>
      <c r="AQ643">
        <v>3</v>
      </c>
      <c r="AR643">
        <v>9</v>
      </c>
      <c r="AS643">
        <v>1</v>
      </c>
      <c r="AT643">
        <v>9</v>
      </c>
      <c r="AU643">
        <v>8</v>
      </c>
      <c r="AV643">
        <v>4</v>
      </c>
      <c r="AW643">
        <v>4</v>
      </c>
      <c r="AX643">
        <v>2</v>
      </c>
      <c r="AY643">
        <v>0</v>
      </c>
      <c r="AZ643">
        <v>1</v>
      </c>
      <c r="BA643">
        <v>0</v>
      </c>
      <c r="BB643">
        <v>0</v>
      </c>
      <c r="BC643" s="2">
        <v>0</v>
      </c>
      <c r="BD643" s="2">
        <v>1</v>
      </c>
      <c r="BE643" s="2">
        <v>0</v>
      </c>
      <c r="BF643" s="2">
        <v>0</v>
      </c>
      <c r="BG643" s="2">
        <v>1</v>
      </c>
      <c r="BH643" s="2">
        <v>4</v>
      </c>
      <c r="BI643" s="2">
        <v>4</v>
      </c>
      <c r="BJ643" s="2">
        <v>3</v>
      </c>
      <c r="BK643" s="2">
        <v>9</v>
      </c>
      <c r="BL643" s="2">
        <v>1</v>
      </c>
      <c r="BM643" s="2">
        <v>9</v>
      </c>
      <c r="BN643" s="2">
        <v>8</v>
      </c>
      <c r="BO643" s="2">
        <v>4</v>
      </c>
      <c r="BP643" s="2">
        <v>4</v>
      </c>
      <c r="BQ643" s="2">
        <v>2</v>
      </c>
      <c r="BR643" s="2">
        <v>0</v>
      </c>
      <c r="BS643" s="2">
        <v>1</v>
      </c>
      <c r="BT643" s="2">
        <v>0</v>
      </c>
      <c r="BU643" s="2">
        <v>0</v>
      </c>
      <c r="BV643" s="2">
        <f t="shared" si="41"/>
        <v>51</v>
      </c>
      <c r="BW643" s="16">
        <f t="shared" si="39"/>
        <v>2.6842105263157894</v>
      </c>
      <c r="BX643" s="16">
        <f>COUNTIF($BC$6:BU643, "=0") / COUNTIF($BC$6:BU643, "&gt;-1")</f>
        <v>0.169773964692295</v>
      </c>
      <c r="BY643" s="18">
        <f>SUM($BC$6:BU643) / $BY$4</f>
        <v>0.88579872084776956</v>
      </c>
      <c r="BZ643" s="14">
        <f t="shared" si="40"/>
        <v>6</v>
      </c>
      <c r="CA643" t="s">
        <v>5831</v>
      </c>
      <c r="CB643" s="36">
        <v>0.30291084895868198</v>
      </c>
      <c r="CC643" s="36">
        <v>0.96306412067744696</v>
      </c>
      <c r="CD643" s="36">
        <v>0.40019941545306398</v>
      </c>
      <c r="CE643" s="36">
        <v>0.37798043978830698</v>
      </c>
      <c r="CF643" s="36">
        <v>0.86017635993689201</v>
      </c>
      <c r="CG643" s="36">
        <v>3.7189089865579601</v>
      </c>
      <c r="CH643" s="36">
        <v>4.21624913145856</v>
      </c>
      <c r="CI643" s="36">
        <v>2.9195507939469199</v>
      </c>
      <c r="CJ643" s="37">
        <v>7.1528246392046197</v>
      </c>
      <c r="CK643" s="37">
        <v>5.6758468219945701</v>
      </c>
      <c r="CL643" s="37">
        <v>6.4004347861387396</v>
      </c>
      <c r="CM643" s="37">
        <v>3.3861881863997598</v>
      </c>
      <c r="CN643" s="37">
        <v>1.8375851316302301</v>
      </c>
      <c r="CO643" s="37">
        <v>0.19729764259628099</v>
      </c>
      <c r="CP643" s="37">
        <v>1.50854004786242</v>
      </c>
      <c r="CQ643" s="37">
        <v>0.38065921161865401</v>
      </c>
      <c r="CR643" s="45">
        <v>0.90376643476823904</v>
      </c>
      <c r="CS643" s="45">
        <v>1.9288683135432101</v>
      </c>
      <c r="CT643" s="46">
        <v>0.18645871515593099</v>
      </c>
      <c r="CU643" s="47">
        <v>0.24791816370810099</v>
      </c>
      <c r="CV643" s="48">
        <v>1.71988001209723</v>
      </c>
      <c r="CW643" s="49">
        <v>3.31742205843066</v>
      </c>
      <c r="CX643" s="31" t="s">
        <v>5874</v>
      </c>
      <c r="CY643" s="31" t="s">
        <v>5832</v>
      </c>
      <c r="CZ643" t="s">
        <v>10193</v>
      </c>
      <c r="DA643" t="s">
        <v>5904</v>
      </c>
      <c r="DB643">
        <v>706.4</v>
      </c>
      <c r="DC643" t="s">
        <v>26690</v>
      </c>
      <c r="DD643" t="s">
        <v>26691</v>
      </c>
      <c r="DE643" t="s">
        <v>26692</v>
      </c>
      <c r="DF643" t="s">
        <v>26693</v>
      </c>
      <c r="DG643" t="s">
        <v>26694</v>
      </c>
      <c r="DH643" t="str">
        <f>"ADH5 FDH"</f>
        <v>ADH5 FDH</v>
      </c>
      <c r="DI643" t="s">
        <v>13772</v>
      </c>
      <c r="DJ643" t="s">
        <v>13777</v>
      </c>
      <c r="DK643">
        <v>9606</v>
      </c>
      <c r="DL643" s="34" t="str">
        <f>HYPERLINK("http://www.uniprot.org/uniprot/P11766", "P11766")</f>
        <v>P11766</v>
      </c>
      <c r="DM643" t="s">
        <v>26695</v>
      </c>
      <c r="DN643" t="s">
        <v>13772</v>
      </c>
      <c r="DO643" t="s">
        <v>13899</v>
      </c>
      <c r="DP643" t="s">
        <v>13793</v>
      </c>
      <c r="DQ643" t="s">
        <v>13772</v>
      </c>
      <c r="DR643" t="s">
        <v>13772</v>
      </c>
      <c r="DS643" t="s">
        <v>13772</v>
      </c>
      <c r="DT643" t="s">
        <v>16288</v>
      </c>
      <c r="DU643" t="s">
        <v>13885</v>
      </c>
      <c r="DV643" t="s">
        <v>13886</v>
      </c>
      <c r="DW643" t="s">
        <v>13812</v>
      </c>
      <c r="DX643" t="s">
        <v>26696</v>
      </c>
      <c r="DY643" t="s">
        <v>26697</v>
      </c>
      <c r="DZ643" t="s">
        <v>26698</v>
      </c>
      <c r="EA643" t="s">
        <v>13772</v>
      </c>
      <c r="EB643" t="s">
        <v>26699</v>
      </c>
    </row>
    <row r="644" spans="1:132" hidden="1">
      <c r="A644">
        <v>1487</v>
      </c>
      <c r="B644">
        <v>1</v>
      </c>
      <c r="C644" t="s">
        <v>3538</v>
      </c>
      <c r="D644" t="s">
        <v>3539</v>
      </c>
      <c r="E644" t="s">
        <v>73</v>
      </c>
      <c r="F644" t="s">
        <v>73</v>
      </c>
      <c r="G644" t="s">
        <v>73</v>
      </c>
      <c r="H644">
        <v>45</v>
      </c>
      <c r="I644">
        <v>278</v>
      </c>
      <c r="J644">
        <v>30427</v>
      </c>
      <c r="K644" t="s">
        <v>3540</v>
      </c>
      <c r="L644">
        <f t="shared" si="38"/>
        <v>51</v>
      </c>
      <c r="N644">
        <v>51</v>
      </c>
      <c r="O644">
        <v>51</v>
      </c>
      <c r="P644">
        <v>1</v>
      </c>
      <c r="Q644">
        <v>0</v>
      </c>
      <c r="R644">
        <v>6</v>
      </c>
      <c r="S644">
        <v>2</v>
      </c>
      <c r="T644">
        <v>6</v>
      </c>
      <c r="U644">
        <v>15</v>
      </c>
      <c r="V644">
        <v>10</v>
      </c>
      <c r="W644">
        <v>6</v>
      </c>
      <c r="X644">
        <v>4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6</v>
      </c>
      <c r="AL644">
        <v>2</v>
      </c>
      <c r="AM644">
        <v>6</v>
      </c>
      <c r="AN644">
        <v>15</v>
      </c>
      <c r="AO644">
        <v>10</v>
      </c>
      <c r="AP644">
        <v>6</v>
      </c>
      <c r="AQ644">
        <v>4</v>
      </c>
      <c r="AR644">
        <v>0</v>
      </c>
      <c r="AS644">
        <v>0</v>
      </c>
      <c r="AT644">
        <v>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 s="2">
        <v>0</v>
      </c>
      <c r="BD644" s="2">
        <v>6</v>
      </c>
      <c r="BE644" s="2">
        <v>2</v>
      </c>
      <c r="BF644" s="2">
        <v>6</v>
      </c>
      <c r="BG644" s="2">
        <v>15</v>
      </c>
      <c r="BH644" s="2">
        <v>10</v>
      </c>
      <c r="BI644" s="2">
        <v>6</v>
      </c>
      <c r="BJ644" s="2">
        <v>4</v>
      </c>
      <c r="BK644" s="2">
        <v>0</v>
      </c>
      <c r="BL644" s="2">
        <v>0</v>
      </c>
      <c r="BM644" s="2">
        <v>2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f t="shared" si="41"/>
        <v>51</v>
      </c>
      <c r="BW644" s="16">
        <f t="shared" si="39"/>
        <v>2.6842105263157894</v>
      </c>
      <c r="BX644" s="16">
        <f>COUNTIF($BC$6:BU644, "=0") / COUNTIF($BC$6:BU644, "&gt;-1")</f>
        <v>0.17041429865744173</v>
      </c>
      <c r="BY644" s="18">
        <f>SUM($BC$6:BU644) / $BY$4</f>
        <v>0.88601718632807325</v>
      </c>
      <c r="BZ644" s="14">
        <f t="shared" si="40"/>
        <v>11</v>
      </c>
      <c r="CA644" t="s">
        <v>5831</v>
      </c>
      <c r="CB644" s="36">
        <v>0.30291084895868198</v>
      </c>
      <c r="CC644" s="36">
        <v>5.7783847240646802</v>
      </c>
      <c r="CD644" s="36">
        <v>3.2015953236245198</v>
      </c>
      <c r="CE644" s="36">
        <v>9.0715305549193808</v>
      </c>
      <c r="CF644" s="36">
        <v>12.9026453990534</v>
      </c>
      <c r="CG644" s="36">
        <v>9.2972724663949098</v>
      </c>
      <c r="CH644" s="36">
        <v>6.3243736971878404</v>
      </c>
      <c r="CI644" s="36">
        <v>3.8927343919292201</v>
      </c>
      <c r="CJ644" s="37">
        <v>0.19868957331123899</v>
      </c>
      <c r="CK644" s="37">
        <v>1.2612992937765699</v>
      </c>
      <c r="CL644" s="37">
        <v>0.200013587066836</v>
      </c>
      <c r="CM644" s="37">
        <v>0.21163676164998499</v>
      </c>
      <c r="CN644" s="37">
        <v>0.22969814145377901</v>
      </c>
      <c r="CO644" s="37">
        <v>0.19729764259628099</v>
      </c>
      <c r="CP644" s="37">
        <v>0.377135011965606</v>
      </c>
      <c r="CQ644" s="37">
        <v>0.38065921161865401</v>
      </c>
      <c r="CR644" s="45">
        <v>-3.6241423115476201</v>
      </c>
      <c r="CS644" s="45">
        <v>-16.611360412595101</v>
      </c>
      <c r="CT644" s="46">
        <v>2.2083944182147801E-7</v>
      </c>
      <c r="CU644" s="47">
        <v>1.31912130873722E-6</v>
      </c>
      <c r="CV644" s="48">
        <v>6.3464309257665796</v>
      </c>
      <c r="CW644" s="49">
        <v>0.38205365292986898</v>
      </c>
      <c r="CX644" s="31" t="s">
        <v>5875</v>
      </c>
      <c r="CY644" s="31" t="s">
        <v>5876</v>
      </c>
      <c r="CZ644" t="s">
        <v>10690</v>
      </c>
      <c r="DA644" t="s">
        <v>5904</v>
      </c>
      <c r="DB644">
        <v>461.1</v>
      </c>
      <c r="DC644" t="s">
        <v>28087</v>
      </c>
      <c r="DD644" t="s">
        <v>28088</v>
      </c>
      <c r="DE644" t="s">
        <v>28089</v>
      </c>
      <c r="DF644" t="s">
        <v>28090</v>
      </c>
      <c r="DG644" t="s">
        <v>28091</v>
      </c>
      <c r="DH644" t="str">
        <f>"HYI"</f>
        <v>HYI</v>
      </c>
      <c r="DI644" t="s">
        <v>13772</v>
      </c>
      <c r="DJ644" t="s">
        <v>13777</v>
      </c>
      <c r="DK644">
        <v>9606</v>
      </c>
      <c r="DL644" s="34" t="str">
        <f>HYPERLINK("http://www.uniprot.org/uniprot/Q5T013", "Q5T013")</f>
        <v>Q5T013</v>
      </c>
      <c r="DM644" t="s">
        <v>25459</v>
      </c>
      <c r="DN644" t="s">
        <v>13772</v>
      </c>
      <c r="DO644" t="s">
        <v>13772</v>
      </c>
      <c r="DP644" t="s">
        <v>13780</v>
      </c>
      <c r="DQ644" t="s">
        <v>13772</v>
      </c>
      <c r="DR644" t="s">
        <v>13772</v>
      </c>
      <c r="DS644" t="s">
        <v>13772</v>
      </c>
      <c r="DT644" t="s">
        <v>13772</v>
      </c>
      <c r="DU644" t="s">
        <v>14910</v>
      </c>
      <c r="DV644" t="s">
        <v>13772</v>
      </c>
      <c r="DW644" t="s">
        <v>13772</v>
      </c>
      <c r="DX644" t="s">
        <v>13772</v>
      </c>
      <c r="DY644" t="s">
        <v>13772</v>
      </c>
      <c r="DZ644" t="s">
        <v>28092</v>
      </c>
      <c r="EA644" t="s">
        <v>13772</v>
      </c>
      <c r="EB644" t="s">
        <v>13772</v>
      </c>
    </row>
    <row r="645" spans="1:132" hidden="1">
      <c r="A645">
        <v>1608</v>
      </c>
      <c r="B645">
        <v>1</v>
      </c>
      <c r="C645" t="s">
        <v>3811</v>
      </c>
      <c r="D645" t="s">
        <v>3812</v>
      </c>
      <c r="E645" t="s">
        <v>73</v>
      </c>
      <c r="F645" t="s">
        <v>73</v>
      </c>
      <c r="G645" t="s">
        <v>73</v>
      </c>
      <c r="H645">
        <v>20.6</v>
      </c>
      <c r="I645">
        <v>961</v>
      </c>
      <c r="J645">
        <v>105966</v>
      </c>
      <c r="K645" t="s">
        <v>3813</v>
      </c>
      <c r="L645">
        <f t="shared" si="38"/>
        <v>51</v>
      </c>
      <c r="N645">
        <v>51</v>
      </c>
      <c r="O645">
        <v>51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3</v>
      </c>
      <c r="W645">
        <v>1</v>
      </c>
      <c r="X645">
        <v>2</v>
      </c>
      <c r="Y645">
        <v>5</v>
      </c>
      <c r="Z645">
        <v>3</v>
      </c>
      <c r="AA645">
        <v>9</v>
      </c>
      <c r="AB645">
        <v>4</v>
      </c>
      <c r="AC645">
        <v>6</v>
      </c>
      <c r="AD645">
        <v>4</v>
      </c>
      <c r="AE645">
        <v>4</v>
      </c>
      <c r="AF645">
        <v>4</v>
      </c>
      <c r="AG645">
        <v>0</v>
      </c>
      <c r="AH645">
        <v>0</v>
      </c>
      <c r="AI645">
        <v>5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3</v>
      </c>
      <c r="AP645">
        <v>1</v>
      </c>
      <c r="AQ645">
        <v>2</v>
      </c>
      <c r="AR645">
        <v>5</v>
      </c>
      <c r="AS645">
        <v>3</v>
      </c>
      <c r="AT645">
        <v>9</v>
      </c>
      <c r="AU645">
        <v>4</v>
      </c>
      <c r="AV645">
        <v>6</v>
      </c>
      <c r="AW645">
        <v>4</v>
      </c>
      <c r="AX645">
        <v>4</v>
      </c>
      <c r="AY645">
        <v>4</v>
      </c>
      <c r="AZ645">
        <v>0</v>
      </c>
      <c r="BA645">
        <v>0</v>
      </c>
      <c r="BB645">
        <v>5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3</v>
      </c>
      <c r="BI645" s="2">
        <v>1</v>
      </c>
      <c r="BJ645" s="2">
        <v>2</v>
      </c>
      <c r="BK645" s="2">
        <v>5</v>
      </c>
      <c r="BL645" s="2">
        <v>3</v>
      </c>
      <c r="BM645" s="2">
        <v>9</v>
      </c>
      <c r="BN645" s="2">
        <v>4</v>
      </c>
      <c r="BO645" s="2">
        <v>6</v>
      </c>
      <c r="BP645" s="2">
        <v>4</v>
      </c>
      <c r="BQ645" s="2">
        <v>4</v>
      </c>
      <c r="BR645" s="2">
        <v>4</v>
      </c>
      <c r="BS645" s="2">
        <v>0</v>
      </c>
      <c r="BT645" s="2">
        <v>0</v>
      </c>
      <c r="BU645" s="2">
        <v>5</v>
      </c>
      <c r="BV645" s="2">
        <f t="shared" si="41"/>
        <v>51</v>
      </c>
      <c r="BW645" s="16">
        <f t="shared" si="39"/>
        <v>2.6842105263157894</v>
      </c>
      <c r="BX645" s="16">
        <f>COUNTIF($BC$6:BU645, "=0") / COUNTIF($BC$6:BU645, "&gt;-1")</f>
        <v>0.17064144736842105</v>
      </c>
      <c r="BY645" s="18">
        <f>SUM($BC$6:BU645) / $BY$4</f>
        <v>0.88623565180837693</v>
      </c>
      <c r="BZ645" s="14">
        <f t="shared" si="40"/>
        <v>6</v>
      </c>
      <c r="CA645" t="s">
        <v>5831</v>
      </c>
      <c r="CB645" s="36">
        <v>1.2116433958347299</v>
      </c>
      <c r="CC645" s="36">
        <v>0.24076603016936199</v>
      </c>
      <c r="CD645" s="36">
        <v>0.40019941545306398</v>
      </c>
      <c r="CE645" s="36">
        <v>0.37798043978830698</v>
      </c>
      <c r="CF645" s="36">
        <v>0.215044089984223</v>
      </c>
      <c r="CG645" s="36">
        <v>2.7891817399184702</v>
      </c>
      <c r="CH645" s="36">
        <v>1.05406228286464</v>
      </c>
      <c r="CI645" s="36">
        <v>1.9463671959646101</v>
      </c>
      <c r="CJ645" s="37">
        <v>3.9737914662247902</v>
      </c>
      <c r="CK645" s="37">
        <v>5.6758468219945701</v>
      </c>
      <c r="CL645" s="37">
        <v>3.2002173930693698</v>
      </c>
      <c r="CM645" s="37">
        <v>5.0792822795996404</v>
      </c>
      <c r="CN645" s="37">
        <v>3.6751702632604601</v>
      </c>
      <c r="CO645" s="37">
        <v>3.1567622815404999</v>
      </c>
      <c r="CP645" s="37">
        <v>0.377135011965606</v>
      </c>
      <c r="CQ645" s="37">
        <v>7.6131842323730803</v>
      </c>
      <c r="CR645" s="45">
        <v>1.8212018989952701</v>
      </c>
      <c r="CS645" s="45">
        <v>3.9769783874892601</v>
      </c>
      <c r="CT645" s="46">
        <v>1.9375075840287999E-3</v>
      </c>
      <c r="CU645" s="47">
        <v>4.1280018271186896E-3</v>
      </c>
      <c r="CV645" s="48">
        <v>1.0294055737471799</v>
      </c>
      <c r="CW645" s="49">
        <v>4.0939237187534996</v>
      </c>
      <c r="CX645" s="31" t="s">
        <v>5874</v>
      </c>
      <c r="CY645" s="31" t="s">
        <v>5876</v>
      </c>
      <c r="CZ645" t="s">
        <v>11103</v>
      </c>
      <c r="DA645" t="s">
        <v>5904</v>
      </c>
      <c r="DB645">
        <v>1744.2</v>
      </c>
      <c r="DC645" t="s">
        <v>29212</v>
      </c>
      <c r="DD645" t="s">
        <v>13772</v>
      </c>
      <c r="DE645" t="s">
        <v>29213</v>
      </c>
      <c r="DF645" t="s">
        <v>29214</v>
      </c>
      <c r="DG645" t="s">
        <v>29215</v>
      </c>
      <c r="DH645" t="str">
        <f>"THBS4"</f>
        <v>THBS4</v>
      </c>
      <c r="DI645" t="s">
        <v>29216</v>
      </c>
      <c r="DJ645" t="s">
        <v>13777</v>
      </c>
      <c r="DK645">
        <v>9606</v>
      </c>
      <c r="DL645" s="34" t="str">
        <f>HYPERLINK("http://www.uniprot.org/uniprot/P35443", "P35443")</f>
        <v>P35443</v>
      </c>
      <c r="DM645" t="s">
        <v>29217</v>
      </c>
      <c r="DN645" t="s">
        <v>29218</v>
      </c>
      <c r="DO645" t="s">
        <v>14813</v>
      </c>
      <c r="DP645" t="s">
        <v>13793</v>
      </c>
      <c r="DQ645" t="s">
        <v>13772</v>
      </c>
      <c r="DR645" t="s">
        <v>13772</v>
      </c>
      <c r="DS645" t="s">
        <v>14768</v>
      </c>
      <c r="DT645" t="s">
        <v>14465</v>
      </c>
      <c r="DU645" t="s">
        <v>29219</v>
      </c>
      <c r="DV645" t="s">
        <v>13796</v>
      </c>
      <c r="DW645" t="s">
        <v>13772</v>
      </c>
      <c r="DX645" t="s">
        <v>29220</v>
      </c>
      <c r="DY645" t="s">
        <v>29221</v>
      </c>
      <c r="DZ645" t="s">
        <v>29222</v>
      </c>
      <c r="EA645" t="s">
        <v>13772</v>
      </c>
      <c r="EB645" t="s">
        <v>29223</v>
      </c>
    </row>
    <row r="646" spans="1:132" hidden="1">
      <c r="A646">
        <v>2003</v>
      </c>
      <c r="B646">
        <v>1</v>
      </c>
      <c r="C646" t="s">
        <v>4713</v>
      </c>
      <c r="D646" t="s">
        <v>73</v>
      </c>
      <c r="E646" t="s">
        <v>73</v>
      </c>
      <c r="F646" t="s">
        <v>73</v>
      </c>
      <c r="G646" t="s">
        <v>73</v>
      </c>
      <c r="H646">
        <v>35.6</v>
      </c>
      <c r="I646">
        <v>562</v>
      </c>
      <c r="J646">
        <v>61547</v>
      </c>
      <c r="K646" t="s">
        <v>4714</v>
      </c>
      <c r="L646">
        <f t="shared" ref="L646:L709" si="42">N646</f>
        <v>51</v>
      </c>
      <c r="N646">
        <v>51</v>
      </c>
      <c r="O646">
        <v>51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4</v>
      </c>
      <c r="V646">
        <v>0</v>
      </c>
      <c r="W646">
        <v>0</v>
      </c>
      <c r="X646">
        <v>3</v>
      </c>
      <c r="Y646">
        <v>5</v>
      </c>
      <c r="Z646">
        <v>0</v>
      </c>
      <c r="AA646">
        <v>10</v>
      </c>
      <c r="AB646">
        <v>3</v>
      </c>
      <c r="AC646">
        <v>6</v>
      </c>
      <c r="AD646">
        <v>9</v>
      </c>
      <c r="AE646">
        <v>7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4</v>
      </c>
      <c r="AO646">
        <v>0</v>
      </c>
      <c r="AP646">
        <v>0</v>
      </c>
      <c r="AQ646">
        <v>3</v>
      </c>
      <c r="AR646">
        <v>5</v>
      </c>
      <c r="AS646">
        <v>0</v>
      </c>
      <c r="AT646">
        <v>10</v>
      </c>
      <c r="AU646">
        <v>3</v>
      </c>
      <c r="AV646">
        <v>6</v>
      </c>
      <c r="AW646">
        <v>9</v>
      </c>
      <c r="AX646">
        <v>7</v>
      </c>
      <c r="AY646">
        <v>1</v>
      </c>
      <c r="AZ646">
        <v>0</v>
      </c>
      <c r="BA646">
        <v>0</v>
      </c>
      <c r="BB646">
        <v>1</v>
      </c>
      <c r="BC646" s="2">
        <v>1</v>
      </c>
      <c r="BD646" s="2">
        <v>1</v>
      </c>
      <c r="BE646" s="2">
        <v>0</v>
      </c>
      <c r="BF646" s="2">
        <v>0</v>
      </c>
      <c r="BG646" s="2">
        <v>4</v>
      </c>
      <c r="BH646" s="2">
        <v>0</v>
      </c>
      <c r="BI646" s="2">
        <v>0</v>
      </c>
      <c r="BJ646" s="2">
        <v>3</v>
      </c>
      <c r="BK646" s="2">
        <v>5</v>
      </c>
      <c r="BL646" s="2">
        <v>0</v>
      </c>
      <c r="BM646" s="2">
        <v>10</v>
      </c>
      <c r="BN646" s="2">
        <v>3</v>
      </c>
      <c r="BO646" s="2">
        <v>6</v>
      </c>
      <c r="BP646" s="2">
        <v>9</v>
      </c>
      <c r="BQ646" s="2">
        <v>7</v>
      </c>
      <c r="BR646" s="2">
        <v>1</v>
      </c>
      <c r="BS646" s="2">
        <v>0</v>
      </c>
      <c r="BT646" s="2">
        <v>0</v>
      </c>
      <c r="BU646" s="2">
        <v>1</v>
      </c>
      <c r="BV646" s="2">
        <f t="shared" si="41"/>
        <v>51</v>
      </c>
      <c r="BW646" s="16">
        <f t="shared" ref="BW646:BW709" si="43">AVERAGE(BC646:BU646)</f>
        <v>2.6842105263157894</v>
      </c>
      <c r="BX646" s="16">
        <f>COUNTIF($BC$6:BU646, "=0") / COUNTIF($BC$6:BU646, "&gt;-1")</f>
        <v>0.17094999589457263</v>
      </c>
      <c r="BY646" s="18">
        <f>SUM($BC$6:BU646) / $BY$4</f>
        <v>0.88645411728868073</v>
      </c>
      <c r="BZ646" s="14">
        <f t="shared" ref="BZ646:BZ709" si="44">19-COUNTIF(BC646:BU646, "&gt;0")</f>
        <v>7</v>
      </c>
      <c r="CA646" t="s">
        <v>5831</v>
      </c>
      <c r="CB646" s="36">
        <v>1.2116433958347299</v>
      </c>
      <c r="CC646" s="36">
        <v>0.96306412067744696</v>
      </c>
      <c r="CD646" s="36">
        <v>0.40019941545306398</v>
      </c>
      <c r="CE646" s="36">
        <v>0.37798043978830698</v>
      </c>
      <c r="CF646" s="36">
        <v>3.4407054397475698</v>
      </c>
      <c r="CG646" s="36">
        <v>0.23243181165987301</v>
      </c>
      <c r="CH646" s="36">
        <v>0.26351557071616</v>
      </c>
      <c r="CI646" s="36">
        <v>2.9195507939469199</v>
      </c>
      <c r="CJ646" s="37">
        <v>3.9737914662247902</v>
      </c>
      <c r="CK646" s="37">
        <v>6.3064964688828598</v>
      </c>
      <c r="CL646" s="37">
        <v>2.4001630448020301</v>
      </c>
      <c r="CM646" s="37">
        <v>5.0792822795996404</v>
      </c>
      <c r="CN646" s="37">
        <v>6.4315479607058004</v>
      </c>
      <c r="CO646" s="37">
        <v>0.78919057038512497</v>
      </c>
      <c r="CP646" s="37">
        <v>0.377135011965606</v>
      </c>
      <c r="CQ646" s="37">
        <v>1.5226368464746201</v>
      </c>
      <c r="CR646" s="45">
        <v>1.34334558655495</v>
      </c>
      <c r="CS646" s="45">
        <v>2.7403399236898398</v>
      </c>
      <c r="CT646" s="46">
        <v>3.9860857221376902E-2</v>
      </c>
      <c r="CU646" s="47">
        <v>6.33175183831267E-2</v>
      </c>
      <c r="CV646" s="48">
        <v>1.22613637347801</v>
      </c>
      <c r="CW646" s="49">
        <v>3.36003045613006</v>
      </c>
      <c r="CX646" s="31" t="s">
        <v>5874</v>
      </c>
      <c r="CY646" s="31" t="s">
        <v>5877</v>
      </c>
      <c r="CZ646" t="s">
        <v>12426</v>
      </c>
      <c r="DA646" t="s">
        <v>5904</v>
      </c>
      <c r="DB646">
        <v>1117.5</v>
      </c>
      <c r="DC646" t="s">
        <v>32965</v>
      </c>
      <c r="DD646" t="s">
        <v>32966</v>
      </c>
      <c r="DE646" t="s">
        <v>32967</v>
      </c>
      <c r="DF646" t="s">
        <v>32968</v>
      </c>
      <c r="DG646" t="s">
        <v>32969</v>
      </c>
      <c r="DH646" t="str">
        <f>"PGM1"</f>
        <v>PGM1</v>
      </c>
      <c r="DI646" t="s">
        <v>13772</v>
      </c>
      <c r="DJ646" t="s">
        <v>13777</v>
      </c>
      <c r="DK646">
        <v>9606</v>
      </c>
      <c r="DL646" s="34" t="str">
        <f>HYPERLINK("http://www.uniprot.org/uniprot/P36871", "P36871")</f>
        <v>P36871</v>
      </c>
      <c r="DM646" t="s">
        <v>32970</v>
      </c>
      <c r="DN646" t="s">
        <v>26643</v>
      </c>
      <c r="DO646" t="s">
        <v>13899</v>
      </c>
      <c r="DP646" t="s">
        <v>13780</v>
      </c>
      <c r="DQ646" t="s">
        <v>13772</v>
      </c>
      <c r="DR646" t="s">
        <v>32971</v>
      </c>
      <c r="DS646" t="s">
        <v>13772</v>
      </c>
      <c r="DT646" t="s">
        <v>14784</v>
      </c>
      <c r="DU646" t="s">
        <v>14910</v>
      </c>
      <c r="DV646" t="s">
        <v>13886</v>
      </c>
      <c r="DW646" t="s">
        <v>13812</v>
      </c>
      <c r="DX646" t="s">
        <v>32972</v>
      </c>
      <c r="DY646" t="s">
        <v>32973</v>
      </c>
      <c r="DZ646" t="s">
        <v>32974</v>
      </c>
      <c r="EA646" t="s">
        <v>13772</v>
      </c>
      <c r="EB646" t="s">
        <v>32975</v>
      </c>
    </row>
    <row r="647" spans="1:132" hidden="1">
      <c r="A647">
        <v>2194</v>
      </c>
      <c r="B647">
        <v>1</v>
      </c>
      <c r="C647" t="s">
        <v>5130</v>
      </c>
      <c r="D647" t="s">
        <v>73</v>
      </c>
      <c r="E647" t="s">
        <v>73</v>
      </c>
      <c r="F647" t="s">
        <v>73</v>
      </c>
      <c r="G647" t="s">
        <v>73</v>
      </c>
      <c r="H647">
        <v>14.9</v>
      </c>
      <c r="I647">
        <v>653</v>
      </c>
      <c r="J647">
        <v>69318</v>
      </c>
      <c r="K647" t="s">
        <v>5131</v>
      </c>
      <c r="L647">
        <f t="shared" si="42"/>
        <v>51</v>
      </c>
      <c r="N647">
        <v>51</v>
      </c>
      <c r="O647">
        <v>51</v>
      </c>
      <c r="P647">
        <v>1</v>
      </c>
      <c r="Q647">
        <v>5</v>
      </c>
      <c r="R647">
        <v>1</v>
      </c>
      <c r="S647">
        <v>3</v>
      </c>
      <c r="T647">
        <v>0</v>
      </c>
      <c r="U647">
        <v>1</v>
      </c>
      <c r="V647">
        <v>7</v>
      </c>
      <c r="W647">
        <v>2</v>
      </c>
      <c r="X647">
        <v>3</v>
      </c>
      <c r="Y647">
        <v>1</v>
      </c>
      <c r="Z647">
        <v>0</v>
      </c>
      <c r="AA647">
        <v>4</v>
      </c>
      <c r="AB647">
        <v>4</v>
      </c>
      <c r="AC647">
        <v>1</v>
      </c>
      <c r="AD647">
        <v>3</v>
      </c>
      <c r="AE647">
        <v>4</v>
      </c>
      <c r="AF647">
        <v>4</v>
      </c>
      <c r="AG647">
        <v>5</v>
      </c>
      <c r="AH647">
        <v>1</v>
      </c>
      <c r="AI647">
        <v>2</v>
      </c>
      <c r="AJ647">
        <v>5</v>
      </c>
      <c r="AK647">
        <v>1</v>
      </c>
      <c r="AL647">
        <v>3</v>
      </c>
      <c r="AM647">
        <v>0</v>
      </c>
      <c r="AN647">
        <v>1</v>
      </c>
      <c r="AO647">
        <v>7</v>
      </c>
      <c r="AP647">
        <v>2</v>
      </c>
      <c r="AQ647">
        <v>3</v>
      </c>
      <c r="AR647">
        <v>1</v>
      </c>
      <c r="AS647">
        <v>0</v>
      </c>
      <c r="AT647">
        <v>4</v>
      </c>
      <c r="AU647">
        <v>4</v>
      </c>
      <c r="AV647">
        <v>1</v>
      </c>
      <c r="AW647">
        <v>3</v>
      </c>
      <c r="AX647">
        <v>4</v>
      </c>
      <c r="AY647">
        <v>4</v>
      </c>
      <c r="AZ647">
        <v>5</v>
      </c>
      <c r="BA647">
        <v>1</v>
      </c>
      <c r="BB647">
        <v>2</v>
      </c>
      <c r="BC647" s="2">
        <v>5</v>
      </c>
      <c r="BD647" s="2">
        <v>1</v>
      </c>
      <c r="BE647" s="2">
        <v>3</v>
      </c>
      <c r="BF647" s="2">
        <v>0</v>
      </c>
      <c r="BG647" s="2">
        <v>1</v>
      </c>
      <c r="BH647" s="2">
        <v>7</v>
      </c>
      <c r="BI647" s="2">
        <v>2</v>
      </c>
      <c r="BJ647" s="2">
        <v>3</v>
      </c>
      <c r="BK647" s="2">
        <v>1</v>
      </c>
      <c r="BL647" s="2">
        <v>0</v>
      </c>
      <c r="BM647" s="2">
        <v>4</v>
      </c>
      <c r="BN647" s="2">
        <v>4</v>
      </c>
      <c r="BO647" s="2">
        <v>1</v>
      </c>
      <c r="BP647" s="2">
        <v>3</v>
      </c>
      <c r="BQ647" s="2">
        <v>4</v>
      </c>
      <c r="BR647" s="2">
        <v>4</v>
      </c>
      <c r="BS647" s="2">
        <v>5</v>
      </c>
      <c r="BT647" s="2">
        <v>1</v>
      </c>
      <c r="BU647" s="2">
        <v>2</v>
      </c>
      <c r="BV647" s="2">
        <f t="shared" ref="BV647:BV710" si="45">SUM(BC647:BU647)</f>
        <v>51</v>
      </c>
      <c r="BW647" s="16">
        <f t="shared" si="43"/>
        <v>2.6842105263157894</v>
      </c>
      <c r="BX647" s="16">
        <f>COUNTIF($BC$6:BU647, "=0") / COUNTIF($BC$6:BU647, "&gt;-1")</f>
        <v>0.17084767994753239</v>
      </c>
      <c r="BY647" s="18">
        <f>SUM($BC$6:BU647) / $BY$4</f>
        <v>0.88667258276898442</v>
      </c>
      <c r="BZ647" s="14">
        <f t="shared" si="44"/>
        <v>2</v>
      </c>
      <c r="CA647" t="s">
        <v>5831</v>
      </c>
      <c r="CB647" s="36">
        <v>6.0582169791736504</v>
      </c>
      <c r="CC647" s="36">
        <v>0.96306412067744696</v>
      </c>
      <c r="CD647" s="36">
        <v>4.8023929854367697</v>
      </c>
      <c r="CE647" s="36">
        <v>0.37798043978830698</v>
      </c>
      <c r="CF647" s="36">
        <v>0.86017635993689201</v>
      </c>
      <c r="CG647" s="36">
        <v>6.50809072647644</v>
      </c>
      <c r="CH647" s="36">
        <v>2.10812456572928</v>
      </c>
      <c r="CI647" s="36">
        <v>2.9195507939469199</v>
      </c>
      <c r="CJ647" s="37">
        <v>0.79475829324495695</v>
      </c>
      <c r="CK647" s="37">
        <v>2.5225985875531398</v>
      </c>
      <c r="CL647" s="37">
        <v>3.2002173930693698</v>
      </c>
      <c r="CM647" s="37">
        <v>0.84654704659994096</v>
      </c>
      <c r="CN647" s="37">
        <v>3.6751702632604601</v>
      </c>
      <c r="CO647" s="37">
        <v>3.1567622815404999</v>
      </c>
      <c r="CP647" s="37">
        <v>7.5427002393121096</v>
      </c>
      <c r="CQ647" s="37">
        <v>3.0452736929492299</v>
      </c>
      <c r="CR647" s="45">
        <v>-6.3686131444238694E-2</v>
      </c>
      <c r="CS647" s="45">
        <v>1.00757922924677</v>
      </c>
      <c r="CT647" s="46">
        <v>1</v>
      </c>
      <c r="CU647" s="47">
        <v>1</v>
      </c>
      <c r="CV647" s="48">
        <v>3.0746996213957098</v>
      </c>
      <c r="CW647" s="49">
        <v>3.0980034746912102</v>
      </c>
      <c r="CX647" s="31" t="s">
        <v>5874</v>
      </c>
      <c r="CY647" s="31" t="s">
        <v>5832</v>
      </c>
      <c r="CZ647" t="s">
        <v>13057</v>
      </c>
      <c r="DA647" t="s">
        <v>5904</v>
      </c>
      <c r="DB647">
        <v>879</v>
      </c>
      <c r="DC647" t="s">
        <v>34726</v>
      </c>
      <c r="DD647" t="s">
        <v>34727</v>
      </c>
      <c r="DE647" t="s">
        <v>34728</v>
      </c>
      <c r="DF647" t="s">
        <v>34729</v>
      </c>
      <c r="DG647" t="s">
        <v>34730</v>
      </c>
      <c r="DH647" t="str">
        <f>"CD93"</f>
        <v>CD93</v>
      </c>
      <c r="DI647" t="s">
        <v>34731</v>
      </c>
      <c r="DJ647" t="s">
        <v>13777</v>
      </c>
      <c r="DK647">
        <v>9606</v>
      </c>
      <c r="DL647" s="34" t="str">
        <f>HYPERLINK("http://www.uniprot.org/uniprot/Q9NPY3", "Q9NPY3")</f>
        <v>Q9NPY3</v>
      </c>
      <c r="DM647" t="s">
        <v>34732</v>
      </c>
      <c r="DN647" t="s">
        <v>16592</v>
      </c>
      <c r="DO647" t="s">
        <v>13825</v>
      </c>
      <c r="DP647" t="s">
        <v>13793</v>
      </c>
      <c r="DQ647" t="s">
        <v>13772</v>
      </c>
      <c r="DR647" t="s">
        <v>13772</v>
      </c>
      <c r="DS647" t="s">
        <v>13963</v>
      </c>
      <c r="DT647" t="s">
        <v>14277</v>
      </c>
      <c r="DU647" t="s">
        <v>13795</v>
      </c>
      <c r="DV647" t="s">
        <v>13964</v>
      </c>
      <c r="DW647" t="s">
        <v>13772</v>
      </c>
      <c r="DX647" t="s">
        <v>34733</v>
      </c>
      <c r="DY647" t="s">
        <v>34734</v>
      </c>
      <c r="DZ647" t="s">
        <v>34735</v>
      </c>
      <c r="EA647" t="s">
        <v>13772</v>
      </c>
      <c r="EB647" t="s">
        <v>13890</v>
      </c>
    </row>
    <row r="648" spans="1:132" hidden="1">
      <c r="A648">
        <v>604</v>
      </c>
      <c r="B648">
        <v>1</v>
      </c>
      <c r="C648" t="s">
        <v>1495</v>
      </c>
      <c r="D648" t="s">
        <v>73</v>
      </c>
      <c r="E648" t="s">
        <v>73</v>
      </c>
      <c r="F648" t="s">
        <v>1496</v>
      </c>
      <c r="G648" t="s">
        <v>73</v>
      </c>
      <c r="H648">
        <v>27.5</v>
      </c>
      <c r="I648">
        <v>477</v>
      </c>
      <c r="J648">
        <v>54476</v>
      </c>
      <c r="K648" t="s">
        <v>1497</v>
      </c>
      <c r="L648">
        <f t="shared" si="42"/>
        <v>51</v>
      </c>
      <c r="N648">
        <v>51</v>
      </c>
      <c r="O648">
        <v>47</v>
      </c>
      <c r="P648">
        <v>0.92200000000000004</v>
      </c>
      <c r="Q648">
        <v>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4</v>
      </c>
      <c r="Z648">
        <v>3</v>
      </c>
      <c r="AA648">
        <v>8</v>
      </c>
      <c r="AB648">
        <v>4</v>
      </c>
      <c r="AC648">
        <v>3</v>
      </c>
      <c r="AD648">
        <v>1</v>
      </c>
      <c r="AE648">
        <v>6</v>
      </c>
      <c r="AF648">
        <v>9</v>
      </c>
      <c r="AG648">
        <v>2</v>
      </c>
      <c r="AH648">
        <v>6</v>
      </c>
      <c r="AI648">
        <v>3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</v>
      </c>
      <c r="AS648">
        <v>3</v>
      </c>
      <c r="AT648">
        <v>8</v>
      </c>
      <c r="AU648">
        <v>3</v>
      </c>
      <c r="AV648">
        <v>2</v>
      </c>
      <c r="AW648">
        <v>0</v>
      </c>
      <c r="AX648">
        <v>6</v>
      </c>
      <c r="AY648">
        <v>9</v>
      </c>
      <c r="AZ648">
        <v>2</v>
      </c>
      <c r="BA648">
        <v>5</v>
      </c>
      <c r="BB648">
        <v>3</v>
      </c>
      <c r="BC648" s="2">
        <v>2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4</v>
      </c>
      <c r="BL648" s="2">
        <v>3</v>
      </c>
      <c r="BM648" s="2">
        <v>8</v>
      </c>
      <c r="BN648" s="2">
        <v>4</v>
      </c>
      <c r="BO648" s="2">
        <v>3</v>
      </c>
      <c r="BP648" s="2">
        <v>0.5</v>
      </c>
      <c r="BQ648" s="2">
        <v>6</v>
      </c>
      <c r="BR648" s="2">
        <v>9</v>
      </c>
      <c r="BS648" s="2">
        <v>2</v>
      </c>
      <c r="BT648" s="2">
        <v>6</v>
      </c>
      <c r="BU648" s="2">
        <v>3</v>
      </c>
      <c r="BV648" s="2">
        <f t="shared" si="45"/>
        <v>50.5</v>
      </c>
      <c r="BW648" s="16">
        <f t="shared" si="43"/>
        <v>2.6578947368421053</v>
      </c>
      <c r="BX648" s="16">
        <f>COUNTIF($BC$6:BU648, "=0") / COUNTIF($BC$6:BU648, "&gt;-1")</f>
        <v>0.17115494802324629</v>
      </c>
      <c r="BY648" s="18">
        <f>SUM($BC$6:BU648) / $BY$4</f>
        <v>0.88688890643085383</v>
      </c>
      <c r="BZ648" s="14">
        <f t="shared" si="44"/>
        <v>7</v>
      </c>
      <c r="CA648" t="s">
        <v>5831</v>
      </c>
      <c r="CB648" s="36">
        <v>2.4232867916694598</v>
      </c>
      <c r="CC648" s="36">
        <v>0.24076603016936199</v>
      </c>
      <c r="CD648" s="36">
        <v>0.40019941545306398</v>
      </c>
      <c r="CE648" s="36">
        <v>0.37798043978830698</v>
      </c>
      <c r="CF648" s="36">
        <v>0.215044089984223</v>
      </c>
      <c r="CG648" s="36">
        <v>0.23243181165987301</v>
      </c>
      <c r="CH648" s="36">
        <v>0.26351557071616</v>
      </c>
      <c r="CI648" s="36">
        <v>0.24329589949557701</v>
      </c>
      <c r="CJ648" s="37">
        <v>3.17903317297983</v>
      </c>
      <c r="CK648" s="37">
        <v>5.0451971751062796</v>
      </c>
      <c r="CL648" s="37">
        <v>3.2002173930693698</v>
      </c>
      <c r="CM648" s="37">
        <v>2.5396411397998202</v>
      </c>
      <c r="CN648" s="37">
        <v>5.5127553948906796</v>
      </c>
      <c r="CO648" s="37">
        <v>7.1027151334661296</v>
      </c>
      <c r="CP648" s="37">
        <v>3.0170800957248498</v>
      </c>
      <c r="CQ648" s="37">
        <v>4.5679105394238499</v>
      </c>
      <c r="CR648" s="45">
        <v>2.8111276525115301</v>
      </c>
      <c r="CS648" s="45">
        <v>7.77081638754923</v>
      </c>
      <c r="CT648" s="46">
        <v>2.1316276860784699E-5</v>
      </c>
      <c r="CU648" s="47">
        <v>7.1132330494372005E-5</v>
      </c>
      <c r="CV648" s="48">
        <v>0.54956500611700299</v>
      </c>
      <c r="CW648" s="49">
        <v>4.2705687555576004</v>
      </c>
      <c r="CX648" s="31" t="s">
        <v>5874</v>
      </c>
      <c r="CY648" s="31" t="s">
        <v>5876</v>
      </c>
      <c r="CZ648" t="s">
        <v>7784</v>
      </c>
      <c r="DA648" t="s">
        <v>5904</v>
      </c>
      <c r="DB648">
        <v>749.6</v>
      </c>
      <c r="DC648" t="s">
        <v>19749</v>
      </c>
      <c r="DD648" t="s">
        <v>19750</v>
      </c>
      <c r="DE648" t="s">
        <v>19751</v>
      </c>
      <c r="DF648" t="s">
        <v>19752</v>
      </c>
      <c r="DG648" t="s">
        <v>19753</v>
      </c>
      <c r="DH648" t="str">
        <f>"MMP8"</f>
        <v>MMP8</v>
      </c>
      <c r="DI648" t="s">
        <v>19754</v>
      </c>
      <c r="DJ648" t="s">
        <v>13777</v>
      </c>
      <c r="DK648">
        <v>9606</v>
      </c>
      <c r="DL648" s="34" t="str">
        <f>HYPERLINK("http://www.uniprot.org/uniprot/P22894", "P22894")</f>
        <v>P22894</v>
      </c>
      <c r="DM648" t="s">
        <v>19755</v>
      </c>
      <c r="DN648" t="s">
        <v>19063</v>
      </c>
      <c r="DO648" t="s">
        <v>13869</v>
      </c>
      <c r="DP648" t="s">
        <v>13793</v>
      </c>
      <c r="DQ648" t="s">
        <v>13772</v>
      </c>
      <c r="DR648" t="s">
        <v>13772</v>
      </c>
      <c r="DS648" t="s">
        <v>14404</v>
      </c>
      <c r="DT648" t="s">
        <v>14628</v>
      </c>
      <c r="DU648" t="s">
        <v>15139</v>
      </c>
      <c r="DV648" t="s">
        <v>15472</v>
      </c>
      <c r="DW648" t="s">
        <v>13812</v>
      </c>
      <c r="DX648" t="s">
        <v>19756</v>
      </c>
      <c r="DY648" t="s">
        <v>19757</v>
      </c>
      <c r="DZ648" t="s">
        <v>19758</v>
      </c>
      <c r="EA648" t="s">
        <v>13772</v>
      </c>
      <c r="EB648" t="s">
        <v>19759</v>
      </c>
    </row>
    <row r="649" spans="1:132" hidden="1">
      <c r="A649">
        <v>1089</v>
      </c>
      <c r="B649">
        <v>1</v>
      </c>
      <c r="C649" t="s">
        <v>2619</v>
      </c>
      <c r="D649" t="s">
        <v>73</v>
      </c>
      <c r="E649" t="s">
        <v>73</v>
      </c>
      <c r="F649" t="s">
        <v>179</v>
      </c>
      <c r="G649" t="s">
        <v>73</v>
      </c>
      <c r="H649">
        <v>10.4</v>
      </c>
      <c r="I649">
        <v>1487</v>
      </c>
      <c r="J649">
        <v>141873</v>
      </c>
      <c r="K649" t="s">
        <v>2620</v>
      </c>
      <c r="L649">
        <f t="shared" si="42"/>
        <v>55</v>
      </c>
      <c r="N649">
        <v>55</v>
      </c>
      <c r="O649">
        <v>50</v>
      </c>
      <c r="P649">
        <v>0.90900000000000003</v>
      </c>
      <c r="Q649">
        <v>5</v>
      </c>
      <c r="R649">
        <v>6</v>
      </c>
      <c r="S649">
        <v>15</v>
      </c>
      <c r="T649">
        <v>7</v>
      </c>
      <c r="U649">
        <v>3</v>
      </c>
      <c r="V649">
        <v>7</v>
      </c>
      <c r="W649">
        <v>4</v>
      </c>
      <c r="X649">
        <v>2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5</v>
      </c>
      <c r="AG649">
        <v>0</v>
      </c>
      <c r="AH649">
        <v>0</v>
      </c>
      <c r="AI649">
        <v>0</v>
      </c>
      <c r="AJ649">
        <v>5</v>
      </c>
      <c r="AK649">
        <v>6</v>
      </c>
      <c r="AL649">
        <v>15</v>
      </c>
      <c r="AM649">
        <v>7</v>
      </c>
      <c r="AN649">
        <v>3</v>
      </c>
      <c r="AO649">
        <v>3</v>
      </c>
      <c r="AP649">
        <v>4</v>
      </c>
      <c r="AQ649">
        <v>2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4</v>
      </c>
      <c r="AZ649">
        <v>0</v>
      </c>
      <c r="BA649">
        <v>0</v>
      </c>
      <c r="BB649">
        <v>0</v>
      </c>
      <c r="BC649" s="2">
        <v>5</v>
      </c>
      <c r="BD649" s="2">
        <v>6</v>
      </c>
      <c r="BE649" s="2">
        <v>15</v>
      </c>
      <c r="BF649" s="2">
        <v>7</v>
      </c>
      <c r="BG649" s="2">
        <v>3</v>
      </c>
      <c r="BH649" s="2">
        <v>3.1389999999999998</v>
      </c>
      <c r="BI649" s="2">
        <v>4</v>
      </c>
      <c r="BJ649" s="2">
        <v>2</v>
      </c>
      <c r="BK649" s="2">
        <v>0</v>
      </c>
      <c r="BL649" s="2">
        <v>0</v>
      </c>
      <c r="BM649" s="2">
        <v>0</v>
      </c>
      <c r="BN649" s="2">
        <v>1</v>
      </c>
      <c r="BO649" s="2">
        <v>0</v>
      </c>
      <c r="BP649" s="2">
        <v>0</v>
      </c>
      <c r="BQ649" s="2">
        <v>0</v>
      </c>
      <c r="BR649" s="2">
        <v>4.1379999999999999</v>
      </c>
      <c r="BS649" s="2">
        <v>0</v>
      </c>
      <c r="BT649" s="2">
        <v>0</v>
      </c>
      <c r="BU649" s="2">
        <v>0</v>
      </c>
      <c r="BV649" s="2">
        <f t="shared" si="45"/>
        <v>50.277000000000001</v>
      </c>
      <c r="BW649" s="16">
        <f t="shared" si="43"/>
        <v>2.646157894736842</v>
      </c>
      <c r="BX649" s="16">
        <f>COUNTIF($BC$6:BU649, "=0") / COUNTIF($BC$6:BU649, "&gt;-1")</f>
        <v>0.17162471395881007</v>
      </c>
      <c r="BY649" s="18">
        <f>SUM($BC$6:BU649) / $BY$4</f>
        <v>0.88710427484170151</v>
      </c>
      <c r="BZ649" s="14">
        <f t="shared" si="44"/>
        <v>9</v>
      </c>
      <c r="CA649" t="s">
        <v>5831</v>
      </c>
      <c r="CB649" s="36">
        <v>6.0582169791736504</v>
      </c>
      <c r="CC649" s="36">
        <v>5.7783847240646802</v>
      </c>
      <c r="CD649" s="36">
        <v>24.0119649271839</v>
      </c>
      <c r="CE649" s="36">
        <v>10.5834523140726</v>
      </c>
      <c r="CF649" s="36">
        <v>2.5805290798106801</v>
      </c>
      <c r="CG649" s="36">
        <v>2.88215446458242</v>
      </c>
      <c r="CH649" s="36">
        <v>4.21624913145856</v>
      </c>
      <c r="CI649" s="36">
        <v>1.9463671959646101</v>
      </c>
      <c r="CJ649" s="37">
        <v>0.19868957331123899</v>
      </c>
      <c r="CK649" s="37">
        <v>0.15766241172207099</v>
      </c>
      <c r="CL649" s="37">
        <v>0.80005434826734301</v>
      </c>
      <c r="CM649" s="37">
        <v>0.21163676164998499</v>
      </c>
      <c r="CN649" s="37">
        <v>0.22969814145377901</v>
      </c>
      <c r="CO649" s="37">
        <v>3.2356813385790102</v>
      </c>
      <c r="CP649" s="37">
        <v>0.377135011965606</v>
      </c>
      <c r="CQ649" s="37">
        <v>0.38065921161865401</v>
      </c>
      <c r="CR649" s="45">
        <v>-3.0497158985405202</v>
      </c>
      <c r="CS649" s="45">
        <v>-10.3836643986303</v>
      </c>
      <c r="CT649" s="46">
        <v>1.8871726171730101E-5</v>
      </c>
      <c r="CU649" s="47">
        <v>6.3763559640845499E-5</v>
      </c>
      <c r="CV649" s="48">
        <v>7.2571648520388798</v>
      </c>
      <c r="CW649" s="49">
        <v>0.69890209982096096</v>
      </c>
      <c r="CX649" s="31" t="s">
        <v>5875</v>
      </c>
      <c r="CY649" s="31" t="s">
        <v>5876</v>
      </c>
      <c r="CZ649" t="s">
        <v>9364</v>
      </c>
      <c r="DA649" t="s">
        <v>5904</v>
      </c>
      <c r="DB649">
        <v>2639.4</v>
      </c>
      <c r="DC649" t="s">
        <v>24324</v>
      </c>
      <c r="DD649" t="s">
        <v>24325</v>
      </c>
      <c r="DE649" t="s">
        <v>24326</v>
      </c>
      <c r="DF649" t="s">
        <v>24327</v>
      </c>
      <c r="DG649" t="s">
        <v>24328</v>
      </c>
      <c r="DH649" t="str">
        <f>"COL2A1"</f>
        <v>COL2A1</v>
      </c>
      <c r="DI649" t="s">
        <v>13772</v>
      </c>
      <c r="DJ649" t="s">
        <v>13777</v>
      </c>
      <c r="DK649">
        <v>9606</v>
      </c>
      <c r="DL649" s="34" t="str">
        <f>HYPERLINK("http://www.uniprot.org/uniprot/P02458", "P02458")</f>
        <v>P02458</v>
      </c>
      <c r="DM649" t="s">
        <v>24329</v>
      </c>
      <c r="DN649" t="s">
        <v>13772</v>
      </c>
      <c r="DO649" t="s">
        <v>13869</v>
      </c>
      <c r="DP649" t="s">
        <v>13780</v>
      </c>
      <c r="DQ649" t="s">
        <v>13772</v>
      </c>
      <c r="DR649" t="s">
        <v>24330</v>
      </c>
      <c r="DS649" t="s">
        <v>13872</v>
      </c>
      <c r="DT649" t="s">
        <v>13873</v>
      </c>
      <c r="DU649" t="s">
        <v>13772</v>
      </c>
      <c r="DV649" t="s">
        <v>22002</v>
      </c>
      <c r="DW649" t="s">
        <v>13812</v>
      </c>
      <c r="DX649" t="s">
        <v>24331</v>
      </c>
      <c r="DY649" t="s">
        <v>24332</v>
      </c>
      <c r="DZ649" t="s">
        <v>24333</v>
      </c>
      <c r="EA649" t="s">
        <v>13772</v>
      </c>
      <c r="EB649" t="s">
        <v>24334</v>
      </c>
    </row>
    <row r="650" spans="1:132" hidden="1">
      <c r="A650">
        <v>404</v>
      </c>
      <c r="B650">
        <v>1</v>
      </c>
      <c r="C650" t="s">
        <v>1013</v>
      </c>
      <c r="D650" t="s">
        <v>73</v>
      </c>
      <c r="E650" t="s">
        <v>73</v>
      </c>
      <c r="F650" t="s">
        <v>73</v>
      </c>
      <c r="G650" t="s">
        <v>73</v>
      </c>
      <c r="H650">
        <v>33.799999999999997</v>
      </c>
      <c r="I650">
        <v>473</v>
      </c>
      <c r="J650">
        <v>52691</v>
      </c>
      <c r="K650" t="s">
        <v>1014</v>
      </c>
      <c r="L650">
        <f t="shared" si="42"/>
        <v>50</v>
      </c>
      <c r="N650">
        <v>50</v>
      </c>
      <c r="O650">
        <v>50</v>
      </c>
      <c r="P650">
        <v>1</v>
      </c>
      <c r="Q650">
        <v>0</v>
      </c>
      <c r="R650">
        <v>10</v>
      </c>
      <c r="S650">
        <v>3</v>
      </c>
      <c r="T650">
        <v>0</v>
      </c>
      <c r="U650">
        <v>9</v>
      </c>
      <c r="V650">
        <v>3</v>
      </c>
      <c r="W650">
        <v>3</v>
      </c>
      <c r="X650">
        <v>6</v>
      </c>
      <c r="Y650">
        <v>4</v>
      </c>
      <c r="Z650">
        <v>0</v>
      </c>
      <c r="AA650">
        <v>4</v>
      </c>
      <c r="AB650">
        <v>0</v>
      </c>
      <c r="AC650">
        <v>0</v>
      </c>
      <c r="AD650">
        <v>1</v>
      </c>
      <c r="AE650">
        <v>0</v>
      </c>
      <c r="AF650">
        <v>4</v>
      </c>
      <c r="AG650">
        <v>3</v>
      </c>
      <c r="AH650">
        <v>0</v>
      </c>
      <c r="AI650">
        <v>0</v>
      </c>
      <c r="AJ650">
        <v>0</v>
      </c>
      <c r="AK650">
        <v>10</v>
      </c>
      <c r="AL650">
        <v>3</v>
      </c>
      <c r="AM650">
        <v>0</v>
      </c>
      <c r="AN650">
        <v>9</v>
      </c>
      <c r="AO650">
        <v>3</v>
      </c>
      <c r="AP650">
        <v>3</v>
      </c>
      <c r="AQ650">
        <v>6</v>
      </c>
      <c r="AR650">
        <v>4</v>
      </c>
      <c r="AS650">
        <v>0</v>
      </c>
      <c r="AT650">
        <v>4</v>
      </c>
      <c r="AU650">
        <v>0</v>
      </c>
      <c r="AV650">
        <v>0</v>
      </c>
      <c r="AW650">
        <v>1</v>
      </c>
      <c r="AX650">
        <v>0</v>
      </c>
      <c r="AY650">
        <v>4</v>
      </c>
      <c r="AZ650">
        <v>3</v>
      </c>
      <c r="BA650">
        <v>0</v>
      </c>
      <c r="BB650">
        <v>0</v>
      </c>
      <c r="BC650" s="2">
        <v>0</v>
      </c>
      <c r="BD650" s="2">
        <v>10</v>
      </c>
      <c r="BE650" s="2">
        <v>3</v>
      </c>
      <c r="BF650" s="2">
        <v>0</v>
      </c>
      <c r="BG650" s="2">
        <v>9</v>
      </c>
      <c r="BH650" s="2">
        <v>3</v>
      </c>
      <c r="BI650" s="2">
        <v>3</v>
      </c>
      <c r="BJ650" s="2">
        <v>6</v>
      </c>
      <c r="BK650" s="2">
        <v>4</v>
      </c>
      <c r="BL650" s="2">
        <v>0</v>
      </c>
      <c r="BM650" s="2">
        <v>4</v>
      </c>
      <c r="BN650" s="2">
        <v>0</v>
      </c>
      <c r="BO650" s="2">
        <v>0</v>
      </c>
      <c r="BP650" s="2">
        <v>1</v>
      </c>
      <c r="BQ650" s="2">
        <v>0</v>
      </c>
      <c r="BR650" s="2">
        <v>4</v>
      </c>
      <c r="BS650" s="2">
        <v>3</v>
      </c>
      <c r="BT650" s="2">
        <v>0</v>
      </c>
      <c r="BU650" s="2">
        <v>0</v>
      </c>
      <c r="BV650" s="2">
        <f t="shared" si="45"/>
        <v>50</v>
      </c>
      <c r="BW650" s="16">
        <f t="shared" si="43"/>
        <v>2.6315789473684212</v>
      </c>
      <c r="BX650" s="16">
        <f>COUNTIF($BC$6:BU650, "=0") / COUNTIF($BC$6:BU650, "&gt;-1")</f>
        <v>0.17201142390860874</v>
      </c>
      <c r="BY650" s="18">
        <f>SUM($BC$6:BU650) / $BY$4</f>
        <v>0.88731845668513654</v>
      </c>
      <c r="BZ650" s="14">
        <f t="shared" si="44"/>
        <v>8</v>
      </c>
      <c r="CA650" t="s">
        <v>5831</v>
      </c>
      <c r="CB650" s="36">
        <v>0.30291084895868198</v>
      </c>
      <c r="CC650" s="36">
        <v>9.6306412067744702</v>
      </c>
      <c r="CD650" s="36">
        <v>4.8023929854367697</v>
      </c>
      <c r="CE650" s="36">
        <v>0.37798043978830698</v>
      </c>
      <c r="CF650" s="36">
        <v>7.7415872394320298</v>
      </c>
      <c r="CG650" s="36">
        <v>2.7891817399184702</v>
      </c>
      <c r="CH650" s="36">
        <v>3.1621868485939202</v>
      </c>
      <c r="CI650" s="36">
        <v>5.8391015878938397</v>
      </c>
      <c r="CJ650" s="37">
        <v>3.17903317297983</v>
      </c>
      <c r="CK650" s="37">
        <v>2.5225985875531398</v>
      </c>
      <c r="CL650" s="37">
        <v>0.200013587066836</v>
      </c>
      <c r="CM650" s="37">
        <v>0.21163676164998499</v>
      </c>
      <c r="CN650" s="37">
        <v>0.22969814145377901</v>
      </c>
      <c r="CO650" s="37">
        <v>3.1567622815404999</v>
      </c>
      <c r="CP650" s="37">
        <v>4.5256201435872701</v>
      </c>
      <c r="CQ650" s="37">
        <v>0.38065921161865401</v>
      </c>
      <c r="CR650" s="45">
        <v>-1.2666643746800399</v>
      </c>
      <c r="CS650" s="45">
        <v>-2.4049653101651098</v>
      </c>
      <c r="CT650" s="46">
        <v>6.65285881376525E-2</v>
      </c>
      <c r="CU650" s="47">
        <v>9.9347378268056993E-2</v>
      </c>
      <c r="CV650" s="48">
        <v>4.3307478620995603</v>
      </c>
      <c r="CW650" s="49">
        <v>1.8007527359312501</v>
      </c>
      <c r="CX650" s="31" t="s">
        <v>5875</v>
      </c>
      <c r="CY650" s="31" t="s">
        <v>5877</v>
      </c>
      <c r="CZ650" t="s">
        <v>7105</v>
      </c>
      <c r="DA650" t="s">
        <v>5904</v>
      </c>
      <c r="DB650">
        <v>909.8</v>
      </c>
      <c r="DC650" t="s">
        <v>17671</v>
      </c>
      <c r="DD650" t="s">
        <v>17672</v>
      </c>
      <c r="DE650" t="s">
        <v>17673</v>
      </c>
      <c r="DF650" t="s">
        <v>17674</v>
      </c>
      <c r="DG650" t="s">
        <v>17675</v>
      </c>
      <c r="DH650" t="str">
        <f>"CNDP2"</f>
        <v>CNDP2</v>
      </c>
      <c r="DI650" t="s">
        <v>13772</v>
      </c>
      <c r="DJ650" t="s">
        <v>13777</v>
      </c>
      <c r="DK650">
        <v>9606</v>
      </c>
      <c r="DL650" s="34" t="str">
        <f>HYPERLINK("http://www.uniprot.org/uniprot/Q96KP4", "Q96KP4")</f>
        <v>Q96KP4</v>
      </c>
      <c r="DM650" t="s">
        <v>17676</v>
      </c>
      <c r="DN650" t="s">
        <v>13772</v>
      </c>
      <c r="DO650" t="s">
        <v>13899</v>
      </c>
      <c r="DP650" t="s">
        <v>13780</v>
      </c>
      <c r="DQ650" t="s">
        <v>13772</v>
      </c>
      <c r="DR650" t="s">
        <v>13772</v>
      </c>
      <c r="DS650" t="s">
        <v>13772</v>
      </c>
      <c r="DT650" t="s">
        <v>15674</v>
      </c>
      <c r="DU650" t="s">
        <v>16539</v>
      </c>
      <c r="DV650" t="s">
        <v>13886</v>
      </c>
      <c r="DW650" t="s">
        <v>13812</v>
      </c>
      <c r="DX650" t="s">
        <v>17677</v>
      </c>
      <c r="DY650" t="s">
        <v>17678</v>
      </c>
      <c r="DZ650" t="s">
        <v>17679</v>
      </c>
      <c r="EA650" t="s">
        <v>13772</v>
      </c>
      <c r="EB650" t="s">
        <v>16921</v>
      </c>
    </row>
    <row r="651" spans="1:132" hidden="1">
      <c r="A651">
        <v>708</v>
      </c>
      <c r="B651">
        <v>1</v>
      </c>
      <c r="C651" t="s">
        <v>1745</v>
      </c>
      <c r="D651" t="s">
        <v>73</v>
      </c>
      <c r="E651" t="s">
        <v>73</v>
      </c>
      <c r="F651" t="s">
        <v>73</v>
      </c>
      <c r="G651" t="s">
        <v>73</v>
      </c>
      <c r="H651">
        <v>16.3</v>
      </c>
      <c r="I651">
        <v>669</v>
      </c>
      <c r="J651">
        <v>74958</v>
      </c>
      <c r="K651" t="s">
        <v>1746</v>
      </c>
      <c r="L651">
        <f t="shared" si="42"/>
        <v>50</v>
      </c>
      <c r="N651">
        <v>50</v>
      </c>
      <c r="O651">
        <v>50</v>
      </c>
      <c r="P651">
        <v>1</v>
      </c>
      <c r="Q651">
        <v>3</v>
      </c>
      <c r="R651">
        <v>3</v>
      </c>
      <c r="S651">
        <v>2</v>
      </c>
      <c r="T651">
        <v>3</v>
      </c>
      <c r="U651">
        <v>8</v>
      </c>
      <c r="V651">
        <v>6</v>
      </c>
      <c r="W651">
        <v>5</v>
      </c>
      <c r="X651">
        <v>9</v>
      </c>
      <c r="Y651">
        <v>0</v>
      </c>
      <c r="Z651">
        <v>0</v>
      </c>
      <c r="AA651">
        <v>0</v>
      </c>
      <c r="AB651">
        <v>3</v>
      </c>
      <c r="AC651">
        <v>0</v>
      </c>
      <c r="AD651">
        <v>0</v>
      </c>
      <c r="AE651">
        <v>0</v>
      </c>
      <c r="AF651">
        <v>4</v>
      </c>
      <c r="AG651">
        <v>1</v>
      </c>
      <c r="AH651">
        <v>0</v>
      </c>
      <c r="AI651">
        <v>3</v>
      </c>
      <c r="AJ651">
        <v>3</v>
      </c>
      <c r="AK651">
        <v>3</v>
      </c>
      <c r="AL651">
        <v>2</v>
      </c>
      <c r="AM651">
        <v>3</v>
      </c>
      <c r="AN651">
        <v>8</v>
      </c>
      <c r="AO651">
        <v>6</v>
      </c>
      <c r="AP651">
        <v>5</v>
      </c>
      <c r="AQ651">
        <v>9</v>
      </c>
      <c r="AR651">
        <v>0</v>
      </c>
      <c r="AS651">
        <v>0</v>
      </c>
      <c r="AT651">
        <v>0</v>
      </c>
      <c r="AU651">
        <v>3</v>
      </c>
      <c r="AV651">
        <v>0</v>
      </c>
      <c r="AW651">
        <v>0</v>
      </c>
      <c r="AX651">
        <v>0</v>
      </c>
      <c r="AY651">
        <v>4</v>
      </c>
      <c r="AZ651">
        <v>1</v>
      </c>
      <c r="BA651">
        <v>0</v>
      </c>
      <c r="BB651">
        <v>3</v>
      </c>
      <c r="BC651" s="2">
        <v>3</v>
      </c>
      <c r="BD651" s="2">
        <v>3</v>
      </c>
      <c r="BE651" s="2">
        <v>2</v>
      </c>
      <c r="BF651" s="2">
        <v>3</v>
      </c>
      <c r="BG651" s="2">
        <v>8</v>
      </c>
      <c r="BH651" s="2">
        <v>6</v>
      </c>
      <c r="BI651" s="2">
        <v>5</v>
      </c>
      <c r="BJ651" s="2">
        <v>9</v>
      </c>
      <c r="BK651" s="2">
        <v>0</v>
      </c>
      <c r="BL651" s="2">
        <v>0</v>
      </c>
      <c r="BM651" s="2">
        <v>0</v>
      </c>
      <c r="BN651" s="2">
        <v>3</v>
      </c>
      <c r="BO651" s="2">
        <v>0</v>
      </c>
      <c r="BP651" s="2">
        <v>0</v>
      </c>
      <c r="BQ651" s="2">
        <v>0</v>
      </c>
      <c r="BR651" s="2">
        <v>4</v>
      </c>
      <c r="BS651" s="2">
        <v>1</v>
      </c>
      <c r="BT651" s="2">
        <v>0</v>
      </c>
      <c r="BU651" s="2">
        <v>3</v>
      </c>
      <c r="BV651" s="2">
        <f t="shared" si="45"/>
        <v>50</v>
      </c>
      <c r="BW651" s="16">
        <f t="shared" si="43"/>
        <v>2.6315789473684212</v>
      </c>
      <c r="BX651" s="16">
        <f>COUNTIF($BC$6:BU651, "=0") / COUNTIF($BC$6:BU651, "&gt;-1")</f>
        <v>0.1723154635815545</v>
      </c>
      <c r="BY651" s="18">
        <f>SUM($BC$6:BU651) / $BY$4</f>
        <v>0.88753263852857156</v>
      </c>
      <c r="BZ651" s="14">
        <f t="shared" si="44"/>
        <v>7</v>
      </c>
      <c r="CA651" t="s">
        <v>5831</v>
      </c>
      <c r="CB651" s="36">
        <v>3.6349301875041902</v>
      </c>
      <c r="CC651" s="36">
        <v>2.8891923620323401</v>
      </c>
      <c r="CD651" s="36">
        <v>3.2015953236245198</v>
      </c>
      <c r="CE651" s="36">
        <v>4.5357652774596904</v>
      </c>
      <c r="CF651" s="36">
        <v>6.8814108794951396</v>
      </c>
      <c r="CG651" s="36">
        <v>5.5783634798369501</v>
      </c>
      <c r="CH651" s="36">
        <v>5.2703114143232002</v>
      </c>
      <c r="CI651" s="36">
        <v>8.7586523818407507</v>
      </c>
      <c r="CJ651" s="37">
        <v>0.19868957331123899</v>
      </c>
      <c r="CK651" s="37">
        <v>0.15766241172207099</v>
      </c>
      <c r="CL651" s="37">
        <v>2.4001630448020301</v>
      </c>
      <c r="CM651" s="37">
        <v>0.21163676164998499</v>
      </c>
      <c r="CN651" s="37">
        <v>0.22969814145377901</v>
      </c>
      <c r="CO651" s="37">
        <v>3.1567622815404999</v>
      </c>
      <c r="CP651" s="37">
        <v>1.50854004786242</v>
      </c>
      <c r="CQ651" s="37">
        <v>4.5679105394238499</v>
      </c>
      <c r="CR651" s="45">
        <v>-1.83225376551301</v>
      </c>
      <c r="CS651" s="45">
        <v>-3.27809632659309</v>
      </c>
      <c r="CT651" s="46">
        <v>1.6639612350599501E-3</v>
      </c>
      <c r="CU651" s="47">
        <v>3.6142534618672198E-3</v>
      </c>
      <c r="CV651" s="48">
        <v>5.0937776632645999</v>
      </c>
      <c r="CW651" s="49">
        <v>1.55388285022073</v>
      </c>
      <c r="CX651" s="31" t="s">
        <v>5875</v>
      </c>
      <c r="CY651" s="31" t="s">
        <v>5876</v>
      </c>
      <c r="CZ651" t="s">
        <v>8135</v>
      </c>
      <c r="DA651" t="s">
        <v>5904</v>
      </c>
      <c r="DB651">
        <v>1117.5</v>
      </c>
      <c r="DC651" t="s">
        <v>20779</v>
      </c>
      <c r="DD651" t="s">
        <v>20780</v>
      </c>
      <c r="DE651" t="s">
        <v>20781</v>
      </c>
      <c r="DF651" t="s">
        <v>20782</v>
      </c>
      <c r="DG651" t="s">
        <v>20783</v>
      </c>
      <c r="DH651" t="str">
        <f>"GLB1"</f>
        <v>GLB1</v>
      </c>
      <c r="DI651" t="s">
        <v>20784</v>
      </c>
      <c r="DJ651" t="s">
        <v>13777</v>
      </c>
      <c r="DK651">
        <v>9606</v>
      </c>
      <c r="DL651" s="34" t="str">
        <f>HYPERLINK("http://www.uniprot.org/uniprot/P16278", "P16278")</f>
        <v>P16278</v>
      </c>
      <c r="DM651" t="s">
        <v>20785</v>
      </c>
      <c r="DN651" t="s">
        <v>13772</v>
      </c>
      <c r="DO651" t="s">
        <v>20125</v>
      </c>
      <c r="DP651" t="s">
        <v>13780</v>
      </c>
      <c r="DQ651" t="s">
        <v>13772</v>
      </c>
      <c r="DR651" t="s">
        <v>20786</v>
      </c>
      <c r="DS651" t="s">
        <v>13808</v>
      </c>
      <c r="DT651" t="s">
        <v>13772</v>
      </c>
      <c r="DU651" t="s">
        <v>15471</v>
      </c>
      <c r="DV651" t="s">
        <v>15472</v>
      </c>
      <c r="DW651" t="s">
        <v>13812</v>
      </c>
      <c r="DX651" t="s">
        <v>20787</v>
      </c>
      <c r="DY651" t="s">
        <v>20788</v>
      </c>
      <c r="DZ651" t="s">
        <v>20789</v>
      </c>
      <c r="EA651" t="s">
        <v>13772</v>
      </c>
      <c r="EB651" t="s">
        <v>20790</v>
      </c>
    </row>
    <row r="652" spans="1:132" hidden="1">
      <c r="A652">
        <v>1113</v>
      </c>
      <c r="B652">
        <v>1</v>
      </c>
      <c r="C652" t="s">
        <v>2677</v>
      </c>
      <c r="D652" t="s">
        <v>73</v>
      </c>
      <c r="E652" t="s">
        <v>73</v>
      </c>
      <c r="F652" t="s">
        <v>73</v>
      </c>
      <c r="G652" t="s">
        <v>73</v>
      </c>
      <c r="H652">
        <v>29.9</v>
      </c>
      <c r="I652">
        <v>695</v>
      </c>
      <c r="J652">
        <v>77521</v>
      </c>
      <c r="K652" t="s">
        <v>2678</v>
      </c>
      <c r="L652">
        <f t="shared" si="42"/>
        <v>50</v>
      </c>
      <c r="N652">
        <v>50</v>
      </c>
      <c r="O652">
        <v>50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7</v>
      </c>
      <c r="Z652">
        <v>2</v>
      </c>
      <c r="AA652">
        <v>9</v>
      </c>
      <c r="AB652">
        <v>4</v>
      </c>
      <c r="AC652">
        <v>5</v>
      </c>
      <c r="AD652">
        <v>2</v>
      </c>
      <c r="AE652">
        <v>10</v>
      </c>
      <c r="AF652">
        <v>4</v>
      </c>
      <c r="AG652">
        <v>1</v>
      </c>
      <c r="AH652">
        <v>2</v>
      </c>
      <c r="AI652">
        <v>3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</v>
      </c>
      <c r="AS652">
        <v>2</v>
      </c>
      <c r="AT652">
        <v>9</v>
      </c>
      <c r="AU652">
        <v>4</v>
      </c>
      <c r="AV652">
        <v>5</v>
      </c>
      <c r="AW652">
        <v>2</v>
      </c>
      <c r="AX652">
        <v>10</v>
      </c>
      <c r="AY652">
        <v>4</v>
      </c>
      <c r="AZ652">
        <v>1</v>
      </c>
      <c r="BA652">
        <v>2</v>
      </c>
      <c r="BB652">
        <v>3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7</v>
      </c>
      <c r="BL652" s="2">
        <v>2</v>
      </c>
      <c r="BM652" s="2">
        <v>9</v>
      </c>
      <c r="BN652" s="2">
        <v>4</v>
      </c>
      <c r="BO652" s="2">
        <v>5</v>
      </c>
      <c r="BP652" s="2">
        <v>2</v>
      </c>
      <c r="BQ652" s="2">
        <v>10</v>
      </c>
      <c r="BR652" s="2">
        <v>4</v>
      </c>
      <c r="BS652" s="2">
        <v>1</v>
      </c>
      <c r="BT652" s="2">
        <v>2</v>
      </c>
      <c r="BU652" s="2">
        <v>3</v>
      </c>
      <c r="BV652" s="2">
        <f t="shared" si="45"/>
        <v>50</v>
      </c>
      <c r="BW652" s="16">
        <f t="shared" si="43"/>
        <v>2.6315789473684212</v>
      </c>
      <c r="BX652" s="16">
        <f>COUNTIF($BC$6:BU652, "=0") / COUNTIF($BC$6:BU652, "&gt;-1")</f>
        <v>0.17261856341007079</v>
      </c>
      <c r="BY652" s="18">
        <f>SUM($BC$6:BU652) / $BY$4</f>
        <v>0.88774682037200658</v>
      </c>
      <c r="BZ652" s="14">
        <f t="shared" si="44"/>
        <v>7</v>
      </c>
      <c r="CA652" t="s">
        <v>5831</v>
      </c>
      <c r="CB652" s="36">
        <v>1.2116433958347299</v>
      </c>
      <c r="CC652" s="36">
        <v>0.24076603016936199</v>
      </c>
      <c r="CD652" s="36">
        <v>0.40019941545306398</v>
      </c>
      <c r="CE652" s="36">
        <v>0.37798043978830698</v>
      </c>
      <c r="CF652" s="36">
        <v>0.215044089984223</v>
      </c>
      <c r="CG652" s="36">
        <v>0.23243181165987301</v>
      </c>
      <c r="CH652" s="36">
        <v>0.26351557071616</v>
      </c>
      <c r="CI652" s="36">
        <v>0.24329589949557701</v>
      </c>
      <c r="CJ652" s="37">
        <v>5.5633080527147003</v>
      </c>
      <c r="CK652" s="37">
        <v>5.6758468219945701</v>
      </c>
      <c r="CL652" s="37">
        <v>3.2002173930693698</v>
      </c>
      <c r="CM652" s="37">
        <v>4.2327352329997003</v>
      </c>
      <c r="CN652" s="37">
        <v>9.1879256581511406</v>
      </c>
      <c r="CO652" s="37">
        <v>3.1567622815404999</v>
      </c>
      <c r="CP652" s="37">
        <v>1.50854004786242</v>
      </c>
      <c r="CQ652" s="37">
        <v>4.5679105394238499</v>
      </c>
      <c r="CR652" s="45">
        <v>3.2915800913678002</v>
      </c>
      <c r="CS652" s="45">
        <v>11.6466821381093</v>
      </c>
      <c r="CT652" s="46">
        <v>2.24060423141258E-6</v>
      </c>
      <c r="CU652" s="47">
        <v>9.6707369730000896E-6</v>
      </c>
      <c r="CV652" s="48">
        <v>0.39810958163766202</v>
      </c>
      <c r="CW652" s="49">
        <v>4.6366557534695296</v>
      </c>
      <c r="CX652" s="31" t="s">
        <v>5874</v>
      </c>
      <c r="CY652" s="31" t="s">
        <v>5876</v>
      </c>
      <c r="CZ652" t="s">
        <v>9445</v>
      </c>
      <c r="DA652" t="s">
        <v>5904</v>
      </c>
      <c r="DB652">
        <v>1181.4000000000001</v>
      </c>
      <c r="DC652" t="s">
        <v>24577</v>
      </c>
      <c r="DD652" t="s">
        <v>24578</v>
      </c>
      <c r="DE652" t="s">
        <v>24579</v>
      </c>
      <c r="DF652" t="s">
        <v>24580</v>
      </c>
      <c r="DG652" t="s">
        <v>24581</v>
      </c>
      <c r="DH652" t="str">
        <f>"C1S"</f>
        <v>C1S</v>
      </c>
      <c r="DI652" t="s">
        <v>13772</v>
      </c>
      <c r="DJ652" t="s">
        <v>13777</v>
      </c>
      <c r="DK652">
        <v>9606</v>
      </c>
      <c r="DL652" s="34" t="str">
        <f>HYPERLINK("http://www.uniprot.org/uniprot/P09871", "P09871")</f>
        <v>P09871</v>
      </c>
      <c r="DM652" t="s">
        <v>24582</v>
      </c>
      <c r="DN652" t="s">
        <v>20457</v>
      </c>
      <c r="DO652" t="s">
        <v>13772</v>
      </c>
      <c r="DP652" t="s">
        <v>13793</v>
      </c>
      <c r="DQ652" t="s">
        <v>13772</v>
      </c>
      <c r="DR652" t="s">
        <v>15310</v>
      </c>
      <c r="DS652" t="s">
        <v>21282</v>
      </c>
      <c r="DT652" t="s">
        <v>13873</v>
      </c>
      <c r="DU652" t="s">
        <v>15176</v>
      </c>
      <c r="DV652" t="s">
        <v>22002</v>
      </c>
      <c r="DW652" t="s">
        <v>13812</v>
      </c>
      <c r="DX652" t="s">
        <v>24583</v>
      </c>
      <c r="DY652" t="s">
        <v>20500</v>
      </c>
      <c r="DZ652" t="s">
        <v>24584</v>
      </c>
      <c r="EA652" t="s">
        <v>13772</v>
      </c>
      <c r="EB652" t="s">
        <v>20461</v>
      </c>
    </row>
    <row r="653" spans="1:132" hidden="1">
      <c r="A653">
        <v>1360</v>
      </c>
      <c r="B653">
        <v>1</v>
      </c>
      <c r="C653" t="s">
        <v>3251</v>
      </c>
      <c r="D653" t="s">
        <v>3252</v>
      </c>
      <c r="E653" t="s">
        <v>73</v>
      </c>
      <c r="F653" t="s">
        <v>73</v>
      </c>
      <c r="G653" t="s">
        <v>73</v>
      </c>
      <c r="H653">
        <v>11.2</v>
      </c>
      <c r="I653">
        <v>1468</v>
      </c>
      <c r="J653">
        <v>165299</v>
      </c>
      <c r="K653" t="s">
        <v>3253</v>
      </c>
      <c r="L653">
        <f t="shared" si="42"/>
        <v>50</v>
      </c>
      <c r="N653">
        <v>50</v>
      </c>
      <c r="O653">
        <v>50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1</v>
      </c>
      <c r="Y653">
        <v>2</v>
      </c>
      <c r="Z653">
        <v>0</v>
      </c>
      <c r="AA653">
        <v>8</v>
      </c>
      <c r="AB653">
        <v>4</v>
      </c>
      <c r="AC653">
        <v>1</v>
      </c>
      <c r="AD653">
        <v>0</v>
      </c>
      <c r="AE653">
        <v>17</v>
      </c>
      <c r="AF653">
        <v>9</v>
      </c>
      <c r="AG653">
        <v>1</v>
      </c>
      <c r="AH653">
        <v>0</v>
      </c>
      <c r="AI653">
        <v>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5</v>
      </c>
      <c r="AQ653">
        <v>1</v>
      </c>
      <c r="AR653">
        <v>2</v>
      </c>
      <c r="AS653">
        <v>0</v>
      </c>
      <c r="AT653">
        <v>8</v>
      </c>
      <c r="AU653">
        <v>4</v>
      </c>
      <c r="AV653">
        <v>1</v>
      </c>
      <c r="AW653">
        <v>0</v>
      </c>
      <c r="AX653">
        <v>17</v>
      </c>
      <c r="AY653">
        <v>9</v>
      </c>
      <c r="AZ653">
        <v>1</v>
      </c>
      <c r="BA653">
        <v>0</v>
      </c>
      <c r="BB653">
        <v>2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5</v>
      </c>
      <c r="BJ653" s="2">
        <v>1</v>
      </c>
      <c r="BK653" s="2">
        <v>2</v>
      </c>
      <c r="BL653" s="2">
        <v>0</v>
      </c>
      <c r="BM653" s="2">
        <v>8</v>
      </c>
      <c r="BN653" s="2">
        <v>4</v>
      </c>
      <c r="BO653" s="2">
        <v>1</v>
      </c>
      <c r="BP653" s="2">
        <v>0</v>
      </c>
      <c r="BQ653" s="2">
        <v>17</v>
      </c>
      <c r="BR653" s="2">
        <v>9</v>
      </c>
      <c r="BS653" s="2">
        <v>1</v>
      </c>
      <c r="BT653" s="2">
        <v>0</v>
      </c>
      <c r="BU653" s="2">
        <v>2</v>
      </c>
      <c r="BV653" s="2">
        <f t="shared" si="45"/>
        <v>50</v>
      </c>
      <c r="BW653" s="16">
        <f t="shared" si="43"/>
        <v>2.6315789473684212</v>
      </c>
      <c r="BX653" s="16">
        <f>COUNTIF($BC$6:BU653, "=0") / COUNTIF($BC$6:BU653, "&gt;-1")</f>
        <v>0.17308317089018843</v>
      </c>
      <c r="BY653" s="18">
        <f>SUM($BC$6:BU653) / $BY$4</f>
        <v>0.88796100221544161</v>
      </c>
      <c r="BZ653" s="14">
        <f t="shared" si="44"/>
        <v>9</v>
      </c>
      <c r="CA653" t="s">
        <v>5831</v>
      </c>
      <c r="CB653" s="36">
        <v>0.30291084895868198</v>
      </c>
      <c r="CC653" s="36">
        <v>0.24076603016936199</v>
      </c>
      <c r="CD653" s="36">
        <v>0.40019941545306398</v>
      </c>
      <c r="CE653" s="36">
        <v>0.37798043978830698</v>
      </c>
      <c r="CF653" s="36">
        <v>0.215044089984223</v>
      </c>
      <c r="CG653" s="36">
        <v>0.23243181165987301</v>
      </c>
      <c r="CH653" s="36">
        <v>5.2703114143232002</v>
      </c>
      <c r="CI653" s="36">
        <v>0.97318359798230603</v>
      </c>
      <c r="CJ653" s="37">
        <v>1.5895165864899099</v>
      </c>
      <c r="CK653" s="37">
        <v>5.0451971751062796</v>
      </c>
      <c r="CL653" s="37">
        <v>3.2002173930693698</v>
      </c>
      <c r="CM653" s="37">
        <v>0.84654704659994096</v>
      </c>
      <c r="CN653" s="37">
        <v>15.619473618856899</v>
      </c>
      <c r="CO653" s="37">
        <v>7.1027151334661296</v>
      </c>
      <c r="CP653" s="37">
        <v>1.50854004786242</v>
      </c>
      <c r="CQ653" s="37">
        <v>3.0452736929492299</v>
      </c>
      <c r="CR653" s="45">
        <v>2.1127925102526102</v>
      </c>
      <c r="CS653" s="45">
        <v>4.7370893722346796</v>
      </c>
      <c r="CT653" s="46">
        <v>5.4013498544449902E-3</v>
      </c>
      <c r="CU653" s="47">
        <v>1.0565798399484501E-2</v>
      </c>
      <c r="CV653" s="48">
        <v>1.0016034560398801</v>
      </c>
      <c r="CW653" s="49">
        <v>4.7446850868000299</v>
      </c>
      <c r="CX653" s="31" t="s">
        <v>5874</v>
      </c>
      <c r="CY653" s="31" t="s">
        <v>5878</v>
      </c>
      <c r="CZ653" t="s">
        <v>10278</v>
      </c>
      <c r="DA653" t="s">
        <v>5904</v>
      </c>
      <c r="DB653">
        <v>2727.6</v>
      </c>
      <c r="DC653" t="s">
        <v>26932</v>
      </c>
      <c r="DD653" t="s">
        <v>26933</v>
      </c>
      <c r="DE653" t="s">
        <v>26934</v>
      </c>
      <c r="DF653" t="s">
        <v>26935</v>
      </c>
      <c r="DG653" t="s">
        <v>26936</v>
      </c>
      <c r="DH653" t="str">
        <f>"MYOM2"</f>
        <v>MYOM2</v>
      </c>
      <c r="DI653" t="s">
        <v>13772</v>
      </c>
      <c r="DJ653" t="s">
        <v>13777</v>
      </c>
      <c r="DK653">
        <v>9606</v>
      </c>
      <c r="DL653" s="34" t="str">
        <f>HYPERLINK("http://www.uniprot.org/uniprot/P54296", "P54296")</f>
        <v>P54296</v>
      </c>
      <c r="DM653" t="s">
        <v>26937</v>
      </c>
      <c r="DN653" t="s">
        <v>13772</v>
      </c>
      <c r="DO653" t="s">
        <v>15651</v>
      </c>
      <c r="DP653" t="s">
        <v>13793</v>
      </c>
      <c r="DQ653" t="s">
        <v>13772</v>
      </c>
      <c r="DR653" t="s">
        <v>13772</v>
      </c>
      <c r="DS653" t="s">
        <v>15552</v>
      </c>
      <c r="DT653" t="s">
        <v>13772</v>
      </c>
      <c r="DU653" t="s">
        <v>17512</v>
      </c>
      <c r="DV653" t="s">
        <v>13772</v>
      </c>
      <c r="DW653" t="s">
        <v>13772</v>
      </c>
      <c r="DX653" t="s">
        <v>26938</v>
      </c>
      <c r="DY653" t="s">
        <v>26939</v>
      </c>
      <c r="DZ653" t="s">
        <v>26940</v>
      </c>
      <c r="EA653" t="s">
        <v>13772</v>
      </c>
      <c r="EB653" t="s">
        <v>13772</v>
      </c>
    </row>
    <row r="654" spans="1:132" hidden="1">
      <c r="A654">
        <v>1440</v>
      </c>
      <c r="B654">
        <v>1</v>
      </c>
      <c r="C654" t="s">
        <v>3430</v>
      </c>
      <c r="D654" t="s">
        <v>73</v>
      </c>
      <c r="E654" t="s">
        <v>73</v>
      </c>
      <c r="F654" t="s">
        <v>73</v>
      </c>
      <c r="G654" t="s">
        <v>73</v>
      </c>
      <c r="H654">
        <v>42.3</v>
      </c>
      <c r="I654">
        <v>286</v>
      </c>
      <c r="J654">
        <v>30365</v>
      </c>
      <c r="K654" t="s">
        <v>3431</v>
      </c>
      <c r="L654">
        <f t="shared" si="42"/>
        <v>50</v>
      </c>
      <c r="N654">
        <v>50</v>
      </c>
      <c r="O654">
        <v>50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12</v>
      </c>
      <c r="Z654">
        <v>0</v>
      </c>
      <c r="AA654">
        <v>12</v>
      </c>
      <c r="AB654">
        <v>2</v>
      </c>
      <c r="AC654">
        <v>10</v>
      </c>
      <c r="AD654">
        <v>2</v>
      </c>
      <c r="AE654">
        <v>5</v>
      </c>
      <c r="AF654">
        <v>4</v>
      </c>
      <c r="AG654">
        <v>1</v>
      </c>
      <c r="AH654">
        <v>0</v>
      </c>
      <c r="AI654">
        <v>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12</v>
      </c>
      <c r="AS654">
        <v>0</v>
      </c>
      <c r="AT654">
        <v>12</v>
      </c>
      <c r="AU654">
        <v>2</v>
      </c>
      <c r="AV654">
        <v>10</v>
      </c>
      <c r="AW654">
        <v>2</v>
      </c>
      <c r="AX654">
        <v>5</v>
      </c>
      <c r="AY654">
        <v>4</v>
      </c>
      <c r="AZ654">
        <v>1</v>
      </c>
      <c r="BA654">
        <v>0</v>
      </c>
      <c r="BB654">
        <v>2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12</v>
      </c>
      <c r="BL654" s="2">
        <v>0</v>
      </c>
      <c r="BM654" s="2">
        <v>12</v>
      </c>
      <c r="BN654" s="2">
        <v>2</v>
      </c>
      <c r="BO654" s="2">
        <v>10</v>
      </c>
      <c r="BP654" s="2">
        <v>2</v>
      </c>
      <c r="BQ654" s="2">
        <v>5</v>
      </c>
      <c r="BR654" s="2">
        <v>4</v>
      </c>
      <c r="BS654" s="2">
        <v>1</v>
      </c>
      <c r="BT654" s="2">
        <v>0</v>
      </c>
      <c r="BU654" s="2">
        <v>2</v>
      </c>
      <c r="BV654" s="2">
        <f t="shared" si="45"/>
        <v>50</v>
      </c>
      <c r="BW654" s="16">
        <f t="shared" si="43"/>
        <v>2.6315789473684212</v>
      </c>
      <c r="BX654" s="16">
        <f>COUNTIF($BC$6:BU654, "=0") / COUNTIF($BC$6:BU654, "&gt;-1")</f>
        <v>0.17362744302976238</v>
      </c>
      <c r="BY654" s="18">
        <f>SUM($BC$6:BU654) / $BY$4</f>
        <v>0.88817518405887663</v>
      </c>
      <c r="BZ654" s="14">
        <f t="shared" si="44"/>
        <v>10</v>
      </c>
      <c r="CA654" t="s">
        <v>5831</v>
      </c>
      <c r="CB654" s="36">
        <v>0.30291084895868198</v>
      </c>
      <c r="CC654" s="36">
        <v>0.24076603016936199</v>
      </c>
      <c r="CD654" s="36">
        <v>0.40019941545306398</v>
      </c>
      <c r="CE654" s="36">
        <v>0.37798043978830698</v>
      </c>
      <c r="CF654" s="36">
        <v>0.215044089984223</v>
      </c>
      <c r="CG654" s="36">
        <v>0.23243181165987301</v>
      </c>
      <c r="CH654" s="36">
        <v>0.26351557071616</v>
      </c>
      <c r="CI654" s="36">
        <v>0.24329589949557701</v>
      </c>
      <c r="CJ654" s="37">
        <v>9.53709951893949</v>
      </c>
      <c r="CK654" s="37">
        <v>7.5677957626594301</v>
      </c>
      <c r="CL654" s="37">
        <v>1.60010869653469</v>
      </c>
      <c r="CM654" s="37">
        <v>8.4654704659994096</v>
      </c>
      <c r="CN654" s="37">
        <v>4.5939628290755703</v>
      </c>
      <c r="CO654" s="37">
        <v>3.1567622815404999</v>
      </c>
      <c r="CP654" s="37">
        <v>1.50854004786242</v>
      </c>
      <c r="CQ654" s="37">
        <v>3.0452736929492299</v>
      </c>
      <c r="CR654" s="45">
        <v>3.7344550901742601</v>
      </c>
      <c r="CS654" s="45">
        <v>17.342932368647801</v>
      </c>
      <c r="CT654" s="46">
        <v>1.8417381773801399E-6</v>
      </c>
      <c r="CU654" s="47">
        <v>8.2141522711154297E-6</v>
      </c>
      <c r="CV654" s="48">
        <v>0.28451801327815601</v>
      </c>
      <c r="CW654" s="49">
        <v>4.9343766619450902</v>
      </c>
      <c r="CX654" s="31" t="s">
        <v>5874</v>
      </c>
      <c r="CY654" s="31" t="s">
        <v>5876</v>
      </c>
      <c r="CZ654" t="s">
        <v>10531</v>
      </c>
      <c r="DA654" t="s">
        <v>5904</v>
      </c>
      <c r="DB654">
        <v>456.4</v>
      </c>
      <c r="DC654" t="s">
        <v>27617</v>
      </c>
      <c r="DD654" t="s">
        <v>27618</v>
      </c>
      <c r="DE654" t="s">
        <v>27619</v>
      </c>
      <c r="DF654" t="s">
        <v>27620</v>
      </c>
      <c r="DG654" t="s">
        <v>27621</v>
      </c>
      <c r="DH654" t="str">
        <f>"PCMT1"</f>
        <v>PCMT1</v>
      </c>
      <c r="DI654" t="s">
        <v>13772</v>
      </c>
      <c r="DJ654" t="s">
        <v>13777</v>
      </c>
      <c r="DK654">
        <v>9606</v>
      </c>
      <c r="DL654" s="34" t="str">
        <f>HYPERLINK("http://www.uniprot.org/uniprot/P22061", "P22061")</f>
        <v>P22061</v>
      </c>
      <c r="DM654" t="s">
        <v>27622</v>
      </c>
      <c r="DN654" t="s">
        <v>13772</v>
      </c>
      <c r="DO654" t="s">
        <v>13899</v>
      </c>
      <c r="DP654" t="s">
        <v>13780</v>
      </c>
      <c r="DQ654" t="s">
        <v>13772</v>
      </c>
      <c r="DR654" t="s">
        <v>13772</v>
      </c>
      <c r="DS654" t="s">
        <v>13772</v>
      </c>
      <c r="DT654" t="s">
        <v>20398</v>
      </c>
      <c r="DU654" t="s">
        <v>20399</v>
      </c>
      <c r="DV654" t="s">
        <v>16929</v>
      </c>
      <c r="DW654" t="s">
        <v>13812</v>
      </c>
      <c r="DX654" t="s">
        <v>27623</v>
      </c>
      <c r="DY654" t="s">
        <v>27624</v>
      </c>
      <c r="DZ654" t="s">
        <v>27625</v>
      </c>
      <c r="EA654" t="s">
        <v>13772</v>
      </c>
      <c r="EB654" t="s">
        <v>26974</v>
      </c>
    </row>
    <row r="655" spans="1:132" hidden="1">
      <c r="A655">
        <v>1519</v>
      </c>
      <c r="B655">
        <v>1</v>
      </c>
      <c r="C655" t="s">
        <v>3616</v>
      </c>
      <c r="D655" t="s">
        <v>73</v>
      </c>
      <c r="E655" t="s">
        <v>73</v>
      </c>
      <c r="F655" t="s">
        <v>73</v>
      </c>
      <c r="G655" t="s">
        <v>73</v>
      </c>
      <c r="H655">
        <v>39.700000000000003</v>
      </c>
      <c r="I655">
        <v>224</v>
      </c>
      <c r="J655">
        <v>25060</v>
      </c>
      <c r="K655" t="s">
        <v>3617</v>
      </c>
      <c r="L655">
        <f t="shared" si="42"/>
        <v>50</v>
      </c>
      <c r="N655">
        <v>50</v>
      </c>
      <c r="O655">
        <v>50</v>
      </c>
      <c r="P655">
        <v>1</v>
      </c>
      <c r="Q655">
        <v>2</v>
      </c>
      <c r="R655">
        <v>5</v>
      </c>
      <c r="S655">
        <v>6</v>
      </c>
      <c r="T655">
        <v>5</v>
      </c>
      <c r="U655">
        <v>6</v>
      </c>
      <c r="V655">
        <v>5</v>
      </c>
      <c r="W655">
        <v>4</v>
      </c>
      <c r="X655">
        <v>2</v>
      </c>
      <c r="Y655">
        <v>1</v>
      </c>
      <c r="Z655">
        <v>0</v>
      </c>
      <c r="AA655">
        <v>5</v>
      </c>
      <c r="AB655">
        <v>3</v>
      </c>
      <c r="AC655">
        <v>2</v>
      </c>
      <c r="AD655">
        <v>0</v>
      </c>
      <c r="AE655">
        <v>0</v>
      </c>
      <c r="AF655">
        <v>2</v>
      </c>
      <c r="AG655">
        <v>1</v>
      </c>
      <c r="AH655">
        <v>0</v>
      </c>
      <c r="AI655">
        <v>1</v>
      </c>
      <c r="AJ655">
        <v>2</v>
      </c>
      <c r="AK655">
        <v>5</v>
      </c>
      <c r="AL655">
        <v>6</v>
      </c>
      <c r="AM655">
        <v>5</v>
      </c>
      <c r="AN655">
        <v>6</v>
      </c>
      <c r="AO655">
        <v>5</v>
      </c>
      <c r="AP655">
        <v>4</v>
      </c>
      <c r="AQ655">
        <v>2</v>
      </c>
      <c r="AR655">
        <v>1</v>
      </c>
      <c r="AS655">
        <v>0</v>
      </c>
      <c r="AT655">
        <v>5</v>
      </c>
      <c r="AU655">
        <v>3</v>
      </c>
      <c r="AV655">
        <v>2</v>
      </c>
      <c r="AW655">
        <v>0</v>
      </c>
      <c r="AX655">
        <v>0</v>
      </c>
      <c r="AY655">
        <v>2</v>
      </c>
      <c r="AZ655">
        <v>1</v>
      </c>
      <c r="BA655">
        <v>0</v>
      </c>
      <c r="BB655">
        <v>1</v>
      </c>
      <c r="BC655" s="2">
        <v>2</v>
      </c>
      <c r="BD655" s="2">
        <v>5</v>
      </c>
      <c r="BE655" s="2">
        <v>6</v>
      </c>
      <c r="BF655" s="2">
        <v>5</v>
      </c>
      <c r="BG655" s="2">
        <v>6</v>
      </c>
      <c r="BH655" s="2">
        <v>5</v>
      </c>
      <c r="BI655" s="2">
        <v>4</v>
      </c>
      <c r="BJ655" s="2">
        <v>2</v>
      </c>
      <c r="BK655" s="2">
        <v>1</v>
      </c>
      <c r="BL655" s="2">
        <v>0</v>
      </c>
      <c r="BM655" s="2">
        <v>5</v>
      </c>
      <c r="BN655" s="2">
        <v>3</v>
      </c>
      <c r="BO655" s="2">
        <v>2</v>
      </c>
      <c r="BP655" s="2">
        <v>0</v>
      </c>
      <c r="BQ655" s="2">
        <v>0</v>
      </c>
      <c r="BR655" s="2">
        <v>2</v>
      </c>
      <c r="BS655" s="2">
        <v>1</v>
      </c>
      <c r="BT655" s="2">
        <v>0</v>
      </c>
      <c r="BU655" s="2">
        <v>1</v>
      </c>
      <c r="BV655" s="2">
        <f t="shared" si="45"/>
        <v>50</v>
      </c>
      <c r="BW655" s="16">
        <f t="shared" si="43"/>
        <v>2.6315789473684212</v>
      </c>
      <c r="BX655" s="16">
        <f>COUNTIF($BC$6:BU655, "=0") / COUNTIF($BC$6:BU655, "&gt;-1")</f>
        <v>0.1736842105263158</v>
      </c>
      <c r="BY655" s="18">
        <f>SUM($BC$6:BU655) / $BY$4</f>
        <v>0.88838936590231166</v>
      </c>
      <c r="BZ655" s="14">
        <f t="shared" si="44"/>
        <v>4</v>
      </c>
      <c r="CA655" t="s">
        <v>5831</v>
      </c>
      <c r="CB655" s="36">
        <v>2.4232867916694598</v>
      </c>
      <c r="CC655" s="36">
        <v>4.8153206033872298</v>
      </c>
      <c r="CD655" s="36">
        <v>9.6047859708735501</v>
      </c>
      <c r="CE655" s="36">
        <v>7.5596087957661497</v>
      </c>
      <c r="CF655" s="36">
        <v>5.1610581596213496</v>
      </c>
      <c r="CG655" s="36">
        <v>4.6486362331974602</v>
      </c>
      <c r="CH655" s="36">
        <v>4.21624913145856</v>
      </c>
      <c r="CI655" s="36">
        <v>1.9463671959646101</v>
      </c>
      <c r="CJ655" s="37">
        <v>0.79475829324495695</v>
      </c>
      <c r="CK655" s="37">
        <v>3.1532482344414299</v>
      </c>
      <c r="CL655" s="37">
        <v>2.4001630448020301</v>
      </c>
      <c r="CM655" s="37">
        <v>1.6930940931998799</v>
      </c>
      <c r="CN655" s="37">
        <v>0.22969814145377901</v>
      </c>
      <c r="CO655" s="37">
        <v>1.5783811407702499</v>
      </c>
      <c r="CP655" s="37">
        <v>1.50854004786242</v>
      </c>
      <c r="CQ655" s="37">
        <v>1.5226368464746201</v>
      </c>
      <c r="CR655" s="45">
        <v>-1.45852717137203</v>
      </c>
      <c r="CS655" s="45">
        <v>-3.1346027471269799</v>
      </c>
      <c r="CT655" s="46">
        <v>3.51361851837708E-3</v>
      </c>
      <c r="CU655" s="47">
        <v>7.08015297829598E-3</v>
      </c>
      <c r="CV655" s="48">
        <v>5.0469141102422999</v>
      </c>
      <c r="CW655" s="49">
        <v>1.61006498028117</v>
      </c>
      <c r="CX655" s="31" t="s">
        <v>5875</v>
      </c>
      <c r="CY655" s="31" t="s">
        <v>5876</v>
      </c>
      <c r="CZ655" t="s">
        <v>10799</v>
      </c>
      <c r="DA655" t="s">
        <v>5904</v>
      </c>
      <c r="DB655">
        <v>460.7</v>
      </c>
      <c r="DC655" t="s">
        <v>28374</v>
      </c>
      <c r="DD655" t="s">
        <v>28375</v>
      </c>
      <c r="DE655" t="s">
        <v>28376</v>
      </c>
      <c r="DF655" t="s">
        <v>28377</v>
      </c>
      <c r="DG655" t="s">
        <v>28378</v>
      </c>
      <c r="DH655" t="str">
        <f>"TMED7"</f>
        <v>TMED7</v>
      </c>
      <c r="DI655" t="s">
        <v>13772</v>
      </c>
      <c r="DJ655" t="s">
        <v>13777</v>
      </c>
      <c r="DK655">
        <v>9606</v>
      </c>
      <c r="DL655" s="34" t="str">
        <f>HYPERLINK("http://www.uniprot.org/uniprot/Q9Y3B3", "Q9Y3B3")</f>
        <v>Q9Y3B3</v>
      </c>
      <c r="DM655" t="s">
        <v>28379</v>
      </c>
      <c r="DN655" t="s">
        <v>14347</v>
      </c>
      <c r="DO655" t="s">
        <v>18075</v>
      </c>
      <c r="DP655" t="s">
        <v>13841</v>
      </c>
      <c r="DQ655" t="s">
        <v>13772</v>
      </c>
      <c r="DR655" t="s">
        <v>13772</v>
      </c>
      <c r="DS655" t="s">
        <v>13855</v>
      </c>
      <c r="DT655" t="s">
        <v>13772</v>
      </c>
      <c r="DU655" t="s">
        <v>13772</v>
      </c>
      <c r="DV655" t="s">
        <v>13858</v>
      </c>
      <c r="DW655" t="s">
        <v>13772</v>
      </c>
      <c r="DX655" t="s">
        <v>28380</v>
      </c>
      <c r="DY655" t="s">
        <v>28381</v>
      </c>
      <c r="DZ655" t="s">
        <v>13772</v>
      </c>
      <c r="EA655" t="s">
        <v>13772</v>
      </c>
      <c r="EB655" t="s">
        <v>16533</v>
      </c>
    </row>
    <row r="656" spans="1:132" hidden="1">
      <c r="A656">
        <v>1920</v>
      </c>
      <c r="B656">
        <v>1</v>
      </c>
      <c r="C656" t="s">
        <v>4523</v>
      </c>
      <c r="D656" t="s">
        <v>73</v>
      </c>
      <c r="E656" t="s">
        <v>73</v>
      </c>
      <c r="F656" t="s">
        <v>73</v>
      </c>
      <c r="G656" t="s">
        <v>73</v>
      </c>
      <c r="H656">
        <v>41.2</v>
      </c>
      <c r="I656">
        <v>284</v>
      </c>
      <c r="J656">
        <v>31225</v>
      </c>
      <c r="K656" t="s">
        <v>4524</v>
      </c>
      <c r="L656">
        <f t="shared" si="42"/>
        <v>50</v>
      </c>
      <c r="N656">
        <v>50</v>
      </c>
      <c r="O656">
        <v>50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9</v>
      </c>
      <c r="Z656">
        <v>0</v>
      </c>
      <c r="AA656">
        <v>1</v>
      </c>
      <c r="AB656">
        <v>10</v>
      </c>
      <c r="AC656">
        <v>15</v>
      </c>
      <c r="AD656">
        <v>0</v>
      </c>
      <c r="AE656">
        <v>0</v>
      </c>
      <c r="AF656">
        <v>5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9</v>
      </c>
      <c r="AS656">
        <v>0</v>
      </c>
      <c r="AT656">
        <v>1</v>
      </c>
      <c r="AU656">
        <v>10</v>
      </c>
      <c r="AV656">
        <v>15</v>
      </c>
      <c r="AW656">
        <v>0</v>
      </c>
      <c r="AX656">
        <v>0</v>
      </c>
      <c r="AY656">
        <v>5</v>
      </c>
      <c r="AZ656">
        <v>7</v>
      </c>
      <c r="BA656">
        <v>1</v>
      </c>
      <c r="BB656">
        <v>0</v>
      </c>
      <c r="BC656" s="2">
        <v>0</v>
      </c>
      <c r="BD656" s="2">
        <v>0</v>
      </c>
      <c r="BE656" s="2">
        <v>0</v>
      </c>
      <c r="BF656" s="2">
        <v>1</v>
      </c>
      <c r="BG656" s="2">
        <v>1</v>
      </c>
      <c r="BH656" s="2">
        <v>0</v>
      </c>
      <c r="BI656" s="2">
        <v>0</v>
      </c>
      <c r="BJ656" s="2">
        <v>0</v>
      </c>
      <c r="BK656" s="2">
        <v>9</v>
      </c>
      <c r="BL656" s="2">
        <v>0</v>
      </c>
      <c r="BM656" s="2">
        <v>1</v>
      </c>
      <c r="BN656" s="2">
        <v>10</v>
      </c>
      <c r="BO656" s="2">
        <v>15</v>
      </c>
      <c r="BP656" s="2">
        <v>0</v>
      </c>
      <c r="BQ656" s="2">
        <v>0</v>
      </c>
      <c r="BR656" s="2">
        <v>5</v>
      </c>
      <c r="BS656" s="2">
        <v>7</v>
      </c>
      <c r="BT656" s="2">
        <v>1</v>
      </c>
      <c r="BU656" s="2">
        <v>0</v>
      </c>
      <c r="BV656" s="2">
        <f t="shared" si="45"/>
        <v>50</v>
      </c>
      <c r="BW656" s="16">
        <f t="shared" si="43"/>
        <v>2.6315789473684212</v>
      </c>
      <c r="BX656" s="16">
        <f>COUNTIF($BC$6:BU656, "=0") / COUNTIF($BC$6:BU656, "&gt;-1")</f>
        <v>0.17422588729889238</v>
      </c>
      <c r="BY656" s="18">
        <f>SUM($BC$6:BU656) / $BY$4</f>
        <v>0.88860354774574668</v>
      </c>
      <c r="BZ656" s="14">
        <f t="shared" si="44"/>
        <v>10</v>
      </c>
      <c r="CA656" t="s">
        <v>5831</v>
      </c>
      <c r="CB656" s="36">
        <v>0.30291084895868198</v>
      </c>
      <c r="CC656" s="36">
        <v>0.24076603016936199</v>
      </c>
      <c r="CD656" s="36">
        <v>0.40019941545306398</v>
      </c>
      <c r="CE656" s="36">
        <v>1.5119217591532299</v>
      </c>
      <c r="CF656" s="36">
        <v>0.86017635993689201</v>
      </c>
      <c r="CG656" s="36">
        <v>0.23243181165987301</v>
      </c>
      <c r="CH656" s="36">
        <v>0.26351557071616</v>
      </c>
      <c r="CI656" s="36">
        <v>0.24329589949557701</v>
      </c>
      <c r="CJ656" s="37">
        <v>7.1528246392046197</v>
      </c>
      <c r="CK656" s="37">
        <v>0.63064964688828595</v>
      </c>
      <c r="CL656" s="37">
        <v>8.0005434826734305</v>
      </c>
      <c r="CM656" s="37">
        <v>12.6982056989991</v>
      </c>
      <c r="CN656" s="37">
        <v>0.22969814145377901</v>
      </c>
      <c r="CO656" s="37">
        <v>3.94595285192562</v>
      </c>
      <c r="CP656" s="37">
        <v>10.559780335037001</v>
      </c>
      <c r="CQ656" s="37">
        <v>0.38065921161865401</v>
      </c>
      <c r="CR656" s="45">
        <v>3.2015463661814798</v>
      </c>
      <c r="CS656" s="45">
        <v>10.751164864890001</v>
      </c>
      <c r="CT656" s="46">
        <v>1.49908934964454E-4</v>
      </c>
      <c r="CU656" s="47">
        <v>4.04391441496853E-4</v>
      </c>
      <c r="CV656" s="48">
        <v>0.50690221194285501</v>
      </c>
      <c r="CW656" s="49">
        <v>5.4497892509750603</v>
      </c>
      <c r="CX656" s="31" t="s">
        <v>5874</v>
      </c>
      <c r="CY656" s="31" t="s">
        <v>5876</v>
      </c>
      <c r="CZ656" t="s">
        <v>12150</v>
      </c>
      <c r="DA656" t="s">
        <v>5904</v>
      </c>
      <c r="DB656">
        <v>562.4</v>
      </c>
      <c r="DC656" t="s">
        <v>32166</v>
      </c>
      <c r="DD656" t="s">
        <v>32167</v>
      </c>
      <c r="DE656" t="s">
        <v>32168</v>
      </c>
      <c r="DF656" t="s">
        <v>32169</v>
      </c>
      <c r="DG656" t="s">
        <v>32170</v>
      </c>
      <c r="DH656" t="str">
        <f>"STOM"</f>
        <v>STOM</v>
      </c>
      <c r="DI656" t="s">
        <v>32171</v>
      </c>
      <c r="DJ656" t="s">
        <v>13777</v>
      </c>
      <c r="DK656">
        <v>9606</v>
      </c>
      <c r="DL656" s="34" t="str">
        <f>HYPERLINK("http://www.uniprot.org/uniprot/P27105", "P27105")</f>
        <v>P27105</v>
      </c>
      <c r="DM656" t="s">
        <v>32172</v>
      </c>
      <c r="DN656" t="s">
        <v>13772</v>
      </c>
      <c r="DO656" t="s">
        <v>32173</v>
      </c>
      <c r="DP656" t="s">
        <v>13841</v>
      </c>
      <c r="DQ656" t="s">
        <v>13772</v>
      </c>
      <c r="DR656" t="s">
        <v>13772</v>
      </c>
      <c r="DS656" t="s">
        <v>13772</v>
      </c>
      <c r="DT656" t="s">
        <v>13772</v>
      </c>
      <c r="DU656" t="s">
        <v>13772</v>
      </c>
      <c r="DV656" t="s">
        <v>16020</v>
      </c>
      <c r="DW656" t="s">
        <v>13772</v>
      </c>
      <c r="DX656" t="s">
        <v>32174</v>
      </c>
      <c r="DY656" t="s">
        <v>32175</v>
      </c>
      <c r="DZ656" t="s">
        <v>32176</v>
      </c>
      <c r="EA656" t="s">
        <v>13772</v>
      </c>
      <c r="EB656" t="s">
        <v>32177</v>
      </c>
    </row>
    <row r="657" spans="1:132" hidden="1">
      <c r="A657">
        <v>2187</v>
      </c>
      <c r="B657">
        <v>1</v>
      </c>
      <c r="C657" t="s">
        <v>5115</v>
      </c>
      <c r="D657" t="s">
        <v>5116</v>
      </c>
      <c r="E657" t="s">
        <v>73</v>
      </c>
      <c r="F657" t="s">
        <v>73</v>
      </c>
      <c r="G657" t="s">
        <v>73</v>
      </c>
      <c r="H657">
        <v>29</v>
      </c>
      <c r="I657">
        <v>224</v>
      </c>
      <c r="J657">
        <v>24569</v>
      </c>
      <c r="K657" t="s">
        <v>5117</v>
      </c>
      <c r="L657">
        <f t="shared" si="42"/>
        <v>50</v>
      </c>
      <c r="N657">
        <v>50</v>
      </c>
      <c r="O657">
        <v>50</v>
      </c>
      <c r="P657">
        <v>1</v>
      </c>
      <c r="Q657">
        <v>2</v>
      </c>
      <c r="R657">
        <v>6</v>
      </c>
      <c r="S657">
        <v>5</v>
      </c>
      <c r="T657">
        <v>5</v>
      </c>
      <c r="U657">
        <v>3</v>
      </c>
      <c r="V657">
        <v>3</v>
      </c>
      <c r="W657">
        <v>4</v>
      </c>
      <c r="X657">
        <v>0</v>
      </c>
      <c r="Y657">
        <v>3</v>
      </c>
      <c r="Z657">
        <v>0</v>
      </c>
      <c r="AA657">
        <v>6</v>
      </c>
      <c r="AB657">
        <v>3</v>
      </c>
      <c r="AC657">
        <v>5</v>
      </c>
      <c r="AD657">
        <v>0</v>
      </c>
      <c r="AE657">
        <v>1</v>
      </c>
      <c r="AF657">
        <v>3</v>
      </c>
      <c r="AG657">
        <v>0</v>
      </c>
      <c r="AH657">
        <v>0</v>
      </c>
      <c r="AI657">
        <v>1</v>
      </c>
      <c r="AJ657">
        <v>2</v>
      </c>
      <c r="AK657">
        <v>6</v>
      </c>
      <c r="AL657">
        <v>5</v>
      </c>
      <c r="AM657">
        <v>5</v>
      </c>
      <c r="AN657">
        <v>3</v>
      </c>
      <c r="AO657">
        <v>3</v>
      </c>
      <c r="AP657">
        <v>4</v>
      </c>
      <c r="AQ657">
        <v>0</v>
      </c>
      <c r="AR657">
        <v>3</v>
      </c>
      <c r="AS657">
        <v>0</v>
      </c>
      <c r="AT657">
        <v>6</v>
      </c>
      <c r="AU657">
        <v>3</v>
      </c>
      <c r="AV657">
        <v>5</v>
      </c>
      <c r="AW657">
        <v>0</v>
      </c>
      <c r="AX657">
        <v>1</v>
      </c>
      <c r="AY657">
        <v>3</v>
      </c>
      <c r="AZ657">
        <v>0</v>
      </c>
      <c r="BA657">
        <v>0</v>
      </c>
      <c r="BB657">
        <v>1</v>
      </c>
      <c r="BC657" s="2">
        <v>2</v>
      </c>
      <c r="BD657" s="2">
        <v>6</v>
      </c>
      <c r="BE657" s="2">
        <v>5</v>
      </c>
      <c r="BF657" s="2">
        <v>5</v>
      </c>
      <c r="BG657" s="2">
        <v>3</v>
      </c>
      <c r="BH657" s="2">
        <v>3</v>
      </c>
      <c r="BI657" s="2">
        <v>4</v>
      </c>
      <c r="BJ657" s="2">
        <v>0</v>
      </c>
      <c r="BK657" s="2">
        <v>3</v>
      </c>
      <c r="BL657" s="2">
        <v>0</v>
      </c>
      <c r="BM657" s="2">
        <v>6</v>
      </c>
      <c r="BN657" s="2">
        <v>3</v>
      </c>
      <c r="BO657" s="2">
        <v>5</v>
      </c>
      <c r="BP657" s="2">
        <v>0</v>
      </c>
      <c r="BQ657" s="2">
        <v>1</v>
      </c>
      <c r="BR657" s="2">
        <v>3</v>
      </c>
      <c r="BS657" s="2">
        <v>0</v>
      </c>
      <c r="BT657" s="2">
        <v>0</v>
      </c>
      <c r="BU657" s="2">
        <v>1</v>
      </c>
      <c r="BV657" s="2">
        <f t="shared" si="45"/>
        <v>50</v>
      </c>
      <c r="BW657" s="16">
        <f t="shared" si="43"/>
        <v>2.6315789473684212</v>
      </c>
      <c r="BX657" s="16">
        <f>COUNTIF($BC$6:BU657, "=0") / COUNTIF($BC$6:BU657, "&gt;-1")</f>
        <v>0.17436228608330642</v>
      </c>
      <c r="BY657" s="18">
        <f>SUM($BC$6:BU657) / $BY$4</f>
        <v>0.8888177295891817</v>
      </c>
      <c r="BZ657" s="14">
        <f t="shared" si="44"/>
        <v>5</v>
      </c>
      <c r="CA657" t="s">
        <v>5831</v>
      </c>
      <c r="CB657" s="36">
        <v>2.4232867916694598</v>
      </c>
      <c r="CC657" s="36">
        <v>5.7783847240646802</v>
      </c>
      <c r="CD657" s="36">
        <v>8.00398830906129</v>
      </c>
      <c r="CE657" s="36">
        <v>7.5596087957661497</v>
      </c>
      <c r="CF657" s="36">
        <v>2.5805290798106801</v>
      </c>
      <c r="CG657" s="36">
        <v>2.7891817399184702</v>
      </c>
      <c r="CH657" s="36">
        <v>4.21624913145856</v>
      </c>
      <c r="CI657" s="36">
        <v>0.24329589949557701</v>
      </c>
      <c r="CJ657" s="37">
        <v>2.3842748797348698</v>
      </c>
      <c r="CK657" s="37">
        <v>3.7838978813297102</v>
      </c>
      <c r="CL657" s="37">
        <v>2.4001630448020301</v>
      </c>
      <c r="CM657" s="37">
        <v>4.2327352329997003</v>
      </c>
      <c r="CN657" s="37">
        <v>0.91879256581511404</v>
      </c>
      <c r="CO657" s="37">
        <v>2.36757171115537</v>
      </c>
      <c r="CP657" s="37">
        <v>0.377135011965606</v>
      </c>
      <c r="CQ657" s="37">
        <v>1.5226368464746201</v>
      </c>
      <c r="CR657" s="45">
        <v>-0.69206217061252995</v>
      </c>
      <c r="CS657" s="45">
        <v>-1.86768986123023</v>
      </c>
      <c r="CT657" s="46">
        <v>0.146251107575044</v>
      </c>
      <c r="CU657" s="47">
        <v>0.19823088954288801</v>
      </c>
      <c r="CV657" s="48">
        <v>4.1993155589056101</v>
      </c>
      <c r="CW657" s="49">
        <v>2.2484008967846298</v>
      </c>
      <c r="CX657" s="31" t="s">
        <v>5875</v>
      </c>
      <c r="CY657" s="31" t="s">
        <v>5832</v>
      </c>
      <c r="CZ657" t="s">
        <v>13037</v>
      </c>
      <c r="DA657" t="s">
        <v>5904</v>
      </c>
      <c r="DB657">
        <v>308.89999999999998</v>
      </c>
      <c r="DC657" t="s">
        <v>34659</v>
      </c>
      <c r="DD657" t="s">
        <v>34660</v>
      </c>
      <c r="DE657" t="s">
        <v>34661</v>
      </c>
      <c r="DF657" t="s">
        <v>34662</v>
      </c>
      <c r="DG657" t="s">
        <v>34663</v>
      </c>
      <c r="DH657" t="str">
        <f>"SDC4"</f>
        <v>SDC4</v>
      </c>
      <c r="DI657" t="s">
        <v>13772</v>
      </c>
      <c r="DJ657" t="s">
        <v>13777</v>
      </c>
      <c r="DK657">
        <v>9606</v>
      </c>
      <c r="DL657" s="34" t="str">
        <f>HYPERLINK("http://www.uniprot.org/uniprot/P31431", "P31431")</f>
        <v>P31431</v>
      </c>
      <c r="DM657" t="s">
        <v>34664</v>
      </c>
      <c r="DN657" t="s">
        <v>13772</v>
      </c>
      <c r="DO657" t="s">
        <v>17261</v>
      </c>
      <c r="DP657" t="s">
        <v>13780</v>
      </c>
      <c r="DQ657" t="s">
        <v>13772</v>
      </c>
      <c r="DR657" t="s">
        <v>13772</v>
      </c>
      <c r="DS657" t="s">
        <v>13855</v>
      </c>
      <c r="DT657" t="s">
        <v>13772</v>
      </c>
      <c r="DU657" t="s">
        <v>13772</v>
      </c>
      <c r="DV657" t="s">
        <v>34665</v>
      </c>
      <c r="DW657" t="s">
        <v>13812</v>
      </c>
      <c r="DX657" t="s">
        <v>34666</v>
      </c>
      <c r="DY657" t="s">
        <v>34667</v>
      </c>
      <c r="DZ657" t="s">
        <v>34668</v>
      </c>
      <c r="EA657" t="s">
        <v>13772</v>
      </c>
      <c r="EB657" t="s">
        <v>34669</v>
      </c>
    </row>
    <row r="658" spans="1:132" hidden="1">
      <c r="A658">
        <v>2285</v>
      </c>
      <c r="B658">
        <v>1</v>
      </c>
      <c r="C658" t="s">
        <v>5339</v>
      </c>
      <c r="D658" t="s">
        <v>73</v>
      </c>
      <c r="E658" t="s">
        <v>73</v>
      </c>
      <c r="F658" t="s">
        <v>73</v>
      </c>
      <c r="G658" t="s">
        <v>73</v>
      </c>
      <c r="H658">
        <v>16.3</v>
      </c>
      <c r="I658">
        <v>441</v>
      </c>
      <c r="J658">
        <v>47524</v>
      </c>
      <c r="K658" t="s">
        <v>5340</v>
      </c>
      <c r="L658">
        <f t="shared" si="42"/>
        <v>50</v>
      </c>
      <c r="N658">
        <v>50</v>
      </c>
      <c r="O658">
        <v>50</v>
      </c>
      <c r="P658">
        <v>1</v>
      </c>
      <c r="Q658">
        <v>3</v>
      </c>
      <c r="R658">
        <v>5</v>
      </c>
      <c r="S658">
        <v>8</v>
      </c>
      <c r="T658">
        <v>4</v>
      </c>
      <c r="U658">
        <v>6</v>
      </c>
      <c r="V658">
        <v>8</v>
      </c>
      <c r="W658">
        <v>6</v>
      </c>
      <c r="X658">
        <v>4</v>
      </c>
      <c r="Y658">
        <v>0</v>
      </c>
      <c r="Z658">
        <v>0</v>
      </c>
      <c r="AA658">
        <v>1</v>
      </c>
      <c r="AB658">
        <v>3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3</v>
      </c>
      <c r="AK658">
        <v>5</v>
      </c>
      <c r="AL658">
        <v>8</v>
      </c>
      <c r="AM658">
        <v>4</v>
      </c>
      <c r="AN658">
        <v>6</v>
      </c>
      <c r="AO658">
        <v>8</v>
      </c>
      <c r="AP658">
        <v>6</v>
      </c>
      <c r="AQ658">
        <v>4</v>
      </c>
      <c r="AR658">
        <v>0</v>
      </c>
      <c r="AS658">
        <v>0</v>
      </c>
      <c r="AT658">
        <v>1</v>
      </c>
      <c r="AU658">
        <v>3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 s="2">
        <v>3</v>
      </c>
      <c r="BD658" s="2">
        <v>5</v>
      </c>
      <c r="BE658" s="2">
        <v>8</v>
      </c>
      <c r="BF658" s="2">
        <v>4</v>
      </c>
      <c r="BG658" s="2">
        <v>6</v>
      </c>
      <c r="BH658" s="2">
        <v>8</v>
      </c>
      <c r="BI658" s="2">
        <v>6</v>
      </c>
      <c r="BJ658" s="2">
        <v>4</v>
      </c>
      <c r="BK658" s="2">
        <v>0</v>
      </c>
      <c r="BL658" s="2">
        <v>0</v>
      </c>
      <c r="BM658" s="2">
        <v>1</v>
      </c>
      <c r="BN658" s="2">
        <v>3</v>
      </c>
      <c r="BO658" s="2">
        <v>0</v>
      </c>
      <c r="BP658" s="2">
        <v>0</v>
      </c>
      <c r="BQ658" s="2">
        <v>0</v>
      </c>
      <c r="BR658" s="2">
        <v>1</v>
      </c>
      <c r="BS658" s="2">
        <v>1</v>
      </c>
      <c r="BT658" s="2">
        <v>0</v>
      </c>
      <c r="BU658" s="2">
        <v>0</v>
      </c>
      <c r="BV658" s="2">
        <f t="shared" si="45"/>
        <v>50</v>
      </c>
      <c r="BW658" s="16">
        <f t="shared" si="43"/>
        <v>2.6315789473684212</v>
      </c>
      <c r="BX658" s="16">
        <f>COUNTIF($BC$6:BU658, "=0") / COUNTIF($BC$6:BU658, "&gt;-1")</f>
        <v>0.17465946643024099</v>
      </c>
      <c r="BY658" s="18">
        <f>SUM($BC$6:BU658) / $BY$4</f>
        <v>0.88903191143261673</v>
      </c>
      <c r="BZ658" s="14">
        <f t="shared" si="44"/>
        <v>7</v>
      </c>
      <c r="CA658" t="s">
        <v>5831</v>
      </c>
      <c r="CB658" s="36">
        <v>3.6349301875041902</v>
      </c>
      <c r="CC658" s="36">
        <v>4.8153206033872298</v>
      </c>
      <c r="CD658" s="36">
        <v>12.806381294498101</v>
      </c>
      <c r="CE658" s="36">
        <v>6.0476870366129196</v>
      </c>
      <c r="CF658" s="36">
        <v>5.1610581596213496</v>
      </c>
      <c r="CG658" s="36">
        <v>7.43781797311593</v>
      </c>
      <c r="CH658" s="36">
        <v>6.3243736971878404</v>
      </c>
      <c r="CI658" s="36">
        <v>3.8927343919292201</v>
      </c>
      <c r="CJ658" s="37">
        <v>0.19868957331123899</v>
      </c>
      <c r="CK658" s="37">
        <v>0.63064964688828595</v>
      </c>
      <c r="CL658" s="37">
        <v>2.4001630448020301</v>
      </c>
      <c r="CM658" s="37">
        <v>0.21163676164998499</v>
      </c>
      <c r="CN658" s="37">
        <v>0.22969814145377901</v>
      </c>
      <c r="CO658" s="37">
        <v>0.78919057038512497</v>
      </c>
      <c r="CP658" s="37">
        <v>1.50854004786242</v>
      </c>
      <c r="CQ658" s="37">
        <v>0.38065921161865401</v>
      </c>
      <c r="CR658" s="45">
        <v>-2.7751452973455999</v>
      </c>
      <c r="CS658" s="45">
        <v>-7.8939221041977898</v>
      </c>
      <c r="CT658" s="46">
        <v>6.4712531376863903E-7</v>
      </c>
      <c r="CU658" s="47">
        <v>3.3560219760559599E-6</v>
      </c>
      <c r="CV658" s="48">
        <v>6.2650379179820899</v>
      </c>
      <c r="CW658" s="49">
        <v>0.79365337474644004</v>
      </c>
      <c r="CX658" s="31" t="s">
        <v>5875</v>
      </c>
      <c r="CY658" s="31" t="s">
        <v>5876</v>
      </c>
      <c r="CZ658" t="s">
        <v>13360</v>
      </c>
      <c r="DA658" t="s">
        <v>5904</v>
      </c>
      <c r="DB658">
        <v>803.5</v>
      </c>
      <c r="DC658" t="s">
        <v>35578</v>
      </c>
      <c r="DD658" t="s">
        <v>13772</v>
      </c>
      <c r="DE658" t="s">
        <v>35579</v>
      </c>
      <c r="DF658" t="s">
        <v>35580</v>
      </c>
      <c r="DG658" t="s">
        <v>35581</v>
      </c>
      <c r="DH658" t="str">
        <f>"FBLN7"</f>
        <v>FBLN7</v>
      </c>
      <c r="DI658" t="s">
        <v>35582</v>
      </c>
      <c r="DJ658" t="s">
        <v>13777</v>
      </c>
      <c r="DK658">
        <v>9606</v>
      </c>
      <c r="DL658" s="34" t="str">
        <f>HYPERLINK("http://www.uniprot.org/uniprot/Q53RD9", "Q53RD9")</f>
        <v>Q53RD9</v>
      </c>
      <c r="DM658" t="s">
        <v>35583</v>
      </c>
      <c r="DN658" t="s">
        <v>13949</v>
      </c>
      <c r="DO658" t="s">
        <v>13869</v>
      </c>
      <c r="DP658" t="s">
        <v>13780</v>
      </c>
      <c r="DQ658" t="s">
        <v>13772</v>
      </c>
      <c r="DR658" t="s">
        <v>13772</v>
      </c>
      <c r="DS658" t="s">
        <v>35584</v>
      </c>
      <c r="DT658" t="s">
        <v>14465</v>
      </c>
      <c r="DU658" t="s">
        <v>14073</v>
      </c>
      <c r="DV658" t="s">
        <v>13796</v>
      </c>
      <c r="DW658" t="s">
        <v>13772</v>
      </c>
      <c r="DX658" t="s">
        <v>34036</v>
      </c>
      <c r="DY658" t="s">
        <v>35585</v>
      </c>
      <c r="DZ658" t="s">
        <v>22323</v>
      </c>
      <c r="EA658" t="s">
        <v>13772</v>
      </c>
      <c r="EB658" t="s">
        <v>13772</v>
      </c>
    </row>
    <row r="659" spans="1:132" hidden="1">
      <c r="A659">
        <v>68</v>
      </c>
      <c r="B659">
        <v>1</v>
      </c>
      <c r="C659" t="s">
        <v>194</v>
      </c>
      <c r="D659" t="s">
        <v>73</v>
      </c>
      <c r="E659" t="s">
        <v>73</v>
      </c>
      <c r="F659" t="s">
        <v>73</v>
      </c>
      <c r="G659" t="s">
        <v>73</v>
      </c>
      <c r="H659">
        <v>26.1</v>
      </c>
      <c r="I659">
        <v>268</v>
      </c>
      <c r="J659">
        <v>29581</v>
      </c>
      <c r="K659" t="s">
        <v>195</v>
      </c>
      <c r="L659">
        <f t="shared" si="42"/>
        <v>49</v>
      </c>
      <c r="N659">
        <v>49</v>
      </c>
      <c r="O659">
        <v>49</v>
      </c>
      <c r="P659">
        <v>1</v>
      </c>
      <c r="Q659">
        <v>9</v>
      </c>
      <c r="R659">
        <v>4</v>
      </c>
      <c r="S659">
        <v>8</v>
      </c>
      <c r="T659">
        <v>7</v>
      </c>
      <c r="U659">
        <v>7</v>
      </c>
      <c r="V659">
        <v>3</v>
      </c>
      <c r="W659">
        <v>3</v>
      </c>
      <c r="X659">
        <v>5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9</v>
      </c>
      <c r="AK659">
        <v>4</v>
      </c>
      <c r="AL659">
        <v>8</v>
      </c>
      <c r="AM659">
        <v>7</v>
      </c>
      <c r="AN659">
        <v>7</v>
      </c>
      <c r="AO659">
        <v>3</v>
      </c>
      <c r="AP659">
        <v>3</v>
      </c>
      <c r="AQ659">
        <v>5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0</v>
      </c>
      <c r="BC659" s="2">
        <v>9</v>
      </c>
      <c r="BD659" s="2">
        <v>4</v>
      </c>
      <c r="BE659" s="2">
        <v>8</v>
      </c>
      <c r="BF659" s="2">
        <v>7</v>
      </c>
      <c r="BG659" s="2">
        <v>7</v>
      </c>
      <c r="BH659" s="2">
        <v>3</v>
      </c>
      <c r="BI659" s="2">
        <v>3</v>
      </c>
      <c r="BJ659" s="2">
        <v>5</v>
      </c>
      <c r="BK659" s="2">
        <v>0</v>
      </c>
      <c r="BL659" s="2">
        <v>0</v>
      </c>
      <c r="BM659" s="2">
        <v>0</v>
      </c>
      <c r="BN659" s="2">
        <v>1</v>
      </c>
      <c r="BO659" s="2">
        <v>0</v>
      </c>
      <c r="BP659" s="2">
        <v>0</v>
      </c>
      <c r="BQ659" s="2">
        <v>1</v>
      </c>
      <c r="BR659" s="2">
        <v>1</v>
      </c>
      <c r="BS659" s="2">
        <v>0</v>
      </c>
      <c r="BT659" s="2">
        <v>0</v>
      </c>
      <c r="BU659" s="2">
        <v>0</v>
      </c>
      <c r="BV659" s="2">
        <f t="shared" si="45"/>
        <v>49</v>
      </c>
      <c r="BW659" s="16">
        <f t="shared" si="43"/>
        <v>2.5789473684210527</v>
      </c>
      <c r="BX659" s="16">
        <f>COUNTIF($BC$6:BU659, "=0") / COUNTIF($BC$6:BU659, "&gt;-1")</f>
        <v>0.17503621438918396</v>
      </c>
      <c r="BY659" s="18">
        <f>SUM($BC$6:BU659) / $BY$4</f>
        <v>0.88924180963918298</v>
      </c>
      <c r="BZ659" s="14">
        <f t="shared" si="44"/>
        <v>8</v>
      </c>
      <c r="CA659" t="s">
        <v>5831</v>
      </c>
      <c r="CB659" s="36">
        <v>10.9047905625126</v>
      </c>
      <c r="CC659" s="36">
        <v>3.85225648270979</v>
      </c>
      <c r="CD659" s="36">
        <v>12.806381294498101</v>
      </c>
      <c r="CE659" s="36">
        <v>10.5834523140726</v>
      </c>
      <c r="CF659" s="36">
        <v>6.0212345195582504</v>
      </c>
      <c r="CG659" s="36">
        <v>2.7891817399184702</v>
      </c>
      <c r="CH659" s="36">
        <v>3.1621868485939202</v>
      </c>
      <c r="CI659" s="36">
        <v>4.8659179899115301</v>
      </c>
      <c r="CJ659" s="37">
        <v>0.19868957331123899</v>
      </c>
      <c r="CK659" s="37">
        <v>0.15766241172207099</v>
      </c>
      <c r="CL659" s="37">
        <v>0.80005434826734301</v>
      </c>
      <c r="CM659" s="37">
        <v>0.21163676164998499</v>
      </c>
      <c r="CN659" s="37">
        <v>0.91879256581511404</v>
      </c>
      <c r="CO659" s="37">
        <v>0.78919057038512497</v>
      </c>
      <c r="CP659" s="37">
        <v>0.377135011965606</v>
      </c>
      <c r="CQ659" s="37">
        <v>0.38065921161865401</v>
      </c>
      <c r="CR659" s="45">
        <v>-3.4814056830349398</v>
      </c>
      <c r="CS659" s="45">
        <v>-14.342195311693001</v>
      </c>
      <c r="CT659" s="46">
        <v>2.2150924356352799E-8</v>
      </c>
      <c r="CU659" s="47">
        <v>1.85237104930001E-7</v>
      </c>
      <c r="CV659" s="48">
        <v>6.8731752189719</v>
      </c>
      <c r="CW659" s="49">
        <v>0.479227556841892</v>
      </c>
      <c r="CX659" s="31" t="s">
        <v>5875</v>
      </c>
      <c r="CY659" s="31" t="s">
        <v>5876</v>
      </c>
      <c r="CZ659" t="s">
        <v>5942</v>
      </c>
      <c r="DA659" t="s">
        <v>5904</v>
      </c>
      <c r="DB659">
        <v>323.60000000000002</v>
      </c>
      <c r="DC659" t="s">
        <v>13943</v>
      </c>
      <c r="DD659" t="s">
        <v>13944</v>
      </c>
      <c r="DE659" t="s">
        <v>13945</v>
      </c>
      <c r="DF659" t="s">
        <v>13946</v>
      </c>
      <c r="DG659" t="s">
        <v>13947</v>
      </c>
      <c r="DH659" t="str">
        <f>"ICAM2"</f>
        <v>ICAM2</v>
      </c>
      <c r="DI659" t="s">
        <v>13772</v>
      </c>
      <c r="DJ659" t="s">
        <v>13777</v>
      </c>
      <c r="DK659">
        <v>9606</v>
      </c>
      <c r="DL659" s="34" t="str">
        <f>HYPERLINK("http://www.uniprot.org/uniprot/P13598", "P13598")</f>
        <v>P13598</v>
      </c>
      <c r="DM659" t="s">
        <v>13948</v>
      </c>
      <c r="DN659" t="s">
        <v>13949</v>
      </c>
      <c r="DO659" t="s">
        <v>13950</v>
      </c>
      <c r="DP659" t="s">
        <v>13793</v>
      </c>
      <c r="DQ659" t="s">
        <v>13772</v>
      </c>
      <c r="DR659" t="s">
        <v>13772</v>
      </c>
      <c r="DS659" t="s">
        <v>13951</v>
      </c>
      <c r="DT659" t="s">
        <v>13772</v>
      </c>
      <c r="DU659" t="s">
        <v>13772</v>
      </c>
      <c r="DV659" t="s">
        <v>13796</v>
      </c>
      <c r="DW659" t="s">
        <v>13812</v>
      </c>
      <c r="DX659" t="s">
        <v>13952</v>
      </c>
      <c r="DY659" t="s">
        <v>13953</v>
      </c>
      <c r="DZ659" t="s">
        <v>13954</v>
      </c>
      <c r="EA659" t="s">
        <v>13772</v>
      </c>
      <c r="EB659" t="s">
        <v>13955</v>
      </c>
    </row>
    <row r="660" spans="1:132" hidden="1">
      <c r="A660">
        <v>152</v>
      </c>
      <c r="B660">
        <v>1</v>
      </c>
      <c r="C660" t="s">
        <v>385</v>
      </c>
      <c r="D660" t="s">
        <v>386</v>
      </c>
      <c r="E660" t="s">
        <v>73</v>
      </c>
      <c r="F660" t="s">
        <v>73</v>
      </c>
      <c r="G660" t="s">
        <v>73</v>
      </c>
      <c r="H660">
        <v>40.700000000000003</v>
      </c>
      <c r="I660">
        <v>216</v>
      </c>
      <c r="J660">
        <v>24393</v>
      </c>
      <c r="K660" t="s">
        <v>387</v>
      </c>
      <c r="L660">
        <f t="shared" si="42"/>
        <v>49</v>
      </c>
      <c r="N660">
        <v>49</v>
      </c>
      <c r="O660">
        <v>49</v>
      </c>
      <c r="P660">
        <v>1</v>
      </c>
      <c r="Q660">
        <v>4</v>
      </c>
      <c r="R660">
        <v>5</v>
      </c>
      <c r="S660">
        <v>3</v>
      </c>
      <c r="T660">
        <v>2</v>
      </c>
      <c r="U660">
        <v>3</v>
      </c>
      <c r="V660">
        <v>2</v>
      </c>
      <c r="W660">
        <v>3</v>
      </c>
      <c r="X660">
        <v>3</v>
      </c>
      <c r="Y660">
        <v>3</v>
      </c>
      <c r="Z660">
        <v>0</v>
      </c>
      <c r="AA660">
        <v>7</v>
      </c>
      <c r="AB660">
        <v>4</v>
      </c>
      <c r="AC660">
        <v>2</v>
      </c>
      <c r="AD660">
        <v>0</v>
      </c>
      <c r="AE660">
        <v>2</v>
      </c>
      <c r="AF660">
        <v>3</v>
      </c>
      <c r="AG660">
        <v>1</v>
      </c>
      <c r="AH660">
        <v>1</v>
      </c>
      <c r="AI660">
        <v>1</v>
      </c>
      <c r="AJ660">
        <v>4</v>
      </c>
      <c r="AK660">
        <v>5</v>
      </c>
      <c r="AL660">
        <v>3</v>
      </c>
      <c r="AM660">
        <v>2</v>
      </c>
      <c r="AN660">
        <v>3</v>
      </c>
      <c r="AO660">
        <v>2</v>
      </c>
      <c r="AP660">
        <v>3</v>
      </c>
      <c r="AQ660">
        <v>3</v>
      </c>
      <c r="AR660">
        <v>3</v>
      </c>
      <c r="AS660">
        <v>0</v>
      </c>
      <c r="AT660">
        <v>7</v>
      </c>
      <c r="AU660">
        <v>4</v>
      </c>
      <c r="AV660">
        <v>2</v>
      </c>
      <c r="AW660">
        <v>0</v>
      </c>
      <c r="AX660">
        <v>2</v>
      </c>
      <c r="AY660">
        <v>3</v>
      </c>
      <c r="AZ660">
        <v>1</v>
      </c>
      <c r="BA660">
        <v>1</v>
      </c>
      <c r="BB660">
        <v>1</v>
      </c>
      <c r="BC660" s="2">
        <v>4</v>
      </c>
      <c r="BD660" s="2">
        <v>5</v>
      </c>
      <c r="BE660" s="2">
        <v>3</v>
      </c>
      <c r="BF660" s="2">
        <v>2</v>
      </c>
      <c r="BG660" s="2">
        <v>3</v>
      </c>
      <c r="BH660" s="2">
        <v>2</v>
      </c>
      <c r="BI660" s="2">
        <v>3</v>
      </c>
      <c r="BJ660" s="2">
        <v>3</v>
      </c>
      <c r="BK660" s="2">
        <v>3</v>
      </c>
      <c r="BL660" s="2">
        <v>0</v>
      </c>
      <c r="BM660" s="2">
        <v>7</v>
      </c>
      <c r="BN660" s="2">
        <v>4</v>
      </c>
      <c r="BO660" s="2">
        <v>2</v>
      </c>
      <c r="BP660" s="2">
        <v>0</v>
      </c>
      <c r="BQ660" s="2">
        <v>2</v>
      </c>
      <c r="BR660" s="2">
        <v>3</v>
      </c>
      <c r="BS660" s="2">
        <v>1</v>
      </c>
      <c r="BT660" s="2">
        <v>1</v>
      </c>
      <c r="BU660" s="2">
        <v>1</v>
      </c>
      <c r="BV660" s="2">
        <f t="shared" si="45"/>
        <v>49</v>
      </c>
      <c r="BW660" s="16">
        <f t="shared" si="43"/>
        <v>2.5789473684210527</v>
      </c>
      <c r="BX660" s="16">
        <f>COUNTIF($BC$6:BU660, "=0") / COUNTIF($BC$6:BU660, "&gt;-1")</f>
        <v>0.17492969063881078</v>
      </c>
      <c r="BY660" s="18">
        <f>SUM($BC$6:BU660) / $BY$4</f>
        <v>0.88945170784574934</v>
      </c>
      <c r="BZ660" s="14">
        <f t="shared" si="44"/>
        <v>2</v>
      </c>
      <c r="CA660" t="s">
        <v>5831</v>
      </c>
      <c r="CB660" s="36">
        <v>4.8465735833389196</v>
      </c>
      <c r="CC660" s="36">
        <v>4.8153206033872298</v>
      </c>
      <c r="CD660" s="36">
        <v>4.8023929854367697</v>
      </c>
      <c r="CE660" s="36">
        <v>3.0238435183064598</v>
      </c>
      <c r="CF660" s="36">
        <v>2.5805290798106801</v>
      </c>
      <c r="CG660" s="36">
        <v>1.85945449327898</v>
      </c>
      <c r="CH660" s="36">
        <v>3.1621868485939202</v>
      </c>
      <c r="CI660" s="36">
        <v>2.9195507939469199</v>
      </c>
      <c r="CJ660" s="37">
        <v>2.3842748797348698</v>
      </c>
      <c r="CK660" s="37">
        <v>4.4145475282179998</v>
      </c>
      <c r="CL660" s="37">
        <v>3.2002173930693698</v>
      </c>
      <c r="CM660" s="37">
        <v>1.6930940931998799</v>
      </c>
      <c r="CN660" s="37">
        <v>1.8375851316302301</v>
      </c>
      <c r="CO660" s="37">
        <v>2.36757171115537</v>
      </c>
      <c r="CP660" s="37">
        <v>1.50854004786242</v>
      </c>
      <c r="CQ660" s="37">
        <v>1.5226368464746201</v>
      </c>
      <c r="CR660" s="45">
        <v>-0.40841418896064002</v>
      </c>
      <c r="CS660" s="45">
        <v>-1.47977387560506</v>
      </c>
      <c r="CT660" s="46">
        <v>0.340476321310204</v>
      </c>
      <c r="CU660" s="47">
        <v>0.42072785934567303</v>
      </c>
      <c r="CV660" s="48">
        <v>3.5012314882624902</v>
      </c>
      <c r="CW660" s="49">
        <v>2.3660584539181002</v>
      </c>
      <c r="CX660" s="31" t="s">
        <v>5875</v>
      </c>
      <c r="CY660" s="31" t="s">
        <v>5832</v>
      </c>
      <c r="CZ660" t="s">
        <v>6218</v>
      </c>
      <c r="DA660" t="s">
        <v>5904</v>
      </c>
      <c r="DB660">
        <v>451.8</v>
      </c>
      <c r="DC660" t="s">
        <v>14887</v>
      </c>
      <c r="DD660" t="s">
        <v>14888</v>
      </c>
      <c r="DE660" t="s">
        <v>14889</v>
      </c>
      <c r="DF660" t="s">
        <v>14890</v>
      </c>
      <c r="DG660" t="s">
        <v>14891</v>
      </c>
      <c r="DH660" t="str">
        <f>"RAB11A"</f>
        <v>RAB11A</v>
      </c>
      <c r="DI660" t="s">
        <v>14892</v>
      </c>
      <c r="DJ660" t="s">
        <v>13777</v>
      </c>
      <c r="DK660">
        <v>9606</v>
      </c>
      <c r="DL660" s="34" t="str">
        <f>HYPERLINK("http://www.uniprot.org/uniprot/P62491", "P62491")</f>
        <v>P62491</v>
      </c>
      <c r="DM660" t="s">
        <v>14893</v>
      </c>
      <c r="DN660" t="s">
        <v>14894</v>
      </c>
      <c r="DO660" t="s">
        <v>14895</v>
      </c>
      <c r="DP660" t="s">
        <v>13841</v>
      </c>
      <c r="DQ660" t="s">
        <v>13772</v>
      </c>
      <c r="DR660" t="s">
        <v>13772</v>
      </c>
      <c r="DS660" t="s">
        <v>13772</v>
      </c>
      <c r="DT660" t="s">
        <v>14216</v>
      </c>
      <c r="DU660" t="s">
        <v>13772</v>
      </c>
      <c r="DV660" t="s">
        <v>14896</v>
      </c>
      <c r="DW660" t="s">
        <v>13812</v>
      </c>
      <c r="DX660" t="s">
        <v>14897</v>
      </c>
      <c r="DY660" t="s">
        <v>14898</v>
      </c>
      <c r="DZ660" t="s">
        <v>14899</v>
      </c>
      <c r="EA660" t="s">
        <v>13772</v>
      </c>
      <c r="EB660" t="s">
        <v>14900</v>
      </c>
    </row>
    <row r="661" spans="1:132" hidden="1">
      <c r="A661">
        <v>925</v>
      </c>
      <c r="B661">
        <v>1</v>
      </c>
      <c r="C661" t="s">
        <v>2249</v>
      </c>
      <c r="D661" t="s">
        <v>73</v>
      </c>
      <c r="E661" t="s">
        <v>73</v>
      </c>
      <c r="F661" t="s">
        <v>73</v>
      </c>
      <c r="G661" t="s">
        <v>73</v>
      </c>
      <c r="H661">
        <v>65.7</v>
      </c>
      <c r="I661">
        <v>172</v>
      </c>
      <c r="J661">
        <v>19595</v>
      </c>
      <c r="K661" t="s">
        <v>2250</v>
      </c>
      <c r="L661">
        <f t="shared" si="42"/>
        <v>49</v>
      </c>
      <c r="N661">
        <v>49</v>
      </c>
      <c r="O661">
        <v>49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7</v>
      </c>
      <c r="Y661">
        <v>7</v>
      </c>
      <c r="Z661">
        <v>1</v>
      </c>
      <c r="AA661">
        <v>10</v>
      </c>
      <c r="AB661">
        <v>1</v>
      </c>
      <c r="AC661">
        <v>4</v>
      </c>
      <c r="AD661">
        <v>0</v>
      </c>
      <c r="AE661">
        <v>7</v>
      </c>
      <c r="AF661">
        <v>8</v>
      </c>
      <c r="AG661">
        <v>1</v>
      </c>
      <c r="AH661">
        <v>0</v>
      </c>
      <c r="AI661">
        <v>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7</v>
      </c>
      <c r="AR661">
        <v>7</v>
      </c>
      <c r="AS661">
        <v>1</v>
      </c>
      <c r="AT661">
        <v>10</v>
      </c>
      <c r="AU661">
        <v>1</v>
      </c>
      <c r="AV661">
        <v>4</v>
      </c>
      <c r="AW661">
        <v>0</v>
      </c>
      <c r="AX661">
        <v>7</v>
      </c>
      <c r="AY661">
        <v>8</v>
      </c>
      <c r="AZ661">
        <v>1</v>
      </c>
      <c r="BA661">
        <v>0</v>
      </c>
      <c r="BB661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1</v>
      </c>
      <c r="BJ661" s="2">
        <v>7</v>
      </c>
      <c r="BK661" s="2">
        <v>7</v>
      </c>
      <c r="BL661" s="2">
        <v>1</v>
      </c>
      <c r="BM661" s="2">
        <v>10</v>
      </c>
      <c r="BN661" s="2">
        <v>1</v>
      </c>
      <c r="BO661" s="2">
        <v>4</v>
      </c>
      <c r="BP661" s="2">
        <v>0</v>
      </c>
      <c r="BQ661" s="2">
        <v>7</v>
      </c>
      <c r="BR661" s="2">
        <v>8</v>
      </c>
      <c r="BS661" s="2">
        <v>1</v>
      </c>
      <c r="BT661" s="2">
        <v>0</v>
      </c>
      <c r="BU661" s="2">
        <v>2</v>
      </c>
      <c r="BV661" s="2">
        <f t="shared" si="45"/>
        <v>49</v>
      </c>
      <c r="BW661" s="16">
        <f t="shared" si="43"/>
        <v>2.5789473684210527</v>
      </c>
      <c r="BX661" s="16">
        <f>COUNTIF($BC$6:BU661, "=0") / COUNTIF($BC$6:BU661, "&gt;-1")</f>
        <v>0.17530487804878048</v>
      </c>
      <c r="BY661" s="18">
        <f>SUM($BC$6:BU661) / $BY$4</f>
        <v>0.8896616060523157</v>
      </c>
      <c r="BZ661" s="14">
        <f t="shared" si="44"/>
        <v>8</v>
      </c>
      <c r="CA661" t="s">
        <v>5831</v>
      </c>
      <c r="CB661" s="36">
        <v>0.30291084895868198</v>
      </c>
      <c r="CC661" s="36">
        <v>0.24076603016936199</v>
      </c>
      <c r="CD661" s="36">
        <v>0.40019941545306398</v>
      </c>
      <c r="CE661" s="36">
        <v>0.37798043978830698</v>
      </c>
      <c r="CF661" s="36">
        <v>0.215044089984223</v>
      </c>
      <c r="CG661" s="36">
        <v>0.23243181165987301</v>
      </c>
      <c r="CH661" s="36">
        <v>1.05406228286464</v>
      </c>
      <c r="CI661" s="36">
        <v>6.8122851858761404</v>
      </c>
      <c r="CJ661" s="37">
        <v>5.5633080527147003</v>
      </c>
      <c r="CK661" s="37">
        <v>6.3064964688828598</v>
      </c>
      <c r="CL661" s="37">
        <v>0.80005434826734301</v>
      </c>
      <c r="CM661" s="37">
        <v>3.3861881863997598</v>
      </c>
      <c r="CN661" s="37">
        <v>6.4315479607058004</v>
      </c>
      <c r="CO661" s="37">
        <v>6.3135245630809997</v>
      </c>
      <c r="CP661" s="37">
        <v>1.50854004786242</v>
      </c>
      <c r="CQ661" s="37">
        <v>3.0452736929492299</v>
      </c>
      <c r="CR661" s="45">
        <v>1.6656483244234299</v>
      </c>
      <c r="CS661" s="45">
        <v>3.4616065454897802</v>
      </c>
      <c r="CT661" s="46">
        <v>1.4235141500665001E-2</v>
      </c>
      <c r="CU661" s="47">
        <v>2.5193940909906998E-2</v>
      </c>
      <c r="CV661" s="48">
        <v>1.20446001309429</v>
      </c>
      <c r="CW661" s="49">
        <v>4.1693666651078898</v>
      </c>
      <c r="CX661" s="31" t="s">
        <v>5874</v>
      </c>
      <c r="CY661" s="31" t="s">
        <v>5878</v>
      </c>
      <c r="CZ661" t="s">
        <v>8862</v>
      </c>
      <c r="DA661" t="s">
        <v>5904</v>
      </c>
      <c r="DB661">
        <v>355.1</v>
      </c>
      <c r="DC661" t="s">
        <v>22897</v>
      </c>
      <c r="DD661" t="s">
        <v>22898</v>
      </c>
      <c r="DE661" t="s">
        <v>22899</v>
      </c>
      <c r="DF661" t="s">
        <v>22900</v>
      </c>
      <c r="DG661" t="s">
        <v>22901</v>
      </c>
      <c r="DH661" t="str">
        <f>"TPT1"</f>
        <v>TPT1</v>
      </c>
      <c r="DI661" t="s">
        <v>13772</v>
      </c>
      <c r="DJ661" t="s">
        <v>13777</v>
      </c>
      <c r="DK661">
        <v>9606</v>
      </c>
      <c r="DL661" s="34" t="str">
        <f>HYPERLINK("http://www.uniprot.org/uniprot/P13693", "P13693")</f>
        <v>P13693</v>
      </c>
      <c r="DM661" t="s">
        <v>22902</v>
      </c>
      <c r="DN661" t="s">
        <v>13772</v>
      </c>
      <c r="DO661" t="s">
        <v>13899</v>
      </c>
      <c r="DP661" t="s">
        <v>13780</v>
      </c>
      <c r="DQ661" t="s">
        <v>13772</v>
      </c>
      <c r="DR661" t="s">
        <v>13772</v>
      </c>
      <c r="DS661" t="s">
        <v>13772</v>
      </c>
      <c r="DT661" t="s">
        <v>14465</v>
      </c>
      <c r="DU661" t="s">
        <v>13772</v>
      </c>
      <c r="DV661" t="s">
        <v>13782</v>
      </c>
      <c r="DW661" t="s">
        <v>13812</v>
      </c>
      <c r="DX661" t="s">
        <v>22903</v>
      </c>
      <c r="DY661" t="s">
        <v>22904</v>
      </c>
      <c r="DZ661" t="s">
        <v>22905</v>
      </c>
      <c r="EA661" t="s">
        <v>13772</v>
      </c>
      <c r="EB661" t="s">
        <v>13772</v>
      </c>
    </row>
    <row r="662" spans="1:132" hidden="1">
      <c r="A662">
        <v>1922</v>
      </c>
      <c r="B662">
        <v>1</v>
      </c>
      <c r="C662" t="s">
        <v>4527</v>
      </c>
      <c r="D662" t="s">
        <v>73</v>
      </c>
      <c r="E662" t="s">
        <v>73</v>
      </c>
      <c r="F662" t="s">
        <v>73</v>
      </c>
      <c r="G662" t="s">
        <v>73</v>
      </c>
      <c r="H662">
        <v>42.5</v>
      </c>
      <c r="I662">
        <v>219</v>
      </c>
      <c r="J662">
        <v>24605</v>
      </c>
      <c r="K662" t="s">
        <v>4528</v>
      </c>
      <c r="L662">
        <f t="shared" si="42"/>
        <v>49</v>
      </c>
      <c r="N662">
        <v>49</v>
      </c>
      <c r="O662">
        <v>49</v>
      </c>
      <c r="P662">
        <v>1</v>
      </c>
      <c r="Q662">
        <v>5</v>
      </c>
      <c r="R662">
        <v>7</v>
      </c>
      <c r="S662">
        <v>2</v>
      </c>
      <c r="T662">
        <v>3</v>
      </c>
      <c r="U662">
        <v>4</v>
      </c>
      <c r="V662">
        <v>5</v>
      </c>
      <c r="W662">
        <v>6</v>
      </c>
      <c r="X662">
        <v>3</v>
      </c>
      <c r="Y662">
        <v>4</v>
      </c>
      <c r="Z662">
        <v>0</v>
      </c>
      <c r="AA662">
        <v>2</v>
      </c>
      <c r="AB662">
        <v>2</v>
      </c>
      <c r="AC662">
        <v>1</v>
      </c>
      <c r="AD662">
        <v>1</v>
      </c>
      <c r="AE662">
        <v>0</v>
      </c>
      <c r="AF662">
        <v>3</v>
      </c>
      <c r="AG662">
        <v>1</v>
      </c>
      <c r="AH662">
        <v>0</v>
      </c>
      <c r="AI662">
        <v>0</v>
      </c>
      <c r="AJ662">
        <v>5</v>
      </c>
      <c r="AK662">
        <v>7</v>
      </c>
      <c r="AL662">
        <v>2</v>
      </c>
      <c r="AM662">
        <v>3</v>
      </c>
      <c r="AN662">
        <v>4</v>
      </c>
      <c r="AO662">
        <v>5</v>
      </c>
      <c r="AP662">
        <v>6</v>
      </c>
      <c r="AQ662">
        <v>3</v>
      </c>
      <c r="AR662">
        <v>4</v>
      </c>
      <c r="AS662">
        <v>0</v>
      </c>
      <c r="AT662">
        <v>2</v>
      </c>
      <c r="AU662">
        <v>2</v>
      </c>
      <c r="AV662">
        <v>1</v>
      </c>
      <c r="AW662">
        <v>1</v>
      </c>
      <c r="AX662">
        <v>0</v>
      </c>
      <c r="AY662">
        <v>3</v>
      </c>
      <c r="AZ662">
        <v>1</v>
      </c>
      <c r="BA662">
        <v>0</v>
      </c>
      <c r="BB662">
        <v>0</v>
      </c>
      <c r="BC662" s="2">
        <v>5</v>
      </c>
      <c r="BD662" s="2">
        <v>7</v>
      </c>
      <c r="BE662" s="2">
        <v>2</v>
      </c>
      <c r="BF662" s="2">
        <v>3</v>
      </c>
      <c r="BG662" s="2">
        <v>4</v>
      </c>
      <c r="BH662" s="2">
        <v>5</v>
      </c>
      <c r="BI662" s="2">
        <v>6</v>
      </c>
      <c r="BJ662" s="2">
        <v>3</v>
      </c>
      <c r="BK662" s="2">
        <v>4</v>
      </c>
      <c r="BL662" s="2">
        <v>0</v>
      </c>
      <c r="BM662" s="2">
        <v>2</v>
      </c>
      <c r="BN662" s="2">
        <v>2</v>
      </c>
      <c r="BO662" s="2">
        <v>1</v>
      </c>
      <c r="BP662" s="2">
        <v>1</v>
      </c>
      <c r="BQ662" s="2">
        <v>0</v>
      </c>
      <c r="BR662" s="2">
        <v>3</v>
      </c>
      <c r="BS662" s="2">
        <v>1</v>
      </c>
      <c r="BT662" s="2">
        <v>0</v>
      </c>
      <c r="BU662" s="2">
        <v>0</v>
      </c>
      <c r="BV662" s="2">
        <f t="shared" si="45"/>
        <v>49</v>
      </c>
      <c r="BW662" s="16">
        <f t="shared" si="43"/>
        <v>2.5789473684210527</v>
      </c>
      <c r="BX662" s="16">
        <f>COUNTIF($BC$6:BU662, "=0") / COUNTIF($BC$6:BU662, "&gt;-1")</f>
        <v>0.17535848754305855</v>
      </c>
      <c r="BY662" s="18">
        <f>SUM($BC$6:BU662) / $BY$4</f>
        <v>0.88987150425888195</v>
      </c>
      <c r="BZ662" s="14">
        <f t="shared" si="44"/>
        <v>4</v>
      </c>
      <c r="CA662" t="s">
        <v>5831</v>
      </c>
      <c r="CB662" s="36">
        <v>6.0582169791736504</v>
      </c>
      <c r="CC662" s="36">
        <v>6.7414488447421297</v>
      </c>
      <c r="CD662" s="36">
        <v>3.2015953236245198</v>
      </c>
      <c r="CE662" s="36">
        <v>4.5357652774596904</v>
      </c>
      <c r="CF662" s="36">
        <v>3.4407054397475698</v>
      </c>
      <c r="CG662" s="36">
        <v>4.6486362331974602</v>
      </c>
      <c r="CH662" s="36">
        <v>6.3243736971878404</v>
      </c>
      <c r="CI662" s="36">
        <v>2.9195507939469199</v>
      </c>
      <c r="CJ662" s="37">
        <v>3.17903317297983</v>
      </c>
      <c r="CK662" s="37">
        <v>1.2612992937765699</v>
      </c>
      <c r="CL662" s="37">
        <v>1.60010869653469</v>
      </c>
      <c r="CM662" s="37">
        <v>0.84654704659994096</v>
      </c>
      <c r="CN662" s="37">
        <v>0.22969814145377901</v>
      </c>
      <c r="CO662" s="37">
        <v>2.36757171115537</v>
      </c>
      <c r="CP662" s="37">
        <v>1.50854004786242</v>
      </c>
      <c r="CQ662" s="37">
        <v>0.38065921161865401</v>
      </c>
      <c r="CR662" s="45">
        <v>-1.58693197647086</v>
      </c>
      <c r="CS662" s="45">
        <v>-3.3297080665075001</v>
      </c>
      <c r="CT662" s="46">
        <v>7.8837427452120405E-4</v>
      </c>
      <c r="CU662" s="47">
        <v>1.81869789536098E-3</v>
      </c>
      <c r="CV662" s="48">
        <v>4.73378657363497</v>
      </c>
      <c r="CW662" s="49">
        <v>1.4216821652476599</v>
      </c>
      <c r="CX662" s="31" t="s">
        <v>5875</v>
      </c>
      <c r="CY662" s="31" t="s">
        <v>5876</v>
      </c>
      <c r="CZ662" t="s">
        <v>12157</v>
      </c>
      <c r="DA662" t="s">
        <v>5904</v>
      </c>
      <c r="DB662">
        <v>438.7</v>
      </c>
      <c r="DC662" t="s">
        <v>32191</v>
      </c>
      <c r="DD662" t="s">
        <v>32192</v>
      </c>
      <c r="DE662" t="s">
        <v>32193</v>
      </c>
      <c r="DF662" t="s">
        <v>32194</v>
      </c>
      <c r="DG662" t="s">
        <v>32195</v>
      </c>
      <c r="DH662" t="str">
        <f>"CHMP5"</f>
        <v>CHMP5</v>
      </c>
      <c r="DI662" t="s">
        <v>32196</v>
      </c>
      <c r="DJ662" t="s">
        <v>13777</v>
      </c>
      <c r="DK662">
        <v>9606</v>
      </c>
      <c r="DL662" s="34" t="str">
        <f>HYPERLINK("http://www.uniprot.org/uniprot/Q9NZZ3", "Q9NZZ3")</f>
        <v>Q9NZZ3</v>
      </c>
      <c r="DM662" t="s">
        <v>32197</v>
      </c>
      <c r="DN662" t="s">
        <v>14347</v>
      </c>
      <c r="DO662" t="s">
        <v>17403</v>
      </c>
      <c r="DP662" t="s">
        <v>13841</v>
      </c>
      <c r="DQ662" t="s">
        <v>13772</v>
      </c>
      <c r="DR662" t="s">
        <v>13772</v>
      </c>
      <c r="DS662" t="s">
        <v>14245</v>
      </c>
      <c r="DT662" t="s">
        <v>13772</v>
      </c>
      <c r="DU662" t="s">
        <v>13772</v>
      </c>
      <c r="DV662" t="s">
        <v>18636</v>
      </c>
      <c r="DW662" t="s">
        <v>13812</v>
      </c>
      <c r="DX662" t="s">
        <v>32198</v>
      </c>
      <c r="DY662" t="s">
        <v>32199</v>
      </c>
      <c r="DZ662" t="s">
        <v>21896</v>
      </c>
      <c r="EA662" t="s">
        <v>13772</v>
      </c>
      <c r="EB662" t="s">
        <v>16863</v>
      </c>
    </row>
    <row r="663" spans="1:132" hidden="1">
      <c r="A663">
        <v>1958</v>
      </c>
      <c r="B663">
        <v>1</v>
      </c>
      <c r="C663" t="s">
        <v>4619</v>
      </c>
      <c r="D663" t="s">
        <v>73</v>
      </c>
      <c r="E663" t="s">
        <v>73</v>
      </c>
      <c r="F663" t="s">
        <v>73</v>
      </c>
      <c r="G663" t="s">
        <v>73</v>
      </c>
      <c r="H663">
        <v>83.2</v>
      </c>
      <c r="I663">
        <v>137</v>
      </c>
      <c r="J663">
        <v>14337</v>
      </c>
      <c r="K663" t="s">
        <v>4620</v>
      </c>
      <c r="L663">
        <f t="shared" si="42"/>
        <v>49</v>
      </c>
      <c r="N663">
        <v>49</v>
      </c>
      <c r="O663">
        <v>49</v>
      </c>
      <c r="P663">
        <v>1</v>
      </c>
      <c r="Q663">
        <v>3</v>
      </c>
      <c r="R663">
        <v>4</v>
      </c>
      <c r="S663">
        <v>0</v>
      </c>
      <c r="T663">
        <v>0</v>
      </c>
      <c r="U663">
        <v>5</v>
      </c>
      <c r="V663">
        <v>4</v>
      </c>
      <c r="W663">
        <v>0</v>
      </c>
      <c r="X663">
        <v>11</v>
      </c>
      <c r="Y663">
        <v>6</v>
      </c>
      <c r="Z663">
        <v>0</v>
      </c>
      <c r="AA663">
        <v>1</v>
      </c>
      <c r="AB663">
        <v>0</v>
      </c>
      <c r="AC663">
        <v>3</v>
      </c>
      <c r="AD663">
        <v>1</v>
      </c>
      <c r="AE663">
        <v>4</v>
      </c>
      <c r="AF663">
        <v>2</v>
      </c>
      <c r="AG663">
        <v>0</v>
      </c>
      <c r="AH663">
        <v>1</v>
      </c>
      <c r="AI663">
        <v>4</v>
      </c>
      <c r="AJ663">
        <v>3</v>
      </c>
      <c r="AK663">
        <v>4</v>
      </c>
      <c r="AL663">
        <v>0</v>
      </c>
      <c r="AM663">
        <v>0</v>
      </c>
      <c r="AN663">
        <v>5</v>
      </c>
      <c r="AO663">
        <v>4</v>
      </c>
      <c r="AP663">
        <v>0</v>
      </c>
      <c r="AQ663">
        <v>11</v>
      </c>
      <c r="AR663">
        <v>6</v>
      </c>
      <c r="AS663">
        <v>0</v>
      </c>
      <c r="AT663">
        <v>1</v>
      </c>
      <c r="AU663">
        <v>0</v>
      </c>
      <c r="AV663">
        <v>3</v>
      </c>
      <c r="AW663">
        <v>1</v>
      </c>
      <c r="AX663">
        <v>4</v>
      </c>
      <c r="AY663">
        <v>2</v>
      </c>
      <c r="AZ663">
        <v>0</v>
      </c>
      <c r="BA663">
        <v>1</v>
      </c>
      <c r="BB663">
        <v>4</v>
      </c>
      <c r="BC663" s="2">
        <v>3</v>
      </c>
      <c r="BD663" s="2">
        <v>4</v>
      </c>
      <c r="BE663" s="2">
        <v>0</v>
      </c>
      <c r="BF663" s="2">
        <v>0</v>
      </c>
      <c r="BG663" s="2">
        <v>5</v>
      </c>
      <c r="BH663" s="2">
        <v>4</v>
      </c>
      <c r="BI663" s="2">
        <v>0</v>
      </c>
      <c r="BJ663" s="2">
        <v>11</v>
      </c>
      <c r="BK663" s="2">
        <v>6</v>
      </c>
      <c r="BL663" s="2">
        <v>0</v>
      </c>
      <c r="BM663" s="2">
        <v>1</v>
      </c>
      <c r="BN663" s="2">
        <v>0</v>
      </c>
      <c r="BO663" s="2">
        <v>3</v>
      </c>
      <c r="BP663" s="2">
        <v>1</v>
      </c>
      <c r="BQ663" s="2">
        <v>4</v>
      </c>
      <c r="BR663" s="2">
        <v>2</v>
      </c>
      <c r="BS663" s="2">
        <v>0</v>
      </c>
      <c r="BT663" s="2">
        <v>1</v>
      </c>
      <c r="BU663" s="2">
        <v>4</v>
      </c>
      <c r="BV663" s="2">
        <f t="shared" si="45"/>
        <v>49</v>
      </c>
      <c r="BW663" s="16">
        <f t="shared" si="43"/>
        <v>2.5789473684210527</v>
      </c>
      <c r="BX663" s="16">
        <f>COUNTIF($BC$6:BU663, "=0") / COUNTIF($BC$6:BU663, "&gt;-1")</f>
        <v>0.17557190849464085</v>
      </c>
      <c r="BY663" s="18">
        <f>SUM($BC$6:BU663) / $BY$4</f>
        <v>0.89008140246544831</v>
      </c>
      <c r="BZ663" s="14">
        <f t="shared" si="44"/>
        <v>6</v>
      </c>
      <c r="CA663" t="s">
        <v>5831</v>
      </c>
      <c r="CB663" s="36">
        <v>3.6349301875041902</v>
      </c>
      <c r="CC663" s="36">
        <v>3.85225648270979</v>
      </c>
      <c r="CD663" s="36">
        <v>0.40019941545306398</v>
      </c>
      <c r="CE663" s="36">
        <v>0.37798043978830698</v>
      </c>
      <c r="CF663" s="36">
        <v>4.3008817996844604</v>
      </c>
      <c r="CG663" s="36">
        <v>3.7189089865579601</v>
      </c>
      <c r="CH663" s="36">
        <v>0.26351557071616</v>
      </c>
      <c r="CI663" s="36">
        <v>10.7050195778054</v>
      </c>
      <c r="CJ663" s="37">
        <v>4.7685497594697397</v>
      </c>
      <c r="CK663" s="37">
        <v>0.63064964688828595</v>
      </c>
      <c r="CL663" s="37">
        <v>0.200013587066836</v>
      </c>
      <c r="CM663" s="37">
        <v>2.5396411397998202</v>
      </c>
      <c r="CN663" s="37">
        <v>3.6751702632604601</v>
      </c>
      <c r="CO663" s="37">
        <v>1.5783811407702499</v>
      </c>
      <c r="CP663" s="37">
        <v>0.377135011965606</v>
      </c>
      <c r="CQ663" s="37">
        <v>6.0905473858984696</v>
      </c>
      <c r="CR663" s="45">
        <v>-0.54459619419322303</v>
      </c>
      <c r="CS663" s="45">
        <v>-1.3722845814808999</v>
      </c>
      <c r="CT663" s="46">
        <v>0.51286278515212602</v>
      </c>
      <c r="CU663" s="47">
        <v>0.59360761810860296</v>
      </c>
      <c r="CV663" s="48">
        <v>3.4067115575274101</v>
      </c>
      <c r="CW663" s="49">
        <v>2.4825109918899302</v>
      </c>
      <c r="CX663" s="31" t="s">
        <v>5875</v>
      </c>
      <c r="CY663" s="31" t="s">
        <v>5832</v>
      </c>
      <c r="CZ663" t="s">
        <v>12283</v>
      </c>
      <c r="DA663" t="s">
        <v>5904</v>
      </c>
      <c r="DB663">
        <v>254.2</v>
      </c>
      <c r="DC663" t="s">
        <v>32553</v>
      </c>
      <c r="DD663" t="s">
        <v>32554</v>
      </c>
      <c r="DE663" t="s">
        <v>32555</v>
      </c>
      <c r="DF663" t="s">
        <v>32556</v>
      </c>
      <c r="DG663" t="s">
        <v>32557</v>
      </c>
      <c r="DH663" t="str">
        <f>"RIDA"</f>
        <v>RIDA</v>
      </c>
      <c r="DI663" t="s">
        <v>13772</v>
      </c>
      <c r="DJ663" t="s">
        <v>13777</v>
      </c>
      <c r="DK663">
        <v>9606</v>
      </c>
      <c r="DL663" s="34" t="str">
        <f>HYPERLINK("http://www.uniprot.org/uniprot/P52758", "P52758")</f>
        <v>P52758</v>
      </c>
      <c r="DM663" t="s">
        <v>32558</v>
      </c>
      <c r="DN663" t="s">
        <v>13772</v>
      </c>
      <c r="DO663" t="s">
        <v>32559</v>
      </c>
      <c r="DP663" t="s">
        <v>13772</v>
      </c>
      <c r="DQ663" t="s">
        <v>13772</v>
      </c>
      <c r="DR663" t="s">
        <v>13772</v>
      </c>
      <c r="DS663" t="s">
        <v>13772</v>
      </c>
      <c r="DT663" t="s">
        <v>13772</v>
      </c>
      <c r="DU663" t="s">
        <v>13857</v>
      </c>
      <c r="DV663" t="s">
        <v>13886</v>
      </c>
      <c r="DW663" t="s">
        <v>13812</v>
      </c>
      <c r="DX663" t="s">
        <v>32560</v>
      </c>
      <c r="DY663" t="s">
        <v>32561</v>
      </c>
      <c r="DZ663" t="s">
        <v>32562</v>
      </c>
      <c r="EA663" t="s">
        <v>13772</v>
      </c>
      <c r="EB663" t="s">
        <v>24522</v>
      </c>
    </row>
    <row r="664" spans="1:132" hidden="1">
      <c r="A664">
        <v>2139</v>
      </c>
      <c r="B664">
        <v>1</v>
      </c>
      <c r="C664" t="s">
        <v>5016</v>
      </c>
      <c r="D664" t="s">
        <v>73</v>
      </c>
      <c r="E664" t="s">
        <v>73</v>
      </c>
      <c r="F664" t="s">
        <v>73</v>
      </c>
      <c r="G664" t="s">
        <v>73</v>
      </c>
      <c r="H664">
        <v>33.6</v>
      </c>
      <c r="I664">
        <v>440</v>
      </c>
      <c r="J664">
        <v>48090</v>
      </c>
      <c r="K664" t="s">
        <v>5017</v>
      </c>
      <c r="L664">
        <f t="shared" si="42"/>
        <v>49</v>
      </c>
      <c r="N664">
        <v>49</v>
      </c>
      <c r="O664">
        <v>49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>
        <v>5</v>
      </c>
      <c r="Z664">
        <v>0</v>
      </c>
      <c r="AA664">
        <v>11</v>
      </c>
      <c r="AB664">
        <v>11</v>
      </c>
      <c r="AC664">
        <v>6</v>
      </c>
      <c r="AD664">
        <v>0</v>
      </c>
      <c r="AE664">
        <v>6</v>
      </c>
      <c r="AF664">
        <v>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2</v>
      </c>
      <c r="AR664">
        <v>5</v>
      </c>
      <c r="AS664">
        <v>0</v>
      </c>
      <c r="AT664">
        <v>11</v>
      </c>
      <c r="AU664">
        <v>11</v>
      </c>
      <c r="AV664">
        <v>6</v>
      </c>
      <c r="AW664">
        <v>0</v>
      </c>
      <c r="AX664">
        <v>6</v>
      </c>
      <c r="AY664">
        <v>8</v>
      </c>
      <c r="AZ664">
        <v>0</v>
      </c>
      <c r="BA664">
        <v>0</v>
      </c>
      <c r="BB664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2</v>
      </c>
      <c r="BK664" s="2">
        <v>5</v>
      </c>
      <c r="BL664" s="2">
        <v>0</v>
      </c>
      <c r="BM664" s="2">
        <v>11</v>
      </c>
      <c r="BN664" s="2">
        <v>11</v>
      </c>
      <c r="BO664" s="2">
        <v>6</v>
      </c>
      <c r="BP664" s="2">
        <v>0</v>
      </c>
      <c r="BQ664" s="2">
        <v>6</v>
      </c>
      <c r="BR664" s="2">
        <v>8</v>
      </c>
      <c r="BS664" s="2">
        <v>0</v>
      </c>
      <c r="BT664" s="2">
        <v>0</v>
      </c>
      <c r="BU664" s="2">
        <v>0</v>
      </c>
      <c r="BV664" s="2">
        <f t="shared" si="45"/>
        <v>49</v>
      </c>
      <c r="BW664" s="16">
        <f t="shared" si="43"/>
        <v>2.5789473684210527</v>
      </c>
      <c r="BX664" s="16">
        <f>COUNTIF($BC$6:BU664, "=0") / COUNTIF($BC$6:BU664, "&gt;-1")</f>
        <v>0.17626387668716556</v>
      </c>
      <c r="BY664" s="18">
        <f>SUM($BC$6:BU664) / $BY$4</f>
        <v>0.89029130067201467</v>
      </c>
      <c r="BZ664" s="14">
        <f t="shared" si="44"/>
        <v>12</v>
      </c>
      <c r="CA664" t="s">
        <v>5831</v>
      </c>
      <c r="CB664" s="36">
        <v>0.30291084895868198</v>
      </c>
      <c r="CC664" s="36">
        <v>0.24076603016936199</v>
      </c>
      <c r="CD664" s="36">
        <v>0.40019941545306398</v>
      </c>
      <c r="CE664" s="36">
        <v>0.37798043978830698</v>
      </c>
      <c r="CF664" s="36">
        <v>0.215044089984223</v>
      </c>
      <c r="CG664" s="36">
        <v>0.23243181165987301</v>
      </c>
      <c r="CH664" s="36">
        <v>0.26351557071616</v>
      </c>
      <c r="CI664" s="36">
        <v>1.9463671959646101</v>
      </c>
      <c r="CJ664" s="37">
        <v>3.9737914662247902</v>
      </c>
      <c r="CK664" s="37">
        <v>6.9371461157711396</v>
      </c>
      <c r="CL664" s="37">
        <v>8.8005978309407702</v>
      </c>
      <c r="CM664" s="37">
        <v>5.0792822795996404</v>
      </c>
      <c r="CN664" s="37">
        <v>5.5127553948906796</v>
      </c>
      <c r="CO664" s="37">
        <v>6.3135245630809997</v>
      </c>
      <c r="CP664" s="37">
        <v>0.377135011965606</v>
      </c>
      <c r="CQ664" s="37">
        <v>0.38065921161865401</v>
      </c>
      <c r="CR664" s="45">
        <v>3.0117508858743398</v>
      </c>
      <c r="CS664" s="45">
        <v>9.3925279462846198</v>
      </c>
      <c r="CT664" s="46">
        <v>1.6069441641924401E-5</v>
      </c>
      <c r="CU664" s="47">
        <v>5.5414724012615501E-5</v>
      </c>
      <c r="CV664" s="48">
        <v>0.49740192533678601</v>
      </c>
      <c r="CW664" s="49">
        <v>4.67186148426154</v>
      </c>
      <c r="CX664" s="31" t="s">
        <v>5874</v>
      </c>
      <c r="CY664" s="31" t="s">
        <v>5876</v>
      </c>
      <c r="CZ664" t="s">
        <v>12877</v>
      </c>
      <c r="DA664" t="s">
        <v>5904</v>
      </c>
      <c r="DB664">
        <v>830.5</v>
      </c>
      <c r="DC664" t="s">
        <v>34219</v>
      </c>
      <c r="DD664" t="s">
        <v>34220</v>
      </c>
      <c r="DE664" t="s">
        <v>34221</v>
      </c>
      <c r="DF664" t="s">
        <v>34222</v>
      </c>
      <c r="DG664" t="s">
        <v>34223</v>
      </c>
      <c r="DH664" t="str">
        <f>"PDIA6"</f>
        <v>PDIA6</v>
      </c>
      <c r="DI664" t="s">
        <v>34224</v>
      </c>
      <c r="DJ664" t="s">
        <v>13777</v>
      </c>
      <c r="DK664">
        <v>9606</v>
      </c>
      <c r="DL664" s="34" t="str">
        <f>HYPERLINK("http://www.uniprot.org/uniprot/Q15084", "Q15084")</f>
        <v>Q15084</v>
      </c>
      <c r="DM664" t="s">
        <v>34225</v>
      </c>
      <c r="DN664" t="s">
        <v>13772</v>
      </c>
      <c r="DO664" t="s">
        <v>24225</v>
      </c>
      <c r="DP664" t="s">
        <v>13780</v>
      </c>
      <c r="DQ664" t="s">
        <v>13772</v>
      </c>
      <c r="DR664" t="s">
        <v>13772</v>
      </c>
      <c r="DS664" t="s">
        <v>14909</v>
      </c>
      <c r="DT664" t="s">
        <v>13772</v>
      </c>
      <c r="DU664" t="s">
        <v>23747</v>
      </c>
      <c r="DV664" t="s">
        <v>15554</v>
      </c>
      <c r="DW664" t="s">
        <v>13812</v>
      </c>
      <c r="DX664" t="s">
        <v>34226</v>
      </c>
      <c r="DY664" t="s">
        <v>34227</v>
      </c>
      <c r="DZ664" t="s">
        <v>34228</v>
      </c>
      <c r="EA664" t="s">
        <v>13772</v>
      </c>
      <c r="EB664" t="s">
        <v>34229</v>
      </c>
    </row>
    <row r="665" spans="1:132" hidden="1">
      <c r="A665">
        <v>974</v>
      </c>
      <c r="B665">
        <v>1</v>
      </c>
      <c r="C665" t="s">
        <v>2363</v>
      </c>
      <c r="D665" t="s">
        <v>73</v>
      </c>
      <c r="E665" t="s">
        <v>73</v>
      </c>
      <c r="F665" t="s">
        <v>2364</v>
      </c>
      <c r="G665" t="s">
        <v>73</v>
      </c>
      <c r="H665">
        <v>44.7</v>
      </c>
      <c r="I665">
        <v>215</v>
      </c>
      <c r="J665">
        <v>24893</v>
      </c>
      <c r="K665" t="s">
        <v>2365</v>
      </c>
      <c r="L665">
        <f t="shared" si="42"/>
        <v>52</v>
      </c>
      <c r="N665">
        <v>52</v>
      </c>
      <c r="O665">
        <v>46</v>
      </c>
      <c r="P665">
        <v>0.88500000000000001</v>
      </c>
      <c r="Q665">
        <v>0</v>
      </c>
      <c r="R665">
        <v>3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10</v>
      </c>
      <c r="Z665">
        <v>1</v>
      </c>
      <c r="AA665">
        <v>6</v>
      </c>
      <c r="AB665">
        <v>12</v>
      </c>
      <c r="AC665">
        <v>7</v>
      </c>
      <c r="AD665">
        <v>0</v>
      </c>
      <c r="AE665">
        <v>8</v>
      </c>
      <c r="AF665">
        <v>2</v>
      </c>
      <c r="AG665">
        <v>0</v>
      </c>
      <c r="AH665">
        <v>0</v>
      </c>
      <c r="AI665">
        <v>1</v>
      </c>
      <c r="AJ665">
        <v>0</v>
      </c>
      <c r="AK665">
        <v>3</v>
      </c>
      <c r="AL665">
        <v>0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8</v>
      </c>
      <c r="AS665">
        <v>1</v>
      </c>
      <c r="AT665">
        <v>5</v>
      </c>
      <c r="AU665">
        <v>11</v>
      </c>
      <c r="AV665">
        <v>7</v>
      </c>
      <c r="AW665">
        <v>0</v>
      </c>
      <c r="AX665">
        <v>7</v>
      </c>
      <c r="AY665">
        <v>1</v>
      </c>
      <c r="AZ665">
        <v>0</v>
      </c>
      <c r="BA665">
        <v>0</v>
      </c>
      <c r="BB665">
        <v>1</v>
      </c>
      <c r="BC665" s="2">
        <v>0</v>
      </c>
      <c r="BD665" s="2">
        <v>3</v>
      </c>
      <c r="BE665" s="2">
        <v>0</v>
      </c>
      <c r="BF665" s="2">
        <v>1</v>
      </c>
      <c r="BG665" s="2">
        <v>1</v>
      </c>
      <c r="BH665" s="2">
        <v>0</v>
      </c>
      <c r="BI665" s="2">
        <v>0</v>
      </c>
      <c r="BJ665" s="2">
        <v>0</v>
      </c>
      <c r="BK665" s="2">
        <v>8.7270000000000003</v>
      </c>
      <c r="BL665" s="2">
        <v>1</v>
      </c>
      <c r="BM665" s="2">
        <v>5.5</v>
      </c>
      <c r="BN665" s="2">
        <v>11.846</v>
      </c>
      <c r="BO665" s="2">
        <v>7</v>
      </c>
      <c r="BP665" s="2">
        <v>0</v>
      </c>
      <c r="BQ665" s="2">
        <v>7.7</v>
      </c>
      <c r="BR665" s="2">
        <v>1.2</v>
      </c>
      <c r="BS665" s="2">
        <v>0</v>
      </c>
      <c r="BT665" s="2">
        <v>0</v>
      </c>
      <c r="BU665" s="2">
        <v>1</v>
      </c>
      <c r="BV665" s="2">
        <f t="shared" si="45"/>
        <v>48.973000000000006</v>
      </c>
      <c r="BW665" s="16">
        <f t="shared" si="43"/>
        <v>2.5775263157894739</v>
      </c>
      <c r="BX665" s="16">
        <f>COUNTIF($BC$6:BU665, "=0") / COUNTIF($BC$6:BU665, "&gt;-1")</f>
        <v>0.17663476874003189</v>
      </c>
      <c r="BY665" s="18">
        <f>SUM($BC$6:BU665) / $BY$4</f>
        <v>0.89050108322038557</v>
      </c>
      <c r="BZ665" s="14">
        <f t="shared" si="44"/>
        <v>8</v>
      </c>
      <c r="CA665" t="s">
        <v>5831</v>
      </c>
      <c r="CB665" s="36">
        <v>0.30291084895868198</v>
      </c>
      <c r="CC665" s="36">
        <v>2.8891923620323401</v>
      </c>
      <c r="CD665" s="36">
        <v>0.40019941545306398</v>
      </c>
      <c r="CE665" s="36">
        <v>1.5119217591532299</v>
      </c>
      <c r="CF665" s="36">
        <v>0.86017635993689201</v>
      </c>
      <c r="CG665" s="36">
        <v>0.23243181165987301</v>
      </c>
      <c r="CH665" s="36">
        <v>0.26351557071616</v>
      </c>
      <c r="CI665" s="36">
        <v>0.24329589949557701</v>
      </c>
      <c r="CJ665" s="37">
        <v>6.91439715123113</v>
      </c>
      <c r="CK665" s="37">
        <v>3.4685730578855698</v>
      </c>
      <c r="CL665" s="37">
        <v>9.4406413095546409</v>
      </c>
      <c r="CM665" s="37">
        <v>5.9258293261995796</v>
      </c>
      <c r="CN665" s="37">
        <v>7.0747027567763796</v>
      </c>
      <c r="CO665" s="37">
        <v>0.94702868446215005</v>
      </c>
      <c r="CP665" s="37">
        <v>0.377135011965606</v>
      </c>
      <c r="CQ665" s="37">
        <v>1.5226368464746201</v>
      </c>
      <c r="CR665" s="45">
        <v>2.2954152794595801</v>
      </c>
      <c r="CS665" s="45">
        <v>5.3211274343804398</v>
      </c>
      <c r="CT665" s="46">
        <v>1.26992542990427E-3</v>
      </c>
      <c r="CU665" s="47">
        <v>2.7764055967514898E-3</v>
      </c>
      <c r="CV665" s="48">
        <v>0.837955503425727</v>
      </c>
      <c r="CW665" s="49">
        <v>4.4588680180687099</v>
      </c>
      <c r="CX665" s="31" t="s">
        <v>5874</v>
      </c>
      <c r="CY665" s="31" t="s">
        <v>5876</v>
      </c>
      <c r="CZ665" t="s">
        <v>9031</v>
      </c>
      <c r="DA665" t="s">
        <v>5904</v>
      </c>
      <c r="DB665">
        <v>420.6</v>
      </c>
      <c r="DC665" t="s">
        <v>23378</v>
      </c>
      <c r="DD665" t="s">
        <v>23379</v>
      </c>
      <c r="DE665" t="s">
        <v>23380</v>
      </c>
      <c r="DF665" t="s">
        <v>23381</v>
      </c>
      <c r="DG665" t="s">
        <v>23382</v>
      </c>
      <c r="DH665" t="str">
        <f>"HMGB1"</f>
        <v>HMGB1</v>
      </c>
      <c r="DI665" t="s">
        <v>23383</v>
      </c>
      <c r="DJ665" t="s">
        <v>13777</v>
      </c>
      <c r="DK665">
        <v>9606</v>
      </c>
      <c r="DL665" s="34" t="str">
        <f>HYPERLINK("http://www.uniprot.org/uniprot/P09429", "P09429")</f>
        <v>P09429</v>
      </c>
      <c r="DM665" t="s">
        <v>23384</v>
      </c>
      <c r="DN665" t="s">
        <v>23385</v>
      </c>
      <c r="DO665" t="s">
        <v>23386</v>
      </c>
      <c r="DP665" t="s">
        <v>13793</v>
      </c>
      <c r="DQ665" t="s">
        <v>13772</v>
      </c>
      <c r="DR665" t="s">
        <v>13772</v>
      </c>
      <c r="DS665" t="s">
        <v>14096</v>
      </c>
      <c r="DT665" t="s">
        <v>13772</v>
      </c>
      <c r="DU665" t="s">
        <v>15871</v>
      </c>
      <c r="DV665" t="s">
        <v>23387</v>
      </c>
      <c r="DW665" t="s">
        <v>13812</v>
      </c>
      <c r="DX665" t="s">
        <v>23388</v>
      </c>
      <c r="DY665" t="s">
        <v>23389</v>
      </c>
      <c r="DZ665" t="s">
        <v>23390</v>
      </c>
      <c r="EA665" t="s">
        <v>13772</v>
      </c>
      <c r="EB665" t="s">
        <v>23391</v>
      </c>
    </row>
    <row r="666" spans="1:132" hidden="1">
      <c r="A666">
        <v>1665</v>
      </c>
      <c r="B666">
        <v>1</v>
      </c>
      <c r="C666" t="s">
        <v>3948</v>
      </c>
      <c r="D666" t="s">
        <v>73</v>
      </c>
      <c r="E666" t="s">
        <v>73</v>
      </c>
      <c r="F666" t="s">
        <v>2826</v>
      </c>
      <c r="G666" t="s">
        <v>73</v>
      </c>
      <c r="H666">
        <v>49.4</v>
      </c>
      <c r="I666">
        <v>447</v>
      </c>
      <c r="J666">
        <v>50536</v>
      </c>
      <c r="K666" t="s">
        <v>3949</v>
      </c>
      <c r="L666">
        <f t="shared" si="42"/>
        <v>63</v>
      </c>
      <c r="N666">
        <v>63</v>
      </c>
      <c r="O666">
        <v>38</v>
      </c>
      <c r="P666">
        <v>0.60299999999999998</v>
      </c>
      <c r="Q666">
        <v>1</v>
      </c>
      <c r="R666">
        <v>2</v>
      </c>
      <c r="S666">
        <v>0</v>
      </c>
      <c r="T666">
        <v>0</v>
      </c>
      <c r="U666">
        <v>5</v>
      </c>
      <c r="V666">
        <v>4</v>
      </c>
      <c r="W666">
        <v>5</v>
      </c>
      <c r="X666">
        <v>9</v>
      </c>
      <c r="Y666">
        <v>11</v>
      </c>
      <c r="Z666">
        <v>0</v>
      </c>
      <c r="AA666">
        <v>9</v>
      </c>
      <c r="AB666">
        <v>7</v>
      </c>
      <c r="AC666">
        <v>7</v>
      </c>
      <c r="AD666">
        <v>2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2</v>
      </c>
      <c r="AL666">
        <v>0</v>
      </c>
      <c r="AM666">
        <v>0</v>
      </c>
      <c r="AN666">
        <v>3</v>
      </c>
      <c r="AO666">
        <v>3</v>
      </c>
      <c r="AP666">
        <v>1</v>
      </c>
      <c r="AQ666">
        <v>6</v>
      </c>
      <c r="AR666">
        <v>8</v>
      </c>
      <c r="AS666">
        <v>0</v>
      </c>
      <c r="AT666">
        <v>6</v>
      </c>
      <c r="AU666">
        <v>4</v>
      </c>
      <c r="AV666">
        <v>3</v>
      </c>
      <c r="AW666">
        <v>1</v>
      </c>
      <c r="AX666">
        <v>0</v>
      </c>
      <c r="AY666">
        <v>1</v>
      </c>
      <c r="AZ666">
        <v>0</v>
      </c>
      <c r="BA666">
        <v>0</v>
      </c>
      <c r="BB666">
        <v>0</v>
      </c>
      <c r="BC666" s="2">
        <v>0.5</v>
      </c>
      <c r="BD666" s="2">
        <v>2</v>
      </c>
      <c r="BE666" s="2">
        <v>0</v>
      </c>
      <c r="BF666" s="2">
        <v>0</v>
      </c>
      <c r="BG666" s="2">
        <v>3.5</v>
      </c>
      <c r="BH666" s="2">
        <v>3.25</v>
      </c>
      <c r="BI666" s="2">
        <v>2</v>
      </c>
      <c r="BJ666" s="2">
        <v>8.25</v>
      </c>
      <c r="BK666" s="2">
        <v>9.4120000000000008</v>
      </c>
      <c r="BL666" s="2">
        <v>0</v>
      </c>
      <c r="BM666" s="2">
        <v>7.125</v>
      </c>
      <c r="BN666" s="2">
        <v>5.5</v>
      </c>
      <c r="BO666" s="2">
        <v>4.7140000000000004</v>
      </c>
      <c r="BP666" s="2">
        <v>1.5</v>
      </c>
      <c r="BQ666" s="2">
        <v>0</v>
      </c>
      <c r="BR666" s="2">
        <v>1</v>
      </c>
      <c r="BS666" s="2">
        <v>0</v>
      </c>
      <c r="BT666" s="2">
        <v>0</v>
      </c>
      <c r="BU666" s="2">
        <v>0</v>
      </c>
      <c r="BV666" s="2">
        <f t="shared" si="45"/>
        <v>48.750999999999998</v>
      </c>
      <c r="BW666" s="16">
        <f t="shared" si="43"/>
        <v>2.5658421052631577</v>
      </c>
      <c r="BX666" s="16">
        <f>COUNTIF($BC$6:BU666, "=0") / COUNTIF($BC$6:BU666, "&gt;-1")</f>
        <v>0.17692491440401306</v>
      </c>
      <c r="BY666" s="18">
        <f>SUM($BC$6:BU666) / $BY$4</f>
        <v>0.89070991480137174</v>
      </c>
      <c r="BZ666" s="14">
        <f t="shared" si="44"/>
        <v>7</v>
      </c>
      <c r="CA666" t="s">
        <v>5831</v>
      </c>
      <c r="CB666" s="36">
        <v>0.60582169791736495</v>
      </c>
      <c r="CC666" s="36">
        <v>1.9261282413548899</v>
      </c>
      <c r="CD666" s="36">
        <v>0.40019941545306398</v>
      </c>
      <c r="CE666" s="36">
        <v>0.37798043978830698</v>
      </c>
      <c r="CF666" s="36">
        <v>3.0106172597791199</v>
      </c>
      <c r="CG666" s="36">
        <v>3.06809991391032</v>
      </c>
      <c r="CH666" s="36">
        <v>2.10812456572928</v>
      </c>
      <c r="CI666" s="36">
        <v>8.0774238632531397</v>
      </c>
      <c r="CJ666" s="37">
        <v>7.4707279565025999</v>
      </c>
      <c r="CK666" s="37">
        <v>4.4776124929068297</v>
      </c>
      <c r="CL666" s="37">
        <v>4.4002989154703904</v>
      </c>
      <c r="CM666" s="37">
        <v>3.9787711190197199</v>
      </c>
      <c r="CN666" s="37">
        <v>0.22969814145377901</v>
      </c>
      <c r="CO666" s="37">
        <v>0.78919057038512497</v>
      </c>
      <c r="CP666" s="37">
        <v>0.377135011965606</v>
      </c>
      <c r="CQ666" s="37">
        <v>0.38065921161865401</v>
      </c>
      <c r="CR666" s="45">
        <v>0.178735550596198</v>
      </c>
      <c r="CS666" s="45">
        <v>1.1292350527721</v>
      </c>
      <c r="CT666" s="46">
        <v>0.91997982514923704</v>
      </c>
      <c r="CU666" s="47">
        <v>0.94924215725541905</v>
      </c>
      <c r="CV666" s="48">
        <v>2.4467994246481899</v>
      </c>
      <c r="CW666" s="49">
        <v>2.7630116774153399</v>
      </c>
      <c r="CX666" s="31" t="s">
        <v>5874</v>
      </c>
      <c r="CY666" s="31" t="s">
        <v>5832</v>
      </c>
      <c r="CZ666" t="s">
        <v>11299</v>
      </c>
      <c r="DA666" t="s">
        <v>5904</v>
      </c>
      <c r="DB666">
        <v>917.5</v>
      </c>
      <c r="DC666" t="s">
        <v>29769</v>
      </c>
      <c r="DD666" t="s">
        <v>29770</v>
      </c>
      <c r="DE666" t="s">
        <v>29771</v>
      </c>
      <c r="DF666" t="s">
        <v>29772</v>
      </c>
      <c r="DG666" t="s">
        <v>29773</v>
      </c>
      <c r="DH666" t="str">
        <f>"GDI1"</f>
        <v>GDI1</v>
      </c>
      <c r="DI666" t="s">
        <v>29774</v>
      </c>
      <c r="DJ666" t="s">
        <v>13777</v>
      </c>
      <c r="DK666">
        <v>9606</v>
      </c>
      <c r="DL666" s="34" t="str">
        <f>HYPERLINK("http://www.uniprot.org/uniprot/P31150", "P31150")</f>
        <v>P31150</v>
      </c>
      <c r="DM666" t="s">
        <v>29775</v>
      </c>
      <c r="DN666" t="s">
        <v>13772</v>
      </c>
      <c r="DO666" t="s">
        <v>17355</v>
      </c>
      <c r="DP666" t="s">
        <v>13772</v>
      </c>
      <c r="DQ666" t="s">
        <v>13772</v>
      </c>
      <c r="DR666" t="s">
        <v>17801</v>
      </c>
      <c r="DS666" t="s">
        <v>13772</v>
      </c>
      <c r="DT666" t="s">
        <v>13772</v>
      </c>
      <c r="DU666" t="s">
        <v>14301</v>
      </c>
      <c r="DV666" t="s">
        <v>13772</v>
      </c>
      <c r="DW666" t="s">
        <v>13772</v>
      </c>
      <c r="DX666" t="s">
        <v>29776</v>
      </c>
      <c r="DY666" t="s">
        <v>29777</v>
      </c>
      <c r="DZ666" t="s">
        <v>29778</v>
      </c>
      <c r="EA666" t="s">
        <v>13772</v>
      </c>
      <c r="EB666" t="s">
        <v>29779</v>
      </c>
    </row>
    <row r="667" spans="1:132" hidden="1">
      <c r="A667">
        <v>1388</v>
      </c>
      <c r="B667">
        <v>1</v>
      </c>
      <c r="C667" t="s">
        <v>3318</v>
      </c>
      <c r="D667" t="s">
        <v>73</v>
      </c>
      <c r="E667" t="s">
        <v>73</v>
      </c>
      <c r="F667" t="s">
        <v>389</v>
      </c>
      <c r="G667" t="s">
        <v>73</v>
      </c>
      <c r="H667">
        <v>39.700000000000003</v>
      </c>
      <c r="I667">
        <v>433</v>
      </c>
      <c r="J667">
        <v>47744</v>
      </c>
      <c r="K667" t="s">
        <v>3319</v>
      </c>
      <c r="L667">
        <f t="shared" si="42"/>
        <v>50</v>
      </c>
      <c r="N667">
        <v>50</v>
      </c>
      <c r="O667">
        <v>48</v>
      </c>
      <c r="P667">
        <v>0.96</v>
      </c>
      <c r="Q667">
        <v>3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1</v>
      </c>
      <c r="X667">
        <v>2</v>
      </c>
      <c r="Y667">
        <v>5</v>
      </c>
      <c r="Z667">
        <v>0</v>
      </c>
      <c r="AA667">
        <v>10</v>
      </c>
      <c r="AB667">
        <v>7</v>
      </c>
      <c r="AC667">
        <v>8</v>
      </c>
      <c r="AD667">
        <v>1</v>
      </c>
      <c r="AE667">
        <v>5</v>
      </c>
      <c r="AF667">
        <v>4</v>
      </c>
      <c r="AG667">
        <v>2</v>
      </c>
      <c r="AH667">
        <v>0</v>
      </c>
      <c r="AI667">
        <v>1</v>
      </c>
      <c r="AJ667">
        <v>3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2</v>
      </c>
      <c r="AR667">
        <v>5</v>
      </c>
      <c r="AS667">
        <v>0</v>
      </c>
      <c r="AT667">
        <v>9</v>
      </c>
      <c r="AU667">
        <v>7</v>
      </c>
      <c r="AV667">
        <v>7</v>
      </c>
      <c r="AW667">
        <v>1</v>
      </c>
      <c r="AX667">
        <v>5</v>
      </c>
      <c r="AY667">
        <v>4</v>
      </c>
      <c r="AZ667">
        <v>2</v>
      </c>
      <c r="BA667">
        <v>0</v>
      </c>
      <c r="BB667">
        <v>1</v>
      </c>
      <c r="BC667" s="2">
        <v>3</v>
      </c>
      <c r="BD667" s="2">
        <v>0</v>
      </c>
      <c r="BE667" s="2">
        <v>1</v>
      </c>
      <c r="BF667" s="2">
        <v>0</v>
      </c>
      <c r="BG667" s="2">
        <v>0</v>
      </c>
      <c r="BH667" s="2">
        <v>0</v>
      </c>
      <c r="BI667" s="2">
        <v>1</v>
      </c>
      <c r="BJ667" s="2">
        <v>2</v>
      </c>
      <c r="BK667" s="2">
        <v>5</v>
      </c>
      <c r="BL667" s="2">
        <v>0</v>
      </c>
      <c r="BM667" s="2">
        <v>9.31</v>
      </c>
      <c r="BN667" s="2">
        <v>7</v>
      </c>
      <c r="BO667" s="2">
        <v>7.35</v>
      </c>
      <c r="BP667" s="2">
        <v>1</v>
      </c>
      <c r="BQ667" s="2">
        <v>5</v>
      </c>
      <c r="BR667" s="2">
        <v>4</v>
      </c>
      <c r="BS667" s="2">
        <v>2</v>
      </c>
      <c r="BT667" s="2">
        <v>0</v>
      </c>
      <c r="BU667" s="2">
        <v>1</v>
      </c>
      <c r="BV667" s="2">
        <f t="shared" si="45"/>
        <v>48.660000000000004</v>
      </c>
      <c r="BW667" s="16">
        <f t="shared" si="43"/>
        <v>2.5610526315789475</v>
      </c>
      <c r="BX667" s="16">
        <f>COUNTIF($BC$6:BU667, "=0") / COUNTIF($BC$6:BU667, "&gt;-1")</f>
        <v>0.17713467959930038</v>
      </c>
      <c r="BY667" s="18">
        <f>SUM($BC$6:BU667) / $BY$4</f>
        <v>0.89091835657140273</v>
      </c>
      <c r="BZ667" s="14">
        <f t="shared" si="44"/>
        <v>6</v>
      </c>
      <c r="CA667" t="s">
        <v>5831</v>
      </c>
      <c r="CB667" s="36">
        <v>3.6349301875041902</v>
      </c>
      <c r="CC667" s="36">
        <v>0.24076603016936199</v>
      </c>
      <c r="CD667" s="36">
        <v>1.6007976618122599</v>
      </c>
      <c r="CE667" s="36">
        <v>0.37798043978830698</v>
      </c>
      <c r="CF667" s="36">
        <v>0.215044089984223</v>
      </c>
      <c r="CG667" s="36">
        <v>0.23243181165987301</v>
      </c>
      <c r="CH667" s="36">
        <v>1.05406228286464</v>
      </c>
      <c r="CI667" s="36">
        <v>1.9463671959646101</v>
      </c>
      <c r="CJ667" s="37">
        <v>3.9737914662247902</v>
      </c>
      <c r="CK667" s="37">
        <v>5.86504171606106</v>
      </c>
      <c r="CL667" s="37">
        <v>5.6003804378713999</v>
      </c>
      <c r="CM667" s="37">
        <v>6.2644481448395597</v>
      </c>
      <c r="CN667" s="37">
        <v>4.5939628290755703</v>
      </c>
      <c r="CO667" s="37">
        <v>3.1567622815404999</v>
      </c>
      <c r="CP667" s="37">
        <v>3.0170800957248498</v>
      </c>
      <c r="CQ667" s="37">
        <v>1.5226368464746201</v>
      </c>
      <c r="CR667" s="45">
        <v>1.9094755269170001</v>
      </c>
      <c r="CS667" s="45">
        <v>3.6543449004489901</v>
      </c>
      <c r="CT667" s="46">
        <v>6.8015834686998503E-4</v>
      </c>
      <c r="CU667" s="47">
        <v>1.602203993155E-3</v>
      </c>
      <c r="CV667" s="48">
        <v>1.1627974624684301</v>
      </c>
      <c r="CW667" s="49">
        <v>4.2492629772265396</v>
      </c>
      <c r="CX667" s="31" t="s">
        <v>5874</v>
      </c>
      <c r="CY667" s="31" t="s">
        <v>5876</v>
      </c>
      <c r="CZ667" t="s">
        <v>10371</v>
      </c>
      <c r="DA667" t="s">
        <v>5904</v>
      </c>
      <c r="DB667">
        <v>718.4</v>
      </c>
      <c r="DC667" t="s">
        <v>27181</v>
      </c>
      <c r="DD667" t="s">
        <v>27182</v>
      </c>
      <c r="DE667" t="s">
        <v>27183</v>
      </c>
      <c r="DF667" t="s">
        <v>27184</v>
      </c>
      <c r="DG667" t="s">
        <v>27185</v>
      </c>
      <c r="DH667" t="str">
        <f>"TXNDC5"</f>
        <v>TXNDC5</v>
      </c>
      <c r="DI667" t="s">
        <v>27186</v>
      </c>
      <c r="DJ667" t="s">
        <v>13777</v>
      </c>
      <c r="DK667">
        <v>9606</v>
      </c>
      <c r="DL667" s="34" t="str">
        <f>HYPERLINK("http://www.uniprot.org/uniprot/Q8NBS9", "Q8NBS9")</f>
        <v>Q8NBS9</v>
      </c>
      <c r="DM667" t="s">
        <v>27187</v>
      </c>
      <c r="DN667" t="s">
        <v>13772</v>
      </c>
      <c r="DO667" t="s">
        <v>14908</v>
      </c>
      <c r="DP667" t="s">
        <v>13841</v>
      </c>
      <c r="DQ667" t="s">
        <v>13772</v>
      </c>
      <c r="DR667" t="s">
        <v>13772</v>
      </c>
      <c r="DS667" t="s">
        <v>14909</v>
      </c>
      <c r="DT667" t="s">
        <v>13772</v>
      </c>
      <c r="DU667" t="s">
        <v>13772</v>
      </c>
      <c r="DV667" t="s">
        <v>14506</v>
      </c>
      <c r="DW667" t="s">
        <v>13812</v>
      </c>
      <c r="DX667" t="s">
        <v>27188</v>
      </c>
      <c r="DY667" t="s">
        <v>27189</v>
      </c>
      <c r="DZ667" t="s">
        <v>27190</v>
      </c>
      <c r="EA667" t="s">
        <v>13772</v>
      </c>
      <c r="EB667" t="s">
        <v>27191</v>
      </c>
    </row>
    <row r="668" spans="1:132" hidden="1">
      <c r="A668">
        <v>1134</v>
      </c>
      <c r="B668">
        <v>1</v>
      </c>
      <c r="C668" t="s">
        <v>2729</v>
      </c>
      <c r="D668" t="s">
        <v>2730</v>
      </c>
      <c r="E668" t="s">
        <v>73</v>
      </c>
      <c r="F668" t="s">
        <v>2731</v>
      </c>
      <c r="G668" t="s">
        <v>73</v>
      </c>
      <c r="H668">
        <v>29.6</v>
      </c>
      <c r="I668">
        <v>189</v>
      </c>
      <c r="J668">
        <v>20719</v>
      </c>
      <c r="K668" t="s">
        <v>2732</v>
      </c>
      <c r="L668">
        <f t="shared" si="42"/>
        <v>54</v>
      </c>
      <c r="N668">
        <v>54</v>
      </c>
      <c r="O668">
        <v>29</v>
      </c>
      <c r="P668">
        <v>0.53700000000000003</v>
      </c>
      <c r="Q668">
        <v>4</v>
      </c>
      <c r="R668">
        <v>3</v>
      </c>
      <c r="S668">
        <v>2</v>
      </c>
      <c r="T668">
        <v>3</v>
      </c>
      <c r="U668">
        <v>7</v>
      </c>
      <c r="V668">
        <v>2</v>
      </c>
      <c r="W668">
        <v>2</v>
      </c>
      <c r="X668">
        <v>2</v>
      </c>
      <c r="Y668">
        <v>5</v>
      </c>
      <c r="Z668">
        <v>1</v>
      </c>
      <c r="AA668">
        <v>8</v>
      </c>
      <c r="AB668">
        <v>6</v>
      </c>
      <c r="AC668">
        <v>2</v>
      </c>
      <c r="AD668">
        <v>1</v>
      </c>
      <c r="AE668">
        <v>2</v>
      </c>
      <c r="AF668">
        <v>1</v>
      </c>
      <c r="AG668">
        <v>2</v>
      </c>
      <c r="AH668">
        <v>0</v>
      </c>
      <c r="AI668">
        <v>1</v>
      </c>
      <c r="AJ668">
        <v>2</v>
      </c>
      <c r="AK668">
        <v>2</v>
      </c>
      <c r="AL668">
        <v>1</v>
      </c>
      <c r="AM668">
        <v>1</v>
      </c>
      <c r="AN668">
        <v>2</v>
      </c>
      <c r="AO668">
        <v>1</v>
      </c>
      <c r="AP668">
        <v>1</v>
      </c>
      <c r="AQ668">
        <v>1</v>
      </c>
      <c r="AR668">
        <v>3</v>
      </c>
      <c r="AS668">
        <v>1</v>
      </c>
      <c r="AT668">
        <v>3</v>
      </c>
      <c r="AU668">
        <v>3</v>
      </c>
      <c r="AV668">
        <v>2</v>
      </c>
      <c r="AW668">
        <v>1</v>
      </c>
      <c r="AX668">
        <v>1</v>
      </c>
      <c r="AY668">
        <v>1</v>
      </c>
      <c r="AZ668">
        <v>2</v>
      </c>
      <c r="BA668">
        <v>0</v>
      </c>
      <c r="BB668">
        <v>1</v>
      </c>
      <c r="BC668" s="2">
        <v>3.4129999999999998</v>
      </c>
      <c r="BD668" s="2">
        <v>2.9670000000000001</v>
      </c>
      <c r="BE668" s="2">
        <v>1.9670000000000001</v>
      </c>
      <c r="BF668" s="2">
        <v>2.9329999999999998</v>
      </c>
      <c r="BG668" s="2">
        <v>5.7919999999999998</v>
      </c>
      <c r="BH668" s="2">
        <v>1.9670000000000001</v>
      </c>
      <c r="BI668" s="2">
        <v>1.9670000000000001</v>
      </c>
      <c r="BJ668" s="2">
        <v>1.9670000000000001</v>
      </c>
      <c r="BK668" s="2">
        <v>4.4130000000000003</v>
      </c>
      <c r="BL668" s="2">
        <v>1</v>
      </c>
      <c r="BM668" s="2">
        <v>6.2720000000000002</v>
      </c>
      <c r="BN668" s="2">
        <v>4.859</v>
      </c>
      <c r="BO668" s="2">
        <v>2</v>
      </c>
      <c r="BP668" s="2">
        <v>1</v>
      </c>
      <c r="BQ668" s="2">
        <v>1.9670000000000001</v>
      </c>
      <c r="BR668" s="2">
        <v>1</v>
      </c>
      <c r="BS668" s="2">
        <v>2</v>
      </c>
      <c r="BT668" s="2">
        <v>0</v>
      </c>
      <c r="BU668" s="2">
        <v>1</v>
      </c>
      <c r="BV668" s="2">
        <f t="shared" si="45"/>
        <v>48.483999999999995</v>
      </c>
      <c r="BW668" s="16">
        <f t="shared" si="43"/>
        <v>2.5517894736842104</v>
      </c>
      <c r="BX668" s="16">
        <f>COUNTIF($BC$6:BU668, "=0") / COUNTIF($BC$6:BU668, "&gt;-1")</f>
        <v>0.17694689211717077</v>
      </c>
      <c r="BY668" s="18">
        <f>SUM($BC$6:BU668) / $BY$4</f>
        <v>0.8911260444213448</v>
      </c>
      <c r="BZ668" s="14">
        <f t="shared" si="44"/>
        <v>1</v>
      </c>
      <c r="CA668" t="s">
        <v>5831</v>
      </c>
      <c r="CB668" s="36">
        <v>4.1195875458380797</v>
      </c>
      <c r="CC668" s="36">
        <v>2.8891923620323401</v>
      </c>
      <c r="CD668" s="36">
        <v>3.2015953236245198</v>
      </c>
      <c r="CE668" s="36">
        <v>4.3845731015443699</v>
      </c>
      <c r="CF668" s="36">
        <v>4.9890228876339702</v>
      </c>
      <c r="CG668" s="36">
        <v>1.85945449327898</v>
      </c>
      <c r="CH668" s="36">
        <v>2.10812456572928</v>
      </c>
      <c r="CI668" s="36">
        <v>1.9463671959646101</v>
      </c>
      <c r="CJ668" s="37">
        <v>3.4969364902778102</v>
      </c>
      <c r="CK668" s="37">
        <v>3.9730927753962</v>
      </c>
      <c r="CL668" s="37">
        <v>3.9202663065099799</v>
      </c>
      <c r="CM668" s="37">
        <v>1.6930940931998799</v>
      </c>
      <c r="CN668" s="37">
        <v>1.8375851316302301</v>
      </c>
      <c r="CO668" s="37">
        <v>0.78919057038512497</v>
      </c>
      <c r="CP668" s="37">
        <v>3.0170800957248498</v>
      </c>
      <c r="CQ668" s="37">
        <v>1.5226368464746201</v>
      </c>
      <c r="CR668" s="45">
        <v>-0.25439980121628603</v>
      </c>
      <c r="CS668" s="45">
        <v>-1.25916373664848</v>
      </c>
      <c r="CT668" s="46">
        <v>0.58977131361213897</v>
      </c>
      <c r="CU668" s="47">
        <v>0.66648143379479896</v>
      </c>
      <c r="CV668" s="48">
        <v>3.1872396844557702</v>
      </c>
      <c r="CW668" s="49">
        <v>2.5312352886998402</v>
      </c>
      <c r="CX668" s="31" t="s">
        <v>5875</v>
      </c>
      <c r="CY668" s="31" t="s">
        <v>5832</v>
      </c>
      <c r="CZ668" t="s">
        <v>9508</v>
      </c>
      <c r="DA668" t="s">
        <v>5896</v>
      </c>
      <c r="DB668">
        <v>396.4</v>
      </c>
      <c r="DC668" t="s">
        <v>24726</v>
      </c>
      <c r="DD668" t="s">
        <v>24727</v>
      </c>
      <c r="DE668" t="s">
        <v>24728</v>
      </c>
      <c r="DF668" t="s">
        <v>24729</v>
      </c>
      <c r="DG668" t="s">
        <v>13772</v>
      </c>
      <c r="DH668" t="str">
        <f>"TUBA1C"</f>
        <v>TUBA1C</v>
      </c>
      <c r="DI668" t="s">
        <v>24730</v>
      </c>
      <c r="DJ668" t="s">
        <v>13777</v>
      </c>
      <c r="DK668">
        <v>9606</v>
      </c>
      <c r="DL668" s="34" t="str">
        <f>HYPERLINK("http://www.uniprot.org/uniprot/Q9BQE3", "Q9BQE3")</f>
        <v>Q9BQE3</v>
      </c>
      <c r="DM668" t="s">
        <v>24731</v>
      </c>
      <c r="DN668" t="s">
        <v>13772</v>
      </c>
      <c r="DO668" t="s">
        <v>20183</v>
      </c>
      <c r="DP668" t="s">
        <v>13772</v>
      </c>
      <c r="DQ668" t="s">
        <v>13772</v>
      </c>
      <c r="DR668" t="s">
        <v>13772</v>
      </c>
      <c r="DS668" t="s">
        <v>13772</v>
      </c>
      <c r="DT668" t="s">
        <v>14216</v>
      </c>
      <c r="DU668" t="s">
        <v>13772</v>
      </c>
      <c r="DV668" t="s">
        <v>23698</v>
      </c>
      <c r="DW668" t="s">
        <v>13772</v>
      </c>
      <c r="DX668" t="s">
        <v>24732</v>
      </c>
      <c r="DY668" t="s">
        <v>24733</v>
      </c>
      <c r="DZ668" t="s">
        <v>24734</v>
      </c>
      <c r="EA668" t="s">
        <v>13772</v>
      </c>
      <c r="EB668" t="s">
        <v>24735</v>
      </c>
    </row>
    <row r="669" spans="1:132" hidden="1">
      <c r="A669">
        <v>526</v>
      </c>
      <c r="B669">
        <v>1</v>
      </c>
      <c r="C669" t="s">
        <v>1325</v>
      </c>
      <c r="D669" t="s">
        <v>73</v>
      </c>
      <c r="E669" t="s">
        <v>73</v>
      </c>
      <c r="F669" t="s">
        <v>73</v>
      </c>
      <c r="G669" t="s">
        <v>73</v>
      </c>
      <c r="H669">
        <v>42.2</v>
      </c>
      <c r="I669">
        <v>427</v>
      </c>
      <c r="J669">
        <v>45075</v>
      </c>
      <c r="K669" t="s">
        <v>1326</v>
      </c>
      <c r="L669">
        <f t="shared" si="42"/>
        <v>48</v>
      </c>
      <c r="N669">
        <v>48</v>
      </c>
      <c r="O669">
        <v>48</v>
      </c>
      <c r="P669">
        <v>1</v>
      </c>
      <c r="Q669">
        <v>0</v>
      </c>
      <c r="R669">
        <v>2</v>
      </c>
      <c r="S669">
        <v>0</v>
      </c>
      <c r="T669">
        <v>0</v>
      </c>
      <c r="U669">
        <v>7</v>
      </c>
      <c r="V669">
        <v>3</v>
      </c>
      <c r="W669">
        <v>0</v>
      </c>
      <c r="X669">
        <v>7</v>
      </c>
      <c r="Y669">
        <v>6</v>
      </c>
      <c r="Z669">
        <v>0</v>
      </c>
      <c r="AA669">
        <v>4</v>
      </c>
      <c r="AB669">
        <v>7</v>
      </c>
      <c r="AC669">
        <v>7</v>
      </c>
      <c r="AD669">
        <v>0</v>
      </c>
      <c r="AE669">
        <v>2</v>
      </c>
      <c r="AF669">
        <v>3</v>
      </c>
      <c r="AG669">
        <v>0</v>
      </c>
      <c r="AH669">
        <v>0</v>
      </c>
      <c r="AI669">
        <v>0</v>
      </c>
      <c r="AJ669">
        <v>0</v>
      </c>
      <c r="AK669">
        <v>2</v>
      </c>
      <c r="AL669">
        <v>0</v>
      </c>
      <c r="AM669">
        <v>0</v>
      </c>
      <c r="AN669">
        <v>7</v>
      </c>
      <c r="AO669">
        <v>3</v>
      </c>
      <c r="AP669">
        <v>0</v>
      </c>
      <c r="AQ669">
        <v>7</v>
      </c>
      <c r="AR669">
        <v>6</v>
      </c>
      <c r="AS669">
        <v>0</v>
      </c>
      <c r="AT669">
        <v>4</v>
      </c>
      <c r="AU669">
        <v>7</v>
      </c>
      <c r="AV669">
        <v>7</v>
      </c>
      <c r="AW669">
        <v>0</v>
      </c>
      <c r="AX669">
        <v>2</v>
      </c>
      <c r="AY669">
        <v>3</v>
      </c>
      <c r="AZ669">
        <v>0</v>
      </c>
      <c r="BA669">
        <v>0</v>
      </c>
      <c r="BB669">
        <v>0</v>
      </c>
      <c r="BC669" s="2">
        <v>0</v>
      </c>
      <c r="BD669" s="2">
        <v>2</v>
      </c>
      <c r="BE669" s="2">
        <v>0</v>
      </c>
      <c r="BF669" s="2">
        <v>0</v>
      </c>
      <c r="BG669" s="2">
        <v>7</v>
      </c>
      <c r="BH669" s="2">
        <v>3</v>
      </c>
      <c r="BI669" s="2">
        <v>0</v>
      </c>
      <c r="BJ669" s="2">
        <v>7</v>
      </c>
      <c r="BK669" s="2">
        <v>6</v>
      </c>
      <c r="BL669" s="2">
        <v>0</v>
      </c>
      <c r="BM669" s="2">
        <v>4</v>
      </c>
      <c r="BN669" s="2">
        <v>7</v>
      </c>
      <c r="BO669" s="2">
        <v>7</v>
      </c>
      <c r="BP669" s="2">
        <v>0</v>
      </c>
      <c r="BQ669" s="2">
        <v>2</v>
      </c>
      <c r="BR669" s="2">
        <v>3</v>
      </c>
      <c r="BS669" s="2">
        <v>0</v>
      </c>
      <c r="BT669" s="2">
        <v>0</v>
      </c>
      <c r="BU669" s="2">
        <v>0</v>
      </c>
      <c r="BV669" s="2">
        <f t="shared" si="45"/>
        <v>48</v>
      </c>
      <c r="BW669" s="16">
        <f t="shared" si="43"/>
        <v>2.5263157894736841</v>
      </c>
      <c r="BX669" s="16">
        <f>COUNTIF($BC$6:BU669, "=0") / COUNTIF($BC$6:BU669, "&gt;-1")</f>
        <v>0.17739378566899175</v>
      </c>
      <c r="BY669" s="18">
        <f>SUM($BC$6:BU669) / $BY$4</f>
        <v>0.89133165899104239</v>
      </c>
      <c r="BZ669" s="14">
        <f t="shared" si="44"/>
        <v>9</v>
      </c>
      <c r="CA669" t="s">
        <v>5831</v>
      </c>
      <c r="CB669" s="36">
        <v>0.30291084895868198</v>
      </c>
      <c r="CC669" s="36">
        <v>1.9261282413548899</v>
      </c>
      <c r="CD669" s="36">
        <v>0.40019941545306398</v>
      </c>
      <c r="CE669" s="36">
        <v>0.37798043978830698</v>
      </c>
      <c r="CF669" s="36">
        <v>6.0212345195582504</v>
      </c>
      <c r="CG669" s="36">
        <v>2.7891817399184702</v>
      </c>
      <c r="CH669" s="36">
        <v>0.26351557071616</v>
      </c>
      <c r="CI669" s="36">
        <v>6.8122851858761404</v>
      </c>
      <c r="CJ669" s="37">
        <v>4.7685497594697397</v>
      </c>
      <c r="CK669" s="37">
        <v>2.5225985875531398</v>
      </c>
      <c r="CL669" s="37">
        <v>5.6003804378713999</v>
      </c>
      <c r="CM669" s="37">
        <v>5.9258293261995796</v>
      </c>
      <c r="CN669" s="37">
        <v>1.8375851316302301</v>
      </c>
      <c r="CO669" s="37">
        <v>2.36757171115537</v>
      </c>
      <c r="CP669" s="37">
        <v>0.377135011965606</v>
      </c>
      <c r="CQ669" s="37">
        <v>0.38065921161865401</v>
      </c>
      <c r="CR669" s="45">
        <v>0.29119584849373698</v>
      </c>
      <c r="CS669" s="45">
        <v>1.25865455207649</v>
      </c>
      <c r="CT669" s="46">
        <v>0.68199514963520302</v>
      </c>
      <c r="CU669" s="47">
        <v>0.75041900510847204</v>
      </c>
      <c r="CV669" s="48">
        <v>2.361679495203</v>
      </c>
      <c r="CW669" s="49">
        <v>2.97253864718297</v>
      </c>
      <c r="CX669" s="31" t="s">
        <v>5874</v>
      </c>
      <c r="CY669" s="31" t="s">
        <v>5832</v>
      </c>
      <c r="CZ669" t="s">
        <v>7537</v>
      </c>
      <c r="DA669" t="s">
        <v>5904</v>
      </c>
      <c r="DB669">
        <v>785</v>
      </c>
      <c r="DC669" t="s">
        <v>18982</v>
      </c>
      <c r="DD669" t="s">
        <v>18983</v>
      </c>
      <c r="DE669" t="s">
        <v>18984</v>
      </c>
      <c r="DF669" t="s">
        <v>18985</v>
      </c>
      <c r="DG669" t="s">
        <v>18986</v>
      </c>
      <c r="DH669" t="str">
        <f>"ACAT1"</f>
        <v>ACAT1</v>
      </c>
      <c r="DI669" t="s">
        <v>18987</v>
      </c>
      <c r="DJ669" t="s">
        <v>13777</v>
      </c>
      <c r="DK669">
        <v>9606</v>
      </c>
      <c r="DL669" s="34" t="str">
        <f>HYPERLINK("http://www.uniprot.org/uniprot/P24752", "P24752")</f>
        <v>P24752</v>
      </c>
      <c r="DM669" t="s">
        <v>18988</v>
      </c>
      <c r="DN669" t="s">
        <v>13772</v>
      </c>
      <c r="DO669" t="s">
        <v>14491</v>
      </c>
      <c r="DP669" t="s">
        <v>13780</v>
      </c>
      <c r="DQ669" t="s">
        <v>13772</v>
      </c>
      <c r="DR669" t="s">
        <v>13807</v>
      </c>
      <c r="DS669" t="s">
        <v>14391</v>
      </c>
      <c r="DT669" t="s">
        <v>18989</v>
      </c>
      <c r="DU669" t="s">
        <v>15096</v>
      </c>
      <c r="DV669" t="s">
        <v>14020</v>
      </c>
      <c r="DW669" t="s">
        <v>13812</v>
      </c>
      <c r="DX669" t="s">
        <v>18990</v>
      </c>
      <c r="DY669" t="s">
        <v>18991</v>
      </c>
      <c r="DZ669" t="s">
        <v>18992</v>
      </c>
      <c r="EA669" t="s">
        <v>13772</v>
      </c>
      <c r="EB669" t="s">
        <v>18993</v>
      </c>
    </row>
    <row r="670" spans="1:132" hidden="1">
      <c r="A670">
        <v>678</v>
      </c>
      <c r="B670">
        <v>1</v>
      </c>
      <c r="C670" t="s">
        <v>1668</v>
      </c>
      <c r="D670" t="s">
        <v>1669</v>
      </c>
      <c r="E670" t="s">
        <v>73</v>
      </c>
      <c r="F670" t="s">
        <v>73</v>
      </c>
      <c r="G670" t="s">
        <v>73</v>
      </c>
      <c r="H670">
        <v>9.4</v>
      </c>
      <c r="I670">
        <v>830</v>
      </c>
      <c r="J670">
        <v>91501</v>
      </c>
      <c r="K670" t="s">
        <v>1670</v>
      </c>
      <c r="L670">
        <f t="shared" si="42"/>
        <v>48</v>
      </c>
      <c r="N670">
        <v>48</v>
      </c>
      <c r="O670">
        <v>48</v>
      </c>
      <c r="P670">
        <v>1</v>
      </c>
      <c r="Q670">
        <v>2</v>
      </c>
      <c r="R670">
        <v>2</v>
      </c>
      <c r="S670">
        <v>3</v>
      </c>
      <c r="T670">
        <v>3</v>
      </c>
      <c r="U670">
        <v>5</v>
      </c>
      <c r="V670">
        <v>2</v>
      </c>
      <c r="W670">
        <v>5</v>
      </c>
      <c r="X670">
        <v>3</v>
      </c>
      <c r="Y670">
        <v>2</v>
      </c>
      <c r="Z670">
        <v>0</v>
      </c>
      <c r="AA670">
        <v>5</v>
      </c>
      <c r="AB670">
        <v>2</v>
      </c>
      <c r="AC670">
        <v>2</v>
      </c>
      <c r="AD670">
        <v>0</v>
      </c>
      <c r="AE670">
        <v>4</v>
      </c>
      <c r="AF670">
        <v>4</v>
      </c>
      <c r="AG670">
        <v>2</v>
      </c>
      <c r="AH670">
        <v>0</v>
      </c>
      <c r="AI670">
        <v>2</v>
      </c>
      <c r="AJ670">
        <v>2</v>
      </c>
      <c r="AK670">
        <v>2</v>
      </c>
      <c r="AL670">
        <v>3</v>
      </c>
      <c r="AM670">
        <v>3</v>
      </c>
      <c r="AN670">
        <v>5</v>
      </c>
      <c r="AO670">
        <v>2</v>
      </c>
      <c r="AP670">
        <v>5</v>
      </c>
      <c r="AQ670">
        <v>3</v>
      </c>
      <c r="AR670">
        <v>2</v>
      </c>
      <c r="AS670">
        <v>0</v>
      </c>
      <c r="AT670">
        <v>5</v>
      </c>
      <c r="AU670">
        <v>2</v>
      </c>
      <c r="AV670">
        <v>2</v>
      </c>
      <c r="AW670">
        <v>0</v>
      </c>
      <c r="AX670">
        <v>4</v>
      </c>
      <c r="AY670">
        <v>4</v>
      </c>
      <c r="AZ670">
        <v>2</v>
      </c>
      <c r="BA670">
        <v>0</v>
      </c>
      <c r="BB670">
        <v>2</v>
      </c>
      <c r="BC670" s="2">
        <v>2</v>
      </c>
      <c r="BD670" s="2">
        <v>2</v>
      </c>
      <c r="BE670" s="2">
        <v>3</v>
      </c>
      <c r="BF670" s="2">
        <v>3</v>
      </c>
      <c r="BG670" s="2">
        <v>5</v>
      </c>
      <c r="BH670" s="2">
        <v>2</v>
      </c>
      <c r="BI670" s="2">
        <v>5</v>
      </c>
      <c r="BJ670" s="2">
        <v>3</v>
      </c>
      <c r="BK670" s="2">
        <v>2</v>
      </c>
      <c r="BL670" s="2">
        <v>0</v>
      </c>
      <c r="BM670" s="2">
        <v>5</v>
      </c>
      <c r="BN670" s="2">
        <v>2</v>
      </c>
      <c r="BO670" s="2">
        <v>2</v>
      </c>
      <c r="BP670" s="2">
        <v>0</v>
      </c>
      <c r="BQ670" s="2">
        <v>4</v>
      </c>
      <c r="BR670" s="2">
        <v>4</v>
      </c>
      <c r="BS670" s="2">
        <v>2</v>
      </c>
      <c r="BT670" s="2">
        <v>0</v>
      </c>
      <c r="BU670" s="2">
        <v>2</v>
      </c>
      <c r="BV670" s="2">
        <f t="shared" si="45"/>
        <v>48</v>
      </c>
      <c r="BW670" s="16">
        <f t="shared" si="43"/>
        <v>2.5263157894736841</v>
      </c>
      <c r="BX670" s="16">
        <f>COUNTIF($BC$6:BU670, "=0") / COUNTIF($BC$6:BU670, "&gt;-1")</f>
        <v>0.17736446379105658</v>
      </c>
      <c r="BY670" s="18">
        <f>SUM($BC$6:BU670) / $BY$4</f>
        <v>0.89153727356073997</v>
      </c>
      <c r="BZ670" s="14">
        <f t="shared" si="44"/>
        <v>3</v>
      </c>
      <c r="CA670" t="s">
        <v>5831</v>
      </c>
      <c r="CB670" s="36">
        <v>2.4232867916694598</v>
      </c>
      <c r="CC670" s="36">
        <v>1.9261282413548899</v>
      </c>
      <c r="CD670" s="36">
        <v>4.8023929854367697</v>
      </c>
      <c r="CE670" s="36">
        <v>4.5357652774596904</v>
      </c>
      <c r="CF670" s="36">
        <v>4.3008817996844604</v>
      </c>
      <c r="CG670" s="36">
        <v>1.85945449327898</v>
      </c>
      <c r="CH670" s="36">
        <v>5.2703114143232002</v>
      </c>
      <c r="CI670" s="36">
        <v>2.9195507939469199</v>
      </c>
      <c r="CJ670" s="37">
        <v>1.5895165864899099</v>
      </c>
      <c r="CK670" s="37">
        <v>3.1532482344414299</v>
      </c>
      <c r="CL670" s="37">
        <v>1.60010869653469</v>
      </c>
      <c r="CM670" s="37">
        <v>1.6930940931998799</v>
      </c>
      <c r="CN670" s="37">
        <v>3.6751702632604601</v>
      </c>
      <c r="CO670" s="37">
        <v>3.1567622815404999</v>
      </c>
      <c r="CP670" s="37">
        <v>3.0170800957248498</v>
      </c>
      <c r="CQ670" s="37">
        <v>3.0452736929492299</v>
      </c>
      <c r="CR670" s="45">
        <v>-0.38972248557141298</v>
      </c>
      <c r="CS670" s="45">
        <v>-1.3395810615572099</v>
      </c>
      <c r="CT670" s="46">
        <v>0.42039784538328501</v>
      </c>
      <c r="CU670" s="47">
        <v>0.504025373765981</v>
      </c>
      <c r="CV670" s="48">
        <v>3.5047214746442998</v>
      </c>
      <c r="CW670" s="49">
        <v>2.6162817430176202</v>
      </c>
      <c r="CX670" s="31" t="s">
        <v>5875</v>
      </c>
      <c r="CY670" s="31" t="s">
        <v>5832</v>
      </c>
      <c r="CZ670" t="s">
        <v>8030</v>
      </c>
      <c r="DA670" t="s">
        <v>5904</v>
      </c>
      <c r="DB670">
        <v>1168.3</v>
      </c>
      <c r="DC670" t="s">
        <v>20472</v>
      </c>
      <c r="DD670" t="s">
        <v>20473</v>
      </c>
      <c r="DE670" t="s">
        <v>20474</v>
      </c>
      <c r="DF670" t="s">
        <v>20475</v>
      </c>
      <c r="DG670" t="s">
        <v>20476</v>
      </c>
      <c r="DH670" t="str">
        <f>"CD97"</f>
        <v>CD97</v>
      </c>
      <c r="DI670" t="s">
        <v>13772</v>
      </c>
      <c r="DJ670" t="s">
        <v>13777</v>
      </c>
      <c r="DK670">
        <v>9606</v>
      </c>
      <c r="DL670" s="34" t="str">
        <f>HYPERLINK("http://www.uniprot.org/uniprot/P48960", "P48960")</f>
        <v>P48960</v>
      </c>
      <c r="DM670" t="s">
        <v>20477</v>
      </c>
      <c r="DN670" t="s">
        <v>13949</v>
      </c>
      <c r="DO670" t="s">
        <v>14336</v>
      </c>
      <c r="DP670" t="s">
        <v>13780</v>
      </c>
      <c r="DQ670" t="s">
        <v>13772</v>
      </c>
      <c r="DR670" t="s">
        <v>13772</v>
      </c>
      <c r="DS670" t="s">
        <v>13963</v>
      </c>
      <c r="DT670" t="s">
        <v>14465</v>
      </c>
      <c r="DU670" t="s">
        <v>13977</v>
      </c>
      <c r="DV670" t="s">
        <v>13964</v>
      </c>
      <c r="DW670" t="s">
        <v>13812</v>
      </c>
      <c r="DX670" t="s">
        <v>20478</v>
      </c>
      <c r="DY670" t="s">
        <v>20479</v>
      </c>
      <c r="DZ670" t="s">
        <v>20480</v>
      </c>
      <c r="EA670" t="s">
        <v>13772</v>
      </c>
      <c r="EB670" t="s">
        <v>20481</v>
      </c>
    </row>
    <row r="671" spans="1:132" hidden="1">
      <c r="A671">
        <v>800</v>
      </c>
      <c r="B671">
        <v>1</v>
      </c>
      <c r="C671" t="s">
        <v>1963</v>
      </c>
      <c r="D671" t="s">
        <v>73</v>
      </c>
      <c r="E671" t="s">
        <v>73</v>
      </c>
      <c r="F671" t="s">
        <v>73</v>
      </c>
      <c r="G671" t="s">
        <v>73</v>
      </c>
      <c r="H671">
        <v>21.9</v>
      </c>
      <c r="I671">
        <v>580</v>
      </c>
      <c r="J671">
        <v>64438</v>
      </c>
      <c r="K671" t="s">
        <v>1964</v>
      </c>
      <c r="L671">
        <f t="shared" si="42"/>
        <v>48</v>
      </c>
      <c r="N671">
        <v>48</v>
      </c>
      <c r="O671">
        <v>48</v>
      </c>
      <c r="P671">
        <v>1</v>
      </c>
      <c r="Q671">
        <v>3</v>
      </c>
      <c r="R671">
        <v>6</v>
      </c>
      <c r="S671">
        <v>2</v>
      </c>
      <c r="T671">
        <v>2</v>
      </c>
      <c r="U671">
        <v>11</v>
      </c>
      <c r="V671">
        <v>13</v>
      </c>
      <c r="W671">
        <v>6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</v>
      </c>
      <c r="AK671">
        <v>6</v>
      </c>
      <c r="AL671">
        <v>2</v>
      </c>
      <c r="AM671">
        <v>2</v>
      </c>
      <c r="AN671">
        <v>11</v>
      </c>
      <c r="AO671">
        <v>13</v>
      </c>
      <c r="AP671">
        <v>6</v>
      </c>
      <c r="AQ671">
        <v>5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 s="2">
        <v>3</v>
      </c>
      <c r="BD671" s="2">
        <v>6</v>
      </c>
      <c r="BE671" s="2">
        <v>2</v>
      </c>
      <c r="BF671" s="2">
        <v>2</v>
      </c>
      <c r="BG671" s="2">
        <v>11</v>
      </c>
      <c r="BH671" s="2">
        <v>13</v>
      </c>
      <c r="BI671" s="2">
        <v>6</v>
      </c>
      <c r="BJ671" s="2">
        <v>5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f t="shared" si="45"/>
        <v>48</v>
      </c>
      <c r="BW671" s="16">
        <f t="shared" si="43"/>
        <v>2.5263157894736841</v>
      </c>
      <c r="BX671" s="16">
        <f>COUNTIF($BC$6:BU671, "=0") / COUNTIF($BC$6:BU671, "&gt;-1")</f>
        <v>0.17796744112533586</v>
      </c>
      <c r="BY671" s="18">
        <f>SUM($BC$6:BU671) / $BY$4</f>
        <v>0.89174288813043767</v>
      </c>
      <c r="BZ671" s="14">
        <f t="shared" si="44"/>
        <v>11</v>
      </c>
      <c r="CA671" t="s">
        <v>5831</v>
      </c>
      <c r="CB671" s="36">
        <v>3.6349301875041902</v>
      </c>
      <c r="CC671" s="36">
        <v>5.7783847240646802</v>
      </c>
      <c r="CD671" s="36">
        <v>3.2015953236245198</v>
      </c>
      <c r="CE671" s="36">
        <v>3.0238435183064598</v>
      </c>
      <c r="CF671" s="36">
        <v>9.4619399593058091</v>
      </c>
      <c r="CG671" s="36">
        <v>12.0864542063134</v>
      </c>
      <c r="CH671" s="36">
        <v>6.3243736971878404</v>
      </c>
      <c r="CI671" s="36">
        <v>4.8659179899115301</v>
      </c>
      <c r="CJ671" s="37">
        <v>0.19868957331123899</v>
      </c>
      <c r="CK671" s="37">
        <v>0.15766241172207099</v>
      </c>
      <c r="CL671" s="37">
        <v>0.200013587066836</v>
      </c>
      <c r="CM671" s="37">
        <v>0.21163676164998499</v>
      </c>
      <c r="CN671" s="37">
        <v>0.22969814145377901</v>
      </c>
      <c r="CO671" s="37">
        <v>0.19729764259628099</v>
      </c>
      <c r="CP671" s="37">
        <v>0.377135011965606</v>
      </c>
      <c r="CQ671" s="37">
        <v>0.38065921161865401</v>
      </c>
      <c r="CR671" s="45">
        <v>-4.20893458669922</v>
      </c>
      <c r="CS671" s="45">
        <v>-24.773468525547798</v>
      </c>
      <c r="CT671" s="46">
        <v>3.4329308155133699E-9</v>
      </c>
      <c r="CU671" s="47">
        <v>3.6454455802832498E-8</v>
      </c>
      <c r="CV671" s="48">
        <v>6.0471799507773003</v>
      </c>
      <c r="CW671" s="49">
        <v>0.24409904267305599</v>
      </c>
      <c r="CX671" s="31" t="s">
        <v>5875</v>
      </c>
      <c r="CY671" s="31" t="s">
        <v>5876</v>
      </c>
      <c r="CZ671" t="s">
        <v>8439</v>
      </c>
      <c r="DA671" t="s">
        <v>5904</v>
      </c>
      <c r="DB671">
        <v>1030</v>
      </c>
      <c r="DC671" t="s">
        <v>21679</v>
      </c>
      <c r="DD671" t="s">
        <v>21680</v>
      </c>
      <c r="DE671" t="s">
        <v>21681</v>
      </c>
      <c r="DF671" t="s">
        <v>21682</v>
      </c>
      <c r="DG671" t="s">
        <v>21683</v>
      </c>
      <c r="DH671" t="str">
        <f>"LRRC15"</f>
        <v>LRRC15</v>
      </c>
      <c r="DI671" t="s">
        <v>21684</v>
      </c>
      <c r="DJ671" t="s">
        <v>13777</v>
      </c>
      <c r="DK671">
        <v>9606</v>
      </c>
      <c r="DL671" s="34" t="str">
        <f>HYPERLINK("http://www.uniprot.org/uniprot/Q8TF66", "Q8TF66")</f>
        <v>Q8TF66</v>
      </c>
      <c r="DM671" t="s">
        <v>21685</v>
      </c>
      <c r="DN671" t="s">
        <v>13772</v>
      </c>
      <c r="DO671" t="s">
        <v>13825</v>
      </c>
      <c r="DP671" t="s">
        <v>13780</v>
      </c>
      <c r="DQ671" t="s">
        <v>13772</v>
      </c>
      <c r="DR671" t="s">
        <v>13772</v>
      </c>
      <c r="DS671" t="s">
        <v>14158</v>
      </c>
      <c r="DT671" t="s">
        <v>13772</v>
      </c>
      <c r="DU671" t="s">
        <v>13772</v>
      </c>
      <c r="DV671" t="s">
        <v>13858</v>
      </c>
      <c r="DW671" t="s">
        <v>13772</v>
      </c>
      <c r="DX671" t="s">
        <v>21686</v>
      </c>
      <c r="DY671" t="s">
        <v>21687</v>
      </c>
      <c r="DZ671" t="s">
        <v>21688</v>
      </c>
      <c r="EA671" t="s">
        <v>13772</v>
      </c>
      <c r="EB671" t="s">
        <v>13772</v>
      </c>
    </row>
    <row r="672" spans="1:132" hidden="1">
      <c r="A672">
        <v>2039</v>
      </c>
      <c r="B672">
        <v>1</v>
      </c>
      <c r="C672" t="s">
        <v>4790</v>
      </c>
      <c r="D672" t="s">
        <v>4791</v>
      </c>
      <c r="E672" t="s">
        <v>73</v>
      </c>
      <c r="F672" t="s">
        <v>73</v>
      </c>
      <c r="G672" t="s">
        <v>73</v>
      </c>
      <c r="H672">
        <v>22.3</v>
      </c>
      <c r="I672">
        <v>783</v>
      </c>
      <c r="J672">
        <v>87763</v>
      </c>
      <c r="K672" t="s">
        <v>4792</v>
      </c>
      <c r="L672">
        <f t="shared" si="42"/>
        <v>48</v>
      </c>
      <c r="N672">
        <v>48</v>
      </c>
      <c r="O672">
        <v>48</v>
      </c>
      <c r="P672">
        <v>1</v>
      </c>
      <c r="Q672">
        <v>2</v>
      </c>
      <c r="R672">
        <v>1</v>
      </c>
      <c r="S672">
        <v>1</v>
      </c>
      <c r="T672">
        <v>1</v>
      </c>
      <c r="U672">
        <v>2</v>
      </c>
      <c r="V672">
        <v>0</v>
      </c>
      <c r="W672">
        <v>0</v>
      </c>
      <c r="X672">
        <v>15</v>
      </c>
      <c r="Y672">
        <v>2</v>
      </c>
      <c r="Z672">
        <v>0</v>
      </c>
      <c r="AA672">
        <v>5</v>
      </c>
      <c r="AB672">
        <v>8</v>
      </c>
      <c r="AC672">
        <v>2</v>
      </c>
      <c r="AD672">
        <v>2</v>
      </c>
      <c r="AE672">
        <v>2</v>
      </c>
      <c r="AF672">
        <v>4</v>
      </c>
      <c r="AG672">
        <v>0</v>
      </c>
      <c r="AH672">
        <v>1</v>
      </c>
      <c r="AI672">
        <v>0</v>
      </c>
      <c r="AJ672">
        <v>2</v>
      </c>
      <c r="AK672">
        <v>1</v>
      </c>
      <c r="AL672">
        <v>1</v>
      </c>
      <c r="AM672">
        <v>1</v>
      </c>
      <c r="AN672">
        <v>2</v>
      </c>
      <c r="AO672">
        <v>0</v>
      </c>
      <c r="AP672">
        <v>0</v>
      </c>
      <c r="AQ672">
        <v>15</v>
      </c>
      <c r="AR672">
        <v>2</v>
      </c>
      <c r="AS672">
        <v>0</v>
      </c>
      <c r="AT672">
        <v>5</v>
      </c>
      <c r="AU672">
        <v>8</v>
      </c>
      <c r="AV672">
        <v>2</v>
      </c>
      <c r="AW672">
        <v>2</v>
      </c>
      <c r="AX672">
        <v>2</v>
      </c>
      <c r="AY672">
        <v>4</v>
      </c>
      <c r="AZ672">
        <v>0</v>
      </c>
      <c r="BA672">
        <v>1</v>
      </c>
      <c r="BB672">
        <v>0</v>
      </c>
      <c r="BC672" s="2">
        <v>2</v>
      </c>
      <c r="BD672" s="2">
        <v>1</v>
      </c>
      <c r="BE672" s="2">
        <v>1</v>
      </c>
      <c r="BF672" s="2">
        <v>1</v>
      </c>
      <c r="BG672" s="2">
        <v>2</v>
      </c>
      <c r="BH672" s="2">
        <v>0</v>
      </c>
      <c r="BI672" s="2">
        <v>0</v>
      </c>
      <c r="BJ672" s="2">
        <v>15</v>
      </c>
      <c r="BK672" s="2">
        <v>2</v>
      </c>
      <c r="BL672" s="2">
        <v>0</v>
      </c>
      <c r="BM672" s="2">
        <v>5</v>
      </c>
      <c r="BN672" s="2">
        <v>8</v>
      </c>
      <c r="BO672" s="2">
        <v>2</v>
      </c>
      <c r="BP672" s="2">
        <v>2</v>
      </c>
      <c r="BQ672" s="2">
        <v>2</v>
      </c>
      <c r="BR672" s="2">
        <v>4</v>
      </c>
      <c r="BS672" s="2">
        <v>0</v>
      </c>
      <c r="BT672" s="2">
        <v>1</v>
      </c>
      <c r="BU672" s="2">
        <v>0</v>
      </c>
      <c r="BV672" s="2">
        <f t="shared" si="45"/>
        <v>48</v>
      </c>
      <c r="BW672" s="16">
        <f t="shared" si="43"/>
        <v>2.5263157894736841</v>
      </c>
      <c r="BX672" s="16">
        <f>COUNTIF($BC$6:BU672, "=0") / COUNTIF($BC$6:BU672, "&gt;-1")</f>
        <v>0.17809516294484337</v>
      </c>
      <c r="BY672" s="18">
        <f>SUM($BC$6:BU672) / $BY$4</f>
        <v>0.89194850270013526</v>
      </c>
      <c r="BZ672" s="14">
        <f t="shared" si="44"/>
        <v>5</v>
      </c>
      <c r="CA672" t="s">
        <v>5831</v>
      </c>
      <c r="CB672" s="36">
        <v>2.4232867916694598</v>
      </c>
      <c r="CC672" s="36">
        <v>0.96306412067744696</v>
      </c>
      <c r="CD672" s="36">
        <v>1.6007976618122599</v>
      </c>
      <c r="CE672" s="36">
        <v>1.5119217591532299</v>
      </c>
      <c r="CF672" s="36">
        <v>1.72035271987378</v>
      </c>
      <c r="CG672" s="36">
        <v>0.23243181165987301</v>
      </c>
      <c r="CH672" s="36">
        <v>0.26351557071616</v>
      </c>
      <c r="CI672" s="36">
        <v>14.597753969734599</v>
      </c>
      <c r="CJ672" s="37">
        <v>1.5895165864899099</v>
      </c>
      <c r="CK672" s="37">
        <v>3.1532482344414299</v>
      </c>
      <c r="CL672" s="37">
        <v>6.4004347861387396</v>
      </c>
      <c r="CM672" s="37">
        <v>1.6930940931998799</v>
      </c>
      <c r="CN672" s="37">
        <v>1.8375851316302301</v>
      </c>
      <c r="CO672" s="37">
        <v>3.1567622815404999</v>
      </c>
      <c r="CP672" s="37">
        <v>0.377135011965606</v>
      </c>
      <c r="CQ672" s="37">
        <v>0.38065921161865401</v>
      </c>
      <c r="CR672" s="45">
        <v>-0.266314623370216</v>
      </c>
      <c r="CS672" s="45">
        <v>-1.25417357526919</v>
      </c>
      <c r="CT672" s="46">
        <v>0.78026629287348204</v>
      </c>
      <c r="CU672" s="47">
        <v>0.83519703989177596</v>
      </c>
      <c r="CV672" s="48">
        <v>2.9141405506621001</v>
      </c>
      <c r="CW672" s="49">
        <v>2.3235544171281202</v>
      </c>
      <c r="CX672" s="31" t="s">
        <v>5875</v>
      </c>
      <c r="CY672" s="31" t="s">
        <v>5832</v>
      </c>
      <c r="CZ672" t="s">
        <v>12546</v>
      </c>
      <c r="DA672" t="s">
        <v>5904</v>
      </c>
      <c r="DB672">
        <v>1306.5999999999999</v>
      </c>
      <c r="DC672" t="s">
        <v>33294</v>
      </c>
      <c r="DD672" t="s">
        <v>33295</v>
      </c>
      <c r="DE672" t="s">
        <v>33296</v>
      </c>
      <c r="DF672" t="s">
        <v>33297</v>
      </c>
      <c r="DG672" t="s">
        <v>33298</v>
      </c>
      <c r="DH672" t="str">
        <f>"CDH5"</f>
        <v>CDH5</v>
      </c>
      <c r="DI672" t="s">
        <v>13772</v>
      </c>
      <c r="DJ672" t="s">
        <v>13777</v>
      </c>
      <c r="DK672">
        <v>9606</v>
      </c>
      <c r="DL672" s="34" t="str">
        <f>HYPERLINK("http://www.uniprot.org/uniprot/P33151", "P33151")</f>
        <v>P33151</v>
      </c>
      <c r="DM672" t="s">
        <v>17590</v>
      </c>
      <c r="DN672" t="s">
        <v>13949</v>
      </c>
      <c r="DO672" t="s">
        <v>17424</v>
      </c>
      <c r="DP672" t="s">
        <v>13780</v>
      </c>
      <c r="DQ672" t="s">
        <v>13772</v>
      </c>
      <c r="DR672" t="s">
        <v>13772</v>
      </c>
      <c r="DS672" t="s">
        <v>13826</v>
      </c>
      <c r="DT672" t="s">
        <v>13873</v>
      </c>
      <c r="DU672" t="s">
        <v>13772</v>
      </c>
      <c r="DV672" t="s">
        <v>17425</v>
      </c>
      <c r="DW672" t="s">
        <v>13772</v>
      </c>
      <c r="DX672" t="s">
        <v>33299</v>
      </c>
      <c r="DY672" t="s">
        <v>33300</v>
      </c>
      <c r="DZ672" t="s">
        <v>33301</v>
      </c>
      <c r="EA672" t="s">
        <v>13772</v>
      </c>
      <c r="EB672" t="s">
        <v>33302</v>
      </c>
    </row>
    <row r="673" spans="1:132" hidden="1">
      <c r="A673">
        <v>2133</v>
      </c>
      <c r="B673">
        <v>1</v>
      </c>
      <c r="C673" t="s">
        <v>5001</v>
      </c>
      <c r="D673" t="s">
        <v>5002</v>
      </c>
      <c r="E673" t="s">
        <v>73</v>
      </c>
      <c r="F673" t="s">
        <v>73</v>
      </c>
      <c r="G673" t="s">
        <v>73</v>
      </c>
      <c r="H673">
        <v>24.6</v>
      </c>
      <c r="I673">
        <v>354</v>
      </c>
      <c r="J673">
        <v>38646</v>
      </c>
      <c r="K673" t="s">
        <v>5003</v>
      </c>
      <c r="L673">
        <f t="shared" si="42"/>
        <v>48</v>
      </c>
      <c r="N673">
        <v>48</v>
      </c>
      <c r="O673">
        <v>48</v>
      </c>
      <c r="P673">
        <v>1</v>
      </c>
      <c r="Q673">
        <v>2</v>
      </c>
      <c r="R673">
        <v>5</v>
      </c>
      <c r="S673">
        <v>4</v>
      </c>
      <c r="T673">
        <v>5</v>
      </c>
      <c r="U673">
        <v>8</v>
      </c>
      <c r="V673">
        <v>11</v>
      </c>
      <c r="W673">
        <v>6</v>
      </c>
      <c r="X673">
        <v>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2</v>
      </c>
      <c r="AK673">
        <v>5</v>
      </c>
      <c r="AL673">
        <v>4</v>
      </c>
      <c r="AM673">
        <v>5</v>
      </c>
      <c r="AN673">
        <v>8</v>
      </c>
      <c r="AO673">
        <v>11</v>
      </c>
      <c r="AP673">
        <v>6</v>
      </c>
      <c r="AQ673">
        <v>6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 s="2">
        <v>2</v>
      </c>
      <c r="BD673" s="2">
        <v>5</v>
      </c>
      <c r="BE673" s="2">
        <v>4</v>
      </c>
      <c r="BF673" s="2">
        <v>5</v>
      </c>
      <c r="BG673" s="2">
        <v>8</v>
      </c>
      <c r="BH673" s="2">
        <v>11</v>
      </c>
      <c r="BI673" s="2">
        <v>6</v>
      </c>
      <c r="BJ673" s="2">
        <v>6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1</v>
      </c>
      <c r="BV673" s="2">
        <f t="shared" si="45"/>
        <v>48</v>
      </c>
      <c r="BW673" s="16">
        <f t="shared" si="43"/>
        <v>2.5263157894736841</v>
      </c>
      <c r="BX673" s="16">
        <f>COUNTIF($BC$6:BU673, "=0") / COUNTIF($BC$6:BU673, "&gt;-1")</f>
        <v>0.17861645130791048</v>
      </c>
      <c r="BY673" s="18">
        <f>SUM($BC$6:BU673) / $BY$4</f>
        <v>0.89215411726983285</v>
      </c>
      <c r="BZ673" s="14">
        <f t="shared" si="44"/>
        <v>10</v>
      </c>
      <c r="CA673" t="s">
        <v>5831</v>
      </c>
      <c r="CB673" s="36">
        <v>2.4232867916694598</v>
      </c>
      <c r="CC673" s="36">
        <v>4.8153206033872298</v>
      </c>
      <c r="CD673" s="36">
        <v>6.4031906472490299</v>
      </c>
      <c r="CE673" s="36">
        <v>7.5596087957661497</v>
      </c>
      <c r="CF673" s="36">
        <v>6.8814108794951396</v>
      </c>
      <c r="CG673" s="36">
        <v>10.226999713034401</v>
      </c>
      <c r="CH673" s="36">
        <v>6.3243736971878404</v>
      </c>
      <c r="CI673" s="36">
        <v>5.8391015878938397</v>
      </c>
      <c r="CJ673" s="37">
        <v>0.19868957331123899</v>
      </c>
      <c r="CK673" s="37">
        <v>0.15766241172207099</v>
      </c>
      <c r="CL673" s="37">
        <v>0.200013587066836</v>
      </c>
      <c r="CM673" s="37">
        <v>0.21163676164998499</v>
      </c>
      <c r="CN673" s="37">
        <v>0.22969814145377901</v>
      </c>
      <c r="CO673" s="37">
        <v>0.19729764259628099</v>
      </c>
      <c r="CP673" s="37">
        <v>0.377135011965606</v>
      </c>
      <c r="CQ673" s="37">
        <v>1.5226368464746201</v>
      </c>
      <c r="CR673" s="45">
        <v>-3.9041883308478802</v>
      </c>
      <c r="CS673" s="45">
        <v>-16.309222689629099</v>
      </c>
      <c r="CT673" s="46">
        <v>1.24339588715295E-9</v>
      </c>
      <c r="CU673" s="47">
        <v>1.5404293490839401E-8</v>
      </c>
      <c r="CV673" s="48">
        <v>6.3091615894603903</v>
      </c>
      <c r="CW673" s="49">
        <v>0.38684624703005199</v>
      </c>
      <c r="CX673" s="31" t="s">
        <v>5875</v>
      </c>
      <c r="CY673" s="31" t="s">
        <v>5876</v>
      </c>
      <c r="CZ673" t="s">
        <v>12857</v>
      </c>
      <c r="DA673" t="s">
        <v>5904</v>
      </c>
      <c r="DB673">
        <v>726.9</v>
      </c>
      <c r="DC673" t="s">
        <v>34162</v>
      </c>
      <c r="DD673" t="s">
        <v>34163</v>
      </c>
      <c r="DE673" t="s">
        <v>34164</v>
      </c>
      <c r="DF673" t="s">
        <v>34165</v>
      </c>
      <c r="DG673" t="s">
        <v>34166</v>
      </c>
      <c r="DH673" t="str">
        <f>"NEGR1"</f>
        <v>NEGR1</v>
      </c>
      <c r="DI673" t="s">
        <v>34167</v>
      </c>
      <c r="DJ673" t="s">
        <v>13777</v>
      </c>
      <c r="DK673">
        <v>9606</v>
      </c>
      <c r="DL673" s="34" t="str">
        <f>HYPERLINK("http://www.uniprot.org/uniprot/Q7Z3B1", "Q7Z3B1")</f>
        <v>Q7Z3B1</v>
      </c>
      <c r="DM673" t="s">
        <v>34168</v>
      </c>
      <c r="DN673" t="s">
        <v>13949</v>
      </c>
      <c r="DO673" t="s">
        <v>13792</v>
      </c>
      <c r="DP673" t="s">
        <v>13841</v>
      </c>
      <c r="DQ673" t="s">
        <v>13772</v>
      </c>
      <c r="DR673" t="s">
        <v>13772</v>
      </c>
      <c r="DS673" t="s">
        <v>16182</v>
      </c>
      <c r="DT673" t="s">
        <v>13772</v>
      </c>
      <c r="DU673" t="s">
        <v>13772</v>
      </c>
      <c r="DV673" t="s">
        <v>16276</v>
      </c>
      <c r="DW673" t="s">
        <v>13812</v>
      </c>
      <c r="DX673" t="s">
        <v>34169</v>
      </c>
      <c r="DY673" t="s">
        <v>19453</v>
      </c>
      <c r="DZ673" t="s">
        <v>13772</v>
      </c>
      <c r="EA673" t="s">
        <v>13772</v>
      </c>
      <c r="EB673" t="s">
        <v>16280</v>
      </c>
    </row>
    <row r="674" spans="1:132" hidden="1">
      <c r="A674">
        <v>2397</v>
      </c>
      <c r="B674">
        <v>1</v>
      </c>
      <c r="C674" t="s">
        <v>5586</v>
      </c>
      <c r="D674" t="s">
        <v>73</v>
      </c>
      <c r="E674" t="s">
        <v>73</v>
      </c>
      <c r="F674" t="s">
        <v>73</v>
      </c>
      <c r="G674" t="s">
        <v>73</v>
      </c>
      <c r="H674">
        <v>51.6</v>
      </c>
      <c r="I674">
        <v>244</v>
      </c>
      <c r="J674">
        <v>25668</v>
      </c>
      <c r="K674" t="s">
        <v>5587</v>
      </c>
      <c r="L674">
        <f t="shared" si="42"/>
        <v>48</v>
      </c>
      <c r="N674">
        <v>48</v>
      </c>
      <c r="O674">
        <v>48</v>
      </c>
      <c r="P674">
        <v>1</v>
      </c>
      <c r="Q674">
        <v>3</v>
      </c>
      <c r="R674">
        <v>5</v>
      </c>
      <c r="S674">
        <v>0</v>
      </c>
      <c r="T674">
        <v>0</v>
      </c>
      <c r="U674">
        <v>11</v>
      </c>
      <c r="V674">
        <v>8</v>
      </c>
      <c r="W674">
        <v>2</v>
      </c>
      <c r="X674">
        <v>3</v>
      </c>
      <c r="Y674">
        <v>6</v>
      </c>
      <c r="Z674">
        <v>0</v>
      </c>
      <c r="AA674">
        <v>5</v>
      </c>
      <c r="AB674">
        <v>3</v>
      </c>
      <c r="AC674">
        <v>0</v>
      </c>
      <c r="AD674">
        <v>1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3</v>
      </c>
      <c r="AK674">
        <v>5</v>
      </c>
      <c r="AL674">
        <v>0</v>
      </c>
      <c r="AM674">
        <v>0</v>
      </c>
      <c r="AN674">
        <v>11</v>
      </c>
      <c r="AO674">
        <v>8</v>
      </c>
      <c r="AP674">
        <v>2</v>
      </c>
      <c r="AQ674">
        <v>3</v>
      </c>
      <c r="AR674">
        <v>6</v>
      </c>
      <c r="AS674">
        <v>0</v>
      </c>
      <c r="AT674">
        <v>5</v>
      </c>
      <c r="AU674">
        <v>3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0</v>
      </c>
      <c r="BC674" s="2">
        <v>3</v>
      </c>
      <c r="BD674" s="2">
        <v>5</v>
      </c>
      <c r="BE674" s="2">
        <v>0</v>
      </c>
      <c r="BF674" s="2">
        <v>0</v>
      </c>
      <c r="BG674" s="2">
        <v>11</v>
      </c>
      <c r="BH674" s="2">
        <v>8</v>
      </c>
      <c r="BI674" s="2">
        <v>2</v>
      </c>
      <c r="BJ674" s="2">
        <v>3</v>
      </c>
      <c r="BK674" s="2">
        <v>6</v>
      </c>
      <c r="BL674" s="2">
        <v>0</v>
      </c>
      <c r="BM674" s="2">
        <v>5</v>
      </c>
      <c r="BN674" s="2">
        <v>3</v>
      </c>
      <c r="BO674" s="2">
        <v>0</v>
      </c>
      <c r="BP674" s="2">
        <v>1</v>
      </c>
      <c r="BQ674" s="2">
        <v>0</v>
      </c>
      <c r="BR674" s="2">
        <v>0</v>
      </c>
      <c r="BS674" s="2">
        <v>1</v>
      </c>
      <c r="BT674" s="2">
        <v>0</v>
      </c>
      <c r="BU674" s="2">
        <v>0</v>
      </c>
      <c r="BV674" s="2">
        <f t="shared" si="45"/>
        <v>48</v>
      </c>
      <c r="BW674" s="16">
        <f t="shared" si="43"/>
        <v>2.5263157894736841</v>
      </c>
      <c r="BX674" s="16">
        <f>COUNTIF($BC$6:BU674, "=0") / COUNTIF($BC$6:BU674, "&gt;-1")</f>
        <v>0.17897883722759814</v>
      </c>
      <c r="BY674" s="18">
        <f>SUM($BC$6:BU674) / $BY$4</f>
        <v>0.89235973183953055</v>
      </c>
      <c r="BZ674" s="14">
        <f t="shared" si="44"/>
        <v>8</v>
      </c>
      <c r="CA674" t="s">
        <v>5831</v>
      </c>
      <c r="CB674" s="36">
        <v>3.6349301875041902</v>
      </c>
      <c r="CC674" s="36">
        <v>4.8153206033872298</v>
      </c>
      <c r="CD674" s="36">
        <v>0.40019941545306398</v>
      </c>
      <c r="CE674" s="36">
        <v>0.37798043978830698</v>
      </c>
      <c r="CF674" s="36">
        <v>9.4619399593058091</v>
      </c>
      <c r="CG674" s="36">
        <v>7.43781797311593</v>
      </c>
      <c r="CH674" s="36">
        <v>2.10812456572928</v>
      </c>
      <c r="CI674" s="36">
        <v>2.9195507939469199</v>
      </c>
      <c r="CJ674" s="37">
        <v>4.7685497594697397</v>
      </c>
      <c r="CK674" s="37">
        <v>3.1532482344414299</v>
      </c>
      <c r="CL674" s="37">
        <v>2.4001630448020301</v>
      </c>
      <c r="CM674" s="37">
        <v>0.21163676164998499</v>
      </c>
      <c r="CN674" s="37">
        <v>0.22969814145377901</v>
      </c>
      <c r="CO674" s="37">
        <v>0.19729764259628099</v>
      </c>
      <c r="CP674" s="37">
        <v>1.50854004786242</v>
      </c>
      <c r="CQ674" s="37">
        <v>0.38065921161865401</v>
      </c>
      <c r="CR674" s="45">
        <v>-1.20810637899299</v>
      </c>
      <c r="CS674" s="45">
        <v>-2.4246199387591401</v>
      </c>
      <c r="CT674" s="46">
        <v>8.1336316312868695E-2</v>
      </c>
      <c r="CU674" s="47">
        <v>0.118549010050782</v>
      </c>
      <c r="CV674" s="48">
        <v>3.89448299227884</v>
      </c>
      <c r="CW674" s="49">
        <v>1.6062241054867901</v>
      </c>
      <c r="CX674" s="31" t="s">
        <v>5875</v>
      </c>
      <c r="CY674" s="31" t="s">
        <v>5832</v>
      </c>
      <c r="CZ674" t="s">
        <v>13704</v>
      </c>
      <c r="DA674" t="s">
        <v>5904</v>
      </c>
      <c r="DB674">
        <v>434.9</v>
      </c>
      <c r="DC674" t="s">
        <v>36539</v>
      </c>
      <c r="DD674" t="s">
        <v>36540</v>
      </c>
      <c r="DE674" t="s">
        <v>36541</v>
      </c>
      <c r="DF674" t="s">
        <v>36542</v>
      </c>
      <c r="DG674" t="s">
        <v>36543</v>
      </c>
      <c r="DH674" t="str">
        <f>"DCXR"</f>
        <v>DCXR</v>
      </c>
      <c r="DI674" t="s">
        <v>36544</v>
      </c>
      <c r="DJ674" t="s">
        <v>13777</v>
      </c>
      <c r="DK674">
        <v>9606</v>
      </c>
      <c r="DL674" s="34" t="str">
        <f>HYPERLINK("http://www.uniprot.org/uniprot/Q7Z4W1", "Q7Z4W1")</f>
        <v>Q7Z4W1</v>
      </c>
      <c r="DM674" t="s">
        <v>36545</v>
      </c>
      <c r="DN674" t="s">
        <v>36546</v>
      </c>
      <c r="DO674" t="s">
        <v>13825</v>
      </c>
      <c r="DP674" t="s">
        <v>13772</v>
      </c>
      <c r="DQ674" t="s">
        <v>13772</v>
      </c>
      <c r="DR674" t="s">
        <v>13772</v>
      </c>
      <c r="DS674" t="s">
        <v>13772</v>
      </c>
      <c r="DT674" t="s">
        <v>15759</v>
      </c>
      <c r="DU674" t="s">
        <v>13885</v>
      </c>
      <c r="DV674" t="s">
        <v>14098</v>
      </c>
      <c r="DW674" t="s">
        <v>13812</v>
      </c>
      <c r="DX674" t="s">
        <v>36547</v>
      </c>
      <c r="DY674" t="s">
        <v>36548</v>
      </c>
      <c r="DZ674" t="s">
        <v>36549</v>
      </c>
      <c r="EA674" t="s">
        <v>13772</v>
      </c>
      <c r="EB674" t="s">
        <v>36550</v>
      </c>
    </row>
    <row r="675" spans="1:132" hidden="1">
      <c r="A675">
        <v>373</v>
      </c>
      <c r="B675">
        <v>1</v>
      </c>
      <c r="C675" t="s">
        <v>929</v>
      </c>
      <c r="D675" t="s">
        <v>930</v>
      </c>
      <c r="E675" t="s">
        <v>73</v>
      </c>
      <c r="F675" t="s">
        <v>73</v>
      </c>
      <c r="G675" t="s">
        <v>73</v>
      </c>
      <c r="H675">
        <v>25.8</v>
      </c>
      <c r="I675">
        <v>831</v>
      </c>
      <c r="J675">
        <v>91433</v>
      </c>
      <c r="K675" t="s">
        <v>931</v>
      </c>
      <c r="L675">
        <f t="shared" si="42"/>
        <v>47</v>
      </c>
      <c r="N675">
        <v>47</v>
      </c>
      <c r="O675">
        <v>47</v>
      </c>
      <c r="P675">
        <v>1</v>
      </c>
      <c r="Q675">
        <v>3</v>
      </c>
      <c r="R675">
        <v>7</v>
      </c>
      <c r="S675">
        <v>1</v>
      </c>
      <c r="T675">
        <v>0</v>
      </c>
      <c r="U675">
        <v>10</v>
      </c>
      <c r="V675">
        <v>13</v>
      </c>
      <c r="W675">
        <v>8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</v>
      </c>
      <c r="AK675">
        <v>7</v>
      </c>
      <c r="AL675">
        <v>1</v>
      </c>
      <c r="AM675">
        <v>0</v>
      </c>
      <c r="AN675">
        <v>10</v>
      </c>
      <c r="AO675">
        <v>13</v>
      </c>
      <c r="AP675">
        <v>8</v>
      </c>
      <c r="AQ675">
        <v>5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 s="2">
        <v>3</v>
      </c>
      <c r="BD675" s="2">
        <v>7</v>
      </c>
      <c r="BE675" s="2">
        <v>1</v>
      </c>
      <c r="BF675" s="2">
        <v>0</v>
      </c>
      <c r="BG675" s="2">
        <v>10</v>
      </c>
      <c r="BH675" s="2">
        <v>13</v>
      </c>
      <c r="BI675" s="2">
        <v>8</v>
      </c>
      <c r="BJ675" s="2">
        <v>5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f t="shared" si="45"/>
        <v>47</v>
      </c>
      <c r="BW675" s="16">
        <f t="shared" si="43"/>
        <v>2.4736842105263159</v>
      </c>
      <c r="BX675" s="16">
        <f>COUNTIF($BC$6:BU675, "=0") / COUNTIF($BC$6:BU675, "&gt;-1")</f>
        <v>0.17965435978004712</v>
      </c>
      <c r="BY675" s="18">
        <f>SUM($BC$6:BU675) / $BY$4</f>
        <v>0.89256106277235947</v>
      </c>
      <c r="BZ675" s="14">
        <f t="shared" si="44"/>
        <v>12</v>
      </c>
      <c r="CA675" t="s">
        <v>5832</v>
      </c>
      <c r="CZ675" t="s">
        <v>6993</v>
      </c>
      <c r="DA675" t="s">
        <v>5904</v>
      </c>
      <c r="DB675">
        <v>1286.2</v>
      </c>
      <c r="DC675" t="s">
        <v>17322</v>
      </c>
      <c r="DD675" t="s">
        <v>13772</v>
      </c>
      <c r="DE675" t="s">
        <v>17323</v>
      </c>
      <c r="DF675" t="s">
        <v>17324</v>
      </c>
      <c r="DG675" t="s">
        <v>17325</v>
      </c>
      <c r="DH675" t="str">
        <f>"SUSD2"</f>
        <v>SUSD2</v>
      </c>
      <c r="DI675" t="s">
        <v>13772</v>
      </c>
      <c r="DJ675" t="s">
        <v>13777</v>
      </c>
      <c r="DK675">
        <v>9606</v>
      </c>
      <c r="DL675" s="34" t="str">
        <f>HYPERLINK("http://www.uniprot.org/uniprot/Q9UGT4", "Q9UGT4")</f>
        <v>Q9UGT4</v>
      </c>
      <c r="DM675" t="s">
        <v>17326</v>
      </c>
      <c r="DN675" t="s">
        <v>13772</v>
      </c>
      <c r="DO675" t="s">
        <v>13792</v>
      </c>
      <c r="DP675" t="s">
        <v>13793</v>
      </c>
      <c r="DQ675" t="s">
        <v>13772</v>
      </c>
      <c r="DR675" t="s">
        <v>14505</v>
      </c>
      <c r="DS675" t="s">
        <v>17327</v>
      </c>
      <c r="DT675" t="s">
        <v>13772</v>
      </c>
      <c r="DU675" t="s">
        <v>13795</v>
      </c>
      <c r="DV675" t="s">
        <v>13796</v>
      </c>
      <c r="DW675" t="s">
        <v>13772</v>
      </c>
      <c r="DX675" t="s">
        <v>17328</v>
      </c>
      <c r="DY675" t="s">
        <v>17329</v>
      </c>
      <c r="DZ675" t="s">
        <v>17330</v>
      </c>
      <c r="EA675" t="s">
        <v>13772</v>
      </c>
      <c r="EB675" t="s">
        <v>13772</v>
      </c>
    </row>
    <row r="676" spans="1:132" hidden="1">
      <c r="A676">
        <v>606</v>
      </c>
      <c r="B676">
        <v>1</v>
      </c>
      <c r="C676" t="s">
        <v>1500</v>
      </c>
      <c r="D676" t="s">
        <v>73</v>
      </c>
      <c r="E676" t="s">
        <v>73</v>
      </c>
      <c r="F676" t="s">
        <v>73</v>
      </c>
      <c r="G676" t="s">
        <v>73</v>
      </c>
      <c r="H676">
        <v>43.5</v>
      </c>
      <c r="I676">
        <v>543</v>
      </c>
      <c r="J676">
        <v>62531</v>
      </c>
      <c r="K676" t="s">
        <v>1501</v>
      </c>
      <c r="L676">
        <f t="shared" si="42"/>
        <v>47</v>
      </c>
      <c r="N676">
        <v>47</v>
      </c>
      <c r="O676">
        <v>47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2</v>
      </c>
      <c r="V676">
        <v>3</v>
      </c>
      <c r="W676">
        <v>1</v>
      </c>
      <c r="X676">
        <v>1</v>
      </c>
      <c r="Y676">
        <v>26</v>
      </c>
      <c r="Z676">
        <v>0</v>
      </c>
      <c r="AA676">
        <v>1</v>
      </c>
      <c r="AB676">
        <v>2</v>
      </c>
      <c r="AC676">
        <v>3</v>
      </c>
      <c r="AD676">
        <v>0</v>
      </c>
      <c r="AE676">
        <v>2</v>
      </c>
      <c r="AF676">
        <v>4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2</v>
      </c>
      <c r="AO676">
        <v>3</v>
      </c>
      <c r="AP676">
        <v>1</v>
      </c>
      <c r="AQ676">
        <v>1</v>
      </c>
      <c r="AR676">
        <v>26</v>
      </c>
      <c r="AS676">
        <v>0</v>
      </c>
      <c r="AT676">
        <v>1</v>
      </c>
      <c r="AU676">
        <v>2</v>
      </c>
      <c r="AV676">
        <v>3</v>
      </c>
      <c r="AW676">
        <v>0</v>
      </c>
      <c r="AX676">
        <v>2</v>
      </c>
      <c r="AY676">
        <v>4</v>
      </c>
      <c r="AZ676">
        <v>0</v>
      </c>
      <c r="BA676">
        <v>0</v>
      </c>
      <c r="BB676">
        <v>0</v>
      </c>
      <c r="BC676" s="2">
        <v>0</v>
      </c>
      <c r="BD676" s="2">
        <v>1</v>
      </c>
      <c r="BE676" s="2">
        <v>0</v>
      </c>
      <c r="BF676" s="2">
        <v>1</v>
      </c>
      <c r="BG676" s="2">
        <v>2</v>
      </c>
      <c r="BH676" s="2">
        <v>3</v>
      </c>
      <c r="BI676" s="2">
        <v>1</v>
      </c>
      <c r="BJ676" s="2">
        <v>1</v>
      </c>
      <c r="BK676" s="2">
        <v>26</v>
      </c>
      <c r="BL676" s="2">
        <v>0</v>
      </c>
      <c r="BM676" s="2">
        <v>1</v>
      </c>
      <c r="BN676" s="2">
        <v>2</v>
      </c>
      <c r="BO676" s="2">
        <v>3</v>
      </c>
      <c r="BP676" s="2">
        <v>0</v>
      </c>
      <c r="BQ676" s="2">
        <v>2</v>
      </c>
      <c r="BR676" s="2">
        <v>4</v>
      </c>
      <c r="BS676" s="2">
        <v>0</v>
      </c>
      <c r="BT676" s="2">
        <v>0</v>
      </c>
      <c r="BU676" s="2">
        <v>0</v>
      </c>
      <c r="BV676" s="2">
        <f t="shared" si="45"/>
        <v>47</v>
      </c>
      <c r="BW676" s="16">
        <f t="shared" si="43"/>
        <v>2.4736842105263159</v>
      </c>
      <c r="BX676" s="16">
        <f>COUNTIF($BC$6:BU676, "=0") / COUNTIF($BC$6:BU676, "&gt;-1")</f>
        <v>0.17993568122990039</v>
      </c>
      <c r="BY676" s="18">
        <f>SUM($BC$6:BU676) / $BY$4</f>
        <v>0.8927623937051884</v>
      </c>
      <c r="BZ676" s="14">
        <f t="shared" si="44"/>
        <v>7</v>
      </c>
      <c r="CA676" t="s">
        <v>5832</v>
      </c>
      <c r="CZ676" t="s">
        <v>7790</v>
      </c>
      <c r="DA676" t="s">
        <v>5904</v>
      </c>
      <c r="DB676">
        <v>1090.9000000000001</v>
      </c>
      <c r="DC676" t="s">
        <v>19771</v>
      </c>
      <c r="DD676" t="s">
        <v>19772</v>
      </c>
      <c r="DE676" t="s">
        <v>19773</v>
      </c>
      <c r="DF676" t="s">
        <v>19774</v>
      </c>
      <c r="DG676" t="s">
        <v>19775</v>
      </c>
      <c r="DH676" t="str">
        <f>"STIP1"</f>
        <v>STIP1</v>
      </c>
      <c r="DI676" t="s">
        <v>13772</v>
      </c>
      <c r="DJ676" t="s">
        <v>13777</v>
      </c>
      <c r="DK676">
        <v>9606</v>
      </c>
      <c r="DL676" s="34" t="str">
        <f>HYPERLINK("http://www.uniprot.org/uniprot/P31948", "P31948")</f>
        <v>P31948</v>
      </c>
      <c r="DM676" t="s">
        <v>19776</v>
      </c>
      <c r="DN676" t="s">
        <v>13772</v>
      </c>
      <c r="DO676" t="s">
        <v>13912</v>
      </c>
      <c r="DP676" t="s">
        <v>13841</v>
      </c>
      <c r="DQ676" t="s">
        <v>13772</v>
      </c>
      <c r="DR676" t="s">
        <v>13772</v>
      </c>
      <c r="DS676" t="s">
        <v>19076</v>
      </c>
      <c r="DT676" t="s">
        <v>13772</v>
      </c>
      <c r="DU676" t="s">
        <v>13772</v>
      </c>
      <c r="DV676" t="s">
        <v>13991</v>
      </c>
      <c r="DW676" t="s">
        <v>13812</v>
      </c>
      <c r="DX676" t="s">
        <v>19777</v>
      </c>
      <c r="DY676" t="s">
        <v>19778</v>
      </c>
      <c r="DZ676" t="s">
        <v>19779</v>
      </c>
      <c r="EA676" t="s">
        <v>13772</v>
      </c>
      <c r="EB676" t="s">
        <v>19780</v>
      </c>
    </row>
    <row r="677" spans="1:132" hidden="1">
      <c r="A677">
        <v>722</v>
      </c>
      <c r="B677">
        <v>1</v>
      </c>
      <c r="C677" t="s">
        <v>1767</v>
      </c>
      <c r="D677" t="s">
        <v>73</v>
      </c>
      <c r="E677" t="s">
        <v>73</v>
      </c>
      <c r="F677" t="s">
        <v>1685</v>
      </c>
      <c r="G677" t="s">
        <v>73</v>
      </c>
      <c r="H677">
        <v>24.6</v>
      </c>
      <c r="I677">
        <v>533</v>
      </c>
      <c r="J677">
        <v>57671</v>
      </c>
      <c r="K677" t="s">
        <v>1768</v>
      </c>
      <c r="L677">
        <f t="shared" si="42"/>
        <v>47</v>
      </c>
      <c r="N677">
        <v>47</v>
      </c>
      <c r="O677">
        <v>42</v>
      </c>
      <c r="P677">
        <v>0.89400000000000002</v>
      </c>
      <c r="Q677">
        <v>1</v>
      </c>
      <c r="R677">
        <v>6</v>
      </c>
      <c r="S677">
        <v>6</v>
      </c>
      <c r="T677">
        <v>9</v>
      </c>
      <c r="U677">
        <v>7</v>
      </c>
      <c r="V677">
        <v>5</v>
      </c>
      <c r="W677">
        <v>3</v>
      </c>
      <c r="X677">
        <v>2</v>
      </c>
      <c r="Y677">
        <v>0</v>
      </c>
      <c r="Z677">
        <v>1</v>
      </c>
      <c r="AA677">
        <v>1</v>
      </c>
      <c r="AB677">
        <v>3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2</v>
      </c>
      <c r="AJ677">
        <v>1</v>
      </c>
      <c r="AK677">
        <v>5</v>
      </c>
      <c r="AL677">
        <v>6</v>
      </c>
      <c r="AM677">
        <v>9</v>
      </c>
      <c r="AN677">
        <v>6</v>
      </c>
      <c r="AO677">
        <v>4</v>
      </c>
      <c r="AP677">
        <v>2</v>
      </c>
      <c r="AQ677">
        <v>2</v>
      </c>
      <c r="AR677">
        <v>0</v>
      </c>
      <c r="AS677">
        <v>1</v>
      </c>
      <c r="AT677">
        <v>1</v>
      </c>
      <c r="AU677">
        <v>2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2</v>
      </c>
      <c r="BC677" s="2">
        <v>1</v>
      </c>
      <c r="BD677" s="2">
        <v>6</v>
      </c>
      <c r="BE677" s="2">
        <v>6</v>
      </c>
      <c r="BF677" s="2">
        <v>9</v>
      </c>
      <c r="BG677" s="2">
        <v>7</v>
      </c>
      <c r="BH677" s="2">
        <v>5</v>
      </c>
      <c r="BI677" s="2">
        <v>3</v>
      </c>
      <c r="BJ677" s="2">
        <v>2</v>
      </c>
      <c r="BK677" s="2">
        <v>0</v>
      </c>
      <c r="BL677" s="2">
        <v>1</v>
      </c>
      <c r="BM677" s="2">
        <v>1</v>
      </c>
      <c r="BN677" s="2">
        <v>3</v>
      </c>
      <c r="BO677" s="2">
        <v>0</v>
      </c>
      <c r="BP677" s="2">
        <v>0</v>
      </c>
      <c r="BQ677" s="2">
        <v>0</v>
      </c>
      <c r="BR677" s="2">
        <v>1</v>
      </c>
      <c r="BS677" s="2">
        <v>0</v>
      </c>
      <c r="BT677" s="2">
        <v>0</v>
      </c>
      <c r="BU677" s="2">
        <v>2</v>
      </c>
      <c r="BV677" s="2">
        <f t="shared" si="45"/>
        <v>47</v>
      </c>
      <c r="BW677" s="16">
        <f t="shared" si="43"/>
        <v>2.4736842105263159</v>
      </c>
      <c r="BX677" s="16">
        <f>COUNTIF($BC$6:BU677, "=0") / COUNTIF($BC$6:BU677, "&gt;-1")</f>
        <v>0.18013784461152882</v>
      </c>
      <c r="BY677" s="18">
        <f>SUM($BC$6:BU677) / $BY$4</f>
        <v>0.89296372463801732</v>
      </c>
      <c r="BZ677" s="14">
        <f t="shared" si="44"/>
        <v>6</v>
      </c>
      <c r="CA677" t="s">
        <v>5832</v>
      </c>
      <c r="CZ677" t="s">
        <v>8167</v>
      </c>
      <c r="DA677" t="s">
        <v>5904</v>
      </c>
      <c r="DB677">
        <v>617.5</v>
      </c>
      <c r="DC677" t="s">
        <v>20873</v>
      </c>
      <c r="DD677" t="s">
        <v>20874</v>
      </c>
      <c r="DE677" t="s">
        <v>20875</v>
      </c>
      <c r="DF677" t="s">
        <v>20876</v>
      </c>
      <c r="DG677" t="s">
        <v>20877</v>
      </c>
      <c r="DH677" t="str">
        <f>"ICAM1"</f>
        <v>ICAM1</v>
      </c>
      <c r="DI677" t="s">
        <v>13772</v>
      </c>
      <c r="DJ677" t="s">
        <v>13777</v>
      </c>
      <c r="DK677">
        <v>9606</v>
      </c>
      <c r="DL677" s="34" t="str">
        <f>HYPERLINK("http://www.uniprot.org/uniprot/P05362", "P05362")</f>
        <v>P05362</v>
      </c>
      <c r="DM677" t="s">
        <v>20878</v>
      </c>
      <c r="DN677" t="s">
        <v>16592</v>
      </c>
      <c r="DO677" t="s">
        <v>13825</v>
      </c>
      <c r="DP677" t="s">
        <v>13793</v>
      </c>
      <c r="DQ677" t="s">
        <v>13772</v>
      </c>
      <c r="DR677" t="s">
        <v>13772</v>
      </c>
      <c r="DS677" t="s">
        <v>13951</v>
      </c>
      <c r="DT677" t="s">
        <v>13772</v>
      </c>
      <c r="DU677" t="s">
        <v>18791</v>
      </c>
      <c r="DV677" t="s">
        <v>14640</v>
      </c>
      <c r="DW677" t="s">
        <v>13812</v>
      </c>
      <c r="DX677" t="s">
        <v>20879</v>
      </c>
      <c r="DY677" t="s">
        <v>20880</v>
      </c>
      <c r="DZ677" t="s">
        <v>20881</v>
      </c>
      <c r="EA677" t="s">
        <v>13772</v>
      </c>
      <c r="EB677" t="s">
        <v>20882</v>
      </c>
    </row>
    <row r="678" spans="1:132" hidden="1">
      <c r="A678">
        <v>1063</v>
      </c>
      <c r="B678">
        <v>1</v>
      </c>
      <c r="C678" t="s">
        <v>2553</v>
      </c>
      <c r="D678" t="s">
        <v>73</v>
      </c>
      <c r="E678" t="s">
        <v>73</v>
      </c>
      <c r="F678" t="s">
        <v>73</v>
      </c>
      <c r="G678" t="s">
        <v>73</v>
      </c>
      <c r="H678">
        <v>26.3</v>
      </c>
      <c r="I678">
        <v>209</v>
      </c>
      <c r="J678">
        <v>22840</v>
      </c>
      <c r="K678" t="s">
        <v>2554</v>
      </c>
      <c r="L678">
        <f t="shared" si="42"/>
        <v>47</v>
      </c>
      <c r="N678">
        <v>47</v>
      </c>
      <c r="O678">
        <v>44</v>
      </c>
      <c r="P678">
        <v>0.93600000000000005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6</v>
      </c>
      <c r="Z678">
        <v>0</v>
      </c>
      <c r="AA678">
        <v>5</v>
      </c>
      <c r="AB678">
        <v>2</v>
      </c>
      <c r="AC678">
        <v>3</v>
      </c>
      <c r="AD678">
        <v>0</v>
      </c>
      <c r="AE678">
        <v>21</v>
      </c>
      <c r="AF678">
        <v>5</v>
      </c>
      <c r="AG678">
        <v>0</v>
      </c>
      <c r="AH678">
        <v>0</v>
      </c>
      <c r="AI678">
        <v>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6</v>
      </c>
      <c r="AS678">
        <v>0</v>
      </c>
      <c r="AT678">
        <v>4</v>
      </c>
      <c r="AU678">
        <v>2</v>
      </c>
      <c r="AV678">
        <v>3</v>
      </c>
      <c r="AW678">
        <v>0</v>
      </c>
      <c r="AX678">
        <v>19</v>
      </c>
      <c r="AY678">
        <v>5</v>
      </c>
      <c r="AZ678">
        <v>0</v>
      </c>
      <c r="BA678">
        <v>0</v>
      </c>
      <c r="BB678">
        <v>4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1</v>
      </c>
      <c r="BJ678" s="2">
        <v>0</v>
      </c>
      <c r="BK678" s="2">
        <v>6</v>
      </c>
      <c r="BL678" s="2">
        <v>0</v>
      </c>
      <c r="BM678" s="2">
        <v>5</v>
      </c>
      <c r="BN678" s="2">
        <v>2</v>
      </c>
      <c r="BO678" s="2">
        <v>3</v>
      </c>
      <c r="BP678" s="2">
        <v>0</v>
      </c>
      <c r="BQ678" s="2">
        <v>21</v>
      </c>
      <c r="BR678" s="2">
        <v>5</v>
      </c>
      <c r="BS678" s="2">
        <v>0</v>
      </c>
      <c r="BT678" s="2">
        <v>0</v>
      </c>
      <c r="BU678" s="2">
        <v>4</v>
      </c>
      <c r="BV678" s="2">
        <f t="shared" si="45"/>
        <v>47</v>
      </c>
      <c r="BW678" s="16">
        <f t="shared" si="43"/>
        <v>2.4736842105263159</v>
      </c>
      <c r="BX678" s="16">
        <f>COUNTIF($BC$6:BU678, "=0") / COUNTIF($BC$6:BU678, "&gt;-1")</f>
        <v>0.18073042934230077</v>
      </c>
      <c r="BY678" s="18">
        <f>SUM($BC$6:BU678) / $BY$4</f>
        <v>0.89316505557084624</v>
      </c>
      <c r="BZ678" s="14">
        <f t="shared" si="44"/>
        <v>11</v>
      </c>
      <c r="CA678" t="s">
        <v>5832</v>
      </c>
      <c r="CZ678" t="s">
        <v>9267</v>
      </c>
      <c r="DA678" t="s">
        <v>5904</v>
      </c>
      <c r="DB678">
        <v>365.9</v>
      </c>
      <c r="DC678" t="s">
        <v>24062</v>
      </c>
      <c r="DD678" t="s">
        <v>24063</v>
      </c>
      <c r="DE678" t="s">
        <v>24064</v>
      </c>
      <c r="DF678" t="s">
        <v>24065</v>
      </c>
      <c r="DG678" t="s">
        <v>13772</v>
      </c>
      <c r="DH678" t="str">
        <f>"MYL6B"</f>
        <v>MYL6B</v>
      </c>
      <c r="DI678" t="s">
        <v>24066</v>
      </c>
      <c r="DJ678" t="s">
        <v>13777</v>
      </c>
      <c r="DK678">
        <v>9606</v>
      </c>
      <c r="DL678" s="34" t="str">
        <f>HYPERLINK("http://www.uniprot.org/uniprot/P14649", "P14649")</f>
        <v>P14649</v>
      </c>
      <c r="DM678" t="s">
        <v>24067</v>
      </c>
      <c r="DN678" t="s">
        <v>13772</v>
      </c>
      <c r="DO678" t="s">
        <v>13772</v>
      </c>
      <c r="DP678" t="s">
        <v>13772</v>
      </c>
      <c r="DQ678" t="s">
        <v>13772</v>
      </c>
      <c r="DR678" t="s">
        <v>13772</v>
      </c>
      <c r="DS678" t="s">
        <v>14096</v>
      </c>
      <c r="DT678" t="s">
        <v>13772</v>
      </c>
      <c r="DU678" t="s">
        <v>17523</v>
      </c>
      <c r="DV678" t="s">
        <v>13772</v>
      </c>
      <c r="DW678" t="s">
        <v>13812</v>
      </c>
      <c r="DX678" t="s">
        <v>24068</v>
      </c>
      <c r="DY678" t="s">
        <v>24069</v>
      </c>
      <c r="DZ678" t="s">
        <v>24070</v>
      </c>
      <c r="EA678" t="s">
        <v>13772</v>
      </c>
      <c r="EB678" t="s">
        <v>17020</v>
      </c>
    </row>
    <row r="679" spans="1:132" hidden="1">
      <c r="A679">
        <v>1514</v>
      </c>
      <c r="B679">
        <v>1</v>
      </c>
      <c r="C679" t="s">
        <v>3605</v>
      </c>
      <c r="D679" t="s">
        <v>73</v>
      </c>
      <c r="E679" t="s">
        <v>73</v>
      </c>
      <c r="F679" t="s">
        <v>73</v>
      </c>
      <c r="G679" t="s">
        <v>73</v>
      </c>
      <c r="H679">
        <v>6.7</v>
      </c>
      <c r="I679">
        <v>1216</v>
      </c>
      <c r="J679">
        <v>134760</v>
      </c>
      <c r="K679" t="s">
        <v>3606</v>
      </c>
      <c r="L679">
        <f t="shared" si="42"/>
        <v>47</v>
      </c>
      <c r="N679">
        <v>47</v>
      </c>
      <c r="O679">
        <v>47</v>
      </c>
      <c r="P679">
        <v>1</v>
      </c>
      <c r="Q679">
        <v>3</v>
      </c>
      <c r="R679">
        <v>4</v>
      </c>
      <c r="S679">
        <v>7</v>
      </c>
      <c r="T679">
        <v>3</v>
      </c>
      <c r="U679">
        <v>6</v>
      </c>
      <c r="V679">
        <v>9</v>
      </c>
      <c r="W679">
        <v>1</v>
      </c>
      <c r="X679">
        <v>2</v>
      </c>
      <c r="Y679">
        <v>2</v>
      </c>
      <c r="Z679">
        <v>0</v>
      </c>
      <c r="AA679">
        <v>3</v>
      </c>
      <c r="AB679">
        <v>2</v>
      </c>
      <c r="AC679">
        <v>3</v>
      </c>
      <c r="AD679">
        <v>0</v>
      </c>
      <c r="AE679">
        <v>0</v>
      </c>
      <c r="AF679">
        <v>2</v>
      </c>
      <c r="AG679">
        <v>0</v>
      </c>
      <c r="AH679">
        <v>0</v>
      </c>
      <c r="AI679">
        <v>0</v>
      </c>
      <c r="AJ679">
        <v>3</v>
      </c>
      <c r="AK679">
        <v>4</v>
      </c>
      <c r="AL679">
        <v>7</v>
      </c>
      <c r="AM679">
        <v>3</v>
      </c>
      <c r="AN679">
        <v>6</v>
      </c>
      <c r="AO679">
        <v>9</v>
      </c>
      <c r="AP679">
        <v>1</v>
      </c>
      <c r="AQ679">
        <v>2</v>
      </c>
      <c r="AR679">
        <v>2</v>
      </c>
      <c r="AS679">
        <v>0</v>
      </c>
      <c r="AT679">
        <v>3</v>
      </c>
      <c r="AU679">
        <v>2</v>
      </c>
      <c r="AV679">
        <v>3</v>
      </c>
      <c r="AW679">
        <v>0</v>
      </c>
      <c r="AX679">
        <v>0</v>
      </c>
      <c r="AY679">
        <v>2</v>
      </c>
      <c r="AZ679">
        <v>0</v>
      </c>
      <c r="BA679">
        <v>0</v>
      </c>
      <c r="BB679">
        <v>0</v>
      </c>
      <c r="BC679" s="2">
        <v>3</v>
      </c>
      <c r="BD679" s="2">
        <v>4</v>
      </c>
      <c r="BE679" s="2">
        <v>7</v>
      </c>
      <c r="BF679" s="2">
        <v>3</v>
      </c>
      <c r="BG679" s="2">
        <v>6</v>
      </c>
      <c r="BH679" s="2">
        <v>9</v>
      </c>
      <c r="BI679" s="2">
        <v>1</v>
      </c>
      <c r="BJ679" s="2">
        <v>2</v>
      </c>
      <c r="BK679" s="2">
        <v>2</v>
      </c>
      <c r="BL679" s="2">
        <v>0</v>
      </c>
      <c r="BM679" s="2">
        <v>3</v>
      </c>
      <c r="BN679" s="2">
        <v>2</v>
      </c>
      <c r="BO679" s="2">
        <v>3</v>
      </c>
      <c r="BP679" s="2">
        <v>0</v>
      </c>
      <c r="BQ679" s="2">
        <v>0</v>
      </c>
      <c r="BR679" s="2">
        <v>2</v>
      </c>
      <c r="BS679" s="2">
        <v>0</v>
      </c>
      <c r="BT679" s="2">
        <v>0</v>
      </c>
      <c r="BU679" s="2">
        <v>0</v>
      </c>
      <c r="BV679" s="2">
        <f t="shared" si="45"/>
        <v>47</v>
      </c>
      <c r="BW679" s="16">
        <f t="shared" si="43"/>
        <v>2.4736842105263159</v>
      </c>
      <c r="BX679" s="16">
        <f>COUNTIF($BC$6:BU679, "=0") / COUNTIF($BC$6:BU679, "&gt;-1")</f>
        <v>0.18093081368108699</v>
      </c>
      <c r="BY679" s="18">
        <f>SUM($BC$6:BU679) / $BY$4</f>
        <v>0.89336638650367517</v>
      </c>
      <c r="BZ679" s="14">
        <f t="shared" si="44"/>
        <v>6</v>
      </c>
      <c r="CA679" t="s">
        <v>5832</v>
      </c>
      <c r="CZ679" t="s">
        <v>10781</v>
      </c>
      <c r="DA679" t="s">
        <v>5904</v>
      </c>
      <c r="DB679">
        <v>2204.1</v>
      </c>
      <c r="DC679" t="s">
        <v>28329</v>
      </c>
      <c r="DD679" t="s">
        <v>28330</v>
      </c>
      <c r="DE679" t="s">
        <v>28331</v>
      </c>
      <c r="DF679" t="s">
        <v>28332</v>
      </c>
      <c r="DG679" t="s">
        <v>13772</v>
      </c>
      <c r="DH679" t="str">
        <f>"ADAMTS2"</f>
        <v>ADAMTS2</v>
      </c>
      <c r="DI679" t="s">
        <v>28333</v>
      </c>
      <c r="DJ679" t="s">
        <v>13777</v>
      </c>
      <c r="DK679">
        <v>9606</v>
      </c>
      <c r="DL679" s="34" t="str">
        <f>HYPERLINK("http://www.uniprot.org/uniprot/O95450", "O95450")</f>
        <v>O95450</v>
      </c>
      <c r="DM679" t="s">
        <v>28334</v>
      </c>
      <c r="DN679" t="s">
        <v>19063</v>
      </c>
      <c r="DO679" t="s">
        <v>13869</v>
      </c>
      <c r="DP679" t="s">
        <v>13780</v>
      </c>
      <c r="DQ679" t="s">
        <v>13772</v>
      </c>
      <c r="DR679" t="s">
        <v>28335</v>
      </c>
      <c r="DS679" t="s">
        <v>14404</v>
      </c>
      <c r="DT679" t="s">
        <v>13856</v>
      </c>
      <c r="DU679" t="s">
        <v>15139</v>
      </c>
      <c r="DV679" t="s">
        <v>15472</v>
      </c>
      <c r="DW679" t="s">
        <v>13772</v>
      </c>
      <c r="DX679" t="s">
        <v>28336</v>
      </c>
      <c r="DY679" t="s">
        <v>28337</v>
      </c>
      <c r="DZ679" t="s">
        <v>28338</v>
      </c>
      <c r="EA679" t="s">
        <v>13772</v>
      </c>
      <c r="EB679" t="s">
        <v>26891</v>
      </c>
    </row>
    <row r="680" spans="1:132" hidden="1">
      <c r="A680">
        <v>1758</v>
      </c>
      <c r="B680">
        <v>1</v>
      </c>
      <c r="C680" t="s">
        <v>4158</v>
      </c>
      <c r="D680" t="s">
        <v>73</v>
      </c>
      <c r="E680" t="s">
        <v>73</v>
      </c>
      <c r="F680" t="s">
        <v>73</v>
      </c>
      <c r="G680" t="s">
        <v>73</v>
      </c>
      <c r="H680">
        <v>10.5</v>
      </c>
      <c r="I680">
        <v>673</v>
      </c>
      <c r="J680">
        <v>72735</v>
      </c>
      <c r="K680" t="s">
        <v>4159</v>
      </c>
      <c r="L680">
        <f t="shared" si="42"/>
        <v>47</v>
      </c>
      <c r="N680">
        <v>47</v>
      </c>
      <c r="O680">
        <v>47</v>
      </c>
      <c r="P680">
        <v>1</v>
      </c>
      <c r="Q680">
        <v>4</v>
      </c>
      <c r="R680">
        <v>6</v>
      </c>
      <c r="S680">
        <v>0</v>
      </c>
      <c r="T680">
        <v>2</v>
      </c>
      <c r="U680">
        <v>12</v>
      </c>
      <c r="V680">
        <v>10</v>
      </c>
      <c r="W680">
        <v>4</v>
      </c>
      <c r="X680">
        <v>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4</v>
      </c>
      <c r="AK680">
        <v>6</v>
      </c>
      <c r="AL680">
        <v>0</v>
      </c>
      <c r="AM680">
        <v>2</v>
      </c>
      <c r="AN680">
        <v>12</v>
      </c>
      <c r="AO680">
        <v>10</v>
      </c>
      <c r="AP680">
        <v>4</v>
      </c>
      <c r="AQ680">
        <v>9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 s="2">
        <v>4</v>
      </c>
      <c r="BD680" s="2">
        <v>6</v>
      </c>
      <c r="BE680" s="2">
        <v>0</v>
      </c>
      <c r="BF680" s="2">
        <v>2</v>
      </c>
      <c r="BG680" s="2">
        <v>12</v>
      </c>
      <c r="BH680" s="2">
        <v>10</v>
      </c>
      <c r="BI680" s="2">
        <v>4</v>
      </c>
      <c r="BJ680" s="2">
        <v>9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f t="shared" si="45"/>
        <v>47</v>
      </c>
      <c r="BW680" s="16">
        <f t="shared" si="43"/>
        <v>2.4736842105263159</v>
      </c>
      <c r="BX680" s="16">
        <f>COUNTIF($BC$6:BU680, "=0") / COUNTIF($BC$6:BU680, "&gt;-1")</f>
        <v>0.18159844054580895</v>
      </c>
      <c r="BY680" s="18">
        <f>SUM($BC$6:BU680) / $BY$4</f>
        <v>0.89356771743650409</v>
      </c>
      <c r="BZ680" s="14">
        <f t="shared" si="44"/>
        <v>12</v>
      </c>
      <c r="CA680" t="s">
        <v>5832</v>
      </c>
      <c r="CZ680" t="s">
        <v>11614</v>
      </c>
      <c r="DA680" t="s">
        <v>5904</v>
      </c>
      <c r="DB680">
        <v>1201</v>
      </c>
      <c r="DC680" t="s">
        <v>30664</v>
      </c>
      <c r="DD680" t="s">
        <v>30665</v>
      </c>
      <c r="DE680" t="s">
        <v>30666</v>
      </c>
      <c r="DF680" t="s">
        <v>30667</v>
      </c>
      <c r="DG680" t="s">
        <v>30668</v>
      </c>
      <c r="DH680" t="str">
        <f>"SLC5A2"</f>
        <v>SLC5A2</v>
      </c>
      <c r="DI680" t="s">
        <v>30669</v>
      </c>
      <c r="DJ680" t="s">
        <v>13777</v>
      </c>
      <c r="DK680">
        <v>9606</v>
      </c>
      <c r="DL680" s="34" t="str">
        <f>HYPERLINK("http://www.uniprot.org/uniprot/P31639", "P31639")</f>
        <v>P31639</v>
      </c>
      <c r="DM680" t="s">
        <v>30670</v>
      </c>
      <c r="DN680" t="s">
        <v>18246</v>
      </c>
      <c r="DO680" t="s">
        <v>13825</v>
      </c>
      <c r="DP680" t="s">
        <v>13841</v>
      </c>
      <c r="DQ680" t="s">
        <v>13772</v>
      </c>
      <c r="DR680" t="s">
        <v>13807</v>
      </c>
      <c r="DS680" t="s">
        <v>13925</v>
      </c>
      <c r="DT680" t="s">
        <v>13926</v>
      </c>
      <c r="DU680" t="s">
        <v>13772</v>
      </c>
      <c r="DV680" t="s">
        <v>13858</v>
      </c>
      <c r="DW680" t="s">
        <v>13772</v>
      </c>
      <c r="DX680" t="s">
        <v>30671</v>
      </c>
      <c r="DY680" t="s">
        <v>17329</v>
      </c>
      <c r="DZ680" t="s">
        <v>30672</v>
      </c>
      <c r="EA680" t="s">
        <v>13772</v>
      </c>
      <c r="EB680" t="s">
        <v>30673</v>
      </c>
    </row>
    <row r="681" spans="1:132" hidden="1">
      <c r="A681">
        <v>1760</v>
      </c>
      <c r="B681">
        <v>1</v>
      </c>
      <c r="C681" t="s">
        <v>4163</v>
      </c>
      <c r="D681" t="s">
        <v>4164</v>
      </c>
      <c r="E681" t="s">
        <v>73</v>
      </c>
      <c r="F681" t="s">
        <v>73</v>
      </c>
      <c r="G681" t="s">
        <v>73</v>
      </c>
      <c r="H681">
        <v>27.4</v>
      </c>
      <c r="I681">
        <v>430</v>
      </c>
      <c r="J681">
        <v>46579</v>
      </c>
      <c r="K681" t="s">
        <v>4165</v>
      </c>
      <c r="L681">
        <f t="shared" si="42"/>
        <v>47</v>
      </c>
      <c r="N681">
        <v>47</v>
      </c>
      <c r="O681">
        <v>47</v>
      </c>
      <c r="P681">
        <v>1</v>
      </c>
      <c r="Q681">
        <v>4</v>
      </c>
      <c r="R681">
        <v>2</v>
      </c>
      <c r="S681">
        <v>0</v>
      </c>
      <c r="T681">
        <v>0</v>
      </c>
      <c r="U681">
        <v>5</v>
      </c>
      <c r="V681">
        <v>2</v>
      </c>
      <c r="W681">
        <v>6</v>
      </c>
      <c r="X681">
        <v>9</v>
      </c>
      <c r="Y681">
        <v>0</v>
      </c>
      <c r="Z681">
        <v>0</v>
      </c>
      <c r="AA681">
        <v>3</v>
      </c>
      <c r="AB681">
        <v>5</v>
      </c>
      <c r="AC681">
        <v>0</v>
      </c>
      <c r="AD681">
        <v>0</v>
      </c>
      <c r="AE681">
        <v>4</v>
      </c>
      <c r="AF681">
        <v>6</v>
      </c>
      <c r="AG681">
        <v>1</v>
      </c>
      <c r="AH681">
        <v>0</v>
      </c>
      <c r="AI681">
        <v>0</v>
      </c>
      <c r="AJ681">
        <v>4</v>
      </c>
      <c r="AK681">
        <v>2</v>
      </c>
      <c r="AL681">
        <v>0</v>
      </c>
      <c r="AM681">
        <v>0</v>
      </c>
      <c r="AN681">
        <v>5</v>
      </c>
      <c r="AO681">
        <v>2</v>
      </c>
      <c r="AP681">
        <v>6</v>
      </c>
      <c r="AQ681">
        <v>9</v>
      </c>
      <c r="AR681">
        <v>0</v>
      </c>
      <c r="AS681">
        <v>0</v>
      </c>
      <c r="AT681">
        <v>3</v>
      </c>
      <c r="AU681">
        <v>5</v>
      </c>
      <c r="AV681">
        <v>0</v>
      </c>
      <c r="AW681">
        <v>0</v>
      </c>
      <c r="AX681">
        <v>4</v>
      </c>
      <c r="AY681">
        <v>6</v>
      </c>
      <c r="AZ681">
        <v>1</v>
      </c>
      <c r="BA681">
        <v>0</v>
      </c>
      <c r="BB681">
        <v>0</v>
      </c>
      <c r="BC681" s="2">
        <v>4</v>
      </c>
      <c r="BD681" s="2">
        <v>2</v>
      </c>
      <c r="BE681" s="2">
        <v>0</v>
      </c>
      <c r="BF681" s="2">
        <v>0</v>
      </c>
      <c r="BG681" s="2">
        <v>5</v>
      </c>
      <c r="BH681" s="2">
        <v>2</v>
      </c>
      <c r="BI681" s="2">
        <v>6</v>
      </c>
      <c r="BJ681" s="2">
        <v>9</v>
      </c>
      <c r="BK681" s="2">
        <v>0</v>
      </c>
      <c r="BL681" s="2">
        <v>0</v>
      </c>
      <c r="BM681" s="2">
        <v>3</v>
      </c>
      <c r="BN681" s="2">
        <v>5</v>
      </c>
      <c r="BO681" s="2">
        <v>0</v>
      </c>
      <c r="BP681" s="2">
        <v>0</v>
      </c>
      <c r="BQ681" s="2">
        <v>4</v>
      </c>
      <c r="BR681" s="2">
        <v>6</v>
      </c>
      <c r="BS681" s="2">
        <v>1</v>
      </c>
      <c r="BT681" s="2">
        <v>0</v>
      </c>
      <c r="BU681" s="2">
        <v>0</v>
      </c>
      <c r="BV681" s="2">
        <f t="shared" si="45"/>
        <v>47</v>
      </c>
      <c r="BW681" s="16">
        <f t="shared" si="43"/>
        <v>2.4736842105263159</v>
      </c>
      <c r="BX681" s="16">
        <f>COUNTIF($BC$6:BU681, "=0") / COUNTIF($BC$6:BU681, "&gt;-1")</f>
        <v>0.1819526627218935</v>
      </c>
      <c r="BY681" s="18">
        <f>SUM($BC$6:BU681) / $BY$4</f>
        <v>0.89376904836933302</v>
      </c>
      <c r="BZ681" s="14">
        <f t="shared" si="44"/>
        <v>8</v>
      </c>
      <c r="CA681" t="s">
        <v>5832</v>
      </c>
      <c r="CZ681" t="s">
        <v>11622</v>
      </c>
      <c r="DA681" t="s">
        <v>5904</v>
      </c>
      <c r="DB681">
        <v>718.4</v>
      </c>
      <c r="DC681" t="s">
        <v>30682</v>
      </c>
      <c r="DD681" t="s">
        <v>30683</v>
      </c>
      <c r="DE681" t="s">
        <v>30684</v>
      </c>
      <c r="DF681" t="s">
        <v>30685</v>
      </c>
      <c r="DG681" t="s">
        <v>30686</v>
      </c>
      <c r="DH681" t="str">
        <f>"CADM3"</f>
        <v>CADM3</v>
      </c>
      <c r="DI681" t="s">
        <v>30687</v>
      </c>
      <c r="DJ681" t="s">
        <v>13777</v>
      </c>
      <c r="DK681">
        <v>9606</v>
      </c>
      <c r="DL681" s="34" t="str">
        <f>HYPERLINK("http://www.uniprot.org/uniprot/Q8N126", "Q8N126")</f>
        <v>Q8N126</v>
      </c>
      <c r="DM681" t="s">
        <v>30688</v>
      </c>
      <c r="DN681" t="s">
        <v>13949</v>
      </c>
      <c r="DO681" t="s">
        <v>17424</v>
      </c>
      <c r="DP681" t="s">
        <v>13780</v>
      </c>
      <c r="DQ681" t="s">
        <v>13772</v>
      </c>
      <c r="DR681" t="s">
        <v>13772</v>
      </c>
      <c r="DS681" t="s">
        <v>13951</v>
      </c>
      <c r="DT681" t="s">
        <v>14465</v>
      </c>
      <c r="DU681" t="s">
        <v>13772</v>
      </c>
      <c r="DV681" t="s">
        <v>13964</v>
      </c>
      <c r="DW681" t="s">
        <v>13812</v>
      </c>
      <c r="DX681" t="s">
        <v>30689</v>
      </c>
      <c r="DY681" t="s">
        <v>30690</v>
      </c>
      <c r="DZ681" t="s">
        <v>20460</v>
      </c>
      <c r="EA681" t="s">
        <v>13772</v>
      </c>
      <c r="EB681" t="s">
        <v>18872</v>
      </c>
    </row>
    <row r="682" spans="1:132" hidden="1">
      <c r="A682">
        <v>1840</v>
      </c>
      <c r="B682">
        <v>1</v>
      </c>
      <c r="C682" t="s">
        <v>4349</v>
      </c>
      <c r="D682" t="s">
        <v>73</v>
      </c>
      <c r="E682" t="s">
        <v>73</v>
      </c>
      <c r="F682" t="s">
        <v>73</v>
      </c>
      <c r="G682" t="s">
        <v>73</v>
      </c>
      <c r="H682">
        <v>33.799999999999997</v>
      </c>
      <c r="I682">
        <v>518</v>
      </c>
      <c r="J682">
        <v>58028</v>
      </c>
      <c r="K682" t="s">
        <v>4350</v>
      </c>
      <c r="L682">
        <f t="shared" si="42"/>
        <v>47</v>
      </c>
      <c r="N682">
        <v>47</v>
      </c>
      <c r="O682">
        <v>47</v>
      </c>
      <c r="P682">
        <v>1</v>
      </c>
      <c r="Q682">
        <v>1</v>
      </c>
      <c r="R682">
        <v>2</v>
      </c>
      <c r="S682">
        <v>2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3</v>
      </c>
      <c r="AB682">
        <v>5</v>
      </c>
      <c r="AC682">
        <v>3</v>
      </c>
      <c r="AD682">
        <v>0</v>
      </c>
      <c r="AE682">
        <v>1</v>
      </c>
      <c r="AF682">
        <v>2</v>
      </c>
      <c r="AG682">
        <v>23</v>
      </c>
      <c r="AH682">
        <v>0</v>
      </c>
      <c r="AI682">
        <v>2</v>
      </c>
      <c r="AJ682">
        <v>1</v>
      </c>
      <c r="AK682">
        <v>2</v>
      </c>
      <c r="AL682">
        <v>2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3</v>
      </c>
      <c r="AU682">
        <v>5</v>
      </c>
      <c r="AV682">
        <v>3</v>
      </c>
      <c r="AW682">
        <v>0</v>
      </c>
      <c r="AX682">
        <v>1</v>
      </c>
      <c r="AY682">
        <v>2</v>
      </c>
      <c r="AZ682">
        <v>23</v>
      </c>
      <c r="BA682">
        <v>0</v>
      </c>
      <c r="BB682">
        <v>2</v>
      </c>
      <c r="BC682" s="2">
        <v>1</v>
      </c>
      <c r="BD682" s="2">
        <v>2</v>
      </c>
      <c r="BE682" s="2">
        <v>2</v>
      </c>
      <c r="BF682" s="2">
        <v>1</v>
      </c>
      <c r="BG682" s="2">
        <v>0</v>
      </c>
      <c r="BH682" s="2">
        <v>0</v>
      </c>
      <c r="BI682" s="2">
        <v>1</v>
      </c>
      <c r="BJ682" s="2">
        <v>0</v>
      </c>
      <c r="BK682" s="2">
        <v>1</v>
      </c>
      <c r="BL682" s="2">
        <v>0</v>
      </c>
      <c r="BM682" s="2">
        <v>3</v>
      </c>
      <c r="BN682" s="2">
        <v>5</v>
      </c>
      <c r="BO682" s="2">
        <v>3</v>
      </c>
      <c r="BP682" s="2">
        <v>0</v>
      </c>
      <c r="BQ682" s="2">
        <v>1</v>
      </c>
      <c r="BR682" s="2">
        <v>2</v>
      </c>
      <c r="BS682" s="2">
        <v>23</v>
      </c>
      <c r="BT682" s="2">
        <v>0</v>
      </c>
      <c r="BU682" s="2">
        <v>2</v>
      </c>
      <c r="BV682" s="2">
        <f t="shared" si="45"/>
        <v>47</v>
      </c>
      <c r="BW682" s="16">
        <f t="shared" si="43"/>
        <v>2.4736842105263159</v>
      </c>
      <c r="BX682" s="16">
        <f>COUNTIF($BC$6:BU682, "=0") / COUNTIF($BC$6:BU682, "&gt;-1")</f>
        <v>0.18215035372774624</v>
      </c>
      <c r="BY682" s="18">
        <f>SUM($BC$6:BU682) / $BY$4</f>
        <v>0.89397037930216194</v>
      </c>
      <c r="BZ682" s="14">
        <f t="shared" si="44"/>
        <v>6</v>
      </c>
      <c r="CA682" t="s">
        <v>5832</v>
      </c>
      <c r="CZ682" t="s">
        <v>11893</v>
      </c>
      <c r="DA682" t="s">
        <v>5904</v>
      </c>
      <c r="DB682">
        <v>786.6</v>
      </c>
      <c r="DC682" t="s">
        <v>31470</v>
      </c>
      <c r="DD682" t="s">
        <v>31471</v>
      </c>
      <c r="DE682" t="s">
        <v>31472</v>
      </c>
      <c r="DF682" t="s">
        <v>31473</v>
      </c>
      <c r="DG682" t="s">
        <v>31474</v>
      </c>
      <c r="DH682" t="str">
        <f>"GP2"</f>
        <v>GP2</v>
      </c>
      <c r="DI682" t="s">
        <v>13772</v>
      </c>
      <c r="DJ682" t="s">
        <v>13777</v>
      </c>
      <c r="DK682">
        <v>9606</v>
      </c>
      <c r="DL682" s="34" t="str">
        <f>HYPERLINK("http://www.uniprot.org/uniprot/P55259", "P55259")</f>
        <v>P55259</v>
      </c>
      <c r="DM682" t="s">
        <v>31475</v>
      </c>
      <c r="DN682" t="s">
        <v>13772</v>
      </c>
      <c r="DO682" t="s">
        <v>14336</v>
      </c>
      <c r="DP682" t="s">
        <v>13841</v>
      </c>
      <c r="DQ682" t="s">
        <v>13772</v>
      </c>
      <c r="DR682" t="s">
        <v>13772</v>
      </c>
      <c r="DS682" t="s">
        <v>21983</v>
      </c>
      <c r="DT682" t="s">
        <v>13772</v>
      </c>
      <c r="DU682" t="s">
        <v>13772</v>
      </c>
      <c r="DV682" t="s">
        <v>15699</v>
      </c>
      <c r="DW682" t="s">
        <v>13772</v>
      </c>
      <c r="DX682" t="s">
        <v>13772</v>
      </c>
      <c r="DY682" t="s">
        <v>26800</v>
      </c>
      <c r="DZ682" t="s">
        <v>13772</v>
      </c>
      <c r="EA682" t="s">
        <v>13772</v>
      </c>
      <c r="EB682" t="s">
        <v>16280</v>
      </c>
    </row>
    <row r="683" spans="1:132" hidden="1">
      <c r="A683">
        <v>1843</v>
      </c>
      <c r="B683">
        <v>1</v>
      </c>
      <c r="C683" t="s">
        <v>4355</v>
      </c>
      <c r="D683" t="s">
        <v>4356</v>
      </c>
      <c r="E683" t="s">
        <v>73</v>
      </c>
      <c r="F683" t="s">
        <v>73</v>
      </c>
      <c r="G683" t="s">
        <v>73</v>
      </c>
      <c r="H683">
        <v>49</v>
      </c>
      <c r="I683">
        <v>394</v>
      </c>
      <c r="J683">
        <v>41671</v>
      </c>
      <c r="K683" t="s">
        <v>4357</v>
      </c>
      <c r="L683">
        <f t="shared" si="42"/>
        <v>47</v>
      </c>
      <c r="N683">
        <v>47</v>
      </c>
      <c r="O683">
        <v>47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7</v>
      </c>
      <c r="Z683">
        <v>0</v>
      </c>
      <c r="AA683">
        <v>14</v>
      </c>
      <c r="AB683">
        <v>5</v>
      </c>
      <c r="AC683">
        <v>5</v>
      </c>
      <c r="AD683">
        <v>0</v>
      </c>
      <c r="AE683">
        <v>5</v>
      </c>
      <c r="AF683">
        <v>5</v>
      </c>
      <c r="AG683">
        <v>3</v>
      </c>
      <c r="AH683">
        <v>1</v>
      </c>
      <c r="AI683">
        <v>2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7</v>
      </c>
      <c r="AS683">
        <v>0</v>
      </c>
      <c r="AT683">
        <v>14</v>
      </c>
      <c r="AU683">
        <v>5</v>
      </c>
      <c r="AV683">
        <v>5</v>
      </c>
      <c r="AW683">
        <v>0</v>
      </c>
      <c r="AX683">
        <v>5</v>
      </c>
      <c r="AY683">
        <v>5</v>
      </c>
      <c r="AZ683">
        <v>3</v>
      </c>
      <c r="BA683">
        <v>1</v>
      </c>
      <c r="BB683">
        <v>2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7</v>
      </c>
      <c r="BL683" s="2">
        <v>0</v>
      </c>
      <c r="BM683" s="2">
        <v>14</v>
      </c>
      <c r="BN683" s="2">
        <v>5</v>
      </c>
      <c r="BO683" s="2">
        <v>5</v>
      </c>
      <c r="BP683" s="2">
        <v>0</v>
      </c>
      <c r="BQ683" s="2">
        <v>5</v>
      </c>
      <c r="BR683" s="2">
        <v>5</v>
      </c>
      <c r="BS683" s="2">
        <v>3</v>
      </c>
      <c r="BT683" s="2">
        <v>1</v>
      </c>
      <c r="BU683" s="2">
        <v>2</v>
      </c>
      <c r="BV683" s="2">
        <f t="shared" si="45"/>
        <v>47</v>
      </c>
      <c r="BW683" s="16">
        <f t="shared" si="43"/>
        <v>2.4736842105263159</v>
      </c>
      <c r="BX683" s="16">
        <f>COUNTIF($BC$6:BU683, "=0") / COUNTIF($BC$6:BU683, "&gt;-1")</f>
        <v>0.18265797236453968</v>
      </c>
      <c r="BY683" s="18">
        <f>SUM($BC$6:BU683) / $BY$4</f>
        <v>0.89417171023499087</v>
      </c>
      <c r="BZ683" s="14">
        <f t="shared" si="44"/>
        <v>10</v>
      </c>
      <c r="CA683" t="s">
        <v>5832</v>
      </c>
      <c r="CZ683" t="s">
        <v>11903</v>
      </c>
      <c r="DA683" t="s">
        <v>5904</v>
      </c>
      <c r="DB683">
        <v>427.2</v>
      </c>
      <c r="DC683" t="s">
        <v>31498</v>
      </c>
      <c r="DD683" t="s">
        <v>31499</v>
      </c>
      <c r="DE683" t="s">
        <v>31500</v>
      </c>
      <c r="DF683" t="s">
        <v>31501</v>
      </c>
      <c r="DG683" t="s">
        <v>31502</v>
      </c>
      <c r="DH683" t="str">
        <f>"RCSD1"</f>
        <v>RCSD1</v>
      </c>
      <c r="DI683" t="s">
        <v>31503</v>
      </c>
      <c r="DJ683" t="s">
        <v>13777</v>
      </c>
      <c r="DK683">
        <v>9606</v>
      </c>
      <c r="DL683" s="34" t="str">
        <f>HYPERLINK("http://www.uniprot.org/uniprot/Q6JBY9", "Q6JBY9")</f>
        <v>Q6JBY9</v>
      </c>
      <c r="DM683" t="s">
        <v>31504</v>
      </c>
      <c r="DN683" t="s">
        <v>13772</v>
      </c>
      <c r="DO683" t="s">
        <v>13772</v>
      </c>
      <c r="DP683" t="s">
        <v>13780</v>
      </c>
      <c r="DQ683" t="s">
        <v>13772</v>
      </c>
      <c r="DR683" t="s">
        <v>13772</v>
      </c>
      <c r="DS683" t="s">
        <v>13772</v>
      </c>
      <c r="DT683" t="s">
        <v>13772</v>
      </c>
      <c r="DU683" t="s">
        <v>13772</v>
      </c>
      <c r="DV683" t="s">
        <v>13782</v>
      </c>
      <c r="DW683" t="s">
        <v>13772</v>
      </c>
      <c r="DX683" t="s">
        <v>31505</v>
      </c>
      <c r="DY683" t="s">
        <v>31506</v>
      </c>
      <c r="DZ683" t="s">
        <v>15847</v>
      </c>
      <c r="EA683" t="s">
        <v>13772</v>
      </c>
      <c r="EB683" t="s">
        <v>13772</v>
      </c>
    </row>
    <row r="684" spans="1:132" hidden="1">
      <c r="A684">
        <v>1878</v>
      </c>
      <c r="B684">
        <v>1</v>
      </c>
      <c r="C684" t="s">
        <v>4434</v>
      </c>
      <c r="D684" t="s">
        <v>73</v>
      </c>
      <c r="E684" t="s">
        <v>73</v>
      </c>
      <c r="F684" t="s">
        <v>73</v>
      </c>
      <c r="G684" t="s">
        <v>73</v>
      </c>
      <c r="H684">
        <v>67.400000000000006</v>
      </c>
      <c r="I684">
        <v>172</v>
      </c>
      <c r="J684">
        <v>18925</v>
      </c>
      <c r="K684" t="s">
        <v>4435</v>
      </c>
      <c r="L684">
        <f t="shared" si="42"/>
        <v>47</v>
      </c>
      <c r="N684">
        <v>47</v>
      </c>
      <c r="O684">
        <v>47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10</v>
      </c>
      <c r="Z684">
        <v>0</v>
      </c>
      <c r="AA684">
        <v>12</v>
      </c>
      <c r="AB684">
        <v>0</v>
      </c>
      <c r="AC684">
        <v>3</v>
      </c>
      <c r="AD684">
        <v>0</v>
      </c>
      <c r="AE684">
        <v>8</v>
      </c>
      <c r="AF684">
        <v>12</v>
      </c>
      <c r="AG684">
        <v>0</v>
      </c>
      <c r="AH684">
        <v>0</v>
      </c>
      <c r="AI684">
        <v>2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10</v>
      </c>
      <c r="AS684">
        <v>0</v>
      </c>
      <c r="AT684">
        <v>12</v>
      </c>
      <c r="AU684">
        <v>0</v>
      </c>
      <c r="AV684">
        <v>3</v>
      </c>
      <c r="AW684">
        <v>0</v>
      </c>
      <c r="AX684">
        <v>8</v>
      </c>
      <c r="AY684">
        <v>12</v>
      </c>
      <c r="AZ684">
        <v>0</v>
      </c>
      <c r="BA684">
        <v>0</v>
      </c>
      <c r="BB684">
        <v>2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10</v>
      </c>
      <c r="BL684" s="2">
        <v>0</v>
      </c>
      <c r="BM684" s="2">
        <v>12</v>
      </c>
      <c r="BN684" s="2">
        <v>0</v>
      </c>
      <c r="BO684" s="2">
        <v>3</v>
      </c>
      <c r="BP684" s="2">
        <v>0</v>
      </c>
      <c r="BQ684" s="2">
        <v>8</v>
      </c>
      <c r="BR684" s="2">
        <v>12</v>
      </c>
      <c r="BS684" s="2">
        <v>0</v>
      </c>
      <c r="BT684" s="2">
        <v>0</v>
      </c>
      <c r="BU684" s="2">
        <v>2</v>
      </c>
      <c r="BV684" s="2">
        <f t="shared" si="45"/>
        <v>47</v>
      </c>
      <c r="BW684" s="16">
        <f t="shared" si="43"/>
        <v>2.4736842105263159</v>
      </c>
      <c r="BX684" s="16">
        <f>COUNTIF($BC$6:BU684, "=0") / COUNTIF($BC$6:BU684, "&gt;-1")</f>
        <v>0.18339663591969615</v>
      </c>
      <c r="BY684" s="18">
        <f>SUM($BC$6:BU684) / $BY$4</f>
        <v>0.89437304116781979</v>
      </c>
      <c r="BZ684" s="14">
        <f t="shared" si="44"/>
        <v>13</v>
      </c>
      <c r="CA684" t="s">
        <v>5832</v>
      </c>
      <c r="CZ684" t="s">
        <v>12016</v>
      </c>
      <c r="DA684" t="s">
        <v>5904</v>
      </c>
      <c r="DB684">
        <v>283.5</v>
      </c>
      <c r="DC684" t="s">
        <v>31813</v>
      </c>
      <c r="DD684" t="s">
        <v>31814</v>
      </c>
      <c r="DE684" t="s">
        <v>31815</v>
      </c>
      <c r="DF684" t="s">
        <v>31816</v>
      </c>
      <c r="DG684" t="s">
        <v>31817</v>
      </c>
      <c r="DH684" t="str">
        <f>"NENF SPUF"</f>
        <v>NENF SPUF</v>
      </c>
      <c r="DI684" t="s">
        <v>13772</v>
      </c>
      <c r="DJ684" t="s">
        <v>13777</v>
      </c>
      <c r="DK684">
        <v>9606</v>
      </c>
      <c r="DL684" s="34" t="str">
        <f>HYPERLINK("http://www.uniprot.org/uniprot/Q9UMX5", "Q9UMX5")</f>
        <v>Q9UMX5</v>
      </c>
      <c r="DM684" t="s">
        <v>31818</v>
      </c>
      <c r="DN684" t="s">
        <v>13772</v>
      </c>
      <c r="DO684" t="s">
        <v>14321</v>
      </c>
      <c r="DP684" t="s">
        <v>13772</v>
      </c>
      <c r="DQ684" t="s">
        <v>13772</v>
      </c>
      <c r="DR684" t="s">
        <v>13772</v>
      </c>
      <c r="DS684" t="s">
        <v>13808</v>
      </c>
      <c r="DT684" t="s">
        <v>16031</v>
      </c>
      <c r="DU684" t="s">
        <v>13772</v>
      </c>
      <c r="DV684" t="s">
        <v>14020</v>
      </c>
      <c r="DW684" t="s">
        <v>13772</v>
      </c>
      <c r="DX684" t="s">
        <v>31819</v>
      </c>
      <c r="DY684" t="s">
        <v>31820</v>
      </c>
      <c r="DZ684" t="s">
        <v>31821</v>
      </c>
      <c r="EA684" t="s">
        <v>13772</v>
      </c>
      <c r="EB684" t="s">
        <v>13772</v>
      </c>
    </row>
    <row r="685" spans="1:132" hidden="1">
      <c r="A685">
        <v>1160</v>
      </c>
      <c r="B685">
        <v>1</v>
      </c>
      <c r="C685" t="s">
        <v>2785</v>
      </c>
      <c r="D685" t="s">
        <v>2786</v>
      </c>
      <c r="E685" t="s">
        <v>73</v>
      </c>
      <c r="F685" t="s">
        <v>1540</v>
      </c>
      <c r="G685" t="s">
        <v>73</v>
      </c>
      <c r="H685">
        <v>32.6</v>
      </c>
      <c r="I685">
        <v>316</v>
      </c>
      <c r="J685">
        <v>36102</v>
      </c>
      <c r="K685" t="s">
        <v>2787</v>
      </c>
      <c r="L685">
        <f t="shared" si="42"/>
        <v>61</v>
      </c>
      <c r="N685">
        <v>61</v>
      </c>
      <c r="O685">
        <v>43</v>
      </c>
      <c r="P685">
        <v>0.70499999999999996</v>
      </c>
      <c r="Q685">
        <v>0</v>
      </c>
      <c r="R685">
        <v>4</v>
      </c>
      <c r="S685">
        <v>1</v>
      </c>
      <c r="T685">
        <v>0</v>
      </c>
      <c r="U685">
        <v>5</v>
      </c>
      <c r="V685">
        <v>6</v>
      </c>
      <c r="W685">
        <v>1</v>
      </c>
      <c r="X685">
        <v>6</v>
      </c>
      <c r="Y685">
        <v>6</v>
      </c>
      <c r="Z685">
        <v>0</v>
      </c>
      <c r="AA685">
        <v>8</v>
      </c>
      <c r="AB685">
        <v>2</v>
      </c>
      <c r="AC685">
        <v>4</v>
      </c>
      <c r="AD685">
        <v>2</v>
      </c>
      <c r="AE685">
        <v>5</v>
      </c>
      <c r="AF685">
        <v>7</v>
      </c>
      <c r="AG685">
        <v>2</v>
      </c>
      <c r="AH685">
        <v>2</v>
      </c>
      <c r="AI685">
        <v>0</v>
      </c>
      <c r="AJ685">
        <v>0</v>
      </c>
      <c r="AK685">
        <v>3</v>
      </c>
      <c r="AL685">
        <v>0</v>
      </c>
      <c r="AM685">
        <v>0</v>
      </c>
      <c r="AN685">
        <v>3</v>
      </c>
      <c r="AO685">
        <v>5</v>
      </c>
      <c r="AP685">
        <v>1</v>
      </c>
      <c r="AQ685">
        <v>5</v>
      </c>
      <c r="AR685">
        <v>5</v>
      </c>
      <c r="AS685">
        <v>0</v>
      </c>
      <c r="AT685">
        <v>7</v>
      </c>
      <c r="AU685">
        <v>1</v>
      </c>
      <c r="AV685">
        <v>3</v>
      </c>
      <c r="AW685">
        <v>0</v>
      </c>
      <c r="AX685">
        <v>4</v>
      </c>
      <c r="AY685">
        <v>5</v>
      </c>
      <c r="AZ685">
        <v>1</v>
      </c>
      <c r="BA685">
        <v>0</v>
      </c>
      <c r="BB685">
        <v>0</v>
      </c>
      <c r="BC685" s="2">
        <v>0</v>
      </c>
      <c r="BD685" s="2">
        <v>3.4289999999999998</v>
      </c>
      <c r="BE685" s="2">
        <v>0.5</v>
      </c>
      <c r="BF685" s="2">
        <v>0</v>
      </c>
      <c r="BG685" s="2">
        <v>3.5</v>
      </c>
      <c r="BH685" s="2">
        <v>5.3330000000000002</v>
      </c>
      <c r="BI685" s="2">
        <v>1</v>
      </c>
      <c r="BJ685" s="2">
        <v>5.1719999999999997</v>
      </c>
      <c r="BK685" s="2">
        <v>5.2779999999999996</v>
      </c>
      <c r="BL685" s="2">
        <v>0</v>
      </c>
      <c r="BM685" s="2">
        <v>7.2190000000000003</v>
      </c>
      <c r="BN685" s="2">
        <v>1.111</v>
      </c>
      <c r="BO685" s="2">
        <v>3.2</v>
      </c>
      <c r="BP685" s="2">
        <v>0</v>
      </c>
      <c r="BQ685" s="2">
        <v>4.4000000000000004</v>
      </c>
      <c r="BR685" s="2">
        <v>5.5</v>
      </c>
      <c r="BS685" s="2">
        <v>1.333</v>
      </c>
      <c r="BT685" s="2">
        <v>0</v>
      </c>
      <c r="BU685" s="2">
        <v>0</v>
      </c>
      <c r="BV685" s="2">
        <f t="shared" si="45"/>
        <v>46.975000000000001</v>
      </c>
      <c r="BW685" s="16">
        <f t="shared" si="43"/>
        <v>2.4723684210526318</v>
      </c>
      <c r="BX685" s="16">
        <f>COUNTIF($BC$6:BU685, "=0") / COUNTIF($BC$6:BU685, "&gt;-1")</f>
        <v>0.18359133126934984</v>
      </c>
      <c r="BY685" s="18">
        <f>SUM($BC$6:BU685) / $BY$4</f>
        <v>0.89457426500972714</v>
      </c>
      <c r="BZ685" s="14">
        <f t="shared" si="44"/>
        <v>6</v>
      </c>
      <c r="CA685" t="s">
        <v>5832</v>
      </c>
      <c r="CZ685" t="s">
        <v>9587</v>
      </c>
      <c r="DA685" t="s">
        <v>5904</v>
      </c>
      <c r="DB685">
        <v>487.6</v>
      </c>
      <c r="DC685" t="s">
        <v>24963</v>
      </c>
      <c r="DD685" t="s">
        <v>24964</v>
      </c>
      <c r="DE685" t="s">
        <v>24965</v>
      </c>
      <c r="DF685" t="s">
        <v>24966</v>
      </c>
      <c r="DG685" t="s">
        <v>24967</v>
      </c>
      <c r="DH685" t="str">
        <f>"AKR1E2"</f>
        <v>AKR1E2</v>
      </c>
      <c r="DI685" t="s">
        <v>24968</v>
      </c>
      <c r="DJ685" t="s">
        <v>13777</v>
      </c>
      <c r="DK685">
        <v>9606</v>
      </c>
      <c r="DL685" s="34" t="str">
        <f>HYPERLINK("http://www.uniprot.org/uniprot/Q96JD6", "Q96JD6")</f>
        <v>Q96JD6</v>
      </c>
      <c r="DM685" t="s">
        <v>24969</v>
      </c>
      <c r="DN685" t="s">
        <v>13772</v>
      </c>
      <c r="DO685" t="s">
        <v>13899</v>
      </c>
      <c r="DP685" t="s">
        <v>13780</v>
      </c>
      <c r="DQ685" t="s">
        <v>13772</v>
      </c>
      <c r="DR685" t="s">
        <v>13772</v>
      </c>
      <c r="DS685" t="s">
        <v>13772</v>
      </c>
      <c r="DT685" t="s">
        <v>15759</v>
      </c>
      <c r="DU685" t="s">
        <v>13885</v>
      </c>
      <c r="DV685" t="s">
        <v>13772</v>
      </c>
      <c r="DW685" t="s">
        <v>13772</v>
      </c>
      <c r="DX685" t="s">
        <v>24970</v>
      </c>
      <c r="DY685" t="s">
        <v>24971</v>
      </c>
      <c r="DZ685" t="s">
        <v>24972</v>
      </c>
      <c r="EA685" t="s">
        <v>13772</v>
      </c>
      <c r="EB685" t="s">
        <v>13772</v>
      </c>
    </row>
    <row r="686" spans="1:132" hidden="1">
      <c r="A686">
        <v>448</v>
      </c>
      <c r="B686">
        <v>1</v>
      </c>
      <c r="C686" t="s">
        <v>1121</v>
      </c>
      <c r="D686" t="s">
        <v>73</v>
      </c>
      <c r="E686" t="s">
        <v>73</v>
      </c>
      <c r="F686" t="s">
        <v>73</v>
      </c>
      <c r="G686" t="s">
        <v>73</v>
      </c>
      <c r="H686">
        <v>56.9</v>
      </c>
      <c r="I686">
        <v>397</v>
      </c>
      <c r="J686">
        <v>42083</v>
      </c>
      <c r="K686" t="s">
        <v>1122</v>
      </c>
      <c r="L686">
        <f t="shared" si="42"/>
        <v>46</v>
      </c>
      <c r="N686">
        <v>46</v>
      </c>
      <c r="O686">
        <v>46</v>
      </c>
      <c r="P686">
        <v>1</v>
      </c>
      <c r="Q686">
        <v>1</v>
      </c>
      <c r="R686">
        <v>5</v>
      </c>
      <c r="S686">
        <v>0</v>
      </c>
      <c r="T686">
        <v>0</v>
      </c>
      <c r="U686">
        <v>5</v>
      </c>
      <c r="V686">
        <v>2</v>
      </c>
      <c r="W686">
        <v>1</v>
      </c>
      <c r="X686">
        <v>5</v>
      </c>
      <c r="Y686">
        <v>2</v>
      </c>
      <c r="Z686">
        <v>0</v>
      </c>
      <c r="AA686">
        <v>10</v>
      </c>
      <c r="AB686">
        <v>8</v>
      </c>
      <c r="AC686">
        <v>2</v>
      </c>
      <c r="AD686">
        <v>0</v>
      </c>
      <c r="AE686">
        <v>3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5</v>
      </c>
      <c r="AL686">
        <v>0</v>
      </c>
      <c r="AM686">
        <v>0</v>
      </c>
      <c r="AN686">
        <v>5</v>
      </c>
      <c r="AO686">
        <v>2</v>
      </c>
      <c r="AP686">
        <v>1</v>
      </c>
      <c r="AQ686">
        <v>5</v>
      </c>
      <c r="AR686">
        <v>2</v>
      </c>
      <c r="AS686">
        <v>0</v>
      </c>
      <c r="AT686">
        <v>10</v>
      </c>
      <c r="AU686">
        <v>8</v>
      </c>
      <c r="AV686">
        <v>2</v>
      </c>
      <c r="AW686">
        <v>0</v>
      </c>
      <c r="AX686">
        <v>3</v>
      </c>
      <c r="AY686">
        <v>1</v>
      </c>
      <c r="AZ686">
        <v>1</v>
      </c>
      <c r="BA686">
        <v>0</v>
      </c>
      <c r="BB686">
        <v>0</v>
      </c>
      <c r="BC686" s="2">
        <v>1</v>
      </c>
      <c r="BD686" s="2">
        <v>5</v>
      </c>
      <c r="BE686" s="2">
        <v>0</v>
      </c>
      <c r="BF686" s="2">
        <v>0</v>
      </c>
      <c r="BG686" s="2">
        <v>5</v>
      </c>
      <c r="BH686" s="2">
        <v>2</v>
      </c>
      <c r="BI686" s="2">
        <v>1</v>
      </c>
      <c r="BJ686" s="2">
        <v>5</v>
      </c>
      <c r="BK686" s="2">
        <v>2</v>
      </c>
      <c r="BL686" s="2">
        <v>0</v>
      </c>
      <c r="BM686" s="2">
        <v>10</v>
      </c>
      <c r="BN686" s="2">
        <v>8</v>
      </c>
      <c r="BO686" s="2">
        <v>2</v>
      </c>
      <c r="BP686" s="2">
        <v>0</v>
      </c>
      <c r="BQ686" s="2">
        <v>3</v>
      </c>
      <c r="BR686" s="2">
        <v>1</v>
      </c>
      <c r="BS686" s="2">
        <v>1</v>
      </c>
      <c r="BT686" s="2">
        <v>0</v>
      </c>
      <c r="BU686" s="2">
        <v>0</v>
      </c>
      <c r="BV686" s="2">
        <f t="shared" si="45"/>
        <v>46</v>
      </c>
      <c r="BW686" s="16">
        <f t="shared" si="43"/>
        <v>2.4210526315789473</v>
      </c>
      <c r="BX686" s="16">
        <f>COUNTIF($BC$6:BU686, "=0") / COUNTIF($BC$6:BU686, "&gt;-1")</f>
        <v>0.18378545482649356</v>
      </c>
      <c r="BY686" s="18">
        <f>SUM($BC$6:BU686) / $BY$4</f>
        <v>0.89477131230568729</v>
      </c>
      <c r="BZ686" s="14">
        <f t="shared" si="44"/>
        <v>6</v>
      </c>
      <c r="CA686" t="s">
        <v>5832</v>
      </c>
      <c r="CZ686" t="s">
        <v>7254</v>
      </c>
      <c r="DA686" t="s">
        <v>5904</v>
      </c>
      <c r="DB686">
        <v>745</v>
      </c>
      <c r="DC686" t="s">
        <v>18142</v>
      </c>
      <c r="DD686" t="s">
        <v>18143</v>
      </c>
      <c r="DE686" t="s">
        <v>18144</v>
      </c>
      <c r="DF686" t="s">
        <v>18145</v>
      </c>
      <c r="DG686" t="s">
        <v>18146</v>
      </c>
      <c r="DH686" t="str">
        <f>"ACAA2"</f>
        <v>ACAA2</v>
      </c>
      <c r="DI686" t="s">
        <v>13772</v>
      </c>
      <c r="DJ686" t="s">
        <v>13777</v>
      </c>
      <c r="DK686">
        <v>9606</v>
      </c>
      <c r="DL686" s="34" t="str">
        <f>HYPERLINK("http://www.uniprot.org/uniprot/P42765", "P42765")</f>
        <v>P42765</v>
      </c>
      <c r="DM686" t="s">
        <v>18147</v>
      </c>
      <c r="DN686" t="s">
        <v>14430</v>
      </c>
      <c r="DO686" t="s">
        <v>14491</v>
      </c>
      <c r="DP686" t="s">
        <v>13793</v>
      </c>
      <c r="DQ686" t="s">
        <v>13772</v>
      </c>
      <c r="DR686" t="s">
        <v>13772</v>
      </c>
      <c r="DS686" t="s">
        <v>14391</v>
      </c>
      <c r="DT686" t="s">
        <v>13772</v>
      </c>
      <c r="DU686" t="s">
        <v>15096</v>
      </c>
      <c r="DV686" t="s">
        <v>13886</v>
      </c>
      <c r="DW686" t="s">
        <v>13812</v>
      </c>
      <c r="DX686" t="s">
        <v>18148</v>
      </c>
      <c r="DY686" t="s">
        <v>15582</v>
      </c>
      <c r="DZ686" t="s">
        <v>18149</v>
      </c>
      <c r="EA686" t="s">
        <v>18150</v>
      </c>
      <c r="EB686" t="s">
        <v>18151</v>
      </c>
    </row>
    <row r="687" spans="1:132" hidden="1">
      <c r="A687">
        <v>515</v>
      </c>
      <c r="B687">
        <v>1</v>
      </c>
      <c r="C687" t="s">
        <v>1299</v>
      </c>
      <c r="D687" t="s">
        <v>1300</v>
      </c>
      <c r="E687" t="s">
        <v>73</v>
      </c>
      <c r="F687" t="s">
        <v>73</v>
      </c>
      <c r="G687" t="s">
        <v>73</v>
      </c>
      <c r="H687">
        <v>19.399999999999999</v>
      </c>
      <c r="I687">
        <v>475</v>
      </c>
      <c r="J687">
        <v>51792</v>
      </c>
      <c r="K687" t="s">
        <v>1301</v>
      </c>
      <c r="L687">
        <f t="shared" si="42"/>
        <v>46</v>
      </c>
      <c r="N687">
        <v>46</v>
      </c>
      <c r="O687">
        <v>46</v>
      </c>
      <c r="P687">
        <v>1</v>
      </c>
      <c r="Q687">
        <v>5</v>
      </c>
      <c r="R687">
        <v>4</v>
      </c>
      <c r="S687">
        <v>2</v>
      </c>
      <c r="T687">
        <v>8</v>
      </c>
      <c r="U687">
        <v>9</v>
      </c>
      <c r="V687">
        <v>6</v>
      </c>
      <c r="W687">
        <v>9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5</v>
      </c>
      <c r="AK687">
        <v>4</v>
      </c>
      <c r="AL687">
        <v>2</v>
      </c>
      <c r="AM687">
        <v>8</v>
      </c>
      <c r="AN687">
        <v>9</v>
      </c>
      <c r="AO687">
        <v>6</v>
      </c>
      <c r="AP687">
        <v>9</v>
      </c>
      <c r="AQ687">
        <v>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 s="2">
        <v>5</v>
      </c>
      <c r="BD687" s="2">
        <v>4</v>
      </c>
      <c r="BE687" s="2">
        <v>2</v>
      </c>
      <c r="BF687" s="2">
        <v>8</v>
      </c>
      <c r="BG687" s="2">
        <v>9</v>
      </c>
      <c r="BH687" s="2">
        <v>6</v>
      </c>
      <c r="BI687" s="2">
        <v>9</v>
      </c>
      <c r="BJ687" s="2">
        <v>2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1</v>
      </c>
      <c r="BR687" s="2">
        <v>0</v>
      </c>
      <c r="BS687" s="2">
        <v>0</v>
      </c>
      <c r="BT687" s="2">
        <v>0</v>
      </c>
      <c r="BU687" s="2">
        <v>0</v>
      </c>
      <c r="BV687" s="2">
        <f t="shared" si="45"/>
        <v>46</v>
      </c>
      <c r="BW687" s="16">
        <f t="shared" si="43"/>
        <v>2.4210526315789473</v>
      </c>
      <c r="BX687" s="16">
        <f>COUNTIF($BC$6:BU687, "=0") / COUNTIF($BC$6:BU687, "&gt;-1")</f>
        <v>0.1842876987189381</v>
      </c>
      <c r="BY687" s="18">
        <f>SUM($BC$6:BU687) / $BY$4</f>
        <v>0.89496835960164756</v>
      </c>
      <c r="BZ687" s="14">
        <f t="shared" si="44"/>
        <v>10</v>
      </c>
      <c r="CA687" t="s">
        <v>5832</v>
      </c>
      <c r="CZ687" t="s">
        <v>7501</v>
      </c>
      <c r="DA687" t="s">
        <v>5904</v>
      </c>
      <c r="DB687">
        <v>894</v>
      </c>
      <c r="DC687" t="s">
        <v>18861</v>
      </c>
      <c r="DD687" t="s">
        <v>18862</v>
      </c>
      <c r="DE687" t="s">
        <v>18863</v>
      </c>
      <c r="DF687" t="s">
        <v>18864</v>
      </c>
      <c r="DG687" t="s">
        <v>18865</v>
      </c>
      <c r="DH687" t="str">
        <f>"CADM1"</f>
        <v>CADM1</v>
      </c>
      <c r="DI687" t="s">
        <v>13772</v>
      </c>
      <c r="DJ687" t="s">
        <v>13777</v>
      </c>
      <c r="DK687">
        <v>9606</v>
      </c>
      <c r="DL687" s="34" t="str">
        <f>HYPERLINK("http://www.uniprot.org/uniprot/Q9BY67", "Q9BY67")</f>
        <v>Q9BY67</v>
      </c>
      <c r="DM687" t="s">
        <v>18866</v>
      </c>
      <c r="DN687" t="s">
        <v>18867</v>
      </c>
      <c r="DO687" t="s">
        <v>18868</v>
      </c>
      <c r="DP687" t="s">
        <v>13780</v>
      </c>
      <c r="DQ687" t="s">
        <v>13772</v>
      </c>
      <c r="DR687" t="s">
        <v>14505</v>
      </c>
      <c r="DS687" t="s">
        <v>13951</v>
      </c>
      <c r="DT687" t="s">
        <v>13772</v>
      </c>
      <c r="DU687" t="s">
        <v>14727</v>
      </c>
      <c r="DV687" t="s">
        <v>13964</v>
      </c>
      <c r="DW687" t="s">
        <v>13812</v>
      </c>
      <c r="DX687" t="s">
        <v>18869</v>
      </c>
      <c r="DY687" t="s">
        <v>18870</v>
      </c>
      <c r="DZ687" t="s">
        <v>18871</v>
      </c>
      <c r="EA687" t="s">
        <v>13772</v>
      </c>
      <c r="EB687" t="s">
        <v>18872</v>
      </c>
    </row>
    <row r="688" spans="1:132" hidden="1">
      <c r="A688">
        <v>964</v>
      </c>
      <c r="B688">
        <v>1</v>
      </c>
      <c r="C688" t="s">
        <v>2342</v>
      </c>
      <c r="D688" t="s">
        <v>73</v>
      </c>
      <c r="E688" t="s">
        <v>73</v>
      </c>
      <c r="F688" t="s">
        <v>73</v>
      </c>
      <c r="G688" t="s">
        <v>73</v>
      </c>
      <c r="H688">
        <v>34.5</v>
      </c>
      <c r="I688">
        <v>592</v>
      </c>
      <c r="J688">
        <v>64660</v>
      </c>
      <c r="K688" t="s">
        <v>2343</v>
      </c>
      <c r="L688">
        <f t="shared" si="42"/>
        <v>46</v>
      </c>
      <c r="N688">
        <v>46</v>
      </c>
      <c r="O688">
        <v>46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2</v>
      </c>
      <c r="V688">
        <v>1</v>
      </c>
      <c r="W688">
        <v>1</v>
      </c>
      <c r="X688">
        <v>1</v>
      </c>
      <c r="Y688">
        <v>14</v>
      </c>
      <c r="Z688">
        <v>0</v>
      </c>
      <c r="AA688">
        <v>12</v>
      </c>
      <c r="AB688">
        <v>10</v>
      </c>
      <c r="AC688">
        <v>2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0</v>
      </c>
      <c r="AN688">
        <v>2</v>
      </c>
      <c r="AO688">
        <v>1</v>
      </c>
      <c r="AP688">
        <v>1</v>
      </c>
      <c r="AQ688">
        <v>1</v>
      </c>
      <c r="AR688">
        <v>14</v>
      </c>
      <c r="AS688">
        <v>0</v>
      </c>
      <c r="AT688">
        <v>12</v>
      </c>
      <c r="AU688">
        <v>10</v>
      </c>
      <c r="AV688">
        <v>2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 s="2">
        <v>1</v>
      </c>
      <c r="BD688" s="2">
        <v>1</v>
      </c>
      <c r="BE688" s="2">
        <v>0</v>
      </c>
      <c r="BF688" s="2">
        <v>0</v>
      </c>
      <c r="BG688" s="2">
        <v>2</v>
      </c>
      <c r="BH688" s="2">
        <v>1</v>
      </c>
      <c r="BI688" s="2">
        <v>1</v>
      </c>
      <c r="BJ688" s="2">
        <v>1</v>
      </c>
      <c r="BK688" s="2">
        <v>14</v>
      </c>
      <c r="BL688" s="2">
        <v>0</v>
      </c>
      <c r="BM688" s="2">
        <v>12</v>
      </c>
      <c r="BN688" s="2">
        <v>10</v>
      </c>
      <c r="BO688" s="2">
        <v>2</v>
      </c>
      <c r="BP688" s="2">
        <v>0</v>
      </c>
      <c r="BQ688" s="2">
        <v>0</v>
      </c>
      <c r="BR688" s="2">
        <v>1</v>
      </c>
      <c r="BS688" s="2">
        <v>0</v>
      </c>
      <c r="BT688" s="2">
        <v>0</v>
      </c>
      <c r="BU688" s="2">
        <v>0</v>
      </c>
      <c r="BV688" s="2">
        <f t="shared" si="45"/>
        <v>46</v>
      </c>
      <c r="BW688" s="16">
        <f t="shared" si="43"/>
        <v>2.4210526315789473</v>
      </c>
      <c r="BX688" s="16">
        <f>COUNTIF($BC$6:BU688, "=0") / COUNTIF($BC$6:BU688, "&gt;-1")</f>
        <v>0.18463435308622947</v>
      </c>
      <c r="BY688" s="18">
        <f>SUM($BC$6:BU688) / $BY$4</f>
        <v>0.89516540689760771</v>
      </c>
      <c r="BZ688" s="14">
        <f t="shared" si="44"/>
        <v>8</v>
      </c>
      <c r="CA688" t="s">
        <v>5832</v>
      </c>
      <c r="CZ688" t="s">
        <v>8998</v>
      </c>
      <c r="DA688" t="s">
        <v>5904</v>
      </c>
      <c r="DB688">
        <v>1181.4000000000001</v>
      </c>
      <c r="DC688" t="s">
        <v>23271</v>
      </c>
      <c r="DD688" t="s">
        <v>23272</v>
      </c>
      <c r="DE688" t="s">
        <v>23273</v>
      </c>
      <c r="DF688" t="s">
        <v>23274</v>
      </c>
      <c r="DG688" t="s">
        <v>23275</v>
      </c>
      <c r="DH688" t="str">
        <f>"ATIC"</f>
        <v>ATIC</v>
      </c>
      <c r="DI688" t="s">
        <v>23276</v>
      </c>
      <c r="DJ688" t="s">
        <v>13777</v>
      </c>
      <c r="DK688">
        <v>9606</v>
      </c>
      <c r="DL688" s="34" t="str">
        <f>HYPERLINK("http://www.uniprot.org/uniprot/P31939", "P31939")</f>
        <v>P31939</v>
      </c>
      <c r="DM688" t="s">
        <v>23277</v>
      </c>
      <c r="DN688" t="s">
        <v>23278</v>
      </c>
      <c r="DO688" t="s">
        <v>13772</v>
      </c>
      <c r="DP688" t="s">
        <v>13780</v>
      </c>
      <c r="DQ688" t="s">
        <v>13772</v>
      </c>
      <c r="DR688" t="s">
        <v>17649</v>
      </c>
      <c r="DS688" t="s">
        <v>13772</v>
      </c>
      <c r="DT688" t="s">
        <v>13772</v>
      </c>
      <c r="DU688" t="s">
        <v>23279</v>
      </c>
      <c r="DV688" t="s">
        <v>14020</v>
      </c>
      <c r="DW688" t="s">
        <v>13812</v>
      </c>
      <c r="DX688" t="s">
        <v>23280</v>
      </c>
      <c r="DY688" t="s">
        <v>23281</v>
      </c>
      <c r="DZ688" t="s">
        <v>23282</v>
      </c>
      <c r="EA688" t="s">
        <v>23283</v>
      </c>
      <c r="EB688" t="s">
        <v>23284</v>
      </c>
    </row>
    <row r="689" spans="1:132" hidden="1">
      <c r="A689">
        <v>2189</v>
      </c>
      <c r="B689">
        <v>1</v>
      </c>
      <c r="C689" t="s">
        <v>5120</v>
      </c>
      <c r="D689" t="s">
        <v>73</v>
      </c>
      <c r="E689" t="s">
        <v>73</v>
      </c>
      <c r="F689" t="s">
        <v>73</v>
      </c>
      <c r="G689" t="s">
        <v>73</v>
      </c>
      <c r="H689">
        <v>39.700000000000003</v>
      </c>
      <c r="I689">
        <v>627</v>
      </c>
      <c r="J689">
        <v>72473</v>
      </c>
      <c r="K689" t="s">
        <v>5121</v>
      </c>
      <c r="L689">
        <f t="shared" si="42"/>
        <v>46</v>
      </c>
      <c r="N689">
        <v>46</v>
      </c>
      <c r="O689">
        <v>46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16</v>
      </c>
      <c r="AB689">
        <v>30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</v>
      </c>
      <c r="AU689">
        <v>30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16</v>
      </c>
      <c r="BN689" s="2">
        <v>30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f t="shared" si="45"/>
        <v>46</v>
      </c>
      <c r="BW689" s="16">
        <f t="shared" si="43"/>
        <v>2.4210526315789473</v>
      </c>
      <c r="BX689" s="16">
        <f>COUNTIF($BC$6:BU689, "=0") / COUNTIF($BC$6:BU689, "&gt;-1")</f>
        <v>0.18567251461988304</v>
      </c>
      <c r="BY689" s="18">
        <f>SUM($BC$6:BU689) / $BY$4</f>
        <v>0.89536245419356797</v>
      </c>
      <c r="BZ689" s="14">
        <f t="shared" si="44"/>
        <v>17</v>
      </c>
      <c r="CA689" t="s">
        <v>5832</v>
      </c>
      <c r="CZ689" t="s">
        <v>13043</v>
      </c>
      <c r="DA689" t="s">
        <v>5904</v>
      </c>
      <c r="DB689">
        <v>1047.3</v>
      </c>
      <c r="DC689" t="s">
        <v>34683</v>
      </c>
      <c r="DD689" t="s">
        <v>34684</v>
      </c>
      <c r="DE689" t="s">
        <v>34685</v>
      </c>
      <c r="DF689" t="s">
        <v>34686</v>
      </c>
      <c r="DG689" t="s">
        <v>34687</v>
      </c>
      <c r="DH689" t="str">
        <f>"SAMHD1"</f>
        <v>SAMHD1</v>
      </c>
      <c r="DI689" t="s">
        <v>13772</v>
      </c>
      <c r="DJ689" t="s">
        <v>13777</v>
      </c>
      <c r="DK689">
        <v>9606</v>
      </c>
      <c r="DL689" s="34" t="str">
        <f>HYPERLINK("http://www.uniprot.org/uniprot/Q9Y3Z3", "Q9Y3Z3")</f>
        <v>Q9Y3Z3</v>
      </c>
      <c r="DM689" t="s">
        <v>34688</v>
      </c>
      <c r="DN689" t="s">
        <v>34689</v>
      </c>
      <c r="DO689" t="s">
        <v>19917</v>
      </c>
      <c r="DP689" t="s">
        <v>13841</v>
      </c>
      <c r="DQ689" t="s">
        <v>13772</v>
      </c>
      <c r="DR689" t="s">
        <v>34690</v>
      </c>
      <c r="DS689" t="s">
        <v>13772</v>
      </c>
      <c r="DT689" t="s">
        <v>34691</v>
      </c>
      <c r="DU689" t="s">
        <v>32791</v>
      </c>
      <c r="DV689" t="s">
        <v>13991</v>
      </c>
      <c r="DW689" t="s">
        <v>13812</v>
      </c>
      <c r="DX689" t="s">
        <v>34692</v>
      </c>
      <c r="DY689" t="s">
        <v>34693</v>
      </c>
      <c r="DZ689" t="s">
        <v>34694</v>
      </c>
      <c r="EA689" t="s">
        <v>13772</v>
      </c>
      <c r="EB689" t="s">
        <v>34695</v>
      </c>
    </row>
    <row r="690" spans="1:132" hidden="1">
      <c r="A690">
        <v>2282</v>
      </c>
      <c r="B690">
        <v>1</v>
      </c>
      <c r="C690" t="s">
        <v>5331</v>
      </c>
      <c r="D690" t="s">
        <v>5332</v>
      </c>
      <c r="E690" t="s">
        <v>73</v>
      </c>
      <c r="F690" t="s">
        <v>73</v>
      </c>
      <c r="G690" t="s">
        <v>73</v>
      </c>
      <c r="H690">
        <v>7</v>
      </c>
      <c r="I690">
        <v>1479</v>
      </c>
      <c r="J690">
        <v>164377</v>
      </c>
      <c r="K690" t="s">
        <v>5333</v>
      </c>
      <c r="L690">
        <f t="shared" si="42"/>
        <v>46</v>
      </c>
      <c r="N690">
        <v>46</v>
      </c>
      <c r="O690">
        <v>46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14</v>
      </c>
      <c r="Z690">
        <v>2</v>
      </c>
      <c r="AA690">
        <v>4</v>
      </c>
      <c r="AB690">
        <v>7</v>
      </c>
      <c r="AC690">
        <v>5</v>
      </c>
      <c r="AD690">
        <v>0</v>
      </c>
      <c r="AE690">
        <v>3</v>
      </c>
      <c r="AF690">
        <v>3</v>
      </c>
      <c r="AG690">
        <v>3</v>
      </c>
      <c r="AH690">
        <v>0</v>
      </c>
      <c r="AI690">
        <v>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14</v>
      </c>
      <c r="AS690">
        <v>2</v>
      </c>
      <c r="AT690">
        <v>4</v>
      </c>
      <c r="AU690">
        <v>7</v>
      </c>
      <c r="AV690">
        <v>5</v>
      </c>
      <c r="AW690">
        <v>0</v>
      </c>
      <c r="AX690">
        <v>3</v>
      </c>
      <c r="AY690">
        <v>3</v>
      </c>
      <c r="AZ690">
        <v>3</v>
      </c>
      <c r="BA690">
        <v>0</v>
      </c>
      <c r="BB690">
        <v>5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14</v>
      </c>
      <c r="BL690" s="2">
        <v>2</v>
      </c>
      <c r="BM690" s="2">
        <v>4</v>
      </c>
      <c r="BN690" s="2">
        <v>7</v>
      </c>
      <c r="BO690" s="2">
        <v>5</v>
      </c>
      <c r="BP690" s="2">
        <v>0</v>
      </c>
      <c r="BQ690" s="2">
        <v>3</v>
      </c>
      <c r="BR690" s="2">
        <v>3</v>
      </c>
      <c r="BS690" s="2">
        <v>3</v>
      </c>
      <c r="BT690" s="2">
        <v>0</v>
      </c>
      <c r="BU690" s="2">
        <v>5</v>
      </c>
      <c r="BV690" s="2">
        <f t="shared" si="45"/>
        <v>46</v>
      </c>
      <c r="BW690" s="16">
        <f t="shared" si="43"/>
        <v>2.4210526315789473</v>
      </c>
      <c r="BX690" s="16">
        <f>COUNTIF($BC$6:BU690, "=0") / COUNTIF($BC$6:BU690, "&gt;-1")</f>
        <v>0.18616980407222436</v>
      </c>
      <c r="BY690" s="18">
        <f>SUM($BC$6:BU690) / $BY$4</f>
        <v>0.89555950148952823</v>
      </c>
      <c r="BZ690" s="14">
        <f t="shared" si="44"/>
        <v>10</v>
      </c>
      <c r="CA690" t="s">
        <v>5832</v>
      </c>
      <c r="CZ690" t="s">
        <v>13350</v>
      </c>
      <c r="DA690" t="s">
        <v>5904</v>
      </c>
      <c r="DB690">
        <v>2767.6</v>
      </c>
      <c r="DC690" t="s">
        <v>35547</v>
      </c>
      <c r="DD690" t="s">
        <v>35548</v>
      </c>
      <c r="DE690" t="s">
        <v>35549</v>
      </c>
      <c r="DF690" t="s">
        <v>35550</v>
      </c>
      <c r="DG690" t="s">
        <v>35551</v>
      </c>
      <c r="DH690" t="str">
        <f>"PXDN"</f>
        <v>PXDN</v>
      </c>
      <c r="DI690" t="s">
        <v>35552</v>
      </c>
      <c r="DJ690" t="s">
        <v>13777</v>
      </c>
      <c r="DK690">
        <v>9606</v>
      </c>
      <c r="DL690" s="34" t="str">
        <f>HYPERLINK("http://www.uniprot.org/uniprot/Q92626", "Q92626")</f>
        <v>Q92626</v>
      </c>
      <c r="DM690" t="s">
        <v>35553</v>
      </c>
      <c r="DN690" t="s">
        <v>13805</v>
      </c>
      <c r="DO690" t="s">
        <v>13869</v>
      </c>
      <c r="DP690" t="s">
        <v>13780</v>
      </c>
      <c r="DQ690" t="s">
        <v>13772</v>
      </c>
      <c r="DR690" t="s">
        <v>13807</v>
      </c>
      <c r="DS690" t="s">
        <v>15662</v>
      </c>
      <c r="DT690" t="s">
        <v>13809</v>
      </c>
      <c r="DU690" t="s">
        <v>13810</v>
      </c>
      <c r="DV690" t="s">
        <v>13964</v>
      </c>
      <c r="DW690" t="s">
        <v>13772</v>
      </c>
      <c r="DX690" t="s">
        <v>35554</v>
      </c>
      <c r="DY690" t="s">
        <v>35555</v>
      </c>
      <c r="DZ690" t="s">
        <v>35556</v>
      </c>
      <c r="EA690" t="s">
        <v>13772</v>
      </c>
      <c r="EB690" t="s">
        <v>35557</v>
      </c>
    </row>
    <row r="691" spans="1:132" hidden="1">
      <c r="A691">
        <v>2291</v>
      </c>
      <c r="B691">
        <v>1</v>
      </c>
      <c r="C691" t="s">
        <v>5353</v>
      </c>
      <c r="D691" t="s">
        <v>73</v>
      </c>
      <c r="E691" t="s">
        <v>73</v>
      </c>
      <c r="F691" t="s">
        <v>73</v>
      </c>
      <c r="G691" t="s">
        <v>73</v>
      </c>
      <c r="H691">
        <v>35.1</v>
      </c>
      <c r="I691">
        <v>316</v>
      </c>
      <c r="J691">
        <v>35416</v>
      </c>
      <c r="K691" t="s">
        <v>5354</v>
      </c>
      <c r="L691">
        <f t="shared" si="42"/>
        <v>46</v>
      </c>
      <c r="N691">
        <v>46</v>
      </c>
      <c r="O691">
        <v>46</v>
      </c>
      <c r="P691">
        <v>1</v>
      </c>
      <c r="Q691">
        <v>1</v>
      </c>
      <c r="R691">
        <v>6</v>
      </c>
      <c r="S691">
        <v>3</v>
      </c>
      <c r="T691">
        <v>9</v>
      </c>
      <c r="U691">
        <v>3</v>
      </c>
      <c r="V691">
        <v>3</v>
      </c>
      <c r="W691">
        <v>5</v>
      </c>
      <c r="X691">
        <v>3</v>
      </c>
      <c r="Y691">
        <v>1</v>
      </c>
      <c r="Z691">
        <v>0</v>
      </c>
      <c r="AA691">
        <v>4</v>
      </c>
      <c r="AB691">
        <v>1</v>
      </c>
      <c r="AC691">
        <v>1</v>
      </c>
      <c r="AD691">
        <v>0</v>
      </c>
      <c r="AE691">
        <v>1</v>
      </c>
      <c r="AF691">
        <v>2</v>
      </c>
      <c r="AG691">
        <v>1</v>
      </c>
      <c r="AH691">
        <v>0</v>
      </c>
      <c r="AI691">
        <v>2</v>
      </c>
      <c r="AJ691">
        <v>1</v>
      </c>
      <c r="AK691">
        <v>6</v>
      </c>
      <c r="AL691">
        <v>3</v>
      </c>
      <c r="AM691">
        <v>9</v>
      </c>
      <c r="AN691">
        <v>3</v>
      </c>
      <c r="AO691">
        <v>3</v>
      </c>
      <c r="AP691">
        <v>5</v>
      </c>
      <c r="AQ691">
        <v>3</v>
      </c>
      <c r="AR691">
        <v>1</v>
      </c>
      <c r="AS691">
        <v>0</v>
      </c>
      <c r="AT691">
        <v>4</v>
      </c>
      <c r="AU691">
        <v>1</v>
      </c>
      <c r="AV691">
        <v>1</v>
      </c>
      <c r="AW691">
        <v>0</v>
      </c>
      <c r="AX691">
        <v>1</v>
      </c>
      <c r="AY691">
        <v>2</v>
      </c>
      <c r="AZ691">
        <v>1</v>
      </c>
      <c r="BA691">
        <v>0</v>
      </c>
      <c r="BB691">
        <v>2</v>
      </c>
      <c r="BC691" s="2">
        <v>1</v>
      </c>
      <c r="BD691" s="2">
        <v>6</v>
      </c>
      <c r="BE691" s="2">
        <v>3</v>
      </c>
      <c r="BF691" s="2">
        <v>9</v>
      </c>
      <c r="BG691" s="2">
        <v>3</v>
      </c>
      <c r="BH691" s="2">
        <v>3</v>
      </c>
      <c r="BI691" s="2">
        <v>5</v>
      </c>
      <c r="BJ691" s="2">
        <v>3</v>
      </c>
      <c r="BK691" s="2">
        <v>1</v>
      </c>
      <c r="BL691" s="2">
        <v>0</v>
      </c>
      <c r="BM691" s="2">
        <v>4</v>
      </c>
      <c r="BN691" s="2">
        <v>1</v>
      </c>
      <c r="BO691" s="2">
        <v>1</v>
      </c>
      <c r="BP691" s="2">
        <v>0</v>
      </c>
      <c r="BQ691" s="2">
        <v>1</v>
      </c>
      <c r="BR691" s="2">
        <v>2</v>
      </c>
      <c r="BS691" s="2">
        <v>1</v>
      </c>
      <c r="BT691" s="2">
        <v>0</v>
      </c>
      <c r="BU691" s="2">
        <v>2</v>
      </c>
      <c r="BV691" s="2">
        <f t="shared" si="45"/>
        <v>46</v>
      </c>
      <c r="BW691" s="16">
        <f t="shared" si="43"/>
        <v>2.4210526315789473</v>
      </c>
      <c r="BX691" s="16">
        <f>COUNTIF($BC$6:BU691, "=0") / COUNTIF($BC$6:BU691, "&gt;-1")</f>
        <v>0.18612858677305508</v>
      </c>
      <c r="BY691" s="18">
        <f>SUM($BC$6:BU691) / $BY$4</f>
        <v>0.89575654878548838</v>
      </c>
      <c r="BZ691" s="14">
        <f t="shared" si="44"/>
        <v>3</v>
      </c>
      <c r="CA691" t="s">
        <v>5832</v>
      </c>
      <c r="CZ691" t="s">
        <v>13381</v>
      </c>
      <c r="DA691" t="s">
        <v>5904</v>
      </c>
      <c r="DB691">
        <v>469.2</v>
      </c>
      <c r="DC691" t="s">
        <v>35641</v>
      </c>
      <c r="DD691" t="s">
        <v>35642</v>
      </c>
      <c r="DE691" t="s">
        <v>35643</v>
      </c>
      <c r="DF691" t="s">
        <v>35644</v>
      </c>
      <c r="DG691" t="s">
        <v>35645</v>
      </c>
      <c r="DH691" t="str">
        <f>"EPCAM"</f>
        <v>EPCAM</v>
      </c>
      <c r="DI691" t="s">
        <v>35646</v>
      </c>
      <c r="DJ691" t="s">
        <v>13777</v>
      </c>
      <c r="DK691">
        <v>9606</v>
      </c>
      <c r="DL691" s="34" t="str">
        <f>HYPERLINK("http://www.uniprot.org/uniprot/P16422", "P16422")</f>
        <v>P16422</v>
      </c>
      <c r="DM691" t="s">
        <v>35647</v>
      </c>
      <c r="DN691" t="s">
        <v>13772</v>
      </c>
      <c r="DO691" t="s">
        <v>18913</v>
      </c>
      <c r="DP691" t="s">
        <v>13793</v>
      </c>
      <c r="DQ691" t="s">
        <v>13772</v>
      </c>
      <c r="DR691" t="s">
        <v>35648</v>
      </c>
      <c r="DS691" t="s">
        <v>13826</v>
      </c>
      <c r="DT691" t="s">
        <v>13772</v>
      </c>
      <c r="DU691" t="s">
        <v>32767</v>
      </c>
      <c r="DV691" t="s">
        <v>13796</v>
      </c>
      <c r="DW691" t="s">
        <v>13812</v>
      </c>
      <c r="DX691" t="s">
        <v>35649</v>
      </c>
      <c r="DY691" t="s">
        <v>35650</v>
      </c>
      <c r="DZ691" t="s">
        <v>35651</v>
      </c>
      <c r="EA691" t="s">
        <v>13772</v>
      </c>
      <c r="EB691" t="s">
        <v>19461</v>
      </c>
    </row>
    <row r="692" spans="1:132" hidden="1">
      <c r="A692">
        <v>1762</v>
      </c>
      <c r="B692">
        <v>1</v>
      </c>
      <c r="C692" t="s">
        <v>4168</v>
      </c>
      <c r="D692" t="s">
        <v>73</v>
      </c>
      <c r="E692" t="s">
        <v>73</v>
      </c>
      <c r="F692" t="s">
        <v>253</v>
      </c>
      <c r="G692" t="s">
        <v>73</v>
      </c>
      <c r="H692">
        <v>41.1</v>
      </c>
      <c r="I692">
        <v>192</v>
      </c>
      <c r="J692">
        <v>21450</v>
      </c>
      <c r="K692" t="s">
        <v>4169</v>
      </c>
      <c r="L692">
        <f t="shared" si="42"/>
        <v>52</v>
      </c>
      <c r="N692">
        <v>52</v>
      </c>
      <c r="O692">
        <v>27</v>
      </c>
      <c r="P692">
        <v>0.51900000000000002</v>
      </c>
      <c r="Q692">
        <v>2</v>
      </c>
      <c r="R692">
        <v>3</v>
      </c>
      <c r="S692">
        <v>2</v>
      </c>
      <c r="T692">
        <v>4</v>
      </c>
      <c r="U692">
        <v>8</v>
      </c>
      <c r="V692">
        <v>5</v>
      </c>
      <c r="W692">
        <v>3</v>
      </c>
      <c r="X692">
        <v>1</v>
      </c>
      <c r="Y692">
        <v>4</v>
      </c>
      <c r="Z692">
        <v>0</v>
      </c>
      <c r="AA692">
        <v>8</v>
      </c>
      <c r="AB692">
        <v>2</v>
      </c>
      <c r="AC692">
        <v>5</v>
      </c>
      <c r="AD692">
        <v>1</v>
      </c>
      <c r="AE692">
        <v>0</v>
      </c>
      <c r="AF692">
        <v>2</v>
      </c>
      <c r="AG692">
        <v>1</v>
      </c>
      <c r="AH692">
        <v>0</v>
      </c>
      <c r="AI692">
        <v>1</v>
      </c>
      <c r="AJ692">
        <v>2</v>
      </c>
      <c r="AK692">
        <v>1</v>
      </c>
      <c r="AL692">
        <v>1</v>
      </c>
      <c r="AM692">
        <v>3</v>
      </c>
      <c r="AN692">
        <v>4</v>
      </c>
      <c r="AO692">
        <v>3</v>
      </c>
      <c r="AP692">
        <v>1</v>
      </c>
      <c r="AQ692">
        <v>0</v>
      </c>
      <c r="AR692">
        <v>2</v>
      </c>
      <c r="AS692">
        <v>0</v>
      </c>
      <c r="AT692">
        <v>5</v>
      </c>
      <c r="AU692">
        <v>1</v>
      </c>
      <c r="AV692">
        <v>3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 s="2">
        <v>2</v>
      </c>
      <c r="BD692" s="2">
        <v>2.2000000000000002</v>
      </c>
      <c r="BE692" s="2">
        <v>2</v>
      </c>
      <c r="BF692" s="2">
        <v>4</v>
      </c>
      <c r="BG692" s="2">
        <v>7.1429999999999998</v>
      </c>
      <c r="BH692" s="2">
        <v>4.5999999999999996</v>
      </c>
      <c r="BI692" s="2">
        <v>3</v>
      </c>
      <c r="BJ692" s="2">
        <v>0.33300000000000002</v>
      </c>
      <c r="BK692" s="2">
        <v>3.3330000000000002</v>
      </c>
      <c r="BL692" s="2">
        <v>0</v>
      </c>
      <c r="BM692" s="2">
        <v>8</v>
      </c>
      <c r="BN692" s="2">
        <v>2</v>
      </c>
      <c r="BO692" s="2">
        <v>4.375</v>
      </c>
      <c r="BP692" s="2">
        <v>0.33300000000000002</v>
      </c>
      <c r="BQ692" s="2">
        <v>0</v>
      </c>
      <c r="BR692" s="2">
        <v>2</v>
      </c>
      <c r="BS692" s="2">
        <v>0.33300000000000002</v>
      </c>
      <c r="BT692" s="2">
        <v>0</v>
      </c>
      <c r="BU692" s="2">
        <v>0.33300000000000002</v>
      </c>
      <c r="BV692" s="2">
        <f t="shared" si="45"/>
        <v>45.98299999999999</v>
      </c>
      <c r="BW692" s="16">
        <f t="shared" si="43"/>
        <v>2.4201578947368416</v>
      </c>
      <c r="BX692" s="16">
        <f>COUNTIF($BC$6:BU692, "=0") / COUNTIF($BC$6:BU692, "&gt;-1")</f>
        <v>0.18608748946602313</v>
      </c>
      <c r="BY692" s="18">
        <f>SUM($BC$6:BU692) / $BY$4</f>
        <v>0.8959535232596223</v>
      </c>
      <c r="BZ692" s="14">
        <f t="shared" si="44"/>
        <v>3</v>
      </c>
      <c r="CA692" t="s">
        <v>5832</v>
      </c>
      <c r="CZ692" t="s">
        <v>11628</v>
      </c>
      <c r="DA692" t="s">
        <v>5904</v>
      </c>
      <c r="DB692">
        <v>397.1</v>
      </c>
      <c r="DC692" t="s">
        <v>30701</v>
      </c>
      <c r="DD692" t="s">
        <v>30702</v>
      </c>
      <c r="DE692" t="s">
        <v>30703</v>
      </c>
      <c r="DF692" t="s">
        <v>30704</v>
      </c>
      <c r="DG692" t="s">
        <v>30705</v>
      </c>
      <c r="DH692" t="str">
        <f>"RAC1"</f>
        <v>RAC1</v>
      </c>
      <c r="DI692" t="s">
        <v>30706</v>
      </c>
      <c r="DJ692" t="s">
        <v>13777</v>
      </c>
      <c r="DK692">
        <v>9606</v>
      </c>
      <c r="DL692" s="34" t="str">
        <f>HYPERLINK("http://www.uniprot.org/uniprot/P63000", "P63000")</f>
        <v>P63000</v>
      </c>
      <c r="DM692" t="s">
        <v>30707</v>
      </c>
      <c r="DN692" t="s">
        <v>13772</v>
      </c>
      <c r="DO692" t="s">
        <v>30708</v>
      </c>
      <c r="DP692" t="s">
        <v>13780</v>
      </c>
      <c r="DQ692" t="s">
        <v>13772</v>
      </c>
      <c r="DR692" t="s">
        <v>17801</v>
      </c>
      <c r="DS692" t="s">
        <v>13772</v>
      </c>
      <c r="DT692" t="s">
        <v>14216</v>
      </c>
      <c r="DU692" t="s">
        <v>13772</v>
      </c>
      <c r="DV692" t="s">
        <v>30709</v>
      </c>
      <c r="DW692" t="s">
        <v>13812</v>
      </c>
      <c r="DX692" t="s">
        <v>30710</v>
      </c>
      <c r="DY692" t="s">
        <v>30711</v>
      </c>
      <c r="DZ692" t="s">
        <v>30712</v>
      </c>
      <c r="EA692" t="s">
        <v>13772</v>
      </c>
      <c r="EB692" t="s">
        <v>30713</v>
      </c>
    </row>
    <row r="693" spans="1:132" hidden="1">
      <c r="A693">
        <v>2363</v>
      </c>
      <c r="B693">
        <v>1</v>
      </c>
      <c r="C693" t="s">
        <v>5506</v>
      </c>
      <c r="D693" t="s">
        <v>73</v>
      </c>
      <c r="E693" t="s">
        <v>73</v>
      </c>
      <c r="F693" t="s">
        <v>4462</v>
      </c>
      <c r="G693" t="s">
        <v>73</v>
      </c>
      <c r="H693">
        <v>40.9</v>
      </c>
      <c r="I693">
        <v>340</v>
      </c>
      <c r="J693">
        <v>37377</v>
      </c>
      <c r="K693" t="s">
        <v>5507</v>
      </c>
      <c r="L693">
        <f t="shared" si="42"/>
        <v>60</v>
      </c>
      <c r="N693">
        <v>60</v>
      </c>
      <c r="O693">
        <v>25</v>
      </c>
      <c r="P693">
        <v>0.41699999999999998</v>
      </c>
      <c r="Q693">
        <v>5</v>
      </c>
      <c r="R693">
        <v>6</v>
      </c>
      <c r="S693">
        <v>6</v>
      </c>
      <c r="T693">
        <v>1</v>
      </c>
      <c r="U693">
        <v>12</v>
      </c>
      <c r="V693">
        <v>8</v>
      </c>
      <c r="W693">
        <v>3</v>
      </c>
      <c r="X693">
        <v>1</v>
      </c>
      <c r="Y693">
        <v>0</v>
      </c>
      <c r="Z693">
        <v>0</v>
      </c>
      <c r="AA693">
        <v>5</v>
      </c>
      <c r="AB693">
        <v>3</v>
      </c>
      <c r="AC693">
        <v>5</v>
      </c>
      <c r="AD693">
        <v>1</v>
      </c>
      <c r="AE693">
        <v>0</v>
      </c>
      <c r="AF693">
        <v>2</v>
      </c>
      <c r="AG693">
        <v>1</v>
      </c>
      <c r="AH693">
        <v>0</v>
      </c>
      <c r="AI693">
        <v>1</v>
      </c>
      <c r="AJ693">
        <v>2</v>
      </c>
      <c r="AK693">
        <v>3</v>
      </c>
      <c r="AL693">
        <v>2</v>
      </c>
      <c r="AM693">
        <v>0</v>
      </c>
      <c r="AN693">
        <v>4</v>
      </c>
      <c r="AO693">
        <v>4</v>
      </c>
      <c r="AP693">
        <v>1</v>
      </c>
      <c r="AQ693">
        <v>1</v>
      </c>
      <c r="AR693">
        <v>0</v>
      </c>
      <c r="AS693">
        <v>0</v>
      </c>
      <c r="AT693">
        <v>2</v>
      </c>
      <c r="AU693">
        <v>0</v>
      </c>
      <c r="AV693">
        <v>3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1</v>
      </c>
      <c r="BC693" s="2">
        <v>4</v>
      </c>
      <c r="BD693" s="2">
        <v>5.25</v>
      </c>
      <c r="BE693" s="2">
        <v>4.6669999999999998</v>
      </c>
      <c r="BF693" s="2">
        <v>0</v>
      </c>
      <c r="BG693" s="2">
        <v>10.4</v>
      </c>
      <c r="BH693" s="2">
        <v>6.6669999999999998</v>
      </c>
      <c r="BI693" s="2">
        <v>2</v>
      </c>
      <c r="BJ693" s="2">
        <v>1</v>
      </c>
      <c r="BK693" s="2">
        <v>0</v>
      </c>
      <c r="BL693" s="2">
        <v>0</v>
      </c>
      <c r="BM693" s="2">
        <v>3.5</v>
      </c>
      <c r="BN693" s="2">
        <v>0</v>
      </c>
      <c r="BO693" s="2">
        <v>5</v>
      </c>
      <c r="BP693" s="2">
        <v>1</v>
      </c>
      <c r="BQ693" s="2">
        <v>0</v>
      </c>
      <c r="BR693" s="2">
        <v>0</v>
      </c>
      <c r="BS693" s="2">
        <v>1</v>
      </c>
      <c r="BT693" s="2">
        <v>0</v>
      </c>
      <c r="BU693" s="2">
        <v>1</v>
      </c>
      <c r="BV693" s="2">
        <f t="shared" si="45"/>
        <v>45.484000000000002</v>
      </c>
      <c r="BW693" s="16">
        <f t="shared" si="43"/>
        <v>2.3938947368421055</v>
      </c>
      <c r="BX693" s="16">
        <f>COUNTIF($BC$6:BU693, "=0") / COUNTIF($BC$6:BU693, "&gt;-1")</f>
        <v>0.18635250917992657</v>
      </c>
      <c r="BY693" s="18">
        <f>SUM($BC$6:BU693) / $BY$4</f>
        <v>0.89614836019895816</v>
      </c>
      <c r="BZ693" s="14">
        <f t="shared" si="44"/>
        <v>7</v>
      </c>
      <c r="CA693" t="s">
        <v>5832</v>
      </c>
      <c r="CZ693" t="s">
        <v>13605</v>
      </c>
      <c r="DA693" t="s">
        <v>5904</v>
      </c>
      <c r="DB693">
        <v>703.7</v>
      </c>
      <c r="DC693" t="s">
        <v>36266</v>
      </c>
      <c r="DD693" t="s">
        <v>36267</v>
      </c>
      <c r="DE693" t="s">
        <v>36268</v>
      </c>
      <c r="DF693" t="s">
        <v>36269</v>
      </c>
      <c r="DG693" t="s">
        <v>36270</v>
      </c>
      <c r="DH693" t="str">
        <f>"GNB1"</f>
        <v>GNB1</v>
      </c>
      <c r="DI693" t="s">
        <v>13772</v>
      </c>
      <c r="DJ693" t="s">
        <v>13777</v>
      </c>
      <c r="DK693">
        <v>9606</v>
      </c>
      <c r="DL693" s="34" t="str">
        <f>HYPERLINK("http://www.uniprot.org/uniprot/P62873", "P62873")</f>
        <v>P62873</v>
      </c>
      <c r="DM693" t="s">
        <v>36271</v>
      </c>
      <c r="DN693" t="s">
        <v>13772</v>
      </c>
      <c r="DO693" t="s">
        <v>13772</v>
      </c>
      <c r="DP693" t="s">
        <v>13841</v>
      </c>
      <c r="DQ693" t="s">
        <v>13772</v>
      </c>
      <c r="DR693" t="s">
        <v>17801</v>
      </c>
      <c r="DS693" t="s">
        <v>23494</v>
      </c>
      <c r="DT693" t="s">
        <v>13772</v>
      </c>
      <c r="DU693" t="s">
        <v>16883</v>
      </c>
      <c r="DV693" t="s">
        <v>13886</v>
      </c>
      <c r="DW693" t="s">
        <v>13812</v>
      </c>
      <c r="DX693" t="s">
        <v>36272</v>
      </c>
      <c r="DY693" t="s">
        <v>36273</v>
      </c>
      <c r="DZ693" t="s">
        <v>36274</v>
      </c>
      <c r="EA693" t="s">
        <v>13772</v>
      </c>
      <c r="EB693" t="s">
        <v>36275</v>
      </c>
    </row>
    <row r="694" spans="1:132" hidden="1">
      <c r="A694">
        <v>121</v>
      </c>
      <c r="B694">
        <v>1</v>
      </c>
      <c r="C694" t="s">
        <v>315</v>
      </c>
      <c r="D694" t="s">
        <v>73</v>
      </c>
      <c r="E694" t="s">
        <v>73</v>
      </c>
      <c r="F694" t="s">
        <v>73</v>
      </c>
      <c r="G694" t="s">
        <v>73</v>
      </c>
      <c r="H694">
        <v>19.7</v>
      </c>
      <c r="I694">
        <v>1265</v>
      </c>
      <c r="J694">
        <v>141320</v>
      </c>
      <c r="K694" t="s">
        <v>316</v>
      </c>
      <c r="L694">
        <f t="shared" si="42"/>
        <v>45</v>
      </c>
      <c r="N694">
        <v>45</v>
      </c>
      <c r="O694">
        <v>45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3</v>
      </c>
      <c r="X694">
        <v>6</v>
      </c>
      <c r="Y694">
        <v>1</v>
      </c>
      <c r="Z694">
        <v>0</v>
      </c>
      <c r="AA694">
        <v>3</v>
      </c>
      <c r="AB694">
        <v>0</v>
      </c>
      <c r="AC694">
        <v>2</v>
      </c>
      <c r="AD694">
        <v>1</v>
      </c>
      <c r="AE694">
        <v>16</v>
      </c>
      <c r="AF694">
        <v>9</v>
      </c>
      <c r="AG694">
        <v>0</v>
      </c>
      <c r="AH694">
        <v>0</v>
      </c>
      <c r="AI694">
        <v>3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3</v>
      </c>
      <c r="AQ694">
        <v>6</v>
      </c>
      <c r="AR694">
        <v>1</v>
      </c>
      <c r="AS694">
        <v>0</v>
      </c>
      <c r="AT694">
        <v>3</v>
      </c>
      <c r="AU694">
        <v>0</v>
      </c>
      <c r="AV694">
        <v>2</v>
      </c>
      <c r="AW694">
        <v>1</v>
      </c>
      <c r="AX694">
        <v>16</v>
      </c>
      <c r="AY694">
        <v>9</v>
      </c>
      <c r="AZ694">
        <v>0</v>
      </c>
      <c r="BA694">
        <v>0</v>
      </c>
      <c r="BB694">
        <v>3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0</v>
      </c>
      <c r="BI694" s="2">
        <v>3</v>
      </c>
      <c r="BJ694" s="2">
        <v>6</v>
      </c>
      <c r="BK694" s="2">
        <v>1</v>
      </c>
      <c r="BL694" s="2">
        <v>0</v>
      </c>
      <c r="BM694" s="2">
        <v>3</v>
      </c>
      <c r="BN694" s="2">
        <v>0</v>
      </c>
      <c r="BO694" s="2">
        <v>2</v>
      </c>
      <c r="BP694" s="2">
        <v>1</v>
      </c>
      <c r="BQ694" s="2">
        <v>16</v>
      </c>
      <c r="BR694" s="2">
        <v>9</v>
      </c>
      <c r="BS694" s="2">
        <v>0</v>
      </c>
      <c r="BT694" s="2">
        <v>0</v>
      </c>
      <c r="BU694" s="2">
        <v>3</v>
      </c>
      <c r="BV694" s="2">
        <f t="shared" si="45"/>
        <v>45</v>
      </c>
      <c r="BW694" s="16">
        <f t="shared" si="43"/>
        <v>2.3684210526315788</v>
      </c>
      <c r="BX694" s="16">
        <f>COUNTIF($BC$6:BU694, "=0") / COUNTIF($BC$6:BU694, "&gt;-1")</f>
        <v>0.18676953632266444</v>
      </c>
      <c r="BY694" s="18">
        <f>SUM($BC$6:BU694) / $BY$4</f>
        <v>0.89634112385804965</v>
      </c>
      <c r="BZ694" s="14">
        <f t="shared" si="44"/>
        <v>9</v>
      </c>
      <c r="CA694" t="s">
        <v>5832</v>
      </c>
      <c r="CZ694" t="s">
        <v>6109</v>
      </c>
      <c r="DA694" t="s">
        <v>5904</v>
      </c>
      <c r="DB694">
        <v>1619.4</v>
      </c>
      <c r="DC694" t="s">
        <v>14538</v>
      </c>
      <c r="DD694" t="s">
        <v>14539</v>
      </c>
      <c r="DE694" t="s">
        <v>14540</v>
      </c>
      <c r="DF694" t="s">
        <v>14541</v>
      </c>
      <c r="DG694" t="s">
        <v>14542</v>
      </c>
      <c r="DH694" t="str">
        <f>"SYNM"</f>
        <v>SYNM</v>
      </c>
      <c r="DI694" t="s">
        <v>14543</v>
      </c>
      <c r="DJ694" t="s">
        <v>13777</v>
      </c>
      <c r="DK694">
        <v>9606</v>
      </c>
      <c r="DL694" s="34" t="str">
        <f>HYPERLINK("http://www.uniprot.org/uniprot/O15061", "O15061")</f>
        <v>O15061</v>
      </c>
      <c r="DM694" t="s">
        <v>14544</v>
      </c>
      <c r="DN694" t="s">
        <v>13772</v>
      </c>
      <c r="DO694" t="s">
        <v>14545</v>
      </c>
      <c r="DP694" t="s">
        <v>13780</v>
      </c>
      <c r="DQ694" t="s">
        <v>13772</v>
      </c>
      <c r="DR694" t="s">
        <v>13772</v>
      </c>
      <c r="DS694" t="s">
        <v>14245</v>
      </c>
      <c r="DT694" t="s">
        <v>13772</v>
      </c>
      <c r="DU694" t="s">
        <v>13772</v>
      </c>
      <c r="DV694" t="s">
        <v>14478</v>
      </c>
      <c r="DW694" t="s">
        <v>13812</v>
      </c>
      <c r="DX694" t="s">
        <v>14546</v>
      </c>
      <c r="DY694" t="s">
        <v>14547</v>
      </c>
      <c r="DZ694" t="s">
        <v>14548</v>
      </c>
      <c r="EA694" t="s">
        <v>13772</v>
      </c>
      <c r="EB694" t="s">
        <v>13772</v>
      </c>
    </row>
    <row r="695" spans="1:132" hidden="1">
      <c r="A695">
        <v>320</v>
      </c>
      <c r="B695">
        <v>1</v>
      </c>
      <c r="C695" t="s">
        <v>803</v>
      </c>
      <c r="D695" t="s">
        <v>804</v>
      </c>
      <c r="E695" t="s">
        <v>73</v>
      </c>
      <c r="F695" t="s">
        <v>73</v>
      </c>
      <c r="G695" t="s">
        <v>73</v>
      </c>
      <c r="H695">
        <v>34.700000000000003</v>
      </c>
      <c r="I695">
        <v>239</v>
      </c>
      <c r="J695">
        <v>26713</v>
      </c>
      <c r="K695" t="s">
        <v>805</v>
      </c>
      <c r="L695">
        <f t="shared" si="42"/>
        <v>45</v>
      </c>
      <c r="N695">
        <v>45</v>
      </c>
      <c r="O695">
        <v>45</v>
      </c>
      <c r="P695">
        <v>1</v>
      </c>
      <c r="Q695">
        <v>1</v>
      </c>
      <c r="R695">
        <v>1</v>
      </c>
      <c r="S695">
        <v>2</v>
      </c>
      <c r="T695">
        <v>1</v>
      </c>
      <c r="U695">
        <v>3</v>
      </c>
      <c r="V695">
        <v>2</v>
      </c>
      <c r="W695">
        <v>2</v>
      </c>
      <c r="X695">
        <v>1</v>
      </c>
      <c r="Y695">
        <v>0</v>
      </c>
      <c r="Z695">
        <v>3</v>
      </c>
      <c r="AA695">
        <v>2</v>
      </c>
      <c r="AB695">
        <v>5</v>
      </c>
      <c r="AC695">
        <v>4</v>
      </c>
      <c r="AD695">
        <v>0</v>
      </c>
      <c r="AE695">
        <v>6</v>
      </c>
      <c r="AF695">
        <v>4</v>
      </c>
      <c r="AG695">
        <v>1</v>
      </c>
      <c r="AH695">
        <v>3</v>
      </c>
      <c r="AI695">
        <v>4</v>
      </c>
      <c r="AJ695">
        <v>1</v>
      </c>
      <c r="AK695">
        <v>1</v>
      </c>
      <c r="AL695">
        <v>2</v>
      </c>
      <c r="AM695">
        <v>1</v>
      </c>
      <c r="AN695">
        <v>3</v>
      </c>
      <c r="AO695">
        <v>2</v>
      </c>
      <c r="AP695">
        <v>2</v>
      </c>
      <c r="AQ695">
        <v>1</v>
      </c>
      <c r="AR695">
        <v>0</v>
      </c>
      <c r="AS695">
        <v>3</v>
      </c>
      <c r="AT695">
        <v>2</v>
      </c>
      <c r="AU695">
        <v>5</v>
      </c>
      <c r="AV695">
        <v>4</v>
      </c>
      <c r="AW695">
        <v>0</v>
      </c>
      <c r="AX695">
        <v>6</v>
      </c>
      <c r="AY695">
        <v>4</v>
      </c>
      <c r="AZ695">
        <v>1</v>
      </c>
      <c r="BA695">
        <v>3</v>
      </c>
      <c r="BB695">
        <v>4</v>
      </c>
      <c r="BC695" s="2">
        <v>1</v>
      </c>
      <c r="BD695" s="2">
        <v>1</v>
      </c>
      <c r="BE695" s="2">
        <v>2</v>
      </c>
      <c r="BF695" s="2">
        <v>1</v>
      </c>
      <c r="BG695" s="2">
        <v>3</v>
      </c>
      <c r="BH695" s="2">
        <v>2</v>
      </c>
      <c r="BI695" s="2">
        <v>2</v>
      </c>
      <c r="BJ695" s="2">
        <v>1</v>
      </c>
      <c r="BK695" s="2">
        <v>0</v>
      </c>
      <c r="BL695" s="2">
        <v>3</v>
      </c>
      <c r="BM695" s="2">
        <v>2</v>
      </c>
      <c r="BN695" s="2">
        <v>5</v>
      </c>
      <c r="BO695" s="2">
        <v>4</v>
      </c>
      <c r="BP695" s="2">
        <v>0</v>
      </c>
      <c r="BQ695" s="2">
        <v>6</v>
      </c>
      <c r="BR695" s="2">
        <v>4</v>
      </c>
      <c r="BS695" s="2">
        <v>1</v>
      </c>
      <c r="BT695" s="2">
        <v>3</v>
      </c>
      <c r="BU695" s="2">
        <v>4</v>
      </c>
      <c r="BV695" s="2">
        <f t="shared" si="45"/>
        <v>45</v>
      </c>
      <c r="BW695" s="16">
        <f t="shared" si="43"/>
        <v>2.3684210526315788</v>
      </c>
      <c r="BX695" s="16">
        <f>COUNTIF($BC$6:BU695, "=0") / COUNTIF($BC$6:BU695, "&gt;-1")</f>
        <v>0.18665141113653699</v>
      </c>
      <c r="BY695" s="18">
        <f>SUM($BC$6:BU695) / $BY$4</f>
        <v>0.89653388751714114</v>
      </c>
      <c r="BZ695" s="14">
        <f t="shared" si="44"/>
        <v>2</v>
      </c>
      <c r="CA695" t="s">
        <v>5832</v>
      </c>
      <c r="CZ695" t="s">
        <v>6806</v>
      </c>
      <c r="DA695" t="s">
        <v>5904</v>
      </c>
      <c r="DB695">
        <v>282</v>
      </c>
      <c r="DC695" t="s">
        <v>16749</v>
      </c>
      <c r="DD695" t="s">
        <v>16750</v>
      </c>
      <c r="DE695" t="s">
        <v>16751</v>
      </c>
      <c r="DF695" t="s">
        <v>16752</v>
      </c>
      <c r="DG695" t="s">
        <v>16753</v>
      </c>
      <c r="DH695" t="str">
        <f>"TFPI2"</f>
        <v>TFPI2</v>
      </c>
      <c r="DI695" t="s">
        <v>13772</v>
      </c>
      <c r="DJ695" t="s">
        <v>13777</v>
      </c>
      <c r="DK695">
        <v>9606</v>
      </c>
      <c r="DL695" s="34" t="str">
        <f>HYPERLINK("http://www.uniprot.org/uniprot/P48307", "P48307")</f>
        <v>P48307</v>
      </c>
      <c r="DM695" t="s">
        <v>16754</v>
      </c>
      <c r="DN695" t="s">
        <v>16755</v>
      </c>
      <c r="DO695" t="s">
        <v>14321</v>
      </c>
      <c r="DP695" t="s">
        <v>13780</v>
      </c>
      <c r="DQ695" t="s">
        <v>13772</v>
      </c>
      <c r="DR695" t="s">
        <v>13772</v>
      </c>
      <c r="DS695" t="s">
        <v>14404</v>
      </c>
      <c r="DT695" t="s">
        <v>13772</v>
      </c>
      <c r="DU695" t="s">
        <v>14375</v>
      </c>
      <c r="DV695" t="s">
        <v>13796</v>
      </c>
      <c r="DW695" t="s">
        <v>13812</v>
      </c>
      <c r="DX695" t="s">
        <v>16756</v>
      </c>
      <c r="DY695" t="s">
        <v>16757</v>
      </c>
      <c r="DZ695" t="s">
        <v>16758</v>
      </c>
      <c r="EA695" t="s">
        <v>13772</v>
      </c>
      <c r="EB695" t="s">
        <v>13772</v>
      </c>
    </row>
    <row r="696" spans="1:132" hidden="1">
      <c r="A696">
        <v>473</v>
      </c>
      <c r="B696">
        <v>1</v>
      </c>
      <c r="C696" t="s">
        <v>1188</v>
      </c>
      <c r="D696" t="s">
        <v>1189</v>
      </c>
      <c r="E696" t="s">
        <v>73</v>
      </c>
      <c r="F696" t="s">
        <v>73</v>
      </c>
      <c r="G696" t="s">
        <v>73</v>
      </c>
      <c r="H696">
        <v>21</v>
      </c>
      <c r="I696">
        <v>772</v>
      </c>
      <c r="J696">
        <v>81840</v>
      </c>
      <c r="K696" t="s">
        <v>1190</v>
      </c>
      <c r="L696">
        <f t="shared" si="42"/>
        <v>45</v>
      </c>
      <c r="N696">
        <v>45</v>
      </c>
      <c r="O696">
        <v>45</v>
      </c>
      <c r="P696">
        <v>1</v>
      </c>
      <c r="Q696">
        <v>4</v>
      </c>
      <c r="R696">
        <v>5</v>
      </c>
      <c r="S696">
        <v>1</v>
      </c>
      <c r="T696">
        <v>6</v>
      </c>
      <c r="U696">
        <v>8</v>
      </c>
      <c r="V696">
        <v>10</v>
      </c>
      <c r="W696">
        <v>6</v>
      </c>
      <c r="X696">
        <v>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2</v>
      </c>
      <c r="AH696">
        <v>0</v>
      </c>
      <c r="AI696">
        <v>0</v>
      </c>
      <c r="AJ696">
        <v>4</v>
      </c>
      <c r="AK696">
        <v>5</v>
      </c>
      <c r="AL696">
        <v>1</v>
      </c>
      <c r="AM696">
        <v>6</v>
      </c>
      <c r="AN696">
        <v>8</v>
      </c>
      <c r="AO696">
        <v>10</v>
      </c>
      <c r="AP696">
        <v>6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2</v>
      </c>
      <c r="BA696">
        <v>0</v>
      </c>
      <c r="BB696">
        <v>0</v>
      </c>
      <c r="BC696" s="2">
        <v>4</v>
      </c>
      <c r="BD696" s="2">
        <v>5</v>
      </c>
      <c r="BE696" s="2">
        <v>1</v>
      </c>
      <c r="BF696" s="2">
        <v>6</v>
      </c>
      <c r="BG696" s="2">
        <v>8</v>
      </c>
      <c r="BH696" s="2">
        <v>10</v>
      </c>
      <c r="BI696" s="2">
        <v>6</v>
      </c>
      <c r="BJ696" s="2">
        <v>2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1</v>
      </c>
      <c r="BS696" s="2">
        <v>2</v>
      </c>
      <c r="BT696" s="2">
        <v>0</v>
      </c>
      <c r="BU696" s="2">
        <v>0</v>
      </c>
      <c r="BV696" s="2">
        <f t="shared" si="45"/>
        <v>45</v>
      </c>
      <c r="BW696" s="16">
        <f t="shared" si="43"/>
        <v>2.3684210526315788</v>
      </c>
      <c r="BX696" s="16">
        <f>COUNTIF($BC$6:BU696, "=0") / COUNTIF($BC$6:BU696, "&gt;-1")</f>
        <v>0.18706679868992307</v>
      </c>
      <c r="BY696" s="18">
        <f>SUM($BC$6:BU696) / $BY$4</f>
        <v>0.89672665117623274</v>
      </c>
      <c r="BZ696" s="14">
        <f t="shared" si="44"/>
        <v>9</v>
      </c>
      <c r="CA696" t="s">
        <v>5832</v>
      </c>
      <c r="CZ696" t="s">
        <v>7346</v>
      </c>
      <c r="DA696" t="s">
        <v>5904</v>
      </c>
      <c r="DB696">
        <v>832.8</v>
      </c>
      <c r="DC696" t="s">
        <v>18414</v>
      </c>
      <c r="DD696" t="s">
        <v>18415</v>
      </c>
      <c r="DE696" t="s">
        <v>18416</v>
      </c>
      <c r="DF696" t="s">
        <v>18417</v>
      </c>
      <c r="DG696" t="s">
        <v>18418</v>
      </c>
      <c r="DH696" t="str">
        <f>"CDHR5"</f>
        <v>CDHR5</v>
      </c>
      <c r="DI696" t="s">
        <v>13772</v>
      </c>
      <c r="DJ696" t="s">
        <v>13777</v>
      </c>
      <c r="DK696">
        <v>9606</v>
      </c>
      <c r="DL696" s="34" t="str">
        <f>HYPERLINK("http://www.uniprot.org/uniprot/Q9HBB8", "Q9HBB8")</f>
        <v>Q9HBB8</v>
      </c>
      <c r="DM696" t="s">
        <v>18419</v>
      </c>
      <c r="DN696" t="s">
        <v>15591</v>
      </c>
      <c r="DO696" t="s">
        <v>15856</v>
      </c>
      <c r="DP696" t="s">
        <v>13780</v>
      </c>
      <c r="DQ696" t="s">
        <v>13772</v>
      </c>
      <c r="DR696" t="s">
        <v>13772</v>
      </c>
      <c r="DS696" t="s">
        <v>13826</v>
      </c>
      <c r="DT696" t="s">
        <v>14465</v>
      </c>
      <c r="DU696" t="s">
        <v>13772</v>
      </c>
      <c r="DV696" t="s">
        <v>13978</v>
      </c>
      <c r="DW696" t="s">
        <v>13772</v>
      </c>
      <c r="DX696" t="s">
        <v>18420</v>
      </c>
      <c r="DY696" t="s">
        <v>18421</v>
      </c>
      <c r="DZ696" t="s">
        <v>18422</v>
      </c>
      <c r="EA696" t="s">
        <v>13772</v>
      </c>
      <c r="EB696" t="s">
        <v>13772</v>
      </c>
    </row>
    <row r="697" spans="1:132" hidden="1">
      <c r="A697">
        <v>593</v>
      </c>
      <c r="B697">
        <v>1</v>
      </c>
      <c r="C697" t="s">
        <v>1470</v>
      </c>
      <c r="D697" t="s">
        <v>73</v>
      </c>
      <c r="E697" t="s">
        <v>73</v>
      </c>
      <c r="F697" t="s">
        <v>73</v>
      </c>
      <c r="G697" t="s">
        <v>73</v>
      </c>
      <c r="H697">
        <v>15.2</v>
      </c>
      <c r="I697">
        <v>2257</v>
      </c>
      <c r="J697">
        <v>245982</v>
      </c>
      <c r="K697" t="s">
        <v>1471</v>
      </c>
      <c r="L697">
        <f t="shared" si="42"/>
        <v>45</v>
      </c>
      <c r="N697">
        <v>45</v>
      </c>
      <c r="O697">
        <v>45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5</v>
      </c>
      <c r="AG697">
        <v>39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5</v>
      </c>
      <c r="AZ697">
        <v>39</v>
      </c>
      <c r="BA697">
        <v>0</v>
      </c>
      <c r="BB697">
        <v>0</v>
      </c>
      <c r="BC697" s="2">
        <v>0</v>
      </c>
      <c r="BD697" s="2">
        <v>0</v>
      </c>
      <c r="BE697" s="2">
        <v>0</v>
      </c>
      <c r="BF697" s="2">
        <v>1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5</v>
      </c>
      <c r="BS697" s="2">
        <v>39</v>
      </c>
      <c r="BT697" s="2">
        <v>0</v>
      </c>
      <c r="BU697" s="2">
        <v>0</v>
      </c>
      <c r="BV697" s="2">
        <f t="shared" si="45"/>
        <v>45</v>
      </c>
      <c r="BW697" s="16">
        <f t="shared" si="43"/>
        <v>2.3684210526315788</v>
      </c>
      <c r="BX697" s="16">
        <f>COUNTIF($BC$6:BU697, "=0") / COUNTIF($BC$6:BU697, "&gt;-1")</f>
        <v>0.18801338606632187</v>
      </c>
      <c r="BY697" s="18">
        <f>SUM($BC$6:BU697) / $BY$4</f>
        <v>0.89691941483532422</v>
      </c>
      <c r="BZ697" s="14">
        <f t="shared" si="44"/>
        <v>16</v>
      </c>
      <c r="CA697" t="s">
        <v>5832</v>
      </c>
      <c r="CZ697" t="s">
        <v>7749</v>
      </c>
      <c r="DA697" t="s">
        <v>5896</v>
      </c>
      <c r="DB697">
        <v>2253.4</v>
      </c>
      <c r="DC697" t="s">
        <v>19630</v>
      </c>
      <c r="DD697" t="s">
        <v>19631</v>
      </c>
      <c r="DE697" t="s">
        <v>19632</v>
      </c>
      <c r="DF697" t="s">
        <v>19633</v>
      </c>
      <c r="DG697" t="s">
        <v>19634</v>
      </c>
      <c r="DH697" t="str">
        <f>"MUC2"</f>
        <v>MUC2</v>
      </c>
      <c r="DI697" t="s">
        <v>19635</v>
      </c>
      <c r="DJ697" t="s">
        <v>13777</v>
      </c>
      <c r="DK697">
        <v>9606</v>
      </c>
      <c r="DL697" s="34" t="str">
        <f>HYPERLINK("http://www.uniprot.org/uniprot/Q02817", "Q02817")</f>
        <v>Q02817</v>
      </c>
      <c r="DM697" t="s">
        <v>19636</v>
      </c>
      <c r="DN697" t="s">
        <v>13772</v>
      </c>
      <c r="DO697" t="s">
        <v>14321</v>
      </c>
      <c r="DP697" t="s">
        <v>13793</v>
      </c>
      <c r="DQ697" t="s">
        <v>13772</v>
      </c>
      <c r="DR697" t="s">
        <v>13772</v>
      </c>
      <c r="DS697" t="s">
        <v>14404</v>
      </c>
      <c r="DT697" t="s">
        <v>13772</v>
      </c>
      <c r="DU697" t="s">
        <v>13772</v>
      </c>
      <c r="DV697" t="s">
        <v>19637</v>
      </c>
      <c r="DW697" t="s">
        <v>13772</v>
      </c>
      <c r="DX697" t="s">
        <v>19638</v>
      </c>
      <c r="DY697" t="s">
        <v>19639</v>
      </c>
      <c r="DZ697" t="s">
        <v>13772</v>
      </c>
      <c r="EA697" t="s">
        <v>13772</v>
      </c>
      <c r="EB697" t="s">
        <v>19090</v>
      </c>
    </row>
    <row r="698" spans="1:132" hidden="1">
      <c r="A698">
        <v>749</v>
      </c>
      <c r="B698">
        <v>1</v>
      </c>
      <c r="C698" t="s">
        <v>1840</v>
      </c>
      <c r="D698" t="s">
        <v>73</v>
      </c>
      <c r="E698" t="s">
        <v>73</v>
      </c>
      <c r="F698" t="s">
        <v>73</v>
      </c>
      <c r="G698" t="s">
        <v>73</v>
      </c>
      <c r="H698">
        <v>60.7</v>
      </c>
      <c r="I698">
        <v>135</v>
      </c>
      <c r="J698">
        <v>15831</v>
      </c>
      <c r="K698" t="s">
        <v>1841</v>
      </c>
      <c r="L698">
        <f t="shared" si="42"/>
        <v>45</v>
      </c>
      <c r="N698">
        <v>45</v>
      </c>
      <c r="O698">
        <v>45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4</v>
      </c>
      <c r="V698">
        <v>8</v>
      </c>
      <c r="W698">
        <v>7</v>
      </c>
      <c r="X698">
        <v>11</v>
      </c>
      <c r="Y698">
        <v>0</v>
      </c>
      <c r="Z698">
        <v>0</v>
      </c>
      <c r="AA698">
        <v>2</v>
      </c>
      <c r="AB698">
        <v>2</v>
      </c>
      <c r="AC698">
        <v>1</v>
      </c>
      <c r="AD698">
        <v>0</v>
      </c>
      <c r="AE698">
        <v>2</v>
      </c>
      <c r="AF698">
        <v>4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4</v>
      </c>
      <c r="AO698">
        <v>8</v>
      </c>
      <c r="AP698">
        <v>7</v>
      </c>
      <c r="AQ698">
        <v>11</v>
      </c>
      <c r="AR698">
        <v>0</v>
      </c>
      <c r="AS698">
        <v>0</v>
      </c>
      <c r="AT698">
        <v>2</v>
      </c>
      <c r="AU698">
        <v>2</v>
      </c>
      <c r="AV698">
        <v>1</v>
      </c>
      <c r="AW698">
        <v>0</v>
      </c>
      <c r="AX698">
        <v>2</v>
      </c>
      <c r="AY698">
        <v>4</v>
      </c>
      <c r="AZ698">
        <v>1</v>
      </c>
      <c r="BA698">
        <v>0</v>
      </c>
      <c r="BB698">
        <v>1</v>
      </c>
      <c r="BC698" s="2">
        <v>1</v>
      </c>
      <c r="BD698" s="2">
        <v>0</v>
      </c>
      <c r="BE698" s="2">
        <v>1</v>
      </c>
      <c r="BF698" s="2">
        <v>0</v>
      </c>
      <c r="BG698" s="2">
        <v>4</v>
      </c>
      <c r="BH698" s="2">
        <v>8</v>
      </c>
      <c r="BI698" s="2">
        <v>7</v>
      </c>
      <c r="BJ698" s="2">
        <v>11</v>
      </c>
      <c r="BK698" s="2">
        <v>0</v>
      </c>
      <c r="BL698" s="2">
        <v>0</v>
      </c>
      <c r="BM698" s="2">
        <v>2</v>
      </c>
      <c r="BN698" s="2">
        <v>2</v>
      </c>
      <c r="BO698" s="2">
        <v>1</v>
      </c>
      <c r="BP698" s="2">
        <v>0</v>
      </c>
      <c r="BQ698" s="2">
        <v>2</v>
      </c>
      <c r="BR698" s="2">
        <v>4</v>
      </c>
      <c r="BS698" s="2">
        <v>1</v>
      </c>
      <c r="BT698" s="2">
        <v>0</v>
      </c>
      <c r="BU698" s="2">
        <v>1</v>
      </c>
      <c r="BV698" s="2">
        <f t="shared" si="45"/>
        <v>45</v>
      </c>
      <c r="BW698" s="16">
        <f t="shared" si="43"/>
        <v>2.3684210526315788</v>
      </c>
      <c r="BX698" s="16">
        <f>COUNTIF($BC$6:BU698, "=0") / COUNTIF($BC$6:BU698, "&gt;-1")</f>
        <v>0.18819776714513556</v>
      </c>
      <c r="BY698" s="18">
        <f>SUM($BC$6:BU698) / $BY$4</f>
        <v>0.89711217849441571</v>
      </c>
      <c r="BZ698" s="14">
        <f t="shared" si="44"/>
        <v>6</v>
      </c>
      <c r="CA698" t="s">
        <v>5832</v>
      </c>
      <c r="CZ698" t="s">
        <v>8263</v>
      </c>
      <c r="DA698" t="s">
        <v>5904</v>
      </c>
      <c r="DB698">
        <v>273.5</v>
      </c>
      <c r="DC698" t="s">
        <v>21150</v>
      </c>
      <c r="DD698" t="s">
        <v>21151</v>
      </c>
      <c r="DE698" t="s">
        <v>21152</v>
      </c>
      <c r="DF698" t="s">
        <v>21153</v>
      </c>
      <c r="DG698" t="s">
        <v>21154</v>
      </c>
      <c r="DH698" t="str">
        <f>"RBP1"</f>
        <v>RBP1</v>
      </c>
      <c r="DI698" t="s">
        <v>21155</v>
      </c>
      <c r="DJ698" t="s">
        <v>13777</v>
      </c>
      <c r="DK698">
        <v>9606</v>
      </c>
      <c r="DL698" s="34" t="str">
        <f>HYPERLINK("http://www.uniprot.org/uniprot/P09455", "P09455")</f>
        <v>P09455</v>
      </c>
      <c r="DM698" t="s">
        <v>21156</v>
      </c>
      <c r="DN698" t="s">
        <v>14192</v>
      </c>
      <c r="DO698" t="s">
        <v>21157</v>
      </c>
      <c r="DP698" t="s">
        <v>13841</v>
      </c>
      <c r="DQ698" t="s">
        <v>13772</v>
      </c>
      <c r="DR698" t="s">
        <v>13772</v>
      </c>
      <c r="DS698" t="s">
        <v>13772</v>
      </c>
      <c r="DT698" t="s">
        <v>15687</v>
      </c>
      <c r="DU698" t="s">
        <v>13772</v>
      </c>
      <c r="DV698" t="s">
        <v>17914</v>
      </c>
      <c r="DW698" t="s">
        <v>13812</v>
      </c>
      <c r="DX698" t="s">
        <v>21158</v>
      </c>
      <c r="DY698" t="s">
        <v>21159</v>
      </c>
      <c r="DZ698" t="s">
        <v>21160</v>
      </c>
      <c r="EA698" t="s">
        <v>13772</v>
      </c>
      <c r="EB698" t="s">
        <v>21161</v>
      </c>
    </row>
    <row r="699" spans="1:132" hidden="1">
      <c r="A699">
        <v>920</v>
      </c>
      <c r="B699">
        <v>1</v>
      </c>
      <c r="C699" t="s">
        <v>2237</v>
      </c>
      <c r="D699" t="s">
        <v>73</v>
      </c>
      <c r="E699" t="s">
        <v>73</v>
      </c>
      <c r="F699" t="s">
        <v>73</v>
      </c>
      <c r="G699" t="s">
        <v>73</v>
      </c>
      <c r="H699">
        <v>14.7</v>
      </c>
      <c r="I699">
        <v>368</v>
      </c>
      <c r="J699">
        <v>39242</v>
      </c>
      <c r="K699" t="s">
        <v>2238</v>
      </c>
      <c r="L699">
        <f t="shared" si="42"/>
        <v>45</v>
      </c>
      <c r="N699">
        <v>45</v>
      </c>
      <c r="O699">
        <v>45</v>
      </c>
      <c r="P699">
        <v>1</v>
      </c>
      <c r="Q699">
        <v>6</v>
      </c>
      <c r="R699">
        <v>3</v>
      </c>
      <c r="S699">
        <v>2</v>
      </c>
      <c r="T699">
        <v>3</v>
      </c>
      <c r="U699">
        <v>2</v>
      </c>
      <c r="V699">
        <v>1</v>
      </c>
      <c r="W699">
        <v>3</v>
      </c>
      <c r="X699">
        <v>1</v>
      </c>
      <c r="Y699">
        <v>2</v>
      </c>
      <c r="Z699">
        <v>0</v>
      </c>
      <c r="AA699">
        <v>4</v>
      </c>
      <c r="AB699">
        <v>7</v>
      </c>
      <c r="AC699">
        <v>5</v>
      </c>
      <c r="AD699">
        <v>0</v>
      </c>
      <c r="AE699">
        <v>0</v>
      </c>
      <c r="AF699">
        <v>4</v>
      </c>
      <c r="AG699">
        <v>0</v>
      </c>
      <c r="AH699">
        <v>0</v>
      </c>
      <c r="AI699">
        <v>2</v>
      </c>
      <c r="AJ699">
        <v>6</v>
      </c>
      <c r="AK699">
        <v>3</v>
      </c>
      <c r="AL699">
        <v>2</v>
      </c>
      <c r="AM699">
        <v>3</v>
      </c>
      <c r="AN699">
        <v>2</v>
      </c>
      <c r="AO699">
        <v>1</v>
      </c>
      <c r="AP699">
        <v>3</v>
      </c>
      <c r="AQ699">
        <v>1</v>
      </c>
      <c r="AR699">
        <v>2</v>
      </c>
      <c r="AS699">
        <v>0</v>
      </c>
      <c r="AT699">
        <v>4</v>
      </c>
      <c r="AU699">
        <v>7</v>
      </c>
      <c r="AV699">
        <v>5</v>
      </c>
      <c r="AW699">
        <v>0</v>
      </c>
      <c r="AX699">
        <v>0</v>
      </c>
      <c r="AY699">
        <v>4</v>
      </c>
      <c r="AZ699">
        <v>0</v>
      </c>
      <c r="BA699">
        <v>0</v>
      </c>
      <c r="BB699">
        <v>2</v>
      </c>
      <c r="BC699" s="2">
        <v>6</v>
      </c>
      <c r="BD699" s="2">
        <v>3</v>
      </c>
      <c r="BE699" s="2">
        <v>2</v>
      </c>
      <c r="BF699" s="2">
        <v>3</v>
      </c>
      <c r="BG699" s="2">
        <v>2</v>
      </c>
      <c r="BH699" s="2">
        <v>1</v>
      </c>
      <c r="BI699" s="2">
        <v>3</v>
      </c>
      <c r="BJ699" s="2">
        <v>1</v>
      </c>
      <c r="BK699" s="2">
        <v>2</v>
      </c>
      <c r="BL699" s="2">
        <v>0</v>
      </c>
      <c r="BM699" s="2">
        <v>4</v>
      </c>
      <c r="BN699" s="2">
        <v>7</v>
      </c>
      <c r="BO699" s="2">
        <v>5</v>
      </c>
      <c r="BP699" s="2">
        <v>0</v>
      </c>
      <c r="BQ699" s="2">
        <v>0</v>
      </c>
      <c r="BR699" s="2">
        <v>4</v>
      </c>
      <c r="BS699" s="2">
        <v>0</v>
      </c>
      <c r="BT699" s="2">
        <v>0</v>
      </c>
      <c r="BU699" s="2">
        <v>2</v>
      </c>
      <c r="BV699" s="2">
        <f t="shared" si="45"/>
        <v>45</v>
      </c>
      <c r="BW699" s="16">
        <f t="shared" si="43"/>
        <v>2.3684210526315788</v>
      </c>
      <c r="BX699" s="16">
        <f>COUNTIF($BC$6:BU699, "=0") / COUNTIF($BC$6:BU699, "&gt;-1")</f>
        <v>0.18830577885636282</v>
      </c>
      <c r="BY699" s="18">
        <f>SUM($BC$6:BU699) / $BY$4</f>
        <v>0.89730494215350731</v>
      </c>
      <c r="BZ699" s="14">
        <f t="shared" si="44"/>
        <v>5</v>
      </c>
      <c r="CA699" t="s">
        <v>5832</v>
      </c>
      <c r="CZ699" t="s">
        <v>8844</v>
      </c>
      <c r="DA699" t="s">
        <v>5904</v>
      </c>
      <c r="DB699">
        <v>570.9</v>
      </c>
      <c r="DC699" t="s">
        <v>22846</v>
      </c>
      <c r="DD699" t="s">
        <v>13772</v>
      </c>
      <c r="DE699" t="s">
        <v>22847</v>
      </c>
      <c r="DF699" t="s">
        <v>22848</v>
      </c>
      <c r="DG699" t="s">
        <v>22849</v>
      </c>
      <c r="DH699" t="str">
        <f>"INHA"</f>
        <v>INHA</v>
      </c>
      <c r="DI699" t="s">
        <v>13772</v>
      </c>
      <c r="DJ699" t="s">
        <v>13777</v>
      </c>
      <c r="DK699">
        <v>9606</v>
      </c>
      <c r="DL699" s="34" t="str">
        <f>HYPERLINK("http://www.uniprot.org/uniprot/P05111", "P05111")</f>
        <v>P05111</v>
      </c>
      <c r="DM699" t="s">
        <v>22850</v>
      </c>
      <c r="DN699" t="s">
        <v>13772</v>
      </c>
      <c r="DO699" t="s">
        <v>14321</v>
      </c>
      <c r="DP699" t="s">
        <v>13793</v>
      </c>
      <c r="DQ699" t="s">
        <v>13772</v>
      </c>
      <c r="DR699" t="s">
        <v>13772</v>
      </c>
      <c r="DS699" t="s">
        <v>13808</v>
      </c>
      <c r="DT699" t="s">
        <v>13772</v>
      </c>
      <c r="DU699" t="s">
        <v>22851</v>
      </c>
      <c r="DV699" t="s">
        <v>14629</v>
      </c>
      <c r="DW699" t="s">
        <v>13772</v>
      </c>
      <c r="DX699" t="s">
        <v>22852</v>
      </c>
      <c r="DY699" t="s">
        <v>22853</v>
      </c>
      <c r="DZ699" t="s">
        <v>22854</v>
      </c>
      <c r="EA699" t="s">
        <v>13772</v>
      </c>
      <c r="EB699" t="s">
        <v>22855</v>
      </c>
    </row>
    <row r="700" spans="1:132" hidden="1">
      <c r="A700">
        <v>1067</v>
      </c>
      <c r="B700">
        <v>1</v>
      </c>
      <c r="C700" t="s">
        <v>2564</v>
      </c>
      <c r="D700" t="s">
        <v>73</v>
      </c>
      <c r="E700" t="s">
        <v>73</v>
      </c>
      <c r="F700" t="s">
        <v>73</v>
      </c>
      <c r="G700" t="s">
        <v>73</v>
      </c>
      <c r="H700">
        <v>34.700000000000003</v>
      </c>
      <c r="I700">
        <v>349</v>
      </c>
      <c r="J700">
        <v>37755</v>
      </c>
      <c r="K700" t="s">
        <v>2565</v>
      </c>
      <c r="L700">
        <f t="shared" si="42"/>
        <v>45</v>
      </c>
      <c r="N700">
        <v>45</v>
      </c>
      <c r="O700">
        <v>45</v>
      </c>
      <c r="P700">
        <v>1</v>
      </c>
      <c r="Q700">
        <v>4</v>
      </c>
      <c r="R700">
        <v>9</v>
      </c>
      <c r="S700">
        <v>2</v>
      </c>
      <c r="T700">
        <v>1</v>
      </c>
      <c r="U700">
        <v>13</v>
      </c>
      <c r="V700">
        <v>8</v>
      </c>
      <c r="W700">
        <v>2</v>
      </c>
      <c r="X700">
        <v>5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9</v>
      </c>
      <c r="AL700">
        <v>2</v>
      </c>
      <c r="AM700">
        <v>1</v>
      </c>
      <c r="AN700">
        <v>13</v>
      </c>
      <c r="AO700">
        <v>8</v>
      </c>
      <c r="AP700">
        <v>2</v>
      </c>
      <c r="AQ700">
        <v>5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s="2">
        <v>4</v>
      </c>
      <c r="BD700" s="2">
        <v>9</v>
      </c>
      <c r="BE700" s="2">
        <v>2</v>
      </c>
      <c r="BF700" s="2">
        <v>1</v>
      </c>
      <c r="BG700" s="2">
        <v>13</v>
      </c>
      <c r="BH700" s="2">
        <v>8</v>
      </c>
      <c r="BI700" s="2">
        <v>2</v>
      </c>
      <c r="BJ700" s="2">
        <v>5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f t="shared" si="45"/>
        <v>45</v>
      </c>
      <c r="BW700" s="16">
        <f t="shared" si="43"/>
        <v>2.3684210526315788</v>
      </c>
      <c r="BX700" s="16">
        <f>COUNTIF($BC$6:BU700, "=0") / COUNTIF($BC$6:BU700, "&gt;-1")</f>
        <v>0.18879212419538055</v>
      </c>
      <c r="BY700" s="18">
        <f>SUM($BC$6:BU700) / $BY$4</f>
        <v>0.8974977058125988</v>
      </c>
      <c r="BZ700" s="14">
        <f t="shared" si="44"/>
        <v>10</v>
      </c>
      <c r="CA700" t="s">
        <v>5832</v>
      </c>
      <c r="CZ700" t="s">
        <v>9282</v>
      </c>
      <c r="DA700" t="s">
        <v>5904</v>
      </c>
      <c r="DB700">
        <v>669.1</v>
      </c>
      <c r="DC700" t="s">
        <v>24099</v>
      </c>
      <c r="DD700" t="s">
        <v>13772</v>
      </c>
      <c r="DE700" t="s">
        <v>24100</v>
      </c>
      <c r="DF700" t="s">
        <v>24101</v>
      </c>
      <c r="DG700" t="s">
        <v>24102</v>
      </c>
      <c r="DH700" t="str">
        <f>"GPD1"</f>
        <v>GPD1</v>
      </c>
      <c r="DI700" t="s">
        <v>13772</v>
      </c>
      <c r="DJ700" t="s">
        <v>13777</v>
      </c>
      <c r="DK700">
        <v>9606</v>
      </c>
      <c r="DL700" s="34" t="str">
        <f>HYPERLINK("http://www.uniprot.org/uniprot/P21695", "P21695")</f>
        <v>P21695</v>
      </c>
      <c r="DM700" t="s">
        <v>24103</v>
      </c>
      <c r="DN700" t="s">
        <v>13772</v>
      </c>
      <c r="DO700" t="s">
        <v>13899</v>
      </c>
      <c r="DP700" t="s">
        <v>13780</v>
      </c>
      <c r="DQ700" t="s">
        <v>13772</v>
      </c>
      <c r="DR700" t="s">
        <v>13807</v>
      </c>
      <c r="DS700" t="s">
        <v>13772</v>
      </c>
      <c r="DT700" t="s">
        <v>14492</v>
      </c>
      <c r="DU700" t="s">
        <v>13885</v>
      </c>
      <c r="DV700" t="s">
        <v>13782</v>
      </c>
      <c r="DW700" t="s">
        <v>13812</v>
      </c>
      <c r="DX700" t="s">
        <v>24104</v>
      </c>
      <c r="DY700" t="s">
        <v>24105</v>
      </c>
      <c r="DZ700" t="s">
        <v>24106</v>
      </c>
      <c r="EA700" t="s">
        <v>13772</v>
      </c>
      <c r="EB700" t="s">
        <v>16962</v>
      </c>
    </row>
    <row r="701" spans="1:132" hidden="1">
      <c r="A701">
        <v>1211</v>
      </c>
      <c r="B701">
        <v>1</v>
      </c>
      <c r="C701" t="s">
        <v>2907</v>
      </c>
      <c r="D701" t="s">
        <v>73</v>
      </c>
      <c r="E701" t="s">
        <v>73</v>
      </c>
      <c r="F701" t="s">
        <v>73</v>
      </c>
      <c r="G701" t="s">
        <v>73</v>
      </c>
      <c r="H701">
        <v>51.6</v>
      </c>
      <c r="I701">
        <v>289</v>
      </c>
      <c r="J701">
        <v>32686</v>
      </c>
      <c r="K701" t="s">
        <v>2908</v>
      </c>
      <c r="L701">
        <f t="shared" si="42"/>
        <v>45</v>
      </c>
      <c r="N701">
        <v>45</v>
      </c>
      <c r="O701">
        <v>45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2</v>
      </c>
      <c r="X701">
        <v>1</v>
      </c>
      <c r="Y701">
        <v>19</v>
      </c>
      <c r="Z701">
        <v>0</v>
      </c>
      <c r="AA701">
        <v>12</v>
      </c>
      <c r="AB701">
        <v>2</v>
      </c>
      <c r="AC701">
        <v>1</v>
      </c>
      <c r="AD701">
        <v>0</v>
      </c>
      <c r="AE701">
        <v>3</v>
      </c>
      <c r="AF701">
        <v>2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2</v>
      </c>
      <c r="AQ701">
        <v>1</v>
      </c>
      <c r="AR701">
        <v>19</v>
      </c>
      <c r="AS701">
        <v>0</v>
      </c>
      <c r="AT701">
        <v>12</v>
      </c>
      <c r="AU701">
        <v>2</v>
      </c>
      <c r="AV701">
        <v>1</v>
      </c>
      <c r="AW701">
        <v>0</v>
      </c>
      <c r="AX701">
        <v>3</v>
      </c>
      <c r="AY701">
        <v>2</v>
      </c>
      <c r="AZ701">
        <v>1</v>
      </c>
      <c r="BA701">
        <v>0</v>
      </c>
      <c r="BB701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1</v>
      </c>
      <c r="BI701" s="2">
        <v>2</v>
      </c>
      <c r="BJ701" s="2">
        <v>1</v>
      </c>
      <c r="BK701" s="2">
        <v>19</v>
      </c>
      <c r="BL701" s="2">
        <v>0</v>
      </c>
      <c r="BM701" s="2">
        <v>12</v>
      </c>
      <c r="BN701" s="2">
        <v>2</v>
      </c>
      <c r="BO701" s="2">
        <v>1</v>
      </c>
      <c r="BP701" s="2">
        <v>0</v>
      </c>
      <c r="BQ701" s="2">
        <v>3</v>
      </c>
      <c r="BR701" s="2">
        <v>2</v>
      </c>
      <c r="BS701" s="2">
        <v>1</v>
      </c>
      <c r="BT701" s="2">
        <v>0</v>
      </c>
      <c r="BU701" s="2">
        <v>0</v>
      </c>
      <c r="BV701" s="2">
        <f t="shared" si="45"/>
        <v>45</v>
      </c>
      <c r="BW701" s="16">
        <f t="shared" si="43"/>
        <v>2.3684210526315788</v>
      </c>
      <c r="BX701" s="16">
        <f>COUNTIF($BC$6:BU701, "=0") / COUNTIF($BC$6:BU701, "&gt;-1")</f>
        <v>0.18912583182093165</v>
      </c>
      <c r="BY701" s="18">
        <f>SUM($BC$6:BU701) / $BY$4</f>
        <v>0.89769046947169029</v>
      </c>
      <c r="BZ701" s="14">
        <f t="shared" si="44"/>
        <v>8</v>
      </c>
      <c r="CA701" t="s">
        <v>5832</v>
      </c>
      <c r="CZ701" t="s">
        <v>9763</v>
      </c>
      <c r="DA701" t="s">
        <v>5904</v>
      </c>
      <c r="DB701">
        <v>583.20000000000005</v>
      </c>
      <c r="DC701" t="s">
        <v>25463</v>
      </c>
      <c r="DD701" t="s">
        <v>25464</v>
      </c>
      <c r="DE701" t="s">
        <v>25465</v>
      </c>
      <c r="DF701" t="s">
        <v>25466</v>
      </c>
      <c r="DG701" t="s">
        <v>25467</v>
      </c>
      <c r="DH701" t="str">
        <f>"PPA1"</f>
        <v>PPA1</v>
      </c>
      <c r="DI701" t="s">
        <v>25468</v>
      </c>
      <c r="DJ701" t="s">
        <v>13777</v>
      </c>
      <c r="DK701">
        <v>9606</v>
      </c>
      <c r="DL701" s="34" t="str">
        <f>HYPERLINK("http://www.uniprot.org/uniprot/Q15181", "Q15181")</f>
        <v>Q15181</v>
      </c>
      <c r="DM701" t="s">
        <v>25469</v>
      </c>
      <c r="DN701" t="s">
        <v>13772</v>
      </c>
      <c r="DO701" t="s">
        <v>13899</v>
      </c>
      <c r="DP701" t="s">
        <v>13793</v>
      </c>
      <c r="DQ701" t="s">
        <v>13772</v>
      </c>
      <c r="DR701" t="s">
        <v>13772</v>
      </c>
      <c r="DS701" t="s">
        <v>13772</v>
      </c>
      <c r="DT701" t="s">
        <v>14784</v>
      </c>
      <c r="DU701" t="s">
        <v>13857</v>
      </c>
      <c r="DV701" t="s">
        <v>13886</v>
      </c>
      <c r="DW701" t="s">
        <v>13812</v>
      </c>
      <c r="DX701" t="s">
        <v>25470</v>
      </c>
      <c r="DY701" t="s">
        <v>14194</v>
      </c>
      <c r="DZ701" t="s">
        <v>25471</v>
      </c>
      <c r="EA701" t="s">
        <v>13772</v>
      </c>
      <c r="EB701" t="s">
        <v>25472</v>
      </c>
    </row>
    <row r="702" spans="1:132" hidden="1">
      <c r="A702">
        <v>1921</v>
      </c>
      <c r="B702">
        <v>1</v>
      </c>
      <c r="C702" t="s">
        <v>4525</v>
      </c>
      <c r="D702" t="s">
        <v>73</v>
      </c>
      <c r="E702" t="s">
        <v>73</v>
      </c>
      <c r="F702" t="s">
        <v>73</v>
      </c>
      <c r="G702" t="s">
        <v>73</v>
      </c>
      <c r="H702">
        <v>29.5</v>
      </c>
      <c r="I702">
        <v>400</v>
      </c>
      <c r="J702">
        <v>44392</v>
      </c>
      <c r="K702" t="s">
        <v>4526</v>
      </c>
      <c r="L702">
        <f t="shared" si="42"/>
        <v>45</v>
      </c>
      <c r="N702">
        <v>45</v>
      </c>
      <c r="O702">
        <v>45</v>
      </c>
      <c r="P702">
        <v>1</v>
      </c>
      <c r="Q702">
        <v>3</v>
      </c>
      <c r="R702">
        <v>1</v>
      </c>
      <c r="S702">
        <v>0</v>
      </c>
      <c r="T702">
        <v>2</v>
      </c>
      <c r="U702">
        <v>1</v>
      </c>
      <c r="V702">
        <v>2</v>
      </c>
      <c r="W702">
        <v>0</v>
      </c>
      <c r="X702">
        <v>0</v>
      </c>
      <c r="Y702">
        <v>5</v>
      </c>
      <c r="Z702">
        <v>1</v>
      </c>
      <c r="AA702">
        <v>5</v>
      </c>
      <c r="AB702">
        <v>7</v>
      </c>
      <c r="AC702">
        <v>5</v>
      </c>
      <c r="AD702">
        <v>1</v>
      </c>
      <c r="AE702">
        <v>4</v>
      </c>
      <c r="AF702">
        <v>3</v>
      </c>
      <c r="AG702">
        <v>3</v>
      </c>
      <c r="AH702">
        <v>0</v>
      </c>
      <c r="AI702">
        <v>2</v>
      </c>
      <c r="AJ702">
        <v>3</v>
      </c>
      <c r="AK702">
        <v>1</v>
      </c>
      <c r="AL702">
        <v>0</v>
      </c>
      <c r="AM702">
        <v>2</v>
      </c>
      <c r="AN702">
        <v>1</v>
      </c>
      <c r="AO702">
        <v>2</v>
      </c>
      <c r="AP702">
        <v>0</v>
      </c>
      <c r="AQ702">
        <v>0</v>
      </c>
      <c r="AR702">
        <v>5</v>
      </c>
      <c r="AS702">
        <v>1</v>
      </c>
      <c r="AT702">
        <v>5</v>
      </c>
      <c r="AU702">
        <v>7</v>
      </c>
      <c r="AV702">
        <v>5</v>
      </c>
      <c r="AW702">
        <v>1</v>
      </c>
      <c r="AX702">
        <v>4</v>
      </c>
      <c r="AY702">
        <v>3</v>
      </c>
      <c r="AZ702">
        <v>3</v>
      </c>
      <c r="BA702">
        <v>0</v>
      </c>
      <c r="BB702">
        <v>2</v>
      </c>
      <c r="BC702" s="2">
        <v>3</v>
      </c>
      <c r="BD702" s="2">
        <v>1</v>
      </c>
      <c r="BE702" s="2">
        <v>0</v>
      </c>
      <c r="BF702" s="2">
        <v>2</v>
      </c>
      <c r="BG702" s="2">
        <v>1</v>
      </c>
      <c r="BH702" s="2">
        <v>2</v>
      </c>
      <c r="BI702" s="2">
        <v>0</v>
      </c>
      <c r="BJ702" s="2">
        <v>0</v>
      </c>
      <c r="BK702" s="2">
        <v>5</v>
      </c>
      <c r="BL702" s="2">
        <v>1</v>
      </c>
      <c r="BM702" s="2">
        <v>5</v>
      </c>
      <c r="BN702" s="2">
        <v>7</v>
      </c>
      <c r="BO702" s="2">
        <v>5</v>
      </c>
      <c r="BP702" s="2">
        <v>1</v>
      </c>
      <c r="BQ702" s="2">
        <v>4</v>
      </c>
      <c r="BR702" s="2">
        <v>3</v>
      </c>
      <c r="BS702" s="2">
        <v>3</v>
      </c>
      <c r="BT702" s="2">
        <v>0</v>
      </c>
      <c r="BU702" s="2">
        <v>2</v>
      </c>
      <c r="BV702" s="2">
        <f t="shared" si="45"/>
        <v>45</v>
      </c>
      <c r="BW702" s="16">
        <f t="shared" si="43"/>
        <v>2.3684210526315788</v>
      </c>
      <c r="BX702" s="16">
        <f>COUNTIF($BC$6:BU702, "=0") / COUNTIF($BC$6:BU702, "&gt;-1")</f>
        <v>0.18915653552820358</v>
      </c>
      <c r="BY702" s="18">
        <f>SUM($BC$6:BU702) / $BY$4</f>
        <v>0.89788323313078178</v>
      </c>
      <c r="BZ702" s="14">
        <f t="shared" si="44"/>
        <v>4</v>
      </c>
      <c r="CA702" t="s">
        <v>5832</v>
      </c>
      <c r="CZ702" t="s">
        <v>12153</v>
      </c>
      <c r="DA702" t="s">
        <v>5904</v>
      </c>
      <c r="DB702">
        <v>730.7</v>
      </c>
      <c r="DC702" t="s">
        <v>32178</v>
      </c>
      <c r="DD702" t="s">
        <v>32179</v>
      </c>
      <c r="DE702" t="s">
        <v>32180</v>
      </c>
      <c r="DF702" t="s">
        <v>32181</v>
      </c>
      <c r="DG702" t="s">
        <v>32182</v>
      </c>
      <c r="DH702" t="str">
        <f>"B4GALT1"</f>
        <v>B4GALT1</v>
      </c>
      <c r="DI702" t="s">
        <v>32183</v>
      </c>
      <c r="DJ702" t="s">
        <v>13777</v>
      </c>
      <c r="DK702">
        <v>9606</v>
      </c>
      <c r="DL702" s="34" t="str">
        <f>HYPERLINK("http://www.uniprot.org/uniprot/P15291", "P15291")</f>
        <v>P15291</v>
      </c>
      <c r="DM702" t="s">
        <v>32184</v>
      </c>
      <c r="DN702" t="s">
        <v>13772</v>
      </c>
      <c r="DO702" t="s">
        <v>32185</v>
      </c>
      <c r="DP702" t="s">
        <v>29290</v>
      </c>
      <c r="DQ702" t="s">
        <v>13772</v>
      </c>
      <c r="DR702" t="s">
        <v>32186</v>
      </c>
      <c r="DS702" t="s">
        <v>14417</v>
      </c>
      <c r="DT702" t="s">
        <v>15674</v>
      </c>
      <c r="DU702" t="s">
        <v>15995</v>
      </c>
      <c r="DV702" t="s">
        <v>13796</v>
      </c>
      <c r="DW702" t="s">
        <v>13812</v>
      </c>
      <c r="DX702" t="s">
        <v>32187</v>
      </c>
      <c r="DY702" t="s">
        <v>32188</v>
      </c>
      <c r="DZ702" t="s">
        <v>32189</v>
      </c>
      <c r="EA702" t="s">
        <v>22195</v>
      </c>
      <c r="EB702" t="s">
        <v>32190</v>
      </c>
    </row>
    <row r="703" spans="1:132" hidden="1">
      <c r="A703">
        <v>1926</v>
      </c>
      <c r="B703">
        <v>1</v>
      </c>
      <c r="C703" t="s">
        <v>4536</v>
      </c>
      <c r="D703" t="s">
        <v>73</v>
      </c>
      <c r="E703" t="s">
        <v>73</v>
      </c>
      <c r="F703" t="s">
        <v>73</v>
      </c>
      <c r="G703" t="s">
        <v>73</v>
      </c>
      <c r="H703">
        <v>35.200000000000003</v>
      </c>
      <c r="I703">
        <v>403</v>
      </c>
      <c r="J703">
        <v>45287</v>
      </c>
      <c r="K703" t="s">
        <v>4537</v>
      </c>
      <c r="L703">
        <f t="shared" si="42"/>
        <v>45</v>
      </c>
      <c r="N703">
        <v>45</v>
      </c>
      <c r="O703">
        <v>45</v>
      </c>
      <c r="P703">
        <v>1</v>
      </c>
      <c r="Q703">
        <v>1</v>
      </c>
      <c r="R703">
        <v>3</v>
      </c>
      <c r="S703">
        <v>3</v>
      </c>
      <c r="T703">
        <v>3</v>
      </c>
      <c r="U703">
        <v>5</v>
      </c>
      <c r="V703">
        <v>2</v>
      </c>
      <c r="W703">
        <v>1</v>
      </c>
      <c r="X703">
        <v>1</v>
      </c>
      <c r="Y703">
        <v>5</v>
      </c>
      <c r="Z703">
        <v>2</v>
      </c>
      <c r="AA703">
        <v>3</v>
      </c>
      <c r="AB703">
        <v>8</v>
      </c>
      <c r="AC703">
        <v>0</v>
      </c>
      <c r="AD703">
        <v>2</v>
      </c>
      <c r="AE703">
        <v>0</v>
      </c>
      <c r="AF703">
        <v>2</v>
      </c>
      <c r="AG703">
        <v>2</v>
      </c>
      <c r="AH703">
        <v>0</v>
      </c>
      <c r="AI703">
        <v>2</v>
      </c>
      <c r="AJ703">
        <v>1</v>
      </c>
      <c r="AK703">
        <v>3</v>
      </c>
      <c r="AL703">
        <v>3</v>
      </c>
      <c r="AM703">
        <v>3</v>
      </c>
      <c r="AN703">
        <v>5</v>
      </c>
      <c r="AO703">
        <v>2</v>
      </c>
      <c r="AP703">
        <v>1</v>
      </c>
      <c r="AQ703">
        <v>1</v>
      </c>
      <c r="AR703">
        <v>5</v>
      </c>
      <c r="AS703">
        <v>2</v>
      </c>
      <c r="AT703">
        <v>3</v>
      </c>
      <c r="AU703">
        <v>8</v>
      </c>
      <c r="AV703">
        <v>0</v>
      </c>
      <c r="AW703">
        <v>2</v>
      </c>
      <c r="AX703">
        <v>0</v>
      </c>
      <c r="AY703">
        <v>2</v>
      </c>
      <c r="AZ703">
        <v>2</v>
      </c>
      <c r="BA703">
        <v>0</v>
      </c>
      <c r="BB703">
        <v>2</v>
      </c>
      <c r="BC703" s="2">
        <v>1</v>
      </c>
      <c r="BD703" s="2">
        <v>3</v>
      </c>
      <c r="BE703" s="2">
        <v>3</v>
      </c>
      <c r="BF703" s="2">
        <v>3</v>
      </c>
      <c r="BG703" s="2">
        <v>5</v>
      </c>
      <c r="BH703" s="2">
        <v>2</v>
      </c>
      <c r="BI703" s="2">
        <v>1</v>
      </c>
      <c r="BJ703" s="2">
        <v>1</v>
      </c>
      <c r="BK703" s="2">
        <v>5</v>
      </c>
      <c r="BL703" s="2">
        <v>2</v>
      </c>
      <c r="BM703" s="2">
        <v>3</v>
      </c>
      <c r="BN703" s="2">
        <v>8</v>
      </c>
      <c r="BO703" s="2">
        <v>0</v>
      </c>
      <c r="BP703" s="2">
        <v>2</v>
      </c>
      <c r="BQ703" s="2">
        <v>0</v>
      </c>
      <c r="BR703" s="2">
        <v>2</v>
      </c>
      <c r="BS703" s="2">
        <v>2</v>
      </c>
      <c r="BT703" s="2">
        <v>0</v>
      </c>
      <c r="BU703" s="2">
        <v>2</v>
      </c>
      <c r="BV703" s="2">
        <f t="shared" si="45"/>
        <v>45</v>
      </c>
      <c r="BW703" s="16">
        <f t="shared" si="43"/>
        <v>2.3684210526315788</v>
      </c>
      <c r="BX703" s="16">
        <f>COUNTIF($BC$6:BU703, "=0") / COUNTIF($BC$6:BU703, "&gt;-1")</f>
        <v>0.18911174785100288</v>
      </c>
      <c r="BY703" s="18">
        <f>SUM($BC$6:BU703) / $BY$4</f>
        <v>0.89807599678987338</v>
      </c>
      <c r="BZ703" s="14">
        <f t="shared" si="44"/>
        <v>3</v>
      </c>
      <c r="CA703" t="s">
        <v>5832</v>
      </c>
      <c r="CZ703" t="s">
        <v>12171</v>
      </c>
      <c r="DA703" t="s">
        <v>5904</v>
      </c>
      <c r="DB703">
        <v>598.6</v>
      </c>
      <c r="DC703" t="s">
        <v>32235</v>
      </c>
      <c r="DD703" t="s">
        <v>32236</v>
      </c>
      <c r="DE703" t="s">
        <v>32237</v>
      </c>
      <c r="DF703" t="s">
        <v>32238</v>
      </c>
      <c r="DG703" t="s">
        <v>32239</v>
      </c>
      <c r="DH703" t="str">
        <f>"GOLM1"</f>
        <v>GOLM1</v>
      </c>
      <c r="DI703" t="s">
        <v>32240</v>
      </c>
      <c r="DJ703" t="s">
        <v>13777</v>
      </c>
      <c r="DK703">
        <v>9606</v>
      </c>
      <c r="DL703" s="34" t="str">
        <f>HYPERLINK("http://www.uniprot.org/uniprot/Q8NBJ4", "Q8NBJ4")</f>
        <v>Q8NBJ4</v>
      </c>
      <c r="DM703" t="s">
        <v>32241</v>
      </c>
      <c r="DN703" t="s">
        <v>13772</v>
      </c>
      <c r="DO703" t="s">
        <v>18298</v>
      </c>
      <c r="DP703" t="s">
        <v>29290</v>
      </c>
      <c r="DQ703" t="s">
        <v>13772</v>
      </c>
      <c r="DR703" t="s">
        <v>13772</v>
      </c>
      <c r="DS703" t="s">
        <v>14715</v>
      </c>
      <c r="DT703" t="s">
        <v>13772</v>
      </c>
      <c r="DU703" t="s">
        <v>13772</v>
      </c>
      <c r="DV703" t="s">
        <v>14182</v>
      </c>
      <c r="DW703" t="s">
        <v>13772</v>
      </c>
      <c r="DX703" t="s">
        <v>32242</v>
      </c>
      <c r="DY703" t="s">
        <v>32243</v>
      </c>
      <c r="DZ703" t="s">
        <v>13772</v>
      </c>
      <c r="EA703" t="s">
        <v>13772</v>
      </c>
      <c r="EB703" t="s">
        <v>17241</v>
      </c>
    </row>
    <row r="704" spans="1:132" hidden="1">
      <c r="A704">
        <v>463</v>
      </c>
      <c r="B704">
        <v>1</v>
      </c>
      <c r="C704" t="s">
        <v>1159</v>
      </c>
      <c r="D704" t="s">
        <v>1160</v>
      </c>
      <c r="E704" t="s">
        <v>73</v>
      </c>
      <c r="F704" t="s">
        <v>73</v>
      </c>
      <c r="G704" t="s">
        <v>73</v>
      </c>
      <c r="H704">
        <v>12.8</v>
      </c>
      <c r="I704">
        <v>896</v>
      </c>
      <c r="J704">
        <v>99766</v>
      </c>
      <c r="K704" t="s">
        <v>1161</v>
      </c>
      <c r="L704">
        <f t="shared" si="42"/>
        <v>44</v>
      </c>
      <c r="N704">
        <v>44</v>
      </c>
      <c r="O704">
        <v>44</v>
      </c>
      <c r="P704">
        <v>1</v>
      </c>
      <c r="Q704">
        <v>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5</v>
      </c>
      <c r="Z704">
        <v>1</v>
      </c>
      <c r="AA704">
        <v>8</v>
      </c>
      <c r="AB704">
        <v>3</v>
      </c>
      <c r="AC704">
        <v>5</v>
      </c>
      <c r="AD704">
        <v>0</v>
      </c>
      <c r="AE704">
        <v>3</v>
      </c>
      <c r="AF704">
        <v>8</v>
      </c>
      <c r="AG704">
        <v>2</v>
      </c>
      <c r="AH704">
        <v>1</v>
      </c>
      <c r="AI704">
        <v>6</v>
      </c>
      <c r="AJ704">
        <v>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5</v>
      </c>
      <c r="AS704">
        <v>1</v>
      </c>
      <c r="AT704">
        <v>8</v>
      </c>
      <c r="AU704">
        <v>3</v>
      </c>
      <c r="AV704">
        <v>5</v>
      </c>
      <c r="AW704">
        <v>0</v>
      </c>
      <c r="AX704">
        <v>3</v>
      </c>
      <c r="AY704">
        <v>8</v>
      </c>
      <c r="AZ704">
        <v>2</v>
      </c>
      <c r="BA704">
        <v>1</v>
      </c>
      <c r="BB704">
        <v>6</v>
      </c>
      <c r="BC704" s="2">
        <v>2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5</v>
      </c>
      <c r="BL704" s="2">
        <v>1</v>
      </c>
      <c r="BM704" s="2">
        <v>8</v>
      </c>
      <c r="BN704" s="2">
        <v>3</v>
      </c>
      <c r="BO704" s="2">
        <v>5</v>
      </c>
      <c r="BP704" s="2">
        <v>0</v>
      </c>
      <c r="BQ704" s="2">
        <v>3</v>
      </c>
      <c r="BR704" s="2">
        <v>8</v>
      </c>
      <c r="BS704" s="2">
        <v>2</v>
      </c>
      <c r="BT704" s="2">
        <v>1</v>
      </c>
      <c r="BU704" s="2">
        <v>6</v>
      </c>
      <c r="BV704" s="2">
        <f t="shared" si="45"/>
        <v>44</v>
      </c>
      <c r="BW704" s="16">
        <f t="shared" si="43"/>
        <v>2.3157894736842106</v>
      </c>
      <c r="BX704" s="16">
        <f>COUNTIF($BC$6:BU704, "=0") / COUNTIF($BC$6:BU704, "&gt;-1")</f>
        <v>0.18944356599653642</v>
      </c>
      <c r="BY704" s="18">
        <f>SUM($BC$6:BU704) / $BY$4</f>
        <v>0.8982644768120962</v>
      </c>
      <c r="BZ704" s="14">
        <f t="shared" si="44"/>
        <v>8</v>
      </c>
      <c r="CA704" t="s">
        <v>5832</v>
      </c>
      <c r="CZ704" t="s">
        <v>7308</v>
      </c>
      <c r="DA704" t="s">
        <v>5904</v>
      </c>
      <c r="DB704">
        <v>1566.6</v>
      </c>
      <c r="DC704" t="s">
        <v>18303</v>
      </c>
      <c r="DD704" t="s">
        <v>18304</v>
      </c>
      <c r="DE704" t="s">
        <v>18305</v>
      </c>
      <c r="DF704" t="s">
        <v>18306</v>
      </c>
      <c r="DG704" t="s">
        <v>18307</v>
      </c>
      <c r="DH704" t="str">
        <f>"DSC3"</f>
        <v>DSC3</v>
      </c>
      <c r="DI704" t="s">
        <v>18308</v>
      </c>
      <c r="DJ704" t="s">
        <v>13777</v>
      </c>
      <c r="DK704">
        <v>9606</v>
      </c>
      <c r="DL704" s="34" t="str">
        <f>HYPERLINK("http://www.uniprot.org/uniprot/Q14574", "Q14574")</f>
        <v>Q14574</v>
      </c>
      <c r="DM704" t="s">
        <v>18309</v>
      </c>
      <c r="DN704" t="s">
        <v>13949</v>
      </c>
      <c r="DO704" t="s">
        <v>17424</v>
      </c>
      <c r="DP704" t="s">
        <v>13780</v>
      </c>
      <c r="DQ704" t="s">
        <v>13772</v>
      </c>
      <c r="DR704" t="s">
        <v>18310</v>
      </c>
      <c r="DS704" t="s">
        <v>13826</v>
      </c>
      <c r="DT704" t="s">
        <v>13873</v>
      </c>
      <c r="DU704" t="s">
        <v>13772</v>
      </c>
      <c r="DV704" t="s">
        <v>17713</v>
      </c>
      <c r="DW704" t="s">
        <v>13772</v>
      </c>
      <c r="DX704" t="s">
        <v>18311</v>
      </c>
      <c r="DY704" t="s">
        <v>18312</v>
      </c>
      <c r="DZ704" t="s">
        <v>18313</v>
      </c>
      <c r="EA704" t="s">
        <v>13772</v>
      </c>
      <c r="EB704" t="s">
        <v>18122</v>
      </c>
    </row>
    <row r="705" spans="1:132" hidden="1">
      <c r="A705">
        <v>639</v>
      </c>
      <c r="B705">
        <v>1</v>
      </c>
      <c r="C705" t="s">
        <v>1580</v>
      </c>
      <c r="D705" t="s">
        <v>1581</v>
      </c>
      <c r="E705" t="s">
        <v>73</v>
      </c>
      <c r="F705" t="s">
        <v>73</v>
      </c>
      <c r="G705" t="s">
        <v>73</v>
      </c>
      <c r="H705">
        <v>17.600000000000001</v>
      </c>
      <c r="I705">
        <v>964</v>
      </c>
      <c r="J705">
        <v>107567</v>
      </c>
      <c r="K705" t="s">
        <v>1582</v>
      </c>
      <c r="L705">
        <f t="shared" si="42"/>
        <v>44</v>
      </c>
      <c r="N705">
        <v>44</v>
      </c>
      <c r="O705">
        <v>44</v>
      </c>
      <c r="P705">
        <v>1</v>
      </c>
      <c r="Q705">
        <v>1</v>
      </c>
      <c r="R705">
        <v>3</v>
      </c>
      <c r="S705">
        <v>5</v>
      </c>
      <c r="T705">
        <v>8</v>
      </c>
      <c r="U705">
        <v>2</v>
      </c>
      <c r="V705">
        <v>19</v>
      </c>
      <c r="W705">
        <v>4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3</v>
      </c>
      <c r="AL705">
        <v>5</v>
      </c>
      <c r="AM705">
        <v>8</v>
      </c>
      <c r="AN705">
        <v>2</v>
      </c>
      <c r="AO705">
        <v>19</v>
      </c>
      <c r="AP705">
        <v>4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 s="2">
        <v>1</v>
      </c>
      <c r="BD705" s="2">
        <v>3</v>
      </c>
      <c r="BE705" s="2">
        <v>5</v>
      </c>
      <c r="BF705" s="2">
        <v>8</v>
      </c>
      <c r="BG705" s="2">
        <v>2</v>
      </c>
      <c r="BH705" s="2">
        <v>19</v>
      </c>
      <c r="BI705" s="2">
        <v>4</v>
      </c>
      <c r="BJ705" s="2">
        <v>2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f t="shared" si="45"/>
        <v>44</v>
      </c>
      <c r="BW705" s="16">
        <f t="shared" si="43"/>
        <v>2.3157894736842106</v>
      </c>
      <c r="BX705" s="16">
        <f>COUNTIF($BC$6:BU705, "=0") / COUNTIF($BC$6:BU705, "&gt;-1")</f>
        <v>0.19</v>
      </c>
      <c r="BY705" s="18">
        <f>SUM($BC$6:BU705) / $BY$4</f>
        <v>0.89845295683431903</v>
      </c>
      <c r="BZ705" s="14">
        <f t="shared" si="44"/>
        <v>11</v>
      </c>
      <c r="CA705" t="s">
        <v>5832</v>
      </c>
      <c r="CZ705" t="s">
        <v>7901</v>
      </c>
      <c r="DA705" t="s">
        <v>5904</v>
      </c>
      <c r="DB705">
        <v>2012.7</v>
      </c>
      <c r="DC705" t="s">
        <v>20093</v>
      </c>
      <c r="DD705" t="s">
        <v>20094</v>
      </c>
      <c r="DE705" t="s">
        <v>20095</v>
      </c>
      <c r="DF705" t="s">
        <v>20096</v>
      </c>
      <c r="DG705" t="s">
        <v>20097</v>
      </c>
      <c r="DH705" t="str">
        <f>"EPHB2"</f>
        <v>EPHB2</v>
      </c>
      <c r="DI705" t="s">
        <v>20098</v>
      </c>
      <c r="DJ705" t="s">
        <v>13777</v>
      </c>
      <c r="DK705">
        <v>9606</v>
      </c>
      <c r="DL705" s="34" t="str">
        <f>HYPERLINK("http://www.uniprot.org/uniprot/P29323", "P29323")</f>
        <v>P29323</v>
      </c>
      <c r="DM705" t="s">
        <v>20099</v>
      </c>
      <c r="DN705" t="s">
        <v>20100</v>
      </c>
      <c r="DO705" t="s">
        <v>15856</v>
      </c>
      <c r="DP705" t="s">
        <v>13780</v>
      </c>
      <c r="DQ705" t="s">
        <v>13772</v>
      </c>
      <c r="DR705" t="s">
        <v>20101</v>
      </c>
      <c r="DS705" t="s">
        <v>13826</v>
      </c>
      <c r="DT705" t="s">
        <v>14005</v>
      </c>
      <c r="DU705" t="s">
        <v>20102</v>
      </c>
      <c r="DV705" t="s">
        <v>14640</v>
      </c>
      <c r="DW705" t="s">
        <v>13812</v>
      </c>
      <c r="DX705" t="s">
        <v>20103</v>
      </c>
      <c r="DY705" t="s">
        <v>20104</v>
      </c>
      <c r="DZ705" t="s">
        <v>20105</v>
      </c>
      <c r="EA705" t="s">
        <v>13772</v>
      </c>
      <c r="EB705" t="s">
        <v>20106</v>
      </c>
    </row>
    <row r="706" spans="1:132" hidden="1">
      <c r="A706">
        <v>735</v>
      </c>
      <c r="B706">
        <v>1</v>
      </c>
      <c r="C706" t="s">
        <v>1802</v>
      </c>
      <c r="D706" t="s">
        <v>73</v>
      </c>
      <c r="E706" t="s">
        <v>73</v>
      </c>
      <c r="F706" t="s">
        <v>73</v>
      </c>
      <c r="G706" t="s">
        <v>73</v>
      </c>
      <c r="H706">
        <v>54.9</v>
      </c>
      <c r="I706">
        <v>257</v>
      </c>
      <c r="J706">
        <v>27141</v>
      </c>
      <c r="K706" t="s">
        <v>1803</v>
      </c>
      <c r="L706">
        <f t="shared" si="42"/>
        <v>44</v>
      </c>
      <c r="N706">
        <v>44</v>
      </c>
      <c r="O706">
        <v>44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12</v>
      </c>
      <c r="Z706">
        <v>0</v>
      </c>
      <c r="AA706">
        <v>9</v>
      </c>
      <c r="AB706">
        <v>1</v>
      </c>
      <c r="AC706">
        <v>2</v>
      </c>
      <c r="AD706">
        <v>0</v>
      </c>
      <c r="AE706">
        <v>11</v>
      </c>
      <c r="AF706">
        <v>5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12</v>
      </c>
      <c r="AS706">
        <v>0</v>
      </c>
      <c r="AT706">
        <v>9</v>
      </c>
      <c r="AU706">
        <v>1</v>
      </c>
      <c r="AV706">
        <v>2</v>
      </c>
      <c r="AW706">
        <v>0</v>
      </c>
      <c r="AX706">
        <v>11</v>
      </c>
      <c r="AY706">
        <v>5</v>
      </c>
      <c r="AZ706">
        <v>0</v>
      </c>
      <c r="BA706">
        <v>0</v>
      </c>
      <c r="BB706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1</v>
      </c>
      <c r="BJ706" s="2">
        <v>0</v>
      </c>
      <c r="BK706" s="2">
        <v>12</v>
      </c>
      <c r="BL706" s="2">
        <v>0</v>
      </c>
      <c r="BM706" s="2">
        <v>9</v>
      </c>
      <c r="BN706" s="2">
        <v>1</v>
      </c>
      <c r="BO706" s="2">
        <v>2</v>
      </c>
      <c r="BP706" s="2">
        <v>0</v>
      </c>
      <c r="BQ706" s="2">
        <v>11</v>
      </c>
      <c r="BR706" s="2">
        <v>5</v>
      </c>
      <c r="BS706" s="2">
        <v>0</v>
      </c>
      <c r="BT706" s="2">
        <v>0</v>
      </c>
      <c r="BU706" s="2">
        <v>1</v>
      </c>
      <c r="BV706" s="2">
        <f t="shared" si="45"/>
        <v>44</v>
      </c>
      <c r="BW706" s="16">
        <f t="shared" si="43"/>
        <v>2.3157894736842106</v>
      </c>
      <c r="BX706" s="16">
        <f>COUNTIF($BC$6:BU706, "=0") / COUNTIF($BC$6:BU706, "&gt;-1")</f>
        <v>0.19040468503641414</v>
      </c>
      <c r="BY706" s="18">
        <f>SUM($BC$6:BU706) / $BY$4</f>
        <v>0.89864143685654185</v>
      </c>
      <c r="BZ706" s="14">
        <f t="shared" si="44"/>
        <v>9</v>
      </c>
      <c r="CA706" t="s">
        <v>5832</v>
      </c>
      <c r="CZ706" t="s">
        <v>8212</v>
      </c>
      <c r="DA706" t="s">
        <v>5904</v>
      </c>
      <c r="DB706">
        <v>384.4</v>
      </c>
      <c r="DC706" t="s">
        <v>21001</v>
      </c>
      <c r="DD706" t="s">
        <v>13772</v>
      </c>
      <c r="DE706" t="s">
        <v>21002</v>
      </c>
      <c r="DF706" t="s">
        <v>21003</v>
      </c>
      <c r="DG706" t="s">
        <v>21004</v>
      </c>
      <c r="DH706" t="str">
        <f>"CDV3"</f>
        <v>CDV3</v>
      </c>
      <c r="DI706" t="s">
        <v>21005</v>
      </c>
      <c r="DJ706" t="s">
        <v>13777</v>
      </c>
      <c r="DK706">
        <v>9606</v>
      </c>
      <c r="DL706" s="34" t="str">
        <f>HYPERLINK("http://www.uniprot.org/uniprot/Q9UKY7", "Q9UKY7")</f>
        <v>Q9UKY7</v>
      </c>
      <c r="DM706" t="s">
        <v>21006</v>
      </c>
      <c r="DN706" t="s">
        <v>13772</v>
      </c>
      <c r="DO706" t="s">
        <v>13899</v>
      </c>
      <c r="DP706" t="s">
        <v>13841</v>
      </c>
      <c r="DQ706" t="s">
        <v>13772</v>
      </c>
      <c r="DR706" t="s">
        <v>13772</v>
      </c>
      <c r="DS706" t="s">
        <v>13772</v>
      </c>
      <c r="DT706" t="s">
        <v>13772</v>
      </c>
      <c r="DU706" t="s">
        <v>13772</v>
      </c>
      <c r="DV706" t="s">
        <v>13886</v>
      </c>
      <c r="DW706" t="s">
        <v>13772</v>
      </c>
      <c r="DX706" t="s">
        <v>21007</v>
      </c>
      <c r="DY706" t="s">
        <v>21008</v>
      </c>
      <c r="DZ706" t="s">
        <v>13772</v>
      </c>
      <c r="EA706" t="s">
        <v>13772</v>
      </c>
      <c r="EB706" t="s">
        <v>13772</v>
      </c>
    </row>
    <row r="707" spans="1:132" hidden="1">
      <c r="A707">
        <v>846</v>
      </c>
      <c r="B707">
        <v>1</v>
      </c>
      <c r="C707" t="s">
        <v>2076</v>
      </c>
      <c r="D707" t="s">
        <v>73</v>
      </c>
      <c r="E707" t="s">
        <v>73</v>
      </c>
      <c r="F707" t="s">
        <v>73</v>
      </c>
      <c r="G707" t="s">
        <v>73</v>
      </c>
      <c r="H707">
        <v>24.6</v>
      </c>
      <c r="I707">
        <v>427</v>
      </c>
      <c r="J707">
        <v>45811</v>
      </c>
      <c r="K707" t="s">
        <v>2077</v>
      </c>
      <c r="L707">
        <f t="shared" si="42"/>
        <v>44</v>
      </c>
      <c r="N707">
        <v>44</v>
      </c>
      <c r="O707">
        <v>44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8</v>
      </c>
      <c r="Z707">
        <v>0</v>
      </c>
      <c r="AA707">
        <v>10</v>
      </c>
      <c r="AB707">
        <v>1</v>
      </c>
      <c r="AC707">
        <v>5</v>
      </c>
      <c r="AD707">
        <v>1</v>
      </c>
      <c r="AE707">
        <v>11</v>
      </c>
      <c r="AF707">
        <v>7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</v>
      </c>
      <c r="AS707">
        <v>0</v>
      </c>
      <c r="AT707">
        <v>10</v>
      </c>
      <c r="AU707">
        <v>1</v>
      </c>
      <c r="AV707">
        <v>5</v>
      </c>
      <c r="AW707">
        <v>1</v>
      </c>
      <c r="AX707">
        <v>11</v>
      </c>
      <c r="AY707">
        <v>7</v>
      </c>
      <c r="AZ707">
        <v>0</v>
      </c>
      <c r="BA707">
        <v>0</v>
      </c>
      <c r="BB707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8</v>
      </c>
      <c r="BL707" s="2">
        <v>0</v>
      </c>
      <c r="BM707" s="2">
        <v>10</v>
      </c>
      <c r="BN707" s="2">
        <v>1</v>
      </c>
      <c r="BO707" s="2">
        <v>5</v>
      </c>
      <c r="BP707" s="2">
        <v>1</v>
      </c>
      <c r="BQ707" s="2">
        <v>11</v>
      </c>
      <c r="BR707" s="2">
        <v>7</v>
      </c>
      <c r="BS707" s="2">
        <v>0</v>
      </c>
      <c r="BT707" s="2">
        <v>0</v>
      </c>
      <c r="BU707" s="2">
        <v>1</v>
      </c>
      <c r="BV707" s="2">
        <f t="shared" si="45"/>
        <v>44</v>
      </c>
      <c r="BW707" s="16">
        <f t="shared" si="43"/>
        <v>2.3157894736842106</v>
      </c>
      <c r="BX707" s="16">
        <f>COUNTIF($BC$6:BU707, "=0") / COUNTIF($BC$6:BU707, "&gt;-1")</f>
        <v>0.19095816464237517</v>
      </c>
      <c r="BY707" s="18">
        <f>SUM($BC$6:BU707) / $BY$4</f>
        <v>0.89882991687876468</v>
      </c>
      <c r="BZ707" s="14">
        <f t="shared" si="44"/>
        <v>11</v>
      </c>
      <c r="CA707" t="s">
        <v>5832</v>
      </c>
      <c r="CZ707" t="s">
        <v>8600</v>
      </c>
      <c r="DA707" t="s">
        <v>5900</v>
      </c>
      <c r="DB707">
        <v>267.7</v>
      </c>
      <c r="DC707" t="s">
        <v>22132</v>
      </c>
      <c r="DD707" t="s">
        <v>22133</v>
      </c>
      <c r="DE707" t="s">
        <v>22134</v>
      </c>
      <c r="DF707" t="s">
        <v>22135</v>
      </c>
      <c r="DG707" t="s">
        <v>22136</v>
      </c>
      <c r="DH707" t="str">
        <f>"SH3BGR"</f>
        <v>SH3BGR</v>
      </c>
      <c r="DI707" t="s">
        <v>13772</v>
      </c>
      <c r="DJ707" t="s">
        <v>13777</v>
      </c>
      <c r="DK707">
        <v>9606</v>
      </c>
      <c r="DL707" s="34" t="str">
        <f>HYPERLINK("http://www.uniprot.org/uniprot/P55822", "P55822")</f>
        <v>P55822</v>
      </c>
      <c r="DM707" t="s">
        <v>22137</v>
      </c>
      <c r="DN707" t="s">
        <v>13772</v>
      </c>
      <c r="DO707" t="s">
        <v>13772</v>
      </c>
      <c r="DP707" t="s">
        <v>13780</v>
      </c>
      <c r="DQ707" t="s">
        <v>13772</v>
      </c>
      <c r="DR707" t="s">
        <v>13772</v>
      </c>
      <c r="DS707" t="s">
        <v>14871</v>
      </c>
      <c r="DT707" t="s">
        <v>13772</v>
      </c>
      <c r="DU707" t="s">
        <v>13772</v>
      </c>
      <c r="DV707" t="s">
        <v>13772</v>
      </c>
      <c r="DW707" t="s">
        <v>13772</v>
      </c>
      <c r="DX707" t="s">
        <v>22138</v>
      </c>
      <c r="DY707" t="s">
        <v>13902</v>
      </c>
      <c r="DZ707" t="s">
        <v>22139</v>
      </c>
      <c r="EA707" t="s">
        <v>13772</v>
      </c>
      <c r="EB707" t="s">
        <v>13772</v>
      </c>
    </row>
    <row r="708" spans="1:132" hidden="1">
      <c r="A708">
        <v>899</v>
      </c>
      <c r="B708">
        <v>1</v>
      </c>
      <c r="C708" t="s">
        <v>2192</v>
      </c>
      <c r="D708" t="s">
        <v>2193</v>
      </c>
      <c r="E708" t="s">
        <v>73</v>
      </c>
      <c r="F708" t="s">
        <v>73</v>
      </c>
      <c r="G708" t="s">
        <v>73</v>
      </c>
      <c r="H708">
        <v>17.600000000000001</v>
      </c>
      <c r="I708">
        <v>1040</v>
      </c>
      <c r="J708">
        <v>114353</v>
      </c>
      <c r="K708" t="s">
        <v>2194</v>
      </c>
      <c r="L708">
        <f t="shared" si="42"/>
        <v>44</v>
      </c>
      <c r="N708">
        <v>44</v>
      </c>
      <c r="O708">
        <v>44</v>
      </c>
      <c r="P708">
        <v>1</v>
      </c>
      <c r="Q708">
        <v>1</v>
      </c>
      <c r="R708">
        <v>3</v>
      </c>
      <c r="S708">
        <v>10</v>
      </c>
      <c r="T708">
        <v>1</v>
      </c>
      <c r="U708">
        <v>11</v>
      </c>
      <c r="V708">
        <v>12</v>
      </c>
      <c r="W708">
        <v>5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10</v>
      </c>
      <c r="AM708">
        <v>1</v>
      </c>
      <c r="AN708">
        <v>11</v>
      </c>
      <c r="AO708">
        <v>12</v>
      </c>
      <c r="AP708">
        <v>5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 s="2">
        <v>1</v>
      </c>
      <c r="BD708" s="2">
        <v>3</v>
      </c>
      <c r="BE708" s="2">
        <v>10</v>
      </c>
      <c r="BF708" s="2">
        <v>1</v>
      </c>
      <c r="BG708" s="2">
        <v>11</v>
      </c>
      <c r="BH708" s="2">
        <v>12</v>
      </c>
      <c r="BI708" s="2">
        <v>5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f t="shared" si="45"/>
        <v>44</v>
      </c>
      <c r="BW708" s="16">
        <f t="shared" si="43"/>
        <v>2.3157894736842106</v>
      </c>
      <c r="BX708" s="16">
        <f>COUNTIF($BC$6:BU708, "=0") / COUNTIF($BC$6:BU708, "&gt;-1")</f>
        <v>0.19151006962641312</v>
      </c>
      <c r="BY708" s="18">
        <f>SUM($BC$6:BU708) / $BY$4</f>
        <v>0.8990183969009875</v>
      </c>
      <c r="BZ708" s="14">
        <f t="shared" si="44"/>
        <v>11</v>
      </c>
      <c r="CA708" t="s">
        <v>5832</v>
      </c>
      <c r="CZ708" t="s">
        <v>8775</v>
      </c>
      <c r="DA708" t="s">
        <v>5904</v>
      </c>
      <c r="DB708">
        <v>1990.7</v>
      </c>
      <c r="DC708" t="s">
        <v>22651</v>
      </c>
      <c r="DD708" t="s">
        <v>22652</v>
      </c>
      <c r="DE708" t="s">
        <v>22653</v>
      </c>
      <c r="DF708" t="s">
        <v>22654</v>
      </c>
      <c r="DG708" t="s">
        <v>22655</v>
      </c>
      <c r="DH708" t="str">
        <f>"EPHB3"</f>
        <v>EPHB3</v>
      </c>
      <c r="DI708" t="s">
        <v>22656</v>
      </c>
      <c r="DJ708" t="s">
        <v>13777</v>
      </c>
      <c r="DK708">
        <v>9606</v>
      </c>
      <c r="DL708" s="34" t="str">
        <f>HYPERLINK("http://www.uniprot.org/uniprot/P54753", "P54753")</f>
        <v>P54753</v>
      </c>
      <c r="DM708" t="s">
        <v>22657</v>
      </c>
      <c r="DN708" t="s">
        <v>22658</v>
      </c>
      <c r="DO708" t="s">
        <v>15856</v>
      </c>
      <c r="DP708" t="s">
        <v>13793</v>
      </c>
      <c r="DQ708" t="s">
        <v>13772</v>
      </c>
      <c r="DR708" t="s">
        <v>13772</v>
      </c>
      <c r="DS708" t="s">
        <v>13826</v>
      </c>
      <c r="DT708" t="s">
        <v>14005</v>
      </c>
      <c r="DU708" t="s">
        <v>20102</v>
      </c>
      <c r="DV708" t="s">
        <v>13964</v>
      </c>
      <c r="DW708" t="s">
        <v>13812</v>
      </c>
      <c r="DX708" t="s">
        <v>22659</v>
      </c>
      <c r="DY708" t="s">
        <v>22660</v>
      </c>
      <c r="DZ708" t="s">
        <v>22661</v>
      </c>
      <c r="EA708" t="s">
        <v>13772</v>
      </c>
      <c r="EB708" t="s">
        <v>17265</v>
      </c>
    </row>
    <row r="709" spans="1:132" hidden="1">
      <c r="A709">
        <v>972</v>
      </c>
      <c r="B709">
        <v>1</v>
      </c>
      <c r="C709" t="s">
        <v>2359</v>
      </c>
      <c r="D709" t="s">
        <v>73</v>
      </c>
      <c r="E709" t="s">
        <v>73</v>
      </c>
      <c r="F709" t="s">
        <v>73</v>
      </c>
      <c r="G709" t="s">
        <v>73</v>
      </c>
      <c r="H709">
        <v>36.700000000000003</v>
      </c>
      <c r="I709">
        <v>319</v>
      </c>
      <c r="J709">
        <v>35081</v>
      </c>
      <c r="K709" t="s">
        <v>2360</v>
      </c>
      <c r="L709">
        <f t="shared" si="42"/>
        <v>44</v>
      </c>
      <c r="N709">
        <v>44</v>
      </c>
      <c r="O709">
        <v>44</v>
      </c>
      <c r="P709">
        <v>1</v>
      </c>
      <c r="Q709">
        <v>4</v>
      </c>
      <c r="R709">
        <v>10</v>
      </c>
      <c r="S709">
        <v>0</v>
      </c>
      <c r="T709">
        <v>2</v>
      </c>
      <c r="U709">
        <v>10</v>
      </c>
      <c r="V709">
        <v>8</v>
      </c>
      <c r="W709">
        <v>6</v>
      </c>
      <c r="X709">
        <v>1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4</v>
      </c>
      <c r="AK709">
        <v>10</v>
      </c>
      <c r="AL709">
        <v>0</v>
      </c>
      <c r="AM709">
        <v>2</v>
      </c>
      <c r="AN709">
        <v>10</v>
      </c>
      <c r="AO709">
        <v>8</v>
      </c>
      <c r="AP709">
        <v>6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s="2">
        <v>4</v>
      </c>
      <c r="BD709" s="2">
        <v>10</v>
      </c>
      <c r="BE709" s="2">
        <v>0</v>
      </c>
      <c r="BF709" s="2">
        <v>2</v>
      </c>
      <c r="BG709" s="2">
        <v>10</v>
      </c>
      <c r="BH709" s="2">
        <v>8</v>
      </c>
      <c r="BI709" s="2">
        <v>6</v>
      </c>
      <c r="BJ709" s="2">
        <v>1</v>
      </c>
      <c r="BK709" s="2">
        <v>1</v>
      </c>
      <c r="BL709" s="2">
        <v>0</v>
      </c>
      <c r="BM709" s="2">
        <v>1</v>
      </c>
      <c r="BN709" s="2">
        <v>1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f t="shared" si="45"/>
        <v>44</v>
      </c>
      <c r="BW709" s="16">
        <f t="shared" si="43"/>
        <v>2.3157894736842106</v>
      </c>
      <c r="BX709" s="16">
        <f>COUNTIF($BC$6:BU709, "=0") / COUNTIF($BC$6:BU709, "&gt;-1")</f>
        <v>0.1919108851674641</v>
      </c>
      <c r="BY709" s="18">
        <f>SUM($BC$6:BU709) / $BY$4</f>
        <v>0.89920687692321033</v>
      </c>
      <c r="BZ709" s="14">
        <f t="shared" si="44"/>
        <v>9</v>
      </c>
      <c r="CA709" t="s">
        <v>5832</v>
      </c>
      <c r="CZ709" t="s">
        <v>9024</v>
      </c>
      <c r="DA709" t="s">
        <v>5904</v>
      </c>
      <c r="DB709">
        <v>560.79999999999995</v>
      </c>
      <c r="DC709" t="s">
        <v>23360</v>
      </c>
      <c r="DD709" t="s">
        <v>23361</v>
      </c>
      <c r="DE709" t="s">
        <v>23362</v>
      </c>
      <c r="DF709" t="s">
        <v>23363</v>
      </c>
      <c r="DG709" t="s">
        <v>23364</v>
      </c>
      <c r="DH709" t="str">
        <f>"CRYL1"</f>
        <v>CRYL1</v>
      </c>
      <c r="DI709" t="s">
        <v>23365</v>
      </c>
      <c r="DJ709" t="s">
        <v>13777</v>
      </c>
      <c r="DK709">
        <v>9606</v>
      </c>
      <c r="DL709" s="34" t="str">
        <f>HYPERLINK("http://www.uniprot.org/uniprot/Q9Y2S2", "Q9Y2S2")</f>
        <v>Q9Y2S2</v>
      </c>
      <c r="DM709" t="s">
        <v>23366</v>
      </c>
      <c r="DN709" t="s">
        <v>13772</v>
      </c>
      <c r="DO709" t="s">
        <v>13899</v>
      </c>
      <c r="DP709" t="s">
        <v>13841</v>
      </c>
      <c r="DQ709" t="s">
        <v>13772</v>
      </c>
      <c r="DR709" t="s">
        <v>13772</v>
      </c>
      <c r="DS709" t="s">
        <v>13772</v>
      </c>
      <c r="DT709" t="s">
        <v>14492</v>
      </c>
      <c r="DU709" t="s">
        <v>13885</v>
      </c>
      <c r="DV709" t="s">
        <v>13886</v>
      </c>
      <c r="DW709" t="s">
        <v>13812</v>
      </c>
      <c r="DX709" t="s">
        <v>23367</v>
      </c>
      <c r="DY709" t="s">
        <v>15111</v>
      </c>
      <c r="DZ709" t="s">
        <v>23368</v>
      </c>
      <c r="EA709" t="s">
        <v>13772</v>
      </c>
      <c r="EB709" t="s">
        <v>22504</v>
      </c>
    </row>
    <row r="710" spans="1:132" hidden="1">
      <c r="A710">
        <v>987</v>
      </c>
      <c r="B710">
        <v>1</v>
      </c>
      <c r="C710" t="s">
        <v>2395</v>
      </c>
      <c r="D710" t="s">
        <v>73</v>
      </c>
      <c r="E710" t="s">
        <v>73</v>
      </c>
      <c r="F710" t="s">
        <v>73</v>
      </c>
      <c r="G710" t="s">
        <v>73</v>
      </c>
      <c r="H710">
        <v>17.899999999999999</v>
      </c>
      <c r="I710">
        <v>453</v>
      </c>
      <c r="J710">
        <v>47377</v>
      </c>
      <c r="K710" t="s">
        <v>2396</v>
      </c>
      <c r="L710">
        <f t="shared" ref="L710:L773" si="46">N710</f>
        <v>44</v>
      </c>
      <c r="N710">
        <v>44</v>
      </c>
      <c r="O710">
        <v>44</v>
      </c>
      <c r="P710">
        <v>1</v>
      </c>
      <c r="Q710">
        <v>1</v>
      </c>
      <c r="R710">
        <v>1</v>
      </c>
      <c r="S710">
        <v>3</v>
      </c>
      <c r="T710">
        <v>3</v>
      </c>
      <c r="U710">
        <v>4</v>
      </c>
      <c r="V710">
        <v>4</v>
      </c>
      <c r="W710">
        <v>3</v>
      </c>
      <c r="X710">
        <v>4</v>
      </c>
      <c r="Y710">
        <v>4</v>
      </c>
      <c r="Z710">
        <v>0</v>
      </c>
      <c r="AA710">
        <v>5</v>
      </c>
      <c r="AB710">
        <v>2</v>
      </c>
      <c r="AC710">
        <v>2</v>
      </c>
      <c r="AD710">
        <v>0</v>
      </c>
      <c r="AE710">
        <v>4</v>
      </c>
      <c r="AF710">
        <v>1</v>
      </c>
      <c r="AG710">
        <v>1</v>
      </c>
      <c r="AH710">
        <v>0</v>
      </c>
      <c r="AI710">
        <v>2</v>
      </c>
      <c r="AJ710">
        <v>1</v>
      </c>
      <c r="AK710">
        <v>1</v>
      </c>
      <c r="AL710">
        <v>3</v>
      </c>
      <c r="AM710">
        <v>3</v>
      </c>
      <c r="AN710">
        <v>4</v>
      </c>
      <c r="AO710">
        <v>4</v>
      </c>
      <c r="AP710">
        <v>3</v>
      </c>
      <c r="AQ710">
        <v>4</v>
      </c>
      <c r="AR710">
        <v>4</v>
      </c>
      <c r="AS710">
        <v>0</v>
      </c>
      <c r="AT710">
        <v>5</v>
      </c>
      <c r="AU710">
        <v>2</v>
      </c>
      <c r="AV710">
        <v>2</v>
      </c>
      <c r="AW710">
        <v>0</v>
      </c>
      <c r="AX710">
        <v>4</v>
      </c>
      <c r="AY710">
        <v>1</v>
      </c>
      <c r="AZ710">
        <v>1</v>
      </c>
      <c r="BA710">
        <v>0</v>
      </c>
      <c r="BB710">
        <v>2</v>
      </c>
      <c r="BC710" s="2">
        <v>1</v>
      </c>
      <c r="BD710" s="2">
        <v>1</v>
      </c>
      <c r="BE710" s="2">
        <v>3</v>
      </c>
      <c r="BF710" s="2">
        <v>3</v>
      </c>
      <c r="BG710" s="2">
        <v>4</v>
      </c>
      <c r="BH710" s="2">
        <v>4</v>
      </c>
      <c r="BI710" s="2">
        <v>3</v>
      </c>
      <c r="BJ710" s="2">
        <v>4</v>
      </c>
      <c r="BK710" s="2">
        <v>4</v>
      </c>
      <c r="BL710" s="2">
        <v>0</v>
      </c>
      <c r="BM710" s="2">
        <v>5</v>
      </c>
      <c r="BN710" s="2">
        <v>2</v>
      </c>
      <c r="BO710" s="2">
        <v>2</v>
      </c>
      <c r="BP710" s="2">
        <v>0</v>
      </c>
      <c r="BQ710" s="2">
        <v>4</v>
      </c>
      <c r="BR710" s="2">
        <v>1</v>
      </c>
      <c r="BS710" s="2">
        <v>1</v>
      </c>
      <c r="BT710" s="2">
        <v>0</v>
      </c>
      <c r="BU710" s="2">
        <v>2</v>
      </c>
      <c r="BV710" s="2">
        <f t="shared" si="45"/>
        <v>44</v>
      </c>
      <c r="BW710" s="16">
        <f t="shared" ref="BW710:BW773" si="47">AVERAGE(BC710:BU710)</f>
        <v>2.3157894736842106</v>
      </c>
      <c r="BX710" s="16">
        <f>COUNTIF($BC$6:BU710, "=0") / COUNTIF($BC$6:BU710, "&gt;-1")</f>
        <v>0.19186263531168346</v>
      </c>
      <c r="BY710" s="18">
        <f>SUM($BC$6:BU710) / $BY$4</f>
        <v>0.89939535694543316</v>
      </c>
      <c r="BZ710" s="14">
        <f t="shared" ref="BZ710:BZ773" si="48">19-COUNTIF(BC710:BU710, "&gt;0")</f>
        <v>3</v>
      </c>
      <c r="CA710" t="s">
        <v>5832</v>
      </c>
      <c r="CZ710" t="s">
        <v>9079</v>
      </c>
      <c r="DA710" t="s">
        <v>5904</v>
      </c>
      <c r="DB710">
        <v>766.9</v>
      </c>
      <c r="DC710" t="s">
        <v>23510</v>
      </c>
      <c r="DD710" t="s">
        <v>23511</v>
      </c>
      <c r="DE710" t="s">
        <v>23512</v>
      </c>
      <c r="DF710" t="s">
        <v>23513</v>
      </c>
      <c r="DG710" t="s">
        <v>23514</v>
      </c>
      <c r="DH710" t="str">
        <f>"GORASP2"</f>
        <v>GORASP2</v>
      </c>
      <c r="DI710" t="s">
        <v>23515</v>
      </c>
      <c r="DJ710" t="s">
        <v>13777</v>
      </c>
      <c r="DK710">
        <v>9606</v>
      </c>
      <c r="DL710" s="34" t="str">
        <f>HYPERLINK("http://www.uniprot.org/uniprot/Q9H8Y8", "Q9H8Y8")</f>
        <v>Q9H8Y8</v>
      </c>
      <c r="DM710" t="s">
        <v>23516</v>
      </c>
      <c r="DN710" t="s">
        <v>23517</v>
      </c>
      <c r="DO710" t="s">
        <v>17766</v>
      </c>
      <c r="DP710" t="s">
        <v>13780</v>
      </c>
      <c r="DQ710" t="s">
        <v>13772</v>
      </c>
      <c r="DR710" t="s">
        <v>13772</v>
      </c>
      <c r="DS710" t="s">
        <v>14096</v>
      </c>
      <c r="DT710" t="s">
        <v>13772</v>
      </c>
      <c r="DU710" t="s">
        <v>13772</v>
      </c>
      <c r="DV710" t="s">
        <v>23518</v>
      </c>
      <c r="DW710" t="s">
        <v>13812</v>
      </c>
      <c r="DX710" t="s">
        <v>23519</v>
      </c>
      <c r="DY710" t="s">
        <v>23520</v>
      </c>
      <c r="DZ710" t="s">
        <v>13772</v>
      </c>
      <c r="EA710" t="s">
        <v>13772</v>
      </c>
      <c r="EB710" t="s">
        <v>23521</v>
      </c>
    </row>
    <row r="711" spans="1:132" hidden="1">
      <c r="A711">
        <v>1009</v>
      </c>
      <c r="B711">
        <v>1</v>
      </c>
      <c r="C711" t="s">
        <v>2438</v>
      </c>
      <c r="D711" t="s">
        <v>2439</v>
      </c>
      <c r="E711" t="s">
        <v>73</v>
      </c>
      <c r="F711" t="s">
        <v>73</v>
      </c>
      <c r="G711" t="s">
        <v>73</v>
      </c>
      <c r="H711">
        <v>43.3</v>
      </c>
      <c r="I711">
        <v>180</v>
      </c>
      <c r="J711">
        <v>21074</v>
      </c>
      <c r="K711" t="s">
        <v>2440</v>
      </c>
      <c r="L711">
        <f t="shared" si="46"/>
        <v>44</v>
      </c>
      <c r="N711">
        <v>44</v>
      </c>
      <c r="O711">
        <v>44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12</v>
      </c>
      <c r="Z711">
        <v>0</v>
      </c>
      <c r="AA711">
        <v>9</v>
      </c>
      <c r="AB711">
        <v>3</v>
      </c>
      <c r="AC711">
        <v>0</v>
      </c>
      <c r="AD711">
        <v>0</v>
      </c>
      <c r="AE711">
        <v>4</v>
      </c>
      <c r="AF711">
        <v>7</v>
      </c>
      <c r="AG711">
        <v>0</v>
      </c>
      <c r="AH711">
        <v>0</v>
      </c>
      <c r="AI711">
        <v>7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12</v>
      </c>
      <c r="AS711">
        <v>0</v>
      </c>
      <c r="AT711">
        <v>9</v>
      </c>
      <c r="AU711">
        <v>3</v>
      </c>
      <c r="AV711">
        <v>0</v>
      </c>
      <c r="AW711">
        <v>0</v>
      </c>
      <c r="AX711">
        <v>4</v>
      </c>
      <c r="AY711">
        <v>7</v>
      </c>
      <c r="AZ711">
        <v>0</v>
      </c>
      <c r="BA711">
        <v>0</v>
      </c>
      <c r="BB711">
        <v>7</v>
      </c>
      <c r="BC711" s="2">
        <v>0</v>
      </c>
      <c r="BD711" s="2">
        <v>1</v>
      </c>
      <c r="BE711" s="2">
        <v>0</v>
      </c>
      <c r="BF711" s="2">
        <v>1</v>
      </c>
      <c r="BG711" s="2">
        <v>0</v>
      </c>
      <c r="BH711" s="2">
        <v>0</v>
      </c>
      <c r="BI711" s="2">
        <v>0</v>
      </c>
      <c r="BJ711" s="2">
        <v>0</v>
      </c>
      <c r="BK711" s="2">
        <v>12</v>
      </c>
      <c r="BL711" s="2">
        <v>0</v>
      </c>
      <c r="BM711" s="2">
        <v>9</v>
      </c>
      <c r="BN711" s="2">
        <v>3</v>
      </c>
      <c r="BO711" s="2">
        <v>0</v>
      </c>
      <c r="BP711" s="2">
        <v>0</v>
      </c>
      <c r="BQ711" s="2">
        <v>4</v>
      </c>
      <c r="BR711" s="2">
        <v>7</v>
      </c>
      <c r="BS711" s="2">
        <v>0</v>
      </c>
      <c r="BT711" s="2">
        <v>0</v>
      </c>
      <c r="BU711" s="2">
        <v>7</v>
      </c>
      <c r="BV711" s="2">
        <f t="shared" ref="BV711:BV774" si="49">SUM(BC711:BU711)</f>
        <v>44</v>
      </c>
      <c r="BW711" s="16">
        <f t="shared" si="47"/>
        <v>2.3157894736842106</v>
      </c>
      <c r="BX711" s="16">
        <f>COUNTIF($BC$6:BU711, "=0") / COUNTIF($BC$6:BU711, "&gt;-1")</f>
        <v>0.1924109139704786</v>
      </c>
      <c r="BY711" s="18">
        <f>SUM($BC$6:BU711) / $BY$4</f>
        <v>0.89958383696765587</v>
      </c>
      <c r="BZ711" s="14">
        <f t="shared" si="48"/>
        <v>11</v>
      </c>
      <c r="CA711" t="s">
        <v>5832</v>
      </c>
      <c r="CZ711" t="s">
        <v>9134</v>
      </c>
      <c r="DA711" t="s">
        <v>5904</v>
      </c>
      <c r="DB711">
        <v>354.8</v>
      </c>
      <c r="DC711" t="s">
        <v>23671</v>
      </c>
      <c r="DD711" t="s">
        <v>23672</v>
      </c>
      <c r="DE711" t="s">
        <v>23673</v>
      </c>
      <c r="DF711" t="s">
        <v>23674</v>
      </c>
      <c r="DG711" t="s">
        <v>23675</v>
      </c>
      <c r="DH711" t="str">
        <f>"GCG"</f>
        <v>GCG</v>
      </c>
      <c r="DI711" t="s">
        <v>13772</v>
      </c>
      <c r="DJ711" t="s">
        <v>13777</v>
      </c>
      <c r="DK711">
        <v>9606</v>
      </c>
      <c r="DL711" s="34" t="str">
        <f>HYPERLINK("http://www.uniprot.org/uniprot/P01275", "P01275")</f>
        <v>P01275</v>
      </c>
      <c r="DM711" t="s">
        <v>23676</v>
      </c>
      <c r="DN711" t="s">
        <v>13772</v>
      </c>
      <c r="DO711" t="s">
        <v>14321</v>
      </c>
      <c r="DP711" t="s">
        <v>13793</v>
      </c>
      <c r="DQ711" t="s">
        <v>13772</v>
      </c>
      <c r="DR711" t="s">
        <v>13772</v>
      </c>
      <c r="DS711" t="s">
        <v>13808</v>
      </c>
      <c r="DT711" t="s">
        <v>13772</v>
      </c>
      <c r="DU711" t="s">
        <v>14322</v>
      </c>
      <c r="DV711" t="s">
        <v>16830</v>
      </c>
      <c r="DW711" t="s">
        <v>14324</v>
      </c>
      <c r="DX711" t="s">
        <v>23677</v>
      </c>
      <c r="DY711" t="s">
        <v>23678</v>
      </c>
      <c r="DZ711" t="s">
        <v>23679</v>
      </c>
      <c r="EA711" t="s">
        <v>13772</v>
      </c>
      <c r="EB711" t="s">
        <v>23680</v>
      </c>
    </row>
    <row r="712" spans="1:132" hidden="1">
      <c r="A712">
        <v>1070</v>
      </c>
      <c r="B712">
        <v>1</v>
      </c>
      <c r="C712" t="s">
        <v>2572</v>
      </c>
      <c r="D712" t="s">
        <v>73</v>
      </c>
      <c r="E712" t="s">
        <v>73</v>
      </c>
      <c r="F712" t="s">
        <v>73</v>
      </c>
      <c r="G712" t="s">
        <v>73</v>
      </c>
      <c r="H712">
        <v>33.299999999999997</v>
      </c>
      <c r="I712">
        <v>459</v>
      </c>
      <c r="J712">
        <v>51490</v>
      </c>
      <c r="K712" t="s">
        <v>2573</v>
      </c>
      <c r="L712">
        <f t="shared" si="46"/>
        <v>44</v>
      </c>
      <c r="N712">
        <v>44</v>
      </c>
      <c r="O712">
        <v>44</v>
      </c>
      <c r="P712">
        <v>1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3</v>
      </c>
      <c r="W712">
        <v>3</v>
      </c>
      <c r="X712">
        <v>4</v>
      </c>
      <c r="Y712">
        <v>7</v>
      </c>
      <c r="Z712">
        <v>0</v>
      </c>
      <c r="AA712">
        <v>4</v>
      </c>
      <c r="AB712">
        <v>9</v>
      </c>
      <c r="AC712">
        <v>1</v>
      </c>
      <c r="AD712">
        <v>0</v>
      </c>
      <c r="AE712">
        <v>3</v>
      </c>
      <c r="AF712">
        <v>7</v>
      </c>
      <c r="AG712">
        <v>0</v>
      </c>
      <c r="AH712">
        <v>0</v>
      </c>
      <c r="AI712">
        <v>1</v>
      </c>
      <c r="AJ712">
        <v>2</v>
      </c>
      <c r="AK712">
        <v>0</v>
      </c>
      <c r="AL712">
        <v>0</v>
      </c>
      <c r="AM712">
        <v>0</v>
      </c>
      <c r="AN712">
        <v>0</v>
      </c>
      <c r="AO712">
        <v>3</v>
      </c>
      <c r="AP712">
        <v>3</v>
      </c>
      <c r="AQ712">
        <v>4</v>
      </c>
      <c r="AR712">
        <v>7</v>
      </c>
      <c r="AS712">
        <v>0</v>
      </c>
      <c r="AT712">
        <v>4</v>
      </c>
      <c r="AU712">
        <v>9</v>
      </c>
      <c r="AV712">
        <v>1</v>
      </c>
      <c r="AW712">
        <v>0</v>
      </c>
      <c r="AX712">
        <v>3</v>
      </c>
      <c r="AY712">
        <v>7</v>
      </c>
      <c r="AZ712">
        <v>0</v>
      </c>
      <c r="BA712">
        <v>0</v>
      </c>
      <c r="BB712">
        <v>1</v>
      </c>
      <c r="BC712" s="2">
        <v>2</v>
      </c>
      <c r="BD712" s="2">
        <v>0</v>
      </c>
      <c r="BE712" s="2">
        <v>0</v>
      </c>
      <c r="BF712" s="2">
        <v>0</v>
      </c>
      <c r="BG712" s="2">
        <v>0</v>
      </c>
      <c r="BH712" s="2">
        <v>3</v>
      </c>
      <c r="BI712" s="2">
        <v>3</v>
      </c>
      <c r="BJ712" s="2">
        <v>4</v>
      </c>
      <c r="BK712" s="2">
        <v>7</v>
      </c>
      <c r="BL712" s="2">
        <v>0</v>
      </c>
      <c r="BM712" s="2">
        <v>4</v>
      </c>
      <c r="BN712" s="2">
        <v>9</v>
      </c>
      <c r="BO712" s="2">
        <v>1</v>
      </c>
      <c r="BP712" s="2">
        <v>0</v>
      </c>
      <c r="BQ712" s="2">
        <v>3</v>
      </c>
      <c r="BR712" s="2">
        <v>7</v>
      </c>
      <c r="BS712" s="2">
        <v>0</v>
      </c>
      <c r="BT712" s="2">
        <v>0</v>
      </c>
      <c r="BU712" s="2">
        <v>1</v>
      </c>
      <c r="BV712" s="2">
        <f t="shared" si="49"/>
        <v>44</v>
      </c>
      <c r="BW712" s="16">
        <f t="shared" si="47"/>
        <v>2.3157894736842106</v>
      </c>
      <c r="BX712" s="16">
        <f>COUNTIF($BC$6:BU712, "=0") / COUNTIF($BC$6:BU712, "&gt;-1")</f>
        <v>0.19273431102508748</v>
      </c>
      <c r="BY712" s="18">
        <f>SUM($BC$6:BU712) / $BY$4</f>
        <v>0.8997723169898787</v>
      </c>
      <c r="BZ712" s="14">
        <f t="shared" si="48"/>
        <v>8</v>
      </c>
      <c r="CA712" t="s">
        <v>5832</v>
      </c>
      <c r="CZ712" t="s">
        <v>9293</v>
      </c>
      <c r="DA712" t="s">
        <v>5904</v>
      </c>
      <c r="DB712">
        <v>896</v>
      </c>
      <c r="DC712" t="s">
        <v>24126</v>
      </c>
      <c r="DD712" t="s">
        <v>24127</v>
      </c>
      <c r="DE712" t="s">
        <v>24128</v>
      </c>
      <c r="DF712" t="s">
        <v>24129</v>
      </c>
      <c r="DG712" t="s">
        <v>24130</v>
      </c>
      <c r="DH712" t="str">
        <f>"FKBP4"</f>
        <v>FKBP4</v>
      </c>
      <c r="DI712" t="s">
        <v>24131</v>
      </c>
      <c r="DJ712" t="s">
        <v>13777</v>
      </c>
      <c r="DK712">
        <v>9606</v>
      </c>
      <c r="DL712" s="34" t="str">
        <f>HYPERLINK("http://www.uniprot.org/uniprot/Q02790", "Q02790")</f>
        <v>Q02790</v>
      </c>
      <c r="DM712" t="s">
        <v>24132</v>
      </c>
      <c r="DN712" t="s">
        <v>13772</v>
      </c>
      <c r="DO712" t="s">
        <v>24133</v>
      </c>
      <c r="DP712" t="s">
        <v>13793</v>
      </c>
      <c r="DQ712" t="s">
        <v>13772</v>
      </c>
      <c r="DR712" t="s">
        <v>13772</v>
      </c>
      <c r="DS712" t="s">
        <v>19076</v>
      </c>
      <c r="DT712" t="s">
        <v>13772</v>
      </c>
      <c r="DU712" t="s">
        <v>15153</v>
      </c>
      <c r="DV712" t="s">
        <v>14663</v>
      </c>
      <c r="DW712" t="s">
        <v>13812</v>
      </c>
      <c r="DX712" t="s">
        <v>24134</v>
      </c>
      <c r="DY712" t="s">
        <v>24135</v>
      </c>
      <c r="DZ712" t="s">
        <v>24136</v>
      </c>
      <c r="EA712" t="s">
        <v>13772</v>
      </c>
      <c r="EB712" t="s">
        <v>24137</v>
      </c>
    </row>
    <row r="713" spans="1:132" hidden="1">
      <c r="A713">
        <v>1264</v>
      </c>
      <c r="B713">
        <v>1</v>
      </c>
      <c r="C713" t="s">
        <v>3029</v>
      </c>
      <c r="D713" t="s">
        <v>3030</v>
      </c>
      <c r="E713" t="s">
        <v>73</v>
      </c>
      <c r="F713" t="s">
        <v>73</v>
      </c>
      <c r="G713" t="s">
        <v>73</v>
      </c>
      <c r="H713">
        <v>39.799999999999997</v>
      </c>
      <c r="I713">
        <v>495</v>
      </c>
      <c r="J713">
        <v>56906</v>
      </c>
      <c r="K713" t="s">
        <v>3031</v>
      </c>
      <c r="L713">
        <f t="shared" si="46"/>
        <v>44</v>
      </c>
      <c r="N713">
        <v>44</v>
      </c>
      <c r="O713">
        <v>44</v>
      </c>
      <c r="P713">
        <v>1</v>
      </c>
      <c r="Q713">
        <v>5</v>
      </c>
      <c r="R713">
        <v>11</v>
      </c>
      <c r="S713">
        <v>7</v>
      </c>
      <c r="T713">
        <v>8</v>
      </c>
      <c r="U713">
        <v>2</v>
      </c>
      <c r="V713">
        <v>2</v>
      </c>
      <c r="W713">
        <v>1</v>
      </c>
      <c r="X713">
        <v>1</v>
      </c>
      <c r="Y713">
        <v>1</v>
      </c>
      <c r="Z713">
        <v>0</v>
      </c>
      <c r="AA713">
        <v>2</v>
      </c>
      <c r="AB713">
        <v>1</v>
      </c>
      <c r="AC713">
        <v>0</v>
      </c>
      <c r="AD713">
        <v>2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5</v>
      </c>
      <c r="AK713">
        <v>11</v>
      </c>
      <c r="AL713">
        <v>7</v>
      </c>
      <c r="AM713">
        <v>8</v>
      </c>
      <c r="AN713">
        <v>2</v>
      </c>
      <c r="AO713">
        <v>2</v>
      </c>
      <c r="AP713">
        <v>1</v>
      </c>
      <c r="AQ713">
        <v>1</v>
      </c>
      <c r="AR713">
        <v>1</v>
      </c>
      <c r="AS713">
        <v>0</v>
      </c>
      <c r="AT713">
        <v>2</v>
      </c>
      <c r="AU713">
        <v>1</v>
      </c>
      <c r="AV713">
        <v>0</v>
      </c>
      <c r="AW713">
        <v>2</v>
      </c>
      <c r="AX713">
        <v>1</v>
      </c>
      <c r="AY713">
        <v>0</v>
      </c>
      <c r="AZ713">
        <v>0</v>
      </c>
      <c r="BA713">
        <v>0</v>
      </c>
      <c r="BB713">
        <v>0</v>
      </c>
      <c r="BC713" s="2">
        <v>5</v>
      </c>
      <c r="BD713" s="2">
        <v>11</v>
      </c>
      <c r="BE713" s="2">
        <v>7</v>
      </c>
      <c r="BF713" s="2">
        <v>8</v>
      </c>
      <c r="BG713" s="2">
        <v>2</v>
      </c>
      <c r="BH713" s="2">
        <v>2</v>
      </c>
      <c r="BI713" s="2">
        <v>1</v>
      </c>
      <c r="BJ713" s="2">
        <v>1</v>
      </c>
      <c r="BK713" s="2">
        <v>1</v>
      </c>
      <c r="BL713" s="2">
        <v>0</v>
      </c>
      <c r="BM713" s="2">
        <v>2</v>
      </c>
      <c r="BN713" s="2">
        <v>1</v>
      </c>
      <c r="BO713" s="2">
        <v>0</v>
      </c>
      <c r="BP713" s="2">
        <v>2</v>
      </c>
      <c r="BQ713" s="2">
        <v>1</v>
      </c>
      <c r="BR713" s="2">
        <v>0</v>
      </c>
      <c r="BS713" s="2">
        <v>0</v>
      </c>
      <c r="BT713" s="2">
        <v>0</v>
      </c>
      <c r="BU713" s="2">
        <v>0</v>
      </c>
      <c r="BV713" s="2">
        <f t="shared" si="49"/>
        <v>44</v>
      </c>
      <c r="BW713" s="16">
        <f t="shared" si="47"/>
        <v>2.3157894736842106</v>
      </c>
      <c r="BX713" s="16">
        <f>COUNTIF($BC$6:BU713, "=0") / COUNTIF($BC$6:BU713, "&gt;-1")</f>
        <v>0.19290811775200714</v>
      </c>
      <c r="BY713" s="18">
        <f>SUM($BC$6:BU713) / $BY$4</f>
        <v>0.89996079701210152</v>
      </c>
      <c r="BZ713" s="14">
        <f t="shared" si="48"/>
        <v>6</v>
      </c>
      <c r="CA713" t="s">
        <v>5832</v>
      </c>
      <c r="CZ713" t="s">
        <v>9943</v>
      </c>
      <c r="DA713" t="s">
        <v>5904</v>
      </c>
      <c r="DB713">
        <v>963.8</v>
      </c>
      <c r="DC713" t="s">
        <v>25973</v>
      </c>
      <c r="DD713" t="s">
        <v>13772</v>
      </c>
      <c r="DE713" t="s">
        <v>25974</v>
      </c>
      <c r="DF713" t="s">
        <v>25975</v>
      </c>
      <c r="DG713" t="s">
        <v>25976</v>
      </c>
      <c r="DH713" t="str">
        <f>"ANGPT2"</f>
        <v>ANGPT2</v>
      </c>
      <c r="DI713" t="s">
        <v>13772</v>
      </c>
      <c r="DJ713" t="s">
        <v>13777</v>
      </c>
      <c r="DK713">
        <v>9606</v>
      </c>
      <c r="DL713" s="34" t="str">
        <f>HYPERLINK("http://www.uniprot.org/uniprot/O15123", "O15123")</f>
        <v>O15123</v>
      </c>
      <c r="DM713" t="s">
        <v>25977</v>
      </c>
      <c r="DN713" t="s">
        <v>19787</v>
      </c>
      <c r="DO713" t="s">
        <v>14321</v>
      </c>
      <c r="DP713" t="s">
        <v>13780</v>
      </c>
      <c r="DQ713" t="s">
        <v>13772</v>
      </c>
      <c r="DR713" t="s">
        <v>13772</v>
      </c>
      <c r="DS713" t="s">
        <v>16820</v>
      </c>
      <c r="DT713" t="s">
        <v>13873</v>
      </c>
      <c r="DU713" t="s">
        <v>14727</v>
      </c>
      <c r="DV713" t="s">
        <v>13796</v>
      </c>
      <c r="DW713" t="s">
        <v>13812</v>
      </c>
      <c r="DX713" t="s">
        <v>25978</v>
      </c>
      <c r="DY713" t="s">
        <v>25979</v>
      </c>
      <c r="DZ713" t="s">
        <v>25980</v>
      </c>
      <c r="EA713" t="s">
        <v>13772</v>
      </c>
      <c r="EB713" t="s">
        <v>25981</v>
      </c>
    </row>
    <row r="714" spans="1:132" hidden="1">
      <c r="A714">
        <v>1640</v>
      </c>
      <c r="B714">
        <v>1</v>
      </c>
      <c r="C714" t="s">
        <v>3888</v>
      </c>
      <c r="D714" t="s">
        <v>3889</v>
      </c>
      <c r="E714" t="s">
        <v>73</v>
      </c>
      <c r="F714" t="s">
        <v>73</v>
      </c>
      <c r="G714" t="s">
        <v>73</v>
      </c>
      <c r="H714">
        <v>23.3</v>
      </c>
      <c r="I714">
        <v>644</v>
      </c>
      <c r="J714">
        <v>70754</v>
      </c>
      <c r="K714" t="s">
        <v>3890</v>
      </c>
      <c r="L714">
        <f t="shared" si="46"/>
        <v>44</v>
      </c>
      <c r="N714">
        <v>44</v>
      </c>
      <c r="O714">
        <v>44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2</v>
      </c>
      <c r="W714">
        <v>1</v>
      </c>
      <c r="X714">
        <v>2</v>
      </c>
      <c r="Y714">
        <v>4</v>
      </c>
      <c r="Z714">
        <v>0</v>
      </c>
      <c r="AA714">
        <v>10</v>
      </c>
      <c r="AB714">
        <v>4</v>
      </c>
      <c r="AC714">
        <v>1</v>
      </c>
      <c r="AD714">
        <v>0</v>
      </c>
      <c r="AE714">
        <v>9</v>
      </c>
      <c r="AF714">
        <v>8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1</v>
      </c>
      <c r="AO714">
        <v>2</v>
      </c>
      <c r="AP714">
        <v>1</v>
      </c>
      <c r="AQ714">
        <v>2</v>
      </c>
      <c r="AR714">
        <v>4</v>
      </c>
      <c r="AS714">
        <v>0</v>
      </c>
      <c r="AT714">
        <v>10</v>
      </c>
      <c r="AU714">
        <v>4</v>
      </c>
      <c r="AV714">
        <v>1</v>
      </c>
      <c r="AW714">
        <v>0</v>
      </c>
      <c r="AX714">
        <v>9</v>
      </c>
      <c r="AY714">
        <v>8</v>
      </c>
      <c r="AZ714">
        <v>0</v>
      </c>
      <c r="BA714">
        <v>0</v>
      </c>
      <c r="BB714">
        <v>1</v>
      </c>
      <c r="BC714" s="2">
        <v>1</v>
      </c>
      <c r="BD714" s="2">
        <v>0</v>
      </c>
      <c r="BE714" s="2">
        <v>0</v>
      </c>
      <c r="BF714" s="2">
        <v>0</v>
      </c>
      <c r="BG714" s="2">
        <v>1</v>
      </c>
      <c r="BH714" s="2">
        <v>2</v>
      </c>
      <c r="BI714" s="2">
        <v>1</v>
      </c>
      <c r="BJ714" s="2">
        <v>2</v>
      </c>
      <c r="BK714" s="2">
        <v>4</v>
      </c>
      <c r="BL714" s="2">
        <v>0</v>
      </c>
      <c r="BM714" s="2">
        <v>10</v>
      </c>
      <c r="BN714" s="2">
        <v>4</v>
      </c>
      <c r="BO714" s="2">
        <v>1</v>
      </c>
      <c r="BP714" s="2">
        <v>0</v>
      </c>
      <c r="BQ714" s="2">
        <v>9</v>
      </c>
      <c r="BR714" s="2">
        <v>8</v>
      </c>
      <c r="BS714" s="2">
        <v>0</v>
      </c>
      <c r="BT714" s="2">
        <v>0</v>
      </c>
      <c r="BU714" s="2">
        <v>1</v>
      </c>
      <c r="BV714" s="2">
        <f t="shared" si="49"/>
        <v>44</v>
      </c>
      <c r="BW714" s="16">
        <f t="shared" si="47"/>
        <v>2.3157894736842106</v>
      </c>
      <c r="BX714" s="16">
        <f>COUNTIF($BC$6:BU714, "=0") / COUNTIF($BC$6:BU714, "&gt;-1")</f>
        <v>0.19315566773068071</v>
      </c>
      <c r="BY714" s="18">
        <f>SUM($BC$6:BU714) / $BY$4</f>
        <v>0.90014927703432435</v>
      </c>
      <c r="BZ714" s="14">
        <f t="shared" si="48"/>
        <v>7</v>
      </c>
      <c r="CA714" t="s">
        <v>5832</v>
      </c>
      <c r="CZ714" t="s">
        <v>11212</v>
      </c>
      <c r="DA714" t="s">
        <v>5900</v>
      </c>
      <c r="DB714">
        <v>463.8</v>
      </c>
      <c r="DC714" t="s">
        <v>29507</v>
      </c>
      <c r="DD714" t="s">
        <v>29508</v>
      </c>
      <c r="DE714" t="s">
        <v>29509</v>
      </c>
      <c r="DF714" t="s">
        <v>29510</v>
      </c>
      <c r="DG714" t="s">
        <v>29511</v>
      </c>
      <c r="DH714" t="str">
        <f>"EEF1D"</f>
        <v>EEF1D</v>
      </c>
      <c r="DI714" t="s">
        <v>29512</v>
      </c>
      <c r="DJ714" t="s">
        <v>13777</v>
      </c>
      <c r="DK714">
        <v>9606</v>
      </c>
      <c r="DL714" s="34" t="str">
        <f>HYPERLINK("http://www.uniprot.org/uniprot/P29692", "P29692")</f>
        <v>P29692</v>
      </c>
      <c r="DM714" t="s">
        <v>29513</v>
      </c>
      <c r="DN714" t="s">
        <v>17814</v>
      </c>
      <c r="DO714" t="s">
        <v>14825</v>
      </c>
      <c r="DP714" t="s">
        <v>13841</v>
      </c>
      <c r="DQ714" t="s">
        <v>13772</v>
      </c>
      <c r="DR714" t="s">
        <v>13772</v>
      </c>
      <c r="DS714" t="s">
        <v>13772</v>
      </c>
      <c r="DT714" t="s">
        <v>13772</v>
      </c>
      <c r="DU714" t="s">
        <v>29514</v>
      </c>
      <c r="DV714" t="s">
        <v>13886</v>
      </c>
      <c r="DW714" t="s">
        <v>13812</v>
      </c>
      <c r="DX714" t="s">
        <v>29515</v>
      </c>
      <c r="DY714" t="s">
        <v>29516</v>
      </c>
      <c r="DZ714" t="s">
        <v>29517</v>
      </c>
      <c r="EA714" t="s">
        <v>13772</v>
      </c>
      <c r="EB714" t="s">
        <v>19005</v>
      </c>
    </row>
    <row r="715" spans="1:132" hidden="1">
      <c r="A715">
        <v>1744</v>
      </c>
      <c r="B715">
        <v>1</v>
      </c>
      <c r="C715" t="s">
        <v>4124</v>
      </c>
      <c r="D715" t="s">
        <v>4125</v>
      </c>
      <c r="E715" t="s">
        <v>73</v>
      </c>
      <c r="F715" t="s">
        <v>73</v>
      </c>
      <c r="G715" t="s">
        <v>73</v>
      </c>
      <c r="H715">
        <v>35.6</v>
      </c>
      <c r="I715">
        <v>219</v>
      </c>
      <c r="J715">
        <v>24047</v>
      </c>
      <c r="K715" t="s">
        <v>4126</v>
      </c>
      <c r="L715">
        <f t="shared" si="46"/>
        <v>44</v>
      </c>
      <c r="N715">
        <v>44</v>
      </c>
      <c r="O715">
        <v>44</v>
      </c>
      <c r="P715">
        <v>1</v>
      </c>
      <c r="Q715">
        <v>3</v>
      </c>
      <c r="R715">
        <v>1</v>
      </c>
      <c r="S715">
        <v>1</v>
      </c>
      <c r="T715">
        <v>0</v>
      </c>
      <c r="U715">
        <v>4</v>
      </c>
      <c r="V715">
        <v>2</v>
      </c>
      <c r="W715">
        <v>10</v>
      </c>
      <c r="X715">
        <v>6</v>
      </c>
      <c r="Y715">
        <v>1</v>
      </c>
      <c r="Z715">
        <v>0</v>
      </c>
      <c r="AA715">
        <v>2</v>
      </c>
      <c r="AB715">
        <v>2</v>
      </c>
      <c r="AC715">
        <v>1</v>
      </c>
      <c r="AD715">
        <v>0</v>
      </c>
      <c r="AE715">
        <v>1</v>
      </c>
      <c r="AF715">
        <v>5</v>
      </c>
      <c r="AG715">
        <v>2</v>
      </c>
      <c r="AH715">
        <v>1</v>
      </c>
      <c r="AI715">
        <v>2</v>
      </c>
      <c r="AJ715">
        <v>3</v>
      </c>
      <c r="AK715">
        <v>1</v>
      </c>
      <c r="AL715">
        <v>1</v>
      </c>
      <c r="AM715">
        <v>0</v>
      </c>
      <c r="AN715">
        <v>4</v>
      </c>
      <c r="AO715">
        <v>2</v>
      </c>
      <c r="AP715">
        <v>10</v>
      </c>
      <c r="AQ715">
        <v>6</v>
      </c>
      <c r="AR715">
        <v>1</v>
      </c>
      <c r="AS715">
        <v>0</v>
      </c>
      <c r="AT715">
        <v>2</v>
      </c>
      <c r="AU715">
        <v>2</v>
      </c>
      <c r="AV715">
        <v>1</v>
      </c>
      <c r="AW715">
        <v>0</v>
      </c>
      <c r="AX715">
        <v>1</v>
      </c>
      <c r="AY715">
        <v>5</v>
      </c>
      <c r="AZ715">
        <v>2</v>
      </c>
      <c r="BA715">
        <v>1</v>
      </c>
      <c r="BB715">
        <v>2</v>
      </c>
      <c r="BC715" s="2">
        <v>3</v>
      </c>
      <c r="BD715" s="2">
        <v>1</v>
      </c>
      <c r="BE715" s="2">
        <v>1</v>
      </c>
      <c r="BF715" s="2">
        <v>0</v>
      </c>
      <c r="BG715" s="2">
        <v>4</v>
      </c>
      <c r="BH715" s="2">
        <v>2</v>
      </c>
      <c r="BI715" s="2">
        <v>10</v>
      </c>
      <c r="BJ715" s="2">
        <v>6</v>
      </c>
      <c r="BK715" s="2">
        <v>1</v>
      </c>
      <c r="BL715" s="2">
        <v>0</v>
      </c>
      <c r="BM715" s="2">
        <v>2</v>
      </c>
      <c r="BN715" s="2">
        <v>2</v>
      </c>
      <c r="BO715" s="2">
        <v>1</v>
      </c>
      <c r="BP715" s="2">
        <v>0</v>
      </c>
      <c r="BQ715" s="2">
        <v>1</v>
      </c>
      <c r="BR715" s="2">
        <v>5</v>
      </c>
      <c r="BS715" s="2">
        <v>2</v>
      </c>
      <c r="BT715" s="2">
        <v>1</v>
      </c>
      <c r="BU715" s="2">
        <v>2</v>
      </c>
      <c r="BV715" s="2">
        <f t="shared" si="49"/>
        <v>44</v>
      </c>
      <c r="BW715" s="16">
        <f t="shared" si="47"/>
        <v>2.3157894736842106</v>
      </c>
      <c r="BX715" s="16">
        <f>COUNTIF($BC$6:BU715, "=0") / COUNTIF($BC$6:BU715, "&gt;-1")</f>
        <v>0.19310600444773907</v>
      </c>
      <c r="BY715" s="18">
        <f>SUM($BC$6:BU715) / $BY$4</f>
        <v>0.90033775705654717</v>
      </c>
      <c r="BZ715" s="14">
        <f t="shared" si="48"/>
        <v>3</v>
      </c>
      <c r="CA715" t="s">
        <v>5832</v>
      </c>
      <c r="CZ715" t="s">
        <v>11563</v>
      </c>
      <c r="DA715" t="s">
        <v>5904</v>
      </c>
      <c r="DB715">
        <v>170.2</v>
      </c>
      <c r="DC715" t="s">
        <v>30516</v>
      </c>
      <c r="DD715" t="s">
        <v>30517</v>
      </c>
      <c r="DE715" t="s">
        <v>30518</v>
      </c>
      <c r="DF715" t="s">
        <v>30519</v>
      </c>
      <c r="DG715" t="s">
        <v>30520</v>
      </c>
      <c r="DH715" t="str">
        <f>"PILRB"</f>
        <v>PILRB</v>
      </c>
      <c r="DI715" t="s">
        <v>30521</v>
      </c>
      <c r="DJ715" t="s">
        <v>13777</v>
      </c>
      <c r="DK715">
        <v>9606</v>
      </c>
      <c r="DL715" s="34" t="str">
        <f>HYPERLINK("http://www.uniprot.org/uniprot/Q9UKJ0", "Q9UKJ0")</f>
        <v>Q9UKJ0</v>
      </c>
      <c r="DM715" t="s">
        <v>30522</v>
      </c>
      <c r="DN715" t="s">
        <v>13772</v>
      </c>
      <c r="DO715" t="s">
        <v>13825</v>
      </c>
      <c r="DP715" t="s">
        <v>13780</v>
      </c>
      <c r="DQ715" t="s">
        <v>13772</v>
      </c>
      <c r="DR715" t="s">
        <v>13772</v>
      </c>
      <c r="DS715" t="s">
        <v>13794</v>
      </c>
      <c r="DT715" t="s">
        <v>13772</v>
      </c>
      <c r="DU715" t="s">
        <v>13795</v>
      </c>
      <c r="DV715" t="s">
        <v>13858</v>
      </c>
      <c r="DW715" t="s">
        <v>13812</v>
      </c>
      <c r="DX715" t="s">
        <v>30523</v>
      </c>
      <c r="DY715" t="s">
        <v>30524</v>
      </c>
      <c r="DZ715" t="s">
        <v>30525</v>
      </c>
      <c r="EA715" t="s">
        <v>13772</v>
      </c>
      <c r="EB715" t="s">
        <v>13799</v>
      </c>
    </row>
    <row r="716" spans="1:132" hidden="1">
      <c r="A716">
        <v>2020</v>
      </c>
      <c r="B716">
        <v>1</v>
      </c>
      <c r="C716" t="s">
        <v>4753</v>
      </c>
      <c r="D716" t="s">
        <v>4754</v>
      </c>
      <c r="E716" t="s">
        <v>73</v>
      </c>
      <c r="F716" t="s">
        <v>73</v>
      </c>
      <c r="G716" t="s">
        <v>73</v>
      </c>
      <c r="H716">
        <v>40</v>
      </c>
      <c r="I716">
        <v>432</v>
      </c>
      <c r="J716">
        <v>46381</v>
      </c>
      <c r="K716" t="s">
        <v>4755</v>
      </c>
      <c r="L716">
        <f t="shared" si="46"/>
        <v>44</v>
      </c>
      <c r="N716">
        <v>44</v>
      </c>
      <c r="O716">
        <v>44</v>
      </c>
      <c r="P716">
        <v>1</v>
      </c>
      <c r="Q716">
        <v>9</v>
      </c>
      <c r="R716">
        <v>6</v>
      </c>
      <c r="S716">
        <v>4</v>
      </c>
      <c r="T716">
        <v>4</v>
      </c>
      <c r="U716">
        <v>3</v>
      </c>
      <c r="V716">
        <v>5</v>
      </c>
      <c r="W716">
        <v>5</v>
      </c>
      <c r="X716">
        <v>4</v>
      </c>
      <c r="Y716">
        <v>0</v>
      </c>
      <c r="Z716">
        <v>0</v>
      </c>
      <c r="AA716">
        <v>0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9</v>
      </c>
      <c r="AK716">
        <v>6</v>
      </c>
      <c r="AL716">
        <v>4</v>
      </c>
      <c r="AM716">
        <v>4</v>
      </c>
      <c r="AN716">
        <v>3</v>
      </c>
      <c r="AO716">
        <v>5</v>
      </c>
      <c r="AP716">
        <v>5</v>
      </c>
      <c r="AQ716">
        <v>4</v>
      </c>
      <c r="AR716">
        <v>0</v>
      </c>
      <c r="AS716">
        <v>0</v>
      </c>
      <c r="AT716">
        <v>0</v>
      </c>
      <c r="AU716">
        <v>3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 s="2">
        <v>9</v>
      </c>
      <c r="BD716" s="2">
        <v>6</v>
      </c>
      <c r="BE716" s="2">
        <v>4</v>
      </c>
      <c r="BF716" s="2">
        <v>4</v>
      </c>
      <c r="BG716" s="2">
        <v>3</v>
      </c>
      <c r="BH716" s="2">
        <v>5</v>
      </c>
      <c r="BI716" s="2">
        <v>5</v>
      </c>
      <c r="BJ716" s="2">
        <v>4</v>
      </c>
      <c r="BK716" s="2">
        <v>0</v>
      </c>
      <c r="BL716" s="2">
        <v>0</v>
      </c>
      <c r="BM716" s="2">
        <v>0</v>
      </c>
      <c r="BN716" s="2">
        <v>3</v>
      </c>
      <c r="BO716" s="2">
        <v>0</v>
      </c>
      <c r="BP716" s="2">
        <v>0</v>
      </c>
      <c r="BQ716" s="2">
        <v>0</v>
      </c>
      <c r="BR716" s="2">
        <v>0</v>
      </c>
      <c r="BS716" s="2">
        <v>1</v>
      </c>
      <c r="BT716" s="2">
        <v>0</v>
      </c>
      <c r="BU716" s="2">
        <v>0</v>
      </c>
      <c r="BV716" s="2">
        <f t="shared" si="49"/>
        <v>44</v>
      </c>
      <c r="BW716" s="16">
        <f t="shared" si="47"/>
        <v>2.3157894736842106</v>
      </c>
      <c r="BX716" s="16">
        <f>COUNTIF($BC$6:BU716, "=0") / COUNTIF($BC$6:BU716, "&gt;-1")</f>
        <v>0.19350062921015621</v>
      </c>
      <c r="BY716" s="18">
        <f>SUM($BC$6:BU716) / $BY$4</f>
        <v>0.90052623707877</v>
      </c>
      <c r="BZ716" s="14">
        <f t="shared" si="48"/>
        <v>9</v>
      </c>
      <c r="CA716" t="s">
        <v>5832</v>
      </c>
      <c r="CZ716" t="s">
        <v>12486</v>
      </c>
      <c r="DA716" t="s">
        <v>5904</v>
      </c>
      <c r="DB716">
        <v>780</v>
      </c>
      <c r="DC716" t="s">
        <v>33130</v>
      </c>
      <c r="DD716" t="s">
        <v>33131</v>
      </c>
      <c r="DE716" t="s">
        <v>33132</v>
      </c>
      <c r="DF716" t="s">
        <v>33133</v>
      </c>
      <c r="DG716" t="s">
        <v>33134</v>
      </c>
      <c r="DH716" t="str">
        <f>"HPN"</f>
        <v>HPN</v>
      </c>
      <c r="DI716" t="s">
        <v>33135</v>
      </c>
      <c r="DJ716" t="s">
        <v>13777</v>
      </c>
      <c r="DK716">
        <v>9606</v>
      </c>
      <c r="DL716" s="34" t="str">
        <f>HYPERLINK("http://www.uniprot.org/uniprot/P05981", "P05981")</f>
        <v>P05981</v>
      </c>
      <c r="DM716" t="s">
        <v>33136</v>
      </c>
      <c r="DN716" t="s">
        <v>13772</v>
      </c>
      <c r="DO716" t="s">
        <v>13792</v>
      </c>
      <c r="DP716" t="s">
        <v>13772</v>
      </c>
      <c r="DQ716" t="s">
        <v>13772</v>
      </c>
      <c r="DR716" t="s">
        <v>13772</v>
      </c>
      <c r="DS716" t="s">
        <v>14417</v>
      </c>
      <c r="DT716" t="s">
        <v>13772</v>
      </c>
      <c r="DU716" t="s">
        <v>15176</v>
      </c>
      <c r="DV716" t="s">
        <v>13796</v>
      </c>
      <c r="DW716" t="s">
        <v>13812</v>
      </c>
      <c r="DX716" t="s">
        <v>33137</v>
      </c>
      <c r="DY716" t="s">
        <v>33138</v>
      </c>
      <c r="DZ716" t="s">
        <v>33139</v>
      </c>
      <c r="EA716" t="s">
        <v>13772</v>
      </c>
      <c r="EB716" t="s">
        <v>16385</v>
      </c>
    </row>
    <row r="717" spans="1:132" hidden="1">
      <c r="A717">
        <v>2029</v>
      </c>
      <c r="B717">
        <v>1</v>
      </c>
      <c r="C717" t="s">
        <v>4767</v>
      </c>
      <c r="D717" t="s">
        <v>73</v>
      </c>
      <c r="E717" t="s">
        <v>73</v>
      </c>
      <c r="F717" t="s">
        <v>73</v>
      </c>
      <c r="G717" t="s">
        <v>73</v>
      </c>
      <c r="H717">
        <v>38.799999999999997</v>
      </c>
      <c r="I717">
        <v>335</v>
      </c>
      <c r="J717">
        <v>36558</v>
      </c>
      <c r="K717" t="s">
        <v>4768</v>
      </c>
      <c r="L717">
        <f t="shared" si="46"/>
        <v>44</v>
      </c>
      <c r="N717">
        <v>44</v>
      </c>
      <c r="O717">
        <v>44</v>
      </c>
      <c r="P717">
        <v>1</v>
      </c>
      <c r="Q717">
        <v>2</v>
      </c>
      <c r="R717">
        <v>5</v>
      </c>
      <c r="S717">
        <v>0</v>
      </c>
      <c r="T717">
        <v>3</v>
      </c>
      <c r="U717">
        <v>13</v>
      </c>
      <c r="V717">
        <v>13</v>
      </c>
      <c r="W717">
        <v>6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5</v>
      </c>
      <c r="AL717">
        <v>0</v>
      </c>
      <c r="AM717">
        <v>3</v>
      </c>
      <c r="AN717">
        <v>13</v>
      </c>
      <c r="AO717">
        <v>13</v>
      </c>
      <c r="AP717">
        <v>6</v>
      </c>
      <c r="AQ717">
        <v>2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s="2">
        <v>2</v>
      </c>
      <c r="BD717" s="2">
        <v>5</v>
      </c>
      <c r="BE717" s="2">
        <v>0</v>
      </c>
      <c r="BF717" s="2">
        <v>3</v>
      </c>
      <c r="BG717" s="2">
        <v>13</v>
      </c>
      <c r="BH717" s="2">
        <v>13</v>
      </c>
      <c r="BI717" s="2">
        <v>6</v>
      </c>
      <c r="BJ717" s="2">
        <v>2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f t="shared" si="49"/>
        <v>44</v>
      </c>
      <c r="BW717" s="16">
        <f t="shared" si="47"/>
        <v>2.3157894736842106</v>
      </c>
      <c r="BX717" s="16">
        <f>COUNTIF($BC$6:BU717, "=0") / COUNTIF($BC$6:BU717, "&gt;-1")</f>
        <v>0.19411590774689533</v>
      </c>
      <c r="BY717" s="18">
        <f>SUM($BC$6:BU717) / $BY$4</f>
        <v>0.90071471710099282</v>
      </c>
      <c r="BZ717" s="14">
        <f t="shared" si="48"/>
        <v>12</v>
      </c>
      <c r="CA717" t="s">
        <v>5832</v>
      </c>
      <c r="CZ717" t="s">
        <v>12510</v>
      </c>
      <c r="DA717" t="s">
        <v>5904</v>
      </c>
      <c r="DB717">
        <v>604.70000000000005</v>
      </c>
      <c r="DC717" t="s">
        <v>33198</v>
      </c>
      <c r="DD717" t="s">
        <v>33199</v>
      </c>
      <c r="DE717" t="s">
        <v>33200</v>
      </c>
      <c r="DF717" t="s">
        <v>33201</v>
      </c>
      <c r="DG717" t="s">
        <v>13772</v>
      </c>
      <c r="DH717" t="str">
        <f>"DHDH"</f>
        <v>DHDH</v>
      </c>
      <c r="DI717" t="s">
        <v>33202</v>
      </c>
      <c r="DJ717" t="s">
        <v>13777</v>
      </c>
      <c r="DK717">
        <v>9606</v>
      </c>
      <c r="DL717" s="34" t="str">
        <f>HYPERLINK("http://www.uniprot.org/uniprot/Q9UQ10", "Q9UQ10")</f>
        <v>Q9UQ10</v>
      </c>
      <c r="DM717" t="s">
        <v>33203</v>
      </c>
      <c r="DN717" t="s">
        <v>13772</v>
      </c>
      <c r="DO717" t="s">
        <v>13772</v>
      </c>
      <c r="DP717" t="s">
        <v>13793</v>
      </c>
      <c r="DQ717" t="s">
        <v>13772</v>
      </c>
      <c r="DR717" t="s">
        <v>13772</v>
      </c>
      <c r="DS717" t="s">
        <v>13772</v>
      </c>
      <c r="DT717" t="s">
        <v>15759</v>
      </c>
      <c r="DU717" t="s">
        <v>13885</v>
      </c>
      <c r="DV717" t="s">
        <v>13772</v>
      </c>
      <c r="DW717" t="s">
        <v>13772</v>
      </c>
      <c r="DX717" t="s">
        <v>33204</v>
      </c>
      <c r="DY717" t="s">
        <v>13772</v>
      </c>
      <c r="DZ717" t="s">
        <v>33205</v>
      </c>
      <c r="EA717" t="s">
        <v>13772</v>
      </c>
      <c r="EB717" t="s">
        <v>13772</v>
      </c>
    </row>
    <row r="718" spans="1:132" hidden="1">
      <c r="A718">
        <v>2072</v>
      </c>
      <c r="B718">
        <v>1</v>
      </c>
      <c r="C718" t="s">
        <v>4870</v>
      </c>
      <c r="D718" t="s">
        <v>73</v>
      </c>
      <c r="E718" t="s">
        <v>73</v>
      </c>
      <c r="F718" t="s">
        <v>73</v>
      </c>
      <c r="G718" t="s">
        <v>73</v>
      </c>
      <c r="H718">
        <v>33.299999999999997</v>
      </c>
      <c r="I718">
        <v>468</v>
      </c>
      <c r="J718">
        <v>49918</v>
      </c>
      <c r="K718" t="s">
        <v>4871</v>
      </c>
      <c r="L718">
        <f t="shared" si="46"/>
        <v>44</v>
      </c>
      <c r="N718">
        <v>44</v>
      </c>
      <c r="O718">
        <v>44</v>
      </c>
      <c r="P718">
        <v>1</v>
      </c>
      <c r="Q718">
        <v>0</v>
      </c>
      <c r="R718">
        <v>2</v>
      </c>
      <c r="S718">
        <v>0</v>
      </c>
      <c r="T718">
        <v>1</v>
      </c>
      <c r="U718">
        <v>1</v>
      </c>
      <c r="V718">
        <v>1</v>
      </c>
      <c r="W718">
        <v>2</v>
      </c>
      <c r="X718">
        <v>0</v>
      </c>
      <c r="Y718">
        <v>7</v>
      </c>
      <c r="Z718">
        <v>3</v>
      </c>
      <c r="AA718">
        <v>4</v>
      </c>
      <c r="AB718">
        <v>9</v>
      </c>
      <c r="AC718">
        <v>4</v>
      </c>
      <c r="AD718">
        <v>0</v>
      </c>
      <c r="AE718">
        <v>2</v>
      </c>
      <c r="AF718">
        <v>7</v>
      </c>
      <c r="AG718">
        <v>1</v>
      </c>
      <c r="AH718">
        <v>0</v>
      </c>
      <c r="AI718">
        <v>0</v>
      </c>
      <c r="AJ718">
        <v>0</v>
      </c>
      <c r="AK718">
        <v>2</v>
      </c>
      <c r="AL718">
        <v>0</v>
      </c>
      <c r="AM718">
        <v>1</v>
      </c>
      <c r="AN718">
        <v>1</v>
      </c>
      <c r="AO718">
        <v>1</v>
      </c>
      <c r="AP718">
        <v>2</v>
      </c>
      <c r="AQ718">
        <v>0</v>
      </c>
      <c r="AR718">
        <v>7</v>
      </c>
      <c r="AS718">
        <v>3</v>
      </c>
      <c r="AT718">
        <v>4</v>
      </c>
      <c r="AU718">
        <v>9</v>
      </c>
      <c r="AV718">
        <v>4</v>
      </c>
      <c r="AW718">
        <v>0</v>
      </c>
      <c r="AX718">
        <v>2</v>
      </c>
      <c r="AY718">
        <v>7</v>
      </c>
      <c r="AZ718">
        <v>1</v>
      </c>
      <c r="BA718">
        <v>0</v>
      </c>
      <c r="BB718">
        <v>0</v>
      </c>
      <c r="BC718" s="2">
        <v>0</v>
      </c>
      <c r="BD718" s="2">
        <v>2</v>
      </c>
      <c r="BE718" s="2">
        <v>0</v>
      </c>
      <c r="BF718" s="2">
        <v>1</v>
      </c>
      <c r="BG718" s="2">
        <v>1</v>
      </c>
      <c r="BH718" s="2">
        <v>1</v>
      </c>
      <c r="BI718" s="2">
        <v>2</v>
      </c>
      <c r="BJ718" s="2">
        <v>0</v>
      </c>
      <c r="BK718" s="2">
        <v>7</v>
      </c>
      <c r="BL718" s="2">
        <v>3</v>
      </c>
      <c r="BM718" s="2">
        <v>4</v>
      </c>
      <c r="BN718" s="2">
        <v>9</v>
      </c>
      <c r="BO718" s="2">
        <v>4</v>
      </c>
      <c r="BP718" s="2">
        <v>0</v>
      </c>
      <c r="BQ718" s="2">
        <v>2</v>
      </c>
      <c r="BR718" s="2">
        <v>7</v>
      </c>
      <c r="BS718" s="2">
        <v>1</v>
      </c>
      <c r="BT718" s="2">
        <v>0</v>
      </c>
      <c r="BU718" s="2">
        <v>0</v>
      </c>
      <c r="BV718" s="2">
        <f t="shared" si="49"/>
        <v>44</v>
      </c>
      <c r="BW718" s="16">
        <f t="shared" si="47"/>
        <v>2.3157894736842106</v>
      </c>
      <c r="BX718" s="16">
        <f>COUNTIF($BC$6:BU718, "=0") / COUNTIF($BC$6:BU718, "&gt;-1")</f>
        <v>0.19428655790950025</v>
      </c>
      <c r="BY718" s="18">
        <f>SUM($BC$6:BU718) / $BY$4</f>
        <v>0.90090319712321565</v>
      </c>
      <c r="BZ718" s="14">
        <f t="shared" si="48"/>
        <v>6</v>
      </c>
      <c r="CA718" t="s">
        <v>5832</v>
      </c>
      <c r="CZ718" t="s">
        <v>12659</v>
      </c>
      <c r="DA718" t="s">
        <v>5904</v>
      </c>
      <c r="DB718">
        <v>429.1</v>
      </c>
      <c r="DC718" t="s">
        <v>33615</v>
      </c>
      <c r="DD718" t="s">
        <v>33616</v>
      </c>
      <c r="DE718" t="s">
        <v>33617</v>
      </c>
      <c r="DF718" t="s">
        <v>33618</v>
      </c>
      <c r="DG718" t="s">
        <v>33619</v>
      </c>
      <c r="DH718" t="str">
        <f>"CD177"</f>
        <v>CD177</v>
      </c>
      <c r="DI718" t="s">
        <v>13772</v>
      </c>
      <c r="DJ718" t="s">
        <v>13777</v>
      </c>
      <c r="DK718">
        <v>9606</v>
      </c>
      <c r="DL718" s="34" t="str">
        <f>HYPERLINK("http://www.uniprot.org/uniprot/Q8N6Q3", "Q8N6Q3")</f>
        <v>Q8N6Q3</v>
      </c>
      <c r="DM718" t="s">
        <v>33620</v>
      </c>
      <c r="DN718" t="s">
        <v>31534</v>
      </c>
      <c r="DO718" t="s">
        <v>21616</v>
      </c>
      <c r="DP718" t="s">
        <v>13780</v>
      </c>
      <c r="DQ718" t="s">
        <v>13772</v>
      </c>
      <c r="DR718" t="s">
        <v>13772</v>
      </c>
      <c r="DS718" t="s">
        <v>14404</v>
      </c>
      <c r="DT718" t="s">
        <v>13772</v>
      </c>
      <c r="DU718" t="s">
        <v>13772</v>
      </c>
      <c r="DV718" t="s">
        <v>27905</v>
      </c>
      <c r="DW718" t="s">
        <v>13772</v>
      </c>
      <c r="DX718" t="s">
        <v>33621</v>
      </c>
      <c r="DY718" t="s">
        <v>33622</v>
      </c>
      <c r="DZ718" t="s">
        <v>33623</v>
      </c>
      <c r="EA718" t="s">
        <v>13772</v>
      </c>
      <c r="EB718" t="s">
        <v>33624</v>
      </c>
    </row>
    <row r="719" spans="1:132" hidden="1">
      <c r="A719">
        <v>2178</v>
      </c>
      <c r="B719">
        <v>1</v>
      </c>
      <c r="C719" t="s">
        <v>5096</v>
      </c>
      <c r="D719" t="s">
        <v>73</v>
      </c>
      <c r="E719" t="s">
        <v>73</v>
      </c>
      <c r="F719" t="s">
        <v>73</v>
      </c>
      <c r="G719" t="s">
        <v>73</v>
      </c>
      <c r="H719">
        <v>15.4</v>
      </c>
      <c r="I719">
        <v>564</v>
      </c>
      <c r="J719">
        <v>62731</v>
      </c>
      <c r="K719" t="s">
        <v>5097</v>
      </c>
      <c r="L719">
        <f t="shared" si="46"/>
        <v>44</v>
      </c>
      <c r="N719">
        <v>44</v>
      </c>
      <c r="O719">
        <v>44</v>
      </c>
      <c r="P719">
        <v>1</v>
      </c>
      <c r="Q719">
        <v>1</v>
      </c>
      <c r="R719">
        <v>3</v>
      </c>
      <c r="S719">
        <v>3</v>
      </c>
      <c r="T719">
        <v>1</v>
      </c>
      <c r="U719">
        <v>6</v>
      </c>
      <c r="V719">
        <v>6</v>
      </c>
      <c r="W719">
        <v>6</v>
      </c>
      <c r="X719">
        <v>7</v>
      </c>
      <c r="Y719">
        <v>0</v>
      </c>
      <c r="Z719">
        <v>0</v>
      </c>
      <c r="AA719">
        <v>1</v>
      </c>
      <c r="AB719">
        <v>5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0</v>
      </c>
      <c r="AJ719">
        <v>1</v>
      </c>
      <c r="AK719">
        <v>3</v>
      </c>
      <c r="AL719">
        <v>3</v>
      </c>
      <c r="AM719">
        <v>1</v>
      </c>
      <c r="AN719">
        <v>6</v>
      </c>
      <c r="AO719">
        <v>6</v>
      </c>
      <c r="AP719">
        <v>6</v>
      </c>
      <c r="AQ719">
        <v>7</v>
      </c>
      <c r="AR719">
        <v>0</v>
      </c>
      <c r="AS719">
        <v>0</v>
      </c>
      <c r="AT719">
        <v>1</v>
      </c>
      <c r="AU719">
        <v>5</v>
      </c>
      <c r="AV719">
        <v>1</v>
      </c>
      <c r="AW719">
        <v>0</v>
      </c>
      <c r="AX719">
        <v>1</v>
      </c>
      <c r="AY719">
        <v>1</v>
      </c>
      <c r="AZ719">
        <v>1</v>
      </c>
      <c r="BA719">
        <v>1</v>
      </c>
      <c r="BB719">
        <v>0</v>
      </c>
      <c r="BC719" s="2">
        <v>1</v>
      </c>
      <c r="BD719" s="2">
        <v>3</v>
      </c>
      <c r="BE719" s="2">
        <v>3</v>
      </c>
      <c r="BF719" s="2">
        <v>1</v>
      </c>
      <c r="BG719" s="2">
        <v>6</v>
      </c>
      <c r="BH719" s="2">
        <v>6</v>
      </c>
      <c r="BI719" s="2">
        <v>6</v>
      </c>
      <c r="BJ719" s="2">
        <v>7</v>
      </c>
      <c r="BK719" s="2">
        <v>0</v>
      </c>
      <c r="BL719" s="2">
        <v>0</v>
      </c>
      <c r="BM719" s="2">
        <v>1</v>
      </c>
      <c r="BN719" s="2">
        <v>5</v>
      </c>
      <c r="BO719" s="2">
        <v>1</v>
      </c>
      <c r="BP719" s="2">
        <v>0</v>
      </c>
      <c r="BQ719" s="2">
        <v>1</v>
      </c>
      <c r="BR719" s="2">
        <v>1</v>
      </c>
      <c r="BS719" s="2">
        <v>1</v>
      </c>
      <c r="BT719" s="2">
        <v>1</v>
      </c>
      <c r="BU719" s="2">
        <v>0</v>
      </c>
      <c r="BV719" s="2">
        <f t="shared" si="49"/>
        <v>44</v>
      </c>
      <c r="BW719" s="16">
        <f t="shared" si="47"/>
        <v>2.3157894736842106</v>
      </c>
      <c r="BX719" s="16">
        <f>COUNTIF($BC$6:BU719, "=0") / COUNTIF($BC$6:BU719, "&gt;-1")</f>
        <v>0.1943093026684358</v>
      </c>
      <c r="BY719" s="18">
        <f>SUM($BC$6:BU719) / $BY$4</f>
        <v>0.90109167714543847</v>
      </c>
      <c r="BZ719" s="14">
        <f t="shared" si="48"/>
        <v>4</v>
      </c>
      <c r="CA719" t="s">
        <v>5832</v>
      </c>
      <c r="CZ719" t="s">
        <v>13006</v>
      </c>
      <c r="DA719" t="s">
        <v>5904</v>
      </c>
      <c r="DB719">
        <v>1141.3</v>
      </c>
      <c r="DC719" t="s">
        <v>34575</v>
      </c>
      <c r="DD719" t="s">
        <v>34576</v>
      </c>
      <c r="DE719" t="s">
        <v>34577</v>
      </c>
      <c r="DF719" t="s">
        <v>34578</v>
      </c>
      <c r="DG719" t="s">
        <v>34579</v>
      </c>
      <c r="DH719" t="str">
        <f>"ANTXR1"</f>
        <v>ANTXR1</v>
      </c>
      <c r="DI719" t="s">
        <v>34580</v>
      </c>
      <c r="DJ719" t="s">
        <v>13777</v>
      </c>
      <c r="DK719">
        <v>9606</v>
      </c>
      <c r="DL719" s="34" t="str">
        <f>HYPERLINK("http://www.uniprot.org/uniprot/Q9H6X2", "Q9H6X2")</f>
        <v>Q9H6X2</v>
      </c>
      <c r="DM719" t="s">
        <v>34581</v>
      </c>
      <c r="DN719" t="s">
        <v>13772</v>
      </c>
      <c r="DO719" t="s">
        <v>15856</v>
      </c>
      <c r="DP719" t="s">
        <v>13780</v>
      </c>
      <c r="DQ719" t="s">
        <v>13772</v>
      </c>
      <c r="DR719" t="s">
        <v>18310</v>
      </c>
      <c r="DS719" t="s">
        <v>13855</v>
      </c>
      <c r="DT719" t="s">
        <v>18390</v>
      </c>
      <c r="DU719" t="s">
        <v>13795</v>
      </c>
      <c r="DV719" t="s">
        <v>13964</v>
      </c>
      <c r="DW719" t="s">
        <v>13812</v>
      </c>
      <c r="DX719" t="s">
        <v>34582</v>
      </c>
      <c r="DY719" t="s">
        <v>34583</v>
      </c>
      <c r="DZ719" t="s">
        <v>34584</v>
      </c>
      <c r="EA719" t="s">
        <v>13772</v>
      </c>
      <c r="EB719" t="s">
        <v>26090</v>
      </c>
    </row>
    <row r="720" spans="1:132" hidden="1">
      <c r="A720">
        <v>233</v>
      </c>
      <c r="B720">
        <v>1</v>
      </c>
      <c r="C720" t="s">
        <v>590</v>
      </c>
      <c r="D720" t="s">
        <v>591</v>
      </c>
      <c r="E720" t="s">
        <v>73</v>
      </c>
      <c r="F720" t="s">
        <v>73</v>
      </c>
      <c r="G720" t="s">
        <v>73</v>
      </c>
      <c r="H720">
        <v>46.4</v>
      </c>
      <c r="I720">
        <v>179</v>
      </c>
      <c r="J720">
        <v>20417</v>
      </c>
      <c r="K720" t="s">
        <v>592</v>
      </c>
      <c r="L720">
        <f t="shared" si="46"/>
        <v>43</v>
      </c>
      <c r="N720">
        <v>43</v>
      </c>
      <c r="O720">
        <v>43</v>
      </c>
      <c r="P720">
        <v>1</v>
      </c>
      <c r="Q720">
        <v>1</v>
      </c>
      <c r="R720">
        <v>2</v>
      </c>
      <c r="S720">
        <v>4</v>
      </c>
      <c r="T720">
        <v>6</v>
      </c>
      <c r="U720">
        <v>2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11</v>
      </c>
      <c r="AB720">
        <v>3</v>
      </c>
      <c r="AC720">
        <v>0</v>
      </c>
      <c r="AD720">
        <v>0</v>
      </c>
      <c r="AE720">
        <v>0</v>
      </c>
      <c r="AF720">
        <v>11</v>
      </c>
      <c r="AG720">
        <v>1</v>
      </c>
      <c r="AH720">
        <v>0</v>
      </c>
      <c r="AI720">
        <v>1</v>
      </c>
      <c r="AJ720">
        <v>1</v>
      </c>
      <c r="AK720">
        <v>2</v>
      </c>
      <c r="AL720">
        <v>4</v>
      </c>
      <c r="AM720">
        <v>6</v>
      </c>
      <c r="AN720">
        <v>2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11</v>
      </c>
      <c r="AU720">
        <v>3</v>
      </c>
      <c r="AV720">
        <v>0</v>
      </c>
      <c r="AW720">
        <v>0</v>
      </c>
      <c r="AX720">
        <v>0</v>
      </c>
      <c r="AY720">
        <v>11</v>
      </c>
      <c r="AZ720">
        <v>1</v>
      </c>
      <c r="BA720">
        <v>0</v>
      </c>
      <c r="BB720">
        <v>1</v>
      </c>
      <c r="BC720" s="2">
        <v>1</v>
      </c>
      <c r="BD720" s="2">
        <v>2</v>
      </c>
      <c r="BE720" s="2">
        <v>4</v>
      </c>
      <c r="BF720" s="2">
        <v>6</v>
      </c>
      <c r="BG720" s="2">
        <v>2</v>
      </c>
      <c r="BH720" s="2">
        <v>0</v>
      </c>
      <c r="BI720" s="2">
        <v>1</v>
      </c>
      <c r="BJ720" s="2">
        <v>0</v>
      </c>
      <c r="BK720" s="2">
        <v>0</v>
      </c>
      <c r="BL720" s="2">
        <v>0</v>
      </c>
      <c r="BM720" s="2">
        <v>11</v>
      </c>
      <c r="BN720" s="2">
        <v>3</v>
      </c>
      <c r="BO720" s="2">
        <v>0</v>
      </c>
      <c r="BP720" s="2">
        <v>0</v>
      </c>
      <c r="BQ720" s="2">
        <v>0</v>
      </c>
      <c r="BR720" s="2">
        <v>11</v>
      </c>
      <c r="BS720" s="2">
        <v>1</v>
      </c>
      <c r="BT720" s="2">
        <v>0</v>
      </c>
      <c r="BU720" s="2">
        <v>1</v>
      </c>
      <c r="BV720" s="2">
        <f t="shared" si="49"/>
        <v>43</v>
      </c>
      <c r="BW720" s="16">
        <f t="shared" si="47"/>
        <v>2.263157894736842</v>
      </c>
      <c r="BX720" s="16">
        <f>COUNTIF($BC$6:BU720, "=0") / COUNTIF($BC$6:BU720, "&gt;-1")</f>
        <v>0.19462642620537357</v>
      </c>
      <c r="BY720" s="18">
        <f>SUM($BC$6:BU720) / $BY$4</f>
        <v>0.90127587353079264</v>
      </c>
      <c r="BZ720" s="14">
        <f t="shared" si="48"/>
        <v>8</v>
      </c>
      <c r="CA720" t="s">
        <v>5832</v>
      </c>
      <c r="CZ720" t="s">
        <v>6503</v>
      </c>
      <c r="DA720" t="s">
        <v>5904</v>
      </c>
      <c r="DB720">
        <v>197.6</v>
      </c>
      <c r="DC720" t="s">
        <v>15826</v>
      </c>
      <c r="DD720" t="s">
        <v>15827</v>
      </c>
      <c r="DE720" t="s">
        <v>15828</v>
      </c>
      <c r="DF720" t="s">
        <v>15829</v>
      </c>
      <c r="DG720" t="s">
        <v>15830</v>
      </c>
      <c r="DH720" t="str">
        <f>"RNASE1"</f>
        <v>RNASE1</v>
      </c>
      <c r="DI720" t="s">
        <v>15831</v>
      </c>
      <c r="DJ720" t="s">
        <v>13777</v>
      </c>
      <c r="DK720">
        <v>9606</v>
      </c>
      <c r="DL720" s="34" t="str">
        <f>HYPERLINK("http://www.uniprot.org/uniprot/P07998", "P07998")</f>
        <v>P07998</v>
      </c>
      <c r="DM720" t="s">
        <v>15832</v>
      </c>
      <c r="DN720" t="s">
        <v>13772</v>
      </c>
      <c r="DO720" t="s">
        <v>14321</v>
      </c>
      <c r="DP720" t="s">
        <v>13772</v>
      </c>
      <c r="DQ720" t="s">
        <v>13772</v>
      </c>
      <c r="DR720" t="s">
        <v>13772</v>
      </c>
      <c r="DS720" t="s">
        <v>13808</v>
      </c>
      <c r="DT720" t="s">
        <v>13772</v>
      </c>
      <c r="DU720" t="s">
        <v>15833</v>
      </c>
      <c r="DV720" t="s">
        <v>13796</v>
      </c>
      <c r="DW720" t="s">
        <v>13812</v>
      </c>
      <c r="DX720" t="s">
        <v>15834</v>
      </c>
      <c r="DY720" t="s">
        <v>15835</v>
      </c>
      <c r="DZ720" t="s">
        <v>15836</v>
      </c>
      <c r="EA720" t="s">
        <v>13772</v>
      </c>
      <c r="EB720" t="s">
        <v>13772</v>
      </c>
    </row>
    <row r="721" spans="1:132" hidden="1">
      <c r="A721">
        <v>358</v>
      </c>
      <c r="B721">
        <v>1</v>
      </c>
      <c r="C721" t="s">
        <v>895</v>
      </c>
      <c r="D721" t="s">
        <v>73</v>
      </c>
      <c r="E721" t="s">
        <v>73</v>
      </c>
      <c r="F721" t="s">
        <v>73</v>
      </c>
      <c r="G721" t="s">
        <v>73</v>
      </c>
      <c r="H721">
        <v>37.299999999999997</v>
      </c>
      <c r="I721">
        <v>509</v>
      </c>
      <c r="J721">
        <v>54122</v>
      </c>
      <c r="K721" t="s">
        <v>896</v>
      </c>
      <c r="L721">
        <f t="shared" si="46"/>
        <v>43</v>
      </c>
      <c r="N721">
        <v>43</v>
      </c>
      <c r="O721">
        <v>43</v>
      </c>
      <c r="P721">
        <v>1</v>
      </c>
      <c r="Q721">
        <v>0</v>
      </c>
      <c r="R721">
        <v>2</v>
      </c>
      <c r="S721">
        <v>0</v>
      </c>
      <c r="T721">
        <v>0</v>
      </c>
      <c r="U721">
        <v>4</v>
      </c>
      <c r="V721">
        <v>0</v>
      </c>
      <c r="W721">
        <v>0</v>
      </c>
      <c r="X721">
        <v>2</v>
      </c>
      <c r="Y721">
        <v>1</v>
      </c>
      <c r="Z721">
        <v>0</v>
      </c>
      <c r="AA721">
        <v>3</v>
      </c>
      <c r="AB721">
        <v>5</v>
      </c>
      <c r="AC721">
        <v>4</v>
      </c>
      <c r="AD721">
        <v>1</v>
      </c>
      <c r="AE721">
        <v>4</v>
      </c>
      <c r="AF721">
        <v>0</v>
      </c>
      <c r="AG721">
        <v>17</v>
      </c>
      <c r="AH721">
        <v>0</v>
      </c>
      <c r="AI721">
        <v>0</v>
      </c>
      <c r="AJ721">
        <v>0</v>
      </c>
      <c r="AK721">
        <v>2</v>
      </c>
      <c r="AL721">
        <v>0</v>
      </c>
      <c r="AM721">
        <v>0</v>
      </c>
      <c r="AN721">
        <v>4</v>
      </c>
      <c r="AO721">
        <v>0</v>
      </c>
      <c r="AP721">
        <v>0</v>
      </c>
      <c r="AQ721">
        <v>2</v>
      </c>
      <c r="AR721">
        <v>1</v>
      </c>
      <c r="AS721">
        <v>0</v>
      </c>
      <c r="AT721">
        <v>3</v>
      </c>
      <c r="AU721">
        <v>5</v>
      </c>
      <c r="AV721">
        <v>4</v>
      </c>
      <c r="AW721">
        <v>1</v>
      </c>
      <c r="AX721">
        <v>4</v>
      </c>
      <c r="AY721">
        <v>0</v>
      </c>
      <c r="AZ721">
        <v>17</v>
      </c>
      <c r="BA721">
        <v>0</v>
      </c>
      <c r="BB721">
        <v>0</v>
      </c>
      <c r="BC721" s="2">
        <v>0</v>
      </c>
      <c r="BD721" s="2">
        <v>2</v>
      </c>
      <c r="BE721" s="2">
        <v>0</v>
      </c>
      <c r="BF721" s="2">
        <v>0</v>
      </c>
      <c r="BG721" s="2">
        <v>4</v>
      </c>
      <c r="BH721" s="2">
        <v>0</v>
      </c>
      <c r="BI721" s="2">
        <v>0</v>
      </c>
      <c r="BJ721" s="2">
        <v>2</v>
      </c>
      <c r="BK721" s="2">
        <v>1</v>
      </c>
      <c r="BL721" s="2">
        <v>0</v>
      </c>
      <c r="BM721" s="2">
        <v>3</v>
      </c>
      <c r="BN721" s="2">
        <v>5</v>
      </c>
      <c r="BO721" s="2">
        <v>4</v>
      </c>
      <c r="BP721" s="2">
        <v>1</v>
      </c>
      <c r="BQ721" s="2">
        <v>4</v>
      </c>
      <c r="BR721" s="2">
        <v>0</v>
      </c>
      <c r="BS721" s="2">
        <v>17</v>
      </c>
      <c r="BT721" s="2">
        <v>0</v>
      </c>
      <c r="BU721" s="2">
        <v>0</v>
      </c>
      <c r="BV721" s="2">
        <f t="shared" si="49"/>
        <v>43</v>
      </c>
      <c r="BW721" s="16">
        <f t="shared" si="47"/>
        <v>2.263157894736842</v>
      </c>
      <c r="BX721" s="16">
        <f>COUNTIF($BC$6:BU721, "=0") / COUNTIF($BC$6:BU721, "&gt;-1")</f>
        <v>0.19501617171420171</v>
      </c>
      <c r="BY721" s="18">
        <f>SUM($BC$6:BU721) / $BY$4</f>
        <v>0.90146006991614669</v>
      </c>
      <c r="BZ721" s="14">
        <f t="shared" si="48"/>
        <v>9</v>
      </c>
      <c r="CA721" t="s">
        <v>5832</v>
      </c>
      <c r="CZ721" t="s">
        <v>6938</v>
      </c>
      <c r="DA721" t="s">
        <v>5904</v>
      </c>
      <c r="DB721">
        <v>1032.7</v>
      </c>
      <c r="DC721" t="s">
        <v>17150</v>
      </c>
      <c r="DD721" t="s">
        <v>17151</v>
      </c>
      <c r="DE721" t="s">
        <v>17152</v>
      </c>
      <c r="DF721" t="s">
        <v>17153</v>
      </c>
      <c r="DG721" t="s">
        <v>17154</v>
      </c>
      <c r="DH721" t="str">
        <f>"DLD"</f>
        <v>DLD</v>
      </c>
      <c r="DI721" t="s">
        <v>17155</v>
      </c>
      <c r="DJ721" t="s">
        <v>13777</v>
      </c>
      <c r="DK721">
        <v>9606</v>
      </c>
      <c r="DL721" s="34" t="str">
        <f>HYPERLINK("http://www.uniprot.org/uniprot/P09622", "P09622")</f>
        <v>P09622</v>
      </c>
      <c r="DM721" t="s">
        <v>17156</v>
      </c>
      <c r="DN721" t="s">
        <v>13772</v>
      </c>
      <c r="DO721" t="s">
        <v>17157</v>
      </c>
      <c r="DP721" t="s">
        <v>13780</v>
      </c>
      <c r="DQ721" t="s">
        <v>13772</v>
      </c>
      <c r="DR721" t="s">
        <v>13807</v>
      </c>
      <c r="DS721" t="s">
        <v>17158</v>
      </c>
      <c r="DT721" t="s">
        <v>17159</v>
      </c>
      <c r="DU721" t="s">
        <v>13885</v>
      </c>
      <c r="DV721" t="s">
        <v>15256</v>
      </c>
      <c r="DW721" t="s">
        <v>13812</v>
      </c>
      <c r="DX721" t="s">
        <v>17160</v>
      </c>
      <c r="DY721" t="s">
        <v>17161</v>
      </c>
      <c r="DZ721" t="s">
        <v>17162</v>
      </c>
      <c r="EA721" t="s">
        <v>13772</v>
      </c>
      <c r="EB721" t="s">
        <v>17163</v>
      </c>
    </row>
    <row r="722" spans="1:132" hidden="1">
      <c r="A722">
        <v>450</v>
      </c>
      <c r="B722">
        <v>1</v>
      </c>
      <c r="C722" t="s">
        <v>1125</v>
      </c>
      <c r="D722" t="s">
        <v>73</v>
      </c>
      <c r="E722" t="s">
        <v>73</v>
      </c>
      <c r="F722" t="s">
        <v>73</v>
      </c>
      <c r="G722" t="s">
        <v>73</v>
      </c>
      <c r="H722">
        <v>50.8</v>
      </c>
      <c r="I722">
        <v>242</v>
      </c>
      <c r="J722">
        <v>27494</v>
      </c>
      <c r="K722" t="s">
        <v>1126</v>
      </c>
      <c r="L722">
        <f t="shared" si="46"/>
        <v>43</v>
      </c>
      <c r="N722">
        <v>43</v>
      </c>
      <c r="O722">
        <v>43</v>
      </c>
      <c r="P722">
        <v>1</v>
      </c>
      <c r="Q722">
        <v>0</v>
      </c>
      <c r="R722">
        <v>1</v>
      </c>
      <c r="S722">
        <v>0</v>
      </c>
      <c r="T722">
        <v>1</v>
      </c>
      <c r="U722">
        <v>8</v>
      </c>
      <c r="V722">
        <v>5</v>
      </c>
      <c r="W722">
        <v>1</v>
      </c>
      <c r="X722">
        <v>0</v>
      </c>
      <c r="Y722">
        <v>9</v>
      </c>
      <c r="Z722">
        <v>0</v>
      </c>
      <c r="AA722">
        <v>11</v>
      </c>
      <c r="AB722">
        <v>5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8</v>
      </c>
      <c r="AO722">
        <v>5</v>
      </c>
      <c r="AP722">
        <v>1</v>
      </c>
      <c r="AQ722">
        <v>0</v>
      </c>
      <c r="AR722">
        <v>9</v>
      </c>
      <c r="AS722">
        <v>0</v>
      </c>
      <c r="AT722">
        <v>11</v>
      </c>
      <c r="AU722">
        <v>5</v>
      </c>
      <c r="AV722">
        <v>0</v>
      </c>
      <c r="AW722">
        <v>0</v>
      </c>
      <c r="AX722">
        <v>0</v>
      </c>
      <c r="AY722">
        <v>2</v>
      </c>
      <c r="AZ722">
        <v>0</v>
      </c>
      <c r="BA722">
        <v>0</v>
      </c>
      <c r="BB722">
        <v>0</v>
      </c>
      <c r="BC722" s="2">
        <v>0</v>
      </c>
      <c r="BD722" s="2">
        <v>1</v>
      </c>
      <c r="BE722" s="2">
        <v>0</v>
      </c>
      <c r="BF722" s="2">
        <v>1</v>
      </c>
      <c r="BG722" s="2">
        <v>8</v>
      </c>
      <c r="BH722" s="2">
        <v>5</v>
      </c>
      <c r="BI722" s="2">
        <v>1</v>
      </c>
      <c r="BJ722" s="2">
        <v>0</v>
      </c>
      <c r="BK722" s="2">
        <v>9</v>
      </c>
      <c r="BL722" s="2">
        <v>0</v>
      </c>
      <c r="BM722" s="2">
        <v>11</v>
      </c>
      <c r="BN722" s="2">
        <v>5</v>
      </c>
      <c r="BO722" s="2">
        <v>0</v>
      </c>
      <c r="BP722" s="2">
        <v>0</v>
      </c>
      <c r="BQ722" s="2">
        <v>0</v>
      </c>
      <c r="BR722" s="2">
        <v>2</v>
      </c>
      <c r="BS722" s="2">
        <v>0</v>
      </c>
      <c r="BT722" s="2">
        <v>0</v>
      </c>
      <c r="BU722" s="2">
        <v>0</v>
      </c>
      <c r="BV722" s="2">
        <f t="shared" si="49"/>
        <v>43</v>
      </c>
      <c r="BW722" s="16">
        <f t="shared" si="47"/>
        <v>2.263157894736842</v>
      </c>
      <c r="BX722" s="16">
        <f>COUNTIF($BC$6:BU722, "=0") / COUNTIF($BC$6:BU722, "&gt;-1")</f>
        <v>0.19547823533729722</v>
      </c>
      <c r="BY722" s="18">
        <f>SUM($BC$6:BU722) / $BY$4</f>
        <v>0.90164426630150085</v>
      </c>
      <c r="BZ722" s="14">
        <f t="shared" si="48"/>
        <v>10</v>
      </c>
      <c r="CA722" t="s">
        <v>5832</v>
      </c>
      <c r="CZ722" t="s">
        <v>7260</v>
      </c>
      <c r="DA722" t="s">
        <v>5904</v>
      </c>
      <c r="DB722">
        <v>251.1</v>
      </c>
      <c r="DC722" t="s">
        <v>18162</v>
      </c>
      <c r="DD722" t="s">
        <v>18163</v>
      </c>
      <c r="DE722" t="s">
        <v>18164</v>
      </c>
      <c r="DF722" t="s">
        <v>18165</v>
      </c>
      <c r="DG722" t="s">
        <v>18166</v>
      </c>
      <c r="DH722" t="str">
        <f>"GSTT1"</f>
        <v>GSTT1</v>
      </c>
      <c r="DI722" t="s">
        <v>13772</v>
      </c>
      <c r="DJ722" t="s">
        <v>13777</v>
      </c>
      <c r="DK722">
        <v>9606</v>
      </c>
      <c r="DL722" s="34" t="str">
        <f>HYPERLINK("http://www.uniprot.org/uniprot/P30711", "P30711")</f>
        <v>P30711</v>
      </c>
      <c r="DM722" t="s">
        <v>18167</v>
      </c>
      <c r="DN722" t="s">
        <v>13772</v>
      </c>
      <c r="DO722" t="s">
        <v>13899</v>
      </c>
      <c r="DP722" t="s">
        <v>13780</v>
      </c>
      <c r="DQ722" t="s">
        <v>13772</v>
      </c>
      <c r="DR722" t="s">
        <v>13772</v>
      </c>
      <c r="DS722" t="s">
        <v>13772</v>
      </c>
      <c r="DT722" t="s">
        <v>13772</v>
      </c>
      <c r="DU722" t="s">
        <v>14111</v>
      </c>
      <c r="DV722" t="s">
        <v>13772</v>
      </c>
      <c r="DW722" t="s">
        <v>13812</v>
      </c>
      <c r="DX722" t="s">
        <v>18168</v>
      </c>
      <c r="DY722" t="s">
        <v>15111</v>
      </c>
      <c r="DZ722" t="s">
        <v>18169</v>
      </c>
      <c r="EA722" t="s">
        <v>13772</v>
      </c>
      <c r="EB722" t="s">
        <v>18170</v>
      </c>
    </row>
    <row r="723" spans="1:132" hidden="1">
      <c r="A723">
        <v>1094</v>
      </c>
      <c r="B723">
        <v>1</v>
      </c>
      <c r="C723" t="s">
        <v>2631</v>
      </c>
      <c r="D723" t="s">
        <v>73</v>
      </c>
      <c r="E723" t="s">
        <v>73</v>
      </c>
      <c r="F723" t="s">
        <v>73</v>
      </c>
      <c r="G723" t="s">
        <v>73</v>
      </c>
      <c r="H723">
        <v>66.400000000000006</v>
      </c>
      <c r="I723">
        <v>152</v>
      </c>
      <c r="J723">
        <v>17138</v>
      </c>
      <c r="K723" t="s">
        <v>2632</v>
      </c>
      <c r="L723">
        <f t="shared" si="46"/>
        <v>43</v>
      </c>
      <c r="N723">
        <v>43</v>
      </c>
      <c r="O723">
        <v>43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4</v>
      </c>
      <c r="V723">
        <v>1</v>
      </c>
      <c r="W723">
        <v>1</v>
      </c>
      <c r="X723">
        <v>3</v>
      </c>
      <c r="Y723">
        <v>8</v>
      </c>
      <c r="Z723">
        <v>0</v>
      </c>
      <c r="AA723">
        <v>11</v>
      </c>
      <c r="AB723">
        <v>0</v>
      </c>
      <c r="AC723">
        <v>2</v>
      </c>
      <c r="AD723">
        <v>0</v>
      </c>
      <c r="AE723">
        <v>7</v>
      </c>
      <c r="AF723">
        <v>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4</v>
      </c>
      <c r="AO723">
        <v>1</v>
      </c>
      <c r="AP723">
        <v>1</v>
      </c>
      <c r="AQ723">
        <v>3</v>
      </c>
      <c r="AR723">
        <v>8</v>
      </c>
      <c r="AS723">
        <v>0</v>
      </c>
      <c r="AT723">
        <v>11</v>
      </c>
      <c r="AU723">
        <v>0</v>
      </c>
      <c r="AV723">
        <v>2</v>
      </c>
      <c r="AW723">
        <v>0</v>
      </c>
      <c r="AX723">
        <v>7</v>
      </c>
      <c r="AY723">
        <v>5</v>
      </c>
      <c r="AZ723">
        <v>0</v>
      </c>
      <c r="BA723">
        <v>0</v>
      </c>
      <c r="BB723">
        <v>0</v>
      </c>
      <c r="BC723" s="2">
        <v>0</v>
      </c>
      <c r="BD723" s="2">
        <v>0</v>
      </c>
      <c r="BE723" s="2">
        <v>0</v>
      </c>
      <c r="BF723" s="2">
        <v>1</v>
      </c>
      <c r="BG723" s="2">
        <v>4</v>
      </c>
      <c r="BH723" s="2">
        <v>1</v>
      </c>
      <c r="BI723" s="2">
        <v>1</v>
      </c>
      <c r="BJ723" s="2">
        <v>3</v>
      </c>
      <c r="BK723" s="2">
        <v>8</v>
      </c>
      <c r="BL723" s="2">
        <v>0</v>
      </c>
      <c r="BM723" s="2">
        <v>11</v>
      </c>
      <c r="BN723" s="2">
        <v>0</v>
      </c>
      <c r="BO723" s="2">
        <v>2</v>
      </c>
      <c r="BP723" s="2">
        <v>0</v>
      </c>
      <c r="BQ723" s="2">
        <v>7</v>
      </c>
      <c r="BR723" s="2">
        <v>5</v>
      </c>
      <c r="BS723" s="2">
        <v>0</v>
      </c>
      <c r="BT723" s="2">
        <v>0</v>
      </c>
      <c r="BU723" s="2">
        <v>0</v>
      </c>
      <c r="BV723" s="2">
        <f t="shared" si="49"/>
        <v>43</v>
      </c>
      <c r="BW723" s="16">
        <f t="shared" si="47"/>
        <v>2.263157894736842</v>
      </c>
      <c r="BX723" s="16">
        <f>COUNTIF($BC$6:BU723, "=0") / COUNTIF($BC$6:BU723, "&gt;-1")</f>
        <v>0.19586570884034599</v>
      </c>
      <c r="BY723" s="18">
        <f>SUM($BC$6:BU723) / $BY$4</f>
        <v>0.90182846268685501</v>
      </c>
      <c r="BZ723" s="14">
        <f t="shared" si="48"/>
        <v>9</v>
      </c>
      <c r="CA723" t="s">
        <v>5832</v>
      </c>
      <c r="CZ723" t="s">
        <v>9380</v>
      </c>
      <c r="DA723" t="s">
        <v>5904</v>
      </c>
      <c r="DB723">
        <v>314.3</v>
      </c>
      <c r="DC723" t="s">
        <v>24375</v>
      </c>
      <c r="DD723" t="s">
        <v>24376</v>
      </c>
      <c r="DE723" t="s">
        <v>24377</v>
      </c>
      <c r="DF723" t="s">
        <v>24378</v>
      </c>
      <c r="DG723" t="s">
        <v>24379</v>
      </c>
      <c r="DH723" t="str">
        <f>"UBE2N"</f>
        <v>UBE2N</v>
      </c>
      <c r="DI723" t="s">
        <v>24380</v>
      </c>
      <c r="DJ723" t="s">
        <v>13777</v>
      </c>
      <c r="DK723">
        <v>9606</v>
      </c>
      <c r="DL723" s="34" t="str">
        <f>HYPERLINK("http://www.uniprot.org/uniprot/P61088", "P61088")</f>
        <v>P61088</v>
      </c>
      <c r="DM723" t="s">
        <v>24381</v>
      </c>
      <c r="DN723" t="s">
        <v>24382</v>
      </c>
      <c r="DO723" t="s">
        <v>13912</v>
      </c>
      <c r="DP723" t="s">
        <v>13772</v>
      </c>
      <c r="DQ723" t="s">
        <v>13772</v>
      </c>
      <c r="DR723" t="s">
        <v>13772</v>
      </c>
      <c r="DS723" t="s">
        <v>13772</v>
      </c>
      <c r="DT723" t="s">
        <v>14005</v>
      </c>
      <c r="DU723" t="s">
        <v>14111</v>
      </c>
      <c r="DV723" t="s">
        <v>24383</v>
      </c>
      <c r="DW723" t="s">
        <v>13812</v>
      </c>
      <c r="DX723" t="s">
        <v>24384</v>
      </c>
      <c r="DY723" t="s">
        <v>24385</v>
      </c>
      <c r="DZ723" t="s">
        <v>24386</v>
      </c>
      <c r="EA723" t="s">
        <v>14116</v>
      </c>
      <c r="EB723" t="s">
        <v>24387</v>
      </c>
    </row>
    <row r="724" spans="1:132" hidden="1">
      <c r="A724">
        <v>1874</v>
      </c>
      <c r="B724">
        <v>1</v>
      </c>
      <c r="C724" t="s">
        <v>4424</v>
      </c>
      <c r="D724" t="s">
        <v>73</v>
      </c>
      <c r="E724" t="s">
        <v>73</v>
      </c>
      <c r="F724" t="s">
        <v>73</v>
      </c>
      <c r="G724" t="s">
        <v>73</v>
      </c>
      <c r="H724">
        <v>29.7</v>
      </c>
      <c r="I724">
        <v>518</v>
      </c>
      <c r="J724">
        <v>56404</v>
      </c>
      <c r="K724" t="s">
        <v>4425</v>
      </c>
      <c r="L724">
        <f t="shared" si="46"/>
        <v>43</v>
      </c>
      <c r="N724">
        <v>43</v>
      </c>
      <c r="O724">
        <v>43</v>
      </c>
      <c r="P724">
        <v>1</v>
      </c>
      <c r="Q724">
        <v>0</v>
      </c>
      <c r="R724">
        <v>3</v>
      </c>
      <c r="S724">
        <v>0</v>
      </c>
      <c r="T724">
        <v>0</v>
      </c>
      <c r="U724">
        <v>4</v>
      </c>
      <c r="V724">
        <v>5</v>
      </c>
      <c r="W724">
        <v>1</v>
      </c>
      <c r="X724">
        <v>2</v>
      </c>
      <c r="Y724">
        <v>8</v>
      </c>
      <c r="Z724">
        <v>0</v>
      </c>
      <c r="AA724">
        <v>10</v>
      </c>
      <c r="AB724">
        <v>3</v>
      </c>
      <c r="AC724">
        <v>4</v>
      </c>
      <c r="AD724">
        <v>0</v>
      </c>
      <c r="AE724">
        <v>1</v>
      </c>
      <c r="AF724">
        <v>0</v>
      </c>
      <c r="AG724">
        <v>2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4</v>
      </c>
      <c r="AO724">
        <v>5</v>
      </c>
      <c r="AP724">
        <v>1</v>
      </c>
      <c r="AQ724">
        <v>2</v>
      </c>
      <c r="AR724">
        <v>8</v>
      </c>
      <c r="AS724">
        <v>0</v>
      </c>
      <c r="AT724">
        <v>10</v>
      </c>
      <c r="AU724">
        <v>3</v>
      </c>
      <c r="AV724">
        <v>4</v>
      </c>
      <c r="AW724">
        <v>0</v>
      </c>
      <c r="AX724">
        <v>1</v>
      </c>
      <c r="AY724">
        <v>0</v>
      </c>
      <c r="AZ724">
        <v>2</v>
      </c>
      <c r="BA724">
        <v>0</v>
      </c>
      <c r="BB724">
        <v>0</v>
      </c>
      <c r="BC724" s="2">
        <v>0</v>
      </c>
      <c r="BD724" s="2">
        <v>3</v>
      </c>
      <c r="BE724" s="2">
        <v>0</v>
      </c>
      <c r="BF724" s="2">
        <v>0</v>
      </c>
      <c r="BG724" s="2">
        <v>4</v>
      </c>
      <c r="BH724" s="2">
        <v>5</v>
      </c>
      <c r="BI724" s="2">
        <v>1</v>
      </c>
      <c r="BJ724" s="2">
        <v>2</v>
      </c>
      <c r="BK724" s="2">
        <v>8</v>
      </c>
      <c r="BL724" s="2">
        <v>0</v>
      </c>
      <c r="BM724" s="2">
        <v>10</v>
      </c>
      <c r="BN724" s="2">
        <v>3</v>
      </c>
      <c r="BO724" s="2">
        <v>4</v>
      </c>
      <c r="BP724" s="2">
        <v>0</v>
      </c>
      <c r="BQ724" s="2">
        <v>1</v>
      </c>
      <c r="BR724" s="2">
        <v>0</v>
      </c>
      <c r="BS724" s="2">
        <v>2</v>
      </c>
      <c r="BT724" s="2">
        <v>0</v>
      </c>
      <c r="BU724" s="2">
        <v>0</v>
      </c>
      <c r="BV724" s="2">
        <f t="shared" si="49"/>
        <v>43</v>
      </c>
      <c r="BW724" s="16">
        <f t="shared" si="47"/>
        <v>2.263157894736842</v>
      </c>
      <c r="BX724" s="16">
        <f>COUNTIF($BC$6:BU724, "=0") / COUNTIF($BC$6:BU724, "&gt;-1")</f>
        <v>0.19617890344777103</v>
      </c>
      <c r="BY724" s="18">
        <f>SUM($BC$6:BU724) / $BY$4</f>
        <v>0.90201265907220907</v>
      </c>
      <c r="BZ724" s="14">
        <f t="shared" si="48"/>
        <v>8</v>
      </c>
      <c r="CA724" t="s">
        <v>5832</v>
      </c>
      <c r="CZ724" t="s">
        <v>12001</v>
      </c>
      <c r="DA724" t="s">
        <v>5904</v>
      </c>
      <c r="DB724">
        <v>974.5</v>
      </c>
      <c r="DC724" t="s">
        <v>31774</v>
      </c>
      <c r="DD724" t="s">
        <v>31775</v>
      </c>
      <c r="DE724" t="s">
        <v>31776</v>
      </c>
      <c r="DF724" t="s">
        <v>31777</v>
      </c>
      <c r="DG724" t="s">
        <v>31778</v>
      </c>
      <c r="DH724" t="str">
        <f>"ALDH9A1"</f>
        <v>ALDH9A1</v>
      </c>
      <c r="DI724" t="s">
        <v>31779</v>
      </c>
      <c r="DJ724" t="s">
        <v>13777</v>
      </c>
      <c r="DK724">
        <v>9606</v>
      </c>
      <c r="DL724" s="34" t="str">
        <f>HYPERLINK("http://www.uniprot.org/uniprot/P49189", "P49189")</f>
        <v>P49189</v>
      </c>
      <c r="DM724" t="s">
        <v>31780</v>
      </c>
      <c r="DN724" t="s">
        <v>13772</v>
      </c>
      <c r="DO724" t="s">
        <v>13899</v>
      </c>
      <c r="DP724" t="s">
        <v>19227</v>
      </c>
      <c r="DQ724" t="s">
        <v>13772</v>
      </c>
      <c r="DR724" t="s">
        <v>13772</v>
      </c>
      <c r="DS724" t="s">
        <v>13772</v>
      </c>
      <c r="DT724" t="s">
        <v>14492</v>
      </c>
      <c r="DU724" t="s">
        <v>13885</v>
      </c>
      <c r="DV724" t="s">
        <v>14020</v>
      </c>
      <c r="DW724" t="s">
        <v>13812</v>
      </c>
      <c r="DX724" t="s">
        <v>31781</v>
      </c>
      <c r="DY724" t="s">
        <v>14194</v>
      </c>
      <c r="DZ724" t="s">
        <v>31782</v>
      </c>
      <c r="EA724" t="s">
        <v>31783</v>
      </c>
      <c r="EB724" t="s">
        <v>31784</v>
      </c>
    </row>
    <row r="725" spans="1:132" hidden="1">
      <c r="A725">
        <v>1987</v>
      </c>
      <c r="B725">
        <v>1</v>
      </c>
      <c r="C725" t="s">
        <v>4677</v>
      </c>
      <c r="D725" t="s">
        <v>4678</v>
      </c>
      <c r="E725" t="s">
        <v>73</v>
      </c>
      <c r="F725" t="s">
        <v>73</v>
      </c>
      <c r="G725" t="s">
        <v>73</v>
      </c>
      <c r="H725">
        <v>49</v>
      </c>
      <c r="I725">
        <v>210</v>
      </c>
      <c r="J725">
        <v>23258</v>
      </c>
      <c r="K725" t="s">
        <v>4679</v>
      </c>
      <c r="L725">
        <f t="shared" si="46"/>
        <v>43</v>
      </c>
      <c r="N725">
        <v>43</v>
      </c>
      <c r="O725">
        <v>43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1</v>
      </c>
      <c r="Y725">
        <v>7</v>
      </c>
      <c r="Z725">
        <v>0</v>
      </c>
      <c r="AA725">
        <v>6</v>
      </c>
      <c r="AB725">
        <v>0</v>
      </c>
      <c r="AC725">
        <v>6</v>
      </c>
      <c r="AD725">
        <v>0</v>
      </c>
      <c r="AE725">
        <v>12</v>
      </c>
      <c r="AF725">
        <v>5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4</v>
      </c>
      <c r="AO725">
        <v>0</v>
      </c>
      <c r="AP725">
        <v>0</v>
      </c>
      <c r="AQ725">
        <v>1</v>
      </c>
      <c r="AR725">
        <v>7</v>
      </c>
      <c r="AS725">
        <v>0</v>
      </c>
      <c r="AT725">
        <v>6</v>
      </c>
      <c r="AU725">
        <v>0</v>
      </c>
      <c r="AV725">
        <v>6</v>
      </c>
      <c r="AW725">
        <v>0</v>
      </c>
      <c r="AX725">
        <v>12</v>
      </c>
      <c r="AY725">
        <v>5</v>
      </c>
      <c r="AZ725">
        <v>0</v>
      </c>
      <c r="BA725">
        <v>0</v>
      </c>
      <c r="BB725">
        <v>1</v>
      </c>
      <c r="BC725" s="2">
        <v>1</v>
      </c>
      <c r="BD725" s="2">
        <v>0</v>
      </c>
      <c r="BE725" s="2">
        <v>0</v>
      </c>
      <c r="BF725" s="2">
        <v>0</v>
      </c>
      <c r="BG725" s="2">
        <v>4</v>
      </c>
      <c r="BH725" s="2">
        <v>0</v>
      </c>
      <c r="BI725" s="2">
        <v>0</v>
      </c>
      <c r="BJ725" s="2">
        <v>1</v>
      </c>
      <c r="BK725" s="2">
        <v>7</v>
      </c>
      <c r="BL725" s="2">
        <v>0</v>
      </c>
      <c r="BM725" s="2">
        <v>6</v>
      </c>
      <c r="BN725" s="2">
        <v>0</v>
      </c>
      <c r="BO725" s="2">
        <v>6</v>
      </c>
      <c r="BP725" s="2">
        <v>0</v>
      </c>
      <c r="BQ725" s="2">
        <v>12</v>
      </c>
      <c r="BR725" s="2">
        <v>5</v>
      </c>
      <c r="BS725" s="2">
        <v>0</v>
      </c>
      <c r="BT725" s="2">
        <v>0</v>
      </c>
      <c r="BU725" s="2">
        <v>1</v>
      </c>
      <c r="BV725" s="2">
        <f t="shared" si="49"/>
        <v>43</v>
      </c>
      <c r="BW725" s="16">
        <f t="shared" si="47"/>
        <v>2.263157894736842</v>
      </c>
      <c r="BX725" s="16">
        <f>COUNTIF($BC$6:BU725, "=0") / COUNTIF($BC$6:BU725, "&gt;-1")</f>
        <v>0.19663742690058481</v>
      </c>
      <c r="BY725" s="18">
        <f>SUM($BC$6:BU725) / $BY$4</f>
        <v>0.90219685545756323</v>
      </c>
      <c r="BZ725" s="14">
        <f t="shared" si="48"/>
        <v>10</v>
      </c>
      <c r="CA725" t="s">
        <v>5832</v>
      </c>
      <c r="CZ725" t="s">
        <v>12378</v>
      </c>
      <c r="DA725" t="s">
        <v>5904</v>
      </c>
      <c r="DB725">
        <v>380.6</v>
      </c>
      <c r="DC725" t="s">
        <v>32840</v>
      </c>
      <c r="DD725" t="s">
        <v>32841</v>
      </c>
      <c r="DE725" t="s">
        <v>32842</v>
      </c>
      <c r="DF725" t="s">
        <v>32843</v>
      </c>
      <c r="DG725" t="s">
        <v>32844</v>
      </c>
      <c r="DH725" t="str">
        <f>"AK1"</f>
        <v>AK1</v>
      </c>
      <c r="DI725" t="s">
        <v>13772</v>
      </c>
      <c r="DJ725" t="s">
        <v>13777</v>
      </c>
      <c r="DK725">
        <v>9606</v>
      </c>
      <c r="DL725" s="34" t="str">
        <f>HYPERLINK("http://www.uniprot.org/uniprot/P00568", "P00568")</f>
        <v>P00568</v>
      </c>
      <c r="DM725" t="s">
        <v>32845</v>
      </c>
      <c r="DN725" t="s">
        <v>13772</v>
      </c>
      <c r="DO725" t="s">
        <v>13899</v>
      </c>
      <c r="DP725" t="s">
        <v>13793</v>
      </c>
      <c r="DQ725" t="s">
        <v>13772</v>
      </c>
      <c r="DR725" t="s">
        <v>17205</v>
      </c>
      <c r="DS725" t="s">
        <v>13772</v>
      </c>
      <c r="DT725" t="s">
        <v>14005</v>
      </c>
      <c r="DU725" t="s">
        <v>14006</v>
      </c>
      <c r="DV725" t="s">
        <v>13886</v>
      </c>
      <c r="DW725" t="s">
        <v>13812</v>
      </c>
      <c r="DX725" t="s">
        <v>32846</v>
      </c>
      <c r="DY725" t="s">
        <v>15111</v>
      </c>
      <c r="DZ725" t="s">
        <v>32847</v>
      </c>
      <c r="EA725" t="s">
        <v>13772</v>
      </c>
      <c r="EB725" t="s">
        <v>16974</v>
      </c>
    </row>
    <row r="726" spans="1:132" hidden="1">
      <c r="A726">
        <v>2142</v>
      </c>
      <c r="B726">
        <v>1</v>
      </c>
      <c r="C726" t="s">
        <v>5022</v>
      </c>
      <c r="D726" t="s">
        <v>73</v>
      </c>
      <c r="E726" t="s">
        <v>73</v>
      </c>
      <c r="F726" t="s">
        <v>73</v>
      </c>
      <c r="G726" t="s">
        <v>73</v>
      </c>
      <c r="H726">
        <v>37</v>
      </c>
      <c r="I726">
        <v>432</v>
      </c>
      <c r="J726">
        <v>47729</v>
      </c>
      <c r="K726" t="s">
        <v>5023</v>
      </c>
      <c r="L726">
        <f t="shared" si="46"/>
        <v>43</v>
      </c>
      <c r="N726">
        <v>43</v>
      </c>
      <c r="O726">
        <v>43</v>
      </c>
      <c r="P726">
        <v>1</v>
      </c>
      <c r="Q726">
        <v>0</v>
      </c>
      <c r="R726">
        <v>3</v>
      </c>
      <c r="S726">
        <v>0</v>
      </c>
      <c r="T726">
        <v>0</v>
      </c>
      <c r="U726">
        <v>2</v>
      </c>
      <c r="V726">
        <v>1</v>
      </c>
      <c r="W726">
        <v>1</v>
      </c>
      <c r="X726">
        <v>5</v>
      </c>
      <c r="Y726">
        <v>7</v>
      </c>
      <c r="Z726">
        <v>0</v>
      </c>
      <c r="AA726">
        <v>10</v>
      </c>
      <c r="AB726">
        <v>4</v>
      </c>
      <c r="AC726">
        <v>4</v>
      </c>
      <c r="AD726">
        <v>0</v>
      </c>
      <c r="AE726">
        <v>3</v>
      </c>
      <c r="AF726">
        <v>1</v>
      </c>
      <c r="AG726">
        <v>0</v>
      </c>
      <c r="AH726">
        <v>2</v>
      </c>
      <c r="AI726">
        <v>0</v>
      </c>
      <c r="AJ726">
        <v>0</v>
      </c>
      <c r="AK726">
        <v>3</v>
      </c>
      <c r="AL726">
        <v>0</v>
      </c>
      <c r="AM726">
        <v>0</v>
      </c>
      <c r="AN726">
        <v>2</v>
      </c>
      <c r="AO726">
        <v>1</v>
      </c>
      <c r="AP726">
        <v>1</v>
      </c>
      <c r="AQ726">
        <v>5</v>
      </c>
      <c r="AR726">
        <v>7</v>
      </c>
      <c r="AS726">
        <v>0</v>
      </c>
      <c r="AT726">
        <v>10</v>
      </c>
      <c r="AU726">
        <v>4</v>
      </c>
      <c r="AV726">
        <v>4</v>
      </c>
      <c r="AW726">
        <v>0</v>
      </c>
      <c r="AX726">
        <v>3</v>
      </c>
      <c r="AY726">
        <v>1</v>
      </c>
      <c r="AZ726">
        <v>0</v>
      </c>
      <c r="BA726">
        <v>2</v>
      </c>
      <c r="BB726">
        <v>0</v>
      </c>
      <c r="BC726" s="2">
        <v>0</v>
      </c>
      <c r="BD726" s="2">
        <v>3</v>
      </c>
      <c r="BE726" s="2">
        <v>0</v>
      </c>
      <c r="BF726" s="2">
        <v>0</v>
      </c>
      <c r="BG726" s="2">
        <v>2</v>
      </c>
      <c r="BH726" s="2">
        <v>1</v>
      </c>
      <c r="BI726" s="2">
        <v>1</v>
      </c>
      <c r="BJ726" s="2">
        <v>5</v>
      </c>
      <c r="BK726" s="2">
        <v>7</v>
      </c>
      <c r="BL726" s="2">
        <v>0</v>
      </c>
      <c r="BM726" s="2">
        <v>10</v>
      </c>
      <c r="BN726" s="2">
        <v>4</v>
      </c>
      <c r="BO726" s="2">
        <v>4</v>
      </c>
      <c r="BP726" s="2">
        <v>0</v>
      </c>
      <c r="BQ726" s="2">
        <v>3</v>
      </c>
      <c r="BR726" s="2">
        <v>1</v>
      </c>
      <c r="BS726" s="2">
        <v>0</v>
      </c>
      <c r="BT726" s="2">
        <v>2</v>
      </c>
      <c r="BU726" s="2">
        <v>0</v>
      </c>
      <c r="BV726" s="2">
        <f t="shared" si="49"/>
        <v>43</v>
      </c>
      <c r="BW726" s="16">
        <f t="shared" si="47"/>
        <v>2.263157894736842</v>
      </c>
      <c r="BX726" s="16">
        <f>COUNTIF($BC$6:BU726, "=0") / COUNTIF($BC$6:BU726, "&gt;-1")</f>
        <v>0.19687568435652236</v>
      </c>
      <c r="BY726" s="18">
        <f>SUM($BC$6:BU726) / $BY$4</f>
        <v>0.90238105184291739</v>
      </c>
      <c r="BZ726" s="14">
        <f t="shared" si="48"/>
        <v>7</v>
      </c>
      <c r="CA726" t="s">
        <v>5832</v>
      </c>
      <c r="CZ726" t="s">
        <v>12886</v>
      </c>
      <c r="DA726" t="s">
        <v>5904</v>
      </c>
      <c r="DB726">
        <v>867.5</v>
      </c>
      <c r="DC726" t="s">
        <v>34249</v>
      </c>
      <c r="DD726" t="s">
        <v>34250</v>
      </c>
      <c r="DE726" t="s">
        <v>34251</v>
      </c>
      <c r="DF726" t="s">
        <v>34252</v>
      </c>
      <c r="DG726" t="s">
        <v>34253</v>
      </c>
      <c r="DH726" t="str">
        <f>"AHCY"</f>
        <v>AHCY</v>
      </c>
      <c r="DI726" t="s">
        <v>34254</v>
      </c>
      <c r="DJ726" t="s">
        <v>13777</v>
      </c>
      <c r="DK726">
        <v>9606</v>
      </c>
      <c r="DL726" s="34" t="str">
        <f>HYPERLINK("http://www.uniprot.org/uniprot/P23526", "P23526")</f>
        <v>P23526</v>
      </c>
      <c r="DM726" t="s">
        <v>34255</v>
      </c>
      <c r="DN726" t="s">
        <v>14132</v>
      </c>
      <c r="DO726" t="s">
        <v>13899</v>
      </c>
      <c r="DP726" t="s">
        <v>13780</v>
      </c>
      <c r="DQ726" t="s">
        <v>13772</v>
      </c>
      <c r="DR726" t="s">
        <v>13807</v>
      </c>
      <c r="DS726" t="s">
        <v>13772</v>
      </c>
      <c r="DT726" t="s">
        <v>14492</v>
      </c>
      <c r="DU726" t="s">
        <v>13857</v>
      </c>
      <c r="DV726" t="s">
        <v>13886</v>
      </c>
      <c r="DW726" t="s">
        <v>13812</v>
      </c>
      <c r="DX726" t="s">
        <v>34256</v>
      </c>
      <c r="DY726" t="s">
        <v>34257</v>
      </c>
      <c r="DZ726" t="s">
        <v>34258</v>
      </c>
      <c r="EA726" t="s">
        <v>16564</v>
      </c>
      <c r="EB726" t="s">
        <v>34259</v>
      </c>
    </row>
    <row r="727" spans="1:132" hidden="1">
      <c r="A727">
        <v>2289</v>
      </c>
      <c r="B727">
        <v>1</v>
      </c>
      <c r="C727" t="s">
        <v>5348</v>
      </c>
      <c r="D727" t="s">
        <v>5349</v>
      </c>
      <c r="E727" t="s">
        <v>73</v>
      </c>
      <c r="F727" t="s">
        <v>73</v>
      </c>
      <c r="G727" t="s">
        <v>73</v>
      </c>
      <c r="H727">
        <v>32.1</v>
      </c>
      <c r="I727">
        <v>763</v>
      </c>
      <c r="J727">
        <v>82904</v>
      </c>
      <c r="K727" t="s">
        <v>5350</v>
      </c>
      <c r="L727">
        <f t="shared" si="46"/>
        <v>43</v>
      </c>
      <c r="N727">
        <v>43</v>
      </c>
      <c r="O727">
        <v>43</v>
      </c>
      <c r="P727">
        <v>1</v>
      </c>
      <c r="Q727">
        <v>1</v>
      </c>
      <c r="R727">
        <v>5</v>
      </c>
      <c r="S727">
        <v>0</v>
      </c>
      <c r="T727">
        <v>0</v>
      </c>
      <c r="U727">
        <v>3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11</v>
      </c>
      <c r="AB727">
        <v>16</v>
      </c>
      <c r="AC727">
        <v>1</v>
      </c>
      <c r="AD727">
        <v>0</v>
      </c>
      <c r="AE727">
        <v>3</v>
      </c>
      <c r="AF727">
        <v>2</v>
      </c>
      <c r="AG727">
        <v>0</v>
      </c>
      <c r="AH727">
        <v>0</v>
      </c>
      <c r="AI727">
        <v>0</v>
      </c>
      <c r="AJ727">
        <v>1</v>
      </c>
      <c r="AK727">
        <v>5</v>
      </c>
      <c r="AL727">
        <v>0</v>
      </c>
      <c r="AM727">
        <v>0</v>
      </c>
      <c r="AN727">
        <v>3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11</v>
      </c>
      <c r="AU727">
        <v>16</v>
      </c>
      <c r="AV727">
        <v>1</v>
      </c>
      <c r="AW727">
        <v>0</v>
      </c>
      <c r="AX727">
        <v>3</v>
      </c>
      <c r="AY727">
        <v>2</v>
      </c>
      <c r="AZ727">
        <v>0</v>
      </c>
      <c r="BA727">
        <v>0</v>
      </c>
      <c r="BB727">
        <v>0</v>
      </c>
      <c r="BC727" s="2">
        <v>1</v>
      </c>
      <c r="BD727" s="2">
        <v>5</v>
      </c>
      <c r="BE727" s="2">
        <v>0</v>
      </c>
      <c r="BF727" s="2">
        <v>0</v>
      </c>
      <c r="BG727" s="2">
        <v>3</v>
      </c>
      <c r="BH727" s="2">
        <v>0</v>
      </c>
      <c r="BI727" s="2">
        <v>0</v>
      </c>
      <c r="BJ727" s="2">
        <v>1</v>
      </c>
      <c r="BK727" s="2">
        <v>0</v>
      </c>
      <c r="BL727" s="2">
        <v>0</v>
      </c>
      <c r="BM727" s="2">
        <v>11</v>
      </c>
      <c r="BN727" s="2">
        <v>16</v>
      </c>
      <c r="BO727" s="2">
        <v>1</v>
      </c>
      <c r="BP727" s="2">
        <v>0</v>
      </c>
      <c r="BQ727" s="2">
        <v>3</v>
      </c>
      <c r="BR727" s="2">
        <v>2</v>
      </c>
      <c r="BS727" s="2">
        <v>0</v>
      </c>
      <c r="BT727" s="2">
        <v>0</v>
      </c>
      <c r="BU727" s="2">
        <v>0</v>
      </c>
      <c r="BV727" s="2">
        <f t="shared" si="49"/>
        <v>43</v>
      </c>
      <c r="BW727" s="16">
        <f t="shared" si="47"/>
        <v>2.263157894736842</v>
      </c>
      <c r="BX727" s="16">
        <f>COUNTIF($BC$6:BU727, "=0") / COUNTIF($BC$6:BU727, "&gt;-1")</f>
        <v>0.19733197259075666</v>
      </c>
      <c r="BY727" s="18">
        <f>SUM($BC$6:BU727) / $BY$4</f>
        <v>0.90256524822827144</v>
      </c>
      <c r="BZ727" s="14">
        <f t="shared" si="48"/>
        <v>10</v>
      </c>
      <c r="CA727" t="s">
        <v>5832</v>
      </c>
      <c r="CZ727" t="s">
        <v>13375</v>
      </c>
      <c r="DA727" t="s">
        <v>5904</v>
      </c>
      <c r="DB727">
        <v>1420.6</v>
      </c>
      <c r="DC727" t="s">
        <v>35619</v>
      </c>
      <c r="DD727" t="s">
        <v>35620</v>
      </c>
      <c r="DE727" t="s">
        <v>35621</v>
      </c>
      <c r="DF727" t="s">
        <v>35622</v>
      </c>
      <c r="DG727" t="s">
        <v>35623</v>
      </c>
      <c r="DH727" t="str">
        <f>"HADHA"</f>
        <v>HADHA</v>
      </c>
      <c r="DI727" t="s">
        <v>35624</v>
      </c>
      <c r="DJ727" t="s">
        <v>13777</v>
      </c>
      <c r="DK727">
        <v>9606</v>
      </c>
      <c r="DL727" s="34" t="str">
        <f>HYPERLINK("http://www.uniprot.org/uniprot/P40939", "P40939")</f>
        <v>P40939</v>
      </c>
      <c r="DM727" t="s">
        <v>35625</v>
      </c>
      <c r="DN727" t="s">
        <v>14430</v>
      </c>
      <c r="DO727" t="s">
        <v>14491</v>
      </c>
      <c r="DP727" t="s">
        <v>13780</v>
      </c>
      <c r="DQ727" t="s">
        <v>13772</v>
      </c>
      <c r="DR727" t="s">
        <v>13807</v>
      </c>
      <c r="DS727" t="s">
        <v>14391</v>
      </c>
      <c r="DT727" t="s">
        <v>14492</v>
      </c>
      <c r="DU727" t="s">
        <v>35626</v>
      </c>
      <c r="DV727" t="s">
        <v>14098</v>
      </c>
      <c r="DW727" t="s">
        <v>13812</v>
      </c>
      <c r="DX727" t="s">
        <v>35627</v>
      </c>
      <c r="DY727" t="s">
        <v>35628</v>
      </c>
      <c r="DZ727" t="s">
        <v>35629</v>
      </c>
      <c r="EA727" t="s">
        <v>17197</v>
      </c>
      <c r="EB727" t="s">
        <v>35630</v>
      </c>
    </row>
    <row r="728" spans="1:132" hidden="1">
      <c r="A728">
        <v>2426</v>
      </c>
      <c r="B728">
        <v>1</v>
      </c>
      <c r="C728" t="s">
        <v>5674</v>
      </c>
      <c r="D728" t="s">
        <v>73</v>
      </c>
      <c r="E728" t="s">
        <v>5675</v>
      </c>
      <c r="F728" t="s">
        <v>5669</v>
      </c>
      <c r="G728" t="s">
        <v>73</v>
      </c>
      <c r="H728">
        <v>66.099999999999994</v>
      </c>
      <c r="I728">
        <v>248</v>
      </c>
      <c r="J728">
        <v>28622</v>
      </c>
      <c r="K728" t="s">
        <v>5676</v>
      </c>
      <c r="L728">
        <f t="shared" si="46"/>
        <v>118</v>
      </c>
      <c r="N728">
        <v>118</v>
      </c>
      <c r="O728">
        <v>6</v>
      </c>
      <c r="P728">
        <v>5.0999999999999997E-2</v>
      </c>
      <c r="Q728">
        <v>1</v>
      </c>
      <c r="R728">
        <v>2</v>
      </c>
      <c r="S728">
        <v>0</v>
      </c>
      <c r="T728">
        <v>2</v>
      </c>
      <c r="U728">
        <v>3</v>
      </c>
      <c r="V728">
        <v>2</v>
      </c>
      <c r="W728">
        <v>2</v>
      </c>
      <c r="X728">
        <v>4</v>
      </c>
      <c r="Y728">
        <v>16</v>
      </c>
      <c r="Z728">
        <v>6</v>
      </c>
      <c r="AA728">
        <v>13</v>
      </c>
      <c r="AB728">
        <v>11</v>
      </c>
      <c r="AC728">
        <v>9</v>
      </c>
      <c r="AD728">
        <v>1</v>
      </c>
      <c r="AE728">
        <v>25</v>
      </c>
      <c r="AF728">
        <v>13</v>
      </c>
      <c r="AG728">
        <v>1</v>
      </c>
      <c r="AH728">
        <v>2</v>
      </c>
      <c r="AI728">
        <v>5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s="2">
        <v>3.7999999999999999E-2</v>
      </c>
      <c r="BD728" s="2">
        <v>1.038</v>
      </c>
      <c r="BE728" s="2">
        <v>0</v>
      </c>
      <c r="BF728" s="2">
        <v>7.6999999999999999E-2</v>
      </c>
      <c r="BG728" s="2">
        <v>1.135</v>
      </c>
      <c r="BH728" s="2">
        <v>1.038</v>
      </c>
      <c r="BI728" s="2">
        <v>2</v>
      </c>
      <c r="BJ728" s="2">
        <v>2.1349999999999998</v>
      </c>
      <c r="BK728" s="2">
        <v>5.5979999999999999</v>
      </c>
      <c r="BL728" s="2">
        <v>0.28899999999999998</v>
      </c>
      <c r="BM728" s="2">
        <v>3.56</v>
      </c>
      <c r="BN728" s="2">
        <v>3.5409999999999999</v>
      </c>
      <c r="BO728" s="2">
        <v>1.4830000000000001</v>
      </c>
      <c r="BP728" s="2">
        <v>9.7000000000000003E-2</v>
      </c>
      <c r="BQ728" s="2">
        <v>11.83</v>
      </c>
      <c r="BR728" s="2">
        <v>6.5019999999999998</v>
      </c>
      <c r="BS728" s="2">
        <v>9.7000000000000003E-2</v>
      </c>
      <c r="BT728" s="2">
        <v>0.13500000000000001</v>
      </c>
      <c r="BU728" s="2">
        <v>2.2320000000000002</v>
      </c>
      <c r="BV728" s="2">
        <f t="shared" si="49"/>
        <v>42.825000000000003</v>
      </c>
      <c r="BW728" s="16">
        <f t="shared" si="47"/>
        <v>2.2539473684210529</v>
      </c>
      <c r="BX728" s="16">
        <f>COUNTIF($BC$6:BU728, "=0") / COUNTIF($BC$6:BU728, "&gt;-1")</f>
        <v>0.19713183373371188</v>
      </c>
      <c r="BY728" s="18">
        <f>SUM($BC$6:BU728) / $BY$4</f>
        <v>0.90274869497717358</v>
      </c>
      <c r="BZ728" s="14">
        <f t="shared" si="48"/>
        <v>1</v>
      </c>
      <c r="CA728" t="s">
        <v>5832</v>
      </c>
      <c r="CZ728" t="s">
        <v>6207</v>
      </c>
      <c r="DA728" t="s">
        <v>5904</v>
      </c>
      <c r="DB728">
        <v>362.8</v>
      </c>
      <c r="DC728" t="s">
        <v>14854</v>
      </c>
      <c r="DD728" t="s">
        <v>14855</v>
      </c>
      <c r="DE728" t="s">
        <v>14856</v>
      </c>
      <c r="DF728" t="s">
        <v>14857</v>
      </c>
      <c r="DG728" t="s">
        <v>14858</v>
      </c>
      <c r="DH728" t="str">
        <f>"TPM4"</f>
        <v>TPM4</v>
      </c>
      <c r="DI728" t="s">
        <v>13772</v>
      </c>
      <c r="DJ728" t="s">
        <v>13777</v>
      </c>
      <c r="DK728">
        <v>9606</v>
      </c>
      <c r="DL728" s="34" t="str">
        <f>HYPERLINK("http://www.uniprot.org/uniprot/P67936", "P67936")</f>
        <v>P67936</v>
      </c>
      <c r="DM728" t="s">
        <v>14859</v>
      </c>
      <c r="DN728" t="s">
        <v>13772</v>
      </c>
      <c r="DO728" t="s">
        <v>13988</v>
      </c>
      <c r="DP728" t="s">
        <v>13780</v>
      </c>
      <c r="DQ728" t="s">
        <v>13772</v>
      </c>
      <c r="DR728" t="s">
        <v>13772</v>
      </c>
      <c r="DS728" t="s">
        <v>14245</v>
      </c>
      <c r="DT728" t="s">
        <v>13873</v>
      </c>
      <c r="DU728" t="s">
        <v>14849</v>
      </c>
      <c r="DV728" t="s">
        <v>13886</v>
      </c>
      <c r="DW728" t="s">
        <v>13772</v>
      </c>
      <c r="DX728" t="s">
        <v>14860</v>
      </c>
      <c r="DY728" t="s">
        <v>14861</v>
      </c>
      <c r="DZ728" t="s">
        <v>14862</v>
      </c>
      <c r="EA728" t="s">
        <v>13772</v>
      </c>
      <c r="EB728" t="s">
        <v>14853</v>
      </c>
    </row>
    <row r="729" spans="1:132" hidden="1">
      <c r="A729">
        <v>648</v>
      </c>
      <c r="B729">
        <v>1</v>
      </c>
      <c r="C729" t="s">
        <v>1602</v>
      </c>
      <c r="D729" t="s">
        <v>73</v>
      </c>
      <c r="E729" t="s">
        <v>73</v>
      </c>
      <c r="F729" t="s">
        <v>1603</v>
      </c>
      <c r="G729" t="s">
        <v>73</v>
      </c>
      <c r="H729">
        <v>33.9</v>
      </c>
      <c r="I729">
        <v>298</v>
      </c>
      <c r="J729">
        <v>33966</v>
      </c>
      <c r="K729" t="s">
        <v>1604</v>
      </c>
      <c r="L729">
        <f t="shared" si="46"/>
        <v>85</v>
      </c>
      <c r="N729">
        <v>85</v>
      </c>
      <c r="O729">
        <v>16</v>
      </c>
      <c r="P729">
        <v>0.188</v>
      </c>
      <c r="Q729">
        <v>0</v>
      </c>
      <c r="R729">
        <v>5</v>
      </c>
      <c r="S729">
        <v>1</v>
      </c>
      <c r="T729">
        <v>1</v>
      </c>
      <c r="U729">
        <v>5</v>
      </c>
      <c r="V729">
        <v>3</v>
      </c>
      <c r="W729">
        <v>1</v>
      </c>
      <c r="X729">
        <v>3</v>
      </c>
      <c r="Y729">
        <v>14</v>
      </c>
      <c r="Z729">
        <v>2</v>
      </c>
      <c r="AA729">
        <v>17</v>
      </c>
      <c r="AB729">
        <v>18</v>
      </c>
      <c r="AC729">
        <v>5</v>
      </c>
      <c r="AD729">
        <v>1</v>
      </c>
      <c r="AE729">
        <v>5</v>
      </c>
      <c r="AF729">
        <v>2</v>
      </c>
      <c r="AG729">
        <v>2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2</v>
      </c>
      <c r="AS729">
        <v>1</v>
      </c>
      <c r="AT729">
        <v>2</v>
      </c>
      <c r="AU729">
        <v>2</v>
      </c>
      <c r="AV729">
        <v>1</v>
      </c>
      <c r="AW729">
        <v>0</v>
      </c>
      <c r="AX729">
        <v>3</v>
      </c>
      <c r="AY729">
        <v>1</v>
      </c>
      <c r="AZ729">
        <v>1</v>
      </c>
      <c r="BA729">
        <v>0</v>
      </c>
      <c r="BB729">
        <v>0</v>
      </c>
      <c r="BC729" s="2">
        <v>0</v>
      </c>
      <c r="BD729" s="2">
        <v>2.496</v>
      </c>
      <c r="BE729" s="2">
        <v>0.39</v>
      </c>
      <c r="BF729" s="2">
        <v>0.34799999999999998</v>
      </c>
      <c r="BG729" s="2">
        <v>1.9379999999999999</v>
      </c>
      <c r="BH729" s="2">
        <v>1.748</v>
      </c>
      <c r="BI729" s="2">
        <v>0.4</v>
      </c>
      <c r="BJ729" s="2">
        <v>1.748</v>
      </c>
      <c r="BK729" s="2">
        <v>6.5620000000000003</v>
      </c>
      <c r="BL729" s="2">
        <v>1.4</v>
      </c>
      <c r="BM729" s="2">
        <v>7.72</v>
      </c>
      <c r="BN729" s="2">
        <v>8.0670000000000002</v>
      </c>
      <c r="BO729" s="2">
        <v>2.59</v>
      </c>
      <c r="BP729" s="2">
        <v>0.4</v>
      </c>
      <c r="BQ729" s="2">
        <v>3.79</v>
      </c>
      <c r="BR729" s="2">
        <v>1.39</v>
      </c>
      <c r="BS729" s="2">
        <v>1.4</v>
      </c>
      <c r="BT729" s="2">
        <v>0</v>
      </c>
      <c r="BU729" s="2">
        <v>0</v>
      </c>
      <c r="BV729" s="2">
        <f t="shared" si="49"/>
        <v>42.386999999999993</v>
      </c>
      <c r="BW729" s="16">
        <f t="shared" si="47"/>
        <v>2.2308947368421048</v>
      </c>
      <c r="BX729" s="16">
        <f>COUNTIF($BC$6:BU729, "=0") / COUNTIF($BC$6:BU729, "&gt;-1")</f>
        <v>0.19707763884850246</v>
      </c>
      <c r="BY729" s="18">
        <f>SUM($BC$6:BU729) / $BY$4</f>
        <v>0.90293026549312727</v>
      </c>
      <c r="BZ729" s="14">
        <f t="shared" si="48"/>
        <v>3</v>
      </c>
      <c r="CA729" t="s">
        <v>5832</v>
      </c>
      <c r="CZ729" t="s">
        <v>7927</v>
      </c>
      <c r="DA729" t="s">
        <v>5904</v>
      </c>
      <c r="DB729">
        <v>626.70000000000005</v>
      </c>
      <c r="DC729" t="s">
        <v>20176</v>
      </c>
      <c r="DD729" t="s">
        <v>20177</v>
      </c>
      <c r="DE729" t="s">
        <v>20178</v>
      </c>
      <c r="DF729" t="s">
        <v>20179</v>
      </c>
      <c r="DG729" t="s">
        <v>20180</v>
      </c>
      <c r="DH729" t="str">
        <f>"TUBB"</f>
        <v>TUBB</v>
      </c>
      <c r="DI729" t="s">
        <v>20181</v>
      </c>
      <c r="DJ729" t="s">
        <v>13777</v>
      </c>
      <c r="DK729">
        <v>9606</v>
      </c>
      <c r="DL729" s="34" t="str">
        <f>HYPERLINK("http://www.uniprot.org/uniprot/P07437", "P07437")</f>
        <v>P07437</v>
      </c>
      <c r="DM729" t="s">
        <v>20182</v>
      </c>
      <c r="DN729" t="s">
        <v>13772</v>
      </c>
      <c r="DO729" t="s">
        <v>20183</v>
      </c>
      <c r="DP729" t="s">
        <v>13772</v>
      </c>
      <c r="DQ729" t="s">
        <v>13772</v>
      </c>
      <c r="DR729" t="s">
        <v>13807</v>
      </c>
      <c r="DS729" t="s">
        <v>13772</v>
      </c>
      <c r="DT729" t="s">
        <v>14216</v>
      </c>
      <c r="DU729" t="s">
        <v>13772</v>
      </c>
      <c r="DV729" t="s">
        <v>14663</v>
      </c>
      <c r="DW729" t="s">
        <v>13812</v>
      </c>
      <c r="DX729" t="s">
        <v>20184</v>
      </c>
      <c r="DY729" t="s">
        <v>20185</v>
      </c>
      <c r="DZ729" t="s">
        <v>20186</v>
      </c>
      <c r="EA729" t="s">
        <v>13772</v>
      </c>
      <c r="EB729" t="s">
        <v>20187</v>
      </c>
    </row>
    <row r="730" spans="1:132" hidden="1">
      <c r="A730">
        <v>1350</v>
      </c>
      <c r="B730">
        <v>1</v>
      </c>
      <c r="C730" t="s">
        <v>3230</v>
      </c>
      <c r="D730" t="s">
        <v>73</v>
      </c>
      <c r="E730" t="s">
        <v>73</v>
      </c>
      <c r="F730" t="s">
        <v>2364</v>
      </c>
      <c r="G730" t="s">
        <v>73</v>
      </c>
      <c r="H730">
        <v>40.9</v>
      </c>
      <c r="I730">
        <v>181</v>
      </c>
      <c r="J730">
        <v>20862</v>
      </c>
      <c r="K730" t="s">
        <v>3231</v>
      </c>
      <c r="L730">
        <f t="shared" si="46"/>
        <v>45</v>
      </c>
      <c r="N730">
        <v>45</v>
      </c>
      <c r="O730">
        <v>39</v>
      </c>
      <c r="P730">
        <v>0.86699999999999999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16</v>
      </c>
      <c r="Z730">
        <v>0</v>
      </c>
      <c r="AA730">
        <v>6</v>
      </c>
      <c r="AB730">
        <v>3</v>
      </c>
      <c r="AC730">
        <v>9</v>
      </c>
      <c r="AD730">
        <v>0</v>
      </c>
      <c r="AE730">
        <v>4</v>
      </c>
      <c r="AF730">
        <v>5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14</v>
      </c>
      <c r="AS730">
        <v>0</v>
      </c>
      <c r="AT730">
        <v>5</v>
      </c>
      <c r="AU730">
        <v>2</v>
      </c>
      <c r="AV730">
        <v>9</v>
      </c>
      <c r="AW730">
        <v>0</v>
      </c>
      <c r="AX730">
        <v>3</v>
      </c>
      <c r="AY730">
        <v>4</v>
      </c>
      <c r="AZ730">
        <v>0</v>
      </c>
      <c r="BA730">
        <v>0</v>
      </c>
      <c r="BB730">
        <v>2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15.273</v>
      </c>
      <c r="BL730" s="2">
        <v>0</v>
      </c>
      <c r="BM730" s="2">
        <v>5.5</v>
      </c>
      <c r="BN730" s="2">
        <v>2.1539999999999999</v>
      </c>
      <c r="BO730" s="2">
        <v>9</v>
      </c>
      <c r="BP730" s="2">
        <v>0</v>
      </c>
      <c r="BQ730" s="2">
        <v>3.3</v>
      </c>
      <c r="BR730" s="2">
        <v>4.8</v>
      </c>
      <c r="BS730" s="2">
        <v>0</v>
      </c>
      <c r="BT730" s="2">
        <v>0</v>
      </c>
      <c r="BU730" s="2">
        <v>2</v>
      </c>
      <c r="BV730" s="2">
        <f t="shared" si="49"/>
        <v>42.026999999999994</v>
      </c>
      <c r="BW730" s="16">
        <f t="shared" si="47"/>
        <v>2.2119473684210522</v>
      </c>
      <c r="BX730" s="16">
        <f>COUNTIF($BC$6:BU730, "=0") / COUNTIF($BC$6:BU730, "&gt;-1")</f>
        <v>0.19767695099818511</v>
      </c>
      <c r="BY730" s="18">
        <f>SUM($BC$6:BU730) / $BY$4</f>
        <v>0.90311029389980801</v>
      </c>
      <c r="BZ730" s="14">
        <f t="shared" si="48"/>
        <v>12</v>
      </c>
      <c r="CA730" t="s">
        <v>5832</v>
      </c>
      <c r="CZ730" t="s">
        <v>10243</v>
      </c>
      <c r="DA730" t="s">
        <v>5904</v>
      </c>
      <c r="DB730">
        <v>320.89999999999998</v>
      </c>
      <c r="DC730" t="s">
        <v>26825</v>
      </c>
      <c r="DD730" t="s">
        <v>26826</v>
      </c>
      <c r="DE730" t="s">
        <v>26827</v>
      </c>
      <c r="DF730" t="s">
        <v>26828</v>
      </c>
      <c r="DG730" t="s">
        <v>26829</v>
      </c>
      <c r="DH730" t="str">
        <f>"HMGB2"</f>
        <v>HMGB2</v>
      </c>
      <c r="DI730" t="s">
        <v>26830</v>
      </c>
      <c r="DJ730" t="s">
        <v>13777</v>
      </c>
      <c r="DK730">
        <v>9606</v>
      </c>
      <c r="DL730" s="34" t="str">
        <f>HYPERLINK("http://www.uniprot.org/uniprot/P26583", "P26583")</f>
        <v>P26583</v>
      </c>
      <c r="DM730" t="s">
        <v>26831</v>
      </c>
      <c r="DN730" t="s">
        <v>26832</v>
      </c>
      <c r="DO730" t="s">
        <v>26833</v>
      </c>
      <c r="DP730" t="s">
        <v>13772</v>
      </c>
      <c r="DQ730" t="s">
        <v>13772</v>
      </c>
      <c r="DR730" t="s">
        <v>13772</v>
      </c>
      <c r="DS730" t="s">
        <v>14096</v>
      </c>
      <c r="DT730" t="s">
        <v>13772</v>
      </c>
      <c r="DU730" t="s">
        <v>15871</v>
      </c>
      <c r="DV730" t="s">
        <v>26834</v>
      </c>
      <c r="DW730" t="s">
        <v>13772</v>
      </c>
      <c r="DX730" t="s">
        <v>26835</v>
      </c>
      <c r="DY730" t="s">
        <v>26836</v>
      </c>
      <c r="DZ730" t="s">
        <v>26837</v>
      </c>
      <c r="EA730" t="s">
        <v>13772</v>
      </c>
      <c r="EB730" t="s">
        <v>26838</v>
      </c>
    </row>
    <row r="731" spans="1:132" hidden="1">
      <c r="A731">
        <v>66</v>
      </c>
      <c r="B731">
        <v>1</v>
      </c>
      <c r="C731" t="s">
        <v>188</v>
      </c>
      <c r="D731" t="s">
        <v>189</v>
      </c>
      <c r="E731" t="s">
        <v>73</v>
      </c>
      <c r="F731" t="s">
        <v>73</v>
      </c>
      <c r="G731" t="s">
        <v>73</v>
      </c>
      <c r="H731">
        <v>13.2</v>
      </c>
      <c r="I731">
        <v>1063</v>
      </c>
      <c r="J731">
        <v>114063</v>
      </c>
      <c r="K731" t="s">
        <v>190</v>
      </c>
      <c r="L731">
        <f t="shared" si="46"/>
        <v>42</v>
      </c>
      <c r="N731">
        <v>42</v>
      </c>
      <c r="O731">
        <v>42</v>
      </c>
      <c r="P731">
        <v>1</v>
      </c>
      <c r="Q731">
        <v>3</v>
      </c>
      <c r="R731">
        <v>3</v>
      </c>
      <c r="S731">
        <v>3</v>
      </c>
      <c r="T731">
        <v>3</v>
      </c>
      <c r="U731">
        <v>3</v>
      </c>
      <c r="V731">
        <v>3</v>
      </c>
      <c r="W731">
        <v>2</v>
      </c>
      <c r="X731">
        <v>2</v>
      </c>
      <c r="Y731">
        <v>1</v>
      </c>
      <c r="Z731">
        <v>1</v>
      </c>
      <c r="AA731">
        <v>2</v>
      </c>
      <c r="AB731">
        <v>3</v>
      </c>
      <c r="AC731">
        <v>2</v>
      </c>
      <c r="AD731">
        <v>0</v>
      </c>
      <c r="AE731">
        <v>2</v>
      </c>
      <c r="AF731">
        <v>4</v>
      </c>
      <c r="AG731">
        <v>1</v>
      </c>
      <c r="AH731">
        <v>0</v>
      </c>
      <c r="AI731">
        <v>4</v>
      </c>
      <c r="AJ731">
        <v>3</v>
      </c>
      <c r="AK731">
        <v>3</v>
      </c>
      <c r="AL731">
        <v>3</v>
      </c>
      <c r="AM731">
        <v>3</v>
      </c>
      <c r="AN731">
        <v>3</v>
      </c>
      <c r="AO731">
        <v>3</v>
      </c>
      <c r="AP731">
        <v>2</v>
      </c>
      <c r="AQ731">
        <v>2</v>
      </c>
      <c r="AR731">
        <v>1</v>
      </c>
      <c r="AS731">
        <v>1</v>
      </c>
      <c r="AT731">
        <v>2</v>
      </c>
      <c r="AU731">
        <v>3</v>
      </c>
      <c r="AV731">
        <v>2</v>
      </c>
      <c r="AW731">
        <v>0</v>
      </c>
      <c r="AX731">
        <v>2</v>
      </c>
      <c r="AY731">
        <v>4</v>
      </c>
      <c r="AZ731">
        <v>1</v>
      </c>
      <c r="BA731">
        <v>0</v>
      </c>
      <c r="BB731">
        <v>4</v>
      </c>
      <c r="BC731" s="2">
        <v>3</v>
      </c>
      <c r="BD731" s="2">
        <v>3</v>
      </c>
      <c r="BE731" s="2">
        <v>3</v>
      </c>
      <c r="BF731" s="2">
        <v>3</v>
      </c>
      <c r="BG731" s="2">
        <v>3</v>
      </c>
      <c r="BH731" s="2">
        <v>3</v>
      </c>
      <c r="BI731" s="2">
        <v>2</v>
      </c>
      <c r="BJ731" s="2">
        <v>2</v>
      </c>
      <c r="BK731" s="2">
        <v>1</v>
      </c>
      <c r="BL731" s="2">
        <v>1</v>
      </c>
      <c r="BM731" s="2">
        <v>2</v>
      </c>
      <c r="BN731" s="2">
        <v>3</v>
      </c>
      <c r="BO731" s="2">
        <v>2</v>
      </c>
      <c r="BP731" s="2">
        <v>0</v>
      </c>
      <c r="BQ731" s="2">
        <v>2</v>
      </c>
      <c r="BR731" s="2">
        <v>4</v>
      </c>
      <c r="BS731" s="2">
        <v>1</v>
      </c>
      <c r="BT731" s="2">
        <v>0</v>
      </c>
      <c r="BU731" s="2">
        <v>4</v>
      </c>
      <c r="BV731" s="2">
        <f t="shared" si="49"/>
        <v>42</v>
      </c>
      <c r="BW731" s="16">
        <f t="shared" si="47"/>
        <v>2.2105263157894739</v>
      </c>
      <c r="BX731" s="16">
        <f>COUNTIF($BC$6:BU731, "=0") / COUNTIF($BC$6:BU731, "&gt;-1")</f>
        <v>0.19754965927214732</v>
      </c>
      <c r="BY731" s="18">
        <f>SUM($BC$6:BU731) / $BY$4</f>
        <v>0.90329020664829351</v>
      </c>
      <c r="BZ731" s="14">
        <f t="shared" si="48"/>
        <v>2</v>
      </c>
      <c r="CA731" t="s">
        <v>5832</v>
      </c>
      <c r="CZ731" t="s">
        <v>5934</v>
      </c>
      <c r="DA731" t="s">
        <v>5904</v>
      </c>
      <c r="DB731">
        <v>1438.3</v>
      </c>
      <c r="DC731" t="s">
        <v>13918</v>
      </c>
      <c r="DD731" t="s">
        <v>13919</v>
      </c>
      <c r="DE731" t="s">
        <v>13920</v>
      </c>
      <c r="DF731" t="s">
        <v>13921</v>
      </c>
      <c r="DG731" t="s">
        <v>13922</v>
      </c>
      <c r="DH731" t="str">
        <f>"SLC38A10"</f>
        <v>SLC38A10</v>
      </c>
      <c r="DI731" t="s">
        <v>13772</v>
      </c>
      <c r="DJ731" t="s">
        <v>13777</v>
      </c>
      <c r="DK731">
        <v>9606</v>
      </c>
      <c r="DL731" s="34" t="str">
        <f>HYPERLINK("http://www.uniprot.org/uniprot/Q9HBR0", "Q9HBR0")</f>
        <v>Q9HBR0</v>
      </c>
      <c r="DM731" t="s">
        <v>13923</v>
      </c>
      <c r="DN731" t="s">
        <v>13924</v>
      </c>
      <c r="DO731" t="s">
        <v>13825</v>
      </c>
      <c r="DP731" t="s">
        <v>13780</v>
      </c>
      <c r="DQ731" t="s">
        <v>13772</v>
      </c>
      <c r="DR731" t="s">
        <v>13772</v>
      </c>
      <c r="DS731" t="s">
        <v>13925</v>
      </c>
      <c r="DT731" t="s">
        <v>13926</v>
      </c>
      <c r="DU731" t="s">
        <v>13772</v>
      </c>
      <c r="DV731" t="s">
        <v>13782</v>
      </c>
      <c r="DW731" t="s">
        <v>13772</v>
      </c>
      <c r="DX731" t="s">
        <v>13927</v>
      </c>
      <c r="DY731" t="s">
        <v>13928</v>
      </c>
      <c r="DZ731" t="s">
        <v>13929</v>
      </c>
      <c r="EA731" t="s">
        <v>13772</v>
      </c>
      <c r="EB731" t="s">
        <v>13772</v>
      </c>
    </row>
    <row r="732" spans="1:132" hidden="1">
      <c r="A732">
        <v>117</v>
      </c>
      <c r="B732">
        <v>1</v>
      </c>
      <c r="C732" t="s">
        <v>306</v>
      </c>
      <c r="D732" t="s">
        <v>73</v>
      </c>
      <c r="E732" t="s">
        <v>73</v>
      </c>
      <c r="F732" t="s">
        <v>73</v>
      </c>
      <c r="G732" t="s">
        <v>73</v>
      </c>
      <c r="H732">
        <v>26.1</v>
      </c>
      <c r="I732">
        <v>563</v>
      </c>
      <c r="J732">
        <v>61822</v>
      </c>
      <c r="K732" t="s">
        <v>307</v>
      </c>
      <c r="L732">
        <f t="shared" si="46"/>
        <v>42</v>
      </c>
      <c r="N732">
        <v>42</v>
      </c>
      <c r="O732">
        <v>42</v>
      </c>
      <c r="P732">
        <v>1</v>
      </c>
      <c r="Q732">
        <v>2</v>
      </c>
      <c r="R732">
        <v>7</v>
      </c>
      <c r="S732">
        <v>2</v>
      </c>
      <c r="T732">
        <v>0</v>
      </c>
      <c r="U732">
        <v>14</v>
      </c>
      <c r="V732">
        <v>5</v>
      </c>
      <c r="W732">
        <v>0</v>
      </c>
      <c r="X732">
        <v>1</v>
      </c>
      <c r="Y732">
        <v>0</v>
      </c>
      <c r="Z732">
        <v>0</v>
      </c>
      <c r="AA732">
        <v>2</v>
      </c>
      <c r="AB732">
        <v>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7</v>
      </c>
      <c r="AL732">
        <v>2</v>
      </c>
      <c r="AM732">
        <v>0</v>
      </c>
      <c r="AN732">
        <v>14</v>
      </c>
      <c r="AO732">
        <v>5</v>
      </c>
      <c r="AP732">
        <v>0</v>
      </c>
      <c r="AQ732">
        <v>1</v>
      </c>
      <c r="AR732">
        <v>0</v>
      </c>
      <c r="AS732">
        <v>0</v>
      </c>
      <c r="AT732">
        <v>2</v>
      </c>
      <c r="AU732">
        <v>9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s="2">
        <v>2</v>
      </c>
      <c r="BD732" s="2">
        <v>7</v>
      </c>
      <c r="BE732" s="2">
        <v>2</v>
      </c>
      <c r="BF732" s="2">
        <v>0</v>
      </c>
      <c r="BG732" s="2">
        <v>14</v>
      </c>
      <c r="BH732" s="2">
        <v>5</v>
      </c>
      <c r="BI732" s="2">
        <v>0</v>
      </c>
      <c r="BJ732" s="2">
        <v>1</v>
      </c>
      <c r="BK732" s="2">
        <v>0</v>
      </c>
      <c r="BL732" s="2">
        <v>0</v>
      </c>
      <c r="BM732" s="2">
        <v>2</v>
      </c>
      <c r="BN732" s="2">
        <v>9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f t="shared" si="49"/>
        <v>42</v>
      </c>
      <c r="BW732" s="16">
        <f t="shared" si="47"/>
        <v>2.2105263157894739</v>
      </c>
      <c r="BX732" s="16">
        <f>COUNTIF($BC$6:BU732, "=0") / COUNTIF($BC$6:BU732, "&gt;-1")</f>
        <v>0.19807427785419532</v>
      </c>
      <c r="BY732" s="18">
        <f>SUM($BC$6:BU732) / $BY$4</f>
        <v>0.9034701193967789</v>
      </c>
      <c r="BZ732" s="14">
        <f t="shared" si="48"/>
        <v>11</v>
      </c>
      <c r="CA732" t="s">
        <v>5832</v>
      </c>
      <c r="CZ732" t="s">
        <v>6096</v>
      </c>
      <c r="DA732" t="s">
        <v>5904</v>
      </c>
      <c r="DB732">
        <v>1103.2</v>
      </c>
      <c r="DC732" t="s">
        <v>14483</v>
      </c>
      <c r="DD732" t="s">
        <v>14484</v>
      </c>
      <c r="DE732" t="s">
        <v>14485</v>
      </c>
      <c r="DF732" t="s">
        <v>14486</v>
      </c>
      <c r="DG732" t="s">
        <v>14487</v>
      </c>
      <c r="DH732" t="str">
        <f>"ALDH4A1"</f>
        <v>ALDH4A1</v>
      </c>
      <c r="DI732" t="s">
        <v>14488</v>
      </c>
      <c r="DJ732" t="s">
        <v>13777</v>
      </c>
      <c r="DK732">
        <v>9606</v>
      </c>
      <c r="DL732" s="34" t="str">
        <f>HYPERLINK("http://www.uniprot.org/uniprot/P30038", "P30038")</f>
        <v>P30038</v>
      </c>
      <c r="DM732" t="s">
        <v>14489</v>
      </c>
      <c r="DN732" t="s">
        <v>14490</v>
      </c>
      <c r="DO732" t="s">
        <v>14491</v>
      </c>
      <c r="DP732" t="s">
        <v>13780</v>
      </c>
      <c r="DQ732" t="s">
        <v>13772</v>
      </c>
      <c r="DR732" t="s">
        <v>13807</v>
      </c>
      <c r="DS732" t="s">
        <v>14391</v>
      </c>
      <c r="DT732" t="s">
        <v>14492</v>
      </c>
      <c r="DU732" t="s">
        <v>13885</v>
      </c>
      <c r="DV732" t="s">
        <v>13886</v>
      </c>
      <c r="DW732" t="s">
        <v>13812</v>
      </c>
      <c r="DX732" t="s">
        <v>14493</v>
      </c>
      <c r="DY732" t="s">
        <v>14494</v>
      </c>
      <c r="DZ732" t="s">
        <v>14495</v>
      </c>
      <c r="EA732" t="s">
        <v>14496</v>
      </c>
      <c r="EB732" t="s">
        <v>14497</v>
      </c>
    </row>
    <row r="733" spans="1:132" hidden="1">
      <c r="A733">
        <v>336</v>
      </c>
      <c r="B733">
        <v>1</v>
      </c>
      <c r="C733" t="s">
        <v>844</v>
      </c>
      <c r="D733" t="s">
        <v>73</v>
      </c>
      <c r="E733" t="s">
        <v>73</v>
      </c>
      <c r="F733" t="s">
        <v>73</v>
      </c>
      <c r="G733" t="s">
        <v>73</v>
      </c>
      <c r="H733">
        <v>30.5</v>
      </c>
      <c r="I733">
        <v>640</v>
      </c>
      <c r="J733">
        <v>72360</v>
      </c>
      <c r="K733" t="s">
        <v>845</v>
      </c>
      <c r="L733">
        <f t="shared" si="46"/>
        <v>42</v>
      </c>
      <c r="N733">
        <v>42</v>
      </c>
      <c r="O733">
        <v>42</v>
      </c>
      <c r="P733">
        <v>1</v>
      </c>
      <c r="Q733">
        <v>0</v>
      </c>
      <c r="R733">
        <v>1</v>
      </c>
      <c r="S733">
        <v>2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2</v>
      </c>
      <c r="Z733">
        <v>0</v>
      </c>
      <c r="AA733">
        <v>6</v>
      </c>
      <c r="AB733">
        <v>13</v>
      </c>
      <c r="AC733">
        <v>3</v>
      </c>
      <c r="AD733">
        <v>1</v>
      </c>
      <c r="AE733">
        <v>2</v>
      </c>
      <c r="AF733">
        <v>6</v>
      </c>
      <c r="AG733">
        <v>2</v>
      </c>
      <c r="AH733">
        <v>1</v>
      </c>
      <c r="AI733">
        <v>1</v>
      </c>
      <c r="AJ733">
        <v>0</v>
      </c>
      <c r="AK733">
        <v>1</v>
      </c>
      <c r="AL733">
        <v>2</v>
      </c>
      <c r="AM733">
        <v>0</v>
      </c>
      <c r="AN733">
        <v>2</v>
      </c>
      <c r="AO733">
        <v>0</v>
      </c>
      <c r="AP733">
        <v>0</v>
      </c>
      <c r="AQ733">
        <v>0</v>
      </c>
      <c r="AR733">
        <v>2</v>
      </c>
      <c r="AS733">
        <v>0</v>
      </c>
      <c r="AT733">
        <v>6</v>
      </c>
      <c r="AU733">
        <v>13</v>
      </c>
      <c r="AV733">
        <v>3</v>
      </c>
      <c r="AW733">
        <v>1</v>
      </c>
      <c r="AX733">
        <v>2</v>
      </c>
      <c r="AY733">
        <v>6</v>
      </c>
      <c r="AZ733">
        <v>2</v>
      </c>
      <c r="BA733">
        <v>1</v>
      </c>
      <c r="BB733">
        <v>1</v>
      </c>
      <c r="BC733" s="2">
        <v>0</v>
      </c>
      <c r="BD733" s="2">
        <v>1</v>
      </c>
      <c r="BE733" s="2">
        <v>2</v>
      </c>
      <c r="BF733" s="2">
        <v>0</v>
      </c>
      <c r="BG733" s="2">
        <v>2</v>
      </c>
      <c r="BH733" s="2">
        <v>0</v>
      </c>
      <c r="BI733" s="2">
        <v>0</v>
      </c>
      <c r="BJ733" s="2">
        <v>0</v>
      </c>
      <c r="BK733" s="2">
        <v>2</v>
      </c>
      <c r="BL733" s="2">
        <v>0</v>
      </c>
      <c r="BM733" s="2">
        <v>6</v>
      </c>
      <c r="BN733" s="2">
        <v>13</v>
      </c>
      <c r="BO733" s="2">
        <v>3</v>
      </c>
      <c r="BP733" s="2">
        <v>1</v>
      </c>
      <c r="BQ733" s="2">
        <v>2</v>
      </c>
      <c r="BR733" s="2">
        <v>6</v>
      </c>
      <c r="BS733" s="2">
        <v>2</v>
      </c>
      <c r="BT733" s="2">
        <v>1</v>
      </c>
      <c r="BU733" s="2">
        <v>1</v>
      </c>
      <c r="BV733" s="2">
        <f t="shared" si="49"/>
        <v>42</v>
      </c>
      <c r="BW733" s="16">
        <f t="shared" si="47"/>
        <v>2.2105263157894739</v>
      </c>
      <c r="BX733" s="16">
        <f>COUNTIF($BC$6:BU733, "=0") / COUNTIF($BC$6:BU733, "&gt;-1")</f>
        <v>0.19823597455176403</v>
      </c>
      <c r="BY733" s="18">
        <f>SUM($BC$6:BU733) / $BY$4</f>
        <v>0.90365003214526429</v>
      </c>
      <c r="BZ733" s="14">
        <f t="shared" si="48"/>
        <v>6</v>
      </c>
      <c r="CA733" t="s">
        <v>5832</v>
      </c>
      <c r="CZ733" t="s">
        <v>6865</v>
      </c>
      <c r="DA733" t="s">
        <v>5904</v>
      </c>
      <c r="DB733">
        <v>1105.0999999999999</v>
      </c>
      <c r="DC733" t="s">
        <v>16922</v>
      </c>
      <c r="DD733" t="s">
        <v>16923</v>
      </c>
      <c r="DE733" t="s">
        <v>16924</v>
      </c>
      <c r="DF733" t="s">
        <v>16925</v>
      </c>
      <c r="DG733" t="s">
        <v>16926</v>
      </c>
      <c r="DH733" t="str">
        <f>"PDIA4"</f>
        <v>PDIA4</v>
      </c>
      <c r="DI733" t="s">
        <v>16927</v>
      </c>
      <c r="DJ733" t="s">
        <v>13777</v>
      </c>
      <c r="DK733">
        <v>9606</v>
      </c>
      <c r="DL733" s="34" t="str">
        <f>HYPERLINK("http://www.uniprot.org/uniprot/P13667", "P13667")</f>
        <v>P13667</v>
      </c>
      <c r="DM733" t="s">
        <v>16928</v>
      </c>
      <c r="DN733" t="s">
        <v>13772</v>
      </c>
      <c r="DO733" t="s">
        <v>14908</v>
      </c>
      <c r="DP733" t="s">
        <v>13793</v>
      </c>
      <c r="DQ733" t="s">
        <v>13772</v>
      </c>
      <c r="DR733" t="s">
        <v>13772</v>
      </c>
      <c r="DS733" t="s">
        <v>14909</v>
      </c>
      <c r="DT733" t="s">
        <v>13772</v>
      </c>
      <c r="DU733" t="s">
        <v>14910</v>
      </c>
      <c r="DV733" t="s">
        <v>16929</v>
      </c>
      <c r="DW733" t="s">
        <v>13812</v>
      </c>
      <c r="DX733" t="s">
        <v>16930</v>
      </c>
      <c r="DY733" t="s">
        <v>16931</v>
      </c>
      <c r="DZ733" t="s">
        <v>16932</v>
      </c>
      <c r="EA733" t="s">
        <v>13772</v>
      </c>
      <c r="EB733" t="s">
        <v>13772</v>
      </c>
    </row>
    <row r="734" spans="1:132" hidden="1">
      <c r="A734">
        <v>680</v>
      </c>
      <c r="B734">
        <v>1</v>
      </c>
      <c r="C734" t="s">
        <v>1674</v>
      </c>
      <c r="D734" t="s">
        <v>73</v>
      </c>
      <c r="E734" t="s">
        <v>73</v>
      </c>
      <c r="F734" t="s">
        <v>73</v>
      </c>
      <c r="G734" t="s">
        <v>73</v>
      </c>
      <c r="H734">
        <v>29.6</v>
      </c>
      <c r="I734">
        <v>412</v>
      </c>
      <c r="J734">
        <v>45214</v>
      </c>
      <c r="K734" t="s">
        <v>1675</v>
      </c>
      <c r="L734">
        <f t="shared" si="46"/>
        <v>42</v>
      </c>
      <c r="N734">
        <v>42</v>
      </c>
      <c r="O734">
        <v>42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6</v>
      </c>
      <c r="Z734">
        <v>0</v>
      </c>
      <c r="AA734">
        <v>12</v>
      </c>
      <c r="AB734">
        <v>0</v>
      </c>
      <c r="AC734">
        <v>4</v>
      </c>
      <c r="AD734">
        <v>0</v>
      </c>
      <c r="AE734">
        <v>9</v>
      </c>
      <c r="AF734">
        <v>9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6</v>
      </c>
      <c r="AS734">
        <v>0</v>
      </c>
      <c r="AT734">
        <v>12</v>
      </c>
      <c r="AU734">
        <v>0</v>
      </c>
      <c r="AV734">
        <v>4</v>
      </c>
      <c r="AW734">
        <v>0</v>
      </c>
      <c r="AX734">
        <v>9</v>
      </c>
      <c r="AY734">
        <v>9</v>
      </c>
      <c r="AZ734">
        <v>0</v>
      </c>
      <c r="BA734">
        <v>0</v>
      </c>
      <c r="BB734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0</v>
      </c>
      <c r="BJ734" s="2">
        <v>0</v>
      </c>
      <c r="BK734" s="2">
        <v>6</v>
      </c>
      <c r="BL734" s="2">
        <v>0</v>
      </c>
      <c r="BM734" s="2">
        <v>12</v>
      </c>
      <c r="BN734" s="2">
        <v>0</v>
      </c>
      <c r="BO734" s="2">
        <v>4</v>
      </c>
      <c r="BP734" s="2">
        <v>0</v>
      </c>
      <c r="BQ734" s="2">
        <v>9</v>
      </c>
      <c r="BR734" s="2">
        <v>9</v>
      </c>
      <c r="BS734" s="2">
        <v>0</v>
      </c>
      <c r="BT734" s="2">
        <v>0</v>
      </c>
      <c r="BU734" s="2">
        <v>1</v>
      </c>
      <c r="BV734" s="2">
        <f t="shared" si="49"/>
        <v>42</v>
      </c>
      <c r="BW734" s="16">
        <f t="shared" si="47"/>
        <v>2.2105263157894739</v>
      </c>
      <c r="BX734" s="16">
        <f>COUNTIF($BC$6:BU734, "=0") / COUNTIF($BC$6:BU734, "&gt;-1")</f>
        <v>0.19883040935672514</v>
      </c>
      <c r="BY734" s="18">
        <f>SUM($BC$6:BU734) / $BY$4</f>
        <v>0.90382994489374979</v>
      </c>
      <c r="BZ734" s="14">
        <f t="shared" si="48"/>
        <v>12</v>
      </c>
      <c r="CA734" t="s">
        <v>5832</v>
      </c>
      <c r="CZ734" t="s">
        <v>8038</v>
      </c>
      <c r="DA734" t="s">
        <v>5904</v>
      </c>
      <c r="DB734">
        <v>673.7</v>
      </c>
      <c r="DC734" t="s">
        <v>20492</v>
      </c>
      <c r="DD734" t="s">
        <v>20493</v>
      </c>
      <c r="DE734" t="s">
        <v>20494</v>
      </c>
      <c r="DF734" t="s">
        <v>20495</v>
      </c>
      <c r="DG734" t="s">
        <v>20496</v>
      </c>
      <c r="DH734" t="str">
        <f>"ANGPTL4"</f>
        <v>ANGPTL4</v>
      </c>
      <c r="DI734" t="s">
        <v>13772</v>
      </c>
      <c r="DJ734" t="s">
        <v>13777</v>
      </c>
      <c r="DK734">
        <v>9606</v>
      </c>
      <c r="DL734" s="34" t="str">
        <f>HYPERLINK("http://www.uniprot.org/uniprot/Q9BY76", "Q9BY76")</f>
        <v>Q9BY76</v>
      </c>
      <c r="DM734" t="s">
        <v>20497</v>
      </c>
      <c r="DN734" t="s">
        <v>20498</v>
      </c>
      <c r="DO734" t="s">
        <v>13869</v>
      </c>
      <c r="DP734" t="s">
        <v>13780</v>
      </c>
      <c r="DQ734" t="s">
        <v>13772</v>
      </c>
      <c r="DR734" t="s">
        <v>13772</v>
      </c>
      <c r="DS734" t="s">
        <v>16820</v>
      </c>
      <c r="DT734" t="s">
        <v>13772</v>
      </c>
      <c r="DU734" t="s">
        <v>13772</v>
      </c>
      <c r="DV734" t="s">
        <v>13796</v>
      </c>
      <c r="DW734" t="s">
        <v>13812</v>
      </c>
      <c r="DX734" t="s">
        <v>20499</v>
      </c>
      <c r="DY734" t="s">
        <v>20500</v>
      </c>
      <c r="DZ734" t="s">
        <v>20501</v>
      </c>
      <c r="EA734" t="s">
        <v>13772</v>
      </c>
      <c r="EB734" t="s">
        <v>20502</v>
      </c>
    </row>
    <row r="735" spans="1:132" hidden="1">
      <c r="A735">
        <v>928</v>
      </c>
      <c r="B735">
        <v>1</v>
      </c>
      <c r="C735" t="s">
        <v>2257</v>
      </c>
      <c r="D735" t="s">
        <v>73</v>
      </c>
      <c r="E735" t="s">
        <v>73</v>
      </c>
      <c r="F735" t="s">
        <v>73</v>
      </c>
      <c r="G735" t="s">
        <v>73</v>
      </c>
      <c r="H735">
        <v>36.6</v>
      </c>
      <c r="I735">
        <v>418</v>
      </c>
      <c r="J735">
        <v>47371</v>
      </c>
      <c r="K735" t="s">
        <v>2258</v>
      </c>
      <c r="L735">
        <f t="shared" si="46"/>
        <v>42</v>
      </c>
      <c r="N735">
        <v>42</v>
      </c>
      <c r="O735">
        <v>42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</v>
      </c>
      <c r="W735">
        <v>0</v>
      </c>
      <c r="X735">
        <v>1</v>
      </c>
      <c r="Y735">
        <v>12</v>
      </c>
      <c r="Z735">
        <v>0</v>
      </c>
      <c r="AA735">
        <v>6</v>
      </c>
      <c r="AB735">
        <v>8</v>
      </c>
      <c r="AC735">
        <v>10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3</v>
      </c>
      <c r="AP735">
        <v>0</v>
      </c>
      <c r="AQ735">
        <v>1</v>
      </c>
      <c r="AR735">
        <v>12</v>
      </c>
      <c r="AS735">
        <v>0</v>
      </c>
      <c r="AT735">
        <v>6</v>
      </c>
      <c r="AU735">
        <v>8</v>
      </c>
      <c r="AV735">
        <v>10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3</v>
      </c>
      <c r="BI735" s="2">
        <v>0</v>
      </c>
      <c r="BJ735" s="2">
        <v>1</v>
      </c>
      <c r="BK735" s="2">
        <v>12</v>
      </c>
      <c r="BL735" s="2">
        <v>0</v>
      </c>
      <c r="BM735" s="2">
        <v>6</v>
      </c>
      <c r="BN735" s="2">
        <v>8</v>
      </c>
      <c r="BO735" s="2">
        <v>10</v>
      </c>
      <c r="BP735" s="2">
        <v>0</v>
      </c>
      <c r="BQ735" s="2">
        <v>1</v>
      </c>
      <c r="BR735" s="2">
        <v>1</v>
      </c>
      <c r="BS735" s="2">
        <v>0</v>
      </c>
      <c r="BT735" s="2">
        <v>0</v>
      </c>
      <c r="BU735" s="2">
        <v>0</v>
      </c>
      <c r="BV735" s="2">
        <f t="shared" si="49"/>
        <v>42</v>
      </c>
      <c r="BW735" s="16">
        <f t="shared" si="47"/>
        <v>2.2105263157894739</v>
      </c>
      <c r="BX735" s="16">
        <f>COUNTIF($BC$6:BU735, "=0") / COUNTIF($BC$6:BU735, "&gt;-1")</f>
        <v>0.19935111751982695</v>
      </c>
      <c r="BY735" s="18">
        <f>SUM($BC$6:BU735) / $BY$4</f>
        <v>0.90400985764223518</v>
      </c>
      <c r="BZ735" s="14">
        <f t="shared" si="48"/>
        <v>11</v>
      </c>
      <c r="CA735" t="s">
        <v>5832</v>
      </c>
      <c r="CZ735" t="s">
        <v>8874</v>
      </c>
      <c r="DA735" t="s">
        <v>5904</v>
      </c>
      <c r="DB735">
        <v>869</v>
      </c>
      <c r="DC735" t="s">
        <v>22928</v>
      </c>
      <c r="DD735" t="s">
        <v>22929</v>
      </c>
      <c r="DE735" t="s">
        <v>22930</v>
      </c>
      <c r="DF735" t="s">
        <v>22931</v>
      </c>
      <c r="DG735" t="s">
        <v>22932</v>
      </c>
      <c r="DH735" t="str">
        <f>"ACTR3"</f>
        <v>ACTR3</v>
      </c>
      <c r="DI735" t="s">
        <v>22933</v>
      </c>
      <c r="DJ735" t="s">
        <v>13777</v>
      </c>
      <c r="DK735">
        <v>9606</v>
      </c>
      <c r="DL735" s="34" t="str">
        <f>HYPERLINK("http://www.uniprot.org/uniprot/P61158", "P61158")</f>
        <v>P61158</v>
      </c>
      <c r="DM735" t="s">
        <v>22934</v>
      </c>
      <c r="DN735" t="s">
        <v>21905</v>
      </c>
      <c r="DO735" t="s">
        <v>18178</v>
      </c>
      <c r="DP735" t="s">
        <v>13772</v>
      </c>
      <c r="DQ735" t="s">
        <v>13772</v>
      </c>
      <c r="DR735" t="s">
        <v>13772</v>
      </c>
      <c r="DS735" t="s">
        <v>13772</v>
      </c>
      <c r="DT735" t="s">
        <v>14005</v>
      </c>
      <c r="DU735" t="s">
        <v>13990</v>
      </c>
      <c r="DV735" t="s">
        <v>14020</v>
      </c>
      <c r="DW735" t="s">
        <v>13772</v>
      </c>
      <c r="DX735" t="s">
        <v>22935</v>
      </c>
      <c r="DY735" t="s">
        <v>22936</v>
      </c>
      <c r="DZ735" t="s">
        <v>22937</v>
      </c>
      <c r="EA735" t="s">
        <v>13772</v>
      </c>
      <c r="EB735" t="s">
        <v>18181</v>
      </c>
    </row>
    <row r="736" spans="1:132" hidden="1">
      <c r="A736">
        <v>1059</v>
      </c>
      <c r="B736">
        <v>1</v>
      </c>
      <c r="C736" t="s">
        <v>2544</v>
      </c>
      <c r="D736" t="s">
        <v>73</v>
      </c>
      <c r="E736" t="s">
        <v>73</v>
      </c>
      <c r="F736" t="s">
        <v>73</v>
      </c>
      <c r="G736" t="s">
        <v>73</v>
      </c>
      <c r="H736">
        <v>32.4</v>
      </c>
      <c r="I736">
        <v>611</v>
      </c>
      <c r="J736">
        <v>69176</v>
      </c>
      <c r="K736" t="s">
        <v>2545</v>
      </c>
      <c r="L736">
        <f t="shared" si="46"/>
        <v>42</v>
      </c>
      <c r="N736">
        <v>42</v>
      </c>
      <c r="O736">
        <v>42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4</v>
      </c>
      <c r="Y736">
        <v>6</v>
      </c>
      <c r="Z736">
        <v>0</v>
      </c>
      <c r="AA736">
        <v>11</v>
      </c>
      <c r="AB736">
        <v>8</v>
      </c>
      <c r="AC736">
        <v>5</v>
      </c>
      <c r="AD736">
        <v>1</v>
      </c>
      <c r="AE736">
        <v>5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4</v>
      </c>
      <c r="AR736">
        <v>6</v>
      </c>
      <c r="AS736">
        <v>0</v>
      </c>
      <c r="AT736">
        <v>11</v>
      </c>
      <c r="AU736">
        <v>8</v>
      </c>
      <c r="AV736">
        <v>5</v>
      </c>
      <c r="AW736">
        <v>1</v>
      </c>
      <c r="AX736">
        <v>5</v>
      </c>
      <c r="AY736">
        <v>0</v>
      </c>
      <c r="AZ736">
        <v>0</v>
      </c>
      <c r="BA736">
        <v>0</v>
      </c>
      <c r="BB736">
        <v>0</v>
      </c>
      <c r="BC736" s="2">
        <v>0</v>
      </c>
      <c r="BD736" s="2">
        <v>1</v>
      </c>
      <c r="BE736" s="2">
        <v>0</v>
      </c>
      <c r="BF736" s="2">
        <v>0</v>
      </c>
      <c r="BG736" s="2">
        <v>0</v>
      </c>
      <c r="BH736" s="2">
        <v>1</v>
      </c>
      <c r="BI736" s="2">
        <v>0</v>
      </c>
      <c r="BJ736" s="2">
        <v>4</v>
      </c>
      <c r="BK736" s="2">
        <v>6</v>
      </c>
      <c r="BL736" s="2">
        <v>0</v>
      </c>
      <c r="BM736" s="2">
        <v>11</v>
      </c>
      <c r="BN736" s="2">
        <v>8</v>
      </c>
      <c r="BO736" s="2">
        <v>5</v>
      </c>
      <c r="BP736" s="2">
        <v>1</v>
      </c>
      <c r="BQ736" s="2">
        <v>5</v>
      </c>
      <c r="BR736" s="2">
        <v>0</v>
      </c>
      <c r="BS736" s="2">
        <v>0</v>
      </c>
      <c r="BT736" s="2">
        <v>0</v>
      </c>
      <c r="BU736" s="2">
        <v>0</v>
      </c>
      <c r="BV736" s="2">
        <f t="shared" si="49"/>
        <v>42</v>
      </c>
      <c r="BW736" s="16">
        <f t="shared" si="47"/>
        <v>2.2105263157894739</v>
      </c>
      <c r="BX736" s="16">
        <f>COUNTIF($BC$6:BU736, "=0") / COUNTIF($BC$6:BU736, "&gt;-1")</f>
        <v>0.19979840161278709</v>
      </c>
      <c r="BY736" s="18">
        <f>SUM($BC$6:BU736) / $BY$4</f>
        <v>0.90418977039072057</v>
      </c>
      <c r="BZ736" s="14">
        <f t="shared" si="48"/>
        <v>10</v>
      </c>
      <c r="CA736" t="s">
        <v>5832</v>
      </c>
      <c r="CZ736" t="s">
        <v>9254</v>
      </c>
      <c r="DA736" t="s">
        <v>5904</v>
      </c>
      <c r="DB736">
        <v>1218</v>
      </c>
      <c r="DC736" t="s">
        <v>24022</v>
      </c>
      <c r="DD736" t="s">
        <v>24023</v>
      </c>
      <c r="DE736" t="s">
        <v>24024</v>
      </c>
      <c r="DF736" t="s">
        <v>24025</v>
      </c>
      <c r="DG736" t="s">
        <v>24026</v>
      </c>
      <c r="DH736" t="str">
        <f>"LTA4H"</f>
        <v>LTA4H</v>
      </c>
      <c r="DI736" t="s">
        <v>24027</v>
      </c>
      <c r="DJ736" t="s">
        <v>13777</v>
      </c>
      <c r="DK736">
        <v>9606</v>
      </c>
      <c r="DL736" s="34" t="str">
        <f>HYPERLINK("http://www.uniprot.org/uniprot/P09960", "P09960")</f>
        <v>P09960</v>
      </c>
      <c r="DM736" t="s">
        <v>24028</v>
      </c>
      <c r="DN736" t="s">
        <v>24029</v>
      </c>
      <c r="DO736" t="s">
        <v>13899</v>
      </c>
      <c r="DP736" t="s">
        <v>13780</v>
      </c>
      <c r="DQ736" t="s">
        <v>13772</v>
      </c>
      <c r="DR736" t="s">
        <v>13772</v>
      </c>
      <c r="DS736" t="s">
        <v>13772</v>
      </c>
      <c r="DT736" t="s">
        <v>13856</v>
      </c>
      <c r="DU736" t="s">
        <v>15139</v>
      </c>
      <c r="DV736" t="s">
        <v>13886</v>
      </c>
      <c r="DW736" t="s">
        <v>13812</v>
      </c>
      <c r="DX736" t="s">
        <v>24030</v>
      </c>
      <c r="DY736" t="s">
        <v>24031</v>
      </c>
      <c r="DZ736" t="s">
        <v>24032</v>
      </c>
      <c r="EA736" t="s">
        <v>24033</v>
      </c>
      <c r="EB736" t="s">
        <v>24034</v>
      </c>
    </row>
    <row r="737" spans="1:132" hidden="1">
      <c r="A737">
        <v>1436</v>
      </c>
      <c r="B737">
        <v>1</v>
      </c>
      <c r="C737" t="s">
        <v>3419</v>
      </c>
      <c r="D737" t="s">
        <v>3420</v>
      </c>
      <c r="E737" t="s">
        <v>73</v>
      </c>
      <c r="F737" t="s">
        <v>73</v>
      </c>
      <c r="G737" t="s">
        <v>73</v>
      </c>
      <c r="H737">
        <v>44.9</v>
      </c>
      <c r="I737">
        <v>445</v>
      </c>
      <c r="J737">
        <v>50479</v>
      </c>
      <c r="K737" t="s">
        <v>3421</v>
      </c>
      <c r="L737">
        <f t="shared" si="46"/>
        <v>42</v>
      </c>
      <c r="M737" s="3" t="s">
        <v>5825</v>
      </c>
      <c r="N737">
        <v>42</v>
      </c>
      <c r="O737">
        <v>42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</v>
      </c>
      <c r="W737">
        <v>3</v>
      </c>
      <c r="X737">
        <v>21</v>
      </c>
      <c r="Y737">
        <v>0</v>
      </c>
      <c r="Z737">
        <v>0</v>
      </c>
      <c r="AA737">
        <v>0</v>
      </c>
      <c r="AB737">
        <v>0</v>
      </c>
      <c r="AC737">
        <v>5</v>
      </c>
      <c r="AD737">
        <v>0</v>
      </c>
      <c r="AE737">
        <v>0</v>
      </c>
      <c r="AF737">
        <v>3</v>
      </c>
      <c r="AG737">
        <v>7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3</v>
      </c>
      <c r="AP737">
        <v>3</v>
      </c>
      <c r="AQ737">
        <v>21</v>
      </c>
      <c r="AR737">
        <v>0</v>
      </c>
      <c r="AS737">
        <v>0</v>
      </c>
      <c r="AT737">
        <v>0</v>
      </c>
      <c r="AU737">
        <v>0</v>
      </c>
      <c r="AV737">
        <v>5</v>
      </c>
      <c r="AW737">
        <v>0</v>
      </c>
      <c r="AX737">
        <v>0</v>
      </c>
      <c r="AY737">
        <v>3</v>
      </c>
      <c r="AZ737">
        <v>7</v>
      </c>
      <c r="BA737">
        <v>0</v>
      </c>
      <c r="BB737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3</v>
      </c>
      <c r="BI737" s="2">
        <v>3</v>
      </c>
      <c r="BJ737" s="2">
        <v>21</v>
      </c>
      <c r="BK737" s="2">
        <v>0</v>
      </c>
      <c r="BL737" s="2">
        <v>0</v>
      </c>
      <c r="BM737" s="2">
        <v>0</v>
      </c>
      <c r="BN737" s="2">
        <v>0</v>
      </c>
      <c r="BO737" s="2">
        <v>5</v>
      </c>
      <c r="BP737" s="2">
        <v>0</v>
      </c>
      <c r="BQ737" s="2">
        <v>0</v>
      </c>
      <c r="BR737" s="2">
        <v>3</v>
      </c>
      <c r="BS737" s="2">
        <v>7</v>
      </c>
      <c r="BT737" s="2">
        <v>0</v>
      </c>
      <c r="BU737" s="2">
        <v>0</v>
      </c>
      <c r="BV737" s="2">
        <f t="shared" si="49"/>
        <v>42</v>
      </c>
      <c r="BW737" s="16">
        <f t="shared" si="47"/>
        <v>2.2105263157894739</v>
      </c>
      <c r="BX737" s="16">
        <f>COUNTIF($BC$6:BU737, "=0") / COUNTIF($BC$6:BU737, "&gt;-1")</f>
        <v>0.2004601668104688</v>
      </c>
      <c r="BY737" s="18">
        <f>SUM($BC$6:BU737) / $BY$4</f>
        <v>0.90436968313920596</v>
      </c>
      <c r="BZ737" s="14">
        <f t="shared" si="48"/>
        <v>13</v>
      </c>
      <c r="CA737" t="s">
        <v>5832</v>
      </c>
      <c r="CZ737" t="s">
        <v>10518</v>
      </c>
      <c r="DA737" t="s">
        <v>5904</v>
      </c>
      <c r="DB737">
        <v>623.20000000000005</v>
      </c>
      <c r="DC737" t="s">
        <v>27580</v>
      </c>
      <c r="DD737" t="s">
        <v>27581</v>
      </c>
      <c r="DE737" t="s">
        <v>27582</v>
      </c>
      <c r="DF737" t="s">
        <v>27583</v>
      </c>
      <c r="DG737" t="s">
        <v>27584</v>
      </c>
      <c r="DH737" t="str">
        <f>"SERPINB6"</f>
        <v>SERPINB6</v>
      </c>
      <c r="DI737" t="s">
        <v>27585</v>
      </c>
      <c r="DJ737" t="s">
        <v>13777</v>
      </c>
      <c r="DK737">
        <v>9606</v>
      </c>
      <c r="DL737" s="34" t="str">
        <f>HYPERLINK("http://www.uniprot.org/uniprot/P35237", "P35237")</f>
        <v>P35237</v>
      </c>
      <c r="DM737" t="s">
        <v>27586</v>
      </c>
      <c r="DN737" t="s">
        <v>13772</v>
      </c>
      <c r="DO737" t="s">
        <v>13899</v>
      </c>
      <c r="DP737" t="s">
        <v>13793</v>
      </c>
      <c r="DQ737" t="s">
        <v>13772</v>
      </c>
      <c r="DR737" t="s">
        <v>18603</v>
      </c>
      <c r="DS737" t="s">
        <v>13772</v>
      </c>
      <c r="DT737" t="s">
        <v>13772</v>
      </c>
      <c r="DU737" t="s">
        <v>14375</v>
      </c>
      <c r="DV737" t="s">
        <v>13886</v>
      </c>
      <c r="DW737" t="s">
        <v>13772</v>
      </c>
      <c r="DX737" t="s">
        <v>27587</v>
      </c>
      <c r="DY737" t="s">
        <v>27588</v>
      </c>
      <c r="DZ737" t="s">
        <v>27589</v>
      </c>
      <c r="EA737" t="s">
        <v>13772</v>
      </c>
      <c r="EB737" t="s">
        <v>25789</v>
      </c>
    </row>
    <row r="738" spans="1:132" hidden="1">
      <c r="A738">
        <v>1606</v>
      </c>
      <c r="B738">
        <v>1</v>
      </c>
      <c r="C738" t="s">
        <v>3806</v>
      </c>
      <c r="D738" t="s">
        <v>3807</v>
      </c>
      <c r="E738" t="s">
        <v>73</v>
      </c>
      <c r="F738" t="s">
        <v>73</v>
      </c>
      <c r="G738" t="s">
        <v>73</v>
      </c>
      <c r="H738">
        <v>13.6</v>
      </c>
      <c r="I738">
        <v>302</v>
      </c>
      <c r="J738">
        <v>32801</v>
      </c>
      <c r="K738" t="s">
        <v>3808</v>
      </c>
      <c r="L738">
        <f t="shared" si="46"/>
        <v>42</v>
      </c>
      <c r="N738">
        <v>42</v>
      </c>
      <c r="O738">
        <v>42</v>
      </c>
      <c r="P738">
        <v>1</v>
      </c>
      <c r="Q738">
        <v>3</v>
      </c>
      <c r="R738">
        <v>2</v>
      </c>
      <c r="S738">
        <v>3</v>
      </c>
      <c r="T738">
        <v>5</v>
      </c>
      <c r="U738">
        <v>10</v>
      </c>
      <c r="V738">
        <v>8</v>
      </c>
      <c r="W738">
        <v>7</v>
      </c>
      <c r="X738">
        <v>3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</v>
      </c>
      <c r="AK738">
        <v>2</v>
      </c>
      <c r="AL738">
        <v>3</v>
      </c>
      <c r="AM738">
        <v>5</v>
      </c>
      <c r="AN738">
        <v>10</v>
      </c>
      <c r="AO738">
        <v>8</v>
      </c>
      <c r="AP738">
        <v>7</v>
      </c>
      <c r="AQ738">
        <v>3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 s="2">
        <v>3</v>
      </c>
      <c r="BD738" s="2">
        <v>2</v>
      </c>
      <c r="BE738" s="2">
        <v>3</v>
      </c>
      <c r="BF738" s="2">
        <v>5</v>
      </c>
      <c r="BG738" s="2">
        <v>10</v>
      </c>
      <c r="BH738" s="2">
        <v>8</v>
      </c>
      <c r="BI738" s="2">
        <v>7</v>
      </c>
      <c r="BJ738" s="2">
        <v>3</v>
      </c>
      <c r="BK738" s="2">
        <v>0</v>
      </c>
      <c r="BL738" s="2">
        <v>0</v>
      </c>
      <c r="BM738" s="2">
        <v>0</v>
      </c>
      <c r="BN738" s="2">
        <v>1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f t="shared" si="49"/>
        <v>42</v>
      </c>
      <c r="BW738" s="16">
        <f t="shared" si="47"/>
        <v>2.2105263157894739</v>
      </c>
      <c r="BX738" s="16">
        <f>COUNTIF($BC$6:BU738, "=0") / COUNTIF($BC$6:BU738, "&gt;-1")</f>
        <v>0.20090471745530264</v>
      </c>
      <c r="BY738" s="18">
        <f>SUM($BC$6:BU738) / $BY$4</f>
        <v>0.90454959588769146</v>
      </c>
      <c r="BZ738" s="14">
        <f t="shared" si="48"/>
        <v>10</v>
      </c>
      <c r="CA738" t="s">
        <v>5832</v>
      </c>
      <c r="CZ738" t="s">
        <v>11096</v>
      </c>
      <c r="DA738" t="s">
        <v>6054</v>
      </c>
      <c r="DB738">
        <v>152.1</v>
      </c>
      <c r="DC738" t="s">
        <v>29194</v>
      </c>
      <c r="DD738" t="s">
        <v>29195</v>
      </c>
      <c r="DE738" t="s">
        <v>29196</v>
      </c>
      <c r="DF738" t="s">
        <v>29197</v>
      </c>
      <c r="DG738" t="s">
        <v>29198</v>
      </c>
      <c r="DH738" t="str">
        <f>"HAVCR1"</f>
        <v>HAVCR1</v>
      </c>
      <c r="DI738" t="s">
        <v>29199</v>
      </c>
      <c r="DJ738" t="s">
        <v>13777</v>
      </c>
      <c r="DK738">
        <v>9606</v>
      </c>
      <c r="DL738" s="34" t="str">
        <f>HYPERLINK("http://www.uniprot.org/uniprot/Q96D42", "Q96D42")</f>
        <v>Q96D42</v>
      </c>
      <c r="DM738" t="s">
        <v>29200</v>
      </c>
      <c r="DN738" t="s">
        <v>14563</v>
      </c>
      <c r="DO738" t="s">
        <v>13825</v>
      </c>
      <c r="DP738" t="s">
        <v>13793</v>
      </c>
      <c r="DQ738" t="s">
        <v>13772</v>
      </c>
      <c r="DR738" t="s">
        <v>13772</v>
      </c>
      <c r="DS738" t="s">
        <v>13951</v>
      </c>
      <c r="DT738" t="s">
        <v>13772</v>
      </c>
      <c r="DU738" t="s">
        <v>18791</v>
      </c>
      <c r="DV738" t="s">
        <v>13796</v>
      </c>
      <c r="DW738" t="s">
        <v>13812</v>
      </c>
      <c r="DX738" t="s">
        <v>13772</v>
      </c>
      <c r="DY738" t="s">
        <v>29201</v>
      </c>
      <c r="DZ738" t="s">
        <v>29202</v>
      </c>
      <c r="EA738" t="s">
        <v>13772</v>
      </c>
      <c r="EB738" t="s">
        <v>13772</v>
      </c>
    </row>
    <row r="739" spans="1:132" hidden="1">
      <c r="A739">
        <v>1731</v>
      </c>
      <c r="B739">
        <v>1</v>
      </c>
      <c r="C739" t="s">
        <v>4095</v>
      </c>
      <c r="D739" t="s">
        <v>73</v>
      </c>
      <c r="E739" t="s">
        <v>73</v>
      </c>
      <c r="F739" t="s">
        <v>4091</v>
      </c>
      <c r="G739" t="s">
        <v>73</v>
      </c>
      <c r="H739">
        <v>51.5</v>
      </c>
      <c r="I739">
        <v>260</v>
      </c>
      <c r="J739">
        <v>29275</v>
      </c>
      <c r="K739" t="s">
        <v>4096</v>
      </c>
      <c r="L739">
        <f t="shared" si="46"/>
        <v>43</v>
      </c>
      <c r="N739">
        <v>43</v>
      </c>
      <c r="O739">
        <v>42</v>
      </c>
      <c r="P739">
        <v>0.97699999999999998</v>
      </c>
      <c r="Q739">
        <v>4</v>
      </c>
      <c r="R739">
        <v>8</v>
      </c>
      <c r="S739">
        <v>0</v>
      </c>
      <c r="T739">
        <v>1</v>
      </c>
      <c r="U739">
        <v>6</v>
      </c>
      <c r="V739">
        <v>4</v>
      </c>
      <c r="W739">
        <v>1</v>
      </c>
      <c r="X739">
        <v>5</v>
      </c>
      <c r="Y739">
        <v>7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2</v>
      </c>
      <c r="AF739">
        <v>2</v>
      </c>
      <c r="AG739">
        <v>0</v>
      </c>
      <c r="AH739">
        <v>0</v>
      </c>
      <c r="AI739">
        <v>1</v>
      </c>
      <c r="AJ739">
        <v>4</v>
      </c>
      <c r="AK739">
        <v>8</v>
      </c>
      <c r="AL739">
        <v>0</v>
      </c>
      <c r="AM739">
        <v>1</v>
      </c>
      <c r="AN739">
        <v>6</v>
      </c>
      <c r="AO739">
        <v>4</v>
      </c>
      <c r="AP739">
        <v>1</v>
      </c>
      <c r="AQ739">
        <v>5</v>
      </c>
      <c r="AR739">
        <v>7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2</v>
      </c>
      <c r="AY739">
        <v>2</v>
      </c>
      <c r="AZ739">
        <v>0</v>
      </c>
      <c r="BA739">
        <v>0</v>
      </c>
      <c r="BB739">
        <v>0</v>
      </c>
      <c r="BC739" s="2">
        <v>4</v>
      </c>
      <c r="BD739" s="2">
        <v>8</v>
      </c>
      <c r="BE739" s="2">
        <v>0</v>
      </c>
      <c r="BF739" s="2">
        <v>1</v>
      </c>
      <c r="BG739" s="2">
        <v>6</v>
      </c>
      <c r="BH739" s="2">
        <v>4</v>
      </c>
      <c r="BI739" s="2">
        <v>1</v>
      </c>
      <c r="BJ739" s="2">
        <v>5</v>
      </c>
      <c r="BK739" s="2">
        <v>7</v>
      </c>
      <c r="BL739" s="2">
        <v>0</v>
      </c>
      <c r="BM739" s="2">
        <v>1</v>
      </c>
      <c r="BN739" s="2">
        <v>1</v>
      </c>
      <c r="BO739" s="2">
        <v>0</v>
      </c>
      <c r="BP739" s="2">
        <v>0</v>
      </c>
      <c r="BQ739" s="2">
        <v>2</v>
      </c>
      <c r="BR739" s="2">
        <v>2</v>
      </c>
      <c r="BS739" s="2">
        <v>0</v>
      </c>
      <c r="BT739" s="2">
        <v>0</v>
      </c>
      <c r="BU739" s="2">
        <v>0</v>
      </c>
      <c r="BV739" s="2">
        <f t="shared" si="49"/>
        <v>42</v>
      </c>
      <c r="BW739" s="16">
        <f t="shared" si="47"/>
        <v>2.2105263157894739</v>
      </c>
      <c r="BX739" s="16">
        <f>COUNTIF($BC$6:BU739, "=0") / COUNTIF($BC$6:BU739, "&gt;-1")</f>
        <v>0.20113294134518858</v>
      </c>
      <c r="BY739" s="18">
        <f>SUM($BC$6:BU739) / $BY$4</f>
        <v>0.90472950863617685</v>
      </c>
      <c r="BZ739" s="14">
        <f t="shared" si="48"/>
        <v>7</v>
      </c>
      <c r="CA739" t="s">
        <v>5832</v>
      </c>
      <c r="CZ739" t="s">
        <v>11519</v>
      </c>
      <c r="DA739" t="s">
        <v>5904</v>
      </c>
      <c r="DB739">
        <v>483.4</v>
      </c>
      <c r="DC739" t="s">
        <v>30390</v>
      </c>
      <c r="DD739" t="s">
        <v>30391</v>
      </c>
      <c r="DE739" t="s">
        <v>30392</v>
      </c>
      <c r="DF739" t="s">
        <v>30393</v>
      </c>
      <c r="DG739" t="s">
        <v>30394</v>
      </c>
      <c r="DH739" t="str">
        <f>"CA2"</f>
        <v>CA2</v>
      </c>
      <c r="DI739" t="s">
        <v>13772</v>
      </c>
      <c r="DJ739" t="s">
        <v>13777</v>
      </c>
      <c r="DK739">
        <v>9606</v>
      </c>
      <c r="DL739" s="34" t="str">
        <f>HYPERLINK("http://www.uniprot.org/uniprot/P00918", "P00918")</f>
        <v>P00918</v>
      </c>
      <c r="DM739" t="s">
        <v>30395</v>
      </c>
      <c r="DN739" t="s">
        <v>13772</v>
      </c>
      <c r="DO739" t="s">
        <v>18623</v>
      </c>
      <c r="DP739" t="s">
        <v>13793</v>
      </c>
      <c r="DQ739" t="s">
        <v>13772</v>
      </c>
      <c r="DR739" t="s">
        <v>30396</v>
      </c>
      <c r="DS739" t="s">
        <v>13772</v>
      </c>
      <c r="DT739" t="s">
        <v>13856</v>
      </c>
      <c r="DU739" t="s">
        <v>15788</v>
      </c>
      <c r="DV739" t="s">
        <v>13886</v>
      </c>
      <c r="DW739" t="s">
        <v>13812</v>
      </c>
      <c r="DX739" t="s">
        <v>30397</v>
      </c>
      <c r="DY739" t="s">
        <v>30398</v>
      </c>
      <c r="DZ739" t="s">
        <v>30399</v>
      </c>
      <c r="EA739" t="s">
        <v>13772</v>
      </c>
      <c r="EB739" t="s">
        <v>30400</v>
      </c>
    </row>
    <row r="740" spans="1:132" hidden="1">
      <c r="A740">
        <v>1820</v>
      </c>
      <c r="B740">
        <v>1</v>
      </c>
      <c r="C740" t="s">
        <v>4303</v>
      </c>
      <c r="D740" t="s">
        <v>4304</v>
      </c>
      <c r="E740" t="s">
        <v>73</v>
      </c>
      <c r="F740" t="s">
        <v>73</v>
      </c>
      <c r="G740" t="s">
        <v>73</v>
      </c>
      <c r="H740">
        <v>26.8</v>
      </c>
      <c r="I740">
        <v>773</v>
      </c>
      <c r="J740">
        <v>84799</v>
      </c>
      <c r="K740" t="s">
        <v>4305</v>
      </c>
      <c r="L740">
        <f t="shared" si="46"/>
        <v>42</v>
      </c>
      <c r="N740">
        <v>42</v>
      </c>
      <c r="O740">
        <v>42</v>
      </c>
      <c r="P740">
        <v>1</v>
      </c>
      <c r="Q740">
        <v>1</v>
      </c>
      <c r="R740">
        <v>3</v>
      </c>
      <c r="S740">
        <v>3</v>
      </c>
      <c r="T740">
        <v>7</v>
      </c>
      <c r="U740">
        <v>10</v>
      </c>
      <c r="V740">
        <v>9</v>
      </c>
      <c r="W740">
        <v>7</v>
      </c>
      <c r="X740">
        <v>2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3</v>
      </c>
      <c r="AM740">
        <v>7</v>
      </c>
      <c r="AN740">
        <v>10</v>
      </c>
      <c r="AO740">
        <v>9</v>
      </c>
      <c r="AP740">
        <v>7</v>
      </c>
      <c r="AQ740">
        <v>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 s="2">
        <v>1</v>
      </c>
      <c r="BD740" s="2">
        <v>3</v>
      </c>
      <c r="BE740" s="2">
        <v>3</v>
      </c>
      <c r="BF740" s="2">
        <v>7</v>
      </c>
      <c r="BG740" s="2">
        <v>10</v>
      </c>
      <c r="BH740" s="2">
        <v>9</v>
      </c>
      <c r="BI740" s="2">
        <v>7</v>
      </c>
      <c r="BJ740" s="2">
        <v>2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f t="shared" si="49"/>
        <v>42</v>
      </c>
      <c r="BW740" s="16">
        <f t="shared" si="47"/>
        <v>2.2105263157894739</v>
      </c>
      <c r="BX740" s="16">
        <f>COUNTIF($BC$6:BU740, "=0") / COUNTIF($BC$6:BU740, "&gt;-1")</f>
        <v>0.20164697457930542</v>
      </c>
      <c r="BY740" s="18">
        <f>SUM($BC$6:BU740) / $BY$4</f>
        <v>0.90490942138466224</v>
      </c>
      <c r="BZ740" s="14">
        <f t="shared" si="48"/>
        <v>11</v>
      </c>
      <c r="CA740" t="s">
        <v>5832</v>
      </c>
      <c r="CZ740" t="s">
        <v>11824</v>
      </c>
      <c r="DA740" t="s">
        <v>5904</v>
      </c>
      <c r="DB740">
        <v>1515</v>
      </c>
      <c r="DC740" t="s">
        <v>31275</v>
      </c>
      <c r="DD740" t="s">
        <v>31276</v>
      </c>
      <c r="DE740" t="s">
        <v>31277</v>
      </c>
      <c r="DF740" t="s">
        <v>31278</v>
      </c>
      <c r="DG740" t="s">
        <v>31279</v>
      </c>
      <c r="DH740" t="str">
        <f>"KIRREL1 NEPH1"</f>
        <v>KIRREL1 NEPH1</v>
      </c>
      <c r="DI740" t="s">
        <v>13772</v>
      </c>
      <c r="DJ740" t="s">
        <v>13777</v>
      </c>
      <c r="DK740">
        <v>9606</v>
      </c>
      <c r="DL740" s="34" t="str">
        <f>HYPERLINK("http://www.uniprot.org/uniprot/Q96J84", "Q96J84")</f>
        <v>Q96J84</v>
      </c>
      <c r="DM740" t="s">
        <v>14555</v>
      </c>
      <c r="DN740" t="s">
        <v>13772</v>
      </c>
      <c r="DO740" t="s">
        <v>13792</v>
      </c>
      <c r="DP740" t="s">
        <v>13780</v>
      </c>
      <c r="DQ740" t="s">
        <v>13772</v>
      </c>
      <c r="DR740" t="s">
        <v>13772</v>
      </c>
      <c r="DS740" t="s">
        <v>13951</v>
      </c>
      <c r="DT740" t="s">
        <v>13772</v>
      </c>
      <c r="DU740" t="s">
        <v>13772</v>
      </c>
      <c r="DV740" t="s">
        <v>13964</v>
      </c>
      <c r="DW740" t="s">
        <v>13772</v>
      </c>
      <c r="DX740" t="s">
        <v>31280</v>
      </c>
      <c r="DY740" t="s">
        <v>31281</v>
      </c>
      <c r="DZ740" t="s">
        <v>31282</v>
      </c>
      <c r="EA740" t="s">
        <v>13772</v>
      </c>
      <c r="EB740" t="s">
        <v>27088</v>
      </c>
    </row>
    <row r="741" spans="1:132" hidden="1">
      <c r="A741">
        <v>2005</v>
      </c>
      <c r="B741">
        <v>1</v>
      </c>
      <c r="C741" t="s">
        <v>4717</v>
      </c>
      <c r="D741" t="s">
        <v>73</v>
      </c>
      <c r="E741" t="s">
        <v>73</v>
      </c>
      <c r="F741" t="s">
        <v>73</v>
      </c>
      <c r="G741" t="s">
        <v>73</v>
      </c>
      <c r="H741">
        <v>24.4</v>
      </c>
      <c r="I741">
        <v>381</v>
      </c>
      <c r="J741">
        <v>43223</v>
      </c>
      <c r="K741" t="s">
        <v>4718</v>
      </c>
      <c r="L741">
        <f t="shared" si="46"/>
        <v>42</v>
      </c>
      <c r="N741">
        <v>42</v>
      </c>
      <c r="O741">
        <v>42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5</v>
      </c>
      <c r="Z741">
        <v>0</v>
      </c>
      <c r="AA741">
        <v>9</v>
      </c>
      <c r="AB741">
        <v>0</v>
      </c>
      <c r="AC741">
        <v>2</v>
      </c>
      <c r="AD741">
        <v>4</v>
      </c>
      <c r="AE741">
        <v>14</v>
      </c>
      <c r="AF741">
        <v>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</v>
      </c>
      <c r="AR741">
        <v>5</v>
      </c>
      <c r="AS741">
        <v>0</v>
      </c>
      <c r="AT741">
        <v>9</v>
      </c>
      <c r="AU741">
        <v>0</v>
      </c>
      <c r="AV741">
        <v>2</v>
      </c>
      <c r="AW741">
        <v>4</v>
      </c>
      <c r="AX741">
        <v>14</v>
      </c>
      <c r="AY741">
        <v>6</v>
      </c>
      <c r="AZ741">
        <v>0</v>
      </c>
      <c r="BA741">
        <v>0</v>
      </c>
      <c r="BB741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2</v>
      </c>
      <c r="BK741" s="2">
        <v>5</v>
      </c>
      <c r="BL741" s="2">
        <v>0</v>
      </c>
      <c r="BM741" s="2">
        <v>9</v>
      </c>
      <c r="BN741" s="2">
        <v>0</v>
      </c>
      <c r="BO741" s="2">
        <v>2</v>
      </c>
      <c r="BP741" s="2">
        <v>4</v>
      </c>
      <c r="BQ741" s="2">
        <v>14</v>
      </c>
      <c r="BR741" s="2">
        <v>6</v>
      </c>
      <c r="BS741" s="2">
        <v>0</v>
      </c>
      <c r="BT741" s="2">
        <v>0</v>
      </c>
      <c r="BU741" s="2">
        <v>0</v>
      </c>
      <c r="BV741" s="2">
        <f t="shared" si="49"/>
        <v>42</v>
      </c>
      <c r="BW741" s="16">
        <f t="shared" si="47"/>
        <v>2.2105263157894739</v>
      </c>
      <c r="BX741" s="16">
        <f>COUNTIF($BC$6:BU741, "=0") / COUNTIF($BC$6:BU741, "&gt;-1")</f>
        <v>0.20223112128146453</v>
      </c>
      <c r="BY741" s="18">
        <f>SUM($BC$6:BU741) / $BY$4</f>
        <v>0.90508933413314774</v>
      </c>
      <c r="BZ741" s="14">
        <f t="shared" si="48"/>
        <v>12</v>
      </c>
      <c r="CA741" t="s">
        <v>5832</v>
      </c>
      <c r="CZ741" t="s">
        <v>12434</v>
      </c>
      <c r="DA741" t="s">
        <v>5904</v>
      </c>
      <c r="DB741">
        <v>776.9</v>
      </c>
      <c r="DC741" t="s">
        <v>32987</v>
      </c>
      <c r="DD741" t="s">
        <v>32988</v>
      </c>
      <c r="DE741" t="s">
        <v>32989</v>
      </c>
      <c r="DF741" t="s">
        <v>32990</v>
      </c>
      <c r="DG741" t="s">
        <v>32991</v>
      </c>
      <c r="DH741" t="str">
        <f>"CKM"</f>
        <v>CKM</v>
      </c>
      <c r="DI741" t="s">
        <v>32992</v>
      </c>
      <c r="DJ741" t="s">
        <v>13777</v>
      </c>
      <c r="DK741">
        <v>9606</v>
      </c>
      <c r="DL741" s="34" t="str">
        <f>HYPERLINK("http://www.uniprot.org/uniprot/P06732", "P06732")</f>
        <v>P06732</v>
      </c>
      <c r="DM741" t="s">
        <v>32993</v>
      </c>
      <c r="DN741" t="s">
        <v>13772</v>
      </c>
      <c r="DO741" t="s">
        <v>13899</v>
      </c>
      <c r="DP741" t="s">
        <v>13793</v>
      </c>
      <c r="DQ741" t="s">
        <v>13772</v>
      </c>
      <c r="DR741" t="s">
        <v>13772</v>
      </c>
      <c r="DS741" t="s">
        <v>13772</v>
      </c>
      <c r="DT741" t="s">
        <v>14005</v>
      </c>
      <c r="DU741" t="s">
        <v>14006</v>
      </c>
      <c r="DV741" t="s">
        <v>13782</v>
      </c>
      <c r="DW741" t="s">
        <v>13812</v>
      </c>
      <c r="DX741" t="s">
        <v>15508</v>
      </c>
      <c r="DY741" t="s">
        <v>32994</v>
      </c>
      <c r="DZ741" t="s">
        <v>15510</v>
      </c>
      <c r="EA741" t="s">
        <v>13772</v>
      </c>
      <c r="EB741" t="s">
        <v>15511</v>
      </c>
    </row>
    <row r="742" spans="1:132" hidden="1">
      <c r="A742">
        <v>1522</v>
      </c>
      <c r="B742">
        <v>1</v>
      </c>
      <c r="C742" t="s">
        <v>3623</v>
      </c>
      <c r="D742" t="s">
        <v>73</v>
      </c>
      <c r="E742" t="s">
        <v>73</v>
      </c>
      <c r="F742" t="s">
        <v>3505</v>
      </c>
      <c r="G742" t="s">
        <v>73</v>
      </c>
      <c r="H742">
        <v>17.8</v>
      </c>
      <c r="I742">
        <v>90</v>
      </c>
      <c r="J742">
        <v>9379</v>
      </c>
      <c r="K742" t="s">
        <v>3624</v>
      </c>
      <c r="L742">
        <f t="shared" si="46"/>
        <v>42</v>
      </c>
      <c r="N742">
        <v>42</v>
      </c>
      <c r="O742">
        <v>35</v>
      </c>
      <c r="P742">
        <v>0.83299999999999996</v>
      </c>
      <c r="Q742">
        <v>1</v>
      </c>
      <c r="R742">
        <v>0</v>
      </c>
      <c r="S742">
        <v>0</v>
      </c>
      <c r="T742">
        <v>0</v>
      </c>
      <c r="U742">
        <v>2</v>
      </c>
      <c r="V742">
        <v>1</v>
      </c>
      <c r="W742">
        <v>3</v>
      </c>
      <c r="X742">
        <v>3</v>
      </c>
      <c r="Y742">
        <v>0</v>
      </c>
      <c r="Z742">
        <v>0</v>
      </c>
      <c r="AA742">
        <v>7</v>
      </c>
      <c r="AB742">
        <v>5</v>
      </c>
      <c r="AC742">
        <v>2</v>
      </c>
      <c r="AD742">
        <v>0</v>
      </c>
      <c r="AE742">
        <v>5</v>
      </c>
      <c r="AF742">
        <v>7</v>
      </c>
      <c r="AG742">
        <v>3</v>
      </c>
      <c r="AH742">
        <v>0</v>
      </c>
      <c r="AI742">
        <v>3</v>
      </c>
      <c r="AJ742">
        <v>1</v>
      </c>
      <c r="AK742">
        <v>0</v>
      </c>
      <c r="AL742">
        <v>0</v>
      </c>
      <c r="AM742">
        <v>0</v>
      </c>
      <c r="AN742">
        <v>2</v>
      </c>
      <c r="AO742">
        <v>1</v>
      </c>
      <c r="AP742">
        <v>2</v>
      </c>
      <c r="AQ742">
        <v>2</v>
      </c>
      <c r="AR742">
        <v>0</v>
      </c>
      <c r="AS742">
        <v>0</v>
      </c>
      <c r="AT742">
        <v>6</v>
      </c>
      <c r="AU742">
        <v>4</v>
      </c>
      <c r="AV742">
        <v>2</v>
      </c>
      <c r="AW742">
        <v>0</v>
      </c>
      <c r="AX742">
        <v>5</v>
      </c>
      <c r="AY742">
        <v>6</v>
      </c>
      <c r="AZ742">
        <v>2</v>
      </c>
      <c r="BA742">
        <v>0</v>
      </c>
      <c r="BB742">
        <v>2</v>
      </c>
      <c r="BC742" s="2">
        <v>1</v>
      </c>
      <c r="BD742" s="2">
        <v>0</v>
      </c>
      <c r="BE742" s="2">
        <v>0</v>
      </c>
      <c r="BF742" s="2">
        <v>0</v>
      </c>
      <c r="BG742" s="2">
        <v>2</v>
      </c>
      <c r="BH742" s="2">
        <v>1</v>
      </c>
      <c r="BI742" s="2">
        <v>3</v>
      </c>
      <c r="BJ742" s="2">
        <v>3</v>
      </c>
      <c r="BK742" s="2">
        <v>0</v>
      </c>
      <c r="BL742" s="2">
        <v>0</v>
      </c>
      <c r="BM742" s="2">
        <v>6.6669999999999998</v>
      </c>
      <c r="BN742" s="2">
        <v>5</v>
      </c>
      <c r="BO742" s="2">
        <v>2</v>
      </c>
      <c r="BP742" s="2">
        <v>0</v>
      </c>
      <c r="BQ742" s="2">
        <v>5</v>
      </c>
      <c r="BR742" s="2">
        <v>6.8570000000000002</v>
      </c>
      <c r="BS742" s="2">
        <v>3</v>
      </c>
      <c r="BT742" s="2">
        <v>0</v>
      </c>
      <c r="BU742" s="2">
        <v>3</v>
      </c>
      <c r="BV742" s="2">
        <f t="shared" si="49"/>
        <v>41.524000000000001</v>
      </c>
      <c r="BW742" s="16">
        <f t="shared" si="47"/>
        <v>2.1854736842105265</v>
      </c>
      <c r="BX742" s="16">
        <f>COUNTIF($BC$6:BU742, "=0") / COUNTIF($BC$6:BU742, "&gt;-1")</f>
        <v>0.20245661643933444</v>
      </c>
      <c r="BY742" s="18">
        <f>SUM($BC$6:BU742) / $BY$4</f>
        <v>0.90526720787048354</v>
      </c>
      <c r="BZ742" s="14">
        <f t="shared" si="48"/>
        <v>7</v>
      </c>
      <c r="CA742" t="s">
        <v>5832</v>
      </c>
      <c r="CZ742" t="s">
        <v>10810</v>
      </c>
      <c r="DA742" t="s">
        <v>5904</v>
      </c>
      <c r="DB742">
        <v>159.1</v>
      </c>
      <c r="DC742" t="s">
        <v>28401</v>
      </c>
      <c r="DD742" t="s">
        <v>28402</v>
      </c>
      <c r="DE742" t="s">
        <v>28403</v>
      </c>
      <c r="DF742" t="s">
        <v>28404</v>
      </c>
      <c r="DG742" t="s">
        <v>28405</v>
      </c>
      <c r="DH742" t="str">
        <f>"HMGN2"</f>
        <v>HMGN2</v>
      </c>
      <c r="DI742" t="s">
        <v>28406</v>
      </c>
      <c r="DJ742" t="s">
        <v>13777</v>
      </c>
      <c r="DK742">
        <v>9606</v>
      </c>
      <c r="DL742" s="34" t="str">
        <f>HYPERLINK("http://www.uniprot.org/uniprot/P05204", "P05204")</f>
        <v>P05204</v>
      </c>
      <c r="DM742" t="s">
        <v>28407</v>
      </c>
      <c r="DN742" t="s">
        <v>13772</v>
      </c>
      <c r="DO742" t="s">
        <v>13912</v>
      </c>
      <c r="DP742" t="s">
        <v>13793</v>
      </c>
      <c r="DQ742" t="s">
        <v>13772</v>
      </c>
      <c r="DR742" t="s">
        <v>13772</v>
      </c>
      <c r="DS742" t="s">
        <v>13772</v>
      </c>
      <c r="DT742" t="s">
        <v>13772</v>
      </c>
      <c r="DU742" t="s">
        <v>15871</v>
      </c>
      <c r="DV742" t="s">
        <v>28408</v>
      </c>
      <c r="DW742" t="s">
        <v>13772</v>
      </c>
      <c r="DX742" t="s">
        <v>28409</v>
      </c>
      <c r="DY742" t="s">
        <v>28410</v>
      </c>
      <c r="DZ742" t="s">
        <v>28411</v>
      </c>
      <c r="EA742" t="s">
        <v>13772</v>
      </c>
      <c r="EB742" t="s">
        <v>13772</v>
      </c>
    </row>
    <row r="743" spans="1:132" hidden="1">
      <c r="A743">
        <v>423</v>
      </c>
      <c r="B743">
        <v>1</v>
      </c>
      <c r="C743" t="s">
        <v>1059</v>
      </c>
      <c r="D743" t="s">
        <v>1060</v>
      </c>
      <c r="E743" t="s">
        <v>73</v>
      </c>
      <c r="F743" t="s">
        <v>830</v>
      </c>
      <c r="G743" t="s">
        <v>73</v>
      </c>
      <c r="H743">
        <v>32.700000000000003</v>
      </c>
      <c r="I743">
        <v>444</v>
      </c>
      <c r="J743">
        <v>49371</v>
      </c>
      <c r="K743" t="s">
        <v>1061</v>
      </c>
      <c r="L743">
        <f t="shared" si="46"/>
        <v>48</v>
      </c>
      <c r="N743">
        <v>48</v>
      </c>
      <c r="O743">
        <v>32</v>
      </c>
      <c r="P743">
        <v>0.66700000000000004</v>
      </c>
      <c r="Q743">
        <v>2</v>
      </c>
      <c r="R743">
        <v>8</v>
      </c>
      <c r="S743">
        <v>2</v>
      </c>
      <c r="T743">
        <v>9</v>
      </c>
      <c r="U743">
        <v>7</v>
      </c>
      <c r="V743">
        <v>7</v>
      </c>
      <c r="W743">
        <v>5</v>
      </c>
      <c r="X743">
        <v>1</v>
      </c>
      <c r="Y743">
        <v>2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6</v>
      </c>
      <c r="AL743">
        <v>1</v>
      </c>
      <c r="AM743">
        <v>7</v>
      </c>
      <c r="AN743">
        <v>5</v>
      </c>
      <c r="AO743">
        <v>6</v>
      </c>
      <c r="AP743">
        <v>2</v>
      </c>
      <c r="AQ743">
        <v>0</v>
      </c>
      <c r="AR743">
        <v>2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 s="2">
        <v>2</v>
      </c>
      <c r="BD743" s="2">
        <v>7.2</v>
      </c>
      <c r="BE743" s="2">
        <v>1.333</v>
      </c>
      <c r="BF743" s="2">
        <v>8.1669999999999998</v>
      </c>
      <c r="BG743" s="2">
        <v>6.4290000000000003</v>
      </c>
      <c r="BH743" s="2">
        <v>7</v>
      </c>
      <c r="BI743" s="2">
        <v>3.2</v>
      </c>
      <c r="BJ743" s="2">
        <v>0.5</v>
      </c>
      <c r="BK743" s="2">
        <v>2</v>
      </c>
      <c r="BL743" s="2">
        <v>0</v>
      </c>
      <c r="BM743" s="2">
        <v>0.5</v>
      </c>
      <c r="BN743" s="2">
        <v>0</v>
      </c>
      <c r="BO743" s="2">
        <v>1</v>
      </c>
      <c r="BP743" s="2">
        <v>1</v>
      </c>
      <c r="BQ743" s="2">
        <v>0.5</v>
      </c>
      <c r="BR743" s="2">
        <v>0.5</v>
      </c>
      <c r="BS743" s="2">
        <v>0</v>
      </c>
      <c r="BT743" s="2">
        <v>0</v>
      </c>
      <c r="BU743" s="2">
        <v>0</v>
      </c>
      <c r="BV743" s="2">
        <f t="shared" si="49"/>
        <v>41.329000000000001</v>
      </c>
      <c r="BW743" s="16">
        <f t="shared" si="47"/>
        <v>2.1752105263157895</v>
      </c>
      <c r="BX743" s="16">
        <f>COUNTIF($BC$6:BU743, "=0") / COUNTIF($BC$6:BU743, "&gt;-1")</f>
        <v>0.2025388674939381</v>
      </c>
      <c r="BY743" s="18">
        <f>SUM($BC$6:BU743) / $BY$4</f>
        <v>0.90544424629863018</v>
      </c>
      <c r="BZ743" s="14">
        <f t="shared" si="48"/>
        <v>5</v>
      </c>
      <c r="CA743" t="s">
        <v>5832</v>
      </c>
      <c r="CZ743" t="s">
        <v>7168</v>
      </c>
      <c r="DA743" t="s">
        <v>5904</v>
      </c>
      <c r="DB743">
        <v>884.8</v>
      </c>
      <c r="DC743" t="s">
        <v>17879</v>
      </c>
      <c r="DD743" t="s">
        <v>17880</v>
      </c>
      <c r="DE743" t="s">
        <v>17881</v>
      </c>
      <c r="DF743" t="s">
        <v>17882</v>
      </c>
      <c r="DG743" t="s">
        <v>17883</v>
      </c>
      <c r="DH743" t="str">
        <f>"VPS4B"</f>
        <v>VPS4B</v>
      </c>
      <c r="DI743" t="s">
        <v>17884</v>
      </c>
      <c r="DJ743" t="s">
        <v>13777</v>
      </c>
      <c r="DK743">
        <v>9606</v>
      </c>
      <c r="DL743" s="34" t="str">
        <f>HYPERLINK("http://www.uniprot.org/uniprot/O75351", "O75351")</f>
        <v>O75351</v>
      </c>
      <c r="DM743" t="s">
        <v>17885</v>
      </c>
      <c r="DN743" t="s">
        <v>16859</v>
      </c>
      <c r="DO743" t="s">
        <v>13779</v>
      </c>
      <c r="DP743" t="s">
        <v>13793</v>
      </c>
      <c r="DQ743" t="s">
        <v>13772</v>
      </c>
      <c r="DR743" t="s">
        <v>13772</v>
      </c>
      <c r="DS743" t="s">
        <v>14245</v>
      </c>
      <c r="DT743" t="s">
        <v>14005</v>
      </c>
      <c r="DU743" t="s">
        <v>13857</v>
      </c>
      <c r="DV743" t="s">
        <v>13782</v>
      </c>
      <c r="DW743" t="s">
        <v>13812</v>
      </c>
      <c r="DX743" t="s">
        <v>17886</v>
      </c>
      <c r="DY743" t="s">
        <v>17887</v>
      </c>
      <c r="DZ743" t="s">
        <v>17888</v>
      </c>
      <c r="EA743" t="s">
        <v>13772</v>
      </c>
      <c r="EB743" t="s">
        <v>16863</v>
      </c>
    </row>
    <row r="744" spans="1:132" hidden="1">
      <c r="A744">
        <v>237</v>
      </c>
      <c r="B744">
        <v>1</v>
      </c>
      <c r="C744" t="s">
        <v>603</v>
      </c>
      <c r="D744" t="s">
        <v>604</v>
      </c>
      <c r="E744" t="s">
        <v>73</v>
      </c>
      <c r="F744" t="s">
        <v>605</v>
      </c>
      <c r="G744" t="s">
        <v>73</v>
      </c>
      <c r="H744">
        <v>62.7</v>
      </c>
      <c r="I744">
        <v>126</v>
      </c>
      <c r="J744">
        <v>13920</v>
      </c>
      <c r="K744" t="s">
        <v>606</v>
      </c>
      <c r="L744">
        <f t="shared" si="46"/>
        <v>76</v>
      </c>
      <c r="N744">
        <v>76</v>
      </c>
      <c r="O744">
        <v>16</v>
      </c>
      <c r="P744">
        <v>0.21099999999999999</v>
      </c>
      <c r="Q744">
        <v>1</v>
      </c>
      <c r="R744">
        <v>5</v>
      </c>
      <c r="S744">
        <v>0</v>
      </c>
      <c r="T744">
        <v>2</v>
      </c>
      <c r="U744">
        <v>1</v>
      </c>
      <c r="V744">
        <v>0</v>
      </c>
      <c r="W744">
        <v>0</v>
      </c>
      <c r="X744">
        <v>2</v>
      </c>
      <c r="Y744">
        <v>6</v>
      </c>
      <c r="Z744">
        <v>4</v>
      </c>
      <c r="AA744">
        <v>15</v>
      </c>
      <c r="AB744">
        <v>14</v>
      </c>
      <c r="AC744">
        <v>13</v>
      </c>
      <c r="AD744">
        <v>1</v>
      </c>
      <c r="AE744">
        <v>1</v>
      </c>
      <c r="AF744">
        <v>4</v>
      </c>
      <c r="AG744">
        <v>3</v>
      </c>
      <c r="AH744">
        <v>2</v>
      </c>
      <c r="AI744">
        <v>2</v>
      </c>
      <c r="AJ744">
        <v>0</v>
      </c>
      <c r="AK744">
        <v>3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3</v>
      </c>
      <c r="AU744">
        <v>3</v>
      </c>
      <c r="AV744">
        <v>2</v>
      </c>
      <c r="AW744">
        <v>0</v>
      </c>
      <c r="AX744">
        <v>0</v>
      </c>
      <c r="AY744">
        <v>2</v>
      </c>
      <c r="AZ744">
        <v>0</v>
      </c>
      <c r="BA744">
        <v>0</v>
      </c>
      <c r="BB744">
        <v>0</v>
      </c>
      <c r="BC744" s="2">
        <v>0.5</v>
      </c>
      <c r="BD744" s="2">
        <v>4.2</v>
      </c>
      <c r="BE744" s="2">
        <v>0</v>
      </c>
      <c r="BF744" s="2">
        <v>1.5</v>
      </c>
      <c r="BG744" s="2">
        <v>1</v>
      </c>
      <c r="BH744" s="2">
        <v>0</v>
      </c>
      <c r="BI744" s="2">
        <v>0</v>
      </c>
      <c r="BJ744" s="2">
        <v>1</v>
      </c>
      <c r="BK744" s="2">
        <v>0</v>
      </c>
      <c r="BL744" s="2">
        <v>2.5</v>
      </c>
      <c r="BM744" s="2">
        <v>9</v>
      </c>
      <c r="BN744" s="2">
        <v>7.7140000000000004</v>
      </c>
      <c r="BO744" s="2">
        <v>6.4</v>
      </c>
      <c r="BP744" s="2">
        <v>0.5</v>
      </c>
      <c r="BQ744" s="2">
        <v>0.5</v>
      </c>
      <c r="BR744" s="2">
        <v>4</v>
      </c>
      <c r="BS744" s="2">
        <v>1.5</v>
      </c>
      <c r="BT744" s="2">
        <v>0</v>
      </c>
      <c r="BU744" s="2">
        <v>1</v>
      </c>
      <c r="BV744" s="2">
        <f t="shared" si="49"/>
        <v>41.314</v>
      </c>
      <c r="BW744" s="16">
        <f t="shared" si="47"/>
        <v>2.1744210526315788</v>
      </c>
      <c r="BX744" s="16">
        <f>COUNTIF($BC$6:BU744, "=0") / COUNTIF($BC$6:BU744, "&gt;-1")</f>
        <v>0.20262089594758209</v>
      </c>
      <c r="BY744" s="18">
        <f>SUM($BC$6:BU744) / $BY$4</f>
        <v>0.90562122047222371</v>
      </c>
      <c r="BZ744" s="14">
        <f t="shared" si="48"/>
        <v>5</v>
      </c>
      <c r="CA744" t="s">
        <v>5832</v>
      </c>
      <c r="CZ744" t="s">
        <v>6520</v>
      </c>
      <c r="DA744" t="s">
        <v>5904</v>
      </c>
      <c r="DB744">
        <v>254.2</v>
      </c>
      <c r="DC744" t="s">
        <v>15877</v>
      </c>
      <c r="DD744" t="s">
        <v>15878</v>
      </c>
      <c r="DE744" t="s">
        <v>15879</v>
      </c>
      <c r="DF744" t="s">
        <v>15880</v>
      </c>
      <c r="DG744" t="s">
        <v>15881</v>
      </c>
      <c r="DH744" t="str">
        <f>"HIST2H2BE"</f>
        <v>HIST2H2BE</v>
      </c>
      <c r="DI744" t="s">
        <v>15882</v>
      </c>
      <c r="DJ744" t="s">
        <v>13777</v>
      </c>
      <c r="DK744">
        <v>9606</v>
      </c>
      <c r="DL744" s="34" t="str">
        <f>HYPERLINK("http://www.uniprot.org/uniprot/Q16778", "Q16778")</f>
        <v>Q16778</v>
      </c>
      <c r="DM744" t="s">
        <v>15883</v>
      </c>
      <c r="DN744" t="s">
        <v>13772</v>
      </c>
      <c r="DO744" t="s">
        <v>15870</v>
      </c>
      <c r="DP744" t="s">
        <v>13772</v>
      </c>
      <c r="DQ744" t="s">
        <v>13772</v>
      </c>
      <c r="DR744" t="s">
        <v>13772</v>
      </c>
      <c r="DS744" t="s">
        <v>13772</v>
      </c>
      <c r="DT744" t="s">
        <v>13772</v>
      </c>
      <c r="DU744" t="s">
        <v>15884</v>
      </c>
      <c r="DV744" t="s">
        <v>15885</v>
      </c>
      <c r="DW744" t="s">
        <v>13812</v>
      </c>
      <c r="DX744" t="s">
        <v>15886</v>
      </c>
      <c r="DY744" t="s">
        <v>15887</v>
      </c>
      <c r="DZ744" t="s">
        <v>15875</v>
      </c>
      <c r="EA744" t="s">
        <v>13772</v>
      </c>
      <c r="EB744" t="s">
        <v>15888</v>
      </c>
    </row>
    <row r="745" spans="1:132" hidden="1">
      <c r="A745">
        <v>2012</v>
      </c>
      <c r="B745">
        <v>1</v>
      </c>
      <c r="C745" t="s">
        <v>4733</v>
      </c>
      <c r="D745" t="s">
        <v>4734</v>
      </c>
      <c r="E745" t="s">
        <v>73</v>
      </c>
      <c r="F745" t="s">
        <v>572</v>
      </c>
      <c r="G745" t="s">
        <v>73</v>
      </c>
      <c r="H745">
        <v>47.7</v>
      </c>
      <c r="I745">
        <v>174</v>
      </c>
      <c r="J745">
        <v>20326</v>
      </c>
      <c r="K745" t="s">
        <v>4735</v>
      </c>
      <c r="L745">
        <f t="shared" si="46"/>
        <v>48</v>
      </c>
      <c r="N745">
        <v>48</v>
      </c>
      <c r="O745">
        <v>30</v>
      </c>
      <c r="P745">
        <v>0.625</v>
      </c>
      <c r="Q745">
        <v>4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5</v>
      </c>
      <c r="Y745">
        <v>0</v>
      </c>
      <c r="Z745">
        <v>0</v>
      </c>
      <c r="AA745">
        <v>10</v>
      </c>
      <c r="AB745">
        <v>4</v>
      </c>
      <c r="AC745">
        <v>3</v>
      </c>
      <c r="AD745">
        <v>0</v>
      </c>
      <c r="AE745">
        <v>3</v>
      </c>
      <c r="AF745">
        <v>7</v>
      </c>
      <c r="AG745">
        <v>2</v>
      </c>
      <c r="AH745">
        <v>4</v>
      </c>
      <c r="AI745">
        <v>3</v>
      </c>
      <c r="AJ745">
        <v>2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7</v>
      </c>
      <c r="AU745">
        <v>3</v>
      </c>
      <c r="AV745">
        <v>2</v>
      </c>
      <c r="AW745">
        <v>0</v>
      </c>
      <c r="AX745">
        <v>2</v>
      </c>
      <c r="AY745">
        <v>6</v>
      </c>
      <c r="AZ745">
        <v>1</v>
      </c>
      <c r="BA745">
        <v>3</v>
      </c>
      <c r="BB745">
        <v>1</v>
      </c>
      <c r="BC745" s="2">
        <v>4</v>
      </c>
      <c r="BD745" s="2">
        <v>0</v>
      </c>
      <c r="BE745" s="2">
        <v>1</v>
      </c>
      <c r="BF745" s="2">
        <v>0</v>
      </c>
      <c r="BG745" s="2">
        <v>0</v>
      </c>
      <c r="BH745" s="2">
        <v>0.5</v>
      </c>
      <c r="BI745" s="2">
        <v>0.5</v>
      </c>
      <c r="BJ745" s="2">
        <v>3</v>
      </c>
      <c r="BK745" s="2">
        <v>0</v>
      </c>
      <c r="BL745" s="2">
        <v>0</v>
      </c>
      <c r="BM745" s="2">
        <v>8.9090000000000007</v>
      </c>
      <c r="BN745" s="2">
        <v>3.75</v>
      </c>
      <c r="BO745" s="2">
        <v>2.5</v>
      </c>
      <c r="BP745" s="2">
        <v>0</v>
      </c>
      <c r="BQ745" s="2">
        <v>2.5</v>
      </c>
      <c r="BR745" s="2">
        <v>6.6669999999999998</v>
      </c>
      <c r="BS745" s="2">
        <v>2</v>
      </c>
      <c r="BT745" s="2">
        <v>3.75</v>
      </c>
      <c r="BU745" s="2">
        <v>2</v>
      </c>
      <c r="BV745" s="2">
        <f t="shared" si="49"/>
        <v>41.076000000000001</v>
      </c>
      <c r="BW745" s="16">
        <f t="shared" si="47"/>
        <v>2.1618947368421053</v>
      </c>
      <c r="BX745" s="16">
        <f>COUNTIF($BC$6:BU745, "=0") / COUNTIF($BC$6:BU745, "&gt;-1")</f>
        <v>0.20277382645803699</v>
      </c>
      <c r="BY745" s="18">
        <f>SUM($BC$6:BU745) / $BY$4</f>
        <v>0.90579717514024238</v>
      </c>
      <c r="BZ745" s="14">
        <f t="shared" si="48"/>
        <v>6</v>
      </c>
      <c r="CA745" t="s">
        <v>5832</v>
      </c>
      <c r="CZ745" t="s">
        <v>12457</v>
      </c>
      <c r="DA745" t="s">
        <v>5904</v>
      </c>
      <c r="DB745">
        <v>286.2</v>
      </c>
      <c r="DC745" t="s">
        <v>33059</v>
      </c>
      <c r="DD745" t="s">
        <v>13772</v>
      </c>
      <c r="DE745" t="s">
        <v>33060</v>
      </c>
      <c r="DF745" t="s">
        <v>33061</v>
      </c>
      <c r="DG745" t="s">
        <v>33062</v>
      </c>
      <c r="DH745" t="str">
        <f>"GMFG"</f>
        <v>GMFG</v>
      </c>
      <c r="DI745" t="s">
        <v>13772</v>
      </c>
      <c r="DJ745" t="s">
        <v>13777</v>
      </c>
      <c r="DK745">
        <v>9606</v>
      </c>
      <c r="DL745" s="34" t="str">
        <f>HYPERLINK("http://www.uniprot.org/uniprot/O60234", "O60234")</f>
        <v>O60234</v>
      </c>
      <c r="DM745" t="s">
        <v>33063</v>
      </c>
      <c r="DN745" t="s">
        <v>13772</v>
      </c>
      <c r="DO745" t="s">
        <v>13772</v>
      </c>
      <c r="DP745" t="s">
        <v>13793</v>
      </c>
      <c r="DQ745" t="s">
        <v>13772</v>
      </c>
      <c r="DR745" t="s">
        <v>13772</v>
      </c>
      <c r="DS745" t="s">
        <v>13772</v>
      </c>
      <c r="DT745" t="s">
        <v>13772</v>
      </c>
      <c r="DU745" t="s">
        <v>15740</v>
      </c>
      <c r="DV745" t="s">
        <v>14020</v>
      </c>
      <c r="DW745" t="s">
        <v>13812</v>
      </c>
      <c r="DX745" t="s">
        <v>33064</v>
      </c>
      <c r="DY745" t="s">
        <v>33065</v>
      </c>
      <c r="DZ745" t="s">
        <v>15743</v>
      </c>
      <c r="EA745" t="s">
        <v>13772</v>
      </c>
      <c r="EB745" t="s">
        <v>13890</v>
      </c>
    </row>
    <row r="746" spans="1:132" hidden="1">
      <c r="A746">
        <v>76</v>
      </c>
      <c r="B746">
        <v>1</v>
      </c>
      <c r="C746" t="s">
        <v>212</v>
      </c>
      <c r="D746" t="s">
        <v>73</v>
      </c>
      <c r="E746" t="s">
        <v>73</v>
      </c>
      <c r="F746" t="s">
        <v>73</v>
      </c>
      <c r="G746" t="s">
        <v>73</v>
      </c>
      <c r="H746">
        <v>26.9</v>
      </c>
      <c r="I746">
        <v>390</v>
      </c>
      <c r="J746">
        <v>43341</v>
      </c>
      <c r="K746" t="s">
        <v>213</v>
      </c>
      <c r="L746">
        <f t="shared" si="46"/>
        <v>41</v>
      </c>
      <c r="N746">
        <v>41</v>
      </c>
      <c r="O746">
        <v>41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3</v>
      </c>
      <c r="W746">
        <v>0</v>
      </c>
      <c r="X746">
        <v>2</v>
      </c>
      <c r="Y746">
        <v>12</v>
      </c>
      <c r="Z746">
        <v>0</v>
      </c>
      <c r="AA746">
        <v>7</v>
      </c>
      <c r="AB746">
        <v>5</v>
      </c>
      <c r="AC746">
        <v>2</v>
      </c>
      <c r="AD746">
        <v>0</v>
      </c>
      <c r="AE746">
        <v>5</v>
      </c>
      <c r="AF746">
        <v>3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3</v>
      </c>
      <c r="AP746">
        <v>0</v>
      </c>
      <c r="AQ746">
        <v>2</v>
      </c>
      <c r="AR746">
        <v>12</v>
      </c>
      <c r="AS746">
        <v>0</v>
      </c>
      <c r="AT746">
        <v>7</v>
      </c>
      <c r="AU746">
        <v>5</v>
      </c>
      <c r="AV746">
        <v>2</v>
      </c>
      <c r="AW746">
        <v>0</v>
      </c>
      <c r="AX746">
        <v>5</v>
      </c>
      <c r="AY746">
        <v>3</v>
      </c>
      <c r="AZ746">
        <v>0</v>
      </c>
      <c r="BA746">
        <v>0</v>
      </c>
      <c r="BB746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1</v>
      </c>
      <c r="BH746" s="2">
        <v>3</v>
      </c>
      <c r="BI746" s="2">
        <v>0</v>
      </c>
      <c r="BJ746" s="2">
        <v>2</v>
      </c>
      <c r="BK746" s="2">
        <v>12</v>
      </c>
      <c r="BL746" s="2">
        <v>0</v>
      </c>
      <c r="BM746" s="2">
        <v>7</v>
      </c>
      <c r="BN746" s="2">
        <v>5</v>
      </c>
      <c r="BO746" s="2">
        <v>2</v>
      </c>
      <c r="BP746" s="2">
        <v>0</v>
      </c>
      <c r="BQ746" s="2">
        <v>5</v>
      </c>
      <c r="BR746" s="2">
        <v>3</v>
      </c>
      <c r="BS746" s="2">
        <v>0</v>
      </c>
      <c r="BT746" s="2">
        <v>0</v>
      </c>
      <c r="BU746" s="2">
        <v>1</v>
      </c>
      <c r="BV746" s="2">
        <f t="shared" si="49"/>
        <v>41</v>
      </c>
      <c r="BW746" s="16">
        <f t="shared" si="47"/>
        <v>2.1578947368421053</v>
      </c>
      <c r="BX746" s="16">
        <f>COUNTIF($BC$6:BU746, "=0") / COUNTIF($BC$6:BU746, "&gt;-1")</f>
        <v>0.20313942751615882</v>
      </c>
      <c r="BY746" s="18">
        <f>SUM($BC$6:BU746) / $BY$4</f>
        <v>0.90597280425185911</v>
      </c>
      <c r="BZ746" s="14">
        <f t="shared" si="48"/>
        <v>9</v>
      </c>
      <c r="CA746" t="s">
        <v>5832</v>
      </c>
      <c r="CZ746" t="s">
        <v>5967</v>
      </c>
      <c r="DA746" t="s">
        <v>5904</v>
      </c>
      <c r="DB746">
        <v>666.4</v>
      </c>
      <c r="DC746" t="s">
        <v>14038</v>
      </c>
      <c r="DD746" t="s">
        <v>14039</v>
      </c>
      <c r="DE746" t="s">
        <v>14040</v>
      </c>
      <c r="DF746" t="s">
        <v>14041</v>
      </c>
      <c r="DG746" t="s">
        <v>14042</v>
      </c>
      <c r="DH746" t="str">
        <f>"CAVIN1"</f>
        <v>CAVIN1</v>
      </c>
      <c r="DI746" t="s">
        <v>14043</v>
      </c>
      <c r="DJ746" t="s">
        <v>13777</v>
      </c>
      <c r="DK746">
        <v>9606</v>
      </c>
      <c r="DL746" s="34" t="str">
        <f>HYPERLINK("http://www.uniprot.org/uniprot/Q6NZI2", "Q6NZI2")</f>
        <v>Q6NZI2</v>
      </c>
      <c r="DM746" t="s">
        <v>14044</v>
      </c>
      <c r="DN746" t="s">
        <v>14045</v>
      </c>
      <c r="DO746" t="s">
        <v>14046</v>
      </c>
      <c r="DP746" t="s">
        <v>13780</v>
      </c>
      <c r="DQ746" t="s">
        <v>13772</v>
      </c>
      <c r="DR746" t="s">
        <v>14047</v>
      </c>
      <c r="DS746" t="s">
        <v>14048</v>
      </c>
      <c r="DT746" t="s">
        <v>13772</v>
      </c>
      <c r="DU746" t="s">
        <v>14049</v>
      </c>
      <c r="DV746" t="s">
        <v>13991</v>
      </c>
      <c r="DW746" t="s">
        <v>13772</v>
      </c>
      <c r="DX746" t="s">
        <v>14050</v>
      </c>
      <c r="DY746" t="s">
        <v>14051</v>
      </c>
      <c r="DZ746" t="s">
        <v>14052</v>
      </c>
      <c r="EA746" t="s">
        <v>13772</v>
      </c>
      <c r="EB746" t="s">
        <v>14053</v>
      </c>
    </row>
    <row r="747" spans="1:132" hidden="1">
      <c r="A747">
        <v>345</v>
      </c>
      <c r="B747">
        <v>1</v>
      </c>
      <c r="C747" t="s">
        <v>866</v>
      </c>
      <c r="D747" t="s">
        <v>73</v>
      </c>
      <c r="E747" t="s">
        <v>73</v>
      </c>
      <c r="F747" t="s">
        <v>73</v>
      </c>
      <c r="G747" t="s">
        <v>73</v>
      </c>
      <c r="H747">
        <v>57.1</v>
      </c>
      <c r="I747">
        <v>198</v>
      </c>
      <c r="J747">
        <v>21665</v>
      </c>
      <c r="K747" t="s">
        <v>867</v>
      </c>
      <c r="L747">
        <f t="shared" si="46"/>
        <v>41</v>
      </c>
      <c r="N747">
        <v>41</v>
      </c>
      <c r="O747">
        <v>41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4</v>
      </c>
      <c r="V747">
        <v>3</v>
      </c>
      <c r="W747">
        <v>1</v>
      </c>
      <c r="X747">
        <v>0</v>
      </c>
      <c r="Y747">
        <v>7</v>
      </c>
      <c r="Z747">
        <v>0</v>
      </c>
      <c r="AA747">
        <v>4</v>
      </c>
      <c r="AB747">
        <v>6</v>
      </c>
      <c r="AC747">
        <v>7</v>
      </c>
      <c r="AD747">
        <v>0</v>
      </c>
      <c r="AE747">
        <v>1</v>
      </c>
      <c r="AF747">
        <v>6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4</v>
      </c>
      <c r="AO747">
        <v>3</v>
      </c>
      <c r="AP747">
        <v>1</v>
      </c>
      <c r="AQ747">
        <v>0</v>
      </c>
      <c r="AR747">
        <v>7</v>
      </c>
      <c r="AS747">
        <v>0</v>
      </c>
      <c r="AT747">
        <v>4</v>
      </c>
      <c r="AU747">
        <v>6</v>
      </c>
      <c r="AV747">
        <v>7</v>
      </c>
      <c r="AW747">
        <v>0</v>
      </c>
      <c r="AX747">
        <v>1</v>
      </c>
      <c r="AY747">
        <v>6</v>
      </c>
      <c r="AZ747">
        <v>0</v>
      </c>
      <c r="BA747">
        <v>1</v>
      </c>
      <c r="BB747">
        <v>0</v>
      </c>
      <c r="BC747" s="2">
        <v>1</v>
      </c>
      <c r="BD747" s="2">
        <v>0</v>
      </c>
      <c r="BE747" s="2">
        <v>0</v>
      </c>
      <c r="BF747" s="2">
        <v>0</v>
      </c>
      <c r="BG747" s="2">
        <v>4</v>
      </c>
      <c r="BH747" s="2">
        <v>3</v>
      </c>
      <c r="BI747" s="2">
        <v>1</v>
      </c>
      <c r="BJ747" s="2">
        <v>0</v>
      </c>
      <c r="BK747" s="2">
        <v>7</v>
      </c>
      <c r="BL747" s="2">
        <v>0</v>
      </c>
      <c r="BM747" s="2">
        <v>4</v>
      </c>
      <c r="BN747" s="2">
        <v>6</v>
      </c>
      <c r="BO747" s="2">
        <v>7</v>
      </c>
      <c r="BP747" s="2">
        <v>0</v>
      </c>
      <c r="BQ747" s="2">
        <v>1</v>
      </c>
      <c r="BR747" s="2">
        <v>6</v>
      </c>
      <c r="BS747" s="2">
        <v>0</v>
      </c>
      <c r="BT747" s="2">
        <v>1</v>
      </c>
      <c r="BU747" s="2">
        <v>0</v>
      </c>
      <c r="BV747" s="2">
        <f t="shared" si="49"/>
        <v>41</v>
      </c>
      <c r="BW747" s="16">
        <f t="shared" si="47"/>
        <v>2.1578947368421053</v>
      </c>
      <c r="BX747" s="16">
        <f>COUNTIF($BC$6:BU747, "=0") / COUNTIF($BC$6:BU747, "&gt;-1")</f>
        <v>0.20343311107958575</v>
      </c>
      <c r="BY747" s="18">
        <f>SUM($BC$6:BU747) / $BY$4</f>
        <v>0.90614843336347584</v>
      </c>
      <c r="BZ747" s="14">
        <f t="shared" si="48"/>
        <v>8</v>
      </c>
      <c r="CA747" t="s">
        <v>5832</v>
      </c>
      <c r="CZ747" t="s">
        <v>6897</v>
      </c>
      <c r="DA747" t="s">
        <v>5904</v>
      </c>
      <c r="DB747">
        <v>407.9</v>
      </c>
      <c r="DC747" t="s">
        <v>17021</v>
      </c>
      <c r="DD747" t="s">
        <v>17022</v>
      </c>
      <c r="DE747" t="s">
        <v>17023</v>
      </c>
      <c r="DF747" t="s">
        <v>17024</v>
      </c>
      <c r="DG747" t="s">
        <v>17025</v>
      </c>
      <c r="DH747" t="str">
        <f>"SRI"</f>
        <v>SRI</v>
      </c>
      <c r="DI747" t="s">
        <v>13772</v>
      </c>
      <c r="DJ747" t="s">
        <v>13777</v>
      </c>
      <c r="DK747">
        <v>9606</v>
      </c>
      <c r="DL747" s="34" t="str">
        <f>HYPERLINK("http://www.uniprot.org/uniprot/P30626", "P30626")</f>
        <v>P30626</v>
      </c>
      <c r="DM747" t="s">
        <v>17026</v>
      </c>
      <c r="DN747" t="s">
        <v>13772</v>
      </c>
      <c r="DO747" t="s">
        <v>17027</v>
      </c>
      <c r="DP747" t="s">
        <v>13841</v>
      </c>
      <c r="DQ747" t="s">
        <v>13772</v>
      </c>
      <c r="DR747" t="s">
        <v>13772</v>
      </c>
      <c r="DS747" t="s">
        <v>14096</v>
      </c>
      <c r="DT747" t="s">
        <v>13873</v>
      </c>
      <c r="DU747" t="s">
        <v>13772</v>
      </c>
      <c r="DV747" t="s">
        <v>13772</v>
      </c>
      <c r="DW747" t="s">
        <v>13812</v>
      </c>
      <c r="DX747" t="s">
        <v>17028</v>
      </c>
      <c r="DY747" t="s">
        <v>17029</v>
      </c>
      <c r="DZ747" t="s">
        <v>17030</v>
      </c>
      <c r="EA747" t="s">
        <v>13772</v>
      </c>
      <c r="EB747" t="s">
        <v>17031</v>
      </c>
    </row>
    <row r="748" spans="1:132" hidden="1">
      <c r="A748">
        <v>589</v>
      </c>
      <c r="B748">
        <v>1</v>
      </c>
      <c r="C748" t="s">
        <v>1461</v>
      </c>
      <c r="D748" t="s">
        <v>73</v>
      </c>
      <c r="E748" t="s">
        <v>73</v>
      </c>
      <c r="F748" t="s">
        <v>73</v>
      </c>
      <c r="G748" t="s">
        <v>73</v>
      </c>
      <c r="H748">
        <v>25.2</v>
      </c>
      <c r="I748">
        <v>500</v>
      </c>
      <c r="J748">
        <v>55230</v>
      </c>
      <c r="K748" t="s">
        <v>1462</v>
      </c>
      <c r="L748">
        <f t="shared" si="46"/>
        <v>41</v>
      </c>
      <c r="N748">
        <v>41</v>
      </c>
      <c r="O748">
        <v>41</v>
      </c>
      <c r="P748">
        <v>1</v>
      </c>
      <c r="Q748">
        <v>2</v>
      </c>
      <c r="R748">
        <v>0</v>
      </c>
      <c r="S748">
        <v>0</v>
      </c>
      <c r="T748">
        <v>0</v>
      </c>
      <c r="U748">
        <v>1</v>
      </c>
      <c r="V748">
        <v>2</v>
      </c>
      <c r="W748">
        <v>11</v>
      </c>
      <c r="X748">
        <v>7</v>
      </c>
      <c r="Y748">
        <v>0</v>
      </c>
      <c r="Z748">
        <v>0</v>
      </c>
      <c r="AA748">
        <v>5</v>
      </c>
      <c r="AB748">
        <v>10</v>
      </c>
      <c r="AC748">
        <v>0</v>
      </c>
      <c r="AD748">
        <v>0</v>
      </c>
      <c r="AE748">
        <v>0</v>
      </c>
      <c r="AF748">
        <v>2</v>
      </c>
      <c r="AG748">
        <v>1</v>
      </c>
      <c r="AH748">
        <v>0</v>
      </c>
      <c r="AI748">
        <v>0</v>
      </c>
      <c r="AJ748">
        <v>2</v>
      </c>
      <c r="AK748">
        <v>0</v>
      </c>
      <c r="AL748">
        <v>0</v>
      </c>
      <c r="AM748">
        <v>0</v>
      </c>
      <c r="AN748">
        <v>1</v>
      </c>
      <c r="AO748">
        <v>2</v>
      </c>
      <c r="AP748">
        <v>11</v>
      </c>
      <c r="AQ748">
        <v>7</v>
      </c>
      <c r="AR748">
        <v>0</v>
      </c>
      <c r="AS748">
        <v>0</v>
      </c>
      <c r="AT748">
        <v>5</v>
      </c>
      <c r="AU748">
        <v>10</v>
      </c>
      <c r="AV748">
        <v>0</v>
      </c>
      <c r="AW748">
        <v>0</v>
      </c>
      <c r="AX748">
        <v>0</v>
      </c>
      <c r="AY748">
        <v>2</v>
      </c>
      <c r="AZ748">
        <v>1</v>
      </c>
      <c r="BA748">
        <v>0</v>
      </c>
      <c r="BB748">
        <v>0</v>
      </c>
      <c r="BC748" s="2">
        <v>2</v>
      </c>
      <c r="BD748" s="2">
        <v>0</v>
      </c>
      <c r="BE748" s="2">
        <v>0</v>
      </c>
      <c r="BF748" s="2">
        <v>0</v>
      </c>
      <c r="BG748" s="2">
        <v>1</v>
      </c>
      <c r="BH748" s="2">
        <v>2</v>
      </c>
      <c r="BI748" s="2">
        <v>11</v>
      </c>
      <c r="BJ748" s="2">
        <v>7</v>
      </c>
      <c r="BK748" s="2">
        <v>0</v>
      </c>
      <c r="BL748" s="2">
        <v>0</v>
      </c>
      <c r="BM748" s="2">
        <v>5</v>
      </c>
      <c r="BN748" s="2">
        <v>10</v>
      </c>
      <c r="BO748" s="2">
        <v>0</v>
      </c>
      <c r="BP748" s="2">
        <v>0</v>
      </c>
      <c r="BQ748" s="2">
        <v>0</v>
      </c>
      <c r="BR748" s="2">
        <v>2</v>
      </c>
      <c r="BS748" s="2">
        <v>1</v>
      </c>
      <c r="BT748" s="2">
        <v>0</v>
      </c>
      <c r="BU748" s="2">
        <v>0</v>
      </c>
      <c r="BV748" s="2">
        <f t="shared" si="49"/>
        <v>41</v>
      </c>
      <c r="BW748" s="16">
        <f t="shared" si="47"/>
        <v>2.1578947368421053</v>
      </c>
      <c r="BX748" s="16">
        <f>COUNTIF($BC$6:BU748, "=0") / COUNTIF($BC$6:BU748, "&gt;-1")</f>
        <v>0.20386767726854146</v>
      </c>
      <c r="BY748" s="18">
        <f>SUM($BC$6:BU748) / $BY$4</f>
        <v>0.90632406247509256</v>
      </c>
      <c r="BZ748" s="14">
        <f t="shared" si="48"/>
        <v>10</v>
      </c>
      <c r="CA748" t="s">
        <v>5832</v>
      </c>
      <c r="CZ748" t="s">
        <v>7735</v>
      </c>
      <c r="DA748" t="s">
        <v>5904</v>
      </c>
      <c r="DB748">
        <v>821.6</v>
      </c>
      <c r="DC748" t="s">
        <v>19588</v>
      </c>
      <c r="DD748" t="s">
        <v>13772</v>
      </c>
      <c r="DE748" t="s">
        <v>19589</v>
      </c>
      <c r="DF748" t="s">
        <v>19590</v>
      </c>
      <c r="DG748" t="s">
        <v>19591</v>
      </c>
      <c r="DH748" t="str">
        <f>"ENDOD1"</f>
        <v>ENDOD1</v>
      </c>
      <c r="DI748" t="s">
        <v>19592</v>
      </c>
      <c r="DJ748" t="s">
        <v>13777</v>
      </c>
      <c r="DK748">
        <v>9606</v>
      </c>
      <c r="DL748" s="34" t="str">
        <f>HYPERLINK("http://www.uniprot.org/uniprot/O94919", "O94919")</f>
        <v>O94919</v>
      </c>
      <c r="DM748" t="s">
        <v>19593</v>
      </c>
      <c r="DN748" t="s">
        <v>13772</v>
      </c>
      <c r="DO748" t="s">
        <v>14321</v>
      </c>
      <c r="DP748" t="s">
        <v>13793</v>
      </c>
      <c r="DQ748" t="s">
        <v>13772</v>
      </c>
      <c r="DR748" t="s">
        <v>13772</v>
      </c>
      <c r="DS748" t="s">
        <v>13808</v>
      </c>
      <c r="DT748" t="s">
        <v>13772</v>
      </c>
      <c r="DU748" t="s">
        <v>15343</v>
      </c>
      <c r="DV748" t="s">
        <v>14020</v>
      </c>
      <c r="DW748" t="s">
        <v>13772</v>
      </c>
      <c r="DX748" t="s">
        <v>19594</v>
      </c>
      <c r="DY748" t="s">
        <v>19595</v>
      </c>
      <c r="DZ748" t="s">
        <v>19596</v>
      </c>
      <c r="EA748" t="s">
        <v>13772</v>
      </c>
      <c r="EB748" t="s">
        <v>15665</v>
      </c>
    </row>
    <row r="749" spans="1:132" hidden="1">
      <c r="A749">
        <v>2441</v>
      </c>
      <c r="B749">
        <v>1</v>
      </c>
      <c r="C749" t="s">
        <v>5727</v>
      </c>
      <c r="D749" t="s">
        <v>73</v>
      </c>
      <c r="E749" t="s">
        <v>5728</v>
      </c>
      <c r="F749" t="s">
        <v>73</v>
      </c>
      <c r="G749" t="s">
        <v>73</v>
      </c>
      <c r="H749">
        <v>45</v>
      </c>
      <c r="I749">
        <v>456</v>
      </c>
      <c r="J749">
        <v>49736</v>
      </c>
      <c r="K749" t="s">
        <v>5729</v>
      </c>
      <c r="L749">
        <f t="shared" si="46"/>
        <v>41</v>
      </c>
      <c r="N749">
        <v>41</v>
      </c>
      <c r="O749">
        <v>41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22</v>
      </c>
      <c r="Z749">
        <v>0</v>
      </c>
      <c r="AA749">
        <v>11</v>
      </c>
      <c r="AB749">
        <v>1</v>
      </c>
      <c r="AC749">
        <v>0</v>
      </c>
      <c r="AD749">
        <v>0</v>
      </c>
      <c r="AE749">
        <v>2</v>
      </c>
      <c r="AF749">
        <v>4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22</v>
      </c>
      <c r="AS749">
        <v>0</v>
      </c>
      <c r="AT749">
        <v>11</v>
      </c>
      <c r="AU749">
        <v>1</v>
      </c>
      <c r="AV749">
        <v>0</v>
      </c>
      <c r="AW749">
        <v>0</v>
      </c>
      <c r="AX749">
        <v>2</v>
      </c>
      <c r="AY749">
        <v>4</v>
      </c>
      <c r="AZ749">
        <v>0</v>
      </c>
      <c r="BA749">
        <v>0</v>
      </c>
      <c r="BB749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22</v>
      </c>
      <c r="BL749" s="2">
        <v>0</v>
      </c>
      <c r="BM749" s="2">
        <v>11</v>
      </c>
      <c r="BN749" s="2">
        <v>1</v>
      </c>
      <c r="BO749" s="2">
        <v>0</v>
      </c>
      <c r="BP749" s="2">
        <v>0</v>
      </c>
      <c r="BQ749" s="2">
        <v>2</v>
      </c>
      <c r="BR749" s="2">
        <v>4</v>
      </c>
      <c r="BS749" s="2">
        <v>0</v>
      </c>
      <c r="BT749" s="2">
        <v>0</v>
      </c>
      <c r="BU749" s="2">
        <v>0</v>
      </c>
      <c r="BV749" s="2">
        <f t="shared" si="49"/>
        <v>41</v>
      </c>
      <c r="BW749" s="16">
        <f t="shared" si="47"/>
        <v>2.1578947368421053</v>
      </c>
      <c r="BX749" s="16">
        <f>COUNTIF($BC$6:BU749, "=0") / COUNTIF($BC$6:BU749, "&gt;-1")</f>
        <v>0.20451329937747595</v>
      </c>
      <c r="BY749" s="18">
        <f>SUM($BC$6:BU749) / $BY$4</f>
        <v>0.90649969158670929</v>
      </c>
      <c r="BZ749" s="14">
        <f t="shared" si="48"/>
        <v>13</v>
      </c>
      <c r="CA749" t="s">
        <v>5832</v>
      </c>
      <c r="CZ749" t="s">
        <v>8509</v>
      </c>
      <c r="DA749" t="s">
        <v>5904</v>
      </c>
      <c r="DB749">
        <v>708</v>
      </c>
      <c r="DC749" t="s">
        <v>21886</v>
      </c>
      <c r="DD749" t="s">
        <v>21887</v>
      </c>
      <c r="DE749" t="s">
        <v>21888</v>
      </c>
      <c r="DF749" t="s">
        <v>21889</v>
      </c>
      <c r="DG749" t="s">
        <v>21890</v>
      </c>
      <c r="DH749" t="str">
        <f>"PLIN3"</f>
        <v>PLIN3</v>
      </c>
      <c r="DI749" t="s">
        <v>21891</v>
      </c>
      <c r="DJ749" t="s">
        <v>13777</v>
      </c>
      <c r="DK749">
        <v>9606</v>
      </c>
      <c r="DL749" s="34" t="str">
        <f>HYPERLINK("http://www.uniprot.org/uniprot/O60664", "O60664")</f>
        <v>O60664</v>
      </c>
      <c r="DM749" t="s">
        <v>21892</v>
      </c>
      <c r="DN749" t="s">
        <v>14192</v>
      </c>
      <c r="DO749" t="s">
        <v>21893</v>
      </c>
      <c r="DP749" t="s">
        <v>13780</v>
      </c>
      <c r="DQ749" t="s">
        <v>13772</v>
      </c>
      <c r="DR749" t="s">
        <v>13772</v>
      </c>
      <c r="DS749" t="s">
        <v>14245</v>
      </c>
      <c r="DT749" t="s">
        <v>13772</v>
      </c>
      <c r="DU749" t="s">
        <v>13772</v>
      </c>
      <c r="DV749" t="s">
        <v>13991</v>
      </c>
      <c r="DW749" t="s">
        <v>13772</v>
      </c>
      <c r="DX749" t="s">
        <v>21894</v>
      </c>
      <c r="DY749" t="s">
        <v>21895</v>
      </c>
      <c r="DZ749" t="s">
        <v>21896</v>
      </c>
      <c r="EA749" t="s">
        <v>13772</v>
      </c>
      <c r="EB749" t="s">
        <v>21897</v>
      </c>
    </row>
    <row r="750" spans="1:132" hidden="1">
      <c r="A750">
        <v>857</v>
      </c>
      <c r="B750">
        <v>1</v>
      </c>
      <c r="C750" t="s">
        <v>2101</v>
      </c>
      <c r="D750" t="s">
        <v>2102</v>
      </c>
      <c r="E750" t="s">
        <v>73</v>
      </c>
      <c r="F750" t="s">
        <v>73</v>
      </c>
      <c r="G750" t="s">
        <v>73</v>
      </c>
      <c r="H750">
        <v>23.5</v>
      </c>
      <c r="I750">
        <v>1008</v>
      </c>
      <c r="J750">
        <v>113222</v>
      </c>
      <c r="K750" t="s">
        <v>2103</v>
      </c>
      <c r="L750">
        <f t="shared" si="46"/>
        <v>41</v>
      </c>
      <c r="N750">
        <v>41</v>
      </c>
      <c r="O750">
        <v>41</v>
      </c>
      <c r="P750">
        <v>1</v>
      </c>
      <c r="Q750">
        <v>0</v>
      </c>
      <c r="R750">
        <v>1</v>
      </c>
      <c r="S750">
        <v>0</v>
      </c>
      <c r="T750">
        <v>1</v>
      </c>
      <c r="U750">
        <v>4</v>
      </c>
      <c r="V750">
        <v>8</v>
      </c>
      <c r="W750">
        <v>2</v>
      </c>
      <c r="X750">
        <v>13</v>
      </c>
      <c r="Y750">
        <v>0</v>
      </c>
      <c r="Z750">
        <v>0</v>
      </c>
      <c r="AA750">
        <v>2</v>
      </c>
      <c r="AB750">
        <v>0</v>
      </c>
      <c r="AC750">
        <v>0</v>
      </c>
      <c r="AD750">
        <v>1</v>
      </c>
      <c r="AE750">
        <v>3</v>
      </c>
      <c r="AF750">
        <v>0</v>
      </c>
      <c r="AG750">
        <v>6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4</v>
      </c>
      <c r="AO750">
        <v>8</v>
      </c>
      <c r="AP750">
        <v>2</v>
      </c>
      <c r="AQ750">
        <v>13</v>
      </c>
      <c r="AR750">
        <v>0</v>
      </c>
      <c r="AS750">
        <v>0</v>
      </c>
      <c r="AT750">
        <v>2</v>
      </c>
      <c r="AU750">
        <v>0</v>
      </c>
      <c r="AV750">
        <v>0</v>
      </c>
      <c r="AW750">
        <v>1</v>
      </c>
      <c r="AX750">
        <v>3</v>
      </c>
      <c r="AY750">
        <v>0</v>
      </c>
      <c r="AZ750">
        <v>6</v>
      </c>
      <c r="BA750">
        <v>0</v>
      </c>
      <c r="BB750">
        <v>0</v>
      </c>
      <c r="BC750" s="2">
        <v>0</v>
      </c>
      <c r="BD750" s="2">
        <v>1</v>
      </c>
      <c r="BE750" s="2">
        <v>0</v>
      </c>
      <c r="BF750" s="2">
        <v>1</v>
      </c>
      <c r="BG750" s="2">
        <v>4</v>
      </c>
      <c r="BH750" s="2">
        <v>8</v>
      </c>
      <c r="BI750" s="2">
        <v>2</v>
      </c>
      <c r="BJ750" s="2">
        <v>13</v>
      </c>
      <c r="BK750" s="2">
        <v>0</v>
      </c>
      <c r="BL750" s="2">
        <v>0</v>
      </c>
      <c r="BM750" s="2">
        <v>2</v>
      </c>
      <c r="BN750" s="2">
        <v>0</v>
      </c>
      <c r="BO750" s="2">
        <v>0</v>
      </c>
      <c r="BP750" s="2">
        <v>1</v>
      </c>
      <c r="BQ750" s="2">
        <v>3</v>
      </c>
      <c r="BR750" s="2">
        <v>0</v>
      </c>
      <c r="BS750" s="2">
        <v>6</v>
      </c>
      <c r="BT750" s="2">
        <v>0</v>
      </c>
      <c r="BU750" s="2">
        <v>0</v>
      </c>
      <c r="BV750" s="2">
        <f t="shared" si="49"/>
        <v>41</v>
      </c>
      <c r="BW750" s="16">
        <f t="shared" si="47"/>
        <v>2.1578947368421053</v>
      </c>
      <c r="BX750" s="16">
        <f>COUNTIF($BC$6:BU750, "=0") / COUNTIF($BC$6:BU750, "&gt;-1")</f>
        <v>0.20487460261391735</v>
      </c>
      <c r="BY750" s="18">
        <f>SUM($BC$6:BU750) / $BY$4</f>
        <v>0.90667532069832601</v>
      </c>
      <c r="BZ750" s="14">
        <f t="shared" si="48"/>
        <v>9</v>
      </c>
      <c r="CA750" t="s">
        <v>5832</v>
      </c>
      <c r="CZ750" t="s">
        <v>8637</v>
      </c>
      <c r="DA750" t="s">
        <v>5904</v>
      </c>
      <c r="DB750">
        <v>1647.9</v>
      </c>
      <c r="DC750" t="s">
        <v>22237</v>
      </c>
      <c r="DD750" t="s">
        <v>22238</v>
      </c>
      <c r="DE750" t="s">
        <v>22239</v>
      </c>
      <c r="DF750" t="s">
        <v>22240</v>
      </c>
      <c r="DG750" t="s">
        <v>22241</v>
      </c>
      <c r="DH750" t="str">
        <f>"MAN2B1"</f>
        <v>MAN2B1</v>
      </c>
      <c r="DI750" t="s">
        <v>22242</v>
      </c>
      <c r="DJ750" t="s">
        <v>13777</v>
      </c>
      <c r="DK750">
        <v>9606</v>
      </c>
      <c r="DL750" s="34" t="str">
        <f>HYPERLINK("http://www.uniprot.org/uniprot/O00754", "O00754")</f>
        <v>O00754</v>
      </c>
      <c r="DM750" t="s">
        <v>22243</v>
      </c>
      <c r="DN750" t="s">
        <v>13772</v>
      </c>
      <c r="DO750" t="s">
        <v>13806</v>
      </c>
      <c r="DP750" t="s">
        <v>13780</v>
      </c>
      <c r="DQ750" t="s">
        <v>13772</v>
      </c>
      <c r="DR750" t="s">
        <v>13807</v>
      </c>
      <c r="DS750" t="s">
        <v>13808</v>
      </c>
      <c r="DT750" t="s">
        <v>13856</v>
      </c>
      <c r="DU750" t="s">
        <v>15471</v>
      </c>
      <c r="DV750" t="s">
        <v>15472</v>
      </c>
      <c r="DW750" t="s">
        <v>13772</v>
      </c>
      <c r="DX750" t="s">
        <v>22244</v>
      </c>
      <c r="DY750" t="s">
        <v>22245</v>
      </c>
      <c r="DZ750" t="s">
        <v>22246</v>
      </c>
      <c r="EA750" t="s">
        <v>13772</v>
      </c>
      <c r="EB750" t="s">
        <v>22247</v>
      </c>
    </row>
    <row r="751" spans="1:132" hidden="1">
      <c r="A751">
        <v>908</v>
      </c>
      <c r="B751">
        <v>1</v>
      </c>
      <c r="C751" t="s">
        <v>2213</v>
      </c>
      <c r="D751" t="s">
        <v>73</v>
      </c>
      <c r="E751" t="s">
        <v>73</v>
      </c>
      <c r="F751" t="s">
        <v>73</v>
      </c>
      <c r="G751" t="s">
        <v>73</v>
      </c>
      <c r="H751">
        <v>29.9</v>
      </c>
      <c r="I751">
        <v>308</v>
      </c>
      <c r="J751">
        <v>33997</v>
      </c>
      <c r="K751" t="s">
        <v>2214</v>
      </c>
      <c r="L751">
        <f t="shared" si="46"/>
        <v>41</v>
      </c>
      <c r="N751">
        <v>41</v>
      </c>
      <c r="O751">
        <v>41</v>
      </c>
      <c r="P751">
        <v>1</v>
      </c>
      <c r="Q751">
        <v>2</v>
      </c>
      <c r="R751">
        <v>5</v>
      </c>
      <c r="S751">
        <v>6</v>
      </c>
      <c r="T751">
        <v>3</v>
      </c>
      <c r="U751">
        <v>5</v>
      </c>
      <c r="V751">
        <v>3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3</v>
      </c>
      <c r="AC751">
        <v>1</v>
      </c>
      <c r="AD751">
        <v>0</v>
      </c>
      <c r="AE751">
        <v>4</v>
      </c>
      <c r="AF751">
        <v>5</v>
      </c>
      <c r="AG751">
        <v>0</v>
      </c>
      <c r="AH751">
        <v>1</v>
      </c>
      <c r="AI751">
        <v>0</v>
      </c>
      <c r="AJ751">
        <v>2</v>
      </c>
      <c r="AK751">
        <v>5</v>
      </c>
      <c r="AL751">
        <v>6</v>
      </c>
      <c r="AM751">
        <v>3</v>
      </c>
      <c r="AN751">
        <v>5</v>
      </c>
      <c r="AO751">
        <v>3</v>
      </c>
      <c r="AP751">
        <v>1</v>
      </c>
      <c r="AQ751">
        <v>0</v>
      </c>
      <c r="AR751">
        <v>1</v>
      </c>
      <c r="AS751">
        <v>0</v>
      </c>
      <c r="AT751">
        <v>1</v>
      </c>
      <c r="AU751">
        <v>3</v>
      </c>
      <c r="AV751">
        <v>1</v>
      </c>
      <c r="AW751">
        <v>0</v>
      </c>
      <c r="AX751">
        <v>4</v>
      </c>
      <c r="AY751">
        <v>5</v>
      </c>
      <c r="AZ751">
        <v>0</v>
      </c>
      <c r="BA751">
        <v>1</v>
      </c>
      <c r="BB751">
        <v>0</v>
      </c>
      <c r="BC751" s="2">
        <v>2</v>
      </c>
      <c r="BD751" s="2">
        <v>5</v>
      </c>
      <c r="BE751" s="2">
        <v>6</v>
      </c>
      <c r="BF751" s="2">
        <v>3</v>
      </c>
      <c r="BG751" s="2">
        <v>5</v>
      </c>
      <c r="BH751" s="2">
        <v>3</v>
      </c>
      <c r="BI751" s="2">
        <v>1</v>
      </c>
      <c r="BJ751" s="2">
        <v>0</v>
      </c>
      <c r="BK751" s="2">
        <v>1</v>
      </c>
      <c r="BL751" s="2">
        <v>0</v>
      </c>
      <c r="BM751" s="2">
        <v>1</v>
      </c>
      <c r="BN751" s="2">
        <v>3</v>
      </c>
      <c r="BO751" s="2">
        <v>1</v>
      </c>
      <c r="BP751" s="2">
        <v>0</v>
      </c>
      <c r="BQ751" s="2">
        <v>4</v>
      </c>
      <c r="BR751" s="2">
        <v>5</v>
      </c>
      <c r="BS751" s="2">
        <v>0</v>
      </c>
      <c r="BT751" s="2">
        <v>1</v>
      </c>
      <c r="BU751" s="2">
        <v>0</v>
      </c>
      <c r="BV751" s="2">
        <f t="shared" si="49"/>
        <v>41</v>
      </c>
      <c r="BW751" s="16">
        <f t="shared" si="47"/>
        <v>2.1578947368421053</v>
      </c>
      <c r="BX751" s="16">
        <f>COUNTIF($BC$6:BU751, "=0") / COUNTIF($BC$6:BU751, "&gt;-1")</f>
        <v>0.20495273035134753</v>
      </c>
      <c r="BY751" s="18">
        <f>SUM($BC$6:BU751) / $BY$4</f>
        <v>0.90685094980994274</v>
      </c>
      <c r="BZ751" s="14">
        <f t="shared" si="48"/>
        <v>5</v>
      </c>
      <c r="CA751" t="s">
        <v>5832</v>
      </c>
      <c r="CZ751" t="s">
        <v>8805</v>
      </c>
      <c r="DA751" t="s">
        <v>5904</v>
      </c>
      <c r="DB751">
        <v>360.9</v>
      </c>
      <c r="DC751" t="s">
        <v>22739</v>
      </c>
      <c r="DD751" t="s">
        <v>22740</v>
      </c>
      <c r="DE751" t="s">
        <v>22741</v>
      </c>
      <c r="DF751" t="s">
        <v>22742</v>
      </c>
      <c r="DG751" t="s">
        <v>22743</v>
      </c>
      <c r="DH751" t="str">
        <f>"GDF15"</f>
        <v>GDF15</v>
      </c>
      <c r="DI751" t="s">
        <v>13772</v>
      </c>
      <c r="DJ751" t="s">
        <v>13777</v>
      </c>
      <c r="DK751">
        <v>9606</v>
      </c>
      <c r="DL751" s="34" t="str">
        <f>HYPERLINK("http://www.uniprot.org/uniprot/Q99988", "Q99988")</f>
        <v>Q99988</v>
      </c>
      <c r="DM751" t="s">
        <v>22744</v>
      </c>
      <c r="DN751" t="s">
        <v>13772</v>
      </c>
      <c r="DO751" t="s">
        <v>14321</v>
      </c>
      <c r="DP751" t="s">
        <v>13793</v>
      </c>
      <c r="DQ751" t="s">
        <v>13772</v>
      </c>
      <c r="DR751" t="s">
        <v>13772</v>
      </c>
      <c r="DS751" t="s">
        <v>13808</v>
      </c>
      <c r="DT751" t="s">
        <v>13772</v>
      </c>
      <c r="DU751" t="s">
        <v>22745</v>
      </c>
      <c r="DV751" t="s">
        <v>14629</v>
      </c>
      <c r="DW751" t="s">
        <v>13812</v>
      </c>
      <c r="DX751" t="s">
        <v>22746</v>
      </c>
      <c r="DY751" t="s">
        <v>22747</v>
      </c>
      <c r="DZ751" t="s">
        <v>22748</v>
      </c>
      <c r="EA751" t="s">
        <v>13772</v>
      </c>
      <c r="EB751" t="s">
        <v>13772</v>
      </c>
    </row>
    <row r="752" spans="1:132" hidden="1">
      <c r="A752">
        <v>1466</v>
      </c>
      <c r="B752">
        <v>1</v>
      </c>
      <c r="C752" t="s">
        <v>3487</v>
      </c>
      <c r="D752" t="s">
        <v>73</v>
      </c>
      <c r="E752" t="s">
        <v>73</v>
      </c>
      <c r="F752" t="s">
        <v>73</v>
      </c>
      <c r="G752" t="s">
        <v>73</v>
      </c>
      <c r="H752">
        <v>21</v>
      </c>
      <c r="I752">
        <v>1751</v>
      </c>
      <c r="J752">
        <v>187804</v>
      </c>
      <c r="K752" t="s">
        <v>3488</v>
      </c>
      <c r="L752">
        <f t="shared" si="46"/>
        <v>41</v>
      </c>
      <c r="N752">
        <v>41</v>
      </c>
      <c r="O752">
        <v>41</v>
      </c>
      <c r="P752">
        <v>1</v>
      </c>
      <c r="Q752">
        <v>3</v>
      </c>
      <c r="R752">
        <v>1</v>
      </c>
      <c r="S752">
        <v>0</v>
      </c>
      <c r="T752">
        <v>4</v>
      </c>
      <c r="U752">
        <v>7</v>
      </c>
      <c r="V752">
        <v>6</v>
      </c>
      <c r="W752">
        <v>4</v>
      </c>
      <c r="X752">
        <v>1</v>
      </c>
      <c r="Y752">
        <v>0</v>
      </c>
      <c r="Z752">
        <v>0</v>
      </c>
      <c r="AA752">
        <v>4</v>
      </c>
      <c r="AB752">
        <v>0</v>
      </c>
      <c r="AC752">
        <v>0</v>
      </c>
      <c r="AD752">
        <v>0</v>
      </c>
      <c r="AE752">
        <v>4</v>
      </c>
      <c r="AF752">
        <v>4</v>
      </c>
      <c r="AG752">
        <v>2</v>
      </c>
      <c r="AH752">
        <v>0</v>
      </c>
      <c r="AI752">
        <v>1</v>
      </c>
      <c r="AJ752">
        <v>3</v>
      </c>
      <c r="AK752">
        <v>1</v>
      </c>
      <c r="AL752">
        <v>0</v>
      </c>
      <c r="AM752">
        <v>4</v>
      </c>
      <c r="AN752">
        <v>7</v>
      </c>
      <c r="AO752">
        <v>6</v>
      </c>
      <c r="AP752">
        <v>4</v>
      </c>
      <c r="AQ752">
        <v>1</v>
      </c>
      <c r="AR752">
        <v>0</v>
      </c>
      <c r="AS752">
        <v>0</v>
      </c>
      <c r="AT752">
        <v>4</v>
      </c>
      <c r="AU752">
        <v>0</v>
      </c>
      <c r="AV752">
        <v>0</v>
      </c>
      <c r="AW752">
        <v>0</v>
      </c>
      <c r="AX752">
        <v>4</v>
      </c>
      <c r="AY752">
        <v>4</v>
      </c>
      <c r="AZ752">
        <v>2</v>
      </c>
      <c r="BA752">
        <v>0</v>
      </c>
      <c r="BB752">
        <v>1</v>
      </c>
      <c r="BC752" s="2">
        <v>3</v>
      </c>
      <c r="BD752" s="2">
        <v>1</v>
      </c>
      <c r="BE752" s="2">
        <v>0</v>
      </c>
      <c r="BF752" s="2">
        <v>4</v>
      </c>
      <c r="BG752" s="2">
        <v>7</v>
      </c>
      <c r="BH752" s="2">
        <v>6</v>
      </c>
      <c r="BI752" s="2">
        <v>4</v>
      </c>
      <c r="BJ752" s="2">
        <v>1</v>
      </c>
      <c r="BK752" s="2">
        <v>0</v>
      </c>
      <c r="BL752" s="2">
        <v>0</v>
      </c>
      <c r="BM752" s="2">
        <v>4</v>
      </c>
      <c r="BN752" s="2">
        <v>0</v>
      </c>
      <c r="BO752" s="2">
        <v>0</v>
      </c>
      <c r="BP752" s="2">
        <v>0</v>
      </c>
      <c r="BQ752" s="2">
        <v>4</v>
      </c>
      <c r="BR752" s="2">
        <v>4</v>
      </c>
      <c r="BS752" s="2">
        <v>2</v>
      </c>
      <c r="BT752" s="2">
        <v>0</v>
      </c>
      <c r="BU752" s="2">
        <v>1</v>
      </c>
      <c r="BV752" s="2">
        <f t="shared" si="49"/>
        <v>41</v>
      </c>
      <c r="BW752" s="16">
        <f t="shared" si="47"/>
        <v>2.1578947368421053</v>
      </c>
      <c r="BX752" s="16">
        <f>COUNTIF($BC$6:BU752, "=0") / COUNTIF($BC$6:BU752, "&gt;-1")</f>
        <v>0.20517156344676954</v>
      </c>
      <c r="BY752" s="18">
        <f>SUM($BC$6:BU752) / $BY$4</f>
        <v>0.90702657892155947</v>
      </c>
      <c r="BZ752" s="14">
        <f t="shared" si="48"/>
        <v>7</v>
      </c>
      <c r="CA752" t="s">
        <v>5832</v>
      </c>
      <c r="CZ752" t="s">
        <v>10617</v>
      </c>
      <c r="DA752" t="s">
        <v>5904</v>
      </c>
      <c r="DB752">
        <v>1993.8</v>
      </c>
      <c r="DC752" t="s">
        <v>27877</v>
      </c>
      <c r="DD752" t="s">
        <v>27878</v>
      </c>
      <c r="DE752" t="s">
        <v>27879</v>
      </c>
      <c r="DF752" t="s">
        <v>27880</v>
      </c>
      <c r="DG752" t="s">
        <v>27881</v>
      </c>
      <c r="DH752" t="str">
        <f>"AKAP12"</f>
        <v>AKAP12</v>
      </c>
      <c r="DI752" t="s">
        <v>27882</v>
      </c>
      <c r="DJ752" t="s">
        <v>13777</v>
      </c>
      <c r="DK752">
        <v>9606</v>
      </c>
      <c r="DL752" s="34" t="str">
        <f>HYPERLINK("http://www.uniprot.org/uniprot/Q02952", "Q02952")</f>
        <v>Q02952</v>
      </c>
      <c r="DM752" t="s">
        <v>27883</v>
      </c>
      <c r="DN752" t="s">
        <v>13772</v>
      </c>
      <c r="DO752" t="s">
        <v>17081</v>
      </c>
      <c r="DP752" t="s">
        <v>13780</v>
      </c>
      <c r="DQ752" t="s">
        <v>13772</v>
      </c>
      <c r="DR752" t="s">
        <v>13772</v>
      </c>
      <c r="DS752" t="s">
        <v>14096</v>
      </c>
      <c r="DT752" t="s">
        <v>13772</v>
      </c>
      <c r="DU752" t="s">
        <v>13772</v>
      </c>
      <c r="DV752" t="s">
        <v>20565</v>
      </c>
      <c r="DW752" t="s">
        <v>13772</v>
      </c>
      <c r="DX752" t="s">
        <v>27884</v>
      </c>
      <c r="DY752" t="s">
        <v>27885</v>
      </c>
      <c r="DZ752" t="s">
        <v>27886</v>
      </c>
      <c r="EA752" t="s">
        <v>13772</v>
      </c>
      <c r="EB752" t="s">
        <v>13772</v>
      </c>
    </row>
    <row r="753" spans="1:132" hidden="1">
      <c r="A753">
        <v>1678</v>
      </c>
      <c r="B753">
        <v>1</v>
      </c>
      <c r="C753" t="s">
        <v>3977</v>
      </c>
      <c r="D753" t="s">
        <v>3978</v>
      </c>
      <c r="E753" t="s">
        <v>73</v>
      </c>
      <c r="F753" t="s">
        <v>73</v>
      </c>
      <c r="G753" t="s">
        <v>73</v>
      </c>
      <c r="H753">
        <v>29.7</v>
      </c>
      <c r="I753">
        <v>556</v>
      </c>
      <c r="J753">
        <v>62076</v>
      </c>
      <c r="K753" t="s">
        <v>3979</v>
      </c>
      <c r="L753">
        <f t="shared" si="46"/>
        <v>41</v>
      </c>
      <c r="N753">
        <v>41</v>
      </c>
      <c r="O753">
        <v>41</v>
      </c>
      <c r="P753">
        <v>1</v>
      </c>
      <c r="Q753">
        <v>3</v>
      </c>
      <c r="R753">
        <v>4</v>
      </c>
      <c r="S753">
        <v>4</v>
      </c>
      <c r="T753">
        <v>7</v>
      </c>
      <c r="U753">
        <v>5</v>
      </c>
      <c r="V753">
        <v>3</v>
      </c>
      <c r="W753">
        <v>6</v>
      </c>
      <c r="X753">
        <v>0</v>
      </c>
      <c r="Y753">
        <v>2</v>
      </c>
      <c r="Z753">
        <v>0</v>
      </c>
      <c r="AA753">
        <v>0</v>
      </c>
      <c r="AB753">
        <v>1</v>
      </c>
      <c r="AC753">
        <v>4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3</v>
      </c>
      <c r="AK753">
        <v>4</v>
      </c>
      <c r="AL753">
        <v>4</v>
      </c>
      <c r="AM753">
        <v>7</v>
      </c>
      <c r="AN753">
        <v>5</v>
      </c>
      <c r="AO753">
        <v>3</v>
      </c>
      <c r="AP753">
        <v>6</v>
      </c>
      <c r="AQ753">
        <v>0</v>
      </c>
      <c r="AR753">
        <v>2</v>
      </c>
      <c r="AS753">
        <v>0</v>
      </c>
      <c r="AT753">
        <v>0</v>
      </c>
      <c r="AU753">
        <v>1</v>
      </c>
      <c r="AV753">
        <v>4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 s="2">
        <v>3</v>
      </c>
      <c r="BD753" s="2">
        <v>4</v>
      </c>
      <c r="BE753" s="2">
        <v>4</v>
      </c>
      <c r="BF753" s="2">
        <v>7</v>
      </c>
      <c r="BG753" s="2">
        <v>5</v>
      </c>
      <c r="BH753" s="2">
        <v>3</v>
      </c>
      <c r="BI753" s="2">
        <v>6</v>
      </c>
      <c r="BJ753" s="2">
        <v>0</v>
      </c>
      <c r="BK753" s="2">
        <v>2</v>
      </c>
      <c r="BL753" s="2">
        <v>0</v>
      </c>
      <c r="BM753" s="2">
        <v>0</v>
      </c>
      <c r="BN753" s="2">
        <v>1</v>
      </c>
      <c r="BO753" s="2">
        <v>4</v>
      </c>
      <c r="BP753" s="2">
        <v>0</v>
      </c>
      <c r="BQ753" s="2">
        <v>0</v>
      </c>
      <c r="BR753" s="2">
        <v>1</v>
      </c>
      <c r="BS753" s="2">
        <v>0</v>
      </c>
      <c r="BT753" s="2">
        <v>0</v>
      </c>
      <c r="BU753" s="2">
        <v>1</v>
      </c>
      <c r="BV753" s="2">
        <f t="shared" si="49"/>
        <v>41</v>
      </c>
      <c r="BW753" s="16">
        <f t="shared" si="47"/>
        <v>2.1578947368421053</v>
      </c>
      <c r="BX753" s="16">
        <f>COUNTIF($BC$6:BU753, "=0") / COUNTIF($BC$6:BU753, "&gt;-1")</f>
        <v>0.20538981142696314</v>
      </c>
      <c r="BY753" s="18">
        <f>SUM($BC$6:BU753) / $BY$4</f>
        <v>0.90720220803317619</v>
      </c>
      <c r="BZ753" s="14">
        <f t="shared" si="48"/>
        <v>7</v>
      </c>
      <c r="CA753" t="s">
        <v>5832</v>
      </c>
      <c r="CZ753" t="s">
        <v>11344</v>
      </c>
      <c r="DA753" t="s">
        <v>5904</v>
      </c>
      <c r="DB753">
        <v>1027.7</v>
      </c>
      <c r="DC753" t="s">
        <v>29896</v>
      </c>
      <c r="DD753" t="s">
        <v>29897</v>
      </c>
      <c r="DE753" t="s">
        <v>29898</v>
      </c>
      <c r="DF753" t="s">
        <v>29899</v>
      </c>
      <c r="DG753" t="s">
        <v>29900</v>
      </c>
      <c r="DH753" t="str">
        <f>"GPC4"</f>
        <v>GPC4</v>
      </c>
      <c r="DI753" t="s">
        <v>13772</v>
      </c>
      <c r="DJ753" t="s">
        <v>13777</v>
      </c>
      <c r="DK753">
        <v>9606</v>
      </c>
      <c r="DL753" s="34" t="str">
        <f>HYPERLINK("http://www.uniprot.org/uniprot/O75487", "O75487")</f>
        <v>O75487</v>
      </c>
      <c r="DM753" t="s">
        <v>29901</v>
      </c>
      <c r="DN753" t="s">
        <v>13772</v>
      </c>
      <c r="DO753" t="s">
        <v>14336</v>
      </c>
      <c r="DP753" t="s">
        <v>13780</v>
      </c>
      <c r="DQ753" t="s">
        <v>13772</v>
      </c>
      <c r="DR753" t="s">
        <v>13772</v>
      </c>
      <c r="DS753" t="s">
        <v>13808</v>
      </c>
      <c r="DT753" t="s">
        <v>13772</v>
      </c>
      <c r="DU753" t="s">
        <v>13772</v>
      </c>
      <c r="DV753" t="s">
        <v>29902</v>
      </c>
      <c r="DW753" t="s">
        <v>13772</v>
      </c>
      <c r="DX753" t="s">
        <v>29903</v>
      </c>
      <c r="DY753" t="s">
        <v>29904</v>
      </c>
      <c r="DZ753" t="s">
        <v>29905</v>
      </c>
      <c r="EA753" t="s">
        <v>13772</v>
      </c>
      <c r="EB753" t="s">
        <v>29906</v>
      </c>
    </row>
    <row r="754" spans="1:132" hidden="1">
      <c r="A754">
        <v>1951</v>
      </c>
      <c r="B754">
        <v>1</v>
      </c>
      <c r="C754" t="s">
        <v>4601</v>
      </c>
      <c r="D754" t="s">
        <v>4602</v>
      </c>
      <c r="E754" t="s">
        <v>73</v>
      </c>
      <c r="F754" t="s">
        <v>73</v>
      </c>
      <c r="G754" t="s">
        <v>73</v>
      </c>
      <c r="H754">
        <v>28</v>
      </c>
      <c r="I754">
        <v>418</v>
      </c>
      <c r="J754">
        <v>45432</v>
      </c>
      <c r="K754" t="s">
        <v>4603</v>
      </c>
      <c r="L754">
        <f t="shared" si="46"/>
        <v>41</v>
      </c>
      <c r="N754">
        <v>41</v>
      </c>
      <c r="O754">
        <v>41</v>
      </c>
      <c r="P754">
        <v>1</v>
      </c>
      <c r="Q754">
        <v>0</v>
      </c>
      <c r="R754">
        <v>4</v>
      </c>
      <c r="S754">
        <v>0</v>
      </c>
      <c r="T754">
        <v>1</v>
      </c>
      <c r="U754">
        <v>7</v>
      </c>
      <c r="V754">
        <v>0</v>
      </c>
      <c r="W754">
        <v>0</v>
      </c>
      <c r="X754">
        <v>3</v>
      </c>
      <c r="Y754">
        <v>3</v>
      </c>
      <c r="Z754">
        <v>0</v>
      </c>
      <c r="AA754">
        <v>9</v>
      </c>
      <c r="AB754">
        <v>6</v>
      </c>
      <c r="AC754">
        <v>2</v>
      </c>
      <c r="AD754">
        <v>0</v>
      </c>
      <c r="AE754">
        <v>2</v>
      </c>
      <c r="AF754">
        <v>3</v>
      </c>
      <c r="AG754">
        <v>1</v>
      </c>
      <c r="AH754">
        <v>0</v>
      </c>
      <c r="AI754">
        <v>0</v>
      </c>
      <c r="AJ754">
        <v>0</v>
      </c>
      <c r="AK754">
        <v>4</v>
      </c>
      <c r="AL754">
        <v>0</v>
      </c>
      <c r="AM754">
        <v>1</v>
      </c>
      <c r="AN754">
        <v>7</v>
      </c>
      <c r="AO754">
        <v>0</v>
      </c>
      <c r="AP754">
        <v>0</v>
      </c>
      <c r="AQ754">
        <v>3</v>
      </c>
      <c r="AR754">
        <v>3</v>
      </c>
      <c r="AS754">
        <v>0</v>
      </c>
      <c r="AT754">
        <v>9</v>
      </c>
      <c r="AU754">
        <v>6</v>
      </c>
      <c r="AV754">
        <v>2</v>
      </c>
      <c r="AW754">
        <v>0</v>
      </c>
      <c r="AX754">
        <v>2</v>
      </c>
      <c r="AY754">
        <v>3</v>
      </c>
      <c r="AZ754">
        <v>1</v>
      </c>
      <c r="BA754">
        <v>0</v>
      </c>
      <c r="BB754">
        <v>0</v>
      </c>
      <c r="BC754" s="2">
        <v>0</v>
      </c>
      <c r="BD754" s="2">
        <v>4</v>
      </c>
      <c r="BE754" s="2">
        <v>0</v>
      </c>
      <c r="BF754" s="2">
        <v>1</v>
      </c>
      <c r="BG754" s="2">
        <v>7</v>
      </c>
      <c r="BH754" s="2">
        <v>0</v>
      </c>
      <c r="BI754" s="2">
        <v>0</v>
      </c>
      <c r="BJ754" s="2">
        <v>3</v>
      </c>
      <c r="BK754" s="2">
        <v>3</v>
      </c>
      <c r="BL754" s="2">
        <v>0</v>
      </c>
      <c r="BM754" s="2">
        <v>9</v>
      </c>
      <c r="BN754" s="2">
        <v>6</v>
      </c>
      <c r="BO754" s="2">
        <v>2</v>
      </c>
      <c r="BP754" s="2">
        <v>0</v>
      </c>
      <c r="BQ754" s="2">
        <v>2</v>
      </c>
      <c r="BR754" s="2">
        <v>3</v>
      </c>
      <c r="BS754" s="2">
        <v>1</v>
      </c>
      <c r="BT754" s="2">
        <v>0</v>
      </c>
      <c r="BU754" s="2">
        <v>0</v>
      </c>
      <c r="BV754" s="2">
        <f t="shared" si="49"/>
        <v>41</v>
      </c>
      <c r="BW754" s="16">
        <f t="shared" si="47"/>
        <v>2.1578947368421053</v>
      </c>
      <c r="BX754" s="16">
        <f>COUNTIF($BC$6:BU754, "=0") / COUNTIF($BC$6:BU754, "&gt;-1")</f>
        <v>0.20567774576628486</v>
      </c>
      <c r="BY754" s="18">
        <f>SUM($BC$6:BU754) / $BY$4</f>
        <v>0.90737783714479292</v>
      </c>
      <c r="BZ754" s="14">
        <f t="shared" si="48"/>
        <v>8</v>
      </c>
      <c r="CA754" t="s">
        <v>5832</v>
      </c>
      <c r="CZ754" t="s">
        <v>12261</v>
      </c>
      <c r="DA754" t="s">
        <v>5904</v>
      </c>
      <c r="DB754">
        <v>775</v>
      </c>
      <c r="DC754" t="s">
        <v>32491</v>
      </c>
      <c r="DD754" t="s">
        <v>32492</v>
      </c>
      <c r="DE754" t="s">
        <v>32493</v>
      </c>
      <c r="DF754" t="s">
        <v>32494</v>
      </c>
      <c r="DG754" t="s">
        <v>32495</v>
      </c>
      <c r="DH754" t="str">
        <f>"HSDL2"</f>
        <v>HSDL2</v>
      </c>
      <c r="DI754" t="s">
        <v>32496</v>
      </c>
      <c r="DJ754" t="s">
        <v>13777</v>
      </c>
      <c r="DK754">
        <v>9606</v>
      </c>
      <c r="DL754" s="34" t="str">
        <f>HYPERLINK("http://www.uniprot.org/uniprot/Q6YN16", "Q6YN16")</f>
        <v>Q6YN16</v>
      </c>
      <c r="DM754" t="s">
        <v>32497</v>
      </c>
      <c r="DN754" t="s">
        <v>13772</v>
      </c>
      <c r="DO754" t="s">
        <v>16689</v>
      </c>
      <c r="DP754" t="s">
        <v>13841</v>
      </c>
      <c r="DQ754" t="s">
        <v>13772</v>
      </c>
      <c r="DR754" t="s">
        <v>13772</v>
      </c>
      <c r="DS754" t="s">
        <v>13772</v>
      </c>
      <c r="DT754" t="s">
        <v>15759</v>
      </c>
      <c r="DU754" t="s">
        <v>13885</v>
      </c>
      <c r="DV754" t="s">
        <v>14020</v>
      </c>
      <c r="DW754" t="s">
        <v>13812</v>
      </c>
      <c r="DX754" t="s">
        <v>13772</v>
      </c>
      <c r="DY754" t="s">
        <v>32498</v>
      </c>
      <c r="DZ754" t="s">
        <v>17436</v>
      </c>
      <c r="EA754" t="s">
        <v>13772</v>
      </c>
      <c r="EB754" t="s">
        <v>13772</v>
      </c>
    </row>
    <row r="755" spans="1:132" hidden="1">
      <c r="A755">
        <v>1990</v>
      </c>
      <c r="B755">
        <v>1</v>
      </c>
      <c r="C755" t="s">
        <v>4684</v>
      </c>
      <c r="D755" t="s">
        <v>4685</v>
      </c>
      <c r="E755" t="s">
        <v>73</v>
      </c>
      <c r="F755" t="s">
        <v>73</v>
      </c>
      <c r="G755" t="s">
        <v>73</v>
      </c>
      <c r="H755">
        <v>13.8</v>
      </c>
      <c r="I755">
        <v>2498</v>
      </c>
      <c r="J755">
        <v>287549</v>
      </c>
      <c r="K755" t="s">
        <v>4686</v>
      </c>
      <c r="L755">
        <f t="shared" si="46"/>
        <v>41</v>
      </c>
      <c r="N755">
        <v>41</v>
      </c>
      <c r="O755">
        <v>41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3</v>
      </c>
      <c r="Y755">
        <v>1</v>
      </c>
      <c r="Z755">
        <v>0</v>
      </c>
      <c r="AA755">
        <v>11</v>
      </c>
      <c r="AB755">
        <v>12</v>
      </c>
      <c r="AC755">
        <v>6</v>
      </c>
      <c r="AD755">
        <v>0</v>
      </c>
      <c r="AE755">
        <v>3</v>
      </c>
      <c r="AF755">
        <v>4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3</v>
      </c>
      <c r="AR755">
        <v>1</v>
      </c>
      <c r="AS755">
        <v>0</v>
      </c>
      <c r="AT755">
        <v>11</v>
      </c>
      <c r="AU755">
        <v>12</v>
      </c>
      <c r="AV755">
        <v>6</v>
      </c>
      <c r="AW755">
        <v>0</v>
      </c>
      <c r="AX755">
        <v>3</v>
      </c>
      <c r="AY755">
        <v>4</v>
      </c>
      <c r="AZ755">
        <v>0</v>
      </c>
      <c r="BA755">
        <v>0</v>
      </c>
      <c r="BB755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0</v>
      </c>
      <c r="BJ755" s="2">
        <v>3</v>
      </c>
      <c r="BK755" s="2">
        <v>1</v>
      </c>
      <c r="BL755" s="2">
        <v>0</v>
      </c>
      <c r="BM755" s="2">
        <v>11</v>
      </c>
      <c r="BN755" s="2">
        <v>12</v>
      </c>
      <c r="BO755" s="2">
        <v>6</v>
      </c>
      <c r="BP755" s="2">
        <v>0</v>
      </c>
      <c r="BQ755" s="2">
        <v>3</v>
      </c>
      <c r="BR755" s="2">
        <v>4</v>
      </c>
      <c r="BS755" s="2">
        <v>0</v>
      </c>
      <c r="BT755" s="2">
        <v>0</v>
      </c>
      <c r="BU755" s="2">
        <v>0</v>
      </c>
      <c r="BV755" s="2">
        <f t="shared" si="49"/>
        <v>41</v>
      </c>
      <c r="BW755" s="16">
        <f t="shared" si="47"/>
        <v>2.1578947368421053</v>
      </c>
      <c r="BX755" s="16">
        <f>COUNTIF($BC$6:BU755, "=0") / COUNTIF($BC$6:BU755, "&gt;-1")</f>
        <v>0.20617543859649123</v>
      </c>
      <c r="BY755" s="18">
        <f>SUM($BC$6:BU755) / $BY$4</f>
        <v>0.90755346625640965</v>
      </c>
      <c r="BZ755" s="14">
        <f t="shared" si="48"/>
        <v>11</v>
      </c>
      <c r="CA755" t="s">
        <v>5832</v>
      </c>
      <c r="CZ755" t="s">
        <v>12388</v>
      </c>
      <c r="DA755" t="s">
        <v>5904</v>
      </c>
      <c r="DB755">
        <v>4944.3999999999996</v>
      </c>
      <c r="DC755" t="s">
        <v>32865</v>
      </c>
      <c r="DD755" t="s">
        <v>32866</v>
      </c>
      <c r="DE755" t="s">
        <v>32867</v>
      </c>
      <c r="DF755" t="s">
        <v>32868</v>
      </c>
      <c r="DG755" t="s">
        <v>32869</v>
      </c>
      <c r="DH755" t="str">
        <f>"SPTAN1"</f>
        <v>SPTAN1</v>
      </c>
      <c r="DI755" t="s">
        <v>32870</v>
      </c>
      <c r="DJ755" t="s">
        <v>13777</v>
      </c>
      <c r="DK755">
        <v>9606</v>
      </c>
      <c r="DL755" s="34" t="str">
        <f>HYPERLINK("http://www.uniprot.org/uniprot/Q13813", "Q13813")</f>
        <v>Q13813</v>
      </c>
      <c r="DM755" t="s">
        <v>32871</v>
      </c>
      <c r="DN755" t="s">
        <v>13772</v>
      </c>
      <c r="DO755" t="s">
        <v>13988</v>
      </c>
      <c r="DP755" t="s">
        <v>13780</v>
      </c>
      <c r="DQ755" t="s">
        <v>13772</v>
      </c>
      <c r="DR755" t="s">
        <v>17815</v>
      </c>
      <c r="DS755" t="s">
        <v>15028</v>
      </c>
      <c r="DT755" t="s">
        <v>13873</v>
      </c>
      <c r="DU755" t="s">
        <v>32872</v>
      </c>
      <c r="DV755" t="s">
        <v>13886</v>
      </c>
      <c r="DW755" t="s">
        <v>13812</v>
      </c>
      <c r="DX755" t="s">
        <v>32873</v>
      </c>
      <c r="DY755" t="s">
        <v>32874</v>
      </c>
      <c r="DZ755" t="s">
        <v>32875</v>
      </c>
      <c r="EA755" t="s">
        <v>13772</v>
      </c>
      <c r="EB755" t="s">
        <v>32876</v>
      </c>
    </row>
    <row r="756" spans="1:132" hidden="1">
      <c r="A756">
        <v>2368</v>
      </c>
      <c r="B756">
        <v>1</v>
      </c>
      <c r="C756" t="s">
        <v>5518</v>
      </c>
      <c r="D756" t="s">
        <v>5519</v>
      </c>
      <c r="E756" t="s">
        <v>73</v>
      </c>
      <c r="F756" t="s">
        <v>73</v>
      </c>
      <c r="G756" t="s">
        <v>73</v>
      </c>
      <c r="H756">
        <v>40.700000000000003</v>
      </c>
      <c r="I756">
        <v>236</v>
      </c>
      <c r="J756">
        <v>27106</v>
      </c>
      <c r="K756" t="s">
        <v>5520</v>
      </c>
      <c r="L756">
        <f t="shared" si="46"/>
        <v>41</v>
      </c>
      <c r="N756">
        <v>41</v>
      </c>
      <c r="O756">
        <v>41</v>
      </c>
      <c r="P756">
        <v>1</v>
      </c>
      <c r="Q756">
        <v>0</v>
      </c>
      <c r="R756">
        <v>3</v>
      </c>
      <c r="S756">
        <v>2</v>
      </c>
      <c r="T756">
        <v>0</v>
      </c>
      <c r="U756">
        <v>5</v>
      </c>
      <c r="V756">
        <v>0</v>
      </c>
      <c r="W756">
        <v>4</v>
      </c>
      <c r="X756">
        <v>2</v>
      </c>
      <c r="Y756">
        <v>4</v>
      </c>
      <c r="Z756">
        <v>0</v>
      </c>
      <c r="AA756">
        <v>8</v>
      </c>
      <c r="AB756">
        <v>4</v>
      </c>
      <c r="AC756">
        <v>0</v>
      </c>
      <c r="AD756">
        <v>0</v>
      </c>
      <c r="AE756">
        <v>1</v>
      </c>
      <c r="AF756">
        <v>7</v>
      </c>
      <c r="AG756">
        <v>0</v>
      </c>
      <c r="AH756">
        <v>1</v>
      </c>
      <c r="AI756">
        <v>0</v>
      </c>
      <c r="AJ756">
        <v>0</v>
      </c>
      <c r="AK756">
        <v>3</v>
      </c>
      <c r="AL756">
        <v>2</v>
      </c>
      <c r="AM756">
        <v>0</v>
      </c>
      <c r="AN756">
        <v>5</v>
      </c>
      <c r="AO756">
        <v>0</v>
      </c>
      <c r="AP756">
        <v>4</v>
      </c>
      <c r="AQ756">
        <v>2</v>
      </c>
      <c r="AR756">
        <v>4</v>
      </c>
      <c r="AS756">
        <v>0</v>
      </c>
      <c r="AT756">
        <v>8</v>
      </c>
      <c r="AU756">
        <v>4</v>
      </c>
      <c r="AV756">
        <v>0</v>
      </c>
      <c r="AW756">
        <v>0</v>
      </c>
      <c r="AX756">
        <v>1</v>
      </c>
      <c r="AY756">
        <v>7</v>
      </c>
      <c r="AZ756">
        <v>0</v>
      </c>
      <c r="BA756">
        <v>1</v>
      </c>
      <c r="BB756">
        <v>0</v>
      </c>
      <c r="BC756" s="2">
        <v>0</v>
      </c>
      <c r="BD756" s="2">
        <v>3</v>
      </c>
      <c r="BE756" s="2">
        <v>2</v>
      </c>
      <c r="BF756" s="2">
        <v>0</v>
      </c>
      <c r="BG756" s="2">
        <v>5</v>
      </c>
      <c r="BH756" s="2">
        <v>0</v>
      </c>
      <c r="BI756" s="2">
        <v>4</v>
      </c>
      <c r="BJ756" s="2">
        <v>2</v>
      </c>
      <c r="BK756" s="2">
        <v>4</v>
      </c>
      <c r="BL756" s="2">
        <v>0</v>
      </c>
      <c r="BM756" s="2">
        <v>8</v>
      </c>
      <c r="BN756" s="2">
        <v>4</v>
      </c>
      <c r="BO756" s="2">
        <v>0</v>
      </c>
      <c r="BP756" s="2">
        <v>0</v>
      </c>
      <c r="BQ756" s="2">
        <v>1</v>
      </c>
      <c r="BR756" s="2">
        <v>7</v>
      </c>
      <c r="BS756" s="2">
        <v>0</v>
      </c>
      <c r="BT756" s="2">
        <v>1</v>
      </c>
      <c r="BU756" s="2">
        <v>0</v>
      </c>
      <c r="BV756" s="2">
        <f t="shared" si="49"/>
        <v>41</v>
      </c>
      <c r="BW756" s="16">
        <f t="shared" si="47"/>
        <v>2.1578947368421053</v>
      </c>
      <c r="BX756" s="16">
        <f>COUNTIF($BC$6:BU756, "=0") / COUNTIF($BC$6:BU756, "&gt;-1")</f>
        <v>0.20646156002522953</v>
      </c>
      <c r="BY756" s="18">
        <f>SUM($BC$6:BU756) / $BY$4</f>
        <v>0.90772909536802637</v>
      </c>
      <c r="BZ756" s="14">
        <f t="shared" si="48"/>
        <v>8</v>
      </c>
      <c r="CA756" t="s">
        <v>5832</v>
      </c>
      <c r="CZ756" t="s">
        <v>13624</v>
      </c>
      <c r="DA756" t="s">
        <v>5904</v>
      </c>
      <c r="DB756">
        <v>443.7</v>
      </c>
      <c r="DC756" t="s">
        <v>36312</v>
      </c>
      <c r="DD756" t="s">
        <v>36313</v>
      </c>
      <c r="DE756" t="s">
        <v>36314</v>
      </c>
      <c r="DF756" t="s">
        <v>36315</v>
      </c>
      <c r="DG756" t="s">
        <v>36316</v>
      </c>
      <c r="DH756" t="str">
        <f>"GRB2"</f>
        <v>GRB2</v>
      </c>
      <c r="DI756" t="s">
        <v>36317</v>
      </c>
      <c r="DJ756" t="s">
        <v>13777</v>
      </c>
      <c r="DK756">
        <v>9606</v>
      </c>
      <c r="DL756" s="34" t="str">
        <f>HYPERLINK("http://www.uniprot.org/uniprot/P62993", "P62993")</f>
        <v>P62993</v>
      </c>
      <c r="DM756" t="s">
        <v>36318</v>
      </c>
      <c r="DN756" t="s">
        <v>14563</v>
      </c>
      <c r="DO756" t="s">
        <v>36319</v>
      </c>
      <c r="DP756" t="s">
        <v>13841</v>
      </c>
      <c r="DQ756" t="s">
        <v>13772</v>
      </c>
      <c r="DR756" t="s">
        <v>13772</v>
      </c>
      <c r="DS756" t="s">
        <v>17789</v>
      </c>
      <c r="DT756" t="s">
        <v>13772</v>
      </c>
      <c r="DU756" t="s">
        <v>13772</v>
      </c>
      <c r="DV756" t="s">
        <v>13886</v>
      </c>
      <c r="DW756" t="s">
        <v>13812</v>
      </c>
      <c r="DX756" t="s">
        <v>36320</v>
      </c>
      <c r="DY756" t="s">
        <v>36321</v>
      </c>
      <c r="DZ756" t="s">
        <v>36322</v>
      </c>
      <c r="EA756" t="s">
        <v>13772</v>
      </c>
      <c r="EB756" t="s">
        <v>36323</v>
      </c>
    </row>
    <row r="757" spans="1:132" hidden="1">
      <c r="A757">
        <v>2257</v>
      </c>
      <c r="B757">
        <v>1</v>
      </c>
      <c r="C757" t="s">
        <v>5275</v>
      </c>
      <c r="D757" t="s">
        <v>73</v>
      </c>
      <c r="E757" t="s">
        <v>73</v>
      </c>
      <c r="F757" t="s">
        <v>3245</v>
      </c>
      <c r="G757" t="s">
        <v>73</v>
      </c>
      <c r="H757">
        <v>25.3</v>
      </c>
      <c r="I757">
        <v>463</v>
      </c>
      <c r="J757">
        <v>50454</v>
      </c>
      <c r="K757" t="s">
        <v>5276</v>
      </c>
      <c r="L757">
        <f t="shared" si="46"/>
        <v>88</v>
      </c>
      <c r="N757">
        <v>88</v>
      </c>
      <c r="O757">
        <v>27</v>
      </c>
      <c r="P757">
        <v>0.307</v>
      </c>
      <c r="Q757">
        <v>3</v>
      </c>
      <c r="R757">
        <v>6</v>
      </c>
      <c r="S757">
        <v>4</v>
      </c>
      <c r="T757">
        <v>5</v>
      </c>
      <c r="U757">
        <v>8</v>
      </c>
      <c r="V757">
        <v>6</v>
      </c>
      <c r="W757">
        <v>5</v>
      </c>
      <c r="X757">
        <v>6</v>
      </c>
      <c r="Y757">
        <v>8</v>
      </c>
      <c r="Z757">
        <v>1</v>
      </c>
      <c r="AA757">
        <v>8</v>
      </c>
      <c r="AB757">
        <v>4</v>
      </c>
      <c r="AC757">
        <v>3</v>
      </c>
      <c r="AD757">
        <v>0</v>
      </c>
      <c r="AE757">
        <v>8</v>
      </c>
      <c r="AF757">
        <v>3</v>
      </c>
      <c r="AG757">
        <v>6</v>
      </c>
      <c r="AH757">
        <v>1</v>
      </c>
      <c r="AI757">
        <v>3</v>
      </c>
      <c r="AJ757">
        <v>0</v>
      </c>
      <c r="AK757">
        <v>2</v>
      </c>
      <c r="AL757">
        <v>0</v>
      </c>
      <c r="AM757">
        <v>2</v>
      </c>
      <c r="AN757">
        <v>3</v>
      </c>
      <c r="AO757">
        <v>2</v>
      </c>
      <c r="AP757">
        <v>2</v>
      </c>
      <c r="AQ757">
        <v>1</v>
      </c>
      <c r="AR757">
        <v>4</v>
      </c>
      <c r="AS757">
        <v>0</v>
      </c>
      <c r="AT757">
        <v>3</v>
      </c>
      <c r="AU757">
        <v>1</v>
      </c>
      <c r="AV757">
        <v>1</v>
      </c>
      <c r="AW757">
        <v>0</v>
      </c>
      <c r="AX757">
        <v>2</v>
      </c>
      <c r="AY757">
        <v>0</v>
      </c>
      <c r="AZ757">
        <v>3</v>
      </c>
      <c r="BA757">
        <v>0</v>
      </c>
      <c r="BB757">
        <v>1</v>
      </c>
      <c r="BC757" s="2">
        <v>0.63600000000000001</v>
      </c>
      <c r="BD757" s="2">
        <v>2.8439999999999999</v>
      </c>
      <c r="BE757" s="2">
        <v>0.85099999999999998</v>
      </c>
      <c r="BF757" s="2">
        <v>2.6360000000000001</v>
      </c>
      <c r="BG757" s="2">
        <v>4.0650000000000004</v>
      </c>
      <c r="BH757" s="2">
        <v>2.8439999999999999</v>
      </c>
      <c r="BI757" s="2">
        <v>2.6360000000000001</v>
      </c>
      <c r="BJ757" s="2">
        <v>2.0579999999999998</v>
      </c>
      <c r="BK757" s="2">
        <v>5.5069999999999997</v>
      </c>
      <c r="BL757" s="2">
        <v>0.20799999999999999</v>
      </c>
      <c r="BM757" s="2">
        <v>4.0579999999999998</v>
      </c>
      <c r="BN757" s="2">
        <v>1.63</v>
      </c>
      <c r="BO757" s="2">
        <v>1.4219999999999999</v>
      </c>
      <c r="BP757" s="2">
        <v>0</v>
      </c>
      <c r="BQ757" s="2">
        <v>3.266</v>
      </c>
      <c r="BR757" s="2">
        <v>0.63</v>
      </c>
      <c r="BS757" s="2">
        <v>3.63</v>
      </c>
      <c r="BT757" s="2">
        <v>0.214</v>
      </c>
      <c r="BU757" s="2">
        <v>1.4219999999999999</v>
      </c>
      <c r="BV757" s="2">
        <f t="shared" si="49"/>
        <v>40.556999999999995</v>
      </c>
      <c r="BW757" s="16">
        <f t="shared" si="47"/>
        <v>2.1345789473684209</v>
      </c>
      <c r="BX757" s="16">
        <f>COUNTIF($BC$6:BU757, "=0") / COUNTIF($BC$6:BU757, "&gt;-1")</f>
        <v>0.20625699888017918</v>
      </c>
      <c r="BY757" s="18">
        <f>SUM($BC$6:BU757) / $BY$4</f>
        <v>0.90790282682851042</v>
      </c>
      <c r="BZ757" s="14">
        <f t="shared" si="48"/>
        <v>1</v>
      </c>
      <c r="CA757" t="s">
        <v>5832</v>
      </c>
      <c r="CZ757" t="s">
        <v>13268</v>
      </c>
      <c r="DA757" t="s">
        <v>5904</v>
      </c>
      <c r="DB757">
        <v>951.8</v>
      </c>
      <c r="DC757" t="s">
        <v>35324</v>
      </c>
      <c r="DD757" t="s">
        <v>35325</v>
      </c>
      <c r="DE757" t="s">
        <v>35326</v>
      </c>
      <c r="DF757" t="s">
        <v>35327</v>
      </c>
      <c r="DG757" t="s">
        <v>35328</v>
      </c>
      <c r="DH757" t="str">
        <f>"EEF1A2"</f>
        <v>EEF1A2</v>
      </c>
      <c r="DI757" t="s">
        <v>35329</v>
      </c>
      <c r="DJ757" t="s">
        <v>13777</v>
      </c>
      <c r="DK757">
        <v>9606</v>
      </c>
      <c r="DL757" s="34" t="str">
        <f>HYPERLINK("http://www.uniprot.org/uniprot/Q05639", "Q05639")</f>
        <v>Q05639</v>
      </c>
      <c r="DM757" t="s">
        <v>35330</v>
      </c>
      <c r="DN757" t="s">
        <v>17925</v>
      </c>
      <c r="DO757" t="s">
        <v>14825</v>
      </c>
      <c r="DP757" t="s">
        <v>13793</v>
      </c>
      <c r="DQ757" t="s">
        <v>13772</v>
      </c>
      <c r="DR757" t="s">
        <v>35331</v>
      </c>
      <c r="DS757" t="s">
        <v>13772</v>
      </c>
      <c r="DT757" t="s">
        <v>14216</v>
      </c>
      <c r="DU757" t="s">
        <v>19001</v>
      </c>
      <c r="DV757" t="s">
        <v>14098</v>
      </c>
      <c r="DW757" t="s">
        <v>13812</v>
      </c>
      <c r="DX757" t="s">
        <v>35332</v>
      </c>
      <c r="DY757" t="s">
        <v>35333</v>
      </c>
      <c r="DZ757" t="s">
        <v>35334</v>
      </c>
      <c r="EA757" t="s">
        <v>13772</v>
      </c>
      <c r="EB757" t="s">
        <v>19005</v>
      </c>
    </row>
    <row r="758" spans="1:132" hidden="1">
      <c r="A758">
        <v>1773</v>
      </c>
      <c r="B758">
        <v>1</v>
      </c>
      <c r="C758" t="s">
        <v>4195</v>
      </c>
      <c r="D758" t="s">
        <v>73</v>
      </c>
      <c r="E758" t="s">
        <v>73</v>
      </c>
      <c r="F758" t="s">
        <v>649</v>
      </c>
      <c r="G758" t="s">
        <v>73</v>
      </c>
      <c r="H758">
        <v>38.1</v>
      </c>
      <c r="I758">
        <v>247</v>
      </c>
      <c r="J758">
        <v>28302</v>
      </c>
      <c r="K758" t="s">
        <v>4196</v>
      </c>
      <c r="L758">
        <f t="shared" si="46"/>
        <v>79</v>
      </c>
      <c r="N758">
        <v>79</v>
      </c>
      <c r="O758">
        <v>30</v>
      </c>
      <c r="P758">
        <v>0.38</v>
      </c>
      <c r="Q758">
        <v>3</v>
      </c>
      <c r="R758">
        <v>1</v>
      </c>
      <c r="S758">
        <v>2</v>
      </c>
      <c r="T758">
        <v>1</v>
      </c>
      <c r="U758">
        <v>7</v>
      </c>
      <c r="V758">
        <v>6</v>
      </c>
      <c r="W758">
        <v>5</v>
      </c>
      <c r="X758">
        <v>8</v>
      </c>
      <c r="Y758">
        <v>12</v>
      </c>
      <c r="Z758">
        <v>1</v>
      </c>
      <c r="AA758">
        <v>8</v>
      </c>
      <c r="AB758">
        <v>6</v>
      </c>
      <c r="AC758">
        <v>6</v>
      </c>
      <c r="AD758">
        <v>2</v>
      </c>
      <c r="AE758">
        <v>4</v>
      </c>
      <c r="AF758">
        <v>2</v>
      </c>
      <c r="AG758">
        <v>2</v>
      </c>
      <c r="AH758">
        <v>1</v>
      </c>
      <c r="AI758">
        <v>2</v>
      </c>
      <c r="AJ758">
        <v>1</v>
      </c>
      <c r="AK758">
        <v>0</v>
      </c>
      <c r="AL758">
        <v>1</v>
      </c>
      <c r="AM758">
        <v>0</v>
      </c>
      <c r="AN758">
        <v>2</v>
      </c>
      <c r="AO758">
        <v>3</v>
      </c>
      <c r="AP758">
        <v>1</v>
      </c>
      <c r="AQ758">
        <v>4</v>
      </c>
      <c r="AR758">
        <v>5</v>
      </c>
      <c r="AS758">
        <v>0</v>
      </c>
      <c r="AT758">
        <v>4</v>
      </c>
      <c r="AU758">
        <v>2</v>
      </c>
      <c r="AV758">
        <v>3</v>
      </c>
      <c r="AW758">
        <v>0</v>
      </c>
      <c r="AX758">
        <v>2</v>
      </c>
      <c r="AY758">
        <v>0</v>
      </c>
      <c r="AZ758">
        <v>1</v>
      </c>
      <c r="BA758">
        <v>1</v>
      </c>
      <c r="BB758">
        <v>0</v>
      </c>
      <c r="BC758" s="2">
        <v>2.1429999999999998</v>
      </c>
      <c r="BD758" s="2">
        <v>0</v>
      </c>
      <c r="BE758" s="2">
        <v>1.071</v>
      </c>
      <c r="BF758" s="2">
        <v>0</v>
      </c>
      <c r="BG758" s="2">
        <v>2.786</v>
      </c>
      <c r="BH758" s="2">
        <v>3.8220000000000001</v>
      </c>
      <c r="BI758" s="2">
        <v>1.782</v>
      </c>
      <c r="BJ758" s="2">
        <v>5.4509999999999996</v>
      </c>
      <c r="BK758" s="2">
        <v>6.7149999999999999</v>
      </c>
      <c r="BL758" s="2">
        <v>0</v>
      </c>
      <c r="BM758" s="2">
        <v>5.0510000000000002</v>
      </c>
      <c r="BN758" s="2">
        <v>2.8959999999999999</v>
      </c>
      <c r="BO758" s="2">
        <v>3.4670000000000001</v>
      </c>
      <c r="BP758" s="2">
        <v>0.5</v>
      </c>
      <c r="BQ758" s="2">
        <v>2.48</v>
      </c>
      <c r="BR758" s="2">
        <v>0</v>
      </c>
      <c r="BS758" s="2">
        <v>1.1000000000000001</v>
      </c>
      <c r="BT758" s="2">
        <v>1</v>
      </c>
      <c r="BU758" s="2">
        <v>0</v>
      </c>
      <c r="BV758" s="2">
        <f t="shared" si="49"/>
        <v>40.263999999999996</v>
      </c>
      <c r="BW758" s="16">
        <f t="shared" si="47"/>
        <v>2.1191578947368419</v>
      </c>
      <c r="BX758" s="16">
        <f>COUNTIF($BC$6:BU758, "=0") / COUNTIF($BC$6:BU758, "&gt;-1")</f>
        <v>0.20633256447892639</v>
      </c>
      <c r="BY758" s="18">
        <f>SUM($BC$6:BU758) / $BY$4</f>
        <v>0.9080753031833918</v>
      </c>
      <c r="BZ758" s="14">
        <f t="shared" si="48"/>
        <v>5</v>
      </c>
      <c r="CA758" t="s">
        <v>5832</v>
      </c>
      <c r="CZ758" t="s">
        <v>11665</v>
      </c>
      <c r="DA758" t="s">
        <v>5904</v>
      </c>
      <c r="DB758">
        <v>509.6</v>
      </c>
      <c r="DC758" t="s">
        <v>30823</v>
      </c>
      <c r="DD758" t="s">
        <v>16073</v>
      </c>
      <c r="DE758" t="s">
        <v>30824</v>
      </c>
      <c r="DF758" t="s">
        <v>30825</v>
      </c>
      <c r="DG758" t="s">
        <v>30826</v>
      </c>
      <c r="DH758" t="str">
        <f>"YWHAG"</f>
        <v>YWHAG</v>
      </c>
      <c r="DI758" t="s">
        <v>13772</v>
      </c>
      <c r="DJ758" t="s">
        <v>13777</v>
      </c>
      <c r="DK758">
        <v>9606</v>
      </c>
      <c r="DL758" s="34" t="str">
        <f>HYPERLINK("http://www.uniprot.org/uniprot/P61981", "P61981")</f>
        <v>P61981</v>
      </c>
      <c r="DM758" t="s">
        <v>30827</v>
      </c>
      <c r="DN758" t="s">
        <v>13772</v>
      </c>
      <c r="DO758" t="s">
        <v>13899</v>
      </c>
      <c r="DP758" t="s">
        <v>13772</v>
      </c>
      <c r="DQ758" t="s">
        <v>13772</v>
      </c>
      <c r="DR758" t="s">
        <v>17649</v>
      </c>
      <c r="DS758" t="s">
        <v>13772</v>
      </c>
      <c r="DT758" t="s">
        <v>13772</v>
      </c>
      <c r="DU758" t="s">
        <v>13772</v>
      </c>
      <c r="DV758" t="s">
        <v>13886</v>
      </c>
      <c r="DW758" t="s">
        <v>13812</v>
      </c>
      <c r="DX758" t="s">
        <v>30828</v>
      </c>
      <c r="DY758" t="s">
        <v>30829</v>
      </c>
      <c r="DZ758" t="s">
        <v>30830</v>
      </c>
      <c r="EA758" t="s">
        <v>13772</v>
      </c>
      <c r="EB758" t="s">
        <v>30831</v>
      </c>
    </row>
    <row r="759" spans="1:132" hidden="1">
      <c r="A759">
        <v>128</v>
      </c>
      <c r="B759">
        <v>1</v>
      </c>
      <c r="C759" t="s">
        <v>333</v>
      </c>
      <c r="D759" t="s">
        <v>334</v>
      </c>
      <c r="E759" t="s">
        <v>73</v>
      </c>
      <c r="F759" t="s">
        <v>73</v>
      </c>
      <c r="G759" t="s">
        <v>73</v>
      </c>
      <c r="H759">
        <v>8.4</v>
      </c>
      <c r="I759">
        <v>940</v>
      </c>
      <c r="J759">
        <v>108290</v>
      </c>
      <c r="K759" t="s">
        <v>335</v>
      </c>
      <c r="L759">
        <f t="shared" si="46"/>
        <v>40</v>
      </c>
      <c r="N759">
        <v>40</v>
      </c>
      <c r="O759">
        <v>40</v>
      </c>
      <c r="P759">
        <v>1</v>
      </c>
      <c r="Q759">
        <v>0</v>
      </c>
      <c r="R759">
        <v>2</v>
      </c>
      <c r="S759">
        <v>2</v>
      </c>
      <c r="T759">
        <v>1</v>
      </c>
      <c r="U759">
        <v>4</v>
      </c>
      <c r="V759">
        <v>0</v>
      </c>
      <c r="W759">
        <v>1</v>
      </c>
      <c r="X759">
        <v>1</v>
      </c>
      <c r="Y759">
        <v>1</v>
      </c>
      <c r="Z759">
        <v>2</v>
      </c>
      <c r="AA759">
        <v>1</v>
      </c>
      <c r="AB759">
        <v>0</v>
      </c>
      <c r="AC759">
        <v>3</v>
      </c>
      <c r="AD759">
        <v>5</v>
      </c>
      <c r="AE759">
        <v>5</v>
      </c>
      <c r="AF759">
        <v>7</v>
      </c>
      <c r="AG759">
        <v>4</v>
      </c>
      <c r="AH759">
        <v>0</v>
      </c>
      <c r="AI759">
        <v>1</v>
      </c>
      <c r="AJ759">
        <v>0</v>
      </c>
      <c r="AK759">
        <v>2</v>
      </c>
      <c r="AL759">
        <v>2</v>
      </c>
      <c r="AM759">
        <v>1</v>
      </c>
      <c r="AN759">
        <v>4</v>
      </c>
      <c r="AO759">
        <v>0</v>
      </c>
      <c r="AP759">
        <v>1</v>
      </c>
      <c r="AQ759">
        <v>1</v>
      </c>
      <c r="AR759">
        <v>1</v>
      </c>
      <c r="AS759">
        <v>2</v>
      </c>
      <c r="AT759">
        <v>1</v>
      </c>
      <c r="AU759">
        <v>0</v>
      </c>
      <c r="AV759">
        <v>3</v>
      </c>
      <c r="AW759">
        <v>5</v>
      </c>
      <c r="AX759">
        <v>5</v>
      </c>
      <c r="AY759">
        <v>7</v>
      </c>
      <c r="AZ759">
        <v>4</v>
      </c>
      <c r="BA759">
        <v>0</v>
      </c>
      <c r="BB759">
        <v>1</v>
      </c>
      <c r="BC759" s="2">
        <v>0</v>
      </c>
      <c r="BD759" s="2">
        <v>2</v>
      </c>
      <c r="BE759" s="2">
        <v>2</v>
      </c>
      <c r="BF759" s="2">
        <v>1</v>
      </c>
      <c r="BG759" s="2">
        <v>4</v>
      </c>
      <c r="BH759" s="2">
        <v>0</v>
      </c>
      <c r="BI759" s="2">
        <v>1</v>
      </c>
      <c r="BJ759" s="2">
        <v>1</v>
      </c>
      <c r="BK759" s="2">
        <v>1</v>
      </c>
      <c r="BL759" s="2">
        <v>2</v>
      </c>
      <c r="BM759" s="2">
        <v>1</v>
      </c>
      <c r="BN759" s="2">
        <v>0</v>
      </c>
      <c r="BO759" s="2">
        <v>3</v>
      </c>
      <c r="BP759" s="2">
        <v>5</v>
      </c>
      <c r="BQ759" s="2">
        <v>5</v>
      </c>
      <c r="BR759" s="2">
        <v>7</v>
      </c>
      <c r="BS759" s="2">
        <v>4</v>
      </c>
      <c r="BT759" s="2">
        <v>0</v>
      </c>
      <c r="BU759" s="2">
        <v>1</v>
      </c>
      <c r="BV759" s="2">
        <f t="shared" si="49"/>
        <v>40</v>
      </c>
      <c r="BW759" s="16">
        <f t="shared" si="47"/>
        <v>2.1052631578947367</v>
      </c>
      <c r="BX759" s="16">
        <f>COUNTIF($BC$6:BU759, "=0") / COUNTIF($BC$6:BU759, "&gt;-1")</f>
        <v>0.20633812648331704</v>
      </c>
      <c r="BY759" s="18">
        <f>SUM($BC$6:BU759) / $BY$4</f>
        <v>0.90824664865813987</v>
      </c>
      <c r="BZ759" s="14">
        <f t="shared" si="48"/>
        <v>4</v>
      </c>
      <c r="CA759" t="s">
        <v>5832</v>
      </c>
      <c r="CZ759" t="s">
        <v>6134</v>
      </c>
      <c r="DA759" t="s">
        <v>5904</v>
      </c>
      <c r="DB759">
        <v>1706</v>
      </c>
      <c r="DC759" t="s">
        <v>14620</v>
      </c>
      <c r="DD759" t="s">
        <v>14621</v>
      </c>
      <c r="DE759" t="s">
        <v>14622</v>
      </c>
      <c r="DF759" t="s">
        <v>14623</v>
      </c>
      <c r="DG759" t="s">
        <v>14624</v>
      </c>
      <c r="DH759" t="str">
        <f>"ENPP2"</f>
        <v>ENPP2</v>
      </c>
      <c r="DI759" t="s">
        <v>13772</v>
      </c>
      <c r="DJ759" t="s">
        <v>13777</v>
      </c>
      <c r="DK759">
        <v>9606</v>
      </c>
      <c r="DL759" s="34" t="str">
        <f>HYPERLINK("http://www.uniprot.org/uniprot/Q13822", "Q13822")</f>
        <v>Q13822</v>
      </c>
      <c r="DM759" t="s">
        <v>14625</v>
      </c>
      <c r="DN759" t="s">
        <v>14626</v>
      </c>
      <c r="DO759" t="s">
        <v>14321</v>
      </c>
      <c r="DP759" t="s">
        <v>13780</v>
      </c>
      <c r="DQ759" t="s">
        <v>13772</v>
      </c>
      <c r="DR759" t="s">
        <v>14627</v>
      </c>
      <c r="DS759" t="s">
        <v>14404</v>
      </c>
      <c r="DT759" t="s">
        <v>14628</v>
      </c>
      <c r="DU759" t="s">
        <v>13857</v>
      </c>
      <c r="DV759" t="s">
        <v>14629</v>
      </c>
      <c r="DW759" t="s">
        <v>13812</v>
      </c>
      <c r="DX759" t="s">
        <v>14630</v>
      </c>
      <c r="DY759" t="s">
        <v>14631</v>
      </c>
      <c r="DZ759" t="s">
        <v>14632</v>
      </c>
      <c r="EA759" t="s">
        <v>13772</v>
      </c>
      <c r="EB759" t="s">
        <v>14633</v>
      </c>
    </row>
    <row r="760" spans="1:132" hidden="1">
      <c r="A760">
        <v>765</v>
      </c>
      <c r="B760">
        <v>1</v>
      </c>
      <c r="C760" t="s">
        <v>1880</v>
      </c>
      <c r="D760" t="s">
        <v>1881</v>
      </c>
      <c r="E760" t="s">
        <v>73</v>
      </c>
      <c r="F760" t="s">
        <v>73</v>
      </c>
      <c r="G760" t="s">
        <v>73</v>
      </c>
      <c r="H760">
        <v>33.299999999999997</v>
      </c>
      <c r="I760">
        <v>222</v>
      </c>
      <c r="J760">
        <v>25688</v>
      </c>
      <c r="K760" t="s">
        <v>1882</v>
      </c>
      <c r="L760">
        <f t="shared" si="46"/>
        <v>40</v>
      </c>
      <c r="N760">
        <v>40</v>
      </c>
      <c r="O760">
        <v>40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12</v>
      </c>
      <c r="Y760">
        <v>3</v>
      </c>
      <c r="Z760">
        <v>0</v>
      </c>
      <c r="AA760">
        <v>5</v>
      </c>
      <c r="AB760">
        <v>4</v>
      </c>
      <c r="AC760">
        <v>0</v>
      </c>
      <c r="AD760">
        <v>0</v>
      </c>
      <c r="AE760">
        <v>0</v>
      </c>
      <c r="AF760">
        <v>2</v>
      </c>
      <c r="AG760">
        <v>11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2</v>
      </c>
      <c r="AQ760">
        <v>12</v>
      </c>
      <c r="AR760">
        <v>3</v>
      </c>
      <c r="AS760">
        <v>0</v>
      </c>
      <c r="AT760">
        <v>5</v>
      </c>
      <c r="AU760">
        <v>4</v>
      </c>
      <c r="AV760">
        <v>0</v>
      </c>
      <c r="AW760">
        <v>0</v>
      </c>
      <c r="AX760">
        <v>0</v>
      </c>
      <c r="AY760">
        <v>2</v>
      </c>
      <c r="AZ760">
        <v>11</v>
      </c>
      <c r="BA760">
        <v>0</v>
      </c>
      <c r="BB760">
        <v>0</v>
      </c>
      <c r="BC760" s="2">
        <v>0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2</v>
      </c>
      <c r="BJ760" s="2">
        <v>12</v>
      </c>
      <c r="BK760" s="2">
        <v>3</v>
      </c>
      <c r="BL760" s="2">
        <v>0</v>
      </c>
      <c r="BM760" s="2">
        <v>5</v>
      </c>
      <c r="BN760" s="2">
        <v>4</v>
      </c>
      <c r="BO760" s="2">
        <v>0</v>
      </c>
      <c r="BP760" s="2">
        <v>0</v>
      </c>
      <c r="BQ760" s="2">
        <v>0</v>
      </c>
      <c r="BR760" s="2">
        <v>2</v>
      </c>
      <c r="BS760" s="2">
        <v>11</v>
      </c>
      <c r="BT760" s="2">
        <v>0</v>
      </c>
      <c r="BU760" s="2">
        <v>0</v>
      </c>
      <c r="BV760" s="2">
        <f t="shared" si="49"/>
        <v>40</v>
      </c>
      <c r="BW760" s="16">
        <f t="shared" si="47"/>
        <v>2.1052631578947367</v>
      </c>
      <c r="BX760" s="16">
        <f>COUNTIF($BC$6:BU760, "=0") / COUNTIF($BC$6:BU760, "&gt;-1")</f>
        <v>0.20683164865806902</v>
      </c>
      <c r="BY760" s="18">
        <f>SUM($BC$6:BU760) / $BY$4</f>
        <v>0.90841799413288793</v>
      </c>
      <c r="BZ760" s="14">
        <f t="shared" si="48"/>
        <v>11</v>
      </c>
      <c r="CA760" t="s">
        <v>5832</v>
      </c>
      <c r="CZ760" t="s">
        <v>8321</v>
      </c>
      <c r="DA760" t="s">
        <v>5904</v>
      </c>
      <c r="DB760">
        <v>412.9</v>
      </c>
      <c r="DC760" t="s">
        <v>21315</v>
      </c>
      <c r="DD760" t="s">
        <v>21316</v>
      </c>
      <c r="DE760" t="s">
        <v>21317</v>
      </c>
      <c r="DF760" t="s">
        <v>21318</v>
      </c>
      <c r="DG760" t="s">
        <v>21319</v>
      </c>
      <c r="DH760" t="str">
        <f>"LXN"</f>
        <v>LXN</v>
      </c>
      <c r="DI760" t="s">
        <v>13772</v>
      </c>
      <c r="DJ760" t="s">
        <v>13777</v>
      </c>
      <c r="DK760">
        <v>9606</v>
      </c>
      <c r="DL760" s="34" t="str">
        <f>HYPERLINK("http://www.uniprot.org/uniprot/Q9BS40", "Q9BS40")</f>
        <v>Q9BS40</v>
      </c>
      <c r="DM760" t="s">
        <v>21320</v>
      </c>
      <c r="DN760" t="s">
        <v>17346</v>
      </c>
      <c r="DO760" t="s">
        <v>13899</v>
      </c>
      <c r="DP760" t="s">
        <v>13793</v>
      </c>
      <c r="DQ760" t="s">
        <v>13772</v>
      </c>
      <c r="DR760" t="s">
        <v>13772</v>
      </c>
      <c r="DS760" t="s">
        <v>14096</v>
      </c>
      <c r="DT760" t="s">
        <v>13772</v>
      </c>
      <c r="DU760" t="s">
        <v>21321</v>
      </c>
      <c r="DV760" t="s">
        <v>14020</v>
      </c>
      <c r="DW760" t="s">
        <v>13812</v>
      </c>
      <c r="DX760" t="s">
        <v>21322</v>
      </c>
      <c r="DY760" t="s">
        <v>17936</v>
      </c>
      <c r="DZ760" t="s">
        <v>21323</v>
      </c>
      <c r="EA760" t="s">
        <v>13772</v>
      </c>
      <c r="EB760" t="s">
        <v>13772</v>
      </c>
    </row>
    <row r="761" spans="1:132" hidden="1">
      <c r="A761">
        <v>859</v>
      </c>
      <c r="B761">
        <v>1</v>
      </c>
      <c r="C761" t="s">
        <v>2106</v>
      </c>
      <c r="D761" t="s">
        <v>73</v>
      </c>
      <c r="E761" t="s">
        <v>73</v>
      </c>
      <c r="F761" t="s">
        <v>73</v>
      </c>
      <c r="G761" t="s">
        <v>73</v>
      </c>
      <c r="H761">
        <v>29.6</v>
      </c>
      <c r="I761">
        <v>291</v>
      </c>
      <c r="J761">
        <v>32423</v>
      </c>
      <c r="K761" t="s">
        <v>2107</v>
      </c>
      <c r="L761">
        <f t="shared" si="46"/>
        <v>40</v>
      </c>
      <c r="N761">
        <v>40</v>
      </c>
      <c r="O761">
        <v>40</v>
      </c>
      <c r="P761">
        <v>1</v>
      </c>
      <c r="Q761">
        <v>3</v>
      </c>
      <c r="R761">
        <v>2</v>
      </c>
      <c r="S761">
        <v>2</v>
      </c>
      <c r="T761">
        <v>0</v>
      </c>
      <c r="U761">
        <v>2</v>
      </c>
      <c r="V761">
        <v>0</v>
      </c>
      <c r="W761">
        <v>3</v>
      </c>
      <c r="X761">
        <v>9</v>
      </c>
      <c r="Y761">
        <v>2</v>
      </c>
      <c r="Z761">
        <v>2</v>
      </c>
      <c r="AA761">
        <v>1</v>
      </c>
      <c r="AB761">
        <v>1</v>
      </c>
      <c r="AC761">
        <v>5</v>
      </c>
      <c r="AD761">
        <v>1</v>
      </c>
      <c r="AE761">
        <v>0</v>
      </c>
      <c r="AF761">
        <v>7</v>
      </c>
      <c r="AG761">
        <v>0</v>
      </c>
      <c r="AH761">
        <v>0</v>
      </c>
      <c r="AI761">
        <v>0</v>
      </c>
      <c r="AJ761">
        <v>3</v>
      </c>
      <c r="AK761">
        <v>2</v>
      </c>
      <c r="AL761">
        <v>2</v>
      </c>
      <c r="AM761">
        <v>0</v>
      </c>
      <c r="AN761">
        <v>2</v>
      </c>
      <c r="AO761">
        <v>0</v>
      </c>
      <c r="AP761">
        <v>3</v>
      </c>
      <c r="AQ761">
        <v>9</v>
      </c>
      <c r="AR761">
        <v>2</v>
      </c>
      <c r="AS761">
        <v>2</v>
      </c>
      <c r="AT761">
        <v>1</v>
      </c>
      <c r="AU761">
        <v>1</v>
      </c>
      <c r="AV761">
        <v>5</v>
      </c>
      <c r="AW761">
        <v>1</v>
      </c>
      <c r="AX761">
        <v>0</v>
      </c>
      <c r="AY761">
        <v>7</v>
      </c>
      <c r="AZ761">
        <v>0</v>
      </c>
      <c r="BA761">
        <v>0</v>
      </c>
      <c r="BB761">
        <v>0</v>
      </c>
      <c r="BC761" s="2">
        <v>3</v>
      </c>
      <c r="BD761" s="2">
        <v>2</v>
      </c>
      <c r="BE761" s="2">
        <v>2</v>
      </c>
      <c r="BF761" s="2">
        <v>0</v>
      </c>
      <c r="BG761" s="2">
        <v>2</v>
      </c>
      <c r="BH761" s="2">
        <v>0</v>
      </c>
      <c r="BI761" s="2">
        <v>3</v>
      </c>
      <c r="BJ761" s="2">
        <v>9</v>
      </c>
      <c r="BK761" s="2">
        <v>2</v>
      </c>
      <c r="BL761" s="2">
        <v>2</v>
      </c>
      <c r="BM761" s="2">
        <v>1</v>
      </c>
      <c r="BN761" s="2">
        <v>1</v>
      </c>
      <c r="BO761" s="2">
        <v>5</v>
      </c>
      <c r="BP761" s="2">
        <v>1</v>
      </c>
      <c r="BQ761" s="2">
        <v>0</v>
      </c>
      <c r="BR761" s="2">
        <v>7</v>
      </c>
      <c r="BS761" s="2">
        <v>0</v>
      </c>
      <c r="BT761" s="2">
        <v>0</v>
      </c>
      <c r="BU761" s="2">
        <v>0</v>
      </c>
      <c r="BV761" s="2">
        <f t="shared" si="49"/>
        <v>40</v>
      </c>
      <c r="BW761" s="16">
        <f t="shared" si="47"/>
        <v>2.1052631578947367</v>
      </c>
      <c r="BX761" s="16">
        <f>COUNTIF($BC$6:BU761, "=0") / COUNTIF($BC$6:BU761, "&gt;-1")</f>
        <v>0.20697577276524645</v>
      </c>
      <c r="BY761" s="18">
        <f>SUM($BC$6:BU761) / $BY$4</f>
        <v>0.90858933960763588</v>
      </c>
      <c r="BZ761" s="14">
        <f t="shared" si="48"/>
        <v>6</v>
      </c>
      <c r="CA761" t="s">
        <v>5832</v>
      </c>
      <c r="CZ761" t="s">
        <v>8643</v>
      </c>
      <c r="DA761" t="s">
        <v>5904</v>
      </c>
      <c r="DB761">
        <v>431.4</v>
      </c>
      <c r="DC761" t="s">
        <v>22260</v>
      </c>
      <c r="DD761" t="s">
        <v>22261</v>
      </c>
      <c r="DE761" t="s">
        <v>22262</v>
      </c>
      <c r="DF761" t="s">
        <v>22263</v>
      </c>
      <c r="DG761" t="s">
        <v>22264</v>
      </c>
      <c r="DH761" t="str">
        <f>"RARRES1"</f>
        <v>RARRES1</v>
      </c>
      <c r="DI761" t="s">
        <v>22265</v>
      </c>
      <c r="DJ761" t="s">
        <v>13777</v>
      </c>
      <c r="DK761">
        <v>9606</v>
      </c>
      <c r="DL761" s="34" t="str">
        <f>HYPERLINK("http://www.uniprot.org/uniprot/P49788", "P49788")</f>
        <v>P49788</v>
      </c>
      <c r="DM761" t="s">
        <v>22266</v>
      </c>
      <c r="DN761" t="s">
        <v>13772</v>
      </c>
      <c r="DO761" t="s">
        <v>13825</v>
      </c>
      <c r="DP761" t="s">
        <v>13780</v>
      </c>
      <c r="DQ761" t="s">
        <v>13772</v>
      </c>
      <c r="DR761" t="s">
        <v>13772</v>
      </c>
      <c r="DS761" t="s">
        <v>14417</v>
      </c>
      <c r="DT761" t="s">
        <v>13772</v>
      </c>
      <c r="DU761" t="s">
        <v>13772</v>
      </c>
      <c r="DV761" t="s">
        <v>13772</v>
      </c>
      <c r="DW761" t="s">
        <v>13772</v>
      </c>
      <c r="DX761" t="s">
        <v>17039</v>
      </c>
      <c r="DY761" t="s">
        <v>22267</v>
      </c>
      <c r="DZ761" t="s">
        <v>22268</v>
      </c>
      <c r="EA761" t="s">
        <v>13772</v>
      </c>
      <c r="EB761" t="s">
        <v>13772</v>
      </c>
    </row>
    <row r="762" spans="1:132" hidden="1">
      <c r="A762">
        <v>868</v>
      </c>
      <c r="B762">
        <v>1</v>
      </c>
      <c r="C762" t="s">
        <v>2121</v>
      </c>
      <c r="D762" t="s">
        <v>73</v>
      </c>
      <c r="E762" t="s">
        <v>73</v>
      </c>
      <c r="F762" t="s">
        <v>73</v>
      </c>
      <c r="G762" t="s">
        <v>73</v>
      </c>
      <c r="H762">
        <v>26.6</v>
      </c>
      <c r="I762">
        <v>244</v>
      </c>
      <c r="J762">
        <v>26409</v>
      </c>
      <c r="K762" t="s">
        <v>2122</v>
      </c>
      <c r="L762">
        <f t="shared" si="46"/>
        <v>40</v>
      </c>
      <c r="N762">
        <v>40</v>
      </c>
      <c r="O762">
        <v>40</v>
      </c>
      <c r="P762">
        <v>1</v>
      </c>
      <c r="Q762">
        <v>3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6</v>
      </c>
      <c r="Y762">
        <v>3</v>
      </c>
      <c r="Z762">
        <v>0</v>
      </c>
      <c r="AA762">
        <v>4</v>
      </c>
      <c r="AB762">
        <v>3</v>
      </c>
      <c r="AC762">
        <v>2</v>
      </c>
      <c r="AD762">
        <v>2</v>
      </c>
      <c r="AE762">
        <v>3</v>
      </c>
      <c r="AF762">
        <v>4</v>
      </c>
      <c r="AG762">
        <v>5</v>
      </c>
      <c r="AH762">
        <v>0</v>
      </c>
      <c r="AI762">
        <v>3</v>
      </c>
      <c r="AJ762">
        <v>3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6</v>
      </c>
      <c r="AR762">
        <v>3</v>
      </c>
      <c r="AS762">
        <v>0</v>
      </c>
      <c r="AT762">
        <v>4</v>
      </c>
      <c r="AU762">
        <v>3</v>
      </c>
      <c r="AV762">
        <v>2</v>
      </c>
      <c r="AW762">
        <v>2</v>
      </c>
      <c r="AX762">
        <v>3</v>
      </c>
      <c r="AY762">
        <v>4</v>
      </c>
      <c r="AZ762">
        <v>5</v>
      </c>
      <c r="BA762">
        <v>0</v>
      </c>
      <c r="BB762">
        <v>3</v>
      </c>
      <c r="BC762" s="2">
        <v>3</v>
      </c>
      <c r="BD762" s="2">
        <v>1</v>
      </c>
      <c r="BE762" s="2">
        <v>0</v>
      </c>
      <c r="BF762" s="2">
        <v>0</v>
      </c>
      <c r="BG762" s="2">
        <v>0</v>
      </c>
      <c r="BH762" s="2">
        <v>1</v>
      </c>
      <c r="BI762" s="2">
        <v>0</v>
      </c>
      <c r="BJ762" s="2">
        <v>6</v>
      </c>
      <c r="BK762" s="2">
        <v>3</v>
      </c>
      <c r="BL762" s="2">
        <v>0</v>
      </c>
      <c r="BM762" s="2">
        <v>4</v>
      </c>
      <c r="BN762" s="2">
        <v>3</v>
      </c>
      <c r="BO762" s="2">
        <v>2</v>
      </c>
      <c r="BP762" s="2">
        <v>2</v>
      </c>
      <c r="BQ762" s="2">
        <v>3</v>
      </c>
      <c r="BR762" s="2">
        <v>4</v>
      </c>
      <c r="BS762" s="2">
        <v>5</v>
      </c>
      <c r="BT762" s="2">
        <v>0</v>
      </c>
      <c r="BU762" s="2">
        <v>3</v>
      </c>
      <c r="BV762" s="2">
        <f t="shared" si="49"/>
        <v>40</v>
      </c>
      <c r="BW762" s="16">
        <f t="shared" si="47"/>
        <v>2.1052631578947367</v>
      </c>
      <c r="BX762" s="16">
        <f>COUNTIF($BC$6:BU762, "=0") / COUNTIF($BC$6:BU762, "&gt;-1")</f>
        <v>0.20711951609539039</v>
      </c>
      <c r="BY762" s="18">
        <f>SUM($BC$6:BU762) / $BY$4</f>
        <v>0.90876068508238395</v>
      </c>
      <c r="BZ762" s="14">
        <f t="shared" si="48"/>
        <v>6</v>
      </c>
      <c r="CA762" t="s">
        <v>5832</v>
      </c>
      <c r="CZ762" t="s">
        <v>8669</v>
      </c>
      <c r="DA762" t="s">
        <v>5904</v>
      </c>
      <c r="DB762">
        <v>406.8</v>
      </c>
      <c r="DC762" t="s">
        <v>22334</v>
      </c>
      <c r="DD762" t="s">
        <v>22335</v>
      </c>
      <c r="DE762" t="s">
        <v>22336</v>
      </c>
      <c r="DF762" t="s">
        <v>22337</v>
      </c>
      <c r="DG762" t="s">
        <v>22338</v>
      </c>
      <c r="DH762" t="str">
        <f>"ADIPOQ"</f>
        <v>ADIPOQ</v>
      </c>
      <c r="DI762" t="s">
        <v>13772</v>
      </c>
      <c r="DJ762" t="s">
        <v>13777</v>
      </c>
      <c r="DK762">
        <v>9606</v>
      </c>
      <c r="DL762" s="34" t="str">
        <f>HYPERLINK("http://www.uniprot.org/uniprot/Q15848", "Q15848")</f>
        <v>Q15848</v>
      </c>
      <c r="DM762" t="s">
        <v>22339</v>
      </c>
      <c r="DN762" t="s">
        <v>13772</v>
      </c>
      <c r="DO762" t="s">
        <v>14321</v>
      </c>
      <c r="DP762" t="s">
        <v>13793</v>
      </c>
      <c r="DQ762" t="s">
        <v>13772</v>
      </c>
      <c r="DR762" t="s">
        <v>22340</v>
      </c>
      <c r="DS762" t="s">
        <v>13872</v>
      </c>
      <c r="DT762" t="s">
        <v>13772</v>
      </c>
      <c r="DU762" t="s">
        <v>14322</v>
      </c>
      <c r="DV762" t="s">
        <v>22002</v>
      </c>
      <c r="DW762" t="s">
        <v>14324</v>
      </c>
      <c r="DX762" t="s">
        <v>22341</v>
      </c>
      <c r="DY762" t="s">
        <v>22342</v>
      </c>
      <c r="DZ762" t="s">
        <v>22343</v>
      </c>
      <c r="EA762" t="s">
        <v>13772</v>
      </c>
      <c r="EB762" t="s">
        <v>22344</v>
      </c>
    </row>
    <row r="763" spans="1:132" hidden="1">
      <c r="A763">
        <v>1000</v>
      </c>
      <c r="B763">
        <v>1</v>
      </c>
      <c r="C763" t="s">
        <v>2423</v>
      </c>
      <c r="D763" t="s">
        <v>2424</v>
      </c>
      <c r="E763" t="s">
        <v>73</v>
      </c>
      <c r="F763" t="s">
        <v>2425</v>
      </c>
      <c r="G763" t="s">
        <v>73</v>
      </c>
      <c r="H763">
        <v>17.600000000000001</v>
      </c>
      <c r="I763">
        <v>836</v>
      </c>
      <c r="J763">
        <v>93219</v>
      </c>
      <c r="K763" t="s">
        <v>2426</v>
      </c>
      <c r="L763">
        <f t="shared" si="46"/>
        <v>77</v>
      </c>
      <c r="N763">
        <v>77</v>
      </c>
      <c r="O763">
        <v>9</v>
      </c>
      <c r="P763">
        <v>0.11700000000000001</v>
      </c>
      <c r="Q763">
        <v>2</v>
      </c>
      <c r="R763">
        <v>0</v>
      </c>
      <c r="S763">
        <v>1</v>
      </c>
      <c r="T763">
        <v>0</v>
      </c>
      <c r="U763">
        <v>0</v>
      </c>
      <c r="V763">
        <v>2</v>
      </c>
      <c r="W763">
        <v>1</v>
      </c>
      <c r="X763">
        <v>1</v>
      </c>
      <c r="Y763">
        <v>4</v>
      </c>
      <c r="Z763">
        <v>1</v>
      </c>
      <c r="AA763">
        <v>22</v>
      </c>
      <c r="AB763">
        <v>9</v>
      </c>
      <c r="AC763">
        <v>2</v>
      </c>
      <c r="AD763">
        <v>0</v>
      </c>
      <c r="AE763">
        <v>5</v>
      </c>
      <c r="AF763">
        <v>13</v>
      </c>
      <c r="AG763">
        <v>6</v>
      </c>
      <c r="AH763">
        <v>3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</v>
      </c>
      <c r="AU763">
        <v>1</v>
      </c>
      <c r="AV763">
        <v>1</v>
      </c>
      <c r="AW763">
        <v>0</v>
      </c>
      <c r="AX763">
        <v>0</v>
      </c>
      <c r="AY763">
        <v>4</v>
      </c>
      <c r="AZ763">
        <v>0</v>
      </c>
      <c r="BA763">
        <v>0</v>
      </c>
      <c r="BB763">
        <v>0</v>
      </c>
      <c r="BC763" s="2">
        <v>0</v>
      </c>
      <c r="BD763" s="2">
        <v>0</v>
      </c>
      <c r="BE763" s="2">
        <v>0.5</v>
      </c>
      <c r="BF763" s="2">
        <v>0</v>
      </c>
      <c r="BG763" s="2">
        <v>0</v>
      </c>
      <c r="BH763" s="2">
        <v>1</v>
      </c>
      <c r="BI763" s="2">
        <v>0.5</v>
      </c>
      <c r="BJ763" s="2">
        <v>0.5</v>
      </c>
      <c r="BK763" s="2">
        <v>0</v>
      </c>
      <c r="BL763" s="2">
        <v>0</v>
      </c>
      <c r="BM763" s="2">
        <v>12.5</v>
      </c>
      <c r="BN763" s="2">
        <v>9</v>
      </c>
      <c r="BO763" s="2">
        <v>1.5</v>
      </c>
      <c r="BP763" s="2">
        <v>0</v>
      </c>
      <c r="BQ763" s="2">
        <v>0</v>
      </c>
      <c r="BR763" s="2">
        <v>10</v>
      </c>
      <c r="BS763" s="2">
        <v>3</v>
      </c>
      <c r="BT763" s="2">
        <v>1.5</v>
      </c>
      <c r="BU763" s="2">
        <v>0</v>
      </c>
      <c r="BV763" s="2">
        <f t="shared" si="49"/>
        <v>40</v>
      </c>
      <c r="BW763" s="16">
        <f t="shared" si="47"/>
        <v>2.1052631578947367</v>
      </c>
      <c r="BX763" s="16">
        <f>COUNTIF($BC$6:BU763, "=0") / COUNTIF($BC$6:BU763, "&gt;-1")</f>
        <v>0.20747118455770031</v>
      </c>
      <c r="BY763" s="18">
        <f>SUM($BC$6:BU763) / $BY$4</f>
        <v>0.9089320305571319</v>
      </c>
      <c r="BZ763" s="14">
        <f t="shared" si="48"/>
        <v>9</v>
      </c>
      <c r="CA763" t="s">
        <v>5832</v>
      </c>
      <c r="CZ763" t="s">
        <v>9116</v>
      </c>
      <c r="DA763" t="s">
        <v>5904</v>
      </c>
      <c r="DB763">
        <v>1643.2</v>
      </c>
      <c r="DC763" t="s">
        <v>23610</v>
      </c>
      <c r="DD763" t="s">
        <v>23611</v>
      </c>
      <c r="DE763" t="s">
        <v>23612</v>
      </c>
      <c r="DF763" t="s">
        <v>23613</v>
      </c>
      <c r="DG763" t="s">
        <v>23614</v>
      </c>
      <c r="DH763" t="str">
        <f>"POSTN"</f>
        <v>POSTN</v>
      </c>
      <c r="DI763" t="s">
        <v>23615</v>
      </c>
      <c r="DJ763" t="s">
        <v>13777</v>
      </c>
      <c r="DK763">
        <v>9606</v>
      </c>
      <c r="DL763" s="34" t="str">
        <f>HYPERLINK("http://www.uniprot.org/uniprot/Q15063", "Q15063")</f>
        <v>Q15063</v>
      </c>
      <c r="DM763" t="s">
        <v>23616</v>
      </c>
      <c r="DN763" t="s">
        <v>13949</v>
      </c>
      <c r="DO763" t="s">
        <v>23617</v>
      </c>
      <c r="DP763" t="s">
        <v>13780</v>
      </c>
      <c r="DQ763" t="s">
        <v>13772</v>
      </c>
      <c r="DR763" t="s">
        <v>13772</v>
      </c>
      <c r="DS763" t="s">
        <v>14404</v>
      </c>
      <c r="DT763" t="s">
        <v>13772</v>
      </c>
      <c r="DU763" t="s">
        <v>14073</v>
      </c>
      <c r="DV763" t="s">
        <v>23618</v>
      </c>
      <c r="DW763" t="s">
        <v>13812</v>
      </c>
      <c r="DX763" t="s">
        <v>23619</v>
      </c>
      <c r="DY763" t="s">
        <v>23620</v>
      </c>
      <c r="DZ763" t="s">
        <v>23621</v>
      </c>
      <c r="EA763" t="s">
        <v>13772</v>
      </c>
      <c r="EB763" t="s">
        <v>13772</v>
      </c>
    </row>
    <row r="764" spans="1:132" hidden="1">
      <c r="A764">
        <v>1068</v>
      </c>
      <c r="B764">
        <v>1</v>
      </c>
      <c r="C764" t="s">
        <v>2566</v>
      </c>
      <c r="D764" t="s">
        <v>2567</v>
      </c>
      <c r="E764" t="s">
        <v>73</v>
      </c>
      <c r="F764" t="s">
        <v>73</v>
      </c>
      <c r="G764" t="s">
        <v>73</v>
      </c>
      <c r="H764">
        <v>30.6</v>
      </c>
      <c r="I764">
        <v>454</v>
      </c>
      <c r="J764">
        <v>50660</v>
      </c>
      <c r="K764" t="s">
        <v>2568</v>
      </c>
      <c r="L764">
        <f t="shared" si="46"/>
        <v>40</v>
      </c>
      <c r="N764">
        <v>40</v>
      </c>
      <c r="O764">
        <v>40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</v>
      </c>
      <c r="Z764">
        <v>1</v>
      </c>
      <c r="AA764">
        <v>9</v>
      </c>
      <c r="AB764">
        <v>11</v>
      </c>
      <c r="AC764">
        <v>4</v>
      </c>
      <c r="AD764">
        <v>0</v>
      </c>
      <c r="AE764">
        <v>3</v>
      </c>
      <c r="AF764">
        <v>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5</v>
      </c>
      <c r="AS764">
        <v>1</v>
      </c>
      <c r="AT764">
        <v>9</v>
      </c>
      <c r="AU764">
        <v>11</v>
      </c>
      <c r="AV764">
        <v>4</v>
      </c>
      <c r="AW764">
        <v>0</v>
      </c>
      <c r="AX764">
        <v>3</v>
      </c>
      <c r="AY764">
        <v>7</v>
      </c>
      <c r="AZ764">
        <v>0</v>
      </c>
      <c r="BA764">
        <v>0</v>
      </c>
      <c r="BB764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5</v>
      </c>
      <c r="BL764" s="2">
        <v>1</v>
      </c>
      <c r="BM764" s="2">
        <v>9</v>
      </c>
      <c r="BN764" s="2">
        <v>11</v>
      </c>
      <c r="BO764" s="2">
        <v>4</v>
      </c>
      <c r="BP764" s="2">
        <v>0</v>
      </c>
      <c r="BQ764" s="2">
        <v>3</v>
      </c>
      <c r="BR764" s="2">
        <v>7</v>
      </c>
      <c r="BS764" s="2">
        <v>0</v>
      </c>
      <c r="BT764" s="2">
        <v>0</v>
      </c>
      <c r="BU764" s="2">
        <v>0</v>
      </c>
      <c r="BV764" s="2">
        <f t="shared" si="49"/>
        <v>40</v>
      </c>
      <c r="BW764" s="16">
        <f t="shared" si="47"/>
        <v>2.1052631578947367</v>
      </c>
      <c r="BX764" s="16">
        <f>COUNTIF($BC$6:BU764, "=0") / COUNTIF($BC$6:BU764, "&gt;-1")</f>
        <v>0.20802995631370919</v>
      </c>
      <c r="BY764" s="18">
        <f>SUM($BC$6:BU764) / $BY$4</f>
        <v>0.90910337603187996</v>
      </c>
      <c r="BZ764" s="14">
        <f t="shared" si="48"/>
        <v>12</v>
      </c>
      <c r="CA764" t="s">
        <v>5832</v>
      </c>
      <c r="CZ764" t="s">
        <v>9286</v>
      </c>
      <c r="DA764" t="s">
        <v>6054</v>
      </c>
      <c r="DB764">
        <v>316.2</v>
      </c>
      <c r="DC764" t="s">
        <v>24107</v>
      </c>
      <c r="DD764" t="s">
        <v>24108</v>
      </c>
      <c r="DE764" t="s">
        <v>24109</v>
      </c>
      <c r="DF764" t="s">
        <v>24110</v>
      </c>
      <c r="DG764" t="s">
        <v>24111</v>
      </c>
      <c r="DH764" t="str">
        <f>"TMPO"</f>
        <v>TMPO</v>
      </c>
      <c r="DI764" t="s">
        <v>24112</v>
      </c>
      <c r="DJ764" t="s">
        <v>13777</v>
      </c>
      <c r="DK764">
        <v>9606</v>
      </c>
      <c r="DL764" s="34" t="str">
        <f>HYPERLINK("http://www.uniprot.org/uniprot/P42166", "P42166")</f>
        <v>P42166</v>
      </c>
      <c r="DM764" t="s">
        <v>24113</v>
      </c>
      <c r="DN764" t="s">
        <v>13772</v>
      </c>
      <c r="DO764" t="s">
        <v>19917</v>
      </c>
      <c r="DP764" t="s">
        <v>13780</v>
      </c>
      <c r="DQ764" t="s">
        <v>13772</v>
      </c>
      <c r="DR764" t="s">
        <v>24114</v>
      </c>
      <c r="DS764" t="s">
        <v>14245</v>
      </c>
      <c r="DT764" t="s">
        <v>13772</v>
      </c>
      <c r="DU764" t="s">
        <v>15871</v>
      </c>
      <c r="DV764" t="s">
        <v>14098</v>
      </c>
      <c r="DW764" t="s">
        <v>14324</v>
      </c>
      <c r="DX764" t="s">
        <v>17781</v>
      </c>
      <c r="DY764" t="s">
        <v>24115</v>
      </c>
      <c r="DZ764" t="s">
        <v>24116</v>
      </c>
      <c r="EA764" t="s">
        <v>13772</v>
      </c>
      <c r="EB764" t="s">
        <v>13772</v>
      </c>
    </row>
    <row r="765" spans="1:132" hidden="1">
      <c r="A765">
        <v>1129</v>
      </c>
      <c r="B765">
        <v>1</v>
      </c>
      <c r="C765" t="s">
        <v>2714</v>
      </c>
      <c r="D765" t="s">
        <v>2715</v>
      </c>
      <c r="E765" t="s">
        <v>73</v>
      </c>
      <c r="F765" t="s">
        <v>73</v>
      </c>
      <c r="G765" t="s">
        <v>73</v>
      </c>
      <c r="H765">
        <v>27.4</v>
      </c>
      <c r="I765">
        <v>758</v>
      </c>
      <c r="J765">
        <v>84280</v>
      </c>
      <c r="K765" t="s">
        <v>2716</v>
      </c>
      <c r="L765">
        <f t="shared" si="46"/>
        <v>40</v>
      </c>
      <c r="N765">
        <v>40</v>
      </c>
      <c r="O765">
        <v>40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2</v>
      </c>
      <c r="Y765">
        <v>18</v>
      </c>
      <c r="Z765">
        <v>0</v>
      </c>
      <c r="AA765">
        <v>7</v>
      </c>
      <c r="AB765">
        <v>5</v>
      </c>
      <c r="AC765">
        <v>1</v>
      </c>
      <c r="AD765">
        <v>0</v>
      </c>
      <c r="AE765">
        <v>2</v>
      </c>
      <c r="AF765">
        <v>2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2</v>
      </c>
      <c r="AR765">
        <v>18</v>
      </c>
      <c r="AS765">
        <v>0</v>
      </c>
      <c r="AT765">
        <v>7</v>
      </c>
      <c r="AU765">
        <v>5</v>
      </c>
      <c r="AV765">
        <v>1</v>
      </c>
      <c r="AW765">
        <v>0</v>
      </c>
      <c r="AX765">
        <v>2</v>
      </c>
      <c r="AY765">
        <v>2</v>
      </c>
      <c r="AZ765">
        <v>0</v>
      </c>
      <c r="BA765">
        <v>0</v>
      </c>
      <c r="BB765">
        <v>0</v>
      </c>
      <c r="BC765" s="2">
        <v>1</v>
      </c>
      <c r="BD765" s="2">
        <v>0</v>
      </c>
      <c r="BE765" s="2">
        <v>0</v>
      </c>
      <c r="BF765" s="2">
        <v>0</v>
      </c>
      <c r="BG765" s="2">
        <v>1</v>
      </c>
      <c r="BH765" s="2">
        <v>0</v>
      </c>
      <c r="BI765" s="2">
        <v>1</v>
      </c>
      <c r="BJ765" s="2">
        <v>2</v>
      </c>
      <c r="BK765" s="2">
        <v>18</v>
      </c>
      <c r="BL765" s="2">
        <v>0</v>
      </c>
      <c r="BM765" s="2">
        <v>7</v>
      </c>
      <c r="BN765" s="2">
        <v>5</v>
      </c>
      <c r="BO765" s="2">
        <v>1</v>
      </c>
      <c r="BP765" s="2">
        <v>0</v>
      </c>
      <c r="BQ765" s="2">
        <v>2</v>
      </c>
      <c r="BR765" s="2">
        <v>2</v>
      </c>
      <c r="BS765" s="2">
        <v>0</v>
      </c>
      <c r="BT765" s="2">
        <v>0</v>
      </c>
      <c r="BU765" s="2">
        <v>0</v>
      </c>
      <c r="BV765" s="2">
        <f t="shared" si="49"/>
        <v>40</v>
      </c>
      <c r="BW765" s="16">
        <f t="shared" si="47"/>
        <v>2.1052631578947367</v>
      </c>
      <c r="BX765" s="16">
        <f>COUNTIF($BC$6:BU765, "=0") / COUNTIF($BC$6:BU765, "&gt;-1")</f>
        <v>0.20837950138504155</v>
      </c>
      <c r="BY765" s="18">
        <f>SUM($BC$6:BU765) / $BY$4</f>
        <v>0.90927472150662803</v>
      </c>
      <c r="BZ765" s="14">
        <f t="shared" si="48"/>
        <v>9</v>
      </c>
      <c r="CA765" t="s">
        <v>5832</v>
      </c>
      <c r="CZ765" t="s">
        <v>9493</v>
      </c>
      <c r="DA765" t="s">
        <v>5904</v>
      </c>
      <c r="DB765">
        <v>1250.3</v>
      </c>
      <c r="DC765" t="s">
        <v>24687</v>
      </c>
      <c r="DD765" t="s">
        <v>24688</v>
      </c>
      <c r="DE765" t="s">
        <v>24689</v>
      </c>
      <c r="DF765" t="s">
        <v>24690</v>
      </c>
      <c r="DG765" t="s">
        <v>24691</v>
      </c>
      <c r="DH765" t="str">
        <f>"LIMA1"</f>
        <v>LIMA1</v>
      </c>
      <c r="DI765" t="s">
        <v>13772</v>
      </c>
      <c r="DJ765" t="s">
        <v>13777</v>
      </c>
      <c r="DK765">
        <v>9606</v>
      </c>
      <c r="DL765" s="34" t="str">
        <f>HYPERLINK("http://www.uniprot.org/uniprot/Q9UHB6", "Q9UHB6")</f>
        <v>Q9UHB6</v>
      </c>
      <c r="DM765" t="s">
        <v>24692</v>
      </c>
      <c r="DN765" t="s">
        <v>24693</v>
      </c>
      <c r="DO765" t="s">
        <v>17480</v>
      </c>
      <c r="DP765" t="s">
        <v>14942</v>
      </c>
      <c r="DQ765" t="s">
        <v>13772</v>
      </c>
      <c r="DR765" t="s">
        <v>13772</v>
      </c>
      <c r="DS765" t="s">
        <v>14576</v>
      </c>
      <c r="DT765" t="s">
        <v>13856</v>
      </c>
      <c r="DU765" t="s">
        <v>13990</v>
      </c>
      <c r="DV765" t="s">
        <v>13886</v>
      </c>
      <c r="DW765" t="s">
        <v>13812</v>
      </c>
      <c r="DX765" t="s">
        <v>24694</v>
      </c>
      <c r="DY765" t="s">
        <v>24695</v>
      </c>
      <c r="DZ765" t="s">
        <v>24696</v>
      </c>
      <c r="EA765" t="s">
        <v>13772</v>
      </c>
      <c r="EB765" t="s">
        <v>13772</v>
      </c>
    </row>
    <row r="766" spans="1:132" hidden="1">
      <c r="A766">
        <v>1190</v>
      </c>
      <c r="B766">
        <v>1</v>
      </c>
      <c r="C766" t="s">
        <v>2857</v>
      </c>
      <c r="D766" t="s">
        <v>73</v>
      </c>
      <c r="E766" t="s">
        <v>73</v>
      </c>
      <c r="F766" t="s">
        <v>73</v>
      </c>
      <c r="G766" t="s">
        <v>73</v>
      </c>
      <c r="H766">
        <v>33.9</v>
      </c>
      <c r="I766">
        <v>322</v>
      </c>
      <c r="J766">
        <v>36269</v>
      </c>
      <c r="K766" t="s">
        <v>2858</v>
      </c>
      <c r="L766">
        <f t="shared" si="46"/>
        <v>40</v>
      </c>
      <c r="N766">
        <v>40</v>
      </c>
      <c r="O766">
        <v>40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8</v>
      </c>
      <c r="Y766">
        <v>3</v>
      </c>
      <c r="Z766">
        <v>0</v>
      </c>
      <c r="AA766">
        <v>10</v>
      </c>
      <c r="AB766">
        <v>1</v>
      </c>
      <c r="AC766">
        <v>4</v>
      </c>
      <c r="AD766">
        <v>0</v>
      </c>
      <c r="AE766">
        <v>7</v>
      </c>
      <c r="AF766">
        <v>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8</v>
      </c>
      <c r="AR766">
        <v>3</v>
      </c>
      <c r="AS766">
        <v>0</v>
      </c>
      <c r="AT766">
        <v>10</v>
      </c>
      <c r="AU766">
        <v>1</v>
      </c>
      <c r="AV766">
        <v>4</v>
      </c>
      <c r="AW766">
        <v>0</v>
      </c>
      <c r="AX766">
        <v>7</v>
      </c>
      <c r="AY766">
        <v>7</v>
      </c>
      <c r="AZ766">
        <v>0</v>
      </c>
      <c r="BA766">
        <v>0</v>
      </c>
      <c r="BB766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8</v>
      </c>
      <c r="BK766" s="2">
        <v>3</v>
      </c>
      <c r="BL766" s="2">
        <v>0</v>
      </c>
      <c r="BM766" s="2">
        <v>10</v>
      </c>
      <c r="BN766" s="2">
        <v>1</v>
      </c>
      <c r="BO766" s="2">
        <v>4</v>
      </c>
      <c r="BP766" s="2">
        <v>0</v>
      </c>
      <c r="BQ766" s="2">
        <v>7</v>
      </c>
      <c r="BR766" s="2">
        <v>7</v>
      </c>
      <c r="BS766" s="2">
        <v>0</v>
      </c>
      <c r="BT766" s="2">
        <v>0</v>
      </c>
      <c r="BU766" s="2">
        <v>0</v>
      </c>
      <c r="BV766" s="2">
        <f t="shared" si="49"/>
        <v>40</v>
      </c>
      <c r="BW766" s="16">
        <f t="shared" si="47"/>
        <v>2.1052631578947367</v>
      </c>
      <c r="BX766" s="16">
        <f>COUNTIF($BC$6:BU766, "=0") / COUNTIF($BC$6:BU766, "&gt;-1")</f>
        <v>0.20893561103810776</v>
      </c>
      <c r="BY766" s="18">
        <f>SUM($BC$6:BU766) / $BY$4</f>
        <v>0.90944606698137598</v>
      </c>
      <c r="BZ766" s="14">
        <f t="shared" si="48"/>
        <v>12</v>
      </c>
      <c r="CA766" t="s">
        <v>5832</v>
      </c>
      <c r="CZ766" t="s">
        <v>9689</v>
      </c>
      <c r="DA766" t="s">
        <v>5904</v>
      </c>
      <c r="DB766">
        <v>500</v>
      </c>
      <c r="DC766" t="s">
        <v>25254</v>
      </c>
      <c r="DD766" t="s">
        <v>13772</v>
      </c>
      <c r="DE766" t="s">
        <v>25255</v>
      </c>
      <c r="DF766" t="s">
        <v>25256</v>
      </c>
      <c r="DG766" t="s">
        <v>13772</v>
      </c>
      <c r="DH766" t="str">
        <f>"HMOX1"</f>
        <v>HMOX1</v>
      </c>
      <c r="DI766" t="s">
        <v>25257</v>
      </c>
      <c r="DJ766" t="s">
        <v>13777</v>
      </c>
      <c r="DK766">
        <v>9606</v>
      </c>
      <c r="DL766" s="34" t="str">
        <f>HYPERLINK("http://www.uniprot.org/uniprot/P09601", "P09601")</f>
        <v>P09601</v>
      </c>
      <c r="DM766" t="s">
        <v>25258</v>
      </c>
      <c r="DN766" t="s">
        <v>17109</v>
      </c>
      <c r="DO766" t="s">
        <v>25259</v>
      </c>
      <c r="DP766" t="s">
        <v>13793</v>
      </c>
      <c r="DQ766" t="s">
        <v>13772</v>
      </c>
      <c r="DR766" t="s">
        <v>13772</v>
      </c>
      <c r="DS766" t="s">
        <v>13772</v>
      </c>
      <c r="DT766" t="s">
        <v>16031</v>
      </c>
      <c r="DU766" t="s">
        <v>13885</v>
      </c>
      <c r="DV766" t="s">
        <v>13782</v>
      </c>
      <c r="DW766" t="s">
        <v>13812</v>
      </c>
      <c r="DX766" t="s">
        <v>25260</v>
      </c>
      <c r="DY766" t="s">
        <v>25261</v>
      </c>
      <c r="DZ766" t="s">
        <v>25262</v>
      </c>
      <c r="EA766" t="s">
        <v>13772</v>
      </c>
      <c r="EB766" t="s">
        <v>25263</v>
      </c>
    </row>
    <row r="767" spans="1:132" hidden="1">
      <c r="A767">
        <v>1217</v>
      </c>
      <c r="B767">
        <v>1</v>
      </c>
      <c r="C767" t="s">
        <v>2922</v>
      </c>
      <c r="D767" t="s">
        <v>2923</v>
      </c>
      <c r="E767" t="s">
        <v>73</v>
      </c>
      <c r="F767" t="s">
        <v>73</v>
      </c>
      <c r="G767" t="s">
        <v>73</v>
      </c>
      <c r="H767">
        <v>39.299999999999997</v>
      </c>
      <c r="I767">
        <v>483</v>
      </c>
      <c r="J767">
        <v>53049</v>
      </c>
      <c r="K767" t="s">
        <v>2924</v>
      </c>
      <c r="L767">
        <f t="shared" si="46"/>
        <v>40</v>
      </c>
      <c r="N767">
        <v>40</v>
      </c>
      <c r="O767">
        <v>40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6</v>
      </c>
      <c r="Z767">
        <v>1</v>
      </c>
      <c r="AA767">
        <v>9</v>
      </c>
      <c r="AB767">
        <v>7</v>
      </c>
      <c r="AC767">
        <v>10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6</v>
      </c>
      <c r="AS767">
        <v>1</v>
      </c>
      <c r="AT767">
        <v>9</v>
      </c>
      <c r="AU767">
        <v>7</v>
      </c>
      <c r="AV767">
        <v>10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1</v>
      </c>
      <c r="BH767" s="2">
        <v>0</v>
      </c>
      <c r="BI767" s="2">
        <v>1</v>
      </c>
      <c r="BJ767" s="2">
        <v>0</v>
      </c>
      <c r="BK767" s="2">
        <v>6</v>
      </c>
      <c r="BL767" s="2">
        <v>1</v>
      </c>
      <c r="BM767" s="2">
        <v>9</v>
      </c>
      <c r="BN767" s="2">
        <v>7</v>
      </c>
      <c r="BO767" s="2">
        <v>10</v>
      </c>
      <c r="BP767" s="2">
        <v>1</v>
      </c>
      <c r="BQ767" s="2">
        <v>1</v>
      </c>
      <c r="BR767" s="2">
        <v>1</v>
      </c>
      <c r="BS767" s="2">
        <v>1</v>
      </c>
      <c r="BT767" s="2">
        <v>1</v>
      </c>
      <c r="BU767" s="2">
        <v>0</v>
      </c>
      <c r="BV767" s="2">
        <f t="shared" si="49"/>
        <v>40</v>
      </c>
      <c r="BW767" s="16">
        <f t="shared" si="47"/>
        <v>2.1052631578947367</v>
      </c>
      <c r="BX767" s="16">
        <f>COUNTIF($BC$6:BU767, "=0") / COUNTIF($BC$6:BU767, "&gt;-1")</f>
        <v>0.20914490951788922</v>
      </c>
      <c r="BY767" s="18">
        <f>SUM($BC$6:BU767) / $BY$4</f>
        <v>0.90961741245612404</v>
      </c>
      <c r="BZ767" s="14">
        <f t="shared" si="48"/>
        <v>7</v>
      </c>
      <c r="CA767" t="s">
        <v>5832</v>
      </c>
      <c r="CZ767" t="s">
        <v>9782</v>
      </c>
      <c r="DA767" t="s">
        <v>5904</v>
      </c>
      <c r="DB767">
        <v>942.6</v>
      </c>
      <c r="DC767" t="s">
        <v>25514</v>
      </c>
      <c r="DD767" t="s">
        <v>13772</v>
      </c>
      <c r="DE767" t="s">
        <v>25515</v>
      </c>
      <c r="DF767" t="s">
        <v>25516</v>
      </c>
      <c r="DG767" t="s">
        <v>25517</v>
      </c>
      <c r="DH767" t="str">
        <f>"PGD"</f>
        <v>PGD</v>
      </c>
      <c r="DI767" t="s">
        <v>25518</v>
      </c>
      <c r="DJ767" t="s">
        <v>13777</v>
      </c>
      <c r="DK767">
        <v>9606</v>
      </c>
      <c r="DL767" s="34" t="str">
        <f>HYPERLINK("http://www.uniprot.org/uniprot/P52209", "P52209")</f>
        <v>P52209</v>
      </c>
      <c r="DM767" t="s">
        <v>25519</v>
      </c>
      <c r="DN767" t="s">
        <v>25520</v>
      </c>
      <c r="DO767" t="s">
        <v>13899</v>
      </c>
      <c r="DP767" t="s">
        <v>13780</v>
      </c>
      <c r="DQ767" t="s">
        <v>13772</v>
      </c>
      <c r="DR767" t="s">
        <v>13772</v>
      </c>
      <c r="DS767" t="s">
        <v>13772</v>
      </c>
      <c r="DT767" t="s">
        <v>15759</v>
      </c>
      <c r="DU767" t="s">
        <v>13885</v>
      </c>
      <c r="DV767" t="s">
        <v>13886</v>
      </c>
      <c r="DW767" t="s">
        <v>13812</v>
      </c>
      <c r="DX767" t="s">
        <v>25521</v>
      </c>
      <c r="DY767" t="s">
        <v>14135</v>
      </c>
      <c r="DZ767" t="s">
        <v>25522</v>
      </c>
      <c r="EA767" t="s">
        <v>25523</v>
      </c>
      <c r="EB767" t="s">
        <v>22701</v>
      </c>
    </row>
    <row r="768" spans="1:132" hidden="1">
      <c r="A768">
        <v>1810</v>
      </c>
      <c r="B768">
        <v>1</v>
      </c>
      <c r="C768" t="s">
        <v>4279</v>
      </c>
      <c r="D768" t="s">
        <v>4280</v>
      </c>
      <c r="E768" t="s">
        <v>73</v>
      </c>
      <c r="F768" t="s">
        <v>73</v>
      </c>
      <c r="G768" t="s">
        <v>73</v>
      </c>
      <c r="H768">
        <v>26</v>
      </c>
      <c r="I768">
        <v>689</v>
      </c>
      <c r="J768">
        <v>78807</v>
      </c>
      <c r="K768" t="s">
        <v>4281</v>
      </c>
      <c r="L768">
        <f t="shared" si="46"/>
        <v>40</v>
      </c>
      <c r="N768">
        <v>40</v>
      </c>
      <c r="O768">
        <v>40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9</v>
      </c>
      <c r="Z768">
        <v>8</v>
      </c>
      <c r="AA768">
        <v>2</v>
      </c>
      <c r="AB768">
        <v>2</v>
      </c>
      <c r="AC768">
        <v>5</v>
      </c>
      <c r="AD768">
        <v>8</v>
      </c>
      <c r="AE768">
        <v>3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9</v>
      </c>
      <c r="AS768">
        <v>8</v>
      </c>
      <c r="AT768">
        <v>2</v>
      </c>
      <c r="AU768">
        <v>2</v>
      </c>
      <c r="AV768">
        <v>5</v>
      </c>
      <c r="AW768">
        <v>8</v>
      </c>
      <c r="AX768">
        <v>3</v>
      </c>
      <c r="AY768">
        <v>1</v>
      </c>
      <c r="AZ768">
        <v>0</v>
      </c>
      <c r="BA768">
        <v>0</v>
      </c>
      <c r="BB768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0</v>
      </c>
      <c r="BK768" s="2">
        <v>9</v>
      </c>
      <c r="BL768" s="2">
        <v>8</v>
      </c>
      <c r="BM768" s="2">
        <v>2</v>
      </c>
      <c r="BN768" s="2">
        <v>2</v>
      </c>
      <c r="BO768" s="2">
        <v>5</v>
      </c>
      <c r="BP768" s="2">
        <v>8</v>
      </c>
      <c r="BQ768" s="2">
        <v>3</v>
      </c>
      <c r="BR768" s="2">
        <v>1</v>
      </c>
      <c r="BS768" s="2">
        <v>0</v>
      </c>
      <c r="BT768" s="2">
        <v>0</v>
      </c>
      <c r="BU768" s="2">
        <v>1</v>
      </c>
      <c r="BV768" s="2">
        <f t="shared" si="49"/>
        <v>40</v>
      </c>
      <c r="BW768" s="16">
        <f t="shared" si="47"/>
        <v>2.1052631578947367</v>
      </c>
      <c r="BX768" s="16">
        <f>COUNTIF($BC$6:BU768, "=0") / COUNTIF($BC$6:BU768, "&gt;-1")</f>
        <v>0.209491618955646</v>
      </c>
      <c r="BY768" s="18">
        <f>SUM($BC$6:BU768) / $BY$4</f>
        <v>0.90978875793087199</v>
      </c>
      <c r="BZ768" s="14">
        <f t="shared" si="48"/>
        <v>9</v>
      </c>
      <c r="CA768" t="s">
        <v>5832</v>
      </c>
      <c r="CZ768" t="s">
        <v>11787</v>
      </c>
      <c r="DA768" t="s">
        <v>5904</v>
      </c>
      <c r="DB768">
        <v>1150.2</v>
      </c>
      <c r="DC768" t="s">
        <v>31181</v>
      </c>
      <c r="DD768" t="s">
        <v>31182</v>
      </c>
      <c r="DE768" t="s">
        <v>31183</v>
      </c>
      <c r="DF768" t="s">
        <v>31184</v>
      </c>
      <c r="DG768" t="s">
        <v>31185</v>
      </c>
      <c r="DH768" t="str">
        <f>"F13B"</f>
        <v>F13B</v>
      </c>
      <c r="DI768" t="s">
        <v>13772</v>
      </c>
      <c r="DJ768" t="s">
        <v>13777</v>
      </c>
      <c r="DK768">
        <v>9606</v>
      </c>
      <c r="DL768" s="34" t="str">
        <f>HYPERLINK("http://www.uniprot.org/uniprot/P05160", "P05160")</f>
        <v>P05160</v>
      </c>
      <c r="DM768" t="s">
        <v>31186</v>
      </c>
      <c r="DN768" t="s">
        <v>16755</v>
      </c>
      <c r="DO768" t="s">
        <v>14321</v>
      </c>
      <c r="DP768" t="s">
        <v>13793</v>
      </c>
      <c r="DQ768" t="s">
        <v>13772</v>
      </c>
      <c r="DR768" t="s">
        <v>13807</v>
      </c>
      <c r="DS768" t="s">
        <v>28012</v>
      </c>
      <c r="DT768" t="s">
        <v>13772</v>
      </c>
      <c r="DU768" t="s">
        <v>13772</v>
      </c>
      <c r="DV768" t="s">
        <v>13796</v>
      </c>
      <c r="DW768" t="s">
        <v>13772</v>
      </c>
      <c r="DX768" t="s">
        <v>31187</v>
      </c>
      <c r="DY768" t="s">
        <v>15346</v>
      </c>
      <c r="DZ768" t="s">
        <v>13772</v>
      </c>
      <c r="EA768" t="s">
        <v>13772</v>
      </c>
      <c r="EB768" t="s">
        <v>31188</v>
      </c>
    </row>
    <row r="769" spans="1:132" hidden="1">
      <c r="A769">
        <v>1838</v>
      </c>
      <c r="B769">
        <v>1</v>
      </c>
      <c r="C769" t="s">
        <v>4345</v>
      </c>
      <c r="D769" t="s">
        <v>73</v>
      </c>
      <c r="E769" t="s">
        <v>73</v>
      </c>
      <c r="F769" t="s">
        <v>73</v>
      </c>
      <c r="G769" t="s">
        <v>73</v>
      </c>
      <c r="H769">
        <v>69.599999999999994</v>
      </c>
      <c r="I769">
        <v>92</v>
      </c>
      <c r="J769">
        <v>10668</v>
      </c>
      <c r="K769" t="s">
        <v>4346</v>
      </c>
      <c r="L769">
        <f t="shared" si="46"/>
        <v>40</v>
      </c>
      <c r="N769">
        <v>40</v>
      </c>
      <c r="O769">
        <v>40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</v>
      </c>
      <c r="Z769">
        <v>2</v>
      </c>
      <c r="AA769">
        <v>1</v>
      </c>
      <c r="AB769">
        <v>5</v>
      </c>
      <c r="AC769">
        <v>15</v>
      </c>
      <c r="AD769">
        <v>0</v>
      </c>
      <c r="AE769">
        <v>0</v>
      </c>
      <c r="AF769">
        <v>4</v>
      </c>
      <c r="AG769">
        <v>5</v>
      </c>
      <c r="AH769">
        <v>2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</v>
      </c>
      <c r="AS769">
        <v>2</v>
      </c>
      <c r="AT769">
        <v>1</v>
      </c>
      <c r="AU769">
        <v>5</v>
      </c>
      <c r="AV769">
        <v>15</v>
      </c>
      <c r="AW769">
        <v>0</v>
      </c>
      <c r="AX769">
        <v>0</v>
      </c>
      <c r="AY769">
        <v>4</v>
      </c>
      <c r="AZ769">
        <v>5</v>
      </c>
      <c r="BA769">
        <v>2</v>
      </c>
      <c r="BB769">
        <v>0</v>
      </c>
      <c r="BC769" s="2">
        <v>0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5</v>
      </c>
      <c r="BL769" s="2">
        <v>2</v>
      </c>
      <c r="BM769" s="2">
        <v>1</v>
      </c>
      <c r="BN769" s="2">
        <v>5</v>
      </c>
      <c r="BO769" s="2">
        <v>15</v>
      </c>
      <c r="BP769" s="2">
        <v>0</v>
      </c>
      <c r="BQ769" s="2">
        <v>0</v>
      </c>
      <c r="BR769" s="2">
        <v>4</v>
      </c>
      <c r="BS769" s="2">
        <v>5</v>
      </c>
      <c r="BT769" s="2">
        <v>2</v>
      </c>
      <c r="BU769" s="2">
        <v>0</v>
      </c>
      <c r="BV769" s="2">
        <f t="shared" si="49"/>
        <v>40</v>
      </c>
      <c r="BW769" s="16">
        <f t="shared" si="47"/>
        <v>2.1052631578947367</v>
      </c>
      <c r="BX769" s="16">
        <f>COUNTIF($BC$6:BU769, "=0") / COUNTIF($BC$6:BU769, "&gt;-1")</f>
        <v>0.20990631027831358</v>
      </c>
      <c r="BY769" s="18">
        <f>SUM($BC$6:BU769) / $BY$4</f>
        <v>0.90996010340562006</v>
      </c>
      <c r="BZ769" s="14">
        <f t="shared" si="48"/>
        <v>10</v>
      </c>
      <c r="CA769" t="s">
        <v>5832</v>
      </c>
      <c r="CZ769" t="s">
        <v>11887</v>
      </c>
      <c r="DA769" t="s">
        <v>5904</v>
      </c>
      <c r="DB769">
        <v>119</v>
      </c>
      <c r="DC769" t="s">
        <v>31452</v>
      </c>
      <c r="DD769" t="s">
        <v>31453</v>
      </c>
      <c r="DE769" t="s">
        <v>31454</v>
      </c>
      <c r="DF769" t="s">
        <v>31455</v>
      </c>
      <c r="DG769" t="s">
        <v>31456</v>
      </c>
      <c r="DH769" t="str">
        <f>"S100A12"</f>
        <v>S100A12</v>
      </c>
      <c r="DI769" t="s">
        <v>13772</v>
      </c>
      <c r="DJ769" t="s">
        <v>13777</v>
      </c>
      <c r="DK769">
        <v>9606</v>
      </c>
      <c r="DL769" s="34" t="str">
        <f>HYPERLINK("http://www.uniprot.org/uniprot/P80511", "P80511")</f>
        <v>P80511</v>
      </c>
      <c r="DM769" t="s">
        <v>31457</v>
      </c>
      <c r="DN769" t="s">
        <v>20696</v>
      </c>
      <c r="DO769" t="s">
        <v>31023</v>
      </c>
      <c r="DP769" t="s">
        <v>13772</v>
      </c>
      <c r="DQ769" t="s">
        <v>13772</v>
      </c>
      <c r="DR769" t="s">
        <v>13772</v>
      </c>
      <c r="DS769" t="s">
        <v>14096</v>
      </c>
      <c r="DT769" t="s">
        <v>31458</v>
      </c>
      <c r="DU769" t="s">
        <v>14466</v>
      </c>
      <c r="DV769" t="s">
        <v>13772</v>
      </c>
      <c r="DW769" t="s">
        <v>13812</v>
      </c>
      <c r="DX769" t="s">
        <v>31459</v>
      </c>
      <c r="DY769" t="s">
        <v>31460</v>
      </c>
      <c r="DZ769" t="s">
        <v>31461</v>
      </c>
      <c r="EA769" t="s">
        <v>13772</v>
      </c>
      <c r="EB769" t="s">
        <v>31462</v>
      </c>
    </row>
    <row r="770" spans="1:132" hidden="1">
      <c r="A770">
        <v>2391</v>
      </c>
      <c r="B770">
        <v>1</v>
      </c>
      <c r="C770" t="s">
        <v>5571</v>
      </c>
      <c r="D770" t="s">
        <v>73</v>
      </c>
      <c r="E770" t="s">
        <v>73</v>
      </c>
      <c r="F770" t="s">
        <v>73</v>
      </c>
      <c r="G770" t="s">
        <v>73</v>
      </c>
      <c r="H770">
        <v>31.7</v>
      </c>
      <c r="I770">
        <v>199</v>
      </c>
      <c r="J770">
        <v>21755</v>
      </c>
      <c r="K770" t="s">
        <v>5572</v>
      </c>
      <c r="L770">
        <f t="shared" si="46"/>
        <v>40</v>
      </c>
      <c r="N770">
        <v>40</v>
      </c>
      <c r="O770">
        <v>40</v>
      </c>
      <c r="P770">
        <v>1</v>
      </c>
      <c r="Q770">
        <v>3</v>
      </c>
      <c r="R770">
        <v>4</v>
      </c>
      <c r="S770">
        <v>1</v>
      </c>
      <c r="T770">
        <v>0</v>
      </c>
      <c r="U770">
        <v>4</v>
      </c>
      <c r="V770">
        <v>1</v>
      </c>
      <c r="W770">
        <v>1</v>
      </c>
      <c r="X770">
        <v>2</v>
      </c>
      <c r="Y770">
        <v>0</v>
      </c>
      <c r="Z770">
        <v>0</v>
      </c>
      <c r="AA770">
        <v>6</v>
      </c>
      <c r="AB770">
        <v>4</v>
      </c>
      <c r="AC770">
        <v>2</v>
      </c>
      <c r="AD770">
        <v>0</v>
      </c>
      <c r="AE770">
        <v>4</v>
      </c>
      <c r="AF770">
        <v>3</v>
      </c>
      <c r="AG770">
        <v>2</v>
      </c>
      <c r="AH770">
        <v>1</v>
      </c>
      <c r="AI770">
        <v>2</v>
      </c>
      <c r="AJ770">
        <v>3</v>
      </c>
      <c r="AK770">
        <v>4</v>
      </c>
      <c r="AL770">
        <v>1</v>
      </c>
      <c r="AM770">
        <v>0</v>
      </c>
      <c r="AN770">
        <v>4</v>
      </c>
      <c r="AO770">
        <v>1</v>
      </c>
      <c r="AP770">
        <v>1</v>
      </c>
      <c r="AQ770">
        <v>2</v>
      </c>
      <c r="AR770">
        <v>0</v>
      </c>
      <c r="AS770">
        <v>0</v>
      </c>
      <c r="AT770">
        <v>6</v>
      </c>
      <c r="AU770">
        <v>4</v>
      </c>
      <c r="AV770">
        <v>2</v>
      </c>
      <c r="AW770">
        <v>0</v>
      </c>
      <c r="AX770">
        <v>4</v>
      </c>
      <c r="AY770">
        <v>3</v>
      </c>
      <c r="AZ770">
        <v>2</v>
      </c>
      <c r="BA770">
        <v>1</v>
      </c>
      <c r="BB770">
        <v>2</v>
      </c>
      <c r="BC770" s="2">
        <v>3</v>
      </c>
      <c r="BD770" s="2">
        <v>4</v>
      </c>
      <c r="BE770" s="2">
        <v>1</v>
      </c>
      <c r="BF770" s="2">
        <v>0</v>
      </c>
      <c r="BG770" s="2">
        <v>4</v>
      </c>
      <c r="BH770" s="2">
        <v>1</v>
      </c>
      <c r="BI770" s="2">
        <v>1</v>
      </c>
      <c r="BJ770" s="2">
        <v>2</v>
      </c>
      <c r="BK770" s="2">
        <v>0</v>
      </c>
      <c r="BL770" s="2">
        <v>0</v>
      </c>
      <c r="BM770" s="2">
        <v>6</v>
      </c>
      <c r="BN770" s="2">
        <v>4</v>
      </c>
      <c r="BO770" s="2">
        <v>2</v>
      </c>
      <c r="BP770" s="2">
        <v>0</v>
      </c>
      <c r="BQ770" s="2">
        <v>4</v>
      </c>
      <c r="BR770" s="2">
        <v>3</v>
      </c>
      <c r="BS770" s="2">
        <v>2</v>
      </c>
      <c r="BT770" s="2">
        <v>1</v>
      </c>
      <c r="BU770" s="2">
        <v>2</v>
      </c>
      <c r="BV770" s="2">
        <f t="shared" si="49"/>
        <v>40</v>
      </c>
      <c r="BW770" s="16">
        <f t="shared" si="47"/>
        <v>2.1052631578947367</v>
      </c>
      <c r="BX770" s="16">
        <f>COUNTIF($BC$6:BU770, "=0") / COUNTIF($BC$6:BU770, "&gt;-1")</f>
        <v>0.20990712074303405</v>
      </c>
      <c r="BY770" s="18">
        <f>SUM($BC$6:BU770) / $BY$4</f>
        <v>0.91013144888036812</v>
      </c>
      <c r="BZ770" s="14">
        <f t="shared" si="48"/>
        <v>4</v>
      </c>
      <c r="CA770" t="s">
        <v>5832</v>
      </c>
      <c r="CZ770" t="s">
        <v>13683</v>
      </c>
      <c r="DA770" t="s">
        <v>5904</v>
      </c>
      <c r="DB770">
        <v>283.89999999999998</v>
      </c>
      <c r="DC770" t="s">
        <v>36479</v>
      </c>
      <c r="DD770" t="s">
        <v>13772</v>
      </c>
      <c r="DE770" t="s">
        <v>36480</v>
      </c>
      <c r="DF770" t="s">
        <v>36481</v>
      </c>
      <c r="DG770" t="s">
        <v>36482</v>
      </c>
      <c r="DH770" t="str">
        <f>"VMO1"</f>
        <v>VMO1</v>
      </c>
      <c r="DI770" t="s">
        <v>13772</v>
      </c>
      <c r="DJ770" t="s">
        <v>13777</v>
      </c>
      <c r="DK770">
        <v>9606</v>
      </c>
      <c r="DL770" s="34" t="str">
        <f>HYPERLINK("http://www.uniprot.org/uniprot/Q7Z5L0", "Q7Z5L0")</f>
        <v>Q7Z5L0</v>
      </c>
      <c r="DM770" t="s">
        <v>36483</v>
      </c>
      <c r="DN770" t="s">
        <v>13772</v>
      </c>
      <c r="DO770" t="s">
        <v>14321</v>
      </c>
      <c r="DP770" t="s">
        <v>13780</v>
      </c>
      <c r="DQ770" t="s">
        <v>13772</v>
      </c>
      <c r="DR770" t="s">
        <v>13772</v>
      </c>
      <c r="DS770" t="s">
        <v>13808</v>
      </c>
      <c r="DT770" t="s">
        <v>13772</v>
      </c>
      <c r="DU770" t="s">
        <v>13772</v>
      </c>
      <c r="DV770" t="s">
        <v>14506</v>
      </c>
      <c r="DW770" t="s">
        <v>13772</v>
      </c>
      <c r="DX770" t="s">
        <v>13772</v>
      </c>
      <c r="DY770" t="s">
        <v>15835</v>
      </c>
      <c r="DZ770" t="s">
        <v>13772</v>
      </c>
      <c r="EA770" t="s">
        <v>13772</v>
      </c>
      <c r="EB770" t="s">
        <v>13772</v>
      </c>
    </row>
    <row r="771" spans="1:132" hidden="1">
      <c r="A771">
        <v>1092</v>
      </c>
      <c r="B771">
        <v>1</v>
      </c>
      <c r="C771" t="s">
        <v>2626</v>
      </c>
      <c r="D771" t="s">
        <v>73</v>
      </c>
      <c r="E771" t="s">
        <v>73</v>
      </c>
      <c r="F771" t="s">
        <v>2627</v>
      </c>
      <c r="G771" t="s">
        <v>73</v>
      </c>
      <c r="H771">
        <v>45.9</v>
      </c>
      <c r="I771">
        <v>148</v>
      </c>
      <c r="J771">
        <v>16825</v>
      </c>
      <c r="K771" t="s">
        <v>2628</v>
      </c>
      <c r="L771">
        <f t="shared" si="46"/>
        <v>54</v>
      </c>
      <c r="N771">
        <v>54</v>
      </c>
      <c r="O771">
        <v>39</v>
      </c>
      <c r="P771">
        <v>0.72199999999999998</v>
      </c>
      <c r="Q771">
        <v>1</v>
      </c>
      <c r="R771">
        <v>4</v>
      </c>
      <c r="S771">
        <v>2</v>
      </c>
      <c r="T771">
        <v>1</v>
      </c>
      <c r="U771">
        <v>1</v>
      </c>
      <c r="V771">
        <v>0</v>
      </c>
      <c r="W771">
        <v>0</v>
      </c>
      <c r="X771">
        <v>4</v>
      </c>
      <c r="Y771">
        <v>13</v>
      </c>
      <c r="Z771">
        <v>7</v>
      </c>
      <c r="AA771">
        <v>5</v>
      </c>
      <c r="AB771">
        <v>1</v>
      </c>
      <c r="AC771">
        <v>0</v>
      </c>
      <c r="AD771">
        <v>1</v>
      </c>
      <c r="AE771">
        <v>4</v>
      </c>
      <c r="AF771">
        <v>3</v>
      </c>
      <c r="AG771">
        <v>1</v>
      </c>
      <c r="AH771">
        <v>3</v>
      </c>
      <c r="AI771">
        <v>3</v>
      </c>
      <c r="AJ771">
        <v>1</v>
      </c>
      <c r="AK771">
        <v>2</v>
      </c>
      <c r="AL771">
        <v>2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12</v>
      </c>
      <c r="AS771">
        <v>7</v>
      </c>
      <c r="AT771">
        <v>3</v>
      </c>
      <c r="AU771">
        <v>0</v>
      </c>
      <c r="AV771">
        <v>0</v>
      </c>
      <c r="AW771">
        <v>1</v>
      </c>
      <c r="AX771">
        <v>4</v>
      </c>
      <c r="AY771">
        <v>2</v>
      </c>
      <c r="AZ771">
        <v>0</v>
      </c>
      <c r="BA771">
        <v>2</v>
      </c>
      <c r="BB771">
        <v>1</v>
      </c>
      <c r="BC771" s="2">
        <v>1</v>
      </c>
      <c r="BD771" s="2">
        <v>2.0339999999999998</v>
      </c>
      <c r="BE771" s="2">
        <v>2</v>
      </c>
      <c r="BF771" s="2">
        <v>1</v>
      </c>
      <c r="BG771" s="2">
        <v>1</v>
      </c>
      <c r="BH771" s="2">
        <v>0</v>
      </c>
      <c r="BI771" s="2">
        <v>0</v>
      </c>
      <c r="BJ771" s="2">
        <v>0</v>
      </c>
      <c r="BK771" s="2">
        <v>12.061</v>
      </c>
      <c r="BL771" s="2">
        <v>7</v>
      </c>
      <c r="BM771" s="2">
        <v>3.0230000000000001</v>
      </c>
      <c r="BN771" s="2">
        <v>0</v>
      </c>
      <c r="BO771" s="2">
        <v>0</v>
      </c>
      <c r="BP771" s="2">
        <v>1</v>
      </c>
      <c r="BQ771" s="2">
        <v>4</v>
      </c>
      <c r="BR771" s="2">
        <v>2.0070000000000001</v>
      </c>
      <c r="BS771" s="2">
        <v>0</v>
      </c>
      <c r="BT771" s="2">
        <v>2.0209999999999999</v>
      </c>
      <c r="BU771" s="2">
        <v>1.01</v>
      </c>
      <c r="BV771" s="2">
        <f t="shared" si="49"/>
        <v>39.155999999999992</v>
      </c>
      <c r="BW771" s="16">
        <f t="shared" si="47"/>
        <v>2.0608421052631574</v>
      </c>
      <c r="BX771" s="16">
        <f>COUNTIF($BC$6:BU771, "=0") / COUNTIF($BC$6:BU771, "&gt;-1")</f>
        <v>0.21004534835783978</v>
      </c>
      <c r="BY771" s="18">
        <f>SUM($BC$6:BU771) / $BY$4</f>
        <v>0.91029917896559898</v>
      </c>
      <c r="BZ771" s="14">
        <f t="shared" si="48"/>
        <v>6</v>
      </c>
      <c r="CA771" t="s">
        <v>5832</v>
      </c>
      <c r="CZ771" t="s">
        <v>9374</v>
      </c>
      <c r="DA771" t="s">
        <v>5904</v>
      </c>
      <c r="DB771">
        <v>164.5</v>
      </c>
      <c r="DC771" t="s">
        <v>24357</v>
      </c>
      <c r="DD771" t="s">
        <v>24358</v>
      </c>
      <c r="DE771" t="s">
        <v>24359</v>
      </c>
      <c r="DF771" t="s">
        <v>24360</v>
      </c>
      <c r="DG771" t="s">
        <v>24361</v>
      </c>
      <c r="DH771" t="str">
        <f>"LYZ"</f>
        <v>LYZ</v>
      </c>
      <c r="DI771" t="s">
        <v>24362</v>
      </c>
      <c r="DJ771" t="s">
        <v>13777</v>
      </c>
      <c r="DK771">
        <v>9606</v>
      </c>
      <c r="DL771" s="34" t="str">
        <f>HYPERLINK("http://www.uniprot.org/uniprot/P61626", "P61626")</f>
        <v>P61626</v>
      </c>
      <c r="DM771" t="s">
        <v>24363</v>
      </c>
      <c r="DN771" t="s">
        <v>13772</v>
      </c>
      <c r="DO771" t="s">
        <v>20170</v>
      </c>
      <c r="DP771" t="s">
        <v>13793</v>
      </c>
      <c r="DQ771" t="s">
        <v>13772</v>
      </c>
      <c r="DR771" t="s">
        <v>16144</v>
      </c>
      <c r="DS771" t="s">
        <v>13808</v>
      </c>
      <c r="DT771" t="s">
        <v>13772</v>
      </c>
      <c r="DU771" t="s">
        <v>24364</v>
      </c>
      <c r="DV771" t="s">
        <v>14506</v>
      </c>
      <c r="DW771" t="s">
        <v>13812</v>
      </c>
      <c r="DX771" t="s">
        <v>24365</v>
      </c>
      <c r="DY771" t="s">
        <v>24366</v>
      </c>
      <c r="DZ771" t="s">
        <v>24367</v>
      </c>
      <c r="EA771" t="s">
        <v>13772</v>
      </c>
      <c r="EB771" t="s">
        <v>24368</v>
      </c>
    </row>
    <row r="772" spans="1:132" hidden="1">
      <c r="A772">
        <v>329</v>
      </c>
      <c r="B772">
        <v>1</v>
      </c>
      <c r="C772" t="s">
        <v>826</v>
      </c>
      <c r="D772" t="s">
        <v>73</v>
      </c>
      <c r="E772" t="s">
        <v>73</v>
      </c>
      <c r="F772" t="s">
        <v>73</v>
      </c>
      <c r="G772" t="s">
        <v>73</v>
      </c>
      <c r="H772">
        <v>18.600000000000001</v>
      </c>
      <c r="I772">
        <v>569</v>
      </c>
      <c r="J772">
        <v>58772</v>
      </c>
      <c r="K772" t="s">
        <v>827</v>
      </c>
      <c r="L772">
        <f t="shared" si="46"/>
        <v>39</v>
      </c>
      <c r="N772">
        <v>39</v>
      </c>
      <c r="O772">
        <v>39</v>
      </c>
      <c r="P772">
        <v>1</v>
      </c>
      <c r="Q772">
        <v>3</v>
      </c>
      <c r="R772">
        <v>10</v>
      </c>
      <c r="S772">
        <v>7</v>
      </c>
      <c r="T772">
        <v>7</v>
      </c>
      <c r="U772">
        <v>6</v>
      </c>
      <c r="V772">
        <v>2</v>
      </c>
      <c r="W772">
        <v>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</v>
      </c>
      <c r="AK772">
        <v>10</v>
      </c>
      <c r="AL772">
        <v>7</v>
      </c>
      <c r="AM772">
        <v>7</v>
      </c>
      <c r="AN772">
        <v>6</v>
      </c>
      <c r="AO772">
        <v>2</v>
      </c>
      <c r="AP772">
        <v>4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 s="2">
        <v>3</v>
      </c>
      <c r="BD772" s="2">
        <v>10</v>
      </c>
      <c r="BE772" s="2">
        <v>7</v>
      </c>
      <c r="BF772" s="2">
        <v>7</v>
      </c>
      <c r="BG772" s="2">
        <v>6</v>
      </c>
      <c r="BH772" s="2">
        <v>2</v>
      </c>
      <c r="BI772" s="2">
        <v>4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f t="shared" si="49"/>
        <v>39</v>
      </c>
      <c r="BW772" s="16">
        <f t="shared" si="47"/>
        <v>2.0526315789473686</v>
      </c>
      <c r="BX772" s="16">
        <f>COUNTIF($BC$6:BU772, "=0") / COUNTIF($BC$6:BU772, "&gt;-1")</f>
        <v>0.21059493584025252</v>
      </c>
      <c r="BY772" s="18">
        <f>SUM($BC$6:BU772) / $BY$4</f>
        <v>0.91046624080347827</v>
      </c>
      <c r="BZ772" s="14">
        <f t="shared" si="48"/>
        <v>12</v>
      </c>
      <c r="CA772" t="s">
        <v>5832</v>
      </c>
      <c r="CZ772" t="s">
        <v>6839</v>
      </c>
      <c r="DA772" t="s">
        <v>6759</v>
      </c>
      <c r="DB772">
        <v>394.8</v>
      </c>
      <c r="DC772" t="s">
        <v>16844</v>
      </c>
      <c r="DD772" t="s">
        <v>16845</v>
      </c>
      <c r="DE772" t="s">
        <v>16846</v>
      </c>
      <c r="DF772" t="s">
        <v>16847</v>
      </c>
      <c r="DG772" t="s">
        <v>16848</v>
      </c>
      <c r="DH772" t="str">
        <f>"PODXL"</f>
        <v>PODXL</v>
      </c>
      <c r="DI772" t="s">
        <v>16849</v>
      </c>
      <c r="DJ772" t="s">
        <v>13777</v>
      </c>
      <c r="DK772">
        <v>9606</v>
      </c>
      <c r="DL772" s="34" t="str">
        <f>HYPERLINK("http://www.uniprot.org/uniprot/O00592", "O00592")</f>
        <v>O00592</v>
      </c>
      <c r="DM772" t="s">
        <v>16850</v>
      </c>
      <c r="DN772" t="s">
        <v>13949</v>
      </c>
      <c r="DO772" t="s">
        <v>15856</v>
      </c>
      <c r="DP772" t="s">
        <v>13780</v>
      </c>
      <c r="DQ772" t="s">
        <v>13772</v>
      </c>
      <c r="DR772" t="s">
        <v>13772</v>
      </c>
      <c r="DS772" t="s">
        <v>13855</v>
      </c>
      <c r="DT772" t="s">
        <v>13772</v>
      </c>
      <c r="DU772" t="s">
        <v>13772</v>
      </c>
      <c r="DV772" t="s">
        <v>13978</v>
      </c>
      <c r="DW772" t="s">
        <v>13772</v>
      </c>
      <c r="DX772" t="s">
        <v>16851</v>
      </c>
      <c r="DY772" t="s">
        <v>16852</v>
      </c>
      <c r="DZ772" t="s">
        <v>13772</v>
      </c>
      <c r="EA772" t="s">
        <v>13772</v>
      </c>
      <c r="EB772" t="s">
        <v>13772</v>
      </c>
    </row>
    <row r="773" spans="1:132" hidden="1">
      <c r="A773">
        <v>359</v>
      </c>
      <c r="B773">
        <v>1</v>
      </c>
      <c r="C773" t="s">
        <v>897</v>
      </c>
      <c r="D773" t="s">
        <v>73</v>
      </c>
      <c r="E773" t="s">
        <v>73</v>
      </c>
      <c r="F773" t="s">
        <v>73</v>
      </c>
      <c r="G773" t="s">
        <v>73</v>
      </c>
      <c r="H773">
        <v>36.6</v>
      </c>
      <c r="I773">
        <v>426</v>
      </c>
      <c r="J773">
        <v>47699</v>
      </c>
      <c r="K773" t="s">
        <v>898</v>
      </c>
      <c r="L773">
        <f t="shared" si="46"/>
        <v>39</v>
      </c>
      <c r="N773">
        <v>39</v>
      </c>
      <c r="O773">
        <v>39</v>
      </c>
      <c r="P773">
        <v>1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9</v>
      </c>
      <c r="Z773">
        <v>0</v>
      </c>
      <c r="AA773">
        <v>14</v>
      </c>
      <c r="AB773">
        <v>3</v>
      </c>
      <c r="AC773">
        <v>3</v>
      </c>
      <c r="AD773">
        <v>0</v>
      </c>
      <c r="AE773">
        <v>3</v>
      </c>
      <c r="AF773">
        <v>4</v>
      </c>
      <c r="AG773">
        <v>0</v>
      </c>
      <c r="AH773">
        <v>0</v>
      </c>
      <c r="AI773">
        <v>0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9</v>
      </c>
      <c r="AS773">
        <v>0</v>
      </c>
      <c r="AT773">
        <v>14</v>
      </c>
      <c r="AU773">
        <v>3</v>
      </c>
      <c r="AV773">
        <v>3</v>
      </c>
      <c r="AW773">
        <v>0</v>
      </c>
      <c r="AX773">
        <v>3</v>
      </c>
      <c r="AY773">
        <v>4</v>
      </c>
      <c r="AZ773">
        <v>0</v>
      </c>
      <c r="BA773">
        <v>0</v>
      </c>
      <c r="BB773">
        <v>0</v>
      </c>
      <c r="BC773" s="2">
        <v>2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9</v>
      </c>
      <c r="BL773" s="2">
        <v>0</v>
      </c>
      <c r="BM773" s="2">
        <v>14</v>
      </c>
      <c r="BN773" s="2">
        <v>3</v>
      </c>
      <c r="BO773" s="2">
        <v>3</v>
      </c>
      <c r="BP773" s="2">
        <v>0</v>
      </c>
      <c r="BQ773" s="2">
        <v>3</v>
      </c>
      <c r="BR773" s="2">
        <v>4</v>
      </c>
      <c r="BS773" s="2">
        <v>0</v>
      </c>
      <c r="BT773" s="2">
        <v>0</v>
      </c>
      <c r="BU773" s="2">
        <v>0</v>
      </c>
      <c r="BV773" s="2">
        <f t="shared" si="49"/>
        <v>39</v>
      </c>
      <c r="BW773" s="16">
        <f t="shared" si="47"/>
        <v>2.0526315789473686</v>
      </c>
      <c r="BX773" s="16">
        <f>COUNTIF($BC$6:BU773, "=0") / COUNTIF($BC$6:BU773, "&gt;-1")</f>
        <v>0.21107456140350878</v>
      </c>
      <c r="BY773" s="18">
        <f>SUM($BC$6:BU773) / $BY$4</f>
        <v>0.91063330264135767</v>
      </c>
      <c r="BZ773" s="14">
        <f t="shared" si="48"/>
        <v>11</v>
      </c>
      <c r="CA773" t="s">
        <v>5832</v>
      </c>
      <c r="CZ773" t="s">
        <v>6941</v>
      </c>
      <c r="DA773" t="s">
        <v>5904</v>
      </c>
      <c r="DB773">
        <v>694.9</v>
      </c>
      <c r="DC773" t="s">
        <v>17164</v>
      </c>
      <c r="DD773" t="s">
        <v>17165</v>
      </c>
      <c r="DE773" t="s">
        <v>17166</v>
      </c>
      <c r="DF773" t="s">
        <v>17167</v>
      </c>
      <c r="DG773" t="s">
        <v>17168</v>
      </c>
      <c r="DH773" t="str">
        <f>"DBNL"</f>
        <v>DBNL</v>
      </c>
      <c r="DI773" t="s">
        <v>17169</v>
      </c>
      <c r="DJ773" t="s">
        <v>13777</v>
      </c>
      <c r="DK773">
        <v>9606</v>
      </c>
      <c r="DL773" s="34" t="str">
        <f>HYPERLINK("http://www.uniprot.org/uniprot/Q9UJU6", "Q9UJU6")</f>
        <v>Q9UJU6</v>
      </c>
      <c r="DM773" t="s">
        <v>17170</v>
      </c>
      <c r="DN773" t="s">
        <v>17171</v>
      </c>
      <c r="DO773" t="s">
        <v>17172</v>
      </c>
      <c r="DP773" t="s">
        <v>13841</v>
      </c>
      <c r="DQ773" t="s">
        <v>13772</v>
      </c>
      <c r="DR773" t="s">
        <v>13772</v>
      </c>
      <c r="DS773" t="s">
        <v>17173</v>
      </c>
      <c r="DT773" t="s">
        <v>13772</v>
      </c>
      <c r="DU773" t="s">
        <v>13990</v>
      </c>
      <c r="DV773" t="s">
        <v>13886</v>
      </c>
      <c r="DW773" t="s">
        <v>13812</v>
      </c>
      <c r="DX773" t="s">
        <v>17174</v>
      </c>
      <c r="DY773" t="s">
        <v>17175</v>
      </c>
      <c r="DZ773" t="s">
        <v>17176</v>
      </c>
      <c r="EA773" t="s">
        <v>13772</v>
      </c>
      <c r="EB773" t="s">
        <v>17177</v>
      </c>
    </row>
    <row r="774" spans="1:132" hidden="1">
      <c r="A774">
        <v>512</v>
      </c>
      <c r="B774">
        <v>1</v>
      </c>
      <c r="C774" t="s">
        <v>1292</v>
      </c>
      <c r="D774" t="s">
        <v>73</v>
      </c>
      <c r="E774" t="s">
        <v>73</v>
      </c>
      <c r="F774" t="s">
        <v>73</v>
      </c>
      <c r="G774" t="s">
        <v>73</v>
      </c>
      <c r="H774">
        <v>13.1</v>
      </c>
      <c r="I774">
        <v>312</v>
      </c>
      <c r="J774">
        <v>34407</v>
      </c>
      <c r="K774" t="s">
        <v>1293</v>
      </c>
      <c r="L774">
        <f t="shared" ref="L774:L837" si="50">N774</f>
        <v>39</v>
      </c>
      <c r="N774">
        <v>39</v>
      </c>
      <c r="O774">
        <v>39</v>
      </c>
      <c r="P774">
        <v>1</v>
      </c>
      <c r="Q774">
        <v>1</v>
      </c>
      <c r="R774">
        <v>5</v>
      </c>
      <c r="S774">
        <v>7</v>
      </c>
      <c r="T774">
        <v>10</v>
      </c>
      <c r="U774">
        <v>5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4</v>
      </c>
      <c r="AB774">
        <v>1</v>
      </c>
      <c r="AC774">
        <v>1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1</v>
      </c>
      <c r="AK774">
        <v>5</v>
      </c>
      <c r="AL774">
        <v>7</v>
      </c>
      <c r="AM774">
        <v>10</v>
      </c>
      <c r="AN774">
        <v>5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4</v>
      </c>
      <c r="AU774">
        <v>1</v>
      </c>
      <c r="AV774">
        <v>1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 s="2">
        <v>1</v>
      </c>
      <c r="BD774" s="2">
        <v>5</v>
      </c>
      <c r="BE774" s="2">
        <v>7</v>
      </c>
      <c r="BF774" s="2">
        <v>10</v>
      </c>
      <c r="BG774" s="2">
        <v>5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4</v>
      </c>
      <c r="BN774" s="2">
        <v>1</v>
      </c>
      <c r="BO774" s="2">
        <v>1</v>
      </c>
      <c r="BP774" s="2">
        <v>0</v>
      </c>
      <c r="BQ774" s="2">
        <v>0</v>
      </c>
      <c r="BR774" s="2">
        <v>1</v>
      </c>
      <c r="BS774" s="2">
        <v>1</v>
      </c>
      <c r="BT774" s="2">
        <v>0</v>
      </c>
      <c r="BU774" s="2">
        <v>1</v>
      </c>
      <c r="BV774" s="2">
        <f t="shared" si="49"/>
        <v>39</v>
      </c>
      <c r="BW774" s="16">
        <f t="shared" ref="BW774:BW837" si="51">AVERAGE(BC774:BU774)</f>
        <v>2.0526315789473686</v>
      </c>
      <c r="BX774" s="16">
        <f>COUNTIF($BC$6:BU774, "=0") / COUNTIF($BC$6:BU774, "&gt;-1")</f>
        <v>0.2112107316405448</v>
      </c>
      <c r="BY774" s="18">
        <f>SUM($BC$6:BU774) / $BY$4</f>
        <v>0.91080036447923696</v>
      </c>
      <c r="BZ774" s="14">
        <f t="shared" ref="BZ774:BZ837" si="52">19-COUNTIF(BC774:BU774, "&gt;0")</f>
        <v>6</v>
      </c>
      <c r="CA774" t="s">
        <v>5832</v>
      </c>
      <c r="CZ774" t="s">
        <v>7489</v>
      </c>
      <c r="DA774" t="s">
        <v>5904</v>
      </c>
      <c r="DB774">
        <v>554.70000000000005</v>
      </c>
      <c r="DC774" t="s">
        <v>18828</v>
      </c>
      <c r="DD774" t="s">
        <v>18829</v>
      </c>
      <c r="DE774" t="s">
        <v>18830</v>
      </c>
      <c r="DF774" t="s">
        <v>18831</v>
      </c>
      <c r="DG774" t="s">
        <v>18832</v>
      </c>
      <c r="DH774" t="str">
        <f>"ZFPL1"</f>
        <v>ZFPL1</v>
      </c>
      <c r="DI774" t="s">
        <v>13772</v>
      </c>
      <c r="DJ774" t="s">
        <v>13777</v>
      </c>
      <c r="DK774">
        <v>9606</v>
      </c>
      <c r="DL774" s="34" t="str">
        <f>HYPERLINK("http://www.uniprot.org/uniprot/O95159", "O95159")</f>
        <v>O95159</v>
      </c>
      <c r="DM774" t="s">
        <v>18833</v>
      </c>
      <c r="DN774" t="s">
        <v>18834</v>
      </c>
      <c r="DO774" t="s">
        <v>18298</v>
      </c>
      <c r="DP774" t="s">
        <v>13793</v>
      </c>
      <c r="DQ774" t="s">
        <v>13772</v>
      </c>
      <c r="DR774" t="s">
        <v>13772</v>
      </c>
      <c r="DS774" t="s">
        <v>18835</v>
      </c>
      <c r="DT774" t="s">
        <v>13856</v>
      </c>
      <c r="DU774" t="s">
        <v>13772</v>
      </c>
      <c r="DV774" t="s">
        <v>13782</v>
      </c>
      <c r="DW774" t="s">
        <v>13772</v>
      </c>
      <c r="DX774" t="s">
        <v>18836</v>
      </c>
      <c r="DY774" t="s">
        <v>18837</v>
      </c>
      <c r="DZ774" t="s">
        <v>18838</v>
      </c>
      <c r="EA774" t="s">
        <v>13772</v>
      </c>
      <c r="EB774" t="s">
        <v>13772</v>
      </c>
    </row>
    <row r="775" spans="1:132" hidden="1">
      <c r="A775">
        <v>927</v>
      </c>
      <c r="B775">
        <v>1</v>
      </c>
      <c r="C775" t="s">
        <v>2254</v>
      </c>
      <c r="D775" t="s">
        <v>2255</v>
      </c>
      <c r="E775" t="s">
        <v>73</v>
      </c>
      <c r="F775" t="s">
        <v>73</v>
      </c>
      <c r="G775" t="s">
        <v>73</v>
      </c>
      <c r="H775">
        <v>37</v>
      </c>
      <c r="I775">
        <v>378</v>
      </c>
      <c r="J775">
        <v>39594</v>
      </c>
      <c r="K775" t="s">
        <v>2256</v>
      </c>
      <c r="L775">
        <f t="shared" si="50"/>
        <v>39</v>
      </c>
      <c r="N775">
        <v>39</v>
      </c>
      <c r="O775">
        <v>39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5</v>
      </c>
      <c r="Z775">
        <v>1</v>
      </c>
      <c r="AA775">
        <v>8</v>
      </c>
      <c r="AB775">
        <v>12</v>
      </c>
      <c r="AC775">
        <v>2</v>
      </c>
      <c r="AD775">
        <v>0</v>
      </c>
      <c r="AE775">
        <v>2</v>
      </c>
      <c r="AF775">
        <v>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5</v>
      </c>
      <c r="AS775">
        <v>1</v>
      </c>
      <c r="AT775">
        <v>8</v>
      </c>
      <c r="AU775">
        <v>12</v>
      </c>
      <c r="AV775">
        <v>2</v>
      </c>
      <c r="AW775">
        <v>0</v>
      </c>
      <c r="AX775">
        <v>2</v>
      </c>
      <c r="AY775">
        <v>7</v>
      </c>
      <c r="AZ775">
        <v>0</v>
      </c>
      <c r="BA775">
        <v>0</v>
      </c>
      <c r="BB775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1</v>
      </c>
      <c r="BJ775" s="2">
        <v>1</v>
      </c>
      <c r="BK775" s="2">
        <v>5</v>
      </c>
      <c r="BL775" s="2">
        <v>1</v>
      </c>
      <c r="BM775" s="2">
        <v>8</v>
      </c>
      <c r="BN775" s="2">
        <v>12</v>
      </c>
      <c r="BO775" s="2">
        <v>2</v>
      </c>
      <c r="BP775" s="2">
        <v>0</v>
      </c>
      <c r="BQ775" s="2">
        <v>2</v>
      </c>
      <c r="BR775" s="2">
        <v>7</v>
      </c>
      <c r="BS775" s="2">
        <v>0</v>
      </c>
      <c r="BT775" s="2">
        <v>0</v>
      </c>
      <c r="BU775" s="2">
        <v>0</v>
      </c>
      <c r="BV775" s="2">
        <f t="shared" ref="BV775:BV838" si="53">SUM(BC775:BU775)</f>
        <v>39</v>
      </c>
      <c r="BW775" s="16">
        <f t="shared" si="51"/>
        <v>2.0526315789473686</v>
      </c>
      <c r="BX775" s="16">
        <f>COUNTIF($BC$6:BU775, "=0") / COUNTIF($BC$6:BU775, "&gt;-1")</f>
        <v>0.21161995898838004</v>
      </c>
      <c r="BY775" s="18">
        <f>SUM($BC$6:BU775) / $BY$4</f>
        <v>0.91096742631711625</v>
      </c>
      <c r="BZ775" s="14">
        <f t="shared" si="52"/>
        <v>10</v>
      </c>
      <c r="CA775" t="s">
        <v>5832</v>
      </c>
      <c r="CZ775" t="s">
        <v>8871</v>
      </c>
      <c r="DA775" t="s">
        <v>5904</v>
      </c>
      <c r="DB775">
        <v>717.6</v>
      </c>
      <c r="DC775" t="s">
        <v>22918</v>
      </c>
      <c r="DD775" t="s">
        <v>13772</v>
      </c>
      <c r="DE775" t="s">
        <v>22919</v>
      </c>
      <c r="DF775" t="s">
        <v>22920</v>
      </c>
      <c r="DG775" t="s">
        <v>22921</v>
      </c>
      <c r="DH775" t="str">
        <f>"HNRNPA3"</f>
        <v>HNRNPA3</v>
      </c>
      <c r="DI775" t="s">
        <v>22922</v>
      </c>
      <c r="DJ775" t="s">
        <v>13777</v>
      </c>
      <c r="DK775">
        <v>9606</v>
      </c>
      <c r="DL775" s="34" t="str">
        <f>HYPERLINK("http://www.uniprot.org/uniprot/P51991", "P51991")</f>
        <v>P51991</v>
      </c>
      <c r="DM775" t="s">
        <v>22923</v>
      </c>
      <c r="DN775" t="s">
        <v>15152</v>
      </c>
      <c r="DO775" t="s">
        <v>16088</v>
      </c>
      <c r="DP775" t="s">
        <v>13841</v>
      </c>
      <c r="DQ775" t="s">
        <v>13772</v>
      </c>
      <c r="DR775" t="s">
        <v>13772</v>
      </c>
      <c r="DS775" t="s">
        <v>14096</v>
      </c>
      <c r="DT775" t="s">
        <v>13772</v>
      </c>
      <c r="DU775" t="s">
        <v>16089</v>
      </c>
      <c r="DV775" t="s">
        <v>14663</v>
      </c>
      <c r="DW775" t="s">
        <v>13772</v>
      </c>
      <c r="DX775" t="s">
        <v>22924</v>
      </c>
      <c r="DY775" t="s">
        <v>22925</v>
      </c>
      <c r="DZ775" t="s">
        <v>22926</v>
      </c>
      <c r="EA775" t="s">
        <v>13772</v>
      </c>
      <c r="EB775" t="s">
        <v>22927</v>
      </c>
    </row>
    <row r="776" spans="1:132" hidden="1">
      <c r="A776">
        <v>1096</v>
      </c>
      <c r="B776">
        <v>1</v>
      </c>
      <c r="C776" t="s">
        <v>2637</v>
      </c>
      <c r="D776" t="s">
        <v>73</v>
      </c>
      <c r="E776" t="s">
        <v>73</v>
      </c>
      <c r="F776" t="s">
        <v>73</v>
      </c>
      <c r="G776" t="s">
        <v>73</v>
      </c>
      <c r="H776">
        <v>8.1</v>
      </c>
      <c r="I776">
        <v>445</v>
      </c>
      <c r="J776">
        <v>49633</v>
      </c>
      <c r="K776" t="s">
        <v>2638</v>
      </c>
      <c r="L776">
        <f t="shared" si="50"/>
        <v>39</v>
      </c>
      <c r="N776">
        <v>39</v>
      </c>
      <c r="O776">
        <v>39</v>
      </c>
      <c r="P776">
        <v>1</v>
      </c>
      <c r="Q776">
        <v>3</v>
      </c>
      <c r="R776">
        <v>2</v>
      </c>
      <c r="S776">
        <v>3</v>
      </c>
      <c r="T776">
        <v>3</v>
      </c>
      <c r="U776">
        <v>3</v>
      </c>
      <c r="V776">
        <v>3</v>
      </c>
      <c r="W776">
        <v>2</v>
      </c>
      <c r="X776">
        <v>3</v>
      </c>
      <c r="Y776">
        <v>1</v>
      </c>
      <c r="Z776">
        <v>0</v>
      </c>
      <c r="AA776">
        <v>4</v>
      </c>
      <c r="AB776">
        <v>2</v>
      </c>
      <c r="AC776">
        <v>1</v>
      </c>
      <c r="AD776">
        <v>0</v>
      </c>
      <c r="AE776">
        <v>2</v>
      </c>
      <c r="AF776">
        <v>3</v>
      </c>
      <c r="AG776">
        <v>1</v>
      </c>
      <c r="AH776">
        <v>0</v>
      </c>
      <c r="AI776">
        <v>3</v>
      </c>
      <c r="AJ776">
        <v>3</v>
      </c>
      <c r="AK776">
        <v>2</v>
      </c>
      <c r="AL776">
        <v>3</v>
      </c>
      <c r="AM776">
        <v>3</v>
      </c>
      <c r="AN776">
        <v>3</v>
      </c>
      <c r="AO776">
        <v>3</v>
      </c>
      <c r="AP776">
        <v>2</v>
      </c>
      <c r="AQ776">
        <v>3</v>
      </c>
      <c r="AR776">
        <v>1</v>
      </c>
      <c r="AS776">
        <v>0</v>
      </c>
      <c r="AT776">
        <v>4</v>
      </c>
      <c r="AU776">
        <v>2</v>
      </c>
      <c r="AV776">
        <v>1</v>
      </c>
      <c r="AW776">
        <v>0</v>
      </c>
      <c r="AX776">
        <v>2</v>
      </c>
      <c r="AY776">
        <v>3</v>
      </c>
      <c r="AZ776">
        <v>1</v>
      </c>
      <c r="BA776">
        <v>0</v>
      </c>
      <c r="BB776">
        <v>3</v>
      </c>
      <c r="BC776" s="2">
        <v>3</v>
      </c>
      <c r="BD776" s="2">
        <v>2</v>
      </c>
      <c r="BE776" s="2">
        <v>3</v>
      </c>
      <c r="BF776" s="2">
        <v>3</v>
      </c>
      <c r="BG776" s="2">
        <v>3</v>
      </c>
      <c r="BH776" s="2">
        <v>3</v>
      </c>
      <c r="BI776" s="2">
        <v>2</v>
      </c>
      <c r="BJ776" s="2">
        <v>3</v>
      </c>
      <c r="BK776" s="2">
        <v>1</v>
      </c>
      <c r="BL776" s="2">
        <v>0</v>
      </c>
      <c r="BM776" s="2">
        <v>4</v>
      </c>
      <c r="BN776" s="2">
        <v>2</v>
      </c>
      <c r="BO776" s="2">
        <v>1</v>
      </c>
      <c r="BP776" s="2">
        <v>0</v>
      </c>
      <c r="BQ776" s="2">
        <v>2</v>
      </c>
      <c r="BR776" s="2">
        <v>3</v>
      </c>
      <c r="BS776" s="2">
        <v>1</v>
      </c>
      <c r="BT776" s="2">
        <v>0</v>
      </c>
      <c r="BU776" s="2">
        <v>3</v>
      </c>
      <c r="BV776" s="2">
        <f t="shared" si="53"/>
        <v>39</v>
      </c>
      <c r="BW776" s="16">
        <f t="shared" si="51"/>
        <v>2.0526315789473686</v>
      </c>
      <c r="BX776" s="16">
        <f>COUNTIF($BC$6:BU776, "=0") / COUNTIF($BC$6:BU776, "&gt;-1")</f>
        <v>0.21155027646938357</v>
      </c>
      <c r="BY776" s="18">
        <f>SUM($BC$6:BU776) / $BY$4</f>
        <v>0.91113448815499554</v>
      </c>
      <c r="BZ776" s="14">
        <f t="shared" si="52"/>
        <v>3</v>
      </c>
      <c r="CA776" t="s">
        <v>5832</v>
      </c>
      <c r="CZ776" t="s">
        <v>9387</v>
      </c>
      <c r="DA776" t="s">
        <v>5904</v>
      </c>
      <c r="DB776">
        <v>620.5</v>
      </c>
      <c r="DC776" t="s">
        <v>24395</v>
      </c>
      <c r="DD776" t="s">
        <v>24396</v>
      </c>
      <c r="DE776" t="s">
        <v>24397</v>
      </c>
      <c r="DF776" t="s">
        <v>24398</v>
      </c>
      <c r="DG776" t="s">
        <v>24399</v>
      </c>
      <c r="DH776" t="str">
        <f>"TNFRSF1A"</f>
        <v>TNFRSF1A</v>
      </c>
      <c r="DI776" t="s">
        <v>24400</v>
      </c>
      <c r="DJ776" t="s">
        <v>13777</v>
      </c>
      <c r="DK776">
        <v>9606</v>
      </c>
      <c r="DL776" s="34" t="str">
        <f>HYPERLINK("http://www.uniprot.org/uniprot/P19438", "P19438")</f>
        <v>P19438</v>
      </c>
      <c r="DM776" t="s">
        <v>24401</v>
      </c>
      <c r="DN776" t="s">
        <v>24402</v>
      </c>
      <c r="DO776" t="s">
        <v>24403</v>
      </c>
      <c r="DP776" t="s">
        <v>13780</v>
      </c>
      <c r="DQ776" t="s">
        <v>13772</v>
      </c>
      <c r="DR776" t="s">
        <v>16144</v>
      </c>
      <c r="DS776" t="s">
        <v>13826</v>
      </c>
      <c r="DT776" t="s">
        <v>13772</v>
      </c>
      <c r="DU776" t="s">
        <v>13795</v>
      </c>
      <c r="DV776" t="s">
        <v>14629</v>
      </c>
      <c r="DW776" t="s">
        <v>13812</v>
      </c>
      <c r="DX776" t="s">
        <v>24404</v>
      </c>
      <c r="DY776" t="s">
        <v>24405</v>
      </c>
      <c r="DZ776" t="s">
        <v>24406</v>
      </c>
      <c r="EA776" t="s">
        <v>13772</v>
      </c>
      <c r="EB776" t="s">
        <v>24407</v>
      </c>
    </row>
    <row r="777" spans="1:132" hidden="1">
      <c r="A777">
        <v>1183</v>
      </c>
      <c r="B777">
        <v>1</v>
      </c>
      <c r="C777" t="s">
        <v>2841</v>
      </c>
      <c r="D777" t="s">
        <v>73</v>
      </c>
      <c r="E777" t="s">
        <v>73</v>
      </c>
      <c r="F777" t="s">
        <v>73</v>
      </c>
      <c r="G777" t="s">
        <v>73</v>
      </c>
      <c r="H777">
        <v>23.1</v>
      </c>
      <c r="I777">
        <v>238</v>
      </c>
      <c r="J777">
        <v>25728</v>
      </c>
      <c r="K777" t="s">
        <v>2842</v>
      </c>
      <c r="L777">
        <f t="shared" si="50"/>
        <v>39</v>
      </c>
      <c r="N777">
        <v>39</v>
      </c>
      <c r="O777">
        <v>39</v>
      </c>
      <c r="P777">
        <v>1</v>
      </c>
      <c r="Q777">
        <v>2</v>
      </c>
      <c r="R777">
        <v>1</v>
      </c>
      <c r="S777">
        <v>0</v>
      </c>
      <c r="T777">
        <v>3</v>
      </c>
      <c r="U777">
        <v>1</v>
      </c>
      <c r="V777">
        <v>4</v>
      </c>
      <c r="W777">
        <v>8</v>
      </c>
      <c r="X777">
        <v>2</v>
      </c>
      <c r="Y777">
        <v>2</v>
      </c>
      <c r="Z777">
        <v>0</v>
      </c>
      <c r="AA777">
        <v>2</v>
      </c>
      <c r="AB777">
        <v>3</v>
      </c>
      <c r="AC777">
        <v>3</v>
      </c>
      <c r="AD777">
        <v>1</v>
      </c>
      <c r="AE777">
        <v>0</v>
      </c>
      <c r="AF777">
        <v>2</v>
      </c>
      <c r="AG777">
        <v>2</v>
      </c>
      <c r="AH777">
        <v>1</v>
      </c>
      <c r="AI777">
        <v>2</v>
      </c>
      <c r="AJ777">
        <v>2</v>
      </c>
      <c r="AK777">
        <v>1</v>
      </c>
      <c r="AL777">
        <v>0</v>
      </c>
      <c r="AM777">
        <v>3</v>
      </c>
      <c r="AN777">
        <v>1</v>
      </c>
      <c r="AO777">
        <v>4</v>
      </c>
      <c r="AP777">
        <v>8</v>
      </c>
      <c r="AQ777">
        <v>2</v>
      </c>
      <c r="AR777">
        <v>2</v>
      </c>
      <c r="AS777">
        <v>0</v>
      </c>
      <c r="AT777">
        <v>2</v>
      </c>
      <c r="AU777">
        <v>3</v>
      </c>
      <c r="AV777">
        <v>3</v>
      </c>
      <c r="AW777">
        <v>1</v>
      </c>
      <c r="AX777">
        <v>0</v>
      </c>
      <c r="AY777">
        <v>2</v>
      </c>
      <c r="AZ777">
        <v>2</v>
      </c>
      <c r="BA777">
        <v>1</v>
      </c>
      <c r="BB777">
        <v>2</v>
      </c>
      <c r="BC777" s="2">
        <v>2</v>
      </c>
      <c r="BD777" s="2">
        <v>1</v>
      </c>
      <c r="BE777" s="2">
        <v>0</v>
      </c>
      <c r="BF777" s="2">
        <v>3</v>
      </c>
      <c r="BG777" s="2">
        <v>1</v>
      </c>
      <c r="BH777" s="2">
        <v>4</v>
      </c>
      <c r="BI777" s="2">
        <v>8</v>
      </c>
      <c r="BJ777" s="2">
        <v>2</v>
      </c>
      <c r="BK777" s="2">
        <v>2</v>
      </c>
      <c r="BL777" s="2">
        <v>0</v>
      </c>
      <c r="BM777" s="2">
        <v>2</v>
      </c>
      <c r="BN777" s="2">
        <v>3</v>
      </c>
      <c r="BO777" s="2">
        <v>3</v>
      </c>
      <c r="BP777" s="2">
        <v>1</v>
      </c>
      <c r="BQ777" s="2">
        <v>0</v>
      </c>
      <c r="BR777" s="2">
        <v>2</v>
      </c>
      <c r="BS777" s="2">
        <v>2</v>
      </c>
      <c r="BT777" s="2">
        <v>1</v>
      </c>
      <c r="BU777" s="2">
        <v>2</v>
      </c>
      <c r="BV777" s="2">
        <f t="shared" si="53"/>
        <v>39</v>
      </c>
      <c r="BW777" s="16">
        <f t="shared" si="51"/>
        <v>2.0526315789473686</v>
      </c>
      <c r="BX777" s="16">
        <f>COUNTIF($BC$6:BU777, "=0") / COUNTIF($BC$6:BU777, "&gt;-1")</f>
        <v>0.21148077447504773</v>
      </c>
      <c r="BY777" s="18">
        <f>SUM($BC$6:BU777) / $BY$4</f>
        <v>0.91130154999287494</v>
      </c>
      <c r="BZ777" s="14">
        <f t="shared" si="52"/>
        <v>3</v>
      </c>
      <c r="CA777" t="s">
        <v>5832</v>
      </c>
      <c r="CZ777" t="s">
        <v>9670</v>
      </c>
      <c r="DA777" t="s">
        <v>5904</v>
      </c>
      <c r="DB777">
        <v>420.2</v>
      </c>
      <c r="DC777" t="s">
        <v>25190</v>
      </c>
      <c r="DD777" t="s">
        <v>25191</v>
      </c>
      <c r="DE777" t="s">
        <v>25192</v>
      </c>
      <c r="DF777" t="s">
        <v>25193</v>
      </c>
      <c r="DG777" t="s">
        <v>25194</v>
      </c>
      <c r="DH777" t="str">
        <f>"CD63"</f>
        <v>CD63</v>
      </c>
      <c r="DI777" t="s">
        <v>25195</v>
      </c>
      <c r="DJ777" t="s">
        <v>13777</v>
      </c>
      <c r="DK777">
        <v>9606</v>
      </c>
      <c r="DL777" s="34" t="str">
        <f>HYPERLINK("http://www.uniprot.org/uniprot/P08962", "P08962")</f>
        <v>P08962</v>
      </c>
      <c r="DM777" t="s">
        <v>25196</v>
      </c>
      <c r="DN777" t="s">
        <v>14347</v>
      </c>
      <c r="DO777" t="s">
        <v>25197</v>
      </c>
      <c r="DP777" t="s">
        <v>13841</v>
      </c>
      <c r="DQ777" t="s">
        <v>13772</v>
      </c>
      <c r="DR777" t="s">
        <v>13772</v>
      </c>
      <c r="DS777" t="s">
        <v>13925</v>
      </c>
      <c r="DT777" t="s">
        <v>13772</v>
      </c>
      <c r="DU777" t="s">
        <v>13772</v>
      </c>
      <c r="DV777" t="s">
        <v>25198</v>
      </c>
      <c r="DW777" t="s">
        <v>13772</v>
      </c>
      <c r="DX777" t="s">
        <v>25199</v>
      </c>
      <c r="DY777" t="s">
        <v>25200</v>
      </c>
      <c r="DZ777" t="s">
        <v>13772</v>
      </c>
      <c r="EA777" t="s">
        <v>13772</v>
      </c>
      <c r="EB777" t="s">
        <v>14706</v>
      </c>
    </row>
    <row r="778" spans="1:132" hidden="1">
      <c r="A778">
        <v>1477</v>
      </c>
      <c r="B778">
        <v>1</v>
      </c>
      <c r="C778" t="s">
        <v>3515</v>
      </c>
      <c r="D778" t="s">
        <v>73</v>
      </c>
      <c r="E778" t="s">
        <v>73</v>
      </c>
      <c r="F778" t="s">
        <v>73</v>
      </c>
      <c r="G778" t="s">
        <v>73</v>
      </c>
      <c r="H778">
        <v>50.5</v>
      </c>
      <c r="I778">
        <v>184</v>
      </c>
      <c r="J778">
        <v>20766</v>
      </c>
      <c r="K778" t="s">
        <v>3516</v>
      </c>
      <c r="L778">
        <f t="shared" si="50"/>
        <v>39</v>
      </c>
      <c r="N778">
        <v>39</v>
      </c>
      <c r="O778">
        <v>39</v>
      </c>
      <c r="P778">
        <v>1</v>
      </c>
      <c r="Q778">
        <v>0</v>
      </c>
      <c r="R778">
        <v>2</v>
      </c>
      <c r="S778">
        <v>0</v>
      </c>
      <c r="T778">
        <v>0</v>
      </c>
      <c r="U778">
        <v>2</v>
      </c>
      <c r="V778">
        <v>1</v>
      </c>
      <c r="W778">
        <v>1</v>
      </c>
      <c r="X778">
        <v>11</v>
      </c>
      <c r="Y778">
        <v>10</v>
      </c>
      <c r="Z778">
        <v>1</v>
      </c>
      <c r="AA778">
        <v>6</v>
      </c>
      <c r="AB778">
        <v>0</v>
      </c>
      <c r="AC778">
        <v>0</v>
      </c>
      <c r="AD778">
        <v>1</v>
      </c>
      <c r="AE778">
        <v>2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2</v>
      </c>
      <c r="AL778">
        <v>0</v>
      </c>
      <c r="AM778">
        <v>0</v>
      </c>
      <c r="AN778">
        <v>2</v>
      </c>
      <c r="AO778">
        <v>1</v>
      </c>
      <c r="AP778">
        <v>1</v>
      </c>
      <c r="AQ778">
        <v>11</v>
      </c>
      <c r="AR778">
        <v>10</v>
      </c>
      <c r="AS778">
        <v>1</v>
      </c>
      <c r="AT778">
        <v>6</v>
      </c>
      <c r="AU778">
        <v>0</v>
      </c>
      <c r="AV778">
        <v>0</v>
      </c>
      <c r="AW778">
        <v>1</v>
      </c>
      <c r="AX778">
        <v>2</v>
      </c>
      <c r="AY778">
        <v>1</v>
      </c>
      <c r="AZ778">
        <v>1</v>
      </c>
      <c r="BA778">
        <v>0</v>
      </c>
      <c r="BB778">
        <v>0</v>
      </c>
      <c r="BC778" s="2">
        <v>0</v>
      </c>
      <c r="BD778" s="2">
        <v>2</v>
      </c>
      <c r="BE778" s="2">
        <v>0</v>
      </c>
      <c r="BF778" s="2">
        <v>0</v>
      </c>
      <c r="BG778" s="2">
        <v>2</v>
      </c>
      <c r="BH778" s="2">
        <v>1</v>
      </c>
      <c r="BI778" s="2">
        <v>1</v>
      </c>
      <c r="BJ778" s="2">
        <v>11</v>
      </c>
      <c r="BK778" s="2">
        <v>10</v>
      </c>
      <c r="BL778" s="2">
        <v>1</v>
      </c>
      <c r="BM778" s="2">
        <v>6</v>
      </c>
      <c r="BN778" s="2">
        <v>0</v>
      </c>
      <c r="BO778" s="2">
        <v>0</v>
      </c>
      <c r="BP778" s="2">
        <v>1</v>
      </c>
      <c r="BQ778" s="2">
        <v>2</v>
      </c>
      <c r="BR778" s="2">
        <v>1</v>
      </c>
      <c r="BS778" s="2">
        <v>1</v>
      </c>
      <c r="BT778" s="2">
        <v>0</v>
      </c>
      <c r="BU778" s="2">
        <v>0</v>
      </c>
      <c r="BV778" s="2">
        <f t="shared" si="53"/>
        <v>39</v>
      </c>
      <c r="BW778" s="16">
        <f t="shared" si="51"/>
        <v>2.0526315789473686</v>
      </c>
      <c r="BX778" s="16">
        <f>COUNTIF($BC$6:BU778, "=0") / COUNTIF($BC$6:BU778, "&gt;-1")</f>
        <v>0.21168380200177028</v>
      </c>
      <c r="BY778" s="18">
        <f>SUM($BC$6:BU778) / $BY$4</f>
        <v>0.91146861183075423</v>
      </c>
      <c r="BZ778" s="14">
        <f t="shared" si="52"/>
        <v>7</v>
      </c>
      <c r="CA778" t="s">
        <v>5832</v>
      </c>
      <c r="CZ778" t="s">
        <v>10655</v>
      </c>
      <c r="DA778" t="s">
        <v>5904</v>
      </c>
      <c r="DB778">
        <v>352.4</v>
      </c>
      <c r="DC778" t="s">
        <v>27986</v>
      </c>
      <c r="DD778" t="s">
        <v>27987</v>
      </c>
      <c r="DE778" t="s">
        <v>27988</v>
      </c>
      <c r="DF778" t="s">
        <v>27989</v>
      </c>
      <c r="DG778" t="s">
        <v>27990</v>
      </c>
      <c r="DH778" t="str">
        <f>"GLO1"</f>
        <v>GLO1</v>
      </c>
      <c r="DI778" t="s">
        <v>13772</v>
      </c>
      <c r="DJ778" t="s">
        <v>13777</v>
      </c>
      <c r="DK778">
        <v>9606</v>
      </c>
      <c r="DL778" s="34" t="str">
        <f>HYPERLINK("http://www.uniprot.org/uniprot/Q04760", "Q04760")</f>
        <v>Q04760</v>
      </c>
      <c r="DM778" t="s">
        <v>27991</v>
      </c>
      <c r="DN778" t="s">
        <v>13772</v>
      </c>
      <c r="DO778" t="s">
        <v>13772</v>
      </c>
      <c r="DP778" t="s">
        <v>13780</v>
      </c>
      <c r="DQ778" t="s">
        <v>13772</v>
      </c>
      <c r="DR778" t="s">
        <v>13772</v>
      </c>
      <c r="DS778" t="s">
        <v>13772</v>
      </c>
      <c r="DT778" t="s">
        <v>13856</v>
      </c>
      <c r="DU778" t="s">
        <v>15788</v>
      </c>
      <c r="DV778" t="s">
        <v>27992</v>
      </c>
      <c r="DW778" t="s">
        <v>13812</v>
      </c>
      <c r="DX778" t="s">
        <v>27993</v>
      </c>
      <c r="DY778" t="s">
        <v>27994</v>
      </c>
      <c r="DZ778" t="s">
        <v>27995</v>
      </c>
      <c r="EA778" t="s">
        <v>27996</v>
      </c>
      <c r="EB778" t="s">
        <v>19373</v>
      </c>
    </row>
    <row r="779" spans="1:132" hidden="1">
      <c r="A779">
        <v>2453</v>
      </c>
      <c r="B779">
        <v>1</v>
      </c>
      <c r="C779" t="s">
        <v>5766</v>
      </c>
      <c r="D779" t="s">
        <v>73</v>
      </c>
      <c r="E779" t="s">
        <v>5767</v>
      </c>
      <c r="F779" t="s">
        <v>73</v>
      </c>
      <c r="G779" t="s">
        <v>73</v>
      </c>
      <c r="H779">
        <v>18</v>
      </c>
      <c r="I779">
        <v>640</v>
      </c>
      <c r="J779">
        <v>69419</v>
      </c>
      <c r="K779" t="s">
        <v>5768</v>
      </c>
      <c r="L779">
        <f t="shared" si="50"/>
        <v>39</v>
      </c>
      <c r="N779">
        <v>39</v>
      </c>
      <c r="O779">
        <v>39</v>
      </c>
      <c r="P779">
        <v>1</v>
      </c>
      <c r="Q779">
        <v>1</v>
      </c>
      <c r="R779">
        <v>4</v>
      </c>
      <c r="S779">
        <v>0</v>
      </c>
      <c r="T779">
        <v>5</v>
      </c>
      <c r="U779">
        <v>15</v>
      </c>
      <c r="V779">
        <v>10</v>
      </c>
      <c r="W779">
        <v>1</v>
      </c>
      <c r="X779">
        <v>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4</v>
      </c>
      <c r="AL779">
        <v>0</v>
      </c>
      <c r="AM779">
        <v>5</v>
      </c>
      <c r="AN779">
        <v>15</v>
      </c>
      <c r="AO779">
        <v>10</v>
      </c>
      <c r="AP779">
        <v>1</v>
      </c>
      <c r="AQ779">
        <v>3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 s="2">
        <v>1</v>
      </c>
      <c r="BD779" s="2">
        <v>4</v>
      </c>
      <c r="BE779" s="2">
        <v>0</v>
      </c>
      <c r="BF779" s="2">
        <v>5</v>
      </c>
      <c r="BG779" s="2">
        <v>15</v>
      </c>
      <c r="BH779" s="2">
        <v>10</v>
      </c>
      <c r="BI779" s="2">
        <v>1</v>
      </c>
      <c r="BJ779" s="2">
        <v>3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f t="shared" si="53"/>
        <v>39</v>
      </c>
      <c r="BW779" s="16">
        <f t="shared" si="51"/>
        <v>2.0526315789473686</v>
      </c>
      <c r="BX779" s="16">
        <f>COUNTIF($BC$6:BU779, "=0") / COUNTIF($BC$6:BU779, "&gt;-1")</f>
        <v>0.21222630218958249</v>
      </c>
      <c r="BY779" s="18">
        <f>SUM($BC$6:BU779) / $BY$4</f>
        <v>0.91163567366863352</v>
      </c>
      <c r="BZ779" s="14">
        <f t="shared" si="52"/>
        <v>12</v>
      </c>
      <c r="CA779" t="s">
        <v>5832</v>
      </c>
      <c r="CZ779" t="s">
        <v>10830</v>
      </c>
      <c r="DA779" t="s">
        <v>5904</v>
      </c>
      <c r="DB779">
        <v>1120.2</v>
      </c>
      <c r="DC779" t="s">
        <v>28457</v>
      </c>
      <c r="DD779" t="s">
        <v>28458</v>
      </c>
      <c r="DE779" t="s">
        <v>28459</v>
      </c>
      <c r="DF779" t="s">
        <v>28460</v>
      </c>
      <c r="DG779" t="s">
        <v>28461</v>
      </c>
      <c r="DH779" t="str">
        <f>"SLC23A1"</f>
        <v>SLC23A1</v>
      </c>
      <c r="DI779" t="s">
        <v>28462</v>
      </c>
      <c r="DJ779" t="s">
        <v>13777</v>
      </c>
      <c r="DK779">
        <v>9606</v>
      </c>
      <c r="DL779" s="34" t="str">
        <f>HYPERLINK("http://www.uniprot.org/uniprot/Q9UHI7", "Q9UHI7")</f>
        <v>Q9UHI7</v>
      </c>
      <c r="DM779" t="s">
        <v>28463</v>
      </c>
      <c r="DN779" t="s">
        <v>19486</v>
      </c>
      <c r="DO779" t="s">
        <v>13792</v>
      </c>
      <c r="DP779" t="s">
        <v>13780</v>
      </c>
      <c r="DQ779" t="s">
        <v>13772</v>
      </c>
      <c r="DR779" t="s">
        <v>13772</v>
      </c>
      <c r="DS779" t="s">
        <v>13925</v>
      </c>
      <c r="DT779" t="s">
        <v>13926</v>
      </c>
      <c r="DU779" t="s">
        <v>13772</v>
      </c>
      <c r="DV779" t="s">
        <v>13978</v>
      </c>
      <c r="DW779" t="s">
        <v>13772</v>
      </c>
      <c r="DX779" t="s">
        <v>28464</v>
      </c>
      <c r="DY779" t="s">
        <v>28465</v>
      </c>
      <c r="DZ779" t="s">
        <v>28466</v>
      </c>
      <c r="EA779" t="s">
        <v>13772</v>
      </c>
      <c r="EB779" t="s">
        <v>28467</v>
      </c>
    </row>
    <row r="780" spans="1:132" hidden="1">
      <c r="A780">
        <v>1644</v>
      </c>
      <c r="B780">
        <v>1</v>
      </c>
      <c r="C780" t="s">
        <v>3898</v>
      </c>
      <c r="D780" t="s">
        <v>3899</v>
      </c>
      <c r="E780" t="s">
        <v>73</v>
      </c>
      <c r="F780" t="s">
        <v>73</v>
      </c>
      <c r="G780" t="s">
        <v>73</v>
      </c>
      <c r="H780">
        <v>31.2</v>
      </c>
      <c r="I780">
        <v>542</v>
      </c>
      <c r="J780">
        <v>58345</v>
      </c>
      <c r="K780" t="s">
        <v>3900</v>
      </c>
      <c r="L780">
        <f t="shared" si="50"/>
        <v>39</v>
      </c>
      <c r="N780">
        <v>39</v>
      </c>
      <c r="O780">
        <v>39</v>
      </c>
      <c r="P780">
        <v>1</v>
      </c>
      <c r="Q780">
        <v>0</v>
      </c>
      <c r="R780">
        <v>2</v>
      </c>
      <c r="S780">
        <v>0</v>
      </c>
      <c r="T780">
        <v>0</v>
      </c>
      <c r="U780">
        <v>5</v>
      </c>
      <c r="V780">
        <v>2</v>
      </c>
      <c r="W780">
        <v>3</v>
      </c>
      <c r="X780">
        <v>4</v>
      </c>
      <c r="Y780">
        <v>8</v>
      </c>
      <c r="Z780">
        <v>0</v>
      </c>
      <c r="AA780">
        <v>10</v>
      </c>
      <c r="AB780">
        <v>3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2</v>
      </c>
      <c r="AL780">
        <v>0</v>
      </c>
      <c r="AM780">
        <v>0</v>
      </c>
      <c r="AN780">
        <v>5</v>
      </c>
      <c r="AO780">
        <v>2</v>
      </c>
      <c r="AP780">
        <v>3</v>
      </c>
      <c r="AQ780">
        <v>4</v>
      </c>
      <c r="AR780">
        <v>8</v>
      </c>
      <c r="AS780">
        <v>0</v>
      </c>
      <c r="AT780">
        <v>10</v>
      </c>
      <c r="AU780">
        <v>3</v>
      </c>
      <c r="AV780">
        <v>1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 s="2">
        <v>0</v>
      </c>
      <c r="BD780" s="2">
        <v>2</v>
      </c>
      <c r="BE780" s="2">
        <v>0</v>
      </c>
      <c r="BF780" s="2">
        <v>0</v>
      </c>
      <c r="BG780" s="2">
        <v>5</v>
      </c>
      <c r="BH780" s="2">
        <v>2</v>
      </c>
      <c r="BI780" s="2">
        <v>3</v>
      </c>
      <c r="BJ780" s="2">
        <v>4</v>
      </c>
      <c r="BK780" s="2">
        <v>8</v>
      </c>
      <c r="BL780" s="2">
        <v>0</v>
      </c>
      <c r="BM780" s="2">
        <v>10</v>
      </c>
      <c r="BN780" s="2">
        <v>3</v>
      </c>
      <c r="BO780" s="2">
        <v>1</v>
      </c>
      <c r="BP780" s="2">
        <v>0</v>
      </c>
      <c r="BQ780" s="2">
        <v>0</v>
      </c>
      <c r="BR780" s="2">
        <v>0</v>
      </c>
      <c r="BS780" s="2">
        <v>1</v>
      </c>
      <c r="BT780" s="2">
        <v>0</v>
      </c>
      <c r="BU780" s="2">
        <v>0</v>
      </c>
      <c r="BV780" s="2">
        <f t="shared" si="53"/>
        <v>39</v>
      </c>
      <c r="BW780" s="16">
        <f t="shared" si="51"/>
        <v>2.0526315789473686</v>
      </c>
      <c r="BX780" s="16">
        <f>COUNTIF($BC$6:BU780, "=0") / COUNTIF($BC$6:BU780, "&gt;-1")</f>
        <v>0.21256366723259762</v>
      </c>
      <c r="BY780" s="18">
        <f>SUM($BC$6:BU780) / $BY$4</f>
        <v>0.91180273550651281</v>
      </c>
      <c r="BZ780" s="14">
        <f t="shared" si="52"/>
        <v>9</v>
      </c>
      <c r="CA780" t="s">
        <v>5832</v>
      </c>
      <c r="CZ780" t="s">
        <v>11228</v>
      </c>
      <c r="DA780" t="s">
        <v>5904</v>
      </c>
      <c r="DB780">
        <v>927.9</v>
      </c>
      <c r="DC780" t="s">
        <v>29548</v>
      </c>
      <c r="DD780" t="s">
        <v>29549</v>
      </c>
      <c r="DE780" t="s">
        <v>29550</v>
      </c>
      <c r="DF780" t="s">
        <v>29551</v>
      </c>
      <c r="DG780" t="s">
        <v>29552</v>
      </c>
      <c r="DH780" t="str">
        <f>"NAPRT"</f>
        <v>NAPRT</v>
      </c>
      <c r="DI780" t="s">
        <v>29553</v>
      </c>
      <c r="DJ780" t="s">
        <v>13777</v>
      </c>
      <c r="DK780">
        <v>9606</v>
      </c>
      <c r="DL780" s="34" t="str">
        <f>HYPERLINK("http://www.uniprot.org/uniprot/Q6XQN6", "Q6XQN6")</f>
        <v>Q6XQN6</v>
      </c>
      <c r="DM780" t="s">
        <v>29554</v>
      </c>
      <c r="DN780" t="s">
        <v>29555</v>
      </c>
      <c r="DO780" t="s">
        <v>13899</v>
      </c>
      <c r="DP780" t="s">
        <v>13780</v>
      </c>
      <c r="DQ780" t="s">
        <v>13772</v>
      </c>
      <c r="DR780" t="s">
        <v>13772</v>
      </c>
      <c r="DS780" t="s">
        <v>13772</v>
      </c>
      <c r="DT780" t="s">
        <v>29556</v>
      </c>
      <c r="DU780" t="s">
        <v>29557</v>
      </c>
      <c r="DV780" t="s">
        <v>13782</v>
      </c>
      <c r="DW780" t="s">
        <v>13812</v>
      </c>
      <c r="DX780" t="s">
        <v>29558</v>
      </c>
      <c r="DY780" t="s">
        <v>29559</v>
      </c>
      <c r="DZ780" t="s">
        <v>29560</v>
      </c>
      <c r="EA780" t="s">
        <v>29561</v>
      </c>
      <c r="EB780" t="s">
        <v>29562</v>
      </c>
    </row>
    <row r="781" spans="1:132" hidden="1">
      <c r="A781">
        <v>2235</v>
      </c>
      <c r="B781">
        <v>1</v>
      </c>
      <c r="C781" t="s">
        <v>5227</v>
      </c>
      <c r="D781" t="s">
        <v>73</v>
      </c>
      <c r="E781" t="s">
        <v>73</v>
      </c>
      <c r="F781" t="s">
        <v>73</v>
      </c>
      <c r="G781" t="s">
        <v>73</v>
      </c>
      <c r="H781">
        <v>21.9</v>
      </c>
      <c r="I781">
        <v>169</v>
      </c>
      <c r="J781">
        <v>18522</v>
      </c>
      <c r="K781" t="s">
        <v>5228</v>
      </c>
      <c r="L781">
        <f t="shared" si="50"/>
        <v>39</v>
      </c>
      <c r="N781">
        <v>39</v>
      </c>
      <c r="O781">
        <v>39</v>
      </c>
      <c r="P781">
        <v>1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>
        <v>4</v>
      </c>
      <c r="Z781">
        <v>0</v>
      </c>
      <c r="AA781">
        <v>3</v>
      </c>
      <c r="AB781">
        <v>7</v>
      </c>
      <c r="AC781">
        <v>1</v>
      </c>
      <c r="AD781">
        <v>0</v>
      </c>
      <c r="AE781">
        <v>7</v>
      </c>
      <c r="AF781">
        <v>6</v>
      </c>
      <c r="AG781">
        <v>3</v>
      </c>
      <c r="AH781">
        <v>0</v>
      </c>
      <c r="AI781">
        <v>2</v>
      </c>
      <c r="AJ781">
        <v>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4</v>
      </c>
      <c r="AR781">
        <v>4</v>
      </c>
      <c r="AS781">
        <v>0</v>
      </c>
      <c r="AT781">
        <v>3</v>
      </c>
      <c r="AU781">
        <v>7</v>
      </c>
      <c r="AV781">
        <v>1</v>
      </c>
      <c r="AW781">
        <v>0</v>
      </c>
      <c r="AX781">
        <v>7</v>
      </c>
      <c r="AY781">
        <v>6</v>
      </c>
      <c r="AZ781">
        <v>3</v>
      </c>
      <c r="BA781">
        <v>0</v>
      </c>
      <c r="BB781">
        <v>2</v>
      </c>
      <c r="BC781" s="2">
        <v>2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4</v>
      </c>
      <c r="BK781" s="2">
        <v>4</v>
      </c>
      <c r="BL781" s="2">
        <v>0</v>
      </c>
      <c r="BM781" s="2">
        <v>3</v>
      </c>
      <c r="BN781" s="2">
        <v>7</v>
      </c>
      <c r="BO781" s="2">
        <v>1</v>
      </c>
      <c r="BP781" s="2">
        <v>0</v>
      </c>
      <c r="BQ781" s="2">
        <v>7</v>
      </c>
      <c r="BR781" s="2">
        <v>6</v>
      </c>
      <c r="BS781" s="2">
        <v>3</v>
      </c>
      <c r="BT781" s="2">
        <v>0</v>
      </c>
      <c r="BU781" s="2">
        <v>2</v>
      </c>
      <c r="BV781" s="2">
        <f t="shared" si="53"/>
        <v>39</v>
      </c>
      <c r="BW781" s="16">
        <f t="shared" si="51"/>
        <v>2.0526315789473686</v>
      </c>
      <c r="BX781" s="16">
        <f>COUNTIF($BC$6:BU781, "=0") / COUNTIF($BC$6:BU781, "&gt;-1")</f>
        <v>0.21290016277807922</v>
      </c>
      <c r="BY781" s="18">
        <f>SUM($BC$6:BU781) / $BY$4</f>
        <v>0.91196979734439221</v>
      </c>
      <c r="BZ781" s="14">
        <f t="shared" si="52"/>
        <v>9</v>
      </c>
      <c r="CA781" t="s">
        <v>5832</v>
      </c>
      <c r="CZ781" t="s">
        <v>13193</v>
      </c>
      <c r="DA781" t="s">
        <v>5904</v>
      </c>
      <c r="DB781">
        <v>196.8</v>
      </c>
      <c r="DC781" t="s">
        <v>35097</v>
      </c>
      <c r="DD781" t="s">
        <v>35098</v>
      </c>
      <c r="DE781" t="s">
        <v>35099</v>
      </c>
      <c r="DF781" t="s">
        <v>35100</v>
      </c>
      <c r="DG781" t="s">
        <v>35101</v>
      </c>
      <c r="DH781" t="str">
        <f>"ISG15"</f>
        <v>ISG15</v>
      </c>
      <c r="DI781" t="s">
        <v>35102</v>
      </c>
      <c r="DJ781" t="s">
        <v>13777</v>
      </c>
      <c r="DK781">
        <v>9606</v>
      </c>
      <c r="DL781" s="34" t="str">
        <f>HYPERLINK("http://www.uniprot.org/uniprot/P05161", "P05161")</f>
        <v>P05161</v>
      </c>
      <c r="DM781" t="s">
        <v>35103</v>
      </c>
      <c r="DN781" t="s">
        <v>35104</v>
      </c>
      <c r="DO781" t="s">
        <v>16449</v>
      </c>
      <c r="DP781" t="s">
        <v>13793</v>
      </c>
      <c r="DQ781" t="s">
        <v>13772</v>
      </c>
      <c r="DR781" t="s">
        <v>13772</v>
      </c>
      <c r="DS781" t="s">
        <v>14096</v>
      </c>
      <c r="DT781" t="s">
        <v>13772</v>
      </c>
      <c r="DU781" t="s">
        <v>13772</v>
      </c>
      <c r="DV781" t="s">
        <v>35105</v>
      </c>
      <c r="DW781" t="s">
        <v>13812</v>
      </c>
      <c r="DX781" t="s">
        <v>35106</v>
      </c>
      <c r="DY781" t="s">
        <v>35107</v>
      </c>
      <c r="DZ781" t="s">
        <v>35108</v>
      </c>
      <c r="EA781" t="s">
        <v>13772</v>
      </c>
      <c r="EB781" t="s">
        <v>35109</v>
      </c>
    </row>
    <row r="782" spans="1:132" hidden="1">
      <c r="A782">
        <v>2311</v>
      </c>
      <c r="B782">
        <v>1</v>
      </c>
      <c r="C782" t="s">
        <v>5396</v>
      </c>
      <c r="D782" t="s">
        <v>5397</v>
      </c>
      <c r="E782" t="s">
        <v>73</v>
      </c>
      <c r="F782" t="s">
        <v>73</v>
      </c>
      <c r="G782" t="s">
        <v>73</v>
      </c>
      <c r="H782">
        <v>47.7</v>
      </c>
      <c r="I782">
        <v>298</v>
      </c>
      <c r="J782">
        <v>33376</v>
      </c>
      <c r="K782" t="s">
        <v>5398</v>
      </c>
      <c r="L782">
        <f t="shared" si="50"/>
        <v>39</v>
      </c>
      <c r="N782">
        <v>39</v>
      </c>
      <c r="O782">
        <v>39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</v>
      </c>
      <c r="W782">
        <v>1</v>
      </c>
      <c r="X782">
        <v>12</v>
      </c>
      <c r="Y782">
        <v>5</v>
      </c>
      <c r="Z782">
        <v>0</v>
      </c>
      <c r="AA782">
        <v>9</v>
      </c>
      <c r="AB782">
        <v>2</v>
      </c>
      <c r="AC782">
        <v>3</v>
      </c>
      <c r="AD782">
        <v>2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</v>
      </c>
      <c r="AP782">
        <v>1</v>
      </c>
      <c r="AQ782">
        <v>12</v>
      </c>
      <c r="AR782">
        <v>5</v>
      </c>
      <c r="AS782">
        <v>0</v>
      </c>
      <c r="AT782">
        <v>9</v>
      </c>
      <c r="AU782">
        <v>2</v>
      </c>
      <c r="AV782">
        <v>3</v>
      </c>
      <c r="AW782">
        <v>2</v>
      </c>
      <c r="AX782">
        <v>1</v>
      </c>
      <c r="AY782">
        <v>1</v>
      </c>
      <c r="AZ782">
        <v>1</v>
      </c>
      <c r="BA782">
        <v>0</v>
      </c>
      <c r="BB78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2</v>
      </c>
      <c r="BI782" s="2">
        <v>1</v>
      </c>
      <c r="BJ782" s="2">
        <v>12</v>
      </c>
      <c r="BK782" s="2">
        <v>5</v>
      </c>
      <c r="BL782" s="2">
        <v>0</v>
      </c>
      <c r="BM782" s="2">
        <v>9</v>
      </c>
      <c r="BN782" s="2">
        <v>2</v>
      </c>
      <c r="BO782" s="2">
        <v>3</v>
      </c>
      <c r="BP782" s="2">
        <v>2</v>
      </c>
      <c r="BQ782" s="2">
        <v>1</v>
      </c>
      <c r="BR782" s="2">
        <v>1</v>
      </c>
      <c r="BS782" s="2">
        <v>1</v>
      </c>
      <c r="BT782" s="2">
        <v>0</v>
      </c>
      <c r="BU782" s="2">
        <v>0</v>
      </c>
      <c r="BV782" s="2">
        <f t="shared" si="53"/>
        <v>39</v>
      </c>
      <c r="BW782" s="16">
        <f t="shared" si="51"/>
        <v>2.0526315789473686</v>
      </c>
      <c r="BX782" s="16">
        <f>COUNTIF($BC$6:BU782, "=0") / COUNTIF($BC$6:BU782, "&gt;-1")</f>
        <v>0.21316805527331842</v>
      </c>
      <c r="BY782" s="18">
        <f>SUM($BC$6:BU782) / $BY$4</f>
        <v>0.9121368591822715</v>
      </c>
      <c r="BZ782" s="14">
        <f t="shared" si="52"/>
        <v>8</v>
      </c>
      <c r="CA782" t="s">
        <v>5832</v>
      </c>
      <c r="CZ782" t="s">
        <v>13440</v>
      </c>
      <c r="DA782" t="s">
        <v>5904</v>
      </c>
      <c r="DB782">
        <v>542</v>
      </c>
      <c r="DC782" t="s">
        <v>35825</v>
      </c>
      <c r="DD782" t="s">
        <v>13772</v>
      </c>
      <c r="DE782" t="s">
        <v>35826</v>
      </c>
      <c r="DF782" t="s">
        <v>35827</v>
      </c>
      <c r="DG782" t="s">
        <v>35828</v>
      </c>
      <c r="DH782" t="str">
        <f>"GLOD4"</f>
        <v>GLOD4</v>
      </c>
      <c r="DI782" t="s">
        <v>35829</v>
      </c>
      <c r="DJ782" t="s">
        <v>13777</v>
      </c>
      <c r="DK782">
        <v>9606</v>
      </c>
      <c r="DL782" s="34" t="str">
        <f>HYPERLINK("http://www.uniprot.org/uniprot/Q9HC38", "Q9HC38")</f>
        <v>Q9HC38</v>
      </c>
      <c r="DM782" t="s">
        <v>35830</v>
      </c>
      <c r="DN782" t="s">
        <v>13772</v>
      </c>
      <c r="DO782" t="s">
        <v>14491</v>
      </c>
      <c r="DP782" t="s">
        <v>13780</v>
      </c>
      <c r="DQ782" t="s">
        <v>13772</v>
      </c>
      <c r="DR782" t="s">
        <v>13772</v>
      </c>
      <c r="DS782" t="s">
        <v>14096</v>
      </c>
      <c r="DT782" t="s">
        <v>13772</v>
      </c>
      <c r="DU782" t="s">
        <v>13772</v>
      </c>
      <c r="DV782" t="s">
        <v>13782</v>
      </c>
      <c r="DW782" t="s">
        <v>13812</v>
      </c>
      <c r="DX782" t="s">
        <v>13772</v>
      </c>
      <c r="DY782" t="s">
        <v>35831</v>
      </c>
      <c r="DZ782" t="s">
        <v>21896</v>
      </c>
      <c r="EA782" t="s">
        <v>13772</v>
      </c>
      <c r="EB782" t="s">
        <v>13772</v>
      </c>
    </row>
    <row r="783" spans="1:132" hidden="1">
      <c r="A783">
        <v>1310</v>
      </c>
      <c r="B783">
        <v>1</v>
      </c>
      <c r="C783" t="s">
        <v>3142</v>
      </c>
      <c r="D783" t="s">
        <v>73</v>
      </c>
      <c r="E783" t="s">
        <v>73</v>
      </c>
      <c r="F783" t="s">
        <v>3143</v>
      </c>
      <c r="G783" t="s">
        <v>73</v>
      </c>
      <c r="H783">
        <v>35.200000000000003</v>
      </c>
      <c r="I783">
        <v>511</v>
      </c>
      <c r="J783">
        <v>56590</v>
      </c>
      <c r="K783" t="s">
        <v>3144</v>
      </c>
      <c r="L783">
        <f t="shared" si="50"/>
        <v>46</v>
      </c>
      <c r="N783">
        <v>46</v>
      </c>
      <c r="O783">
        <v>26</v>
      </c>
      <c r="P783">
        <v>0.56499999999999995</v>
      </c>
      <c r="Q783">
        <v>3</v>
      </c>
      <c r="R783">
        <v>3</v>
      </c>
      <c r="S783">
        <v>2</v>
      </c>
      <c r="T783">
        <v>0</v>
      </c>
      <c r="U783">
        <v>10</v>
      </c>
      <c r="V783">
        <v>12</v>
      </c>
      <c r="W783">
        <v>3</v>
      </c>
      <c r="X783">
        <v>3</v>
      </c>
      <c r="Y783">
        <v>2</v>
      </c>
      <c r="Z783">
        <v>0</v>
      </c>
      <c r="AA783">
        <v>3</v>
      </c>
      <c r="AB783">
        <v>1</v>
      </c>
      <c r="AC783">
        <v>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3</v>
      </c>
      <c r="AL783">
        <v>0</v>
      </c>
      <c r="AM783">
        <v>0</v>
      </c>
      <c r="AN783">
        <v>5</v>
      </c>
      <c r="AO783">
        <v>7</v>
      </c>
      <c r="AP783">
        <v>1</v>
      </c>
      <c r="AQ783">
        <v>1</v>
      </c>
      <c r="AR783">
        <v>1</v>
      </c>
      <c r="AS783">
        <v>0</v>
      </c>
      <c r="AT783">
        <v>2</v>
      </c>
      <c r="AU783">
        <v>0</v>
      </c>
      <c r="AV783">
        <v>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s="2">
        <v>3</v>
      </c>
      <c r="BD783" s="2">
        <v>3</v>
      </c>
      <c r="BE783" s="2">
        <v>0</v>
      </c>
      <c r="BF783" s="2">
        <v>0</v>
      </c>
      <c r="BG783" s="2">
        <v>8.5709999999999997</v>
      </c>
      <c r="BH783" s="2">
        <v>10.5</v>
      </c>
      <c r="BI783" s="2">
        <v>2</v>
      </c>
      <c r="BJ783" s="2">
        <v>2</v>
      </c>
      <c r="BK783" s="2">
        <v>2</v>
      </c>
      <c r="BL783" s="2">
        <v>0</v>
      </c>
      <c r="BM783" s="2">
        <v>3</v>
      </c>
      <c r="BN783" s="2">
        <v>0.5</v>
      </c>
      <c r="BO783" s="2">
        <v>4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f t="shared" si="53"/>
        <v>38.570999999999998</v>
      </c>
      <c r="BW783" s="16">
        <f t="shared" si="51"/>
        <v>2.0300526315789473</v>
      </c>
      <c r="BX783" s="16">
        <f>COUNTIF($BC$6:BU783, "=0") / COUNTIF($BC$6:BU783, "&gt;-1")</f>
        <v>0.21350290894330942</v>
      </c>
      <c r="BY783" s="18">
        <f>SUM($BC$6:BU783) / $BY$4</f>
        <v>0.91230208333993412</v>
      </c>
      <c r="BZ783" s="14">
        <f t="shared" si="52"/>
        <v>9</v>
      </c>
      <c r="CA783" t="s">
        <v>5832</v>
      </c>
      <c r="CZ783" t="s">
        <v>10110</v>
      </c>
      <c r="DA783" t="s">
        <v>5904</v>
      </c>
      <c r="DB783">
        <v>1049.3</v>
      </c>
      <c r="DC783" t="s">
        <v>26455</v>
      </c>
      <c r="DD783" t="s">
        <v>26456</v>
      </c>
      <c r="DE783" t="s">
        <v>26457</v>
      </c>
      <c r="DF783" t="s">
        <v>26458</v>
      </c>
      <c r="DG783" t="s">
        <v>26459</v>
      </c>
      <c r="DH783" t="str">
        <f>"ATP6V1B2"</f>
        <v>ATP6V1B2</v>
      </c>
      <c r="DI783" t="s">
        <v>26460</v>
      </c>
      <c r="DJ783" t="s">
        <v>13777</v>
      </c>
      <c r="DK783">
        <v>9606</v>
      </c>
      <c r="DL783" s="34" t="str">
        <f>HYPERLINK("http://www.uniprot.org/uniprot/P21281", "P21281")</f>
        <v>P21281</v>
      </c>
      <c r="DM783" t="s">
        <v>26461</v>
      </c>
      <c r="DN783" t="s">
        <v>14032</v>
      </c>
      <c r="DO783" t="s">
        <v>13825</v>
      </c>
      <c r="DP783" t="s">
        <v>13772</v>
      </c>
      <c r="DQ783" t="s">
        <v>13772</v>
      </c>
      <c r="DR783" t="s">
        <v>26462</v>
      </c>
      <c r="DS783" t="s">
        <v>13772</v>
      </c>
      <c r="DT783" t="s">
        <v>13772</v>
      </c>
      <c r="DU783" t="s">
        <v>13857</v>
      </c>
      <c r="DV783" t="s">
        <v>13772</v>
      </c>
      <c r="DW783" t="s">
        <v>13772</v>
      </c>
      <c r="DX783" t="s">
        <v>26463</v>
      </c>
      <c r="DY783" t="s">
        <v>26464</v>
      </c>
      <c r="DZ783" t="s">
        <v>26465</v>
      </c>
      <c r="EA783" t="s">
        <v>13772</v>
      </c>
      <c r="EB783" t="s">
        <v>17137</v>
      </c>
    </row>
    <row r="784" spans="1:132" hidden="1">
      <c r="A784">
        <v>1986</v>
      </c>
      <c r="B784">
        <v>1</v>
      </c>
      <c r="C784" t="s">
        <v>4675</v>
      </c>
      <c r="D784" t="s">
        <v>73</v>
      </c>
      <c r="E784" t="s">
        <v>73</v>
      </c>
      <c r="F784" t="s">
        <v>2944</v>
      </c>
      <c r="G784" t="s">
        <v>73</v>
      </c>
      <c r="H784">
        <v>71.599999999999994</v>
      </c>
      <c r="I784">
        <v>215</v>
      </c>
      <c r="J784">
        <v>23897</v>
      </c>
      <c r="K784" t="s">
        <v>4676</v>
      </c>
      <c r="L784">
        <f t="shared" si="50"/>
        <v>41</v>
      </c>
      <c r="N784">
        <v>41</v>
      </c>
      <c r="O784">
        <v>36</v>
      </c>
      <c r="P784">
        <v>0.878</v>
      </c>
      <c r="Q784">
        <v>4</v>
      </c>
      <c r="R784">
        <v>4</v>
      </c>
      <c r="S784">
        <v>2</v>
      </c>
      <c r="T784">
        <v>1</v>
      </c>
      <c r="U784">
        <v>5</v>
      </c>
      <c r="V784">
        <v>4</v>
      </c>
      <c r="W784">
        <v>2</v>
      </c>
      <c r="X784">
        <v>4</v>
      </c>
      <c r="Y784">
        <v>2</v>
      </c>
      <c r="Z784">
        <v>0</v>
      </c>
      <c r="AA784">
        <v>3</v>
      </c>
      <c r="AB784">
        <v>7</v>
      </c>
      <c r="AC784">
        <v>1</v>
      </c>
      <c r="AD784">
        <v>0</v>
      </c>
      <c r="AE784">
        <v>0</v>
      </c>
      <c r="AF784">
        <v>2</v>
      </c>
      <c r="AG784">
        <v>0</v>
      </c>
      <c r="AH784">
        <v>0</v>
      </c>
      <c r="AI784">
        <v>0</v>
      </c>
      <c r="AJ784">
        <v>4</v>
      </c>
      <c r="AK784">
        <v>3</v>
      </c>
      <c r="AL784">
        <v>2</v>
      </c>
      <c r="AM784">
        <v>0</v>
      </c>
      <c r="AN784">
        <v>4</v>
      </c>
      <c r="AO784">
        <v>3</v>
      </c>
      <c r="AP784">
        <v>2</v>
      </c>
      <c r="AQ784">
        <v>3</v>
      </c>
      <c r="AR784">
        <v>2</v>
      </c>
      <c r="AS784">
        <v>0</v>
      </c>
      <c r="AT784">
        <v>3</v>
      </c>
      <c r="AU784">
        <v>7</v>
      </c>
      <c r="AV784">
        <v>1</v>
      </c>
      <c r="AW784">
        <v>0</v>
      </c>
      <c r="AX784">
        <v>0</v>
      </c>
      <c r="AY784">
        <v>2</v>
      </c>
      <c r="AZ784">
        <v>0</v>
      </c>
      <c r="BA784">
        <v>0</v>
      </c>
      <c r="BB784">
        <v>0</v>
      </c>
      <c r="BC784" s="2">
        <v>4</v>
      </c>
      <c r="BD784" s="2">
        <v>3.4289999999999998</v>
      </c>
      <c r="BE784" s="2">
        <v>2</v>
      </c>
      <c r="BF784" s="2">
        <v>0</v>
      </c>
      <c r="BG784" s="2">
        <v>4.8</v>
      </c>
      <c r="BH784" s="2">
        <v>3.5</v>
      </c>
      <c r="BI784" s="2">
        <v>2</v>
      </c>
      <c r="BJ784" s="2">
        <v>3.6</v>
      </c>
      <c r="BK784" s="2">
        <v>2</v>
      </c>
      <c r="BL784" s="2">
        <v>0</v>
      </c>
      <c r="BM784" s="2">
        <v>3</v>
      </c>
      <c r="BN784" s="2">
        <v>7</v>
      </c>
      <c r="BO784" s="2">
        <v>1</v>
      </c>
      <c r="BP784" s="2">
        <v>0</v>
      </c>
      <c r="BQ784" s="2">
        <v>0</v>
      </c>
      <c r="BR784" s="2">
        <v>2</v>
      </c>
      <c r="BS784" s="2">
        <v>0</v>
      </c>
      <c r="BT784" s="2">
        <v>0</v>
      </c>
      <c r="BU784" s="2">
        <v>0</v>
      </c>
      <c r="BV784" s="2">
        <f t="shared" si="53"/>
        <v>38.329000000000001</v>
      </c>
      <c r="BW784" s="16">
        <f t="shared" si="51"/>
        <v>2.0173157894736842</v>
      </c>
      <c r="BX784" s="16">
        <f>COUNTIF($BC$6:BU784, "=0") / COUNTIF($BC$6:BU784, "&gt;-1")</f>
        <v>0.21370177690696573</v>
      </c>
      <c r="BY784" s="18">
        <f>SUM($BC$6:BU784) / $BY$4</f>
        <v>0.91246627085747456</v>
      </c>
      <c r="BZ784" s="14">
        <f t="shared" si="52"/>
        <v>7</v>
      </c>
      <c r="CA784" t="s">
        <v>5832</v>
      </c>
      <c r="CZ784" t="s">
        <v>12374</v>
      </c>
      <c r="DA784" t="s">
        <v>5904</v>
      </c>
      <c r="DB784">
        <v>452.6</v>
      </c>
      <c r="DC784" t="s">
        <v>32830</v>
      </c>
      <c r="DD784" t="s">
        <v>13772</v>
      </c>
      <c r="DE784" t="s">
        <v>32831</v>
      </c>
      <c r="DF784" t="s">
        <v>32832</v>
      </c>
      <c r="DG784" t="s">
        <v>32833</v>
      </c>
      <c r="DH784" t="str">
        <f>"RAB14"</f>
        <v>RAB14</v>
      </c>
      <c r="DI784" t="s">
        <v>13772</v>
      </c>
      <c r="DJ784" t="s">
        <v>13777</v>
      </c>
      <c r="DK784">
        <v>9606</v>
      </c>
      <c r="DL784" s="34" t="str">
        <f>HYPERLINK("http://www.uniprot.org/uniprot/P61106", "P61106")</f>
        <v>P61106</v>
      </c>
      <c r="DM784" t="s">
        <v>32834</v>
      </c>
      <c r="DN784" t="s">
        <v>14347</v>
      </c>
      <c r="DO784" t="s">
        <v>32835</v>
      </c>
      <c r="DP784" t="s">
        <v>13793</v>
      </c>
      <c r="DQ784" t="s">
        <v>13772</v>
      </c>
      <c r="DR784" t="s">
        <v>13772</v>
      </c>
      <c r="DS784" t="s">
        <v>13772</v>
      </c>
      <c r="DT784" t="s">
        <v>14216</v>
      </c>
      <c r="DU784" t="s">
        <v>13772</v>
      </c>
      <c r="DV784" t="s">
        <v>14896</v>
      </c>
      <c r="DW784" t="s">
        <v>13812</v>
      </c>
      <c r="DX784" t="s">
        <v>32836</v>
      </c>
      <c r="DY784" t="s">
        <v>32837</v>
      </c>
      <c r="DZ784" t="s">
        <v>32838</v>
      </c>
      <c r="EA784" t="s">
        <v>13772</v>
      </c>
      <c r="EB784" t="s">
        <v>32839</v>
      </c>
    </row>
    <row r="785" spans="1:132" hidden="1">
      <c r="A785">
        <v>2331</v>
      </c>
      <c r="B785">
        <v>1</v>
      </c>
      <c r="C785" t="s">
        <v>5435</v>
      </c>
      <c r="D785" t="s">
        <v>73</v>
      </c>
      <c r="E785" t="s">
        <v>73</v>
      </c>
      <c r="F785" t="s">
        <v>552</v>
      </c>
      <c r="G785" t="s">
        <v>73</v>
      </c>
      <c r="H785">
        <v>28.6</v>
      </c>
      <c r="I785">
        <v>1939</v>
      </c>
      <c r="J785">
        <v>222831</v>
      </c>
      <c r="K785" t="s">
        <v>5436</v>
      </c>
      <c r="L785">
        <f t="shared" si="50"/>
        <v>309</v>
      </c>
      <c r="N785">
        <v>309</v>
      </c>
      <c r="O785">
        <v>13</v>
      </c>
      <c r="P785">
        <v>4.2000000000000003E-2</v>
      </c>
      <c r="Q785">
        <v>0</v>
      </c>
      <c r="R785">
        <v>1</v>
      </c>
      <c r="S785">
        <v>0</v>
      </c>
      <c r="T785">
        <v>0</v>
      </c>
      <c r="U785">
        <v>3</v>
      </c>
      <c r="V785">
        <v>1</v>
      </c>
      <c r="W785">
        <v>26</v>
      </c>
      <c r="X785">
        <v>33</v>
      </c>
      <c r="Y785">
        <v>21</v>
      </c>
      <c r="Z785">
        <v>4</v>
      </c>
      <c r="AA785">
        <v>46</v>
      </c>
      <c r="AB785">
        <v>34</v>
      </c>
      <c r="AC785">
        <v>10</v>
      </c>
      <c r="AD785">
        <v>0</v>
      </c>
      <c r="AE785">
        <v>53</v>
      </c>
      <c r="AF785">
        <v>55</v>
      </c>
      <c r="AG785">
        <v>8</v>
      </c>
      <c r="AH785">
        <v>7</v>
      </c>
      <c r="AI785">
        <v>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1</v>
      </c>
      <c r="AS785">
        <v>0</v>
      </c>
      <c r="AT785">
        <v>6</v>
      </c>
      <c r="AU785">
        <v>2</v>
      </c>
      <c r="AV785">
        <v>0</v>
      </c>
      <c r="AW785">
        <v>0</v>
      </c>
      <c r="AX785">
        <v>3</v>
      </c>
      <c r="AY785">
        <v>0</v>
      </c>
      <c r="AZ785">
        <v>0</v>
      </c>
      <c r="BA785">
        <v>0</v>
      </c>
      <c r="BB785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0.86699999999999999</v>
      </c>
      <c r="BH785" s="2">
        <v>0.33300000000000002</v>
      </c>
      <c r="BI785" s="2">
        <v>3.3879999999999999</v>
      </c>
      <c r="BJ785" s="2">
        <v>0</v>
      </c>
      <c r="BK785" s="2">
        <v>4.5270000000000001</v>
      </c>
      <c r="BL785" s="2">
        <v>0</v>
      </c>
      <c r="BM785" s="2">
        <v>14.929</v>
      </c>
      <c r="BN785" s="2">
        <v>6.444</v>
      </c>
      <c r="BO785" s="2">
        <v>0</v>
      </c>
      <c r="BP785" s="2">
        <v>0</v>
      </c>
      <c r="BQ785" s="2">
        <v>7.282</v>
      </c>
      <c r="BR785" s="2">
        <v>0</v>
      </c>
      <c r="BS785" s="2">
        <v>0.5</v>
      </c>
      <c r="BT785" s="2">
        <v>0</v>
      </c>
      <c r="BU785" s="2">
        <v>0</v>
      </c>
      <c r="BV785" s="2">
        <f t="shared" si="53"/>
        <v>38.269999999999996</v>
      </c>
      <c r="BW785" s="16">
        <f t="shared" si="51"/>
        <v>2.0142105263157895</v>
      </c>
      <c r="BX785" s="16">
        <f>COUNTIF($BC$6:BU785, "=0") / COUNTIF($BC$6:BU785, "&gt;-1")</f>
        <v>0.21417004048582997</v>
      </c>
      <c r="BY785" s="18">
        <f>SUM($BC$6:BU785) / $BY$4</f>
        <v>0.91263020564043984</v>
      </c>
      <c r="BZ785" s="14">
        <f t="shared" si="52"/>
        <v>11</v>
      </c>
      <c r="CA785" t="s">
        <v>5832</v>
      </c>
      <c r="CZ785" t="s">
        <v>13496</v>
      </c>
      <c r="DA785" t="s">
        <v>5904</v>
      </c>
      <c r="DB785">
        <v>3680.9</v>
      </c>
      <c r="DC785" t="s">
        <v>35974</v>
      </c>
      <c r="DD785" t="s">
        <v>35975</v>
      </c>
      <c r="DE785" t="s">
        <v>35976</v>
      </c>
      <c r="DF785" t="s">
        <v>35977</v>
      </c>
      <c r="DG785" t="s">
        <v>13772</v>
      </c>
      <c r="DH785" t="str">
        <f>"MYH4"</f>
        <v>MYH4</v>
      </c>
      <c r="DI785" t="s">
        <v>13772</v>
      </c>
      <c r="DJ785" t="s">
        <v>13777</v>
      </c>
      <c r="DK785">
        <v>9606</v>
      </c>
      <c r="DL785" s="34" t="str">
        <f>HYPERLINK("http://www.uniprot.org/uniprot/Q9Y623", "Q9Y623")</f>
        <v>Q9Y623</v>
      </c>
      <c r="DM785" t="s">
        <v>35978</v>
      </c>
      <c r="DN785" t="s">
        <v>13772</v>
      </c>
      <c r="DO785" t="s">
        <v>15651</v>
      </c>
      <c r="DP785" t="s">
        <v>13793</v>
      </c>
      <c r="DQ785" t="s">
        <v>13772</v>
      </c>
      <c r="DR785" t="s">
        <v>13772</v>
      </c>
      <c r="DS785" t="s">
        <v>14245</v>
      </c>
      <c r="DT785" t="s">
        <v>14005</v>
      </c>
      <c r="DU785" t="s">
        <v>15653</v>
      </c>
      <c r="DV785" t="s">
        <v>14478</v>
      </c>
      <c r="DW785" t="s">
        <v>13772</v>
      </c>
      <c r="DX785" t="s">
        <v>35979</v>
      </c>
      <c r="DY785" t="s">
        <v>35980</v>
      </c>
      <c r="DZ785" t="s">
        <v>35981</v>
      </c>
      <c r="EA785" t="s">
        <v>13772</v>
      </c>
      <c r="EB785" t="s">
        <v>13772</v>
      </c>
    </row>
    <row r="786" spans="1:132" hidden="1">
      <c r="A786">
        <v>522</v>
      </c>
      <c r="B786">
        <v>1</v>
      </c>
      <c r="C786" t="s">
        <v>1315</v>
      </c>
      <c r="D786" t="s">
        <v>1316</v>
      </c>
      <c r="E786" t="s">
        <v>73</v>
      </c>
      <c r="F786" t="s">
        <v>73</v>
      </c>
      <c r="G786" t="s">
        <v>73</v>
      </c>
      <c r="H786">
        <v>29.8</v>
      </c>
      <c r="I786">
        <v>188</v>
      </c>
      <c r="J786">
        <v>20938</v>
      </c>
      <c r="K786" t="s">
        <v>1317</v>
      </c>
      <c r="L786">
        <f t="shared" si="50"/>
        <v>38</v>
      </c>
      <c r="N786">
        <v>38</v>
      </c>
      <c r="O786">
        <v>38</v>
      </c>
      <c r="P786">
        <v>1</v>
      </c>
      <c r="Q786">
        <v>0</v>
      </c>
      <c r="R786">
        <v>3</v>
      </c>
      <c r="S786">
        <v>3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3</v>
      </c>
      <c r="Z786">
        <v>1</v>
      </c>
      <c r="AA786">
        <v>5</v>
      </c>
      <c r="AB786">
        <v>2</v>
      </c>
      <c r="AC786">
        <v>4</v>
      </c>
      <c r="AD786">
        <v>1</v>
      </c>
      <c r="AE786">
        <v>4</v>
      </c>
      <c r="AF786">
        <v>4</v>
      </c>
      <c r="AG786">
        <v>1</v>
      </c>
      <c r="AH786">
        <v>0</v>
      </c>
      <c r="AI786">
        <v>2</v>
      </c>
      <c r="AJ786">
        <v>0</v>
      </c>
      <c r="AK786">
        <v>3</v>
      </c>
      <c r="AL786">
        <v>3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3</v>
      </c>
      <c r="AS786">
        <v>1</v>
      </c>
      <c r="AT786">
        <v>5</v>
      </c>
      <c r="AU786">
        <v>2</v>
      </c>
      <c r="AV786">
        <v>4</v>
      </c>
      <c r="AW786">
        <v>1</v>
      </c>
      <c r="AX786">
        <v>4</v>
      </c>
      <c r="AY786">
        <v>4</v>
      </c>
      <c r="AZ786">
        <v>1</v>
      </c>
      <c r="BA786">
        <v>0</v>
      </c>
      <c r="BB786">
        <v>2</v>
      </c>
      <c r="BC786" s="2">
        <v>0</v>
      </c>
      <c r="BD786" s="2">
        <v>3</v>
      </c>
      <c r="BE786" s="2">
        <v>3</v>
      </c>
      <c r="BF786" s="2">
        <v>1</v>
      </c>
      <c r="BG786" s="2">
        <v>1</v>
      </c>
      <c r="BH786" s="2">
        <v>1</v>
      </c>
      <c r="BI786" s="2">
        <v>1</v>
      </c>
      <c r="BJ786" s="2">
        <v>1</v>
      </c>
      <c r="BK786" s="2">
        <v>3</v>
      </c>
      <c r="BL786" s="2">
        <v>1</v>
      </c>
      <c r="BM786" s="2">
        <v>5</v>
      </c>
      <c r="BN786" s="2">
        <v>2</v>
      </c>
      <c r="BO786" s="2">
        <v>4</v>
      </c>
      <c r="BP786" s="2">
        <v>1</v>
      </c>
      <c r="BQ786" s="2">
        <v>4</v>
      </c>
      <c r="BR786" s="2">
        <v>4</v>
      </c>
      <c r="BS786" s="2">
        <v>1</v>
      </c>
      <c r="BT786" s="2">
        <v>0</v>
      </c>
      <c r="BU786" s="2">
        <v>2</v>
      </c>
      <c r="BV786" s="2">
        <f t="shared" si="53"/>
        <v>38</v>
      </c>
      <c r="BW786" s="16">
        <f t="shared" si="51"/>
        <v>2</v>
      </c>
      <c r="BX786" s="16">
        <f>COUNTIF($BC$6:BU786, "=0") / COUNTIF($BC$6:BU786, "&gt;-1")</f>
        <v>0.21403059505357505</v>
      </c>
      <c r="BY786" s="18">
        <f>SUM($BC$6:BU786) / $BY$4</f>
        <v>0.91279298384145036</v>
      </c>
      <c r="BZ786" s="14">
        <f t="shared" si="52"/>
        <v>2</v>
      </c>
      <c r="CA786" t="s">
        <v>5832</v>
      </c>
      <c r="CZ786" t="s">
        <v>7525</v>
      </c>
      <c r="DA786" t="s">
        <v>5904</v>
      </c>
      <c r="DB786">
        <v>317</v>
      </c>
      <c r="DC786" t="s">
        <v>18940</v>
      </c>
      <c r="DD786" t="s">
        <v>18941</v>
      </c>
      <c r="DE786" t="s">
        <v>18942</v>
      </c>
      <c r="DF786" t="s">
        <v>18943</v>
      </c>
      <c r="DG786" t="s">
        <v>18944</v>
      </c>
      <c r="DH786" t="str">
        <f>"ADM"</f>
        <v>ADM</v>
      </c>
      <c r="DI786" t="s">
        <v>18945</v>
      </c>
      <c r="DJ786" t="s">
        <v>13777</v>
      </c>
      <c r="DK786">
        <v>9606</v>
      </c>
      <c r="DL786" s="34" t="str">
        <f>HYPERLINK("http://www.uniprot.org/uniprot/P35318", "P35318")</f>
        <v>P35318</v>
      </c>
      <c r="DM786" t="s">
        <v>18946</v>
      </c>
      <c r="DN786" t="s">
        <v>13772</v>
      </c>
      <c r="DO786" t="s">
        <v>14321</v>
      </c>
      <c r="DP786" t="s">
        <v>13793</v>
      </c>
      <c r="DQ786" t="s">
        <v>13772</v>
      </c>
      <c r="DR786" t="s">
        <v>13772</v>
      </c>
      <c r="DS786" t="s">
        <v>13808</v>
      </c>
      <c r="DT786" t="s">
        <v>13772</v>
      </c>
      <c r="DU786" t="s">
        <v>14322</v>
      </c>
      <c r="DV786" t="s">
        <v>18947</v>
      </c>
      <c r="DW786" t="s">
        <v>13812</v>
      </c>
      <c r="DX786" t="s">
        <v>18948</v>
      </c>
      <c r="DY786" t="s">
        <v>14326</v>
      </c>
      <c r="DZ786" t="s">
        <v>18949</v>
      </c>
      <c r="EA786" t="s">
        <v>13772</v>
      </c>
      <c r="EB786" t="s">
        <v>18950</v>
      </c>
    </row>
    <row r="787" spans="1:132" hidden="1">
      <c r="A787">
        <v>1331</v>
      </c>
      <c r="B787">
        <v>1</v>
      </c>
      <c r="C787" t="s">
        <v>3191</v>
      </c>
      <c r="D787" t="s">
        <v>73</v>
      </c>
      <c r="E787" t="s">
        <v>73</v>
      </c>
      <c r="F787" t="s">
        <v>73</v>
      </c>
      <c r="G787" t="s">
        <v>73</v>
      </c>
      <c r="H787">
        <v>35.200000000000003</v>
      </c>
      <c r="I787">
        <v>247</v>
      </c>
      <c r="J787">
        <v>27478</v>
      </c>
      <c r="K787" t="s">
        <v>3192</v>
      </c>
      <c r="L787">
        <f t="shared" si="50"/>
        <v>38</v>
      </c>
      <c r="N787">
        <v>38</v>
      </c>
      <c r="O787">
        <v>38</v>
      </c>
      <c r="P787">
        <v>1</v>
      </c>
      <c r="Q787">
        <v>5</v>
      </c>
      <c r="R787">
        <v>8</v>
      </c>
      <c r="S787">
        <v>1</v>
      </c>
      <c r="T787">
        <v>5</v>
      </c>
      <c r="U787">
        <v>7</v>
      </c>
      <c r="V787">
        <v>5</v>
      </c>
      <c r="W787">
        <v>2</v>
      </c>
      <c r="X787">
        <v>0</v>
      </c>
      <c r="Y787">
        <v>2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5</v>
      </c>
      <c r="AK787">
        <v>8</v>
      </c>
      <c r="AL787">
        <v>1</v>
      </c>
      <c r="AM787">
        <v>5</v>
      </c>
      <c r="AN787">
        <v>7</v>
      </c>
      <c r="AO787">
        <v>5</v>
      </c>
      <c r="AP787">
        <v>2</v>
      </c>
      <c r="AQ787">
        <v>0</v>
      </c>
      <c r="AR787">
        <v>2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 s="2">
        <v>5</v>
      </c>
      <c r="BD787" s="2">
        <v>8</v>
      </c>
      <c r="BE787" s="2">
        <v>1</v>
      </c>
      <c r="BF787" s="2">
        <v>5</v>
      </c>
      <c r="BG787" s="2">
        <v>7</v>
      </c>
      <c r="BH787" s="2">
        <v>5</v>
      </c>
      <c r="BI787" s="2">
        <v>2</v>
      </c>
      <c r="BJ787" s="2">
        <v>0</v>
      </c>
      <c r="BK787" s="2">
        <v>2</v>
      </c>
      <c r="BL787" s="2">
        <v>0</v>
      </c>
      <c r="BM787" s="2">
        <v>1</v>
      </c>
      <c r="BN787" s="2">
        <v>1</v>
      </c>
      <c r="BO787" s="2">
        <v>0</v>
      </c>
      <c r="BP787" s="2">
        <v>0</v>
      </c>
      <c r="BQ787" s="2">
        <v>0</v>
      </c>
      <c r="BR787" s="2">
        <v>1</v>
      </c>
      <c r="BS787" s="2">
        <v>0</v>
      </c>
      <c r="BT787" s="2">
        <v>0</v>
      </c>
      <c r="BU787" s="2">
        <v>0</v>
      </c>
      <c r="BV787" s="2">
        <f t="shared" si="53"/>
        <v>38</v>
      </c>
      <c r="BW787" s="16">
        <f t="shared" si="51"/>
        <v>2</v>
      </c>
      <c r="BX787" s="16">
        <f>COUNTIF($BC$6:BU787, "=0") / COUNTIF($BC$6:BU787, "&gt;-1")</f>
        <v>0.21429532911562796</v>
      </c>
      <c r="BY787" s="18">
        <f>SUM($BC$6:BU787) / $BY$4</f>
        <v>0.91295576204246098</v>
      </c>
      <c r="BZ787" s="14">
        <f t="shared" si="52"/>
        <v>8</v>
      </c>
      <c r="CA787" t="s">
        <v>5832</v>
      </c>
      <c r="CZ787" t="s">
        <v>10181</v>
      </c>
      <c r="DA787" t="s">
        <v>5904</v>
      </c>
      <c r="DB787">
        <v>505.4</v>
      </c>
      <c r="DC787" t="s">
        <v>26655</v>
      </c>
      <c r="DD787" t="s">
        <v>13772</v>
      </c>
      <c r="DE787" t="s">
        <v>26656</v>
      </c>
      <c r="DF787" t="s">
        <v>26657</v>
      </c>
      <c r="DG787" t="s">
        <v>26658</v>
      </c>
      <c r="DH787" t="str">
        <f>"STC1"</f>
        <v>STC1</v>
      </c>
      <c r="DI787" t="s">
        <v>26659</v>
      </c>
      <c r="DJ787" t="s">
        <v>13777</v>
      </c>
      <c r="DK787">
        <v>9606</v>
      </c>
      <c r="DL787" s="34" t="str">
        <f>HYPERLINK("http://www.uniprot.org/uniprot/P52823", "P52823")</f>
        <v>P52823</v>
      </c>
      <c r="DM787" t="s">
        <v>26660</v>
      </c>
      <c r="DN787" t="s">
        <v>13772</v>
      </c>
      <c r="DO787" t="s">
        <v>14321</v>
      </c>
      <c r="DP787" t="s">
        <v>13841</v>
      </c>
      <c r="DQ787" t="s">
        <v>13772</v>
      </c>
      <c r="DR787" t="s">
        <v>13772</v>
      </c>
      <c r="DS787" t="s">
        <v>13808</v>
      </c>
      <c r="DT787" t="s">
        <v>13772</v>
      </c>
      <c r="DU787" t="s">
        <v>14322</v>
      </c>
      <c r="DV787" t="s">
        <v>13796</v>
      </c>
      <c r="DW787" t="s">
        <v>13772</v>
      </c>
      <c r="DX787" t="s">
        <v>26661</v>
      </c>
      <c r="DY787" t="s">
        <v>26662</v>
      </c>
      <c r="DZ787" t="s">
        <v>21355</v>
      </c>
      <c r="EA787" t="s">
        <v>13772</v>
      </c>
      <c r="EB787" t="s">
        <v>13772</v>
      </c>
    </row>
    <row r="788" spans="1:132" hidden="1">
      <c r="A788">
        <v>1683</v>
      </c>
      <c r="B788">
        <v>1</v>
      </c>
      <c r="C788" t="s">
        <v>3990</v>
      </c>
      <c r="D788" t="s">
        <v>3991</v>
      </c>
      <c r="E788" t="s">
        <v>73</v>
      </c>
      <c r="F788" t="s">
        <v>73</v>
      </c>
      <c r="G788" t="s">
        <v>73</v>
      </c>
      <c r="H788">
        <v>20</v>
      </c>
      <c r="I788">
        <v>1256</v>
      </c>
      <c r="J788">
        <v>139939</v>
      </c>
      <c r="K788" t="s">
        <v>3992</v>
      </c>
      <c r="L788">
        <f t="shared" si="50"/>
        <v>38</v>
      </c>
      <c r="N788">
        <v>38</v>
      </c>
      <c r="O788">
        <v>38</v>
      </c>
      <c r="P788">
        <v>1</v>
      </c>
      <c r="Q788">
        <v>4</v>
      </c>
      <c r="R788">
        <v>11</v>
      </c>
      <c r="S788">
        <v>3</v>
      </c>
      <c r="T788">
        <v>10</v>
      </c>
      <c r="U788">
        <v>6</v>
      </c>
      <c r="V788">
        <v>3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4</v>
      </c>
      <c r="AK788">
        <v>11</v>
      </c>
      <c r="AL788">
        <v>3</v>
      </c>
      <c r="AM788">
        <v>10</v>
      </c>
      <c r="AN788">
        <v>6</v>
      </c>
      <c r="AO788">
        <v>3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 s="2">
        <v>4</v>
      </c>
      <c r="BD788" s="2">
        <v>11</v>
      </c>
      <c r="BE788" s="2">
        <v>3</v>
      </c>
      <c r="BF788" s="2">
        <v>10</v>
      </c>
      <c r="BG788" s="2">
        <v>6</v>
      </c>
      <c r="BH788" s="2">
        <v>3</v>
      </c>
      <c r="BI788" s="2">
        <v>1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f t="shared" si="53"/>
        <v>38</v>
      </c>
      <c r="BW788" s="16">
        <f t="shared" si="51"/>
        <v>2</v>
      </c>
      <c r="BX788" s="16">
        <f>COUNTIF($BC$6:BU788, "=0") / COUNTIF($BC$6:BU788, "&gt;-1")</f>
        <v>0.21482825838542716</v>
      </c>
      <c r="BY788" s="18">
        <f>SUM($BC$6:BU788) / $BY$4</f>
        <v>0.91311854024347161</v>
      </c>
      <c r="BZ788" s="14">
        <f t="shared" si="52"/>
        <v>12</v>
      </c>
      <c r="CA788" t="s">
        <v>5832</v>
      </c>
      <c r="CZ788" t="s">
        <v>11363</v>
      </c>
      <c r="DA788" t="s">
        <v>5904</v>
      </c>
      <c r="DB788">
        <v>2329.3000000000002</v>
      </c>
      <c r="DC788" t="s">
        <v>29947</v>
      </c>
      <c r="DD788" t="s">
        <v>29948</v>
      </c>
      <c r="DE788" t="s">
        <v>29949</v>
      </c>
      <c r="DF788" t="s">
        <v>29950</v>
      </c>
      <c r="DG788" t="s">
        <v>29951</v>
      </c>
      <c r="DH788" t="str">
        <f>"L1CAM"</f>
        <v>L1CAM</v>
      </c>
      <c r="DI788" t="s">
        <v>29952</v>
      </c>
      <c r="DJ788" t="s">
        <v>13777</v>
      </c>
      <c r="DK788">
        <v>9606</v>
      </c>
      <c r="DL788" s="34" t="str">
        <f>HYPERLINK("http://www.uniprot.org/uniprot/P32004", "P32004")</f>
        <v>P32004</v>
      </c>
      <c r="DM788" t="s">
        <v>29953</v>
      </c>
      <c r="DN788" t="s">
        <v>21880</v>
      </c>
      <c r="DO788" t="s">
        <v>15856</v>
      </c>
      <c r="DP788" t="s">
        <v>13780</v>
      </c>
      <c r="DQ788" t="s">
        <v>13772</v>
      </c>
      <c r="DR788" t="s">
        <v>29954</v>
      </c>
      <c r="DS788" t="s">
        <v>13951</v>
      </c>
      <c r="DT788" t="s">
        <v>13772</v>
      </c>
      <c r="DU788" t="s">
        <v>14727</v>
      </c>
      <c r="DV788" t="s">
        <v>13964</v>
      </c>
      <c r="DW788" t="s">
        <v>13772</v>
      </c>
      <c r="DX788" t="s">
        <v>29955</v>
      </c>
      <c r="DY788" t="s">
        <v>29956</v>
      </c>
      <c r="DZ788" t="s">
        <v>29957</v>
      </c>
      <c r="EA788" t="s">
        <v>13772</v>
      </c>
      <c r="EB788" t="s">
        <v>29958</v>
      </c>
    </row>
    <row r="789" spans="1:132" hidden="1">
      <c r="A789">
        <v>1872</v>
      </c>
      <c r="B789">
        <v>1</v>
      </c>
      <c r="C789" t="s">
        <v>4419</v>
      </c>
      <c r="D789" t="s">
        <v>73</v>
      </c>
      <c r="E789" t="s">
        <v>73</v>
      </c>
      <c r="F789" t="s">
        <v>73</v>
      </c>
      <c r="G789" t="s">
        <v>73</v>
      </c>
      <c r="H789">
        <v>31.8</v>
      </c>
      <c r="I789">
        <v>406</v>
      </c>
      <c r="J789">
        <v>46003</v>
      </c>
      <c r="K789" t="s">
        <v>4420</v>
      </c>
      <c r="L789">
        <f t="shared" si="50"/>
        <v>38</v>
      </c>
      <c r="N789">
        <v>38</v>
      </c>
      <c r="O789">
        <v>38</v>
      </c>
      <c r="P789">
        <v>1</v>
      </c>
      <c r="Q789">
        <v>4</v>
      </c>
      <c r="R789">
        <v>3</v>
      </c>
      <c r="S789">
        <v>4</v>
      </c>
      <c r="T789">
        <v>2</v>
      </c>
      <c r="U789">
        <v>0</v>
      </c>
      <c r="V789">
        <v>1</v>
      </c>
      <c r="W789">
        <v>2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7</v>
      </c>
      <c r="AD789">
        <v>7</v>
      </c>
      <c r="AE789">
        <v>0</v>
      </c>
      <c r="AF789">
        <v>1</v>
      </c>
      <c r="AG789">
        <v>0</v>
      </c>
      <c r="AH789">
        <v>4</v>
      </c>
      <c r="AI789">
        <v>2</v>
      </c>
      <c r="AJ789">
        <v>4</v>
      </c>
      <c r="AK789">
        <v>3</v>
      </c>
      <c r="AL789">
        <v>4</v>
      </c>
      <c r="AM789">
        <v>2</v>
      </c>
      <c r="AN789">
        <v>0</v>
      </c>
      <c r="AO789">
        <v>1</v>
      </c>
      <c r="AP789">
        <v>2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7</v>
      </c>
      <c r="AW789">
        <v>7</v>
      </c>
      <c r="AX789">
        <v>0</v>
      </c>
      <c r="AY789">
        <v>1</v>
      </c>
      <c r="AZ789">
        <v>0</v>
      </c>
      <c r="BA789">
        <v>4</v>
      </c>
      <c r="BB789">
        <v>2</v>
      </c>
      <c r="BC789" s="2">
        <v>4</v>
      </c>
      <c r="BD789" s="2">
        <v>3</v>
      </c>
      <c r="BE789" s="2">
        <v>4</v>
      </c>
      <c r="BF789" s="2">
        <v>2</v>
      </c>
      <c r="BG789" s="2">
        <v>0</v>
      </c>
      <c r="BH789" s="2">
        <v>1</v>
      </c>
      <c r="BI789" s="2">
        <v>2</v>
      </c>
      <c r="BJ789" s="2">
        <v>0</v>
      </c>
      <c r="BK789" s="2">
        <v>0</v>
      </c>
      <c r="BL789" s="2">
        <v>1</v>
      </c>
      <c r="BM789" s="2">
        <v>0</v>
      </c>
      <c r="BN789" s="2">
        <v>0</v>
      </c>
      <c r="BO789" s="2">
        <v>7</v>
      </c>
      <c r="BP789" s="2">
        <v>7</v>
      </c>
      <c r="BQ789" s="2">
        <v>0</v>
      </c>
      <c r="BR789" s="2">
        <v>1</v>
      </c>
      <c r="BS789" s="2">
        <v>0</v>
      </c>
      <c r="BT789" s="2">
        <v>4</v>
      </c>
      <c r="BU789" s="2">
        <v>2</v>
      </c>
      <c r="BV789" s="2">
        <f t="shared" si="53"/>
        <v>38</v>
      </c>
      <c r="BW789" s="16">
        <f t="shared" si="51"/>
        <v>2</v>
      </c>
      <c r="BX789" s="16">
        <f>COUNTIF($BC$6:BU789, "=0") / COUNTIF($BC$6:BU789, "&gt;-1")</f>
        <v>0.21502416756176154</v>
      </c>
      <c r="BY789" s="18">
        <f>SUM($BC$6:BU789) / $BY$4</f>
        <v>0.91328131844448224</v>
      </c>
      <c r="BZ789" s="14">
        <f t="shared" si="52"/>
        <v>7</v>
      </c>
      <c r="CA789" t="s">
        <v>5832</v>
      </c>
      <c r="CZ789" t="s">
        <v>11998</v>
      </c>
      <c r="DA789" t="s">
        <v>5904</v>
      </c>
      <c r="DB789">
        <v>813.9</v>
      </c>
      <c r="DC789" t="s">
        <v>31767</v>
      </c>
      <c r="DD789" t="s">
        <v>31768</v>
      </c>
      <c r="DE789" t="s">
        <v>31769</v>
      </c>
      <c r="DF789" t="s">
        <v>31770</v>
      </c>
      <c r="DG789" t="s">
        <v>31771</v>
      </c>
      <c r="DH789" t="str">
        <f>"OLFML3"</f>
        <v>OLFML3</v>
      </c>
      <c r="DI789" t="s">
        <v>13772</v>
      </c>
      <c r="DJ789" t="s">
        <v>13777</v>
      </c>
      <c r="DK789">
        <v>9606</v>
      </c>
      <c r="DL789" s="34" t="str">
        <f>HYPERLINK("http://www.uniprot.org/uniprot/Q9NRN5", "Q9NRN5")</f>
        <v>Q9NRN5</v>
      </c>
      <c r="DM789" t="s">
        <v>31772</v>
      </c>
      <c r="DN789" t="s">
        <v>13772</v>
      </c>
      <c r="DO789" t="s">
        <v>14321</v>
      </c>
      <c r="DP789" t="s">
        <v>13841</v>
      </c>
      <c r="DQ789" t="s">
        <v>13772</v>
      </c>
      <c r="DR789" t="s">
        <v>13772</v>
      </c>
      <c r="DS789" t="s">
        <v>16820</v>
      </c>
      <c r="DT789" t="s">
        <v>13772</v>
      </c>
      <c r="DU789" t="s">
        <v>14727</v>
      </c>
      <c r="DV789" t="s">
        <v>13796</v>
      </c>
      <c r="DW789" t="s">
        <v>13772</v>
      </c>
      <c r="DX789" t="s">
        <v>19133</v>
      </c>
      <c r="DY789" t="s">
        <v>31773</v>
      </c>
      <c r="DZ789" t="s">
        <v>13772</v>
      </c>
      <c r="EA789" t="s">
        <v>13772</v>
      </c>
      <c r="EB789" t="s">
        <v>13772</v>
      </c>
    </row>
    <row r="790" spans="1:132" hidden="1">
      <c r="A790">
        <v>1916</v>
      </c>
      <c r="B790">
        <v>1</v>
      </c>
      <c r="C790" t="s">
        <v>4513</v>
      </c>
      <c r="D790" t="s">
        <v>73</v>
      </c>
      <c r="E790" t="s">
        <v>73</v>
      </c>
      <c r="F790" t="s">
        <v>73</v>
      </c>
      <c r="G790" t="s">
        <v>73</v>
      </c>
      <c r="H790">
        <v>29.3</v>
      </c>
      <c r="I790">
        <v>736</v>
      </c>
      <c r="J790">
        <v>82915</v>
      </c>
      <c r="K790" t="s">
        <v>4514</v>
      </c>
      <c r="L790">
        <f t="shared" si="50"/>
        <v>38</v>
      </c>
      <c r="N790">
        <v>38</v>
      </c>
      <c r="O790">
        <v>38</v>
      </c>
      <c r="P790">
        <v>1</v>
      </c>
      <c r="Q790">
        <v>2</v>
      </c>
      <c r="R790">
        <v>0</v>
      </c>
      <c r="S790">
        <v>1</v>
      </c>
      <c r="T790">
        <v>0</v>
      </c>
      <c r="U790">
        <v>2</v>
      </c>
      <c r="V790">
        <v>5</v>
      </c>
      <c r="W790">
        <v>0</v>
      </c>
      <c r="X790">
        <v>0</v>
      </c>
      <c r="Y790">
        <v>6</v>
      </c>
      <c r="Z790">
        <v>0</v>
      </c>
      <c r="AA790">
        <v>11</v>
      </c>
      <c r="AB790">
        <v>3</v>
      </c>
      <c r="AC790">
        <v>0</v>
      </c>
      <c r="AD790">
        <v>0</v>
      </c>
      <c r="AE790">
        <v>4</v>
      </c>
      <c r="AF790">
        <v>4</v>
      </c>
      <c r="AG790">
        <v>0</v>
      </c>
      <c r="AH790">
        <v>0</v>
      </c>
      <c r="AI790">
        <v>0</v>
      </c>
      <c r="AJ790">
        <v>2</v>
      </c>
      <c r="AK790">
        <v>0</v>
      </c>
      <c r="AL790">
        <v>1</v>
      </c>
      <c r="AM790">
        <v>0</v>
      </c>
      <c r="AN790">
        <v>2</v>
      </c>
      <c r="AO790">
        <v>5</v>
      </c>
      <c r="AP790">
        <v>0</v>
      </c>
      <c r="AQ790">
        <v>0</v>
      </c>
      <c r="AR790">
        <v>6</v>
      </c>
      <c r="AS790">
        <v>0</v>
      </c>
      <c r="AT790">
        <v>11</v>
      </c>
      <c r="AU790">
        <v>3</v>
      </c>
      <c r="AV790">
        <v>0</v>
      </c>
      <c r="AW790">
        <v>0</v>
      </c>
      <c r="AX790">
        <v>4</v>
      </c>
      <c r="AY790">
        <v>4</v>
      </c>
      <c r="AZ790">
        <v>0</v>
      </c>
      <c r="BA790">
        <v>0</v>
      </c>
      <c r="BB790">
        <v>0</v>
      </c>
      <c r="BC790" s="2">
        <v>2</v>
      </c>
      <c r="BD790" s="2">
        <v>0</v>
      </c>
      <c r="BE790" s="2">
        <v>1</v>
      </c>
      <c r="BF790" s="2">
        <v>0</v>
      </c>
      <c r="BG790" s="2">
        <v>2</v>
      </c>
      <c r="BH790" s="2">
        <v>5</v>
      </c>
      <c r="BI790" s="2">
        <v>0</v>
      </c>
      <c r="BJ790" s="2">
        <v>0</v>
      </c>
      <c r="BK790" s="2">
        <v>6</v>
      </c>
      <c r="BL790" s="2">
        <v>0</v>
      </c>
      <c r="BM790" s="2">
        <v>11</v>
      </c>
      <c r="BN790" s="2">
        <v>3</v>
      </c>
      <c r="BO790" s="2">
        <v>0</v>
      </c>
      <c r="BP790" s="2">
        <v>0</v>
      </c>
      <c r="BQ790" s="2">
        <v>4</v>
      </c>
      <c r="BR790" s="2">
        <v>4</v>
      </c>
      <c r="BS790" s="2">
        <v>0</v>
      </c>
      <c r="BT790" s="2">
        <v>0</v>
      </c>
      <c r="BU790" s="2">
        <v>0</v>
      </c>
      <c r="BV790" s="2">
        <f t="shared" si="53"/>
        <v>38</v>
      </c>
      <c r="BW790" s="16">
        <f t="shared" si="51"/>
        <v>2</v>
      </c>
      <c r="BX790" s="16">
        <f>COUNTIF($BC$6:BU790, "=0") / COUNTIF($BC$6:BU790, "&gt;-1")</f>
        <v>0.21542071739859203</v>
      </c>
      <c r="BY790" s="18">
        <f>SUM($BC$6:BU790) / $BY$4</f>
        <v>0.91344409664549286</v>
      </c>
      <c r="BZ790" s="14">
        <f t="shared" si="52"/>
        <v>10</v>
      </c>
      <c r="CA790" t="s">
        <v>5832</v>
      </c>
      <c r="CZ790" t="s">
        <v>12136</v>
      </c>
      <c r="DA790" t="s">
        <v>5904</v>
      </c>
      <c r="DB790">
        <v>1259.5999999999999</v>
      </c>
      <c r="DC790" t="s">
        <v>32127</v>
      </c>
      <c r="DD790" t="s">
        <v>32128</v>
      </c>
      <c r="DE790" t="s">
        <v>32129</v>
      </c>
      <c r="DF790" t="s">
        <v>32130</v>
      </c>
      <c r="DG790" t="s">
        <v>32131</v>
      </c>
      <c r="DH790" t="str">
        <f>"FAM129B"</f>
        <v>FAM129B</v>
      </c>
      <c r="DI790" t="s">
        <v>32132</v>
      </c>
      <c r="DJ790" t="s">
        <v>13777</v>
      </c>
      <c r="DK790">
        <v>9606</v>
      </c>
      <c r="DL790" s="34" t="str">
        <f>HYPERLINK("http://www.uniprot.org/uniprot/Q96TA1", "Q96TA1")</f>
        <v>Q96TA1</v>
      </c>
      <c r="DM790" t="s">
        <v>32133</v>
      </c>
      <c r="DN790" t="s">
        <v>13772</v>
      </c>
      <c r="DO790" t="s">
        <v>32134</v>
      </c>
      <c r="DP790" t="s">
        <v>13841</v>
      </c>
      <c r="DQ790" t="s">
        <v>13772</v>
      </c>
      <c r="DR790" t="s">
        <v>13772</v>
      </c>
      <c r="DS790" t="s">
        <v>13772</v>
      </c>
      <c r="DT790" t="s">
        <v>13772</v>
      </c>
      <c r="DU790" t="s">
        <v>13772</v>
      </c>
      <c r="DV790" t="s">
        <v>21052</v>
      </c>
      <c r="DW790" t="s">
        <v>13772</v>
      </c>
      <c r="DX790" t="s">
        <v>32135</v>
      </c>
      <c r="DY790" t="s">
        <v>32136</v>
      </c>
      <c r="DZ790" t="s">
        <v>32137</v>
      </c>
      <c r="EA790" t="s">
        <v>13772</v>
      </c>
      <c r="EB790" t="s">
        <v>13772</v>
      </c>
    </row>
    <row r="791" spans="1:132" hidden="1">
      <c r="A791">
        <v>2045</v>
      </c>
      <c r="B791">
        <v>1</v>
      </c>
      <c r="C791" t="s">
        <v>4807</v>
      </c>
      <c r="D791" t="s">
        <v>73</v>
      </c>
      <c r="E791" t="s">
        <v>73</v>
      </c>
      <c r="F791" t="s">
        <v>4808</v>
      </c>
      <c r="G791" t="s">
        <v>73</v>
      </c>
      <c r="H791">
        <v>30.9</v>
      </c>
      <c r="I791">
        <v>262</v>
      </c>
      <c r="J791">
        <v>31273</v>
      </c>
      <c r="K791" t="s">
        <v>4809</v>
      </c>
      <c r="L791">
        <f t="shared" si="50"/>
        <v>52</v>
      </c>
      <c r="N791">
        <v>52</v>
      </c>
      <c r="O791">
        <v>27</v>
      </c>
      <c r="P791">
        <v>0.51900000000000002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5</v>
      </c>
      <c r="Z791">
        <v>1</v>
      </c>
      <c r="AA791">
        <v>9</v>
      </c>
      <c r="AB791">
        <v>2</v>
      </c>
      <c r="AC791">
        <v>3</v>
      </c>
      <c r="AD791">
        <v>0</v>
      </c>
      <c r="AE791">
        <v>20</v>
      </c>
      <c r="AF791">
        <v>9</v>
      </c>
      <c r="AG791">
        <v>0</v>
      </c>
      <c r="AH791">
        <v>0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</v>
      </c>
      <c r="AS791">
        <v>0</v>
      </c>
      <c r="AT791">
        <v>4</v>
      </c>
      <c r="AU791">
        <v>0</v>
      </c>
      <c r="AV791">
        <v>0</v>
      </c>
      <c r="AW791">
        <v>0</v>
      </c>
      <c r="AX791">
        <v>13</v>
      </c>
      <c r="AY791">
        <v>5</v>
      </c>
      <c r="AZ791">
        <v>0</v>
      </c>
      <c r="BA791">
        <v>0</v>
      </c>
      <c r="BB791">
        <v>3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2.75</v>
      </c>
      <c r="BL791" s="2">
        <v>0.5</v>
      </c>
      <c r="BM791" s="2">
        <v>6</v>
      </c>
      <c r="BN791" s="2">
        <v>0</v>
      </c>
      <c r="BO791" s="2">
        <v>1.5</v>
      </c>
      <c r="BP791" s="2">
        <v>0</v>
      </c>
      <c r="BQ791" s="2">
        <v>17.265000000000001</v>
      </c>
      <c r="BR791" s="2">
        <v>6.5380000000000003</v>
      </c>
      <c r="BS791" s="2">
        <v>0</v>
      </c>
      <c r="BT791" s="2">
        <v>0</v>
      </c>
      <c r="BU791" s="2">
        <v>3</v>
      </c>
      <c r="BV791" s="2">
        <f t="shared" si="53"/>
        <v>37.552999999999997</v>
      </c>
      <c r="BW791" s="16">
        <f t="shared" si="51"/>
        <v>1.9764736842105262</v>
      </c>
      <c r="BX791" s="16">
        <f>COUNTIF($BC$6:BU791, "=0") / COUNTIF($BC$6:BU791, "&gt;-1")</f>
        <v>0.21595018079550021</v>
      </c>
      <c r="BY791" s="18">
        <f>SUM($BC$6:BU791) / $BY$4</f>
        <v>0.91360496006082326</v>
      </c>
      <c r="BZ791" s="14">
        <f t="shared" si="52"/>
        <v>12</v>
      </c>
      <c r="CA791" t="s">
        <v>5832</v>
      </c>
      <c r="CZ791" t="s">
        <v>12568</v>
      </c>
      <c r="DA791" t="s">
        <v>5904</v>
      </c>
      <c r="DB791">
        <v>477.2</v>
      </c>
      <c r="DC791" t="s">
        <v>33356</v>
      </c>
      <c r="DD791" t="s">
        <v>33357</v>
      </c>
      <c r="DE791" t="s">
        <v>33358</v>
      </c>
      <c r="DF791" t="s">
        <v>33359</v>
      </c>
      <c r="DG791" t="s">
        <v>33360</v>
      </c>
      <c r="DH791" t="str">
        <f>"TNNT1"</f>
        <v>TNNT1</v>
      </c>
      <c r="DI791" t="s">
        <v>33361</v>
      </c>
      <c r="DJ791" t="s">
        <v>13777</v>
      </c>
      <c r="DK791">
        <v>9606</v>
      </c>
      <c r="DL791" s="34" t="str">
        <f>HYPERLINK("http://www.uniprot.org/uniprot/P13805", "P13805")</f>
        <v>P13805</v>
      </c>
      <c r="DM791" t="s">
        <v>33362</v>
      </c>
      <c r="DN791" t="s">
        <v>13772</v>
      </c>
      <c r="DO791" t="s">
        <v>13772</v>
      </c>
      <c r="DP791" t="s">
        <v>13841</v>
      </c>
      <c r="DQ791" t="s">
        <v>13772</v>
      </c>
      <c r="DR791" t="s">
        <v>23116</v>
      </c>
      <c r="DS791" t="s">
        <v>13772</v>
      </c>
      <c r="DT791" t="s">
        <v>13772</v>
      </c>
      <c r="DU791" t="s">
        <v>17512</v>
      </c>
      <c r="DV791" t="s">
        <v>13782</v>
      </c>
      <c r="DW791" t="s">
        <v>13772</v>
      </c>
      <c r="DX791" t="s">
        <v>33363</v>
      </c>
      <c r="DY791" t="s">
        <v>18826</v>
      </c>
      <c r="DZ791" t="s">
        <v>33364</v>
      </c>
      <c r="EA791" t="s">
        <v>13772</v>
      </c>
      <c r="EB791" t="s">
        <v>15657</v>
      </c>
    </row>
    <row r="792" spans="1:132" hidden="1">
      <c r="A792">
        <v>116</v>
      </c>
      <c r="B792">
        <v>1</v>
      </c>
      <c r="C792" t="s">
        <v>303</v>
      </c>
      <c r="D792" t="s">
        <v>73</v>
      </c>
      <c r="E792" t="s">
        <v>73</v>
      </c>
      <c r="F792" t="s">
        <v>304</v>
      </c>
      <c r="G792" t="s">
        <v>73</v>
      </c>
      <c r="H792">
        <v>30.3</v>
      </c>
      <c r="I792">
        <v>637</v>
      </c>
      <c r="J792">
        <v>69865</v>
      </c>
      <c r="K792" t="s">
        <v>305</v>
      </c>
      <c r="L792">
        <f t="shared" si="50"/>
        <v>145</v>
      </c>
      <c r="N792">
        <v>145</v>
      </c>
      <c r="O792">
        <v>18</v>
      </c>
      <c r="P792">
        <v>0.124</v>
      </c>
      <c r="Q792">
        <v>3</v>
      </c>
      <c r="R792">
        <v>7</v>
      </c>
      <c r="S792">
        <v>3</v>
      </c>
      <c r="T792">
        <v>3</v>
      </c>
      <c r="U792">
        <v>9</v>
      </c>
      <c r="V792">
        <v>9</v>
      </c>
      <c r="W792">
        <v>6</v>
      </c>
      <c r="X792">
        <v>9</v>
      </c>
      <c r="Y792">
        <v>23</v>
      </c>
      <c r="Z792">
        <v>1</v>
      </c>
      <c r="AA792">
        <v>19</v>
      </c>
      <c r="AB792">
        <v>14</v>
      </c>
      <c r="AC792">
        <v>10</v>
      </c>
      <c r="AD792">
        <v>7</v>
      </c>
      <c r="AE792">
        <v>10</v>
      </c>
      <c r="AF792">
        <v>4</v>
      </c>
      <c r="AG792">
        <v>2</v>
      </c>
      <c r="AH792">
        <v>3</v>
      </c>
      <c r="AI792">
        <v>3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8</v>
      </c>
      <c r="AS792">
        <v>0</v>
      </c>
      <c r="AT792">
        <v>7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1.6479999999999999</v>
      </c>
      <c r="BH792" s="2">
        <v>0</v>
      </c>
      <c r="BI792" s="2">
        <v>0</v>
      </c>
      <c r="BJ792" s="2">
        <v>0</v>
      </c>
      <c r="BK792" s="2">
        <v>15.773</v>
      </c>
      <c r="BL792" s="2">
        <v>0</v>
      </c>
      <c r="BM792" s="2">
        <v>11.904</v>
      </c>
      <c r="BN792" s="2">
        <v>0</v>
      </c>
      <c r="BO792" s="2">
        <v>0</v>
      </c>
      <c r="BP792" s="2">
        <v>2.5</v>
      </c>
      <c r="BQ792" s="2">
        <v>3.44</v>
      </c>
      <c r="BR792" s="2">
        <v>1.7170000000000001</v>
      </c>
      <c r="BS792" s="2">
        <v>0</v>
      </c>
      <c r="BT792" s="2">
        <v>0.53300000000000003</v>
      </c>
      <c r="BU792" s="2">
        <v>0</v>
      </c>
      <c r="BV792" s="2">
        <f t="shared" si="53"/>
        <v>37.515000000000001</v>
      </c>
      <c r="BW792" s="16">
        <f t="shared" si="51"/>
        <v>1.9744736842105264</v>
      </c>
      <c r="BX792" s="16">
        <f>COUNTIF($BC$6:BU792, "=0") / COUNTIF($BC$6:BU792, "&gt;-1")</f>
        <v>0.21647829866916338</v>
      </c>
      <c r="BY792" s="18">
        <f>SUM($BC$6:BU792) / $BY$4</f>
        <v>0.91376566069795251</v>
      </c>
      <c r="BZ792" s="14">
        <f t="shared" si="52"/>
        <v>12</v>
      </c>
      <c r="CA792" t="s">
        <v>5832</v>
      </c>
      <c r="CZ792" t="s">
        <v>6093</v>
      </c>
      <c r="DA792" t="s">
        <v>5904</v>
      </c>
      <c r="DB792">
        <v>1295.8</v>
      </c>
      <c r="DC792" t="s">
        <v>14471</v>
      </c>
      <c r="DD792" t="s">
        <v>13772</v>
      </c>
      <c r="DE792" t="s">
        <v>14472</v>
      </c>
      <c r="DF792" t="s">
        <v>14473</v>
      </c>
      <c r="DG792" t="s">
        <v>14474</v>
      </c>
      <c r="DH792" t="str">
        <f>"HSPA2"</f>
        <v>HSPA2</v>
      </c>
      <c r="DI792" t="s">
        <v>13772</v>
      </c>
      <c r="DJ792" t="s">
        <v>13777</v>
      </c>
      <c r="DK792">
        <v>9606</v>
      </c>
      <c r="DL792" s="34" t="str">
        <f>HYPERLINK("http://www.uniprot.org/uniprot/P54652", "P54652")</f>
        <v>P54652</v>
      </c>
      <c r="DM792" t="s">
        <v>14475</v>
      </c>
      <c r="DN792" t="s">
        <v>14476</v>
      </c>
      <c r="DO792" t="s">
        <v>13988</v>
      </c>
      <c r="DP792" t="s">
        <v>13793</v>
      </c>
      <c r="DQ792" t="s">
        <v>13772</v>
      </c>
      <c r="DR792" t="s">
        <v>13772</v>
      </c>
      <c r="DS792" t="s">
        <v>13772</v>
      </c>
      <c r="DT792" t="s">
        <v>14005</v>
      </c>
      <c r="DU792" t="s">
        <v>14477</v>
      </c>
      <c r="DV792" t="s">
        <v>14478</v>
      </c>
      <c r="DW792" t="s">
        <v>13812</v>
      </c>
      <c r="DX792" t="s">
        <v>14479</v>
      </c>
      <c r="DY792" t="s">
        <v>14480</v>
      </c>
      <c r="DZ792" t="s">
        <v>14481</v>
      </c>
      <c r="EA792" t="s">
        <v>13772</v>
      </c>
      <c r="EB792" t="s">
        <v>14482</v>
      </c>
    </row>
    <row r="793" spans="1:132" hidden="1">
      <c r="A793">
        <v>672</v>
      </c>
      <c r="B793">
        <v>1</v>
      </c>
      <c r="C793" t="s">
        <v>1654</v>
      </c>
      <c r="D793" t="s">
        <v>73</v>
      </c>
      <c r="E793" t="s">
        <v>73</v>
      </c>
      <c r="F793" t="s">
        <v>73</v>
      </c>
      <c r="G793" t="s">
        <v>73</v>
      </c>
      <c r="H793">
        <v>16.899999999999999</v>
      </c>
      <c r="I793">
        <v>201</v>
      </c>
      <c r="J793">
        <v>22191</v>
      </c>
      <c r="K793" t="s">
        <v>1655</v>
      </c>
      <c r="L793">
        <f t="shared" si="50"/>
        <v>37</v>
      </c>
      <c r="N793">
        <v>37</v>
      </c>
      <c r="O793">
        <v>37</v>
      </c>
      <c r="P793">
        <v>1</v>
      </c>
      <c r="Q793">
        <v>2</v>
      </c>
      <c r="R793">
        <v>0</v>
      </c>
      <c r="S793">
        <v>1</v>
      </c>
      <c r="T793">
        <v>4</v>
      </c>
      <c r="U793">
        <v>6</v>
      </c>
      <c r="V793">
        <v>1</v>
      </c>
      <c r="W793">
        <v>2</v>
      </c>
      <c r="X793">
        <v>3</v>
      </c>
      <c r="Y793">
        <v>2</v>
      </c>
      <c r="Z793">
        <v>0</v>
      </c>
      <c r="AA793">
        <v>2</v>
      </c>
      <c r="AB793">
        <v>4</v>
      </c>
      <c r="AC793">
        <v>1</v>
      </c>
      <c r="AD793">
        <v>0</v>
      </c>
      <c r="AE793">
        <v>2</v>
      </c>
      <c r="AF793">
        <v>2</v>
      </c>
      <c r="AG793">
        <v>0</v>
      </c>
      <c r="AH793">
        <v>2</v>
      </c>
      <c r="AI793">
        <v>3</v>
      </c>
      <c r="AJ793">
        <v>2</v>
      </c>
      <c r="AK793">
        <v>0</v>
      </c>
      <c r="AL793">
        <v>1</v>
      </c>
      <c r="AM793">
        <v>4</v>
      </c>
      <c r="AN793">
        <v>6</v>
      </c>
      <c r="AO793">
        <v>1</v>
      </c>
      <c r="AP793">
        <v>2</v>
      </c>
      <c r="AQ793">
        <v>3</v>
      </c>
      <c r="AR793">
        <v>2</v>
      </c>
      <c r="AS793">
        <v>0</v>
      </c>
      <c r="AT793">
        <v>2</v>
      </c>
      <c r="AU793">
        <v>4</v>
      </c>
      <c r="AV793">
        <v>1</v>
      </c>
      <c r="AW793">
        <v>0</v>
      </c>
      <c r="AX793">
        <v>2</v>
      </c>
      <c r="AY793">
        <v>2</v>
      </c>
      <c r="AZ793">
        <v>0</v>
      </c>
      <c r="BA793">
        <v>2</v>
      </c>
      <c r="BB793">
        <v>3</v>
      </c>
      <c r="BC793" s="2">
        <v>2</v>
      </c>
      <c r="BD793" s="2">
        <v>0</v>
      </c>
      <c r="BE793" s="2">
        <v>1</v>
      </c>
      <c r="BF793" s="2">
        <v>4</v>
      </c>
      <c r="BG793" s="2">
        <v>6</v>
      </c>
      <c r="BH793" s="2">
        <v>1</v>
      </c>
      <c r="BI793" s="2">
        <v>2</v>
      </c>
      <c r="BJ793" s="2">
        <v>3</v>
      </c>
      <c r="BK793" s="2">
        <v>2</v>
      </c>
      <c r="BL793" s="2">
        <v>0</v>
      </c>
      <c r="BM793" s="2">
        <v>2</v>
      </c>
      <c r="BN793" s="2">
        <v>4</v>
      </c>
      <c r="BO793" s="2">
        <v>1</v>
      </c>
      <c r="BP793" s="2">
        <v>0</v>
      </c>
      <c r="BQ793" s="2">
        <v>2</v>
      </c>
      <c r="BR793" s="2">
        <v>2</v>
      </c>
      <c r="BS793" s="2">
        <v>0</v>
      </c>
      <c r="BT793" s="2">
        <v>2</v>
      </c>
      <c r="BU793" s="2">
        <v>3</v>
      </c>
      <c r="BV793" s="2">
        <f t="shared" si="53"/>
        <v>37</v>
      </c>
      <c r="BW793" s="16">
        <f t="shared" si="51"/>
        <v>1.9473684210526316</v>
      </c>
      <c r="BX793" s="16">
        <f>COUNTIF($BC$6:BU793, "=0") / COUNTIF($BC$6:BU793, "&gt;-1")</f>
        <v>0.21647074539139727</v>
      </c>
      <c r="BY793" s="18">
        <f>SUM($BC$6:BU793) / $BY$4</f>
        <v>0.91392415526209436</v>
      </c>
      <c r="BZ793" s="14">
        <f t="shared" si="52"/>
        <v>4</v>
      </c>
      <c r="CA793" t="s">
        <v>5832</v>
      </c>
      <c r="CZ793" t="s">
        <v>8008</v>
      </c>
      <c r="DA793" t="s">
        <v>5904</v>
      </c>
      <c r="DB793">
        <v>365.9</v>
      </c>
      <c r="DC793" t="s">
        <v>20415</v>
      </c>
      <c r="DD793" t="s">
        <v>20416</v>
      </c>
      <c r="DE793" t="s">
        <v>20417</v>
      </c>
      <c r="DF793" t="s">
        <v>20418</v>
      </c>
      <c r="DG793" t="s">
        <v>20419</v>
      </c>
      <c r="DH793" t="str">
        <f>"SDC2"</f>
        <v>SDC2</v>
      </c>
      <c r="DI793" t="s">
        <v>20420</v>
      </c>
      <c r="DJ793" t="s">
        <v>13777</v>
      </c>
      <c r="DK793">
        <v>9606</v>
      </c>
      <c r="DL793" s="34" t="str">
        <f>HYPERLINK("http://www.uniprot.org/uniprot/P34741", "P34741")</f>
        <v>P34741</v>
      </c>
      <c r="DM793" t="s">
        <v>20421</v>
      </c>
      <c r="DN793" t="s">
        <v>14726</v>
      </c>
      <c r="DO793" t="s">
        <v>13825</v>
      </c>
      <c r="DP793" t="s">
        <v>13793</v>
      </c>
      <c r="DQ793" t="s">
        <v>13772</v>
      </c>
      <c r="DR793" t="s">
        <v>13772</v>
      </c>
      <c r="DS793" t="s">
        <v>13855</v>
      </c>
      <c r="DT793" t="s">
        <v>13772</v>
      </c>
      <c r="DU793" t="s">
        <v>13772</v>
      </c>
      <c r="DV793" t="s">
        <v>20422</v>
      </c>
      <c r="DW793" t="s">
        <v>13812</v>
      </c>
      <c r="DX793" t="s">
        <v>20423</v>
      </c>
      <c r="DY793" t="s">
        <v>20424</v>
      </c>
      <c r="DZ793" t="s">
        <v>20425</v>
      </c>
      <c r="EA793" t="s">
        <v>13772</v>
      </c>
      <c r="EB793" t="s">
        <v>20426</v>
      </c>
    </row>
    <row r="794" spans="1:132" hidden="1">
      <c r="A794">
        <v>701</v>
      </c>
      <c r="B794">
        <v>1</v>
      </c>
      <c r="C794" t="s">
        <v>1725</v>
      </c>
      <c r="D794" t="s">
        <v>1726</v>
      </c>
      <c r="E794" t="s">
        <v>73</v>
      </c>
      <c r="F794" t="s">
        <v>73</v>
      </c>
      <c r="G794" t="s">
        <v>73</v>
      </c>
      <c r="H794">
        <v>12.1</v>
      </c>
      <c r="I794">
        <v>462</v>
      </c>
      <c r="J794">
        <v>50532</v>
      </c>
      <c r="K794" t="s">
        <v>1727</v>
      </c>
      <c r="L794">
        <f t="shared" si="50"/>
        <v>37</v>
      </c>
      <c r="N794">
        <v>37</v>
      </c>
      <c r="O794">
        <v>37</v>
      </c>
      <c r="P794">
        <v>1</v>
      </c>
      <c r="Q794">
        <v>2</v>
      </c>
      <c r="R794">
        <v>1</v>
      </c>
      <c r="S794">
        <v>5</v>
      </c>
      <c r="T794">
        <v>0</v>
      </c>
      <c r="U794">
        <v>1</v>
      </c>
      <c r="V794">
        <v>0</v>
      </c>
      <c r="W794">
        <v>4</v>
      </c>
      <c r="X794">
        <v>4</v>
      </c>
      <c r="Y794">
        <v>2</v>
      </c>
      <c r="Z794">
        <v>1</v>
      </c>
      <c r="AA794">
        <v>5</v>
      </c>
      <c r="AB794">
        <v>2</v>
      </c>
      <c r="AC794">
        <v>0</v>
      </c>
      <c r="AD794">
        <v>0</v>
      </c>
      <c r="AE794">
        <v>3</v>
      </c>
      <c r="AF794">
        <v>3</v>
      </c>
      <c r="AG794">
        <v>2</v>
      </c>
      <c r="AH794">
        <v>0</v>
      </c>
      <c r="AI794">
        <v>2</v>
      </c>
      <c r="AJ794">
        <v>2</v>
      </c>
      <c r="AK794">
        <v>1</v>
      </c>
      <c r="AL794">
        <v>5</v>
      </c>
      <c r="AM794">
        <v>0</v>
      </c>
      <c r="AN794">
        <v>1</v>
      </c>
      <c r="AO794">
        <v>0</v>
      </c>
      <c r="AP794">
        <v>4</v>
      </c>
      <c r="AQ794">
        <v>4</v>
      </c>
      <c r="AR794">
        <v>2</v>
      </c>
      <c r="AS794">
        <v>1</v>
      </c>
      <c r="AT794">
        <v>5</v>
      </c>
      <c r="AU794">
        <v>2</v>
      </c>
      <c r="AV794">
        <v>0</v>
      </c>
      <c r="AW794">
        <v>0</v>
      </c>
      <c r="AX794">
        <v>3</v>
      </c>
      <c r="AY794">
        <v>3</v>
      </c>
      <c r="AZ794">
        <v>2</v>
      </c>
      <c r="BA794">
        <v>0</v>
      </c>
      <c r="BB794">
        <v>2</v>
      </c>
      <c r="BC794" s="2">
        <v>2</v>
      </c>
      <c r="BD794" s="2">
        <v>1</v>
      </c>
      <c r="BE794" s="2">
        <v>5</v>
      </c>
      <c r="BF794" s="2">
        <v>0</v>
      </c>
      <c r="BG794" s="2">
        <v>1</v>
      </c>
      <c r="BH794" s="2">
        <v>0</v>
      </c>
      <c r="BI794" s="2">
        <v>4</v>
      </c>
      <c r="BJ794" s="2">
        <v>4</v>
      </c>
      <c r="BK794" s="2">
        <v>2</v>
      </c>
      <c r="BL794" s="2">
        <v>1</v>
      </c>
      <c r="BM794" s="2">
        <v>5</v>
      </c>
      <c r="BN794" s="2">
        <v>2</v>
      </c>
      <c r="BO794" s="2">
        <v>0</v>
      </c>
      <c r="BP794" s="2">
        <v>0</v>
      </c>
      <c r="BQ794" s="2">
        <v>3</v>
      </c>
      <c r="BR794" s="2">
        <v>3</v>
      </c>
      <c r="BS794" s="2">
        <v>2</v>
      </c>
      <c r="BT794" s="2">
        <v>0</v>
      </c>
      <c r="BU794" s="2">
        <v>2</v>
      </c>
      <c r="BV794" s="2">
        <f t="shared" si="53"/>
        <v>37</v>
      </c>
      <c r="BW794" s="16">
        <f t="shared" si="51"/>
        <v>1.9473684210526316</v>
      </c>
      <c r="BX794" s="16">
        <f>COUNTIF($BC$6:BU794, "=0") / COUNTIF($BC$6:BU794, "&gt;-1")</f>
        <v>0.21652991795077045</v>
      </c>
      <c r="BY794" s="18">
        <f>SUM($BC$6:BU794) / $BY$4</f>
        <v>0.91408264982623633</v>
      </c>
      <c r="BZ794" s="14">
        <f t="shared" si="52"/>
        <v>5</v>
      </c>
      <c r="CA794" t="s">
        <v>5832</v>
      </c>
      <c r="CZ794" t="s">
        <v>8110</v>
      </c>
      <c r="DA794" t="s">
        <v>5904</v>
      </c>
      <c r="DB794">
        <v>617.1</v>
      </c>
      <c r="DC794" t="s">
        <v>20707</v>
      </c>
      <c r="DD794" t="s">
        <v>20708</v>
      </c>
      <c r="DE794" t="s">
        <v>20709</v>
      </c>
      <c r="DF794" t="s">
        <v>20710</v>
      </c>
      <c r="DG794" t="s">
        <v>20711</v>
      </c>
      <c r="DH794" t="str">
        <f>"CXADR"</f>
        <v>CXADR</v>
      </c>
      <c r="DI794" t="s">
        <v>20712</v>
      </c>
      <c r="DJ794" t="s">
        <v>13777</v>
      </c>
      <c r="DK794">
        <v>9606</v>
      </c>
      <c r="DL794" s="34" t="str">
        <f>HYPERLINK("http://www.uniprot.org/uniprot/P78310", "P78310")</f>
        <v>P78310</v>
      </c>
      <c r="DM794" t="s">
        <v>20713</v>
      </c>
      <c r="DN794" t="s">
        <v>16592</v>
      </c>
      <c r="DO794" t="s">
        <v>19013</v>
      </c>
      <c r="DP794" t="s">
        <v>13780</v>
      </c>
      <c r="DQ794" t="s">
        <v>13772</v>
      </c>
      <c r="DR794" t="s">
        <v>13772</v>
      </c>
      <c r="DS794" t="s">
        <v>13951</v>
      </c>
      <c r="DT794" t="s">
        <v>13772</v>
      </c>
      <c r="DU794" t="s">
        <v>18791</v>
      </c>
      <c r="DV794" t="s">
        <v>14418</v>
      </c>
      <c r="DW794" t="s">
        <v>13812</v>
      </c>
      <c r="DX794" t="s">
        <v>20714</v>
      </c>
      <c r="DY794" t="s">
        <v>20715</v>
      </c>
      <c r="DZ794" t="s">
        <v>20716</v>
      </c>
      <c r="EA794" t="s">
        <v>13772</v>
      </c>
      <c r="EB794" t="s">
        <v>18850</v>
      </c>
    </row>
    <row r="795" spans="1:132" hidden="1">
      <c r="A795">
        <v>1012</v>
      </c>
      <c r="B795">
        <v>1</v>
      </c>
      <c r="C795" t="s">
        <v>2447</v>
      </c>
      <c r="D795" t="s">
        <v>73</v>
      </c>
      <c r="E795" t="s">
        <v>73</v>
      </c>
      <c r="F795" t="s">
        <v>73</v>
      </c>
      <c r="G795" t="s">
        <v>73</v>
      </c>
      <c r="H795">
        <v>14.4</v>
      </c>
      <c r="I795">
        <v>970</v>
      </c>
      <c r="J795">
        <v>101862</v>
      </c>
      <c r="K795" t="s">
        <v>2448</v>
      </c>
      <c r="L795">
        <f t="shared" si="50"/>
        <v>37</v>
      </c>
      <c r="N795">
        <v>37</v>
      </c>
      <c r="O795">
        <v>37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3</v>
      </c>
      <c r="Z795">
        <v>0</v>
      </c>
      <c r="AA795">
        <v>6</v>
      </c>
      <c r="AB795">
        <v>0</v>
      </c>
      <c r="AC795">
        <v>2</v>
      </c>
      <c r="AD795">
        <v>0</v>
      </c>
      <c r="AE795">
        <v>15</v>
      </c>
      <c r="AF795">
        <v>8</v>
      </c>
      <c r="AG795">
        <v>0</v>
      </c>
      <c r="AH795">
        <v>0</v>
      </c>
      <c r="AI795">
        <v>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3</v>
      </c>
      <c r="AS795">
        <v>0</v>
      </c>
      <c r="AT795">
        <v>6</v>
      </c>
      <c r="AU795">
        <v>0</v>
      </c>
      <c r="AV795">
        <v>2</v>
      </c>
      <c r="AW795">
        <v>0</v>
      </c>
      <c r="AX795">
        <v>15</v>
      </c>
      <c r="AY795">
        <v>8</v>
      </c>
      <c r="AZ795">
        <v>0</v>
      </c>
      <c r="BA795">
        <v>0</v>
      </c>
      <c r="BB795">
        <v>2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0</v>
      </c>
      <c r="BK795" s="2">
        <v>3</v>
      </c>
      <c r="BL795" s="2">
        <v>0</v>
      </c>
      <c r="BM795" s="2">
        <v>6</v>
      </c>
      <c r="BN795" s="2">
        <v>0</v>
      </c>
      <c r="BO795" s="2">
        <v>2</v>
      </c>
      <c r="BP795" s="2">
        <v>0</v>
      </c>
      <c r="BQ795" s="2">
        <v>15</v>
      </c>
      <c r="BR795" s="2">
        <v>8</v>
      </c>
      <c r="BS795" s="2">
        <v>0</v>
      </c>
      <c r="BT795" s="2">
        <v>0</v>
      </c>
      <c r="BU795" s="2">
        <v>2</v>
      </c>
      <c r="BV795" s="2">
        <f t="shared" si="53"/>
        <v>37</v>
      </c>
      <c r="BW795" s="16">
        <f t="shared" si="51"/>
        <v>1.9473684210526316</v>
      </c>
      <c r="BX795" s="16">
        <f>COUNTIF($BC$6:BU795, "=0") / COUNTIF($BC$6:BU795, "&gt;-1")</f>
        <v>0.21705529646902066</v>
      </c>
      <c r="BY795" s="18">
        <f>SUM($BC$6:BU795) / $BY$4</f>
        <v>0.91424114439037829</v>
      </c>
      <c r="BZ795" s="14">
        <f t="shared" si="52"/>
        <v>12</v>
      </c>
      <c r="CA795" t="s">
        <v>5832</v>
      </c>
      <c r="CZ795" t="s">
        <v>9145</v>
      </c>
      <c r="DA795" t="s">
        <v>5904</v>
      </c>
      <c r="DB795">
        <v>1464.1</v>
      </c>
      <c r="DC795" t="s">
        <v>23703</v>
      </c>
      <c r="DD795" t="s">
        <v>13772</v>
      </c>
      <c r="DE795" t="s">
        <v>23704</v>
      </c>
      <c r="DF795" t="s">
        <v>23705</v>
      </c>
      <c r="DG795" t="s">
        <v>23706</v>
      </c>
      <c r="DH795" t="str">
        <f>"SYNPO2L"</f>
        <v>SYNPO2L</v>
      </c>
      <c r="DI795" t="s">
        <v>13772</v>
      </c>
      <c r="DJ795" t="s">
        <v>13777</v>
      </c>
      <c r="DK795">
        <v>9606</v>
      </c>
      <c r="DL795" s="34" t="str">
        <f>HYPERLINK("http://www.uniprot.org/uniprot/Q9H987", "Q9H987")</f>
        <v>Q9H987</v>
      </c>
      <c r="DM795" t="s">
        <v>23707</v>
      </c>
      <c r="DN795" t="s">
        <v>13772</v>
      </c>
      <c r="DO795" t="s">
        <v>13988</v>
      </c>
      <c r="DP795" t="s">
        <v>13780</v>
      </c>
      <c r="DQ795" t="s">
        <v>13772</v>
      </c>
      <c r="DR795" t="s">
        <v>13772</v>
      </c>
      <c r="DS795" t="s">
        <v>13772</v>
      </c>
      <c r="DT795" t="s">
        <v>13772</v>
      </c>
      <c r="DU795" t="s">
        <v>13990</v>
      </c>
      <c r="DV795" t="s">
        <v>14478</v>
      </c>
      <c r="DW795" t="s">
        <v>13772</v>
      </c>
      <c r="DX795" t="s">
        <v>23708</v>
      </c>
      <c r="DY795" t="s">
        <v>23709</v>
      </c>
      <c r="DZ795" t="s">
        <v>20032</v>
      </c>
      <c r="EA795" t="s">
        <v>13772</v>
      </c>
      <c r="EB795" t="s">
        <v>13772</v>
      </c>
    </row>
    <row r="796" spans="1:132" hidden="1">
      <c r="A796">
        <v>1074</v>
      </c>
      <c r="B796">
        <v>1</v>
      </c>
      <c r="C796" t="s">
        <v>2582</v>
      </c>
      <c r="D796" t="s">
        <v>73</v>
      </c>
      <c r="E796" t="s">
        <v>73</v>
      </c>
      <c r="F796" t="s">
        <v>73</v>
      </c>
      <c r="G796" t="s">
        <v>73</v>
      </c>
      <c r="H796">
        <v>8.3000000000000007</v>
      </c>
      <c r="I796">
        <v>1841</v>
      </c>
      <c r="J796">
        <v>204984</v>
      </c>
      <c r="K796" t="s">
        <v>2583</v>
      </c>
      <c r="L796">
        <f t="shared" si="50"/>
        <v>37</v>
      </c>
      <c r="N796">
        <v>37</v>
      </c>
      <c r="O796">
        <v>37</v>
      </c>
      <c r="P796">
        <v>1</v>
      </c>
      <c r="Q796">
        <v>1</v>
      </c>
      <c r="R796">
        <v>7</v>
      </c>
      <c r="S796">
        <v>4</v>
      </c>
      <c r="T796">
        <v>3</v>
      </c>
      <c r="U796">
        <v>7</v>
      </c>
      <c r="V796">
        <v>4</v>
      </c>
      <c r="W796">
        <v>0</v>
      </c>
      <c r="X796">
        <v>1</v>
      </c>
      <c r="Y796">
        <v>3</v>
      </c>
      <c r="Z796">
        <v>0</v>
      </c>
      <c r="AA796">
        <v>2</v>
      </c>
      <c r="AB796">
        <v>2</v>
      </c>
      <c r="AC796">
        <v>1</v>
      </c>
      <c r="AD796">
        <v>0</v>
      </c>
      <c r="AE796">
        <v>0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7</v>
      </c>
      <c r="AL796">
        <v>4</v>
      </c>
      <c r="AM796">
        <v>3</v>
      </c>
      <c r="AN796">
        <v>7</v>
      </c>
      <c r="AO796">
        <v>4</v>
      </c>
      <c r="AP796">
        <v>0</v>
      </c>
      <c r="AQ796">
        <v>1</v>
      </c>
      <c r="AR796">
        <v>3</v>
      </c>
      <c r="AS796">
        <v>0</v>
      </c>
      <c r="AT796">
        <v>2</v>
      </c>
      <c r="AU796">
        <v>2</v>
      </c>
      <c r="AV796">
        <v>1</v>
      </c>
      <c r="AW796">
        <v>0</v>
      </c>
      <c r="AX796">
        <v>0</v>
      </c>
      <c r="AY796">
        <v>2</v>
      </c>
      <c r="AZ796">
        <v>0</v>
      </c>
      <c r="BA796">
        <v>0</v>
      </c>
      <c r="BB796">
        <v>0</v>
      </c>
      <c r="BC796" s="2">
        <v>1</v>
      </c>
      <c r="BD796" s="2">
        <v>7</v>
      </c>
      <c r="BE796" s="2">
        <v>4</v>
      </c>
      <c r="BF796" s="2">
        <v>3</v>
      </c>
      <c r="BG796" s="2">
        <v>7</v>
      </c>
      <c r="BH796" s="2">
        <v>4</v>
      </c>
      <c r="BI796" s="2">
        <v>0</v>
      </c>
      <c r="BJ796" s="2">
        <v>1</v>
      </c>
      <c r="BK796" s="2">
        <v>3</v>
      </c>
      <c r="BL796" s="2">
        <v>0</v>
      </c>
      <c r="BM796" s="2">
        <v>2</v>
      </c>
      <c r="BN796" s="2">
        <v>2</v>
      </c>
      <c r="BO796" s="2">
        <v>1</v>
      </c>
      <c r="BP796" s="2">
        <v>0</v>
      </c>
      <c r="BQ796" s="2">
        <v>0</v>
      </c>
      <c r="BR796" s="2">
        <v>2</v>
      </c>
      <c r="BS796" s="2">
        <v>0</v>
      </c>
      <c r="BT796" s="2">
        <v>0</v>
      </c>
      <c r="BU796" s="2">
        <v>0</v>
      </c>
      <c r="BV796" s="2">
        <f t="shared" si="53"/>
        <v>37</v>
      </c>
      <c r="BW796" s="16">
        <f t="shared" si="51"/>
        <v>1.9473684210526316</v>
      </c>
      <c r="BX796" s="16">
        <f>COUNTIF($BC$6:BU796, "=0") / COUNTIF($BC$6:BU796, "&gt;-1")</f>
        <v>0.21724665646416927</v>
      </c>
      <c r="BY796" s="18">
        <f>SUM($BC$6:BU796) / $BY$4</f>
        <v>0.91439963895452014</v>
      </c>
      <c r="BZ796" s="14">
        <f t="shared" si="52"/>
        <v>7</v>
      </c>
      <c r="CA796" t="s">
        <v>5832</v>
      </c>
      <c r="CZ796" t="s">
        <v>9308</v>
      </c>
      <c r="DA796" t="s">
        <v>5904</v>
      </c>
      <c r="DB796">
        <v>3411.7</v>
      </c>
      <c r="DC796" t="s">
        <v>24171</v>
      </c>
      <c r="DD796" t="s">
        <v>24172</v>
      </c>
      <c r="DE796" t="s">
        <v>24173</v>
      </c>
      <c r="DF796" t="s">
        <v>24174</v>
      </c>
      <c r="DG796" t="s">
        <v>24175</v>
      </c>
      <c r="DH796" t="str">
        <f>"PLXNB2"</f>
        <v>PLXNB2</v>
      </c>
      <c r="DI796" t="s">
        <v>24176</v>
      </c>
      <c r="DJ796" t="s">
        <v>13777</v>
      </c>
      <c r="DK796">
        <v>9606</v>
      </c>
      <c r="DL796" s="34" t="str">
        <f>HYPERLINK("http://www.uniprot.org/uniprot/O15031", "O15031")</f>
        <v>O15031</v>
      </c>
      <c r="DM796" t="s">
        <v>24177</v>
      </c>
      <c r="DN796" t="s">
        <v>13772</v>
      </c>
      <c r="DO796" t="s">
        <v>13792</v>
      </c>
      <c r="DP796" t="s">
        <v>13793</v>
      </c>
      <c r="DQ796" t="s">
        <v>13772</v>
      </c>
      <c r="DR796" t="s">
        <v>13772</v>
      </c>
      <c r="DS796" t="s">
        <v>13826</v>
      </c>
      <c r="DT796" t="s">
        <v>13772</v>
      </c>
      <c r="DU796" t="s">
        <v>15919</v>
      </c>
      <c r="DV796" t="s">
        <v>13964</v>
      </c>
      <c r="DW796" t="s">
        <v>13812</v>
      </c>
      <c r="DX796" t="s">
        <v>24178</v>
      </c>
      <c r="DY796" t="s">
        <v>24179</v>
      </c>
      <c r="DZ796" t="s">
        <v>24180</v>
      </c>
      <c r="EA796" t="s">
        <v>13772</v>
      </c>
      <c r="EB796" t="s">
        <v>13772</v>
      </c>
    </row>
    <row r="797" spans="1:132" hidden="1">
      <c r="A797">
        <v>1717</v>
      </c>
      <c r="B797">
        <v>1</v>
      </c>
      <c r="C797" t="s">
        <v>4062</v>
      </c>
      <c r="D797" t="s">
        <v>73</v>
      </c>
      <c r="E797" t="s">
        <v>73</v>
      </c>
      <c r="F797" t="s">
        <v>73</v>
      </c>
      <c r="G797" t="s">
        <v>73</v>
      </c>
      <c r="H797">
        <v>14</v>
      </c>
      <c r="I797">
        <v>387</v>
      </c>
      <c r="J797">
        <v>42990</v>
      </c>
      <c r="K797" t="s">
        <v>4063</v>
      </c>
      <c r="L797">
        <f t="shared" si="50"/>
        <v>37</v>
      </c>
      <c r="N797">
        <v>37</v>
      </c>
      <c r="O797">
        <v>37</v>
      </c>
      <c r="P797">
        <v>1</v>
      </c>
      <c r="Q797">
        <v>2</v>
      </c>
      <c r="R797">
        <v>8</v>
      </c>
      <c r="S797">
        <v>7</v>
      </c>
      <c r="T797">
        <v>8</v>
      </c>
      <c r="U797">
        <v>7</v>
      </c>
      <c r="V797">
        <v>2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2</v>
      </c>
      <c r="AK797">
        <v>8</v>
      </c>
      <c r="AL797">
        <v>7</v>
      </c>
      <c r="AM797">
        <v>8</v>
      </c>
      <c r="AN797">
        <v>7</v>
      </c>
      <c r="AO797">
        <v>2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 s="2">
        <v>2</v>
      </c>
      <c r="BD797" s="2">
        <v>8</v>
      </c>
      <c r="BE797" s="2">
        <v>7</v>
      </c>
      <c r="BF797" s="2">
        <v>8</v>
      </c>
      <c r="BG797" s="2">
        <v>7</v>
      </c>
      <c r="BH797" s="2">
        <v>2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1</v>
      </c>
      <c r="BO797" s="2">
        <v>0</v>
      </c>
      <c r="BP797" s="2">
        <v>0</v>
      </c>
      <c r="BQ797" s="2">
        <v>0</v>
      </c>
      <c r="BR797" s="2">
        <v>1</v>
      </c>
      <c r="BS797" s="2">
        <v>0</v>
      </c>
      <c r="BT797" s="2">
        <v>0</v>
      </c>
      <c r="BU797" s="2">
        <v>0</v>
      </c>
      <c r="BV797" s="2">
        <f t="shared" si="53"/>
        <v>37</v>
      </c>
      <c r="BW797" s="16">
        <f t="shared" si="51"/>
        <v>1.9473684210526316</v>
      </c>
      <c r="BX797" s="16">
        <f>COUNTIF($BC$6:BU797, "=0") / COUNTIF($BC$6:BU797, "&gt;-1")</f>
        <v>0.21763689526847421</v>
      </c>
      <c r="BY797" s="18">
        <f>SUM($BC$6:BU797) / $BY$4</f>
        <v>0.91455813351866211</v>
      </c>
      <c r="BZ797" s="14">
        <f t="shared" si="52"/>
        <v>10</v>
      </c>
      <c r="CA797" t="s">
        <v>5832</v>
      </c>
      <c r="CZ797" t="s">
        <v>11470</v>
      </c>
      <c r="DA797" t="s">
        <v>5904</v>
      </c>
      <c r="DB797">
        <v>652.1</v>
      </c>
      <c r="DC797" t="s">
        <v>30248</v>
      </c>
      <c r="DD797" t="s">
        <v>30249</v>
      </c>
      <c r="DE797" t="s">
        <v>30250</v>
      </c>
      <c r="DF797" t="s">
        <v>30251</v>
      </c>
      <c r="DG797" t="s">
        <v>30252</v>
      </c>
      <c r="DH797" t="str">
        <f>"GPRC5B"</f>
        <v>GPRC5B</v>
      </c>
      <c r="DI797" t="s">
        <v>30253</v>
      </c>
      <c r="DJ797" t="s">
        <v>13777</v>
      </c>
      <c r="DK797">
        <v>9606</v>
      </c>
      <c r="DL797" s="34" t="str">
        <f>HYPERLINK("http://www.uniprot.org/uniprot/Q9NZH0", "Q9NZH0")</f>
        <v>Q9NZH0</v>
      </c>
      <c r="DM797" t="s">
        <v>13975</v>
      </c>
      <c r="DN797" t="s">
        <v>13772</v>
      </c>
      <c r="DO797" t="s">
        <v>13976</v>
      </c>
      <c r="DP797" t="s">
        <v>13841</v>
      </c>
      <c r="DQ797" t="s">
        <v>13772</v>
      </c>
      <c r="DR797" t="s">
        <v>13772</v>
      </c>
      <c r="DS797" t="s">
        <v>13855</v>
      </c>
      <c r="DT797" t="s">
        <v>13772</v>
      </c>
      <c r="DU797" t="s">
        <v>13977</v>
      </c>
      <c r="DV797" t="s">
        <v>13978</v>
      </c>
      <c r="DW797" t="s">
        <v>13772</v>
      </c>
      <c r="DX797" t="s">
        <v>30254</v>
      </c>
      <c r="DY797" t="s">
        <v>30255</v>
      </c>
      <c r="DZ797" t="s">
        <v>30256</v>
      </c>
      <c r="EA797" t="s">
        <v>13772</v>
      </c>
      <c r="EB797" t="s">
        <v>13772</v>
      </c>
    </row>
    <row r="798" spans="1:132" hidden="1">
      <c r="A798">
        <v>1757</v>
      </c>
      <c r="B798">
        <v>1</v>
      </c>
      <c r="C798" t="s">
        <v>4156</v>
      </c>
      <c r="D798" t="s">
        <v>73</v>
      </c>
      <c r="E798" t="s">
        <v>73</v>
      </c>
      <c r="F798" t="s">
        <v>73</v>
      </c>
      <c r="G798" t="s">
        <v>73</v>
      </c>
      <c r="H798">
        <v>3.1</v>
      </c>
      <c r="I798">
        <v>5635</v>
      </c>
      <c r="J798">
        <v>613381</v>
      </c>
      <c r="K798" t="s">
        <v>4157</v>
      </c>
      <c r="L798">
        <f t="shared" si="50"/>
        <v>37</v>
      </c>
      <c r="N798">
        <v>37</v>
      </c>
      <c r="O798">
        <v>37</v>
      </c>
      <c r="P798">
        <v>1</v>
      </c>
      <c r="Q798">
        <v>5</v>
      </c>
      <c r="R798">
        <v>2</v>
      </c>
      <c r="S798">
        <v>8</v>
      </c>
      <c r="T798">
        <v>1</v>
      </c>
      <c r="U798">
        <v>4</v>
      </c>
      <c r="V798">
        <v>12</v>
      </c>
      <c r="W798">
        <v>2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</v>
      </c>
      <c r="AK798">
        <v>2</v>
      </c>
      <c r="AL798">
        <v>8</v>
      </c>
      <c r="AM798">
        <v>1</v>
      </c>
      <c r="AN798">
        <v>4</v>
      </c>
      <c r="AO798">
        <v>12</v>
      </c>
      <c r="AP798">
        <v>2</v>
      </c>
      <c r="AQ798">
        <v>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 s="2">
        <v>5</v>
      </c>
      <c r="BD798" s="2">
        <v>2</v>
      </c>
      <c r="BE798" s="2">
        <v>8</v>
      </c>
      <c r="BF798" s="2">
        <v>1</v>
      </c>
      <c r="BG798" s="2">
        <v>4</v>
      </c>
      <c r="BH798" s="2">
        <v>12</v>
      </c>
      <c r="BI798" s="2">
        <v>2</v>
      </c>
      <c r="BJ798" s="2">
        <v>3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f t="shared" si="53"/>
        <v>37</v>
      </c>
      <c r="BW798" s="16">
        <f t="shared" si="51"/>
        <v>1.9473684210526316</v>
      </c>
      <c r="BX798" s="16">
        <f>COUNTIF($BC$6:BU798, "=0") / COUNTIF($BC$6:BU798, "&gt;-1")</f>
        <v>0.21809252007698945</v>
      </c>
      <c r="BY798" s="18">
        <f>SUM($BC$6:BU798) / $BY$4</f>
        <v>0.91471662808280396</v>
      </c>
      <c r="BZ798" s="14">
        <f t="shared" si="52"/>
        <v>11</v>
      </c>
      <c r="CA798" t="s">
        <v>5832</v>
      </c>
      <c r="CZ798" t="s">
        <v>11611</v>
      </c>
      <c r="DA798" t="s">
        <v>5904</v>
      </c>
      <c r="DB798">
        <v>10680.8</v>
      </c>
      <c r="DC798" t="s">
        <v>30651</v>
      </c>
      <c r="DD798" t="s">
        <v>30652</v>
      </c>
      <c r="DE798" t="s">
        <v>30653</v>
      </c>
      <c r="DF798" t="s">
        <v>30654</v>
      </c>
      <c r="DG798" t="s">
        <v>30655</v>
      </c>
      <c r="DH798" t="str">
        <f>"HMCN1"</f>
        <v>HMCN1</v>
      </c>
      <c r="DI798" t="s">
        <v>30656</v>
      </c>
      <c r="DJ798" t="s">
        <v>13777</v>
      </c>
      <c r="DK798">
        <v>9606</v>
      </c>
      <c r="DL798" s="34" t="str">
        <f>HYPERLINK("http://www.uniprot.org/uniprot/Q96RW7", "Q96RW7")</f>
        <v>Q96RW7</v>
      </c>
      <c r="DM798" t="s">
        <v>30657</v>
      </c>
      <c r="DN798" t="s">
        <v>30658</v>
      </c>
      <c r="DO798" t="s">
        <v>30659</v>
      </c>
      <c r="DP798" t="s">
        <v>13780</v>
      </c>
      <c r="DQ798" t="s">
        <v>13772</v>
      </c>
      <c r="DR798" t="s">
        <v>25532</v>
      </c>
      <c r="DS798" t="s">
        <v>30660</v>
      </c>
      <c r="DT798" t="s">
        <v>14465</v>
      </c>
      <c r="DU798" t="s">
        <v>13772</v>
      </c>
      <c r="DV798" t="s">
        <v>13796</v>
      </c>
      <c r="DW798" t="s">
        <v>13772</v>
      </c>
      <c r="DX798" t="s">
        <v>30661</v>
      </c>
      <c r="DY798" t="s">
        <v>30662</v>
      </c>
      <c r="DZ798" t="s">
        <v>30663</v>
      </c>
      <c r="EA798" t="s">
        <v>13772</v>
      </c>
      <c r="EB798" t="s">
        <v>13772</v>
      </c>
    </row>
    <row r="799" spans="1:132" hidden="1">
      <c r="A799">
        <v>1894</v>
      </c>
      <c r="B799">
        <v>1</v>
      </c>
      <c r="C799" t="s">
        <v>4469</v>
      </c>
      <c r="D799" t="s">
        <v>73</v>
      </c>
      <c r="E799" t="s">
        <v>73</v>
      </c>
      <c r="F799" t="s">
        <v>73</v>
      </c>
      <c r="G799" t="s">
        <v>73</v>
      </c>
      <c r="H799">
        <v>45.7</v>
      </c>
      <c r="I799">
        <v>313</v>
      </c>
      <c r="J799">
        <v>35355</v>
      </c>
      <c r="K799" t="s">
        <v>4470</v>
      </c>
      <c r="L799">
        <f t="shared" si="50"/>
        <v>37</v>
      </c>
      <c r="N799">
        <v>37</v>
      </c>
      <c r="O799">
        <v>37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2</v>
      </c>
      <c r="V799">
        <v>3</v>
      </c>
      <c r="W799">
        <v>4</v>
      </c>
      <c r="X799">
        <v>6</v>
      </c>
      <c r="Y799">
        <v>2</v>
      </c>
      <c r="Z799">
        <v>0</v>
      </c>
      <c r="AA799">
        <v>8</v>
      </c>
      <c r="AB799">
        <v>2</v>
      </c>
      <c r="AC799">
        <v>1</v>
      </c>
      <c r="AD799">
        <v>0</v>
      </c>
      <c r="AE799">
        <v>4</v>
      </c>
      <c r="AF799">
        <v>2</v>
      </c>
      <c r="AG799">
        <v>2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2</v>
      </c>
      <c r="AO799">
        <v>3</v>
      </c>
      <c r="AP799">
        <v>4</v>
      </c>
      <c r="AQ799">
        <v>6</v>
      </c>
      <c r="AR799">
        <v>2</v>
      </c>
      <c r="AS799">
        <v>0</v>
      </c>
      <c r="AT799">
        <v>8</v>
      </c>
      <c r="AU799">
        <v>2</v>
      </c>
      <c r="AV799">
        <v>1</v>
      </c>
      <c r="AW799">
        <v>0</v>
      </c>
      <c r="AX799">
        <v>4</v>
      </c>
      <c r="AY799">
        <v>2</v>
      </c>
      <c r="AZ799">
        <v>2</v>
      </c>
      <c r="BA799">
        <v>0</v>
      </c>
      <c r="BB799">
        <v>0</v>
      </c>
      <c r="BC799" s="2">
        <v>0</v>
      </c>
      <c r="BD799" s="2">
        <v>1</v>
      </c>
      <c r="BE799" s="2">
        <v>0</v>
      </c>
      <c r="BF799" s="2">
        <v>0</v>
      </c>
      <c r="BG799" s="2">
        <v>2</v>
      </c>
      <c r="BH799" s="2">
        <v>3</v>
      </c>
      <c r="BI799" s="2">
        <v>4</v>
      </c>
      <c r="BJ799" s="2">
        <v>6</v>
      </c>
      <c r="BK799" s="2">
        <v>2</v>
      </c>
      <c r="BL799" s="2">
        <v>0</v>
      </c>
      <c r="BM799" s="2">
        <v>8</v>
      </c>
      <c r="BN799" s="2">
        <v>2</v>
      </c>
      <c r="BO799" s="2">
        <v>1</v>
      </c>
      <c r="BP799" s="2">
        <v>0</v>
      </c>
      <c r="BQ799" s="2">
        <v>4</v>
      </c>
      <c r="BR799" s="2">
        <v>2</v>
      </c>
      <c r="BS799" s="2">
        <v>2</v>
      </c>
      <c r="BT799" s="2">
        <v>0</v>
      </c>
      <c r="BU799" s="2">
        <v>0</v>
      </c>
      <c r="BV799" s="2">
        <f t="shared" si="53"/>
        <v>37</v>
      </c>
      <c r="BW799" s="16">
        <f t="shared" si="51"/>
        <v>1.9473684210526316</v>
      </c>
      <c r="BX799" s="16">
        <f>COUNTIF($BC$6:BU799, "=0") / COUNTIF($BC$6:BU799, "&gt;-1")</f>
        <v>0.21828185072252421</v>
      </c>
      <c r="BY799" s="18">
        <f>SUM($BC$6:BU799) / $BY$4</f>
        <v>0.91487512264694593</v>
      </c>
      <c r="BZ799" s="14">
        <f t="shared" si="52"/>
        <v>7</v>
      </c>
      <c r="CA799" t="s">
        <v>5832</v>
      </c>
      <c r="CZ799" t="s">
        <v>12071</v>
      </c>
      <c r="DA799" t="s">
        <v>5904</v>
      </c>
      <c r="DB799">
        <v>548.5</v>
      </c>
      <c r="DC799" t="s">
        <v>31946</v>
      </c>
      <c r="DD799" t="s">
        <v>31947</v>
      </c>
      <c r="DE799" t="s">
        <v>31948</v>
      </c>
      <c r="DF799" t="s">
        <v>31949</v>
      </c>
      <c r="DG799" t="s">
        <v>31950</v>
      </c>
      <c r="DH799" t="str">
        <f>"CPPED1"</f>
        <v>CPPED1</v>
      </c>
      <c r="DI799" t="s">
        <v>31951</v>
      </c>
      <c r="DJ799" t="s">
        <v>13777</v>
      </c>
      <c r="DK799">
        <v>9606</v>
      </c>
      <c r="DL799" s="34" t="str">
        <f>HYPERLINK("http://www.uniprot.org/uniprot/Q9BRF8", "Q9BRF8")</f>
        <v>Q9BRF8</v>
      </c>
      <c r="DM799" t="s">
        <v>31952</v>
      </c>
      <c r="DN799" t="s">
        <v>13772</v>
      </c>
      <c r="DO799" t="s">
        <v>13899</v>
      </c>
      <c r="DP799" t="s">
        <v>13780</v>
      </c>
      <c r="DQ799" t="s">
        <v>13772</v>
      </c>
      <c r="DR799" t="s">
        <v>13772</v>
      </c>
      <c r="DS799" t="s">
        <v>13772</v>
      </c>
      <c r="DT799" t="s">
        <v>18390</v>
      </c>
      <c r="DU799" t="s">
        <v>13857</v>
      </c>
      <c r="DV799" t="s">
        <v>13782</v>
      </c>
      <c r="DW799" t="s">
        <v>13772</v>
      </c>
      <c r="DX799" t="s">
        <v>14651</v>
      </c>
      <c r="DY799" t="s">
        <v>31953</v>
      </c>
      <c r="DZ799" t="s">
        <v>31954</v>
      </c>
      <c r="EA799" t="s">
        <v>13772</v>
      </c>
      <c r="EB799" t="s">
        <v>13890</v>
      </c>
    </row>
    <row r="800" spans="1:132" hidden="1">
      <c r="A800">
        <v>1997</v>
      </c>
      <c r="B800">
        <v>1</v>
      </c>
      <c r="C800" t="s">
        <v>4699</v>
      </c>
      <c r="D800" t="s">
        <v>73</v>
      </c>
      <c r="E800" t="s">
        <v>73</v>
      </c>
      <c r="F800" t="s">
        <v>73</v>
      </c>
      <c r="G800" t="s">
        <v>73</v>
      </c>
      <c r="H800">
        <v>27.8</v>
      </c>
      <c r="I800">
        <v>533</v>
      </c>
      <c r="J800">
        <v>59816</v>
      </c>
      <c r="K800" t="s">
        <v>4700</v>
      </c>
      <c r="L800">
        <f t="shared" si="50"/>
        <v>37</v>
      </c>
      <c r="N800">
        <v>37</v>
      </c>
      <c r="O800">
        <v>37</v>
      </c>
      <c r="P800">
        <v>1</v>
      </c>
      <c r="Q800">
        <v>0</v>
      </c>
      <c r="R800">
        <v>4</v>
      </c>
      <c r="S800">
        <v>0</v>
      </c>
      <c r="T800">
        <v>2</v>
      </c>
      <c r="U800">
        <v>8</v>
      </c>
      <c r="V800">
        <v>8</v>
      </c>
      <c r="W800">
        <v>2</v>
      </c>
      <c r="X800">
        <v>3</v>
      </c>
      <c r="Y800">
        <v>1</v>
      </c>
      <c r="Z800">
        <v>0</v>
      </c>
      <c r="AA800">
        <v>5</v>
      </c>
      <c r="AB800">
        <v>1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4</v>
      </c>
      <c r="AL800">
        <v>0</v>
      </c>
      <c r="AM800">
        <v>2</v>
      </c>
      <c r="AN800">
        <v>8</v>
      </c>
      <c r="AO800">
        <v>8</v>
      </c>
      <c r="AP800">
        <v>2</v>
      </c>
      <c r="AQ800">
        <v>3</v>
      </c>
      <c r="AR800">
        <v>1</v>
      </c>
      <c r="AS800">
        <v>0</v>
      </c>
      <c r="AT800">
        <v>5</v>
      </c>
      <c r="AU800">
        <v>1</v>
      </c>
      <c r="AV800">
        <v>1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 s="2">
        <v>0</v>
      </c>
      <c r="BD800" s="2">
        <v>4</v>
      </c>
      <c r="BE800" s="2">
        <v>0</v>
      </c>
      <c r="BF800" s="2">
        <v>2</v>
      </c>
      <c r="BG800" s="2">
        <v>8</v>
      </c>
      <c r="BH800" s="2">
        <v>8</v>
      </c>
      <c r="BI800" s="2">
        <v>2</v>
      </c>
      <c r="BJ800" s="2">
        <v>3</v>
      </c>
      <c r="BK800" s="2">
        <v>1</v>
      </c>
      <c r="BL800" s="2">
        <v>0</v>
      </c>
      <c r="BM800" s="2">
        <v>5</v>
      </c>
      <c r="BN800" s="2">
        <v>1</v>
      </c>
      <c r="BO800" s="2">
        <v>1</v>
      </c>
      <c r="BP800" s="2">
        <v>0</v>
      </c>
      <c r="BQ800" s="2">
        <v>0</v>
      </c>
      <c r="BR800" s="2">
        <v>1</v>
      </c>
      <c r="BS800" s="2">
        <v>1</v>
      </c>
      <c r="BT800" s="2">
        <v>0</v>
      </c>
      <c r="BU800" s="2">
        <v>0</v>
      </c>
      <c r="BV800" s="2">
        <f t="shared" si="53"/>
        <v>37</v>
      </c>
      <c r="BW800" s="16">
        <f t="shared" si="51"/>
        <v>1.9473684210526316</v>
      </c>
      <c r="BX800" s="16">
        <f>COUNTIF($BC$6:BU800, "=0") / COUNTIF($BC$6:BU800, "&gt;-1")</f>
        <v>0.21847070506454816</v>
      </c>
      <c r="BY800" s="18">
        <f>SUM($BC$6:BU800) / $BY$4</f>
        <v>0.91503361721108789</v>
      </c>
      <c r="BZ800" s="14">
        <f t="shared" si="52"/>
        <v>7</v>
      </c>
      <c r="CA800" t="s">
        <v>5832</v>
      </c>
      <c r="CZ800" t="s">
        <v>12406</v>
      </c>
      <c r="DA800" t="s">
        <v>5904</v>
      </c>
      <c r="DB800">
        <v>1023.9</v>
      </c>
      <c r="DC800" t="s">
        <v>32910</v>
      </c>
      <c r="DD800" t="s">
        <v>32911</v>
      </c>
      <c r="DE800" t="s">
        <v>32912</v>
      </c>
      <c r="DF800" t="s">
        <v>32913</v>
      </c>
      <c r="DG800" t="s">
        <v>32914</v>
      </c>
      <c r="DH800" t="str">
        <f>"CPNE3"</f>
        <v>CPNE3</v>
      </c>
      <c r="DI800" t="s">
        <v>13772</v>
      </c>
      <c r="DJ800" t="s">
        <v>13777</v>
      </c>
      <c r="DK800">
        <v>9606</v>
      </c>
      <c r="DL800" s="34" t="str">
        <f>HYPERLINK("http://www.uniprot.org/uniprot/O75131", "O75131")</f>
        <v>O75131</v>
      </c>
      <c r="DM800" t="s">
        <v>32915</v>
      </c>
      <c r="DN800" t="s">
        <v>13772</v>
      </c>
      <c r="DO800" t="s">
        <v>22493</v>
      </c>
      <c r="DP800" t="s">
        <v>13793</v>
      </c>
      <c r="DQ800" t="s">
        <v>13772</v>
      </c>
      <c r="DR800" t="s">
        <v>13772</v>
      </c>
      <c r="DS800" t="s">
        <v>14096</v>
      </c>
      <c r="DT800" t="s">
        <v>13772</v>
      </c>
      <c r="DU800" t="s">
        <v>13772</v>
      </c>
      <c r="DV800" t="s">
        <v>13782</v>
      </c>
      <c r="DW800" t="s">
        <v>13772</v>
      </c>
      <c r="DX800" t="s">
        <v>32916</v>
      </c>
      <c r="DY800" t="s">
        <v>32917</v>
      </c>
      <c r="DZ800" t="s">
        <v>32918</v>
      </c>
      <c r="EA800" t="s">
        <v>13772</v>
      </c>
      <c r="EB800" t="s">
        <v>32919</v>
      </c>
    </row>
    <row r="801" spans="1:132" hidden="1">
      <c r="A801">
        <v>2022</v>
      </c>
      <c r="B801">
        <v>1</v>
      </c>
      <c r="C801" t="s">
        <v>4756</v>
      </c>
      <c r="D801" t="s">
        <v>4757</v>
      </c>
      <c r="E801" t="s">
        <v>73</v>
      </c>
      <c r="F801" t="s">
        <v>73</v>
      </c>
      <c r="G801" t="s">
        <v>73</v>
      </c>
      <c r="H801">
        <v>20.5</v>
      </c>
      <c r="I801">
        <v>278</v>
      </c>
      <c r="J801">
        <v>29920</v>
      </c>
      <c r="K801" t="s">
        <v>4758</v>
      </c>
      <c r="L801">
        <f t="shared" si="50"/>
        <v>37</v>
      </c>
      <c r="N801">
        <v>37</v>
      </c>
      <c r="O801">
        <v>37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1</v>
      </c>
      <c r="AA801">
        <v>5</v>
      </c>
      <c r="AB801">
        <v>4</v>
      </c>
      <c r="AC801">
        <v>5</v>
      </c>
      <c r="AD801">
        <v>7</v>
      </c>
      <c r="AE801">
        <v>3</v>
      </c>
      <c r="AF801">
        <v>1</v>
      </c>
      <c r="AG801">
        <v>2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7</v>
      </c>
      <c r="AS801">
        <v>1</v>
      </c>
      <c r="AT801">
        <v>5</v>
      </c>
      <c r="AU801">
        <v>4</v>
      </c>
      <c r="AV801">
        <v>5</v>
      </c>
      <c r="AW801">
        <v>7</v>
      </c>
      <c r="AX801">
        <v>3</v>
      </c>
      <c r="AY801">
        <v>1</v>
      </c>
      <c r="AZ801">
        <v>2</v>
      </c>
      <c r="BA801">
        <v>1</v>
      </c>
      <c r="BB801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7</v>
      </c>
      <c r="BL801" s="2">
        <v>1</v>
      </c>
      <c r="BM801" s="2">
        <v>5</v>
      </c>
      <c r="BN801" s="2">
        <v>4</v>
      </c>
      <c r="BO801" s="2">
        <v>5</v>
      </c>
      <c r="BP801" s="2">
        <v>7</v>
      </c>
      <c r="BQ801" s="2">
        <v>3</v>
      </c>
      <c r="BR801" s="2">
        <v>1</v>
      </c>
      <c r="BS801" s="2">
        <v>2</v>
      </c>
      <c r="BT801" s="2">
        <v>1</v>
      </c>
      <c r="BU801" s="2">
        <v>1</v>
      </c>
      <c r="BV801" s="2">
        <f t="shared" si="53"/>
        <v>37</v>
      </c>
      <c r="BW801" s="16">
        <f t="shared" si="51"/>
        <v>1.9473684210526316</v>
      </c>
      <c r="BX801" s="16">
        <f>COUNTIF($BC$6:BU801, "=0") / COUNTIF($BC$6:BU801, "&gt;-1")</f>
        <v>0.21872520497222958</v>
      </c>
      <c r="BY801" s="18">
        <f>SUM($BC$6:BU801) / $BY$4</f>
        <v>0.91519211177522974</v>
      </c>
      <c r="BZ801" s="14">
        <f t="shared" si="52"/>
        <v>8</v>
      </c>
      <c r="CA801" t="s">
        <v>5832</v>
      </c>
      <c r="CZ801" t="s">
        <v>12490</v>
      </c>
      <c r="DA801" t="s">
        <v>5904</v>
      </c>
      <c r="DB801">
        <v>402.5</v>
      </c>
      <c r="DC801" t="s">
        <v>33140</v>
      </c>
      <c r="DD801" t="s">
        <v>33141</v>
      </c>
      <c r="DE801" t="s">
        <v>33142</v>
      </c>
      <c r="DF801" t="s">
        <v>33143</v>
      </c>
      <c r="DG801" t="s">
        <v>33144</v>
      </c>
      <c r="DH801" t="str">
        <f>"UPK1A"</f>
        <v>UPK1A</v>
      </c>
      <c r="DI801" t="s">
        <v>33145</v>
      </c>
      <c r="DJ801" t="s">
        <v>13777</v>
      </c>
      <c r="DK801">
        <v>9606</v>
      </c>
      <c r="DL801" s="34" t="str">
        <f>HYPERLINK("http://www.uniprot.org/uniprot/O00322", "O00322")</f>
        <v>O00322</v>
      </c>
      <c r="DM801" t="s">
        <v>33146</v>
      </c>
      <c r="DN801" t="s">
        <v>13772</v>
      </c>
      <c r="DO801" t="s">
        <v>13825</v>
      </c>
      <c r="DP801" t="s">
        <v>13780</v>
      </c>
      <c r="DQ801" t="s">
        <v>13772</v>
      </c>
      <c r="DR801" t="s">
        <v>13772</v>
      </c>
      <c r="DS801" t="s">
        <v>13925</v>
      </c>
      <c r="DT801" t="s">
        <v>13772</v>
      </c>
      <c r="DU801" t="s">
        <v>13772</v>
      </c>
      <c r="DV801" t="s">
        <v>13796</v>
      </c>
      <c r="DW801" t="s">
        <v>13772</v>
      </c>
      <c r="DX801" t="s">
        <v>33147</v>
      </c>
      <c r="DY801" t="s">
        <v>33148</v>
      </c>
      <c r="DZ801" t="s">
        <v>20460</v>
      </c>
      <c r="EA801" t="s">
        <v>13772</v>
      </c>
      <c r="EB801" t="s">
        <v>13772</v>
      </c>
    </row>
    <row r="802" spans="1:132" hidden="1">
      <c r="A802">
        <v>2050</v>
      </c>
      <c r="B802">
        <v>1</v>
      </c>
      <c r="C802" t="s">
        <v>4818</v>
      </c>
      <c r="D802" t="s">
        <v>73</v>
      </c>
      <c r="E802" t="s">
        <v>73</v>
      </c>
      <c r="F802" t="s">
        <v>73</v>
      </c>
      <c r="G802" t="s">
        <v>73</v>
      </c>
      <c r="H802">
        <v>18.3</v>
      </c>
      <c r="I802">
        <v>410</v>
      </c>
      <c r="J802">
        <v>44756</v>
      </c>
      <c r="K802" t="s">
        <v>4819</v>
      </c>
      <c r="L802">
        <f t="shared" si="50"/>
        <v>37</v>
      </c>
      <c r="N802">
        <v>37</v>
      </c>
      <c r="O802">
        <v>37</v>
      </c>
      <c r="P802">
        <v>1</v>
      </c>
      <c r="Q802">
        <v>3</v>
      </c>
      <c r="R802">
        <v>4</v>
      </c>
      <c r="S802">
        <v>1</v>
      </c>
      <c r="T802">
        <v>2</v>
      </c>
      <c r="U802">
        <v>0</v>
      </c>
      <c r="V802">
        <v>3</v>
      </c>
      <c r="W802">
        <v>4</v>
      </c>
      <c r="X802">
        <v>2</v>
      </c>
      <c r="Y802">
        <v>0</v>
      </c>
      <c r="Z802">
        <v>0</v>
      </c>
      <c r="AA802">
        <v>4</v>
      </c>
      <c r="AB802">
        <v>3</v>
      </c>
      <c r="AC802">
        <v>0</v>
      </c>
      <c r="AD802">
        <v>0</v>
      </c>
      <c r="AE802">
        <v>2</v>
      </c>
      <c r="AF802">
        <v>4</v>
      </c>
      <c r="AG802">
        <v>4</v>
      </c>
      <c r="AH802">
        <v>0</v>
      </c>
      <c r="AI802">
        <v>1</v>
      </c>
      <c r="AJ802">
        <v>3</v>
      </c>
      <c r="AK802">
        <v>4</v>
      </c>
      <c r="AL802">
        <v>1</v>
      </c>
      <c r="AM802">
        <v>2</v>
      </c>
      <c r="AN802">
        <v>0</v>
      </c>
      <c r="AO802">
        <v>3</v>
      </c>
      <c r="AP802">
        <v>4</v>
      </c>
      <c r="AQ802">
        <v>2</v>
      </c>
      <c r="AR802">
        <v>0</v>
      </c>
      <c r="AS802">
        <v>0</v>
      </c>
      <c r="AT802">
        <v>4</v>
      </c>
      <c r="AU802">
        <v>3</v>
      </c>
      <c r="AV802">
        <v>0</v>
      </c>
      <c r="AW802">
        <v>0</v>
      </c>
      <c r="AX802">
        <v>2</v>
      </c>
      <c r="AY802">
        <v>4</v>
      </c>
      <c r="AZ802">
        <v>4</v>
      </c>
      <c r="BA802">
        <v>0</v>
      </c>
      <c r="BB802">
        <v>1</v>
      </c>
      <c r="BC802" s="2">
        <v>3</v>
      </c>
      <c r="BD802" s="2">
        <v>4</v>
      </c>
      <c r="BE802" s="2">
        <v>1</v>
      </c>
      <c r="BF802" s="2">
        <v>2</v>
      </c>
      <c r="BG802" s="2">
        <v>0</v>
      </c>
      <c r="BH802" s="2">
        <v>3</v>
      </c>
      <c r="BI802" s="2">
        <v>4</v>
      </c>
      <c r="BJ802" s="2">
        <v>2</v>
      </c>
      <c r="BK802" s="2">
        <v>0</v>
      </c>
      <c r="BL802" s="2">
        <v>0</v>
      </c>
      <c r="BM802" s="2">
        <v>4</v>
      </c>
      <c r="BN802" s="2">
        <v>3</v>
      </c>
      <c r="BO802" s="2">
        <v>0</v>
      </c>
      <c r="BP802" s="2">
        <v>0</v>
      </c>
      <c r="BQ802" s="2">
        <v>2</v>
      </c>
      <c r="BR802" s="2">
        <v>4</v>
      </c>
      <c r="BS802" s="2">
        <v>4</v>
      </c>
      <c r="BT802" s="2">
        <v>0</v>
      </c>
      <c r="BU802" s="2">
        <v>1</v>
      </c>
      <c r="BV802" s="2">
        <f t="shared" si="53"/>
        <v>37</v>
      </c>
      <c r="BW802" s="16">
        <f t="shared" si="51"/>
        <v>1.9473684210526316</v>
      </c>
      <c r="BX802" s="16">
        <f>COUNTIF($BC$6:BU802, "=0") / COUNTIF($BC$6:BU802, "&gt;-1")</f>
        <v>0.21884699200950936</v>
      </c>
      <c r="BY802" s="18">
        <f>SUM($BC$6:BU802) / $BY$4</f>
        <v>0.91535060633937171</v>
      </c>
      <c r="BZ802" s="14">
        <f t="shared" si="52"/>
        <v>6</v>
      </c>
      <c r="CA802" t="s">
        <v>5832</v>
      </c>
      <c r="CZ802" t="s">
        <v>12585</v>
      </c>
      <c r="DA802" t="s">
        <v>6759</v>
      </c>
      <c r="DB802">
        <v>272.7</v>
      </c>
      <c r="DC802" t="s">
        <v>33400</v>
      </c>
      <c r="DD802" t="s">
        <v>33401</v>
      </c>
      <c r="DE802" t="s">
        <v>33402</v>
      </c>
      <c r="DF802" t="s">
        <v>33403</v>
      </c>
      <c r="DG802" t="s">
        <v>33404</v>
      </c>
      <c r="DH802" t="str">
        <f>"TARM1"</f>
        <v>TARM1</v>
      </c>
      <c r="DI802" t="s">
        <v>13772</v>
      </c>
      <c r="DJ802" t="s">
        <v>13777</v>
      </c>
      <c r="DK802">
        <v>9606</v>
      </c>
      <c r="DL802" s="34" t="str">
        <f>HYPERLINK("http://www.uniprot.org/uniprot/B6A8C7", "B6A8C7")</f>
        <v>B6A8C7</v>
      </c>
      <c r="DM802" t="s">
        <v>33405</v>
      </c>
      <c r="DN802" t="s">
        <v>33406</v>
      </c>
      <c r="DO802" t="s">
        <v>13792</v>
      </c>
      <c r="DP802" t="s">
        <v>13780</v>
      </c>
      <c r="DQ802" t="s">
        <v>13772</v>
      </c>
      <c r="DR802" t="s">
        <v>13772</v>
      </c>
      <c r="DS802" t="s">
        <v>13951</v>
      </c>
      <c r="DT802" t="s">
        <v>13772</v>
      </c>
      <c r="DU802" t="s">
        <v>13795</v>
      </c>
      <c r="DV802" t="s">
        <v>13796</v>
      </c>
      <c r="DW802" t="s">
        <v>13772</v>
      </c>
      <c r="DX802" t="s">
        <v>33407</v>
      </c>
      <c r="DY802" t="s">
        <v>33408</v>
      </c>
      <c r="DZ802" t="s">
        <v>33409</v>
      </c>
      <c r="EA802" t="s">
        <v>13772</v>
      </c>
      <c r="EB802" t="s">
        <v>13890</v>
      </c>
    </row>
    <row r="803" spans="1:132" hidden="1">
      <c r="A803">
        <v>2140</v>
      </c>
      <c r="B803">
        <v>1</v>
      </c>
      <c r="C803" t="s">
        <v>5018</v>
      </c>
      <c r="D803" t="s">
        <v>73</v>
      </c>
      <c r="E803" t="s">
        <v>73</v>
      </c>
      <c r="F803" t="s">
        <v>73</v>
      </c>
      <c r="G803" t="s">
        <v>73</v>
      </c>
      <c r="H803">
        <v>24.7</v>
      </c>
      <c r="I803">
        <v>170</v>
      </c>
      <c r="J803">
        <v>17818</v>
      </c>
      <c r="K803" t="s">
        <v>5019</v>
      </c>
      <c r="L803">
        <f t="shared" si="50"/>
        <v>37</v>
      </c>
      <c r="N803">
        <v>37</v>
      </c>
      <c r="O803">
        <v>37</v>
      </c>
      <c r="P803">
        <v>1</v>
      </c>
      <c r="Q803">
        <v>2</v>
      </c>
      <c r="R803">
        <v>1</v>
      </c>
      <c r="S803">
        <v>0</v>
      </c>
      <c r="T803">
        <v>0</v>
      </c>
      <c r="U803">
        <v>1</v>
      </c>
      <c r="V803">
        <v>2</v>
      </c>
      <c r="W803">
        <v>2</v>
      </c>
      <c r="X803">
        <v>2</v>
      </c>
      <c r="Y803">
        <v>1</v>
      </c>
      <c r="Z803">
        <v>0</v>
      </c>
      <c r="AA803">
        <v>3</v>
      </c>
      <c r="AB803">
        <v>4</v>
      </c>
      <c r="AC803">
        <v>2</v>
      </c>
      <c r="AD803">
        <v>1</v>
      </c>
      <c r="AE803">
        <v>2</v>
      </c>
      <c r="AF803">
        <v>3</v>
      </c>
      <c r="AG803">
        <v>5</v>
      </c>
      <c r="AH803">
        <v>1</v>
      </c>
      <c r="AI803">
        <v>5</v>
      </c>
      <c r="AJ803">
        <v>2</v>
      </c>
      <c r="AK803">
        <v>1</v>
      </c>
      <c r="AL803">
        <v>0</v>
      </c>
      <c r="AM803">
        <v>0</v>
      </c>
      <c r="AN803">
        <v>1</v>
      </c>
      <c r="AO803">
        <v>2</v>
      </c>
      <c r="AP803">
        <v>2</v>
      </c>
      <c r="AQ803">
        <v>2</v>
      </c>
      <c r="AR803">
        <v>1</v>
      </c>
      <c r="AS803">
        <v>0</v>
      </c>
      <c r="AT803">
        <v>3</v>
      </c>
      <c r="AU803">
        <v>4</v>
      </c>
      <c r="AV803">
        <v>2</v>
      </c>
      <c r="AW803">
        <v>1</v>
      </c>
      <c r="AX803">
        <v>2</v>
      </c>
      <c r="AY803">
        <v>3</v>
      </c>
      <c r="AZ803">
        <v>5</v>
      </c>
      <c r="BA803">
        <v>1</v>
      </c>
      <c r="BB803">
        <v>5</v>
      </c>
      <c r="BC803" s="2">
        <v>2</v>
      </c>
      <c r="BD803" s="2">
        <v>1</v>
      </c>
      <c r="BE803" s="2">
        <v>0</v>
      </c>
      <c r="BF803" s="2">
        <v>0</v>
      </c>
      <c r="BG803" s="2">
        <v>1</v>
      </c>
      <c r="BH803" s="2">
        <v>2</v>
      </c>
      <c r="BI803" s="2">
        <v>2</v>
      </c>
      <c r="BJ803" s="2">
        <v>2</v>
      </c>
      <c r="BK803" s="2">
        <v>1</v>
      </c>
      <c r="BL803" s="2">
        <v>0</v>
      </c>
      <c r="BM803" s="2">
        <v>3</v>
      </c>
      <c r="BN803" s="2">
        <v>4</v>
      </c>
      <c r="BO803" s="2">
        <v>2</v>
      </c>
      <c r="BP803" s="2">
        <v>1</v>
      </c>
      <c r="BQ803" s="2">
        <v>2</v>
      </c>
      <c r="BR803" s="2">
        <v>3</v>
      </c>
      <c r="BS803" s="2">
        <v>5</v>
      </c>
      <c r="BT803" s="2">
        <v>1</v>
      </c>
      <c r="BU803" s="2">
        <v>5</v>
      </c>
      <c r="BV803" s="2">
        <f t="shared" si="53"/>
        <v>37</v>
      </c>
      <c r="BW803" s="16">
        <f t="shared" si="51"/>
        <v>1.9473684210526316</v>
      </c>
      <c r="BX803" s="16">
        <f>COUNTIF($BC$6:BU803, "=0") / COUNTIF($BC$6:BU803, "&gt;-1")</f>
        <v>0.21877061073736975</v>
      </c>
      <c r="BY803" s="18">
        <f>SUM($BC$6:BU803) / $BY$4</f>
        <v>0.91550910090351356</v>
      </c>
      <c r="BZ803" s="14">
        <f t="shared" si="52"/>
        <v>3</v>
      </c>
      <c r="CA803" t="s">
        <v>5832</v>
      </c>
      <c r="CZ803" t="s">
        <v>12880</v>
      </c>
      <c r="DA803" t="s">
        <v>5904</v>
      </c>
      <c r="DB803">
        <v>135.19999999999999</v>
      </c>
      <c r="DC803" t="s">
        <v>34230</v>
      </c>
      <c r="DD803" t="s">
        <v>34231</v>
      </c>
      <c r="DE803" t="s">
        <v>34232</v>
      </c>
      <c r="DF803" t="s">
        <v>34233</v>
      </c>
      <c r="DG803" t="s">
        <v>34234</v>
      </c>
      <c r="DH803" t="str">
        <f>"GPIHBP1"</f>
        <v>GPIHBP1</v>
      </c>
      <c r="DI803" t="s">
        <v>34235</v>
      </c>
      <c r="DJ803" t="s">
        <v>13777</v>
      </c>
      <c r="DK803">
        <v>9606</v>
      </c>
      <c r="DL803" s="34" t="str">
        <f>HYPERLINK("http://www.uniprot.org/uniprot/Q8IV16", "Q8IV16")</f>
        <v>Q8IV16</v>
      </c>
      <c r="DM803" t="s">
        <v>34236</v>
      </c>
      <c r="DN803" t="s">
        <v>14192</v>
      </c>
      <c r="DO803" t="s">
        <v>13792</v>
      </c>
      <c r="DP803" t="s">
        <v>13793</v>
      </c>
      <c r="DQ803" t="s">
        <v>13772</v>
      </c>
      <c r="DR803" t="s">
        <v>13807</v>
      </c>
      <c r="DS803" t="s">
        <v>13808</v>
      </c>
      <c r="DT803" t="s">
        <v>13900</v>
      </c>
      <c r="DU803" t="s">
        <v>13772</v>
      </c>
      <c r="DV803" t="s">
        <v>34237</v>
      </c>
      <c r="DW803" t="s">
        <v>13812</v>
      </c>
      <c r="DX803" t="s">
        <v>34238</v>
      </c>
      <c r="DY803" t="s">
        <v>34239</v>
      </c>
      <c r="DZ803" t="s">
        <v>34240</v>
      </c>
      <c r="EA803" t="s">
        <v>13772</v>
      </c>
      <c r="EB803" t="s">
        <v>34241</v>
      </c>
    </row>
    <row r="804" spans="1:132" hidden="1">
      <c r="A804">
        <v>2249</v>
      </c>
      <c r="B804">
        <v>1</v>
      </c>
      <c r="C804" t="s">
        <v>5259</v>
      </c>
      <c r="D804" t="s">
        <v>73</v>
      </c>
      <c r="E804" t="s">
        <v>73</v>
      </c>
      <c r="F804" t="s">
        <v>73</v>
      </c>
      <c r="G804" t="s">
        <v>73</v>
      </c>
      <c r="H804">
        <v>50.4</v>
      </c>
      <c r="I804">
        <v>127</v>
      </c>
      <c r="J804">
        <v>13889</v>
      </c>
      <c r="K804" t="s">
        <v>5260</v>
      </c>
      <c r="L804">
        <f t="shared" si="50"/>
        <v>37</v>
      </c>
      <c r="N804">
        <v>37</v>
      </c>
      <c r="O804">
        <v>37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4</v>
      </c>
      <c r="Z804">
        <v>0</v>
      </c>
      <c r="AA804">
        <v>5</v>
      </c>
      <c r="AB804">
        <v>3</v>
      </c>
      <c r="AC804">
        <v>3</v>
      </c>
      <c r="AD804">
        <v>0</v>
      </c>
      <c r="AE804">
        <v>9</v>
      </c>
      <c r="AF804">
        <v>8</v>
      </c>
      <c r="AG804">
        <v>2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4</v>
      </c>
      <c r="AS804">
        <v>0</v>
      </c>
      <c r="AT804">
        <v>5</v>
      </c>
      <c r="AU804">
        <v>3</v>
      </c>
      <c r="AV804">
        <v>3</v>
      </c>
      <c r="AW804">
        <v>0</v>
      </c>
      <c r="AX804">
        <v>9</v>
      </c>
      <c r="AY804">
        <v>8</v>
      </c>
      <c r="AZ804">
        <v>2</v>
      </c>
      <c r="BA804">
        <v>0</v>
      </c>
      <c r="BB804">
        <v>2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4</v>
      </c>
      <c r="BL804" s="2">
        <v>0</v>
      </c>
      <c r="BM804" s="2">
        <v>5</v>
      </c>
      <c r="BN804" s="2">
        <v>3</v>
      </c>
      <c r="BO804" s="2">
        <v>3</v>
      </c>
      <c r="BP804" s="2">
        <v>0</v>
      </c>
      <c r="BQ804" s="2">
        <v>9</v>
      </c>
      <c r="BR804" s="2">
        <v>8</v>
      </c>
      <c r="BS804" s="2">
        <v>2</v>
      </c>
      <c r="BT804" s="2">
        <v>0</v>
      </c>
      <c r="BU804" s="2">
        <v>2</v>
      </c>
      <c r="BV804" s="2">
        <f t="shared" si="53"/>
        <v>37</v>
      </c>
      <c r="BW804" s="16">
        <f t="shared" si="51"/>
        <v>1.9473684210526316</v>
      </c>
      <c r="BX804" s="16">
        <f>COUNTIF($BC$6:BU804, "=0") / COUNTIF($BC$6:BU804, "&gt;-1")</f>
        <v>0.21915552335155786</v>
      </c>
      <c r="BY804" s="18">
        <f>SUM($BC$6:BU804) / $BY$4</f>
        <v>0.91566759546765553</v>
      </c>
      <c r="BZ804" s="14">
        <f t="shared" si="52"/>
        <v>10</v>
      </c>
      <c r="CA804" t="s">
        <v>5832</v>
      </c>
      <c r="CZ804" t="s">
        <v>13240</v>
      </c>
      <c r="DA804" t="s">
        <v>5904</v>
      </c>
      <c r="DB804">
        <v>188.3</v>
      </c>
      <c r="DC804" t="s">
        <v>35246</v>
      </c>
      <c r="DD804" t="s">
        <v>35247</v>
      </c>
      <c r="DE804" t="s">
        <v>35248</v>
      </c>
      <c r="DF804" t="s">
        <v>35249</v>
      </c>
      <c r="DG804" t="s">
        <v>13772</v>
      </c>
      <c r="DH804" t="str">
        <f>"ACYP2"</f>
        <v>ACYP2</v>
      </c>
      <c r="DI804" t="s">
        <v>35250</v>
      </c>
      <c r="DJ804" t="s">
        <v>13777</v>
      </c>
      <c r="DK804">
        <v>9606</v>
      </c>
      <c r="DL804" s="34" t="str">
        <f>HYPERLINK("http://www.uniprot.org/uniprot/P14621", "P14621")</f>
        <v>P14621</v>
      </c>
      <c r="DM804" t="s">
        <v>35251</v>
      </c>
      <c r="DN804" t="s">
        <v>13772</v>
      </c>
      <c r="DO804" t="s">
        <v>13772</v>
      </c>
      <c r="DP804" t="s">
        <v>13772</v>
      </c>
      <c r="DQ804" t="s">
        <v>13772</v>
      </c>
      <c r="DR804" t="s">
        <v>13772</v>
      </c>
      <c r="DS804" t="s">
        <v>13772</v>
      </c>
      <c r="DT804" t="s">
        <v>13772</v>
      </c>
      <c r="DU804" t="s">
        <v>13857</v>
      </c>
      <c r="DV804" t="s">
        <v>13886</v>
      </c>
      <c r="DW804" t="s">
        <v>13772</v>
      </c>
      <c r="DX804" t="s">
        <v>14933</v>
      </c>
      <c r="DY804" t="s">
        <v>13772</v>
      </c>
      <c r="DZ804" t="s">
        <v>35252</v>
      </c>
      <c r="EA804" t="s">
        <v>13772</v>
      </c>
      <c r="EB804" t="s">
        <v>13772</v>
      </c>
    </row>
    <row r="805" spans="1:132" hidden="1">
      <c r="A805">
        <v>270</v>
      </c>
      <c r="B805">
        <v>1</v>
      </c>
      <c r="C805" t="s">
        <v>682</v>
      </c>
      <c r="D805" t="s">
        <v>683</v>
      </c>
      <c r="E805" t="s">
        <v>73</v>
      </c>
      <c r="F805" t="s">
        <v>684</v>
      </c>
      <c r="G805" t="s">
        <v>73</v>
      </c>
      <c r="H805">
        <v>20.9</v>
      </c>
      <c r="I805">
        <v>903</v>
      </c>
      <c r="J805">
        <v>102814</v>
      </c>
      <c r="K805" t="s">
        <v>685</v>
      </c>
      <c r="L805">
        <f t="shared" si="50"/>
        <v>42</v>
      </c>
      <c r="N805">
        <v>42</v>
      </c>
      <c r="O805">
        <v>28</v>
      </c>
      <c r="P805">
        <v>0.66700000000000004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12</v>
      </c>
      <c r="Z805">
        <v>0</v>
      </c>
      <c r="AA805">
        <v>13</v>
      </c>
      <c r="AB805">
        <v>4</v>
      </c>
      <c r="AC805">
        <v>12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9</v>
      </c>
      <c r="AS805">
        <v>0</v>
      </c>
      <c r="AT805">
        <v>10</v>
      </c>
      <c r="AU805">
        <v>1</v>
      </c>
      <c r="AV805">
        <v>8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0.33300000000000002</v>
      </c>
      <c r="BJ805" s="2">
        <v>0</v>
      </c>
      <c r="BK805" s="2">
        <v>10.843</v>
      </c>
      <c r="BL805" s="2">
        <v>0</v>
      </c>
      <c r="BM805" s="2">
        <v>11.958</v>
      </c>
      <c r="BN805" s="2">
        <v>1.5329999999999999</v>
      </c>
      <c r="BO805" s="2">
        <v>11.555999999999999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f t="shared" si="53"/>
        <v>36.222999999999999</v>
      </c>
      <c r="BW805" s="16">
        <f t="shared" si="51"/>
        <v>1.9064736842105263</v>
      </c>
      <c r="BX805" s="16">
        <f>COUNTIF($BC$6:BU805, "=0") / COUNTIF($BC$6:BU805, "&gt;-1")</f>
        <v>0.21980263157894736</v>
      </c>
      <c r="BY805" s="18">
        <f>SUM($BC$6:BU805) / $BY$4</f>
        <v>0.91582276164595056</v>
      </c>
      <c r="BZ805" s="14">
        <f t="shared" si="52"/>
        <v>14</v>
      </c>
      <c r="CA805" t="s">
        <v>5832</v>
      </c>
      <c r="CZ805" t="s">
        <v>6634</v>
      </c>
      <c r="DA805" t="s">
        <v>5904</v>
      </c>
      <c r="DB805">
        <v>1627.5</v>
      </c>
      <c r="DC805" t="s">
        <v>16224</v>
      </c>
      <c r="DD805" t="s">
        <v>13772</v>
      </c>
      <c r="DE805" t="s">
        <v>16225</v>
      </c>
      <c r="DF805" t="s">
        <v>16226</v>
      </c>
      <c r="DG805" t="s">
        <v>16227</v>
      </c>
      <c r="DH805" t="str">
        <f>"PYGL"</f>
        <v>PYGL</v>
      </c>
      <c r="DI805" t="s">
        <v>13772</v>
      </c>
      <c r="DJ805" t="s">
        <v>13777</v>
      </c>
      <c r="DK805">
        <v>9606</v>
      </c>
      <c r="DL805" s="34" t="str">
        <f>HYPERLINK("http://www.uniprot.org/uniprot/P06737", "P06737")</f>
        <v>P06737</v>
      </c>
      <c r="DM805" t="s">
        <v>16228</v>
      </c>
      <c r="DN805" t="s">
        <v>16229</v>
      </c>
      <c r="DO805" t="s">
        <v>13772</v>
      </c>
      <c r="DP805" t="s">
        <v>13780</v>
      </c>
      <c r="DQ805" t="s">
        <v>13772</v>
      </c>
      <c r="DR805" t="s">
        <v>16230</v>
      </c>
      <c r="DS805" t="s">
        <v>13772</v>
      </c>
      <c r="DT805" t="s">
        <v>16231</v>
      </c>
      <c r="DU805" t="s">
        <v>16232</v>
      </c>
      <c r="DV805" t="s">
        <v>13886</v>
      </c>
      <c r="DW805" t="s">
        <v>13812</v>
      </c>
      <c r="DX805" t="s">
        <v>16233</v>
      </c>
      <c r="DY805" t="s">
        <v>16234</v>
      </c>
      <c r="DZ805" t="s">
        <v>16235</v>
      </c>
      <c r="EA805" t="s">
        <v>13772</v>
      </c>
      <c r="EB805" t="s">
        <v>16236</v>
      </c>
    </row>
    <row r="806" spans="1:132" hidden="1">
      <c r="A806">
        <v>261</v>
      </c>
      <c r="B806">
        <v>1</v>
      </c>
      <c r="C806" t="s">
        <v>663</v>
      </c>
      <c r="D806" t="s">
        <v>73</v>
      </c>
      <c r="E806" t="s">
        <v>73</v>
      </c>
      <c r="F806" t="s">
        <v>73</v>
      </c>
      <c r="G806" t="s">
        <v>73</v>
      </c>
      <c r="H806">
        <v>54.2</v>
      </c>
      <c r="I806">
        <v>251</v>
      </c>
      <c r="J806">
        <v>28244</v>
      </c>
      <c r="K806" t="s">
        <v>664</v>
      </c>
      <c r="L806">
        <f t="shared" si="50"/>
        <v>36</v>
      </c>
      <c r="N806">
        <v>36</v>
      </c>
      <c r="O806">
        <v>36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4</v>
      </c>
      <c r="Z806">
        <v>1</v>
      </c>
      <c r="AA806">
        <v>3</v>
      </c>
      <c r="AB806">
        <v>7</v>
      </c>
      <c r="AC806">
        <v>12</v>
      </c>
      <c r="AD806">
        <v>0</v>
      </c>
      <c r="AE806">
        <v>0</v>
      </c>
      <c r="AF806">
        <v>4</v>
      </c>
      <c r="AG806">
        <v>4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4</v>
      </c>
      <c r="AS806">
        <v>1</v>
      </c>
      <c r="AT806">
        <v>3</v>
      </c>
      <c r="AU806">
        <v>7</v>
      </c>
      <c r="AV806">
        <v>12</v>
      </c>
      <c r="AW806">
        <v>0</v>
      </c>
      <c r="AX806">
        <v>0</v>
      </c>
      <c r="AY806">
        <v>4</v>
      </c>
      <c r="AZ806">
        <v>4</v>
      </c>
      <c r="BA806">
        <v>1</v>
      </c>
      <c r="BB806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4</v>
      </c>
      <c r="BL806" s="2">
        <v>1</v>
      </c>
      <c r="BM806" s="2">
        <v>3</v>
      </c>
      <c r="BN806" s="2">
        <v>7</v>
      </c>
      <c r="BO806" s="2">
        <v>12</v>
      </c>
      <c r="BP806" s="2">
        <v>0</v>
      </c>
      <c r="BQ806" s="2">
        <v>0</v>
      </c>
      <c r="BR806" s="2">
        <v>4</v>
      </c>
      <c r="BS806" s="2">
        <v>4</v>
      </c>
      <c r="BT806" s="2">
        <v>1</v>
      </c>
      <c r="BU806" s="2">
        <v>0</v>
      </c>
      <c r="BV806" s="2">
        <f t="shared" si="53"/>
        <v>36</v>
      </c>
      <c r="BW806" s="16">
        <f t="shared" si="51"/>
        <v>1.8947368421052631</v>
      </c>
      <c r="BX806" s="16">
        <f>COUNTIF($BC$6:BU806, "=0") / COUNTIF($BC$6:BU806, "&gt;-1")</f>
        <v>0.22025100203692752</v>
      </c>
      <c r="BY806" s="18">
        <f>SUM($BC$6:BU806) / $BY$4</f>
        <v>0.91597697257322375</v>
      </c>
      <c r="BZ806" s="14">
        <f t="shared" si="52"/>
        <v>11</v>
      </c>
      <c r="CA806" t="s">
        <v>5832</v>
      </c>
      <c r="CZ806" t="s">
        <v>6603</v>
      </c>
      <c r="DA806" t="s">
        <v>5904</v>
      </c>
      <c r="DB806">
        <v>295</v>
      </c>
      <c r="DC806" t="s">
        <v>16128</v>
      </c>
      <c r="DD806" t="s">
        <v>13772</v>
      </c>
      <c r="DE806" t="s">
        <v>16129</v>
      </c>
      <c r="DF806" t="s">
        <v>16130</v>
      </c>
      <c r="DG806" t="s">
        <v>16131</v>
      </c>
      <c r="DH806" t="str">
        <f>"CTSG"</f>
        <v>CTSG</v>
      </c>
      <c r="DI806" t="s">
        <v>13772</v>
      </c>
      <c r="DJ806" t="s">
        <v>13777</v>
      </c>
      <c r="DK806">
        <v>9606</v>
      </c>
      <c r="DL806" s="34" t="str">
        <f>HYPERLINK("http://www.uniprot.org/uniprot/P08311", "P08311")</f>
        <v>P08311</v>
      </c>
      <c r="DM806" t="s">
        <v>16132</v>
      </c>
      <c r="DN806" t="s">
        <v>13772</v>
      </c>
      <c r="DO806" t="s">
        <v>13772</v>
      </c>
      <c r="DP806" t="s">
        <v>13793</v>
      </c>
      <c r="DQ806" t="s">
        <v>13772</v>
      </c>
      <c r="DR806" t="s">
        <v>13772</v>
      </c>
      <c r="DS806" t="s">
        <v>13808</v>
      </c>
      <c r="DT806" t="s">
        <v>13772</v>
      </c>
      <c r="DU806" t="s">
        <v>16133</v>
      </c>
      <c r="DV806" t="s">
        <v>15472</v>
      </c>
      <c r="DW806" t="s">
        <v>13812</v>
      </c>
      <c r="DX806" t="s">
        <v>16134</v>
      </c>
      <c r="DY806" t="s">
        <v>16135</v>
      </c>
      <c r="DZ806" t="s">
        <v>16136</v>
      </c>
      <c r="EA806" t="s">
        <v>13772</v>
      </c>
      <c r="EB806" t="s">
        <v>16137</v>
      </c>
    </row>
    <row r="807" spans="1:132" hidden="1">
      <c r="A807">
        <v>521</v>
      </c>
      <c r="B807">
        <v>1</v>
      </c>
      <c r="C807" t="s">
        <v>1313</v>
      </c>
      <c r="D807" t="s">
        <v>73</v>
      </c>
      <c r="E807" t="s">
        <v>73</v>
      </c>
      <c r="F807" t="s">
        <v>73</v>
      </c>
      <c r="G807" t="s">
        <v>73</v>
      </c>
      <c r="H807">
        <v>19</v>
      </c>
      <c r="I807">
        <v>1754</v>
      </c>
      <c r="J807">
        <v>182954</v>
      </c>
      <c r="K807" t="s">
        <v>1314</v>
      </c>
      <c r="L807">
        <f t="shared" si="50"/>
        <v>36</v>
      </c>
      <c r="N807">
        <v>36</v>
      </c>
      <c r="O807">
        <v>36</v>
      </c>
      <c r="P807">
        <v>1</v>
      </c>
      <c r="Q807">
        <v>0</v>
      </c>
      <c r="R807">
        <v>1</v>
      </c>
      <c r="S807">
        <v>0</v>
      </c>
      <c r="T807">
        <v>1</v>
      </c>
      <c r="U807">
        <v>2</v>
      </c>
      <c r="V807">
        <v>0</v>
      </c>
      <c r="W807">
        <v>0</v>
      </c>
      <c r="X807">
        <v>1</v>
      </c>
      <c r="Y807">
        <v>15</v>
      </c>
      <c r="Z807">
        <v>0</v>
      </c>
      <c r="AA807">
        <v>10</v>
      </c>
      <c r="AB807">
        <v>2</v>
      </c>
      <c r="AC807">
        <v>0</v>
      </c>
      <c r="AD807">
        <v>0</v>
      </c>
      <c r="AE807">
        <v>1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2</v>
      </c>
      <c r="AO807">
        <v>0</v>
      </c>
      <c r="AP807">
        <v>0</v>
      </c>
      <c r="AQ807">
        <v>1</v>
      </c>
      <c r="AR807">
        <v>15</v>
      </c>
      <c r="AS807">
        <v>0</v>
      </c>
      <c r="AT807">
        <v>10</v>
      </c>
      <c r="AU807">
        <v>2</v>
      </c>
      <c r="AV807">
        <v>0</v>
      </c>
      <c r="AW807">
        <v>0</v>
      </c>
      <c r="AX807">
        <v>1</v>
      </c>
      <c r="AY807">
        <v>2</v>
      </c>
      <c r="AZ807">
        <v>0</v>
      </c>
      <c r="BA807">
        <v>0</v>
      </c>
      <c r="BB807">
        <v>1</v>
      </c>
      <c r="BC807" s="2">
        <v>0</v>
      </c>
      <c r="BD807" s="2">
        <v>1</v>
      </c>
      <c r="BE807" s="2">
        <v>0</v>
      </c>
      <c r="BF807" s="2">
        <v>1</v>
      </c>
      <c r="BG807" s="2">
        <v>2</v>
      </c>
      <c r="BH807" s="2">
        <v>0</v>
      </c>
      <c r="BI807" s="2">
        <v>0</v>
      </c>
      <c r="BJ807" s="2">
        <v>1</v>
      </c>
      <c r="BK807" s="2">
        <v>15</v>
      </c>
      <c r="BL807" s="2">
        <v>0</v>
      </c>
      <c r="BM807" s="2">
        <v>10</v>
      </c>
      <c r="BN807" s="2">
        <v>2</v>
      </c>
      <c r="BO807" s="2">
        <v>0</v>
      </c>
      <c r="BP807" s="2">
        <v>0</v>
      </c>
      <c r="BQ807" s="2">
        <v>1</v>
      </c>
      <c r="BR807" s="2">
        <v>2</v>
      </c>
      <c r="BS807" s="2">
        <v>0</v>
      </c>
      <c r="BT807" s="2">
        <v>0</v>
      </c>
      <c r="BU807" s="2">
        <v>1</v>
      </c>
      <c r="BV807" s="2">
        <f t="shared" si="53"/>
        <v>36</v>
      </c>
      <c r="BW807" s="16">
        <f t="shared" si="51"/>
        <v>1.8947368421052631</v>
      </c>
      <c r="BX807" s="16">
        <f>COUNTIF($BC$6:BU807, "=0") / COUNTIF($BC$6:BU807, "&gt;-1")</f>
        <v>0.22056700354377215</v>
      </c>
      <c r="BY807" s="18">
        <f>SUM($BC$6:BU807) / $BY$4</f>
        <v>0.91613118350049705</v>
      </c>
      <c r="BZ807" s="14">
        <f t="shared" si="52"/>
        <v>9</v>
      </c>
      <c r="CA807" t="s">
        <v>5832</v>
      </c>
      <c r="CZ807" t="s">
        <v>7521</v>
      </c>
      <c r="DA807" t="s">
        <v>5904</v>
      </c>
      <c r="DB807">
        <v>2214.5</v>
      </c>
      <c r="DC807" t="s">
        <v>18928</v>
      </c>
      <c r="DD807" t="s">
        <v>13772</v>
      </c>
      <c r="DE807" t="s">
        <v>18929</v>
      </c>
      <c r="DF807" t="s">
        <v>18930</v>
      </c>
      <c r="DG807" t="s">
        <v>18931</v>
      </c>
      <c r="DH807" t="str">
        <f>"TNKS1BP1"</f>
        <v>TNKS1BP1</v>
      </c>
      <c r="DI807" t="s">
        <v>18932</v>
      </c>
      <c r="DJ807" t="s">
        <v>13777</v>
      </c>
      <c r="DK807">
        <v>9606</v>
      </c>
      <c r="DL807" s="34" t="str">
        <f>HYPERLINK("http://www.uniprot.org/uniprot/Q9C0C2", "Q9C0C2")</f>
        <v>Q9C0C2</v>
      </c>
      <c r="DM807" t="s">
        <v>18933</v>
      </c>
      <c r="DN807" t="s">
        <v>13772</v>
      </c>
      <c r="DO807" t="s">
        <v>18934</v>
      </c>
      <c r="DP807" t="s">
        <v>13780</v>
      </c>
      <c r="DQ807" t="s">
        <v>13772</v>
      </c>
      <c r="DR807" t="s">
        <v>13772</v>
      </c>
      <c r="DS807" t="s">
        <v>13772</v>
      </c>
      <c r="DT807" t="s">
        <v>13772</v>
      </c>
      <c r="DU807" t="s">
        <v>13772</v>
      </c>
      <c r="DV807" t="s">
        <v>18935</v>
      </c>
      <c r="DW807" t="s">
        <v>13772</v>
      </c>
      <c r="DX807" t="s">
        <v>18936</v>
      </c>
      <c r="DY807" t="s">
        <v>18937</v>
      </c>
      <c r="DZ807" t="s">
        <v>18938</v>
      </c>
      <c r="EA807" t="s">
        <v>13772</v>
      </c>
      <c r="EB807" t="s">
        <v>18939</v>
      </c>
    </row>
    <row r="808" spans="1:132" hidden="1">
      <c r="A808">
        <v>770</v>
      </c>
      <c r="B808">
        <v>1</v>
      </c>
      <c r="C808" t="s">
        <v>1892</v>
      </c>
      <c r="D808" t="s">
        <v>1893</v>
      </c>
      <c r="E808" t="s">
        <v>73</v>
      </c>
      <c r="F808" t="s">
        <v>73</v>
      </c>
      <c r="G808" t="s">
        <v>73</v>
      </c>
      <c r="H808">
        <v>33.200000000000003</v>
      </c>
      <c r="I808">
        <v>557</v>
      </c>
      <c r="J808">
        <v>59521</v>
      </c>
      <c r="K808" t="s">
        <v>1894</v>
      </c>
      <c r="L808">
        <f t="shared" si="50"/>
        <v>36</v>
      </c>
      <c r="N808">
        <v>36</v>
      </c>
      <c r="O808">
        <v>36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6</v>
      </c>
      <c r="Z808">
        <v>0</v>
      </c>
      <c r="AA808">
        <v>10</v>
      </c>
      <c r="AB808">
        <v>7</v>
      </c>
      <c r="AC808">
        <v>6</v>
      </c>
      <c r="AD808">
        <v>0</v>
      </c>
      <c r="AE808">
        <v>2</v>
      </c>
      <c r="AF808">
        <v>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6</v>
      </c>
      <c r="AS808">
        <v>0</v>
      </c>
      <c r="AT808">
        <v>10</v>
      </c>
      <c r="AU808">
        <v>7</v>
      </c>
      <c r="AV808">
        <v>6</v>
      </c>
      <c r="AW808">
        <v>0</v>
      </c>
      <c r="AX808">
        <v>2</v>
      </c>
      <c r="AY808">
        <v>3</v>
      </c>
      <c r="AZ808">
        <v>0</v>
      </c>
      <c r="BA808">
        <v>0</v>
      </c>
      <c r="BB808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1</v>
      </c>
      <c r="BJ808" s="2">
        <v>1</v>
      </c>
      <c r="BK808" s="2">
        <v>6</v>
      </c>
      <c r="BL808" s="2">
        <v>0</v>
      </c>
      <c r="BM808" s="2">
        <v>10</v>
      </c>
      <c r="BN808" s="2">
        <v>7</v>
      </c>
      <c r="BO808" s="2">
        <v>6</v>
      </c>
      <c r="BP808" s="2">
        <v>0</v>
      </c>
      <c r="BQ808" s="2">
        <v>2</v>
      </c>
      <c r="BR808" s="2">
        <v>3</v>
      </c>
      <c r="BS808" s="2">
        <v>0</v>
      </c>
      <c r="BT808" s="2">
        <v>0</v>
      </c>
      <c r="BU808" s="2">
        <v>0</v>
      </c>
      <c r="BV808" s="2">
        <f t="shared" si="53"/>
        <v>36</v>
      </c>
      <c r="BW808" s="16">
        <f t="shared" si="51"/>
        <v>1.8947368421052631</v>
      </c>
      <c r="BX808" s="16">
        <f>COUNTIF($BC$6:BU808, "=0") / COUNTIF($BC$6:BU808, "&gt;-1")</f>
        <v>0.2210133053680278</v>
      </c>
      <c r="BY808" s="18">
        <f>SUM($BC$6:BU808) / $BY$4</f>
        <v>0.91628539442777024</v>
      </c>
      <c r="BZ808" s="14">
        <f t="shared" si="52"/>
        <v>11</v>
      </c>
      <c r="CA808" t="s">
        <v>5832</v>
      </c>
      <c r="CZ808" t="s">
        <v>8339</v>
      </c>
      <c r="DA808" t="s">
        <v>5904</v>
      </c>
      <c r="DB808">
        <v>1055</v>
      </c>
      <c r="DC808" t="s">
        <v>21369</v>
      </c>
      <c r="DD808" t="s">
        <v>21370</v>
      </c>
      <c r="DE808" t="s">
        <v>21371</v>
      </c>
      <c r="DF808" t="s">
        <v>21372</v>
      </c>
      <c r="DG808" t="s">
        <v>21373</v>
      </c>
      <c r="DH808" t="str">
        <f>"PTBP1"</f>
        <v>PTBP1</v>
      </c>
      <c r="DI808" t="s">
        <v>21374</v>
      </c>
      <c r="DJ808" t="s">
        <v>13777</v>
      </c>
      <c r="DK808">
        <v>9606</v>
      </c>
      <c r="DL808" s="34" t="str">
        <f>HYPERLINK("http://www.uniprot.org/uniprot/P26599", "P26599")</f>
        <v>P26599</v>
      </c>
      <c r="DM808" t="s">
        <v>21375</v>
      </c>
      <c r="DN808" t="s">
        <v>15152</v>
      </c>
      <c r="DO808" t="s">
        <v>14825</v>
      </c>
      <c r="DP808" t="s">
        <v>13841</v>
      </c>
      <c r="DQ808" t="s">
        <v>13772</v>
      </c>
      <c r="DR808" t="s">
        <v>13772</v>
      </c>
      <c r="DS808" t="s">
        <v>14096</v>
      </c>
      <c r="DT808" t="s">
        <v>13772</v>
      </c>
      <c r="DU808" t="s">
        <v>21376</v>
      </c>
      <c r="DV808" t="s">
        <v>13991</v>
      </c>
      <c r="DW808" t="s">
        <v>13812</v>
      </c>
      <c r="DX808" t="s">
        <v>21377</v>
      </c>
      <c r="DY808" t="s">
        <v>21378</v>
      </c>
      <c r="DZ808" t="s">
        <v>21379</v>
      </c>
      <c r="EA808" t="s">
        <v>13772</v>
      </c>
      <c r="EB808" t="s">
        <v>20948</v>
      </c>
    </row>
    <row r="809" spans="1:132" hidden="1">
      <c r="A809">
        <v>1084</v>
      </c>
      <c r="B809">
        <v>1</v>
      </c>
      <c r="C809" t="s">
        <v>2608</v>
      </c>
      <c r="D809" t="s">
        <v>2609</v>
      </c>
      <c r="E809" t="s">
        <v>73</v>
      </c>
      <c r="F809" t="s">
        <v>73</v>
      </c>
      <c r="G809" t="s">
        <v>73</v>
      </c>
      <c r="H809">
        <v>18.600000000000001</v>
      </c>
      <c r="I809">
        <v>488</v>
      </c>
      <c r="J809">
        <v>56013</v>
      </c>
      <c r="K809" t="s">
        <v>2610</v>
      </c>
      <c r="L809">
        <f t="shared" si="50"/>
        <v>36</v>
      </c>
      <c r="N809">
        <v>36</v>
      </c>
      <c r="O809">
        <v>36</v>
      </c>
      <c r="P809">
        <v>1</v>
      </c>
      <c r="Q809">
        <v>0</v>
      </c>
      <c r="R809">
        <v>1</v>
      </c>
      <c r="S809">
        <v>0</v>
      </c>
      <c r="T809">
        <v>3</v>
      </c>
      <c r="U809">
        <v>5</v>
      </c>
      <c r="V809">
        <v>5</v>
      </c>
      <c r="W809">
        <v>1</v>
      </c>
      <c r="X809">
        <v>3</v>
      </c>
      <c r="Y809">
        <v>5</v>
      </c>
      <c r="Z809">
        <v>0</v>
      </c>
      <c r="AA809">
        <v>5</v>
      </c>
      <c r="AB809">
        <v>0</v>
      </c>
      <c r="AC809">
        <v>0</v>
      </c>
      <c r="AD809">
        <v>0</v>
      </c>
      <c r="AE809">
        <v>3</v>
      </c>
      <c r="AF809">
        <v>5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3</v>
      </c>
      <c r="AN809">
        <v>5</v>
      </c>
      <c r="AO809">
        <v>5</v>
      </c>
      <c r="AP809">
        <v>1</v>
      </c>
      <c r="AQ809">
        <v>3</v>
      </c>
      <c r="AR809">
        <v>5</v>
      </c>
      <c r="AS809">
        <v>0</v>
      </c>
      <c r="AT809">
        <v>5</v>
      </c>
      <c r="AU809">
        <v>0</v>
      </c>
      <c r="AV809">
        <v>0</v>
      </c>
      <c r="AW809">
        <v>0</v>
      </c>
      <c r="AX809">
        <v>3</v>
      </c>
      <c r="AY809">
        <v>5</v>
      </c>
      <c r="AZ809">
        <v>0</v>
      </c>
      <c r="BA809">
        <v>0</v>
      </c>
      <c r="BB809">
        <v>0</v>
      </c>
      <c r="BC809" s="2">
        <v>0</v>
      </c>
      <c r="BD809" s="2">
        <v>1</v>
      </c>
      <c r="BE809" s="2">
        <v>0</v>
      </c>
      <c r="BF809" s="2">
        <v>3</v>
      </c>
      <c r="BG809" s="2">
        <v>5</v>
      </c>
      <c r="BH809" s="2">
        <v>5</v>
      </c>
      <c r="BI809" s="2">
        <v>1</v>
      </c>
      <c r="BJ809" s="2">
        <v>3</v>
      </c>
      <c r="BK809" s="2">
        <v>5</v>
      </c>
      <c r="BL809" s="2">
        <v>0</v>
      </c>
      <c r="BM809" s="2">
        <v>5</v>
      </c>
      <c r="BN809" s="2">
        <v>0</v>
      </c>
      <c r="BO809" s="2">
        <v>0</v>
      </c>
      <c r="BP809" s="2">
        <v>0</v>
      </c>
      <c r="BQ809" s="2">
        <v>3</v>
      </c>
      <c r="BR809" s="2">
        <v>5</v>
      </c>
      <c r="BS809" s="2">
        <v>0</v>
      </c>
      <c r="BT809" s="2">
        <v>0</v>
      </c>
      <c r="BU809" s="2">
        <v>0</v>
      </c>
      <c r="BV809" s="2">
        <f t="shared" si="53"/>
        <v>36</v>
      </c>
      <c r="BW809" s="16">
        <f t="shared" si="51"/>
        <v>1.8947368421052631</v>
      </c>
      <c r="BX809" s="16">
        <f>COUNTIF($BC$6:BU809, "=0") / COUNTIF($BC$6:BU809, "&gt;-1")</f>
        <v>0.22132757266300079</v>
      </c>
      <c r="BY809" s="18">
        <f>SUM($BC$6:BU809) / $BY$4</f>
        <v>0.91643960535504343</v>
      </c>
      <c r="BZ809" s="14">
        <f t="shared" si="52"/>
        <v>9</v>
      </c>
      <c r="CA809" t="s">
        <v>5832</v>
      </c>
      <c r="CZ809" t="s">
        <v>9347</v>
      </c>
      <c r="DA809" t="s">
        <v>5904</v>
      </c>
      <c r="DB809">
        <v>909.1</v>
      </c>
      <c r="DC809" t="s">
        <v>24273</v>
      </c>
      <c r="DD809" t="s">
        <v>24274</v>
      </c>
      <c r="DE809" t="s">
        <v>24275</v>
      </c>
      <c r="DF809" t="s">
        <v>24276</v>
      </c>
      <c r="DG809" t="s">
        <v>24277</v>
      </c>
      <c r="DH809" t="str">
        <f>"PACSIN2"</f>
        <v>PACSIN2</v>
      </c>
      <c r="DI809" t="s">
        <v>13772</v>
      </c>
      <c r="DJ809" t="s">
        <v>13777</v>
      </c>
      <c r="DK809">
        <v>9606</v>
      </c>
      <c r="DL809" s="34" t="str">
        <f>HYPERLINK("http://www.uniprot.org/uniprot/Q9UNF0", "Q9UNF0")</f>
        <v>Q9UNF0</v>
      </c>
      <c r="DM809" t="s">
        <v>24278</v>
      </c>
      <c r="DN809" t="s">
        <v>13824</v>
      </c>
      <c r="DO809" t="s">
        <v>24279</v>
      </c>
      <c r="DP809" t="s">
        <v>13780</v>
      </c>
      <c r="DQ809" t="s">
        <v>13772</v>
      </c>
      <c r="DR809" t="s">
        <v>13772</v>
      </c>
      <c r="DS809" t="s">
        <v>17173</v>
      </c>
      <c r="DT809" t="s">
        <v>13900</v>
      </c>
      <c r="DU809" t="s">
        <v>13772</v>
      </c>
      <c r="DV809" t="s">
        <v>13886</v>
      </c>
      <c r="DW809" t="s">
        <v>13812</v>
      </c>
      <c r="DX809" t="s">
        <v>24280</v>
      </c>
      <c r="DY809" t="s">
        <v>24281</v>
      </c>
      <c r="DZ809" t="s">
        <v>24282</v>
      </c>
      <c r="EA809" t="s">
        <v>13772</v>
      </c>
      <c r="EB809" t="s">
        <v>18627</v>
      </c>
    </row>
    <row r="810" spans="1:132" hidden="1">
      <c r="A810">
        <v>1195</v>
      </c>
      <c r="B810">
        <v>1</v>
      </c>
      <c r="C810" t="s">
        <v>2867</v>
      </c>
      <c r="D810" t="s">
        <v>73</v>
      </c>
      <c r="E810" t="s">
        <v>73</v>
      </c>
      <c r="F810" t="s">
        <v>73</v>
      </c>
      <c r="G810" t="s">
        <v>73</v>
      </c>
      <c r="H810">
        <v>33.6</v>
      </c>
      <c r="I810">
        <v>351</v>
      </c>
      <c r="J810">
        <v>38218</v>
      </c>
      <c r="K810" t="s">
        <v>2868</v>
      </c>
      <c r="L810">
        <f t="shared" si="50"/>
        <v>36</v>
      </c>
      <c r="N810">
        <v>36</v>
      </c>
      <c r="O810">
        <v>36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12</v>
      </c>
      <c r="Z810">
        <v>1</v>
      </c>
      <c r="AA810">
        <v>1</v>
      </c>
      <c r="AB810">
        <v>0</v>
      </c>
      <c r="AC810">
        <v>7</v>
      </c>
      <c r="AD810">
        <v>0</v>
      </c>
      <c r="AE810">
        <v>0</v>
      </c>
      <c r="AF810">
        <v>12</v>
      </c>
      <c r="AG810">
        <v>0</v>
      </c>
      <c r="AH810">
        <v>0</v>
      </c>
      <c r="AI810">
        <v>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12</v>
      </c>
      <c r="AS810">
        <v>1</v>
      </c>
      <c r="AT810">
        <v>1</v>
      </c>
      <c r="AU810">
        <v>0</v>
      </c>
      <c r="AV810">
        <v>7</v>
      </c>
      <c r="AW810">
        <v>0</v>
      </c>
      <c r="AX810">
        <v>0</v>
      </c>
      <c r="AY810">
        <v>12</v>
      </c>
      <c r="AZ810">
        <v>0</v>
      </c>
      <c r="BA810">
        <v>0</v>
      </c>
      <c r="BB810">
        <v>3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12</v>
      </c>
      <c r="BL810" s="2">
        <v>1</v>
      </c>
      <c r="BM810" s="2">
        <v>1</v>
      </c>
      <c r="BN810" s="2">
        <v>0</v>
      </c>
      <c r="BO810" s="2">
        <v>7</v>
      </c>
      <c r="BP810" s="2">
        <v>0</v>
      </c>
      <c r="BQ810" s="2">
        <v>0</v>
      </c>
      <c r="BR810" s="2">
        <v>12</v>
      </c>
      <c r="BS810" s="2">
        <v>0</v>
      </c>
      <c r="BT810" s="2">
        <v>0</v>
      </c>
      <c r="BU810" s="2">
        <v>3</v>
      </c>
      <c r="BV810" s="2">
        <f t="shared" si="53"/>
        <v>36</v>
      </c>
      <c r="BW810" s="16">
        <f t="shared" si="51"/>
        <v>1.8947368421052631</v>
      </c>
      <c r="BX810" s="16">
        <f>COUNTIF($BC$6:BU810, "=0") / COUNTIF($BC$6:BU810, "&gt;-1")</f>
        <v>0.2219025825433148</v>
      </c>
      <c r="BY810" s="18">
        <f>SUM($BC$6:BU810) / $BY$4</f>
        <v>0.91659381628231662</v>
      </c>
      <c r="BZ810" s="14">
        <f t="shared" si="52"/>
        <v>13</v>
      </c>
      <c r="CA810" t="s">
        <v>5832</v>
      </c>
      <c r="CZ810" t="s">
        <v>9706</v>
      </c>
      <c r="DA810" t="s">
        <v>5904</v>
      </c>
      <c r="DB810">
        <v>571.6</v>
      </c>
      <c r="DC810" t="s">
        <v>25307</v>
      </c>
      <c r="DD810" t="s">
        <v>25308</v>
      </c>
      <c r="DE810" t="s">
        <v>25309</v>
      </c>
      <c r="DF810" t="s">
        <v>25310</v>
      </c>
      <c r="DG810" t="s">
        <v>13772</v>
      </c>
      <c r="DH810" t="str">
        <f>"INHBE"</f>
        <v>INHBE</v>
      </c>
      <c r="DI810" t="s">
        <v>13772</v>
      </c>
      <c r="DJ810" t="s">
        <v>13777</v>
      </c>
      <c r="DK810">
        <v>9606</v>
      </c>
      <c r="DL810" s="34" t="str">
        <f>HYPERLINK("http://www.uniprot.org/uniprot/P58166", "P58166")</f>
        <v>P58166</v>
      </c>
      <c r="DM810" t="s">
        <v>22850</v>
      </c>
      <c r="DN810" t="s">
        <v>13772</v>
      </c>
      <c r="DO810" t="s">
        <v>14321</v>
      </c>
      <c r="DP810" t="s">
        <v>13793</v>
      </c>
      <c r="DQ810" t="s">
        <v>13772</v>
      </c>
      <c r="DR810" t="s">
        <v>13772</v>
      </c>
      <c r="DS810" t="s">
        <v>13808</v>
      </c>
      <c r="DT810" t="s">
        <v>13772</v>
      </c>
      <c r="DU810" t="s">
        <v>22851</v>
      </c>
      <c r="DV810" t="s">
        <v>14629</v>
      </c>
      <c r="DW810" t="s">
        <v>13772</v>
      </c>
      <c r="DX810" t="s">
        <v>25311</v>
      </c>
      <c r="DY810" t="s">
        <v>25312</v>
      </c>
      <c r="DZ810" t="s">
        <v>25313</v>
      </c>
      <c r="EA810" t="s">
        <v>13772</v>
      </c>
      <c r="EB810" t="s">
        <v>22855</v>
      </c>
    </row>
    <row r="811" spans="1:132" hidden="1">
      <c r="A811">
        <v>1218</v>
      </c>
      <c r="B811">
        <v>1</v>
      </c>
      <c r="C811" t="s">
        <v>2925</v>
      </c>
      <c r="D811" t="s">
        <v>2926</v>
      </c>
      <c r="E811" t="s">
        <v>73</v>
      </c>
      <c r="F811" t="s">
        <v>73</v>
      </c>
      <c r="G811" t="s">
        <v>73</v>
      </c>
      <c r="H811">
        <v>16.7</v>
      </c>
      <c r="I811">
        <v>492</v>
      </c>
      <c r="J811">
        <v>52274</v>
      </c>
      <c r="K811" t="s">
        <v>2927</v>
      </c>
      <c r="L811">
        <f t="shared" si="50"/>
        <v>36</v>
      </c>
      <c r="N811">
        <v>36</v>
      </c>
      <c r="O811">
        <v>36</v>
      </c>
      <c r="P811">
        <v>1</v>
      </c>
      <c r="Q811">
        <v>2</v>
      </c>
      <c r="R811">
        <v>3</v>
      </c>
      <c r="S811">
        <v>4</v>
      </c>
      <c r="T811">
        <v>2</v>
      </c>
      <c r="U811">
        <v>5</v>
      </c>
      <c r="V811">
        <v>5</v>
      </c>
      <c r="W811">
        <v>2</v>
      </c>
      <c r="X811">
        <v>1</v>
      </c>
      <c r="Y811">
        <v>1</v>
      </c>
      <c r="Z811">
        <v>1</v>
      </c>
      <c r="AA811">
        <v>2</v>
      </c>
      <c r="AB811">
        <v>1</v>
      </c>
      <c r="AC811">
        <v>1</v>
      </c>
      <c r="AD811">
        <v>2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2</v>
      </c>
      <c r="AK811">
        <v>3</v>
      </c>
      <c r="AL811">
        <v>4</v>
      </c>
      <c r="AM811">
        <v>2</v>
      </c>
      <c r="AN811">
        <v>5</v>
      </c>
      <c r="AO811">
        <v>5</v>
      </c>
      <c r="AP811">
        <v>2</v>
      </c>
      <c r="AQ811">
        <v>1</v>
      </c>
      <c r="AR811">
        <v>1</v>
      </c>
      <c r="AS811">
        <v>1</v>
      </c>
      <c r="AT811">
        <v>2</v>
      </c>
      <c r="AU811">
        <v>1</v>
      </c>
      <c r="AV811">
        <v>1</v>
      </c>
      <c r="AW811">
        <v>2</v>
      </c>
      <c r="AX811">
        <v>1</v>
      </c>
      <c r="AY811">
        <v>1</v>
      </c>
      <c r="AZ811">
        <v>1</v>
      </c>
      <c r="BA811">
        <v>0</v>
      </c>
      <c r="BB811">
        <v>1</v>
      </c>
      <c r="BC811" s="2">
        <v>2</v>
      </c>
      <c r="BD811" s="2">
        <v>3</v>
      </c>
      <c r="BE811" s="2">
        <v>4</v>
      </c>
      <c r="BF811" s="2">
        <v>2</v>
      </c>
      <c r="BG811" s="2">
        <v>5</v>
      </c>
      <c r="BH811" s="2">
        <v>5</v>
      </c>
      <c r="BI811" s="2">
        <v>2</v>
      </c>
      <c r="BJ811" s="2">
        <v>1</v>
      </c>
      <c r="BK811" s="2">
        <v>1</v>
      </c>
      <c r="BL811" s="2">
        <v>1</v>
      </c>
      <c r="BM811" s="2">
        <v>2</v>
      </c>
      <c r="BN811" s="2">
        <v>1</v>
      </c>
      <c r="BO811" s="2">
        <v>1</v>
      </c>
      <c r="BP811" s="2">
        <v>2</v>
      </c>
      <c r="BQ811" s="2">
        <v>1</v>
      </c>
      <c r="BR811" s="2">
        <v>1</v>
      </c>
      <c r="BS811" s="2">
        <v>1</v>
      </c>
      <c r="BT811" s="2">
        <v>0</v>
      </c>
      <c r="BU811" s="2">
        <v>1</v>
      </c>
      <c r="BV811" s="2">
        <f t="shared" si="53"/>
        <v>36</v>
      </c>
      <c r="BW811" s="16">
        <f t="shared" si="51"/>
        <v>1.8947368421052631</v>
      </c>
      <c r="BX811" s="16">
        <f>COUNTIF($BC$6:BU811, "=0") / COUNTIF($BC$6:BU811, "&gt;-1")</f>
        <v>0.22169256889121067</v>
      </c>
      <c r="BY811" s="18">
        <f>SUM($BC$6:BU811) / $BY$4</f>
        <v>0.91674802720958992</v>
      </c>
      <c r="BZ811" s="14">
        <f t="shared" si="52"/>
        <v>1</v>
      </c>
      <c r="CA811" t="s">
        <v>5832</v>
      </c>
      <c r="CZ811" t="s">
        <v>9786</v>
      </c>
      <c r="DA811" t="s">
        <v>5904</v>
      </c>
      <c r="DB811">
        <v>881.7</v>
      </c>
      <c r="DC811" t="s">
        <v>25524</v>
      </c>
      <c r="DD811" t="s">
        <v>25525</v>
      </c>
      <c r="DE811" t="s">
        <v>25526</v>
      </c>
      <c r="DF811" t="s">
        <v>25527</v>
      </c>
      <c r="DG811" t="s">
        <v>25528</v>
      </c>
      <c r="DH811" t="str">
        <f>"HTRA1"</f>
        <v>HTRA1</v>
      </c>
      <c r="DI811" t="s">
        <v>25529</v>
      </c>
      <c r="DJ811" t="s">
        <v>13777</v>
      </c>
      <c r="DK811">
        <v>9606</v>
      </c>
      <c r="DL811" s="34" t="str">
        <f>HYPERLINK("http://www.uniprot.org/uniprot/Q92743", "Q92743")</f>
        <v>Q92743</v>
      </c>
      <c r="DM811" t="s">
        <v>25530</v>
      </c>
      <c r="DN811" t="s">
        <v>13772</v>
      </c>
      <c r="DO811" t="s">
        <v>25531</v>
      </c>
      <c r="DP811" t="s">
        <v>13793</v>
      </c>
      <c r="DQ811" t="s">
        <v>13772</v>
      </c>
      <c r="DR811" t="s">
        <v>25532</v>
      </c>
      <c r="DS811" t="s">
        <v>13808</v>
      </c>
      <c r="DT811" t="s">
        <v>13772</v>
      </c>
      <c r="DU811" t="s">
        <v>25533</v>
      </c>
      <c r="DV811" t="s">
        <v>14506</v>
      </c>
      <c r="DW811" t="s">
        <v>13812</v>
      </c>
      <c r="DX811" t="s">
        <v>25534</v>
      </c>
      <c r="DY811" t="s">
        <v>25535</v>
      </c>
      <c r="DZ811" t="s">
        <v>25536</v>
      </c>
      <c r="EA811" t="s">
        <v>13772</v>
      </c>
      <c r="EB811" t="s">
        <v>24829</v>
      </c>
    </row>
    <row r="812" spans="1:132" hidden="1">
      <c r="A812">
        <v>1430</v>
      </c>
      <c r="B812">
        <v>1</v>
      </c>
      <c r="C812" t="s">
        <v>3408</v>
      </c>
      <c r="D812" t="s">
        <v>73</v>
      </c>
      <c r="E812" t="s">
        <v>73</v>
      </c>
      <c r="F812" t="s">
        <v>73</v>
      </c>
      <c r="G812" t="s">
        <v>73</v>
      </c>
      <c r="H812">
        <v>19.2</v>
      </c>
      <c r="I812">
        <v>453</v>
      </c>
      <c r="J812">
        <v>50984</v>
      </c>
      <c r="K812" t="s">
        <v>3409</v>
      </c>
      <c r="L812">
        <f t="shared" si="50"/>
        <v>36</v>
      </c>
      <c r="N812">
        <v>36</v>
      </c>
      <c r="O812">
        <v>36</v>
      </c>
      <c r="P812">
        <v>1</v>
      </c>
      <c r="Q812">
        <v>3</v>
      </c>
      <c r="R812">
        <v>2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9</v>
      </c>
      <c r="Y812">
        <v>1</v>
      </c>
      <c r="Z812">
        <v>0</v>
      </c>
      <c r="AA812">
        <v>2</v>
      </c>
      <c r="AB812">
        <v>3</v>
      </c>
      <c r="AC812">
        <v>3</v>
      </c>
      <c r="AD812">
        <v>4</v>
      </c>
      <c r="AE812">
        <v>4</v>
      </c>
      <c r="AF812">
        <v>1</v>
      </c>
      <c r="AG812">
        <v>2</v>
      </c>
      <c r="AH812">
        <v>0</v>
      </c>
      <c r="AI812">
        <v>0</v>
      </c>
      <c r="AJ812">
        <v>3</v>
      </c>
      <c r="AK812">
        <v>2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9</v>
      </c>
      <c r="AR812">
        <v>1</v>
      </c>
      <c r="AS812">
        <v>0</v>
      </c>
      <c r="AT812">
        <v>2</v>
      </c>
      <c r="AU812">
        <v>3</v>
      </c>
      <c r="AV812">
        <v>3</v>
      </c>
      <c r="AW812">
        <v>4</v>
      </c>
      <c r="AX812">
        <v>4</v>
      </c>
      <c r="AY812">
        <v>1</v>
      </c>
      <c r="AZ812">
        <v>2</v>
      </c>
      <c r="BA812">
        <v>0</v>
      </c>
      <c r="BB812">
        <v>0</v>
      </c>
      <c r="BC812" s="2">
        <v>3</v>
      </c>
      <c r="BD812" s="2">
        <v>2</v>
      </c>
      <c r="BE812" s="2">
        <v>1</v>
      </c>
      <c r="BF812" s="2">
        <v>0</v>
      </c>
      <c r="BG812" s="2">
        <v>0</v>
      </c>
      <c r="BH812" s="2">
        <v>0</v>
      </c>
      <c r="BI812" s="2">
        <v>1</v>
      </c>
      <c r="BJ812" s="2">
        <v>9</v>
      </c>
      <c r="BK812" s="2">
        <v>1</v>
      </c>
      <c r="BL812" s="2">
        <v>0</v>
      </c>
      <c r="BM812" s="2">
        <v>2</v>
      </c>
      <c r="BN812" s="2">
        <v>3</v>
      </c>
      <c r="BO812" s="2">
        <v>3</v>
      </c>
      <c r="BP812" s="2">
        <v>4</v>
      </c>
      <c r="BQ812" s="2">
        <v>4</v>
      </c>
      <c r="BR812" s="2">
        <v>1</v>
      </c>
      <c r="BS812" s="2">
        <v>2</v>
      </c>
      <c r="BT812" s="2">
        <v>0</v>
      </c>
      <c r="BU812" s="2">
        <v>0</v>
      </c>
      <c r="BV812" s="2">
        <f t="shared" si="53"/>
        <v>36</v>
      </c>
      <c r="BW812" s="16">
        <f t="shared" si="51"/>
        <v>1.8947368421052631</v>
      </c>
      <c r="BX812" s="16">
        <f>COUNTIF($BC$6:BU812, "=0") / COUNTIF($BC$6:BU812, "&gt;-1")</f>
        <v>0.22180916976456011</v>
      </c>
      <c r="BY812" s="18">
        <f>SUM($BC$6:BU812) / $BY$4</f>
        <v>0.91690223813686311</v>
      </c>
      <c r="BZ812" s="14">
        <f t="shared" si="52"/>
        <v>6</v>
      </c>
      <c r="CA812" t="s">
        <v>5832</v>
      </c>
      <c r="CZ812" t="s">
        <v>10501</v>
      </c>
      <c r="DA812" t="s">
        <v>5904</v>
      </c>
      <c r="DB812">
        <v>810.4</v>
      </c>
      <c r="DC812" t="s">
        <v>27541</v>
      </c>
      <c r="DD812" t="s">
        <v>13772</v>
      </c>
      <c r="DE812" t="s">
        <v>27542</v>
      </c>
      <c r="DF812" t="s">
        <v>27543</v>
      </c>
      <c r="DG812" t="s">
        <v>27544</v>
      </c>
      <c r="DH812" t="str">
        <f>"SMPDL3A"</f>
        <v>SMPDL3A</v>
      </c>
      <c r="DI812" t="s">
        <v>27545</v>
      </c>
      <c r="DJ812" t="s">
        <v>13777</v>
      </c>
      <c r="DK812">
        <v>9606</v>
      </c>
      <c r="DL812" s="34" t="str">
        <f>HYPERLINK("http://www.uniprot.org/uniprot/Q92484", "Q92484")</f>
        <v>Q92484</v>
      </c>
      <c r="DM812" t="s">
        <v>27546</v>
      </c>
      <c r="DN812" t="s">
        <v>13772</v>
      </c>
      <c r="DO812" t="s">
        <v>14321</v>
      </c>
      <c r="DP812" t="s">
        <v>13780</v>
      </c>
      <c r="DQ812" t="s">
        <v>13772</v>
      </c>
      <c r="DR812" t="s">
        <v>13772</v>
      </c>
      <c r="DS812" t="s">
        <v>13808</v>
      </c>
      <c r="DT812" t="s">
        <v>13856</v>
      </c>
      <c r="DU812" t="s">
        <v>13857</v>
      </c>
      <c r="DV812" t="s">
        <v>13796</v>
      </c>
      <c r="DW812" t="s">
        <v>13812</v>
      </c>
      <c r="DX812" t="s">
        <v>27547</v>
      </c>
      <c r="DY812" t="s">
        <v>15733</v>
      </c>
      <c r="DZ812" t="s">
        <v>27548</v>
      </c>
      <c r="EA812" t="s">
        <v>13772</v>
      </c>
      <c r="EB812" t="s">
        <v>13772</v>
      </c>
    </row>
    <row r="813" spans="1:132" hidden="1">
      <c r="A813">
        <v>1488</v>
      </c>
      <c r="B813">
        <v>1</v>
      </c>
      <c r="C813" t="s">
        <v>3541</v>
      </c>
      <c r="D813" t="s">
        <v>73</v>
      </c>
      <c r="E813" t="s">
        <v>73</v>
      </c>
      <c r="F813" t="s">
        <v>73</v>
      </c>
      <c r="G813" t="s">
        <v>73</v>
      </c>
      <c r="H813">
        <v>50</v>
      </c>
      <c r="I813">
        <v>188</v>
      </c>
      <c r="J813">
        <v>21285</v>
      </c>
      <c r="K813" t="s">
        <v>3542</v>
      </c>
      <c r="L813">
        <f t="shared" si="50"/>
        <v>36</v>
      </c>
      <c r="N813">
        <v>36</v>
      </c>
      <c r="O813">
        <v>36</v>
      </c>
      <c r="P813">
        <v>1</v>
      </c>
      <c r="Q813">
        <v>1</v>
      </c>
      <c r="R813">
        <v>5</v>
      </c>
      <c r="S813">
        <v>0</v>
      </c>
      <c r="T813">
        <v>1</v>
      </c>
      <c r="U813">
        <v>2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1</v>
      </c>
      <c r="AB813">
        <v>0</v>
      </c>
      <c r="AC813">
        <v>3</v>
      </c>
      <c r="AD813">
        <v>6</v>
      </c>
      <c r="AE813">
        <v>7</v>
      </c>
      <c r="AF813">
        <v>5</v>
      </c>
      <c r="AG813">
        <v>2</v>
      </c>
      <c r="AH813">
        <v>1</v>
      </c>
      <c r="AI813">
        <v>0</v>
      </c>
      <c r="AJ813">
        <v>1</v>
      </c>
      <c r="AK813">
        <v>5</v>
      </c>
      <c r="AL813">
        <v>0</v>
      </c>
      <c r="AM813">
        <v>1</v>
      </c>
      <c r="AN813">
        <v>2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1</v>
      </c>
      <c r="AU813">
        <v>0</v>
      </c>
      <c r="AV813">
        <v>3</v>
      </c>
      <c r="AW813">
        <v>6</v>
      </c>
      <c r="AX813">
        <v>7</v>
      </c>
      <c r="AY813">
        <v>5</v>
      </c>
      <c r="AZ813">
        <v>2</v>
      </c>
      <c r="BA813">
        <v>1</v>
      </c>
      <c r="BB813">
        <v>0</v>
      </c>
      <c r="BC813" s="2">
        <v>1</v>
      </c>
      <c r="BD813" s="2">
        <v>5</v>
      </c>
      <c r="BE813" s="2">
        <v>0</v>
      </c>
      <c r="BF813" s="2">
        <v>1</v>
      </c>
      <c r="BG813" s="2">
        <v>2</v>
      </c>
      <c r="BH813" s="2">
        <v>0</v>
      </c>
      <c r="BI813" s="2">
        <v>0</v>
      </c>
      <c r="BJ813" s="2">
        <v>1</v>
      </c>
      <c r="BK813" s="2">
        <v>0</v>
      </c>
      <c r="BL813" s="2">
        <v>1</v>
      </c>
      <c r="BM813" s="2">
        <v>1</v>
      </c>
      <c r="BN813" s="2">
        <v>0</v>
      </c>
      <c r="BO813" s="2">
        <v>3</v>
      </c>
      <c r="BP813" s="2">
        <v>6</v>
      </c>
      <c r="BQ813" s="2">
        <v>7</v>
      </c>
      <c r="BR813" s="2">
        <v>5</v>
      </c>
      <c r="BS813" s="2">
        <v>2</v>
      </c>
      <c r="BT813" s="2">
        <v>1</v>
      </c>
      <c r="BU813" s="2">
        <v>0</v>
      </c>
      <c r="BV813" s="2">
        <f t="shared" si="53"/>
        <v>36</v>
      </c>
      <c r="BW813" s="16">
        <f t="shared" si="51"/>
        <v>1.8947368421052631</v>
      </c>
      <c r="BX813" s="16">
        <f>COUNTIF($BC$6:BU813, "=0") / COUNTIF($BC$6:BU813, "&gt;-1")</f>
        <v>0.22192548202188639</v>
      </c>
      <c r="BY813" s="18">
        <f>SUM($BC$6:BU813) / $BY$4</f>
        <v>0.9170564490641363</v>
      </c>
      <c r="BZ813" s="14">
        <f t="shared" si="52"/>
        <v>6</v>
      </c>
      <c r="CA813" t="s">
        <v>5832</v>
      </c>
      <c r="CZ813" t="s">
        <v>10694</v>
      </c>
      <c r="DA813" t="s">
        <v>5904</v>
      </c>
      <c r="DB813">
        <v>356.7</v>
      </c>
      <c r="DC813" t="s">
        <v>28093</v>
      </c>
      <c r="DD813" t="s">
        <v>28094</v>
      </c>
      <c r="DE813" t="s">
        <v>28095</v>
      </c>
      <c r="DF813" t="s">
        <v>28096</v>
      </c>
      <c r="DG813" t="s">
        <v>28097</v>
      </c>
      <c r="DH813" t="str">
        <f>"APOM"</f>
        <v>APOM</v>
      </c>
      <c r="DI813" t="s">
        <v>28098</v>
      </c>
      <c r="DJ813" t="s">
        <v>13777</v>
      </c>
      <c r="DK813">
        <v>9606</v>
      </c>
      <c r="DL813" s="34" t="str">
        <f>HYPERLINK("http://www.uniprot.org/uniprot/O95445", "O95445")</f>
        <v>O95445</v>
      </c>
      <c r="DM813" t="s">
        <v>28099</v>
      </c>
      <c r="DN813" t="s">
        <v>13898</v>
      </c>
      <c r="DO813" t="s">
        <v>28100</v>
      </c>
      <c r="DP813" t="s">
        <v>13841</v>
      </c>
      <c r="DQ813" t="s">
        <v>13772</v>
      </c>
      <c r="DR813" t="s">
        <v>13772</v>
      </c>
      <c r="DS813" t="s">
        <v>13808</v>
      </c>
      <c r="DT813" t="s">
        <v>13772</v>
      </c>
      <c r="DU813" t="s">
        <v>13772</v>
      </c>
      <c r="DV813" t="s">
        <v>13796</v>
      </c>
      <c r="DW813" t="s">
        <v>13812</v>
      </c>
      <c r="DX813" t="s">
        <v>28101</v>
      </c>
      <c r="DY813" t="s">
        <v>28102</v>
      </c>
      <c r="DZ813" t="s">
        <v>28103</v>
      </c>
      <c r="EA813" t="s">
        <v>13772</v>
      </c>
      <c r="EB813" t="s">
        <v>22602</v>
      </c>
    </row>
    <row r="814" spans="1:132" hidden="1">
      <c r="A814">
        <v>1654</v>
      </c>
      <c r="B814">
        <v>1</v>
      </c>
      <c r="C814" t="s">
        <v>3922</v>
      </c>
      <c r="D814" t="s">
        <v>3923</v>
      </c>
      <c r="E814" t="s">
        <v>73</v>
      </c>
      <c r="F814" t="s">
        <v>73</v>
      </c>
      <c r="G814" t="s">
        <v>73</v>
      </c>
      <c r="H814">
        <v>2.8</v>
      </c>
      <c r="I814">
        <v>2344</v>
      </c>
      <c r="J814">
        <v>266394</v>
      </c>
      <c r="K814" t="s">
        <v>3924</v>
      </c>
      <c r="L814">
        <f t="shared" si="50"/>
        <v>36</v>
      </c>
      <c r="N814">
        <v>36</v>
      </c>
      <c r="O814">
        <v>36</v>
      </c>
      <c r="P814">
        <v>1</v>
      </c>
      <c r="Q814">
        <v>2</v>
      </c>
      <c r="R814">
        <v>4</v>
      </c>
      <c r="S814">
        <v>2</v>
      </c>
      <c r="T814">
        <v>4</v>
      </c>
      <c r="U814">
        <v>5</v>
      </c>
      <c r="V814">
        <v>3</v>
      </c>
      <c r="W814">
        <v>7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2</v>
      </c>
      <c r="AF814">
        <v>2</v>
      </c>
      <c r="AG814">
        <v>0</v>
      </c>
      <c r="AH814">
        <v>0</v>
      </c>
      <c r="AI814">
        <v>2</v>
      </c>
      <c r="AJ814">
        <v>2</v>
      </c>
      <c r="AK814">
        <v>4</v>
      </c>
      <c r="AL814">
        <v>2</v>
      </c>
      <c r="AM814">
        <v>4</v>
      </c>
      <c r="AN814">
        <v>5</v>
      </c>
      <c r="AO814">
        <v>3</v>
      </c>
      <c r="AP814">
        <v>7</v>
      </c>
      <c r="AQ814">
        <v>1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2</v>
      </c>
      <c r="AY814">
        <v>2</v>
      </c>
      <c r="AZ814">
        <v>0</v>
      </c>
      <c r="BA814">
        <v>0</v>
      </c>
      <c r="BB814">
        <v>2</v>
      </c>
      <c r="BC814" s="2">
        <v>2</v>
      </c>
      <c r="BD814" s="2">
        <v>4</v>
      </c>
      <c r="BE814" s="2">
        <v>2</v>
      </c>
      <c r="BF814" s="2">
        <v>4</v>
      </c>
      <c r="BG814" s="2">
        <v>5</v>
      </c>
      <c r="BH814" s="2">
        <v>3</v>
      </c>
      <c r="BI814" s="2">
        <v>7</v>
      </c>
      <c r="BJ814" s="2">
        <v>1</v>
      </c>
      <c r="BK814" s="2">
        <v>1</v>
      </c>
      <c r="BL814" s="2">
        <v>0</v>
      </c>
      <c r="BM814" s="2">
        <v>1</v>
      </c>
      <c r="BN814" s="2">
        <v>0</v>
      </c>
      <c r="BO814" s="2">
        <v>0</v>
      </c>
      <c r="BP814" s="2">
        <v>0</v>
      </c>
      <c r="BQ814" s="2">
        <v>2</v>
      </c>
      <c r="BR814" s="2">
        <v>2</v>
      </c>
      <c r="BS814" s="2">
        <v>0</v>
      </c>
      <c r="BT814" s="2">
        <v>0</v>
      </c>
      <c r="BU814" s="2">
        <v>2</v>
      </c>
      <c r="BV814" s="2">
        <f t="shared" si="53"/>
        <v>36</v>
      </c>
      <c r="BW814" s="16">
        <f t="shared" si="51"/>
        <v>1.8947368421052631</v>
      </c>
      <c r="BX814" s="16">
        <f>COUNTIF($BC$6:BU814, "=0") / COUNTIF($BC$6:BU814, "&gt;-1")</f>
        <v>0.2220415067334591</v>
      </c>
      <c r="BY814" s="18">
        <f>SUM($BC$6:BU814) / $BY$4</f>
        <v>0.91721065999140949</v>
      </c>
      <c r="BZ814" s="14">
        <f t="shared" si="52"/>
        <v>6</v>
      </c>
      <c r="CA814" t="s">
        <v>5832</v>
      </c>
      <c r="CZ814" t="s">
        <v>11263</v>
      </c>
      <c r="DA814" t="s">
        <v>5904</v>
      </c>
      <c r="DB814">
        <v>3877</v>
      </c>
      <c r="DC814" t="s">
        <v>29666</v>
      </c>
      <c r="DD814" t="s">
        <v>29667</v>
      </c>
      <c r="DE814" t="s">
        <v>29668</v>
      </c>
      <c r="DF814" t="s">
        <v>29669</v>
      </c>
      <c r="DG814" t="s">
        <v>29670</v>
      </c>
      <c r="DH814" t="str">
        <f>"F8"</f>
        <v>F8</v>
      </c>
      <c r="DI814" t="s">
        <v>29671</v>
      </c>
      <c r="DJ814" t="s">
        <v>13777</v>
      </c>
      <c r="DK814">
        <v>9606</v>
      </c>
      <c r="DL814" s="34" t="str">
        <f>HYPERLINK("http://www.uniprot.org/uniprot/P00451", "P00451")</f>
        <v>P00451</v>
      </c>
      <c r="DM814" t="s">
        <v>29672</v>
      </c>
      <c r="DN814" t="s">
        <v>15122</v>
      </c>
      <c r="DO814" t="s">
        <v>14321</v>
      </c>
      <c r="DP814" t="s">
        <v>13780</v>
      </c>
      <c r="DQ814" t="s">
        <v>13772</v>
      </c>
      <c r="DR814" t="s">
        <v>29673</v>
      </c>
      <c r="DS814" t="s">
        <v>14404</v>
      </c>
      <c r="DT814" t="s">
        <v>13873</v>
      </c>
      <c r="DU814" t="s">
        <v>13772</v>
      </c>
      <c r="DV814" t="s">
        <v>16429</v>
      </c>
      <c r="DW814" t="s">
        <v>14324</v>
      </c>
      <c r="DX814" t="s">
        <v>29674</v>
      </c>
      <c r="DY814" t="s">
        <v>29675</v>
      </c>
      <c r="DZ814" t="s">
        <v>29676</v>
      </c>
      <c r="EA814" t="s">
        <v>13772</v>
      </c>
      <c r="EB814" t="s">
        <v>29677</v>
      </c>
    </row>
    <row r="815" spans="1:132" hidden="1">
      <c r="A815">
        <v>1725</v>
      </c>
      <c r="B815">
        <v>1</v>
      </c>
      <c r="C815" t="s">
        <v>4081</v>
      </c>
      <c r="D815" t="s">
        <v>73</v>
      </c>
      <c r="E815" t="s">
        <v>73</v>
      </c>
      <c r="F815" t="s">
        <v>73</v>
      </c>
      <c r="G815" t="s">
        <v>73</v>
      </c>
      <c r="H815">
        <v>11.6</v>
      </c>
      <c r="I815">
        <v>1608</v>
      </c>
      <c r="J815">
        <v>177244</v>
      </c>
      <c r="K815" t="s">
        <v>4082</v>
      </c>
      <c r="L815">
        <f t="shared" si="50"/>
        <v>36</v>
      </c>
      <c r="N815">
        <v>36</v>
      </c>
      <c r="O815">
        <v>36</v>
      </c>
      <c r="P815">
        <v>1</v>
      </c>
      <c r="Q815">
        <v>4</v>
      </c>
      <c r="R815">
        <v>1</v>
      </c>
      <c r="S815">
        <v>2</v>
      </c>
      <c r="T815">
        <v>3</v>
      </c>
      <c r="U815">
        <v>8</v>
      </c>
      <c r="V815">
        <v>4</v>
      </c>
      <c r="W815">
        <v>4</v>
      </c>
      <c r="X815">
        <v>0</v>
      </c>
      <c r="Y815">
        <v>1</v>
      </c>
      <c r="Z815">
        <v>0</v>
      </c>
      <c r="AA815">
        <v>2</v>
      </c>
      <c r="AB815">
        <v>1</v>
      </c>
      <c r="AC815">
        <v>2</v>
      </c>
      <c r="AD815">
        <v>1</v>
      </c>
      <c r="AE815">
        <v>0</v>
      </c>
      <c r="AF815">
        <v>0</v>
      </c>
      <c r="AG815">
        <v>2</v>
      </c>
      <c r="AH815">
        <v>0</v>
      </c>
      <c r="AI815">
        <v>1</v>
      </c>
      <c r="AJ815">
        <v>4</v>
      </c>
      <c r="AK815">
        <v>1</v>
      </c>
      <c r="AL815">
        <v>2</v>
      </c>
      <c r="AM815">
        <v>3</v>
      </c>
      <c r="AN815">
        <v>8</v>
      </c>
      <c r="AO815">
        <v>4</v>
      </c>
      <c r="AP815">
        <v>4</v>
      </c>
      <c r="AQ815">
        <v>0</v>
      </c>
      <c r="AR815">
        <v>1</v>
      </c>
      <c r="AS815">
        <v>0</v>
      </c>
      <c r="AT815">
        <v>2</v>
      </c>
      <c r="AU815">
        <v>1</v>
      </c>
      <c r="AV815">
        <v>2</v>
      </c>
      <c r="AW815">
        <v>1</v>
      </c>
      <c r="AX815">
        <v>0</v>
      </c>
      <c r="AY815">
        <v>0</v>
      </c>
      <c r="AZ815">
        <v>2</v>
      </c>
      <c r="BA815">
        <v>0</v>
      </c>
      <c r="BB815">
        <v>1</v>
      </c>
      <c r="BC815" s="2">
        <v>4</v>
      </c>
      <c r="BD815" s="2">
        <v>1</v>
      </c>
      <c r="BE815" s="2">
        <v>2</v>
      </c>
      <c r="BF815" s="2">
        <v>3</v>
      </c>
      <c r="BG815" s="2">
        <v>8</v>
      </c>
      <c r="BH815" s="2">
        <v>4</v>
      </c>
      <c r="BI815" s="2">
        <v>4</v>
      </c>
      <c r="BJ815" s="2">
        <v>0</v>
      </c>
      <c r="BK815" s="2">
        <v>1</v>
      </c>
      <c r="BL815" s="2">
        <v>0</v>
      </c>
      <c r="BM815" s="2">
        <v>2</v>
      </c>
      <c r="BN815" s="2">
        <v>1</v>
      </c>
      <c r="BO815" s="2">
        <v>2</v>
      </c>
      <c r="BP815" s="2">
        <v>1</v>
      </c>
      <c r="BQ815" s="2">
        <v>0</v>
      </c>
      <c r="BR815" s="2">
        <v>0</v>
      </c>
      <c r="BS815" s="2">
        <v>2</v>
      </c>
      <c r="BT815" s="2">
        <v>0</v>
      </c>
      <c r="BU815" s="2">
        <v>1</v>
      </c>
      <c r="BV815" s="2">
        <f t="shared" si="53"/>
        <v>36</v>
      </c>
      <c r="BW815" s="16">
        <f t="shared" si="51"/>
        <v>1.8947368421052631</v>
      </c>
      <c r="BX815" s="16">
        <f>COUNTIF($BC$6:BU815, "=0") / COUNTIF($BC$6:BU815, "&gt;-1")</f>
        <v>0.2220922677063028</v>
      </c>
      <c r="BY815" s="18">
        <f>SUM($BC$6:BU815) / $BY$4</f>
        <v>0.9173648709186828</v>
      </c>
      <c r="BZ815" s="14">
        <f t="shared" si="52"/>
        <v>5</v>
      </c>
      <c r="CA815" t="s">
        <v>5832</v>
      </c>
      <c r="CZ815" t="s">
        <v>11500</v>
      </c>
      <c r="DA815" t="s">
        <v>5904</v>
      </c>
      <c r="DB815">
        <v>3115.5</v>
      </c>
      <c r="DC815" t="s">
        <v>30329</v>
      </c>
      <c r="DD815" t="s">
        <v>30330</v>
      </c>
      <c r="DE815" t="s">
        <v>30331</v>
      </c>
      <c r="DF815" t="s">
        <v>30332</v>
      </c>
      <c r="DG815" t="s">
        <v>30333</v>
      </c>
      <c r="DH815" t="str">
        <f>"LAMC1"</f>
        <v>LAMC1</v>
      </c>
      <c r="DI815" t="s">
        <v>13772</v>
      </c>
      <c r="DJ815" t="s">
        <v>13777</v>
      </c>
      <c r="DK815">
        <v>9606</v>
      </c>
      <c r="DL815" s="34" t="str">
        <f>HYPERLINK("http://www.uniprot.org/uniprot/P11047", "P11047")</f>
        <v>P11047</v>
      </c>
      <c r="DM815" t="s">
        <v>30334</v>
      </c>
      <c r="DN815" t="s">
        <v>13949</v>
      </c>
      <c r="DO815" t="s">
        <v>15002</v>
      </c>
      <c r="DP815" t="s">
        <v>13793</v>
      </c>
      <c r="DQ815" t="s">
        <v>13772</v>
      </c>
      <c r="DR815" t="s">
        <v>13772</v>
      </c>
      <c r="DS815" t="s">
        <v>17145</v>
      </c>
      <c r="DT815" t="s">
        <v>13772</v>
      </c>
      <c r="DU815" t="s">
        <v>13772</v>
      </c>
      <c r="DV815" t="s">
        <v>13964</v>
      </c>
      <c r="DW815" t="s">
        <v>13812</v>
      </c>
      <c r="DX815" t="s">
        <v>30335</v>
      </c>
      <c r="DY815" t="s">
        <v>30336</v>
      </c>
      <c r="DZ815" t="s">
        <v>19629</v>
      </c>
      <c r="EA815" t="s">
        <v>13772</v>
      </c>
      <c r="EB815" t="s">
        <v>17149</v>
      </c>
    </row>
    <row r="816" spans="1:132" hidden="1">
      <c r="A816">
        <v>1781</v>
      </c>
      <c r="B816">
        <v>1</v>
      </c>
      <c r="C816" t="s">
        <v>4212</v>
      </c>
      <c r="D816" t="s">
        <v>73</v>
      </c>
      <c r="E816" t="s">
        <v>73</v>
      </c>
      <c r="F816" t="s">
        <v>73</v>
      </c>
      <c r="G816" t="s">
        <v>73</v>
      </c>
      <c r="H816">
        <v>39</v>
      </c>
      <c r="I816">
        <v>503</v>
      </c>
      <c r="J816">
        <v>54738</v>
      </c>
      <c r="K816" t="s">
        <v>4213</v>
      </c>
      <c r="L816">
        <f t="shared" si="50"/>
        <v>36</v>
      </c>
      <c r="N816">
        <v>36</v>
      </c>
      <c r="O816">
        <v>36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17</v>
      </c>
      <c r="Z816">
        <v>0</v>
      </c>
      <c r="AA816">
        <v>6</v>
      </c>
      <c r="AB816">
        <v>5</v>
      </c>
      <c r="AC816">
        <v>0</v>
      </c>
      <c r="AD816">
        <v>0</v>
      </c>
      <c r="AE816">
        <v>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17</v>
      </c>
      <c r="AS816">
        <v>0</v>
      </c>
      <c r="AT816">
        <v>6</v>
      </c>
      <c r="AU816">
        <v>5</v>
      </c>
      <c r="AV816">
        <v>0</v>
      </c>
      <c r="AW816">
        <v>0</v>
      </c>
      <c r="AX816">
        <v>7</v>
      </c>
      <c r="AY816">
        <v>0</v>
      </c>
      <c r="AZ816">
        <v>0</v>
      </c>
      <c r="BA816">
        <v>0</v>
      </c>
      <c r="BB816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17</v>
      </c>
      <c r="BL816" s="2">
        <v>0</v>
      </c>
      <c r="BM816" s="2">
        <v>6</v>
      </c>
      <c r="BN816" s="2">
        <v>5</v>
      </c>
      <c r="BO816" s="2">
        <v>0</v>
      </c>
      <c r="BP816" s="2">
        <v>0</v>
      </c>
      <c r="BQ816" s="2">
        <v>7</v>
      </c>
      <c r="BR816" s="2">
        <v>0</v>
      </c>
      <c r="BS816" s="2">
        <v>0</v>
      </c>
      <c r="BT816" s="2">
        <v>0</v>
      </c>
      <c r="BU816" s="2">
        <v>0</v>
      </c>
      <c r="BV816" s="2">
        <f t="shared" si="53"/>
        <v>36</v>
      </c>
      <c r="BW816" s="16">
        <f t="shared" si="51"/>
        <v>1.8947368421052631</v>
      </c>
      <c r="BX816" s="16">
        <f>COUNTIF($BC$6:BU816, "=0") / COUNTIF($BC$6:BU816, "&gt;-1")</f>
        <v>0.22272697774028166</v>
      </c>
      <c r="BY816" s="18">
        <f>SUM($BC$6:BU816) / $BY$4</f>
        <v>0.91751908184595599</v>
      </c>
      <c r="BZ816" s="14">
        <f t="shared" si="52"/>
        <v>14</v>
      </c>
      <c r="CA816" t="s">
        <v>5832</v>
      </c>
      <c r="CZ816" t="s">
        <v>11692</v>
      </c>
      <c r="DA816" t="s">
        <v>5904</v>
      </c>
      <c r="DB816">
        <v>552.4</v>
      </c>
      <c r="DC816" t="s">
        <v>30899</v>
      </c>
      <c r="DD816" t="s">
        <v>30900</v>
      </c>
      <c r="DE816" t="s">
        <v>30901</v>
      </c>
      <c r="DF816" t="s">
        <v>30902</v>
      </c>
      <c r="DG816" t="s">
        <v>30903</v>
      </c>
      <c r="DH816" t="str">
        <f>"LAD1"</f>
        <v>LAD1</v>
      </c>
      <c r="DI816" t="s">
        <v>30904</v>
      </c>
      <c r="DJ816" t="s">
        <v>13777</v>
      </c>
      <c r="DK816">
        <v>9606</v>
      </c>
      <c r="DL816" s="34" t="str">
        <f>HYPERLINK("http://www.uniprot.org/uniprot/O00515", "O00515")</f>
        <v>O00515</v>
      </c>
      <c r="DM816" t="s">
        <v>30905</v>
      </c>
      <c r="DN816" t="s">
        <v>13772</v>
      </c>
      <c r="DO816" t="s">
        <v>15002</v>
      </c>
      <c r="DP816" t="s">
        <v>13793</v>
      </c>
      <c r="DQ816" t="s">
        <v>13772</v>
      </c>
      <c r="DR816" t="s">
        <v>13772</v>
      </c>
      <c r="DS816" t="s">
        <v>14096</v>
      </c>
      <c r="DT816" t="s">
        <v>13772</v>
      </c>
      <c r="DU816" t="s">
        <v>13772</v>
      </c>
      <c r="DV816" t="s">
        <v>14478</v>
      </c>
      <c r="DW816" t="s">
        <v>13772</v>
      </c>
      <c r="DX816" t="s">
        <v>13772</v>
      </c>
      <c r="DY816" t="s">
        <v>30906</v>
      </c>
      <c r="DZ816" t="s">
        <v>30907</v>
      </c>
      <c r="EA816" t="s">
        <v>13772</v>
      </c>
      <c r="EB816" t="s">
        <v>13772</v>
      </c>
    </row>
    <row r="817" spans="1:132" hidden="1">
      <c r="A817">
        <v>1935</v>
      </c>
      <c r="B817">
        <v>1</v>
      </c>
      <c r="C817" t="s">
        <v>4557</v>
      </c>
      <c r="D817" t="s">
        <v>73</v>
      </c>
      <c r="E817" t="s">
        <v>73</v>
      </c>
      <c r="F817" t="s">
        <v>73</v>
      </c>
      <c r="G817" t="s">
        <v>73</v>
      </c>
      <c r="H817">
        <v>23.5</v>
      </c>
      <c r="I817">
        <v>412</v>
      </c>
      <c r="J817">
        <v>46557</v>
      </c>
      <c r="K817" t="s">
        <v>4558</v>
      </c>
      <c r="L817">
        <f t="shared" si="50"/>
        <v>36</v>
      </c>
      <c r="N817">
        <v>36</v>
      </c>
      <c r="O817">
        <v>36</v>
      </c>
      <c r="P817">
        <v>1</v>
      </c>
      <c r="Q817">
        <v>3</v>
      </c>
      <c r="R817">
        <v>4</v>
      </c>
      <c r="S817">
        <v>0</v>
      </c>
      <c r="T817">
        <v>0</v>
      </c>
      <c r="U817">
        <v>14</v>
      </c>
      <c r="V817">
        <v>8</v>
      </c>
      <c r="W817">
        <v>3</v>
      </c>
      <c r="X817">
        <v>3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</v>
      </c>
      <c r="AK817">
        <v>4</v>
      </c>
      <c r="AL817">
        <v>0</v>
      </c>
      <c r="AM817">
        <v>0</v>
      </c>
      <c r="AN817">
        <v>14</v>
      </c>
      <c r="AO817">
        <v>8</v>
      </c>
      <c r="AP817">
        <v>3</v>
      </c>
      <c r="AQ817">
        <v>3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 s="2">
        <v>3</v>
      </c>
      <c r="BD817" s="2">
        <v>4</v>
      </c>
      <c r="BE817" s="2">
        <v>0</v>
      </c>
      <c r="BF817" s="2">
        <v>0</v>
      </c>
      <c r="BG817" s="2">
        <v>14</v>
      </c>
      <c r="BH817" s="2">
        <v>8</v>
      </c>
      <c r="BI817" s="2">
        <v>3</v>
      </c>
      <c r="BJ817" s="2">
        <v>3</v>
      </c>
      <c r="BK817" s="2">
        <v>0</v>
      </c>
      <c r="BL817" s="2">
        <v>0</v>
      </c>
      <c r="BM817" s="2">
        <v>1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f t="shared" si="53"/>
        <v>36</v>
      </c>
      <c r="BW817" s="16">
        <f t="shared" si="51"/>
        <v>1.8947368421052631</v>
      </c>
      <c r="BX817" s="16">
        <f>COUNTIF($BC$6:BU817, "=0") / COUNTIF($BC$6:BU817, "&gt;-1")</f>
        <v>0.22323049001814882</v>
      </c>
      <c r="BY817" s="18">
        <f>SUM($BC$6:BU817) / $BY$4</f>
        <v>0.91767329277322918</v>
      </c>
      <c r="BZ817" s="14">
        <f t="shared" si="52"/>
        <v>12</v>
      </c>
      <c r="CA817" t="s">
        <v>5832</v>
      </c>
      <c r="CZ817" t="s">
        <v>12202</v>
      </c>
      <c r="DA817" t="s">
        <v>5904</v>
      </c>
      <c r="DB817">
        <v>845.5</v>
      </c>
      <c r="DC817" t="s">
        <v>32326</v>
      </c>
      <c r="DD817" t="s">
        <v>32327</v>
      </c>
      <c r="DE817" t="s">
        <v>32328</v>
      </c>
      <c r="DF817" t="s">
        <v>32329</v>
      </c>
      <c r="DG817" t="s">
        <v>32330</v>
      </c>
      <c r="DH817" t="str">
        <f>"ASS1"</f>
        <v>ASS1</v>
      </c>
      <c r="DI817" t="s">
        <v>13772</v>
      </c>
      <c r="DJ817" t="s">
        <v>13777</v>
      </c>
      <c r="DK817">
        <v>9606</v>
      </c>
      <c r="DL817" s="34" t="str">
        <f>HYPERLINK("http://www.uniprot.org/uniprot/P00966", "P00966")</f>
        <v>P00966</v>
      </c>
      <c r="DM817" t="s">
        <v>32331</v>
      </c>
      <c r="DN817" t="s">
        <v>30343</v>
      </c>
      <c r="DO817" t="s">
        <v>13899</v>
      </c>
      <c r="DP817" t="s">
        <v>13793</v>
      </c>
      <c r="DQ817" t="s">
        <v>13772</v>
      </c>
      <c r="DR817" t="s">
        <v>13807</v>
      </c>
      <c r="DS817" t="s">
        <v>13772</v>
      </c>
      <c r="DT817" t="s">
        <v>14005</v>
      </c>
      <c r="DU817" t="s">
        <v>21123</v>
      </c>
      <c r="DV817" t="s">
        <v>13886</v>
      </c>
      <c r="DW817" t="s">
        <v>13812</v>
      </c>
      <c r="DX817" t="s">
        <v>32332</v>
      </c>
      <c r="DY817" t="s">
        <v>32333</v>
      </c>
      <c r="DZ817" t="s">
        <v>32334</v>
      </c>
      <c r="EA817" t="s">
        <v>32335</v>
      </c>
      <c r="EB817" t="s">
        <v>30347</v>
      </c>
    </row>
    <row r="818" spans="1:132" hidden="1">
      <c r="A818">
        <v>215</v>
      </c>
      <c r="B818">
        <v>1</v>
      </c>
      <c r="C818" t="s">
        <v>544</v>
      </c>
      <c r="D818" t="s">
        <v>73</v>
      </c>
      <c r="E818" t="s">
        <v>73</v>
      </c>
      <c r="F818" t="s">
        <v>545</v>
      </c>
      <c r="G818" t="s">
        <v>73</v>
      </c>
      <c r="H818">
        <v>39.4</v>
      </c>
      <c r="I818">
        <v>104</v>
      </c>
      <c r="J818">
        <v>11570</v>
      </c>
      <c r="K818" t="s">
        <v>546</v>
      </c>
      <c r="L818">
        <f t="shared" si="50"/>
        <v>37</v>
      </c>
      <c r="N818">
        <v>37</v>
      </c>
      <c r="O818">
        <v>29</v>
      </c>
      <c r="P818">
        <v>0.78400000000000003</v>
      </c>
      <c r="Q818">
        <v>4</v>
      </c>
      <c r="R818">
        <v>1</v>
      </c>
      <c r="S818">
        <v>0</v>
      </c>
      <c r="T818">
        <v>1</v>
      </c>
      <c r="U818">
        <v>3</v>
      </c>
      <c r="V818">
        <v>5</v>
      </c>
      <c r="W818">
        <v>7</v>
      </c>
      <c r="X818">
        <v>4</v>
      </c>
      <c r="Y818">
        <v>1</v>
      </c>
      <c r="Z818">
        <v>0</v>
      </c>
      <c r="AA818">
        <v>3</v>
      </c>
      <c r="AB818">
        <v>4</v>
      </c>
      <c r="AC818">
        <v>2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4</v>
      </c>
      <c r="AK818">
        <v>0</v>
      </c>
      <c r="AL818">
        <v>0</v>
      </c>
      <c r="AM818">
        <v>1</v>
      </c>
      <c r="AN818">
        <v>2</v>
      </c>
      <c r="AO818">
        <v>4</v>
      </c>
      <c r="AP818">
        <v>7</v>
      </c>
      <c r="AQ818">
        <v>4</v>
      </c>
      <c r="AR818">
        <v>1</v>
      </c>
      <c r="AS818">
        <v>0</v>
      </c>
      <c r="AT818">
        <v>1</v>
      </c>
      <c r="AU818">
        <v>2</v>
      </c>
      <c r="AV818">
        <v>1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</v>
      </c>
      <c r="BC818" s="2">
        <v>4</v>
      </c>
      <c r="BD818" s="2">
        <v>0.5</v>
      </c>
      <c r="BE818" s="2">
        <v>0</v>
      </c>
      <c r="BF818" s="2">
        <v>1</v>
      </c>
      <c r="BG818" s="2">
        <v>2.5</v>
      </c>
      <c r="BH818" s="2">
        <v>4.8</v>
      </c>
      <c r="BI818" s="2">
        <v>7</v>
      </c>
      <c r="BJ818" s="2">
        <v>4</v>
      </c>
      <c r="BK818" s="2">
        <v>1</v>
      </c>
      <c r="BL818" s="2">
        <v>0</v>
      </c>
      <c r="BM818" s="2">
        <v>3</v>
      </c>
      <c r="BN818" s="2">
        <v>4</v>
      </c>
      <c r="BO818" s="2">
        <v>2</v>
      </c>
      <c r="BP818" s="2">
        <v>0</v>
      </c>
      <c r="BQ818" s="2">
        <v>1</v>
      </c>
      <c r="BR818" s="2">
        <v>1</v>
      </c>
      <c r="BS818" s="2">
        <v>0</v>
      </c>
      <c r="BT818" s="2">
        <v>0</v>
      </c>
      <c r="BU818" s="2">
        <v>0</v>
      </c>
      <c r="BV818" s="2">
        <f t="shared" si="53"/>
        <v>35.799999999999997</v>
      </c>
      <c r="BW818" s="16">
        <f t="shared" si="51"/>
        <v>1.8842105263157893</v>
      </c>
      <c r="BX818" s="16">
        <f>COUNTIF($BC$6:BU818, "=0") / COUNTIF($BC$6:BU818, "&gt;-1")</f>
        <v>0.22334433870654496</v>
      </c>
      <c r="BY818" s="18">
        <f>SUM($BC$6:BU818) / $BY$4</f>
        <v>0.91782664697312866</v>
      </c>
      <c r="BZ818" s="14">
        <f t="shared" si="52"/>
        <v>6</v>
      </c>
      <c r="CA818" t="s">
        <v>5832</v>
      </c>
      <c r="CZ818" t="s">
        <v>6439</v>
      </c>
      <c r="DA818" t="s">
        <v>5904</v>
      </c>
      <c r="DB818">
        <v>159.5</v>
      </c>
      <c r="DC818" t="s">
        <v>15620</v>
      </c>
      <c r="DD818" t="s">
        <v>15621</v>
      </c>
      <c r="DE818" t="s">
        <v>15622</v>
      </c>
      <c r="DF818" t="s">
        <v>15623</v>
      </c>
      <c r="DG818" t="s">
        <v>15624</v>
      </c>
      <c r="DH818" t="str">
        <f>"VAMP3"</f>
        <v>VAMP3</v>
      </c>
      <c r="DI818" t="s">
        <v>15625</v>
      </c>
      <c r="DJ818" t="s">
        <v>13777</v>
      </c>
      <c r="DK818">
        <v>9606</v>
      </c>
      <c r="DL818" s="34" t="str">
        <f>HYPERLINK("http://www.uniprot.org/uniprot/Q15836", "Q15836")</f>
        <v>Q15836</v>
      </c>
      <c r="DM818" t="s">
        <v>15626</v>
      </c>
      <c r="DN818" t="s">
        <v>14347</v>
      </c>
      <c r="DO818" t="s">
        <v>15627</v>
      </c>
      <c r="DP818" t="s">
        <v>13772</v>
      </c>
      <c r="DQ818" t="s">
        <v>13772</v>
      </c>
      <c r="DR818" t="s">
        <v>13772</v>
      </c>
      <c r="DS818" t="s">
        <v>15628</v>
      </c>
      <c r="DT818" t="s">
        <v>13772</v>
      </c>
      <c r="DU818" t="s">
        <v>13772</v>
      </c>
      <c r="DV818" t="s">
        <v>14020</v>
      </c>
      <c r="DW818" t="s">
        <v>13772</v>
      </c>
      <c r="DX818" t="s">
        <v>15629</v>
      </c>
      <c r="DY818" t="s">
        <v>15630</v>
      </c>
      <c r="DZ818" t="s">
        <v>15631</v>
      </c>
      <c r="EA818" t="s">
        <v>13772</v>
      </c>
      <c r="EB818" t="s">
        <v>15632</v>
      </c>
    </row>
    <row r="819" spans="1:132" hidden="1">
      <c r="A819">
        <v>99</v>
      </c>
      <c r="B819">
        <v>1</v>
      </c>
      <c r="C819" t="s">
        <v>268</v>
      </c>
      <c r="D819" t="s">
        <v>269</v>
      </c>
      <c r="E819" t="s">
        <v>73</v>
      </c>
      <c r="F819" t="s">
        <v>73</v>
      </c>
      <c r="G819" t="s">
        <v>73</v>
      </c>
      <c r="H819">
        <v>24.5</v>
      </c>
      <c r="I819">
        <v>355</v>
      </c>
      <c r="J819">
        <v>39568</v>
      </c>
      <c r="K819" t="s">
        <v>270</v>
      </c>
      <c r="L819">
        <f t="shared" si="50"/>
        <v>35</v>
      </c>
      <c r="N819">
        <v>35</v>
      </c>
      <c r="O819">
        <v>35</v>
      </c>
      <c r="P819">
        <v>1</v>
      </c>
      <c r="Q819">
        <v>1</v>
      </c>
      <c r="R819">
        <v>6</v>
      </c>
      <c r="S819">
        <v>4</v>
      </c>
      <c r="T819">
        <v>3</v>
      </c>
      <c r="U819">
        <v>3</v>
      </c>
      <c r="V819">
        <v>4</v>
      </c>
      <c r="W819">
        <v>5</v>
      </c>
      <c r="X819">
        <v>1</v>
      </c>
      <c r="Y819">
        <v>1</v>
      </c>
      <c r="Z819">
        <v>0</v>
      </c>
      <c r="AA819">
        <v>1</v>
      </c>
      <c r="AB819">
        <v>1</v>
      </c>
      <c r="AC819">
        <v>2</v>
      </c>
      <c r="AD819">
        <v>0</v>
      </c>
      <c r="AE819">
        <v>0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6</v>
      </c>
      <c r="AL819">
        <v>4</v>
      </c>
      <c r="AM819">
        <v>3</v>
      </c>
      <c r="AN819">
        <v>3</v>
      </c>
      <c r="AO819">
        <v>4</v>
      </c>
      <c r="AP819">
        <v>5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2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 s="2">
        <v>1</v>
      </c>
      <c r="BD819" s="2">
        <v>6</v>
      </c>
      <c r="BE819" s="2">
        <v>4</v>
      </c>
      <c r="BF819" s="2">
        <v>3</v>
      </c>
      <c r="BG819" s="2">
        <v>3</v>
      </c>
      <c r="BH819" s="2">
        <v>4</v>
      </c>
      <c r="BI819" s="2">
        <v>5</v>
      </c>
      <c r="BJ819" s="2">
        <v>1</v>
      </c>
      <c r="BK819" s="2">
        <v>1</v>
      </c>
      <c r="BL819" s="2">
        <v>0</v>
      </c>
      <c r="BM819" s="2">
        <v>1</v>
      </c>
      <c r="BN819" s="2">
        <v>1</v>
      </c>
      <c r="BO819" s="2">
        <v>2</v>
      </c>
      <c r="BP819" s="2">
        <v>0</v>
      </c>
      <c r="BQ819" s="2">
        <v>0</v>
      </c>
      <c r="BR819" s="2">
        <v>1</v>
      </c>
      <c r="BS819" s="2">
        <v>1</v>
      </c>
      <c r="BT819" s="2">
        <v>1</v>
      </c>
      <c r="BU819" s="2">
        <v>0</v>
      </c>
      <c r="BV819" s="2">
        <f t="shared" si="53"/>
        <v>35</v>
      </c>
      <c r="BW819" s="16">
        <f t="shared" si="51"/>
        <v>1.8421052631578947</v>
      </c>
      <c r="BX819" s="16">
        <f>COUNTIF($BC$6:BU819, "=0") / COUNTIF($BC$6:BU819, "&gt;-1")</f>
        <v>0.2233285917496444</v>
      </c>
      <c r="BY819" s="18">
        <f>SUM($BC$6:BU819) / $BY$4</f>
        <v>0.91797657426353307</v>
      </c>
      <c r="BZ819" s="14">
        <f t="shared" si="52"/>
        <v>4</v>
      </c>
      <c r="CA819" t="s">
        <v>5832</v>
      </c>
      <c r="CZ819" t="s">
        <v>6033</v>
      </c>
      <c r="DA819" t="s">
        <v>5904</v>
      </c>
      <c r="DB819">
        <v>565.5</v>
      </c>
      <c r="DC819" t="s">
        <v>14269</v>
      </c>
      <c r="DD819" t="s">
        <v>14270</v>
      </c>
      <c r="DE819" t="s">
        <v>14271</v>
      </c>
      <c r="DF819" t="s">
        <v>14272</v>
      </c>
      <c r="DG819" t="s">
        <v>14273</v>
      </c>
      <c r="DH819" t="str">
        <f>"LGALS9"</f>
        <v>LGALS9</v>
      </c>
      <c r="DI819" t="s">
        <v>13772</v>
      </c>
      <c r="DJ819" t="s">
        <v>13777</v>
      </c>
      <c r="DK819">
        <v>9606</v>
      </c>
      <c r="DL819" s="34" t="str">
        <f>HYPERLINK("http://www.uniprot.org/uniprot/O00182", "O00182")</f>
        <v>O00182</v>
      </c>
      <c r="DM819" t="s">
        <v>14274</v>
      </c>
      <c r="DN819" t="s">
        <v>14275</v>
      </c>
      <c r="DO819" t="s">
        <v>14276</v>
      </c>
      <c r="DP819" t="s">
        <v>13780</v>
      </c>
      <c r="DQ819" t="s">
        <v>13772</v>
      </c>
      <c r="DR819" t="s">
        <v>13772</v>
      </c>
      <c r="DS819" t="s">
        <v>14096</v>
      </c>
      <c r="DT819" t="s">
        <v>14277</v>
      </c>
      <c r="DU819" t="s">
        <v>13772</v>
      </c>
      <c r="DV819" t="s">
        <v>13772</v>
      </c>
      <c r="DW819" t="s">
        <v>13812</v>
      </c>
      <c r="DX819" t="s">
        <v>14278</v>
      </c>
      <c r="DY819" t="s">
        <v>14279</v>
      </c>
      <c r="DZ819" t="s">
        <v>14280</v>
      </c>
      <c r="EA819" t="s">
        <v>13772</v>
      </c>
      <c r="EB819" t="s">
        <v>14281</v>
      </c>
    </row>
    <row r="820" spans="1:132" hidden="1">
      <c r="A820">
        <v>710</v>
      </c>
      <c r="B820">
        <v>1</v>
      </c>
      <c r="C820" t="s">
        <v>1749</v>
      </c>
      <c r="D820" t="s">
        <v>1750</v>
      </c>
      <c r="E820" t="s">
        <v>73</v>
      </c>
      <c r="F820" t="s">
        <v>73</v>
      </c>
      <c r="G820" t="s">
        <v>73</v>
      </c>
      <c r="H820">
        <v>57.5</v>
      </c>
      <c r="I820">
        <v>113</v>
      </c>
      <c r="J820">
        <v>12967</v>
      </c>
      <c r="K820" t="s">
        <v>1751</v>
      </c>
      <c r="L820">
        <f t="shared" si="50"/>
        <v>35</v>
      </c>
      <c r="N820">
        <v>35</v>
      </c>
      <c r="O820">
        <v>35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2</v>
      </c>
      <c r="V820">
        <v>0</v>
      </c>
      <c r="W820">
        <v>1</v>
      </c>
      <c r="X820">
        <v>2</v>
      </c>
      <c r="Y820">
        <v>6</v>
      </c>
      <c r="Z820">
        <v>0</v>
      </c>
      <c r="AA820">
        <v>3</v>
      </c>
      <c r="AB820">
        <v>8</v>
      </c>
      <c r="AC820">
        <v>4</v>
      </c>
      <c r="AD820">
        <v>1</v>
      </c>
      <c r="AE820">
        <v>2</v>
      </c>
      <c r="AF820">
        <v>1</v>
      </c>
      <c r="AG820">
        <v>3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2</v>
      </c>
      <c r="AO820">
        <v>0</v>
      </c>
      <c r="AP820">
        <v>1</v>
      </c>
      <c r="AQ820">
        <v>2</v>
      </c>
      <c r="AR820">
        <v>6</v>
      </c>
      <c r="AS820">
        <v>0</v>
      </c>
      <c r="AT820">
        <v>3</v>
      </c>
      <c r="AU820">
        <v>8</v>
      </c>
      <c r="AV820">
        <v>4</v>
      </c>
      <c r="AW820">
        <v>1</v>
      </c>
      <c r="AX820">
        <v>2</v>
      </c>
      <c r="AY820">
        <v>1</v>
      </c>
      <c r="AZ820">
        <v>3</v>
      </c>
      <c r="BA820">
        <v>0</v>
      </c>
      <c r="BB820">
        <v>1</v>
      </c>
      <c r="BC820" s="2">
        <v>0</v>
      </c>
      <c r="BD820" s="2">
        <v>1</v>
      </c>
      <c r="BE820" s="2">
        <v>0</v>
      </c>
      <c r="BF820" s="2">
        <v>0</v>
      </c>
      <c r="BG820" s="2">
        <v>2</v>
      </c>
      <c r="BH820" s="2">
        <v>0</v>
      </c>
      <c r="BI820" s="2">
        <v>1</v>
      </c>
      <c r="BJ820" s="2">
        <v>2</v>
      </c>
      <c r="BK820" s="2">
        <v>6</v>
      </c>
      <c r="BL820" s="2">
        <v>0</v>
      </c>
      <c r="BM820" s="2">
        <v>3</v>
      </c>
      <c r="BN820" s="2">
        <v>8</v>
      </c>
      <c r="BO820" s="2">
        <v>4</v>
      </c>
      <c r="BP820" s="2">
        <v>1</v>
      </c>
      <c r="BQ820" s="2">
        <v>2</v>
      </c>
      <c r="BR820" s="2">
        <v>1</v>
      </c>
      <c r="BS820" s="2">
        <v>3</v>
      </c>
      <c r="BT820" s="2">
        <v>0</v>
      </c>
      <c r="BU820" s="2">
        <v>1</v>
      </c>
      <c r="BV820" s="2">
        <f t="shared" si="53"/>
        <v>35</v>
      </c>
      <c r="BW820" s="16">
        <f t="shared" si="51"/>
        <v>1.8421052631578947</v>
      </c>
      <c r="BX820" s="16">
        <f>COUNTIF($BC$6:BU820, "=0") / COUNTIF($BC$6:BU820, "&gt;-1")</f>
        <v>0.22344204068453341</v>
      </c>
      <c r="BY820" s="18">
        <f>SUM($BC$6:BU820) / $BY$4</f>
        <v>0.9181265015539376</v>
      </c>
      <c r="BZ820" s="14">
        <f t="shared" si="52"/>
        <v>6</v>
      </c>
      <c r="CA820" t="s">
        <v>5832</v>
      </c>
      <c r="CZ820" t="s">
        <v>8142</v>
      </c>
      <c r="DA820" t="s">
        <v>5904</v>
      </c>
      <c r="DB820">
        <v>202.6</v>
      </c>
      <c r="DC820" t="s">
        <v>20804</v>
      </c>
      <c r="DD820" t="s">
        <v>20805</v>
      </c>
      <c r="DE820" t="s">
        <v>20806</v>
      </c>
      <c r="DF820" t="s">
        <v>20807</v>
      </c>
      <c r="DG820" t="s">
        <v>20808</v>
      </c>
      <c r="DH820" t="str">
        <f>"S100A10"</f>
        <v>S100A10</v>
      </c>
      <c r="DI820" t="s">
        <v>20809</v>
      </c>
      <c r="DJ820" t="s">
        <v>13777</v>
      </c>
      <c r="DK820">
        <v>9606</v>
      </c>
      <c r="DL820" s="34" t="str">
        <f>HYPERLINK("http://www.uniprot.org/uniprot/P60903", "P60903")</f>
        <v>P60903</v>
      </c>
      <c r="DM820" t="s">
        <v>20810</v>
      </c>
      <c r="DN820" t="s">
        <v>13772</v>
      </c>
      <c r="DO820" t="s">
        <v>13772</v>
      </c>
      <c r="DP820" t="s">
        <v>13772</v>
      </c>
      <c r="DQ820" t="s">
        <v>13772</v>
      </c>
      <c r="DR820" t="s">
        <v>13772</v>
      </c>
      <c r="DS820" t="s">
        <v>13772</v>
      </c>
      <c r="DT820" t="s">
        <v>13772</v>
      </c>
      <c r="DU820" t="s">
        <v>13772</v>
      </c>
      <c r="DV820" t="s">
        <v>14312</v>
      </c>
      <c r="DW820" t="s">
        <v>13812</v>
      </c>
      <c r="DX820" t="s">
        <v>20811</v>
      </c>
      <c r="DY820" t="s">
        <v>20812</v>
      </c>
      <c r="DZ820" t="s">
        <v>20813</v>
      </c>
      <c r="EA820" t="s">
        <v>13772</v>
      </c>
      <c r="EB820" t="s">
        <v>17618</v>
      </c>
    </row>
    <row r="821" spans="1:132" hidden="1">
      <c r="A821">
        <v>829</v>
      </c>
      <c r="B821">
        <v>1</v>
      </c>
      <c r="C821" t="s">
        <v>2030</v>
      </c>
      <c r="D821" t="s">
        <v>73</v>
      </c>
      <c r="E821" t="s">
        <v>73</v>
      </c>
      <c r="F821" t="s">
        <v>73</v>
      </c>
      <c r="G821" t="s">
        <v>73</v>
      </c>
      <c r="H821">
        <v>53.1</v>
      </c>
      <c r="I821">
        <v>207</v>
      </c>
      <c r="J821">
        <v>23489</v>
      </c>
      <c r="K821" t="s">
        <v>2031</v>
      </c>
      <c r="L821">
        <f t="shared" si="50"/>
        <v>35</v>
      </c>
      <c r="N821">
        <v>35</v>
      </c>
      <c r="O821">
        <v>35</v>
      </c>
      <c r="P821">
        <v>1</v>
      </c>
      <c r="Q821">
        <v>1</v>
      </c>
      <c r="R821">
        <v>0</v>
      </c>
      <c r="S821">
        <v>0</v>
      </c>
      <c r="T821">
        <v>2</v>
      </c>
      <c r="U821">
        <v>5</v>
      </c>
      <c r="V821">
        <v>3</v>
      </c>
      <c r="W821">
        <v>1</v>
      </c>
      <c r="X821">
        <v>2</v>
      </c>
      <c r="Y821">
        <v>3</v>
      </c>
      <c r="Z821">
        <v>0</v>
      </c>
      <c r="AA821">
        <v>1</v>
      </c>
      <c r="AB821">
        <v>4</v>
      </c>
      <c r="AC821">
        <v>6</v>
      </c>
      <c r="AD821">
        <v>0</v>
      </c>
      <c r="AE821">
        <v>2</v>
      </c>
      <c r="AF821">
        <v>3</v>
      </c>
      <c r="AG821">
        <v>2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2</v>
      </c>
      <c r="AN821">
        <v>5</v>
      </c>
      <c r="AO821">
        <v>3</v>
      </c>
      <c r="AP821">
        <v>1</v>
      </c>
      <c r="AQ821">
        <v>2</v>
      </c>
      <c r="AR821">
        <v>3</v>
      </c>
      <c r="AS821">
        <v>0</v>
      </c>
      <c r="AT821">
        <v>1</v>
      </c>
      <c r="AU821">
        <v>4</v>
      </c>
      <c r="AV821">
        <v>6</v>
      </c>
      <c r="AW821">
        <v>0</v>
      </c>
      <c r="AX821">
        <v>2</v>
      </c>
      <c r="AY821">
        <v>3</v>
      </c>
      <c r="AZ821">
        <v>2</v>
      </c>
      <c r="BA821">
        <v>0</v>
      </c>
      <c r="BB821">
        <v>0</v>
      </c>
      <c r="BC821" s="2">
        <v>1</v>
      </c>
      <c r="BD821" s="2">
        <v>0</v>
      </c>
      <c r="BE821" s="2">
        <v>0</v>
      </c>
      <c r="BF821" s="2">
        <v>2</v>
      </c>
      <c r="BG821" s="2">
        <v>5</v>
      </c>
      <c r="BH821" s="2">
        <v>3</v>
      </c>
      <c r="BI821" s="2">
        <v>1</v>
      </c>
      <c r="BJ821" s="2">
        <v>2</v>
      </c>
      <c r="BK821" s="2">
        <v>3</v>
      </c>
      <c r="BL821" s="2">
        <v>0</v>
      </c>
      <c r="BM821" s="2">
        <v>1</v>
      </c>
      <c r="BN821" s="2">
        <v>4</v>
      </c>
      <c r="BO821" s="2">
        <v>6</v>
      </c>
      <c r="BP821" s="2">
        <v>0</v>
      </c>
      <c r="BQ821" s="2">
        <v>2</v>
      </c>
      <c r="BR821" s="2">
        <v>3</v>
      </c>
      <c r="BS821" s="2">
        <v>2</v>
      </c>
      <c r="BT821" s="2">
        <v>0</v>
      </c>
      <c r="BU821" s="2">
        <v>0</v>
      </c>
      <c r="BV821" s="2">
        <f t="shared" si="53"/>
        <v>35</v>
      </c>
      <c r="BW821" s="16">
        <f t="shared" si="51"/>
        <v>1.8421052631578947</v>
      </c>
      <c r="BX821" s="16">
        <f>COUNTIF($BC$6:BU821, "=0") / COUNTIF($BC$6:BU821, "&gt;-1")</f>
        <v>0.22355521155830754</v>
      </c>
      <c r="BY821" s="18">
        <f>SUM($BC$6:BU821) / $BY$4</f>
        <v>0.91827642884434213</v>
      </c>
      <c r="BZ821" s="14">
        <f t="shared" si="52"/>
        <v>6</v>
      </c>
      <c r="CA821" t="s">
        <v>5832</v>
      </c>
      <c r="CZ821" t="s">
        <v>8537</v>
      </c>
      <c r="DA821" t="s">
        <v>5904</v>
      </c>
      <c r="DB821">
        <v>431</v>
      </c>
      <c r="DC821" t="s">
        <v>21962</v>
      </c>
      <c r="DD821" t="s">
        <v>13772</v>
      </c>
      <c r="DE821" t="s">
        <v>21963</v>
      </c>
      <c r="DF821" t="s">
        <v>21964</v>
      </c>
      <c r="DG821" t="s">
        <v>21965</v>
      </c>
      <c r="DH821" t="str">
        <f>"RAB7A"</f>
        <v>RAB7A</v>
      </c>
      <c r="DI821" t="s">
        <v>21966</v>
      </c>
      <c r="DJ821" t="s">
        <v>13777</v>
      </c>
      <c r="DK821">
        <v>9606</v>
      </c>
      <c r="DL821" s="34" t="str">
        <f>HYPERLINK("http://www.uniprot.org/uniprot/P51149", "P51149")</f>
        <v>P51149</v>
      </c>
      <c r="DM821" t="s">
        <v>21967</v>
      </c>
      <c r="DN821" t="s">
        <v>21968</v>
      </c>
      <c r="DO821" t="s">
        <v>21969</v>
      </c>
      <c r="DP821" t="s">
        <v>13772</v>
      </c>
      <c r="DQ821" t="s">
        <v>13772</v>
      </c>
      <c r="DR821" t="s">
        <v>21970</v>
      </c>
      <c r="DS821" t="s">
        <v>13772</v>
      </c>
      <c r="DT821" t="s">
        <v>14216</v>
      </c>
      <c r="DU821" t="s">
        <v>13772</v>
      </c>
      <c r="DV821" t="s">
        <v>19929</v>
      </c>
      <c r="DW821" t="s">
        <v>13812</v>
      </c>
      <c r="DX821" t="s">
        <v>21971</v>
      </c>
      <c r="DY821" t="s">
        <v>21972</v>
      </c>
      <c r="DZ821" t="s">
        <v>21973</v>
      </c>
      <c r="EA821" t="s">
        <v>13772</v>
      </c>
      <c r="EB821" t="s">
        <v>21974</v>
      </c>
    </row>
    <row r="822" spans="1:132" hidden="1">
      <c r="A822">
        <v>922</v>
      </c>
      <c r="B822">
        <v>1</v>
      </c>
      <c r="C822" t="s">
        <v>2241</v>
      </c>
      <c r="D822" t="s">
        <v>2242</v>
      </c>
      <c r="E822" t="s">
        <v>73</v>
      </c>
      <c r="F822" t="s">
        <v>73</v>
      </c>
      <c r="G822" t="s">
        <v>73</v>
      </c>
      <c r="H822">
        <v>18</v>
      </c>
      <c r="I822">
        <v>334</v>
      </c>
      <c r="J822">
        <v>37841</v>
      </c>
      <c r="K822" t="s">
        <v>2243</v>
      </c>
      <c r="L822">
        <f t="shared" si="50"/>
        <v>35</v>
      </c>
      <c r="N822">
        <v>35</v>
      </c>
      <c r="O822">
        <v>35</v>
      </c>
      <c r="P822">
        <v>1</v>
      </c>
      <c r="Q822">
        <v>2</v>
      </c>
      <c r="R822">
        <v>4</v>
      </c>
      <c r="S822">
        <v>1</v>
      </c>
      <c r="T822">
        <v>4</v>
      </c>
      <c r="U822">
        <v>6</v>
      </c>
      <c r="V822">
        <v>2</v>
      </c>
      <c r="W822">
        <v>4</v>
      </c>
      <c r="X822">
        <v>2</v>
      </c>
      <c r="Y822">
        <v>1</v>
      </c>
      <c r="Z822">
        <v>0</v>
      </c>
      <c r="AA822">
        <v>2</v>
      </c>
      <c r="AB822">
        <v>1</v>
      </c>
      <c r="AC822">
        <v>2</v>
      </c>
      <c r="AD822">
        <v>0</v>
      </c>
      <c r="AE822">
        <v>0</v>
      </c>
      <c r="AF822">
        <v>3</v>
      </c>
      <c r="AG822">
        <v>0</v>
      </c>
      <c r="AH822">
        <v>0</v>
      </c>
      <c r="AI822">
        <v>1</v>
      </c>
      <c r="AJ822">
        <v>2</v>
      </c>
      <c r="AK822">
        <v>4</v>
      </c>
      <c r="AL822">
        <v>1</v>
      </c>
      <c r="AM822">
        <v>4</v>
      </c>
      <c r="AN822">
        <v>6</v>
      </c>
      <c r="AO822">
        <v>2</v>
      </c>
      <c r="AP822">
        <v>4</v>
      </c>
      <c r="AQ822">
        <v>2</v>
      </c>
      <c r="AR822">
        <v>1</v>
      </c>
      <c r="AS822">
        <v>0</v>
      </c>
      <c r="AT822">
        <v>2</v>
      </c>
      <c r="AU822">
        <v>1</v>
      </c>
      <c r="AV822">
        <v>2</v>
      </c>
      <c r="AW822">
        <v>0</v>
      </c>
      <c r="AX822">
        <v>0</v>
      </c>
      <c r="AY822">
        <v>3</v>
      </c>
      <c r="AZ822">
        <v>0</v>
      </c>
      <c r="BA822">
        <v>0</v>
      </c>
      <c r="BB822">
        <v>1</v>
      </c>
      <c r="BC822" s="2">
        <v>2</v>
      </c>
      <c r="BD822" s="2">
        <v>4</v>
      </c>
      <c r="BE822" s="2">
        <v>1</v>
      </c>
      <c r="BF822" s="2">
        <v>4</v>
      </c>
      <c r="BG822" s="2">
        <v>6</v>
      </c>
      <c r="BH822" s="2">
        <v>2</v>
      </c>
      <c r="BI822" s="2">
        <v>4</v>
      </c>
      <c r="BJ822" s="2">
        <v>2</v>
      </c>
      <c r="BK822" s="2">
        <v>1</v>
      </c>
      <c r="BL822" s="2">
        <v>0</v>
      </c>
      <c r="BM822" s="2">
        <v>2</v>
      </c>
      <c r="BN822" s="2">
        <v>1</v>
      </c>
      <c r="BO822" s="2">
        <v>2</v>
      </c>
      <c r="BP822" s="2">
        <v>0</v>
      </c>
      <c r="BQ822" s="2">
        <v>0</v>
      </c>
      <c r="BR822" s="2">
        <v>3</v>
      </c>
      <c r="BS822" s="2">
        <v>0</v>
      </c>
      <c r="BT822" s="2">
        <v>0</v>
      </c>
      <c r="BU822" s="2">
        <v>1</v>
      </c>
      <c r="BV822" s="2">
        <f t="shared" si="53"/>
        <v>35</v>
      </c>
      <c r="BW822" s="16">
        <f t="shared" si="51"/>
        <v>1.8421052631578947</v>
      </c>
      <c r="BX822" s="16">
        <f>COUNTIF($BC$6:BU822, "=0") / COUNTIF($BC$6:BU822, "&gt;-1")</f>
        <v>0.2236036848547317</v>
      </c>
      <c r="BY822" s="18">
        <f>SUM($BC$6:BU822) / $BY$4</f>
        <v>0.91842635613474666</v>
      </c>
      <c r="BZ822" s="14">
        <f t="shared" si="52"/>
        <v>5</v>
      </c>
      <c r="CA822" t="s">
        <v>5832</v>
      </c>
      <c r="CZ822" t="s">
        <v>8852</v>
      </c>
      <c r="DA822" t="s">
        <v>5904</v>
      </c>
      <c r="DB822">
        <v>398.7</v>
      </c>
      <c r="DC822" t="s">
        <v>22865</v>
      </c>
      <c r="DD822" t="s">
        <v>22866</v>
      </c>
      <c r="DE822" t="s">
        <v>22867</v>
      </c>
      <c r="DF822" t="s">
        <v>22868</v>
      </c>
      <c r="DG822" t="s">
        <v>22869</v>
      </c>
      <c r="DH822" t="str">
        <f>"TFPI"</f>
        <v>TFPI</v>
      </c>
      <c r="DI822" t="s">
        <v>22870</v>
      </c>
      <c r="DJ822" t="s">
        <v>13777</v>
      </c>
      <c r="DK822">
        <v>9606</v>
      </c>
      <c r="DL822" s="34" t="str">
        <f>HYPERLINK("http://www.uniprot.org/uniprot/P10646", "P10646")</f>
        <v>P10646</v>
      </c>
      <c r="DM822" t="s">
        <v>22871</v>
      </c>
      <c r="DN822" t="s">
        <v>16755</v>
      </c>
      <c r="DO822" t="s">
        <v>22872</v>
      </c>
      <c r="DP822" t="s">
        <v>13780</v>
      </c>
      <c r="DQ822" t="s">
        <v>13772</v>
      </c>
      <c r="DR822" t="s">
        <v>13772</v>
      </c>
      <c r="DS822" t="s">
        <v>14404</v>
      </c>
      <c r="DT822" t="s">
        <v>13772</v>
      </c>
      <c r="DU822" t="s">
        <v>14375</v>
      </c>
      <c r="DV822" t="s">
        <v>15699</v>
      </c>
      <c r="DW822" t="s">
        <v>13812</v>
      </c>
      <c r="DX822" t="s">
        <v>22873</v>
      </c>
      <c r="DY822" t="s">
        <v>22874</v>
      </c>
      <c r="DZ822" t="s">
        <v>20851</v>
      </c>
      <c r="EA822" t="s">
        <v>13772</v>
      </c>
      <c r="EB822" t="s">
        <v>22875</v>
      </c>
    </row>
    <row r="823" spans="1:132" hidden="1">
      <c r="A823">
        <v>986</v>
      </c>
      <c r="B823">
        <v>1</v>
      </c>
      <c r="C823" t="s">
        <v>2393</v>
      </c>
      <c r="D823" t="s">
        <v>73</v>
      </c>
      <c r="E823" t="s">
        <v>73</v>
      </c>
      <c r="F823" t="s">
        <v>73</v>
      </c>
      <c r="G823" t="s">
        <v>73</v>
      </c>
      <c r="H823">
        <v>23.3</v>
      </c>
      <c r="I823">
        <v>1323</v>
      </c>
      <c r="J823">
        <v>149117</v>
      </c>
      <c r="K823" t="s">
        <v>2394</v>
      </c>
      <c r="L823">
        <f t="shared" si="50"/>
        <v>35</v>
      </c>
      <c r="N823">
        <v>35</v>
      </c>
      <c r="O823">
        <v>35</v>
      </c>
      <c r="P823">
        <v>1</v>
      </c>
      <c r="Q823">
        <v>0</v>
      </c>
      <c r="R823">
        <v>3</v>
      </c>
      <c r="S823">
        <v>0</v>
      </c>
      <c r="T823">
        <v>0</v>
      </c>
      <c r="U823">
        <v>12</v>
      </c>
      <c r="V823">
        <v>16</v>
      </c>
      <c r="W823">
        <v>0</v>
      </c>
      <c r="X823">
        <v>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12</v>
      </c>
      <c r="AO823">
        <v>16</v>
      </c>
      <c r="AP823">
        <v>0</v>
      </c>
      <c r="AQ823">
        <v>3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 s="2">
        <v>0</v>
      </c>
      <c r="BD823" s="2">
        <v>3</v>
      </c>
      <c r="BE823" s="2">
        <v>0</v>
      </c>
      <c r="BF823" s="2">
        <v>0</v>
      </c>
      <c r="BG823" s="2">
        <v>12</v>
      </c>
      <c r="BH823" s="2">
        <v>16</v>
      </c>
      <c r="BI823" s="2">
        <v>0</v>
      </c>
      <c r="BJ823" s="2">
        <v>3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1</v>
      </c>
      <c r="BT823" s="2">
        <v>0</v>
      </c>
      <c r="BU823" s="2">
        <v>0</v>
      </c>
      <c r="BV823" s="2">
        <f t="shared" si="53"/>
        <v>35</v>
      </c>
      <c r="BW823" s="16">
        <f t="shared" si="51"/>
        <v>1.8421052631578947</v>
      </c>
      <c r="BX823" s="16">
        <f>COUNTIF($BC$6:BU823, "=0") / COUNTIF($BC$6:BU823, "&gt;-1")</f>
        <v>0.22423111568652684</v>
      </c>
      <c r="BY823" s="18">
        <f>SUM($BC$6:BU823) / $BY$4</f>
        <v>0.91857628342515119</v>
      </c>
      <c r="BZ823" s="14">
        <f t="shared" si="52"/>
        <v>14</v>
      </c>
      <c r="CA823" t="s">
        <v>5832</v>
      </c>
      <c r="CZ823" t="s">
        <v>9076</v>
      </c>
      <c r="DA823" t="s">
        <v>5904</v>
      </c>
      <c r="DB823">
        <v>2420.1999999999998</v>
      </c>
      <c r="DC823" t="s">
        <v>23499</v>
      </c>
      <c r="DD823" t="s">
        <v>23500</v>
      </c>
      <c r="DE823" t="s">
        <v>23501</v>
      </c>
      <c r="DF823" t="s">
        <v>23502</v>
      </c>
      <c r="DG823" t="s">
        <v>23503</v>
      </c>
      <c r="DH823" t="str">
        <f>"ABCC4"</f>
        <v>ABCC4</v>
      </c>
      <c r="DI823" t="s">
        <v>23504</v>
      </c>
      <c r="DJ823" t="s">
        <v>13777</v>
      </c>
      <c r="DK823">
        <v>9606</v>
      </c>
      <c r="DL823" s="34" t="str">
        <f>HYPERLINK("http://www.uniprot.org/uniprot/O15439", "O15439")</f>
        <v>O15439</v>
      </c>
      <c r="DM823" t="s">
        <v>23505</v>
      </c>
      <c r="DN823" t="s">
        <v>14192</v>
      </c>
      <c r="DO823" t="s">
        <v>13825</v>
      </c>
      <c r="DP823" t="s">
        <v>13780</v>
      </c>
      <c r="DQ823" t="s">
        <v>13772</v>
      </c>
      <c r="DR823" t="s">
        <v>13772</v>
      </c>
      <c r="DS823" t="s">
        <v>16604</v>
      </c>
      <c r="DT823" t="s">
        <v>14005</v>
      </c>
      <c r="DU823" t="s">
        <v>13772</v>
      </c>
      <c r="DV823" t="s">
        <v>13978</v>
      </c>
      <c r="DW823" t="s">
        <v>13772</v>
      </c>
      <c r="DX823" t="s">
        <v>23506</v>
      </c>
      <c r="DY823" t="s">
        <v>23507</v>
      </c>
      <c r="DZ823" t="s">
        <v>23508</v>
      </c>
      <c r="EA823" t="s">
        <v>13772</v>
      </c>
      <c r="EB823" t="s">
        <v>23509</v>
      </c>
    </row>
    <row r="824" spans="1:132" hidden="1">
      <c r="A824">
        <v>1185</v>
      </c>
      <c r="B824">
        <v>1</v>
      </c>
      <c r="C824" t="s">
        <v>2845</v>
      </c>
      <c r="D824" t="s">
        <v>73</v>
      </c>
      <c r="E824" t="s">
        <v>73</v>
      </c>
      <c r="F824" t="s">
        <v>73</v>
      </c>
      <c r="G824" t="s">
        <v>73</v>
      </c>
      <c r="H824">
        <v>29.2</v>
      </c>
      <c r="I824">
        <v>260</v>
      </c>
      <c r="J824">
        <v>28988</v>
      </c>
      <c r="K824" t="s">
        <v>2846</v>
      </c>
      <c r="L824">
        <f t="shared" si="50"/>
        <v>35</v>
      </c>
      <c r="N824">
        <v>35</v>
      </c>
      <c r="O824">
        <v>35</v>
      </c>
      <c r="P824">
        <v>1</v>
      </c>
      <c r="Q824">
        <v>1</v>
      </c>
      <c r="R824">
        <v>5</v>
      </c>
      <c r="S824">
        <v>3</v>
      </c>
      <c r="T824">
        <v>3</v>
      </c>
      <c r="U824">
        <v>3</v>
      </c>
      <c r="V824">
        <v>3</v>
      </c>
      <c r="W824">
        <v>3</v>
      </c>
      <c r="X824">
        <v>3</v>
      </c>
      <c r="Y824">
        <v>1</v>
      </c>
      <c r="Z824">
        <v>0</v>
      </c>
      <c r="AA824">
        <v>2</v>
      </c>
      <c r="AB824">
        <v>1</v>
      </c>
      <c r="AC824">
        <v>0</v>
      </c>
      <c r="AD824">
        <v>0</v>
      </c>
      <c r="AE824">
        <v>3</v>
      </c>
      <c r="AF824">
        <v>3</v>
      </c>
      <c r="AG824">
        <v>1</v>
      </c>
      <c r="AH824">
        <v>0</v>
      </c>
      <c r="AI824">
        <v>0</v>
      </c>
      <c r="AJ824">
        <v>1</v>
      </c>
      <c r="AK824">
        <v>5</v>
      </c>
      <c r="AL824">
        <v>3</v>
      </c>
      <c r="AM824">
        <v>3</v>
      </c>
      <c r="AN824">
        <v>3</v>
      </c>
      <c r="AO824">
        <v>3</v>
      </c>
      <c r="AP824">
        <v>3</v>
      </c>
      <c r="AQ824">
        <v>3</v>
      </c>
      <c r="AR824">
        <v>1</v>
      </c>
      <c r="AS824">
        <v>0</v>
      </c>
      <c r="AT824">
        <v>2</v>
      </c>
      <c r="AU824">
        <v>1</v>
      </c>
      <c r="AV824">
        <v>0</v>
      </c>
      <c r="AW824">
        <v>0</v>
      </c>
      <c r="AX824">
        <v>3</v>
      </c>
      <c r="AY824">
        <v>3</v>
      </c>
      <c r="AZ824">
        <v>1</v>
      </c>
      <c r="BA824">
        <v>0</v>
      </c>
      <c r="BB824">
        <v>0</v>
      </c>
      <c r="BC824" s="2">
        <v>1</v>
      </c>
      <c r="BD824" s="2">
        <v>5</v>
      </c>
      <c r="BE824" s="2">
        <v>3</v>
      </c>
      <c r="BF824" s="2">
        <v>3</v>
      </c>
      <c r="BG824" s="2">
        <v>3</v>
      </c>
      <c r="BH824" s="2">
        <v>3</v>
      </c>
      <c r="BI824" s="2">
        <v>3</v>
      </c>
      <c r="BJ824" s="2">
        <v>3</v>
      </c>
      <c r="BK824" s="2">
        <v>1</v>
      </c>
      <c r="BL824" s="2">
        <v>0</v>
      </c>
      <c r="BM824" s="2">
        <v>2</v>
      </c>
      <c r="BN824" s="2">
        <v>1</v>
      </c>
      <c r="BO824" s="2">
        <v>0</v>
      </c>
      <c r="BP824" s="2">
        <v>0</v>
      </c>
      <c r="BQ824" s="2">
        <v>3</v>
      </c>
      <c r="BR824" s="2">
        <v>3</v>
      </c>
      <c r="BS824" s="2">
        <v>1</v>
      </c>
      <c r="BT824" s="2">
        <v>0</v>
      </c>
      <c r="BU824" s="2">
        <v>0</v>
      </c>
      <c r="BV824" s="2">
        <f t="shared" si="53"/>
        <v>35</v>
      </c>
      <c r="BW824" s="16">
        <f t="shared" si="51"/>
        <v>1.8421052631578947</v>
      </c>
      <c r="BX824" s="16">
        <f>COUNTIF($BC$6:BU824, "=0") / COUNTIF($BC$6:BU824, "&gt;-1")</f>
        <v>0.22427864533127692</v>
      </c>
      <c r="BY824" s="18">
        <f>SUM($BC$6:BU824) / $BY$4</f>
        <v>0.91872621071555571</v>
      </c>
      <c r="BZ824" s="14">
        <f t="shared" si="52"/>
        <v>5</v>
      </c>
      <c r="CA824" t="s">
        <v>5832</v>
      </c>
      <c r="CZ824" t="s">
        <v>9674</v>
      </c>
      <c r="DA824" t="s">
        <v>5904</v>
      </c>
      <c r="DB824">
        <v>525</v>
      </c>
      <c r="DC824" t="s">
        <v>25201</v>
      </c>
      <c r="DD824" t="s">
        <v>25202</v>
      </c>
      <c r="DE824" t="s">
        <v>25203</v>
      </c>
      <c r="DF824" t="s">
        <v>25204</v>
      </c>
      <c r="DG824" t="s">
        <v>13772</v>
      </c>
      <c r="DH824" t="str">
        <f>"BAMBI"</f>
        <v>BAMBI</v>
      </c>
      <c r="DI824" t="s">
        <v>25205</v>
      </c>
      <c r="DJ824" t="s">
        <v>13777</v>
      </c>
      <c r="DK824">
        <v>9606</v>
      </c>
      <c r="DL824" s="34" t="str">
        <f>HYPERLINK("http://www.uniprot.org/uniprot/Q13145", "Q13145")</f>
        <v>Q13145</v>
      </c>
      <c r="DM824" t="s">
        <v>25206</v>
      </c>
      <c r="DN824" t="s">
        <v>13772</v>
      </c>
      <c r="DO824" t="s">
        <v>13825</v>
      </c>
      <c r="DP824" t="s">
        <v>13772</v>
      </c>
      <c r="DQ824" t="s">
        <v>13772</v>
      </c>
      <c r="DR824" t="s">
        <v>13772</v>
      </c>
      <c r="DS824" t="s">
        <v>13855</v>
      </c>
      <c r="DT824" t="s">
        <v>13772</v>
      </c>
      <c r="DU824" t="s">
        <v>13772</v>
      </c>
      <c r="DV824" t="s">
        <v>13858</v>
      </c>
      <c r="DW824" t="s">
        <v>13772</v>
      </c>
      <c r="DX824" t="s">
        <v>25207</v>
      </c>
      <c r="DY824" t="s">
        <v>25208</v>
      </c>
      <c r="DZ824" t="s">
        <v>25209</v>
      </c>
      <c r="EA824" t="s">
        <v>13772</v>
      </c>
      <c r="EB824" t="s">
        <v>25210</v>
      </c>
    </row>
    <row r="825" spans="1:132" hidden="1">
      <c r="A825">
        <v>1199</v>
      </c>
      <c r="B825">
        <v>1</v>
      </c>
      <c r="C825" t="s">
        <v>2875</v>
      </c>
      <c r="D825" t="s">
        <v>2876</v>
      </c>
      <c r="E825" t="s">
        <v>73</v>
      </c>
      <c r="F825" t="s">
        <v>73</v>
      </c>
      <c r="G825" t="s">
        <v>73</v>
      </c>
      <c r="H825">
        <v>21.8</v>
      </c>
      <c r="I825">
        <v>1183</v>
      </c>
      <c r="J825">
        <v>128829</v>
      </c>
      <c r="K825" t="s">
        <v>2877</v>
      </c>
      <c r="L825">
        <f t="shared" si="50"/>
        <v>35</v>
      </c>
      <c r="N825">
        <v>35</v>
      </c>
      <c r="O825">
        <v>35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2</v>
      </c>
      <c r="Y825">
        <v>7</v>
      </c>
      <c r="Z825">
        <v>0</v>
      </c>
      <c r="AA825">
        <v>5</v>
      </c>
      <c r="AB825">
        <v>3</v>
      </c>
      <c r="AC825">
        <v>11</v>
      </c>
      <c r="AD825">
        <v>0</v>
      </c>
      <c r="AE825">
        <v>2</v>
      </c>
      <c r="AF825">
        <v>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2</v>
      </c>
      <c r="AR825">
        <v>7</v>
      </c>
      <c r="AS825">
        <v>0</v>
      </c>
      <c r="AT825">
        <v>5</v>
      </c>
      <c r="AU825">
        <v>3</v>
      </c>
      <c r="AV825">
        <v>11</v>
      </c>
      <c r="AW825">
        <v>0</v>
      </c>
      <c r="AX825">
        <v>2</v>
      </c>
      <c r="AY825">
        <v>4</v>
      </c>
      <c r="AZ825">
        <v>0</v>
      </c>
      <c r="BA825">
        <v>0</v>
      </c>
      <c r="BB825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0</v>
      </c>
      <c r="BJ825" s="2">
        <v>2</v>
      </c>
      <c r="BK825" s="2">
        <v>7</v>
      </c>
      <c r="BL825" s="2">
        <v>0</v>
      </c>
      <c r="BM825" s="2">
        <v>5</v>
      </c>
      <c r="BN825" s="2">
        <v>3</v>
      </c>
      <c r="BO825" s="2">
        <v>11</v>
      </c>
      <c r="BP825" s="2">
        <v>0</v>
      </c>
      <c r="BQ825" s="2">
        <v>2</v>
      </c>
      <c r="BR825" s="2">
        <v>4</v>
      </c>
      <c r="BS825" s="2">
        <v>0</v>
      </c>
      <c r="BT825" s="2">
        <v>0</v>
      </c>
      <c r="BU825" s="2">
        <v>0</v>
      </c>
      <c r="BV825" s="2">
        <f t="shared" si="53"/>
        <v>35</v>
      </c>
      <c r="BW825" s="16">
        <f t="shared" si="51"/>
        <v>1.8421052631578947</v>
      </c>
      <c r="BX825" s="16">
        <f>COUNTIF($BC$6:BU825, "=0") / COUNTIF($BC$6:BU825, "&gt;-1")</f>
        <v>0.22471116816431322</v>
      </c>
      <c r="BY825" s="18">
        <f>SUM($BC$6:BU825) / $BY$4</f>
        <v>0.91887613800596024</v>
      </c>
      <c r="BZ825" s="14">
        <f t="shared" si="52"/>
        <v>11</v>
      </c>
      <c r="CA825" t="s">
        <v>5832</v>
      </c>
      <c r="CZ825" t="s">
        <v>9720</v>
      </c>
      <c r="DA825" t="s">
        <v>5904</v>
      </c>
      <c r="DB825">
        <v>2286.5</v>
      </c>
      <c r="DC825" t="s">
        <v>25347</v>
      </c>
      <c r="DD825" t="s">
        <v>25348</v>
      </c>
      <c r="DE825" t="s">
        <v>25349</v>
      </c>
      <c r="DF825" t="s">
        <v>25350</v>
      </c>
      <c r="DG825" t="s">
        <v>25351</v>
      </c>
      <c r="DH825" t="str">
        <f>"VCL"</f>
        <v>VCL</v>
      </c>
      <c r="DI825" t="s">
        <v>13772</v>
      </c>
      <c r="DJ825" t="s">
        <v>13777</v>
      </c>
      <c r="DK825">
        <v>9606</v>
      </c>
      <c r="DL825" s="34" t="str">
        <f>HYPERLINK("http://www.uniprot.org/uniprot/P18206", "P18206")</f>
        <v>P18206</v>
      </c>
      <c r="DM825" t="s">
        <v>25352</v>
      </c>
      <c r="DN825" t="s">
        <v>13949</v>
      </c>
      <c r="DO825" t="s">
        <v>17480</v>
      </c>
      <c r="DP825" t="s">
        <v>13780</v>
      </c>
      <c r="DQ825" t="s">
        <v>13772</v>
      </c>
      <c r="DR825" t="s">
        <v>14848</v>
      </c>
      <c r="DS825" t="s">
        <v>14096</v>
      </c>
      <c r="DT825" t="s">
        <v>13772</v>
      </c>
      <c r="DU825" t="s">
        <v>13990</v>
      </c>
      <c r="DV825" t="s">
        <v>25353</v>
      </c>
      <c r="DW825" t="s">
        <v>13812</v>
      </c>
      <c r="DX825" t="s">
        <v>25354</v>
      </c>
      <c r="DY825" t="s">
        <v>25355</v>
      </c>
      <c r="DZ825" t="s">
        <v>25356</v>
      </c>
      <c r="EA825" t="s">
        <v>13772</v>
      </c>
      <c r="EB825" t="s">
        <v>25357</v>
      </c>
    </row>
    <row r="826" spans="1:132" hidden="1">
      <c r="A826">
        <v>1367</v>
      </c>
      <c r="B826">
        <v>1</v>
      </c>
      <c r="C826" t="s">
        <v>3268</v>
      </c>
      <c r="D826" t="s">
        <v>3269</v>
      </c>
      <c r="E826" t="s">
        <v>73</v>
      </c>
      <c r="F826" t="s">
        <v>73</v>
      </c>
      <c r="G826" t="s">
        <v>73</v>
      </c>
      <c r="H826">
        <v>23.4</v>
      </c>
      <c r="I826">
        <v>1288</v>
      </c>
      <c r="J826">
        <v>148953</v>
      </c>
      <c r="K826" t="s">
        <v>3270</v>
      </c>
      <c r="L826">
        <f t="shared" si="50"/>
        <v>35</v>
      </c>
      <c r="N826">
        <v>35</v>
      </c>
      <c r="O826">
        <v>35</v>
      </c>
      <c r="P826">
        <v>1</v>
      </c>
      <c r="Q826">
        <v>1</v>
      </c>
      <c r="R826">
        <v>2</v>
      </c>
      <c r="S826">
        <v>0</v>
      </c>
      <c r="T826">
        <v>1</v>
      </c>
      <c r="U826">
        <v>12</v>
      </c>
      <c r="V826">
        <v>3</v>
      </c>
      <c r="W826">
        <v>1</v>
      </c>
      <c r="X826">
        <v>2</v>
      </c>
      <c r="Y826">
        <v>2</v>
      </c>
      <c r="Z826">
        <v>0</v>
      </c>
      <c r="AA826">
        <v>9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2</v>
      </c>
      <c r="AL826">
        <v>0</v>
      </c>
      <c r="AM826">
        <v>1</v>
      </c>
      <c r="AN826">
        <v>12</v>
      </c>
      <c r="AO826">
        <v>3</v>
      </c>
      <c r="AP826">
        <v>1</v>
      </c>
      <c r="AQ826">
        <v>2</v>
      </c>
      <c r="AR826">
        <v>2</v>
      </c>
      <c r="AS826">
        <v>0</v>
      </c>
      <c r="AT826">
        <v>9</v>
      </c>
      <c r="AU826">
        <v>2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s="2">
        <v>1</v>
      </c>
      <c r="BD826" s="2">
        <v>2</v>
      </c>
      <c r="BE826" s="2">
        <v>0</v>
      </c>
      <c r="BF826" s="2">
        <v>1</v>
      </c>
      <c r="BG826" s="2">
        <v>12</v>
      </c>
      <c r="BH826" s="2">
        <v>3</v>
      </c>
      <c r="BI826" s="2">
        <v>1</v>
      </c>
      <c r="BJ826" s="2">
        <v>2</v>
      </c>
      <c r="BK826" s="2">
        <v>2</v>
      </c>
      <c r="BL826" s="2">
        <v>0</v>
      </c>
      <c r="BM826" s="2">
        <v>9</v>
      </c>
      <c r="BN826" s="2">
        <v>2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f t="shared" si="53"/>
        <v>35</v>
      </c>
      <c r="BW826" s="16">
        <f t="shared" si="51"/>
        <v>1.8421052631578947</v>
      </c>
      <c r="BX826" s="16">
        <f>COUNTIF($BC$6:BU826, "=0") / COUNTIF($BC$6:BU826, "&gt;-1")</f>
        <v>0.22501442400153857</v>
      </c>
      <c r="BY826" s="18">
        <f>SUM($BC$6:BU826) / $BY$4</f>
        <v>0.91902606529636477</v>
      </c>
      <c r="BZ826" s="14">
        <f t="shared" si="52"/>
        <v>9</v>
      </c>
      <c r="CA826" t="s">
        <v>5832</v>
      </c>
      <c r="CZ826" t="s">
        <v>10303</v>
      </c>
      <c r="DA826" t="s">
        <v>5904</v>
      </c>
      <c r="DB826">
        <v>2574.3000000000002</v>
      </c>
      <c r="DC826" t="s">
        <v>27004</v>
      </c>
      <c r="DD826" t="s">
        <v>27005</v>
      </c>
      <c r="DE826" t="s">
        <v>27006</v>
      </c>
      <c r="DF826" t="s">
        <v>27007</v>
      </c>
      <c r="DG826" t="s">
        <v>27008</v>
      </c>
      <c r="DH826" t="str">
        <f>"MYO6"</f>
        <v>MYO6</v>
      </c>
      <c r="DI826" t="s">
        <v>27009</v>
      </c>
      <c r="DJ826" t="s">
        <v>13777</v>
      </c>
      <c r="DK826">
        <v>9606</v>
      </c>
      <c r="DL826" s="34" t="str">
        <f>HYPERLINK("http://www.uniprot.org/uniprot/Q9UM54", "Q9UM54")</f>
        <v>Q9UM54</v>
      </c>
      <c r="DM826" t="s">
        <v>27010</v>
      </c>
      <c r="DN826" t="s">
        <v>27011</v>
      </c>
      <c r="DO826" t="s">
        <v>27012</v>
      </c>
      <c r="DP826" t="s">
        <v>13841</v>
      </c>
      <c r="DQ826" t="s">
        <v>13772</v>
      </c>
      <c r="DR826" t="s">
        <v>27013</v>
      </c>
      <c r="DS826" t="s">
        <v>13772</v>
      </c>
      <c r="DT826" t="s">
        <v>14005</v>
      </c>
      <c r="DU826" t="s">
        <v>14097</v>
      </c>
      <c r="DV826" t="s">
        <v>13782</v>
      </c>
      <c r="DW826" t="s">
        <v>13812</v>
      </c>
      <c r="DX826" t="s">
        <v>27014</v>
      </c>
      <c r="DY826" t="s">
        <v>27015</v>
      </c>
      <c r="DZ826" t="s">
        <v>27016</v>
      </c>
      <c r="EA826" t="s">
        <v>13772</v>
      </c>
      <c r="EB826" t="s">
        <v>27017</v>
      </c>
    </row>
    <row r="827" spans="1:132" hidden="1">
      <c r="A827">
        <v>1472</v>
      </c>
      <c r="B827">
        <v>1</v>
      </c>
      <c r="C827" t="s">
        <v>3500</v>
      </c>
      <c r="D827" t="s">
        <v>3501</v>
      </c>
      <c r="E827" t="s">
        <v>73</v>
      </c>
      <c r="F827" t="s">
        <v>73</v>
      </c>
      <c r="G827" t="s">
        <v>73</v>
      </c>
      <c r="H827">
        <v>46</v>
      </c>
      <c r="I827">
        <v>372</v>
      </c>
      <c r="J827">
        <v>41929</v>
      </c>
      <c r="K827" t="s">
        <v>3502</v>
      </c>
      <c r="L827">
        <f t="shared" si="50"/>
        <v>35</v>
      </c>
      <c r="N827">
        <v>35</v>
      </c>
      <c r="O827">
        <v>35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15</v>
      </c>
      <c r="Z827">
        <v>0</v>
      </c>
      <c r="AA827">
        <v>12</v>
      </c>
      <c r="AB827">
        <v>4</v>
      </c>
      <c r="AC827">
        <v>1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15</v>
      </c>
      <c r="AS827">
        <v>0</v>
      </c>
      <c r="AT827">
        <v>12</v>
      </c>
      <c r="AU827">
        <v>4</v>
      </c>
      <c r="AV827">
        <v>1</v>
      </c>
      <c r="AW827">
        <v>0</v>
      </c>
      <c r="AX827">
        <v>0</v>
      </c>
      <c r="AY827">
        <v>0</v>
      </c>
      <c r="AZ827">
        <v>2</v>
      </c>
      <c r="BA827">
        <v>0</v>
      </c>
      <c r="BB827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1</v>
      </c>
      <c r="BJ827" s="2">
        <v>0</v>
      </c>
      <c r="BK827" s="2">
        <v>15</v>
      </c>
      <c r="BL827" s="2">
        <v>0</v>
      </c>
      <c r="BM827" s="2">
        <v>12</v>
      </c>
      <c r="BN827" s="2">
        <v>4</v>
      </c>
      <c r="BO827" s="2">
        <v>1</v>
      </c>
      <c r="BP827" s="2">
        <v>0</v>
      </c>
      <c r="BQ827" s="2">
        <v>0</v>
      </c>
      <c r="BR827" s="2">
        <v>0</v>
      </c>
      <c r="BS827" s="2">
        <v>2</v>
      </c>
      <c r="BT827" s="2">
        <v>0</v>
      </c>
      <c r="BU827" s="2">
        <v>0</v>
      </c>
      <c r="BV827" s="2">
        <f t="shared" si="53"/>
        <v>35</v>
      </c>
      <c r="BW827" s="16">
        <f t="shared" si="51"/>
        <v>1.8421052631578947</v>
      </c>
      <c r="BX827" s="16">
        <f>COUNTIF($BC$6:BU827, "=0") / COUNTIF($BC$6:BU827, "&gt;-1")</f>
        <v>0.22557305672941477</v>
      </c>
      <c r="BY827" s="18">
        <f>SUM($BC$6:BU827) / $BY$4</f>
        <v>0.9191759925867693</v>
      </c>
      <c r="BZ827" s="14">
        <f t="shared" si="52"/>
        <v>13</v>
      </c>
      <c r="CA827" t="s">
        <v>5832</v>
      </c>
      <c r="CZ827" t="s">
        <v>10636</v>
      </c>
      <c r="DA827" t="s">
        <v>5904</v>
      </c>
      <c r="DB827">
        <v>765.8</v>
      </c>
      <c r="DC827" t="s">
        <v>27937</v>
      </c>
      <c r="DD827" t="s">
        <v>27938</v>
      </c>
      <c r="DE827" t="s">
        <v>27939</v>
      </c>
      <c r="DF827" t="s">
        <v>27940</v>
      </c>
      <c r="DG827" t="s">
        <v>27941</v>
      </c>
      <c r="DH827" t="str">
        <f>"GMDS"</f>
        <v>GMDS</v>
      </c>
      <c r="DI827" t="s">
        <v>13772</v>
      </c>
      <c r="DJ827" t="s">
        <v>13777</v>
      </c>
      <c r="DK827">
        <v>9606</v>
      </c>
      <c r="DL827" s="34" t="str">
        <f>HYPERLINK("http://www.uniprot.org/uniprot/O60547", "O60547")</f>
        <v>O60547</v>
      </c>
      <c r="DM827" t="s">
        <v>27942</v>
      </c>
      <c r="DN827" t="s">
        <v>13772</v>
      </c>
      <c r="DO827" t="s">
        <v>13772</v>
      </c>
      <c r="DP827" t="s">
        <v>13841</v>
      </c>
      <c r="DQ827" t="s">
        <v>13772</v>
      </c>
      <c r="DR827" t="s">
        <v>13772</v>
      </c>
      <c r="DS827" t="s">
        <v>13772</v>
      </c>
      <c r="DT827" t="s">
        <v>15759</v>
      </c>
      <c r="DU827" t="s">
        <v>15788</v>
      </c>
      <c r="DV827" t="s">
        <v>13886</v>
      </c>
      <c r="DW827" t="s">
        <v>13812</v>
      </c>
      <c r="DX827" t="s">
        <v>27943</v>
      </c>
      <c r="DY827" t="s">
        <v>14194</v>
      </c>
      <c r="DZ827" t="s">
        <v>27944</v>
      </c>
      <c r="EA827" t="s">
        <v>27945</v>
      </c>
      <c r="EB827" t="s">
        <v>27946</v>
      </c>
    </row>
    <row r="828" spans="1:132" hidden="1">
      <c r="A828">
        <v>1566</v>
      </c>
      <c r="B828">
        <v>1</v>
      </c>
      <c r="C828" t="s">
        <v>3712</v>
      </c>
      <c r="D828" t="s">
        <v>3713</v>
      </c>
      <c r="E828" t="s">
        <v>73</v>
      </c>
      <c r="F828" t="s">
        <v>73</v>
      </c>
      <c r="G828" t="s">
        <v>73</v>
      </c>
      <c r="H828">
        <v>9.4</v>
      </c>
      <c r="I828">
        <v>1237</v>
      </c>
      <c r="J828">
        <v>133605</v>
      </c>
      <c r="K828" t="s">
        <v>3714</v>
      </c>
      <c r="L828">
        <f t="shared" si="50"/>
        <v>35</v>
      </c>
      <c r="N828">
        <v>35</v>
      </c>
      <c r="O828">
        <v>35</v>
      </c>
      <c r="P828">
        <v>1</v>
      </c>
      <c r="Q828">
        <v>3</v>
      </c>
      <c r="R828">
        <v>5</v>
      </c>
      <c r="S828">
        <v>2</v>
      </c>
      <c r="T828">
        <v>2</v>
      </c>
      <c r="U828">
        <v>4</v>
      </c>
      <c r="V828">
        <v>9</v>
      </c>
      <c r="W828">
        <v>6</v>
      </c>
      <c r="X828">
        <v>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5</v>
      </c>
      <c r="AL828">
        <v>2</v>
      </c>
      <c r="AM828">
        <v>2</v>
      </c>
      <c r="AN828">
        <v>4</v>
      </c>
      <c r="AO828">
        <v>9</v>
      </c>
      <c r="AP828">
        <v>6</v>
      </c>
      <c r="AQ828">
        <v>4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 s="2">
        <v>3</v>
      </c>
      <c r="BD828" s="2">
        <v>5</v>
      </c>
      <c r="BE828" s="2">
        <v>2</v>
      </c>
      <c r="BF828" s="2">
        <v>2</v>
      </c>
      <c r="BG828" s="2">
        <v>4</v>
      </c>
      <c r="BH828" s="2">
        <v>9</v>
      </c>
      <c r="BI828" s="2">
        <v>6</v>
      </c>
      <c r="BJ828" s="2">
        <v>4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f t="shared" si="53"/>
        <v>35</v>
      </c>
      <c r="BW828" s="16">
        <f t="shared" si="51"/>
        <v>1.8421052631578947</v>
      </c>
      <c r="BX828" s="16">
        <f>COUNTIF($BC$6:BU828, "=0") / COUNTIF($BC$6:BU828, "&gt;-1")</f>
        <v>0.22600243013365734</v>
      </c>
      <c r="BY828" s="18">
        <f>SUM($BC$6:BU828) / $BY$4</f>
        <v>0.91932591987717382</v>
      </c>
      <c r="BZ828" s="14">
        <f t="shared" si="52"/>
        <v>11</v>
      </c>
      <c r="CA828" t="s">
        <v>5832</v>
      </c>
      <c r="CZ828" t="s">
        <v>10960</v>
      </c>
      <c r="DA828" t="s">
        <v>5904</v>
      </c>
      <c r="DB828">
        <v>2023.4</v>
      </c>
      <c r="DC828" t="s">
        <v>28832</v>
      </c>
      <c r="DD828" t="s">
        <v>28833</v>
      </c>
      <c r="DE828" t="s">
        <v>28834</v>
      </c>
      <c r="DF828" t="s">
        <v>28835</v>
      </c>
      <c r="DG828" t="s">
        <v>28836</v>
      </c>
      <c r="DH828" t="str">
        <f>"PCDH1"</f>
        <v>PCDH1</v>
      </c>
      <c r="DI828" t="s">
        <v>13772</v>
      </c>
      <c r="DJ828" t="s">
        <v>13777</v>
      </c>
      <c r="DK828">
        <v>9606</v>
      </c>
      <c r="DL828" s="34" t="str">
        <f>HYPERLINK("http://www.uniprot.org/uniprot/Q08174", "Q08174")</f>
        <v>Q08174</v>
      </c>
      <c r="DM828" t="s">
        <v>28837</v>
      </c>
      <c r="DN828" t="s">
        <v>13949</v>
      </c>
      <c r="DO828" t="s">
        <v>17424</v>
      </c>
      <c r="DP828" t="s">
        <v>13780</v>
      </c>
      <c r="DQ828" t="s">
        <v>13772</v>
      </c>
      <c r="DR828" t="s">
        <v>13772</v>
      </c>
      <c r="DS828" t="s">
        <v>13826</v>
      </c>
      <c r="DT828" t="s">
        <v>14465</v>
      </c>
      <c r="DU828" t="s">
        <v>13772</v>
      </c>
      <c r="DV828" t="s">
        <v>13978</v>
      </c>
      <c r="DW828" t="s">
        <v>13812</v>
      </c>
      <c r="DX828" t="s">
        <v>28838</v>
      </c>
      <c r="DY828" t="s">
        <v>28839</v>
      </c>
      <c r="DZ828" t="s">
        <v>15899</v>
      </c>
      <c r="EA828" t="s">
        <v>13772</v>
      </c>
      <c r="EB828" t="s">
        <v>13772</v>
      </c>
    </row>
    <row r="829" spans="1:132" hidden="1">
      <c r="A829">
        <v>1901</v>
      </c>
      <c r="B829">
        <v>1</v>
      </c>
      <c r="C829" t="s">
        <v>4483</v>
      </c>
      <c r="D829" t="s">
        <v>73</v>
      </c>
      <c r="E829" t="s">
        <v>73</v>
      </c>
      <c r="F829" t="s">
        <v>73</v>
      </c>
      <c r="G829" t="s">
        <v>73</v>
      </c>
      <c r="H829">
        <v>58.8</v>
      </c>
      <c r="I829">
        <v>165</v>
      </c>
      <c r="J829">
        <v>17832</v>
      </c>
      <c r="K829" t="s">
        <v>4484</v>
      </c>
      <c r="L829">
        <f t="shared" si="50"/>
        <v>35</v>
      </c>
      <c r="N829">
        <v>35</v>
      </c>
      <c r="O829">
        <v>35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7</v>
      </c>
      <c r="Y829">
        <v>4</v>
      </c>
      <c r="Z829">
        <v>0</v>
      </c>
      <c r="AA829">
        <v>6</v>
      </c>
      <c r="AB829">
        <v>4</v>
      </c>
      <c r="AC829">
        <v>6</v>
      </c>
      <c r="AD829">
        <v>0</v>
      </c>
      <c r="AE829">
        <v>3</v>
      </c>
      <c r="AF829">
        <v>2</v>
      </c>
      <c r="AG829">
        <v>2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7</v>
      </c>
      <c r="AR829">
        <v>4</v>
      </c>
      <c r="AS829">
        <v>0</v>
      </c>
      <c r="AT829">
        <v>6</v>
      </c>
      <c r="AU829">
        <v>4</v>
      </c>
      <c r="AV829">
        <v>6</v>
      </c>
      <c r="AW829">
        <v>0</v>
      </c>
      <c r="AX829">
        <v>3</v>
      </c>
      <c r="AY829">
        <v>2</v>
      </c>
      <c r="AZ829">
        <v>2</v>
      </c>
      <c r="BA829">
        <v>1</v>
      </c>
      <c r="BB829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7</v>
      </c>
      <c r="BK829" s="2">
        <v>4</v>
      </c>
      <c r="BL829" s="2">
        <v>0</v>
      </c>
      <c r="BM829" s="2">
        <v>6</v>
      </c>
      <c r="BN829" s="2">
        <v>4</v>
      </c>
      <c r="BO829" s="2">
        <v>6</v>
      </c>
      <c r="BP829" s="2">
        <v>0</v>
      </c>
      <c r="BQ829" s="2">
        <v>3</v>
      </c>
      <c r="BR829" s="2">
        <v>2</v>
      </c>
      <c r="BS829" s="2">
        <v>2</v>
      </c>
      <c r="BT829" s="2">
        <v>1</v>
      </c>
      <c r="BU829" s="2">
        <v>0</v>
      </c>
      <c r="BV829" s="2">
        <f t="shared" si="53"/>
        <v>35</v>
      </c>
      <c r="BW829" s="16">
        <f t="shared" si="51"/>
        <v>1.8421052631578947</v>
      </c>
      <c r="BX829" s="16">
        <f>COUNTIF($BC$6:BU829, "=0") / COUNTIF($BC$6:BU829, "&gt;-1")</f>
        <v>0.22636688809402147</v>
      </c>
      <c r="BY829" s="18">
        <f>SUM($BC$6:BU829) / $BY$4</f>
        <v>0.91947584716757835</v>
      </c>
      <c r="BZ829" s="14">
        <f t="shared" si="52"/>
        <v>10</v>
      </c>
      <c r="CA829" t="s">
        <v>5832</v>
      </c>
      <c r="CZ829" t="s">
        <v>12089</v>
      </c>
      <c r="DA829" t="s">
        <v>5904</v>
      </c>
      <c r="DB829">
        <v>335.5</v>
      </c>
      <c r="DC829" t="s">
        <v>31993</v>
      </c>
      <c r="DD829" t="s">
        <v>31994</v>
      </c>
      <c r="DE829" t="s">
        <v>31995</v>
      </c>
      <c r="DF829" t="s">
        <v>31996</v>
      </c>
      <c r="DG829" t="s">
        <v>31997</v>
      </c>
      <c r="DH829" t="str">
        <f>"RPL12"</f>
        <v>RPL12</v>
      </c>
      <c r="DI829" t="s">
        <v>13772</v>
      </c>
      <c r="DJ829" t="s">
        <v>13777</v>
      </c>
      <c r="DK829">
        <v>9606</v>
      </c>
      <c r="DL829" s="34" t="str">
        <f>HYPERLINK("http://www.uniprot.org/uniprot/P30050", "P30050")</f>
        <v>P30050</v>
      </c>
      <c r="DM829" t="s">
        <v>31998</v>
      </c>
      <c r="DN829" t="s">
        <v>13772</v>
      </c>
      <c r="DO829" t="s">
        <v>13772</v>
      </c>
      <c r="DP829" t="s">
        <v>13841</v>
      </c>
      <c r="DQ829" t="s">
        <v>13772</v>
      </c>
      <c r="DR829" t="s">
        <v>13772</v>
      </c>
      <c r="DS829" t="s">
        <v>13772</v>
      </c>
      <c r="DT829" t="s">
        <v>13772</v>
      </c>
      <c r="DU829" t="s">
        <v>28283</v>
      </c>
      <c r="DV829" t="s">
        <v>13991</v>
      </c>
      <c r="DW829" t="s">
        <v>13812</v>
      </c>
      <c r="DX829" t="s">
        <v>31999</v>
      </c>
      <c r="DY829" t="s">
        <v>32000</v>
      </c>
      <c r="DZ829" t="s">
        <v>32001</v>
      </c>
      <c r="EA829" t="s">
        <v>13772</v>
      </c>
      <c r="EB829" t="s">
        <v>13942</v>
      </c>
    </row>
    <row r="830" spans="1:132" hidden="1">
      <c r="A830">
        <v>1944</v>
      </c>
      <c r="B830">
        <v>1</v>
      </c>
      <c r="C830" t="s">
        <v>4581</v>
      </c>
      <c r="D830" t="s">
        <v>4582</v>
      </c>
      <c r="E830" t="s">
        <v>73</v>
      </c>
      <c r="F830" t="s">
        <v>73</v>
      </c>
      <c r="G830" t="s">
        <v>73</v>
      </c>
      <c r="H830">
        <v>11.2</v>
      </c>
      <c r="I830">
        <v>1933</v>
      </c>
      <c r="J830">
        <v>216752</v>
      </c>
      <c r="K830" t="s">
        <v>4583</v>
      </c>
      <c r="L830">
        <f t="shared" si="50"/>
        <v>35</v>
      </c>
      <c r="N830">
        <v>35</v>
      </c>
      <c r="O830">
        <v>35</v>
      </c>
      <c r="P830">
        <v>1</v>
      </c>
      <c r="Q830">
        <v>1</v>
      </c>
      <c r="R830">
        <v>5</v>
      </c>
      <c r="S830">
        <v>4</v>
      </c>
      <c r="T830">
        <v>5</v>
      </c>
      <c r="U830">
        <v>6</v>
      </c>
      <c r="V830">
        <v>5</v>
      </c>
      <c r="W830">
        <v>5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5</v>
      </c>
      <c r="AL830">
        <v>4</v>
      </c>
      <c r="AM830">
        <v>5</v>
      </c>
      <c r="AN830">
        <v>6</v>
      </c>
      <c r="AO830">
        <v>5</v>
      </c>
      <c r="AP830">
        <v>5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2</v>
      </c>
      <c r="AZ830">
        <v>1</v>
      </c>
      <c r="BA830">
        <v>0</v>
      </c>
      <c r="BB830">
        <v>0</v>
      </c>
      <c r="BC830" s="2">
        <v>1</v>
      </c>
      <c r="BD830" s="2">
        <v>5</v>
      </c>
      <c r="BE830" s="2">
        <v>4</v>
      </c>
      <c r="BF830" s="2">
        <v>5</v>
      </c>
      <c r="BG830" s="2">
        <v>6</v>
      </c>
      <c r="BH830" s="2">
        <v>5</v>
      </c>
      <c r="BI830" s="2">
        <v>5</v>
      </c>
      <c r="BJ830" s="2">
        <v>0</v>
      </c>
      <c r="BK830" s="2">
        <v>0</v>
      </c>
      <c r="BL830" s="2">
        <v>0</v>
      </c>
      <c r="BM830" s="2">
        <v>1</v>
      </c>
      <c r="BN830" s="2">
        <v>0</v>
      </c>
      <c r="BO830" s="2">
        <v>0</v>
      </c>
      <c r="BP830" s="2">
        <v>0</v>
      </c>
      <c r="BQ830" s="2">
        <v>0</v>
      </c>
      <c r="BR830" s="2">
        <v>2</v>
      </c>
      <c r="BS830" s="2">
        <v>1</v>
      </c>
      <c r="BT830" s="2">
        <v>0</v>
      </c>
      <c r="BU830" s="2">
        <v>0</v>
      </c>
      <c r="BV830" s="2">
        <f t="shared" si="53"/>
        <v>35</v>
      </c>
      <c r="BW830" s="16">
        <f t="shared" si="51"/>
        <v>1.8421052631578947</v>
      </c>
      <c r="BX830" s="16">
        <f>COUNTIF($BC$6:BU830, "=0") / COUNTIF($BC$6:BU830, "&gt;-1")</f>
        <v>0.22666666666666666</v>
      </c>
      <c r="BY830" s="18">
        <f>SUM($BC$6:BU830) / $BY$4</f>
        <v>0.91962577445798277</v>
      </c>
      <c r="BZ830" s="14">
        <f t="shared" si="52"/>
        <v>9</v>
      </c>
      <c r="CA830" t="s">
        <v>5832</v>
      </c>
      <c r="CZ830" t="s">
        <v>12235</v>
      </c>
      <c r="DA830" t="s">
        <v>5904</v>
      </c>
      <c r="DB830">
        <v>3920.6</v>
      </c>
      <c r="DC830" t="s">
        <v>32423</v>
      </c>
      <c r="DD830" t="s">
        <v>13772</v>
      </c>
      <c r="DE830" t="s">
        <v>32424</v>
      </c>
      <c r="DF830" t="s">
        <v>32425</v>
      </c>
      <c r="DG830" t="s">
        <v>32426</v>
      </c>
      <c r="DH830" t="str">
        <f>"PTPRD"</f>
        <v>PTPRD</v>
      </c>
      <c r="DI830" t="s">
        <v>13772</v>
      </c>
      <c r="DJ830" t="s">
        <v>13777</v>
      </c>
      <c r="DK830">
        <v>9606</v>
      </c>
      <c r="DL830" s="34" t="str">
        <f>HYPERLINK("http://www.uniprot.org/uniprot/P23468", "P23468")</f>
        <v>P23468</v>
      </c>
      <c r="DM830" t="s">
        <v>32427</v>
      </c>
      <c r="DN830" t="s">
        <v>13772</v>
      </c>
      <c r="DO830" t="s">
        <v>13825</v>
      </c>
      <c r="DP830" t="s">
        <v>13780</v>
      </c>
      <c r="DQ830" t="s">
        <v>13772</v>
      </c>
      <c r="DR830" t="s">
        <v>13772</v>
      </c>
      <c r="DS830" t="s">
        <v>13951</v>
      </c>
      <c r="DT830" t="s">
        <v>13772</v>
      </c>
      <c r="DU830" t="s">
        <v>17457</v>
      </c>
      <c r="DV830" t="s">
        <v>13796</v>
      </c>
      <c r="DW830" t="s">
        <v>13812</v>
      </c>
      <c r="DX830" t="s">
        <v>32428</v>
      </c>
      <c r="DY830" t="s">
        <v>32429</v>
      </c>
      <c r="DZ830" t="s">
        <v>32430</v>
      </c>
      <c r="EA830" t="s">
        <v>13772</v>
      </c>
      <c r="EB830" t="s">
        <v>32431</v>
      </c>
    </row>
    <row r="831" spans="1:132" hidden="1">
      <c r="A831">
        <v>2009</v>
      </c>
      <c r="B831">
        <v>1</v>
      </c>
      <c r="C831" t="s">
        <v>4725</v>
      </c>
      <c r="D831" t="s">
        <v>73</v>
      </c>
      <c r="E831" t="s">
        <v>73</v>
      </c>
      <c r="F831" t="s">
        <v>4726</v>
      </c>
      <c r="G831" t="s">
        <v>73</v>
      </c>
      <c r="H831">
        <v>24.7</v>
      </c>
      <c r="I831">
        <v>522</v>
      </c>
      <c r="J831">
        <v>56044</v>
      </c>
      <c r="K831" t="s">
        <v>4727</v>
      </c>
      <c r="L831">
        <f t="shared" si="50"/>
        <v>37</v>
      </c>
      <c r="N831">
        <v>37</v>
      </c>
      <c r="O831">
        <v>27</v>
      </c>
      <c r="P831">
        <v>0.73</v>
      </c>
      <c r="Q831">
        <v>0</v>
      </c>
      <c r="R831">
        <v>3</v>
      </c>
      <c r="S831">
        <v>4</v>
      </c>
      <c r="T831">
        <v>7</v>
      </c>
      <c r="U831">
        <v>6</v>
      </c>
      <c r="V831">
        <v>2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2</v>
      </c>
      <c r="AD831">
        <v>0</v>
      </c>
      <c r="AE831">
        <v>0</v>
      </c>
      <c r="AF831">
        <v>3</v>
      </c>
      <c r="AG831">
        <v>7</v>
      </c>
      <c r="AH831">
        <v>1</v>
      </c>
      <c r="AI831">
        <v>1</v>
      </c>
      <c r="AJ831">
        <v>0</v>
      </c>
      <c r="AK831">
        <v>1</v>
      </c>
      <c r="AL831">
        <v>3</v>
      </c>
      <c r="AM831">
        <v>5</v>
      </c>
      <c r="AN831">
        <v>4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2</v>
      </c>
      <c r="AW831">
        <v>0</v>
      </c>
      <c r="AX831">
        <v>0</v>
      </c>
      <c r="AY831">
        <v>2</v>
      </c>
      <c r="AZ831">
        <v>7</v>
      </c>
      <c r="BA831">
        <v>1</v>
      </c>
      <c r="BB831">
        <v>1</v>
      </c>
      <c r="BC831" s="2">
        <v>0</v>
      </c>
      <c r="BD831" s="2">
        <v>3</v>
      </c>
      <c r="BE831" s="2">
        <v>4</v>
      </c>
      <c r="BF831" s="2">
        <v>7</v>
      </c>
      <c r="BG831" s="2">
        <v>6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2</v>
      </c>
      <c r="BP831" s="2">
        <v>0</v>
      </c>
      <c r="BQ831" s="2">
        <v>0</v>
      </c>
      <c r="BR831" s="2">
        <v>2.4</v>
      </c>
      <c r="BS831" s="2">
        <v>7</v>
      </c>
      <c r="BT831" s="2">
        <v>1</v>
      </c>
      <c r="BU831" s="2">
        <v>1</v>
      </c>
      <c r="BV831" s="2">
        <f t="shared" si="53"/>
        <v>34.4</v>
      </c>
      <c r="BW831" s="16">
        <f t="shared" si="51"/>
        <v>1.8105263157894735</v>
      </c>
      <c r="BX831" s="16">
        <f>COUNTIF($BC$6:BU831, "=0") / COUNTIF($BC$6:BU831, "&gt;-1")</f>
        <v>0.22696571938320378</v>
      </c>
      <c r="BY831" s="18">
        <f>SUM($BC$6:BU831) / $BY$4</f>
        <v>0.91977313156626606</v>
      </c>
      <c r="BZ831" s="14">
        <f t="shared" si="52"/>
        <v>9</v>
      </c>
      <c r="CA831" t="s">
        <v>5832</v>
      </c>
      <c r="CZ831" t="s">
        <v>12446</v>
      </c>
      <c r="DA831" t="s">
        <v>5904</v>
      </c>
      <c r="DB831">
        <v>662.9</v>
      </c>
      <c r="DC831" t="s">
        <v>33028</v>
      </c>
      <c r="DD831" t="s">
        <v>33029</v>
      </c>
      <c r="DE831" t="s">
        <v>33030</v>
      </c>
      <c r="DF831" t="s">
        <v>33031</v>
      </c>
      <c r="DG831" t="s">
        <v>33032</v>
      </c>
      <c r="DH831" t="str">
        <f>"CEACAM1"</f>
        <v>CEACAM1</v>
      </c>
      <c r="DI831" t="s">
        <v>13772</v>
      </c>
      <c r="DJ831" t="s">
        <v>13777</v>
      </c>
      <c r="DK831">
        <v>9606</v>
      </c>
      <c r="DL831" s="34" t="str">
        <f>HYPERLINK("http://www.uniprot.org/uniprot/P13688", "P13688")</f>
        <v>P13688</v>
      </c>
      <c r="DM831" t="s">
        <v>33033</v>
      </c>
      <c r="DN831" t="s">
        <v>13772</v>
      </c>
      <c r="DO831" t="s">
        <v>33034</v>
      </c>
      <c r="DP831" t="s">
        <v>13780</v>
      </c>
      <c r="DQ831" t="s">
        <v>13772</v>
      </c>
      <c r="DR831" t="s">
        <v>13772</v>
      </c>
      <c r="DS831" t="s">
        <v>13951</v>
      </c>
      <c r="DT831" t="s">
        <v>13772</v>
      </c>
      <c r="DU831" t="s">
        <v>13772</v>
      </c>
      <c r="DV831" t="s">
        <v>22482</v>
      </c>
      <c r="DW831" t="s">
        <v>13812</v>
      </c>
      <c r="DX831" t="s">
        <v>33035</v>
      </c>
      <c r="DY831" t="s">
        <v>33036</v>
      </c>
      <c r="DZ831" t="s">
        <v>33037</v>
      </c>
      <c r="EA831" t="s">
        <v>13772</v>
      </c>
      <c r="EB831" t="s">
        <v>33038</v>
      </c>
    </row>
    <row r="832" spans="1:132" hidden="1">
      <c r="A832">
        <v>89</v>
      </c>
      <c r="B832">
        <v>1</v>
      </c>
      <c r="C832" t="s">
        <v>243</v>
      </c>
      <c r="D832" t="s">
        <v>73</v>
      </c>
      <c r="E832" t="s">
        <v>73</v>
      </c>
      <c r="F832" t="s">
        <v>244</v>
      </c>
      <c r="G832" t="s">
        <v>73</v>
      </c>
      <c r="H832">
        <v>30.4</v>
      </c>
      <c r="I832">
        <v>744</v>
      </c>
      <c r="J832">
        <v>81627</v>
      </c>
      <c r="K832" t="s">
        <v>245</v>
      </c>
      <c r="L832">
        <f t="shared" si="50"/>
        <v>35</v>
      </c>
      <c r="N832">
        <v>35</v>
      </c>
      <c r="O832">
        <v>30</v>
      </c>
      <c r="P832">
        <v>0.85699999999999998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2</v>
      </c>
      <c r="Y832">
        <v>0</v>
      </c>
      <c r="Z832">
        <v>0</v>
      </c>
      <c r="AA832">
        <v>11</v>
      </c>
      <c r="AB832">
        <v>8</v>
      </c>
      <c r="AC832">
        <v>0</v>
      </c>
      <c r="AD832">
        <v>0</v>
      </c>
      <c r="AE832">
        <v>3</v>
      </c>
      <c r="AF832">
        <v>3</v>
      </c>
      <c r="AG832">
        <v>4</v>
      </c>
      <c r="AH832">
        <v>1</v>
      </c>
      <c r="AI832">
        <v>2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2</v>
      </c>
      <c r="AR832">
        <v>0</v>
      </c>
      <c r="AS832">
        <v>0</v>
      </c>
      <c r="AT832">
        <v>8</v>
      </c>
      <c r="AU832">
        <v>7</v>
      </c>
      <c r="AV832">
        <v>0</v>
      </c>
      <c r="AW832">
        <v>0</v>
      </c>
      <c r="AX832">
        <v>3</v>
      </c>
      <c r="AY832">
        <v>2</v>
      </c>
      <c r="AZ832">
        <v>4</v>
      </c>
      <c r="BA832">
        <v>1</v>
      </c>
      <c r="BB832">
        <v>2</v>
      </c>
      <c r="BC832" s="2">
        <v>0</v>
      </c>
      <c r="BD832" s="2">
        <v>0</v>
      </c>
      <c r="BE832" s="2">
        <v>1</v>
      </c>
      <c r="BF832" s="2">
        <v>0</v>
      </c>
      <c r="BG832" s="2">
        <v>0</v>
      </c>
      <c r="BH832" s="2">
        <v>0</v>
      </c>
      <c r="BI832" s="2">
        <v>0</v>
      </c>
      <c r="BJ832" s="2">
        <v>2</v>
      </c>
      <c r="BK832" s="2">
        <v>0</v>
      </c>
      <c r="BL832" s="2">
        <v>0</v>
      </c>
      <c r="BM832" s="2">
        <v>10.667</v>
      </c>
      <c r="BN832" s="2">
        <v>7.5830000000000002</v>
      </c>
      <c r="BO832" s="2">
        <v>0</v>
      </c>
      <c r="BP832" s="2">
        <v>0</v>
      </c>
      <c r="BQ832" s="2">
        <v>3</v>
      </c>
      <c r="BR832" s="2">
        <v>3</v>
      </c>
      <c r="BS832" s="2">
        <v>4</v>
      </c>
      <c r="BT832" s="2">
        <v>1</v>
      </c>
      <c r="BU832" s="2">
        <v>2</v>
      </c>
      <c r="BV832" s="2">
        <f t="shared" si="53"/>
        <v>34.25</v>
      </c>
      <c r="BW832" s="16">
        <f t="shared" si="51"/>
        <v>1.8026315789473684</v>
      </c>
      <c r="BX832" s="16">
        <f>COUNTIF($BC$6:BU832, "=0") / COUNTIF($BC$6:BU832, "&gt;-1")</f>
        <v>0.22732769044740025</v>
      </c>
      <c r="BY832" s="18">
        <f>SUM($BC$6:BU832) / $BY$4</f>
        <v>0.91991984612901911</v>
      </c>
      <c r="BZ832" s="14">
        <f t="shared" si="52"/>
        <v>10</v>
      </c>
      <c r="CA832" t="s">
        <v>5832</v>
      </c>
      <c r="CZ832" t="s">
        <v>6006</v>
      </c>
      <c r="DA832" t="s">
        <v>5904</v>
      </c>
      <c r="DB832">
        <v>1515</v>
      </c>
      <c r="DC832" t="s">
        <v>14173</v>
      </c>
      <c r="DD832" t="s">
        <v>14174</v>
      </c>
      <c r="DE832" t="s">
        <v>14175</v>
      </c>
      <c r="DF832" t="s">
        <v>14176</v>
      </c>
      <c r="DG832" t="s">
        <v>14177</v>
      </c>
      <c r="DH832" t="str">
        <f>"JUP"</f>
        <v>JUP</v>
      </c>
      <c r="DI832" t="s">
        <v>14178</v>
      </c>
      <c r="DJ832" t="s">
        <v>13777</v>
      </c>
      <c r="DK832">
        <v>9606</v>
      </c>
      <c r="DL832" s="34" t="str">
        <f>HYPERLINK("http://www.uniprot.org/uniprot/P14923", "P14923")</f>
        <v>P14923</v>
      </c>
      <c r="DM832" t="s">
        <v>14179</v>
      </c>
      <c r="DN832" t="s">
        <v>13949</v>
      </c>
      <c r="DO832" t="s">
        <v>14180</v>
      </c>
      <c r="DP832" t="s">
        <v>13793</v>
      </c>
      <c r="DQ832" t="s">
        <v>13772</v>
      </c>
      <c r="DR832" t="s">
        <v>14181</v>
      </c>
      <c r="DS832" t="s">
        <v>14096</v>
      </c>
      <c r="DT832" t="s">
        <v>13772</v>
      </c>
      <c r="DU832" t="s">
        <v>13772</v>
      </c>
      <c r="DV832" t="s">
        <v>14182</v>
      </c>
      <c r="DW832" t="s">
        <v>13812</v>
      </c>
      <c r="DX832" t="s">
        <v>14183</v>
      </c>
      <c r="DY832" t="s">
        <v>14184</v>
      </c>
      <c r="DZ832" t="s">
        <v>14185</v>
      </c>
      <c r="EA832" t="s">
        <v>13772</v>
      </c>
      <c r="EB832" t="s">
        <v>14186</v>
      </c>
    </row>
    <row r="833" spans="1:132" hidden="1">
      <c r="A833">
        <v>214</v>
      </c>
      <c r="B833">
        <v>1</v>
      </c>
      <c r="C833" t="s">
        <v>541</v>
      </c>
      <c r="D833" t="s">
        <v>73</v>
      </c>
      <c r="E833" t="s">
        <v>73</v>
      </c>
      <c r="F833" t="s">
        <v>542</v>
      </c>
      <c r="G833" t="s">
        <v>73</v>
      </c>
      <c r="H833">
        <v>28.4</v>
      </c>
      <c r="I833">
        <v>451</v>
      </c>
      <c r="J833">
        <v>50610</v>
      </c>
      <c r="K833" t="s">
        <v>543</v>
      </c>
      <c r="L833">
        <f t="shared" si="50"/>
        <v>39</v>
      </c>
      <c r="N833">
        <v>39</v>
      </c>
      <c r="O833">
        <v>33</v>
      </c>
      <c r="P833">
        <v>0.84599999999999997</v>
      </c>
      <c r="Q833">
        <v>1</v>
      </c>
      <c r="R833">
        <v>5</v>
      </c>
      <c r="S833">
        <v>0</v>
      </c>
      <c r="T833">
        <v>1</v>
      </c>
      <c r="U833">
        <v>6</v>
      </c>
      <c r="V833">
        <v>2</v>
      </c>
      <c r="W833">
        <v>0</v>
      </c>
      <c r="X833">
        <v>6</v>
      </c>
      <c r="Y833">
        <v>0</v>
      </c>
      <c r="Z833">
        <v>0</v>
      </c>
      <c r="AA833">
        <v>4</v>
      </c>
      <c r="AB833">
        <v>4</v>
      </c>
      <c r="AC833">
        <v>2</v>
      </c>
      <c r="AD833">
        <v>0</v>
      </c>
      <c r="AE833">
        <v>3</v>
      </c>
      <c r="AF833">
        <v>5</v>
      </c>
      <c r="AG833">
        <v>0</v>
      </c>
      <c r="AH833">
        <v>0</v>
      </c>
      <c r="AI833">
        <v>0</v>
      </c>
      <c r="AJ833">
        <v>0</v>
      </c>
      <c r="AK833">
        <v>4</v>
      </c>
      <c r="AL833">
        <v>0</v>
      </c>
      <c r="AM833">
        <v>1</v>
      </c>
      <c r="AN833">
        <v>5</v>
      </c>
      <c r="AO833">
        <v>1</v>
      </c>
      <c r="AP833">
        <v>0</v>
      </c>
      <c r="AQ833">
        <v>5</v>
      </c>
      <c r="AR833">
        <v>0</v>
      </c>
      <c r="AS833">
        <v>0</v>
      </c>
      <c r="AT833">
        <v>3</v>
      </c>
      <c r="AU833">
        <v>4</v>
      </c>
      <c r="AV833">
        <v>2</v>
      </c>
      <c r="AW833">
        <v>0</v>
      </c>
      <c r="AX833">
        <v>3</v>
      </c>
      <c r="AY833">
        <v>5</v>
      </c>
      <c r="AZ833">
        <v>0</v>
      </c>
      <c r="BA833">
        <v>0</v>
      </c>
      <c r="BB833">
        <v>0</v>
      </c>
      <c r="BC833" s="2">
        <v>0</v>
      </c>
      <c r="BD833" s="2">
        <v>4.2110000000000003</v>
      </c>
      <c r="BE833" s="2">
        <v>0</v>
      </c>
      <c r="BF833" s="2">
        <v>1</v>
      </c>
      <c r="BG833" s="2">
        <v>5.2169999999999996</v>
      </c>
      <c r="BH833" s="2">
        <v>1.071</v>
      </c>
      <c r="BI833" s="2">
        <v>0</v>
      </c>
      <c r="BJ833" s="2">
        <v>5.5</v>
      </c>
      <c r="BK833" s="2">
        <v>0</v>
      </c>
      <c r="BL833" s="2">
        <v>0</v>
      </c>
      <c r="BM833" s="2">
        <v>3.1880000000000002</v>
      </c>
      <c r="BN833" s="2">
        <v>4</v>
      </c>
      <c r="BO833" s="2">
        <v>2</v>
      </c>
      <c r="BP833" s="2">
        <v>0</v>
      </c>
      <c r="BQ833" s="2">
        <v>3</v>
      </c>
      <c r="BR833" s="2">
        <v>5</v>
      </c>
      <c r="BS833" s="2">
        <v>0</v>
      </c>
      <c r="BT833" s="2">
        <v>0</v>
      </c>
      <c r="BU833" s="2">
        <v>0</v>
      </c>
      <c r="BV833" s="2">
        <f t="shared" si="53"/>
        <v>34.186999999999998</v>
      </c>
      <c r="BW833" s="16">
        <f t="shared" si="51"/>
        <v>1.799315789473684</v>
      </c>
      <c r="BX833" s="16">
        <f>COUNTIF($BC$6:BU833, "=0") / COUNTIF($BC$6:BU833, "&gt;-1")</f>
        <v>0.22762522247648106</v>
      </c>
      <c r="BY833" s="18">
        <f>SUM($BC$6:BU833) / $BY$4</f>
        <v>0.92006629082264935</v>
      </c>
      <c r="BZ833" s="14">
        <f t="shared" si="52"/>
        <v>9</v>
      </c>
      <c r="CA833" t="s">
        <v>5832</v>
      </c>
      <c r="CZ833" t="s">
        <v>6436</v>
      </c>
      <c r="DA833" t="s">
        <v>5904</v>
      </c>
      <c r="DB833">
        <v>907.5</v>
      </c>
      <c r="DC833" t="s">
        <v>15608</v>
      </c>
      <c r="DD833" t="s">
        <v>15609</v>
      </c>
      <c r="DE833" t="s">
        <v>15610</v>
      </c>
      <c r="DF833" t="s">
        <v>15611</v>
      </c>
      <c r="DG833" t="s">
        <v>15612</v>
      </c>
      <c r="DH833" t="str">
        <f>"IDH2"</f>
        <v>IDH2</v>
      </c>
      <c r="DI833" t="s">
        <v>13772</v>
      </c>
      <c r="DJ833" t="s">
        <v>13777</v>
      </c>
      <c r="DK833">
        <v>9606</v>
      </c>
      <c r="DL833" s="34" t="str">
        <f>HYPERLINK("http://www.uniprot.org/uniprot/P48735", "P48735")</f>
        <v>P48735</v>
      </c>
      <c r="DM833" t="s">
        <v>15613</v>
      </c>
      <c r="DN833" t="s">
        <v>15614</v>
      </c>
      <c r="DO833" t="s">
        <v>14491</v>
      </c>
      <c r="DP833" t="s">
        <v>13841</v>
      </c>
      <c r="DQ833" t="s">
        <v>13772</v>
      </c>
      <c r="DR833" t="s">
        <v>13807</v>
      </c>
      <c r="DS833" t="s">
        <v>14391</v>
      </c>
      <c r="DT833" t="s">
        <v>15615</v>
      </c>
      <c r="DU833" t="s">
        <v>13885</v>
      </c>
      <c r="DV833" t="s">
        <v>14020</v>
      </c>
      <c r="DW833" t="s">
        <v>13812</v>
      </c>
      <c r="DX833" t="s">
        <v>15616</v>
      </c>
      <c r="DY833" t="s">
        <v>15617</v>
      </c>
      <c r="DZ833" t="s">
        <v>15618</v>
      </c>
      <c r="EA833" t="s">
        <v>13772</v>
      </c>
      <c r="EB833" t="s">
        <v>15619</v>
      </c>
    </row>
    <row r="834" spans="1:132" hidden="1">
      <c r="A834">
        <v>563</v>
      </c>
      <c r="B834">
        <v>1</v>
      </c>
      <c r="C834" t="s">
        <v>1404</v>
      </c>
      <c r="D834" t="s">
        <v>73</v>
      </c>
      <c r="E834" t="s">
        <v>73</v>
      </c>
      <c r="F834" t="s">
        <v>73</v>
      </c>
      <c r="G834" t="s">
        <v>73</v>
      </c>
      <c r="H834">
        <v>21</v>
      </c>
      <c r="I834">
        <v>420</v>
      </c>
      <c r="J834">
        <v>45922</v>
      </c>
      <c r="K834" t="s">
        <v>1405</v>
      </c>
      <c r="L834">
        <f t="shared" si="50"/>
        <v>34</v>
      </c>
      <c r="N834">
        <v>34</v>
      </c>
      <c r="O834">
        <v>34</v>
      </c>
      <c r="P834">
        <v>1</v>
      </c>
      <c r="Q834">
        <v>4</v>
      </c>
      <c r="R834">
        <v>4</v>
      </c>
      <c r="S834">
        <v>5</v>
      </c>
      <c r="T834">
        <v>3</v>
      </c>
      <c r="U834">
        <v>7</v>
      </c>
      <c r="V834">
        <v>2</v>
      </c>
      <c r="W834">
        <v>6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</v>
      </c>
      <c r="AK834">
        <v>4</v>
      </c>
      <c r="AL834">
        <v>5</v>
      </c>
      <c r="AM834">
        <v>3</v>
      </c>
      <c r="AN834">
        <v>7</v>
      </c>
      <c r="AO834">
        <v>2</v>
      </c>
      <c r="AP834">
        <v>6</v>
      </c>
      <c r="AQ834">
        <v>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 s="2">
        <v>4</v>
      </c>
      <c r="BD834" s="2">
        <v>4</v>
      </c>
      <c r="BE834" s="2">
        <v>5</v>
      </c>
      <c r="BF834" s="2">
        <v>3</v>
      </c>
      <c r="BG834" s="2">
        <v>7</v>
      </c>
      <c r="BH834" s="2">
        <v>2</v>
      </c>
      <c r="BI834" s="2">
        <v>6</v>
      </c>
      <c r="BJ834" s="2">
        <v>3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f t="shared" si="53"/>
        <v>34</v>
      </c>
      <c r="BW834" s="16">
        <f t="shared" si="51"/>
        <v>1.7894736842105263</v>
      </c>
      <c r="BX834" s="16">
        <f>COUNTIF($BC$6:BU834, "=0") / COUNTIF($BC$6:BU834, "&gt;-1")</f>
        <v>0.22804901276109454</v>
      </c>
      <c r="BY834" s="18">
        <f>SUM($BC$6:BU834) / $BY$4</f>
        <v>0.92021193447618521</v>
      </c>
      <c r="BZ834" s="14">
        <f t="shared" si="52"/>
        <v>11</v>
      </c>
      <c r="CA834" t="s">
        <v>5832</v>
      </c>
      <c r="CZ834" t="s">
        <v>7647</v>
      </c>
      <c r="DA834" t="s">
        <v>5904</v>
      </c>
      <c r="DB834">
        <v>810.1</v>
      </c>
      <c r="DC834" t="s">
        <v>19322</v>
      </c>
      <c r="DD834" t="s">
        <v>19323</v>
      </c>
      <c r="DE834" t="s">
        <v>19324</v>
      </c>
      <c r="DF834" t="s">
        <v>19325</v>
      </c>
      <c r="DG834" t="s">
        <v>19326</v>
      </c>
      <c r="DH834" t="str">
        <f>"RTN4RL2"</f>
        <v>RTN4RL2</v>
      </c>
      <c r="DI834" t="s">
        <v>13772</v>
      </c>
      <c r="DJ834" t="s">
        <v>13777</v>
      </c>
      <c r="DK834">
        <v>9606</v>
      </c>
      <c r="DL834" s="34" t="str">
        <f>HYPERLINK("http://www.uniprot.org/uniprot/Q86UN3", "Q86UN3")</f>
        <v>Q86UN3</v>
      </c>
      <c r="DM834" t="s">
        <v>19327</v>
      </c>
      <c r="DN834" t="s">
        <v>13772</v>
      </c>
      <c r="DO834" t="s">
        <v>15856</v>
      </c>
      <c r="DP834" t="s">
        <v>13841</v>
      </c>
      <c r="DQ834" t="s">
        <v>13772</v>
      </c>
      <c r="DR834" t="s">
        <v>13772</v>
      </c>
      <c r="DS834" t="s">
        <v>19328</v>
      </c>
      <c r="DT834" t="s">
        <v>13772</v>
      </c>
      <c r="DU834" t="s">
        <v>13795</v>
      </c>
      <c r="DV834" t="s">
        <v>15699</v>
      </c>
      <c r="DW834" t="s">
        <v>13772</v>
      </c>
      <c r="DX834" t="s">
        <v>19329</v>
      </c>
      <c r="DY834" t="s">
        <v>19330</v>
      </c>
      <c r="DZ834" t="s">
        <v>19331</v>
      </c>
      <c r="EA834" t="s">
        <v>13772</v>
      </c>
      <c r="EB834" t="s">
        <v>16280</v>
      </c>
    </row>
    <row r="835" spans="1:132" hidden="1">
      <c r="A835">
        <v>663</v>
      </c>
      <c r="B835">
        <v>1</v>
      </c>
      <c r="C835" t="s">
        <v>1635</v>
      </c>
      <c r="D835" t="s">
        <v>73</v>
      </c>
      <c r="E835" t="s">
        <v>73</v>
      </c>
      <c r="F835" t="s">
        <v>73</v>
      </c>
      <c r="G835" t="s">
        <v>73</v>
      </c>
      <c r="H835">
        <v>23.7</v>
      </c>
      <c r="I835">
        <v>472</v>
      </c>
      <c r="J835">
        <v>52183</v>
      </c>
      <c r="K835" t="s">
        <v>1636</v>
      </c>
      <c r="L835">
        <f t="shared" si="50"/>
        <v>34</v>
      </c>
      <c r="N835">
        <v>34</v>
      </c>
      <c r="O835">
        <v>34</v>
      </c>
      <c r="P835">
        <v>1</v>
      </c>
      <c r="Q835">
        <v>2</v>
      </c>
      <c r="R835">
        <v>0</v>
      </c>
      <c r="S835">
        <v>1</v>
      </c>
      <c r="T835">
        <v>2</v>
      </c>
      <c r="U835">
        <v>4</v>
      </c>
      <c r="V835">
        <v>5</v>
      </c>
      <c r="W835">
        <v>5</v>
      </c>
      <c r="X835">
        <v>8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2</v>
      </c>
      <c r="AG835">
        <v>1</v>
      </c>
      <c r="AH835">
        <v>0</v>
      </c>
      <c r="AI835">
        <v>1</v>
      </c>
      <c r="AJ835">
        <v>2</v>
      </c>
      <c r="AK835">
        <v>0</v>
      </c>
      <c r="AL835">
        <v>1</v>
      </c>
      <c r="AM835">
        <v>2</v>
      </c>
      <c r="AN835">
        <v>4</v>
      </c>
      <c r="AO835">
        <v>5</v>
      </c>
      <c r="AP835">
        <v>5</v>
      </c>
      <c r="AQ835">
        <v>8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2</v>
      </c>
      <c r="AZ835">
        <v>1</v>
      </c>
      <c r="BA835">
        <v>0</v>
      </c>
      <c r="BB835">
        <v>1</v>
      </c>
      <c r="BC835" s="2">
        <v>2</v>
      </c>
      <c r="BD835" s="2">
        <v>0</v>
      </c>
      <c r="BE835" s="2">
        <v>1</v>
      </c>
      <c r="BF835" s="2">
        <v>2</v>
      </c>
      <c r="BG835" s="2">
        <v>4</v>
      </c>
      <c r="BH835" s="2">
        <v>5</v>
      </c>
      <c r="BI835" s="2">
        <v>5</v>
      </c>
      <c r="BJ835" s="2">
        <v>8</v>
      </c>
      <c r="BK835" s="2">
        <v>0</v>
      </c>
      <c r="BL835" s="2">
        <v>0</v>
      </c>
      <c r="BM835" s="2">
        <v>1</v>
      </c>
      <c r="BN835" s="2">
        <v>1</v>
      </c>
      <c r="BO835" s="2">
        <v>0</v>
      </c>
      <c r="BP835" s="2">
        <v>0</v>
      </c>
      <c r="BQ835" s="2">
        <v>1</v>
      </c>
      <c r="BR835" s="2">
        <v>2</v>
      </c>
      <c r="BS835" s="2">
        <v>1</v>
      </c>
      <c r="BT835" s="2">
        <v>0</v>
      </c>
      <c r="BU835" s="2">
        <v>1</v>
      </c>
      <c r="BV835" s="2">
        <f t="shared" si="53"/>
        <v>34</v>
      </c>
      <c r="BW835" s="16">
        <f t="shared" si="51"/>
        <v>1.7894736842105263</v>
      </c>
      <c r="BX835" s="16">
        <f>COUNTIF($BC$6:BU835, "=0") / COUNTIF($BC$6:BU835, "&gt;-1")</f>
        <v>0.2281547241597971</v>
      </c>
      <c r="BY835" s="18">
        <f>SUM($BC$6:BU835) / $BY$4</f>
        <v>0.92035757812972097</v>
      </c>
      <c r="BZ835" s="14">
        <f t="shared" si="52"/>
        <v>6</v>
      </c>
      <c r="CA835" t="s">
        <v>5832</v>
      </c>
      <c r="CZ835" t="s">
        <v>7979</v>
      </c>
      <c r="DA835" t="s">
        <v>5904</v>
      </c>
      <c r="DB835">
        <v>859</v>
      </c>
      <c r="DC835" t="s">
        <v>20315</v>
      </c>
      <c r="DD835" t="s">
        <v>20316</v>
      </c>
      <c r="DE835" t="s">
        <v>20317</v>
      </c>
      <c r="DF835" t="s">
        <v>20318</v>
      </c>
      <c r="DG835" t="s">
        <v>20319</v>
      </c>
      <c r="DH835" t="str">
        <f>"CPQ"</f>
        <v>CPQ</v>
      </c>
      <c r="DI835" t="s">
        <v>20320</v>
      </c>
      <c r="DJ835" t="s">
        <v>13777</v>
      </c>
      <c r="DK835">
        <v>9606</v>
      </c>
      <c r="DL835" s="34" t="str">
        <f>HYPERLINK("http://www.uniprot.org/uniprot/Q9Y646", "Q9Y646")</f>
        <v>Q9Y646</v>
      </c>
      <c r="DM835" t="s">
        <v>20321</v>
      </c>
      <c r="DN835" t="s">
        <v>13772</v>
      </c>
      <c r="DO835" t="s">
        <v>20322</v>
      </c>
      <c r="DP835" t="s">
        <v>13793</v>
      </c>
      <c r="DQ835" t="s">
        <v>13772</v>
      </c>
      <c r="DR835" t="s">
        <v>13772</v>
      </c>
      <c r="DS835" t="s">
        <v>13808</v>
      </c>
      <c r="DT835" t="s">
        <v>13856</v>
      </c>
      <c r="DU835" t="s">
        <v>16539</v>
      </c>
      <c r="DV835" t="s">
        <v>20323</v>
      </c>
      <c r="DW835" t="s">
        <v>13772</v>
      </c>
      <c r="DX835" t="s">
        <v>20324</v>
      </c>
      <c r="DY835" t="s">
        <v>20325</v>
      </c>
      <c r="DZ835" t="s">
        <v>20326</v>
      </c>
      <c r="EA835" t="s">
        <v>13772</v>
      </c>
      <c r="EB835" t="s">
        <v>13772</v>
      </c>
    </row>
    <row r="836" spans="1:132" hidden="1">
      <c r="A836">
        <v>1002</v>
      </c>
      <c r="B836">
        <v>1</v>
      </c>
      <c r="C836" t="s">
        <v>2430</v>
      </c>
      <c r="D836" t="s">
        <v>73</v>
      </c>
      <c r="E836" t="s">
        <v>73</v>
      </c>
      <c r="F836" t="s">
        <v>73</v>
      </c>
      <c r="G836" t="s">
        <v>73</v>
      </c>
      <c r="H836">
        <v>24.8</v>
      </c>
      <c r="I836">
        <v>674</v>
      </c>
      <c r="J836">
        <v>73974</v>
      </c>
      <c r="K836" t="s">
        <v>2431</v>
      </c>
      <c r="L836">
        <f t="shared" si="50"/>
        <v>34</v>
      </c>
      <c r="N836">
        <v>34</v>
      </c>
      <c r="O836">
        <v>34</v>
      </c>
      <c r="P836">
        <v>1</v>
      </c>
      <c r="Q836">
        <v>4</v>
      </c>
      <c r="R836">
        <v>6</v>
      </c>
      <c r="S836">
        <v>2</v>
      </c>
      <c r="T836">
        <v>7</v>
      </c>
      <c r="U836">
        <v>6</v>
      </c>
      <c r="V836">
        <v>6</v>
      </c>
      <c r="W836">
        <v>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</v>
      </c>
      <c r="AK836">
        <v>6</v>
      </c>
      <c r="AL836">
        <v>2</v>
      </c>
      <c r="AM836">
        <v>7</v>
      </c>
      <c r="AN836">
        <v>6</v>
      </c>
      <c r="AO836">
        <v>6</v>
      </c>
      <c r="AP836">
        <v>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 s="2">
        <v>4</v>
      </c>
      <c r="BD836" s="2">
        <v>6</v>
      </c>
      <c r="BE836" s="2">
        <v>2</v>
      </c>
      <c r="BF836" s="2">
        <v>7</v>
      </c>
      <c r="BG836" s="2">
        <v>6</v>
      </c>
      <c r="BH836" s="2">
        <v>6</v>
      </c>
      <c r="BI836" s="2">
        <v>3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f t="shared" si="53"/>
        <v>34</v>
      </c>
      <c r="BW836" s="16">
        <f t="shared" si="51"/>
        <v>1.7894736842105263</v>
      </c>
      <c r="BX836" s="16">
        <f>COUNTIF($BC$6:BU836, "=0") / COUNTIF($BC$6:BU836, "&gt;-1")</f>
        <v>0.2286401925391095</v>
      </c>
      <c r="BY836" s="18">
        <f>SUM($BC$6:BU836) / $BY$4</f>
        <v>0.92050322178325683</v>
      </c>
      <c r="BZ836" s="14">
        <f t="shared" si="52"/>
        <v>12</v>
      </c>
      <c r="CA836" t="s">
        <v>5832</v>
      </c>
      <c r="CZ836" t="s">
        <v>9121</v>
      </c>
      <c r="DA836" t="s">
        <v>5904</v>
      </c>
      <c r="DB836">
        <v>1140.2</v>
      </c>
      <c r="DC836" t="s">
        <v>23622</v>
      </c>
      <c r="DD836" t="s">
        <v>23623</v>
      </c>
      <c r="DE836" t="s">
        <v>23624</v>
      </c>
      <c r="DF836" t="s">
        <v>23625</v>
      </c>
      <c r="DG836" t="s">
        <v>23626</v>
      </c>
      <c r="DH836" t="str">
        <f>"GAS6"</f>
        <v>GAS6</v>
      </c>
      <c r="DI836" t="s">
        <v>23627</v>
      </c>
      <c r="DJ836" t="s">
        <v>13777</v>
      </c>
      <c r="DK836">
        <v>9606</v>
      </c>
      <c r="DL836" s="34" t="str">
        <f>HYPERLINK("http://www.uniprot.org/uniprot/Q14393", "Q14393")</f>
        <v>Q14393</v>
      </c>
      <c r="DM836" t="s">
        <v>23628</v>
      </c>
      <c r="DN836" t="s">
        <v>23629</v>
      </c>
      <c r="DO836" t="s">
        <v>14321</v>
      </c>
      <c r="DP836" t="s">
        <v>13780</v>
      </c>
      <c r="DQ836" t="s">
        <v>13772</v>
      </c>
      <c r="DR836" t="s">
        <v>13772</v>
      </c>
      <c r="DS836" t="s">
        <v>14768</v>
      </c>
      <c r="DT836" t="s">
        <v>13873</v>
      </c>
      <c r="DU836" t="s">
        <v>13772</v>
      </c>
      <c r="DV836" t="s">
        <v>23630</v>
      </c>
      <c r="DW836" t="s">
        <v>13812</v>
      </c>
      <c r="DX836" t="s">
        <v>23631</v>
      </c>
      <c r="DY836" t="s">
        <v>23632</v>
      </c>
      <c r="DZ836" t="s">
        <v>23633</v>
      </c>
      <c r="EA836" t="s">
        <v>13772</v>
      </c>
      <c r="EB836" t="s">
        <v>23634</v>
      </c>
    </row>
    <row r="837" spans="1:132" hidden="1">
      <c r="A837">
        <v>1017</v>
      </c>
      <c r="B837">
        <v>1</v>
      </c>
      <c r="C837" t="s">
        <v>2459</v>
      </c>
      <c r="D837" t="s">
        <v>73</v>
      </c>
      <c r="E837" t="s">
        <v>73</v>
      </c>
      <c r="F837" t="s">
        <v>73</v>
      </c>
      <c r="G837" t="s">
        <v>73</v>
      </c>
      <c r="H837">
        <v>61.8</v>
      </c>
      <c r="I837">
        <v>102</v>
      </c>
      <c r="J837">
        <v>10932</v>
      </c>
      <c r="K837" t="s">
        <v>2460</v>
      </c>
      <c r="L837">
        <f t="shared" si="50"/>
        <v>34</v>
      </c>
      <c r="N837">
        <v>34</v>
      </c>
      <c r="O837">
        <v>34</v>
      </c>
      <c r="P837">
        <v>1</v>
      </c>
      <c r="Q837">
        <v>0</v>
      </c>
      <c r="R837">
        <v>3</v>
      </c>
      <c r="S837">
        <v>0</v>
      </c>
      <c r="T837">
        <v>0</v>
      </c>
      <c r="U837">
        <v>2</v>
      </c>
      <c r="V837">
        <v>3</v>
      </c>
      <c r="W837">
        <v>0</v>
      </c>
      <c r="X837">
        <v>3</v>
      </c>
      <c r="Y837">
        <v>5</v>
      </c>
      <c r="Z837">
        <v>0</v>
      </c>
      <c r="AA837">
        <v>1</v>
      </c>
      <c r="AB837">
        <v>4</v>
      </c>
      <c r="AC837">
        <v>2</v>
      </c>
      <c r="AD837">
        <v>0</v>
      </c>
      <c r="AE837">
        <v>2</v>
      </c>
      <c r="AF837">
        <v>3</v>
      </c>
      <c r="AG837">
        <v>5</v>
      </c>
      <c r="AH837">
        <v>0</v>
      </c>
      <c r="AI837">
        <v>1</v>
      </c>
      <c r="AJ837">
        <v>0</v>
      </c>
      <c r="AK837">
        <v>3</v>
      </c>
      <c r="AL837">
        <v>0</v>
      </c>
      <c r="AM837">
        <v>0</v>
      </c>
      <c r="AN837">
        <v>2</v>
      </c>
      <c r="AO837">
        <v>3</v>
      </c>
      <c r="AP837">
        <v>0</v>
      </c>
      <c r="AQ837">
        <v>3</v>
      </c>
      <c r="AR837">
        <v>5</v>
      </c>
      <c r="AS837">
        <v>0</v>
      </c>
      <c r="AT837">
        <v>1</v>
      </c>
      <c r="AU837">
        <v>4</v>
      </c>
      <c r="AV837">
        <v>2</v>
      </c>
      <c r="AW837">
        <v>0</v>
      </c>
      <c r="AX837">
        <v>2</v>
      </c>
      <c r="AY837">
        <v>3</v>
      </c>
      <c r="AZ837">
        <v>5</v>
      </c>
      <c r="BA837">
        <v>0</v>
      </c>
      <c r="BB837">
        <v>1</v>
      </c>
      <c r="BC837" s="2">
        <v>0</v>
      </c>
      <c r="BD837" s="2">
        <v>3</v>
      </c>
      <c r="BE837" s="2">
        <v>0</v>
      </c>
      <c r="BF837" s="2">
        <v>0</v>
      </c>
      <c r="BG837" s="2">
        <v>2</v>
      </c>
      <c r="BH837" s="2">
        <v>3</v>
      </c>
      <c r="BI837" s="2">
        <v>0</v>
      </c>
      <c r="BJ837" s="2">
        <v>3</v>
      </c>
      <c r="BK837" s="2">
        <v>5</v>
      </c>
      <c r="BL837" s="2">
        <v>0</v>
      </c>
      <c r="BM837" s="2">
        <v>1</v>
      </c>
      <c r="BN837" s="2">
        <v>4</v>
      </c>
      <c r="BO837" s="2">
        <v>2</v>
      </c>
      <c r="BP837" s="2">
        <v>0</v>
      </c>
      <c r="BQ837" s="2">
        <v>2</v>
      </c>
      <c r="BR837" s="2">
        <v>3</v>
      </c>
      <c r="BS837" s="2">
        <v>5</v>
      </c>
      <c r="BT837" s="2">
        <v>0</v>
      </c>
      <c r="BU837" s="2">
        <v>1</v>
      </c>
      <c r="BV837" s="2">
        <f t="shared" si="53"/>
        <v>34</v>
      </c>
      <c r="BW837" s="16">
        <f t="shared" si="51"/>
        <v>1.7894736842105263</v>
      </c>
      <c r="BX837" s="16">
        <f>COUNTIF($BC$6:BU837, "=0") / COUNTIF($BC$6:BU837, "&gt;-1")</f>
        <v>0.22880819838056679</v>
      </c>
      <c r="BY837" s="18">
        <f>SUM($BC$6:BU837) / $BY$4</f>
        <v>0.92064886543679259</v>
      </c>
      <c r="BZ837" s="14">
        <f t="shared" si="52"/>
        <v>7</v>
      </c>
      <c r="CA837" t="s">
        <v>5832</v>
      </c>
      <c r="CZ837" t="s">
        <v>9164</v>
      </c>
      <c r="DA837" t="s">
        <v>5904</v>
      </c>
      <c r="DB837">
        <v>199.5</v>
      </c>
      <c r="DC837" t="s">
        <v>23752</v>
      </c>
      <c r="DD837" t="s">
        <v>23753</v>
      </c>
      <c r="DE837" t="s">
        <v>23754</v>
      </c>
      <c r="DF837" t="s">
        <v>23755</v>
      </c>
      <c r="DG837" t="s">
        <v>23756</v>
      </c>
      <c r="DH837" t="str">
        <f>"HSPE1"</f>
        <v>HSPE1</v>
      </c>
      <c r="DI837" t="s">
        <v>13772</v>
      </c>
      <c r="DJ837" t="s">
        <v>13777</v>
      </c>
      <c r="DK837">
        <v>9606</v>
      </c>
      <c r="DL837" s="34" t="str">
        <f>HYPERLINK("http://www.uniprot.org/uniprot/P61604", "P61604")</f>
        <v>P61604</v>
      </c>
      <c r="DM837" t="s">
        <v>23757</v>
      </c>
      <c r="DN837" t="s">
        <v>15280</v>
      </c>
      <c r="DO837" t="s">
        <v>14491</v>
      </c>
      <c r="DP837" t="s">
        <v>13772</v>
      </c>
      <c r="DQ837" t="s">
        <v>13772</v>
      </c>
      <c r="DR837" t="s">
        <v>13772</v>
      </c>
      <c r="DS837" t="s">
        <v>13772</v>
      </c>
      <c r="DT837" t="s">
        <v>13772</v>
      </c>
      <c r="DU837" t="s">
        <v>14477</v>
      </c>
      <c r="DV837" t="s">
        <v>13886</v>
      </c>
      <c r="DW837" t="s">
        <v>13812</v>
      </c>
      <c r="DX837" t="s">
        <v>23758</v>
      </c>
      <c r="DY837" t="s">
        <v>23759</v>
      </c>
      <c r="DZ837" t="s">
        <v>23760</v>
      </c>
      <c r="EA837" t="s">
        <v>13772</v>
      </c>
      <c r="EB837" t="s">
        <v>13772</v>
      </c>
    </row>
    <row r="838" spans="1:132" hidden="1">
      <c r="A838">
        <v>1280</v>
      </c>
      <c r="B838">
        <v>1</v>
      </c>
      <c r="C838" t="s">
        <v>3070</v>
      </c>
      <c r="D838" t="s">
        <v>3071</v>
      </c>
      <c r="E838" t="s">
        <v>73</v>
      </c>
      <c r="F838" t="s">
        <v>73</v>
      </c>
      <c r="G838" t="s">
        <v>73</v>
      </c>
      <c r="H838">
        <v>36.799999999999997</v>
      </c>
      <c r="I838">
        <v>125</v>
      </c>
      <c r="J838">
        <v>14411</v>
      </c>
      <c r="K838" t="s">
        <v>3072</v>
      </c>
      <c r="L838">
        <f t="shared" ref="L838:L901" si="54">N838</f>
        <v>34</v>
      </c>
      <c r="N838">
        <v>34</v>
      </c>
      <c r="O838">
        <v>34</v>
      </c>
      <c r="P838">
        <v>1</v>
      </c>
      <c r="Q838">
        <v>4</v>
      </c>
      <c r="R838">
        <v>6</v>
      </c>
      <c r="S838">
        <v>8</v>
      </c>
      <c r="T838">
        <v>2</v>
      </c>
      <c r="U838">
        <v>2</v>
      </c>
      <c r="V838">
        <v>3</v>
      </c>
      <c r="W838">
        <v>2</v>
      </c>
      <c r="X838">
        <v>2</v>
      </c>
      <c r="Y838">
        <v>0</v>
      </c>
      <c r="Z838">
        <v>0</v>
      </c>
      <c r="AA838">
        <v>1</v>
      </c>
      <c r="AB838">
        <v>2</v>
      </c>
      <c r="AC838">
        <v>1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4</v>
      </c>
      <c r="AK838">
        <v>6</v>
      </c>
      <c r="AL838">
        <v>8</v>
      </c>
      <c r="AM838">
        <v>2</v>
      </c>
      <c r="AN838">
        <v>2</v>
      </c>
      <c r="AO838">
        <v>3</v>
      </c>
      <c r="AP838">
        <v>2</v>
      </c>
      <c r="AQ838">
        <v>2</v>
      </c>
      <c r="AR838">
        <v>0</v>
      </c>
      <c r="AS838">
        <v>0</v>
      </c>
      <c r="AT838">
        <v>1</v>
      </c>
      <c r="AU838">
        <v>2</v>
      </c>
      <c r="AV838">
        <v>1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 s="2">
        <v>4</v>
      </c>
      <c r="BD838" s="2">
        <v>6</v>
      </c>
      <c r="BE838" s="2">
        <v>8</v>
      </c>
      <c r="BF838" s="2">
        <v>2</v>
      </c>
      <c r="BG838" s="2">
        <v>2</v>
      </c>
      <c r="BH838" s="2">
        <v>3</v>
      </c>
      <c r="BI838" s="2">
        <v>2</v>
      </c>
      <c r="BJ838" s="2">
        <v>2</v>
      </c>
      <c r="BK838" s="2">
        <v>0</v>
      </c>
      <c r="BL838" s="2">
        <v>0</v>
      </c>
      <c r="BM838" s="2">
        <v>1</v>
      </c>
      <c r="BN838" s="2">
        <v>2</v>
      </c>
      <c r="BO838" s="2">
        <v>1</v>
      </c>
      <c r="BP838" s="2">
        <v>0</v>
      </c>
      <c r="BQ838" s="2">
        <v>0</v>
      </c>
      <c r="BR838" s="2">
        <v>1</v>
      </c>
      <c r="BS838" s="2">
        <v>0</v>
      </c>
      <c r="BT838" s="2">
        <v>0</v>
      </c>
      <c r="BU838" s="2">
        <v>0</v>
      </c>
      <c r="BV838" s="2">
        <f t="shared" si="53"/>
        <v>34</v>
      </c>
      <c r="BW838" s="16">
        <f t="shared" ref="BW838:BW901" si="55">AVERAGE(BC838:BU838)</f>
        <v>1.7894736842105263</v>
      </c>
      <c r="BX838" s="16">
        <f>COUNTIF($BC$6:BU838, "=0") / COUNTIF($BC$6:BU838, "&gt;-1")</f>
        <v>0.22897580084665445</v>
      </c>
      <c r="BY838" s="18">
        <f>SUM($BC$6:BU838) / $BY$4</f>
        <v>0.92079450909032845</v>
      </c>
      <c r="BZ838" s="14">
        <f t="shared" ref="BZ838:BZ901" si="56">19-COUNTIF(BC838:BU838, "&gt;0")</f>
        <v>7</v>
      </c>
      <c r="CA838" t="s">
        <v>5832</v>
      </c>
      <c r="CZ838" t="s">
        <v>10003</v>
      </c>
      <c r="DA838" t="s">
        <v>5904</v>
      </c>
      <c r="DB838">
        <v>109</v>
      </c>
      <c r="DC838" t="s">
        <v>26149</v>
      </c>
      <c r="DD838" t="s">
        <v>26150</v>
      </c>
      <c r="DE838" t="s">
        <v>26151</v>
      </c>
      <c r="DF838" t="s">
        <v>26152</v>
      </c>
      <c r="DG838" t="s">
        <v>26153</v>
      </c>
      <c r="DH838" t="str">
        <f>"SPINK2"</f>
        <v>SPINK2</v>
      </c>
      <c r="DI838" t="s">
        <v>13772</v>
      </c>
      <c r="DJ838" t="s">
        <v>13777</v>
      </c>
      <c r="DK838">
        <v>9606</v>
      </c>
      <c r="DL838" s="34" t="str">
        <f>HYPERLINK("http://www.uniprot.org/uniprot/P20155", "P20155")</f>
        <v>P20155</v>
      </c>
      <c r="DM838" t="s">
        <v>26154</v>
      </c>
      <c r="DN838" t="s">
        <v>13772</v>
      </c>
      <c r="DO838" t="s">
        <v>16982</v>
      </c>
      <c r="DP838" t="s">
        <v>13772</v>
      </c>
      <c r="DQ838" t="s">
        <v>13772</v>
      </c>
      <c r="DR838" t="s">
        <v>13772</v>
      </c>
      <c r="DS838" t="s">
        <v>13808</v>
      </c>
      <c r="DT838" t="s">
        <v>13772</v>
      </c>
      <c r="DU838" t="s">
        <v>14375</v>
      </c>
      <c r="DV838" t="s">
        <v>15344</v>
      </c>
      <c r="DW838" t="s">
        <v>13812</v>
      </c>
      <c r="DX838" t="s">
        <v>26155</v>
      </c>
      <c r="DY838" t="s">
        <v>26156</v>
      </c>
      <c r="DZ838" t="s">
        <v>20851</v>
      </c>
      <c r="EA838" t="s">
        <v>13772</v>
      </c>
      <c r="EB838" t="s">
        <v>13772</v>
      </c>
    </row>
    <row r="839" spans="1:132" hidden="1">
      <c r="A839">
        <v>1550</v>
      </c>
      <c r="B839">
        <v>1</v>
      </c>
      <c r="C839" t="s">
        <v>3675</v>
      </c>
      <c r="D839" t="s">
        <v>73</v>
      </c>
      <c r="E839" t="s">
        <v>73</v>
      </c>
      <c r="F839" t="s">
        <v>73</v>
      </c>
      <c r="G839" t="s">
        <v>73</v>
      </c>
      <c r="H839">
        <v>15.4</v>
      </c>
      <c r="I839">
        <v>598</v>
      </c>
      <c r="J839">
        <v>65784</v>
      </c>
      <c r="K839" t="s">
        <v>3676</v>
      </c>
      <c r="L839">
        <f t="shared" si="54"/>
        <v>34</v>
      </c>
      <c r="N839">
        <v>34</v>
      </c>
      <c r="O839">
        <v>34</v>
      </c>
      <c r="P839">
        <v>1</v>
      </c>
      <c r="Q839">
        <v>1</v>
      </c>
      <c r="R839">
        <v>3</v>
      </c>
      <c r="S839">
        <v>1</v>
      </c>
      <c r="T839">
        <v>2</v>
      </c>
      <c r="U839">
        <v>2</v>
      </c>
      <c r="V839">
        <v>4</v>
      </c>
      <c r="W839">
        <v>5</v>
      </c>
      <c r="X839">
        <v>0</v>
      </c>
      <c r="Y839">
        <v>0</v>
      </c>
      <c r="Z839">
        <v>5</v>
      </c>
      <c r="AA839">
        <v>0</v>
      </c>
      <c r="AB839">
        <v>1</v>
      </c>
      <c r="AC839">
        <v>1</v>
      </c>
      <c r="AD839">
        <v>4</v>
      </c>
      <c r="AE839">
        <v>0</v>
      </c>
      <c r="AF839">
        <v>1</v>
      </c>
      <c r="AG839">
        <v>0</v>
      </c>
      <c r="AH839">
        <v>0</v>
      </c>
      <c r="AI839">
        <v>4</v>
      </c>
      <c r="AJ839">
        <v>1</v>
      </c>
      <c r="AK839">
        <v>3</v>
      </c>
      <c r="AL839">
        <v>1</v>
      </c>
      <c r="AM839">
        <v>2</v>
      </c>
      <c r="AN839">
        <v>2</v>
      </c>
      <c r="AO839">
        <v>4</v>
      </c>
      <c r="AP839">
        <v>5</v>
      </c>
      <c r="AQ839">
        <v>0</v>
      </c>
      <c r="AR839">
        <v>0</v>
      </c>
      <c r="AS839">
        <v>5</v>
      </c>
      <c r="AT839">
        <v>0</v>
      </c>
      <c r="AU839">
        <v>1</v>
      </c>
      <c r="AV839">
        <v>1</v>
      </c>
      <c r="AW839">
        <v>4</v>
      </c>
      <c r="AX839">
        <v>0</v>
      </c>
      <c r="AY839">
        <v>1</v>
      </c>
      <c r="AZ839">
        <v>0</v>
      </c>
      <c r="BA839">
        <v>0</v>
      </c>
      <c r="BB839">
        <v>4</v>
      </c>
      <c r="BC839" s="2">
        <v>1</v>
      </c>
      <c r="BD839" s="2">
        <v>3</v>
      </c>
      <c r="BE839" s="2">
        <v>1</v>
      </c>
      <c r="BF839" s="2">
        <v>2</v>
      </c>
      <c r="BG839" s="2">
        <v>2</v>
      </c>
      <c r="BH839" s="2">
        <v>4</v>
      </c>
      <c r="BI839" s="2">
        <v>5</v>
      </c>
      <c r="BJ839" s="2">
        <v>0</v>
      </c>
      <c r="BK839" s="2">
        <v>0</v>
      </c>
      <c r="BL839" s="2">
        <v>5</v>
      </c>
      <c r="BM839" s="2">
        <v>0</v>
      </c>
      <c r="BN839" s="2">
        <v>1</v>
      </c>
      <c r="BO839" s="2">
        <v>1</v>
      </c>
      <c r="BP839" s="2">
        <v>4</v>
      </c>
      <c r="BQ839" s="2">
        <v>0</v>
      </c>
      <c r="BR839" s="2">
        <v>1</v>
      </c>
      <c r="BS839" s="2">
        <v>0</v>
      </c>
      <c r="BT839" s="2">
        <v>0</v>
      </c>
      <c r="BU839" s="2">
        <v>4</v>
      </c>
      <c r="BV839" s="2">
        <f t="shared" ref="BV839:BV902" si="57">SUM(BC839:BU839)</f>
        <v>34</v>
      </c>
      <c r="BW839" s="16">
        <f t="shared" si="55"/>
        <v>1.7894736842105263</v>
      </c>
      <c r="BX839" s="16">
        <f>COUNTIF($BC$6:BU839, "=0") / COUNTIF($BC$6:BU839, "&gt;-1")</f>
        <v>0.2290798939795532</v>
      </c>
      <c r="BY839" s="18">
        <f>SUM($BC$6:BU839) / $BY$4</f>
        <v>0.92094015274386432</v>
      </c>
      <c r="BZ839" s="14">
        <f t="shared" si="56"/>
        <v>6</v>
      </c>
      <c r="CA839" t="s">
        <v>5832</v>
      </c>
      <c r="CZ839" t="s">
        <v>10903</v>
      </c>
      <c r="DA839" t="s">
        <v>5904</v>
      </c>
      <c r="DB839">
        <v>894</v>
      </c>
      <c r="DC839" t="s">
        <v>28661</v>
      </c>
      <c r="DD839" t="s">
        <v>28662</v>
      </c>
      <c r="DE839" t="s">
        <v>28663</v>
      </c>
      <c r="DF839" t="s">
        <v>28664</v>
      </c>
      <c r="DG839" t="s">
        <v>28665</v>
      </c>
      <c r="DH839" t="str">
        <f>"F12"</f>
        <v>F12</v>
      </c>
      <c r="DI839" t="s">
        <v>13772</v>
      </c>
      <c r="DJ839" t="s">
        <v>13777</v>
      </c>
      <c r="DK839">
        <v>9606</v>
      </c>
      <c r="DL839" s="34" t="str">
        <f>HYPERLINK("http://www.uniprot.org/uniprot/P00748", "P00748")</f>
        <v>P00748</v>
      </c>
      <c r="DM839" t="s">
        <v>28666</v>
      </c>
      <c r="DN839" t="s">
        <v>21175</v>
      </c>
      <c r="DO839" t="s">
        <v>14321</v>
      </c>
      <c r="DP839" t="s">
        <v>13793</v>
      </c>
      <c r="DQ839" t="s">
        <v>13772</v>
      </c>
      <c r="DR839" t="s">
        <v>13807</v>
      </c>
      <c r="DS839" t="s">
        <v>23928</v>
      </c>
      <c r="DT839" t="s">
        <v>13772</v>
      </c>
      <c r="DU839" t="s">
        <v>15176</v>
      </c>
      <c r="DV839" t="s">
        <v>15472</v>
      </c>
      <c r="DW839" t="s">
        <v>13812</v>
      </c>
      <c r="DX839" t="s">
        <v>28667</v>
      </c>
      <c r="DY839" t="s">
        <v>28668</v>
      </c>
      <c r="DZ839" t="s">
        <v>28669</v>
      </c>
      <c r="EA839" t="s">
        <v>13772</v>
      </c>
      <c r="EB839" t="s">
        <v>14395</v>
      </c>
    </row>
    <row r="840" spans="1:132" hidden="1">
      <c r="A840">
        <v>1668</v>
      </c>
      <c r="B840">
        <v>1</v>
      </c>
      <c r="C840" t="s">
        <v>3954</v>
      </c>
      <c r="D840" t="s">
        <v>73</v>
      </c>
      <c r="E840" t="s">
        <v>73</v>
      </c>
      <c r="F840" t="s">
        <v>73</v>
      </c>
      <c r="G840" t="s">
        <v>73</v>
      </c>
      <c r="H840">
        <v>37.6</v>
      </c>
      <c r="I840">
        <v>290</v>
      </c>
      <c r="J840">
        <v>32189</v>
      </c>
      <c r="K840" t="s">
        <v>3955</v>
      </c>
      <c r="L840">
        <f t="shared" si="54"/>
        <v>34</v>
      </c>
      <c r="N840">
        <v>34</v>
      </c>
      <c r="O840">
        <v>34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5</v>
      </c>
      <c r="Y840">
        <v>2</v>
      </c>
      <c r="Z840">
        <v>0</v>
      </c>
      <c r="AA840">
        <v>9</v>
      </c>
      <c r="AB840">
        <v>3</v>
      </c>
      <c r="AC840">
        <v>4</v>
      </c>
      <c r="AD840">
        <v>0</v>
      </c>
      <c r="AE840">
        <v>3</v>
      </c>
      <c r="AF840">
        <v>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5</v>
      </c>
      <c r="AR840">
        <v>2</v>
      </c>
      <c r="AS840">
        <v>0</v>
      </c>
      <c r="AT840">
        <v>9</v>
      </c>
      <c r="AU840">
        <v>3</v>
      </c>
      <c r="AV840">
        <v>4</v>
      </c>
      <c r="AW840">
        <v>0</v>
      </c>
      <c r="AX840">
        <v>3</v>
      </c>
      <c r="AY840">
        <v>7</v>
      </c>
      <c r="AZ840">
        <v>0</v>
      </c>
      <c r="BA840">
        <v>0</v>
      </c>
      <c r="BB840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</v>
      </c>
      <c r="BJ840" s="2">
        <v>5</v>
      </c>
      <c r="BK840" s="2">
        <v>2</v>
      </c>
      <c r="BL840" s="2">
        <v>0</v>
      </c>
      <c r="BM840" s="2">
        <v>9</v>
      </c>
      <c r="BN840" s="2">
        <v>3</v>
      </c>
      <c r="BO840" s="2">
        <v>4</v>
      </c>
      <c r="BP840" s="2">
        <v>0</v>
      </c>
      <c r="BQ840" s="2">
        <v>3</v>
      </c>
      <c r="BR840" s="2">
        <v>7</v>
      </c>
      <c r="BS840" s="2">
        <v>0</v>
      </c>
      <c r="BT840" s="2">
        <v>0</v>
      </c>
      <c r="BU840" s="2">
        <v>0</v>
      </c>
      <c r="BV840" s="2">
        <f t="shared" si="57"/>
        <v>34</v>
      </c>
      <c r="BW840" s="16">
        <f t="shared" si="55"/>
        <v>1.7894736842105263</v>
      </c>
      <c r="BX840" s="16">
        <f>COUNTIF($BC$6:BU840, "=0") / COUNTIF($BC$6:BU840, "&gt;-1")</f>
        <v>0.22949889694295619</v>
      </c>
      <c r="BY840" s="18">
        <f>SUM($BC$6:BU840) / $BY$4</f>
        <v>0.92108579639740007</v>
      </c>
      <c r="BZ840" s="14">
        <f t="shared" si="56"/>
        <v>11</v>
      </c>
      <c r="CA840" t="s">
        <v>5832</v>
      </c>
      <c r="CZ840" t="s">
        <v>11309</v>
      </c>
      <c r="DA840" t="s">
        <v>5904</v>
      </c>
      <c r="DB840">
        <v>582.4</v>
      </c>
      <c r="DC840" t="s">
        <v>29797</v>
      </c>
      <c r="DD840" t="s">
        <v>29798</v>
      </c>
      <c r="DE840" t="s">
        <v>29799</v>
      </c>
      <c r="DF840" t="s">
        <v>29800</v>
      </c>
      <c r="DG840" t="s">
        <v>29801</v>
      </c>
      <c r="DH840" t="str">
        <f>"PIR"</f>
        <v>PIR</v>
      </c>
      <c r="DI840" t="s">
        <v>13772</v>
      </c>
      <c r="DJ840" t="s">
        <v>13777</v>
      </c>
      <c r="DK840">
        <v>9606</v>
      </c>
      <c r="DL840" s="34" t="str">
        <f>HYPERLINK("http://www.uniprot.org/uniprot/O00625", "O00625")</f>
        <v>O00625</v>
      </c>
      <c r="DM840" t="s">
        <v>29802</v>
      </c>
      <c r="DN840" t="s">
        <v>14445</v>
      </c>
      <c r="DO840" t="s">
        <v>13912</v>
      </c>
      <c r="DP840" t="s">
        <v>13793</v>
      </c>
      <c r="DQ840" t="s">
        <v>13772</v>
      </c>
      <c r="DR840" t="s">
        <v>13772</v>
      </c>
      <c r="DS840" t="s">
        <v>13772</v>
      </c>
      <c r="DT840" t="s">
        <v>17802</v>
      </c>
      <c r="DU840" t="s">
        <v>14433</v>
      </c>
      <c r="DV840" t="s">
        <v>13772</v>
      </c>
      <c r="DW840" t="s">
        <v>13812</v>
      </c>
      <c r="DX840" t="s">
        <v>29803</v>
      </c>
      <c r="DY840" t="s">
        <v>29804</v>
      </c>
      <c r="DZ840" t="s">
        <v>29805</v>
      </c>
      <c r="EA840" t="s">
        <v>29806</v>
      </c>
      <c r="EB840" t="s">
        <v>15167</v>
      </c>
    </row>
    <row r="841" spans="1:132" hidden="1">
      <c r="A841">
        <v>1830</v>
      </c>
      <c r="B841">
        <v>1</v>
      </c>
      <c r="C841" t="s">
        <v>4326</v>
      </c>
      <c r="D841" t="s">
        <v>73</v>
      </c>
      <c r="E841" t="s">
        <v>73</v>
      </c>
      <c r="F841" t="s">
        <v>73</v>
      </c>
      <c r="G841" t="s">
        <v>73</v>
      </c>
      <c r="H841">
        <v>43.4</v>
      </c>
      <c r="I841">
        <v>295</v>
      </c>
      <c r="J841">
        <v>34179</v>
      </c>
      <c r="K841" t="s">
        <v>4327</v>
      </c>
      <c r="L841">
        <f t="shared" si="54"/>
        <v>34</v>
      </c>
      <c r="N841">
        <v>34</v>
      </c>
      <c r="O841">
        <v>34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5</v>
      </c>
      <c r="W841">
        <v>5</v>
      </c>
      <c r="X841">
        <v>1</v>
      </c>
      <c r="Y841">
        <v>11</v>
      </c>
      <c r="Z841">
        <v>0</v>
      </c>
      <c r="AA841">
        <v>10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5</v>
      </c>
      <c r="AP841">
        <v>5</v>
      </c>
      <c r="AQ841">
        <v>1</v>
      </c>
      <c r="AR841">
        <v>11</v>
      </c>
      <c r="AS841">
        <v>0</v>
      </c>
      <c r="AT841">
        <v>10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5</v>
      </c>
      <c r="BI841" s="2">
        <v>5</v>
      </c>
      <c r="BJ841" s="2">
        <v>1</v>
      </c>
      <c r="BK841" s="2">
        <v>11</v>
      </c>
      <c r="BL841" s="2">
        <v>0</v>
      </c>
      <c r="BM841" s="2">
        <v>10</v>
      </c>
      <c r="BN841" s="2">
        <v>1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f t="shared" si="57"/>
        <v>34</v>
      </c>
      <c r="BW841" s="16">
        <f t="shared" si="55"/>
        <v>1.7894736842105263</v>
      </c>
      <c r="BX841" s="16">
        <f>COUNTIF($BC$6:BU841, "=0") / COUNTIF($BC$6:BU841, "&gt;-1")</f>
        <v>0.22997985394107279</v>
      </c>
      <c r="BY841" s="18">
        <f>SUM($BC$6:BU841) / $BY$4</f>
        <v>0.92123144005093593</v>
      </c>
      <c r="BZ841" s="14">
        <f t="shared" si="56"/>
        <v>12</v>
      </c>
      <c r="CA841" t="s">
        <v>5832</v>
      </c>
      <c r="CZ841" t="s">
        <v>11860</v>
      </c>
      <c r="DA841" t="s">
        <v>5904</v>
      </c>
      <c r="DB841">
        <v>541.6</v>
      </c>
      <c r="DC841" t="s">
        <v>31378</v>
      </c>
      <c r="DD841" t="s">
        <v>31379</v>
      </c>
      <c r="DE841" t="s">
        <v>31380</v>
      </c>
      <c r="DF841" t="s">
        <v>31381</v>
      </c>
      <c r="DG841" t="s">
        <v>31382</v>
      </c>
      <c r="DH841" t="str">
        <f>"SULT1A1"</f>
        <v>SULT1A1</v>
      </c>
      <c r="DI841" t="s">
        <v>31383</v>
      </c>
      <c r="DJ841" t="s">
        <v>13777</v>
      </c>
      <c r="DK841">
        <v>9606</v>
      </c>
      <c r="DL841" s="34" t="str">
        <f>HYPERLINK("http://www.uniprot.org/uniprot/P50225", "P50225")</f>
        <v>P50225</v>
      </c>
      <c r="DM841" t="s">
        <v>31384</v>
      </c>
      <c r="DN841" t="s">
        <v>31385</v>
      </c>
      <c r="DO841" t="s">
        <v>13899</v>
      </c>
      <c r="DP841" t="s">
        <v>13780</v>
      </c>
      <c r="DQ841" t="s">
        <v>13772</v>
      </c>
      <c r="DR841" t="s">
        <v>13772</v>
      </c>
      <c r="DS841" t="s">
        <v>13772</v>
      </c>
      <c r="DT841" t="s">
        <v>13772</v>
      </c>
      <c r="DU841" t="s">
        <v>14111</v>
      </c>
      <c r="DV841" t="s">
        <v>13782</v>
      </c>
      <c r="DW841" t="s">
        <v>13812</v>
      </c>
      <c r="DX841" t="s">
        <v>31386</v>
      </c>
      <c r="DY841" t="s">
        <v>13902</v>
      </c>
      <c r="DZ841" t="s">
        <v>31387</v>
      </c>
      <c r="EA841" t="s">
        <v>13772</v>
      </c>
      <c r="EB841" t="s">
        <v>21459</v>
      </c>
    </row>
    <row r="842" spans="1:132" hidden="1">
      <c r="A842">
        <v>2239</v>
      </c>
      <c r="B842">
        <v>1</v>
      </c>
      <c r="C842" t="s">
        <v>5237</v>
      </c>
      <c r="D842" t="s">
        <v>73</v>
      </c>
      <c r="E842" t="s">
        <v>73</v>
      </c>
      <c r="F842" t="s">
        <v>73</v>
      </c>
      <c r="G842" t="s">
        <v>73</v>
      </c>
      <c r="H842">
        <v>53.5</v>
      </c>
      <c r="I842">
        <v>155</v>
      </c>
      <c r="J842">
        <v>16937</v>
      </c>
      <c r="K842" t="s">
        <v>5238</v>
      </c>
      <c r="L842">
        <f t="shared" si="54"/>
        <v>34</v>
      </c>
      <c r="N842">
        <v>34</v>
      </c>
      <c r="O842">
        <v>34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2</v>
      </c>
      <c r="W842">
        <v>2</v>
      </c>
      <c r="X842">
        <v>2</v>
      </c>
      <c r="Y842">
        <v>0</v>
      </c>
      <c r="Z842">
        <v>0</v>
      </c>
      <c r="AA842">
        <v>8</v>
      </c>
      <c r="AB842">
        <v>1</v>
      </c>
      <c r="AC842">
        <v>2</v>
      </c>
      <c r="AD842">
        <v>0</v>
      </c>
      <c r="AE842">
        <v>4</v>
      </c>
      <c r="AF842">
        <v>9</v>
      </c>
      <c r="AG842">
        <v>2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2</v>
      </c>
      <c r="AP842">
        <v>2</v>
      </c>
      <c r="AQ842">
        <v>2</v>
      </c>
      <c r="AR842">
        <v>0</v>
      </c>
      <c r="AS842">
        <v>0</v>
      </c>
      <c r="AT842">
        <v>8</v>
      </c>
      <c r="AU842">
        <v>1</v>
      </c>
      <c r="AV842">
        <v>2</v>
      </c>
      <c r="AW842">
        <v>0</v>
      </c>
      <c r="AX842">
        <v>4</v>
      </c>
      <c r="AY842">
        <v>9</v>
      </c>
      <c r="AZ842">
        <v>2</v>
      </c>
      <c r="BA842">
        <v>0</v>
      </c>
      <c r="BB842">
        <v>0</v>
      </c>
      <c r="BC842" s="2">
        <v>1</v>
      </c>
      <c r="BD842" s="2">
        <v>0</v>
      </c>
      <c r="BE842" s="2">
        <v>0</v>
      </c>
      <c r="BF842" s="2">
        <v>0</v>
      </c>
      <c r="BG842" s="2">
        <v>1</v>
      </c>
      <c r="BH842" s="2">
        <v>2</v>
      </c>
      <c r="BI842" s="2">
        <v>2</v>
      </c>
      <c r="BJ842" s="2">
        <v>2</v>
      </c>
      <c r="BK842" s="2">
        <v>0</v>
      </c>
      <c r="BL842" s="2">
        <v>0</v>
      </c>
      <c r="BM842" s="2">
        <v>8</v>
      </c>
      <c r="BN842" s="2">
        <v>1</v>
      </c>
      <c r="BO842" s="2">
        <v>2</v>
      </c>
      <c r="BP842" s="2">
        <v>0</v>
      </c>
      <c r="BQ842" s="2">
        <v>4</v>
      </c>
      <c r="BR842" s="2">
        <v>9</v>
      </c>
      <c r="BS842" s="2">
        <v>2</v>
      </c>
      <c r="BT842" s="2">
        <v>0</v>
      </c>
      <c r="BU842" s="2">
        <v>0</v>
      </c>
      <c r="BV842" s="2">
        <f t="shared" si="57"/>
        <v>34</v>
      </c>
      <c r="BW842" s="16">
        <f t="shared" si="55"/>
        <v>1.7894736842105263</v>
      </c>
      <c r="BX842" s="16">
        <f>COUNTIF($BC$6:BU842, "=0") / COUNTIF($BC$6:BU842, "&gt;-1")</f>
        <v>0.23020813682952901</v>
      </c>
      <c r="BY842" s="18">
        <f>SUM($BC$6:BU842) / $BY$4</f>
        <v>0.92137708370447169</v>
      </c>
      <c r="BZ842" s="14">
        <f t="shared" si="56"/>
        <v>8</v>
      </c>
      <c r="CA842" t="s">
        <v>5832</v>
      </c>
      <c r="CZ842" t="s">
        <v>13207</v>
      </c>
      <c r="DA842" t="s">
        <v>5904</v>
      </c>
      <c r="DB842">
        <v>291.60000000000002</v>
      </c>
      <c r="DC842" t="s">
        <v>35138</v>
      </c>
      <c r="DD842" t="s">
        <v>35139</v>
      </c>
      <c r="DE842" t="s">
        <v>35140</v>
      </c>
      <c r="DF842" t="s">
        <v>35141</v>
      </c>
      <c r="DG842" t="s">
        <v>35142</v>
      </c>
      <c r="DH842" t="str">
        <f>"IL36RN"</f>
        <v>IL36RN</v>
      </c>
      <c r="DI842" t="s">
        <v>35143</v>
      </c>
      <c r="DJ842" t="s">
        <v>13777</v>
      </c>
      <c r="DK842">
        <v>9606</v>
      </c>
      <c r="DL842" s="34" t="str">
        <f>HYPERLINK("http://www.uniprot.org/uniprot/Q9UBH0", "Q9UBH0")</f>
        <v>Q9UBH0</v>
      </c>
      <c r="DM842" t="s">
        <v>35144</v>
      </c>
      <c r="DN842" t="s">
        <v>22793</v>
      </c>
      <c r="DO842" t="s">
        <v>14321</v>
      </c>
      <c r="DP842" t="s">
        <v>13793</v>
      </c>
      <c r="DQ842" t="s">
        <v>13772</v>
      </c>
      <c r="DR842" t="s">
        <v>13807</v>
      </c>
      <c r="DS842" t="s">
        <v>13772</v>
      </c>
      <c r="DT842" t="s">
        <v>13772</v>
      </c>
      <c r="DU842" t="s">
        <v>14405</v>
      </c>
      <c r="DV842" t="s">
        <v>14506</v>
      </c>
      <c r="DW842" t="s">
        <v>13812</v>
      </c>
      <c r="DX842" t="s">
        <v>35145</v>
      </c>
      <c r="DY842" t="s">
        <v>22023</v>
      </c>
      <c r="DZ842" t="s">
        <v>35146</v>
      </c>
      <c r="EA842" t="s">
        <v>13772</v>
      </c>
      <c r="EB842" t="s">
        <v>35147</v>
      </c>
    </row>
    <row r="843" spans="1:132" hidden="1">
      <c r="A843">
        <v>432</v>
      </c>
      <c r="B843">
        <v>1</v>
      </c>
      <c r="C843" t="s">
        <v>1082</v>
      </c>
      <c r="D843" t="s">
        <v>1083</v>
      </c>
      <c r="E843" t="s">
        <v>73</v>
      </c>
      <c r="F843" t="s">
        <v>1084</v>
      </c>
      <c r="G843" t="s">
        <v>73</v>
      </c>
      <c r="H843">
        <v>14.7</v>
      </c>
      <c r="I843">
        <v>946</v>
      </c>
      <c r="J843">
        <v>104399</v>
      </c>
      <c r="K843" t="s">
        <v>1085</v>
      </c>
      <c r="L843">
        <f t="shared" si="54"/>
        <v>38</v>
      </c>
      <c r="N843">
        <v>38</v>
      </c>
      <c r="O843">
        <v>27</v>
      </c>
      <c r="P843">
        <v>0.71099999999999997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2</v>
      </c>
      <c r="Z843">
        <v>0</v>
      </c>
      <c r="AA843">
        <v>9</v>
      </c>
      <c r="AB843">
        <v>7</v>
      </c>
      <c r="AC843">
        <v>4</v>
      </c>
      <c r="AD843">
        <v>0</v>
      </c>
      <c r="AE843">
        <v>1</v>
      </c>
      <c r="AF843">
        <v>9</v>
      </c>
      <c r="AG843">
        <v>2</v>
      </c>
      <c r="AH843">
        <v>0</v>
      </c>
      <c r="AI843">
        <v>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8</v>
      </c>
      <c r="AU843">
        <v>2</v>
      </c>
      <c r="AV843">
        <v>4</v>
      </c>
      <c r="AW843">
        <v>0</v>
      </c>
      <c r="AX843">
        <v>1</v>
      </c>
      <c r="AY843">
        <v>7</v>
      </c>
      <c r="AZ843">
        <v>2</v>
      </c>
      <c r="BA843">
        <v>0</v>
      </c>
      <c r="BB843">
        <v>2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0.5</v>
      </c>
      <c r="BJ843" s="2">
        <v>1</v>
      </c>
      <c r="BK843" s="2">
        <v>1</v>
      </c>
      <c r="BL843" s="2">
        <v>0</v>
      </c>
      <c r="BM843" s="2">
        <v>8.6669999999999998</v>
      </c>
      <c r="BN843" s="2">
        <v>4.5</v>
      </c>
      <c r="BO843" s="2">
        <v>4</v>
      </c>
      <c r="BP843" s="2">
        <v>0</v>
      </c>
      <c r="BQ843" s="2">
        <v>1</v>
      </c>
      <c r="BR843" s="2">
        <v>9</v>
      </c>
      <c r="BS843" s="2">
        <v>2</v>
      </c>
      <c r="BT843" s="2">
        <v>0</v>
      </c>
      <c r="BU843" s="2">
        <v>2</v>
      </c>
      <c r="BV843" s="2">
        <f t="shared" si="57"/>
        <v>33.667000000000002</v>
      </c>
      <c r="BW843" s="16">
        <f t="shared" si="55"/>
        <v>1.7719473684210527</v>
      </c>
      <c r="BX843" s="16">
        <f>COUNTIF($BC$6:BU843, "=0") / COUNTIF($BC$6:BU843, "&gt;-1")</f>
        <v>0.23049868107021732</v>
      </c>
      <c r="BY843" s="18">
        <f>SUM($BC$6:BU843) / $BY$4</f>
        <v>0.92152130090693019</v>
      </c>
      <c r="BZ843" s="14">
        <f t="shared" si="56"/>
        <v>9</v>
      </c>
      <c r="CA843" t="s">
        <v>5832</v>
      </c>
      <c r="CZ843" t="s">
        <v>7200</v>
      </c>
      <c r="DA843" t="s">
        <v>5904</v>
      </c>
      <c r="DB843">
        <v>1901.3</v>
      </c>
      <c r="DC843" t="s">
        <v>17965</v>
      </c>
      <c r="DD843" t="s">
        <v>17966</v>
      </c>
      <c r="DE843" t="s">
        <v>17967</v>
      </c>
      <c r="DF843" t="s">
        <v>17968</v>
      </c>
      <c r="DG843" t="s">
        <v>17969</v>
      </c>
      <c r="DH843" t="str">
        <f>"AP1B1"</f>
        <v>AP1B1</v>
      </c>
      <c r="DI843" t="s">
        <v>17970</v>
      </c>
      <c r="DJ843" t="s">
        <v>13777</v>
      </c>
      <c r="DK843">
        <v>9606</v>
      </c>
      <c r="DL843" s="34" t="str">
        <f>HYPERLINK("http://www.uniprot.org/uniprot/Q10567", "Q10567")</f>
        <v>Q10567</v>
      </c>
      <c r="DM843" t="s">
        <v>17971</v>
      </c>
      <c r="DN843" t="s">
        <v>14347</v>
      </c>
      <c r="DO843" t="s">
        <v>17972</v>
      </c>
      <c r="DP843" t="s">
        <v>13780</v>
      </c>
      <c r="DQ843" t="s">
        <v>13772</v>
      </c>
      <c r="DR843" t="s">
        <v>13772</v>
      </c>
      <c r="DS843" t="s">
        <v>13772</v>
      </c>
      <c r="DT843" t="s">
        <v>13772</v>
      </c>
      <c r="DU843" t="s">
        <v>13772</v>
      </c>
      <c r="DV843" t="s">
        <v>17973</v>
      </c>
      <c r="DW843" t="s">
        <v>13812</v>
      </c>
      <c r="DX843" t="s">
        <v>17974</v>
      </c>
      <c r="DY843" t="s">
        <v>17975</v>
      </c>
      <c r="DZ843" t="s">
        <v>17976</v>
      </c>
      <c r="EA843" t="s">
        <v>13772</v>
      </c>
      <c r="EB843" t="s">
        <v>17977</v>
      </c>
    </row>
    <row r="844" spans="1:132" hidden="1">
      <c r="A844">
        <v>1247</v>
      </c>
      <c r="B844">
        <v>1</v>
      </c>
      <c r="C844" t="s">
        <v>2991</v>
      </c>
      <c r="D844" t="s">
        <v>2992</v>
      </c>
      <c r="E844" t="s">
        <v>73</v>
      </c>
      <c r="F844" t="s">
        <v>801</v>
      </c>
      <c r="G844" t="s">
        <v>73</v>
      </c>
      <c r="H844">
        <v>42.7</v>
      </c>
      <c r="I844">
        <v>286</v>
      </c>
      <c r="J844">
        <v>32987</v>
      </c>
      <c r="K844" t="s">
        <v>2993</v>
      </c>
      <c r="L844">
        <f t="shared" si="54"/>
        <v>34</v>
      </c>
      <c r="N844">
        <v>34</v>
      </c>
      <c r="O844">
        <v>32</v>
      </c>
      <c r="P844">
        <v>0.94099999999999995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</v>
      </c>
      <c r="Z844">
        <v>2</v>
      </c>
      <c r="AA844">
        <v>7</v>
      </c>
      <c r="AB844">
        <v>7</v>
      </c>
      <c r="AC844">
        <v>7</v>
      </c>
      <c r="AD844">
        <v>1</v>
      </c>
      <c r="AE844">
        <v>0</v>
      </c>
      <c r="AF844">
        <v>2</v>
      </c>
      <c r="AG844">
        <v>1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6</v>
      </c>
      <c r="AS844">
        <v>2</v>
      </c>
      <c r="AT844">
        <v>6</v>
      </c>
      <c r="AU844">
        <v>6</v>
      </c>
      <c r="AV844">
        <v>7</v>
      </c>
      <c r="AW844">
        <v>1</v>
      </c>
      <c r="AX844">
        <v>0</v>
      </c>
      <c r="AY844">
        <v>2</v>
      </c>
      <c r="AZ844">
        <v>1</v>
      </c>
      <c r="BA844">
        <v>0</v>
      </c>
      <c r="BB844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6</v>
      </c>
      <c r="BL844" s="2">
        <v>2</v>
      </c>
      <c r="BM844" s="2">
        <v>6.8570000000000002</v>
      </c>
      <c r="BN844" s="2">
        <v>6.75</v>
      </c>
      <c r="BO844" s="2">
        <v>7</v>
      </c>
      <c r="BP844" s="2">
        <v>1</v>
      </c>
      <c r="BQ844" s="2">
        <v>0</v>
      </c>
      <c r="BR844" s="2">
        <v>2</v>
      </c>
      <c r="BS844" s="2">
        <v>1</v>
      </c>
      <c r="BT844" s="2">
        <v>0</v>
      </c>
      <c r="BU844" s="2">
        <v>1</v>
      </c>
      <c r="BV844" s="2">
        <f t="shared" si="57"/>
        <v>33.606999999999999</v>
      </c>
      <c r="BW844" s="16">
        <f t="shared" si="55"/>
        <v>1.7687894736842105</v>
      </c>
      <c r="BX844" s="16">
        <f>COUNTIF($BC$6:BU844, "=0") / COUNTIF($BC$6:BU844, "&gt;-1")</f>
        <v>0.23085126403613324</v>
      </c>
      <c r="BY844" s="18">
        <f>SUM($BC$6:BU844) / $BY$4</f>
        <v>0.92166526109117652</v>
      </c>
      <c r="BZ844" s="14">
        <f t="shared" si="56"/>
        <v>10</v>
      </c>
      <c r="CA844" t="s">
        <v>5832</v>
      </c>
      <c r="CZ844" t="s">
        <v>9888</v>
      </c>
      <c r="DA844" t="s">
        <v>5904</v>
      </c>
      <c r="DB844">
        <v>592.4</v>
      </c>
      <c r="DC844" t="s">
        <v>25817</v>
      </c>
      <c r="DD844" t="s">
        <v>25818</v>
      </c>
      <c r="DE844" t="s">
        <v>25819</v>
      </c>
      <c r="DF844" t="s">
        <v>25820</v>
      </c>
      <c r="DG844" t="s">
        <v>25821</v>
      </c>
      <c r="DH844" t="str">
        <f>"CAPZA1"</f>
        <v>CAPZA1</v>
      </c>
      <c r="DI844" t="s">
        <v>13772</v>
      </c>
      <c r="DJ844" t="s">
        <v>13777</v>
      </c>
      <c r="DK844">
        <v>9606</v>
      </c>
      <c r="DL844" s="34" t="str">
        <f>HYPERLINK("http://www.uniprot.org/uniprot/P52907", "P52907")</f>
        <v>P52907</v>
      </c>
      <c r="DM844" t="s">
        <v>25822</v>
      </c>
      <c r="DN844" t="s">
        <v>13772</v>
      </c>
      <c r="DO844" t="s">
        <v>13988</v>
      </c>
      <c r="DP844" t="s">
        <v>13793</v>
      </c>
      <c r="DQ844" t="s">
        <v>13772</v>
      </c>
      <c r="DR844" t="s">
        <v>13772</v>
      </c>
      <c r="DS844" t="s">
        <v>13772</v>
      </c>
      <c r="DT844" t="s">
        <v>13772</v>
      </c>
      <c r="DU844" t="s">
        <v>14589</v>
      </c>
      <c r="DV844" t="s">
        <v>13886</v>
      </c>
      <c r="DW844" t="s">
        <v>13812</v>
      </c>
      <c r="DX844" t="s">
        <v>25823</v>
      </c>
      <c r="DY844" t="s">
        <v>25824</v>
      </c>
      <c r="DZ844" t="s">
        <v>25825</v>
      </c>
      <c r="EA844" t="s">
        <v>13772</v>
      </c>
      <c r="EB844" t="s">
        <v>25826</v>
      </c>
    </row>
    <row r="845" spans="1:132" hidden="1">
      <c r="A845">
        <v>2174</v>
      </c>
      <c r="B845">
        <v>1</v>
      </c>
      <c r="C845" t="s">
        <v>5091</v>
      </c>
      <c r="D845" t="s">
        <v>73</v>
      </c>
      <c r="E845" t="s">
        <v>73</v>
      </c>
      <c r="F845" t="s">
        <v>649</v>
      </c>
      <c r="G845" t="s">
        <v>73</v>
      </c>
      <c r="H845">
        <v>45.7</v>
      </c>
      <c r="I845">
        <v>245</v>
      </c>
      <c r="J845">
        <v>27764</v>
      </c>
      <c r="K845" t="s">
        <v>5092</v>
      </c>
      <c r="L845">
        <f t="shared" si="54"/>
        <v>62</v>
      </c>
      <c r="N845">
        <v>62</v>
      </c>
      <c r="O845">
        <v>31</v>
      </c>
      <c r="P845">
        <v>0.5</v>
      </c>
      <c r="Q845">
        <v>2</v>
      </c>
      <c r="R845">
        <v>4</v>
      </c>
      <c r="S845">
        <v>4</v>
      </c>
      <c r="T845">
        <v>2</v>
      </c>
      <c r="U845">
        <v>7</v>
      </c>
      <c r="V845">
        <v>4</v>
      </c>
      <c r="W845">
        <v>2</v>
      </c>
      <c r="X845">
        <v>2</v>
      </c>
      <c r="Y845">
        <v>7</v>
      </c>
      <c r="Z845">
        <v>1</v>
      </c>
      <c r="AA845">
        <v>11</v>
      </c>
      <c r="AB845">
        <v>2</v>
      </c>
      <c r="AC845">
        <v>5</v>
      </c>
      <c r="AD845">
        <v>2</v>
      </c>
      <c r="AE845">
        <v>2</v>
      </c>
      <c r="AF845">
        <v>2</v>
      </c>
      <c r="AG845">
        <v>1</v>
      </c>
      <c r="AH845">
        <v>0</v>
      </c>
      <c r="AI845">
        <v>2</v>
      </c>
      <c r="AJ845">
        <v>1</v>
      </c>
      <c r="AK845">
        <v>2</v>
      </c>
      <c r="AL845">
        <v>2</v>
      </c>
      <c r="AM845">
        <v>1</v>
      </c>
      <c r="AN845">
        <v>2</v>
      </c>
      <c r="AO845">
        <v>1</v>
      </c>
      <c r="AP845">
        <v>1</v>
      </c>
      <c r="AQ845">
        <v>1</v>
      </c>
      <c r="AR845">
        <v>3</v>
      </c>
      <c r="AS845">
        <v>0</v>
      </c>
      <c r="AT845">
        <v>10</v>
      </c>
      <c r="AU845">
        <v>1</v>
      </c>
      <c r="AV845">
        <v>3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 s="2">
        <v>1.143</v>
      </c>
      <c r="BD845" s="2">
        <v>2.254</v>
      </c>
      <c r="BE845" s="2">
        <v>2.3650000000000002</v>
      </c>
      <c r="BF845" s="2">
        <v>1.2</v>
      </c>
      <c r="BG845" s="2">
        <v>2.464</v>
      </c>
      <c r="BH845" s="2">
        <v>1.165</v>
      </c>
      <c r="BI845" s="2">
        <v>1.032</v>
      </c>
      <c r="BJ845" s="2">
        <v>1.0289999999999999</v>
      </c>
      <c r="BK845" s="2">
        <v>3.282</v>
      </c>
      <c r="BL845" s="2">
        <v>0</v>
      </c>
      <c r="BM845" s="2">
        <v>10.127000000000001</v>
      </c>
      <c r="BN845" s="2">
        <v>1.0189999999999999</v>
      </c>
      <c r="BO845" s="2">
        <v>3.1669999999999998</v>
      </c>
      <c r="BP845" s="2">
        <v>1.2</v>
      </c>
      <c r="BQ845" s="2">
        <v>1.04</v>
      </c>
      <c r="BR845" s="2">
        <v>1.0589999999999999</v>
      </c>
      <c r="BS845" s="2">
        <v>0</v>
      </c>
      <c r="BT845" s="2">
        <v>0</v>
      </c>
      <c r="BU845" s="2">
        <v>0</v>
      </c>
      <c r="BV845" s="2">
        <f t="shared" si="57"/>
        <v>33.545999999999999</v>
      </c>
      <c r="BW845" s="16">
        <f t="shared" si="55"/>
        <v>1.7655789473684209</v>
      </c>
      <c r="BX845" s="16">
        <f>COUNTIF($BC$6:BU845, "=0") / COUNTIF($BC$6:BU845, "&gt;-1")</f>
        <v>0.23082706766917294</v>
      </c>
      <c r="BY845" s="18">
        <f>SUM($BC$6:BU845) / $BY$4</f>
        <v>0.92180895997357426</v>
      </c>
      <c r="BZ845" s="14">
        <f t="shared" si="56"/>
        <v>4</v>
      </c>
      <c r="CA845" t="s">
        <v>5832</v>
      </c>
      <c r="CZ845" t="s">
        <v>12995</v>
      </c>
      <c r="DA845" t="s">
        <v>5904</v>
      </c>
      <c r="DB845">
        <v>503.8</v>
      </c>
      <c r="DC845" t="s">
        <v>34545</v>
      </c>
      <c r="DD845" t="s">
        <v>34546</v>
      </c>
      <c r="DE845" t="s">
        <v>34547</v>
      </c>
      <c r="DF845" t="s">
        <v>34548</v>
      </c>
      <c r="DG845" t="s">
        <v>34549</v>
      </c>
      <c r="DH845" t="str">
        <f>"YWHAQ"</f>
        <v>YWHAQ</v>
      </c>
      <c r="DI845" t="s">
        <v>13772</v>
      </c>
      <c r="DJ845" t="s">
        <v>13777</v>
      </c>
      <c r="DK845">
        <v>9606</v>
      </c>
      <c r="DL845" s="34" t="str">
        <f>HYPERLINK("http://www.uniprot.org/uniprot/P27348", "P27348")</f>
        <v>P27348</v>
      </c>
      <c r="DM845" t="s">
        <v>34550</v>
      </c>
      <c r="DN845" t="s">
        <v>13772</v>
      </c>
      <c r="DO845" t="s">
        <v>13899</v>
      </c>
      <c r="DP845" t="s">
        <v>13772</v>
      </c>
      <c r="DQ845" t="s">
        <v>13772</v>
      </c>
      <c r="DR845" t="s">
        <v>13772</v>
      </c>
      <c r="DS845" t="s">
        <v>13772</v>
      </c>
      <c r="DT845" t="s">
        <v>13772</v>
      </c>
      <c r="DU845" t="s">
        <v>13772</v>
      </c>
      <c r="DV845" t="s">
        <v>34551</v>
      </c>
      <c r="DW845" t="s">
        <v>13812</v>
      </c>
      <c r="DX845" t="s">
        <v>34552</v>
      </c>
      <c r="DY845" t="s">
        <v>34553</v>
      </c>
      <c r="DZ845" t="s">
        <v>34554</v>
      </c>
      <c r="EA845" t="s">
        <v>13772</v>
      </c>
      <c r="EB845" t="s">
        <v>34555</v>
      </c>
    </row>
    <row r="846" spans="1:132" hidden="1">
      <c r="A846">
        <v>216</v>
      </c>
      <c r="B846">
        <v>1</v>
      </c>
      <c r="C846" t="s">
        <v>547</v>
      </c>
      <c r="D846" t="s">
        <v>548</v>
      </c>
      <c r="E846" t="s">
        <v>73</v>
      </c>
      <c r="F846" t="s">
        <v>549</v>
      </c>
      <c r="G846" t="s">
        <v>73</v>
      </c>
      <c r="H846">
        <v>38.700000000000003</v>
      </c>
      <c r="I846">
        <v>914</v>
      </c>
      <c r="J846">
        <v>105463</v>
      </c>
      <c r="K846" t="s">
        <v>550</v>
      </c>
      <c r="L846">
        <f t="shared" si="54"/>
        <v>80</v>
      </c>
      <c r="N846">
        <v>80</v>
      </c>
      <c r="O846">
        <v>23</v>
      </c>
      <c r="P846">
        <v>0.28699999999999998</v>
      </c>
      <c r="Q846">
        <v>1</v>
      </c>
      <c r="R846">
        <v>2</v>
      </c>
      <c r="S846">
        <v>0</v>
      </c>
      <c r="T846">
        <v>0</v>
      </c>
      <c r="U846">
        <v>3</v>
      </c>
      <c r="V846">
        <v>4</v>
      </c>
      <c r="W846">
        <v>4</v>
      </c>
      <c r="X846">
        <v>7</v>
      </c>
      <c r="Y846">
        <v>5</v>
      </c>
      <c r="Z846">
        <v>0</v>
      </c>
      <c r="AA846">
        <v>12</v>
      </c>
      <c r="AB846">
        <v>5</v>
      </c>
      <c r="AC846">
        <v>26</v>
      </c>
      <c r="AD846">
        <v>0</v>
      </c>
      <c r="AE846">
        <v>2</v>
      </c>
      <c r="AF846">
        <v>4</v>
      </c>
      <c r="AG846">
        <v>4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</v>
      </c>
      <c r="AS846">
        <v>0</v>
      </c>
      <c r="AT846">
        <v>3</v>
      </c>
      <c r="AU846">
        <v>2</v>
      </c>
      <c r="AV846">
        <v>13</v>
      </c>
      <c r="AW846">
        <v>0</v>
      </c>
      <c r="AX846">
        <v>0</v>
      </c>
      <c r="AY846">
        <v>2</v>
      </c>
      <c r="AZ846">
        <v>0</v>
      </c>
      <c r="BA846">
        <v>0</v>
      </c>
      <c r="BB846">
        <v>0</v>
      </c>
      <c r="BC846" s="2">
        <v>0</v>
      </c>
      <c r="BD846" s="2">
        <v>1.125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2.3159999999999998</v>
      </c>
      <c r="BL846" s="2">
        <v>0</v>
      </c>
      <c r="BM846" s="2">
        <v>3.988</v>
      </c>
      <c r="BN846" s="2">
        <v>2.3330000000000002</v>
      </c>
      <c r="BO846" s="2">
        <v>21.091000000000001</v>
      </c>
      <c r="BP846" s="2">
        <v>0</v>
      </c>
      <c r="BQ846" s="2">
        <v>0</v>
      </c>
      <c r="BR846" s="2">
        <v>2.3639999999999999</v>
      </c>
      <c r="BS846" s="2">
        <v>0</v>
      </c>
      <c r="BT846" s="2">
        <v>0</v>
      </c>
      <c r="BU846" s="2">
        <v>0</v>
      </c>
      <c r="BV846" s="2">
        <f t="shared" si="57"/>
        <v>33.216999999999999</v>
      </c>
      <c r="BW846" s="16">
        <f t="shared" si="55"/>
        <v>1.7482631578947367</v>
      </c>
      <c r="BX846" s="16">
        <f>COUNTIF($BC$6:BU846, "=0") / COUNTIF($BC$6:BU846, "&gt;-1")</f>
        <v>0.23136616809562552</v>
      </c>
      <c r="BY846" s="18">
        <f>SUM($BC$6:BU846) / $BY$4</f>
        <v>0.92195124953944185</v>
      </c>
      <c r="BZ846" s="14">
        <f t="shared" si="56"/>
        <v>13</v>
      </c>
      <c r="CA846" t="s">
        <v>5832</v>
      </c>
      <c r="CZ846" t="s">
        <v>6443</v>
      </c>
      <c r="DA846" t="s">
        <v>5904</v>
      </c>
      <c r="DB846">
        <v>1842</v>
      </c>
      <c r="DC846" t="s">
        <v>15633</v>
      </c>
      <c r="DD846" t="s">
        <v>15634</v>
      </c>
      <c r="DE846" t="s">
        <v>15635</v>
      </c>
      <c r="DF846" t="s">
        <v>15636</v>
      </c>
      <c r="DG846" t="s">
        <v>15637</v>
      </c>
      <c r="DH846" t="str">
        <f>"ACTN1"</f>
        <v>ACTN1</v>
      </c>
      <c r="DI846" t="s">
        <v>13772</v>
      </c>
      <c r="DJ846" t="s">
        <v>13777</v>
      </c>
      <c r="DK846">
        <v>9606</v>
      </c>
      <c r="DL846" s="34" t="str">
        <f>HYPERLINK("http://www.uniprot.org/uniprot/P12814", "P12814")</f>
        <v>P12814</v>
      </c>
      <c r="DM846" t="s">
        <v>15638</v>
      </c>
      <c r="DN846" t="s">
        <v>13772</v>
      </c>
      <c r="DO846" t="s">
        <v>15639</v>
      </c>
      <c r="DP846" t="s">
        <v>13780</v>
      </c>
      <c r="DQ846" t="s">
        <v>13772</v>
      </c>
      <c r="DR846" t="s">
        <v>13807</v>
      </c>
      <c r="DS846" t="s">
        <v>14096</v>
      </c>
      <c r="DT846" t="s">
        <v>13873</v>
      </c>
      <c r="DU846" t="s">
        <v>13990</v>
      </c>
      <c r="DV846" t="s">
        <v>13886</v>
      </c>
      <c r="DW846" t="s">
        <v>13812</v>
      </c>
      <c r="DX846" t="s">
        <v>15640</v>
      </c>
      <c r="DY846" t="s">
        <v>15641</v>
      </c>
      <c r="DZ846" t="s">
        <v>15642</v>
      </c>
      <c r="EA846" t="s">
        <v>13772</v>
      </c>
      <c r="EB846" t="s">
        <v>15643</v>
      </c>
    </row>
    <row r="847" spans="1:132" hidden="1">
      <c r="A847">
        <v>268</v>
      </c>
      <c r="B847">
        <v>1</v>
      </c>
      <c r="C847" t="s">
        <v>678</v>
      </c>
      <c r="D847" t="s">
        <v>73</v>
      </c>
      <c r="E847" t="s">
        <v>73</v>
      </c>
      <c r="F847" t="s">
        <v>73</v>
      </c>
      <c r="G847" t="s">
        <v>73</v>
      </c>
      <c r="H847">
        <v>15.3</v>
      </c>
      <c r="I847">
        <v>550</v>
      </c>
      <c r="J847">
        <v>59588</v>
      </c>
      <c r="K847" t="s">
        <v>679</v>
      </c>
      <c r="L847">
        <f t="shared" si="54"/>
        <v>33</v>
      </c>
      <c r="N847">
        <v>33</v>
      </c>
      <c r="O847">
        <v>33</v>
      </c>
      <c r="P847">
        <v>1</v>
      </c>
      <c r="Q847">
        <v>1</v>
      </c>
      <c r="R847">
        <v>2</v>
      </c>
      <c r="S847">
        <v>2</v>
      </c>
      <c r="T847">
        <v>0</v>
      </c>
      <c r="U847">
        <v>0</v>
      </c>
      <c r="V847">
        <v>1</v>
      </c>
      <c r="W847">
        <v>0</v>
      </c>
      <c r="X847">
        <v>2</v>
      </c>
      <c r="Y847">
        <v>0</v>
      </c>
      <c r="Z847">
        <v>1</v>
      </c>
      <c r="AA847">
        <v>6</v>
      </c>
      <c r="AB847">
        <v>1</v>
      </c>
      <c r="AC847">
        <v>3</v>
      </c>
      <c r="AD847">
        <v>1</v>
      </c>
      <c r="AE847">
        <v>2</v>
      </c>
      <c r="AF847">
        <v>2</v>
      </c>
      <c r="AG847">
        <v>3</v>
      </c>
      <c r="AH847">
        <v>1</v>
      </c>
      <c r="AI847">
        <v>5</v>
      </c>
      <c r="AJ847">
        <v>1</v>
      </c>
      <c r="AK847">
        <v>2</v>
      </c>
      <c r="AL847">
        <v>2</v>
      </c>
      <c r="AM847">
        <v>0</v>
      </c>
      <c r="AN847">
        <v>0</v>
      </c>
      <c r="AO847">
        <v>1</v>
      </c>
      <c r="AP847">
        <v>0</v>
      </c>
      <c r="AQ847">
        <v>2</v>
      </c>
      <c r="AR847">
        <v>0</v>
      </c>
      <c r="AS847">
        <v>1</v>
      </c>
      <c r="AT847">
        <v>6</v>
      </c>
      <c r="AU847">
        <v>1</v>
      </c>
      <c r="AV847">
        <v>3</v>
      </c>
      <c r="AW847">
        <v>1</v>
      </c>
      <c r="AX847">
        <v>2</v>
      </c>
      <c r="AY847">
        <v>2</v>
      </c>
      <c r="AZ847">
        <v>3</v>
      </c>
      <c r="BA847">
        <v>1</v>
      </c>
      <c r="BB847">
        <v>5</v>
      </c>
      <c r="BC847" s="2">
        <v>1</v>
      </c>
      <c r="BD847" s="2">
        <v>2</v>
      </c>
      <c r="BE847" s="2">
        <v>2</v>
      </c>
      <c r="BF847" s="2">
        <v>0</v>
      </c>
      <c r="BG847" s="2">
        <v>0</v>
      </c>
      <c r="BH847" s="2">
        <v>1</v>
      </c>
      <c r="BI847" s="2">
        <v>0</v>
      </c>
      <c r="BJ847" s="2">
        <v>2</v>
      </c>
      <c r="BK847" s="2">
        <v>0</v>
      </c>
      <c r="BL847" s="2">
        <v>1</v>
      </c>
      <c r="BM847" s="2">
        <v>6</v>
      </c>
      <c r="BN847" s="2">
        <v>1</v>
      </c>
      <c r="BO847" s="2">
        <v>3</v>
      </c>
      <c r="BP847" s="2">
        <v>1</v>
      </c>
      <c r="BQ847" s="2">
        <v>2</v>
      </c>
      <c r="BR847" s="2">
        <v>2</v>
      </c>
      <c r="BS847" s="2">
        <v>3</v>
      </c>
      <c r="BT847" s="2">
        <v>1</v>
      </c>
      <c r="BU847" s="2">
        <v>5</v>
      </c>
      <c r="BV847" s="2">
        <f t="shared" si="57"/>
        <v>33</v>
      </c>
      <c r="BW847" s="16">
        <f t="shared" si="55"/>
        <v>1.736842105263158</v>
      </c>
      <c r="BX847" s="16">
        <f>COUNTIF($BC$6:BU847, "=0") / COUNTIF($BC$6:BU847, "&gt;-1")</f>
        <v>0.23134141767720964</v>
      </c>
      <c r="BY847" s="18">
        <f>SUM($BC$6:BU847) / $BY$4</f>
        <v>0.92209260955610906</v>
      </c>
      <c r="BZ847" s="14">
        <f t="shared" si="56"/>
        <v>4</v>
      </c>
      <c r="CA847" t="s">
        <v>5832</v>
      </c>
      <c r="CZ847" t="s">
        <v>6627</v>
      </c>
      <c r="DA847" t="s">
        <v>5904</v>
      </c>
      <c r="DB847">
        <v>1096.7</v>
      </c>
      <c r="DC847" t="s">
        <v>16202</v>
      </c>
      <c r="DD847" t="s">
        <v>16203</v>
      </c>
      <c r="DE847" t="s">
        <v>16204</v>
      </c>
      <c r="DF847" t="s">
        <v>16205</v>
      </c>
      <c r="DG847" t="s">
        <v>16206</v>
      </c>
      <c r="DH847" t="str">
        <f>"COCH"</f>
        <v>COCH</v>
      </c>
      <c r="DI847" t="s">
        <v>16207</v>
      </c>
      <c r="DJ847" t="s">
        <v>13777</v>
      </c>
      <c r="DK847">
        <v>9606</v>
      </c>
      <c r="DL847" s="34" t="str">
        <f>HYPERLINK("http://www.uniprot.org/uniprot/O43405", "O43405")</f>
        <v>O43405</v>
      </c>
      <c r="DM847" t="s">
        <v>16208</v>
      </c>
      <c r="DN847" t="s">
        <v>16209</v>
      </c>
      <c r="DO847" t="s">
        <v>13869</v>
      </c>
      <c r="DP847" t="s">
        <v>13780</v>
      </c>
      <c r="DQ847" t="s">
        <v>13772</v>
      </c>
      <c r="DR847" t="s">
        <v>14255</v>
      </c>
      <c r="DS847" t="s">
        <v>14404</v>
      </c>
      <c r="DT847" t="s">
        <v>13772</v>
      </c>
      <c r="DU847" t="s">
        <v>13772</v>
      </c>
      <c r="DV847" t="s">
        <v>13796</v>
      </c>
      <c r="DW847" t="s">
        <v>13812</v>
      </c>
      <c r="DX847" t="s">
        <v>16210</v>
      </c>
      <c r="DY847" t="s">
        <v>16211</v>
      </c>
      <c r="DZ847" t="s">
        <v>16212</v>
      </c>
      <c r="EA847" t="s">
        <v>13772</v>
      </c>
      <c r="EB847" t="s">
        <v>13772</v>
      </c>
    </row>
    <row r="848" spans="1:132" hidden="1">
      <c r="A848">
        <v>638</v>
      </c>
      <c r="B848">
        <v>1</v>
      </c>
      <c r="C848" t="s">
        <v>1578</v>
      </c>
      <c r="D848" t="s">
        <v>73</v>
      </c>
      <c r="E848" t="s">
        <v>73</v>
      </c>
      <c r="F848" t="s">
        <v>73</v>
      </c>
      <c r="G848" t="s">
        <v>73</v>
      </c>
      <c r="H848">
        <v>37</v>
      </c>
      <c r="I848">
        <v>527</v>
      </c>
      <c r="J848">
        <v>59967</v>
      </c>
      <c r="K848" t="s">
        <v>1579</v>
      </c>
      <c r="L848">
        <f t="shared" si="54"/>
        <v>33</v>
      </c>
      <c r="N848">
        <v>33</v>
      </c>
      <c r="O848">
        <v>33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3</v>
      </c>
      <c r="V848">
        <v>1</v>
      </c>
      <c r="W848">
        <v>0</v>
      </c>
      <c r="X848">
        <v>0</v>
      </c>
      <c r="Y848">
        <v>2</v>
      </c>
      <c r="Z848">
        <v>0</v>
      </c>
      <c r="AA848">
        <v>2</v>
      </c>
      <c r="AB848">
        <v>5</v>
      </c>
      <c r="AC848">
        <v>15</v>
      </c>
      <c r="AD848">
        <v>0</v>
      </c>
      <c r="AE848">
        <v>0</v>
      </c>
      <c r="AF848">
        <v>4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3</v>
      </c>
      <c r="AO848">
        <v>1</v>
      </c>
      <c r="AP848">
        <v>0</v>
      </c>
      <c r="AQ848">
        <v>0</v>
      </c>
      <c r="AR848">
        <v>2</v>
      </c>
      <c r="AS848">
        <v>0</v>
      </c>
      <c r="AT848">
        <v>2</v>
      </c>
      <c r="AU848">
        <v>5</v>
      </c>
      <c r="AV848">
        <v>15</v>
      </c>
      <c r="AW848">
        <v>0</v>
      </c>
      <c r="AX848">
        <v>0</v>
      </c>
      <c r="AY848">
        <v>4</v>
      </c>
      <c r="AZ848">
        <v>0</v>
      </c>
      <c r="BA848">
        <v>0</v>
      </c>
      <c r="BB848">
        <v>0</v>
      </c>
      <c r="BC848" s="2">
        <v>1</v>
      </c>
      <c r="BD848" s="2">
        <v>0</v>
      </c>
      <c r="BE848" s="2">
        <v>0</v>
      </c>
      <c r="BF848" s="2">
        <v>0</v>
      </c>
      <c r="BG848" s="2">
        <v>3</v>
      </c>
      <c r="BH848" s="2">
        <v>1</v>
      </c>
      <c r="BI848" s="2">
        <v>0</v>
      </c>
      <c r="BJ848" s="2">
        <v>0</v>
      </c>
      <c r="BK848" s="2">
        <v>2</v>
      </c>
      <c r="BL848" s="2">
        <v>0</v>
      </c>
      <c r="BM848" s="2">
        <v>2</v>
      </c>
      <c r="BN848" s="2">
        <v>5</v>
      </c>
      <c r="BO848" s="2">
        <v>15</v>
      </c>
      <c r="BP848" s="2">
        <v>0</v>
      </c>
      <c r="BQ848" s="2">
        <v>0</v>
      </c>
      <c r="BR848" s="2">
        <v>4</v>
      </c>
      <c r="BS848" s="2">
        <v>0</v>
      </c>
      <c r="BT848" s="2">
        <v>0</v>
      </c>
      <c r="BU848" s="2">
        <v>0</v>
      </c>
      <c r="BV848" s="2">
        <f t="shared" si="57"/>
        <v>33</v>
      </c>
      <c r="BW848" s="16">
        <f t="shared" si="55"/>
        <v>1.736842105263158</v>
      </c>
      <c r="BX848" s="16">
        <f>COUNTIF($BC$6:BU848, "=0") / COUNTIF($BC$6:BU848, "&gt;-1")</f>
        <v>0.23175376162826997</v>
      </c>
      <c r="BY848" s="18">
        <f>SUM($BC$6:BU848) / $BY$4</f>
        <v>0.92223396957277615</v>
      </c>
      <c r="BZ848" s="14">
        <f t="shared" si="56"/>
        <v>11</v>
      </c>
      <c r="CA848" t="s">
        <v>5832</v>
      </c>
      <c r="CZ848" t="s">
        <v>7897</v>
      </c>
      <c r="DA848" t="s">
        <v>5904</v>
      </c>
      <c r="DB848">
        <v>1015.8</v>
      </c>
      <c r="DC848" t="s">
        <v>20082</v>
      </c>
      <c r="DD848" t="s">
        <v>13772</v>
      </c>
      <c r="DE848" t="s">
        <v>20083</v>
      </c>
      <c r="DF848" t="s">
        <v>20084</v>
      </c>
      <c r="DG848" t="s">
        <v>20085</v>
      </c>
      <c r="DH848" t="str">
        <f>"CAT"</f>
        <v>CAT</v>
      </c>
      <c r="DI848" t="s">
        <v>13772</v>
      </c>
      <c r="DJ848" t="s">
        <v>13777</v>
      </c>
      <c r="DK848">
        <v>9606</v>
      </c>
      <c r="DL848" s="34" t="str">
        <f>HYPERLINK("http://www.uniprot.org/uniprot/P04040", "P04040")</f>
        <v>P04040</v>
      </c>
      <c r="DM848" t="s">
        <v>20086</v>
      </c>
      <c r="DN848" t="s">
        <v>13805</v>
      </c>
      <c r="DO848" t="s">
        <v>16689</v>
      </c>
      <c r="DP848" t="s">
        <v>13772</v>
      </c>
      <c r="DQ848" t="s">
        <v>13772</v>
      </c>
      <c r="DR848" t="s">
        <v>13772</v>
      </c>
      <c r="DS848" t="s">
        <v>13772</v>
      </c>
      <c r="DT848" t="s">
        <v>20087</v>
      </c>
      <c r="DU848" t="s">
        <v>20088</v>
      </c>
      <c r="DV848" t="s">
        <v>13886</v>
      </c>
      <c r="DW848" t="s">
        <v>13812</v>
      </c>
      <c r="DX848" t="s">
        <v>20089</v>
      </c>
      <c r="DY848" t="s">
        <v>20090</v>
      </c>
      <c r="DZ848" t="s">
        <v>20091</v>
      </c>
      <c r="EA848" t="s">
        <v>13772</v>
      </c>
      <c r="EB848" t="s">
        <v>20092</v>
      </c>
    </row>
    <row r="849" spans="1:132" hidden="1">
      <c r="A849">
        <v>729</v>
      </c>
      <c r="B849">
        <v>1</v>
      </c>
      <c r="C849" t="s">
        <v>1786</v>
      </c>
      <c r="D849" t="s">
        <v>1787</v>
      </c>
      <c r="E849" t="s">
        <v>73</v>
      </c>
      <c r="F849" t="s">
        <v>73</v>
      </c>
      <c r="G849" t="s">
        <v>73</v>
      </c>
      <c r="H849">
        <v>24.5</v>
      </c>
      <c r="I849">
        <v>763</v>
      </c>
      <c r="J849">
        <v>81255</v>
      </c>
      <c r="K849" t="s">
        <v>1788</v>
      </c>
      <c r="L849">
        <f t="shared" si="54"/>
        <v>33</v>
      </c>
      <c r="N849">
        <v>33</v>
      </c>
      <c r="O849">
        <v>33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3</v>
      </c>
      <c r="W849">
        <v>1</v>
      </c>
      <c r="X849">
        <v>1</v>
      </c>
      <c r="Y849">
        <v>3</v>
      </c>
      <c r="Z849">
        <v>0</v>
      </c>
      <c r="AA849">
        <v>9</v>
      </c>
      <c r="AB849">
        <v>9</v>
      </c>
      <c r="AC849">
        <v>0</v>
      </c>
      <c r="AD849">
        <v>0</v>
      </c>
      <c r="AE849">
        <v>2</v>
      </c>
      <c r="AF849">
        <v>3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3</v>
      </c>
      <c r="AP849">
        <v>1</v>
      </c>
      <c r="AQ849">
        <v>1</v>
      </c>
      <c r="AR849">
        <v>3</v>
      </c>
      <c r="AS849">
        <v>0</v>
      </c>
      <c r="AT849">
        <v>9</v>
      </c>
      <c r="AU849">
        <v>9</v>
      </c>
      <c r="AV849">
        <v>0</v>
      </c>
      <c r="AW849">
        <v>0</v>
      </c>
      <c r="AX849">
        <v>2</v>
      </c>
      <c r="AY849">
        <v>3</v>
      </c>
      <c r="AZ849">
        <v>1</v>
      </c>
      <c r="BA849">
        <v>0</v>
      </c>
      <c r="BB849">
        <v>0</v>
      </c>
      <c r="BC849" s="2">
        <v>0</v>
      </c>
      <c r="BD849" s="2">
        <v>1</v>
      </c>
      <c r="BE849" s="2">
        <v>0</v>
      </c>
      <c r="BF849" s="2">
        <v>0</v>
      </c>
      <c r="BG849" s="2">
        <v>0</v>
      </c>
      <c r="BH849" s="2">
        <v>3</v>
      </c>
      <c r="BI849" s="2">
        <v>1</v>
      </c>
      <c r="BJ849" s="2">
        <v>1</v>
      </c>
      <c r="BK849" s="2">
        <v>3</v>
      </c>
      <c r="BL849" s="2">
        <v>0</v>
      </c>
      <c r="BM849" s="2">
        <v>9</v>
      </c>
      <c r="BN849" s="2">
        <v>9</v>
      </c>
      <c r="BO849" s="2">
        <v>0</v>
      </c>
      <c r="BP849" s="2">
        <v>0</v>
      </c>
      <c r="BQ849" s="2">
        <v>2</v>
      </c>
      <c r="BR849" s="2">
        <v>3</v>
      </c>
      <c r="BS849" s="2">
        <v>1</v>
      </c>
      <c r="BT849" s="2">
        <v>0</v>
      </c>
      <c r="BU849" s="2">
        <v>0</v>
      </c>
      <c r="BV849" s="2">
        <f t="shared" si="57"/>
        <v>33</v>
      </c>
      <c r="BW849" s="16">
        <f t="shared" si="55"/>
        <v>1.736842105263158</v>
      </c>
      <c r="BX849" s="16">
        <f>COUNTIF($BC$6:BU849, "=0") / COUNTIF($BC$6:BU849, "&gt;-1")</f>
        <v>0.23204040907957096</v>
      </c>
      <c r="BY849" s="18">
        <f>SUM($BC$6:BU849) / $BY$4</f>
        <v>0.92237532958944324</v>
      </c>
      <c r="BZ849" s="14">
        <f t="shared" si="56"/>
        <v>9</v>
      </c>
      <c r="CA849" t="s">
        <v>5832</v>
      </c>
      <c r="CZ849" t="s">
        <v>8191</v>
      </c>
      <c r="DA849" t="s">
        <v>5904</v>
      </c>
      <c r="DB849">
        <v>1411</v>
      </c>
      <c r="DC849" t="s">
        <v>20939</v>
      </c>
      <c r="DD849" t="s">
        <v>13772</v>
      </c>
      <c r="DE849" t="s">
        <v>20940</v>
      </c>
      <c r="DF849" t="s">
        <v>20941</v>
      </c>
      <c r="DG849" t="s">
        <v>20942</v>
      </c>
      <c r="DH849" t="str">
        <f>"HNRNPM"</f>
        <v>HNRNPM</v>
      </c>
      <c r="DI849" t="s">
        <v>20943</v>
      </c>
      <c r="DJ849" t="s">
        <v>13777</v>
      </c>
      <c r="DK849">
        <v>9606</v>
      </c>
      <c r="DL849" s="34" t="str">
        <f>HYPERLINK("http://www.uniprot.org/uniprot/P52272", "P52272")</f>
        <v>P52272</v>
      </c>
      <c r="DM849" t="s">
        <v>20944</v>
      </c>
      <c r="DN849" t="s">
        <v>15152</v>
      </c>
      <c r="DO849" t="s">
        <v>16088</v>
      </c>
      <c r="DP849" t="s">
        <v>13841</v>
      </c>
      <c r="DQ849" t="s">
        <v>13772</v>
      </c>
      <c r="DR849" t="s">
        <v>13772</v>
      </c>
      <c r="DS849" t="s">
        <v>14096</v>
      </c>
      <c r="DT849" t="s">
        <v>13772</v>
      </c>
      <c r="DU849" t="s">
        <v>16089</v>
      </c>
      <c r="DV849" t="s">
        <v>14663</v>
      </c>
      <c r="DW849" t="s">
        <v>13812</v>
      </c>
      <c r="DX849" t="s">
        <v>20945</v>
      </c>
      <c r="DY849" t="s">
        <v>20946</v>
      </c>
      <c r="DZ849" t="s">
        <v>20947</v>
      </c>
      <c r="EA849" t="s">
        <v>13772</v>
      </c>
      <c r="EB849" t="s">
        <v>20948</v>
      </c>
    </row>
    <row r="850" spans="1:132" hidden="1">
      <c r="A850">
        <v>754</v>
      </c>
      <c r="B850">
        <v>1</v>
      </c>
      <c r="C850" t="s">
        <v>1852</v>
      </c>
      <c r="D850" t="s">
        <v>1853</v>
      </c>
      <c r="E850" t="s">
        <v>73</v>
      </c>
      <c r="F850" t="s">
        <v>73</v>
      </c>
      <c r="G850" t="s">
        <v>73</v>
      </c>
      <c r="H850">
        <v>39</v>
      </c>
      <c r="I850">
        <v>241</v>
      </c>
      <c r="J850">
        <v>27412</v>
      </c>
      <c r="K850" t="s">
        <v>1854</v>
      </c>
      <c r="L850">
        <f t="shared" si="54"/>
        <v>33</v>
      </c>
      <c r="N850">
        <v>33</v>
      </c>
      <c r="O850">
        <v>33</v>
      </c>
      <c r="P850">
        <v>1</v>
      </c>
      <c r="Q850">
        <v>1</v>
      </c>
      <c r="R850">
        <v>4</v>
      </c>
      <c r="S850">
        <v>0</v>
      </c>
      <c r="T850">
        <v>1</v>
      </c>
      <c r="U850">
        <v>6</v>
      </c>
      <c r="V850">
        <v>1</v>
      </c>
      <c r="W850">
        <v>1</v>
      </c>
      <c r="X850">
        <v>5</v>
      </c>
      <c r="Y850">
        <v>1</v>
      </c>
      <c r="Z850">
        <v>0</v>
      </c>
      <c r="AA850">
        <v>5</v>
      </c>
      <c r="AB850">
        <v>3</v>
      </c>
      <c r="AC850">
        <v>1</v>
      </c>
      <c r="AD850">
        <v>0</v>
      </c>
      <c r="AE850">
        <v>1</v>
      </c>
      <c r="AF850">
        <v>2</v>
      </c>
      <c r="AG850">
        <v>1</v>
      </c>
      <c r="AH850">
        <v>0</v>
      </c>
      <c r="AI850">
        <v>0</v>
      </c>
      <c r="AJ850">
        <v>1</v>
      </c>
      <c r="AK850">
        <v>4</v>
      </c>
      <c r="AL850">
        <v>0</v>
      </c>
      <c r="AM850">
        <v>1</v>
      </c>
      <c r="AN850">
        <v>6</v>
      </c>
      <c r="AO850">
        <v>1</v>
      </c>
      <c r="AP850">
        <v>1</v>
      </c>
      <c r="AQ850">
        <v>5</v>
      </c>
      <c r="AR850">
        <v>1</v>
      </c>
      <c r="AS850">
        <v>0</v>
      </c>
      <c r="AT850">
        <v>5</v>
      </c>
      <c r="AU850">
        <v>3</v>
      </c>
      <c r="AV850">
        <v>1</v>
      </c>
      <c r="AW850">
        <v>0</v>
      </c>
      <c r="AX850">
        <v>1</v>
      </c>
      <c r="AY850">
        <v>2</v>
      </c>
      <c r="AZ850">
        <v>1</v>
      </c>
      <c r="BA850">
        <v>0</v>
      </c>
      <c r="BB850">
        <v>0</v>
      </c>
      <c r="BC850" s="2">
        <v>1</v>
      </c>
      <c r="BD850" s="2">
        <v>4</v>
      </c>
      <c r="BE850" s="2">
        <v>0</v>
      </c>
      <c r="BF850" s="2">
        <v>1</v>
      </c>
      <c r="BG850" s="2">
        <v>6</v>
      </c>
      <c r="BH850" s="2">
        <v>1</v>
      </c>
      <c r="BI850" s="2">
        <v>1</v>
      </c>
      <c r="BJ850" s="2">
        <v>5</v>
      </c>
      <c r="BK850" s="2">
        <v>1</v>
      </c>
      <c r="BL850" s="2">
        <v>0</v>
      </c>
      <c r="BM850" s="2">
        <v>5</v>
      </c>
      <c r="BN850" s="2">
        <v>3</v>
      </c>
      <c r="BO850" s="2">
        <v>1</v>
      </c>
      <c r="BP850" s="2">
        <v>0</v>
      </c>
      <c r="BQ850" s="2">
        <v>1</v>
      </c>
      <c r="BR850" s="2">
        <v>2</v>
      </c>
      <c r="BS850" s="2">
        <v>1</v>
      </c>
      <c r="BT850" s="2">
        <v>0</v>
      </c>
      <c r="BU850" s="2">
        <v>0</v>
      </c>
      <c r="BV850" s="2">
        <f t="shared" si="57"/>
        <v>33</v>
      </c>
      <c r="BW850" s="16">
        <f t="shared" si="55"/>
        <v>1.736842105263158</v>
      </c>
      <c r="BX850" s="16">
        <f>COUNTIF($BC$6:BU850, "=0") / COUNTIF($BC$6:BU850, "&gt;-1")</f>
        <v>0.23207723450638432</v>
      </c>
      <c r="BY850" s="18">
        <f>SUM($BC$6:BU850) / $BY$4</f>
        <v>0.92251668960611033</v>
      </c>
      <c r="BZ850" s="14">
        <f t="shared" si="56"/>
        <v>5</v>
      </c>
      <c r="CA850" t="s">
        <v>5832</v>
      </c>
      <c r="CZ850" t="s">
        <v>8282</v>
      </c>
      <c r="DA850" t="s">
        <v>5904</v>
      </c>
      <c r="DB850">
        <v>343.2</v>
      </c>
      <c r="DC850" t="s">
        <v>21198</v>
      </c>
      <c r="DD850" t="s">
        <v>21199</v>
      </c>
      <c r="DE850" t="s">
        <v>21200</v>
      </c>
      <c r="DF850" t="s">
        <v>21201</v>
      </c>
      <c r="DG850" t="s">
        <v>21202</v>
      </c>
      <c r="DH850" t="str">
        <f>"GPX4"</f>
        <v>GPX4</v>
      </c>
      <c r="DI850" t="s">
        <v>13772</v>
      </c>
      <c r="DJ850" t="s">
        <v>13777</v>
      </c>
      <c r="DK850">
        <v>9606</v>
      </c>
      <c r="DL850" s="34" t="str">
        <f>HYPERLINK("http://www.uniprot.org/uniprot/P36969", "P36969")</f>
        <v>P36969</v>
      </c>
      <c r="DM850" t="s">
        <v>21203</v>
      </c>
      <c r="DN850" t="s">
        <v>13772</v>
      </c>
      <c r="DO850" t="s">
        <v>21204</v>
      </c>
      <c r="DP850" t="s">
        <v>21205</v>
      </c>
      <c r="DQ850" t="s">
        <v>13772</v>
      </c>
      <c r="DR850" t="s">
        <v>19357</v>
      </c>
      <c r="DS850" t="s">
        <v>14391</v>
      </c>
      <c r="DT850" t="s">
        <v>13772</v>
      </c>
      <c r="DU850" t="s">
        <v>21206</v>
      </c>
      <c r="DV850" t="s">
        <v>13782</v>
      </c>
      <c r="DW850" t="s">
        <v>13812</v>
      </c>
      <c r="DX850" t="s">
        <v>21207</v>
      </c>
      <c r="DY850" t="s">
        <v>21208</v>
      </c>
      <c r="DZ850" t="s">
        <v>21209</v>
      </c>
      <c r="EA850" t="s">
        <v>13772</v>
      </c>
      <c r="EB850" t="s">
        <v>21210</v>
      </c>
    </row>
    <row r="851" spans="1:132" hidden="1">
      <c r="A851">
        <v>759</v>
      </c>
      <c r="B851">
        <v>1</v>
      </c>
      <c r="C851" t="s">
        <v>1865</v>
      </c>
      <c r="D851" t="s">
        <v>73</v>
      </c>
      <c r="E851" t="s">
        <v>73</v>
      </c>
      <c r="F851" t="s">
        <v>73</v>
      </c>
      <c r="G851" t="s">
        <v>73</v>
      </c>
      <c r="H851">
        <v>31.5</v>
      </c>
      <c r="I851">
        <v>476</v>
      </c>
      <c r="J851">
        <v>52862</v>
      </c>
      <c r="K851" t="s">
        <v>1866</v>
      </c>
      <c r="L851">
        <f t="shared" si="54"/>
        <v>33</v>
      </c>
      <c r="N851">
        <v>33</v>
      </c>
      <c r="O851">
        <v>33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17</v>
      </c>
      <c r="Z851">
        <v>0</v>
      </c>
      <c r="AA851">
        <v>7</v>
      </c>
      <c r="AB851">
        <v>1</v>
      </c>
      <c r="AC851">
        <v>8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17</v>
      </c>
      <c r="AS851">
        <v>0</v>
      </c>
      <c r="AT851">
        <v>7</v>
      </c>
      <c r="AU851">
        <v>1</v>
      </c>
      <c r="AV851">
        <v>8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17</v>
      </c>
      <c r="BL851" s="2">
        <v>0</v>
      </c>
      <c r="BM851" s="2">
        <v>7</v>
      </c>
      <c r="BN851" s="2">
        <v>1</v>
      </c>
      <c r="BO851" s="2">
        <v>8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f t="shared" si="57"/>
        <v>33</v>
      </c>
      <c r="BW851" s="16">
        <f t="shared" si="55"/>
        <v>1.736842105263158</v>
      </c>
      <c r="BX851" s="16">
        <f>COUNTIF($BC$6:BU851, "=0") / COUNTIF($BC$6:BU851, "&gt;-1")</f>
        <v>0.23273609555804406</v>
      </c>
      <c r="BY851" s="18">
        <f>SUM($BC$6:BU851) / $BY$4</f>
        <v>0.92265804962277753</v>
      </c>
      <c r="BZ851" s="14">
        <f t="shared" si="56"/>
        <v>15</v>
      </c>
      <c r="CA851" t="s">
        <v>5832</v>
      </c>
      <c r="CZ851" t="s">
        <v>8299</v>
      </c>
      <c r="DA851" t="s">
        <v>5904</v>
      </c>
      <c r="DB851">
        <v>756.9</v>
      </c>
      <c r="DC851" t="s">
        <v>21253</v>
      </c>
      <c r="DD851" t="s">
        <v>21254</v>
      </c>
      <c r="DE851" t="s">
        <v>21255</v>
      </c>
      <c r="DF851" t="s">
        <v>21256</v>
      </c>
      <c r="DG851" t="s">
        <v>21257</v>
      </c>
      <c r="DH851" t="str">
        <f>"HCLS1"</f>
        <v>HCLS1</v>
      </c>
      <c r="DI851" t="s">
        <v>21258</v>
      </c>
      <c r="DJ851" t="s">
        <v>13777</v>
      </c>
      <c r="DK851">
        <v>9606</v>
      </c>
      <c r="DL851" s="34" t="str">
        <f>HYPERLINK("http://www.uniprot.org/uniprot/P14317", "P14317")</f>
        <v>P14317</v>
      </c>
      <c r="DM851" t="s">
        <v>21259</v>
      </c>
      <c r="DN851" t="s">
        <v>13772</v>
      </c>
      <c r="DO851" t="s">
        <v>21260</v>
      </c>
      <c r="DP851" t="s">
        <v>13780</v>
      </c>
      <c r="DQ851" t="s">
        <v>13772</v>
      </c>
      <c r="DR851" t="s">
        <v>13772</v>
      </c>
      <c r="DS851" t="s">
        <v>15028</v>
      </c>
      <c r="DT851" t="s">
        <v>13772</v>
      </c>
      <c r="DU851" t="s">
        <v>13772</v>
      </c>
      <c r="DV851" t="s">
        <v>13886</v>
      </c>
      <c r="DW851" t="s">
        <v>13772</v>
      </c>
      <c r="DX851" t="s">
        <v>21261</v>
      </c>
      <c r="DY851" t="s">
        <v>21262</v>
      </c>
      <c r="DZ851" t="s">
        <v>21263</v>
      </c>
      <c r="EA851" t="s">
        <v>13772</v>
      </c>
      <c r="EB851" t="s">
        <v>13772</v>
      </c>
    </row>
    <row r="852" spans="1:132" hidden="1">
      <c r="A852">
        <v>887</v>
      </c>
      <c r="B852">
        <v>1</v>
      </c>
      <c r="C852" t="s">
        <v>2168</v>
      </c>
      <c r="D852" t="s">
        <v>2169</v>
      </c>
      <c r="E852" t="s">
        <v>73</v>
      </c>
      <c r="F852" t="s">
        <v>73</v>
      </c>
      <c r="G852" t="s">
        <v>73</v>
      </c>
      <c r="H852">
        <v>5.9</v>
      </c>
      <c r="I852">
        <v>1468</v>
      </c>
      <c r="J852">
        <v>163737</v>
      </c>
      <c r="K852" t="s">
        <v>2170</v>
      </c>
      <c r="L852">
        <f t="shared" si="54"/>
        <v>33</v>
      </c>
      <c r="N852">
        <v>33</v>
      </c>
      <c r="O852">
        <v>33</v>
      </c>
      <c r="P852">
        <v>1</v>
      </c>
      <c r="Q852">
        <v>3</v>
      </c>
      <c r="R852">
        <v>0</v>
      </c>
      <c r="S852">
        <v>1</v>
      </c>
      <c r="T852">
        <v>1</v>
      </c>
      <c r="U852">
        <v>2</v>
      </c>
      <c r="V852">
        <v>5</v>
      </c>
      <c r="W852">
        <v>7</v>
      </c>
      <c r="X852">
        <v>6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2</v>
      </c>
      <c r="AG852">
        <v>1</v>
      </c>
      <c r="AH852">
        <v>0</v>
      </c>
      <c r="AI852">
        <v>1</v>
      </c>
      <c r="AJ852">
        <v>3</v>
      </c>
      <c r="AK852">
        <v>0</v>
      </c>
      <c r="AL852">
        <v>1</v>
      </c>
      <c r="AM852">
        <v>1</v>
      </c>
      <c r="AN852">
        <v>2</v>
      </c>
      <c r="AO852">
        <v>5</v>
      </c>
      <c r="AP852">
        <v>7</v>
      </c>
      <c r="AQ852">
        <v>6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1</v>
      </c>
      <c r="AY852">
        <v>2</v>
      </c>
      <c r="AZ852">
        <v>1</v>
      </c>
      <c r="BA852">
        <v>0</v>
      </c>
      <c r="BB852">
        <v>1</v>
      </c>
      <c r="BC852" s="2">
        <v>3</v>
      </c>
      <c r="BD852" s="2">
        <v>0</v>
      </c>
      <c r="BE852" s="2">
        <v>1</v>
      </c>
      <c r="BF852" s="2">
        <v>1</v>
      </c>
      <c r="BG852" s="2">
        <v>2</v>
      </c>
      <c r="BH852" s="2">
        <v>5</v>
      </c>
      <c r="BI852" s="2">
        <v>7</v>
      </c>
      <c r="BJ852" s="2">
        <v>6</v>
      </c>
      <c r="BK852" s="2">
        <v>0</v>
      </c>
      <c r="BL852" s="2">
        <v>0</v>
      </c>
      <c r="BM852" s="2">
        <v>1</v>
      </c>
      <c r="BN852" s="2">
        <v>1</v>
      </c>
      <c r="BO852" s="2">
        <v>1</v>
      </c>
      <c r="BP852" s="2">
        <v>0</v>
      </c>
      <c r="BQ852" s="2">
        <v>1</v>
      </c>
      <c r="BR852" s="2">
        <v>2</v>
      </c>
      <c r="BS852" s="2">
        <v>1</v>
      </c>
      <c r="BT852" s="2">
        <v>0</v>
      </c>
      <c r="BU852" s="2">
        <v>1</v>
      </c>
      <c r="BV852" s="2">
        <f t="shared" si="57"/>
        <v>33</v>
      </c>
      <c r="BW852" s="16">
        <f t="shared" si="55"/>
        <v>1.736842105263158</v>
      </c>
      <c r="BX852" s="16">
        <f>COUNTIF($BC$6:BU852, "=0") / COUNTIF($BC$6:BU852, "&gt;-1")</f>
        <v>0.23277201267631889</v>
      </c>
      <c r="BY852" s="18">
        <f>SUM($BC$6:BU852) / $BY$4</f>
        <v>0.92279940963944462</v>
      </c>
      <c r="BZ852" s="14">
        <f t="shared" si="56"/>
        <v>5</v>
      </c>
      <c r="CA852" t="s">
        <v>5832</v>
      </c>
      <c r="CZ852" t="s">
        <v>8737</v>
      </c>
      <c r="DA852" t="s">
        <v>5904</v>
      </c>
      <c r="DB852">
        <v>2787.7</v>
      </c>
      <c r="DC852" t="s">
        <v>22527</v>
      </c>
      <c r="DD852" t="s">
        <v>13772</v>
      </c>
      <c r="DE852" t="s">
        <v>22528</v>
      </c>
      <c r="DF852" t="s">
        <v>22529</v>
      </c>
      <c r="DG852" t="s">
        <v>22530</v>
      </c>
      <c r="DH852" t="str">
        <f>"PTPRG"</f>
        <v>PTPRG</v>
      </c>
      <c r="DI852" t="s">
        <v>22531</v>
      </c>
      <c r="DJ852" t="s">
        <v>13777</v>
      </c>
      <c r="DK852">
        <v>9606</v>
      </c>
      <c r="DL852" s="34" t="str">
        <f>HYPERLINK("http://www.uniprot.org/uniprot/P23470", "P23470")</f>
        <v>P23470</v>
      </c>
      <c r="DM852" t="s">
        <v>22532</v>
      </c>
      <c r="DN852" t="s">
        <v>13772</v>
      </c>
      <c r="DO852" t="s">
        <v>13825</v>
      </c>
      <c r="DP852" t="s">
        <v>13780</v>
      </c>
      <c r="DQ852" t="s">
        <v>13772</v>
      </c>
      <c r="DR852" t="s">
        <v>13772</v>
      </c>
      <c r="DS852" t="s">
        <v>13826</v>
      </c>
      <c r="DT852" t="s">
        <v>13772</v>
      </c>
      <c r="DU852" t="s">
        <v>16320</v>
      </c>
      <c r="DV852" t="s">
        <v>13964</v>
      </c>
      <c r="DW852" t="s">
        <v>13812</v>
      </c>
      <c r="DX852" t="s">
        <v>22533</v>
      </c>
      <c r="DY852" t="s">
        <v>22534</v>
      </c>
      <c r="DZ852" t="s">
        <v>22535</v>
      </c>
      <c r="EA852" t="s">
        <v>13772</v>
      </c>
      <c r="EB852" t="s">
        <v>13772</v>
      </c>
    </row>
    <row r="853" spans="1:132" hidden="1">
      <c r="A853">
        <v>1203</v>
      </c>
      <c r="B853">
        <v>1</v>
      </c>
      <c r="C853" t="s">
        <v>2886</v>
      </c>
      <c r="D853" t="s">
        <v>73</v>
      </c>
      <c r="E853" t="s">
        <v>73</v>
      </c>
      <c r="F853" t="s">
        <v>73</v>
      </c>
      <c r="G853" t="s">
        <v>73</v>
      </c>
      <c r="H853">
        <v>44.6</v>
      </c>
      <c r="I853">
        <v>296</v>
      </c>
      <c r="J853">
        <v>31793</v>
      </c>
      <c r="K853" t="s">
        <v>2887</v>
      </c>
      <c r="L853">
        <f t="shared" si="54"/>
        <v>33</v>
      </c>
      <c r="N853">
        <v>33</v>
      </c>
      <c r="O853">
        <v>33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2</v>
      </c>
      <c r="V853">
        <v>0</v>
      </c>
      <c r="W853">
        <v>4</v>
      </c>
      <c r="X853">
        <v>1</v>
      </c>
      <c r="Y853">
        <v>2</v>
      </c>
      <c r="Z853">
        <v>2</v>
      </c>
      <c r="AA853">
        <v>2</v>
      </c>
      <c r="AB853">
        <v>1</v>
      </c>
      <c r="AC853">
        <v>1</v>
      </c>
      <c r="AD853">
        <v>0</v>
      </c>
      <c r="AE853">
        <v>10</v>
      </c>
      <c r="AF853">
        <v>3</v>
      </c>
      <c r="AG853">
        <v>2</v>
      </c>
      <c r="AH853">
        <v>1</v>
      </c>
      <c r="AI853">
        <v>2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4</v>
      </c>
      <c r="AQ853">
        <v>1</v>
      </c>
      <c r="AR853">
        <v>2</v>
      </c>
      <c r="AS853">
        <v>2</v>
      </c>
      <c r="AT853">
        <v>2</v>
      </c>
      <c r="AU853">
        <v>1</v>
      </c>
      <c r="AV853">
        <v>1</v>
      </c>
      <c r="AW853">
        <v>0</v>
      </c>
      <c r="AX853">
        <v>10</v>
      </c>
      <c r="AY853">
        <v>3</v>
      </c>
      <c r="AZ853">
        <v>2</v>
      </c>
      <c r="BA853">
        <v>1</v>
      </c>
      <c r="BB853">
        <v>2</v>
      </c>
      <c r="BC853" s="2">
        <v>0</v>
      </c>
      <c r="BD853" s="2">
        <v>0</v>
      </c>
      <c r="BE853" s="2">
        <v>0</v>
      </c>
      <c r="BF853" s="2">
        <v>0</v>
      </c>
      <c r="BG853" s="2">
        <v>2</v>
      </c>
      <c r="BH853" s="2">
        <v>0</v>
      </c>
      <c r="BI853" s="2">
        <v>4</v>
      </c>
      <c r="BJ853" s="2">
        <v>1</v>
      </c>
      <c r="BK853" s="2">
        <v>2</v>
      </c>
      <c r="BL853" s="2">
        <v>2</v>
      </c>
      <c r="BM853" s="2">
        <v>2</v>
      </c>
      <c r="BN853" s="2">
        <v>1</v>
      </c>
      <c r="BO853" s="2">
        <v>1</v>
      </c>
      <c r="BP853" s="2">
        <v>0</v>
      </c>
      <c r="BQ853" s="2">
        <v>10</v>
      </c>
      <c r="BR853" s="2">
        <v>3</v>
      </c>
      <c r="BS853" s="2">
        <v>2</v>
      </c>
      <c r="BT853" s="2">
        <v>1</v>
      </c>
      <c r="BU853" s="2">
        <v>2</v>
      </c>
      <c r="BV853" s="2">
        <f t="shared" si="57"/>
        <v>33</v>
      </c>
      <c r="BW853" s="16">
        <f t="shared" si="55"/>
        <v>1.736842105263158</v>
      </c>
      <c r="BX853" s="16">
        <f>COUNTIF($BC$6:BU853, "=0") / COUNTIF($BC$6:BU853, "&gt;-1")</f>
        <v>0.23286991062562065</v>
      </c>
      <c r="BY853" s="18">
        <f>SUM($BC$6:BU853) / $BY$4</f>
        <v>0.92294076965611171</v>
      </c>
      <c r="BZ853" s="14">
        <f t="shared" si="56"/>
        <v>6</v>
      </c>
      <c r="CA853" t="s">
        <v>5832</v>
      </c>
      <c r="CZ853" t="s">
        <v>9734</v>
      </c>
      <c r="DA853" t="s">
        <v>5904</v>
      </c>
      <c r="DB853">
        <v>484.6</v>
      </c>
      <c r="DC853" t="s">
        <v>25384</v>
      </c>
      <c r="DD853" t="s">
        <v>25385</v>
      </c>
      <c r="DE853" t="s">
        <v>25386</v>
      </c>
      <c r="DF853" t="s">
        <v>25387</v>
      </c>
      <c r="DG853" t="s">
        <v>25388</v>
      </c>
      <c r="DH853" t="str">
        <f>"MYOZ1"</f>
        <v>MYOZ1</v>
      </c>
      <c r="DI853" t="s">
        <v>13772</v>
      </c>
      <c r="DJ853" t="s">
        <v>13777</v>
      </c>
      <c r="DK853">
        <v>9606</v>
      </c>
      <c r="DL853" s="34" t="str">
        <f>HYPERLINK("http://www.uniprot.org/uniprot/Q9NP98", "Q9NP98")</f>
        <v>Q9NP98</v>
      </c>
      <c r="DM853" t="s">
        <v>25389</v>
      </c>
      <c r="DN853" t="s">
        <v>13772</v>
      </c>
      <c r="DO853" t="s">
        <v>25390</v>
      </c>
      <c r="DP853" t="s">
        <v>13772</v>
      </c>
      <c r="DQ853" t="s">
        <v>13772</v>
      </c>
      <c r="DR853" t="s">
        <v>13772</v>
      </c>
      <c r="DS853" t="s">
        <v>13772</v>
      </c>
      <c r="DT853" t="s">
        <v>13772</v>
      </c>
      <c r="DU853" t="s">
        <v>13772</v>
      </c>
      <c r="DV853" t="s">
        <v>13782</v>
      </c>
      <c r="DW853" t="s">
        <v>13772</v>
      </c>
      <c r="DX853" t="s">
        <v>25391</v>
      </c>
      <c r="DY853" t="s">
        <v>25392</v>
      </c>
      <c r="DZ853" t="s">
        <v>25393</v>
      </c>
      <c r="EA853" t="s">
        <v>13772</v>
      </c>
      <c r="EB853" t="s">
        <v>13772</v>
      </c>
    </row>
    <row r="854" spans="1:132" hidden="1">
      <c r="A854">
        <v>1443</v>
      </c>
      <c r="B854">
        <v>1</v>
      </c>
      <c r="C854" t="s">
        <v>3437</v>
      </c>
      <c r="D854" t="s">
        <v>73</v>
      </c>
      <c r="E854" t="s">
        <v>73</v>
      </c>
      <c r="F854" t="s">
        <v>73</v>
      </c>
      <c r="G854" t="s">
        <v>73</v>
      </c>
      <c r="H854">
        <v>44.9</v>
      </c>
      <c r="I854">
        <v>205</v>
      </c>
      <c r="J854">
        <v>22882</v>
      </c>
      <c r="K854" t="s">
        <v>3438</v>
      </c>
      <c r="L854">
        <f t="shared" si="54"/>
        <v>33</v>
      </c>
      <c r="N854">
        <v>33</v>
      </c>
      <c r="O854">
        <v>33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4</v>
      </c>
      <c r="W854">
        <v>2</v>
      </c>
      <c r="X854">
        <v>4</v>
      </c>
      <c r="Y854">
        <v>4</v>
      </c>
      <c r="Z854">
        <v>0</v>
      </c>
      <c r="AA854">
        <v>7</v>
      </c>
      <c r="AB854">
        <v>1</v>
      </c>
      <c r="AC854">
        <v>1</v>
      </c>
      <c r="AD854">
        <v>0</v>
      </c>
      <c r="AE854">
        <v>4</v>
      </c>
      <c r="AF854">
        <v>5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4</v>
      </c>
      <c r="AP854">
        <v>2</v>
      </c>
      <c r="AQ854">
        <v>4</v>
      </c>
      <c r="AR854">
        <v>4</v>
      </c>
      <c r="AS854">
        <v>0</v>
      </c>
      <c r="AT854">
        <v>7</v>
      </c>
      <c r="AU854">
        <v>1</v>
      </c>
      <c r="AV854">
        <v>1</v>
      </c>
      <c r="AW854">
        <v>0</v>
      </c>
      <c r="AX854">
        <v>4</v>
      </c>
      <c r="AY854">
        <v>5</v>
      </c>
      <c r="AZ854">
        <v>0</v>
      </c>
      <c r="BA854">
        <v>0</v>
      </c>
      <c r="BB854">
        <v>0</v>
      </c>
      <c r="BC854" s="2">
        <v>0</v>
      </c>
      <c r="BD854" s="2">
        <v>1</v>
      </c>
      <c r="BE854" s="2">
        <v>0</v>
      </c>
      <c r="BF854" s="2">
        <v>0</v>
      </c>
      <c r="BG854" s="2">
        <v>0</v>
      </c>
      <c r="BH854" s="2">
        <v>4</v>
      </c>
      <c r="BI854" s="2">
        <v>2</v>
      </c>
      <c r="BJ854" s="2">
        <v>4</v>
      </c>
      <c r="BK854" s="2">
        <v>4</v>
      </c>
      <c r="BL854" s="2">
        <v>0</v>
      </c>
      <c r="BM854" s="2">
        <v>7</v>
      </c>
      <c r="BN854" s="2">
        <v>1</v>
      </c>
      <c r="BO854" s="2">
        <v>1</v>
      </c>
      <c r="BP854" s="2">
        <v>0</v>
      </c>
      <c r="BQ854" s="2">
        <v>4</v>
      </c>
      <c r="BR854" s="2">
        <v>5</v>
      </c>
      <c r="BS854" s="2">
        <v>0</v>
      </c>
      <c r="BT854" s="2">
        <v>0</v>
      </c>
      <c r="BU854" s="2">
        <v>0</v>
      </c>
      <c r="BV854" s="2">
        <f t="shared" si="57"/>
        <v>33</v>
      </c>
      <c r="BW854" s="16">
        <f t="shared" si="55"/>
        <v>1.736842105263158</v>
      </c>
      <c r="BX854" s="16">
        <f>COUNTIF($BC$6:BU854, "=0") / COUNTIF($BC$6:BU854, "&gt;-1")</f>
        <v>0.23315355526625753</v>
      </c>
      <c r="BY854" s="18">
        <f>SUM($BC$6:BU854) / $BY$4</f>
        <v>0.92308212967277881</v>
      </c>
      <c r="BZ854" s="14">
        <f t="shared" si="56"/>
        <v>9</v>
      </c>
      <c r="CA854" t="s">
        <v>5832</v>
      </c>
      <c r="CZ854" t="s">
        <v>10541</v>
      </c>
      <c r="DA854" t="s">
        <v>5904</v>
      </c>
      <c r="DB854">
        <v>371.7</v>
      </c>
      <c r="DC854" t="s">
        <v>27644</v>
      </c>
      <c r="DD854" t="s">
        <v>27645</v>
      </c>
      <c r="DE854" t="s">
        <v>27646</v>
      </c>
      <c r="DF854" t="s">
        <v>27647</v>
      </c>
      <c r="DG854" t="s">
        <v>27648</v>
      </c>
      <c r="DH854" t="str">
        <f>"HEBP2"</f>
        <v>HEBP2</v>
      </c>
      <c r="DI854" t="s">
        <v>27649</v>
      </c>
      <c r="DJ854" t="s">
        <v>13777</v>
      </c>
      <c r="DK854">
        <v>9606</v>
      </c>
      <c r="DL854" s="34" t="str">
        <f>HYPERLINK("http://www.uniprot.org/uniprot/Q9Y5Z4", "Q9Y5Z4")</f>
        <v>Q9Y5Z4</v>
      </c>
      <c r="DM854" t="s">
        <v>27650</v>
      </c>
      <c r="DN854" t="s">
        <v>13772</v>
      </c>
      <c r="DO854" t="s">
        <v>21204</v>
      </c>
      <c r="DP854" t="s">
        <v>13780</v>
      </c>
      <c r="DQ854" t="s">
        <v>13772</v>
      </c>
      <c r="DR854" t="s">
        <v>13772</v>
      </c>
      <c r="DS854" t="s">
        <v>13772</v>
      </c>
      <c r="DT854" t="s">
        <v>13772</v>
      </c>
      <c r="DU854" t="s">
        <v>13772</v>
      </c>
      <c r="DV854" t="s">
        <v>13886</v>
      </c>
      <c r="DW854" t="s">
        <v>13812</v>
      </c>
      <c r="DX854" t="s">
        <v>27651</v>
      </c>
      <c r="DY854" t="s">
        <v>27652</v>
      </c>
      <c r="DZ854" t="s">
        <v>25284</v>
      </c>
      <c r="EA854" t="s">
        <v>13772</v>
      </c>
      <c r="EB854" t="s">
        <v>13890</v>
      </c>
    </row>
    <row r="855" spans="1:132" hidden="1">
      <c r="A855">
        <v>1444</v>
      </c>
      <c r="B855">
        <v>1</v>
      </c>
      <c r="C855" t="s">
        <v>3439</v>
      </c>
      <c r="D855" t="s">
        <v>3440</v>
      </c>
      <c r="E855" t="s">
        <v>73</v>
      </c>
      <c r="F855" t="s">
        <v>73</v>
      </c>
      <c r="G855" t="s">
        <v>73</v>
      </c>
      <c r="H855">
        <v>29.4</v>
      </c>
      <c r="I855">
        <v>306</v>
      </c>
      <c r="J855">
        <v>33811</v>
      </c>
      <c r="K855" t="s">
        <v>3441</v>
      </c>
      <c r="L855">
        <f t="shared" si="54"/>
        <v>33</v>
      </c>
      <c r="N855">
        <v>33</v>
      </c>
      <c r="O855">
        <v>33</v>
      </c>
      <c r="P855">
        <v>1</v>
      </c>
      <c r="Q855">
        <v>2</v>
      </c>
      <c r="R855">
        <v>9</v>
      </c>
      <c r="S855">
        <v>2</v>
      </c>
      <c r="T855">
        <v>4</v>
      </c>
      <c r="U855">
        <v>6</v>
      </c>
      <c r="V855">
        <v>3</v>
      </c>
      <c r="W855">
        <v>3</v>
      </c>
      <c r="X855">
        <v>1</v>
      </c>
      <c r="Y855">
        <v>1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</v>
      </c>
      <c r="AK855">
        <v>9</v>
      </c>
      <c r="AL855">
        <v>2</v>
      </c>
      <c r="AM855">
        <v>4</v>
      </c>
      <c r="AN855">
        <v>6</v>
      </c>
      <c r="AO855">
        <v>3</v>
      </c>
      <c r="AP855">
        <v>3</v>
      </c>
      <c r="AQ855">
        <v>1</v>
      </c>
      <c r="AR855">
        <v>1</v>
      </c>
      <c r="AS855">
        <v>0</v>
      </c>
      <c r="AT855">
        <v>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 s="2">
        <v>2</v>
      </c>
      <c r="BD855" s="2">
        <v>9</v>
      </c>
      <c r="BE855" s="2">
        <v>2</v>
      </c>
      <c r="BF855" s="2">
        <v>4</v>
      </c>
      <c r="BG855" s="2">
        <v>6</v>
      </c>
      <c r="BH855" s="2">
        <v>3</v>
      </c>
      <c r="BI855" s="2">
        <v>3</v>
      </c>
      <c r="BJ855" s="2">
        <v>1</v>
      </c>
      <c r="BK855" s="2">
        <v>1</v>
      </c>
      <c r="BL855" s="2">
        <v>0</v>
      </c>
      <c r="BM855" s="2">
        <v>2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f t="shared" si="57"/>
        <v>33</v>
      </c>
      <c r="BW855" s="16">
        <f t="shared" si="55"/>
        <v>1.736842105263158</v>
      </c>
      <c r="BX855" s="16">
        <f>COUNTIF($BC$6:BU855, "=0") / COUNTIF($BC$6:BU855, "&gt;-1")</f>
        <v>0.23343653250773994</v>
      </c>
      <c r="BY855" s="18">
        <f>SUM($BC$6:BU855) / $BY$4</f>
        <v>0.9232234896894459</v>
      </c>
      <c r="BZ855" s="14">
        <f t="shared" si="56"/>
        <v>9</v>
      </c>
      <c r="CA855" t="s">
        <v>5832</v>
      </c>
      <c r="CZ855" t="s">
        <v>10545</v>
      </c>
      <c r="DA855" t="s">
        <v>5904</v>
      </c>
      <c r="DB855">
        <v>556.20000000000005</v>
      </c>
      <c r="DC855" t="s">
        <v>27653</v>
      </c>
      <c r="DD855" t="s">
        <v>27654</v>
      </c>
      <c r="DE855" t="s">
        <v>27655</v>
      </c>
      <c r="DF855" t="s">
        <v>27656</v>
      </c>
      <c r="DG855" t="s">
        <v>27657</v>
      </c>
      <c r="DH855" t="str">
        <f>"VTA1"</f>
        <v>VTA1</v>
      </c>
      <c r="DI855" t="s">
        <v>27658</v>
      </c>
      <c r="DJ855" t="s">
        <v>13777</v>
      </c>
      <c r="DK855">
        <v>9606</v>
      </c>
      <c r="DL855" s="34" t="str">
        <f>HYPERLINK("http://www.uniprot.org/uniprot/Q9NP79", "Q9NP79")</f>
        <v>Q9NP79</v>
      </c>
      <c r="DM855" t="s">
        <v>27659</v>
      </c>
      <c r="DN855" t="s">
        <v>14347</v>
      </c>
      <c r="DO855" t="s">
        <v>17403</v>
      </c>
      <c r="DP855" t="s">
        <v>13780</v>
      </c>
      <c r="DQ855" t="s">
        <v>13772</v>
      </c>
      <c r="DR855" t="s">
        <v>13772</v>
      </c>
      <c r="DS855" t="s">
        <v>13772</v>
      </c>
      <c r="DT855" t="s">
        <v>13772</v>
      </c>
      <c r="DU855" t="s">
        <v>13772</v>
      </c>
      <c r="DV855" t="s">
        <v>14020</v>
      </c>
      <c r="DW855" t="s">
        <v>13812</v>
      </c>
      <c r="DX855" t="s">
        <v>27660</v>
      </c>
      <c r="DY855" t="s">
        <v>27661</v>
      </c>
      <c r="DZ855" t="s">
        <v>20978</v>
      </c>
      <c r="EA855" t="s">
        <v>13772</v>
      </c>
      <c r="EB855" t="s">
        <v>16863</v>
      </c>
    </row>
    <row r="856" spans="1:132" hidden="1">
      <c r="A856">
        <v>1724</v>
      </c>
      <c r="B856">
        <v>1</v>
      </c>
      <c r="C856" t="s">
        <v>4079</v>
      </c>
      <c r="D856" t="s">
        <v>73</v>
      </c>
      <c r="E856" t="s">
        <v>73</v>
      </c>
      <c r="F856" t="s">
        <v>73</v>
      </c>
      <c r="G856" t="s">
        <v>73</v>
      </c>
      <c r="H856">
        <v>25.1</v>
      </c>
      <c r="I856">
        <v>411</v>
      </c>
      <c r="J856">
        <v>46342</v>
      </c>
      <c r="K856" t="s">
        <v>4080</v>
      </c>
      <c r="L856">
        <f t="shared" si="54"/>
        <v>33</v>
      </c>
      <c r="N856">
        <v>33</v>
      </c>
      <c r="O856">
        <v>33</v>
      </c>
      <c r="P856">
        <v>1</v>
      </c>
      <c r="Q856">
        <v>0</v>
      </c>
      <c r="R856">
        <v>7</v>
      </c>
      <c r="S856">
        <v>2</v>
      </c>
      <c r="T856">
        <v>6</v>
      </c>
      <c r="U856">
        <v>7</v>
      </c>
      <c r="V856">
        <v>4</v>
      </c>
      <c r="W856">
        <v>2</v>
      </c>
      <c r="X856">
        <v>3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7</v>
      </c>
      <c r="AL856">
        <v>2</v>
      </c>
      <c r="AM856">
        <v>6</v>
      </c>
      <c r="AN856">
        <v>7</v>
      </c>
      <c r="AO856">
        <v>4</v>
      </c>
      <c r="AP856">
        <v>2</v>
      </c>
      <c r="AQ856">
        <v>3</v>
      </c>
      <c r="AR856">
        <v>0</v>
      </c>
      <c r="AS856">
        <v>0</v>
      </c>
      <c r="AT856">
        <v>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 s="2">
        <v>0</v>
      </c>
      <c r="BD856" s="2">
        <v>7</v>
      </c>
      <c r="BE856" s="2">
        <v>2</v>
      </c>
      <c r="BF856" s="2">
        <v>6</v>
      </c>
      <c r="BG856" s="2">
        <v>7</v>
      </c>
      <c r="BH856" s="2">
        <v>4</v>
      </c>
      <c r="BI856" s="2">
        <v>2</v>
      </c>
      <c r="BJ856" s="2">
        <v>3</v>
      </c>
      <c r="BK856" s="2">
        <v>0</v>
      </c>
      <c r="BL856" s="2">
        <v>0</v>
      </c>
      <c r="BM856" s="2">
        <v>2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f t="shared" si="57"/>
        <v>33</v>
      </c>
      <c r="BW856" s="16">
        <f t="shared" si="55"/>
        <v>1.736842105263158</v>
      </c>
      <c r="BX856" s="16">
        <f>COUNTIF($BC$6:BU856, "=0") / COUNTIF($BC$6:BU856, "&gt;-1")</f>
        <v>0.23384253819036427</v>
      </c>
      <c r="BY856" s="18">
        <f>SUM($BC$6:BU856) / $BY$4</f>
        <v>0.9233648497061131</v>
      </c>
      <c r="BZ856" s="14">
        <f t="shared" si="56"/>
        <v>11</v>
      </c>
      <c r="CA856" t="s">
        <v>5832</v>
      </c>
      <c r="CZ856" t="s">
        <v>11497</v>
      </c>
      <c r="DA856" t="s">
        <v>5904</v>
      </c>
      <c r="DB856">
        <v>832.4</v>
      </c>
      <c r="DC856" t="s">
        <v>30321</v>
      </c>
      <c r="DD856" t="s">
        <v>30322</v>
      </c>
      <c r="DE856" t="s">
        <v>30323</v>
      </c>
      <c r="DF856" t="s">
        <v>30324</v>
      </c>
      <c r="DG856" t="s">
        <v>30325</v>
      </c>
      <c r="DH856" t="str">
        <f>"BROX"</f>
        <v>BROX</v>
      </c>
      <c r="DI856" t="s">
        <v>30326</v>
      </c>
      <c r="DJ856" t="s">
        <v>13777</v>
      </c>
      <c r="DK856">
        <v>9606</v>
      </c>
      <c r="DL856" s="34" t="str">
        <f>HYPERLINK("http://www.uniprot.org/uniprot/Q5VW32", "Q5VW32")</f>
        <v>Q5VW32</v>
      </c>
      <c r="DM856" t="s">
        <v>30327</v>
      </c>
      <c r="DN856" t="s">
        <v>13772</v>
      </c>
      <c r="DO856" t="s">
        <v>13825</v>
      </c>
      <c r="DP856" t="s">
        <v>13841</v>
      </c>
      <c r="DQ856" t="s">
        <v>13772</v>
      </c>
      <c r="DR856" t="s">
        <v>13772</v>
      </c>
      <c r="DS856" t="s">
        <v>13772</v>
      </c>
      <c r="DT856" t="s">
        <v>13772</v>
      </c>
      <c r="DU856" t="s">
        <v>13772</v>
      </c>
      <c r="DV856" t="s">
        <v>14896</v>
      </c>
      <c r="DW856" t="s">
        <v>13812</v>
      </c>
      <c r="DX856" t="s">
        <v>13772</v>
      </c>
      <c r="DY856" t="s">
        <v>30328</v>
      </c>
      <c r="DZ856" t="s">
        <v>13772</v>
      </c>
      <c r="EA856" t="s">
        <v>13772</v>
      </c>
      <c r="EB856" t="s">
        <v>13772</v>
      </c>
    </row>
    <row r="857" spans="1:132" hidden="1">
      <c r="A857">
        <v>1793</v>
      </c>
      <c r="B857">
        <v>1</v>
      </c>
      <c r="C857" t="s">
        <v>4241</v>
      </c>
      <c r="D857" t="s">
        <v>73</v>
      </c>
      <c r="E857" t="s">
        <v>73</v>
      </c>
      <c r="F857" t="s">
        <v>73</v>
      </c>
      <c r="G857" t="s">
        <v>73</v>
      </c>
      <c r="H857">
        <v>33.299999999999997</v>
      </c>
      <c r="I857">
        <v>378</v>
      </c>
      <c r="J857">
        <v>41795</v>
      </c>
      <c r="K857" t="s">
        <v>4242</v>
      </c>
      <c r="L857">
        <f t="shared" si="54"/>
        <v>33</v>
      </c>
      <c r="N857">
        <v>33</v>
      </c>
      <c r="O857">
        <v>33</v>
      </c>
      <c r="P857">
        <v>1</v>
      </c>
      <c r="Q857">
        <v>1</v>
      </c>
      <c r="R857">
        <v>2</v>
      </c>
      <c r="S857">
        <v>4</v>
      </c>
      <c r="T857">
        <v>2</v>
      </c>
      <c r="U857">
        <v>9</v>
      </c>
      <c r="V857">
        <v>8</v>
      </c>
      <c r="W857">
        <v>5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2</v>
      </c>
      <c r="AL857">
        <v>4</v>
      </c>
      <c r="AM857">
        <v>2</v>
      </c>
      <c r="AN857">
        <v>9</v>
      </c>
      <c r="AO857">
        <v>8</v>
      </c>
      <c r="AP857">
        <v>5</v>
      </c>
      <c r="AQ857">
        <v>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 s="2">
        <v>1</v>
      </c>
      <c r="BD857" s="2">
        <v>2</v>
      </c>
      <c r="BE857" s="2">
        <v>4</v>
      </c>
      <c r="BF857" s="2">
        <v>2</v>
      </c>
      <c r="BG857" s="2">
        <v>9</v>
      </c>
      <c r="BH857" s="2">
        <v>8</v>
      </c>
      <c r="BI857" s="2">
        <v>5</v>
      </c>
      <c r="BJ857" s="2">
        <v>2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f t="shared" si="57"/>
        <v>33</v>
      </c>
      <c r="BW857" s="16">
        <f t="shared" si="55"/>
        <v>1.736842105263158</v>
      </c>
      <c r="BX857" s="16">
        <f>COUNTIF($BC$6:BU857, "=0") / COUNTIF($BC$6:BU857, "&gt;-1")</f>
        <v>0.23424759080800592</v>
      </c>
      <c r="BY857" s="18">
        <f>SUM($BC$6:BU857) / $BY$4</f>
        <v>0.92350620972278019</v>
      </c>
      <c r="BZ857" s="14">
        <f t="shared" si="56"/>
        <v>11</v>
      </c>
      <c r="CA857" t="s">
        <v>5832</v>
      </c>
      <c r="CZ857" t="s">
        <v>11728</v>
      </c>
      <c r="DA857" t="s">
        <v>5904</v>
      </c>
      <c r="DB857">
        <v>646</v>
      </c>
      <c r="DC857" t="s">
        <v>31008</v>
      </c>
      <c r="DD857" t="s">
        <v>13772</v>
      </c>
      <c r="DE857" t="s">
        <v>31009</v>
      </c>
      <c r="DF857" t="s">
        <v>31010</v>
      </c>
      <c r="DG857" t="s">
        <v>31011</v>
      </c>
      <c r="DH857" t="str">
        <f>"NPHS2"</f>
        <v>NPHS2</v>
      </c>
      <c r="DI857" t="s">
        <v>13772</v>
      </c>
      <c r="DJ857" t="s">
        <v>13777</v>
      </c>
      <c r="DK857">
        <v>9606</v>
      </c>
      <c r="DL857" s="34" t="str">
        <f>HYPERLINK("http://www.uniprot.org/uniprot/Q9NP85", "Q9NP85")</f>
        <v>Q9NP85</v>
      </c>
      <c r="DM857" t="s">
        <v>31012</v>
      </c>
      <c r="DN857" t="s">
        <v>13772</v>
      </c>
      <c r="DO857" t="s">
        <v>24225</v>
      </c>
      <c r="DP857" t="s">
        <v>13841</v>
      </c>
      <c r="DQ857" t="s">
        <v>13772</v>
      </c>
      <c r="DR857" t="s">
        <v>13807</v>
      </c>
      <c r="DS857" t="s">
        <v>13772</v>
      </c>
      <c r="DT857" t="s">
        <v>13772</v>
      </c>
      <c r="DU857" t="s">
        <v>13772</v>
      </c>
      <c r="DV857" t="s">
        <v>25198</v>
      </c>
      <c r="DW857" t="s">
        <v>13772</v>
      </c>
      <c r="DX857" t="s">
        <v>31013</v>
      </c>
      <c r="DY857" t="s">
        <v>31014</v>
      </c>
      <c r="DZ857" t="s">
        <v>13772</v>
      </c>
      <c r="EA857" t="s">
        <v>13772</v>
      </c>
      <c r="EB857" t="s">
        <v>27088</v>
      </c>
    </row>
    <row r="858" spans="1:132" hidden="1">
      <c r="A858">
        <v>2087</v>
      </c>
      <c r="B858">
        <v>1</v>
      </c>
      <c r="C858" t="s">
        <v>4904</v>
      </c>
      <c r="D858" t="s">
        <v>73</v>
      </c>
      <c r="E858" t="s">
        <v>73</v>
      </c>
      <c r="F858" t="s">
        <v>73</v>
      </c>
      <c r="G858" t="s">
        <v>73</v>
      </c>
      <c r="H858">
        <v>49</v>
      </c>
      <c r="I858">
        <v>196</v>
      </c>
      <c r="J858">
        <v>21610</v>
      </c>
      <c r="K858" t="s">
        <v>4905</v>
      </c>
      <c r="L858">
        <f t="shared" si="54"/>
        <v>33</v>
      </c>
      <c r="N858">
        <v>33</v>
      </c>
      <c r="O858">
        <v>33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</v>
      </c>
      <c r="Z858">
        <v>0</v>
      </c>
      <c r="AA858">
        <v>11</v>
      </c>
      <c r="AB858">
        <v>5</v>
      </c>
      <c r="AC858">
        <v>5</v>
      </c>
      <c r="AD858">
        <v>0</v>
      </c>
      <c r="AE858">
        <v>0</v>
      </c>
      <c r="AF858">
        <v>4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5</v>
      </c>
      <c r="AS858">
        <v>0</v>
      </c>
      <c r="AT858">
        <v>11</v>
      </c>
      <c r="AU858">
        <v>5</v>
      </c>
      <c r="AV858">
        <v>5</v>
      </c>
      <c r="AW858">
        <v>0</v>
      </c>
      <c r="AX858">
        <v>0</v>
      </c>
      <c r="AY858">
        <v>4</v>
      </c>
      <c r="AZ858">
        <v>0</v>
      </c>
      <c r="BA858">
        <v>0</v>
      </c>
      <c r="BB858">
        <v>2</v>
      </c>
      <c r="BC858" s="2">
        <v>0</v>
      </c>
      <c r="BD858" s="2">
        <v>0</v>
      </c>
      <c r="BE858" s="2">
        <v>1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5</v>
      </c>
      <c r="BL858" s="2">
        <v>0</v>
      </c>
      <c r="BM858" s="2">
        <v>11</v>
      </c>
      <c r="BN858" s="2">
        <v>5</v>
      </c>
      <c r="BO858" s="2">
        <v>5</v>
      </c>
      <c r="BP858" s="2">
        <v>0</v>
      </c>
      <c r="BQ858" s="2">
        <v>0</v>
      </c>
      <c r="BR858" s="2">
        <v>4</v>
      </c>
      <c r="BS858" s="2">
        <v>0</v>
      </c>
      <c r="BT858" s="2">
        <v>0</v>
      </c>
      <c r="BU858" s="2">
        <v>2</v>
      </c>
      <c r="BV858" s="2">
        <f t="shared" si="57"/>
        <v>33</v>
      </c>
      <c r="BW858" s="16">
        <f t="shared" si="55"/>
        <v>1.736842105263158</v>
      </c>
      <c r="BX858" s="16">
        <f>COUNTIF($BC$6:BU858, "=0") / COUNTIF($BC$6:BU858, "&gt;-1")</f>
        <v>0.23471339544641204</v>
      </c>
      <c r="BY858" s="18">
        <f>SUM($BC$6:BU858) / $BY$4</f>
        <v>0.92364756973944728</v>
      </c>
      <c r="BZ858" s="14">
        <f t="shared" si="56"/>
        <v>12</v>
      </c>
      <c r="CA858" t="s">
        <v>5832</v>
      </c>
      <c r="CZ858" t="s">
        <v>12711</v>
      </c>
      <c r="DA858" t="s">
        <v>5904</v>
      </c>
      <c r="DB858">
        <v>263.5</v>
      </c>
      <c r="DC858" t="s">
        <v>33763</v>
      </c>
      <c r="DD858" t="s">
        <v>33764</v>
      </c>
      <c r="DE858" t="s">
        <v>33765</v>
      </c>
      <c r="DF858" t="s">
        <v>33766</v>
      </c>
      <c r="DG858" t="s">
        <v>33767</v>
      </c>
      <c r="DH858" t="str">
        <f>"PGLYRP1"</f>
        <v>PGLYRP1</v>
      </c>
      <c r="DI858" t="s">
        <v>33768</v>
      </c>
      <c r="DJ858" t="s">
        <v>13777</v>
      </c>
      <c r="DK858">
        <v>9606</v>
      </c>
      <c r="DL858" s="34" t="str">
        <f>HYPERLINK("http://www.uniprot.org/uniprot/O75594", "O75594")</f>
        <v>O75594</v>
      </c>
      <c r="DM858" t="s">
        <v>33769</v>
      </c>
      <c r="DN858" t="s">
        <v>22793</v>
      </c>
      <c r="DO858" t="s">
        <v>14321</v>
      </c>
      <c r="DP858" t="s">
        <v>13793</v>
      </c>
      <c r="DQ858" t="s">
        <v>13772</v>
      </c>
      <c r="DR858" t="s">
        <v>13772</v>
      </c>
      <c r="DS858" t="s">
        <v>13808</v>
      </c>
      <c r="DT858" t="s">
        <v>13772</v>
      </c>
      <c r="DU858" t="s">
        <v>21730</v>
      </c>
      <c r="DV858" t="s">
        <v>16701</v>
      </c>
      <c r="DW858" t="s">
        <v>13812</v>
      </c>
      <c r="DX858" t="s">
        <v>33770</v>
      </c>
      <c r="DY858" t="s">
        <v>33771</v>
      </c>
      <c r="DZ858" t="s">
        <v>21952</v>
      </c>
      <c r="EA858" t="s">
        <v>13772</v>
      </c>
      <c r="EB858" t="s">
        <v>21735</v>
      </c>
    </row>
    <row r="859" spans="1:132" hidden="1">
      <c r="A859">
        <v>2203</v>
      </c>
      <c r="B859">
        <v>1</v>
      </c>
      <c r="C859" t="s">
        <v>5151</v>
      </c>
      <c r="D859" t="s">
        <v>73</v>
      </c>
      <c r="E859" t="s">
        <v>73</v>
      </c>
      <c r="F859" t="s">
        <v>73</v>
      </c>
      <c r="G859" t="s">
        <v>73</v>
      </c>
      <c r="H859">
        <v>72.099999999999994</v>
      </c>
      <c r="I859">
        <v>179</v>
      </c>
      <c r="J859">
        <v>21306</v>
      </c>
      <c r="K859" t="s">
        <v>5152</v>
      </c>
      <c r="L859">
        <f t="shared" si="54"/>
        <v>33</v>
      </c>
      <c r="N859">
        <v>33</v>
      </c>
      <c r="O859">
        <v>33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12</v>
      </c>
      <c r="Y859">
        <v>3</v>
      </c>
      <c r="Z859">
        <v>0</v>
      </c>
      <c r="AA859">
        <v>4</v>
      </c>
      <c r="AB859">
        <v>1</v>
      </c>
      <c r="AC859">
        <v>2</v>
      </c>
      <c r="AD859">
        <v>0</v>
      </c>
      <c r="AE859">
        <v>1</v>
      </c>
      <c r="AF859">
        <v>8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12</v>
      </c>
      <c r="AR859">
        <v>3</v>
      </c>
      <c r="AS859">
        <v>0</v>
      </c>
      <c r="AT859">
        <v>4</v>
      </c>
      <c r="AU859">
        <v>1</v>
      </c>
      <c r="AV859">
        <v>2</v>
      </c>
      <c r="AW859">
        <v>0</v>
      </c>
      <c r="AX859">
        <v>1</v>
      </c>
      <c r="AY859">
        <v>8</v>
      </c>
      <c r="AZ859">
        <v>1</v>
      </c>
      <c r="BA859">
        <v>1</v>
      </c>
      <c r="BB859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12</v>
      </c>
      <c r="BK859" s="2">
        <v>3</v>
      </c>
      <c r="BL859" s="2">
        <v>0</v>
      </c>
      <c r="BM859" s="2">
        <v>4</v>
      </c>
      <c r="BN859" s="2">
        <v>1</v>
      </c>
      <c r="BO859" s="2">
        <v>2</v>
      </c>
      <c r="BP859" s="2">
        <v>0</v>
      </c>
      <c r="BQ859" s="2">
        <v>1</v>
      </c>
      <c r="BR859" s="2">
        <v>8</v>
      </c>
      <c r="BS859" s="2">
        <v>1</v>
      </c>
      <c r="BT859" s="2">
        <v>1</v>
      </c>
      <c r="BU859" s="2">
        <v>0</v>
      </c>
      <c r="BV859" s="2">
        <f t="shared" si="57"/>
        <v>33</v>
      </c>
      <c r="BW859" s="16">
        <f t="shared" si="55"/>
        <v>1.736842105263158</v>
      </c>
      <c r="BX859" s="16">
        <f>COUNTIF($BC$6:BU859, "=0") / COUNTIF($BC$6:BU859, "&gt;-1")</f>
        <v>0.235054850240355</v>
      </c>
      <c r="BY859" s="18">
        <f>SUM($BC$6:BU859) / $BY$4</f>
        <v>0.92378892975611437</v>
      </c>
      <c r="BZ859" s="14">
        <f t="shared" si="56"/>
        <v>10</v>
      </c>
      <c r="CA859" t="s">
        <v>5832</v>
      </c>
      <c r="CZ859" t="s">
        <v>13089</v>
      </c>
      <c r="DA859" t="s">
        <v>5904</v>
      </c>
      <c r="DB859">
        <v>324.3</v>
      </c>
      <c r="DC859" t="s">
        <v>34818</v>
      </c>
      <c r="DD859" t="s">
        <v>34819</v>
      </c>
      <c r="DE859" t="s">
        <v>34820</v>
      </c>
      <c r="DF859" t="s">
        <v>34821</v>
      </c>
      <c r="DG859" t="s">
        <v>34822</v>
      </c>
      <c r="DH859" t="str">
        <f>"ADI1"</f>
        <v>ADI1</v>
      </c>
      <c r="DI859" t="s">
        <v>13772</v>
      </c>
      <c r="DJ859" t="s">
        <v>13777</v>
      </c>
      <c r="DK859">
        <v>9606</v>
      </c>
      <c r="DL859" s="34" t="str">
        <f>HYPERLINK("http://www.uniprot.org/uniprot/Q9BV57", "Q9BV57")</f>
        <v>Q9BV57</v>
      </c>
      <c r="DM859" t="s">
        <v>34823</v>
      </c>
      <c r="DN859" t="s">
        <v>22574</v>
      </c>
      <c r="DO859" t="s">
        <v>14968</v>
      </c>
      <c r="DP859" t="s">
        <v>13841</v>
      </c>
      <c r="DQ859" t="s">
        <v>13772</v>
      </c>
      <c r="DR859" t="s">
        <v>13772</v>
      </c>
      <c r="DS859" t="s">
        <v>13772</v>
      </c>
      <c r="DT859" t="s">
        <v>17802</v>
      </c>
      <c r="DU859" t="s">
        <v>14433</v>
      </c>
      <c r="DV859" t="s">
        <v>13772</v>
      </c>
      <c r="DW859" t="s">
        <v>13812</v>
      </c>
      <c r="DX859" t="s">
        <v>34824</v>
      </c>
      <c r="DY859" t="s">
        <v>34825</v>
      </c>
      <c r="DZ859" t="s">
        <v>34826</v>
      </c>
      <c r="EA859" t="s">
        <v>34827</v>
      </c>
      <c r="EB859" t="s">
        <v>22580</v>
      </c>
    </row>
    <row r="860" spans="1:132" hidden="1">
      <c r="A860">
        <v>2276</v>
      </c>
      <c r="B860">
        <v>1</v>
      </c>
      <c r="C860" t="s">
        <v>5317</v>
      </c>
      <c r="D860" t="s">
        <v>73</v>
      </c>
      <c r="E860" t="s">
        <v>73</v>
      </c>
      <c r="F860" t="s">
        <v>73</v>
      </c>
      <c r="G860" t="s">
        <v>73</v>
      </c>
      <c r="H860">
        <v>4</v>
      </c>
      <c r="I860">
        <v>3707</v>
      </c>
      <c r="J860">
        <v>400325</v>
      </c>
      <c r="K860" t="s">
        <v>5318</v>
      </c>
      <c r="L860">
        <f t="shared" si="54"/>
        <v>33</v>
      </c>
      <c r="N860">
        <v>33</v>
      </c>
      <c r="O860">
        <v>33</v>
      </c>
      <c r="P860">
        <v>1</v>
      </c>
      <c r="Q860">
        <v>0</v>
      </c>
      <c r="R860">
        <v>4</v>
      </c>
      <c r="S860">
        <v>2</v>
      </c>
      <c r="T860">
        <v>2</v>
      </c>
      <c r="U860">
        <v>6</v>
      </c>
      <c r="V860">
        <v>7</v>
      </c>
      <c r="W860">
        <v>3</v>
      </c>
      <c r="X860">
        <v>0</v>
      </c>
      <c r="Y860">
        <v>1</v>
      </c>
      <c r="Z860">
        <v>0</v>
      </c>
      <c r="AA860">
        <v>2</v>
      </c>
      <c r="AB860">
        <v>3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4</v>
      </c>
      <c r="AL860">
        <v>2</v>
      </c>
      <c r="AM860">
        <v>2</v>
      </c>
      <c r="AN860">
        <v>6</v>
      </c>
      <c r="AO860">
        <v>7</v>
      </c>
      <c r="AP860">
        <v>3</v>
      </c>
      <c r="AQ860">
        <v>0</v>
      </c>
      <c r="AR860">
        <v>1</v>
      </c>
      <c r="AS860">
        <v>0</v>
      </c>
      <c r="AT860">
        <v>2</v>
      </c>
      <c r="AU860">
        <v>3</v>
      </c>
      <c r="AV860">
        <v>0</v>
      </c>
      <c r="AW860">
        <v>0</v>
      </c>
      <c r="AX860">
        <v>1</v>
      </c>
      <c r="AY860">
        <v>1</v>
      </c>
      <c r="AZ860">
        <v>1</v>
      </c>
      <c r="BA860">
        <v>0</v>
      </c>
      <c r="BB860">
        <v>0</v>
      </c>
      <c r="BC860" s="2">
        <v>0</v>
      </c>
      <c r="BD860" s="2">
        <v>4</v>
      </c>
      <c r="BE860" s="2">
        <v>2</v>
      </c>
      <c r="BF860" s="2">
        <v>2</v>
      </c>
      <c r="BG860" s="2">
        <v>6</v>
      </c>
      <c r="BH860" s="2">
        <v>7</v>
      </c>
      <c r="BI860" s="2">
        <v>3</v>
      </c>
      <c r="BJ860" s="2">
        <v>0</v>
      </c>
      <c r="BK860" s="2">
        <v>1</v>
      </c>
      <c r="BL860" s="2">
        <v>0</v>
      </c>
      <c r="BM860" s="2">
        <v>2</v>
      </c>
      <c r="BN860" s="2">
        <v>3</v>
      </c>
      <c r="BO860" s="2">
        <v>0</v>
      </c>
      <c r="BP860" s="2">
        <v>0</v>
      </c>
      <c r="BQ860" s="2">
        <v>1</v>
      </c>
      <c r="BR860" s="2">
        <v>1</v>
      </c>
      <c r="BS860" s="2">
        <v>1</v>
      </c>
      <c r="BT860" s="2">
        <v>0</v>
      </c>
      <c r="BU860" s="2">
        <v>0</v>
      </c>
      <c r="BV860" s="2">
        <f t="shared" si="57"/>
        <v>33</v>
      </c>
      <c r="BW860" s="16">
        <f t="shared" si="55"/>
        <v>1.736842105263158</v>
      </c>
      <c r="BX860" s="16">
        <f>COUNTIF($BC$6:BU860, "=0") / COUNTIF($BC$6:BU860, "&gt;-1")</f>
        <v>0.23521083410280086</v>
      </c>
      <c r="BY860" s="18">
        <f>SUM($BC$6:BU860) / $BY$4</f>
        <v>0.92393028977278158</v>
      </c>
      <c r="BZ860" s="14">
        <f t="shared" si="56"/>
        <v>7</v>
      </c>
      <c r="CA860" t="s">
        <v>5832</v>
      </c>
      <c r="CZ860" t="s">
        <v>13329</v>
      </c>
      <c r="DA860" t="s">
        <v>5904</v>
      </c>
      <c r="DB860">
        <v>5984.4</v>
      </c>
      <c r="DC860" t="s">
        <v>35487</v>
      </c>
      <c r="DD860" t="s">
        <v>35488</v>
      </c>
      <c r="DE860" t="s">
        <v>35489</v>
      </c>
      <c r="DF860" t="s">
        <v>35490</v>
      </c>
      <c r="DG860" t="s">
        <v>35491</v>
      </c>
      <c r="DH860" t="str">
        <f>"LAMA5"</f>
        <v>LAMA5</v>
      </c>
      <c r="DI860" t="s">
        <v>35492</v>
      </c>
      <c r="DJ860" t="s">
        <v>13777</v>
      </c>
      <c r="DK860">
        <v>9606</v>
      </c>
      <c r="DL860" s="34" t="str">
        <f>HYPERLINK("http://www.uniprot.org/uniprot/O15230", "O15230")</f>
        <v>O15230</v>
      </c>
      <c r="DM860" t="s">
        <v>35493</v>
      </c>
      <c r="DN860" t="s">
        <v>13949</v>
      </c>
      <c r="DO860" t="s">
        <v>15002</v>
      </c>
      <c r="DP860" t="s">
        <v>13780</v>
      </c>
      <c r="DQ860" t="s">
        <v>13772</v>
      </c>
      <c r="DR860" t="s">
        <v>13772</v>
      </c>
      <c r="DS860" t="s">
        <v>17145</v>
      </c>
      <c r="DT860" t="s">
        <v>13772</v>
      </c>
      <c r="DU860" t="s">
        <v>13772</v>
      </c>
      <c r="DV860" t="s">
        <v>13796</v>
      </c>
      <c r="DW860" t="s">
        <v>13812</v>
      </c>
      <c r="DX860" t="s">
        <v>35494</v>
      </c>
      <c r="DY860" t="s">
        <v>35495</v>
      </c>
      <c r="DZ860" t="s">
        <v>13954</v>
      </c>
      <c r="EA860" t="s">
        <v>13772</v>
      </c>
      <c r="EB860" t="s">
        <v>35496</v>
      </c>
    </row>
    <row r="861" spans="1:132" hidden="1">
      <c r="A861">
        <v>2374</v>
      </c>
      <c r="B861">
        <v>1</v>
      </c>
      <c r="C861" t="s">
        <v>5532</v>
      </c>
      <c r="D861" t="s">
        <v>73</v>
      </c>
      <c r="E861" t="s">
        <v>73</v>
      </c>
      <c r="F861" t="s">
        <v>73</v>
      </c>
      <c r="G861" t="s">
        <v>73</v>
      </c>
      <c r="H861">
        <v>23.9</v>
      </c>
      <c r="I861">
        <v>284</v>
      </c>
      <c r="J861">
        <v>32320</v>
      </c>
      <c r="K861" t="s">
        <v>5533</v>
      </c>
      <c r="L861">
        <f t="shared" si="54"/>
        <v>33</v>
      </c>
      <c r="N861">
        <v>33</v>
      </c>
      <c r="O861">
        <v>33</v>
      </c>
      <c r="P861">
        <v>1</v>
      </c>
      <c r="Q861">
        <v>3</v>
      </c>
      <c r="R861">
        <v>2</v>
      </c>
      <c r="S861">
        <v>1</v>
      </c>
      <c r="T861">
        <v>0</v>
      </c>
      <c r="U861">
        <v>1</v>
      </c>
      <c r="V861">
        <v>1</v>
      </c>
      <c r="W861">
        <v>2</v>
      </c>
      <c r="X861">
        <v>2</v>
      </c>
      <c r="Y861">
        <v>5</v>
      </c>
      <c r="Z861">
        <v>0</v>
      </c>
      <c r="AA861">
        <v>5</v>
      </c>
      <c r="AB861">
        <v>2</v>
      </c>
      <c r="AC861">
        <v>2</v>
      </c>
      <c r="AD861">
        <v>0</v>
      </c>
      <c r="AE861">
        <v>0</v>
      </c>
      <c r="AF861">
        <v>4</v>
      </c>
      <c r="AG861">
        <v>0</v>
      </c>
      <c r="AH861">
        <v>1</v>
      </c>
      <c r="AI861">
        <v>2</v>
      </c>
      <c r="AJ861">
        <v>3</v>
      </c>
      <c r="AK861">
        <v>2</v>
      </c>
      <c r="AL861">
        <v>1</v>
      </c>
      <c r="AM861">
        <v>0</v>
      </c>
      <c r="AN861">
        <v>1</v>
      </c>
      <c r="AO861">
        <v>1</v>
      </c>
      <c r="AP861">
        <v>2</v>
      </c>
      <c r="AQ861">
        <v>2</v>
      </c>
      <c r="AR861">
        <v>5</v>
      </c>
      <c r="AS861">
        <v>0</v>
      </c>
      <c r="AT861">
        <v>5</v>
      </c>
      <c r="AU861">
        <v>2</v>
      </c>
      <c r="AV861">
        <v>2</v>
      </c>
      <c r="AW861">
        <v>0</v>
      </c>
      <c r="AX861">
        <v>0</v>
      </c>
      <c r="AY861">
        <v>4</v>
      </c>
      <c r="AZ861">
        <v>0</v>
      </c>
      <c r="BA861">
        <v>1</v>
      </c>
      <c r="BB861">
        <v>2</v>
      </c>
      <c r="BC861" s="2">
        <v>3</v>
      </c>
      <c r="BD861" s="2">
        <v>2</v>
      </c>
      <c r="BE861" s="2">
        <v>1</v>
      </c>
      <c r="BF861" s="2">
        <v>0</v>
      </c>
      <c r="BG861" s="2">
        <v>1</v>
      </c>
      <c r="BH861" s="2">
        <v>1</v>
      </c>
      <c r="BI861" s="2">
        <v>2</v>
      </c>
      <c r="BJ861" s="2">
        <v>2</v>
      </c>
      <c r="BK861" s="2">
        <v>5</v>
      </c>
      <c r="BL861" s="2">
        <v>0</v>
      </c>
      <c r="BM861" s="2">
        <v>5</v>
      </c>
      <c r="BN861" s="2">
        <v>2</v>
      </c>
      <c r="BO861" s="2">
        <v>2</v>
      </c>
      <c r="BP861" s="2">
        <v>0</v>
      </c>
      <c r="BQ861" s="2">
        <v>0</v>
      </c>
      <c r="BR861" s="2">
        <v>4</v>
      </c>
      <c r="BS861" s="2">
        <v>0</v>
      </c>
      <c r="BT861" s="2">
        <v>1</v>
      </c>
      <c r="BU861" s="2">
        <v>2</v>
      </c>
      <c r="BV861" s="2">
        <f t="shared" si="57"/>
        <v>33</v>
      </c>
      <c r="BW861" s="16">
        <f t="shared" si="55"/>
        <v>1.736842105263158</v>
      </c>
      <c r="BX861" s="16">
        <f>COUNTIF($BC$6:BU861, "=0") / COUNTIF($BC$6:BU861, "&gt;-1")</f>
        <v>0.235243482538121</v>
      </c>
      <c r="BY861" s="18">
        <f>SUM($BC$6:BU861) / $BY$4</f>
        <v>0.92407164978944867</v>
      </c>
      <c r="BZ861" s="14">
        <f t="shared" si="56"/>
        <v>5</v>
      </c>
      <c r="CA861" t="s">
        <v>5832</v>
      </c>
      <c r="CZ861" t="s">
        <v>13643</v>
      </c>
      <c r="DA861" t="s">
        <v>5904</v>
      </c>
      <c r="DB861">
        <v>442.2</v>
      </c>
      <c r="DC861" t="s">
        <v>36366</v>
      </c>
      <c r="DD861" t="s">
        <v>36367</v>
      </c>
      <c r="DE861" t="s">
        <v>36368</v>
      </c>
      <c r="DF861" t="s">
        <v>36369</v>
      </c>
      <c r="DG861" t="s">
        <v>36370</v>
      </c>
      <c r="DH861" t="str">
        <f>"ASGR1"</f>
        <v>ASGR1</v>
      </c>
      <c r="DI861" t="s">
        <v>36371</v>
      </c>
      <c r="DJ861" t="s">
        <v>13777</v>
      </c>
      <c r="DK861">
        <v>9606</v>
      </c>
      <c r="DL861" s="34" t="str">
        <f>HYPERLINK("http://www.uniprot.org/uniprot/P07306", "P07306")</f>
        <v>P07306</v>
      </c>
      <c r="DM861" t="s">
        <v>36372</v>
      </c>
      <c r="DN861" t="s">
        <v>14416</v>
      </c>
      <c r="DO861" t="s">
        <v>17261</v>
      </c>
      <c r="DP861" t="s">
        <v>13841</v>
      </c>
      <c r="DQ861" t="s">
        <v>13772</v>
      </c>
      <c r="DR861" t="s">
        <v>13772</v>
      </c>
      <c r="DS861" t="s">
        <v>14715</v>
      </c>
      <c r="DT861" t="s">
        <v>14519</v>
      </c>
      <c r="DU861" t="s">
        <v>13795</v>
      </c>
      <c r="DV861" t="s">
        <v>14418</v>
      </c>
      <c r="DW861" t="s">
        <v>13812</v>
      </c>
      <c r="DX861" t="s">
        <v>36373</v>
      </c>
      <c r="DY861" t="s">
        <v>36374</v>
      </c>
      <c r="DZ861" t="s">
        <v>36375</v>
      </c>
      <c r="EA861" t="s">
        <v>13772</v>
      </c>
      <c r="EB861" t="s">
        <v>14422</v>
      </c>
    </row>
    <row r="862" spans="1:132" hidden="1">
      <c r="A862">
        <v>2389</v>
      </c>
      <c r="B862">
        <v>1</v>
      </c>
      <c r="C862" t="s">
        <v>5566</v>
      </c>
      <c r="D862" t="s">
        <v>73</v>
      </c>
      <c r="E862" t="s">
        <v>73</v>
      </c>
      <c r="F862" t="s">
        <v>73</v>
      </c>
      <c r="G862" t="s">
        <v>73</v>
      </c>
      <c r="H862">
        <v>33.6</v>
      </c>
      <c r="I862">
        <v>220</v>
      </c>
      <c r="J862">
        <v>24340</v>
      </c>
      <c r="K862" t="s">
        <v>5567</v>
      </c>
      <c r="L862">
        <f t="shared" si="54"/>
        <v>33</v>
      </c>
      <c r="N862">
        <v>33</v>
      </c>
      <c r="O862">
        <v>33</v>
      </c>
      <c r="P862">
        <v>1</v>
      </c>
      <c r="Q862">
        <v>2</v>
      </c>
      <c r="R862">
        <v>3</v>
      </c>
      <c r="S862">
        <v>6</v>
      </c>
      <c r="T862">
        <v>4</v>
      </c>
      <c r="U862">
        <v>4</v>
      </c>
      <c r="V862">
        <v>3</v>
      </c>
      <c r="W862">
        <v>1</v>
      </c>
      <c r="X862">
        <v>2</v>
      </c>
      <c r="Y862">
        <v>2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2</v>
      </c>
      <c r="AK862">
        <v>3</v>
      </c>
      <c r="AL862">
        <v>6</v>
      </c>
      <c r="AM862">
        <v>4</v>
      </c>
      <c r="AN862">
        <v>4</v>
      </c>
      <c r="AO862">
        <v>3</v>
      </c>
      <c r="AP862">
        <v>1</v>
      </c>
      <c r="AQ862">
        <v>2</v>
      </c>
      <c r="AR862">
        <v>2</v>
      </c>
      <c r="AS862">
        <v>0</v>
      </c>
      <c r="AT862">
        <v>1</v>
      </c>
      <c r="AU862">
        <v>0</v>
      </c>
      <c r="AV862">
        <v>1</v>
      </c>
      <c r="AW862">
        <v>1</v>
      </c>
      <c r="AX862">
        <v>1</v>
      </c>
      <c r="AY862">
        <v>0</v>
      </c>
      <c r="AZ862">
        <v>1</v>
      </c>
      <c r="BA862">
        <v>0</v>
      </c>
      <c r="BB862">
        <v>1</v>
      </c>
      <c r="BC862" s="2">
        <v>2</v>
      </c>
      <c r="BD862" s="2">
        <v>3</v>
      </c>
      <c r="BE862" s="2">
        <v>6</v>
      </c>
      <c r="BF862" s="2">
        <v>4</v>
      </c>
      <c r="BG862" s="2">
        <v>4</v>
      </c>
      <c r="BH862" s="2">
        <v>3</v>
      </c>
      <c r="BI862" s="2">
        <v>1</v>
      </c>
      <c r="BJ862" s="2">
        <v>2</v>
      </c>
      <c r="BK862" s="2">
        <v>2</v>
      </c>
      <c r="BL862" s="2">
        <v>0</v>
      </c>
      <c r="BM862" s="2">
        <v>1</v>
      </c>
      <c r="BN862" s="2">
        <v>0</v>
      </c>
      <c r="BO862" s="2">
        <v>1</v>
      </c>
      <c r="BP862" s="2">
        <v>1</v>
      </c>
      <c r="BQ862" s="2">
        <v>1</v>
      </c>
      <c r="BR862" s="2">
        <v>0</v>
      </c>
      <c r="BS862" s="2">
        <v>1</v>
      </c>
      <c r="BT862" s="2">
        <v>0</v>
      </c>
      <c r="BU862" s="2">
        <v>1</v>
      </c>
      <c r="BV862" s="2">
        <f t="shared" si="57"/>
        <v>33</v>
      </c>
      <c r="BW862" s="16">
        <f t="shared" si="55"/>
        <v>1.736842105263158</v>
      </c>
      <c r="BX862" s="16">
        <f>COUNTIF($BC$6:BU862, "=0") / COUNTIF($BC$6:BU862, "&gt;-1")</f>
        <v>0.23521464103666401</v>
      </c>
      <c r="BY862" s="18">
        <f>SUM($BC$6:BU862) / $BY$4</f>
        <v>0.92421300980611576</v>
      </c>
      <c r="BZ862" s="14">
        <f t="shared" si="56"/>
        <v>4</v>
      </c>
      <c r="CA862" t="s">
        <v>5832</v>
      </c>
      <c r="CZ862" t="s">
        <v>13676</v>
      </c>
      <c r="DA862" t="s">
        <v>5904</v>
      </c>
      <c r="DB862">
        <v>451.1</v>
      </c>
      <c r="DC862" t="s">
        <v>36457</v>
      </c>
      <c r="DD862" t="s">
        <v>36458</v>
      </c>
      <c r="DE862" t="s">
        <v>36459</v>
      </c>
      <c r="DF862" t="s">
        <v>36460</v>
      </c>
      <c r="DG862" t="s">
        <v>36461</v>
      </c>
      <c r="DH862" t="str">
        <f>"TIMP2"</f>
        <v>TIMP2</v>
      </c>
      <c r="DI862" t="s">
        <v>13772</v>
      </c>
      <c r="DJ862" t="s">
        <v>13777</v>
      </c>
      <c r="DK862">
        <v>9606</v>
      </c>
      <c r="DL862" s="34" t="str">
        <f>HYPERLINK("http://www.uniprot.org/uniprot/P16035", "P16035")</f>
        <v>P16035</v>
      </c>
      <c r="DM862" t="s">
        <v>36462</v>
      </c>
      <c r="DN862" t="s">
        <v>13772</v>
      </c>
      <c r="DO862" t="s">
        <v>14321</v>
      </c>
      <c r="DP862" t="s">
        <v>13772</v>
      </c>
      <c r="DQ862" t="s">
        <v>13772</v>
      </c>
      <c r="DR862" t="s">
        <v>13772</v>
      </c>
      <c r="DS862" t="s">
        <v>13808</v>
      </c>
      <c r="DT862" t="s">
        <v>13856</v>
      </c>
      <c r="DU862" t="s">
        <v>22434</v>
      </c>
      <c r="DV862" t="s">
        <v>14506</v>
      </c>
      <c r="DW862" t="s">
        <v>13812</v>
      </c>
      <c r="DX862" t="s">
        <v>36463</v>
      </c>
      <c r="DY862" t="s">
        <v>36464</v>
      </c>
      <c r="DZ862" t="s">
        <v>36465</v>
      </c>
      <c r="EA862" t="s">
        <v>13772</v>
      </c>
      <c r="EB862" t="s">
        <v>36466</v>
      </c>
    </row>
    <row r="863" spans="1:132" hidden="1">
      <c r="A863">
        <v>324</v>
      </c>
      <c r="B863">
        <v>1</v>
      </c>
      <c r="C863" t="s">
        <v>814</v>
      </c>
      <c r="D863" t="s">
        <v>73</v>
      </c>
      <c r="E863" t="s">
        <v>73</v>
      </c>
      <c r="F863" t="s">
        <v>815</v>
      </c>
      <c r="G863" t="s">
        <v>73</v>
      </c>
      <c r="H863">
        <v>46.2</v>
      </c>
      <c r="I863">
        <v>253</v>
      </c>
      <c r="J863">
        <v>28673</v>
      </c>
      <c r="K863" t="s">
        <v>816</v>
      </c>
      <c r="L863">
        <f t="shared" si="54"/>
        <v>89</v>
      </c>
      <c r="N863">
        <v>89</v>
      </c>
      <c r="O863">
        <v>25</v>
      </c>
      <c r="P863">
        <v>0.28100000000000003</v>
      </c>
      <c r="Q863">
        <v>3</v>
      </c>
      <c r="R863">
        <v>3</v>
      </c>
      <c r="S863">
        <v>0</v>
      </c>
      <c r="T863">
        <v>2</v>
      </c>
      <c r="U863">
        <v>2</v>
      </c>
      <c r="V863">
        <v>5</v>
      </c>
      <c r="W863">
        <v>4</v>
      </c>
      <c r="X863">
        <v>19</v>
      </c>
      <c r="Y863">
        <v>6</v>
      </c>
      <c r="Z863">
        <v>2</v>
      </c>
      <c r="AA863">
        <v>7</v>
      </c>
      <c r="AB863">
        <v>3</v>
      </c>
      <c r="AC863">
        <v>6</v>
      </c>
      <c r="AD863">
        <v>6</v>
      </c>
      <c r="AE863">
        <v>11</v>
      </c>
      <c r="AF863">
        <v>2</v>
      </c>
      <c r="AG863">
        <v>3</v>
      </c>
      <c r="AH863">
        <v>2</v>
      </c>
      <c r="AI863">
        <v>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13</v>
      </c>
      <c r="AR863">
        <v>0</v>
      </c>
      <c r="AS863">
        <v>1</v>
      </c>
      <c r="AT863">
        <v>2</v>
      </c>
      <c r="AU863">
        <v>0</v>
      </c>
      <c r="AV863">
        <v>1</v>
      </c>
      <c r="AW863">
        <v>2</v>
      </c>
      <c r="AX863">
        <v>6</v>
      </c>
      <c r="AY863">
        <v>0</v>
      </c>
      <c r="AZ863">
        <v>0</v>
      </c>
      <c r="BA863">
        <v>0</v>
      </c>
      <c r="BB863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15.108000000000001</v>
      </c>
      <c r="BK863" s="2">
        <v>0</v>
      </c>
      <c r="BL863" s="2">
        <v>1.2</v>
      </c>
      <c r="BM863" s="2">
        <v>2.4550000000000001</v>
      </c>
      <c r="BN863" s="2">
        <v>0</v>
      </c>
      <c r="BO863" s="2">
        <v>1.385</v>
      </c>
      <c r="BP863" s="2">
        <v>3.3330000000000002</v>
      </c>
      <c r="BQ863" s="2">
        <v>8.5</v>
      </c>
      <c r="BR863" s="2">
        <v>0</v>
      </c>
      <c r="BS863" s="2">
        <v>0</v>
      </c>
      <c r="BT863" s="2">
        <v>1</v>
      </c>
      <c r="BU863" s="2">
        <v>0</v>
      </c>
      <c r="BV863" s="2">
        <f t="shared" si="57"/>
        <v>32.981000000000002</v>
      </c>
      <c r="BW863" s="16">
        <f t="shared" si="55"/>
        <v>1.7358421052631581</v>
      </c>
      <c r="BX863" s="16">
        <f>COUNTIF($BC$6:BU863, "=0") / COUNTIF($BC$6:BU863, "&gt;-1")</f>
        <v>0.23567660409765673</v>
      </c>
      <c r="BY863" s="18">
        <f>SUM($BC$6:BU863) / $BY$4</f>
        <v>0.9243542884336825</v>
      </c>
      <c r="BZ863" s="14">
        <f t="shared" si="56"/>
        <v>12</v>
      </c>
      <c r="CA863" t="s">
        <v>5832</v>
      </c>
      <c r="CZ863" t="s">
        <v>6822</v>
      </c>
      <c r="DA863" t="s">
        <v>5904</v>
      </c>
      <c r="DB863">
        <v>504.6</v>
      </c>
      <c r="DC863" t="s">
        <v>16791</v>
      </c>
      <c r="DD863" t="s">
        <v>16792</v>
      </c>
      <c r="DE863" t="s">
        <v>16793</v>
      </c>
      <c r="DF863" t="s">
        <v>16794</v>
      </c>
      <c r="DG863" t="s">
        <v>13772</v>
      </c>
      <c r="DH863" t="str">
        <f>"PGAM2"</f>
        <v>PGAM2</v>
      </c>
      <c r="DI863" t="s">
        <v>16795</v>
      </c>
      <c r="DJ863" t="s">
        <v>13777</v>
      </c>
      <c r="DK863">
        <v>9606</v>
      </c>
      <c r="DL863" s="34" t="str">
        <f>HYPERLINK("http://www.uniprot.org/uniprot/P15259", "P15259")</f>
        <v>P15259</v>
      </c>
      <c r="DM863" t="s">
        <v>16796</v>
      </c>
      <c r="DN863" t="s">
        <v>15772</v>
      </c>
      <c r="DO863" t="s">
        <v>13772</v>
      </c>
      <c r="DP863" t="s">
        <v>13772</v>
      </c>
      <c r="DQ863" t="s">
        <v>13772</v>
      </c>
      <c r="DR863" t="s">
        <v>16230</v>
      </c>
      <c r="DS863" t="s">
        <v>13772</v>
      </c>
      <c r="DT863" t="s">
        <v>13772</v>
      </c>
      <c r="DU863" t="s">
        <v>16797</v>
      </c>
      <c r="DV863" t="s">
        <v>13782</v>
      </c>
      <c r="DW863" t="s">
        <v>13772</v>
      </c>
      <c r="DX863" t="s">
        <v>16798</v>
      </c>
      <c r="DY863" t="s">
        <v>14135</v>
      </c>
      <c r="DZ863" t="s">
        <v>16799</v>
      </c>
      <c r="EA863" t="s">
        <v>13772</v>
      </c>
      <c r="EB863" t="s">
        <v>16800</v>
      </c>
    </row>
    <row r="864" spans="1:132" hidden="1">
      <c r="A864">
        <v>2075</v>
      </c>
      <c r="B864">
        <v>1</v>
      </c>
      <c r="C864" t="s">
        <v>4876</v>
      </c>
      <c r="D864" t="s">
        <v>73</v>
      </c>
      <c r="E864" t="s">
        <v>73</v>
      </c>
      <c r="F864" t="s">
        <v>4877</v>
      </c>
      <c r="G864" t="s">
        <v>73</v>
      </c>
      <c r="H864">
        <v>23.4</v>
      </c>
      <c r="I864">
        <v>661</v>
      </c>
      <c r="J864">
        <v>73759</v>
      </c>
      <c r="K864" t="s">
        <v>4878</v>
      </c>
      <c r="L864">
        <f t="shared" si="54"/>
        <v>37</v>
      </c>
      <c r="N864">
        <v>37</v>
      </c>
      <c r="O864">
        <v>32</v>
      </c>
      <c r="P864">
        <v>0.86499999999999999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2</v>
      </c>
      <c r="W864">
        <v>0</v>
      </c>
      <c r="X864">
        <v>0</v>
      </c>
      <c r="Y864">
        <v>4</v>
      </c>
      <c r="Z864">
        <v>2</v>
      </c>
      <c r="AA864">
        <v>4</v>
      </c>
      <c r="AB864">
        <v>2</v>
      </c>
      <c r="AC864">
        <v>4</v>
      </c>
      <c r="AD864">
        <v>2</v>
      </c>
      <c r="AE864">
        <v>3</v>
      </c>
      <c r="AF864">
        <v>6</v>
      </c>
      <c r="AG864">
        <v>2</v>
      </c>
      <c r="AH864">
        <v>1</v>
      </c>
      <c r="AI864">
        <v>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4</v>
      </c>
      <c r="AS864">
        <v>2</v>
      </c>
      <c r="AT864">
        <v>4</v>
      </c>
      <c r="AU864">
        <v>2</v>
      </c>
      <c r="AV864">
        <v>4</v>
      </c>
      <c r="AW864">
        <v>2</v>
      </c>
      <c r="AX864">
        <v>3</v>
      </c>
      <c r="AY864">
        <v>5</v>
      </c>
      <c r="AZ864">
        <v>2</v>
      </c>
      <c r="BA864">
        <v>1</v>
      </c>
      <c r="BB864">
        <v>2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1.0620000000000001</v>
      </c>
      <c r="BI864" s="2">
        <v>0</v>
      </c>
      <c r="BJ864" s="2">
        <v>0</v>
      </c>
      <c r="BK864" s="2">
        <v>4</v>
      </c>
      <c r="BL864" s="2">
        <v>2</v>
      </c>
      <c r="BM864" s="2">
        <v>4</v>
      </c>
      <c r="BN864" s="2">
        <v>2</v>
      </c>
      <c r="BO864" s="2">
        <v>4</v>
      </c>
      <c r="BP864" s="2">
        <v>2</v>
      </c>
      <c r="BQ864" s="2">
        <v>3</v>
      </c>
      <c r="BR864" s="2">
        <v>5.2270000000000003</v>
      </c>
      <c r="BS864" s="2">
        <v>2</v>
      </c>
      <c r="BT864" s="2">
        <v>1</v>
      </c>
      <c r="BU864" s="2">
        <v>2</v>
      </c>
      <c r="BV864" s="2">
        <f t="shared" si="57"/>
        <v>32.289000000000001</v>
      </c>
      <c r="BW864" s="16">
        <f t="shared" si="55"/>
        <v>1.6994210526315789</v>
      </c>
      <c r="BX864" s="16">
        <f>COUNTIF($BC$6:BU864, "=0") / COUNTIF($BC$6:BU864, "&gt;-1")</f>
        <v>0.23583113779792905</v>
      </c>
      <c r="BY864" s="18">
        <f>SUM($BC$6:BU864) / $BY$4</f>
        <v>0.92449260278453604</v>
      </c>
      <c r="BZ864" s="14">
        <f t="shared" si="56"/>
        <v>7</v>
      </c>
      <c r="CA864" t="s">
        <v>5832</v>
      </c>
      <c r="CZ864" t="s">
        <v>12670</v>
      </c>
      <c r="DA864" t="s">
        <v>5904</v>
      </c>
      <c r="DB864">
        <v>1323.5</v>
      </c>
      <c r="DC864" t="s">
        <v>33643</v>
      </c>
      <c r="DD864" t="s">
        <v>33644</v>
      </c>
      <c r="DE864" t="s">
        <v>33645</v>
      </c>
      <c r="DF864" t="s">
        <v>33646</v>
      </c>
      <c r="DG864" t="s">
        <v>33647</v>
      </c>
      <c r="DH864" t="str">
        <f>"MMP2"</f>
        <v>MMP2</v>
      </c>
      <c r="DI864" t="s">
        <v>33648</v>
      </c>
      <c r="DJ864" t="s">
        <v>13777</v>
      </c>
      <c r="DK864">
        <v>9606</v>
      </c>
      <c r="DL864" s="34" t="str">
        <f>HYPERLINK("http://www.uniprot.org/uniprot/P08253", "P08253")</f>
        <v>P08253</v>
      </c>
      <c r="DM864" t="s">
        <v>33649</v>
      </c>
      <c r="DN864" t="s">
        <v>33650</v>
      </c>
      <c r="DO864" t="s">
        <v>33651</v>
      </c>
      <c r="DP864" t="s">
        <v>13780</v>
      </c>
      <c r="DQ864" t="s">
        <v>13772</v>
      </c>
      <c r="DR864" t="s">
        <v>13807</v>
      </c>
      <c r="DS864" t="s">
        <v>14404</v>
      </c>
      <c r="DT864" t="s">
        <v>14628</v>
      </c>
      <c r="DU864" t="s">
        <v>15139</v>
      </c>
      <c r="DV864" t="s">
        <v>20137</v>
      </c>
      <c r="DW864" t="s">
        <v>13812</v>
      </c>
      <c r="DX864" t="s">
        <v>33652</v>
      </c>
      <c r="DY864" t="s">
        <v>33653</v>
      </c>
      <c r="DZ864" t="s">
        <v>33654</v>
      </c>
      <c r="EA864" t="s">
        <v>13772</v>
      </c>
      <c r="EB864" t="s">
        <v>33655</v>
      </c>
    </row>
    <row r="865" spans="1:132" hidden="1">
      <c r="A865">
        <v>2305</v>
      </c>
      <c r="B865">
        <v>1</v>
      </c>
      <c r="C865" t="s">
        <v>5382</v>
      </c>
      <c r="D865" t="s">
        <v>73</v>
      </c>
      <c r="E865" t="s">
        <v>73</v>
      </c>
      <c r="F865" t="s">
        <v>168</v>
      </c>
      <c r="G865" t="s">
        <v>73</v>
      </c>
      <c r="H865">
        <v>30.1</v>
      </c>
      <c r="I865">
        <v>680</v>
      </c>
      <c r="J865">
        <v>76916</v>
      </c>
      <c r="K865" t="s">
        <v>5383</v>
      </c>
      <c r="L865">
        <f t="shared" si="54"/>
        <v>40</v>
      </c>
      <c r="N865">
        <v>40</v>
      </c>
      <c r="O865">
        <v>30</v>
      </c>
      <c r="P865">
        <v>0.75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2</v>
      </c>
      <c r="AC865">
        <v>3</v>
      </c>
      <c r="AD865">
        <v>0</v>
      </c>
      <c r="AE865">
        <v>0</v>
      </c>
      <c r="AF865">
        <v>1</v>
      </c>
      <c r="AG865">
        <v>33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30</v>
      </c>
      <c r="BA865">
        <v>0</v>
      </c>
      <c r="BB865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32.195</v>
      </c>
      <c r="BT865" s="2">
        <v>0</v>
      </c>
      <c r="BU865" s="2">
        <v>0</v>
      </c>
      <c r="BV865" s="2">
        <f t="shared" si="57"/>
        <v>32.195</v>
      </c>
      <c r="BW865" s="16">
        <f t="shared" si="55"/>
        <v>1.6944736842105264</v>
      </c>
      <c r="BX865" s="16">
        <f>COUNTIF($BC$6:BU865, "=0") / COUNTIF($BC$6:BU865, "&gt;-1")</f>
        <v>0.23665850673194613</v>
      </c>
      <c r="BY865" s="18">
        <f>SUM($BC$6:BU865) / $BY$4</f>
        <v>0.92463051447352385</v>
      </c>
      <c r="BZ865" s="14">
        <f t="shared" si="56"/>
        <v>18</v>
      </c>
      <c r="CA865" t="s">
        <v>5832</v>
      </c>
      <c r="CZ865" t="s">
        <v>13419</v>
      </c>
      <c r="DA865" t="s">
        <v>5904</v>
      </c>
      <c r="DB865">
        <v>1176.4000000000001</v>
      </c>
      <c r="DC865" t="s">
        <v>35763</v>
      </c>
      <c r="DD865" t="s">
        <v>13772</v>
      </c>
      <c r="DE865" t="s">
        <v>35764</v>
      </c>
      <c r="DF865" t="s">
        <v>35765</v>
      </c>
      <c r="DG865" t="s">
        <v>35766</v>
      </c>
      <c r="DH865" t="str">
        <f>"EPX"</f>
        <v>EPX</v>
      </c>
      <c r="DI865" t="s">
        <v>35767</v>
      </c>
      <c r="DJ865" t="s">
        <v>13777</v>
      </c>
      <c r="DK865">
        <v>9606</v>
      </c>
      <c r="DL865" s="34" t="str">
        <f>HYPERLINK("http://www.uniprot.org/uniprot/P11678", "P11678")</f>
        <v>P11678</v>
      </c>
      <c r="DM865" t="s">
        <v>35768</v>
      </c>
      <c r="DN865" t="s">
        <v>13805</v>
      </c>
      <c r="DO865" t="s">
        <v>13772</v>
      </c>
      <c r="DP865" t="s">
        <v>13793</v>
      </c>
      <c r="DQ865" t="s">
        <v>13772</v>
      </c>
      <c r="DR865" t="s">
        <v>13807</v>
      </c>
      <c r="DS865" t="s">
        <v>13808</v>
      </c>
      <c r="DT865" t="s">
        <v>13809</v>
      </c>
      <c r="DU865" t="s">
        <v>13810</v>
      </c>
      <c r="DV865" t="s">
        <v>26133</v>
      </c>
      <c r="DW865" t="s">
        <v>13772</v>
      </c>
      <c r="DX865" t="s">
        <v>35769</v>
      </c>
      <c r="DY865" t="s">
        <v>35770</v>
      </c>
      <c r="DZ865" t="s">
        <v>35771</v>
      </c>
      <c r="EA865" t="s">
        <v>13772</v>
      </c>
      <c r="EB865" t="s">
        <v>13890</v>
      </c>
    </row>
    <row r="866" spans="1:132" hidden="1">
      <c r="A866">
        <v>235</v>
      </c>
      <c r="B866">
        <v>1</v>
      </c>
      <c r="C866" t="s">
        <v>597</v>
      </c>
      <c r="D866" t="s">
        <v>73</v>
      </c>
      <c r="E866" t="s">
        <v>73</v>
      </c>
      <c r="F866" t="s">
        <v>73</v>
      </c>
      <c r="G866" t="s">
        <v>73</v>
      </c>
      <c r="H866">
        <v>9.5</v>
      </c>
      <c r="I866">
        <v>2323</v>
      </c>
      <c r="J866">
        <v>250278</v>
      </c>
      <c r="K866" t="s">
        <v>598</v>
      </c>
      <c r="L866">
        <f t="shared" si="54"/>
        <v>32</v>
      </c>
      <c r="N866">
        <v>32</v>
      </c>
      <c r="O866">
        <v>32</v>
      </c>
      <c r="P866">
        <v>1</v>
      </c>
      <c r="Q866">
        <v>1</v>
      </c>
      <c r="R866">
        <v>7</v>
      </c>
      <c r="S866">
        <v>2</v>
      </c>
      <c r="T866">
        <v>2</v>
      </c>
      <c r="U866">
        <v>8</v>
      </c>
      <c r="V866">
        <v>8</v>
      </c>
      <c r="W866">
        <v>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7</v>
      </c>
      <c r="AL866">
        <v>2</v>
      </c>
      <c r="AM866">
        <v>2</v>
      </c>
      <c r="AN866">
        <v>8</v>
      </c>
      <c r="AO866">
        <v>8</v>
      </c>
      <c r="AP866">
        <v>4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 s="2">
        <v>1</v>
      </c>
      <c r="BD866" s="2">
        <v>7</v>
      </c>
      <c r="BE866" s="2">
        <v>2</v>
      </c>
      <c r="BF866" s="2">
        <v>2</v>
      </c>
      <c r="BG866" s="2">
        <v>8</v>
      </c>
      <c r="BH866" s="2">
        <v>8</v>
      </c>
      <c r="BI866" s="2">
        <v>4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f t="shared" si="57"/>
        <v>32</v>
      </c>
      <c r="BW866" s="16">
        <f t="shared" si="55"/>
        <v>1.6842105263157894</v>
      </c>
      <c r="BX866" s="16">
        <f>COUNTIF($BC$6:BU866, "=0") / COUNTIF($BC$6:BU866, "&gt;-1")</f>
        <v>0.23711718320190719</v>
      </c>
      <c r="BY866" s="18">
        <f>SUM($BC$6:BU866) / $BY$4</f>
        <v>0.92476759085332227</v>
      </c>
      <c r="BZ866" s="14">
        <f t="shared" si="56"/>
        <v>12</v>
      </c>
      <c r="CA866" t="s">
        <v>5832</v>
      </c>
      <c r="CZ866" t="s">
        <v>6510</v>
      </c>
      <c r="DA866" t="s">
        <v>5904</v>
      </c>
      <c r="DB866">
        <v>4008.4</v>
      </c>
      <c r="DC866" t="s">
        <v>15848</v>
      </c>
      <c r="DD866" t="s">
        <v>15849</v>
      </c>
      <c r="DE866" t="s">
        <v>15850</v>
      </c>
      <c r="DF866" t="s">
        <v>15851</v>
      </c>
      <c r="DG866" t="s">
        <v>15852</v>
      </c>
      <c r="DH866" t="str">
        <f>"CSPG4"</f>
        <v>CSPG4</v>
      </c>
      <c r="DI866" t="s">
        <v>15853</v>
      </c>
      <c r="DJ866" t="s">
        <v>13777</v>
      </c>
      <c r="DK866">
        <v>9606</v>
      </c>
      <c r="DL866" s="34" t="str">
        <f>HYPERLINK("http://www.uniprot.org/uniprot/Q6UVK1", "Q6UVK1")</f>
        <v>Q6UVK1</v>
      </c>
      <c r="DM866" t="s">
        <v>15854</v>
      </c>
      <c r="DN866" t="s">
        <v>15855</v>
      </c>
      <c r="DO866" t="s">
        <v>15856</v>
      </c>
      <c r="DP866" t="s">
        <v>13793</v>
      </c>
      <c r="DQ866" t="s">
        <v>13772</v>
      </c>
      <c r="DR866" t="s">
        <v>13772</v>
      </c>
      <c r="DS866" t="s">
        <v>13826</v>
      </c>
      <c r="DT866" t="s">
        <v>13772</v>
      </c>
      <c r="DU866" t="s">
        <v>15857</v>
      </c>
      <c r="DV866" t="s">
        <v>15858</v>
      </c>
      <c r="DW866" t="s">
        <v>13772</v>
      </c>
      <c r="DX866" t="s">
        <v>15859</v>
      </c>
      <c r="DY866" t="s">
        <v>15860</v>
      </c>
      <c r="DZ866" t="s">
        <v>15861</v>
      </c>
      <c r="EA866" t="s">
        <v>13772</v>
      </c>
      <c r="EB866" t="s">
        <v>15862</v>
      </c>
    </row>
    <row r="867" spans="1:132" hidden="1">
      <c r="A867">
        <v>876</v>
      </c>
      <c r="B867">
        <v>1</v>
      </c>
      <c r="C867" t="s">
        <v>2139</v>
      </c>
      <c r="D867" t="s">
        <v>73</v>
      </c>
      <c r="E867" t="s">
        <v>73</v>
      </c>
      <c r="F867" t="s">
        <v>73</v>
      </c>
      <c r="G867" t="s">
        <v>73</v>
      </c>
      <c r="H867">
        <v>84.1</v>
      </c>
      <c r="I867">
        <v>63</v>
      </c>
      <c r="J867">
        <v>6806</v>
      </c>
      <c r="K867" t="s">
        <v>2140</v>
      </c>
      <c r="L867">
        <f t="shared" si="54"/>
        <v>32</v>
      </c>
      <c r="N867">
        <v>32</v>
      </c>
      <c r="O867">
        <v>32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2</v>
      </c>
      <c r="Y867">
        <v>5</v>
      </c>
      <c r="Z867">
        <v>0</v>
      </c>
      <c r="AA867">
        <v>10</v>
      </c>
      <c r="AB867">
        <v>1</v>
      </c>
      <c r="AC867">
        <v>2</v>
      </c>
      <c r="AD867">
        <v>0</v>
      </c>
      <c r="AE867">
        <v>6</v>
      </c>
      <c r="AF867">
        <v>2</v>
      </c>
      <c r="AG867">
        <v>2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2</v>
      </c>
      <c r="AR867">
        <v>5</v>
      </c>
      <c r="AS867">
        <v>0</v>
      </c>
      <c r="AT867">
        <v>10</v>
      </c>
      <c r="AU867">
        <v>1</v>
      </c>
      <c r="AV867">
        <v>2</v>
      </c>
      <c r="AW867">
        <v>0</v>
      </c>
      <c r="AX867">
        <v>6</v>
      </c>
      <c r="AY867">
        <v>2</v>
      </c>
      <c r="AZ867">
        <v>2</v>
      </c>
      <c r="BA867">
        <v>0</v>
      </c>
      <c r="BB867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0</v>
      </c>
      <c r="BJ867" s="2">
        <v>2</v>
      </c>
      <c r="BK867" s="2">
        <v>5</v>
      </c>
      <c r="BL867" s="2">
        <v>0</v>
      </c>
      <c r="BM867" s="2">
        <v>10</v>
      </c>
      <c r="BN867" s="2">
        <v>1</v>
      </c>
      <c r="BO867" s="2">
        <v>2</v>
      </c>
      <c r="BP867" s="2">
        <v>0</v>
      </c>
      <c r="BQ867" s="2">
        <v>6</v>
      </c>
      <c r="BR867" s="2">
        <v>2</v>
      </c>
      <c r="BS867" s="2">
        <v>2</v>
      </c>
      <c r="BT867" s="2">
        <v>0</v>
      </c>
      <c r="BU867" s="2">
        <v>1</v>
      </c>
      <c r="BV867" s="2">
        <f t="shared" si="57"/>
        <v>32</v>
      </c>
      <c r="BW867" s="16">
        <f t="shared" si="55"/>
        <v>1.6842105263157894</v>
      </c>
      <c r="BX867" s="16">
        <f>COUNTIF($BC$6:BU867, "=0") / COUNTIF($BC$6:BU867, "&gt;-1")</f>
        <v>0.23739162290878008</v>
      </c>
      <c r="BY867" s="18">
        <f>SUM($BC$6:BU867) / $BY$4</f>
        <v>0.9249046672331207</v>
      </c>
      <c r="BZ867" s="14">
        <f t="shared" si="56"/>
        <v>9</v>
      </c>
      <c r="CA867" t="s">
        <v>5832</v>
      </c>
      <c r="CZ867" t="s">
        <v>8694</v>
      </c>
      <c r="DA867" t="s">
        <v>5904</v>
      </c>
      <c r="DB867">
        <v>117.5</v>
      </c>
      <c r="DC867" t="s">
        <v>22408</v>
      </c>
      <c r="DD867" t="s">
        <v>13772</v>
      </c>
      <c r="DE867" t="s">
        <v>22409</v>
      </c>
      <c r="DF867" t="s">
        <v>22410</v>
      </c>
      <c r="DG867" t="s">
        <v>22411</v>
      </c>
      <c r="DH867" t="str">
        <f>"COX17"</f>
        <v>COX17</v>
      </c>
      <c r="DI867" t="s">
        <v>13772</v>
      </c>
      <c r="DJ867" t="s">
        <v>13777</v>
      </c>
      <c r="DK867">
        <v>9606</v>
      </c>
      <c r="DL867" s="34" t="str">
        <f>HYPERLINK("http://www.uniprot.org/uniprot/Q14061", "Q14061")</f>
        <v>Q14061</v>
      </c>
      <c r="DM867" t="s">
        <v>22412</v>
      </c>
      <c r="DN867" t="s">
        <v>13772</v>
      </c>
      <c r="DO867" t="s">
        <v>21204</v>
      </c>
      <c r="DP867" t="s">
        <v>13772</v>
      </c>
      <c r="DQ867" t="s">
        <v>13772</v>
      </c>
      <c r="DR867" t="s">
        <v>13772</v>
      </c>
      <c r="DS867" t="s">
        <v>13772</v>
      </c>
      <c r="DT867" t="s">
        <v>15982</v>
      </c>
      <c r="DU867" t="s">
        <v>14477</v>
      </c>
      <c r="DV867" t="s">
        <v>15554</v>
      </c>
      <c r="DW867" t="s">
        <v>13812</v>
      </c>
      <c r="DX867" t="s">
        <v>22413</v>
      </c>
      <c r="DY867" t="s">
        <v>22414</v>
      </c>
      <c r="DZ867" t="s">
        <v>22415</v>
      </c>
      <c r="EA867" t="s">
        <v>13772</v>
      </c>
      <c r="EB867" t="s">
        <v>22416</v>
      </c>
    </row>
    <row r="868" spans="1:132" hidden="1">
      <c r="A868">
        <v>982</v>
      </c>
      <c r="B868">
        <v>1</v>
      </c>
      <c r="C868" t="s">
        <v>2383</v>
      </c>
      <c r="D868" t="s">
        <v>73</v>
      </c>
      <c r="E868" t="s">
        <v>73</v>
      </c>
      <c r="F868" t="s">
        <v>73</v>
      </c>
      <c r="G868" t="s">
        <v>73</v>
      </c>
      <c r="H868">
        <v>25.4</v>
      </c>
      <c r="I868">
        <v>714</v>
      </c>
      <c r="J868">
        <v>76831</v>
      </c>
      <c r="K868" t="s">
        <v>2384</v>
      </c>
      <c r="L868">
        <f t="shared" si="54"/>
        <v>32</v>
      </c>
      <c r="N868">
        <v>32</v>
      </c>
      <c r="O868">
        <v>32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4</v>
      </c>
      <c r="Z868">
        <v>0</v>
      </c>
      <c r="AA868">
        <v>8</v>
      </c>
      <c r="AB868">
        <v>11</v>
      </c>
      <c r="AC868">
        <v>3</v>
      </c>
      <c r="AD868">
        <v>0</v>
      </c>
      <c r="AE868">
        <v>3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4</v>
      </c>
      <c r="AS868">
        <v>0</v>
      </c>
      <c r="AT868">
        <v>8</v>
      </c>
      <c r="AU868">
        <v>11</v>
      </c>
      <c r="AV868">
        <v>3</v>
      </c>
      <c r="AW868">
        <v>0</v>
      </c>
      <c r="AX868">
        <v>3</v>
      </c>
      <c r="AY868">
        <v>2</v>
      </c>
      <c r="AZ868">
        <v>0</v>
      </c>
      <c r="BA868">
        <v>0</v>
      </c>
      <c r="BB868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1</v>
      </c>
      <c r="BK868" s="2">
        <v>4</v>
      </c>
      <c r="BL868" s="2">
        <v>0</v>
      </c>
      <c r="BM868" s="2">
        <v>8</v>
      </c>
      <c r="BN868" s="2">
        <v>11</v>
      </c>
      <c r="BO868" s="2">
        <v>3</v>
      </c>
      <c r="BP868" s="2">
        <v>0</v>
      </c>
      <c r="BQ868" s="2">
        <v>3</v>
      </c>
      <c r="BR868" s="2">
        <v>2</v>
      </c>
      <c r="BS868" s="2">
        <v>0</v>
      </c>
      <c r="BT868" s="2">
        <v>0</v>
      </c>
      <c r="BU868" s="2">
        <v>0</v>
      </c>
      <c r="BV868" s="2">
        <f t="shared" si="57"/>
        <v>32</v>
      </c>
      <c r="BW868" s="16">
        <f t="shared" si="55"/>
        <v>1.6842105263157894</v>
      </c>
      <c r="BX868" s="16">
        <f>COUNTIF($BC$6:BU868, "=0") / COUNTIF($BC$6:BU868, "&gt;-1")</f>
        <v>0.2378483869000427</v>
      </c>
      <c r="BY868" s="18">
        <f>SUM($BC$6:BU868) / $BY$4</f>
        <v>0.92504174361291913</v>
      </c>
      <c r="BZ868" s="14">
        <f t="shared" si="56"/>
        <v>12</v>
      </c>
      <c r="CA868" t="s">
        <v>5832</v>
      </c>
      <c r="CZ868" t="s">
        <v>9061</v>
      </c>
      <c r="DA868" t="s">
        <v>5904</v>
      </c>
      <c r="DB868">
        <v>874.4</v>
      </c>
      <c r="DC868" t="s">
        <v>23462</v>
      </c>
      <c r="DD868" t="s">
        <v>23463</v>
      </c>
      <c r="DE868" t="s">
        <v>23464</v>
      </c>
      <c r="DF868" t="s">
        <v>23465</v>
      </c>
      <c r="DG868" t="s">
        <v>23466</v>
      </c>
      <c r="DH868" t="str">
        <f>"NCL"</f>
        <v>NCL</v>
      </c>
      <c r="DI868" t="s">
        <v>13772</v>
      </c>
      <c r="DJ868" t="s">
        <v>13777</v>
      </c>
      <c r="DK868">
        <v>9606</v>
      </c>
      <c r="DL868" s="34" t="str">
        <f>HYPERLINK("http://www.uniprot.org/uniprot/P19338", "P19338")</f>
        <v>P19338</v>
      </c>
      <c r="DM868" t="s">
        <v>23467</v>
      </c>
      <c r="DN868" t="s">
        <v>13772</v>
      </c>
      <c r="DO868" t="s">
        <v>13912</v>
      </c>
      <c r="DP868" t="s">
        <v>13793</v>
      </c>
      <c r="DQ868" t="s">
        <v>13772</v>
      </c>
      <c r="DR868" t="s">
        <v>13772</v>
      </c>
      <c r="DS868" t="s">
        <v>14096</v>
      </c>
      <c r="DT868" t="s">
        <v>13772</v>
      </c>
      <c r="DU868" t="s">
        <v>20764</v>
      </c>
      <c r="DV868" t="s">
        <v>14663</v>
      </c>
      <c r="DW868" t="s">
        <v>13812</v>
      </c>
      <c r="DX868" t="s">
        <v>23468</v>
      </c>
      <c r="DY868" t="s">
        <v>23469</v>
      </c>
      <c r="DZ868" t="s">
        <v>23470</v>
      </c>
      <c r="EA868" t="s">
        <v>13772</v>
      </c>
      <c r="EB868" t="s">
        <v>23471</v>
      </c>
    </row>
    <row r="869" spans="1:132" hidden="1">
      <c r="A869">
        <v>1529</v>
      </c>
      <c r="B869">
        <v>1</v>
      </c>
      <c r="C869" t="s">
        <v>3635</v>
      </c>
      <c r="D869" t="s">
        <v>73</v>
      </c>
      <c r="E869" t="s">
        <v>73</v>
      </c>
      <c r="F869" t="s">
        <v>73</v>
      </c>
      <c r="G869" t="s">
        <v>73</v>
      </c>
      <c r="H869">
        <v>28.5</v>
      </c>
      <c r="I869">
        <v>593</v>
      </c>
      <c r="J869">
        <v>67561</v>
      </c>
      <c r="K869" t="s">
        <v>3636</v>
      </c>
      <c r="L869">
        <f t="shared" si="54"/>
        <v>32</v>
      </c>
      <c r="N869">
        <v>32</v>
      </c>
      <c r="O869">
        <v>32</v>
      </c>
      <c r="P869">
        <v>1</v>
      </c>
      <c r="Q869">
        <v>0</v>
      </c>
      <c r="R869">
        <v>1</v>
      </c>
      <c r="S869">
        <v>2</v>
      </c>
      <c r="T869">
        <v>1</v>
      </c>
      <c r="U869">
        <v>3</v>
      </c>
      <c r="V869">
        <v>1</v>
      </c>
      <c r="W869">
        <v>3</v>
      </c>
      <c r="X869">
        <v>2</v>
      </c>
      <c r="Y869">
        <v>1</v>
      </c>
      <c r="Z869">
        <v>0</v>
      </c>
      <c r="AA869">
        <v>4</v>
      </c>
      <c r="AB869">
        <v>5</v>
      </c>
      <c r="AC869">
        <v>2</v>
      </c>
      <c r="AD869">
        <v>0</v>
      </c>
      <c r="AE869">
        <v>1</v>
      </c>
      <c r="AF869">
        <v>2</v>
      </c>
      <c r="AG869">
        <v>2</v>
      </c>
      <c r="AH869">
        <v>1</v>
      </c>
      <c r="AI869">
        <v>1</v>
      </c>
      <c r="AJ869">
        <v>0</v>
      </c>
      <c r="AK869">
        <v>1</v>
      </c>
      <c r="AL869">
        <v>2</v>
      </c>
      <c r="AM869">
        <v>1</v>
      </c>
      <c r="AN869">
        <v>3</v>
      </c>
      <c r="AO869">
        <v>1</v>
      </c>
      <c r="AP869">
        <v>3</v>
      </c>
      <c r="AQ869">
        <v>2</v>
      </c>
      <c r="AR869">
        <v>1</v>
      </c>
      <c r="AS869">
        <v>0</v>
      </c>
      <c r="AT869">
        <v>4</v>
      </c>
      <c r="AU869">
        <v>5</v>
      </c>
      <c r="AV869">
        <v>2</v>
      </c>
      <c r="AW869">
        <v>0</v>
      </c>
      <c r="AX869">
        <v>1</v>
      </c>
      <c r="AY869">
        <v>2</v>
      </c>
      <c r="AZ869">
        <v>2</v>
      </c>
      <c r="BA869">
        <v>1</v>
      </c>
      <c r="BB869">
        <v>1</v>
      </c>
      <c r="BC869" s="2">
        <v>0</v>
      </c>
      <c r="BD869" s="2">
        <v>1</v>
      </c>
      <c r="BE869" s="2">
        <v>2</v>
      </c>
      <c r="BF869" s="2">
        <v>1</v>
      </c>
      <c r="BG869" s="2">
        <v>3</v>
      </c>
      <c r="BH869" s="2">
        <v>1</v>
      </c>
      <c r="BI869" s="2">
        <v>3</v>
      </c>
      <c r="BJ869" s="2">
        <v>2</v>
      </c>
      <c r="BK869" s="2">
        <v>1</v>
      </c>
      <c r="BL869" s="2">
        <v>0</v>
      </c>
      <c r="BM869" s="2">
        <v>4</v>
      </c>
      <c r="BN869" s="2">
        <v>5</v>
      </c>
      <c r="BO869" s="2">
        <v>2</v>
      </c>
      <c r="BP869" s="2">
        <v>0</v>
      </c>
      <c r="BQ869" s="2">
        <v>1</v>
      </c>
      <c r="BR869" s="2">
        <v>2</v>
      </c>
      <c r="BS869" s="2">
        <v>2</v>
      </c>
      <c r="BT869" s="2">
        <v>1</v>
      </c>
      <c r="BU869" s="2">
        <v>1</v>
      </c>
      <c r="BV869" s="2">
        <f t="shared" si="57"/>
        <v>32</v>
      </c>
      <c r="BW869" s="16">
        <f t="shared" si="55"/>
        <v>1.6842105263157894</v>
      </c>
      <c r="BX869" s="16">
        <f>COUNTIF($BC$6:BU869, "=0") / COUNTIF($BC$6:BU869, "&gt;-1")</f>
        <v>0.23775584795321639</v>
      </c>
      <c r="BY869" s="18">
        <f>SUM($BC$6:BU869) / $BY$4</f>
        <v>0.92517881999271756</v>
      </c>
      <c r="BZ869" s="14">
        <f t="shared" si="56"/>
        <v>3</v>
      </c>
      <c r="CA869" t="s">
        <v>5832</v>
      </c>
      <c r="CZ869" t="s">
        <v>10833</v>
      </c>
      <c r="DA869" t="s">
        <v>5904</v>
      </c>
      <c r="DB869">
        <v>1068.0999999999999</v>
      </c>
      <c r="DC869" t="s">
        <v>28468</v>
      </c>
      <c r="DD869" t="s">
        <v>28469</v>
      </c>
      <c r="DE869" t="s">
        <v>28470</v>
      </c>
      <c r="DF869" t="s">
        <v>28471</v>
      </c>
      <c r="DG869" t="s">
        <v>28472</v>
      </c>
      <c r="DH869" t="str">
        <f>"CANX"</f>
        <v>CANX</v>
      </c>
      <c r="DI869" t="s">
        <v>13772</v>
      </c>
      <c r="DJ869" t="s">
        <v>13777</v>
      </c>
      <c r="DK869">
        <v>9606</v>
      </c>
      <c r="DL869" s="34" t="str">
        <f>HYPERLINK("http://www.uniprot.org/uniprot/P27824", "P27824")</f>
        <v>P27824</v>
      </c>
      <c r="DM869" t="s">
        <v>28473</v>
      </c>
      <c r="DN869" t="s">
        <v>13772</v>
      </c>
      <c r="DO869" t="s">
        <v>14714</v>
      </c>
      <c r="DP869" t="s">
        <v>13841</v>
      </c>
      <c r="DQ869" t="s">
        <v>13772</v>
      </c>
      <c r="DR869" t="s">
        <v>13772</v>
      </c>
      <c r="DS869" t="s">
        <v>13826</v>
      </c>
      <c r="DT869" t="s">
        <v>14519</v>
      </c>
      <c r="DU869" t="s">
        <v>14477</v>
      </c>
      <c r="DV869" t="s">
        <v>21938</v>
      </c>
      <c r="DW869" t="s">
        <v>13772</v>
      </c>
      <c r="DX869" t="s">
        <v>28474</v>
      </c>
      <c r="DY869" t="s">
        <v>28475</v>
      </c>
      <c r="DZ869" t="s">
        <v>28476</v>
      </c>
      <c r="EA869" t="s">
        <v>13772</v>
      </c>
      <c r="EB869" t="s">
        <v>28477</v>
      </c>
    </row>
    <row r="870" spans="1:132" hidden="1">
      <c r="A870">
        <v>1659</v>
      </c>
      <c r="B870">
        <v>1</v>
      </c>
      <c r="C870" t="s">
        <v>3935</v>
      </c>
      <c r="D870" t="s">
        <v>73</v>
      </c>
      <c r="E870" t="s">
        <v>73</v>
      </c>
      <c r="F870" t="s">
        <v>73</v>
      </c>
      <c r="G870" t="s">
        <v>73</v>
      </c>
      <c r="H870">
        <v>30.2</v>
      </c>
      <c r="I870">
        <v>222</v>
      </c>
      <c r="J870">
        <v>25183</v>
      </c>
      <c r="K870" t="s">
        <v>3936</v>
      </c>
      <c r="L870">
        <f t="shared" si="54"/>
        <v>32</v>
      </c>
      <c r="N870">
        <v>32</v>
      </c>
      <c r="O870">
        <v>32</v>
      </c>
      <c r="P870">
        <v>1</v>
      </c>
      <c r="Q870">
        <v>2</v>
      </c>
      <c r="R870">
        <v>6</v>
      </c>
      <c r="S870">
        <v>1</v>
      </c>
      <c r="T870">
        <v>2</v>
      </c>
      <c r="U870">
        <v>2</v>
      </c>
      <c r="V870">
        <v>7</v>
      </c>
      <c r="W870">
        <v>6</v>
      </c>
      <c r="X870">
        <v>3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0</v>
      </c>
      <c r="AH870">
        <v>0</v>
      </c>
      <c r="AI870">
        <v>0</v>
      </c>
      <c r="AJ870">
        <v>2</v>
      </c>
      <c r="AK870">
        <v>6</v>
      </c>
      <c r="AL870">
        <v>1</v>
      </c>
      <c r="AM870">
        <v>2</v>
      </c>
      <c r="AN870">
        <v>2</v>
      </c>
      <c r="AO870">
        <v>7</v>
      </c>
      <c r="AP870">
        <v>6</v>
      </c>
      <c r="AQ870">
        <v>3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2</v>
      </c>
      <c r="AZ870">
        <v>0</v>
      </c>
      <c r="BA870">
        <v>0</v>
      </c>
      <c r="BB870">
        <v>0</v>
      </c>
      <c r="BC870" s="2">
        <v>2</v>
      </c>
      <c r="BD870" s="2">
        <v>6</v>
      </c>
      <c r="BE870" s="2">
        <v>1</v>
      </c>
      <c r="BF870" s="2">
        <v>2</v>
      </c>
      <c r="BG870" s="2">
        <v>2</v>
      </c>
      <c r="BH870" s="2">
        <v>7</v>
      </c>
      <c r="BI870" s="2">
        <v>6</v>
      </c>
      <c r="BJ870" s="2">
        <v>3</v>
      </c>
      <c r="BK870" s="2">
        <v>0</v>
      </c>
      <c r="BL870" s="2">
        <v>0</v>
      </c>
      <c r="BM870" s="2">
        <v>1</v>
      </c>
      <c r="BN870" s="2">
        <v>0</v>
      </c>
      <c r="BO870" s="2">
        <v>0</v>
      </c>
      <c r="BP870" s="2">
        <v>0</v>
      </c>
      <c r="BQ870" s="2">
        <v>0</v>
      </c>
      <c r="BR870" s="2">
        <v>2</v>
      </c>
      <c r="BS870" s="2">
        <v>0</v>
      </c>
      <c r="BT870" s="2">
        <v>0</v>
      </c>
      <c r="BU870" s="2">
        <v>0</v>
      </c>
      <c r="BV870" s="2">
        <f t="shared" si="57"/>
        <v>32</v>
      </c>
      <c r="BW870" s="16">
        <f t="shared" si="55"/>
        <v>1.6842105263157894</v>
      </c>
      <c r="BX870" s="16">
        <f>COUNTIF($BC$6:BU870, "=0") / COUNTIF($BC$6:BU870, "&gt;-1")</f>
        <v>0.23802859750532401</v>
      </c>
      <c r="BY870" s="18">
        <f>SUM($BC$6:BU870) / $BY$4</f>
        <v>0.92531589637251599</v>
      </c>
      <c r="BZ870" s="14">
        <f t="shared" si="56"/>
        <v>9</v>
      </c>
      <c r="CA870" t="s">
        <v>5832</v>
      </c>
      <c r="CZ870" t="s">
        <v>11280</v>
      </c>
      <c r="DA870" t="s">
        <v>5904</v>
      </c>
      <c r="DB870">
        <v>408.3</v>
      </c>
      <c r="DC870" t="s">
        <v>29720</v>
      </c>
      <c r="DD870" t="s">
        <v>29721</v>
      </c>
      <c r="DE870" t="s">
        <v>29722</v>
      </c>
      <c r="DF870" t="s">
        <v>29723</v>
      </c>
      <c r="DG870" t="s">
        <v>29724</v>
      </c>
      <c r="DH870" t="str">
        <f>"CLTRN"</f>
        <v>CLTRN</v>
      </c>
      <c r="DI870" t="s">
        <v>13772</v>
      </c>
      <c r="DJ870" t="s">
        <v>13777</v>
      </c>
      <c r="DK870">
        <v>9606</v>
      </c>
      <c r="DL870" s="34" t="str">
        <f>HYPERLINK("http://www.uniprot.org/uniprot/Q9HBJ8", "Q9HBJ8")</f>
        <v>Q9HBJ8</v>
      </c>
      <c r="DM870" t="s">
        <v>29725</v>
      </c>
      <c r="DN870" t="s">
        <v>13772</v>
      </c>
      <c r="DO870" t="s">
        <v>13792</v>
      </c>
      <c r="DP870" t="s">
        <v>13772</v>
      </c>
      <c r="DQ870" t="s">
        <v>13772</v>
      </c>
      <c r="DR870" t="s">
        <v>13772</v>
      </c>
      <c r="DS870" t="s">
        <v>13855</v>
      </c>
      <c r="DT870" t="s">
        <v>13772</v>
      </c>
      <c r="DU870" t="s">
        <v>13772</v>
      </c>
      <c r="DV870" t="s">
        <v>13978</v>
      </c>
      <c r="DW870" t="s">
        <v>13772</v>
      </c>
      <c r="DX870" t="s">
        <v>29726</v>
      </c>
      <c r="DY870" t="s">
        <v>29727</v>
      </c>
      <c r="DZ870" t="s">
        <v>29728</v>
      </c>
      <c r="EA870" t="s">
        <v>13772</v>
      </c>
      <c r="EB870" t="s">
        <v>29729</v>
      </c>
    </row>
    <row r="871" spans="1:132" hidden="1">
      <c r="A871">
        <v>1851</v>
      </c>
      <c r="B871">
        <v>1</v>
      </c>
      <c r="C871" t="s">
        <v>4374</v>
      </c>
      <c r="D871" t="s">
        <v>73</v>
      </c>
      <c r="E871" t="s">
        <v>73</v>
      </c>
      <c r="F871" t="s">
        <v>73</v>
      </c>
      <c r="G871" t="s">
        <v>73</v>
      </c>
      <c r="H871">
        <v>24.8</v>
      </c>
      <c r="I871">
        <v>1162</v>
      </c>
      <c r="J871">
        <v>121872</v>
      </c>
      <c r="K871" t="s">
        <v>4375</v>
      </c>
      <c r="L871">
        <f t="shared" si="54"/>
        <v>32</v>
      </c>
      <c r="N871">
        <v>32</v>
      </c>
      <c r="O871">
        <v>32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0</v>
      </c>
      <c r="AA871">
        <v>10</v>
      </c>
      <c r="AB871">
        <v>0</v>
      </c>
      <c r="AC871">
        <v>5</v>
      </c>
      <c r="AD871">
        <v>0</v>
      </c>
      <c r="AE871">
        <v>4</v>
      </c>
      <c r="AF871">
        <v>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</v>
      </c>
      <c r="AS871">
        <v>0</v>
      </c>
      <c r="AT871">
        <v>10</v>
      </c>
      <c r="AU871">
        <v>0</v>
      </c>
      <c r="AV871">
        <v>5</v>
      </c>
      <c r="AW871">
        <v>0</v>
      </c>
      <c r="AX871">
        <v>4</v>
      </c>
      <c r="AY871">
        <v>8</v>
      </c>
      <c r="AZ871">
        <v>0</v>
      </c>
      <c r="BA871">
        <v>0</v>
      </c>
      <c r="BB871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5</v>
      </c>
      <c r="BL871" s="2">
        <v>0</v>
      </c>
      <c r="BM871" s="2">
        <v>10</v>
      </c>
      <c r="BN871" s="2">
        <v>0</v>
      </c>
      <c r="BO871" s="2">
        <v>5</v>
      </c>
      <c r="BP871" s="2">
        <v>0</v>
      </c>
      <c r="BQ871" s="2">
        <v>4</v>
      </c>
      <c r="BR871" s="2">
        <v>8</v>
      </c>
      <c r="BS871" s="2">
        <v>0</v>
      </c>
      <c r="BT871" s="2">
        <v>0</v>
      </c>
      <c r="BU871" s="2">
        <v>0</v>
      </c>
      <c r="BV871" s="2">
        <f t="shared" si="57"/>
        <v>32</v>
      </c>
      <c r="BW871" s="16">
        <f t="shared" si="55"/>
        <v>1.6842105263157894</v>
      </c>
      <c r="BX871" s="16">
        <f>COUNTIF($BC$6:BU871, "=0") / COUNTIF($BC$6:BU871, "&gt;-1")</f>
        <v>0.23860459462744621</v>
      </c>
      <c r="BY871" s="18">
        <f>SUM($BC$6:BU871) / $BY$4</f>
        <v>0.92545297275231442</v>
      </c>
      <c r="BZ871" s="14">
        <f t="shared" si="56"/>
        <v>14</v>
      </c>
      <c r="CA871" t="s">
        <v>5832</v>
      </c>
      <c r="CZ871" t="s">
        <v>11930</v>
      </c>
      <c r="DA871" t="s">
        <v>5904</v>
      </c>
      <c r="DB871">
        <v>830.9</v>
      </c>
      <c r="DC871" t="s">
        <v>31583</v>
      </c>
      <c r="DD871" t="s">
        <v>31584</v>
      </c>
      <c r="DE871" t="s">
        <v>31585</v>
      </c>
      <c r="DF871" t="s">
        <v>31586</v>
      </c>
      <c r="DG871" t="s">
        <v>31587</v>
      </c>
      <c r="DH871" t="str">
        <f>"APOBR"</f>
        <v>APOBR</v>
      </c>
      <c r="DI871" t="s">
        <v>31588</v>
      </c>
      <c r="DJ871" t="s">
        <v>13777</v>
      </c>
      <c r="DK871">
        <v>9606</v>
      </c>
      <c r="DL871" s="34" t="str">
        <f>HYPERLINK("http://www.uniprot.org/uniprot/Q0VD83", "Q0VD83")</f>
        <v>Q0VD83</v>
      </c>
      <c r="DM871" t="s">
        <v>31589</v>
      </c>
      <c r="DN871" t="s">
        <v>16169</v>
      </c>
      <c r="DO871" t="s">
        <v>31590</v>
      </c>
      <c r="DP871" t="s">
        <v>13780</v>
      </c>
      <c r="DQ871" t="s">
        <v>13772</v>
      </c>
      <c r="DR871" t="s">
        <v>31591</v>
      </c>
      <c r="DS871" t="s">
        <v>13772</v>
      </c>
      <c r="DT871" t="s">
        <v>13772</v>
      </c>
      <c r="DU871" t="s">
        <v>13795</v>
      </c>
      <c r="DV871" t="s">
        <v>13782</v>
      </c>
      <c r="DW871" t="s">
        <v>13772</v>
      </c>
      <c r="DX871" t="s">
        <v>31592</v>
      </c>
      <c r="DY871" t="s">
        <v>31593</v>
      </c>
      <c r="DZ871" t="s">
        <v>31594</v>
      </c>
      <c r="EA871" t="s">
        <v>13772</v>
      </c>
      <c r="EB871" t="s">
        <v>31595</v>
      </c>
    </row>
    <row r="872" spans="1:132" hidden="1">
      <c r="A872">
        <v>1911</v>
      </c>
      <c r="B872">
        <v>1</v>
      </c>
      <c r="C872" t="s">
        <v>4502</v>
      </c>
      <c r="D872" t="s">
        <v>73</v>
      </c>
      <c r="E872" t="s">
        <v>73</v>
      </c>
      <c r="F872" t="s">
        <v>73</v>
      </c>
      <c r="G872" t="s">
        <v>73</v>
      </c>
      <c r="H872">
        <v>38.1</v>
      </c>
      <c r="I872">
        <v>323</v>
      </c>
      <c r="J872">
        <v>36842</v>
      </c>
      <c r="K872" t="s">
        <v>4503</v>
      </c>
      <c r="L872">
        <f t="shared" si="54"/>
        <v>32</v>
      </c>
      <c r="N872">
        <v>32</v>
      </c>
      <c r="O872">
        <v>32</v>
      </c>
      <c r="P872">
        <v>1</v>
      </c>
      <c r="Q872">
        <v>1</v>
      </c>
      <c r="R872">
        <v>0</v>
      </c>
      <c r="S872">
        <v>1</v>
      </c>
      <c r="T872">
        <v>2</v>
      </c>
      <c r="U872">
        <v>1</v>
      </c>
      <c r="V872">
        <v>2</v>
      </c>
      <c r="W872">
        <v>0</v>
      </c>
      <c r="X872">
        <v>7</v>
      </c>
      <c r="Y872">
        <v>3</v>
      </c>
      <c r="Z872">
        <v>0</v>
      </c>
      <c r="AA872">
        <v>6</v>
      </c>
      <c r="AB872">
        <v>3</v>
      </c>
      <c r="AC872">
        <v>3</v>
      </c>
      <c r="AD872">
        <v>0</v>
      </c>
      <c r="AE872">
        <v>0</v>
      </c>
      <c r="AF872">
        <v>2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1</v>
      </c>
      <c r="AM872">
        <v>2</v>
      </c>
      <c r="AN872">
        <v>1</v>
      </c>
      <c r="AO872">
        <v>2</v>
      </c>
      <c r="AP872">
        <v>0</v>
      </c>
      <c r="AQ872">
        <v>7</v>
      </c>
      <c r="AR872">
        <v>3</v>
      </c>
      <c r="AS872">
        <v>0</v>
      </c>
      <c r="AT872">
        <v>6</v>
      </c>
      <c r="AU872">
        <v>3</v>
      </c>
      <c r="AV872">
        <v>3</v>
      </c>
      <c r="AW872">
        <v>0</v>
      </c>
      <c r="AX872">
        <v>0</v>
      </c>
      <c r="AY872">
        <v>2</v>
      </c>
      <c r="AZ872">
        <v>0</v>
      </c>
      <c r="BA872">
        <v>1</v>
      </c>
      <c r="BB872">
        <v>0</v>
      </c>
      <c r="BC872" s="2">
        <v>1</v>
      </c>
      <c r="BD872" s="2">
        <v>0</v>
      </c>
      <c r="BE872" s="2">
        <v>1</v>
      </c>
      <c r="BF872" s="2">
        <v>2</v>
      </c>
      <c r="BG872" s="2">
        <v>1</v>
      </c>
      <c r="BH872" s="2">
        <v>2</v>
      </c>
      <c r="BI872" s="2">
        <v>0</v>
      </c>
      <c r="BJ872" s="2">
        <v>7</v>
      </c>
      <c r="BK872" s="2">
        <v>3</v>
      </c>
      <c r="BL872" s="2">
        <v>0</v>
      </c>
      <c r="BM872" s="2">
        <v>6</v>
      </c>
      <c r="BN872" s="2">
        <v>3</v>
      </c>
      <c r="BO872" s="2">
        <v>3</v>
      </c>
      <c r="BP872" s="2">
        <v>0</v>
      </c>
      <c r="BQ872" s="2">
        <v>0</v>
      </c>
      <c r="BR872" s="2">
        <v>2</v>
      </c>
      <c r="BS872" s="2">
        <v>0</v>
      </c>
      <c r="BT872" s="2">
        <v>1</v>
      </c>
      <c r="BU872" s="2">
        <v>0</v>
      </c>
      <c r="BV872" s="2">
        <f t="shared" si="57"/>
        <v>32</v>
      </c>
      <c r="BW872" s="16">
        <f t="shared" si="55"/>
        <v>1.6842105263157894</v>
      </c>
      <c r="BX872" s="16">
        <f>COUNTIF($BC$6:BU872, "=0") / COUNTIF($BC$6:BU872, "&gt;-1")</f>
        <v>0.23875432525951557</v>
      </c>
      <c r="BY872" s="18">
        <f>SUM($BC$6:BU872) / $BY$4</f>
        <v>0.92559004913211285</v>
      </c>
      <c r="BZ872" s="14">
        <f t="shared" si="56"/>
        <v>7</v>
      </c>
      <c r="CA872" t="s">
        <v>5832</v>
      </c>
      <c r="CZ872" t="s">
        <v>12123</v>
      </c>
      <c r="DA872" t="s">
        <v>5904</v>
      </c>
      <c r="DB872">
        <v>645.20000000000005</v>
      </c>
      <c r="DC872" t="s">
        <v>32083</v>
      </c>
      <c r="DD872" t="s">
        <v>32084</v>
      </c>
      <c r="DE872" t="s">
        <v>32085</v>
      </c>
      <c r="DF872" t="s">
        <v>32086</v>
      </c>
      <c r="DG872" t="s">
        <v>32087</v>
      </c>
      <c r="DH872" t="str">
        <f>"PTPA"</f>
        <v>PTPA</v>
      </c>
      <c r="DI872" t="s">
        <v>32088</v>
      </c>
      <c r="DJ872" t="s">
        <v>13777</v>
      </c>
      <c r="DK872">
        <v>9606</v>
      </c>
      <c r="DL872" s="34" t="str">
        <f>HYPERLINK("http://www.uniprot.org/uniprot/Q15257", "Q15257")</f>
        <v>Q15257</v>
      </c>
      <c r="DM872" t="s">
        <v>32089</v>
      </c>
      <c r="DN872" t="s">
        <v>13772</v>
      </c>
      <c r="DO872" t="s">
        <v>13912</v>
      </c>
      <c r="DP872" t="s">
        <v>13780</v>
      </c>
      <c r="DQ872" t="s">
        <v>13772</v>
      </c>
      <c r="DR872" t="s">
        <v>13772</v>
      </c>
      <c r="DS872" t="s">
        <v>13772</v>
      </c>
      <c r="DT872" t="s">
        <v>14005</v>
      </c>
      <c r="DU872" t="s">
        <v>15050</v>
      </c>
      <c r="DV872" t="s">
        <v>14020</v>
      </c>
      <c r="DW872" t="s">
        <v>13812</v>
      </c>
      <c r="DX872" t="s">
        <v>32090</v>
      </c>
      <c r="DY872" t="s">
        <v>32091</v>
      </c>
      <c r="DZ872" t="s">
        <v>32092</v>
      </c>
      <c r="EA872" t="s">
        <v>13772</v>
      </c>
      <c r="EB872" t="s">
        <v>13772</v>
      </c>
    </row>
    <row r="873" spans="1:132" hidden="1">
      <c r="A873">
        <v>2114</v>
      </c>
      <c r="B873">
        <v>1</v>
      </c>
      <c r="C873" t="s">
        <v>4962</v>
      </c>
      <c r="D873" t="s">
        <v>73</v>
      </c>
      <c r="E873" t="s">
        <v>73</v>
      </c>
      <c r="F873" t="s">
        <v>73</v>
      </c>
      <c r="G873" t="s">
        <v>73</v>
      </c>
      <c r="H873">
        <v>25</v>
      </c>
      <c r="I873">
        <v>336</v>
      </c>
      <c r="J873">
        <v>36837</v>
      </c>
      <c r="K873" t="s">
        <v>4963</v>
      </c>
      <c r="L873">
        <f t="shared" si="54"/>
        <v>32</v>
      </c>
      <c r="N873">
        <v>32</v>
      </c>
      <c r="O873">
        <v>32</v>
      </c>
      <c r="P873">
        <v>1</v>
      </c>
      <c r="Q873">
        <v>1</v>
      </c>
      <c r="R873">
        <v>3</v>
      </c>
      <c r="S873">
        <v>3</v>
      </c>
      <c r="T873">
        <v>3</v>
      </c>
      <c r="U873">
        <v>5</v>
      </c>
      <c r="V873">
        <v>8</v>
      </c>
      <c r="W873">
        <v>5</v>
      </c>
      <c r="X873">
        <v>4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3</v>
      </c>
      <c r="AL873">
        <v>3</v>
      </c>
      <c r="AM873">
        <v>3</v>
      </c>
      <c r="AN873">
        <v>5</v>
      </c>
      <c r="AO873">
        <v>8</v>
      </c>
      <c r="AP873">
        <v>5</v>
      </c>
      <c r="AQ873">
        <v>4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 s="2">
        <v>1</v>
      </c>
      <c r="BD873" s="2">
        <v>3</v>
      </c>
      <c r="BE873" s="2">
        <v>3</v>
      </c>
      <c r="BF873" s="2">
        <v>3</v>
      </c>
      <c r="BG873" s="2">
        <v>5</v>
      </c>
      <c r="BH873" s="2">
        <v>8</v>
      </c>
      <c r="BI873" s="2">
        <v>5</v>
      </c>
      <c r="BJ873" s="2">
        <v>4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f t="shared" si="57"/>
        <v>32</v>
      </c>
      <c r="BW873" s="16">
        <f t="shared" si="55"/>
        <v>1.6842105263157894</v>
      </c>
      <c r="BX873" s="16">
        <f>COUNTIF($BC$6:BU873, "=0") / COUNTIF($BC$6:BU873, "&gt;-1")</f>
        <v>0.23914625272859569</v>
      </c>
      <c r="BY873" s="18">
        <f>SUM($BC$6:BU873) / $BY$4</f>
        <v>0.92572712551191128</v>
      </c>
      <c r="BZ873" s="14">
        <f t="shared" si="56"/>
        <v>11</v>
      </c>
      <c r="CA873" t="s">
        <v>5832</v>
      </c>
      <c r="CZ873" t="s">
        <v>12794</v>
      </c>
      <c r="DA873" t="s">
        <v>5904</v>
      </c>
      <c r="DB873">
        <v>673.7</v>
      </c>
      <c r="DC873" t="s">
        <v>34000</v>
      </c>
      <c r="DD873" t="s">
        <v>13772</v>
      </c>
      <c r="DE873" t="s">
        <v>34001</v>
      </c>
      <c r="DF873" t="s">
        <v>34002</v>
      </c>
      <c r="DG873" t="s">
        <v>13772</v>
      </c>
      <c r="DH873" t="str">
        <f>"IGLON5"</f>
        <v>IGLON5</v>
      </c>
      <c r="DI873" t="s">
        <v>13772</v>
      </c>
      <c r="DJ873" t="s">
        <v>13777</v>
      </c>
      <c r="DK873">
        <v>9606</v>
      </c>
      <c r="DL873" s="34" t="str">
        <f>HYPERLINK("http://www.uniprot.org/uniprot/A6NGN9", "A6NGN9")</f>
        <v>A6NGN9</v>
      </c>
      <c r="DM873" t="s">
        <v>34003</v>
      </c>
      <c r="DN873" t="s">
        <v>13772</v>
      </c>
      <c r="DO873" t="s">
        <v>14321</v>
      </c>
      <c r="DP873" t="s">
        <v>13772</v>
      </c>
      <c r="DQ873" t="s">
        <v>13772</v>
      </c>
      <c r="DR873" t="s">
        <v>13772</v>
      </c>
      <c r="DS873" t="s">
        <v>16182</v>
      </c>
      <c r="DT873" t="s">
        <v>13772</v>
      </c>
      <c r="DU873" t="s">
        <v>13772</v>
      </c>
      <c r="DV873" t="s">
        <v>13796</v>
      </c>
      <c r="DW873" t="s">
        <v>13812</v>
      </c>
      <c r="DX873" t="s">
        <v>13772</v>
      </c>
      <c r="DY873" t="s">
        <v>15346</v>
      </c>
      <c r="DZ873" t="s">
        <v>13772</v>
      </c>
      <c r="EA873" t="s">
        <v>13772</v>
      </c>
      <c r="EB873" t="s">
        <v>13772</v>
      </c>
    </row>
    <row r="874" spans="1:132" hidden="1">
      <c r="A874">
        <v>2170</v>
      </c>
      <c r="B874">
        <v>1</v>
      </c>
      <c r="C874" t="s">
        <v>5082</v>
      </c>
      <c r="D874" t="s">
        <v>73</v>
      </c>
      <c r="E874" t="s">
        <v>73</v>
      </c>
      <c r="F874" t="s">
        <v>73</v>
      </c>
      <c r="G874" t="s">
        <v>73</v>
      </c>
      <c r="H874">
        <v>27.6</v>
      </c>
      <c r="I874">
        <v>681</v>
      </c>
      <c r="J874">
        <v>76735</v>
      </c>
      <c r="K874" t="s">
        <v>5083</v>
      </c>
      <c r="L874">
        <f t="shared" si="54"/>
        <v>32</v>
      </c>
      <c r="N874">
        <v>32</v>
      </c>
      <c r="O874">
        <v>32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</v>
      </c>
      <c r="Z874">
        <v>0</v>
      </c>
      <c r="AA874">
        <v>15</v>
      </c>
      <c r="AB874">
        <v>12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</v>
      </c>
      <c r="AS874">
        <v>0</v>
      </c>
      <c r="AT874">
        <v>15</v>
      </c>
      <c r="AU874">
        <v>12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5</v>
      </c>
      <c r="BL874" s="2">
        <v>0</v>
      </c>
      <c r="BM874" s="2">
        <v>15</v>
      </c>
      <c r="BN874" s="2">
        <v>12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f t="shared" si="57"/>
        <v>32</v>
      </c>
      <c r="BW874" s="16">
        <f t="shared" si="55"/>
        <v>1.6842105263157894</v>
      </c>
      <c r="BX874" s="16">
        <f>COUNTIF($BC$6:BU874, "=0") / COUNTIF($BC$6:BU874, "&gt;-1")</f>
        <v>0.23984010659560293</v>
      </c>
      <c r="BY874" s="18">
        <f>SUM($BC$6:BU874) / $BY$4</f>
        <v>0.92586420189170959</v>
      </c>
      <c r="BZ874" s="14">
        <f t="shared" si="56"/>
        <v>16</v>
      </c>
      <c r="CA874" t="s">
        <v>5832</v>
      </c>
      <c r="CZ874" t="s">
        <v>12981</v>
      </c>
      <c r="DA874" t="s">
        <v>5904</v>
      </c>
      <c r="DB874">
        <v>1396</v>
      </c>
      <c r="DC874" t="s">
        <v>34503</v>
      </c>
      <c r="DD874" t="s">
        <v>34504</v>
      </c>
      <c r="DE874" t="s">
        <v>34505</v>
      </c>
      <c r="DF874" t="s">
        <v>34506</v>
      </c>
      <c r="DG874" t="s">
        <v>34507</v>
      </c>
      <c r="DH874" t="str">
        <f>"GFPT1"</f>
        <v>GFPT1</v>
      </c>
      <c r="DI874" t="s">
        <v>34508</v>
      </c>
      <c r="DJ874" t="s">
        <v>13777</v>
      </c>
      <c r="DK874">
        <v>9606</v>
      </c>
      <c r="DL874" s="34" t="str">
        <f>HYPERLINK("http://www.uniprot.org/uniprot/Q06210", "Q06210")</f>
        <v>Q06210</v>
      </c>
      <c r="DM874" t="s">
        <v>34509</v>
      </c>
      <c r="DN874" t="s">
        <v>19385</v>
      </c>
      <c r="DO874" t="s">
        <v>13772</v>
      </c>
      <c r="DP874" t="s">
        <v>13841</v>
      </c>
      <c r="DQ874" t="s">
        <v>13772</v>
      </c>
      <c r="DR874" t="s">
        <v>34510</v>
      </c>
      <c r="DS874" t="s">
        <v>34511</v>
      </c>
      <c r="DT874" t="s">
        <v>13772</v>
      </c>
      <c r="DU874" t="s">
        <v>25593</v>
      </c>
      <c r="DV874" t="s">
        <v>13782</v>
      </c>
      <c r="DW874" t="s">
        <v>13812</v>
      </c>
      <c r="DX874" t="s">
        <v>34512</v>
      </c>
      <c r="DY874" t="s">
        <v>15111</v>
      </c>
      <c r="DZ874" t="s">
        <v>34513</v>
      </c>
      <c r="EA874" t="s">
        <v>34514</v>
      </c>
      <c r="EB874" t="s">
        <v>34515</v>
      </c>
    </row>
    <row r="875" spans="1:132" hidden="1">
      <c r="A875">
        <v>614</v>
      </c>
      <c r="B875">
        <v>1</v>
      </c>
      <c r="C875" t="s">
        <v>1521</v>
      </c>
      <c r="D875" t="s">
        <v>73</v>
      </c>
      <c r="E875" t="s">
        <v>73</v>
      </c>
      <c r="F875" t="s">
        <v>1519</v>
      </c>
      <c r="G875" t="s">
        <v>73</v>
      </c>
      <c r="H875">
        <v>26.9</v>
      </c>
      <c r="I875">
        <v>253</v>
      </c>
      <c r="J875">
        <v>29296</v>
      </c>
      <c r="K875" t="s">
        <v>1522</v>
      </c>
      <c r="L875">
        <f t="shared" si="54"/>
        <v>32</v>
      </c>
      <c r="N875">
        <v>32</v>
      </c>
      <c r="O875">
        <v>26</v>
      </c>
      <c r="P875">
        <v>0.81200000000000006</v>
      </c>
      <c r="Q875">
        <v>0</v>
      </c>
      <c r="R875">
        <v>1</v>
      </c>
      <c r="S875">
        <v>2</v>
      </c>
      <c r="T875">
        <v>0</v>
      </c>
      <c r="U875">
        <v>1</v>
      </c>
      <c r="V875">
        <v>4</v>
      </c>
      <c r="W875">
        <v>7</v>
      </c>
      <c r="X875">
        <v>7</v>
      </c>
      <c r="Y875">
        <v>0</v>
      </c>
      <c r="Z875">
        <v>0</v>
      </c>
      <c r="AA875">
        <v>3</v>
      </c>
      <c r="AB875">
        <v>0</v>
      </c>
      <c r="AC875">
        <v>0</v>
      </c>
      <c r="AD875">
        <v>0</v>
      </c>
      <c r="AE875">
        <v>1</v>
      </c>
      <c r="AF875">
        <v>3</v>
      </c>
      <c r="AG875">
        <v>1</v>
      </c>
      <c r="AH875">
        <v>0</v>
      </c>
      <c r="AI875">
        <v>2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3</v>
      </c>
      <c r="AP875">
        <v>6</v>
      </c>
      <c r="AQ875">
        <v>6</v>
      </c>
      <c r="AR875">
        <v>0</v>
      </c>
      <c r="AS875">
        <v>0</v>
      </c>
      <c r="AT875">
        <v>2</v>
      </c>
      <c r="AU875">
        <v>0</v>
      </c>
      <c r="AV875">
        <v>0</v>
      </c>
      <c r="AW875">
        <v>0</v>
      </c>
      <c r="AX875">
        <v>1</v>
      </c>
      <c r="AY875">
        <v>2</v>
      </c>
      <c r="AZ875">
        <v>1</v>
      </c>
      <c r="BA875">
        <v>0</v>
      </c>
      <c r="BB875">
        <v>2</v>
      </c>
      <c r="BC875" s="2">
        <v>0</v>
      </c>
      <c r="BD875" s="2">
        <v>1</v>
      </c>
      <c r="BE875" s="2">
        <v>2</v>
      </c>
      <c r="BF875" s="2">
        <v>0</v>
      </c>
      <c r="BG875" s="2">
        <v>1</v>
      </c>
      <c r="BH875" s="2">
        <v>4</v>
      </c>
      <c r="BI875" s="2">
        <v>7</v>
      </c>
      <c r="BJ875" s="2">
        <v>7</v>
      </c>
      <c r="BK875" s="2">
        <v>0</v>
      </c>
      <c r="BL875" s="2">
        <v>0</v>
      </c>
      <c r="BM875" s="2">
        <v>3</v>
      </c>
      <c r="BN875" s="2">
        <v>0</v>
      </c>
      <c r="BO875" s="2">
        <v>0</v>
      </c>
      <c r="BP875" s="2">
        <v>0</v>
      </c>
      <c r="BQ875" s="2">
        <v>1</v>
      </c>
      <c r="BR875" s="2">
        <v>2.6669999999999998</v>
      </c>
      <c r="BS875" s="2">
        <v>1</v>
      </c>
      <c r="BT875" s="2">
        <v>0</v>
      </c>
      <c r="BU875" s="2">
        <v>2</v>
      </c>
      <c r="BV875" s="2">
        <f t="shared" si="57"/>
        <v>31.667000000000002</v>
      </c>
      <c r="BW875" s="16">
        <f t="shared" si="55"/>
        <v>1.6666842105263158</v>
      </c>
      <c r="BX875" s="16">
        <f>COUNTIF($BC$6:BU875, "=0") / COUNTIF($BC$6:BU875, "&gt;-1")</f>
        <v>0.24004839685420448</v>
      </c>
      <c r="BY875" s="18">
        <f>SUM($BC$6:BU875) / $BY$4</f>
        <v>0.92599985182043076</v>
      </c>
      <c r="BZ875" s="14">
        <f t="shared" si="56"/>
        <v>8</v>
      </c>
      <c r="CA875" t="s">
        <v>5832</v>
      </c>
      <c r="CZ875" t="s">
        <v>7820</v>
      </c>
      <c r="DA875" t="s">
        <v>5904</v>
      </c>
      <c r="DB875">
        <v>418.3</v>
      </c>
      <c r="DC875" t="s">
        <v>19856</v>
      </c>
      <c r="DD875" t="s">
        <v>19857</v>
      </c>
      <c r="DE875" t="s">
        <v>19858</v>
      </c>
      <c r="DF875" t="s">
        <v>19859</v>
      </c>
      <c r="DG875" t="s">
        <v>19860</v>
      </c>
      <c r="DH875" t="str">
        <f>"FOLR2"</f>
        <v>FOLR2</v>
      </c>
      <c r="DI875" t="s">
        <v>13772</v>
      </c>
      <c r="DJ875" t="s">
        <v>13777</v>
      </c>
      <c r="DK875">
        <v>9606</v>
      </c>
      <c r="DL875" s="34" t="str">
        <f>HYPERLINK("http://www.uniprot.org/uniprot/P14207", "P14207")</f>
        <v>P14207</v>
      </c>
      <c r="DM875" t="s">
        <v>19861</v>
      </c>
      <c r="DN875" t="s">
        <v>14192</v>
      </c>
      <c r="DO875" t="s">
        <v>14336</v>
      </c>
      <c r="DP875" t="s">
        <v>13793</v>
      </c>
      <c r="DQ875" t="s">
        <v>13772</v>
      </c>
      <c r="DR875" t="s">
        <v>13772</v>
      </c>
      <c r="DS875" t="s">
        <v>13808</v>
      </c>
      <c r="DT875" t="s">
        <v>19851</v>
      </c>
      <c r="DU875" t="s">
        <v>13795</v>
      </c>
      <c r="DV875" t="s">
        <v>15699</v>
      </c>
      <c r="DW875" t="s">
        <v>13812</v>
      </c>
      <c r="DX875" t="s">
        <v>19862</v>
      </c>
      <c r="DY875" t="s">
        <v>19863</v>
      </c>
      <c r="DZ875" t="s">
        <v>19854</v>
      </c>
      <c r="EA875" t="s">
        <v>13772</v>
      </c>
      <c r="EB875" t="s">
        <v>19864</v>
      </c>
    </row>
    <row r="876" spans="1:132" hidden="1">
      <c r="A876">
        <v>1593</v>
      </c>
      <c r="B876">
        <v>1</v>
      </c>
      <c r="C876" t="s">
        <v>3775</v>
      </c>
      <c r="D876" t="s">
        <v>73</v>
      </c>
      <c r="E876" t="s">
        <v>73</v>
      </c>
      <c r="F876" t="s">
        <v>3776</v>
      </c>
      <c r="G876" t="s">
        <v>73</v>
      </c>
      <c r="H876">
        <v>60.5</v>
      </c>
      <c r="I876">
        <v>499</v>
      </c>
      <c r="J876">
        <v>55690</v>
      </c>
      <c r="K876" t="s">
        <v>3777</v>
      </c>
      <c r="L876">
        <f t="shared" si="54"/>
        <v>80</v>
      </c>
      <c r="N876">
        <v>80</v>
      </c>
      <c r="O876">
        <v>7</v>
      </c>
      <c r="P876">
        <v>8.6999999999999994E-2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2</v>
      </c>
      <c r="Y876">
        <v>3</v>
      </c>
      <c r="Z876">
        <v>0</v>
      </c>
      <c r="AA876">
        <v>12</v>
      </c>
      <c r="AB876">
        <v>0</v>
      </c>
      <c r="AC876">
        <v>5</v>
      </c>
      <c r="AD876">
        <v>0</v>
      </c>
      <c r="AE876">
        <v>40</v>
      </c>
      <c r="AF876">
        <v>14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4</v>
      </c>
      <c r="AY876">
        <v>1</v>
      </c>
      <c r="AZ876">
        <v>0</v>
      </c>
      <c r="BA876">
        <v>0</v>
      </c>
      <c r="BB876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1.333</v>
      </c>
      <c r="BJ876" s="2">
        <v>1.2</v>
      </c>
      <c r="BK876" s="2">
        <v>1.5</v>
      </c>
      <c r="BL876" s="2">
        <v>0</v>
      </c>
      <c r="BM876" s="2">
        <v>6</v>
      </c>
      <c r="BN876" s="2">
        <v>0</v>
      </c>
      <c r="BO876" s="2">
        <v>2.5</v>
      </c>
      <c r="BP876" s="2">
        <v>0</v>
      </c>
      <c r="BQ876" s="2">
        <v>15.077</v>
      </c>
      <c r="BR876" s="2">
        <v>3.1669999999999998</v>
      </c>
      <c r="BS876" s="2">
        <v>0</v>
      </c>
      <c r="BT876" s="2">
        <v>0.5</v>
      </c>
      <c r="BU876" s="2">
        <v>0</v>
      </c>
      <c r="BV876" s="2">
        <f t="shared" si="57"/>
        <v>31.277000000000001</v>
      </c>
      <c r="BW876" s="16">
        <f t="shared" si="55"/>
        <v>1.6461578947368423</v>
      </c>
      <c r="BX876" s="16">
        <f>COUNTIF($BC$6:BU876, "=0") / COUNTIF($BC$6:BU876, "&gt;-1")</f>
        <v>0.24043748867001027</v>
      </c>
      <c r="BY876" s="18">
        <f>SUM($BC$6:BU876) / $BY$4</f>
        <v>0.92613383113077308</v>
      </c>
      <c r="BZ876" s="14">
        <f t="shared" si="56"/>
        <v>11</v>
      </c>
      <c r="CA876" t="s">
        <v>5832</v>
      </c>
      <c r="CZ876" t="s">
        <v>11051</v>
      </c>
      <c r="DA876" t="s">
        <v>5904</v>
      </c>
      <c r="DB876">
        <v>961.8</v>
      </c>
      <c r="DC876" t="s">
        <v>29083</v>
      </c>
      <c r="DD876" t="s">
        <v>29084</v>
      </c>
      <c r="DE876" t="s">
        <v>29085</v>
      </c>
      <c r="DF876" t="s">
        <v>29086</v>
      </c>
      <c r="DG876" t="s">
        <v>29087</v>
      </c>
      <c r="DH876" t="str">
        <f>"MYOT"</f>
        <v>MYOT</v>
      </c>
      <c r="DI876" t="s">
        <v>29088</v>
      </c>
      <c r="DJ876" t="s">
        <v>13777</v>
      </c>
      <c r="DK876">
        <v>9606</v>
      </c>
      <c r="DL876" s="34" t="str">
        <f>HYPERLINK("http://www.uniprot.org/uniprot/Q9UBF9", "Q9UBF9")</f>
        <v>Q9UBF9</v>
      </c>
      <c r="DM876" t="s">
        <v>29089</v>
      </c>
      <c r="DN876" t="s">
        <v>13772</v>
      </c>
      <c r="DO876" t="s">
        <v>17663</v>
      </c>
      <c r="DP876" t="s">
        <v>13780</v>
      </c>
      <c r="DQ876" t="s">
        <v>13772</v>
      </c>
      <c r="DR876" t="s">
        <v>29090</v>
      </c>
      <c r="DS876" t="s">
        <v>15552</v>
      </c>
      <c r="DT876" t="s">
        <v>13772</v>
      </c>
      <c r="DU876" t="s">
        <v>14849</v>
      </c>
      <c r="DV876" t="s">
        <v>17914</v>
      </c>
      <c r="DW876" t="s">
        <v>13812</v>
      </c>
      <c r="DX876" t="s">
        <v>29091</v>
      </c>
      <c r="DY876" t="s">
        <v>29092</v>
      </c>
      <c r="DZ876" t="s">
        <v>29093</v>
      </c>
      <c r="EA876" t="s">
        <v>13772</v>
      </c>
      <c r="EB876" t="s">
        <v>13772</v>
      </c>
    </row>
    <row r="877" spans="1:132" hidden="1">
      <c r="A877">
        <v>1215</v>
      </c>
      <c r="B877">
        <v>1</v>
      </c>
      <c r="C877" t="s">
        <v>2917</v>
      </c>
      <c r="D877" t="s">
        <v>73</v>
      </c>
      <c r="E877" t="s">
        <v>73</v>
      </c>
      <c r="F877" t="s">
        <v>2918</v>
      </c>
      <c r="G877" t="s">
        <v>73</v>
      </c>
      <c r="H877">
        <v>36.200000000000003</v>
      </c>
      <c r="I877">
        <v>578</v>
      </c>
      <c r="J877">
        <v>61248</v>
      </c>
      <c r="K877" t="s">
        <v>2919</v>
      </c>
      <c r="L877">
        <f t="shared" si="54"/>
        <v>50</v>
      </c>
      <c r="N877">
        <v>50</v>
      </c>
      <c r="O877">
        <v>5</v>
      </c>
      <c r="P877">
        <v>0.1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2</v>
      </c>
      <c r="Y877">
        <v>12</v>
      </c>
      <c r="Z877">
        <v>0</v>
      </c>
      <c r="AA877">
        <v>7</v>
      </c>
      <c r="AB877">
        <v>3</v>
      </c>
      <c r="AC877">
        <v>3</v>
      </c>
      <c r="AD877">
        <v>0</v>
      </c>
      <c r="AE877">
        <v>10</v>
      </c>
      <c r="AF877">
        <v>10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3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 s="2">
        <v>0</v>
      </c>
      <c r="BD877" s="2">
        <v>0</v>
      </c>
      <c r="BE877" s="2">
        <v>0.5</v>
      </c>
      <c r="BF877" s="2">
        <v>0.5</v>
      </c>
      <c r="BG877" s="2">
        <v>0</v>
      </c>
      <c r="BH877" s="2">
        <v>0</v>
      </c>
      <c r="BI877" s="2">
        <v>0.5</v>
      </c>
      <c r="BJ877" s="2">
        <v>1</v>
      </c>
      <c r="BK877" s="2">
        <v>12</v>
      </c>
      <c r="BL877" s="2">
        <v>0</v>
      </c>
      <c r="BM877" s="2">
        <v>7</v>
      </c>
      <c r="BN877" s="2">
        <v>1.5</v>
      </c>
      <c r="BO877" s="2">
        <v>0</v>
      </c>
      <c r="BP877" s="2">
        <v>0</v>
      </c>
      <c r="BQ877" s="2">
        <v>5</v>
      </c>
      <c r="BR877" s="2">
        <v>3.25</v>
      </c>
      <c r="BS877" s="2">
        <v>0</v>
      </c>
      <c r="BT877" s="2">
        <v>0</v>
      </c>
      <c r="BU877" s="2">
        <v>0</v>
      </c>
      <c r="BV877" s="2">
        <f t="shared" si="57"/>
        <v>31.25</v>
      </c>
      <c r="BW877" s="16">
        <f t="shared" si="55"/>
        <v>1.6447368421052631</v>
      </c>
      <c r="BX877" s="16">
        <f>COUNTIF($BC$6:BU877, "=0") / COUNTIF($BC$6:BU877, "&gt;-1")</f>
        <v>0.24076533075808787</v>
      </c>
      <c r="BY877" s="18">
        <f>SUM($BC$6:BU877) / $BY$4</f>
        <v>0.92626769478291993</v>
      </c>
      <c r="BZ877" s="14">
        <f t="shared" si="56"/>
        <v>10</v>
      </c>
      <c r="CA877" t="s">
        <v>5832</v>
      </c>
      <c r="CZ877" t="s">
        <v>9777</v>
      </c>
      <c r="DA877" t="s">
        <v>5904</v>
      </c>
      <c r="DB877">
        <v>835.1</v>
      </c>
      <c r="DC877" t="s">
        <v>25504</v>
      </c>
      <c r="DD877" t="s">
        <v>25505</v>
      </c>
      <c r="DE877" t="s">
        <v>25506</v>
      </c>
      <c r="DF877" t="s">
        <v>25507</v>
      </c>
      <c r="DG877" t="s">
        <v>25508</v>
      </c>
      <c r="DH877" t="str">
        <f>"BAG3"</f>
        <v>BAG3</v>
      </c>
      <c r="DI877" t="s">
        <v>25509</v>
      </c>
      <c r="DJ877" t="s">
        <v>13777</v>
      </c>
      <c r="DK877">
        <v>9606</v>
      </c>
      <c r="DL877" s="34" t="str">
        <f>HYPERLINK("http://www.uniprot.org/uniprot/O95817", "O95817")</f>
        <v>O95817</v>
      </c>
      <c r="DM877" t="s">
        <v>25510</v>
      </c>
      <c r="DN877" t="s">
        <v>17109</v>
      </c>
      <c r="DO877" t="s">
        <v>13912</v>
      </c>
      <c r="DP877" t="s">
        <v>13793</v>
      </c>
      <c r="DQ877" t="s">
        <v>13772</v>
      </c>
      <c r="DR877" t="s">
        <v>17082</v>
      </c>
      <c r="DS877" t="s">
        <v>14096</v>
      </c>
      <c r="DT877" t="s">
        <v>13772</v>
      </c>
      <c r="DU877" t="s">
        <v>14477</v>
      </c>
      <c r="DV877" t="s">
        <v>14663</v>
      </c>
      <c r="DW877" t="s">
        <v>13772</v>
      </c>
      <c r="DX877" t="s">
        <v>25511</v>
      </c>
      <c r="DY877" t="s">
        <v>25512</v>
      </c>
      <c r="DZ877" t="s">
        <v>25513</v>
      </c>
      <c r="EA877" t="s">
        <v>13772</v>
      </c>
      <c r="EB877" t="s">
        <v>23859</v>
      </c>
    </row>
    <row r="878" spans="1:132" hidden="1">
      <c r="A878">
        <v>95</v>
      </c>
      <c r="B878">
        <v>1</v>
      </c>
      <c r="C878" t="s">
        <v>259</v>
      </c>
      <c r="D878" t="s">
        <v>260</v>
      </c>
      <c r="E878" t="s">
        <v>73</v>
      </c>
      <c r="F878" t="s">
        <v>73</v>
      </c>
      <c r="G878" t="s">
        <v>73</v>
      </c>
      <c r="H878">
        <v>31.8</v>
      </c>
      <c r="I878">
        <v>261</v>
      </c>
      <c r="J878">
        <v>28086</v>
      </c>
      <c r="K878" t="s">
        <v>261</v>
      </c>
      <c r="L878">
        <f t="shared" si="54"/>
        <v>31</v>
      </c>
      <c r="N878">
        <v>31</v>
      </c>
      <c r="O878">
        <v>31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6</v>
      </c>
      <c r="Z878">
        <v>0</v>
      </c>
      <c r="AA878">
        <v>9</v>
      </c>
      <c r="AB878">
        <v>2</v>
      </c>
      <c r="AC878">
        <v>3</v>
      </c>
      <c r="AD878">
        <v>0</v>
      </c>
      <c r="AE878">
        <v>4</v>
      </c>
      <c r="AF878">
        <v>6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6</v>
      </c>
      <c r="AS878">
        <v>0</v>
      </c>
      <c r="AT878">
        <v>9</v>
      </c>
      <c r="AU878">
        <v>2</v>
      </c>
      <c r="AV878">
        <v>3</v>
      </c>
      <c r="AW878">
        <v>0</v>
      </c>
      <c r="AX878">
        <v>4</v>
      </c>
      <c r="AY878">
        <v>6</v>
      </c>
      <c r="AZ878">
        <v>0</v>
      </c>
      <c r="BA878">
        <v>0</v>
      </c>
      <c r="BB878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6</v>
      </c>
      <c r="BL878" s="2">
        <v>0</v>
      </c>
      <c r="BM878" s="2">
        <v>9</v>
      </c>
      <c r="BN878" s="2">
        <v>2</v>
      </c>
      <c r="BO878" s="2">
        <v>3</v>
      </c>
      <c r="BP878" s="2">
        <v>0</v>
      </c>
      <c r="BQ878" s="2">
        <v>4</v>
      </c>
      <c r="BR878" s="2">
        <v>6</v>
      </c>
      <c r="BS878" s="2">
        <v>0</v>
      </c>
      <c r="BT878" s="2">
        <v>0</v>
      </c>
      <c r="BU878" s="2">
        <v>0</v>
      </c>
      <c r="BV878" s="2">
        <f t="shared" si="57"/>
        <v>31</v>
      </c>
      <c r="BW878" s="16">
        <f t="shared" si="55"/>
        <v>1.631578947368421</v>
      </c>
      <c r="BX878" s="16">
        <f>COUNTIF($BC$6:BU878, "=0") / COUNTIF($BC$6:BU878, "&gt;-1")</f>
        <v>0.2412129981310665</v>
      </c>
      <c r="BY878" s="18">
        <f>SUM($BC$6:BU878) / $BY$4</f>
        <v>0.92640048752584969</v>
      </c>
      <c r="BZ878" s="14">
        <f t="shared" si="56"/>
        <v>12</v>
      </c>
      <c r="CA878" t="s">
        <v>5832</v>
      </c>
      <c r="CZ878" t="s">
        <v>6026</v>
      </c>
      <c r="DA878" t="s">
        <v>5904</v>
      </c>
      <c r="DB878">
        <v>506.1</v>
      </c>
      <c r="DC878" t="s">
        <v>14250</v>
      </c>
      <c r="DD878" t="s">
        <v>13772</v>
      </c>
      <c r="DE878" t="s">
        <v>14251</v>
      </c>
      <c r="DF878" t="s">
        <v>14252</v>
      </c>
      <c r="DG878" t="s">
        <v>14253</v>
      </c>
      <c r="DH878" t="str">
        <f>"WBP2"</f>
        <v>WBP2</v>
      </c>
      <c r="DI878" t="s">
        <v>13772</v>
      </c>
      <c r="DJ878" t="s">
        <v>13777</v>
      </c>
      <c r="DK878">
        <v>9606</v>
      </c>
      <c r="DL878" s="34" t="str">
        <f>HYPERLINK("http://www.uniprot.org/uniprot/Q969T9", "Q969T9")</f>
        <v>Q969T9</v>
      </c>
      <c r="DM878" t="s">
        <v>14254</v>
      </c>
      <c r="DN878" t="s">
        <v>13772</v>
      </c>
      <c r="DO878" t="s">
        <v>13912</v>
      </c>
      <c r="DP878" t="s">
        <v>13841</v>
      </c>
      <c r="DQ878" t="s">
        <v>13772</v>
      </c>
      <c r="DR878" t="s">
        <v>14255</v>
      </c>
      <c r="DS878" t="s">
        <v>14096</v>
      </c>
      <c r="DT878" t="s">
        <v>13772</v>
      </c>
      <c r="DU878" t="s">
        <v>13772</v>
      </c>
      <c r="DV878" t="s">
        <v>13782</v>
      </c>
      <c r="DW878" t="s">
        <v>13772</v>
      </c>
      <c r="DX878" t="s">
        <v>14256</v>
      </c>
      <c r="DY878" t="s">
        <v>14257</v>
      </c>
      <c r="DZ878" t="s">
        <v>14258</v>
      </c>
      <c r="EA878" t="s">
        <v>13772</v>
      </c>
      <c r="EB878" t="s">
        <v>13772</v>
      </c>
    </row>
    <row r="879" spans="1:132" hidden="1">
      <c r="A879">
        <v>232</v>
      </c>
      <c r="B879">
        <v>1</v>
      </c>
      <c r="C879" t="s">
        <v>587</v>
      </c>
      <c r="D879" t="s">
        <v>588</v>
      </c>
      <c r="E879" t="s">
        <v>73</v>
      </c>
      <c r="F879" t="s">
        <v>73</v>
      </c>
      <c r="G879" t="s">
        <v>73</v>
      </c>
      <c r="H879">
        <v>33.700000000000003</v>
      </c>
      <c r="I879">
        <v>457</v>
      </c>
      <c r="J879">
        <v>51651</v>
      </c>
      <c r="K879" t="s">
        <v>589</v>
      </c>
      <c r="L879">
        <f t="shared" si="54"/>
        <v>31</v>
      </c>
      <c r="N879">
        <v>31</v>
      </c>
      <c r="O879">
        <v>31</v>
      </c>
      <c r="P879">
        <v>1</v>
      </c>
      <c r="Q879">
        <v>1</v>
      </c>
      <c r="R879">
        <v>1</v>
      </c>
      <c r="S879">
        <v>0</v>
      </c>
      <c r="T879">
        <v>6</v>
      </c>
      <c r="U879">
        <v>1</v>
      </c>
      <c r="V879">
        <v>3</v>
      </c>
      <c r="W879">
        <v>0</v>
      </c>
      <c r="X879">
        <v>1</v>
      </c>
      <c r="Y879">
        <v>1</v>
      </c>
      <c r="Z879">
        <v>0</v>
      </c>
      <c r="AA879">
        <v>7</v>
      </c>
      <c r="AB879">
        <v>0</v>
      </c>
      <c r="AC879">
        <v>3</v>
      </c>
      <c r="AD879">
        <v>4</v>
      </c>
      <c r="AE879">
        <v>3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6</v>
      </c>
      <c r="AN879">
        <v>1</v>
      </c>
      <c r="AO879">
        <v>3</v>
      </c>
      <c r="AP879">
        <v>0</v>
      </c>
      <c r="AQ879">
        <v>1</v>
      </c>
      <c r="AR879">
        <v>1</v>
      </c>
      <c r="AS879">
        <v>0</v>
      </c>
      <c r="AT879">
        <v>7</v>
      </c>
      <c r="AU879">
        <v>0</v>
      </c>
      <c r="AV879">
        <v>3</v>
      </c>
      <c r="AW879">
        <v>4</v>
      </c>
      <c r="AX879">
        <v>3</v>
      </c>
      <c r="AY879">
        <v>0</v>
      </c>
      <c r="AZ879">
        <v>0</v>
      </c>
      <c r="BA879">
        <v>0</v>
      </c>
      <c r="BB879">
        <v>0</v>
      </c>
      <c r="BC879" s="2">
        <v>1</v>
      </c>
      <c r="BD879" s="2">
        <v>1</v>
      </c>
      <c r="BE879" s="2">
        <v>0</v>
      </c>
      <c r="BF879" s="2">
        <v>6</v>
      </c>
      <c r="BG879" s="2">
        <v>1</v>
      </c>
      <c r="BH879" s="2">
        <v>3</v>
      </c>
      <c r="BI879" s="2">
        <v>0</v>
      </c>
      <c r="BJ879" s="2">
        <v>1</v>
      </c>
      <c r="BK879" s="2">
        <v>1</v>
      </c>
      <c r="BL879" s="2">
        <v>0</v>
      </c>
      <c r="BM879" s="2">
        <v>7</v>
      </c>
      <c r="BN879" s="2">
        <v>0</v>
      </c>
      <c r="BO879" s="2">
        <v>3</v>
      </c>
      <c r="BP879" s="2">
        <v>4</v>
      </c>
      <c r="BQ879" s="2">
        <v>3</v>
      </c>
      <c r="BR879" s="2">
        <v>0</v>
      </c>
      <c r="BS879" s="2">
        <v>0</v>
      </c>
      <c r="BT879" s="2">
        <v>0</v>
      </c>
      <c r="BU879" s="2">
        <v>0</v>
      </c>
      <c r="BV879" s="2">
        <f t="shared" si="57"/>
        <v>31</v>
      </c>
      <c r="BW879" s="16">
        <f t="shared" si="55"/>
        <v>1.631578947368421</v>
      </c>
      <c r="BX879" s="16">
        <f>COUNTIF($BC$6:BU879, "=0") / COUNTIF($BC$6:BU879, "&gt;-1")</f>
        <v>0.2414187643020595</v>
      </c>
      <c r="BY879" s="18">
        <f>SUM($BC$6:BU879) / $BY$4</f>
        <v>0.92653328026877935</v>
      </c>
      <c r="BZ879" s="14">
        <f t="shared" si="56"/>
        <v>8</v>
      </c>
      <c r="CA879" t="s">
        <v>5832</v>
      </c>
      <c r="CZ879" t="s">
        <v>6499</v>
      </c>
      <c r="DA879" t="s">
        <v>5904</v>
      </c>
      <c r="DB879">
        <v>777.7</v>
      </c>
      <c r="DC879" t="s">
        <v>15815</v>
      </c>
      <c r="DD879" t="s">
        <v>15816</v>
      </c>
      <c r="DE879" t="s">
        <v>15817</v>
      </c>
      <c r="DF879" t="s">
        <v>15818</v>
      </c>
      <c r="DG879" t="s">
        <v>15819</v>
      </c>
      <c r="DH879" t="str">
        <f>"LGMN"</f>
        <v>LGMN</v>
      </c>
      <c r="DI879" t="s">
        <v>15820</v>
      </c>
      <c r="DJ879" t="s">
        <v>13777</v>
      </c>
      <c r="DK879">
        <v>9606</v>
      </c>
      <c r="DL879" s="34" t="str">
        <f>HYPERLINK("http://www.uniprot.org/uniprot/Q99538", "Q99538")</f>
        <v>Q99538</v>
      </c>
      <c r="DM879" t="s">
        <v>15821</v>
      </c>
      <c r="DN879" t="s">
        <v>13772</v>
      </c>
      <c r="DO879" t="s">
        <v>13806</v>
      </c>
      <c r="DP879" t="s">
        <v>13780</v>
      </c>
      <c r="DQ879" t="s">
        <v>13772</v>
      </c>
      <c r="DR879" t="s">
        <v>13772</v>
      </c>
      <c r="DS879" t="s">
        <v>13808</v>
      </c>
      <c r="DT879" t="s">
        <v>13772</v>
      </c>
      <c r="DU879" t="s">
        <v>14083</v>
      </c>
      <c r="DV879" t="s">
        <v>15472</v>
      </c>
      <c r="DW879" t="s">
        <v>13812</v>
      </c>
      <c r="DX879" t="s">
        <v>15822</v>
      </c>
      <c r="DY879" t="s">
        <v>15823</v>
      </c>
      <c r="DZ879" t="s">
        <v>15824</v>
      </c>
      <c r="EA879" t="s">
        <v>13772</v>
      </c>
      <c r="EB879" t="s">
        <v>15825</v>
      </c>
    </row>
    <row r="880" spans="1:132" hidden="1">
      <c r="A880">
        <v>416</v>
      </c>
      <c r="B880">
        <v>1</v>
      </c>
      <c r="C880" t="s">
        <v>1043</v>
      </c>
      <c r="D880" t="s">
        <v>73</v>
      </c>
      <c r="E880" t="s">
        <v>73</v>
      </c>
      <c r="F880" t="s">
        <v>73</v>
      </c>
      <c r="G880" t="s">
        <v>73</v>
      </c>
      <c r="H880">
        <v>37.4</v>
      </c>
      <c r="I880">
        <v>393</v>
      </c>
      <c r="J880">
        <v>45025</v>
      </c>
      <c r="K880" t="s">
        <v>1044</v>
      </c>
      <c r="L880">
        <f t="shared" si="54"/>
        <v>31</v>
      </c>
      <c r="N880">
        <v>31</v>
      </c>
      <c r="O880">
        <v>31</v>
      </c>
      <c r="P880">
        <v>1</v>
      </c>
      <c r="Q880">
        <v>1</v>
      </c>
      <c r="R880">
        <v>1</v>
      </c>
      <c r="S880">
        <v>0</v>
      </c>
      <c r="T880">
        <v>0</v>
      </c>
      <c r="U880">
        <v>9</v>
      </c>
      <c r="V880">
        <v>12</v>
      </c>
      <c r="W880">
        <v>7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9</v>
      </c>
      <c r="AO880">
        <v>12</v>
      </c>
      <c r="AP880">
        <v>7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 s="2">
        <v>1</v>
      </c>
      <c r="BD880" s="2">
        <v>1</v>
      </c>
      <c r="BE880" s="2">
        <v>0</v>
      </c>
      <c r="BF880" s="2">
        <v>0</v>
      </c>
      <c r="BG880" s="2">
        <v>9</v>
      </c>
      <c r="BH880" s="2">
        <v>12</v>
      </c>
      <c r="BI880" s="2">
        <v>7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f t="shared" si="57"/>
        <v>31</v>
      </c>
      <c r="BW880" s="16">
        <f t="shared" si="55"/>
        <v>1.631578947368421</v>
      </c>
      <c r="BX880" s="16">
        <f>COUNTIF($BC$6:BU880, "=0") / COUNTIF($BC$6:BU880, "&gt;-1")</f>
        <v>0.24192481203007518</v>
      </c>
      <c r="BY880" s="18">
        <f>SUM($BC$6:BU880) / $BY$4</f>
        <v>0.92666607301170911</v>
      </c>
      <c r="BZ880" s="14">
        <f t="shared" si="56"/>
        <v>13</v>
      </c>
      <c r="CA880" t="s">
        <v>5832</v>
      </c>
      <c r="CZ880" t="s">
        <v>7144</v>
      </c>
      <c r="DA880" t="s">
        <v>5904</v>
      </c>
      <c r="DB880">
        <v>757.7</v>
      </c>
      <c r="DC880" t="s">
        <v>17794</v>
      </c>
      <c r="DD880" t="s">
        <v>17795</v>
      </c>
      <c r="DE880" t="s">
        <v>17796</v>
      </c>
      <c r="DF880" t="s">
        <v>17797</v>
      </c>
      <c r="DG880" t="s">
        <v>17798</v>
      </c>
      <c r="DH880" t="str">
        <f>"HPD"</f>
        <v>HPD</v>
      </c>
      <c r="DI880" t="s">
        <v>17799</v>
      </c>
      <c r="DJ880" t="s">
        <v>13777</v>
      </c>
      <c r="DK880">
        <v>9606</v>
      </c>
      <c r="DL880" s="34" t="str">
        <f>HYPERLINK("http://www.uniprot.org/uniprot/P32754", "P32754")</f>
        <v>P32754</v>
      </c>
      <c r="DM880" t="s">
        <v>17800</v>
      </c>
      <c r="DN880" t="s">
        <v>15063</v>
      </c>
      <c r="DO880" t="s">
        <v>13772</v>
      </c>
      <c r="DP880" t="s">
        <v>13780</v>
      </c>
      <c r="DQ880" t="s">
        <v>13772</v>
      </c>
      <c r="DR880" t="s">
        <v>17801</v>
      </c>
      <c r="DS880" t="s">
        <v>14096</v>
      </c>
      <c r="DT880" t="s">
        <v>17802</v>
      </c>
      <c r="DU880" t="s">
        <v>14433</v>
      </c>
      <c r="DV880" t="s">
        <v>13886</v>
      </c>
      <c r="DW880" t="s">
        <v>13812</v>
      </c>
      <c r="DX880" t="s">
        <v>17803</v>
      </c>
      <c r="DY880" t="s">
        <v>17804</v>
      </c>
      <c r="DZ880" t="s">
        <v>17805</v>
      </c>
      <c r="EA880" t="s">
        <v>17806</v>
      </c>
      <c r="EB880" t="s">
        <v>15713</v>
      </c>
    </row>
    <row r="881" spans="1:132" hidden="1">
      <c r="A881">
        <v>457</v>
      </c>
      <c r="B881">
        <v>1</v>
      </c>
      <c r="C881" t="s">
        <v>1145</v>
      </c>
      <c r="D881" t="s">
        <v>1146</v>
      </c>
      <c r="E881" t="s">
        <v>73</v>
      </c>
      <c r="F881" t="s">
        <v>73</v>
      </c>
      <c r="G881" t="s">
        <v>73</v>
      </c>
      <c r="H881">
        <v>15.3</v>
      </c>
      <c r="I881">
        <v>662</v>
      </c>
      <c r="J881">
        <v>73118</v>
      </c>
      <c r="K881" t="s">
        <v>1147</v>
      </c>
      <c r="L881">
        <f t="shared" si="54"/>
        <v>31</v>
      </c>
      <c r="N881">
        <v>31</v>
      </c>
      <c r="O881">
        <v>31</v>
      </c>
      <c r="P881">
        <v>1</v>
      </c>
      <c r="Q881">
        <v>1</v>
      </c>
      <c r="R881">
        <v>3</v>
      </c>
      <c r="S881">
        <v>0</v>
      </c>
      <c r="T881">
        <v>6</v>
      </c>
      <c r="U881">
        <v>8</v>
      </c>
      <c r="V881">
        <v>7</v>
      </c>
      <c r="W881">
        <v>4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3</v>
      </c>
      <c r="AL881">
        <v>0</v>
      </c>
      <c r="AM881">
        <v>6</v>
      </c>
      <c r="AN881">
        <v>8</v>
      </c>
      <c r="AO881">
        <v>7</v>
      </c>
      <c r="AP881">
        <v>4</v>
      </c>
      <c r="AQ881">
        <v>2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 s="2">
        <v>1</v>
      </c>
      <c r="BD881" s="2">
        <v>3</v>
      </c>
      <c r="BE881" s="2">
        <v>0</v>
      </c>
      <c r="BF881" s="2">
        <v>6</v>
      </c>
      <c r="BG881" s="2">
        <v>8</v>
      </c>
      <c r="BH881" s="2">
        <v>7</v>
      </c>
      <c r="BI881" s="2">
        <v>4</v>
      </c>
      <c r="BJ881" s="2">
        <v>2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f t="shared" si="57"/>
        <v>31</v>
      </c>
      <c r="BW881" s="16">
        <f t="shared" si="55"/>
        <v>1.631578947368421</v>
      </c>
      <c r="BX881" s="16">
        <f>COUNTIF($BC$6:BU881, "=0") / COUNTIF($BC$6:BU881, "&gt;-1")</f>
        <v>0.24236962268685411</v>
      </c>
      <c r="BY881" s="18">
        <f>SUM($BC$6:BU881) / $BY$4</f>
        <v>0.92679886575463888</v>
      </c>
      <c r="BZ881" s="14">
        <f t="shared" si="56"/>
        <v>12</v>
      </c>
      <c r="CA881" t="s">
        <v>5832</v>
      </c>
      <c r="CZ881" t="s">
        <v>7288</v>
      </c>
      <c r="DA881" t="s">
        <v>5904</v>
      </c>
      <c r="DB881">
        <v>1167.5</v>
      </c>
      <c r="DC881" t="s">
        <v>18239</v>
      </c>
      <c r="DD881" t="s">
        <v>18240</v>
      </c>
      <c r="DE881" t="s">
        <v>18241</v>
      </c>
      <c r="DF881" t="s">
        <v>18242</v>
      </c>
      <c r="DG881" t="s">
        <v>18243</v>
      </c>
      <c r="DH881" t="str">
        <f>"SLC5A1"</f>
        <v>SLC5A1</v>
      </c>
      <c r="DI881" t="s">
        <v>18244</v>
      </c>
      <c r="DJ881" t="s">
        <v>13777</v>
      </c>
      <c r="DK881">
        <v>9606</v>
      </c>
      <c r="DL881" s="34" t="str">
        <f>HYPERLINK("http://www.uniprot.org/uniprot/P13866", "P13866")</f>
        <v>P13866</v>
      </c>
      <c r="DM881" t="s">
        <v>18245</v>
      </c>
      <c r="DN881" t="s">
        <v>18246</v>
      </c>
      <c r="DO881" t="s">
        <v>13825</v>
      </c>
      <c r="DP881" t="s">
        <v>13780</v>
      </c>
      <c r="DQ881" t="s">
        <v>13772</v>
      </c>
      <c r="DR881" t="s">
        <v>13807</v>
      </c>
      <c r="DS881" t="s">
        <v>13925</v>
      </c>
      <c r="DT881" t="s">
        <v>13926</v>
      </c>
      <c r="DU881" t="s">
        <v>13772</v>
      </c>
      <c r="DV881" t="s">
        <v>13964</v>
      </c>
      <c r="DW881" t="s">
        <v>13772</v>
      </c>
      <c r="DX881" t="s">
        <v>18247</v>
      </c>
      <c r="DY881" t="s">
        <v>18248</v>
      </c>
      <c r="DZ881" t="s">
        <v>18249</v>
      </c>
      <c r="EA881" t="s">
        <v>13772</v>
      </c>
      <c r="EB881" t="s">
        <v>18250</v>
      </c>
    </row>
    <row r="882" spans="1:132" hidden="1">
      <c r="A882">
        <v>750</v>
      </c>
      <c r="B882">
        <v>1</v>
      </c>
      <c r="C882" t="s">
        <v>1842</v>
      </c>
      <c r="D882" t="s">
        <v>1843</v>
      </c>
      <c r="E882" t="s">
        <v>73</v>
      </c>
      <c r="F882" t="s">
        <v>73</v>
      </c>
      <c r="G882" t="s">
        <v>73</v>
      </c>
      <c r="H882">
        <v>30.5</v>
      </c>
      <c r="I882">
        <v>417</v>
      </c>
      <c r="J882">
        <v>47648</v>
      </c>
      <c r="K882" t="s">
        <v>1844</v>
      </c>
      <c r="L882">
        <f t="shared" si="54"/>
        <v>31</v>
      </c>
      <c r="N882">
        <v>31</v>
      </c>
      <c r="O882">
        <v>31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2</v>
      </c>
      <c r="AA882">
        <v>4</v>
      </c>
      <c r="AB882">
        <v>0</v>
      </c>
      <c r="AC882">
        <v>0</v>
      </c>
      <c r="AD882">
        <v>0</v>
      </c>
      <c r="AE882">
        <v>10</v>
      </c>
      <c r="AF882">
        <v>4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2</v>
      </c>
      <c r="AT882">
        <v>4</v>
      </c>
      <c r="AU882">
        <v>0</v>
      </c>
      <c r="AV882">
        <v>0</v>
      </c>
      <c r="AW882">
        <v>0</v>
      </c>
      <c r="AX882">
        <v>10</v>
      </c>
      <c r="AY882">
        <v>4</v>
      </c>
      <c r="AZ882">
        <v>10</v>
      </c>
      <c r="BA882">
        <v>0</v>
      </c>
      <c r="BB88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0</v>
      </c>
      <c r="BL882" s="2">
        <v>2</v>
      </c>
      <c r="BM882" s="2">
        <v>4</v>
      </c>
      <c r="BN882" s="2">
        <v>0</v>
      </c>
      <c r="BO882" s="2">
        <v>0</v>
      </c>
      <c r="BP882" s="2">
        <v>0</v>
      </c>
      <c r="BQ882" s="2">
        <v>10</v>
      </c>
      <c r="BR882" s="2">
        <v>4</v>
      </c>
      <c r="BS882" s="2">
        <v>10</v>
      </c>
      <c r="BT882" s="2">
        <v>0</v>
      </c>
      <c r="BU882" s="2">
        <v>0</v>
      </c>
      <c r="BV882" s="2">
        <f t="shared" si="57"/>
        <v>31</v>
      </c>
      <c r="BW882" s="16">
        <f t="shared" si="55"/>
        <v>1.631578947368421</v>
      </c>
      <c r="BX882" s="16">
        <f>COUNTIF($BC$6:BU882, "=0") / COUNTIF($BC$6:BU882, "&gt;-1")</f>
        <v>0.24287343215507412</v>
      </c>
      <c r="BY882" s="18">
        <f>SUM($BC$6:BU882) / $BY$4</f>
        <v>0.92693165849756853</v>
      </c>
      <c r="BZ882" s="14">
        <f t="shared" si="56"/>
        <v>13</v>
      </c>
      <c r="CA882" t="s">
        <v>5832</v>
      </c>
      <c r="CZ882" t="s">
        <v>8267</v>
      </c>
      <c r="DA882" t="s">
        <v>5904</v>
      </c>
      <c r="DB882">
        <v>769.6</v>
      </c>
      <c r="DC882" t="s">
        <v>21162</v>
      </c>
      <c r="DD882" t="s">
        <v>21163</v>
      </c>
      <c r="DE882" t="s">
        <v>21164</v>
      </c>
      <c r="DF882" t="s">
        <v>21165</v>
      </c>
      <c r="DG882" t="s">
        <v>21166</v>
      </c>
      <c r="DH882" t="str">
        <f>"CPB1"</f>
        <v>CPB1</v>
      </c>
      <c r="DI882" t="s">
        <v>21167</v>
      </c>
      <c r="DJ882" t="s">
        <v>13777</v>
      </c>
      <c r="DK882">
        <v>9606</v>
      </c>
      <c r="DL882" s="34" t="str">
        <f>HYPERLINK("http://www.uniprot.org/uniprot/P15086", "P15086")</f>
        <v>P15086</v>
      </c>
      <c r="DM882" t="s">
        <v>16538</v>
      </c>
      <c r="DN882" t="s">
        <v>13772</v>
      </c>
      <c r="DO882" t="s">
        <v>14321</v>
      </c>
      <c r="DP882" t="s">
        <v>13793</v>
      </c>
      <c r="DQ882" t="s">
        <v>13772</v>
      </c>
      <c r="DR882" t="s">
        <v>13772</v>
      </c>
      <c r="DS882" t="s">
        <v>13808</v>
      </c>
      <c r="DT882" t="s">
        <v>13856</v>
      </c>
      <c r="DU882" t="s">
        <v>16539</v>
      </c>
      <c r="DV882" t="s">
        <v>15387</v>
      </c>
      <c r="DW882" t="s">
        <v>13812</v>
      </c>
      <c r="DX882" t="s">
        <v>17126</v>
      </c>
      <c r="DY882" t="s">
        <v>14508</v>
      </c>
      <c r="DZ882" t="s">
        <v>16542</v>
      </c>
      <c r="EA882" t="s">
        <v>13772</v>
      </c>
      <c r="EB882" t="s">
        <v>21168</v>
      </c>
    </row>
    <row r="883" spans="1:132" hidden="1">
      <c r="A883">
        <v>855</v>
      </c>
      <c r="B883">
        <v>1</v>
      </c>
      <c r="C883" t="s">
        <v>2097</v>
      </c>
      <c r="D883" t="s">
        <v>73</v>
      </c>
      <c r="E883" t="s">
        <v>73</v>
      </c>
      <c r="F883" t="s">
        <v>73</v>
      </c>
      <c r="G883" t="s">
        <v>73</v>
      </c>
      <c r="H883">
        <v>13.2</v>
      </c>
      <c r="I883">
        <v>1027</v>
      </c>
      <c r="J883">
        <v>108816</v>
      </c>
      <c r="K883" t="s">
        <v>2098</v>
      </c>
      <c r="L883">
        <f t="shared" si="54"/>
        <v>31</v>
      </c>
      <c r="N883">
        <v>31</v>
      </c>
      <c r="O883">
        <v>31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5</v>
      </c>
      <c r="Y883">
        <v>2</v>
      </c>
      <c r="Z883">
        <v>0</v>
      </c>
      <c r="AA883">
        <v>7</v>
      </c>
      <c r="AB883">
        <v>2</v>
      </c>
      <c r="AC883">
        <v>3</v>
      </c>
      <c r="AD883">
        <v>0</v>
      </c>
      <c r="AE883">
        <v>1</v>
      </c>
      <c r="AF883">
        <v>6</v>
      </c>
      <c r="AG883">
        <v>2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5</v>
      </c>
      <c r="AR883">
        <v>2</v>
      </c>
      <c r="AS883">
        <v>0</v>
      </c>
      <c r="AT883">
        <v>7</v>
      </c>
      <c r="AU883">
        <v>2</v>
      </c>
      <c r="AV883">
        <v>3</v>
      </c>
      <c r="AW883">
        <v>0</v>
      </c>
      <c r="AX883">
        <v>1</v>
      </c>
      <c r="AY883">
        <v>6</v>
      </c>
      <c r="AZ883">
        <v>2</v>
      </c>
      <c r="BA883">
        <v>0</v>
      </c>
      <c r="BB883">
        <v>0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5</v>
      </c>
      <c r="BK883" s="2">
        <v>2</v>
      </c>
      <c r="BL883" s="2">
        <v>0</v>
      </c>
      <c r="BM883" s="2">
        <v>7</v>
      </c>
      <c r="BN883" s="2">
        <v>2</v>
      </c>
      <c r="BO883" s="2">
        <v>3</v>
      </c>
      <c r="BP883" s="2">
        <v>0</v>
      </c>
      <c r="BQ883" s="2">
        <v>1</v>
      </c>
      <c r="BR883" s="2">
        <v>6</v>
      </c>
      <c r="BS883" s="2">
        <v>2</v>
      </c>
      <c r="BT883" s="2">
        <v>0</v>
      </c>
      <c r="BU883" s="2">
        <v>0</v>
      </c>
      <c r="BV883" s="2">
        <f t="shared" si="57"/>
        <v>31</v>
      </c>
      <c r="BW883" s="16">
        <f t="shared" si="55"/>
        <v>1.631578947368421</v>
      </c>
      <c r="BX883" s="16">
        <f>COUNTIF($BC$6:BU883, "=0") / COUNTIF($BC$6:BU883, "&gt;-1")</f>
        <v>0.24307636973983934</v>
      </c>
      <c r="BY883" s="18">
        <f>SUM($BC$6:BU883) / $BY$4</f>
        <v>0.9270644512404983</v>
      </c>
      <c r="BZ883" s="14">
        <f t="shared" si="56"/>
        <v>8</v>
      </c>
      <c r="CA883" t="s">
        <v>5832</v>
      </c>
      <c r="CZ883" t="s">
        <v>8630</v>
      </c>
      <c r="DA883" t="s">
        <v>5904</v>
      </c>
      <c r="DB883">
        <v>1699.9</v>
      </c>
      <c r="DC883" t="s">
        <v>22217</v>
      </c>
      <c r="DD883" t="s">
        <v>13772</v>
      </c>
      <c r="DE883" t="s">
        <v>22218</v>
      </c>
      <c r="DF883" t="s">
        <v>22219</v>
      </c>
      <c r="DG883" t="s">
        <v>22220</v>
      </c>
      <c r="DH883" t="str">
        <f>"COL6A1"</f>
        <v>COL6A1</v>
      </c>
      <c r="DI883" t="s">
        <v>13772</v>
      </c>
      <c r="DJ883" t="s">
        <v>13777</v>
      </c>
      <c r="DK883">
        <v>9606</v>
      </c>
      <c r="DL883" s="34" t="str">
        <f>HYPERLINK("http://www.uniprot.org/uniprot/P12109", "P12109")</f>
        <v>P12109</v>
      </c>
      <c r="DM883" t="s">
        <v>22221</v>
      </c>
      <c r="DN883" t="s">
        <v>13949</v>
      </c>
      <c r="DO883" t="s">
        <v>13869</v>
      </c>
      <c r="DP883" t="s">
        <v>13793</v>
      </c>
      <c r="DQ883" t="s">
        <v>13772</v>
      </c>
      <c r="DR883" t="s">
        <v>21925</v>
      </c>
      <c r="DS883" t="s">
        <v>13872</v>
      </c>
      <c r="DT883" t="s">
        <v>13772</v>
      </c>
      <c r="DU883" t="s">
        <v>13772</v>
      </c>
      <c r="DV883" t="s">
        <v>22222</v>
      </c>
      <c r="DW883" t="s">
        <v>13772</v>
      </c>
      <c r="DX883" t="s">
        <v>22223</v>
      </c>
      <c r="DY883" t="s">
        <v>22224</v>
      </c>
      <c r="DZ883" t="s">
        <v>22225</v>
      </c>
      <c r="EA883" t="s">
        <v>13772</v>
      </c>
      <c r="EB883" t="s">
        <v>21930</v>
      </c>
    </row>
    <row r="884" spans="1:132" hidden="1">
      <c r="A884">
        <v>921</v>
      </c>
      <c r="B884">
        <v>1</v>
      </c>
      <c r="C884" t="s">
        <v>2239</v>
      </c>
      <c r="D884" t="s">
        <v>73</v>
      </c>
      <c r="E884" t="s">
        <v>73</v>
      </c>
      <c r="F884" t="s">
        <v>73</v>
      </c>
      <c r="G884" t="s">
        <v>73</v>
      </c>
      <c r="H884">
        <v>37.6</v>
      </c>
      <c r="I884">
        <v>327</v>
      </c>
      <c r="J884">
        <v>35926</v>
      </c>
      <c r="K884" t="s">
        <v>2240</v>
      </c>
      <c r="L884">
        <f t="shared" si="54"/>
        <v>31</v>
      </c>
      <c r="N884">
        <v>31</v>
      </c>
      <c r="O884">
        <v>31</v>
      </c>
      <c r="P884">
        <v>1</v>
      </c>
      <c r="Q884">
        <v>1</v>
      </c>
      <c r="R884">
        <v>1</v>
      </c>
      <c r="S884">
        <v>0</v>
      </c>
      <c r="T884">
        <v>2</v>
      </c>
      <c r="U884">
        <v>3</v>
      </c>
      <c r="V884">
        <v>3</v>
      </c>
      <c r="W884">
        <v>0</v>
      </c>
      <c r="X884">
        <v>2</v>
      </c>
      <c r="Y884">
        <v>4</v>
      </c>
      <c r="Z884">
        <v>0</v>
      </c>
      <c r="AA884">
        <v>4</v>
      </c>
      <c r="AB884">
        <v>1</v>
      </c>
      <c r="AC884">
        <v>3</v>
      </c>
      <c r="AD884">
        <v>1</v>
      </c>
      <c r="AE884">
        <v>1</v>
      </c>
      <c r="AF884">
        <v>2</v>
      </c>
      <c r="AG884">
        <v>2</v>
      </c>
      <c r="AH884">
        <v>1</v>
      </c>
      <c r="AI884">
        <v>0</v>
      </c>
      <c r="AJ884">
        <v>1</v>
      </c>
      <c r="AK884">
        <v>1</v>
      </c>
      <c r="AL884">
        <v>0</v>
      </c>
      <c r="AM884">
        <v>2</v>
      </c>
      <c r="AN884">
        <v>3</v>
      </c>
      <c r="AO884">
        <v>3</v>
      </c>
      <c r="AP884">
        <v>0</v>
      </c>
      <c r="AQ884">
        <v>2</v>
      </c>
      <c r="AR884">
        <v>4</v>
      </c>
      <c r="AS884">
        <v>0</v>
      </c>
      <c r="AT884">
        <v>4</v>
      </c>
      <c r="AU884">
        <v>1</v>
      </c>
      <c r="AV884">
        <v>3</v>
      </c>
      <c r="AW884">
        <v>1</v>
      </c>
      <c r="AX884">
        <v>1</v>
      </c>
      <c r="AY884">
        <v>2</v>
      </c>
      <c r="AZ884">
        <v>2</v>
      </c>
      <c r="BA884">
        <v>1</v>
      </c>
      <c r="BB884">
        <v>0</v>
      </c>
      <c r="BC884" s="2">
        <v>1</v>
      </c>
      <c r="BD884" s="2">
        <v>1</v>
      </c>
      <c r="BE884" s="2">
        <v>0</v>
      </c>
      <c r="BF884" s="2">
        <v>2</v>
      </c>
      <c r="BG884" s="2">
        <v>3</v>
      </c>
      <c r="BH884" s="2">
        <v>3</v>
      </c>
      <c r="BI884" s="2">
        <v>0</v>
      </c>
      <c r="BJ884" s="2">
        <v>2</v>
      </c>
      <c r="BK884" s="2">
        <v>4</v>
      </c>
      <c r="BL884" s="2">
        <v>0</v>
      </c>
      <c r="BM884" s="2">
        <v>4</v>
      </c>
      <c r="BN884" s="2">
        <v>1</v>
      </c>
      <c r="BO884" s="2">
        <v>3</v>
      </c>
      <c r="BP884" s="2">
        <v>1</v>
      </c>
      <c r="BQ884" s="2">
        <v>1</v>
      </c>
      <c r="BR884" s="2">
        <v>2</v>
      </c>
      <c r="BS884" s="2">
        <v>2</v>
      </c>
      <c r="BT884" s="2">
        <v>1</v>
      </c>
      <c r="BU884" s="2">
        <v>0</v>
      </c>
      <c r="BV884" s="2">
        <f t="shared" si="57"/>
        <v>31</v>
      </c>
      <c r="BW884" s="16">
        <f t="shared" si="55"/>
        <v>1.631578947368421</v>
      </c>
      <c r="BX884" s="16">
        <f>COUNTIF($BC$6:BU884, "=0") / COUNTIF($BC$6:BU884, "&gt;-1")</f>
        <v>0.24303933896173882</v>
      </c>
      <c r="BY884" s="18">
        <f>SUM($BC$6:BU884) / $BY$4</f>
        <v>0.92719724398342795</v>
      </c>
      <c r="BZ884" s="14">
        <f t="shared" si="56"/>
        <v>4</v>
      </c>
      <c r="CA884" t="s">
        <v>5832</v>
      </c>
      <c r="CZ884" t="s">
        <v>8847</v>
      </c>
      <c r="DA884" t="s">
        <v>5904</v>
      </c>
      <c r="DB884">
        <v>644.4</v>
      </c>
      <c r="DC884" t="s">
        <v>22856</v>
      </c>
      <c r="DD884" t="s">
        <v>22857</v>
      </c>
      <c r="DE884" t="s">
        <v>22858</v>
      </c>
      <c r="DF884" t="s">
        <v>22859</v>
      </c>
      <c r="DG884" t="s">
        <v>13772</v>
      </c>
      <c r="DH884" t="str">
        <f>"KCTD12"</f>
        <v>KCTD12</v>
      </c>
      <c r="DI884" t="s">
        <v>22860</v>
      </c>
      <c r="DJ884" t="s">
        <v>13777</v>
      </c>
      <c r="DK884">
        <v>9606</v>
      </c>
      <c r="DL884" s="34" t="str">
        <f>HYPERLINK("http://www.uniprot.org/uniprot/Q96CX2", "Q96CX2")</f>
        <v>Q96CX2</v>
      </c>
      <c r="DM884" t="s">
        <v>22861</v>
      </c>
      <c r="DN884" t="s">
        <v>13772</v>
      </c>
      <c r="DO884" t="s">
        <v>20752</v>
      </c>
      <c r="DP884" t="s">
        <v>13772</v>
      </c>
      <c r="DQ884" t="s">
        <v>13772</v>
      </c>
      <c r="DR884" t="s">
        <v>13772</v>
      </c>
      <c r="DS884" t="s">
        <v>13772</v>
      </c>
      <c r="DT884" t="s">
        <v>13772</v>
      </c>
      <c r="DU884" t="s">
        <v>13772</v>
      </c>
      <c r="DV884" t="s">
        <v>13886</v>
      </c>
      <c r="DW884" t="s">
        <v>13812</v>
      </c>
      <c r="DX884" t="s">
        <v>22862</v>
      </c>
      <c r="DY884" t="s">
        <v>22863</v>
      </c>
      <c r="DZ884" t="s">
        <v>22864</v>
      </c>
      <c r="EA884" t="s">
        <v>13772</v>
      </c>
      <c r="EB884" t="s">
        <v>13772</v>
      </c>
    </row>
    <row r="885" spans="1:132" hidden="1">
      <c r="A885">
        <v>978</v>
      </c>
      <c r="B885">
        <v>1</v>
      </c>
      <c r="C885" t="s">
        <v>2373</v>
      </c>
      <c r="D885" t="s">
        <v>2374</v>
      </c>
      <c r="E885" t="s">
        <v>73</v>
      </c>
      <c r="F885" t="s">
        <v>73</v>
      </c>
      <c r="G885" t="s">
        <v>73</v>
      </c>
      <c r="H885">
        <v>38.299999999999997</v>
      </c>
      <c r="I885">
        <v>282</v>
      </c>
      <c r="J885">
        <v>31404</v>
      </c>
      <c r="K885" t="s">
        <v>2375</v>
      </c>
      <c r="L885">
        <f t="shared" si="54"/>
        <v>31</v>
      </c>
      <c r="N885">
        <v>31</v>
      </c>
      <c r="O885">
        <v>31</v>
      </c>
      <c r="P885">
        <v>1</v>
      </c>
      <c r="Q885">
        <v>0</v>
      </c>
      <c r="R885">
        <v>3</v>
      </c>
      <c r="S885">
        <v>0</v>
      </c>
      <c r="T885">
        <v>0</v>
      </c>
      <c r="U885">
        <v>6</v>
      </c>
      <c r="V885">
        <v>5</v>
      </c>
      <c r="W885">
        <v>2</v>
      </c>
      <c r="X885">
        <v>1</v>
      </c>
      <c r="Y885">
        <v>3</v>
      </c>
      <c r="Z885">
        <v>0</v>
      </c>
      <c r="AA885">
        <v>7</v>
      </c>
      <c r="AB885">
        <v>1</v>
      </c>
      <c r="AC885">
        <v>1</v>
      </c>
      <c r="AD885">
        <v>0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3</v>
      </c>
      <c r="AL885">
        <v>0</v>
      </c>
      <c r="AM885">
        <v>0</v>
      </c>
      <c r="AN885">
        <v>6</v>
      </c>
      <c r="AO885">
        <v>5</v>
      </c>
      <c r="AP885">
        <v>2</v>
      </c>
      <c r="AQ885">
        <v>1</v>
      </c>
      <c r="AR885">
        <v>3</v>
      </c>
      <c r="AS885">
        <v>0</v>
      </c>
      <c r="AT885">
        <v>7</v>
      </c>
      <c r="AU885">
        <v>1</v>
      </c>
      <c r="AV885">
        <v>1</v>
      </c>
      <c r="AW885">
        <v>0</v>
      </c>
      <c r="AX885">
        <v>1</v>
      </c>
      <c r="AY885">
        <v>1</v>
      </c>
      <c r="AZ885">
        <v>0</v>
      </c>
      <c r="BA885">
        <v>0</v>
      </c>
      <c r="BB885">
        <v>0</v>
      </c>
      <c r="BC885" s="2">
        <v>0</v>
      </c>
      <c r="BD885" s="2">
        <v>3</v>
      </c>
      <c r="BE885" s="2">
        <v>0</v>
      </c>
      <c r="BF885" s="2">
        <v>0</v>
      </c>
      <c r="BG885" s="2">
        <v>6</v>
      </c>
      <c r="BH885" s="2">
        <v>5</v>
      </c>
      <c r="BI885" s="2">
        <v>2</v>
      </c>
      <c r="BJ885" s="2">
        <v>1</v>
      </c>
      <c r="BK885" s="2">
        <v>3</v>
      </c>
      <c r="BL885" s="2">
        <v>0</v>
      </c>
      <c r="BM885" s="2">
        <v>7</v>
      </c>
      <c r="BN885" s="2">
        <v>1</v>
      </c>
      <c r="BO885" s="2">
        <v>1</v>
      </c>
      <c r="BP885" s="2">
        <v>0</v>
      </c>
      <c r="BQ885" s="2">
        <v>1</v>
      </c>
      <c r="BR885" s="2">
        <v>1</v>
      </c>
      <c r="BS885" s="2">
        <v>0</v>
      </c>
      <c r="BT885" s="2">
        <v>0</v>
      </c>
      <c r="BU885" s="2">
        <v>0</v>
      </c>
      <c r="BV885" s="2">
        <f t="shared" si="57"/>
        <v>31</v>
      </c>
      <c r="BW885" s="16">
        <f t="shared" si="55"/>
        <v>1.631578947368421</v>
      </c>
      <c r="BX885" s="16">
        <f>COUNTIF($BC$6:BU885, "=0") / COUNTIF($BC$6:BU885, "&gt;-1")</f>
        <v>0.24324162679425837</v>
      </c>
      <c r="BY885" s="18">
        <f>SUM($BC$6:BU885) / $BY$4</f>
        <v>0.92733003672635772</v>
      </c>
      <c r="BZ885" s="14">
        <f t="shared" si="56"/>
        <v>8</v>
      </c>
      <c r="CA885" t="s">
        <v>5832</v>
      </c>
      <c r="CZ885" t="s">
        <v>9047</v>
      </c>
      <c r="DA885" t="s">
        <v>5904</v>
      </c>
      <c r="DB885">
        <v>586.6</v>
      </c>
      <c r="DC885" t="s">
        <v>23422</v>
      </c>
      <c r="DD885" t="s">
        <v>23423</v>
      </c>
      <c r="DE885" t="s">
        <v>23424</v>
      </c>
      <c r="DF885" t="s">
        <v>23425</v>
      </c>
      <c r="DG885" t="s">
        <v>23426</v>
      </c>
      <c r="DH885" t="str">
        <f>"ESD"</f>
        <v>ESD</v>
      </c>
      <c r="DI885" t="s">
        <v>13772</v>
      </c>
      <c r="DJ885" t="s">
        <v>13777</v>
      </c>
      <c r="DK885">
        <v>9606</v>
      </c>
      <c r="DL885" s="34" t="str">
        <f>HYPERLINK("http://www.uniprot.org/uniprot/P10768", "P10768")</f>
        <v>P10768</v>
      </c>
      <c r="DM885" t="s">
        <v>23427</v>
      </c>
      <c r="DN885" t="s">
        <v>13772</v>
      </c>
      <c r="DO885" t="s">
        <v>23428</v>
      </c>
      <c r="DP885" t="s">
        <v>13793</v>
      </c>
      <c r="DQ885" t="s">
        <v>13772</v>
      </c>
      <c r="DR885" t="s">
        <v>13772</v>
      </c>
      <c r="DS885" t="s">
        <v>13772</v>
      </c>
      <c r="DT885" t="s">
        <v>13772</v>
      </c>
      <c r="DU885" t="s">
        <v>22543</v>
      </c>
      <c r="DV885" t="s">
        <v>14020</v>
      </c>
      <c r="DW885" t="s">
        <v>13812</v>
      </c>
      <c r="DX885" t="s">
        <v>23429</v>
      </c>
      <c r="DY885" t="s">
        <v>23430</v>
      </c>
      <c r="DZ885" t="s">
        <v>23431</v>
      </c>
      <c r="EA885" t="s">
        <v>13772</v>
      </c>
      <c r="EB885" t="s">
        <v>18170</v>
      </c>
    </row>
    <row r="886" spans="1:132" hidden="1">
      <c r="A886">
        <v>1117</v>
      </c>
      <c r="B886">
        <v>1</v>
      </c>
      <c r="C886" t="s">
        <v>2687</v>
      </c>
      <c r="D886" t="s">
        <v>2688</v>
      </c>
      <c r="E886" t="s">
        <v>73</v>
      </c>
      <c r="F886" t="s">
        <v>73</v>
      </c>
      <c r="G886" t="s">
        <v>73</v>
      </c>
      <c r="H886">
        <v>9.9</v>
      </c>
      <c r="I886">
        <v>213</v>
      </c>
      <c r="J886">
        <v>21755</v>
      </c>
      <c r="K886" t="s">
        <v>2689</v>
      </c>
      <c r="L886">
        <f t="shared" si="54"/>
        <v>31</v>
      </c>
      <c r="N886">
        <v>31</v>
      </c>
      <c r="O886">
        <v>31</v>
      </c>
      <c r="P886">
        <v>1</v>
      </c>
      <c r="Q886">
        <v>2</v>
      </c>
      <c r="R886">
        <v>2</v>
      </c>
      <c r="S886">
        <v>3</v>
      </c>
      <c r="T886">
        <v>3</v>
      </c>
      <c r="U886">
        <v>5</v>
      </c>
      <c r="V886">
        <v>2</v>
      </c>
      <c r="W886">
        <v>5</v>
      </c>
      <c r="X886">
        <v>4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2</v>
      </c>
      <c r="AJ886">
        <v>2</v>
      </c>
      <c r="AK886">
        <v>2</v>
      </c>
      <c r="AL886">
        <v>3</v>
      </c>
      <c r="AM886">
        <v>3</v>
      </c>
      <c r="AN886">
        <v>5</v>
      </c>
      <c r="AO886">
        <v>2</v>
      </c>
      <c r="AP886">
        <v>5</v>
      </c>
      <c r="AQ886">
        <v>4</v>
      </c>
      <c r="AR886">
        <v>0</v>
      </c>
      <c r="AS886">
        <v>0</v>
      </c>
      <c r="AT886">
        <v>2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2</v>
      </c>
      <c r="BC886" s="2">
        <v>2</v>
      </c>
      <c r="BD886" s="2">
        <v>2</v>
      </c>
      <c r="BE886" s="2">
        <v>3</v>
      </c>
      <c r="BF886" s="2">
        <v>3</v>
      </c>
      <c r="BG886" s="2">
        <v>5</v>
      </c>
      <c r="BH886" s="2">
        <v>2</v>
      </c>
      <c r="BI886" s="2">
        <v>5</v>
      </c>
      <c r="BJ886" s="2">
        <v>4</v>
      </c>
      <c r="BK886" s="2">
        <v>0</v>
      </c>
      <c r="BL886" s="2">
        <v>0</v>
      </c>
      <c r="BM886" s="2">
        <v>2</v>
      </c>
      <c r="BN886" s="2">
        <v>0</v>
      </c>
      <c r="BO886" s="2">
        <v>0</v>
      </c>
      <c r="BP886" s="2">
        <v>0</v>
      </c>
      <c r="BQ886" s="2">
        <v>0</v>
      </c>
      <c r="BR886" s="2">
        <v>1</v>
      </c>
      <c r="BS886" s="2">
        <v>0</v>
      </c>
      <c r="BT886" s="2">
        <v>0</v>
      </c>
      <c r="BU886" s="2">
        <v>2</v>
      </c>
      <c r="BV886" s="2">
        <f t="shared" si="57"/>
        <v>31</v>
      </c>
      <c r="BW886" s="16">
        <f t="shared" si="55"/>
        <v>1.631578947368421</v>
      </c>
      <c r="BX886" s="16">
        <f>COUNTIF($BC$6:BU886, "=0") / COUNTIF($BC$6:BU886, "&gt;-1")</f>
        <v>0.24344345540354859</v>
      </c>
      <c r="BY886" s="18">
        <f>SUM($BC$6:BU886) / $BY$4</f>
        <v>0.92746282946928738</v>
      </c>
      <c r="BZ886" s="14">
        <f t="shared" si="56"/>
        <v>8</v>
      </c>
      <c r="CA886" t="s">
        <v>5832</v>
      </c>
      <c r="CZ886" t="s">
        <v>9460</v>
      </c>
      <c r="DA886" t="s">
        <v>5904</v>
      </c>
      <c r="DB886">
        <v>167.2</v>
      </c>
      <c r="DC886" t="s">
        <v>24613</v>
      </c>
      <c r="DD886" t="s">
        <v>24614</v>
      </c>
      <c r="DE886" t="s">
        <v>24615</v>
      </c>
      <c r="DF886" t="s">
        <v>24616</v>
      </c>
      <c r="DG886" t="s">
        <v>13772</v>
      </c>
      <c r="DH886" t="str">
        <f>"TNFRSF13C"</f>
        <v>TNFRSF13C</v>
      </c>
      <c r="DI886" t="s">
        <v>24617</v>
      </c>
      <c r="DJ886" t="s">
        <v>13777</v>
      </c>
      <c r="DK886">
        <v>9606</v>
      </c>
      <c r="DL886" s="34" t="str">
        <f>HYPERLINK("http://www.uniprot.org/uniprot/Q96RJ3", "Q96RJ3")</f>
        <v>Q96RJ3</v>
      </c>
      <c r="DM886" t="s">
        <v>24618</v>
      </c>
      <c r="DN886" t="s">
        <v>15290</v>
      </c>
      <c r="DO886" t="s">
        <v>13825</v>
      </c>
      <c r="DP886" t="s">
        <v>13780</v>
      </c>
      <c r="DQ886" t="s">
        <v>13772</v>
      </c>
      <c r="DR886" t="s">
        <v>13807</v>
      </c>
      <c r="DS886" t="s">
        <v>14417</v>
      </c>
      <c r="DT886" t="s">
        <v>13772</v>
      </c>
      <c r="DU886" t="s">
        <v>13795</v>
      </c>
      <c r="DV886" t="s">
        <v>14506</v>
      </c>
      <c r="DW886" t="s">
        <v>13812</v>
      </c>
      <c r="DX886" t="s">
        <v>24619</v>
      </c>
      <c r="DY886" t="s">
        <v>24620</v>
      </c>
      <c r="DZ886" t="s">
        <v>13772</v>
      </c>
      <c r="EA886" t="s">
        <v>13772</v>
      </c>
      <c r="EB886" t="s">
        <v>18113</v>
      </c>
    </row>
    <row r="887" spans="1:132" hidden="1">
      <c r="A887">
        <v>1245</v>
      </c>
      <c r="B887">
        <v>1</v>
      </c>
      <c r="C887" t="s">
        <v>2986</v>
      </c>
      <c r="D887" t="s">
        <v>2987</v>
      </c>
      <c r="E887" t="s">
        <v>73</v>
      </c>
      <c r="F887" t="s">
        <v>73</v>
      </c>
      <c r="G887" t="s">
        <v>73</v>
      </c>
      <c r="H887">
        <v>18.899999999999999</v>
      </c>
      <c r="I887">
        <v>488</v>
      </c>
      <c r="J887">
        <v>52342</v>
      </c>
      <c r="K887" t="s">
        <v>2988</v>
      </c>
      <c r="L887">
        <f t="shared" si="54"/>
        <v>31</v>
      </c>
      <c r="N887">
        <v>31</v>
      </c>
      <c r="O887">
        <v>31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6</v>
      </c>
      <c r="V887">
        <v>1</v>
      </c>
      <c r="W887">
        <v>3</v>
      </c>
      <c r="X887">
        <v>2</v>
      </c>
      <c r="Y887">
        <v>4</v>
      </c>
      <c r="Z887">
        <v>0</v>
      </c>
      <c r="AA887">
        <v>9</v>
      </c>
      <c r="AB887">
        <v>5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6</v>
      </c>
      <c r="AO887">
        <v>1</v>
      </c>
      <c r="AP887">
        <v>3</v>
      </c>
      <c r="AQ887">
        <v>2</v>
      </c>
      <c r="AR887">
        <v>4</v>
      </c>
      <c r="AS887">
        <v>0</v>
      </c>
      <c r="AT887">
        <v>9</v>
      </c>
      <c r="AU887">
        <v>5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6</v>
      </c>
      <c r="BH887" s="2">
        <v>1</v>
      </c>
      <c r="BI887" s="2">
        <v>3</v>
      </c>
      <c r="BJ887" s="2">
        <v>2</v>
      </c>
      <c r="BK887" s="2">
        <v>4</v>
      </c>
      <c r="BL887" s="2">
        <v>0</v>
      </c>
      <c r="BM887" s="2">
        <v>9</v>
      </c>
      <c r="BN887" s="2">
        <v>5</v>
      </c>
      <c r="BO887" s="2">
        <v>1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f t="shared" si="57"/>
        <v>31</v>
      </c>
      <c r="BW887" s="16">
        <f t="shared" si="55"/>
        <v>1.631578947368421</v>
      </c>
      <c r="BX887" s="16">
        <f>COUNTIF($BC$6:BU887, "=0") / COUNTIF($BC$6:BU887, "&gt;-1")</f>
        <v>0.24382384532760473</v>
      </c>
      <c r="BY887" s="18">
        <f>SUM($BC$6:BU887) / $BY$4</f>
        <v>0.92759562221221714</v>
      </c>
      <c r="BZ887" s="14">
        <f t="shared" si="56"/>
        <v>11</v>
      </c>
      <c r="CA887" t="s">
        <v>5832</v>
      </c>
      <c r="CZ887" t="s">
        <v>9881</v>
      </c>
      <c r="DA887" t="s">
        <v>5904</v>
      </c>
      <c r="DB887">
        <v>816.6</v>
      </c>
      <c r="DC887" t="s">
        <v>25800</v>
      </c>
      <c r="DD887" t="s">
        <v>25801</v>
      </c>
      <c r="DE887" t="s">
        <v>25802</v>
      </c>
      <c r="DF887" t="s">
        <v>25803</v>
      </c>
      <c r="DG887" t="s">
        <v>25804</v>
      </c>
      <c r="DH887" t="str">
        <f>"ANXA7"</f>
        <v>ANXA7</v>
      </c>
      <c r="DI887" t="s">
        <v>25805</v>
      </c>
      <c r="DJ887" t="s">
        <v>13777</v>
      </c>
      <c r="DK887">
        <v>9606</v>
      </c>
      <c r="DL887" s="34" t="str">
        <f>HYPERLINK("http://www.uniprot.org/uniprot/P20073", "P20073")</f>
        <v>P20073</v>
      </c>
      <c r="DM887" t="s">
        <v>25806</v>
      </c>
      <c r="DN887" t="s">
        <v>13772</v>
      </c>
      <c r="DO887" t="s">
        <v>13772</v>
      </c>
      <c r="DP887" t="s">
        <v>13780</v>
      </c>
      <c r="DQ887" t="s">
        <v>13772</v>
      </c>
      <c r="DR887" t="s">
        <v>13772</v>
      </c>
      <c r="DS887" t="s">
        <v>15322</v>
      </c>
      <c r="DT887" t="s">
        <v>15323</v>
      </c>
      <c r="DU887" t="s">
        <v>13772</v>
      </c>
      <c r="DV887" t="s">
        <v>14020</v>
      </c>
      <c r="DW887" t="s">
        <v>13772</v>
      </c>
      <c r="DX887" t="s">
        <v>25807</v>
      </c>
      <c r="DY887" t="s">
        <v>25808</v>
      </c>
      <c r="DZ887" t="s">
        <v>25809</v>
      </c>
      <c r="EA887" t="s">
        <v>13772</v>
      </c>
      <c r="EB887" t="s">
        <v>13772</v>
      </c>
    </row>
    <row r="888" spans="1:132" hidden="1">
      <c r="A888">
        <v>1246</v>
      </c>
      <c r="B888">
        <v>1</v>
      </c>
      <c r="C888" t="s">
        <v>2989</v>
      </c>
      <c r="D888" t="s">
        <v>73</v>
      </c>
      <c r="E888" t="s">
        <v>73</v>
      </c>
      <c r="F888" t="s">
        <v>73</v>
      </c>
      <c r="G888" t="s">
        <v>73</v>
      </c>
      <c r="H888">
        <v>32.6</v>
      </c>
      <c r="I888">
        <v>442</v>
      </c>
      <c r="J888">
        <v>50209</v>
      </c>
      <c r="K888" t="s">
        <v>2990</v>
      </c>
      <c r="L888">
        <f t="shared" si="54"/>
        <v>31</v>
      </c>
      <c r="N888">
        <v>31</v>
      </c>
      <c r="O888">
        <v>31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5</v>
      </c>
      <c r="Z888">
        <v>2</v>
      </c>
      <c r="AA888">
        <v>0</v>
      </c>
      <c r="AB888">
        <v>2</v>
      </c>
      <c r="AC888">
        <v>7</v>
      </c>
      <c r="AD888">
        <v>10</v>
      </c>
      <c r="AE888">
        <v>0</v>
      </c>
      <c r="AF888">
        <v>4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5</v>
      </c>
      <c r="AS888">
        <v>2</v>
      </c>
      <c r="AT888">
        <v>0</v>
      </c>
      <c r="AU888">
        <v>2</v>
      </c>
      <c r="AV888">
        <v>7</v>
      </c>
      <c r="AW888">
        <v>10</v>
      </c>
      <c r="AX888">
        <v>0</v>
      </c>
      <c r="AY888">
        <v>4</v>
      </c>
      <c r="AZ888">
        <v>0</v>
      </c>
      <c r="BA888">
        <v>0</v>
      </c>
      <c r="BB888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5</v>
      </c>
      <c r="BL888" s="2">
        <v>2</v>
      </c>
      <c r="BM888" s="2">
        <v>0</v>
      </c>
      <c r="BN888" s="2">
        <v>2</v>
      </c>
      <c r="BO888" s="2">
        <v>7</v>
      </c>
      <c r="BP888" s="2">
        <v>10</v>
      </c>
      <c r="BQ888" s="2">
        <v>0</v>
      </c>
      <c r="BR888" s="2">
        <v>4</v>
      </c>
      <c r="BS888" s="2">
        <v>0</v>
      </c>
      <c r="BT888" s="2">
        <v>0</v>
      </c>
      <c r="BU888" s="2">
        <v>1</v>
      </c>
      <c r="BV888" s="2">
        <f t="shared" si="57"/>
        <v>31</v>
      </c>
      <c r="BW888" s="16">
        <f t="shared" si="55"/>
        <v>1.631578947368421</v>
      </c>
      <c r="BX888" s="16">
        <f>COUNTIF($BC$6:BU888, "=0") / COUNTIF($BC$6:BU888, "&gt;-1")</f>
        <v>0.24426297907850034</v>
      </c>
      <c r="BY888" s="18">
        <f>SUM($BC$6:BU888) / $BY$4</f>
        <v>0.9277284149551468</v>
      </c>
      <c r="BZ888" s="14">
        <f t="shared" si="56"/>
        <v>12</v>
      </c>
      <c r="CA888" t="s">
        <v>5832</v>
      </c>
      <c r="CZ888" t="s">
        <v>9884</v>
      </c>
      <c r="DA888" t="s">
        <v>5904</v>
      </c>
      <c r="DB888">
        <v>783.9</v>
      </c>
      <c r="DC888" t="s">
        <v>25810</v>
      </c>
      <c r="DD888" t="s">
        <v>25811</v>
      </c>
      <c r="DE888" t="s">
        <v>25812</v>
      </c>
      <c r="DF888" t="s">
        <v>25813</v>
      </c>
      <c r="DG888" t="s">
        <v>25814</v>
      </c>
      <c r="DH888" t="str">
        <f>"CPN1"</f>
        <v>CPN1</v>
      </c>
      <c r="DI888" t="s">
        <v>22274</v>
      </c>
      <c r="DJ888" t="s">
        <v>13777</v>
      </c>
      <c r="DK888">
        <v>9606</v>
      </c>
      <c r="DL888" s="34" t="str">
        <f>HYPERLINK("http://www.uniprot.org/uniprot/P15169", "P15169")</f>
        <v>P15169</v>
      </c>
      <c r="DM888" t="s">
        <v>25815</v>
      </c>
      <c r="DN888" t="s">
        <v>13772</v>
      </c>
      <c r="DO888" t="s">
        <v>14321</v>
      </c>
      <c r="DP888" t="s">
        <v>13772</v>
      </c>
      <c r="DQ888" t="s">
        <v>13772</v>
      </c>
      <c r="DR888" t="s">
        <v>13807</v>
      </c>
      <c r="DS888" t="s">
        <v>13808</v>
      </c>
      <c r="DT888" t="s">
        <v>13856</v>
      </c>
      <c r="DU888" t="s">
        <v>16539</v>
      </c>
      <c r="DV888" t="s">
        <v>13796</v>
      </c>
      <c r="DW888" t="s">
        <v>13812</v>
      </c>
      <c r="DX888" t="s">
        <v>25816</v>
      </c>
      <c r="DY888" t="s">
        <v>22023</v>
      </c>
      <c r="DZ888" t="s">
        <v>17127</v>
      </c>
      <c r="EA888" t="s">
        <v>13772</v>
      </c>
      <c r="EB888" t="s">
        <v>22277</v>
      </c>
    </row>
    <row r="889" spans="1:132" hidden="1">
      <c r="A889">
        <v>1325</v>
      </c>
      <c r="B889">
        <v>1</v>
      </c>
      <c r="C889" t="s">
        <v>3178</v>
      </c>
      <c r="D889" t="s">
        <v>73</v>
      </c>
      <c r="E889" t="s">
        <v>73</v>
      </c>
      <c r="F889" t="s">
        <v>73</v>
      </c>
      <c r="G889" t="s">
        <v>73</v>
      </c>
      <c r="H889">
        <v>18.7</v>
      </c>
      <c r="I889">
        <v>395</v>
      </c>
      <c r="J889">
        <v>44752</v>
      </c>
      <c r="K889" t="s">
        <v>3179</v>
      </c>
      <c r="L889">
        <f t="shared" si="54"/>
        <v>31</v>
      </c>
      <c r="N889">
        <v>31</v>
      </c>
      <c r="O889">
        <v>31</v>
      </c>
      <c r="P889">
        <v>1</v>
      </c>
      <c r="Q889">
        <v>1</v>
      </c>
      <c r="R889">
        <v>0</v>
      </c>
      <c r="S889">
        <v>0</v>
      </c>
      <c r="T889">
        <v>2</v>
      </c>
      <c r="U889">
        <v>5</v>
      </c>
      <c r="V889">
        <v>3</v>
      </c>
      <c r="W889">
        <v>3</v>
      </c>
      <c r="X889">
        <v>1</v>
      </c>
      <c r="Y889">
        <v>3</v>
      </c>
      <c r="Z889">
        <v>0</v>
      </c>
      <c r="AA889">
        <v>3</v>
      </c>
      <c r="AB889">
        <v>2</v>
      </c>
      <c r="AC889">
        <v>2</v>
      </c>
      <c r="AD889">
        <v>1</v>
      </c>
      <c r="AE889">
        <v>0</v>
      </c>
      <c r="AF889">
        <v>2</v>
      </c>
      <c r="AG889">
        <v>0</v>
      </c>
      <c r="AH889">
        <v>2</v>
      </c>
      <c r="AI889">
        <v>1</v>
      </c>
      <c r="AJ889">
        <v>1</v>
      </c>
      <c r="AK889">
        <v>0</v>
      </c>
      <c r="AL889">
        <v>0</v>
      </c>
      <c r="AM889">
        <v>2</v>
      </c>
      <c r="AN889">
        <v>5</v>
      </c>
      <c r="AO889">
        <v>3</v>
      </c>
      <c r="AP889">
        <v>3</v>
      </c>
      <c r="AQ889">
        <v>1</v>
      </c>
      <c r="AR889">
        <v>3</v>
      </c>
      <c r="AS889">
        <v>0</v>
      </c>
      <c r="AT889">
        <v>3</v>
      </c>
      <c r="AU889">
        <v>2</v>
      </c>
      <c r="AV889">
        <v>2</v>
      </c>
      <c r="AW889">
        <v>1</v>
      </c>
      <c r="AX889">
        <v>0</v>
      </c>
      <c r="AY889">
        <v>2</v>
      </c>
      <c r="AZ889">
        <v>0</v>
      </c>
      <c r="BA889">
        <v>2</v>
      </c>
      <c r="BB889">
        <v>1</v>
      </c>
      <c r="BC889" s="2">
        <v>1</v>
      </c>
      <c r="BD889" s="2">
        <v>0</v>
      </c>
      <c r="BE889" s="2">
        <v>0</v>
      </c>
      <c r="BF889" s="2">
        <v>2</v>
      </c>
      <c r="BG889" s="2">
        <v>5</v>
      </c>
      <c r="BH889" s="2">
        <v>3</v>
      </c>
      <c r="BI889" s="2">
        <v>3</v>
      </c>
      <c r="BJ889" s="2">
        <v>1</v>
      </c>
      <c r="BK889" s="2">
        <v>3</v>
      </c>
      <c r="BL889" s="2">
        <v>0</v>
      </c>
      <c r="BM889" s="2">
        <v>3</v>
      </c>
      <c r="BN889" s="2">
        <v>2</v>
      </c>
      <c r="BO889" s="2">
        <v>2</v>
      </c>
      <c r="BP889" s="2">
        <v>1</v>
      </c>
      <c r="BQ889" s="2">
        <v>0</v>
      </c>
      <c r="BR889" s="2">
        <v>2</v>
      </c>
      <c r="BS889" s="2">
        <v>0</v>
      </c>
      <c r="BT889" s="2">
        <v>2</v>
      </c>
      <c r="BU889" s="2">
        <v>1</v>
      </c>
      <c r="BV889" s="2">
        <f t="shared" si="57"/>
        <v>31</v>
      </c>
      <c r="BW889" s="16">
        <f t="shared" si="55"/>
        <v>1.631578947368421</v>
      </c>
      <c r="BX889" s="16">
        <f>COUNTIF($BC$6:BU889, "=0") / COUNTIF($BC$6:BU889, "&gt;-1")</f>
        <v>0.24428435341748037</v>
      </c>
      <c r="BY889" s="18">
        <f>SUM($BC$6:BU889) / $BY$4</f>
        <v>0.92786120769807656</v>
      </c>
      <c r="BZ889" s="14">
        <f t="shared" si="56"/>
        <v>5</v>
      </c>
      <c r="CA889" t="s">
        <v>5832</v>
      </c>
      <c r="CZ889" t="s">
        <v>10162</v>
      </c>
      <c r="DA889" t="s">
        <v>5904</v>
      </c>
      <c r="DB889">
        <v>720.3</v>
      </c>
      <c r="DC889" t="s">
        <v>26594</v>
      </c>
      <c r="DD889" t="s">
        <v>26595</v>
      </c>
      <c r="DE889" t="s">
        <v>26596</v>
      </c>
      <c r="DF889" t="s">
        <v>26597</v>
      </c>
      <c r="DG889" t="s">
        <v>26598</v>
      </c>
      <c r="DH889" t="str">
        <f>"ASAH1"</f>
        <v>ASAH1</v>
      </c>
      <c r="DI889" t="s">
        <v>26599</v>
      </c>
      <c r="DJ889" t="s">
        <v>13777</v>
      </c>
      <c r="DK889">
        <v>9606</v>
      </c>
      <c r="DL889" s="34" t="str">
        <f>HYPERLINK("http://www.uniprot.org/uniprot/Q13510", "Q13510")</f>
        <v>Q13510</v>
      </c>
      <c r="DM889" t="s">
        <v>26600</v>
      </c>
      <c r="DN889" t="s">
        <v>18297</v>
      </c>
      <c r="DO889" t="s">
        <v>26601</v>
      </c>
      <c r="DP889" t="s">
        <v>13780</v>
      </c>
      <c r="DQ889" t="s">
        <v>13772</v>
      </c>
      <c r="DR889" t="s">
        <v>26602</v>
      </c>
      <c r="DS889" t="s">
        <v>13808</v>
      </c>
      <c r="DT889" t="s">
        <v>13772</v>
      </c>
      <c r="DU889" t="s">
        <v>13857</v>
      </c>
      <c r="DV889" t="s">
        <v>13796</v>
      </c>
      <c r="DW889" t="s">
        <v>13812</v>
      </c>
      <c r="DX889" t="s">
        <v>26603</v>
      </c>
      <c r="DY889" t="s">
        <v>26604</v>
      </c>
      <c r="DZ889" t="s">
        <v>26605</v>
      </c>
      <c r="EA889" t="s">
        <v>18302</v>
      </c>
      <c r="EB889" t="s">
        <v>26606</v>
      </c>
    </row>
    <row r="890" spans="1:132" hidden="1">
      <c r="A890">
        <v>1453</v>
      </c>
      <c r="B890">
        <v>1</v>
      </c>
      <c r="C890" t="s">
        <v>3460</v>
      </c>
      <c r="D890" t="s">
        <v>73</v>
      </c>
      <c r="E890" t="s">
        <v>73</v>
      </c>
      <c r="F890" t="s">
        <v>73</v>
      </c>
      <c r="G890" t="s">
        <v>73</v>
      </c>
      <c r="H890">
        <v>6.8</v>
      </c>
      <c r="I890">
        <v>1923</v>
      </c>
      <c r="J890">
        <v>207584</v>
      </c>
      <c r="K890" t="s">
        <v>3461</v>
      </c>
      <c r="L890">
        <f t="shared" si="54"/>
        <v>31</v>
      </c>
      <c r="N890">
        <v>31</v>
      </c>
      <c r="O890">
        <v>31</v>
      </c>
      <c r="P890">
        <v>1</v>
      </c>
      <c r="Q890">
        <v>3</v>
      </c>
      <c r="R890">
        <v>2</v>
      </c>
      <c r="S890">
        <v>2</v>
      </c>
      <c r="T890">
        <v>1</v>
      </c>
      <c r="U890">
        <v>3</v>
      </c>
      <c r="V890">
        <v>2</v>
      </c>
      <c r="W890">
        <v>3</v>
      </c>
      <c r="X890">
        <v>1</v>
      </c>
      <c r="Y890">
        <v>1</v>
      </c>
      <c r="Z890">
        <v>0</v>
      </c>
      <c r="AA890">
        <v>6</v>
      </c>
      <c r="AB890">
        <v>0</v>
      </c>
      <c r="AC890">
        <v>2</v>
      </c>
      <c r="AD890">
        <v>0</v>
      </c>
      <c r="AE890">
        <v>0</v>
      </c>
      <c r="AF890">
        <v>2</v>
      </c>
      <c r="AG890">
        <v>0</v>
      </c>
      <c r="AH890">
        <v>0</v>
      </c>
      <c r="AI890">
        <v>3</v>
      </c>
      <c r="AJ890">
        <v>3</v>
      </c>
      <c r="AK890">
        <v>2</v>
      </c>
      <c r="AL890">
        <v>2</v>
      </c>
      <c r="AM890">
        <v>1</v>
      </c>
      <c r="AN890">
        <v>3</v>
      </c>
      <c r="AO890">
        <v>2</v>
      </c>
      <c r="AP890">
        <v>3</v>
      </c>
      <c r="AQ890">
        <v>1</v>
      </c>
      <c r="AR890">
        <v>1</v>
      </c>
      <c r="AS890">
        <v>0</v>
      </c>
      <c r="AT890">
        <v>6</v>
      </c>
      <c r="AU890">
        <v>0</v>
      </c>
      <c r="AV890">
        <v>2</v>
      </c>
      <c r="AW890">
        <v>0</v>
      </c>
      <c r="AX890">
        <v>0</v>
      </c>
      <c r="AY890">
        <v>2</v>
      </c>
      <c r="AZ890">
        <v>0</v>
      </c>
      <c r="BA890">
        <v>0</v>
      </c>
      <c r="BB890">
        <v>3</v>
      </c>
      <c r="BC890" s="2">
        <v>3</v>
      </c>
      <c r="BD890" s="2">
        <v>2</v>
      </c>
      <c r="BE890" s="2">
        <v>2</v>
      </c>
      <c r="BF890" s="2">
        <v>1</v>
      </c>
      <c r="BG890" s="2">
        <v>3</v>
      </c>
      <c r="BH890" s="2">
        <v>2</v>
      </c>
      <c r="BI890" s="2">
        <v>3</v>
      </c>
      <c r="BJ890" s="2">
        <v>1</v>
      </c>
      <c r="BK890" s="2">
        <v>1</v>
      </c>
      <c r="BL890" s="2">
        <v>0</v>
      </c>
      <c r="BM890" s="2">
        <v>6</v>
      </c>
      <c r="BN890" s="2">
        <v>0</v>
      </c>
      <c r="BO890" s="2">
        <v>2</v>
      </c>
      <c r="BP890" s="2">
        <v>0</v>
      </c>
      <c r="BQ890" s="2">
        <v>0</v>
      </c>
      <c r="BR890" s="2">
        <v>2</v>
      </c>
      <c r="BS890" s="2">
        <v>0</v>
      </c>
      <c r="BT890" s="2">
        <v>0</v>
      </c>
      <c r="BU890" s="2">
        <v>3</v>
      </c>
      <c r="BV890" s="2">
        <f t="shared" si="57"/>
        <v>31</v>
      </c>
      <c r="BW890" s="16">
        <f t="shared" si="55"/>
        <v>1.631578947368421</v>
      </c>
      <c r="BX890" s="16">
        <f>COUNTIF($BC$6:BU890, "=0") / COUNTIF($BC$6:BU890, "&gt;-1")</f>
        <v>0.24436515016354446</v>
      </c>
      <c r="BY890" s="18">
        <f>SUM($BC$6:BU890) / $BY$4</f>
        <v>0.92799400044100622</v>
      </c>
      <c r="BZ890" s="14">
        <f t="shared" si="56"/>
        <v>6</v>
      </c>
      <c r="CA890" t="s">
        <v>5832</v>
      </c>
      <c r="CZ890" t="s">
        <v>10575</v>
      </c>
      <c r="DA890" t="s">
        <v>5904</v>
      </c>
      <c r="DB890">
        <v>1761.1</v>
      </c>
      <c r="DC890" t="s">
        <v>27747</v>
      </c>
      <c r="DD890" t="s">
        <v>27748</v>
      </c>
      <c r="DE890" t="s">
        <v>27749</v>
      </c>
      <c r="DF890" t="s">
        <v>27750</v>
      </c>
      <c r="DG890" t="s">
        <v>27751</v>
      </c>
      <c r="DH890" t="str">
        <f>"FNDC1"</f>
        <v>FNDC1</v>
      </c>
      <c r="DI890" t="s">
        <v>27752</v>
      </c>
      <c r="DJ890" t="s">
        <v>13777</v>
      </c>
      <c r="DK890">
        <v>9606</v>
      </c>
      <c r="DL890" s="34" t="str">
        <f>HYPERLINK("http://www.uniprot.org/uniprot/Q4ZHG4", "Q4ZHG4")</f>
        <v>Q4ZHG4</v>
      </c>
      <c r="DM890" t="s">
        <v>27753</v>
      </c>
      <c r="DN890" t="s">
        <v>13772</v>
      </c>
      <c r="DO890" t="s">
        <v>14321</v>
      </c>
      <c r="DP890" t="s">
        <v>13780</v>
      </c>
      <c r="DQ890" t="s">
        <v>13772</v>
      </c>
      <c r="DR890" t="s">
        <v>13772</v>
      </c>
      <c r="DS890" t="s">
        <v>14404</v>
      </c>
      <c r="DT890" t="s">
        <v>13772</v>
      </c>
      <c r="DU890" t="s">
        <v>13772</v>
      </c>
      <c r="DV890" t="s">
        <v>13978</v>
      </c>
      <c r="DW890" t="s">
        <v>13772</v>
      </c>
      <c r="DX890" t="s">
        <v>13772</v>
      </c>
      <c r="DY890" t="s">
        <v>27754</v>
      </c>
      <c r="DZ890" t="s">
        <v>13772</v>
      </c>
      <c r="EA890" t="s">
        <v>13772</v>
      </c>
      <c r="EB890" t="s">
        <v>13772</v>
      </c>
    </row>
    <row r="891" spans="1:132" hidden="1">
      <c r="A891">
        <v>1510</v>
      </c>
      <c r="B891">
        <v>1</v>
      </c>
      <c r="C891" t="s">
        <v>3594</v>
      </c>
      <c r="D891" t="s">
        <v>73</v>
      </c>
      <c r="E891" t="s">
        <v>73</v>
      </c>
      <c r="F891" t="s">
        <v>73</v>
      </c>
      <c r="G891" t="s">
        <v>73</v>
      </c>
      <c r="H891">
        <v>36.6</v>
      </c>
      <c r="I891">
        <v>426</v>
      </c>
      <c r="J891">
        <v>49125</v>
      </c>
      <c r="K891" t="s">
        <v>3595</v>
      </c>
      <c r="L891">
        <f t="shared" si="54"/>
        <v>31</v>
      </c>
      <c r="N891">
        <v>31</v>
      </c>
      <c r="O891">
        <v>31</v>
      </c>
      <c r="P891">
        <v>1</v>
      </c>
      <c r="Q891">
        <v>3</v>
      </c>
      <c r="R891">
        <v>4</v>
      </c>
      <c r="S891">
        <v>3</v>
      </c>
      <c r="T891">
        <v>2</v>
      </c>
      <c r="U891">
        <v>4</v>
      </c>
      <c r="V891">
        <v>2</v>
      </c>
      <c r="W891">
        <v>2</v>
      </c>
      <c r="X891">
        <v>1</v>
      </c>
      <c r="Y891">
        <v>2</v>
      </c>
      <c r="Z891">
        <v>0</v>
      </c>
      <c r="AA891">
        <v>2</v>
      </c>
      <c r="AB891">
        <v>3</v>
      </c>
      <c r="AC891">
        <v>2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3</v>
      </c>
      <c r="AK891">
        <v>4</v>
      </c>
      <c r="AL891">
        <v>3</v>
      </c>
      <c r="AM891">
        <v>2</v>
      </c>
      <c r="AN891">
        <v>4</v>
      </c>
      <c r="AO891">
        <v>2</v>
      </c>
      <c r="AP891">
        <v>2</v>
      </c>
      <c r="AQ891">
        <v>1</v>
      </c>
      <c r="AR891">
        <v>2</v>
      </c>
      <c r="AS891">
        <v>0</v>
      </c>
      <c r="AT891">
        <v>2</v>
      </c>
      <c r="AU891">
        <v>3</v>
      </c>
      <c r="AV891">
        <v>2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 s="2">
        <v>3</v>
      </c>
      <c r="BD891" s="2">
        <v>4</v>
      </c>
      <c r="BE891" s="2">
        <v>3</v>
      </c>
      <c r="BF891" s="2">
        <v>2</v>
      </c>
      <c r="BG891" s="2">
        <v>4</v>
      </c>
      <c r="BH891" s="2">
        <v>2</v>
      </c>
      <c r="BI891" s="2">
        <v>2</v>
      </c>
      <c r="BJ891" s="2">
        <v>1</v>
      </c>
      <c r="BK891" s="2">
        <v>2</v>
      </c>
      <c r="BL891" s="2">
        <v>0</v>
      </c>
      <c r="BM891" s="2">
        <v>2</v>
      </c>
      <c r="BN891" s="2">
        <v>3</v>
      </c>
      <c r="BO891" s="2">
        <v>2</v>
      </c>
      <c r="BP891" s="2">
        <v>0</v>
      </c>
      <c r="BQ891" s="2">
        <v>0</v>
      </c>
      <c r="BR891" s="2">
        <v>1</v>
      </c>
      <c r="BS891" s="2">
        <v>0</v>
      </c>
      <c r="BT891" s="2">
        <v>0</v>
      </c>
      <c r="BU891" s="2">
        <v>0</v>
      </c>
      <c r="BV891" s="2">
        <f t="shared" si="57"/>
        <v>31</v>
      </c>
      <c r="BW891" s="16">
        <f t="shared" si="55"/>
        <v>1.631578947368421</v>
      </c>
      <c r="BX891" s="16">
        <f>COUNTIF($BC$6:BU891, "=0") / COUNTIF($BC$6:BU891, "&gt;-1")</f>
        <v>0.24444576452417727</v>
      </c>
      <c r="BY891" s="18">
        <f>SUM($BC$6:BU891) / $BY$4</f>
        <v>0.92812679318393598</v>
      </c>
      <c r="BZ891" s="14">
        <f t="shared" si="56"/>
        <v>6</v>
      </c>
      <c r="CA891" t="s">
        <v>5832</v>
      </c>
      <c r="CZ891" t="s">
        <v>10765</v>
      </c>
      <c r="DA891" t="s">
        <v>5904</v>
      </c>
      <c r="DB891">
        <v>641.70000000000005</v>
      </c>
      <c r="DC891" t="s">
        <v>28287</v>
      </c>
      <c r="DD891" t="s">
        <v>28288</v>
      </c>
      <c r="DE891" t="s">
        <v>28289</v>
      </c>
      <c r="DF891" t="s">
        <v>28290</v>
      </c>
      <c r="DG891" t="s">
        <v>28291</v>
      </c>
      <c r="DH891" t="str">
        <f>"SDF4"</f>
        <v>SDF4</v>
      </c>
      <c r="DI891" t="s">
        <v>28292</v>
      </c>
      <c r="DJ891" t="s">
        <v>13777</v>
      </c>
      <c r="DK891">
        <v>9606</v>
      </c>
      <c r="DL891" s="34" t="str">
        <f>HYPERLINK("http://www.uniprot.org/uniprot/Q9BRK5", "Q9BRK5")</f>
        <v>Q9BRK5</v>
      </c>
      <c r="DM891" t="s">
        <v>28293</v>
      </c>
      <c r="DN891" t="s">
        <v>28294</v>
      </c>
      <c r="DO891" t="s">
        <v>28295</v>
      </c>
      <c r="DP891" t="s">
        <v>13780</v>
      </c>
      <c r="DQ891" t="s">
        <v>13772</v>
      </c>
      <c r="DR891" t="s">
        <v>13772</v>
      </c>
      <c r="DS891" t="s">
        <v>14404</v>
      </c>
      <c r="DT891" t="s">
        <v>13873</v>
      </c>
      <c r="DU891" t="s">
        <v>13772</v>
      </c>
      <c r="DV891" t="s">
        <v>13978</v>
      </c>
      <c r="DW891" t="s">
        <v>13772</v>
      </c>
      <c r="DX891" t="s">
        <v>28296</v>
      </c>
      <c r="DY891" t="s">
        <v>28297</v>
      </c>
      <c r="DZ891" t="s">
        <v>28298</v>
      </c>
      <c r="EA891" t="s">
        <v>13772</v>
      </c>
      <c r="EB891" t="s">
        <v>13772</v>
      </c>
    </row>
    <row r="892" spans="1:132" hidden="1">
      <c r="A892">
        <v>1755</v>
      </c>
      <c r="B892">
        <v>1</v>
      </c>
      <c r="C892" t="s">
        <v>4152</v>
      </c>
      <c r="D892" t="s">
        <v>73</v>
      </c>
      <c r="E892" t="s">
        <v>73</v>
      </c>
      <c r="F892" t="s">
        <v>73</v>
      </c>
      <c r="G892" t="s">
        <v>73</v>
      </c>
      <c r="H892">
        <v>18.3</v>
      </c>
      <c r="I892">
        <v>508</v>
      </c>
      <c r="J892">
        <v>54653</v>
      </c>
      <c r="K892" t="s">
        <v>4153</v>
      </c>
      <c r="L892">
        <f t="shared" si="54"/>
        <v>31</v>
      </c>
      <c r="N892">
        <v>31</v>
      </c>
      <c r="O892">
        <v>31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3</v>
      </c>
      <c r="Z892">
        <v>0</v>
      </c>
      <c r="AA892">
        <v>5</v>
      </c>
      <c r="AB892">
        <v>1</v>
      </c>
      <c r="AC892">
        <v>4</v>
      </c>
      <c r="AD892">
        <v>0</v>
      </c>
      <c r="AE892">
        <v>7</v>
      </c>
      <c r="AF892">
        <v>7</v>
      </c>
      <c r="AG892">
        <v>0</v>
      </c>
      <c r="AH892">
        <v>0</v>
      </c>
      <c r="AI892">
        <v>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3</v>
      </c>
      <c r="AS892">
        <v>0</v>
      </c>
      <c r="AT892">
        <v>5</v>
      </c>
      <c r="AU892">
        <v>1</v>
      </c>
      <c r="AV892">
        <v>4</v>
      </c>
      <c r="AW892">
        <v>0</v>
      </c>
      <c r="AX892">
        <v>7</v>
      </c>
      <c r="AY892">
        <v>7</v>
      </c>
      <c r="AZ892">
        <v>0</v>
      </c>
      <c r="BA892">
        <v>0</v>
      </c>
      <c r="BB892">
        <v>2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3</v>
      </c>
      <c r="BL892" s="2">
        <v>0</v>
      </c>
      <c r="BM892" s="2">
        <v>5</v>
      </c>
      <c r="BN892" s="2">
        <v>1</v>
      </c>
      <c r="BO892" s="2">
        <v>4</v>
      </c>
      <c r="BP892" s="2">
        <v>0</v>
      </c>
      <c r="BQ892" s="2">
        <v>7</v>
      </c>
      <c r="BR892" s="2">
        <v>7</v>
      </c>
      <c r="BS892" s="2">
        <v>0</v>
      </c>
      <c r="BT892" s="2">
        <v>0</v>
      </c>
      <c r="BU892" s="2">
        <v>2</v>
      </c>
      <c r="BV892" s="2">
        <f t="shared" si="57"/>
        <v>31</v>
      </c>
      <c r="BW892" s="16">
        <f t="shared" si="55"/>
        <v>1.631578947368421</v>
      </c>
      <c r="BX892" s="16">
        <f>COUNTIF($BC$6:BU892, "=0") / COUNTIF($BC$6:BU892, "&gt;-1")</f>
        <v>0.24476354358274491</v>
      </c>
      <c r="BY892" s="18">
        <f>SUM($BC$6:BU892) / $BY$4</f>
        <v>0.92825958592686564</v>
      </c>
      <c r="BZ892" s="14">
        <f t="shared" si="56"/>
        <v>10</v>
      </c>
      <c r="CA892" t="s">
        <v>5832</v>
      </c>
      <c r="CZ892" t="s">
        <v>11605</v>
      </c>
      <c r="DA892" t="s">
        <v>5904</v>
      </c>
      <c r="DB892">
        <v>806.2</v>
      </c>
      <c r="DC892" t="s">
        <v>30631</v>
      </c>
      <c r="DD892" t="s">
        <v>30632</v>
      </c>
      <c r="DE892" t="s">
        <v>30633</v>
      </c>
      <c r="DF892" t="s">
        <v>30634</v>
      </c>
      <c r="DG892" t="s">
        <v>30635</v>
      </c>
      <c r="DH892" t="str">
        <f>"MYBPH"</f>
        <v>MYBPH</v>
      </c>
      <c r="DI892" t="s">
        <v>13772</v>
      </c>
      <c r="DJ892" t="s">
        <v>13777</v>
      </c>
      <c r="DK892">
        <v>9606</v>
      </c>
      <c r="DL892" s="34" t="str">
        <f>HYPERLINK("http://www.uniprot.org/uniprot/Q13203", "Q13203")</f>
        <v>Q13203</v>
      </c>
      <c r="DM892" t="s">
        <v>30636</v>
      </c>
      <c r="DN892" t="s">
        <v>13949</v>
      </c>
      <c r="DO892" t="s">
        <v>24754</v>
      </c>
      <c r="DP892" t="s">
        <v>13793</v>
      </c>
      <c r="DQ892" t="s">
        <v>13772</v>
      </c>
      <c r="DR892" t="s">
        <v>13772</v>
      </c>
      <c r="DS892" t="s">
        <v>15552</v>
      </c>
      <c r="DT892" t="s">
        <v>13772</v>
      </c>
      <c r="DU892" t="s">
        <v>17512</v>
      </c>
      <c r="DV892" t="s">
        <v>13782</v>
      </c>
      <c r="DW892" t="s">
        <v>13772</v>
      </c>
      <c r="DX892" t="s">
        <v>30637</v>
      </c>
      <c r="DY892" t="s">
        <v>30638</v>
      </c>
      <c r="DZ892" t="s">
        <v>30639</v>
      </c>
      <c r="EA892" t="s">
        <v>13772</v>
      </c>
      <c r="EB892" t="s">
        <v>13772</v>
      </c>
    </row>
    <row r="893" spans="1:132" hidden="1">
      <c r="A893">
        <v>1858</v>
      </c>
      <c r="B893">
        <v>1</v>
      </c>
      <c r="C893" t="s">
        <v>4391</v>
      </c>
      <c r="D893" t="s">
        <v>4392</v>
      </c>
      <c r="E893" t="s">
        <v>73</v>
      </c>
      <c r="F893" t="s">
        <v>73</v>
      </c>
      <c r="G893" t="s">
        <v>73</v>
      </c>
      <c r="H893">
        <v>16.899999999999999</v>
      </c>
      <c r="I893">
        <v>991</v>
      </c>
      <c r="J893">
        <v>108749</v>
      </c>
      <c r="K893" t="s">
        <v>4393</v>
      </c>
      <c r="L893">
        <f t="shared" si="54"/>
        <v>31</v>
      </c>
      <c r="N893">
        <v>31</v>
      </c>
      <c r="O893">
        <v>31</v>
      </c>
      <c r="P893">
        <v>1</v>
      </c>
      <c r="Q893">
        <v>2</v>
      </c>
      <c r="R893">
        <v>3</v>
      </c>
      <c r="S893">
        <v>1</v>
      </c>
      <c r="T893">
        <v>2</v>
      </c>
      <c r="U893">
        <v>6</v>
      </c>
      <c r="V893">
        <v>9</v>
      </c>
      <c r="W893">
        <v>5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2</v>
      </c>
      <c r="AK893">
        <v>3</v>
      </c>
      <c r="AL893">
        <v>1</v>
      </c>
      <c r="AM893">
        <v>2</v>
      </c>
      <c r="AN893">
        <v>6</v>
      </c>
      <c r="AO893">
        <v>9</v>
      </c>
      <c r="AP893">
        <v>5</v>
      </c>
      <c r="AQ893">
        <v>2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 s="2">
        <v>2</v>
      </c>
      <c r="BD893" s="2">
        <v>3</v>
      </c>
      <c r="BE893" s="2">
        <v>1</v>
      </c>
      <c r="BF893" s="2">
        <v>2</v>
      </c>
      <c r="BG893" s="2">
        <v>6</v>
      </c>
      <c r="BH893" s="2">
        <v>9</v>
      </c>
      <c r="BI893" s="2">
        <v>5</v>
      </c>
      <c r="BJ893" s="2">
        <v>2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1</v>
      </c>
      <c r="BV893" s="2">
        <f t="shared" si="57"/>
        <v>31</v>
      </c>
      <c r="BW893" s="16">
        <f t="shared" si="55"/>
        <v>1.631578947368421</v>
      </c>
      <c r="BX893" s="16">
        <f>COUNTIF($BC$6:BU893, "=0") / COUNTIF($BC$6:BU893, "&gt;-1")</f>
        <v>0.24508060692271219</v>
      </c>
      <c r="BY893" s="18">
        <f>SUM($BC$6:BU893) / $BY$4</f>
        <v>0.9283923786697954</v>
      </c>
      <c r="BZ893" s="14">
        <f t="shared" si="56"/>
        <v>10</v>
      </c>
      <c r="CA893" t="s">
        <v>5832</v>
      </c>
      <c r="CZ893" t="s">
        <v>11957</v>
      </c>
      <c r="DA893" t="s">
        <v>5904</v>
      </c>
      <c r="DB893">
        <v>1973.8</v>
      </c>
      <c r="DC893" t="s">
        <v>31652</v>
      </c>
      <c r="DD893" t="s">
        <v>31653</v>
      </c>
      <c r="DE893" t="s">
        <v>31654</v>
      </c>
      <c r="DF893" t="s">
        <v>31655</v>
      </c>
      <c r="DG893" t="s">
        <v>31656</v>
      </c>
      <c r="DH893" t="str">
        <f>"EPHB4"</f>
        <v>EPHB4</v>
      </c>
      <c r="DI893" t="s">
        <v>31657</v>
      </c>
      <c r="DJ893" t="s">
        <v>13777</v>
      </c>
      <c r="DK893">
        <v>9606</v>
      </c>
      <c r="DL893" s="34" t="str">
        <f>HYPERLINK("http://www.uniprot.org/uniprot/P54760", "P54760")</f>
        <v>P54760</v>
      </c>
      <c r="DM893" t="s">
        <v>31658</v>
      </c>
      <c r="DN893" t="s">
        <v>22082</v>
      </c>
      <c r="DO893" t="s">
        <v>13792</v>
      </c>
      <c r="DP893" t="s">
        <v>13780</v>
      </c>
      <c r="DQ893" t="s">
        <v>13772</v>
      </c>
      <c r="DR893" t="s">
        <v>13807</v>
      </c>
      <c r="DS893" t="s">
        <v>13826</v>
      </c>
      <c r="DT893" t="s">
        <v>14005</v>
      </c>
      <c r="DU893" t="s">
        <v>20102</v>
      </c>
      <c r="DV893" t="s">
        <v>13964</v>
      </c>
      <c r="DW893" t="s">
        <v>13812</v>
      </c>
      <c r="DX893" t="s">
        <v>31659</v>
      </c>
      <c r="DY893" t="s">
        <v>31660</v>
      </c>
      <c r="DZ893" t="s">
        <v>31661</v>
      </c>
      <c r="EA893" t="s">
        <v>13772</v>
      </c>
      <c r="EB893" t="s">
        <v>17265</v>
      </c>
    </row>
    <row r="894" spans="1:132" hidden="1">
      <c r="A894">
        <v>1880</v>
      </c>
      <c r="B894">
        <v>1</v>
      </c>
      <c r="C894" t="s">
        <v>4438</v>
      </c>
      <c r="D894" t="s">
        <v>73</v>
      </c>
      <c r="E894" t="s">
        <v>73</v>
      </c>
      <c r="F894" t="s">
        <v>73</v>
      </c>
      <c r="G894" t="s">
        <v>73</v>
      </c>
      <c r="H894">
        <v>59.9</v>
      </c>
      <c r="I894">
        <v>247</v>
      </c>
      <c r="J894">
        <v>27597</v>
      </c>
      <c r="K894" t="s">
        <v>4439</v>
      </c>
      <c r="L894">
        <f t="shared" si="54"/>
        <v>31</v>
      </c>
      <c r="N894">
        <v>31</v>
      </c>
      <c r="O894">
        <v>31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6</v>
      </c>
      <c r="Z894">
        <v>0</v>
      </c>
      <c r="AA894">
        <v>4</v>
      </c>
      <c r="AB894">
        <v>2</v>
      </c>
      <c r="AC894">
        <v>3</v>
      </c>
      <c r="AD894">
        <v>0</v>
      </c>
      <c r="AE894">
        <v>10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6</v>
      </c>
      <c r="AS894">
        <v>0</v>
      </c>
      <c r="AT894">
        <v>4</v>
      </c>
      <c r="AU894">
        <v>2</v>
      </c>
      <c r="AV894">
        <v>3</v>
      </c>
      <c r="AW894">
        <v>0</v>
      </c>
      <c r="AX894">
        <v>10</v>
      </c>
      <c r="AY894">
        <v>4</v>
      </c>
      <c r="AZ894">
        <v>0</v>
      </c>
      <c r="BA894">
        <v>0</v>
      </c>
      <c r="BB894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1</v>
      </c>
      <c r="BK894" s="2">
        <v>6</v>
      </c>
      <c r="BL894" s="2">
        <v>0</v>
      </c>
      <c r="BM894" s="2">
        <v>4</v>
      </c>
      <c r="BN894" s="2">
        <v>2</v>
      </c>
      <c r="BO894" s="2">
        <v>3</v>
      </c>
      <c r="BP894" s="2">
        <v>0</v>
      </c>
      <c r="BQ894" s="2">
        <v>10</v>
      </c>
      <c r="BR894" s="2">
        <v>4</v>
      </c>
      <c r="BS894" s="2">
        <v>0</v>
      </c>
      <c r="BT894" s="2">
        <v>0</v>
      </c>
      <c r="BU894" s="2">
        <v>0</v>
      </c>
      <c r="BV894" s="2">
        <f t="shared" si="57"/>
        <v>31</v>
      </c>
      <c r="BW894" s="16">
        <f t="shared" si="55"/>
        <v>1.631578947368421</v>
      </c>
      <c r="BX894" s="16">
        <f>COUNTIF($BC$6:BU894, "=0") / COUNTIF($BC$6:BU894, "&gt;-1")</f>
        <v>0.24545616008525251</v>
      </c>
      <c r="BY894" s="18">
        <f>SUM($BC$6:BU894) / $BY$4</f>
        <v>0.92852517141272517</v>
      </c>
      <c r="BZ894" s="14">
        <f t="shared" si="56"/>
        <v>11</v>
      </c>
      <c r="CA894" t="s">
        <v>5832</v>
      </c>
      <c r="CZ894" t="s">
        <v>12023</v>
      </c>
      <c r="DA894" t="s">
        <v>5904</v>
      </c>
      <c r="DB894">
        <v>387.9</v>
      </c>
      <c r="DC894" t="s">
        <v>31829</v>
      </c>
      <c r="DD894" t="s">
        <v>31830</v>
      </c>
      <c r="DE894" t="s">
        <v>31831</v>
      </c>
      <c r="DF894" t="s">
        <v>31832</v>
      </c>
      <c r="DG894" t="s">
        <v>31833</v>
      </c>
      <c r="DH894" t="str">
        <f>"HDGF"</f>
        <v>HDGF</v>
      </c>
      <c r="DI894" t="s">
        <v>31834</v>
      </c>
      <c r="DJ894" t="s">
        <v>13777</v>
      </c>
      <c r="DK894">
        <v>9606</v>
      </c>
      <c r="DL894" s="34" t="str">
        <f>HYPERLINK("http://www.uniprot.org/uniprot/P51858", "P51858")</f>
        <v>P51858</v>
      </c>
      <c r="DM894" t="s">
        <v>31835</v>
      </c>
      <c r="DN894" t="s">
        <v>14445</v>
      </c>
      <c r="DO894" t="s">
        <v>13912</v>
      </c>
      <c r="DP894" t="s">
        <v>13780</v>
      </c>
      <c r="DQ894" t="s">
        <v>13772</v>
      </c>
      <c r="DR894" t="s">
        <v>13772</v>
      </c>
      <c r="DS894" t="s">
        <v>13772</v>
      </c>
      <c r="DT894" t="s">
        <v>29232</v>
      </c>
      <c r="DU894" t="s">
        <v>31836</v>
      </c>
      <c r="DV894" t="s">
        <v>13991</v>
      </c>
      <c r="DW894" t="s">
        <v>13812</v>
      </c>
      <c r="DX894" t="s">
        <v>31837</v>
      </c>
      <c r="DY894" t="s">
        <v>31838</v>
      </c>
      <c r="DZ894" t="s">
        <v>31839</v>
      </c>
      <c r="EA894" t="s">
        <v>13772</v>
      </c>
      <c r="EB894" t="s">
        <v>19986</v>
      </c>
    </row>
    <row r="895" spans="1:132" hidden="1">
      <c r="A895">
        <v>2074</v>
      </c>
      <c r="B895">
        <v>1</v>
      </c>
      <c r="C895" t="s">
        <v>4874</v>
      </c>
      <c r="D895" t="s">
        <v>73</v>
      </c>
      <c r="E895" t="s">
        <v>73</v>
      </c>
      <c r="F895" t="s">
        <v>73</v>
      </c>
      <c r="G895" t="s">
        <v>73</v>
      </c>
      <c r="H895">
        <v>39.299999999999997</v>
      </c>
      <c r="I895">
        <v>328</v>
      </c>
      <c r="J895">
        <v>37579</v>
      </c>
      <c r="K895" t="s">
        <v>4875</v>
      </c>
      <c r="L895">
        <f t="shared" si="54"/>
        <v>31</v>
      </c>
      <c r="N895">
        <v>31</v>
      </c>
      <c r="O895">
        <v>31</v>
      </c>
      <c r="P895">
        <v>1</v>
      </c>
      <c r="Q895">
        <v>1</v>
      </c>
      <c r="R895">
        <v>2</v>
      </c>
      <c r="S895">
        <v>4</v>
      </c>
      <c r="T895">
        <v>2</v>
      </c>
      <c r="U895">
        <v>3</v>
      </c>
      <c r="V895">
        <v>18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4</v>
      </c>
      <c r="AM895">
        <v>2</v>
      </c>
      <c r="AN895">
        <v>3</v>
      </c>
      <c r="AO895">
        <v>18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 s="2">
        <v>1</v>
      </c>
      <c r="BD895" s="2">
        <v>2</v>
      </c>
      <c r="BE895" s="2">
        <v>4</v>
      </c>
      <c r="BF895" s="2">
        <v>2</v>
      </c>
      <c r="BG895" s="2">
        <v>3</v>
      </c>
      <c r="BH895" s="2">
        <v>18</v>
      </c>
      <c r="BI895" s="2">
        <v>0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f t="shared" si="57"/>
        <v>31</v>
      </c>
      <c r="BW895" s="16">
        <f t="shared" si="55"/>
        <v>1.631578947368421</v>
      </c>
      <c r="BX895" s="16">
        <f>COUNTIF($BC$6:BU895, "=0") / COUNTIF($BC$6:BU895, "&gt;-1")</f>
        <v>0.24589000591366056</v>
      </c>
      <c r="BY895" s="18">
        <f>SUM($BC$6:BU895) / $BY$4</f>
        <v>0.92865796415565482</v>
      </c>
      <c r="BZ895" s="14">
        <f t="shared" si="56"/>
        <v>12</v>
      </c>
      <c r="CA895" t="s">
        <v>5832</v>
      </c>
      <c r="CZ895" t="s">
        <v>12667</v>
      </c>
      <c r="DA895" t="s">
        <v>5904</v>
      </c>
      <c r="DB895">
        <v>651.70000000000005</v>
      </c>
      <c r="DC895" t="s">
        <v>33636</v>
      </c>
      <c r="DD895" t="s">
        <v>33637</v>
      </c>
      <c r="DE895" t="s">
        <v>33638</v>
      </c>
      <c r="DF895" t="s">
        <v>33639</v>
      </c>
      <c r="DG895" t="s">
        <v>33640</v>
      </c>
      <c r="DH895" t="str">
        <f>"RCN3"</f>
        <v>RCN3</v>
      </c>
      <c r="DI895" t="s">
        <v>13772</v>
      </c>
      <c r="DJ895" t="s">
        <v>13777</v>
      </c>
      <c r="DK895">
        <v>9606</v>
      </c>
      <c r="DL895" s="34" t="str">
        <f>HYPERLINK("http://www.uniprot.org/uniprot/Q96D15", "Q96D15")</f>
        <v>Q96D15</v>
      </c>
      <c r="DM895" t="s">
        <v>33641</v>
      </c>
      <c r="DN895" t="s">
        <v>14347</v>
      </c>
      <c r="DO895" t="s">
        <v>14908</v>
      </c>
      <c r="DP895" t="s">
        <v>13793</v>
      </c>
      <c r="DQ895" t="s">
        <v>13772</v>
      </c>
      <c r="DR895" t="s">
        <v>13772</v>
      </c>
      <c r="DS895" t="s">
        <v>14404</v>
      </c>
      <c r="DT895" t="s">
        <v>13873</v>
      </c>
      <c r="DU895" t="s">
        <v>14477</v>
      </c>
      <c r="DV895" t="s">
        <v>13858</v>
      </c>
      <c r="DW895" t="s">
        <v>13772</v>
      </c>
      <c r="DX895" t="s">
        <v>33642</v>
      </c>
      <c r="DY895" t="s">
        <v>22071</v>
      </c>
      <c r="DZ895" t="s">
        <v>15899</v>
      </c>
      <c r="EA895" t="s">
        <v>13772</v>
      </c>
      <c r="EB895" t="s">
        <v>13772</v>
      </c>
    </row>
    <row r="896" spans="1:132" hidden="1">
      <c r="A896">
        <v>2280</v>
      </c>
      <c r="B896">
        <v>1</v>
      </c>
      <c r="C896" t="s">
        <v>5326</v>
      </c>
      <c r="D896" t="s">
        <v>73</v>
      </c>
      <c r="E896" t="s">
        <v>73</v>
      </c>
      <c r="F896" t="s">
        <v>73</v>
      </c>
      <c r="G896" t="s">
        <v>73</v>
      </c>
      <c r="H896">
        <v>25.9</v>
      </c>
      <c r="I896">
        <v>185</v>
      </c>
      <c r="J896">
        <v>20243</v>
      </c>
      <c r="K896" t="s">
        <v>5327</v>
      </c>
      <c r="L896">
        <f t="shared" si="54"/>
        <v>31</v>
      </c>
      <c r="N896">
        <v>31</v>
      </c>
      <c r="O896">
        <v>31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</v>
      </c>
      <c r="Z896">
        <v>2</v>
      </c>
      <c r="AA896">
        <v>7</v>
      </c>
      <c r="AB896">
        <v>2</v>
      </c>
      <c r="AC896">
        <v>5</v>
      </c>
      <c r="AD896">
        <v>0</v>
      </c>
      <c r="AE896">
        <v>5</v>
      </c>
      <c r="AF896">
        <v>4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</v>
      </c>
      <c r="AS896">
        <v>2</v>
      </c>
      <c r="AT896">
        <v>7</v>
      </c>
      <c r="AU896">
        <v>2</v>
      </c>
      <c r="AV896">
        <v>5</v>
      </c>
      <c r="AW896">
        <v>0</v>
      </c>
      <c r="AX896">
        <v>5</v>
      </c>
      <c r="AY896">
        <v>4</v>
      </c>
      <c r="AZ896">
        <v>1</v>
      </c>
      <c r="BA896">
        <v>0</v>
      </c>
      <c r="BB896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4</v>
      </c>
      <c r="BL896" s="2">
        <v>2</v>
      </c>
      <c r="BM896" s="2">
        <v>7</v>
      </c>
      <c r="BN896" s="2">
        <v>2</v>
      </c>
      <c r="BO896" s="2">
        <v>5</v>
      </c>
      <c r="BP896" s="2">
        <v>0</v>
      </c>
      <c r="BQ896" s="2">
        <v>5</v>
      </c>
      <c r="BR896" s="2">
        <v>4</v>
      </c>
      <c r="BS896" s="2">
        <v>1</v>
      </c>
      <c r="BT896" s="2">
        <v>0</v>
      </c>
      <c r="BU896" s="2">
        <v>1</v>
      </c>
      <c r="BV896" s="2">
        <f t="shared" si="57"/>
        <v>31</v>
      </c>
      <c r="BW896" s="16">
        <f t="shared" si="55"/>
        <v>1.631578947368421</v>
      </c>
      <c r="BX896" s="16">
        <f>COUNTIF($BC$6:BU896, "=0") / COUNTIF($BC$6:BU896, "&gt;-1")</f>
        <v>0.2462047374328076</v>
      </c>
      <c r="BY896" s="18">
        <f>SUM($BC$6:BU896) / $BY$4</f>
        <v>0.92879075689858459</v>
      </c>
      <c r="BZ896" s="14">
        <f t="shared" si="56"/>
        <v>10</v>
      </c>
      <c r="CA896" t="s">
        <v>5832</v>
      </c>
      <c r="CZ896" t="s">
        <v>13342</v>
      </c>
      <c r="DA896" t="s">
        <v>5904</v>
      </c>
      <c r="DB896">
        <v>253.4</v>
      </c>
      <c r="DC896" t="s">
        <v>35527</v>
      </c>
      <c r="DD896" t="s">
        <v>35528</v>
      </c>
      <c r="DE896" t="s">
        <v>35529</v>
      </c>
      <c r="DF896" t="s">
        <v>35530</v>
      </c>
      <c r="DG896" t="s">
        <v>35531</v>
      </c>
      <c r="DH896" t="str">
        <f>"GKN1"</f>
        <v>GKN1</v>
      </c>
      <c r="DI896" t="s">
        <v>35532</v>
      </c>
      <c r="DJ896" t="s">
        <v>13777</v>
      </c>
      <c r="DK896">
        <v>9606</v>
      </c>
      <c r="DL896" s="34" t="str">
        <f>HYPERLINK("http://www.uniprot.org/uniprot/Q9NS71", "Q9NS71")</f>
        <v>Q9NS71</v>
      </c>
      <c r="DM896" t="s">
        <v>35533</v>
      </c>
      <c r="DN896" t="s">
        <v>13772</v>
      </c>
      <c r="DO896" t="s">
        <v>14321</v>
      </c>
      <c r="DP896" t="s">
        <v>13793</v>
      </c>
      <c r="DQ896" t="s">
        <v>13772</v>
      </c>
      <c r="DR896" t="s">
        <v>13772</v>
      </c>
      <c r="DS896" t="s">
        <v>13808</v>
      </c>
      <c r="DT896" t="s">
        <v>13772</v>
      </c>
      <c r="DU896" t="s">
        <v>35534</v>
      </c>
      <c r="DV896" t="s">
        <v>14506</v>
      </c>
      <c r="DW896" t="s">
        <v>13772</v>
      </c>
      <c r="DX896" t="s">
        <v>35535</v>
      </c>
      <c r="DY896" t="s">
        <v>14508</v>
      </c>
      <c r="DZ896" t="s">
        <v>13772</v>
      </c>
      <c r="EA896" t="s">
        <v>13772</v>
      </c>
      <c r="EB896" t="s">
        <v>13772</v>
      </c>
    </row>
    <row r="897" spans="1:132" hidden="1">
      <c r="A897">
        <v>127</v>
      </c>
      <c r="B897">
        <v>1</v>
      </c>
      <c r="C897" t="s">
        <v>330</v>
      </c>
      <c r="D897" t="s">
        <v>73</v>
      </c>
      <c r="E897" t="s">
        <v>73</v>
      </c>
      <c r="F897" t="s">
        <v>331</v>
      </c>
      <c r="G897" t="s">
        <v>73</v>
      </c>
      <c r="H897">
        <v>49.4</v>
      </c>
      <c r="I897">
        <v>249</v>
      </c>
      <c r="J897">
        <v>28546</v>
      </c>
      <c r="K897" t="s">
        <v>332</v>
      </c>
      <c r="L897">
        <f t="shared" si="54"/>
        <v>31</v>
      </c>
      <c r="N897">
        <v>31</v>
      </c>
      <c r="O897">
        <v>29</v>
      </c>
      <c r="P897">
        <v>0.93500000000000005</v>
      </c>
      <c r="Q897">
        <v>0</v>
      </c>
      <c r="R897">
        <v>1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0</v>
      </c>
      <c r="AA897">
        <v>10</v>
      </c>
      <c r="AB897">
        <v>0</v>
      </c>
      <c r="AC897">
        <v>4</v>
      </c>
      <c r="AD897">
        <v>0</v>
      </c>
      <c r="AE897">
        <v>4</v>
      </c>
      <c r="AF897">
        <v>8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2</v>
      </c>
      <c r="AS897">
        <v>0</v>
      </c>
      <c r="AT897">
        <v>10</v>
      </c>
      <c r="AU897">
        <v>0</v>
      </c>
      <c r="AV897">
        <v>3</v>
      </c>
      <c r="AW897">
        <v>0</v>
      </c>
      <c r="AX897">
        <v>4</v>
      </c>
      <c r="AY897">
        <v>7</v>
      </c>
      <c r="AZ897">
        <v>0</v>
      </c>
      <c r="BA897">
        <v>0</v>
      </c>
      <c r="BB897">
        <v>0</v>
      </c>
      <c r="BC897" s="2">
        <v>0</v>
      </c>
      <c r="BD897" s="2">
        <v>1</v>
      </c>
      <c r="BE897" s="2">
        <v>0</v>
      </c>
      <c r="BF897" s="2">
        <v>2</v>
      </c>
      <c r="BG897" s="2">
        <v>0</v>
      </c>
      <c r="BH897" s="2">
        <v>0</v>
      </c>
      <c r="BI897" s="2">
        <v>0</v>
      </c>
      <c r="BJ897" s="2">
        <v>0</v>
      </c>
      <c r="BK897" s="2">
        <v>2</v>
      </c>
      <c r="BL897" s="2">
        <v>0</v>
      </c>
      <c r="BM897" s="2">
        <v>10</v>
      </c>
      <c r="BN897" s="2">
        <v>0</v>
      </c>
      <c r="BO897" s="2">
        <v>4</v>
      </c>
      <c r="BP897" s="2">
        <v>0</v>
      </c>
      <c r="BQ897" s="2">
        <v>4</v>
      </c>
      <c r="BR897" s="2">
        <v>7.875</v>
      </c>
      <c r="BS897" s="2">
        <v>0</v>
      </c>
      <c r="BT897" s="2">
        <v>0</v>
      </c>
      <c r="BU897" s="2">
        <v>0</v>
      </c>
      <c r="BV897" s="2">
        <f t="shared" si="57"/>
        <v>30.875</v>
      </c>
      <c r="BW897" s="16">
        <f t="shared" si="55"/>
        <v>1.625</v>
      </c>
      <c r="BX897" s="16">
        <f>COUNTIF($BC$6:BU897, "=0") / COUNTIF($BC$6:BU897, "&gt;-1")</f>
        <v>0.24663677130044842</v>
      </c>
      <c r="BY897" s="18">
        <f>SUM($BC$6:BU897) / $BY$4</f>
        <v>0.9289230141869057</v>
      </c>
      <c r="BZ897" s="14">
        <f t="shared" si="56"/>
        <v>12</v>
      </c>
      <c r="CA897" t="s">
        <v>5832</v>
      </c>
      <c r="CZ897" t="s">
        <v>6130</v>
      </c>
      <c r="DA897" t="s">
        <v>5904</v>
      </c>
      <c r="DB897">
        <v>299.3</v>
      </c>
      <c r="DC897" t="s">
        <v>14606</v>
      </c>
      <c r="DD897" t="s">
        <v>14607</v>
      </c>
      <c r="DE897" t="s">
        <v>14608</v>
      </c>
      <c r="DF897" t="s">
        <v>14609</v>
      </c>
      <c r="DG897" t="s">
        <v>14610</v>
      </c>
      <c r="DH897" t="str">
        <f>"ANP32A"</f>
        <v>ANP32A</v>
      </c>
      <c r="DI897" t="s">
        <v>14611</v>
      </c>
      <c r="DJ897" t="s">
        <v>13777</v>
      </c>
      <c r="DK897">
        <v>9606</v>
      </c>
      <c r="DL897" s="34" t="str">
        <f>HYPERLINK("http://www.uniprot.org/uniprot/P39687", "P39687")</f>
        <v>P39687</v>
      </c>
      <c r="DM897" t="s">
        <v>14612</v>
      </c>
      <c r="DN897" t="s">
        <v>14445</v>
      </c>
      <c r="DO897" t="s">
        <v>14613</v>
      </c>
      <c r="DP897" t="s">
        <v>13772</v>
      </c>
      <c r="DQ897" t="s">
        <v>13772</v>
      </c>
      <c r="DR897" t="s">
        <v>13772</v>
      </c>
      <c r="DS897" t="s">
        <v>14614</v>
      </c>
      <c r="DT897" t="s">
        <v>13772</v>
      </c>
      <c r="DU897" t="s">
        <v>14615</v>
      </c>
      <c r="DV897" t="s">
        <v>13782</v>
      </c>
      <c r="DW897" t="s">
        <v>13812</v>
      </c>
      <c r="DX897" t="s">
        <v>14616</v>
      </c>
      <c r="DY897" t="s">
        <v>14617</v>
      </c>
      <c r="DZ897" t="s">
        <v>14618</v>
      </c>
      <c r="EA897" t="s">
        <v>13772</v>
      </c>
      <c r="EB897" t="s">
        <v>14619</v>
      </c>
    </row>
    <row r="898" spans="1:132" hidden="1">
      <c r="A898">
        <v>748</v>
      </c>
      <c r="B898">
        <v>1</v>
      </c>
      <c r="C898" t="s">
        <v>1837</v>
      </c>
      <c r="D898" t="s">
        <v>73</v>
      </c>
      <c r="E898" t="s">
        <v>73</v>
      </c>
      <c r="F898" t="s">
        <v>1838</v>
      </c>
      <c r="G898" t="s">
        <v>73</v>
      </c>
      <c r="H898">
        <v>27.2</v>
      </c>
      <c r="I898">
        <v>629</v>
      </c>
      <c r="J898">
        <v>70488</v>
      </c>
      <c r="K898" t="s">
        <v>1839</v>
      </c>
      <c r="L898">
        <f t="shared" si="54"/>
        <v>40</v>
      </c>
      <c r="N898">
        <v>40</v>
      </c>
      <c r="O898">
        <v>24</v>
      </c>
      <c r="P898">
        <v>0.6</v>
      </c>
      <c r="Q898">
        <v>0</v>
      </c>
      <c r="R898">
        <v>2</v>
      </c>
      <c r="S898">
        <v>0</v>
      </c>
      <c r="T898">
        <v>1</v>
      </c>
      <c r="U898">
        <v>7</v>
      </c>
      <c r="V898">
        <v>7</v>
      </c>
      <c r="W898">
        <v>0</v>
      </c>
      <c r="X898">
        <v>2</v>
      </c>
      <c r="Y898">
        <v>3</v>
      </c>
      <c r="Z898">
        <v>0</v>
      </c>
      <c r="AA898">
        <v>8</v>
      </c>
      <c r="AB898">
        <v>5</v>
      </c>
      <c r="AC898">
        <v>4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2</v>
      </c>
      <c r="AL898">
        <v>0</v>
      </c>
      <c r="AM898">
        <v>1</v>
      </c>
      <c r="AN898">
        <v>5</v>
      </c>
      <c r="AO898">
        <v>6</v>
      </c>
      <c r="AP898">
        <v>0</v>
      </c>
      <c r="AQ898">
        <v>1</v>
      </c>
      <c r="AR898">
        <v>3</v>
      </c>
      <c r="AS898">
        <v>0</v>
      </c>
      <c r="AT898">
        <v>3</v>
      </c>
      <c r="AU898">
        <v>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 s="2">
        <v>0</v>
      </c>
      <c r="BD898" s="2">
        <v>2</v>
      </c>
      <c r="BE898" s="2">
        <v>0</v>
      </c>
      <c r="BF898" s="2">
        <v>1</v>
      </c>
      <c r="BG898" s="2">
        <v>6.6669999999999998</v>
      </c>
      <c r="BH898" s="2">
        <v>6.6669999999999998</v>
      </c>
      <c r="BI898" s="2">
        <v>0</v>
      </c>
      <c r="BJ898" s="2">
        <v>1.5</v>
      </c>
      <c r="BK898" s="2">
        <v>3</v>
      </c>
      <c r="BL898" s="2">
        <v>0</v>
      </c>
      <c r="BM898" s="2">
        <v>3.9089999999999998</v>
      </c>
      <c r="BN898" s="2">
        <v>5</v>
      </c>
      <c r="BO898" s="2">
        <v>0.5</v>
      </c>
      <c r="BP898" s="2">
        <v>0</v>
      </c>
      <c r="BQ898" s="2">
        <v>0.5</v>
      </c>
      <c r="BR898" s="2">
        <v>0</v>
      </c>
      <c r="BS898" s="2">
        <v>0</v>
      </c>
      <c r="BT898" s="2">
        <v>0</v>
      </c>
      <c r="BU898" s="2">
        <v>0</v>
      </c>
      <c r="BV898" s="2">
        <f t="shared" si="57"/>
        <v>30.742999999999999</v>
      </c>
      <c r="BW898" s="16">
        <f t="shared" si="55"/>
        <v>1.6180526315789472</v>
      </c>
      <c r="BX898" s="16">
        <f>COUNTIF($BC$6:BU898, "=0") / COUNTIF($BC$6:BU898, "&gt;-1")</f>
        <v>0.24689102375198915</v>
      </c>
      <c r="BY898" s="18">
        <f>SUM($BC$6:BU898) / $BY$4</f>
        <v>0.92905470603516005</v>
      </c>
      <c r="BZ898" s="14">
        <f t="shared" si="56"/>
        <v>9</v>
      </c>
      <c r="CA898" t="s">
        <v>5832</v>
      </c>
      <c r="CZ898" t="s">
        <v>8260</v>
      </c>
      <c r="DA898" t="s">
        <v>5904</v>
      </c>
      <c r="DB898">
        <v>1214.5</v>
      </c>
      <c r="DC898" t="s">
        <v>21141</v>
      </c>
      <c r="DD898" t="s">
        <v>21142</v>
      </c>
      <c r="DE898" t="s">
        <v>21143</v>
      </c>
      <c r="DF898" t="s">
        <v>21144</v>
      </c>
      <c r="DG898" t="s">
        <v>21145</v>
      </c>
      <c r="DH898" t="str">
        <f>"PLS1"</f>
        <v>PLS1</v>
      </c>
      <c r="DI898" t="s">
        <v>13772</v>
      </c>
      <c r="DJ898" t="s">
        <v>13777</v>
      </c>
      <c r="DK898">
        <v>9606</v>
      </c>
      <c r="DL898" s="34" t="str">
        <f>HYPERLINK("http://www.uniprot.org/uniprot/Q14651", "Q14651")</f>
        <v>Q14651</v>
      </c>
      <c r="DM898" t="s">
        <v>21146</v>
      </c>
      <c r="DN898" t="s">
        <v>13772</v>
      </c>
      <c r="DO898" t="s">
        <v>13899</v>
      </c>
      <c r="DP898" t="s">
        <v>13793</v>
      </c>
      <c r="DQ898" t="s">
        <v>13772</v>
      </c>
      <c r="DR898" t="s">
        <v>13772</v>
      </c>
      <c r="DS898" t="s">
        <v>14096</v>
      </c>
      <c r="DT898" t="s">
        <v>13873</v>
      </c>
      <c r="DU898" t="s">
        <v>13990</v>
      </c>
      <c r="DV898" t="s">
        <v>13886</v>
      </c>
      <c r="DW898" t="s">
        <v>13772</v>
      </c>
      <c r="DX898" t="s">
        <v>21147</v>
      </c>
      <c r="DY898" t="s">
        <v>21148</v>
      </c>
      <c r="DZ898" t="s">
        <v>21149</v>
      </c>
      <c r="EA898" t="s">
        <v>13772</v>
      </c>
      <c r="EB898" t="s">
        <v>13772</v>
      </c>
    </row>
    <row r="899" spans="1:132" hidden="1">
      <c r="A899">
        <v>954</v>
      </c>
      <c r="B899">
        <v>1</v>
      </c>
      <c r="C899" t="s">
        <v>2322</v>
      </c>
      <c r="D899" t="s">
        <v>73</v>
      </c>
      <c r="E899" t="s">
        <v>73</v>
      </c>
      <c r="F899" t="s">
        <v>2323</v>
      </c>
      <c r="G899" t="s">
        <v>73</v>
      </c>
      <c r="H899">
        <v>26.8</v>
      </c>
      <c r="I899">
        <v>414</v>
      </c>
      <c r="J899">
        <v>45634</v>
      </c>
      <c r="K899" t="s">
        <v>2324</v>
      </c>
      <c r="L899">
        <f t="shared" si="54"/>
        <v>33</v>
      </c>
      <c r="N899">
        <v>33</v>
      </c>
      <c r="O899">
        <v>19</v>
      </c>
      <c r="P899">
        <v>0.57599999999999996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5</v>
      </c>
      <c r="Z899">
        <v>1</v>
      </c>
      <c r="AA899">
        <v>6</v>
      </c>
      <c r="AB899">
        <v>4</v>
      </c>
      <c r="AC899">
        <v>3</v>
      </c>
      <c r="AD899">
        <v>0</v>
      </c>
      <c r="AE899">
        <v>3</v>
      </c>
      <c r="AF899">
        <v>7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3</v>
      </c>
      <c r="AS899">
        <v>1</v>
      </c>
      <c r="AT899">
        <v>4</v>
      </c>
      <c r="AU899">
        <v>3</v>
      </c>
      <c r="AV899">
        <v>1</v>
      </c>
      <c r="AW899">
        <v>0</v>
      </c>
      <c r="AX899">
        <v>2</v>
      </c>
      <c r="AY899">
        <v>4</v>
      </c>
      <c r="AZ899">
        <v>0</v>
      </c>
      <c r="BA899">
        <v>0</v>
      </c>
      <c r="BB899">
        <v>0</v>
      </c>
      <c r="BC899" s="2">
        <v>0</v>
      </c>
      <c r="BD899" s="2">
        <v>0.33300000000000002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2</v>
      </c>
      <c r="BK899" s="2">
        <v>4.5</v>
      </c>
      <c r="BL899" s="2">
        <v>1</v>
      </c>
      <c r="BM899" s="2">
        <v>5.6</v>
      </c>
      <c r="BN899" s="2">
        <v>3.75</v>
      </c>
      <c r="BO899" s="2">
        <v>3</v>
      </c>
      <c r="BP899" s="2">
        <v>0</v>
      </c>
      <c r="BQ899" s="2">
        <v>3</v>
      </c>
      <c r="BR899" s="2">
        <v>7</v>
      </c>
      <c r="BS899" s="2">
        <v>0.5</v>
      </c>
      <c r="BT899" s="2">
        <v>0</v>
      </c>
      <c r="BU899" s="2">
        <v>0</v>
      </c>
      <c r="BV899" s="2">
        <f t="shared" si="57"/>
        <v>30.683</v>
      </c>
      <c r="BW899" s="16">
        <f t="shared" si="55"/>
        <v>1.6148947368421052</v>
      </c>
      <c r="BX899" s="16">
        <f>COUNTIF($BC$6:BU899, "=0") / COUNTIF($BC$6:BU899, "&gt;-1")</f>
        <v>0.24714470740609915</v>
      </c>
      <c r="BY899" s="18">
        <f>SUM($BC$6:BU899) / $BY$4</f>
        <v>0.92918614086520246</v>
      </c>
      <c r="BZ899" s="14">
        <f t="shared" si="56"/>
        <v>9</v>
      </c>
      <c r="CA899" t="s">
        <v>5832</v>
      </c>
      <c r="CZ899" t="s">
        <v>8966</v>
      </c>
      <c r="DA899" t="s">
        <v>5904</v>
      </c>
      <c r="DB899">
        <v>838.6</v>
      </c>
      <c r="DC899" t="s">
        <v>23183</v>
      </c>
      <c r="DD899" t="s">
        <v>23184</v>
      </c>
      <c r="DE899" t="s">
        <v>23185</v>
      </c>
      <c r="DF899" t="s">
        <v>23186</v>
      </c>
      <c r="DG899" t="s">
        <v>23187</v>
      </c>
      <c r="DH899" t="str">
        <f>"HNRNPF"</f>
        <v>HNRNPF</v>
      </c>
      <c r="DI899" t="s">
        <v>23188</v>
      </c>
      <c r="DJ899" t="s">
        <v>13777</v>
      </c>
      <c r="DK899">
        <v>9606</v>
      </c>
      <c r="DL899" s="34" t="str">
        <f>HYPERLINK("http://www.uniprot.org/uniprot/P52597", "P52597")</f>
        <v>P52597</v>
      </c>
      <c r="DM899" t="s">
        <v>23189</v>
      </c>
      <c r="DN899" t="s">
        <v>15152</v>
      </c>
      <c r="DO899" t="s">
        <v>16088</v>
      </c>
      <c r="DP899" t="s">
        <v>13793</v>
      </c>
      <c r="DQ899" t="s">
        <v>13772</v>
      </c>
      <c r="DR899" t="s">
        <v>13772</v>
      </c>
      <c r="DS899" t="s">
        <v>14096</v>
      </c>
      <c r="DT899" t="s">
        <v>13772</v>
      </c>
      <c r="DU899" t="s">
        <v>16089</v>
      </c>
      <c r="DV899" t="s">
        <v>13991</v>
      </c>
      <c r="DW899" t="s">
        <v>13812</v>
      </c>
      <c r="DX899" t="s">
        <v>23190</v>
      </c>
      <c r="DY899" t="s">
        <v>23191</v>
      </c>
      <c r="DZ899" t="s">
        <v>23192</v>
      </c>
      <c r="EA899" t="s">
        <v>13772</v>
      </c>
      <c r="EB899" t="s">
        <v>23193</v>
      </c>
    </row>
    <row r="900" spans="1:132" hidden="1">
      <c r="A900">
        <v>794</v>
      </c>
      <c r="B900">
        <v>1</v>
      </c>
      <c r="C900" t="s">
        <v>1949</v>
      </c>
      <c r="D900" t="s">
        <v>73</v>
      </c>
      <c r="E900" t="s">
        <v>73</v>
      </c>
      <c r="F900" t="s">
        <v>835</v>
      </c>
      <c r="G900" t="s">
        <v>73</v>
      </c>
      <c r="H900">
        <v>41.4</v>
      </c>
      <c r="I900">
        <v>355</v>
      </c>
      <c r="J900">
        <v>40464</v>
      </c>
      <c r="K900" t="s">
        <v>1950</v>
      </c>
      <c r="L900">
        <f t="shared" si="54"/>
        <v>42</v>
      </c>
      <c r="N900">
        <v>42</v>
      </c>
      <c r="O900">
        <v>19</v>
      </c>
      <c r="P900">
        <v>0.45200000000000001</v>
      </c>
      <c r="Q900">
        <v>1</v>
      </c>
      <c r="R900">
        <v>0</v>
      </c>
      <c r="S900">
        <v>1</v>
      </c>
      <c r="T900">
        <v>2</v>
      </c>
      <c r="U900">
        <v>3</v>
      </c>
      <c r="V900">
        <v>2</v>
      </c>
      <c r="W900">
        <v>4</v>
      </c>
      <c r="X900">
        <v>0</v>
      </c>
      <c r="Y900">
        <v>1</v>
      </c>
      <c r="Z900">
        <v>1</v>
      </c>
      <c r="AA900">
        <v>5</v>
      </c>
      <c r="AB900">
        <v>7</v>
      </c>
      <c r="AC900">
        <v>9</v>
      </c>
      <c r="AD900">
        <v>2</v>
      </c>
      <c r="AE900">
        <v>1</v>
      </c>
      <c r="AF900">
        <v>3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</v>
      </c>
      <c r="AQ900">
        <v>0</v>
      </c>
      <c r="AR900">
        <v>1</v>
      </c>
      <c r="AS900">
        <v>0</v>
      </c>
      <c r="AT900">
        <v>3</v>
      </c>
      <c r="AU900">
        <v>4</v>
      </c>
      <c r="AV900">
        <v>4</v>
      </c>
      <c r="AW900">
        <v>1</v>
      </c>
      <c r="AX900">
        <v>1</v>
      </c>
      <c r="AY900">
        <v>2</v>
      </c>
      <c r="AZ900">
        <v>0</v>
      </c>
      <c r="BA900">
        <v>0</v>
      </c>
      <c r="BB900">
        <v>0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2.722</v>
      </c>
      <c r="BJ900" s="2">
        <v>0</v>
      </c>
      <c r="BK900" s="2">
        <v>1</v>
      </c>
      <c r="BL900" s="2">
        <v>0.2</v>
      </c>
      <c r="BM900" s="2">
        <v>4.5</v>
      </c>
      <c r="BN900" s="2">
        <v>6.1</v>
      </c>
      <c r="BO900" s="2">
        <v>9</v>
      </c>
      <c r="BP900" s="2">
        <v>2</v>
      </c>
      <c r="BQ900" s="2">
        <v>1</v>
      </c>
      <c r="BR900" s="2">
        <v>2.5</v>
      </c>
      <c r="BS900" s="2">
        <v>0</v>
      </c>
      <c r="BT900" s="2">
        <v>0</v>
      </c>
      <c r="BU900" s="2">
        <v>0</v>
      </c>
      <c r="BV900" s="2">
        <f t="shared" si="57"/>
        <v>30.021999999999998</v>
      </c>
      <c r="BW900" s="16">
        <f t="shared" si="55"/>
        <v>1.5801052631578947</v>
      </c>
      <c r="BX900" s="16">
        <f>COUNTIF($BC$6:BU900, "=0") / COUNTIF($BC$6:BU900, "&gt;-1")</f>
        <v>0.24739782416936196</v>
      </c>
      <c r="BY900" s="18">
        <f>SUM($BC$6:BU900) / $BY$4</f>
        <v>0.9293147442112748</v>
      </c>
      <c r="BZ900" s="14">
        <f t="shared" si="56"/>
        <v>9</v>
      </c>
      <c r="CA900" t="s">
        <v>5832</v>
      </c>
      <c r="CZ900" t="s">
        <v>8419</v>
      </c>
      <c r="DA900" t="s">
        <v>5904</v>
      </c>
      <c r="DB900">
        <v>740.3</v>
      </c>
      <c r="DC900" t="s">
        <v>21619</v>
      </c>
      <c r="DD900" t="s">
        <v>16876</v>
      </c>
      <c r="DE900" t="s">
        <v>21620</v>
      </c>
      <c r="DF900" t="s">
        <v>21621</v>
      </c>
      <c r="DG900" t="s">
        <v>21622</v>
      </c>
      <c r="DH900" t="str">
        <f>"GNAI2"</f>
        <v>GNAI2</v>
      </c>
      <c r="DI900" t="s">
        <v>21623</v>
      </c>
      <c r="DJ900" t="s">
        <v>13777</v>
      </c>
      <c r="DK900">
        <v>9606</v>
      </c>
      <c r="DL900" s="34" t="str">
        <f>HYPERLINK("http://www.uniprot.org/uniprot/P04899", "P04899")</f>
        <v>P04899</v>
      </c>
      <c r="DM900" t="s">
        <v>21624</v>
      </c>
      <c r="DN900" t="s">
        <v>21625</v>
      </c>
      <c r="DO900" t="s">
        <v>17663</v>
      </c>
      <c r="DP900" t="s">
        <v>13841</v>
      </c>
      <c r="DQ900" t="s">
        <v>13772</v>
      </c>
      <c r="DR900" t="s">
        <v>13772</v>
      </c>
      <c r="DS900" t="s">
        <v>13772</v>
      </c>
      <c r="DT900" t="s">
        <v>16882</v>
      </c>
      <c r="DU900" t="s">
        <v>16883</v>
      </c>
      <c r="DV900" t="s">
        <v>16884</v>
      </c>
      <c r="DW900" t="s">
        <v>13812</v>
      </c>
      <c r="DX900" t="s">
        <v>21626</v>
      </c>
      <c r="DY900" t="s">
        <v>21627</v>
      </c>
      <c r="DZ900" t="s">
        <v>21628</v>
      </c>
      <c r="EA900" t="s">
        <v>13772</v>
      </c>
      <c r="EB900" t="s">
        <v>16888</v>
      </c>
    </row>
    <row r="901" spans="1:132" hidden="1">
      <c r="A901">
        <v>111</v>
      </c>
      <c r="B901">
        <v>1</v>
      </c>
      <c r="C901" t="s">
        <v>291</v>
      </c>
      <c r="D901" t="s">
        <v>73</v>
      </c>
      <c r="E901" t="s">
        <v>73</v>
      </c>
      <c r="F901" t="s">
        <v>73</v>
      </c>
      <c r="G901" t="s">
        <v>73</v>
      </c>
      <c r="H901">
        <v>25.8</v>
      </c>
      <c r="I901">
        <v>302</v>
      </c>
      <c r="J901">
        <v>34256</v>
      </c>
      <c r="K901" t="s">
        <v>292</v>
      </c>
      <c r="L901">
        <f t="shared" si="54"/>
        <v>30</v>
      </c>
      <c r="N901">
        <v>30</v>
      </c>
      <c r="O901">
        <v>27</v>
      </c>
      <c r="P901">
        <v>0.9</v>
      </c>
      <c r="Q901">
        <v>4</v>
      </c>
      <c r="R901">
        <v>1</v>
      </c>
      <c r="S901">
        <v>1</v>
      </c>
      <c r="T901">
        <v>1</v>
      </c>
      <c r="U901">
        <v>1</v>
      </c>
      <c r="V901">
        <v>5</v>
      </c>
      <c r="W901">
        <v>4</v>
      </c>
      <c r="X901">
        <v>1</v>
      </c>
      <c r="Y901">
        <v>2</v>
      </c>
      <c r="Z901">
        <v>0</v>
      </c>
      <c r="AA901">
        <v>3</v>
      </c>
      <c r="AB901">
        <v>1</v>
      </c>
      <c r="AC901">
        <v>1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3</v>
      </c>
      <c r="AK901">
        <v>1</v>
      </c>
      <c r="AL901">
        <v>1</v>
      </c>
      <c r="AM901">
        <v>1</v>
      </c>
      <c r="AN901">
        <v>1</v>
      </c>
      <c r="AO901">
        <v>5</v>
      </c>
      <c r="AP901">
        <v>2</v>
      </c>
      <c r="AQ901">
        <v>1</v>
      </c>
      <c r="AR901">
        <v>2</v>
      </c>
      <c r="AS901">
        <v>0</v>
      </c>
      <c r="AT901">
        <v>3</v>
      </c>
      <c r="AU901">
        <v>1</v>
      </c>
      <c r="AV901">
        <v>1</v>
      </c>
      <c r="AW901">
        <v>0</v>
      </c>
      <c r="AX901">
        <v>1</v>
      </c>
      <c r="AY901">
        <v>1</v>
      </c>
      <c r="AZ901">
        <v>1</v>
      </c>
      <c r="BA901">
        <v>1</v>
      </c>
      <c r="BB901">
        <v>1</v>
      </c>
      <c r="BC901" s="2">
        <v>4</v>
      </c>
      <c r="BD901" s="2">
        <v>1</v>
      </c>
      <c r="BE901" s="2">
        <v>1</v>
      </c>
      <c r="BF901" s="2">
        <v>1</v>
      </c>
      <c r="BG901" s="2">
        <v>1</v>
      </c>
      <c r="BH901" s="2">
        <v>5</v>
      </c>
      <c r="BI901" s="2">
        <v>4</v>
      </c>
      <c r="BJ901" s="2">
        <v>1</v>
      </c>
      <c r="BK901" s="2">
        <v>2</v>
      </c>
      <c r="BL901" s="2">
        <v>0</v>
      </c>
      <c r="BM901" s="2">
        <v>3</v>
      </c>
      <c r="BN901" s="2">
        <v>1</v>
      </c>
      <c r="BO901" s="2">
        <v>1</v>
      </c>
      <c r="BP901" s="2">
        <v>0</v>
      </c>
      <c r="BQ901" s="2">
        <v>1</v>
      </c>
      <c r="BR901" s="2">
        <v>1</v>
      </c>
      <c r="BS901" s="2">
        <v>1</v>
      </c>
      <c r="BT901" s="2">
        <v>1</v>
      </c>
      <c r="BU901" s="2">
        <v>1</v>
      </c>
      <c r="BV901" s="2">
        <f t="shared" si="57"/>
        <v>30</v>
      </c>
      <c r="BW901" s="16">
        <f t="shared" si="55"/>
        <v>1.5789473684210527</v>
      </c>
      <c r="BX901" s="16">
        <f>COUNTIF($BC$6:BU901, "=0") / COUNTIF($BC$6:BU901, "&gt;-1")</f>
        <v>0.24723919172932332</v>
      </c>
      <c r="BY901" s="18">
        <f>SUM($BC$6:BU901) / $BY$4</f>
        <v>0.92944325331733579</v>
      </c>
      <c r="BZ901" s="14">
        <f t="shared" si="56"/>
        <v>2</v>
      </c>
      <c r="CA901" t="s">
        <v>5832</v>
      </c>
      <c r="CZ901" t="s">
        <v>6075</v>
      </c>
      <c r="DA901" t="s">
        <v>5904</v>
      </c>
      <c r="DB901">
        <v>418.3</v>
      </c>
      <c r="DC901" t="s">
        <v>14409</v>
      </c>
      <c r="DD901" t="s">
        <v>14410</v>
      </c>
      <c r="DE901" t="s">
        <v>14411</v>
      </c>
      <c r="DF901" t="s">
        <v>14412</v>
      </c>
      <c r="DG901" t="s">
        <v>14413</v>
      </c>
      <c r="DH901" t="str">
        <f>"ASGR2"</f>
        <v>ASGR2</v>
      </c>
      <c r="DI901" t="s">
        <v>14414</v>
      </c>
      <c r="DJ901" t="s">
        <v>13777</v>
      </c>
      <c r="DK901">
        <v>9606</v>
      </c>
      <c r="DL901" s="34" t="str">
        <f>HYPERLINK("http://www.uniprot.org/uniprot/P07307", "P07307")</f>
        <v>P07307</v>
      </c>
      <c r="DM901" t="s">
        <v>14415</v>
      </c>
      <c r="DN901" t="s">
        <v>14416</v>
      </c>
      <c r="DO901" t="s">
        <v>13825</v>
      </c>
      <c r="DP901" t="s">
        <v>13780</v>
      </c>
      <c r="DQ901" t="s">
        <v>13772</v>
      </c>
      <c r="DR901" t="s">
        <v>13772</v>
      </c>
      <c r="DS901" t="s">
        <v>14417</v>
      </c>
      <c r="DT901" t="s">
        <v>13827</v>
      </c>
      <c r="DU901" t="s">
        <v>13795</v>
      </c>
      <c r="DV901" t="s">
        <v>14418</v>
      </c>
      <c r="DW901" t="s">
        <v>13772</v>
      </c>
      <c r="DX901" t="s">
        <v>14419</v>
      </c>
      <c r="DY901" t="s">
        <v>14420</v>
      </c>
      <c r="DZ901" t="s">
        <v>14421</v>
      </c>
      <c r="EA901" t="s">
        <v>13772</v>
      </c>
      <c r="EB901" t="s">
        <v>14422</v>
      </c>
    </row>
    <row r="902" spans="1:132" hidden="1">
      <c r="A902">
        <v>240</v>
      </c>
      <c r="B902">
        <v>1</v>
      </c>
      <c r="C902" t="s">
        <v>612</v>
      </c>
      <c r="D902" t="s">
        <v>73</v>
      </c>
      <c r="E902" t="s">
        <v>73</v>
      </c>
      <c r="F902" t="s">
        <v>73</v>
      </c>
      <c r="G902" t="s">
        <v>73</v>
      </c>
      <c r="H902">
        <v>14.4</v>
      </c>
      <c r="I902">
        <v>877</v>
      </c>
      <c r="J902">
        <v>97078</v>
      </c>
      <c r="K902" t="s">
        <v>613</v>
      </c>
      <c r="L902">
        <f t="shared" ref="L902:L965" si="58">N902</f>
        <v>30</v>
      </c>
      <c r="N902">
        <v>30</v>
      </c>
      <c r="O902">
        <v>30</v>
      </c>
      <c r="P902">
        <v>1</v>
      </c>
      <c r="Q902">
        <v>2</v>
      </c>
      <c r="R902">
        <v>4</v>
      </c>
      <c r="S902">
        <v>3</v>
      </c>
      <c r="T902">
        <v>3</v>
      </c>
      <c r="U902">
        <v>5</v>
      </c>
      <c r="V902">
        <v>4</v>
      </c>
      <c r="W902">
        <v>3</v>
      </c>
      <c r="X902">
        <v>3</v>
      </c>
      <c r="Y902">
        <v>0</v>
      </c>
      <c r="Z902">
        <v>0</v>
      </c>
      <c r="AA902">
        <v>2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</v>
      </c>
      <c r="AK902">
        <v>4</v>
      </c>
      <c r="AL902">
        <v>3</v>
      </c>
      <c r="AM902">
        <v>3</v>
      </c>
      <c r="AN902">
        <v>5</v>
      </c>
      <c r="AO902">
        <v>4</v>
      </c>
      <c r="AP902">
        <v>3</v>
      </c>
      <c r="AQ902">
        <v>3</v>
      </c>
      <c r="AR902">
        <v>0</v>
      </c>
      <c r="AS902">
        <v>0</v>
      </c>
      <c r="AT902">
        <v>2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 s="2">
        <v>2</v>
      </c>
      <c r="BD902" s="2">
        <v>4</v>
      </c>
      <c r="BE902" s="2">
        <v>3</v>
      </c>
      <c r="BF902" s="2">
        <v>3</v>
      </c>
      <c r="BG902" s="2">
        <v>5</v>
      </c>
      <c r="BH902" s="2">
        <v>4</v>
      </c>
      <c r="BI902" s="2">
        <v>3</v>
      </c>
      <c r="BJ902" s="2">
        <v>3</v>
      </c>
      <c r="BK902" s="2">
        <v>0</v>
      </c>
      <c r="BL902" s="2">
        <v>0</v>
      </c>
      <c r="BM902" s="2">
        <v>2</v>
      </c>
      <c r="BN902" s="2">
        <v>0</v>
      </c>
      <c r="BO902" s="2">
        <v>1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f t="shared" si="57"/>
        <v>30</v>
      </c>
      <c r="BW902" s="16">
        <f t="shared" ref="BW902:BW965" si="59">AVERAGE(BC902:BU902)</f>
        <v>1.5789473684210527</v>
      </c>
      <c r="BX902" s="16">
        <f>COUNTIF($BC$6:BU902, "=0") / COUNTIF($BC$6:BU902, "&gt;-1")</f>
        <v>0.24749163879598662</v>
      </c>
      <c r="BY902" s="18">
        <f>SUM($BC$6:BU902) / $BY$4</f>
        <v>0.92957176242339679</v>
      </c>
      <c r="BZ902" s="14">
        <f t="shared" ref="BZ902:BZ965" si="60">19-COUNTIF(BC902:BU902, "&gt;0")</f>
        <v>9</v>
      </c>
      <c r="CA902" t="s">
        <v>5832</v>
      </c>
      <c r="CZ902" t="s">
        <v>6531</v>
      </c>
      <c r="DA902" t="s">
        <v>5904</v>
      </c>
      <c r="DB902">
        <v>1555.4</v>
      </c>
      <c r="DC902" t="s">
        <v>15911</v>
      </c>
      <c r="DD902" t="s">
        <v>15912</v>
      </c>
      <c r="DE902" t="s">
        <v>15913</v>
      </c>
      <c r="DF902" t="s">
        <v>15914</v>
      </c>
      <c r="DG902" t="s">
        <v>15915</v>
      </c>
      <c r="DH902" t="str">
        <f>"SORT1"</f>
        <v>SORT1</v>
      </c>
      <c r="DI902" t="s">
        <v>13772</v>
      </c>
      <c r="DJ902" t="s">
        <v>13777</v>
      </c>
      <c r="DK902">
        <v>9606</v>
      </c>
      <c r="DL902" s="34" t="str">
        <f>HYPERLINK("http://www.uniprot.org/uniprot/Q99523", "Q99523")</f>
        <v>Q99523</v>
      </c>
      <c r="DM902" t="s">
        <v>15916</v>
      </c>
      <c r="DN902" t="s">
        <v>15917</v>
      </c>
      <c r="DO902" t="s">
        <v>15918</v>
      </c>
      <c r="DP902" t="s">
        <v>13780</v>
      </c>
      <c r="DQ902" t="s">
        <v>13772</v>
      </c>
      <c r="DR902" t="s">
        <v>13772</v>
      </c>
      <c r="DS902" t="s">
        <v>13826</v>
      </c>
      <c r="DT902" t="s">
        <v>13772</v>
      </c>
      <c r="DU902" t="s">
        <v>15919</v>
      </c>
      <c r="DV902" t="s">
        <v>15920</v>
      </c>
      <c r="DW902" t="s">
        <v>13812</v>
      </c>
      <c r="DX902" t="s">
        <v>15921</v>
      </c>
      <c r="DY902" t="s">
        <v>15922</v>
      </c>
      <c r="DZ902" t="s">
        <v>15923</v>
      </c>
      <c r="EA902" t="s">
        <v>13772</v>
      </c>
      <c r="EB902" t="s">
        <v>15924</v>
      </c>
    </row>
    <row r="903" spans="1:132" hidden="1">
      <c r="A903">
        <v>499</v>
      </c>
      <c r="B903">
        <v>1</v>
      </c>
      <c r="C903" t="s">
        <v>1257</v>
      </c>
      <c r="D903" t="s">
        <v>1258</v>
      </c>
      <c r="E903" t="s">
        <v>73</v>
      </c>
      <c r="F903" t="s">
        <v>73</v>
      </c>
      <c r="G903" t="s">
        <v>73</v>
      </c>
      <c r="H903">
        <v>11.1</v>
      </c>
      <c r="I903">
        <v>530</v>
      </c>
      <c r="J903">
        <v>59399</v>
      </c>
      <c r="K903" t="s">
        <v>1259</v>
      </c>
      <c r="L903">
        <f t="shared" si="58"/>
        <v>30</v>
      </c>
      <c r="N903">
        <v>30</v>
      </c>
      <c r="O903">
        <v>30</v>
      </c>
      <c r="P903">
        <v>1</v>
      </c>
      <c r="Q903">
        <v>3</v>
      </c>
      <c r="R903">
        <v>2</v>
      </c>
      <c r="S903">
        <v>1</v>
      </c>
      <c r="T903">
        <v>1</v>
      </c>
      <c r="U903">
        <v>0</v>
      </c>
      <c r="V903">
        <v>3</v>
      </c>
      <c r="W903">
        <v>6</v>
      </c>
      <c r="X903">
        <v>3</v>
      </c>
      <c r="Y903">
        <v>0</v>
      </c>
      <c r="Z903">
        <v>0</v>
      </c>
      <c r="AA903">
        <v>2</v>
      </c>
      <c r="AB903">
        <v>2</v>
      </c>
      <c r="AC903">
        <v>2</v>
      </c>
      <c r="AD903">
        <v>0</v>
      </c>
      <c r="AE903">
        <v>1</v>
      </c>
      <c r="AF903">
        <v>2</v>
      </c>
      <c r="AG903">
        <v>1</v>
      </c>
      <c r="AH903">
        <v>0</v>
      </c>
      <c r="AI903">
        <v>1</v>
      </c>
      <c r="AJ903">
        <v>3</v>
      </c>
      <c r="AK903">
        <v>2</v>
      </c>
      <c r="AL903">
        <v>1</v>
      </c>
      <c r="AM903">
        <v>1</v>
      </c>
      <c r="AN903">
        <v>0</v>
      </c>
      <c r="AO903">
        <v>3</v>
      </c>
      <c r="AP903">
        <v>6</v>
      </c>
      <c r="AQ903">
        <v>3</v>
      </c>
      <c r="AR903">
        <v>0</v>
      </c>
      <c r="AS903">
        <v>0</v>
      </c>
      <c r="AT903">
        <v>2</v>
      </c>
      <c r="AU903">
        <v>2</v>
      </c>
      <c r="AV903">
        <v>2</v>
      </c>
      <c r="AW903">
        <v>0</v>
      </c>
      <c r="AX903">
        <v>1</v>
      </c>
      <c r="AY903">
        <v>2</v>
      </c>
      <c r="AZ903">
        <v>1</v>
      </c>
      <c r="BA903">
        <v>0</v>
      </c>
      <c r="BB903">
        <v>1</v>
      </c>
      <c r="BC903" s="2">
        <v>3</v>
      </c>
      <c r="BD903" s="2">
        <v>2</v>
      </c>
      <c r="BE903" s="2">
        <v>1</v>
      </c>
      <c r="BF903" s="2">
        <v>1</v>
      </c>
      <c r="BG903" s="2">
        <v>0</v>
      </c>
      <c r="BH903" s="2">
        <v>3</v>
      </c>
      <c r="BI903" s="2">
        <v>6</v>
      </c>
      <c r="BJ903" s="2">
        <v>3</v>
      </c>
      <c r="BK903" s="2">
        <v>0</v>
      </c>
      <c r="BL903" s="2">
        <v>0</v>
      </c>
      <c r="BM903" s="2">
        <v>2</v>
      </c>
      <c r="BN903" s="2">
        <v>2</v>
      </c>
      <c r="BO903" s="2">
        <v>2</v>
      </c>
      <c r="BP903" s="2">
        <v>0</v>
      </c>
      <c r="BQ903" s="2">
        <v>1</v>
      </c>
      <c r="BR903" s="2">
        <v>2</v>
      </c>
      <c r="BS903" s="2">
        <v>1</v>
      </c>
      <c r="BT903" s="2">
        <v>0</v>
      </c>
      <c r="BU903" s="2">
        <v>1</v>
      </c>
      <c r="BV903" s="2">
        <f t="shared" ref="BV903:BV966" si="61">SUM(BC903:BU903)</f>
        <v>30</v>
      </c>
      <c r="BW903" s="16">
        <f t="shared" si="59"/>
        <v>1.5789473684210527</v>
      </c>
      <c r="BX903" s="16">
        <f>COUNTIF($BC$6:BU903, "=0") / COUNTIF($BC$6:BU903, "&gt;-1")</f>
        <v>0.24750908451529716</v>
      </c>
      <c r="BY903" s="18">
        <f>SUM($BC$6:BU903) / $BY$4</f>
        <v>0.92970027152945778</v>
      </c>
      <c r="BZ903" s="14">
        <f t="shared" si="60"/>
        <v>5</v>
      </c>
      <c r="CA903" t="s">
        <v>5832</v>
      </c>
      <c r="CZ903" t="s">
        <v>7441</v>
      </c>
      <c r="DA903" t="s">
        <v>5904</v>
      </c>
      <c r="DB903">
        <v>1048.0999999999999</v>
      </c>
      <c r="DC903" t="s">
        <v>18691</v>
      </c>
      <c r="DD903" t="s">
        <v>18692</v>
      </c>
      <c r="DE903" t="s">
        <v>18693</v>
      </c>
      <c r="DF903" t="s">
        <v>18694</v>
      </c>
      <c r="DG903" t="s">
        <v>18695</v>
      </c>
      <c r="DH903" t="str">
        <f>"FZD4"</f>
        <v>FZD4</v>
      </c>
      <c r="DI903" t="s">
        <v>13772</v>
      </c>
      <c r="DJ903" t="s">
        <v>13777</v>
      </c>
      <c r="DK903">
        <v>9606</v>
      </c>
      <c r="DL903" s="34" t="str">
        <f>HYPERLINK("http://www.uniprot.org/uniprot/Q9ULV1", "Q9ULV1")</f>
        <v>Q9ULV1</v>
      </c>
      <c r="DM903" t="s">
        <v>18696</v>
      </c>
      <c r="DN903" t="s">
        <v>14072</v>
      </c>
      <c r="DO903" t="s">
        <v>13792</v>
      </c>
      <c r="DP903" t="s">
        <v>13793</v>
      </c>
      <c r="DQ903" t="s">
        <v>13772</v>
      </c>
      <c r="DR903" t="s">
        <v>13807</v>
      </c>
      <c r="DS903" t="s">
        <v>13855</v>
      </c>
      <c r="DT903" t="s">
        <v>13772</v>
      </c>
      <c r="DU903" t="s">
        <v>14639</v>
      </c>
      <c r="DV903" t="s">
        <v>18697</v>
      </c>
      <c r="DW903" t="s">
        <v>13812</v>
      </c>
      <c r="DX903" t="s">
        <v>18698</v>
      </c>
      <c r="DY903" t="s">
        <v>18699</v>
      </c>
      <c r="DZ903" t="s">
        <v>18700</v>
      </c>
      <c r="EA903" t="s">
        <v>13772</v>
      </c>
      <c r="EB903" t="s">
        <v>18701</v>
      </c>
    </row>
    <row r="904" spans="1:132" hidden="1">
      <c r="A904">
        <v>599</v>
      </c>
      <c r="B904">
        <v>1</v>
      </c>
      <c r="C904" t="s">
        <v>1484</v>
      </c>
      <c r="D904" t="s">
        <v>73</v>
      </c>
      <c r="E904" t="s">
        <v>73</v>
      </c>
      <c r="F904" t="s">
        <v>73</v>
      </c>
      <c r="G904" t="s">
        <v>73</v>
      </c>
      <c r="H904">
        <v>13.7</v>
      </c>
      <c r="I904">
        <v>372</v>
      </c>
      <c r="J904">
        <v>41699</v>
      </c>
      <c r="K904" t="s">
        <v>1485</v>
      </c>
      <c r="L904">
        <f t="shared" si="58"/>
        <v>30</v>
      </c>
      <c r="N904">
        <v>30</v>
      </c>
      <c r="O904">
        <v>30</v>
      </c>
      <c r="P904">
        <v>1</v>
      </c>
      <c r="Q904">
        <v>1</v>
      </c>
      <c r="R904">
        <v>2</v>
      </c>
      <c r="S904">
        <v>0</v>
      </c>
      <c r="T904">
        <v>0</v>
      </c>
      <c r="U904">
        <v>6</v>
      </c>
      <c r="V904">
        <v>6</v>
      </c>
      <c r="W904">
        <v>7</v>
      </c>
      <c r="X904">
        <v>4</v>
      </c>
      <c r="Y904">
        <v>0</v>
      </c>
      <c r="Z904">
        <v>0</v>
      </c>
      <c r="AA904">
        <v>2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2</v>
      </c>
      <c r="AL904">
        <v>0</v>
      </c>
      <c r="AM904">
        <v>0</v>
      </c>
      <c r="AN904">
        <v>6</v>
      </c>
      <c r="AO904">
        <v>6</v>
      </c>
      <c r="AP904">
        <v>7</v>
      </c>
      <c r="AQ904">
        <v>4</v>
      </c>
      <c r="AR904">
        <v>0</v>
      </c>
      <c r="AS904">
        <v>0</v>
      </c>
      <c r="AT904">
        <v>2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 s="2">
        <v>1</v>
      </c>
      <c r="BD904" s="2">
        <v>2</v>
      </c>
      <c r="BE904" s="2">
        <v>0</v>
      </c>
      <c r="BF904" s="2">
        <v>0</v>
      </c>
      <c r="BG904" s="2">
        <v>6</v>
      </c>
      <c r="BH904" s="2">
        <v>6</v>
      </c>
      <c r="BI904" s="2">
        <v>7</v>
      </c>
      <c r="BJ904" s="2">
        <v>4</v>
      </c>
      <c r="BK904" s="2">
        <v>0</v>
      </c>
      <c r="BL904" s="2">
        <v>0</v>
      </c>
      <c r="BM904" s="2">
        <v>2</v>
      </c>
      <c r="BN904" s="2">
        <v>1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1</v>
      </c>
      <c r="BV904" s="2">
        <f t="shared" si="61"/>
        <v>30</v>
      </c>
      <c r="BW904" s="16">
        <f t="shared" si="59"/>
        <v>1.5789473684210527</v>
      </c>
      <c r="BX904" s="16">
        <f>COUNTIF($BC$6:BU904, "=0") / COUNTIF($BC$6:BU904, "&gt;-1")</f>
        <v>0.24781921433171361</v>
      </c>
      <c r="BY904" s="18">
        <f>SUM($BC$6:BU904) / $BY$4</f>
        <v>0.92982878063551877</v>
      </c>
      <c r="BZ904" s="14">
        <f t="shared" si="60"/>
        <v>10</v>
      </c>
      <c r="CA904" t="s">
        <v>5832</v>
      </c>
      <c r="CZ904" t="s">
        <v>7768</v>
      </c>
      <c r="DA904" t="s">
        <v>5904</v>
      </c>
      <c r="DB904">
        <v>578.9</v>
      </c>
      <c r="DC904" t="s">
        <v>19693</v>
      </c>
      <c r="DD904" t="s">
        <v>13772</v>
      </c>
      <c r="DE904" t="s">
        <v>19694</v>
      </c>
      <c r="DF904" t="s">
        <v>19695</v>
      </c>
      <c r="DG904" t="s">
        <v>19696</v>
      </c>
      <c r="DH904" t="str">
        <f>"LAYN"</f>
        <v>LAYN</v>
      </c>
      <c r="DI904" t="s">
        <v>13772</v>
      </c>
      <c r="DJ904" t="s">
        <v>13777</v>
      </c>
      <c r="DK904">
        <v>9606</v>
      </c>
      <c r="DL904" s="34" t="str">
        <f>HYPERLINK("http://www.uniprot.org/uniprot/Q6UX15", "Q6UX15")</f>
        <v>Q6UX15</v>
      </c>
      <c r="DM904" t="s">
        <v>19697</v>
      </c>
      <c r="DN904" t="s">
        <v>13772</v>
      </c>
      <c r="DO904" t="s">
        <v>13825</v>
      </c>
      <c r="DP904" t="s">
        <v>13780</v>
      </c>
      <c r="DQ904" t="s">
        <v>13772</v>
      </c>
      <c r="DR904" t="s">
        <v>13772</v>
      </c>
      <c r="DS904" t="s">
        <v>13826</v>
      </c>
      <c r="DT904" t="s">
        <v>14277</v>
      </c>
      <c r="DU904" t="s">
        <v>13772</v>
      </c>
      <c r="DV904" t="s">
        <v>13964</v>
      </c>
      <c r="DW904" t="s">
        <v>13772</v>
      </c>
      <c r="DX904" t="s">
        <v>13772</v>
      </c>
      <c r="DY904" t="s">
        <v>19698</v>
      </c>
      <c r="DZ904" t="s">
        <v>19699</v>
      </c>
      <c r="EA904" t="s">
        <v>13772</v>
      </c>
      <c r="EB904" t="s">
        <v>13772</v>
      </c>
    </row>
    <row r="905" spans="1:132" hidden="1">
      <c r="A905">
        <v>830</v>
      </c>
      <c r="B905">
        <v>1</v>
      </c>
      <c r="C905" t="s">
        <v>2032</v>
      </c>
      <c r="D905" t="s">
        <v>2033</v>
      </c>
      <c r="E905" t="s">
        <v>73</v>
      </c>
      <c r="F905" t="s">
        <v>73</v>
      </c>
      <c r="G905" t="s">
        <v>73</v>
      </c>
      <c r="H905">
        <v>8.4</v>
      </c>
      <c r="I905">
        <v>778</v>
      </c>
      <c r="J905">
        <v>87521</v>
      </c>
      <c r="K905" t="s">
        <v>2034</v>
      </c>
      <c r="L905">
        <f t="shared" si="58"/>
        <v>30</v>
      </c>
      <c r="N905">
        <v>30</v>
      </c>
      <c r="O905">
        <v>30</v>
      </c>
      <c r="P905">
        <v>1</v>
      </c>
      <c r="Q905">
        <v>1</v>
      </c>
      <c r="R905">
        <v>4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3</v>
      </c>
      <c r="Z905">
        <v>1</v>
      </c>
      <c r="AA905">
        <v>1</v>
      </c>
      <c r="AB905">
        <v>2</v>
      </c>
      <c r="AC905">
        <v>3</v>
      </c>
      <c r="AD905">
        <v>7</v>
      </c>
      <c r="AE905">
        <v>0</v>
      </c>
      <c r="AF905">
        <v>0</v>
      </c>
      <c r="AG905">
        <v>2</v>
      </c>
      <c r="AH905">
        <v>0</v>
      </c>
      <c r="AI905">
        <v>5</v>
      </c>
      <c r="AJ905">
        <v>1</v>
      </c>
      <c r="AK905">
        <v>4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3</v>
      </c>
      <c r="AS905">
        <v>1</v>
      </c>
      <c r="AT905">
        <v>1</v>
      </c>
      <c r="AU905">
        <v>2</v>
      </c>
      <c r="AV905">
        <v>3</v>
      </c>
      <c r="AW905">
        <v>7</v>
      </c>
      <c r="AX905">
        <v>0</v>
      </c>
      <c r="AY905">
        <v>0</v>
      </c>
      <c r="AZ905">
        <v>2</v>
      </c>
      <c r="BA905">
        <v>0</v>
      </c>
      <c r="BB905">
        <v>5</v>
      </c>
      <c r="BC905" s="2">
        <v>1</v>
      </c>
      <c r="BD905" s="2">
        <v>4</v>
      </c>
      <c r="BE905" s="2">
        <v>0</v>
      </c>
      <c r="BF905" s="2">
        <v>0</v>
      </c>
      <c r="BG905" s="2">
        <v>1</v>
      </c>
      <c r="BH905" s="2">
        <v>0</v>
      </c>
      <c r="BI905" s="2">
        <v>0</v>
      </c>
      <c r="BJ905" s="2">
        <v>0</v>
      </c>
      <c r="BK905" s="2">
        <v>3</v>
      </c>
      <c r="BL905" s="2">
        <v>1</v>
      </c>
      <c r="BM905" s="2">
        <v>1</v>
      </c>
      <c r="BN905" s="2">
        <v>2</v>
      </c>
      <c r="BO905" s="2">
        <v>3</v>
      </c>
      <c r="BP905" s="2">
        <v>7</v>
      </c>
      <c r="BQ905" s="2">
        <v>0</v>
      </c>
      <c r="BR905" s="2">
        <v>0</v>
      </c>
      <c r="BS905" s="2">
        <v>2</v>
      </c>
      <c r="BT905" s="2">
        <v>0</v>
      </c>
      <c r="BU905" s="2">
        <v>5</v>
      </c>
      <c r="BV905" s="2">
        <f t="shared" si="61"/>
        <v>30</v>
      </c>
      <c r="BW905" s="16">
        <f t="shared" si="59"/>
        <v>1.5789473684210527</v>
      </c>
      <c r="BX905" s="16">
        <f>COUNTIF($BC$6:BU905, "=0") / COUNTIF($BC$6:BU905, "&gt;-1")</f>
        <v>0.24801169590643274</v>
      </c>
      <c r="BY905" s="18">
        <f>SUM($BC$6:BU905) / $BY$4</f>
        <v>0.92995728974157987</v>
      </c>
      <c r="BZ905" s="14">
        <f t="shared" si="60"/>
        <v>8</v>
      </c>
      <c r="CA905" t="s">
        <v>5832</v>
      </c>
      <c r="CZ905" t="s">
        <v>8542</v>
      </c>
      <c r="DA905" t="s">
        <v>5904</v>
      </c>
      <c r="DB905">
        <v>739.2</v>
      </c>
      <c r="DC905" t="s">
        <v>21975</v>
      </c>
      <c r="DD905" t="s">
        <v>21976</v>
      </c>
      <c r="DE905" t="s">
        <v>21977</v>
      </c>
      <c r="DF905" t="s">
        <v>21978</v>
      </c>
      <c r="DG905" t="s">
        <v>21979</v>
      </c>
      <c r="DH905" t="str">
        <f>"HYAL1"</f>
        <v>HYAL1</v>
      </c>
      <c r="DI905" t="s">
        <v>21980</v>
      </c>
      <c r="DJ905" t="s">
        <v>13777</v>
      </c>
      <c r="DK905">
        <v>9606</v>
      </c>
      <c r="DL905" s="34" t="str">
        <f>HYPERLINK("http://www.uniprot.org/uniprot/Q12794", "Q12794")</f>
        <v>Q12794</v>
      </c>
      <c r="DM905" t="s">
        <v>21981</v>
      </c>
      <c r="DN905" t="s">
        <v>13772</v>
      </c>
      <c r="DO905" t="s">
        <v>14402</v>
      </c>
      <c r="DP905" t="s">
        <v>13841</v>
      </c>
      <c r="DQ905" t="s">
        <v>13772</v>
      </c>
      <c r="DR905" t="s">
        <v>21982</v>
      </c>
      <c r="DS905" t="s">
        <v>21983</v>
      </c>
      <c r="DT905" t="s">
        <v>13772</v>
      </c>
      <c r="DU905" t="s">
        <v>15471</v>
      </c>
      <c r="DV905" t="s">
        <v>13796</v>
      </c>
      <c r="DW905" t="s">
        <v>13812</v>
      </c>
      <c r="DX905" t="s">
        <v>21984</v>
      </c>
      <c r="DY905" t="s">
        <v>21985</v>
      </c>
      <c r="DZ905" t="s">
        <v>21986</v>
      </c>
      <c r="EA905" t="s">
        <v>13772</v>
      </c>
      <c r="EB905" t="s">
        <v>21987</v>
      </c>
    </row>
    <row r="906" spans="1:132" hidden="1">
      <c r="A906">
        <v>980</v>
      </c>
      <c r="B906">
        <v>1</v>
      </c>
      <c r="C906" t="s">
        <v>2379</v>
      </c>
      <c r="D906" t="s">
        <v>73</v>
      </c>
      <c r="E906" t="s">
        <v>73</v>
      </c>
      <c r="F906" t="s">
        <v>73</v>
      </c>
      <c r="G906" t="s">
        <v>73</v>
      </c>
      <c r="H906">
        <v>17</v>
      </c>
      <c r="I906">
        <v>347</v>
      </c>
      <c r="J906">
        <v>38127</v>
      </c>
      <c r="K906" t="s">
        <v>2380</v>
      </c>
      <c r="L906">
        <f t="shared" si="58"/>
        <v>30</v>
      </c>
      <c r="N906">
        <v>30</v>
      </c>
      <c r="O906">
        <v>30</v>
      </c>
      <c r="P906">
        <v>1</v>
      </c>
      <c r="Q906">
        <v>3</v>
      </c>
      <c r="R906">
        <v>3</v>
      </c>
      <c r="S906">
        <v>0</v>
      </c>
      <c r="T906">
        <v>4</v>
      </c>
      <c r="U906">
        <v>4</v>
      </c>
      <c r="V906">
        <v>5</v>
      </c>
      <c r="W906">
        <v>5</v>
      </c>
      <c r="X906">
        <v>3</v>
      </c>
      <c r="Y906">
        <v>0</v>
      </c>
      <c r="Z906">
        <v>0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3</v>
      </c>
      <c r="AK906">
        <v>3</v>
      </c>
      <c r="AL906">
        <v>0</v>
      </c>
      <c r="AM906">
        <v>4</v>
      </c>
      <c r="AN906">
        <v>4</v>
      </c>
      <c r="AO906">
        <v>5</v>
      </c>
      <c r="AP906">
        <v>5</v>
      </c>
      <c r="AQ906">
        <v>3</v>
      </c>
      <c r="AR906">
        <v>0</v>
      </c>
      <c r="AS906">
        <v>0</v>
      </c>
      <c r="AT906">
        <v>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 s="2">
        <v>3</v>
      </c>
      <c r="BD906" s="2">
        <v>3</v>
      </c>
      <c r="BE906" s="2">
        <v>0</v>
      </c>
      <c r="BF906" s="2">
        <v>4</v>
      </c>
      <c r="BG906" s="2">
        <v>4</v>
      </c>
      <c r="BH906" s="2">
        <v>5</v>
      </c>
      <c r="BI906" s="2">
        <v>5</v>
      </c>
      <c r="BJ906" s="2">
        <v>3</v>
      </c>
      <c r="BK906" s="2">
        <v>0</v>
      </c>
      <c r="BL906" s="2">
        <v>0</v>
      </c>
      <c r="BM906" s="2">
        <v>2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1</v>
      </c>
      <c r="BV906" s="2">
        <f t="shared" si="61"/>
        <v>30</v>
      </c>
      <c r="BW906" s="16">
        <f t="shared" si="59"/>
        <v>1.5789473684210527</v>
      </c>
      <c r="BX906" s="16">
        <f>COUNTIF($BC$6:BU906, "=0") / COUNTIF($BC$6:BU906, "&gt;-1")</f>
        <v>0.24832057947310007</v>
      </c>
      <c r="BY906" s="18">
        <f>SUM($BC$6:BU906) / $BY$4</f>
        <v>0.93008579884764087</v>
      </c>
      <c r="BZ906" s="14">
        <f t="shared" si="60"/>
        <v>10</v>
      </c>
      <c r="CA906" t="s">
        <v>5832</v>
      </c>
      <c r="CZ906" t="s">
        <v>9054</v>
      </c>
      <c r="DA906" t="s">
        <v>5904</v>
      </c>
      <c r="DB906">
        <v>637.9</v>
      </c>
      <c r="DC906" t="s">
        <v>23442</v>
      </c>
      <c r="DD906" t="s">
        <v>13772</v>
      </c>
      <c r="DE906" t="s">
        <v>23443</v>
      </c>
      <c r="DF906" t="s">
        <v>23444</v>
      </c>
      <c r="DG906" t="s">
        <v>23445</v>
      </c>
      <c r="DH906" t="str">
        <f>"NHLRC3"</f>
        <v>NHLRC3</v>
      </c>
      <c r="DI906" t="s">
        <v>13772</v>
      </c>
      <c r="DJ906" t="s">
        <v>13777</v>
      </c>
      <c r="DK906">
        <v>9606</v>
      </c>
      <c r="DL906" s="34" t="str">
        <f>HYPERLINK("http://www.uniprot.org/uniprot/Q5JS37", "Q5JS37")</f>
        <v>Q5JS37</v>
      </c>
      <c r="DM906" t="s">
        <v>23446</v>
      </c>
      <c r="DN906" t="s">
        <v>13772</v>
      </c>
      <c r="DO906" t="s">
        <v>14321</v>
      </c>
      <c r="DP906" t="s">
        <v>13780</v>
      </c>
      <c r="DQ906" t="s">
        <v>13772</v>
      </c>
      <c r="DR906" t="s">
        <v>13772</v>
      </c>
      <c r="DS906" t="s">
        <v>14404</v>
      </c>
      <c r="DT906" t="s">
        <v>13772</v>
      </c>
      <c r="DU906" t="s">
        <v>13772</v>
      </c>
      <c r="DV906" t="s">
        <v>13858</v>
      </c>
      <c r="DW906" t="s">
        <v>13772</v>
      </c>
      <c r="DX906" t="s">
        <v>23447</v>
      </c>
      <c r="DY906" t="s">
        <v>23448</v>
      </c>
      <c r="DZ906" t="s">
        <v>23449</v>
      </c>
      <c r="EA906" t="s">
        <v>13772</v>
      </c>
      <c r="EB906" t="s">
        <v>13890</v>
      </c>
    </row>
    <row r="907" spans="1:132" hidden="1">
      <c r="A907">
        <v>1148</v>
      </c>
      <c r="B907">
        <v>1</v>
      </c>
      <c r="C907" t="s">
        <v>2762</v>
      </c>
      <c r="D907" t="s">
        <v>2763</v>
      </c>
      <c r="E907" t="s">
        <v>73</v>
      </c>
      <c r="F907" t="s">
        <v>73</v>
      </c>
      <c r="G907" t="s">
        <v>73</v>
      </c>
      <c r="H907">
        <v>20.7</v>
      </c>
      <c r="I907">
        <v>411</v>
      </c>
      <c r="J907">
        <v>46501</v>
      </c>
      <c r="K907" t="s">
        <v>2764</v>
      </c>
      <c r="L907">
        <f t="shared" si="58"/>
        <v>30</v>
      </c>
      <c r="N907">
        <v>30</v>
      </c>
      <c r="O907">
        <v>30</v>
      </c>
      <c r="P907">
        <v>1</v>
      </c>
      <c r="Q907">
        <v>1</v>
      </c>
      <c r="R907">
        <v>3</v>
      </c>
      <c r="S907">
        <v>1</v>
      </c>
      <c r="T907">
        <v>6</v>
      </c>
      <c r="U907">
        <v>1</v>
      </c>
      <c r="V907">
        <v>1</v>
      </c>
      <c r="W907">
        <v>6</v>
      </c>
      <c r="X907">
        <v>4</v>
      </c>
      <c r="Y907">
        <v>0</v>
      </c>
      <c r="Z907">
        <v>0</v>
      </c>
      <c r="AA907">
        <v>2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1</v>
      </c>
      <c r="AJ907">
        <v>1</v>
      </c>
      <c r="AK907">
        <v>3</v>
      </c>
      <c r="AL907">
        <v>1</v>
      </c>
      <c r="AM907">
        <v>6</v>
      </c>
      <c r="AN907">
        <v>1</v>
      </c>
      <c r="AO907">
        <v>1</v>
      </c>
      <c r="AP907">
        <v>6</v>
      </c>
      <c r="AQ907">
        <v>4</v>
      </c>
      <c r="AR907">
        <v>0</v>
      </c>
      <c r="AS907">
        <v>0</v>
      </c>
      <c r="AT907">
        <v>2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2</v>
      </c>
      <c r="BA907">
        <v>0</v>
      </c>
      <c r="BB907">
        <v>1</v>
      </c>
      <c r="BC907" s="2">
        <v>1</v>
      </c>
      <c r="BD907" s="2">
        <v>3</v>
      </c>
      <c r="BE907" s="2">
        <v>1</v>
      </c>
      <c r="BF907" s="2">
        <v>6</v>
      </c>
      <c r="BG907" s="2">
        <v>1</v>
      </c>
      <c r="BH907" s="2">
        <v>1</v>
      </c>
      <c r="BI907" s="2">
        <v>6</v>
      </c>
      <c r="BJ907" s="2">
        <v>4</v>
      </c>
      <c r="BK907" s="2">
        <v>0</v>
      </c>
      <c r="BL907" s="2">
        <v>0</v>
      </c>
      <c r="BM907" s="2">
        <v>2</v>
      </c>
      <c r="BN907" s="2">
        <v>1</v>
      </c>
      <c r="BO907" s="2">
        <v>1</v>
      </c>
      <c r="BP907" s="2">
        <v>0</v>
      </c>
      <c r="BQ907" s="2">
        <v>0</v>
      </c>
      <c r="BR907" s="2">
        <v>0</v>
      </c>
      <c r="BS907" s="2">
        <v>2</v>
      </c>
      <c r="BT907" s="2">
        <v>0</v>
      </c>
      <c r="BU907" s="2">
        <v>1</v>
      </c>
      <c r="BV907" s="2">
        <f t="shared" si="61"/>
        <v>30</v>
      </c>
      <c r="BW907" s="16">
        <f t="shared" si="59"/>
        <v>1.5789473684210527</v>
      </c>
      <c r="BX907" s="16">
        <f>COUNTIF($BC$6:BU907, "=0") / COUNTIF($BC$6:BU907, "&gt;-1")</f>
        <v>0.248395378690629</v>
      </c>
      <c r="BY907" s="18">
        <f>SUM($BC$6:BU907) / $BY$4</f>
        <v>0.93021430795370186</v>
      </c>
      <c r="BZ907" s="14">
        <f t="shared" si="60"/>
        <v>6</v>
      </c>
      <c r="CA907" t="s">
        <v>5832</v>
      </c>
      <c r="CZ907" t="s">
        <v>9548</v>
      </c>
      <c r="DA907" t="s">
        <v>5904</v>
      </c>
      <c r="DB907">
        <v>753.1</v>
      </c>
      <c r="DC907" t="s">
        <v>24849</v>
      </c>
      <c r="DD907" t="s">
        <v>24850</v>
      </c>
      <c r="DE907" t="s">
        <v>24851</v>
      </c>
      <c r="DF907" t="s">
        <v>24852</v>
      </c>
      <c r="DG907" t="s">
        <v>13772</v>
      </c>
      <c r="DH907" t="str">
        <f>"NAGA"</f>
        <v>NAGA</v>
      </c>
      <c r="DI907" t="s">
        <v>13772</v>
      </c>
      <c r="DJ907" t="s">
        <v>13777</v>
      </c>
      <c r="DK907">
        <v>9606</v>
      </c>
      <c r="DL907" s="34" t="str">
        <f>HYPERLINK("http://www.uniprot.org/uniprot/P17050", "P17050")</f>
        <v>P17050</v>
      </c>
      <c r="DM907" t="s">
        <v>24853</v>
      </c>
      <c r="DN907" t="s">
        <v>13772</v>
      </c>
      <c r="DO907" t="s">
        <v>13806</v>
      </c>
      <c r="DP907" t="s">
        <v>13772</v>
      </c>
      <c r="DQ907" t="s">
        <v>13772</v>
      </c>
      <c r="DR907" t="s">
        <v>17649</v>
      </c>
      <c r="DS907" t="s">
        <v>13808</v>
      </c>
      <c r="DT907" t="s">
        <v>13772</v>
      </c>
      <c r="DU907" t="s">
        <v>15471</v>
      </c>
      <c r="DV907" t="s">
        <v>13964</v>
      </c>
      <c r="DW907" t="s">
        <v>13812</v>
      </c>
      <c r="DX907" t="s">
        <v>24854</v>
      </c>
      <c r="DY907" t="s">
        <v>24855</v>
      </c>
      <c r="DZ907" t="s">
        <v>24856</v>
      </c>
      <c r="EA907" t="s">
        <v>13772</v>
      </c>
      <c r="EB907" t="s">
        <v>13772</v>
      </c>
    </row>
    <row r="908" spans="1:132" hidden="1">
      <c r="A908">
        <v>1452</v>
      </c>
      <c r="B908">
        <v>1</v>
      </c>
      <c r="C908" t="s">
        <v>3457</v>
      </c>
      <c r="D908" t="s">
        <v>3458</v>
      </c>
      <c r="E908" t="s">
        <v>73</v>
      </c>
      <c r="F908" t="s">
        <v>73</v>
      </c>
      <c r="G908" t="s">
        <v>73</v>
      </c>
      <c r="H908">
        <v>10.6</v>
      </c>
      <c r="I908">
        <v>998</v>
      </c>
      <c r="J908">
        <v>112057</v>
      </c>
      <c r="K908" t="s">
        <v>3459</v>
      </c>
      <c r="L908">
        <f t="shared" si="58"/>
        <v>30</v>
      </c>
      <c r="N908">
        <v>30</v>
      </c>
      <c r="O908">
        <v>30</v>
      </c>
      <c r="P908">
        <v>1</v>
      </c>
      <c r="Q908">
        <v>1</v>
      </c>
      <c r="R908">
        <v>6</v>
      </c>
      <c r="S908">
        <v>2</v>
      </c>
      <c r="T908">
        <v>5</v>
      </c>
      <c r="U908">
        <v>3</v>
      </c>
      <c r="V908">
        <v>3</v>
      </c>
      <c r="W908">
        <v>7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6</v>
      </c>
      <c r="AL908">
        <v>2</v>
      </c>
      <c r="AM908">
        <v>5</v>
      </c>
      <c r="AN908">
        <v>3</v>
      </c>
      <c r="AO908">
        <v>3</v>
      </c>
      <c r="AP908">
        <v>7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 s="2">
        <v>1</v>
      </c>
      <c r="BD908" s="2">
        <v>6</v>
      </c>
      <c r="BE908" s="2">
        <v>2</v>
      </c>
      <c r="BF908" s="2">
        <v>5</v>
      </c>
      <c r="BG908" s="2">
        <v>3</v>
      </c>
      <c r="BH908" s="2">
        <v>3</v>
      </c>
      <c r="BI908" s="2">
        <v>7</v>
      </c>
      <c r="BJ908" s="2">
        <v>1</v>
      </c>
      <c r="BK908" s="2">
        <v>0</v>
      </c>
      <c r="BL908" s="2">
        <v>0</v>
      </c>
      <c r="BM908" s="2">
        <v>0</v>
      </c>
      <c r="BN908" s="2">
        <v>1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1</v>
      </c>
      <c r="BV908" s="2">
        <f t="shared" si="61"/>
        <v>30</v>
      </c>
      <c r="BW908" s="16">
        <f t="shared" si="59"/>
        <v>1.5789473684210527</v>
      </c>
      <c r="BX908" s="16">
        <f>COUNTIF($BC$6:BU908, "=0") / COUNTIF($BC$6:BU908, "&gt;-1")</f>
        <v>0.24864486798391328</v>
      </c>
      <c r="BY908" s="18">
        <f>SUM($BC$6:BU908) / $BY$4</f>
        <v>0.93034281705976285</v>
      </c>
      <c r="BZ908" s="14">
        <f t="shared" si="60"/>
        <v>9</v>
      </c>
      <c r="CA908" t="s">
        <v>5832</v>
      </c>
      <c r="CZ908" t="s">
        <v>10572</v>
      </c>
      <c r="DA908" t="s">
        <v>5904</v>
      </c>
      <c r="DB908">
        <v>2087.8000000000002</v>
      </c>
      <c r="DC908" t="s">
        <v>27736</v>
      </c>
      <c r="DD908" t="s">
        <v>27737</v>
      </c>
      <c r="DE908" t="s">
        <v>27738</v>
      </c>
      <c r="DF908" t="s">
        <v>27739</v>
      </c>
      <c r="DG908" t="s">
        <v>27740</v>
      </c>
      <c r="DH908" t="str">
        <f>"EPHA7"</f>
        <v>EPHA7</v>
      </c>
      <c r="DI908" t="s">
        <v>27741</v>
      </c>
      <c r="DJ908" t="s">
        <v>13777</v>
      </c>
      <c r="DK908">
        <v>9606</v>
      </c>
      <c r="DL908" s="34" t="str">
        <f>HYPERLINK("http://www.uniprot.org/uniprot/Q15375", "Q15375")</f>
        <v>Q15375</v>
      </c>
      <c r="DM908" t="s">
        <v>27742</v>
      </c>
      <c r="DN908" t="s">
        <v>27743</v>
      </c>
      <c r="DO908" t="s">
        <v>13792</v>
      </c>
      <c r="DP908" t="s">
        <v>13780</v>
      </c>
      <c r="DQ908" t="s">
        <v>13772</v>
      </c>
      <c r="DR908" t="s">
        <v>13772</v>
      </c>
      <c r="DS908" t="s">
        <v>13826</v>
      </c>
      <c r="DT908" t="s">
        <v>14005</v>
      </c>
      <c r="DU908" t="s">
        <v>20102</v>
      </c>
      <c r="DV908" t="s">
        <v>13978</v>
      </c>
      <c r="DW908" t="s">
        <v>13812</v>
      </c>
      <c r="DX908" t="s">
        <v>27744</v>
      </c>
      <c r="DY908" t="s">
        <v>27745</v>
      </c>
      <c r="DZ908" t="s">
        <v>27746</v>
      </c>
      <c r="EA908" t="s">
        <v>13772</v>
      </c>
      <c r="EB908" t="s">
        <v>20392</v>
      </c>
    </row>
    <row r="909" spans="1:132" hidden="1">
      <c r="A909">
        <v>1614</v>
      </c>
      <c r="B909">
        <v>1</v>
      </c>
      <c r="C909" t="s">
        <v>3825</v>
      </c>
      <c r="D909" t="s">
        <v>3826</v>
      </c>
      <c r="E909" t="s">
        <v>73</v>
      </c>
      <c r="F909" t="s">
        <v>73</v>
      </c>
      <c r="G909" t="s">
        <v>73</v>
      </c>
      <c r="H909">
        <v>41.3</v>
      </c>
      <c r="I909">
        <v>656</v>
      </c>
      <c r="J909">
        <v>70317</v>
      </c>
      <c r="K909" t="s">
        <v>3827</v>
      </c>
      <c r="L909">
        <f t="shared" si="58"/>
        <v>30</v>
      </c>
      <c r="N909">
        <v>30</v>
      </c>
      <c r="O909">
        <v>30</v>
      </c>
      <c r="P909">
        <v>1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16</v>
      </c>
      <c r="Z909">
        <v>0</v>
      </c>
      <c r="AA909">
        <v>3</v>
      </c>
      <c r="AB909">
        <v>4</v>
      </c>
      <c r="AC909">
        <v>2</v>
      </c>
      <c r="AD909">
        <v>0</v>
      </c>
      <c r="AE909">
        <v>2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16</v>
      </c>
      <c r="AS909">
        <v>0</v>
      </c>
      <c r="AT909">
        <v>3</v>
      </c>
      <c r="AU909">
        <v>4</v>
      </c>
      <c r="AV909">
        <v>2</v>
      </c>
      <c r="AW909">
        <v>0</v>
      </c>
      <c r="AX909">
        <v>2</v>
      </c>
      <c r="AY909">
        <v>0</v>
      </c>
      <c r="AZ909">
        <v>0</v>
      </c>
      <c r="BA909">
        <v>0</v>
      </c>
      <c r="BB909">
        <v>0</v>
      </c>
      <c r="BC909" s="2">
        <v>2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1</v>
      </c>
      <c r="BK909" s="2">
        <v>16</v>
      </c>
      <c r="BL909" s="2">
        <v>0</v>
      </c>
      <c r="BM909" s="2">
        <v>3</v>
      </c>
      <c r="BN909" s="2">
        <v>4</v>
      </c>
      <c r="BO909" s="2">
        <v>2</v>
      </c>
      <c r="BP909" s="2">
        <v>0</v>
      </c>
      <c r="BQ909" s="2">
        <v>2</v>
      </c>
      <c r="BR909" s="2">
        <v>0</v>
      </c>
      <c r="BS909" s="2">
        <v>0</v>
      </c>
      <c r="BT909" s="2">
        <v>0</v>
      </c>
      <c r="BU909" s="2">
        <v>0</v>
      </c>
      <c r="BV909" s="2">
        <f t="shared" si="61"/>
        <v>30</v>
      </c>
      <c r="BW909" s="16">
        <f t="shared" si="59"/>
        <v>1.5789473684210527</v>
      </c>
      <c r="BX909" s="16">
        <f>COUNTIF($BC$6:BU909, "=0") / COUNTIF($BC$6:BU909, "&gt;-1")</f>
        <v>0.24906846762925011</v>
      </c>
      <c r="BY909" s="18">
        <f>SUM($BC$6:BU909) / $BY$4</f>
        <v>0.93047132616582384</v>
      </c>
      <c r="BZ909" s="14">
        <f t="shared" si="60"/>
        <v>12</v>
      </c>
      <c r="CA909" t="s">
        <v>5832</v>
      </c>
      <c r="CZ909" t="s">
        <v>11126</v>
      </c>
      <c r="DA909" t="s">
        <v>5904</v>
      </c>
      <c r="DB909">
        <v>946.4</v>
      </c>
      <c r="DC909" t="s">
        <v>29266</v>
      </c>
      <c r="DD909" t="s">
        <v>29267</v>
      </c>
      <c r="DE909" t="s">
        <v>29268</v>
      </c>
      <c r="DF909" t="s">
        <v>29269</v>
      </c>
      <c r="DG909" t="s">
        <v>29270</v>
      </c>
      <c r="DH909" t="str">
        <f>"ZNF185"</f>
        <v>ZNF185</v>
      </c>
      <c r="DI909" t="s">
        <v>13772</v>
      </c>
      <c r="DJ909" t="s">
        <v>13777</v>
      </c>
      <c r="DK909">
        <v>9606</v>
      </c>
      <c r="DL909" s="34" t="str">
        <f>HYPERLINK("http://www.uniprot.org/uniprot/O15231", "O15231")</f>
        <v>O15231</v>
      </c>
      <c r="DM909" t="s">
        <v>29271</v>
      </c>
      <c r="DN909" t="s">
        <v>13772</v>
      </c>
      <c r="DO909" t="s">
        <v>29272</v>
      </c>
      <c r="DP909" t="s">
        <v>13841</v>
      </c>
      <c r="DQ909" t="s">
        <v>13772</v>
      </c>
      <c r="DR909" t="s">
        <v>13772</v>
      </c>
      <c r="DS909" t="s">
        <v>14576</v>
      </c>
      <c r="DT909" t="s">
        <v>13856</v>
      </c>
      <c r="DU909" t="s">
        <v>13772</v>
      </c>
      <c r="DV909" t="s">
        <v>13782</v>
      </c>
      <c r="DW909" t="s">
        <v>13772</v>
      </c>
      <c r="DX909" t="s">
        <v>13772</v>
      </c>
      <c r="DY909" t="s">
        <v>29273</v>
      </c>
      <c r="DZ909" t="s">
        <v>29274</v>
      </c>
      <c r="EA909" t="s">
        <v>13772</v>
      </c>
      <c r="EB909" t="s">
        <v>13772</v>
      </c>
    </row>
    <row r="910" spans="1:132" hidden="1">
      <c r="A910">
        <v>1623</v>
      </c>
      <c r="B910">
        <v>1</v>
      </c>
      <c r="C910" t="s">
        <v>3846</v>
      </c>
      <c r="D910" t="s">
        <v>73</v>
      </c>
      <c r="E910" t="s">
        <v>73</v>
      </c>
      <c r="F910" t="s">
        <v>73</v>
      </c>
      <c r="G910" t="s">
        <v>73</v>
      </c>
      <c r="H910">
        <v>30.2</v>
      </c>
      <c r="I910">
        <v>126</v>
      </c>
      <c r="J910">
        <v>13752</v>
      </c>
      <c r="K910" t="s">
        <v>3847</v>
      </c>
      <c r="L910">
        <f t="shared" si="58"/>
        <v>30</v>
      </c>
      <c r="N910">
        <v>30</v>
      </c>
      <c r="O910">
        <v>30</v>
      </c>
      <c r="P910">
        <v>1</v>
      </c>
      <c r="Q910">
        <v>0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1</v>
      </c>
      <c r="Y910">
        <v>5</v>
      </c>
      <c r="Z910">
        <v>0</v>
      </c>
      <c r="AA910">
        <v>5</v>
      </c>
      <c r="AB910">
        <v>2</v>
      </c>
      <c r="AC910">
        <v>6</v>
      </c>
      <c r="AD910">
        <v>0</v>
      </c>
      <c r="AE910">
        <v>3</v>
      </c>
      <c r="AF910">
        <v>2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1</v>
      </c>
      <c r="AR910">
        <v>5</v>
      </c>
      <c r="AS910">
        <v>0</v>
      </c>
      <c r="AT910">
        <v>5</v>
      </c>
      <c r="AU910">
        <v>2</v>
      </c>
      <c r="AV910">
        <v>6</v>
      </c>
      <c r="AW910">
        <v>0</v>
      </c>
      <c r="AX910">
        <v>3</v>
      </c>
      <c r="AY910">
        <v>2</v>
      </c>
      <c r="AZ910">
        <v>0</v>
      </c>
      <c r="BA910">
        <v>0</v>
      </c>
      <c r="BB910">
        <v>0</v>
      </c>
      <c r="BC910" s="2">
        <v>0</v>
      </c>
      <c r="BD910" s="2">
        <v>2</v>
      </c>
      <c r="BE910" s="2">
        <v>1</v>
      </c>
      <c r="BF910" s="2">
        <v>1</v>
      </c>
      <c r="BG910" s="2">
        <v>1</v>
      </c>
      <c r="BH910" s="2">
        <v>1</v>
      </c>
      <c r="BI910" s="2">
        <v>0</v>
      </c>
      <c r="BJ910" s="2">
        <v>1</v>
      </c>
      <c r="BK910" s="2">
        <v>5</v>
      </c>
      <c r="BL910" s="2">
        <v>0</v>
      </c>
      <c r="BM910" s="2">
        <v>5</v>
      </c>
      <c r="BN910" s="2">
        <v>2</v>
      </c>
      <c r="BO910" s="2">
        <v>6</v>
      </c>
      <c r="BP910" s="2">
        <v>0</v>
      </c>
      <c r="BQ910" s="2">
        <v>3</v>
      </c>
      <c r="BR910" s="2">
        <v>2</v>
      </c>
      <c r="BS910" s="2">
        <v>0</v>
      </c>
      <c r="BT910" s="2">
        <v>0</v>
      </c>
      <c r="BU910" s="2">
        <v>0</v>
      </c>
      <c r="BV910" s="2">
        <f t="shared" si="61"/>
        <v>30</v>
      </c>
      <c r="BW910" s="16">
        <f t="shared" si="59"/>
        <v>1.5789473684210527</v>
      </c>
      <c r="BX910" s="16">
        <f>COUNTIF($BC$6:BU910, "=0") / COUNTIF($BC$6:BU910, "&gt;-1")</f>
        <v>0.24920034893864496</v>
      </c>
      <c r="BY910" s="18">
        <f>SUM($BC$6:BU910) / $BY$4</f>
        <v>0.93059983527188495</v>
      </c>
      <c r="BZ910" s="14">
        <f t="shared" si="60"/>
        <v>7</v>
      </c>
      <c r="CA910" t="s">
        <v>5832</v>
      </c>
      <c r="CZ910" t="s">
        <v>11157</v>
      </c>
      <c r="DA910" t="s">
        <v>5904</v>
      </c>
      <c r="DB910">
        <v>246.1</v>
      </c>
      <c r="DC910" t="s">
        <v>29364</v>
      </c>
      <c r="DD910" t="s">
        <v>29365</v>
      </c>
      <c r="DE910" t="s">
        <v>29366</v>
      </c>
      <c r="DF910" t="s">
        <v>29367</v>
      </c>
      <c r="DG910" t="s">
        <v>29368</v>
      </c>
      <c r="DH910" t="str">
        <f>"HINT1"</f>
        <v>HINT1</v>
      </c>
      <c r="DI910" t="s">
        <v>29369</v>
      </c>
      <c r="DJ910" t="s">
        <v>13777</v>
      </c>
      <c r="DK910">
        <v>9606</v>
      </c>
      <c r="DL910" s="34" t="str">
        <f>HYPERLINK("http://www.uniprot.org/uniprot/P49773", "P49773")</f>
        <v>P49773</v>
      </c>
      <c r="DM910" t="s">
        <v>29370</v>
      </c>
      <c r="DN910" t="s">
        <v>17317</v>
      </c>
      <c r="DO910" t="s">
        <v>13912</v>
      </c>
      <c r="DP910" t="s">
        <v>13772</v>
      </c>
      <c r="DQ910" t="s">
        <v>13772</v>
      </c>
      <c r="DR910" t="s">
        <v>28965</v>
      </c>
      <c r="DS910" t="s">
        <v>13772</v>
      </c>
      <c r="DT910" t="s">
        <v>29232</v>
      </c>
      <c r="DU910" t="s">
        <v>13857</v>
      </c>
      <c r="DV910" t="s">
        <v>13886</v>
      </c>
      <c r="DW910" t="s">
        <v>13812</v>
      </c>
      <c r="DX910" t="s">
        <v>29371</v>
      </c>
      <c r="DY910" t="s">
        <v>29372</v>
      </c>
      <c r="DZ910" t="s">
        <v>29373</v>
      </c>
      <c r="EA910" t="s">
        <v>13772</v>
      </c>
      <c r="EB910" t="s">
        <v>13772</v>
      </c>
    </row>
    <row r="911" spans="1:132" hidden="1">
      <c r="A911">
        <v>1836</v>
      </c>
      <c r="B911">
        <v>1</v>
      </c>
      <c r="C911" t="s">
        <v>4339</v>
      </c>
      <c r="D911" t="s">
        <v>4340</v>
      </c>
      <c r="E911" t="s">
        <v>73</v>
      </c>
      <c r="F911" t="s">
        <v>73</v>
      </c>
      <c r="G911" t="s">
        <v>73</v>
      </c>
      <c r="H911">
        <v>24.2</v>
      </c>
      <c r="I911">
        <v>211</v>
      </c>
      <c r="J911">
        <v>23909</v>
      </c>
      <c r="K911" t="s">
        <v>4341</v>
      </c>
      <c r="L911">
        <f t="shared" si="58"/>
        <v>30</v>
      </c>
      <c r="N911">
        <v>30</v>
      </c>
      <c r="O911">
        <v>30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1</v>
      </c>
      <c r="X911">
        <v>1</v>
      </c>
      <c r="Y911">
        <v>3</v>
      </c>
      <c r="Z911">
        <v>0</v>
      </c>
      <c r="AA911">
        <v>3</v>
      </c>
      <c r="AB911">
        <v>7</v>
      </c>
      <c r="AC911">
        <v>1</v>
      </c>
      <c r="AD911">
        <v>0</v>
      </c>
      <c r="AE911">
        <v>0</v>
      </c>
      <c r="AF911">
        <v>6</v>
      </c>
      <c r="AG911">
        <v>0</v>
      </c>
      <c r="AH911">
        <v>1</v>
      </c>
      <c r="AI911">
        <v>4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1</v>
      </c>
      <c r="AQ911">
        <v>1</v>
      </c>
      <c r="AR911">
        <v>3</v>
      </c>
      <c r="AS911">
        <v>0</v>
      </c>
      <c r="AT911">
        <v>3</v>
      </c>
      <c r="AU911">
        <v>7</v>
      </c>
      <c r="AV911">
        <v>1</v>
      </c>
      <c r="AW911">
        <v>0</v>
      </c>
      <c r="AX911">
        <v>0</v>
      </c>
      <c r="AY911">
        <v>6</v>
      </c>
      <c r="AZ911">
        <v>0</v>
      </c>
      <c r="BA911">
        <v>1</v>
      </c>
      <c r="BB911">
        <v>4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2</v>
      </c>
      <c r="BI911" s="2">
        <v>1</v>
      </c>
      <c r="BJ911" s="2">
        <v>1</v>
      </c>
      <c r="BK911" s="2">
        <v>3</v>
      </c>
      <c r="BL911" s="2">
        <v>0</v>
      </c>
      <c r="BM911" s="2">
        <v>3</v>
      </c>
      <c r="BN911" s="2">
        <v>7</v>
      </c>
      <c r="BO911" s="2">
        <v>1</v>
      </c>
      <c r="BP911" s="2">
        <v>0</v>
      </c>
      <c r="BQ911" s="2">
        <v>0</v>
      </c>
      <c r="BR911" s="2">
        <v>6</v>
      </c>
      <c r="BS911" s="2">
        <v>0</v>
      </c>
      <c r="BT911" s="2">
        <v>1</v>
      </c>
      <c r="BU911" s="2">
        <v>4</v>
      </c>
      <c r="BV911" s="2">
        <f t="shared" si="61"/>
        <v>30</v>
      </c>
      <c r="BW911" s="16">
        <f t="shared" si="59"/>
        <v>1.5789473684210527</v>
      </c>
      <c r="BX911" s="16">
        <f>COUNTIF($BC$6:BU911, "=0") / COUNTIF($BC$6:BU911, "&gt;-1")</f>
        <v>0.24939003136981527</v>
      </c>
      <c r="BY911" s="18">
        <f>SUM($BC$6:BU911) / $BY$4</f>
        <v>0.93072834437794594</v>
      </c>
      <c r="BZ911" s="14">
        <f t="shared" si="60"/>
        <v>8</v>
      </c>
      <c r="CA911" t="s">
        <v>5832</v>
      </c>
      <c r="CZ911" t="s">
        <v>11879</v>
      </c>
      <c r="DA911" t="s">
        <v>5904</v>
      </c>
      <c r="DB911">
        <v>335.5</v>
      </c>
      <c r="DC911" t="s">
        <v>31433</v>
      </c>
      <c r="DD911" t="s">
        <v>31434</v>
      </c>
      <c r="DE911" t="s">
        <v>31435</v>
      </c>
      <c r="DF911" t="s">
        <v>31436</v>
      </c>
      <c r="DG911" t="s">
        <v>31437</v>
      </c>
      <c r="DH911" t="str">
        <f>"PDGFA"</f>
        <v>PDGFA</v>
      </c>
      <c r="DI911" t="s">
        <v>31438</v>
      </c>
      <c r="DJ911" t="s">
        <v>13777</v>
      </c>
      <c r="DK911">
        <v>9606</v>
      </c>
      <c r="DL911" s="34" t="str">
        <f>HYPERLINK("http://www.uniprot.org/uniprot/P04085", "P04085")</f>
        <v>P04085</v>
      </c>
      <c r="DM911" t="s">
        <v>31439</v>
      </c>
      <c r="DN911" t="s">
        <v>13772</v>
      </c>
      <c r="DO911" t="s">
        <v>14321</v>
      </c>
      <c r="DP911" t="s">
        <v>13841</v>
      </c>
      <c r="DQ911" t="s">
        <v>13772</v>
      </c>
      <c r="DR911" t="s">
        <v>13772</v>
      </c>
      <c r="DS911" t="s">
        <v>13808</v>
      </c>
      <c r="DT911" t="s">
        <v>13772</v>
      </c>
      <c r="DU911" t="s">
        <v>25019</v>
      </c>
      <c r="DV911" t="s">
        <v>14629</v>
      </c>
      <c r="DW911" t="s">
        <v>13812</v>
      </c>
      <c r="DX911" t="s">
        <v>31440</v>
      </c>
      <c r="DY911" t="s">
        <v>31441</v>
      </c>
      <c r="DZ911" t="s">
        <v>31442</v>
      </c>
      <c r="EA911" t="s">
        <v>13772</v>
      </c>
      <c r="EB911" t="s">
        <v>25023</v>
      </c>
    </row>
    <row r="912" spans="1:132" hidden="1">
      <c r="A912">
        <v>1853</v>
      </c>
      <c r="B912">
        <v>1</v>
      </c>
      <c r="C912" t="s">
        <v>4378</v>
      </c>
      <c r="D912" t="s">
        <v>4379</v>
      </c>
      <c r="E912" t="s">
        <v>73</v>
      </c>
      <c r="F912" t="s">
        <v>73</v>
      </c>
      <c r="G912" t="s">
        <v>73</v>
      </c>
      <c r="H912">
        <v>28.9</v>
      </c>
      <c r="I912">
        <v>294</v>
      </c>
      <c r="J912">
        <v>31906</v>
      </c>
      <c r="K912" t="s">
        <v>4380</v>
      </c>
      <c r="L912">
        <f t="shared" si="58"/>
        <v>30</v>
      </c>
      <c r="N912">
        <v>30</v>
      </c>
      <c r="O912">
        <v>30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</v>
      </c>
      <c r="W912">
        <v>6</v>
      </c>
      <c r="X912">
        <v>13</v>
      </c>
      <c r="Y912">
        <v>0</v>
      </c>
      <c r="Z912">
        <v>0</v>
      </c>
      <c r="AA912">
        <v>3</v>
      </c>
      <c r="AB912">
        <v>1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</v>
      </c>
      <c r="AP912">
        <v>6</v>
      </c>
      <c r="AQ912">
        <v>13</v>
      </c>
      <c r="AR912">
        <v>0</v>
      </c>
      <c r="AS912">
        <v>0</v>
      </c>
      <c r="AT912">
        <v>3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1</v>
      </c>
      <c r="BA912">
        <v>0</v>
      </c>
      <c r="BB91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4</v>
      </c>
      <c r="BI912" s="2">
        <v>6</v>
      </c>
      <c r="BJ912" s="2">
        <v>13</v>
      </c>
      <c r="BK912" s="2">
        <v>0</v>
      </c>
      <c r="BL912" s="2">
        <v>0</v>
      </c>
      <c r="BM912" s="2">
        <v>3</v>
      </c>
      <c r="BN912" s="2">
        <v>1</v>
      </c>
      <c r="BO912" s="2">
        <v>1</v>
      </c>
      <c r="BP912" s="2">
        <v>0</v>
      </c>
      <c r="BQ912" s="2">
        <v>1</v>
      </c>
      <c r="BR912" s="2">
        <v>0</v>
      </c>
      <c r="BS912" s="2">
        <v>1</v>
      </c>
      <c r="BT912" s="2">
        <v>0</v>
      </c>
      <c r="BU912" s="2">
        <v>0</v>
      </c>
      <c r="BV912" s="2">
        <f t="shared" si="61"/>
        <v>30</v>
      </c>
      <c r="BW912" s="16">
        <f t="shared" si="59"/>
        <v>1.5789473684210527</v>
      </c>
      <c r="BX912" s="16">
        <f>COUNTIF($BC$6:BU912, "=0") / COUNTIF($BC$6:BU912, "&gt;-1")</f>
        <v>0.24975338014274936</v>
      </c>
      <c r="BY912" s="18">
        <f>SUM($BC$6:BU912) / $BY$4</f>
        <v>0.93085685348400693</v>
      </c>
      <c r="BZ912" s="14">
        <f t="shared" si="60"/>
        <v>11</v>
      </c>
      <c r="CA912" t="s">
        <v>5832</v>
      </c>
      <c r="CZ912" t="s">
        <v>11938</v>
      </c>
      <c r="DA912" t="s">
        <v>5904</v>
      </c>
      <c r="DB912">
        <v>495.4</v>
      </c>
      <c r="DC912" t="s">
        <v>31607</v>
      </c>
      <c r="DD912" t="s">
        <v>31608</v>
      </c>
      <c r="DE912" t="s">
        <v>31609</v>
      </c>
      <c r="DF912" t="s">
        <v>31610</v>
      </c>
      <c r="DG912" t="s">
        <v>31611</v>
      </c>
      <c r="DH912" t="str">
        <f>"NAXE"</f>
        <v>NAXE</v>
      </c>
      <c r="DI912" t="s">
        <v>13772</v>
      </c>
      <c r="DJ912" t="s">
        <v>13777</v>
      </c>
      <c r="DK912">
        <v>9606</v>
      </c>
      <c r="DL912" s="34" t="str">
        <f>HYPERLINK("http://www.uniprot.org/uniprot/Q8NCW5", "Q8NCW5")</f>
        <v>Q8NCW5</v>
      </c>
      <c r="DM912" t="s">
        <v>31612</v>
      </c>
      <c r="DN912" t="s">
        <v>13772</v>
      </c>
      <c r="DO912" t="s">
        <v>22772</v>
      </c>
      <c r="DP912" t="s">
        <v>13780</v>
      </c>
      <c r="DQ912" t="s">
        <v>13772</v>
      </c>
      <c r="DR912" t="s">
        <v>22610</v>
      </c>
      <c r="DS912" t="s">
        <v>14391</v>
      </c>
      <c r="DT912" t="s">
        <v>31613</v>
      </c>
      <c r="DU912" t="s">
        <v>14910</v>
      </c>
      <c r="DV912" t="s">
        <v>13782</v>
      </c>
      <c r="DW912" t="s">
        <v>13772</v>
      </c>
      <c r="DX912" t="s">
        <v>31614</v>
      </c>
      <c r="DY912" t="s">
        <v>31615</v>
      </c>
      <c r="DZ912" t="s">
        <v>31616</v>
      </c>
      <c r="EA912" t="s">
        <v>13772</v>
      </c>
      <c r="EB912" t="s">
        <v>22397</v>
      </c>
    </row>
    <row r="913" spans="1:132" hidden="1">
      <c r="A913">
        <v>1868</v>
      </c>
      <c r="B913">
        <v>1</v>
      </c>
      <c r="C913" t="s">
        <v>4410</v>
      </c>
      <c r="D913" t="s">
        <v>4411</v>
      </c>
      <c r="E913" t="s">
        <v>73</v>
      </c>
      <c r="F913" t="s">
        <v>73</v>
      </c>
      <c r="G913" t="s">
        <v>73</v>
      </c>
      <c r="H913">
        <v>14.5</v>
      </c>
      <c r="I913">
        <v>1756</v>
      </c>
      <c r="J913">
        <v>204648</v>
      </c>
      <c r="K913" t="s">
        <v>4412</v>
      </c>
      <c r="L913">
        <f t="shared" si="58"/>
        <v>30</v>
      </c>
      <c r="N913">
        <v>30</v>
      </c>
      <c r="O913">
        <v>30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4</v>
      </c>
      <c r="Z913">
        <v>0</v>
      </c>
      <c r="AA913">
        <v>11</v>
      </c>
      <c r="AB913">
        <v>9</v>
      </c>
      <c r="AC913">
        <v>2</v>
      </c>
      <c r="AD913">
        <v>0</v>
      </c>
      <c r="AE913">
        <v>1</v>
      </c>
      <c r="AF913">
        <v>2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4</v>
      </c>
      <c r="AS913">
        <v>0</v>
      </c>
      <c r="AT913">
        <v>11</v>
      </c>
      <c r="AU913">
        <v>9</v>
      </c>
      <c r="AV913">
        <v>2</v>
      </c>
      <c r="AW913">
        <v>0</v>
      </c>
      <c r="AX913">
        <v>1</v>
      </c>
      <c r="AY913">
        <v>2</v>
      </c>
      <c r="AZ913">
        <v>1</v>
      </c>
      <c r="BA913">
        <v>0</v>
      </c>
      <c r="BB913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4</v>
      </c>
      <c r="BL913" s="2">
        <v>0</v>
      </c>
      <c r="BM913" s="2">
        <v>11</v>
      </c>
      <c r="BN913" s="2">
        <v>9</v>
      </c>
      <c r="BO913" s="2">
        <v>2</v>
      </c>
      <c r="BP913" s="2">
        <v>0</v>
      </c>
      <c r="BQ913" s="2">
        <v>1</v>
      </c>
      <c r="BR913" s="2">
        <v>2</v>
      </c>
      <c r="BS913" s="2">
        <v>1</v>
      </c>
      <c r="BT913" s="2">
        <v>0</v>
      </c>
      <c r="BU913" s="2">
        <v>0</v>
      </c>
      <c r="BV913" s="2">
        <f t="shared" si="61"/>
        <v>30</v>
      </c>
      <c r="BW913" s="16">
        <f t="shared" si="59"/>
        <v>1.5789473684210527</v>
      </c>
      <c r="BX913" s="16">
        <f>COUNTIF($BC$6:BU913, "=0") / COUNTIF($BC$6:BU913, "&gt;-1")</f>
        <v>0.25017389288198472</v>
      </c>
      <c r="BY913" s="18">
        <f>SUM($BC$6:BU913) / $BY$4</f>
        <v>0.93098536259006792</v>
      </c>
      <c r="BZ913" s="14">
        <f t="shared" si="60"/>
        <v>12</v>
      </c>
      <c r="CA913" t="s">
        <v>5832</v>
      </c>
      <c r="CZ913" t="s">
        <v>11986</v>
      </c>
      <c r="DA913" t="s">
        <v>5904</v>
      </c>
      <c r="DB913">
        <v>3055.4</v>
      </c>
      <c r="DC913" t="s">
        <v>31727</v>
      </c>
      <c r="DD913" t="s">
        <v>31728</v>
      </c>
      <c r="DE913" t="s">
        <v>31729</v>
      </c>
      <c r="DF913" t="s">
        <v>31730</v>
      </c>
      <c r="DG913" t="s">
        <v>31731</v>
      </c>
      <c r="DH913" t="str">
        <f>"PPL"</f>
        <v>PPL</v>
      </c>
      <c r="DI913" t="s">
        <v>31732</v>
      </c>
      <c r="DJ913" t="s">
        <v>13777</v>
      </c>
      <c r="DK913">
        <v>9606</v>
      </c>
      <c r="DL913" s="34" t="str">
        <f>HYPERLINK("http://www.uniprot.org/uniprot/O60437", "O60437")</f>
        <v>O60437</v>
      </c>
      <c r="DM913" t="s">
        <v>31733</v>
      </c>
      <c r="DN913" t="s">
        <v>16018</v>
      </c>
      <c r="DO913" t="s">
        <v>31734</v>
      </c>
      <c r="DP913" t="s">
        <v>13793</v>
      </c>
      <c r="DQ913" t="s">
        <v>13772</v>
      </c>
      <c r="DR913" t="s">
        <v>13772</v>
      </c>
      <c r="DS913" t="s">
        <v>19296</v>
      </c>
      <c r="DT913" t="s">
        <v>13772</v>
      </c>
      <c r="DU913" t="s">
        <v>13772</v>
      </c>
      <c r="DV913" t="s">
        <v>13782</v>
      </c>
      <c r="DW913" t="s">
        <v>13812</v>
      </c>
      <c r="DX913" t="s">
        <v>31735</v>
      </c>
      <c r="DY913" t="s">
        <v>31736</v>
      </c>
      <c r="DZ913" t="s">
        <v>31737</v>
      </c>
      <c r="EA913" t="s">
        <v>13772</v>
      </c>
      <c r="EB913" t="s">
        <v>31738</v>
      </c>
    </row>
    <row r="914" spans="1:132" hidden="1">
      <c r="A914">
        <v>2458</v>
      </c>
      <c r="B914">
        <v>1</v>
      </c>
      <c r="C914" t="s">
        <v>5782</v>
      </c>
      <c r="D914" t="s">
        <v>73</v>
      </c>
      <c r="E914" t="s">
        <v>5783</v>
      </c>
      <c r="F914" t="s">
        <v>73</v>
      </c>
      <c r="G914" t="s">
        <v>73</v>
      </c>
      <c r="H914">
        <v>41.9</v>
      </c>
      <c r="I914">
        <v>265</v>
      </c>
      <c r="J914">
        <v>28069</v>
      </c>
      <c r="K914" t="s">
        <v>5784</v>
      </c>
      <c r="L914">
        <f t="shared" si="58"/>
        <v>30</v>
      </c>
      <c r="N914">
        <v>30</v>
      </c>
      <c r="O914">
        <v>30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4</v>
      </c>
      <c r="Y914">
        <v>5</v>
      </c>
      <c r="Z914">
        <v>0</v>
      </c>
      <c r="AA914">
        <v>6</v>
      </c>
      <c r="AB914">
        <v>3</v>
      </c>
      <c r="AC914">
        <v>4</v>
      </c>
      <c r="AD914">
        <v>2</v>
      </c>
      <c r="AE914">
        <v>5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4</v>
      </c>
      <c r="AR914">
        <v>5</v>
      </c>
      <c r="AS914">
        <v>0</v>
      </c>
      <c r="AT914">
        <v>6</v>
      </c>
      <c r="AU914">
        <v>3</v>
      </c>
      <c r="AV914">
        <v>4</v>
      </c>
      <c r="AW914">
        <v>2</v>
      </c>
      <c r="AX914">
        <v>5</v>
      </c>
      <c r="AY914">
        <v>0</v>
      </c>
      <c r="AZ914">
        <v>0</v>
      </c>
      <c r="BA914">
        <v>0</v>
      </c>
      <c r="BB914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</v>
      </c>
      <c r="BH914" s="2">
        <v>0</v>
      </c>
      <c r="BI914" s="2">
        <v>0</v>
      </c>
      <c r="BJ914" s="2">
        <v>4</v>
      </c>
      <c r="BK914" s="2">
        <v>5</v>
      </c>
      <c r="BL914" s="2">
        <v>0</v>
      </c>
      <c r="BM914" s="2">
        <v>6</v>
      </c>
      <c r="BN914" s="2">
        <v>3</v>
      </c>
      <c r="BO914" s="2">
        <v>4</v>
      </c>
      <c r="BP914" s="2">
        <v>2</v>
      </c>
      <c r="BQ914" s="2">
        <v>5</v>
      </c>
      <c r="BR914" s="2">
        <v>0</v>
      </c>
      <c r="BS914" s="2">
        <v>0</v>
      </c>
      <c r="BT914" s="2">
        <v>0</v>
      </c>
      <c r="BU914" s="2">
        <v>0</v>
      </c>
      <c r="BV914" s="2">
        <f t="shared" si="61"/>
        <v>30</v>
      </c>
      <c r="BW914" s="16">
        <f t="shared" si="59"/>
        <v>1.5789473684210527</v>
      </c>
      <c r="BX914" s="16">
        <f>COUNTIF($BC$6:BU914, "=0") / COUNTIF($BC$6:BU914, "&gt;-1")</f>
        <v>0.25053557987377684</v>
      </c>
      <c r="BY914" s="18">
        <f>SUM($BC$6:BU914) / $BY$4</f>
        <v>0.93111387169612891</v>
      </c>
      <c r="BZ914" s="14">
        <f t="shared" si="60"/>
        <v>11</v>
      </c>
      <c r="CA914" t="s">
        <v>5832</v>
      </c>
      <c r="CZ914" t="s">
        <v>12494</v>
      </c>
      <c r="DA914" t="s">
        <v>5904</v>
      </c>
      <c r="DB914">
        <v>448.7</v>
      </c>
      <c r="DC914" t="s">
        <v>33149</v>
      </c>
      <c r="DD914" t="s">
        <v>33150</v>
      </c>
      <c r="DE914" t="s">
        <v>33151</v>
      </c>
      <c r="DF914" t="s">
        <v>33152</v>
      </c>
      <c r="DG914" t="s">
        <v>33153</v>
      </c>
      <c r="DH914" t="str">
        <f>"CAPNS1"</f>
        <v>CAPNS1</v>
      </c>
      <c r="DI914" t="s">
        <v>33154</v>
      </c>
      <c r="DJ914" t="s">
        <v>13777</v>
      </c>
      <c r="DK914">
        <v>9606</v>
      </c>
      <c r="DL914" s="34" t="str">
        <f>HYPERLINK("http://www.uniprot.org/uniprot/P04632", "P04632")</f>
        <v>P04632</v>
      </c>
      <c r="DM914" t="s">
        <v>33155</v>
      </c>
      <c r="DN914" t="s">
        <v>13772</v>
      </c>
      <c r="DO914" t="s">
        <v>18623</v>
      </c>
      <c r="DP914" t="s">
        <v>13793</v>
      </c>
      <c r="DQ914" t="s">
        <v>13772</v>
      </c>
      <c r="DR914" t="s">
        <v>13772</v>
      </c>
      <c r="DS914" t="s">
        <v>14096</v>
      </c>
      <c r="DT914" t="s">
        <v>13873</v>
      </c>
      <c r="DU914" t="s">
        <v>13772</v>
      </c>
      <c r="DV914" t="s">
        <v>13886</v>
      </c>
      <c r="DW914" t="s">
        <v>13812</v>
      </c>
      <c r="DX914" t="s">
        <v>33156</v>
      </c>
      <c r="DY914" t="s">
        <v>23281</v>
      </c>
      <c r="DZ914" t="s">
        <v>19542</v>
      </c>
      <c r="EA914" t="s">
        <v>13772</v>
      </c>
      <c r="EB914" t="s">
        <v>33157</v>
      </c>
    </row>
    <row r="915" spans="1:132" hidden="1">
      <c r="A915">
        <v>2026</v>
      </c>
      <c r="B915">
        <v>1</v>
      </c>
      <c r="C915" t="s">
        <v>4761</v>
      </c>
      <c r="D915" t="s">
        <v>73</v>
      </c>
      <c r="E915" t="s">
        <v>73</v>
      </c>
      <c r="F915" t="s">
        <v>73</v>
      </c>
      <c r="G915" t="s">
        <v>73</v>
      </c>
      <c r="H915">
        <v>65.2</v>
      </c>
      <c r="I915">
        <v>158</v>
      </c>
      <c r="J915">
        <v>17137</v>
      </c>
      <c r="K915" t="s">
        <v>4762</v>
      </c>
      <c r="L915">
        <f t="shared" si="58"/>
        <v>30</v>
      </c>
      <c r="N915">
        <v>30</v>
      </c>
      <c r="O915">
        <v>30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2</v>
      </c>
      <c r="Z915">
        <v>0</v>
      </c>
      <c r="AA915">
        <v>8</v>
      </c>
      <c r="AB915">
        <v>4</v>
      </c>
      <c r="AC915">
        <v>1</v>
      </c>
      <c r="AD915">
        <v>1</v>
      </c>
      <c r="AE915">
        <v>2</v>
      </c>
      <c r="AF915">
        <v>3</v>
      </c>
      <c r="AG915">
        <v>2</v>
      </c>
      <c r="AH915">
        <v>1</v>
      </c>
      <c r="AI915">
        <v>4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</v>
      </c>
      <c r="AR915">
        <v>2</v>
      </c>
      <c r="AS915">
        <v>0</v>
      </c>
      <c r="AT915">
        <v>8</v>
      </c>
      <c r="AU915">
        <v>4</v>
      </c>
      <c r="AV915">
        <v>1</v>
      </c>
      <c r="AW915">
        <v>1</v>
      </c>
      <c r="AX915">
        <v>2</v>
      </c>
      <c r="AY915">
        <v>3</v>
      </c>
      <c r="AZ915">
        <v>2</v>
      </c>
      <c r="BA915">
        <v>1</v>
      </c>
      <c r="BB915">
        <v>4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2</v>
      </c>
      <c r="BK915" s="2">
        <v>2</v>
      </c>
      <c r="BL915" s="2">
        <v>0</v>
      </c>
      <c r="BM915" s="2">
        <v>8</v>
      </c>
      <c r="BN915" s="2">
        <v>4</v>
      </c>
      <c r="BO915" s="2">
        <v>1</v>
      </c>
      <c r="BP915" s="2">
        <v>1</v>
      </c>
      <c r="BQ915" s="2">
        <v>2</v>
      </c>
      <c r="BR915" s="2">
        <v>3</v>
      </c>
      <c r="BS915" s="2">
        <v>2</v>
      </c>
      <c r="BT915" s="2">
        <v>1</v>
      </c>
      <c r="BU915" s="2">
        <v>4</v>
      </c>
      <c r="BV915" s="2">
        <f t="shared" si="61"/>
        <v>30</v>
      </c>
      <c r="BW915" s="16">
        <f t="shared" si="59"/>
        <v>1.5789473684210527</v>
      </c>
      <c r="BX915" s="16">
        <f>COUNTIF($BC$6:BU915, "=0") / COUNTIF($BC$6:BU915, "&gt;-1")</f>
        <v>0.25072296124927707</v>
      </c>
      <c r="BY915" s="18">
        <f>SUM($BC$6:BU915) / $BY$4</f>
        <v>0.93124238080219002</v>
      </c>
      <c r="BZ915" s="14">
        <f t="shared" si="60"/>
        <v>8</v>
      </c>
      <c r="CA915" t="s">
        <v>5832</v>
      </c>
      <c r="CZ915" t="s">
        <v>12500</v>
      </c>
      <c r="DA915" t="s">
        <v>5904</v>
      </c>
      <c r="DB915">
        <v>262.7</v>
      </c>
      <c r="DC915" t="s">
        <v>33168</v>
      </c>
      <c r="DD915" t="s">
        <v>33169</v>
      </c>
      <c r="DE915" t="s">
        <v>33170</v>
      </c>
      <c r="DF915" t="s">
        <v>33171</v>
      </c>
      <c r="DG915" t="s">
        <v>33172</v>
      </c>
      <c r="DH915" t="str">
        <f>"HSPB6"</f>
        <v>HSPB6</v>
      </c>
      <c r="DI915" t="s">
        <v>13772</v>
      </c>
      <c r="DJ915" t="s">
        <v>13777</v>
      </c>
      <c r="DK915">
        <v>9606</v>
      </c>
      <c r="DL915" s="34" t="str">
        <f>HYPERLINK("http://www.uniprot.org/uniprot/O14558", "O14558")</f>
        <v>O14558</v>
      </c>
      <c r="DM915" t="s">
        <v>33173</v>
      </c>
      <c r="DN915" t="s">
        <v>15280</v>
      </c>
      <c r="DO915" t="s">
        <v>14276</v>
      </c>
      <c r="DP915" t="s">
        <v>13793</v>
      </c>
      <c r="DQ915" t="s">
        <v>13772</v>
      </c>
      <c r="DR915" t="s">
        <v>13772</v>
      </c>
      <c r="DS915" t="s">
        <v>13772</v>
      </c>
      <c r="DT915" t="s">
        <v>13772</v>
      </c>
      <c r="DU915" t="s">
        <v>14477</v>
      </c>
      <c r="DV915" t="s">
        <v>13782</v>
      </c>
      <c r="DW915" t="s">
        <v>13812</v>
      </c>
      <c r="DX915" t="s">
        <v>33174</v>
      </c>
      <c r="DY915" t="s">
        <v>33175</v>
      </c>
      <c r="DZ915" t="s">
        <v>33176</v>
      </c>
      <c r="EA915" t="s">
        <v>13772</v>
      </c>
      <c r="EB915" t="s">
        <v>13772</v>
      </c>
    </row>
    <row r="916" spans="1:132" hidden="1">
      <c r="A916">
        <v>2173</v>
      </c>
      <c r="B916">
        <v>1</v>
      </c>
      <c r="C916" t="s">
        <v>5089</v>
      </c>
      <c r="D916" t="s">
        <v>73</v>
      </c>
      <c r="E916" t="s">
        <v>73</v>
      </c>
      <c r="F916" t="s">
        <v>73</v>
      </c>
      <c r="G916" t="s">
        <v>73</v>
      </c>
      <c r="H916">
        <v>27.4</v>
      </c>
      <c r="I916">
        <v>394</v>
      </c>
      <c r="J916">
        <v>44760</v>
      </c>
      <c r="K916" t="s">
        <v>5090</v>
      </c>
      <c r="L916">
        <f t="shared" si="58"/>
        <v>30</v>
      </c>
      <c r="N916">
        <v>30</v>
      </c>
      <c r="O916">
        <v>30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2</v>
      </c>
      <c r="V916">
        <v>0</v>
      </c>
      <c r="W916">
        <v>1</v>
      </c>
      <c r="X916">
        <v>1</v>
      </c>
      <c r="Y916">
        <v>9</v>
      </c>
      <c r="Z916">
        <v>0</v>
      </c>
      <c r="AA916">
        <v>4</v>
      </c>
      <c r="AB916">
        <v>5</v>
      </c>
      <c r="AC916">
        <v>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</v>
      </c>
      <c r="AO916">
        <v>0</v>
      </c>
      <c r="AP916">
        <v>1</v>
      </c>
      <c r="AQ916">
        <v>1</v>
      </c>
      <c r="AR916">
        <v>9</v>
      </c>
      <c r="AS916">
        <v>0</v>
      </c>
      <c r="AT916">
        <v>4</v>
      </c>
      <c r="AU916">
        <v>5</v>
      </c>
      <c r="AV916">
        <v>8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2</v>
      </c>
      <c r="BH916" s="2">
        <v>0</v>
      </c>
      <c r="BI916" s="2">
        <v>1</v>
      </c>
      <c r="BJ916" s="2">
        <v>1</v>
      </c>
      <c r="BK916" s="2">
        <v>9</v>
      </c>
      <c r="BL916" s="2">
        <v>0</v>
      </c>
      <c r="BM916" s="2">
        <v>4</v>
      </c>
      <c r="BN916" s="2">
        <v>5</v>
      </c>
      <c r="BO916" s="2">
        <v>8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f t="shared" si="61"/>
        <v>30</v>
      </c>
      <c r="BW916" s="16">
        <f t="shared" si="59"/>
        <v>1.5789473684210527</v>
      </c>
      <c r="BX916" s="16">
        <f>COUNTIF($BC$6:BU916, "=0") / COUNTIF($BC$6:BU916, "&gt;-1")</f>
        <v>0.25114102490034085</v>
      </c>
      <c r="BY916" s="18">
        <f>SUM($BC$6:BU916) / $BY$4</f>
        <v>0.93137088990825101</v>
      </c>
      <c r="BZ916" s="14">
        <f t="shared" si="60"/>
        <v>12</v>
      </c>
      <c r="CA916" t="s">
        <v>5832</v>
      </c>
      <c r="CZ916" t="s">
        <v>12992</v>
      </c>
      <c r="DA916" t="s">
        <v>5904</v>
      </c>
      <c r="DB916">
        <v>812.8</v>
      </c>
      <c r="DC916" t="s">
        <v>34537</v>
      </c>
      <c r="DD916" t="s">
        <v>34538</v>
      </c>
      <c r="DE916" t="s">
        <v>34539</v>
      </c>
      <c r="DF916" t="s">
        <v>34540</v>
      </c>
      <c r="DG916" t="s">
        <v>34541</v>
      </c>
      <c r="DH916" t="str">
        <f>"ACTR2"</f>
        <v>ACTR2</v>
      </c>
      <c r="DI916" t="s">
        <v>31991</v>
      </c>
      <c r="DJ916" t="s">
        <v>13777</v>
      </c>
      <c r="DK916">
        <v>9606</v>
      </c>
      <c r="DL916" s="34" t="str">
        <f>HYPERLINK("http://www.uniprot.org/uniprot/P61160", "P61160")</f>
        <v>P61160</v>
      </c>
      <c r="DM916" t="s">
        <v>34542</v>
      </c>
      <c r="DN916" t="s">
        <v>13772</v>
      </c>
      <c r="DO916" t="s">
        <v>18178</v>
      </c>
      <c r="DP916" t="s">
        <v>13841</v>
      </c>
      <c r="DQ916" t="s">
        <v>13772</v>
      </c>
      <c r="DR916" t="s">
        <v>13772</v>
      </c>
      <c r="DS916" t="s">
        <v>13772</v>
      </c>
      <c r="DT916" t="s">
        <v>14005</v>
      </c>
      <c r="DU916" t="s">
        <v>13990</v>
      </c>
      <c r="DV916" t="s">
        <v>14020</v>
      </c>
      <c r="DW916" t="s">
        <v>13772</v>
      </c>
      <c r="DX916" t="s">
        <v>34543</v>
      </c>
      <c r="DY916" t="s">
        <v>34544</v>
      </c>
      <c r="DZ916" t="s">
        <v>22937</v>
      </c>
      <c r="EA916" t="s">
        <v>13772</v>
      </c>
      <c r="EB916" t="s">
        <v>30978</v>
      </c>
    </row>
    <row r="917" spans="1:132" hidden="1">
      <c r="A917">
        <v>2258</v>
      </c>
      <c r="B917">
        <v>1</v>
      </c>
      <c r="C917" t="s">
        <v>5277</v>
      </c>
      <c r="D917" t="s">
        <v>73</v>
      </c>
      <c r="E917" t="s">
        <v>73</v>
      </c>
      <c r="F917" t="s">
        <v>73</v>
      </c>
      <c r="G917" t="s">
        <v>73</v>
      </c>
      <c r="H917">
        <v>33.9</v>
      </c>
      <c r="I917">
        <v>224</v>
      </c>
      <c r="J917">
        <v>24983</v>
      </c>
      <c r="K917" t="s">
        <v>5278</v>
      </c>
      <c r="L917">
        <f t="shared" si="58"/>
        <v>30</v>
      </c>
      <c r="N917">
        <v>30</v>
      </c>
      <c r="O917">
        <v>30</v>
      </c>
      <c r="P917">
        <v>1</v>
      </c>
      <c r="Q917">
        <v>1</v>
      </c>
      <c r="R917">
        <v>4</v>
      </c>
      <c r="S917">
        <v>3</v>
      </c>
      <c r="T917">
        <v>0</v>
      </c>
      <c r="U917">
        <v>5</v>
      </c>
      <c r="V917">
        <v>2</v>
      </c>
      <c r="W917">
        <v>1</v>
      </c>
      <c r="X917">
        <v>0</v>
      </c>
      <c r="Y917">
        <v>4</v>
      </c>
      <c r="Z917">
        <v>0</v>
      </c>
      <c r="AA917">
        <v>1</v>
      </c>
      <c r="AB917">
        <v>1</v>
      </c>
      <c r="AC917">
        <v>2</v>
      </c>
      <c r="AD917">
        <v>0</v>
      </c>
      <c r="AE917">
        <v>1</v>
      </c>
      <c r="AF917">
        <v>3</v>
      </c>
      <c r="AG917">
        <v>1</v>
      </c>
      <c r="AH917">
        <v>1</v>
      </c>
      <c r="AI917">
        <v>0</v>
      </c>
      <c r="AJ917">
        <v>1</v>
      </c>
      <c r="AK917">
        <v>4</v>
      </c>
      <c r="AL917">
        <v>3</v>
      </c>
      <c r="AM917">
        <v>0</v>
      </c>
      <c r="AN917">
        <v>5</v>
      </c>
      <c r="AO917">
        <v>2</v>
      </c>
      <c r="AP917">
        <v>1</v>
      </c>
      <c r="AQ917">
        <v>0</v>
      </c>
      <c r="AR917">
        <v>4</v>
      </c>
      <c r="AS917">
        <v>0</v>
      </c>
      <c r="AT917">
        <v>1</v>
      </c>
      <c r="AU917">
        <v>1</v>
      </c>
      <c r="AV917">
        <v>2</v>
      </c>
      <c r="AW917">
        <v>0</v>
      </c>
      <c r="AX917">
        <v>1</v>
      </c>
      <c r="AY917">
        <v>3</v>
      </c>
      <c r="AZ917">
        <v>1</v>
      </c>
      <c r="BA917">
        <v>1</v>
      </c>
      <c r="BB917">
        <v>0</v>
      </c>
      <c r="BC917" s="2">
        <v>1</v>
      </c>
      <c r="BD917" s="2">
        <v>4</v>
      </c>
      <c r="BE917" s="2">
        <v>3</v>
      </c>
      <c r="BF917" s="2">
        <v>0</v>
      </c>
      <c r="BG917" s="2">
        <v>5</v>
      </c>
      <c r="BH917" s="2">
        <v>2</v>
      </c>
      <c r="BI917" s="2">
        <v>1</v>
      </c>
      <c r="BJ917" s="2">
        <v>0</v>
      </c>
      <c r="BK917" s="2">
        <v>4</v>
      </c>
      <c r="BL917" s="2">
        <v>0</v>
      </c>
      <c r="BM917" s="2">
        <v>1</v>
      </c>
      <c r="BN917" s="2">
        <v>1</v>
      </c>
      <c r="BO917" s="2">
        <v>2</v>
      </c>
      <c r="BP917" s="2">
        <v>0</v>
      </c>
      <c r="BQ917" s="2">
        <v>1</v>
      </c>
      <c r="BR917" s="2">
        <v>3</v>
      </c>
      <c r="BS917" s="2">
        <v>1</v>
      </c>
      <c r="BT917" s="2">
        <v>1</v>
      </c>
      <c r="BU917" s="2">
        <v>0</v>
      </c>
      <c r="BV917" s="2">
        <f t="shared" si="61"/>
        <v>30</v>
      </c>
      <c r="BW917" s="16">
        <f t="shared" si="59"/>
        <v>1.5789473684210527</v>
      </c>
      <c r="BX917" s="16">
        <f>COUNTIF($BC$6:BU917, "=0") / COUNTIF($BC$6:BU917, "&gt;-1")</f>
        <v>0.25115420129270544</v>
      </c>
      <c r="BY917" s="18">
        <f>SUM($BC$6:BU917) / $BY$4</f>
        <v>0.931499399014312</v>
      </c>
      <c r="BZ917" s="14">
        <f t="shared" si="60"/>
        <v>5</v>
      </c>
      <c r="CA917" t="s">
        <v>5832</v>
      </c>
      <c r="CZ917" t="s">
        <v>13271</v>
      </c>
      <c r="DA917" t="s">
        <v>5904</v>
      </c>
      <c r="DB917">
        <v>439.9</v>
      </c>
      <c r="DC917" t="s">
        <v>35335</v>
      </c>
      <c r="DD917" t="s">
        <v>35336</v>
      </c>
      <c r="DE917" t="s">
        <v>35337</v>
      </c>
      <c r="DF917" t="s">
        <v>35338</v>
      </c>
      <c r="DG917" t="s">
        <v>35339</v>
      </c>
      <c r="DH917" t="str">
        <f>"CHMP4B"</f>
        <v>CHMP4B</v>
      </c>
      <c r="DI917" t="s">
        <v>35340</v>
      </c>
      <c r="DJ917" t="s">
        <v>13777</v>
      </c>
      <c r="DK917">
        <v>9606</v>
      </c>
      <c r="DL917" s="34" t="str">
        <f>HYPERLINK("http://www.uniprot.org/uniprot/Q9H444", "Q9H444")</f>
        <v>Q9H444</v>
      </c>
      <c r="DM917" t="s">
        <v>35341</v>
      </c>
      <c r="DN917" t="s">
        <v>14347</v>
      </c>
      <c r="DO917" t="s">
        <v>35342</v>
      </c>
      <c r="DP917" t="s">
        <v>13772</v>
      </c>
      <c r="DQ917" t="s">
        <v>13772</v>
      </c>
      <c r="DR917" t="s">
        <v>14004</v>
      </c>
      <c r="DS917" t="s">
        <v>14245</v>
      </c>
      <c r="DT917" t="s">
        <v>13772</v>
      </c>
      <c r="DU917" t="s">
        <v>13772</v>
      </c>
      <c r="DV917" t="s">
        <v>19111</v>
      </c>
      <c r="DW917" t="s">
        <v>13812</v>
      </c>
      <c r="DX917" t="s">
        <v>35343</v>
      </c>
      <c r="DY917" t="s">
        <v>35344</v>
      </c>
      <c r="DZ917" t="s">
        <v>35345</v>
      </c>
      <c r="EA917" t="s">
        <v>13772</v>
      </c>
      <c r="EB917" t="s">
        <v>35346</v>
      </c>
    </row>
    <row r="918" spans="1:132" hidden="1">
      <c r="A918">
        <v>1682</v>
      </c>
      <c r="B918">
        <v>1</v>
      </c>
      <c r="C918" t="s">
        <v>3988</v>
      </c>
      <c r="D918" t="s">
        <v>73</v>
      </c>
      <c r="E918" t="s">
        <v>73</v>
      </c>
      <c r="F918" t="s">
        <v>3140</v>
      </c>
      <c r="G918" t="s">
        <v>73</v>
      </c>
      <c r="H918">
        <v>36.200000000000003</v>
      </c>
      <c r="I918">
        <v>298</v>
      </c>
      <c r="J918">
        <v>32949</v>
      </c>
      <c r="K918" t="s">
        <v>3989</v>
      </c>
      <c r="L918">
        <f t="shared" si="58"/>
        <v>47</v>
      </c>
      <c r="N918">
        <v>47</v>
      </c>
      <c r="O918">
        <v>13</v>
      </c>
      <c r="P918">
        <v>0.27700000000000002</v>
      </c>
      <c r="Q918">
        <v>1</v>
      </c>
      <c r="R918">
        <v>6</v>
      </c>
      <c r="S918">
        <v>1</v>
      </c>
      <c r="T918">
        <v>2</v>
      </c>
      <c r="U918">
        <v>5</v>
      </c>
      <c r="V918">
        <v>2</v>
      </c>
      <c r="W918">
        <v>0</v>
      </c>
      <c r="X918">
        <v>3</v>
      </c>
      <c r="Y918">
        <v>0</v>
      </c>
      <c r="Z918">
        <v>0</v>
      </c>
      <c r="AA918">
        <v>9</v>
      </c>
      <c r="AB918">
        <v>8</v>
      </c>
      <c r="AC918">
        <v>4</v>
      </c>
      <c r="AD918">
        <v>0</v>
      </c>
      <c r="AE918">
        <v>0</v>
      </c>
      <c r="AF918">
        <v>4</v>
      </c>
      <c r="AG918">
        <v>2</v>
      </c>
      <c r="AH918">
        <v>0</v>
      </c>
      <c r="AI918">
        <v>0</v>
      </c>
      <c r="AJ918">
        <v>0</v>
      </c>
      <c r="AK918">
        <v>2</v>
      </c>
      <c r="AL918">
        <v>0</v>
      </c>
      <c r="AM918">
        <v>0</v>
      </c>
      <c r="AN918">
        <v>2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2</v>
      </c>
      <c r="AU918">
        <v>2</v>
      </c>
      <c r="AV918">
        <v>0</v>
      </c>
      <c r="AW918">
        <v>0</v>
      </c>
      <c r="AX918">
        <v>0</v>
      </c>
      <c r="AY918">
        <v>2</v>
      </c>
      <c r="AZ918">
        <v>1</v>
      </c>
      <c r="BA918">
        <v>0</v>
      </c>
      <c r="BB918">
        <v>0</v>
      </c>
      <c r="BC918" s="2">
        <v>0.33300000000000002</v>
      </c>
      <c r="BD918" s="2">
        <v>3.867</v>
      </c>
      <c r="BE918" s="2">
        <v>0.33300000000000002</v>
      </c>
      <c r="BF918" s="2">
        <v>0.66700000000000004</v>
      </c>
      <c r="BG918" s="2">
        <v>3.6669999999999998</v>
      </c>
      <c r="BH918" s="2">
        <v>1.5</v>
      </c>
      <c r="BI918" s="2">
        <v>0</v>
      </c>
      <c r="BJ918" s="2">
        <v>1.667</v>
      </c>
      <c r="BK918" s="2">
        <v>0</v>
      </c>
      <c r="BL918" s="2">
        <v>0</v>
      </c>
      <c r="BM918" s="2">
        <v>6.6669999999999998</v>
      </c>
      <c r="BN918" s="2">
        <v>6</v>
      </c>
      <c r="BO918" s="2">
        <v>0</v>
      </c>
      <c r="BP918" s="2">
        <v>0</v>
      </c>
      <c r="BQ918" s="2">
        <v>0</v>
      </c>
      <c r="BR918" s="2">
        <v>3.3330000000000002</v>
      </c>
      <c r="BS918" s="2">
        <v>1.5</v>
      </c>
      <c r="BT918" s="2">
        <v>0</v>
      </c>
      <c r="BU918" s="2">
        <v>0</v>
      </c>
      <c r="BV918" s="2">
        <f t="shared" si="61"/>
        <v>29.533999999999999</v>
      </c>
      <c r="BW918" s="16">
        <f t="shared" si="59"/>
        <v>1.5544210526315789</v>
      </c>
      <c r="BX918" s="16">
        <f>COUNTIF($BC$6:BU918, "=0") / COUNTIF($BC$6:BU918, "&gt;-1")</f>
        <v>0.25134028938721392</v>
      </c>
      <c r="BY918" s="18">
        <f>SUM($BC$6:BU918) / $BY$4</f>
        <v>0.93162591194559219</v>
      </c>
      <c r="BZ918" s="14">
        <f t="shared" si="60"/>
        <v>8</v>
      </c>
      <c r="CA918" t="s">
        <v>5832</v>
      </c>
      <c r="CZ918" t="s">
        <v>11359</v>
      </c>
      <c r="DA918" t="s">
        <v>5904</v>
      </c>
      <c r="DB918">
        <v>597</v>
      </c>
      <c r="DC918" t="s">
        <v>29935</v>
      </c>
      <c r="DD918" t="s">
        <v>29936</v>
      </c>
      <c r="DE918" t="s">
        <v>29937</v>
      </c>
      <c r="DF918" t="s">
        <v>29938</v>
      </c>
      <c r="DG918" t="s">
        <v>29939</v>
      </c>
      <c r="DH918" t="str">
        <f>"SLC25A5"</f>
        <v>SLC25A5</v>
      </c>
      <c r="DI918" t="s">
        <v>29940</v>
      </c>
      <c r="DJ918" t="s">
        <v>13777</v>
      </c>
      <c r="DK918">
        <v>9606</v>
      </c>
      <c r="DL918" s="34" t="str">
        <f>HYPERLINK("http://www.uniprot.org/uniprot/P05141", "P05141")</f>
        <v>P05141</v>
      </c>
      <c r="DM918" t="s">
        <v>29941</v>
      </c>
      <c r="DN918" t="s">
        <v>29942</v>
      </c>
      <c r="DO918" t="s">
        <v>15507</v>
      </c>
      <c r="DP918" t="s">
        <v>13793</v>
      </c>
      <c r="DQ918" t="s">
        <v>13772</v>
      </c>
      <c r="DR918" t="s">
        <v>13772</v>
      </c>
      <c r="DS918" t="s">
        <v>16604</v>
      </c>
      <c r="DT918" t="s">
        <v>13772</v>
      </c>
      <c r="DU918" t="s">
        <v>13772</v>
      </c>
      <c r="DV918" t="s">
        <v>14098</v>
      </c>
      <c r="DW918" t="s">
        <v>13772</v>
      </c>
      <c r="DX918" t="s">
        <v>29943</v>
      </c>
      <c r="DY918" t="s">
        <v>29944</v>
      </c>
      <c r="DZ918" t="s">
        <v>29945</v>
      </c>
      <c r="EA918" t="s">
        <v>13772</v>
      </c>
      <c r="EB918" t="s">
        <v>29946</v>
      </c>
    </row>
    <row r="919" spans="1:132" hidden="1">
      <c r="A919">
        <v>1890</v>
      </c>
      <c r="B919">
        <v>1</v>
      </c>
      <c r="C919" t="s">
        <v>4461</v>
      </c>
      <c r="D919" t="s">
        <v>73</v>
      </c>
      <c r="E919" t="s">
        <v>73</v>
      </c>
      <c r="F919" t="s">
        <v>4462</v>
      </c>
      <c r="G919" t="s">
        <v>73</v>
      </c>
      <c r="H919">
        <v>31.5</v>
      </c>
      <c r="I919">
        <v>340</v>
      </c>
      <c r="J919">
        <v>37331</v>
      </c>
      <c r="K919" t="s">
        <v>4463</v>
      </c>
      <c r="L919">
        <f t="shared" si="58"/>
        <v>50</v>
      </c>
      <c r="N919">
        <v>50</v>
      </c>
      <c r="O919">
        <v>15</v>
      </c>
      <c r="P919">
        <v>0.3</v>
      </c>
      <c r="Q919">
        <v>4</v>
      </c>
      <c r="R919">
        <v>4</v>
      </c>
      <c r="S919">
        <v>5</v>
      </c>
      <c r="T919">
        <v>3</v>
      </c>
      <c r="U919">
        <v>9</v>
      </c>
      <c r="V919">
        <v>6</v>
      </c>
      <c r="W919">
        <v>3</v>
      </c>
      <c r="X919">
        <v>0</v>
      </c>
      <c r="Y919">
        <v>1</v>
      </c>
      <c r="Z919">
        <v>0</v>
      </c>
      <c r="AA919">
        <v>5</v>
      </c>
      <c r="AB919">
        <v>5</v>
      </c>
      <c r="AC919">
        <v>2</v>
      </c>
      <c r="AD919">
        <v>0</v>
      </c>
      <c r="AE919">
        <v>0</v>
      </c>
      <c r="AF919">
        <v>3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2</v>
      </c>
      <c r="AN919">
        <v>1</v>
      </c>
      <c r="AO919">
        <v>2</v>
      </c>
      <c r="AP919">
        <v>1</v>
      </c>
      <c r="AQ919">
        <v>0</v>
      </c>
      <c r="AR919">
        <v>1</v>
      </c>
      <c r="AS919">
        <v>0</v>
      </c>
      <c r="AT919">
        <v>2</v>
      </c>
      <c r="AU919">
        <v>2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 s="2">
        <v>2</v>
      </c>
      <c r="BD919" s="2">
        <v>1.75</v>
      </c>
      <c r="BE919" s="2">
        <v>2.3330000000000002</v>
      </c>
      <c r="BF919" s="2">
        <v>3</v>
      </c>
      <c r="BG919" s="2">
        <v>2.6</v>
      </c>
      <c r="BH919" s="2">
        <v>3.3330000000000002</v>
      </c>
      <c r="BI919" s="2">
        <v>2</v>
      </c>
      <c r="BJ919" s="2">
        <v>0</v>
      </c>
      <c r="BK919" s="2">
        <v>1</v>
      </c>
      <c r="BL919" s="2">
        <v>0</v>
      </c>
      <c r="BM919" s="2">
        <v>3.5</v>
      </c>
      <c r="BN919" s="2">
        <v>5</v>
      </c>
      <c r="BO919" s="2">
        <v>0</v>
      </c>
      <c r="BP919" s="2">
        <v>0</v>
      </c>
      <c r="BQ919" s="2">
        <v>0</v>
      </c>
      <c r="BR919" s="2">
        <v>3</v>
      </c>
      <c r="BS919" s="2">
        <v>0</v>
      </c>
      <c r="BT919" s="2">
        <v>0</v>
      </c>
      <c r="BU919" s="2">
        <v>0</v>
      </c>
      <c r="BV919" s="2">
        <f t="shared" si="61"/>
        <v>29.515999999999998</v>
      </c>
      <c r="BW919" s="16">
        <f t="shared" si="59"/>
        <v>1.5534736842105261</v>
      </c>
      <c r="BX919" s="16">
        <f>COUNTIF($BC$6:BU919, "=0") / COUNTIF($BC$6:BU919, "&gt;-1")</f>
        <v>0.25152597028676726</v>
      </c>
      <c r="BY919" s="18">
        <f>SUM($BC$6:BU919) / $BY$4</f>
        <v>0.93175234777140881</v>
      </c>
      <c r="BZ919" s="14">
        <f t="shared" si="60"/>
        <v>8</v>
      </c>
      <c r="CA919" t="s">
        <v>5832</v>
      </c>
      <c r="CZ919" t="s">
        <v>12059</v>
      </c>
      <c r="DA919" t="s">
        <v>5904</v>
      </c>
      <c r="DB919">
        <v>702.6</v>
      </c>
      <c r="DC919" t="s">
        <v>31917</v>
      </c>
      <c r="DD919" t="s">
        <v>31918</v>
      </c>
      <c r="DE919" t="s">
        <v>31919</v>
      </c>
      <c r="DF919" t="s">
        <v>31920</v>
      </c>
      <c r="DG919" t="s">
        <v>31921</v>
      </c>
      <c r="DH919" t="str">
        <f>"GNB2"</f>
        <v>GNB2</v>
      </c>
      <c r="DI919" t="s">
        <v>13772</v>
      </c>
      <c r="DJ919" t="s">
        <v>13777</v>
      </c>
      <c r="DK919">
        <v>9606</v>
      </c>
      <c r="DL919" s="34" t="str">
        <f>HYPERLINK("http://www.uniprot.org/uniprot/P62879", "P62879")</f>
        <v>P62879</v>
      </c>
      <c r="DM919" t="s">
        <v>31922</v>
      </c>
      <c r="DN919" t="s">
        <v>13772</v>
      </c>
      <c r="DO919" t="s">
        <v>13899</v>
      </c>
      <c r="DP919" t="s">
        <v>13841</v>
      </c>
      <c r="DQ919" t="s">
        <v>13772</v>
      </c>
      <c r="DR919" t="s">
        <v>13772</v>
      </c>
      <c r="DS919" t="s">
        <v>23494</v>
      </c>
      <c r="DT919" t="s">
        <v>13772</v>
      </c>
      <c r="DU919" t="s">
        <v>16883</v>
      </c>
      <c r="DV919" t="s">
        <v>13886</v>
      </c>
      <c r="DW919" t="s">
        <v>13772</v>
      </c>
      <c r="DX919" t="s">
        <v>31923</v>
      </c>
      <c r="DY919" t="s">
        <v>31924</v>
      </c>
      <c r="DZ919" t="s">
        <v>31925</v>
      </c>
      <c r="EA919" t="s">
        <v>13772</v>
      </c>
      <c r="EB919" t="s">
        <v>30880</v>
      </c>
    </row>
    <row r="920" spans="1:132" hidden="1">
      <c r="A920">
        <v>415</v>
      </c>
      <c r="B920">
        <v>1</v>
      </c>
      <c r="C920" t="s">
        <v>1040</v>
      </c>
      <c r="D920" t="s">
        <v>73</v>
      </c>
      <c r="E920" t="s">
        <v>73</v>
      </c>
      <c r="F920" t="s">
        <v>1041</v>
      </c>
      <c r="G920" t="s">
        <v>73</v>
      </c>
      <c r="H920">
        <v>47.2</v>
      </c>
      <c r="I920">
        <v>303</v>
      </c>
      <c r="J920">
        <v>33798</v>
      </c>
      <c r="K920" t="s">
        <v>1042</v>
      </c>
      <c r="L920">
        <f t="shared" si="58"/>
        <v>31</v>
      </c>
      <c r="N920">
        <v>31</v>
      </c>
      <c r="O920">
        <v>29</v>
      </c>
      <c r="P920">
        <v>0.93500000000000005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1</v>
      </c>
      <c r="W920">
        <v>0</v>
      </c>
      <c r="X920">
        <v>1</v>
      </c>
      <c r="Y920">
        <v>9</v>
      </c>
      <c r="Z920">
        <v>0</v>
      </c>
      <c r="AA920">
        <v>8</v>
      </c>
      <c r="AB920">
        <v>0</v>
      </c>
      <c r="AC920">
        <v>2</v>
      </c>
      <c r="AD920">
        <v>0</v>
      </c>
      <c r="AE920">
        <v>4</v>
      </c>
      <c r="AF920">
        <v>3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0</v>
      </c>
      <c r="AR920">
        <v>9</v>
      </c>
      <c r="AS920">
        <v>0</v>
      </c>
      <c r="AT920">
        <v>8</v>
      </c>
      <c r="AU920">
        <v>0</v>
      </c>
      <c r="AV920">
        <v>2</v>
      </c>
      <c r="AW920">
        <v>0</v>
      </c>
      <c r="AX920">
        <v>4</v>
      </c>
      <c r="AY920">
        <v>3</v>
      </c>
      <c r="AZ920">
        <v>1</v>
      </c>
      <c r="BA920">
        <v>0</v>
      </c>
      <c r="BB920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1.244</v>
      </c>
      <c r="BH920" s="2">
        <v>1</v>
      </c>
      <c r="BI920" s="2">
        <v>0</v>
      </c>
      <c r="BJ920" s="2">
        <v>0.24399999999999999</v>
      </c>
      <c r="BK920" s="2">
        <v>9</v>
      </c>
      <c r="BL920" s="2">
        <v>0</v>
      </c>
      <c r="BM920" s="2">
        <v>8</v>
      </c>
      <c r="BN920" s="2">
        <v>0</v>
      </c>
      <c r="BO920" s="2">
        <v>2</v>
      </c>
      <c r="BP920" s="2">
        <v>0</v>
      </c>
      <c r="BQ920" s="2">
        <v>4</v>
      </c>
      <c r="BR920" s="2">
        <v>3</v>
      </c>
      <c r="BS920" s="2">
        <v>1</v>
      </c>
      <c r="BT920" s="2">
        <v>0</v>
      </c>
      <c r="BU920" s="2">
        <v>0</v>
      </c>
      <c r="BV920" s="2">
        <f t="shared" si="61"/>
        <v>29.488</v>
      </c>
      <c r="BW920" s="16">
        <f t="shared" si="59"/>
        <v>1.552</v>
      </c>
      <c r="BX920" s="16">
        <f>COUNTIF($BC$6:BU920, "=0") / COUNTIF($BC$6:BU920, "&gt;-1")</f>
        <v>0.25182628702904802</v>
      </c>
      <c r="BY920" s="18">
        <f>SUM($BC$6:BU920) / $BY$4</f>
        <v>0.93187866365539318</v>
      </c>
      <c r="BZ920" s="14">
        <f t="shared" si="60"/>
        <v>10</v>
      </c>
      <c r="CA920" t="s">
        <v>5832</v>
      </c>
      <c r="CZ920" t="s">
        <v>7141</v>
      </c>
      <c r="DA920" t="s">
        <v>5904</v>
      </c>
      <c r="DB920">
        <v>620.20000000000005</v>
      </c>
      <c r="DC920" t="s">
        <v>17784</v>
      </c>
      <c r="DD920" t="s">
        <v>13772</v>
      </c>
      <c r="DE920" t="s">
        <v>17785</v>
      </c>
      <c r="DF920" t="s">
        <v>17786</v>
      </c>
      <c r="DG920" t="s">
        <v>17787</v>
      </c>
      <c r="DH920" t="str">
        <f>"CRKL"</f>
        <v>CRKL</v>
      </c>
      <c r="DI920" t="s">
        <v>13772</v>
      </c>
      <c r="DJ920" t="s">
        <v>13777</v>
      </c>
      <c r="DK920">
        <v>9606</v>
      </c>
      <c r="DL920" s="34" t="str">
        <f>HYPERLINK("http://www.uniprot.org/uniprot/P46109", "P46109")</f>
        <v>P46109</v>
      </c>
      <c r="DM920" t="s">
        <v>17788</v>
      </c>
      <c r="DN920" t="s">
        <v>13772</v>
      </c>
      <c r="DO920" t="s">
        <v>13772</v>
      </c>
      <c r="DP920" t="s">
        <v>13772</v>
      </c>
      <c r="DQ920" t="s">
        <v>13772</v>
      </c>
      <c r="DR920" t="s">
        <v>13772</v>
      </c>
      <c r="DS920" t="s">
        <v>17789</v>
      </c>
      <c r="DT920" t="s">
        <v>13772</v>
      </c>
      <c r="DU920" t="s">
        <v>13772</v>
      </c>
      <c r="DV920" t="s">
        <v>13782</v>
      </c>
      <c r="DW920" t="s">
        <v>13812</v>
      </c>
      <c r="DX920" t="s">
        <v>17790</v>
      </c>
      <c r="DY920" t="s">
        <v>17791</v>
      </c>
      <c r="DZ920" t="s">
        <v>17792</v>
      </c>
      <c r="EA920" t="s">
        <v>13772</v>
      </c>
      <c r="EB920" t="s">
        <v>17793</v>
      </c>
    </row>
    <row r="921" spans="1:132" hidden="1">
      <c r="A921">
        <v>1639</v>
      </c>
      <c r="B921">
        <v>1</v>
      </c>
      <c r="C921" t="s">
        <v>3886</v>
      </c>
      <c r="D921" t="s">
        <v>73</v>
      </c>
      <c r="E921" t="s">
        <v>73</v>
      </c>
      <c r="F921" t="s">
        <v>3884</v>
      </c>
      <c r="G921" t="s">
        <v>73</v>
      </c>
      <c r="H921">
        <v>58.4</v>
      </c>
      <c r="I921">
        <v>185</v>
      </c>
      <c r="J921">
        <v>18687</v>
      </c>
      <c r="K921" t="s">
        <v>3887</v>
      </c>
      <c r="L921">
        <f t="shared" si="58"/>
        <v>89</v>
      </c>
      <c r="N921">
        <v>89</v>
      </c>
      <c r="O921">
        <v>9</v>
      </c>
      <c r="P921">
        <v>0.10100000000000001</v>
      </c>
      <c r="Q921">
        <v>8</v>
      </c>
      <c r="R921">
        <v>5</v>
      </c>
      <c r="S921">
        <v>6</v>
      </c>
      <c r="T921">
        <v>7</v>
      </c>
      <c r="U921">
        <v>4</v>
      </c>
      <c r="V921">
        <v>10</v>
      </c>
      <c r="W921">
        <v>8</v>
      </c>
      <c r="X921">
        <v>6</v>
      </c>
      <c r="Y921">
        <v>2</v>
      </c>
      <c r="Z921">
        <v>0</v>
      </c>
      <c r="AA921">
        <v>4</v>
      </c>
      <c r="AB921">
        <v>7</v>
      </c>
      <c r="AC921">
        <v>5</v>
      </c>
      <c r="AD921">
        <v>0</v>
      </c>
      <c r="AE921">
        <v>2</v>
      </c>
      <c r="AF921">
        <v>3</v>
      </c>
      <c r="AG921">
        <v>7</v>
      </c>
      <c r="AH921">
        <v>0</v>
      </c>
      <c r="AI921">
        <v>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2</v>
      </c>
      <c r="AZ921">
        <v>1</v>
      </c>
      <c r="BA921">
        <v>0</v>
      </c>
      <c r="BB921">
        <v>2</v>
      </c>
      <c r="BC921" s="2">
        <v>4</v>
      </c>
      <c r="BD921" s="2">
        <v>0</v>
      </c>
      <c r="BE921" s="2">
        <v>3</v>
      </c>
      <c r="BF921" s="2">
        <v>3.5</v>
      </c>
      <c r="BG921" s="2">
        <v>2</v>
      </c>
      <c r="BH921" s="2">
        <v>2.5</v>
      </c>
      <c r="BI921" s="2">
        <v>1.875</v>
      </c>
      <c r="BJ921" s="2">
        <v>1.625</v>
      </c>
      <c r="BK921" s="2">
        <v>0</v>
      </c>
      <c r="BL921" s="2">
        <v>0</v>
      </c>
      <c r="BM921" s="2">
        <v>0</v>
      </c>
      <c r="BN921" s="2">
        <v>4</v>
      </c>
      <c r="BO921" s="2">
        <v>0</v>
      </c>
      <c r="BP921" s="2">
        <v>0</v>
      </c>
      <c r="BQ921" s="2">
        <v>0</v>
      </c>
      <c r="BR921" s="2">
        <v>2.1819999999999999</v>
      </c>
      <c r="BS921" s="2">
        <v>1.75</v>
      </c>
      <c r="BT921" s="2">
        <v>0</v>
      </c>
      <c r="BU921" s="2">
        <v>2.6669999999999998</v>
      </c>
      <c r="BV921" s="2">
        <f t="shared" si="61"/>
        <v>29.098999999999997</v>
      </c>
      <c r="BW921" s="16">
        <f t="shared" si="59"/>
        <v>1.5315263157894734</v>
      </c>
      <c r="BX921" s="16">
        <f>COUNTIF($BC$6:BU921, "=0") / COUNTIF($BC$6:BU921, "&gt;-1")</f>
        <v>0.2520110319466789</v>
      </c>
      <c r="BY921" s="18">
        <f>SUM($BC$6:BU921) / $BY$4</f>
        <v>0.93200331320463536</v>
      </c>
      <c r="BZ921" s="14">
        <f t="shared" si="60"/>
        <v>8</v>
      </c>
      <c r="CA921" t="s">
        <v>5832</v>
      </c>
      <c r="CZ921" t="s">
        <v>11207</v>
      </c>
      <c r="DA921" t="s">
        <v>5904</v>
      </c>
      <c r="DB921">
        <v>103.6</v>
      </c>
      <c r="DC921" t="s">
        <v>29498</v>
      </c>
      <c r="DD921" t="s">
        <v>29499</v>
      </c>
      <c r="DE921" t="s">
        <v>29500</v>
      </c>
      <c r="DF921" t="s">
        <v>29501</v>
      </c>
      <c r="DG921" t="s">
        <v>29502</v>
      </c>
      <c r="DH921" t="str">
        <f>"CD99"</f>
        <v>CD99</v>
      </c>
      <c r="DI921" t="s">
        <v>29503</v>
      </c>
      <c r="DJ921" t="s">
        <v>13777</v>
      </c>
      <c r="DK921">
        <v>9606</v>
      </c>
      <c r="DL921" s="34" t="str">
        <f>HYPERLINK("http://www.uniprot.org/uniprot/P14209", "P14209")</f>
        <v>P14209</v>
      </c>
      <c r="DM921" t="s">
        <v>29504</v>
      </c>
      <c r="DN921" t="s">
        <v>13949</v>
      </c>
      <c r="DO921" t="s">
        <v>13825</v>
      </c>
      <c r="DP921" t="s">
        <v>13780</v>
      </c>
      <c r="DQ921" t="s">
        <v>13772</v>
      </c>
      <c r="DR921" t="s">
        <v>13772</v>
      </c>
      <c r="DS921" t="s">
        <v>13855</v>
      </c>
      <c r="DT921" t="s">
        <v>13772</v>
      </c>
      <c r="DU921" t="s">
        <v>13772</v>
      </c>
      <c r="DV921" t="s">
        <v>13978</v>
      </c>
      <c r="DW921" t="s">
        <v>13772</v>
      </c>
      <c r="DX921" t="s">
        <v>29505</v>
      </c>
      <c r="DY921" t="s">
        <v>29506</v>
      </c>
      <c r="DZ921" t="s">
        <v>13772</v>
      </c>
      <c r="EA921" t="s">
        <v>13772</v>
      </c>
      <c r="EB921" t="s">
        <v>18850</v>
      </c>
    </row>
    <row r="922" spans="1:132" hidden="1">
      <c r="A922">
        <v>157</v>
      </c>
      <c r="B922">
        <v>1</v>
      </c>
      <c r="C922" t="s">
        <v>399</v>
      </c>
      <c r="D922" t="s">
        <v>73</v>
      </c>
      <c r="E922" t="s">
        <v>73</v>
      </c>
      <c r="F922" t="s">
        <v>73</v>
      </c>
      <c r="G922" t="s">
        <v>73</v>
      </c>
      <c r="H922">
        <v>22</v>
      </c>
      <c r="I922">
        <v>640</v>
      </c>
      <c r="J922">
        <v>70737</v>
      </c>
      <c r="K922" t="s">
        <v>400</v>
      </c>
      <c r="L922">
        <f t="shared" si="58"/>
        <v>29</v>
      </c>
      <c r="N922">
        <v>29</v>
      </c>
      <c r="O922">
        <v>29</v>
      </c>
      <c r="P922">
        <v>1</v>
      </c>
      <c r="Q922">
        <v>1</v>
      </c>
      <c r="R922">
        <v>6</v>
      </c>
      <c r="S922">
        <v>1</v>
      </c>
      <c r="T922">
        <v>0</v>
      </c>
      <c r="U922">
        <v>10</v>
      </c>
      <c r="V922">
        <v>5</v>
      </c>
      <c r="W922">
        <v>0</v>
      </c>
      <c r="X922">
        <v>3</v>
      </c>
      <c r="Y922">
        <v>0</v>
      </c>
      <c r="Z922">
        <v>0</v>
      </c>
      <c r="AA922">
        <v>1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6</v>
      </c>
      <c r="AL922">
        <v>1</v>
      </c>
      <c r="AM922">
        <v>0</v>
      </c>
      <c r="AN922">
        <v>10</v>
      </c>
      <c r="AO922">
        <v>5</v>
      </c>
      <c r="AP922">
        <v>0</v>
      </c>
      <c r="AQ922">
        <v>3</v>
      </c>
      <c r="AR922">
        <v>0</v>
      </c>
      <c r="AS922">
        <v>0</v>
      </c>
      <c r="AT922">
        <v>1</v>
      </c>
      <c r="AU922">
        <v>2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 s="2">
        <v>1</v>
      </c>
      <c r="BD922" s="2">
        <v>6</v>
      </c>
      <c r="BE922" s="2">
        <v>1</v>
      </c>
      <c r="BF922" s="2">
        <v>0</v>
      </c>
      <c r="BG922" s="2">
        <v>10</v>
      </c>
      <c r="BH922" s="2">
        <v>5</v>
      </c>
      <c r="BI922" s="2">
        <v>0</v>
      </c>
      <c r="BJ922" s="2">
        <v>3</v>
      </c>
      <c r="BK922" s="2">
        <v>0</v>
      </c>
      <c r="BL922" s="2">
        <v>0</v>
      </c>
      <c r="BM922" s="2">
        <v>1</v>
      </c>
      <c r="BN922" s="2">
        <v>2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f t="shared" si="61"/>
        <v>29</v>
      </c>
      <c r="BW922" s="16">
        <f t="shared" si="59"/>
        <v>1.5263157894736843</v>
      </c>
      <c r="BX922" s="16">
        <f>COUNTIF($BC$6:BU922, "=0") / COUNTIF($BC$6:BU922, "&gt;-1")</f>
        <v>0.25236756012167821</v>
      </c>
      <c r="BY922" s="18">
        <f>SUM($BC$6:BU922) / $BY$4</f>
        <v>0.93212753867382769</v>
      </c>
      <c r="BZ922" s="14">
        <f t="shared" si="60"/>
        <v>11</v>
      </c>
      <c r="CA922" t="s">
        <v>5832</v>
      </c>
      <c r="CZ922" t="s">
        <v>6235</v>
      </c>
      <c r="DA922" t="s">
        <v>5904</v>
      </c>
      <c r="DB922">
        <v>1262.3</v>
      </c>
      <c r="DC922" t="s">
        <v>14947</v>
      </c>
      <c r="DD922" t="s">
        <v>13772</v>
      </c>
      <c r="DE922" t="s">
        <v>14948</v>
      </c>
      <c r="DF922" t="s">
        <v>14949</v>
      </c>
      <c r="DG922" t="s">
        <v>14950</v>
      </c>
      <c r="DH922" t="str">
        <f>"PCK2"</f>
        <v>PCK2</v>
      </c>
      <c r="DI922" t="s">
        <v>14951</v>
      </c>
      <c r="DJ922" t="s">
        <v>13777</v>
      </c>
      <c r="DK922">
        <v>9606</v>
      </c>
      <c r="DL922" s="34" t="str">
        <f>HYPERLINK("http://www.uniprot.org/uniprot/Q16822", "Q16822")</f>
        <v>Q16822</v>
      </c>
      <c r="DM922" t="s">
        <v>14952</v>
      </c>
      <c r="DN922" t="s">
        <v>14953</v>
      </c>
      <c r="DO922" t="s">
        <v>14491</v>
      </c>
      <c r="DP922" t="s">
        <v>13780</v>
      </c>
      <c r="DQ922" t="s">
        <v>13772</v>
      </c>
      <c r="DR922" t="s">
        <v>13772</v>
      </c>
      <c r="DS922" t="s">
        <v>14391</v>
      </c>
      <c r="DT922" t="s">
        <v>14954</v>
      </c>
      <c r="DU922" t="s">
        <v>14955</v>
      </c>
      <c r="DV922" t="s">
        <v>13886</v>
      </c>
      <c r="DW922" t="s">
        <v>13772</v>
      </c>
      <c r="DX922" t="s">
        <v>14956</v>
      </c>
      <c r="DY922" t="s">
        <v>14957</v>
      </c>
      <c r="DZ922" t="s">
        <v>14958</v>
      </c>
      <c r="EA922" t="s">
        <v>14959</v>
      </c>
      <c r="EB922" t="s">
        <v>14960</v>
      </c>
    </row>
    <row r="923" spans="1:132" hidden="1">
      <c r="A923">
        <v>159</v>
      </c>
      <c r="B923">
        <v>1</v>
      </c>
      <c r="C923" t="s">
        <v>403</v>
      </c>
      <c r="D923" t="s">
        <v>73</v>
      </c>
      <c r="E923" t="s">
        <v>73</v>
      </c>
      <c r="F923" t="s">
        <v>73</v>
      </c>
      <c r="G923" t="s">
        <v>73</v>
      </c>
      <c r="H923">
        <v>28.5</v>
      </c>
      <c r="I923">
        <v>534</v>
      </c>
      <c r="J923">
        <v>57767</v>
      </c>
      <c r="K923" t="s">
        <v>404</v>
      </c>
      <c r="L923">
        <f t="shared" si="58"/>
        <v>29</v>
      </c>
      <c r="N923">
        <v>29</v>
      </c>
      <c r="O923">
        <v>29</v>
      </c>
      <c r="P923">
        <v>1</v>
      </c>
      <c r="Q923">
        <v>0</v>
      </c>
      <c r="R923">
        <v>5</v>
      </c>
      <c r="S923">
        <v>1</v>
      </c>
      <c r="T923">
        <v>0</v>
      </c>
      <c r="U923">
        <v>12</v>
      </c>
      <c r="V923">
        <v>2</v>
      </c>
      <c r="W923">
        <v>1</v>
      </c>
      <c r="X923">
        <v>2</v>
      </c>
      <c r="Y923">
        <v>0</v>
      </c>
      <c r="Z923">
        <v>0</v>
      </c>
      <c r="AA923">
        <v>1</v>
      </c>
      <c r="AB923">
        <v>4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</v>
      </c>
      <c r="AL923">
        <v>1</v>
      </c>
      <c r="AM923">
        <v>0</v>
      </c>
      <c r="AN923">
        <v>12</v>
      </c>
      <c r="AO923">
        <v>2</v>
      </c>
      <c r="AP923">
        <v>1</v>
      </c>
      <c r="AQ923">
        <v>2</v>
      </c>
      <c r="AR923">
        <v>0</v>
      </c>
      <c r="AS923">
        <v>0</v>
      </c>
      <c r="AT923">
        <v>1</v>
      </c>
      <c r="AU923">
        <v>4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 s="2">
        <v>0</v>
      </c>
      <c r="BD923" s="2">
        <v>5</v>
      </c>
      <c r="BE923" s="2">
        <v>1</v>
      </c>
      <c r="BF923" s="2">
        <v>0</v>
      </c>
      <c r="BG923" s="2">
        <v>12</v>
      </c>
      <c r="BH923" s="2">
        <v>2</v>
      </c>
      <c r="BI923" s="2">
        <v>1</v>
      </c>
      <c r="BJ923" s="2">
        <v>2</v>
      </c>
      <c r="BK923" s="2">
        <v>0</v>
      </c>
      <c r="BL923" s="2">
        <v>0</v>
      </c>
      <c r="BM923" s="2">
        <v>1</v>
      </c>
      <c r="BN923" s="2">
        <v>4</v>
      </c>
      <c r="BO923" s="2">
        <v>0</v>
      </c>
      <c r="BP923" s="2">
        <v>0</v>
      </c>
      <c r="BQ923" s="2">
        <v>1</v>
      </c>
      <c r="BR923" s="2">
        <v>0</v>
      </c>
      <c r="BS923" s="2">
        <v>0</v>
      </c>
      <c r="BT923" s="2">
        <v>0</v>
      </c>
      <c r="BU923" s="2">
        <v>0</v>
      </c>
      <c r="BV923" s="2">
        <f t="shared" si="61"/>
        <v>29</v>
      </c>
      <c r="BW923" s="16">
        <f t="shared" si="59"/>
        <v>1.5263157894736843</v>
      </c>
      <c r="BX923" s="16">
        <f>COUNTIF($BC$6:BU923, "=0") / COUNTIF($BC$6:BU923, "&gt;-1")</f>
        <v>0.25266597867217061</v>
      </c>
      <c r="BY923" s="18">
        <f>SUM($BC$6:BU923) / $BY$4</f>
        <v>0.93225176414302002</v>
      </c>
      <c r="BZ923" s="14">
        <f t="shared" si="60"/>
        <v>10</v>
      </c>
      <c r="CA923" t="s">
        <v>5832</v>
      </c>
      <c r="CZ923" t="s">
        <v>6241</v>
      </c>
      <c r="DA923" t="s">
        <v>5904</v>
      </c>
      <c r="DB923">
        <v>1072.8</v>
      </c>
      <c r="DC923" t="s">
        <v>14974</v>
      </c>
      <c r="DD923" t="s">
        <v>14975</v>
      </c>
      <c r="DE923" t="s">
        <v>14976</v>
      </c>
      <c r="DF923" t="s">
        <v>14977</v>
      </c>
      <c r="DG923" t="s">
        <v>14978</v>
      </c>
      <c r="DH923" t="str">
        <f>"ALDH6A1"</f>
        <v>ALDH6A1</v>
      </c>
      <c r="DI923" t="s">
        <v>14979</v>
      </c>
      <c r="DJ923" t="s">
        <v>13777</v>
      </c>
      <c r="DK923">
        <v>9606</v>
      </c>
      <c r="DL923" s="34" t="str">
        <f>HYPERLINK("http://www.uniprot.org/uniprot/Q02252", "Q02252")</f>
        <v>Q02252</v>
      </c>
      <c r="DM923" t="s">
        <v>14980</v>
      </c>
      <c r="DN923" t="s">
        <v>13772</v>
      </c>
      <c r="DO923" t="s">
        <v>14491</v>
      </c>
      <c r="DP923" t="s">
        <v>13841</v>
      </c>
      <c r="DQ923" t="s">
        <v>13772</v>
      </c>
      <c r="DR923" t="s">
        <v>13807</v>
      </c>
      <c r="DS923" t="s">
        <v>14391</v>
      </c>
      <c r="DT923" t="s">
        <v>14492</v>
      </c>
      <c r="DU923" t="s">
        <v>13885</v>
      </c>
      <c r="DV923" t="s">
        <v>13886</v>
      </c>
      <c r="DW923" t="s">
        <v>13772</v>
      </c>
      <c r="DX923" t="s">
        <v>14981</v>
      </c>
      <c r="DY923" t="s">
        <v>14982</v>
      </c>
      <c r="DZ923" t="s">
        <v>14983</v>
      </c>
      <c r="EA923" t="s">
        <v>13772</v>
      </c>
      <c r="EB923" t="s">
        <v>14984</v>
      </c>
    </row>
    <row r="924" spans="1:132" hidden="1">
      <c r="A924">
        <v>257</v>
      </c>
      <c r="B924">
        <v>1</v>
      </c>
      <c r="C924" t="s">
        <v>653</v>
      </c>
      <c r="D924" t="s">
        <v>654</v>
      </c>
      <c r="E924" t="s">
        <v>73</v>
      </c>
      <c r="F924" t="s">
        <v>73</v>
      </c>
      <c r="G924" t="s">
        <v>73</v>
      </c>
      <c r="H924">
        <v>17.600000000000001</v>
      </c>
      <c r="I924">
        <v>307</v>
      </c>
      <c r="J924">
        <v>33756</v>
      </c>
      <c r="K924" t="s">
        <v>655</v>
      </c>
      <c r="L924">
        <f t="shared" si="58"/>
        <v>29</v>
      </c>
      <c r="N924">
        <v>29</v>
      </c>
      <c r="O924">
        <v>29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5</v>
      </c>
      <c r="Z924">
        <v>0</v>
      </c>
      <c r="AA924">
        <v>6</v>
      </c>
      <c r="AB924">
        <v>4</v>
      </c>
      <c r="AC924">
        <v>2</v>
      </c>
      <c r="AD924">
        <v>0</v>
      </c>
      <c r="AE924">
        <v>4</v>
      </c>
      <c r="AF924">
        <v>4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</v>
      </c>
      <c r="AR924">
        <v>5</v>
      </c>
      <c r="AS924">
        <v>0</v>
      </c>
      <c r="AT924">
        <v>6</v>
      </c>
      <c r="AU924">
        <v>4</v>
      </c>
      <c r="AV924">
        <v>2</v>
      </c>
      <c r="AW924">
        <v>0</v>
      </c>
      <c r="AX924">
        <v>4</v>
      </c>
      <c r="AY924">
        <v>4</v>
      </c>
      <c r="AZ924">
        <v>0</v>
      </c>
      <c r="BA924">
        <v>0</v>
      </c>
      <c r="BB924">
        <v>1</v>
      </c>
      <c r="BC924" s="2">
        <v>0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2</v>
      </c>
      <c r="BK924" s="2">
        <v>5</v>
      </c>
      <c r="BL924" s="2">
        <v>0</v>
      </c>
      <c r="BM924" s="2">
        <v>6</v>
      </c>
      <c r="BN924" s="2">
        <v>4</v>
      </c>
      <c r="BO924" s="2">
        <v>2</v>
      </c>
      <c r="BP924" s="2">
        <v>0</v>
      </c>
      <c r="BQ924" s="2">
        <v>4</v>
      </c>
      <c r="BR924" s="2">
        <v>4</v>
      </c>
      <c r="BS924" s="2">
        <v>0</v>
      </c>
      <c r="BT924" s="2">
        <v>0</v>
      </c>
      <c r="BU924" s="2">
        <v>1</v>
      </c>
      <c r="BV924" s="2">
        <f t="shared" si="61"/>
        <v>29</v>
      </c>
      <c r="BW924" s="16">
        <f t="shared" si="59"/>
        <v>1.5263157894736843</v>
      </c>
      <c r="BX924" s="16">
        <f>COUNTIF($BC$6:BU924, "=0") / COUNTIF($BC$6:BU924, "&gt;-1")</f>
        <v>0.25296374778076858</v>
      </c>
      <c r="BY924" s="18">
        <f>SUM($BC$6:BU924) / $BY$4</f>
        <v>0.93237598961221235</v>
      </c>
      <c r="BZ924" s="14">
        <f t="shared" si="60"/>
        <v>10</v>
      </c>
      <c r="CA924" t="s">
        <v>5832</v>
      </c>
      <c r="CZ924" t="s">
        <v>6589</v>
      </c>
      <c r="DA924" t="s">
        <v>5904</v>
      </c>
      <c r="DB924">
        <v>604.4</v>
      </c>
      <c r="DC924" t="s">
        <v>16082</v>
      </c>
      <c r="DD924" t="s">
        <v>13772</v>
      </c>
      <c r="DE924" t="s">
        <v>16083</v>
      </c>
      <c r="DF924" t="s">
        <v>16084</v>
      </c>
      <c r="DG924" t="s">
        <v>16085</v>
      </c>
      <c r="DH924" t="str">
        <f>"HNRNPC"</f>
        <v>HNRNPC</v>
      </c>
      <c r="DI924" t="s">
        <v>16086</v>
      </c>
      <c r="DJ924" t="s">
        <v>13777</v>
      </c>
      <c r="DK924">
        <v>9606</v>
      </c>
      <c r="DL924" s="34" t="str">
        <f>HYPERLINK("http://www.uniprot.org/uniprot/P07910", "P07910")</f>
        <v>P07910</v>
      </c>
      <c r="DM924" t="s">
        <v>16087</v>
      </c>
      <c r="DN924" t="s">
        <v>15152</v>
      </c>
      <c r="DO924" t="s">
        <v>16088</v>
      </c>
      <c r="DP924" t="s">
        <v>13841</v>
      </c>
      <c r="DQ924" t="s">
        <v>13772</v>
      </c>
      <c r="DR924" t="s">
        <v>13772</v>
      </c>
      <c r="DS924" t="s">
        <v>14245</v>
      </c>
      <c r="DT924" t="s">
        <v>13772</v>
      </c>
      <c r="DU924" t="s">
        <v>16089</v>
      </c>
      <c r="DV924" t="s">
        <v>13991</v>
      </c>
      <c r="DW924" t="s">
        <v>13812</v>
      </c>
      <c r="DX924" t="s">
        <v>16090</v>
      </c>
      <c r="DY924" t="s">
        <v>16091</v>
      </c>
      <c r="DZ924" t="s">
        <v>16092</v>
      </c>
      <c r="EA924" t="s">
        <v>13772</v>
      </c>
      <c r="EB924" t="s">
        <v>16093</v>
      </c>
    </row>
    <row r="925" spans="1:132" hidden="1">
      <c r="A925">
        <v>266</v>
      </c>
      <c r="B925">
        <v>1</v>
      </c>
      <c r="C925" t="s">
        <v>673</v>
      </c>
      <c r="D925" t="s">
        <v>73</v>
      </c>
      <c r="E925" t="s">
        <v>73</v>
      </c>
      <c r="F925" t="s">
        <v>73</v>
      </c>
      <c r="G925" t="s">
        <v>73</v>
      </c>
      <c r="H925">
        <v>39.4</v>
      </c>
      <c r="I925">
        <v>249</v>
      </c>
      <c r="J925">
        <v>28708</v>
      </c>
      <c r="K925" t="s">
        <v>674</v>
      </c>
      <c r="L925">
        <f t="shared" si="58"/>
        <v>29</v>
      </c>
      <c r="N925">
        <v>29</v>
      </c>
      <c r="O925">
        <v>29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7</v>
      </c>
      <c r="Z925">
        <v>0</v>
      </c>
      <c r="AA925">
        <v>9</v>
      </c>
      <c r="AB925">
        <v>5</v>
      </c>
      <c r="AC925">
        <v>4</v>
      </c>
      <c r="AD925">
        <v>0</v>
      </c>
      <c r="AE925">
        <v>2</v>
      </c>
      <c r="AF925">
        <v>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7</v>
      </c>
      <c r="AS925">
        <v>0</v>
      </c>
      <c r="AT925">
        <v>9</v>
      </c>
      <c r="AU925">
        <v>5</v>
      </c>
      <c r="AV925">
        <v>4</v>
      </c>
      <c r="AW925">
        <v>0</v>
      </c>
      <c r="AX925">
        <v>2</v>
      </c>
      <c r="AY925">
        <v>2</v>
      </c>
      <c r="AZ925">
        <v>0</v>
      </c>
      <c r="BA925">
        <v>0</v>
      </c>
      <c r="BB925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7</v>
      </c>
      <c r="BL925" s="2">
        <v>0</v>
      </c>
      <c r="BM925" s="2">
        <v>9</v>
      </c>
      <c r="BN925" s="2">
        <v>5</v>
      </c>
      <c r="BO925" s="2">
        <v>4</v>
      </c>
      <c r="BP925" s="2">
        <v>0</v>
      </c>
      <c r="BQ925" s="2">
        <v>2</v>
      </c>
      <c r="BR925" s="2">
        <v>2</v>
      </c>
      <c r="BS925" s="2">
        <v>0</v>
      </c>
      <c r="BT925" s="2">
        <v>0</v>
      </c>
      <c r="BU925" s="2">
        <v>0</v>
      </c>
      <c r="BV925" s="2">
        <f t="shared" si="61"/>
        <v>29</v>
      </c>
      <c r="BW925" s="16">
        <f t="shared" si="59"/>
        <v>1.5263157894736843</v>
      </c>
      <c r="BX925" s="16">
        <f>COUNTIF($BC$6:BU925, "=0") / COUNTIF($BC$6:BU925, "&gt;-1")</f>
        <v>0.25343249427917619</v>
      </c>
      <c r="BY925" s="18">
        <f>SUM($BC$6:BU925) / $BY$4</f>
        <v>0.93250021508140468</v>
      </c>
      <c r="BZ925" s="14">
        <f t="shared" si="60"/>
        <v>13</v>
      </c>
      <c r="CA925" t="s">
        <v>5832</v>
      </c>
      <c r="CZ925" t="s">
        <v>6620</v>
      </c>
      <c r="DA925" t="s">
        <v>5904</v>
      </c>
      <c r="DB925">
        <v>503.1</v>
      </c>
      <c r="DC925" t="s">
        <v>16184</v>
      </c>
      <c r="DD925" t="s">
        <v>16185</v>
      </c>
      <c r="DE925" t="s">
        <v>16186</v>
      </c>
      <c r="DF925" t="s">
        <v>16187</v>
      </c>
      <c r="DG925" t="s">
        <v>16188</v>
      </c>
      <c r="DH925" t="str">
        <f>"PSME1"</f>
        <v>PSME1</v>
      </c>
      <c r="DI925" t="s">
        <v>16189</v>
      </c>
      <c r="DJ925" t="s">
        <v>13777</v>
      </c>
      <c r="DK925">
        <v>9606</v>
      </c>
      <c r="DL925" s="34" t="str">
        <f>HYPERLINK("http://www.uniprot.org/uniprot/Q06323", "Q06323")</f>
        <v>Q06323</v>
      </c>
      <c r="DM925" t="s">
        <v>16190</v>
      </c>
      <c r="DN925" t="s">
        <v>13772</v>
      </c>
      <c r="DO925" t="s">
        <v>14145</v>
      </c>
      <c r="DP925" t="s">
        <v>13780</v>
      </c>
      <c r="DQ925" t="s">
        <v>13772</v>
      </c>
      <c r="DR925" t="s">
        <v>13772</v>
      </c>
      <c r="DS925" t="s">
        <v>13772</v>
      </c>
      <c r="DT925" t="s">
        <v>13772</v>
      </c>
      <c r="DU925" t="s">
        <v>13772</v>
      </c>
      <c r="DV925" t="s">
        <v>13772</v>
      </c>
      <c r="DW925" t="s">
        <v>13812</v>
      </c>
      <c r="DX925" t="s">
        <v>16191</v>
      </c>
      <c r="DY925" t="s">
        <v>16192</v>
      </c>
      <c r="DZ925" t="s">
        <v>16193</v>
      </c>
      <c r="EA925" t="s">
        <v>13772</v>
      </c>
      <c r="EB925" t="s">
        <v>14208</v>
      </c>
    </row>
    <row r="926" spans="1:132" hidden="1">
      <c r="A926">
        <v>440</v>
      </c>
      <c r="B926">
        <v>1</v>
      </c>
      <c r="C926" t="s">
        <v>1101</v>
      </c>
      <c r="D926" t="s">
        <v>73</v>
      </c>
      <c r="E926" t="s">
        <v>73</v>
      </c>
      <c r="F926" t="s">
        <v>73</v>
      </c>
      <c r="G926" t="s">
        <v>73</v>
      </c>
      <c r="H926">
        <v>34.4</v>
      </c>
      <c r="I926">
        <v>186</v>
      </c>
      <c r="J926">
        <v>20917</v>
      </c>
      <c r="K926" t="s">
        <v>1102</v>
      </c>
      <c r="L926">
        <f t="shared" si="58"/>
        <v>29</v>
      </c>
      <c r="N926">
        <v>29</v>
      </c>
      <c r="O926">
        <v>29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5</v>
      </c>
      <c r="X926">
        <v>8</v>
      </c>
      <c r="Y926">
        <v>3</v>
      </c>
      <c r="Z926">
        <v>0</v>
      </c>
      <c r="AA926">
        <v>4</v>
      </c>
      <c r="AB926">
        <v>2</v>
      </c>
      <c r="AC926">
        <v>2</v>
      </c>
      <c r="AD926">
        <v>0</v>
      </c>
      <c r="AE926">
        <v>2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</v>
      </c>
      <c r="AP926">
        <v>5</v>
      </c>
      <c r="AQ926">
        <v>8</v>
      </c>
      <c r="AR926">
        <v>3</v>
      </c>
      <c r="AS926">
        <v>0</v>
      </c>
      <c r="AT926">
        <v>4</v>
      </c>
      <c r="AU926">
        <v>2</v>
      </c>
      <c r="AV926">
        <v>2</v>
      </c>
      <c r="AW926">
        <v>0</v>
      </c>
      <c r="AX926">
        <v>2</v>
      </c>
      <c r="AY926">
        <v>1</v>
      </c>
      <c r="AZ926">
        <v>0</v>
      </c>
      <c r="BA926">
        <v>0</v>
      </c>
      <c r="BB926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2</v>
      </c>
      <c r="BI926" s="2">
        <v>5</v>
      </c>
      <c r="BJ926" s="2">
        <v>8</v>
      </c>
      <c r="BK926" s="2">
        <v>3</v>
      </c>
      <c r="BL926" s="2">
        <v>0</v>
      </c>
      <c r="BM926" s="2">
        <v>4</v>
      </c>
      <c r="BN926" s="2">
        <v>2</v>
      </c>
      <c r="BO926" s="2">
        <v>2</v>
      </c>
      <c r="BP926" s="2">
        <v>0</v>
      </c>
      <c r="BQ926" s="2">
        <v>2</v>
      </c>
      <c r="BR926" s="2">
        <v>1</v>
      </c>
      <c r="BS926" s="2">
        <v>0</v>
      </c>
      <c r="BT926" s="2">
        <v>0</v>
      </c>
      <c r="BU926" s="2">
        <v>0</v>
      </c>
      <c r="BV926" s="2">
        <f t="shared" si="61"/>
        <v>29</v>
      </c>
      <c r="BW926" s="16">
        <f t="shared" si="59"/>
        <v>1.5263157894736843</v>
      </c>
      <c r="BX926" s="16">
        <f>COUNTIF($BC$6:BU926, "=0") / COUNTIF($BC$6:BU926, "&gt;-1")</f>
        <v>0.25372878450197156</v>
      </c>
      <c r="BY926" s="18">
        <f>SUM($BC$6:BU926) / $BY$4</f>
        <v>0.93262444055059701</v>
      </c>
      <c r="BZ926" s="14">
        <f t="shared" si="60"/>
        <v>10</v>
      </c>
      <c r="CA926" t="s">
        <v>5832</v>
      </c>
      <c r="CZ926" t="s">
        <v>7225</v>
      </c>
      <c r="DA926" t="s">
        <v>5904</v>
      </c>
      <c r="DB926">
        <v>373.2</v>
      </c>
      <c r="DC926" t="s">
        <v>18059</v>
      </c>
      <c r="DD926" t="s">
        <v>18060</v>
      </c>
      <c r="DE926" t="s">
        <v>18061</v>
      </c>
      <c r="DF926" t="s">
        <v>18062</v>
      </c>
      <c r="DG926" t="s">
        <v>18063</v>
      </c>
      <c r="DH926" t="str">
        <f>"VPS29"</f>
        <v>VPS29</v>
      </c>
      <c r="DI926" t="s">
        <v>13772</v>
      </c>
      <c r="DJ926" t="s">
        <v>13777</v>
      </c>
      <c r="DK926">
        <v>9606</v>
      </c>
      <c r="DL926" s="34" t="str">
        <f>HYPERLINK("http://www.uniprot.org/uniprot/Q9UBQ0", "Q9UBQ0")</f>
        <v>Q9UBQ0</v>
      </c>
      <c r="DM926" t="s">
        <v>18064</v>
      </c>
      <c r="DN926" t="s">
        <v>18065</v>
      </c>
      <c r="DO926" t="s">
        <v>17403</v>
      </c>
      <c r="DP926" t="s">
        <v>13841</v>
      </c>
      <c r="DQ926" t="s">
        <v>13772</v>
      </c>
      <c r="DR926" t="s">
        <v>13772</v>
      </c>
      <c r="DS926" t="s">
        <v>13772</v>
      </c>
      <c r="DT926" t="s">
        <v>13856</v>
      </c>
      <c r="DU926" t="s">
        <v>13772</v>
      </c>
      <c r="DV926" t="s">
        <v>14020</v>
      </c>
      <c r="DW926" t="s">
        <v>13812</v>
      </c>
      <c r="DX926" t="s">
        <v>18066</v>
      </c>
      <c r="DY926" t="s">
        <v>18067</v>
      </c>
      <c r="DZ926" t="s">
        <v>14023</v>
      </c>
      <c r="EA926" t="s">
        <v>13772</v>
      </c>
      <c r="EB926" t="s">
        <v>18068</v>
      </c>
    </row>
    <row r="927" spans="1:132" hidden="1">
      <c r="A927">
        <v>453</v>
      </c>
      <c r="B927">
        <v>1</v>
      </c>
      <c r="C927" t="s">
        <v>1133</v>
      </c>
      <c r="D927" t="s">
        <v>1134</v>
      </c>
      <c r="E927" t="s">
        <v>73</v>
      </c>
      <c r="F927" t="s">
        <v>73</v>
      </c>
      <c r="G927" t="s">
        <v>73</v>
      </c>
      <c r="H927">
        <v>7.3</v>
      </c>
      <c r="I927">
        <v>1091</v>
      </c>
      <c r="J927">
        <v>120428</v>
      </c>
      <c r="K927" t="s">
        <v>1135</v>
      </c>
      <c r="L927">
        <f t="shared" si="58"/>
        <v>29</v>
      </c>
      <c r="N927">
        <v>29</v>
      </c>
      <c r="O927">
        <v>29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0</v>
      </c>
      <c r="AA927">
        <v>5</v>
      </c>
      <c r="AB927">
        <v>6</v>
      </c>
      <c r="AC927">
        <v>4</v>
      </c>
      <c r="AD927">
        <v>0</v>
      </c>
      <c r="AE927">
        <v>3</v>
      </c>
      <c r="AF927">
        <v>6</v>
      </c>
      <c r="AG927">
        <v>1</v>
      </c>
      <c r="AH927">
        <v>0</v>
      </c>
      <c r="AI927">
        <v>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2</v>
      </c>
      <c r="AS927">
        <v>0</v>
      </c>
      <c r="AT927">
        <v>5</v>
      </c>
      <c r="AU927">
        <v>6</v>
      </c>
      <c r="AV927">
        <v>4</v>
      </c>
      <c r="AW927">
        <v>0</v>
      </c>
      <c r="AX927">
        <v>3</v>
      </c>
      <c r="AY927">
        <v>6</v>
      </c>
      <c r="AZ927">
        <v>1</v>
      </c>
      <c r="BA927">
        <v>0</v>
      </c>
      <c r="BB927">
        <v>2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2</v>
      </c>
      <c r="BL927" s="2">
        <v>0</v>
      </c>
      <c r="BM927" s="2">
        <v>5</v>
      </c>
      <c r="BN927" s="2">
        <v>6</v>
      </c>
      <c r="BO927" s="2">
        <v>4</v>
      </c>
      <c r="BP927" s="2">
        <v>0</v>
      </c>
      <c r="BQ927" s="2">
        <v>3</v>
      </c>
      <c r="BR927" s="2">
        <v>6</v>
      </c>
      <c r="BS927" s="2">
        <v>1</v>
      </c>
      <c r="BT927" s="2">
        <v>0</v>
      </c>
      <c r="BU927" s="2">
        <v>2</v>
      </c>
      <c r="BV927" s="2">
        <f t="shared" si="61"/>
        <v>29</v>
      </c>
      <c r="BW927" s="16">
        <f t="shared" si="59"/>
        <v>1.5263157894736843</v>
      </c>
      <c r="BX927" s="16">
        <f>COUNTIF($BC$6:BU927, "=0") / COUNTIF($BC$6:BU927, "&gt;-1")</f>
        <v>0.25408151615481217</v>
      </c>
      <c r="BY927" s="18">
        <f>SUM($BC$6:BU927) / $BY$4</f>
        <v>0.93274866601978923</v>
      </c>
      <c r="BZ927" s="14">
        <f t="shared" si="60"/>
        <v>11</v>
      </c>
      <c r="CA927" t="s">
        <v>5832</v>
      </c>
      <c r="CZ927" t="s">
        <v>7272</v>
      </c>
      <c r="DA927" t="s">
        <v>5904</v>
      </c>
      <c r="DB927">
        <v>1713</v>
      </c>
      <c r="DC927" t="s">
        <v>18192</v>
      </c>
      <c r="DD927" t="s">
        <v>18193</v>
      </c>
      <c r="DE927" t="s">
        <v>18194</v>
      </c>
      <c r="DF927" t="s">
        <v>18195</v>
      </c>
      <c r="DG927" t="s">
        <v>18196</v>
      </c>
      <c r="DH927" t="str">
        <f>"EMILIN2"</f>
        <v>EMILIN2</v>
      </c>
      <c r="DI927" t="s">
        <v>13772</v>
      </c>
      <c r="DJ927" t="s">
        <v>13777</v>
      </c>
      <c r="DK927">
        <v>9606</v>
      </c>
      <c r="DL927" s="34" t="str">
        <f>HYPERLINK("http://www.uniprot.org/uniprot/Q9BXX0", "Q9BXX0")</f>
        <v>Q9BXX0</v>
      </c>
      <c r="DM927" t="s">
        <v>18197</v>
      </c>
      <c r="DN927" t="s">
        <v>13949</v>
      </c>
      <c r="DO927" t="s">
        <v>13869</v>
      </c>
      <c r="DP927" t="s">
        <v>13793</v>
      </c>
      <c r="DQ927" t="s">
        <v>13772</v>
      </c>
      <c r="DR927" t="s">
        <v>13772</v>
      </c>
      <c r="DS927" t="s">
        <v>18198</v>
      </c>
      <c r="DT927" t="s">
        <v>13772</v>
      </c>
      <c r="DU927" t="s">
        <v>13772</v>
      </c>
      <c r="DV927" t="s">
        <v>13796</v>
      </c>
      <c r="DW927" t="s">
        <v>13772</v>
      </c>
      <c r="DX927" t="s">
        <v>18199</v>
      </c>
      <c r="DY927" t="s">
        <v>18200</v>
      </c>
      <c r="DZ927" t="s">
        <v>18201</v>
      </c>
      <c r="EA927" t="s">
        <v>13772</v>
      </c>
      <c r="EB927" t="s">
        <v>14774</v>
      </c>
    </row>
    <row r="928" spans="1:132" hidden="1">
      <c r="A928">
        <v>700</v>
      </c>
      <c r="B928">
        <v>1</v>
      </c>
      <c r="C928" t="s">
        <v>1723</v>
      </c>
      <c r="D928" t="s">
        <v>73</v>
      </c>
      <c r="E928" t="s">
        <v>73</v>
      </c>
      <c r="F928" t="s">
        <v>73</v>
      </c>
      <c r="G928" t="s">
        <v>73</v>
      </c>
      <c r="H928">
        <v>36.4</v>
      </c>
      <c r="I928">
        <v>129</v>
      </c>
      <c r="J928">
        <v>14501</v>
      </c>
      <c r="K928" t="s">
        <v>1724</v>
      </c>
      <c r="L928">
        <f t="shared" si="58"/>
        <v>29</v>
      </c>
      <c r="N928">
        <v>29</v>
      </c>
      <c r="O928">
        <v>29</v>
      </c>
      <c r="P928">
        <v>1</v>
      </c>
      <c r="Q928">
        <v>0</v>
      </c>
      <c r="R928">
        <v>6</v>
      </c>
      <c r="S928">
        <v>0</v>
      </c>
      <c r="T928">
        <v>2</v>
      </c>
      <c r="U928">
        <v>14</v>
      </c>
      <c r="V928">
        <v>5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6</v>
      </c>
      <c r="AL928">
        <v>0</v>
      </c>
      <c r="AM928">
        <v>2</v>
      </c>
      <c r="AN928">
        <v>14</v>
      </c>
      <c r="AO928">
        <v>5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 s="2">
        <v>0</v>
      </c>
      <c r="BD928" s="2">
        <v>6</v>
      </c>
      <c r="BE928" s="2">
        <v>0</v>
      </c>
      <c r="BF928" s="2">
        <v>2</v>
      </c>
      <c r="BG928" s="2">
        <v>14</v>
      </c>
      <c r="BH928" s="2">
        <v>5</v>
      </c>
      <c r="BI928" s="2">
        <v>0</v>
      </c>
      <c r="BJ928" s="2">
        <v>1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1</v>
      </c>
      <c r="BS928" s="2">
        <v>0</v>
      </c>
      <c r="BT928" s="2">
        <v>0</v>
      </c>
      <c r="BU928" s="2">
        <v>0</v>
      </c>
      <c r="BV928" s="2">
        <f t="shared" si="61"/>
        <v>29</v>
      </c>
      <c r="BW928" s="16">
        <f t="shared" si="59"/>
        <v>1.5263157894736843</v>
      </c>
      <c r="BX928" s="16">
        <f>COUNTIF($BC$6:BU928, "=0") / COUNTIF($BC$6:BU928, "&gt;-1")</f>
        <v>0.25454752808348063</v>
      </c>
      <c r="BY928" s="18">
        <f>SUM($BC$6:BU928) / $BY$4</f>
        <v>0.93287289148898156</v>
      </c>
      <c r="BZ928" s="14">
        <f t="shared" si="60"/>
        <v>13</v>
      </c>
      <c r="CA928" t="s">
        <v>5832</v>
      </c>
      <c r="CZ928" t="s">
        <v>8106</v>
      </c>
      <c r="DA928" t="s">
        <v>5904</v>
      </c>
      <c r="DB928">
        <v>118.6</v>
      </c>
      <c r="DC928" t="s">
        <v>20701</v>
      </c>
      <c r="DD928" t="s">
        <v>13772</v>
      </c>
      <c r="DE928" t="s">
        <v>20702</v>
      </c>
      <c r="DF928" t="s">
        <v>20703</v>
      </c>
      <c r="DG928" t="s">
        <v>20704</v>
      </c>
      <c r="DH928" t="str">
        <f>"SMIM24"</f>
        <v>SMIM24</v>
      </c>
      <c r="DI928" t="s">
        <v>20705</v>
      </c>
      <c r="DJ928" t="s">
        <v>13777</v>
      </c>
      <c r="DK928">
        <v>9606</v>
      </c>
      <c r="DL928" s="34" t="str">
        <f>HYPERLINK("http://www.uniprot.org/uniprot/O75264", "O75264")</f>
        <v>O75264</v>
      </c>
      <c r="DM928" t="s">
        <v>20706</v>
      </c>
      <c r="DN928" t="s">
        <v>13772</v>
      </c>
      <c r="DO928" t="s">
        <v>13825</v>
      </c>
      <c r="DP928" t="s">
        <v>13772</v>
      </c>
      <c r="DQ928" t="s">
        <v>13772</v>
      </c>
      <c r="DR928" t="s">
        <v>13772</v>
      </c>
      <c r="DS928" t="s">
        <v>13855</v>
      </c>
      <c r="DT928" t="s">
        <v>13772</v>
      </c>
      <c r="DU928" t="s">
        <v>13772</v>
      </c>
      <c r="DV928" t="s">
        <v>13772</v>
      </c>
      <c r="DW928" t="s">
        <v>13772</v>
      </c>
      <c r="DX928" t="s">
        <v>13772</v>
      </c>
      <c r="DY928" t="s">
        <v>15378</v>
      </c>
      <c r="DZ928" t="s">
        <v>13772</v>
      </c>
      <c r="EA928" t="s">
        <v>13772</v>
      </c>
      <c r="EB928" t="s">
        <v>13772</v>
      </c>
    </row>
    <row r="929" spans="1:132" hidden="1">
      <c r="A929">
        <v>705</v>
      </c>
      <c r="B929">
        <v>1</v>
      </c>
      <c r="C929" t="s">
        <v>1737</v>
      </c>
      <c r="D929" t="s">
        <v>1738</v>
      </c>
      <c r="E929" t="s">
        <v>73</v>
      </c>
      <c r="F929" t="s">
        <v>73</v>
      </c>
      <c r="G929" t="s">
        <v>73</v>
      </c>
      <c r="H929">
        <v>9.8000000000000007</v>
      </c>
      <c r="I929">
        <v>518</v>
      </c>
      <c r="J929">
        <v>58023</v>
      </c>
      <c r="K929" t="s">
        <v>1739</v>
      </c>
      <c r="L929">
        <f t="shared" si="58"/>
        <v>29</v>
      </c>
      <c r="N929">
        <v>29</v>
      </c>
      <c r="O929">
        <v>29</v>
      </c>
      <c r="P929">
        <v>1</v>
      </c>
      <c r="Q929">
        <v>1</v>
      </c>
      <c r="R929">
        <v>4</v>
      </c>
      <c r="S929">
        <v>3</v>
      </c>
      <c r="T929">
        <v>6</v>
      </c>
      <c r="U929">
        <v>6</v>
      </c>
      <c r="V929">
        <v>4</v>
      </c>
      <c r="W929">
        <v>3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4</v>
      </c>
      <c r="AL929">
        <v>3</v>
      </c>
      <c r="AM929">
        <v>6</v>
      </c>
      <c r="AN929">
        <v>6</v>
      </c>
      <c r="AO929">
        <v>4</v>
      </c>
      <c r="AP929">
        <v>3</v>
      </c>
      <c r="AQ929">
        <v>2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 s="2">
        <v>1</v>
      </c>
      <c r="BD929" s="2">
        <v>4</v>
      </c>
      <c r="BE929" s="2">
        <v>3</v>
      </c>
      <c r="BF929" s="2">
        <v>6</v>
      </c>
      <c r="BG929" s="2">
        <v>6</v>
      </c>
      <c r="BH929" s="2">
        <v>4</v>
      </c>
      <c r="BI929" s="2">
        <v>3</v>
      </c>
      <c r="BJ929" s="2">
        <v>2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f t="shared" si="61"/>
        <v>29</v>
      </c>
      <c r="BW929" s="16">
        <f t="shared" si="59"/>
        <v>1.5263157894736843</v>
      </c>
      <c r="BX929" s="16">
        <f>COUNTIF($BC$6:BU929, "=0") / COUNTIF($BC$6:BU929, "&gt;-1")</f>
        <v>0.25489861016176807</v>
      </c>
      <c r="BY929" s="18">
        <f>SUM($BC$6:BU929) / $BY$4</f>
        <v>0.93299711695817389</v>
      </c>
      <c r="BZ929" s="14">
        <f t="shared" si="60"/>
        <v>11</v>
      </c>
      <c r="CA929" t="s">
        <v>5832</v>
      </c>
      <c r="CZ929" t="s">
        <v>8125</v>
      </c>
      <c r="DA929" t="s">
        <v>5904</v>
      </c>
      <c r="DB929">
        <v>1028.8</v>
      </c>
      <c r="DC929" t="s">
        <v>20746</v>
      </c>
      <c r="DD929" t="s">
        <v>20747</v>
      </c>
      <c r="DE929" t="s">
        <v>20748</v>
      </c>
      <c r="DF929" t="s">
        <v>20749</v>
      </c>
      <c r="DG929" t="s">
        <v>20750</v>
      </c>
      <c r="DH929" t="str">
        <f>"NECTIN3 PVRL3"</f>
        <v>NECTIN3 PVRL3</v>
      </c>
      <c r="DI929" t="s">
        <v>13772</v>
      </c>
      <c r="DJ929" t="s">
        <v>13777</v>
      </c>
      <c r="DK929">
        <v>9606</v>
      </c>
      <c r="DL929" s="34" t="str">
        <f>HYPERLINK("http://www.uniprot.org/uniprot/Q9NQS3", "Q9NQS3")</f>
        <v>Q9NQS3</v>
      </c>
      <c r="DM929" t="s">
        <v>20751</v>
      </c>
      <c r="DN929" t="s">
        <v>13949</v>
      </c>
      <c r="DO929" t="s">
        <v>20752</v>
      </c>
      <c r="DP929" t="s">
        <v>13780</v>
      </c>
      <c r="DQ929" t="s">
        <v>13772</v>
      </c>
      <c r="DR929" t="s">
        <v>13772</v>
      </c>
      <c r="DS929" t="s">
        <v>13951</v>
      </c>
      <c r="DT929" t="s">
        <v>13772</v>
      </c>
      <c r="DU929" t="s">
        <v>13772</v>
      </c>
      <c r="DV929" t="s">
        <v>13796</v>
      </c>
      <c r="DW929" t="s">
        <v>13812</v>
      </c>
      <c r="DX929" t="s">
        <v>20753</v>
      </c>
      <c r="DY929" t="s">
        <v>20754</v>
      </c>
      <c r="DZ929" t="s">
        <v>20755</v>
      </c>
      <c r="EA929" t="s">
        <v>13772</v>
      </c>
      <c r="EB929" t="s">
        <v>18872</v>
      </c>
    </row>
    <row r="930" spans="1:132" hidden="1">
      <c r="A930">
        <v>732</v>
      </c>
      <c r="B930">
        <v>1</v>
      </c>
      <c r="C930" t="s">
        <v>1794</v>
      </c>
      <c r="D930" t="s">
        <v>73</v>
      </c>
      <c r="E930" t="s">
        <v>73</v>
      </c>
      <c r="F930" t="s">
        <v>73</v>
      </c>
      <c r="G930" t="s">
        <v>73</v>
      </c>
      <c r="H930">
        <v>63.7</v>
      </c>
      <c r="I930">
        <v>168</v>
      </c>
      <c r="J930">
        <v>18305</v>
      </c>
      <c r="K930" t="s">
        <v>1795</v>
      </c>
      <c r="L930">
        <f t="shared" si="58"/>
        <v>29</v>
      </c>
      <c r="N930">
        <v>29</v>
      </c>
      <c r="O930">
        <v>29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7</v>
      </c>
      <c r="Z930">
        <v>1</v>
      </c>
      <c r="AA930">
        <v>8</v>
      </c>
      <c r="AB930">
        <v>0</v>
      </c>
      <c r="AC930">
        <v>2</v>
      </c>
      <c r="AD930">
        <v>0</v>
      </c>
      <c r="AE930">
        <v>6</v>
      </c>
      <c r="AF930">
        <v>3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7</v>
      </c>
      <c r="AS930">
        <v>1</v>
      </c>
      <c r="AT930">
        <v>8</v>
      </c>
      <c r="AU930">
        <v>0</v>
      </c>
      <c r="AV930">
        <v>2</v>
      </c>
      <c r="AW930">
        <v>0</v>
      </c>
      <c r="AX930">
        <v>6</v>
      </c>
      <c r="AY930">
        <v>3</v>
      </c>
      <c r="AZ930">
        <v>0</v>
      </c>
      <c r="BA930">
        <v>0</v>
      </c>
      <c r="BB930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0</v>
      </c>
      <c r="BK930" s="2">
        <v>7</v>
      </c>
      <c r="BL930" s="2">
        <v>1</v>
      </c>
      <c r="BM930" s="2">
        <v>8</v>
      </c>
      <c r="BN930" s="2">
        <v>0</v>
      </c>
      <c r="BO930" s="2">
        <v>2</v>
      </c>
      <c r="BP930" s="2">
        <v>0</v>
      </c>
      <c r="BQ930" s="2">
        <v>6</v>
      </c>
      <c r="BR930" s="2">
        <v>3</v>
      </c>
      <c r="BS930" s="2">
        <v>0</v>
      </c>
      <c r="BT930" s="2">
        <v>0</v>
      </c>
      <c r="BU930" s="2">
        <v>1</v>
      </c>
      <c r="BV930" s="2">
        <f t="shared" si="61"/>
        <v>29</v>
      </c>
      <c r="BW930" s="16">
        <f t="shared" si="59"/>
        <v>1.5263157894736843</v>
      </c>
      <c r="BX930" s="16">
        <f>COUNTIF($BC$6:BU930, "=0") / COUNTIF($BC$6:BU930, "&gt;-1")</f>
        <v>0.25524893314366998</v>
      </c>
      <c r="BY930" s="18">
        <f>SUM($BC$6:BU930) / $BY$4</f>
        <v>0.93312134242736622</v>
      </c>
      <c r="BZ930" s="14">
        <f t="shared" si="60"/>
        <v>11</v>
      </c>
      <c r="CA930" t="s">
        <v>5832</v>
      </c>
      <c r="CZ930" t="s">
        <v>8201</v>
      </c>
      <c r="DA930" t="s">
        <v>5904</v>
      </c>
      <c r="DB930">
        <v>298.10000000000002</v>
      </c>
      <c r="DC930" t="s">
        <v>20969</v>
      </c>
      <c r="DD930" t="s">
        <v>20970</v>
      </c>
      <c r="DE930" t="s">
        <v>20971</v>
      </c>
      <c r="DF930" t="s">
        <v>20972</v>
      </c>
      <c r="DG930" t="s">
        <v>20973</v>
      </c>
      <c r="DH930" t="str">
        <f>"HSPB7"</f>
        <v>HSPB7</v>
      </c>
      <c r="DI930" t="s">
        <v>20974</v>
      </c>
      <c r="DJ930" t="s">
        <v>13777</v>
      </c>
      <c r="DK930">
        <v>9606</v>
      </c>
      <c r="DL930" s="34" t="str">
        <f>HYPERLINK("http://www.uniprot.org/uniprot/Q9UBY9", "Q9UBY9")</f>
        <v>Q9UBY9</v>
      </c>
      <c r="DM930" t="s">
        <v>20975</v>
      </c>
      <c r="DN930" t="s">
        <v>15280</v>
      </c>
      <c r="DO930" t="s">
        <v>13912</v>
      </c>
      <c r="DP930" t="s">
        <v>13841</v>
      </c>
      <c r="DQ930" t="s">
        <v>13772</v>
      </c>
      <c r="DR930" t="s">
        <v>13772</v>
      </c>
      <c r="DS930" t="s">
        <v>13772</v>
      </c>
      <c r="DT930" t="s">
        <v>13772</v>
      </c>
      <c r="DU930" t="s">
        <v>14477</v>
      </c>
      <c r="DV930" t="s">
        <v>13772</v>
      </c>
      <c r="DW930" t="s">
        <v>13772</v>
      </c>
      <c r="DX930" t="s">
        <v>20976</v>
      </c>
      <c r="DY930" t="s">
        <v>20977</v>
      </c>
      <c r="DZ930" t="s">
        <v>20978</v>
      </c>
      <c r="EA930" t="s">
        <v>13772</v>
      </c>
      <c r="EB930" t="s">
        <v>13772</v>
      </c>
    </row>
    <row r="931" spans="1:132" hidden="1">
      <c r="A931">
        <v>804</v>
      </c>
      <c r="B931">
        <v>1</v>
      </c>
      <c r="C931" t="s">
        <v>1973</v>
      </c>
      <c r="D931" t="s">
        <v>73</v>
      </c>
      <c r="E931" t="s">
        <v>73</v>
      </c>
      <c r="F931" t="s">
        <v>73</v>
      </c>
      <c r="G931" t="s">
        <v>73</v>
      </c>
      <c r="H931">
        <v>44.9</v>
      </c>
      <c r="I931">
        <v>69</v>
      </c>
      <c r="J931">
        <v>7841</v>
      </c>
      <c r="K931" t="s">
        <v>1974</v>
      </c>
      <c r="L931">
        <f t="shared" si="58"/>
        <v>29</v>
      </c>
      <c r="N931">
        <v>29</v>
      </c>
      <c r="O931">
        <v>29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6</v>
      </c>
      <c r="Z931">
        <v>0</v>
      </c>
      <c r="AA931">
        <v>4</v>
      </c>
      <c r="AB931">
        <v>6</v>
      </c>
      <c r="AC931">
        <v>2</v>
      </c>
      <c r="AD931">
        <v>0</v>
      </c>
      <c r="AE931">
        <v>3</v>
      </c>
      <c r="AF931">
        <v>8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6</v>
      </c>
      <c r="AS931">
        <v>0</v>
      </c>
      <c r="AT931">
        <v>4</v>
      </c>
      <c r="AU931">
        <v>6</v>
      </c>
      <c r="AV931">
        <v>2</v>
      </c>
      <c r="AW931">
        <v>0</v>
      </c>
      <c r="AX931">
        <v>3</v>
      </c>
      <c r="AY931">
        <v>8</v>
      </c>
      <c r="AZ931">
        <v>0</v>
      </c>
      <c r="BA931">
        <v>0</v>
      </c>
      <c r="BB931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6</v>
      </c>
      <c r="BL931" s="2">
        <v>0</v>
      </c>
      <c r="BM931" s="2">
        <v>4</v>
      </c>
      <c r="BN931" s="2">
        <v>6</v>
      </c>
      <c r="BO931" s="2">
        <v>2</v>
      </c>
      <c r="BP931" s="2">
        <v>0</v>
      </c>
      <c r="BQ931" s="2">
        <v>3</v>
      </c>
      <c r="BR931" s="2">
        <v>8</v>
      </c>
      <c r="BS931" s="2">
        <v>0</v>
      </c>
      <c r="BT931" s="2">
        <v>0</v>
      </c>
      <c r="BU931" s="2">
        <v>0</v>
      </c>
      <c r="BV931" s="2">
        <f t="shared" si="61"/>
        <v>29</v>
      </c>
      <c r="BW931" s="16">
        <f t="shared" si="59"/>
        <v>1.5263157894736843</v>
      </c>
      <c r="BX931" s="16">
        <f>COUNTIF($BC$6:BU931, "=0") / COUNTIF($BC$6:BU931, "&gt;-1")</f>
        <v>0.25571217460497897</v>
      </c>
      <c r="BY931" s="18">
        <f>SUM($BC$6:BU931) / $BY$4</f>
        <v>0.93324556789655855</v>
      </c>
      <c r="BZ931" s="14">
        <f t="shared" si="60"/>
        <v>13</v>
      </c>
      <c r="CA931" t="s">
        <v>5832</v>
      </c>
      <c r="CZ931" t="s">
        <v>8454</v>
      </c>
      <c r="DA931" t="s">
        <v>5904</v>
      </c>
      <c r="DB931">
        <v>137.1</v>
      </c>
      <c r="DC931" t="s">
        <v>21716</v>
      </c>
      <c r="DD931" t="s">
        <v>21717</v>
      </c>
      <c r="DE931" t="s">
        <v>21718</v>
      </c>
      <c r="DF931" t="s">
        <v>21719</v>
      </c>
      <c r="DG931" t="s">
        <v>21720</v>
      </c>
      <c r="DH931" t="str">
        <f>"RPS28"</f>
        <v>RPS28</v>
      </c>
      <c r="DI931" t="s">
        <v>13772</v>
      </c>
      <c r="DJ931" t="s">
        <v>13777</v>
      </c>
      <c r="DK931">
        <v>9606</v>
      </c>
      <c r="DL931" s="34" t="str">
        <f>HYPERLINK("http://www.uniprot.org/uniprot/P62857", "P62857")</f>
        <v>P62857</v>
      </c>
      <c r="DM931" t="s">
        <v>21721</v>
      </c>
      <c r="DN931" t="s">
        <v>13772</v>
      </c>
      <c r="DO931" t="s">
        <v>14265</v>
      </c>
      <c r="DP931" t="s">
        <v>13772</v>
      </c>
      <c r="DQ931" t="s">
        <v>13772</v>
      </c>
      <c r="DR931" t="s">
        <v>13936</v>
      </c>
      <c r="DS931" t="s">
        <v>13772</v>
      </c>
      <c r="DT931" t="s">
        <v>13772</v>
      </c>
      <c r="DU931" t="s">
        <v>13937</v>
      </c>
      <c r="DV931" t="s">
        <v>13886</v>
      </c>
      <c r="DW931" t="s">
        <v>13812</v>
      </c>
      <c r="DX931" t="s">
        <v>21722</v>
      </c>
      <c r="DY931" t="s">
        <v>21723</v>
      </c>
      <c r="DZ931" t="s">
        <v>14268</v>
      </c>
      <c r="EA931" t="s">
        <v>13772</v>
      </c>
      <c r="EB931" t="s">
        <v>17828</v>
      </c>
    </row>
    <row r="932" spans="1:132" hidden="1">
      <c r="A932">
        <v>914</v>
      </c>
      <c r="B932">
        <v>1</v>
      </c>
      <c r="C932" t="s">
        <v>2227</v>
      </c>
      <c r="D932" t="s">
        <v>73</v>
      </c>
      <c r="E932" t="s">
        <v>73</v>
      </c>
      <c r="F932" t="s">
        <v>696</v>
      </c>
      <c r="G932" t="s">
        <v>73</v>
      </c>
      <c r="H932">
        <v>47.9</v>
      </c>
      <c r="I932">
        <v>536</v>
      </c>
      <c r="J932">
        <v>57538</v>
      </c>
      <c r="K932" t="s">
        <v>2228</v>
      </c>
      <c r="L932">
        <f t="shared" si="58"/>
        <v>29</v>
      </c>
      <c r="N932">
        <v>29</v>
      </c>
      <c r="O932">
        <v>28</v>
      </c>
      <c r="P932">
        <v>0.96599999999999997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28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27</v>
      </c>
      <c r="BA932">
        <v>0</v>
      </c>
      <c r="BB93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1</v>
      </c>
      <c r="BO932" s="2">
        <v>0</v>
      </c>
      <c r="BP932" s="2">
        <v>0</v>
      </c>
      <c r="BQ932" s="2">
        <v>0</v>
      </c>
      <c r="BR932" s="2">
        <v>0</v>
      </c>
      <c r="BS932" s="2">
        <v>28</v>
      </c>
      <c r="BT932" s="2">
        <v>0</v>
      </c>
      <c r="BU932" s="2">
        <v>0</v>
      </c>
      <c r="BV932" s="2">
        <f t="shared" si="61"/>
        <v>29</v>
      </c>
      <c r="BW932" s="16">
        <f t="shared" si="59"/>
        <v>1.5263157894736843</v>
      </c>
      <c r="BX932" s="16">
        <f>COUNTIF($BC$6:BU932, "=0") / COUNTIF($BC$6:BU932, "&gt;-1")</f>
        <v>0.25640152160336116</v>
      </c>
      <c r="BY932" s="18">
        <f>SUM($BC$6:BU932) / $BY$4</f>
        <v>0.93336979336575088</v>
      </c>
      <c r="BZ932" s="14">
        <f t="shared" si="60"/>
        <v>17</v>
      </c>
      <c r="CA932" t="s">
        <v>5832</v>
      </c>
      <c r="CZ932" t="s">
        <v>8825</v>
      </c>
      <c r="DA932" t="s">
        <v>5904</v>
      </c>
      <c r="DB932">
        <v>849.7</v>
      </c>
      <c r="DC932" t="s">
        <v>22799</v>
      </c>
      <c r="DD932" t="s">
        <v>13772</v>
      </c>
      <c r="DE932" t="s">
        <v>22800</v>
      </c>
      <c r="DF932" t="s">
        <v>22801</v>
      </c>
      <c r="DG932" t="s">
        <v>22802</v>
      </c>
      <c r="DH932" t="str">
        <f>"ALPI"</f>
        <v>ALPI</v>
      </c>
      <c r="DI932" t="s">
        <v>13772</v>
      </c>
      <c r="DJ932" t="s">
        <v>13777</v>
      </c>
      <c r="DK932">
        <v>9606</v>
      </c>
      <c r="DL932" s="34" t="str">
        <f>HYPERLINK("http://www.uniprot.org/uniprot/P09923", "P09923")</f>
        <v>P09923</v>
      </c>
      <c r="DM932" t="s">
        <v>22803</v>
      </c>
      <c r="DN932" t="s">
        <v>13772</v>
      </c>
      <c r="DO932" t="s">
        <v>13792</v>
      </c>
      <c r="DP932" t="s">
        <v>13793</v>
      </c>
      <c r="DQ932" t="s">
        <v>13772</v>
      </c>
      <c r="DR932" t="s">
        <v>13772</v>
      </c>
      <c r="DS932" t="s">
        <v>13808</v>
      </c>
      <c r="DT932" t="s">
        <v>16275</v>
      </c>
      <c r="DU932" t="s">
        <v>13857</v>
      </c>
      <c r="DV932" t="s">
        <v>15699</v>
      </c>
      <c r="DW932" t="s">
        <v>13772</v>
      </c>
      <c r="DX932" t="s">
        <v>22804</v>
      </c>
      <c r="DY932" t="s">
        <v>19453</v>
      </c>
      <c r="DZ932" t="s">
        <v>22805</v>
      </c>
      <c r="EA932" t="s">
        <v>13772</v>
      </c>
      <c r="EB932" t="s">
        <v>22806</v>
      </c>
    </row>
    <row r="933" spans="1:132" hidden="1">
      <c r="A933">
        <v>1086</v>
      </c>
      <c r="B933">
        <v>1</v>
      </c>
      <c r="C933" t="s">
        <v>2613</v>
      </c>
      <c r="D933" t="s">
        <v>73</v>
      </c>
      <c r="E933" t="s">
        <v>73</v>
      </c>
      <c r="F933" t="s">
        <v>73</v>
      </c>
      <c r="G933" t="s">
        <v>73</v>
      </c>
      <c r="H933">
        <v>14.7</v>
      </c>
      <c r="I933">
        <v>443</v>
      </c>
      <c r="J933">
        <v>48185</v>
      </c>
      <c r="K933" t="s">
        <v>2614</v>
      </c>
      <c r="L933">
        <f t="shared" si="58"/>
        <v>29</v>
      </c>
      <c r="N933">
        <v>29</v>
      </c>
      <c r="O933">
        <v>29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5</v>
      </c>
      <c r="X933">
        <v>4</v>
      </c>
      <c r="Y933">
        <v>2</v>
      </c>
      <c r="Z933">
        <v>0</v>
      </c>
      <c r="AA933">
        <v>2</v>
      </c>
      <c r="AB933">
        <v>3</v>
      </c>
      <c r="AC933">
        <v>0</v>
      </c>
      <c r="AD933">
        <v>0</v>
      </c>
      <c r="AE933">
        <v>1</v>
      </c>
      <c r="AF933">
        <v>2</v>
      </c>
      <c r="AG933">
        <v>3</v>
      </c>
      <c r="AH933">
        <v>0</v>
      </c>
      <c r="AI933">
        <v>2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1</v>
      </c>
      <c r="AP933">
        <v>5</v>
      </c>
      <c r="AQ933">
        <v>4</v>
      </c>
      <c r="AR933">
        <v>2</v>
      </c>
      <c r="AS933">
        <v>0</v>
      </c>
      <c r="AT933">
        <v>2</v>
      </c>
      <c r="AU933">
        <v>3</v>
      </c>
      <c r="AV933">
        <v>0</v>
      </c>
      <c r="AW933">
        <v>0</v>
      </c>
      <c r="AX933">
        <v>1</v>
      </c>
      <c r="AY933">
        <v>2</v>
      </c>
      <c r="AZ933">
        <v>3</v>
      </c>
      <c r="BA933">
        <v>0</v>
      </c>
      <c r="BB933">
        <v>2</v>
      </c>
      <c r="BC933" s="2">
        <v>1</v>
      </c>
      <c r="BD933" s="2">
        <v>1</v>
      </c>
      <c r="BE933" s="2">
        <v>1</v>
      </c>
      <c r="BF933" s="2">
        <v>0</v>
      </c>
      <c r="BG933" s="2">
        <v>1</v>
      </c>
      <c r="BH933" s="2">
        <v>1</v>
      </c>
      <c r="BI933" s="2">
        <v>5</v>
      </c>
      <c r="BJ933" s="2">
        <v>4</v>
      </c>
      <c r="BK933" s="2">
        <v>2</v>
      </c>
      <c r="BL933" s="2">
        <v>0</v>
      </c>
      <c r="BM933" s="2">
        <v>2</v>
      </c>
      <c r="BN933" s="2">
        <v>3</v>
      </c>
      <c r="BO933" s="2">
        <v>0</v>
      </c>
      <c r="BP933" s="2">
        <v>0</v>
      </c>
      <c r="BQ933" s="2">
        <v>1</v>
      </c>
      <c r="BR933" s="2">
        <v>2</v>
      </c>
      <c r="BS933" s="2">
        <v>3</v>
      </c>
      <c r="BT933" s="2">
        <v>0</v>
      </c>
      <c r="BU933" s="2">
        <v>2</v>
      </c>
      <c r="BV933" s="2">
        <f t="shared" si="61"/>
        <v>29</v>
      </c>
      <c r="BW933" s="16">
        <f t="shared" si="59"/>
        <v>1.5263157894736843</v>
      </c>
      <c r="BX933" s="16">
        <f>COUNTIF($BC$6:BU933, "=0") / COUNTIF($BC$6:BU933, "&gt;-1")</f>
        <v>0.25640880217785844</v>
      </c>
      <c r="BY933" s="18">
        <f>SUM($BC$6:BU933) / $BY$4</f>
        <v>0.93349401883494321</v>
      </c>
      <c r="BZ933" s="14">
        <f t="shared" si="60"/>
        <v>5</v>
      </c>
      <c r="CA933" t="s">
        <v>5832</v>
      </c>
      <c r="CZ933" t="s">
        <v>9354</v>
      </c>
      <c r="DA933" t="s">
        <v>5904</v>
      </c>
      <c r="DB933">
        <v>532.29999999999995</v>
      </c>
      <c r="DC933" t="s">
        <v>24294</v>
      </c>
      <c r="DD933" t="s">
        <v>24295</v>
      </c>
      <c r="DE933" t="s">
        <v>24296</v>
      </c>
      <c r="DF933" t="s">
        <v>24297</v>
      </c>
      <c r="DG933" t="s">
        <v>24298</v>
      </c>
      <c r="DH933" t="str">
        <f>"MANSC1"</f>
        <v>MANSC1</v>
      </c>
      <c r="DI933" t="s">
        <v>24299</v>
      </c>
      <c r="DJ933" t="s">
        <v>13777</v>
      </c>
      <c r="DK933">
        <v>9606</v>
      </c>
      <c r="DL933" s="34" t="str">
        <f>HYPERLINK("http://www.uniprot.org/uniprot/Q9H8J5", "Q9H8J5")</f>
        <v>Q9H8J5</v>
      </c>
      <c r="DM933" t="s">
        <v>24300</v>
      </c>
      <c r="DN933" t="s">
        <v>13772</v>
      </c>
      <c r="DO933" t="s">
        <v>13825</v>
      </c>
      <c r="DP933" t="s">
        <v>13780</v>
      </c>
      <c r="DQ933" t="s">
        <v>13772</v>
      </c>
      <c r="DR933" t="s">
        <v>13772</v>
      </c>
      <c r="DS933" t="s">
        <v>13855</v>
      </c>
      <c r="DT933" t="s">
        <v>13772</v>
      </c>
      <c r="DU933" t="s">
        <v>13772</v>
      </c>
      <c r="DV933" t="s">
        <v>13858</v>
      </c>
      <c r="DW933" t="s">
        <v>13772</v>
      </c>
      <c r="DX933" t="s">
        <v>13772</v>
      </c>
      <c r="DY933" t="s">
        <v>15378</v>
      </c>
      <c r="DZ933" t="s">
        <v>13772</v>
      </c>
      <c r="EA933" t="s">
        <v>13772</v>
      </c>
      <c r="EB933" t="s">
        <v>13772</v>
      </c>
    </row>
    <row r="934" spans="1:132" hidden="1">
      <c r="A934">
        <v>1133</v>
      </c>
      <c r="B934">
        <v>1</v>
      </c>
      <c r="C934" t="s">
        <v>2727</v>
      </c>
      <c r="D934" t="s">
        <v>73</v>
      </c>
      <c r="E934" t="s">
        <v>73</v>
      </c>
      <c r="F934" t="s">
        <v>73</v>
      </c>
      <c r="G934" t="s">
        <v>73</v>
      </c>
      <c r="H934">
        <v>24.2</v>
      </c>
      <c r="I934">
        <v>463</v>
      </c>
      <c r="J934">
        <v>50488</v>
      </c>
      <c r="K934" t="s">
        <v>2728</v>
      </c>
      <c r="L934">
        <f t="shared" si="58"/>
        <v>29</v>
      </c>
      <c r="N934">
        <v>29</v>
      </c>
      <c r="O934">
        <v>29</v>
      </c>
      <c r="P934">
        <v>1</v>
      </c>
      <c r="Q934">
        <v>1</v>
      </c>
      <c r="R934">
        <v>1</v>
      </c>
      <c r="S934">
        <v>3</v>
      </c>
      <c r="T934">
        <v>1</v>
      </c>
      <c r="U934">
        <v>4</v>
      </c>
      <c r="V934">
        <v>3</v>
      </c>
      <c r="W934">
        <v>5</v>
      </c>
      <c r="X934">
        <v>0</v>
      </c>
      <c r="Y934">
        <v>2</v>
      </c>
      <c r="Z934">
        <v>0</v>
      </c>
      <c r="AA934">
        <v>7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3</v>
      </c>
      <c r="AM934">
        <v>1</v>
      </c>
      <c r="AN934">
        <v>4</v>
      </c>
      <c r="AO934">
        <v>3</v>
      </c>
      <c r="AP934">
        <v>5</v>
      </c>
      <c r="AQ934">
        <v>0</v>
      </c>
      <c r="AR934">
        <v>2</v>
      </c>
      <c r="AS934">
        <v>0</v>
      </c>
      <c r="AT934">
        <v>7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 s="2">
        <v>1</v>
      </c>
      <c r="BD934" s="2">
        <v>1</v>
      </c>
      <c r="BE934" s="2">
        <v>3</v>
      </c>
      <c r="BF934" s="2">
        <v>1</v>
      </c>
      <c r="BG934" s="2">
        <v>4</v>
      </c>
      <c r="BH934" s="2">
        <v>3</v>
      </c>
      <c r="BI934" s="2">
        <v>5</v>
      </c>
      <c r="BJ934" s="2">
        <v>0</v>
      </c>
      <c r="BK934" s="2">
        <v>2</v>
      </c>
      <c r="BL934" s="2">
        <v>0</v>
      </c>
      <c r="BM934" s="2">
        <v>7</v>
      </c>
      <c r="BN934" s="2">
        <v>1</v>
      </c>
      <c r="BO934" s="2">
        <v>0</v>
      </c>
      <c r="BP934" s="2">
        <v>0</v>
      </c>
      <c r="BQ934" s="2">
        <v>0</v>
      </c>
      <c r="BR934" s="2">
        <v>1</v>
      </c>
      <c r="BS934" s="2">
        <v>0</v>
      </c>
      <c r="BT934" s="2">
        <v>0</v>
      </c>
      <c r="BU934" s="2">
        <v>0</v>
      </c>
      <c r="BV934" s="2">
        <f t="shared" si="61"/>
        <v>29</v>
      </c>
      <c r="BW934" s="16">
        <f t="shared" si="59"/>
        <v>1.5263157894736843</v>
      </c>
      <c r="BX934" s="16">
        <f>COUNTIF($BC$6:BU934, "=0") / COUNTIF($BC$6:BU934, "&gt;-1")</f>
        <v>0.25658602912016315</v>
      </c>
      <c r="BY934" s="18">
        <f>SUM($BC$6:BU934) / $BY$4</f>
        <v>0.93361824430413554</v>
      </c>
      <c r="BZ934" s="14">
        <f t="shared" si="60"/>
        <v>8</v>
      </c>
      <c r="CA934" t="s">
        <v>5832</v>
      </c>
      <c r="CZ934" t="s">
        <v>9504</v>
      </c>
      <c r="DA934" t="s">
        <v>5904</v>
      </c>
      <c r="DB934">
        <v>626.29999999999995</v>
      </c>
      <c r="DC934" t="s">
        <v>24716</v>
      </c>
      <c r="DD934" t="s">
        <v>24717</v>
      </c>
      <c r="DE934" t="s">
        <v>24718</v>
      </c>
      <c r="DF934" t="s">
        <v>24719</v>
      </c>
      <c r="DG934" t="s">
        <v>24720</v>
      </c>
      <c r="DH934" t="str">
        <f>"LAG3"</f>
        <v>LAG3</v>
      </c>
      <c r="DI934" t="s">
        <v>24721</v>
      </c>
      <c r="DJ934" t="s">
        <v>13777</v>
      </c>
      <c r="DK934">
        <v>9606</v>
      </c>
      <c r="DL934" s="34" t="str">
        <f>HYPERLINK("http://www.uniprot.org/uniprot/P18627", "P18627")</f>
        <v>P18627</v>
      </c>
      <c r="DM934" t="s">
        <v>24722</v>
      </c>
      <c r="DN934" t="s">
        <v>15290</v>
      </c>
      <c r="DO934" t="s">
        <v>14336</v>
      </c>
      <c r="DP934" t="s">
        <v>13780</v>
      </c>
      <c r="DQ934" t="s">
        <v>13772</v>
      </c>
      <c r="DR934" t="s">
        <v>13772</v>
      </c>
      <c r="DS934" t="s">
        <v>13951</v>
      </c>
      <c r="DT934" t="s">
        <v>13772</v>
      </c>
      <c r="DU934" t="s">
        <v>13772</v>
      </c>
      <c r="DV934" t="s">
        <v>13796</v>
      </c>
      <c r="DW934" t="s">
        <v>13772</v>
      </c>
      <c r="DX934" t="s">
        <v>24723</v>
      </c>
      <c r="DY934" t="s">
        <v>24724</v>
      </c>
      <c r="DZ934" t="s">
        <v>24725</v>
      </c>
      <c r="EA934" t="s">
        <v>13772</v>
      </c>
      <c r="EB934" t="s">
        <v>20003</v>
      </c>
    </row>
    <row r="935" spans="1:132" hidden="1">
      <c r="A935">
        <v>1658</v>
      </c>
      <c r="B935">
        <v>1</v>
      </c>
      <c r="C935" t="s">
        <v>3932</v>
      </c>
      <c r="D935" t="s">
        <v>3933</v>
      </c>
      <c r="E935" t="s">
        <v>73</v>
      </c>
      <c r="F935" t="s">
        <v>73</v>
      </c>
      <c r="G935" t="s">
        <v>73</v>
      </c>
      <c r="H935">
        <v>37.299999999999997</v>
      </c>
      <c r="I935">
        <v>241</v>
      </c>
      <c r="J935">
        <v>26676</v>
      </c>
      <c r="K935" t="s">
        <v>3934</v>
      </c>
      <c r="L935">
        <f t="shared" si="58"/>
        <v>29</v>
      </c>
      <c r="N935">
        <v>29</v>
      </c>
      <c r="O935">
        <v>29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3</v>
      </c>
      <c r="W935">
        <v>1</v>
      </c>
      <c r="X935">
        <v>0</v>
      </c>
      <c r="Y935">
        <v>4</v>
      </c>
      <c r="Z935">
        <v>0</v>
      </c>
      <c r="AA935">
        <v>3</v>
      </c>
      <c r="AB935">
        <v>3</v>
      </c>
      <c r="AC935">
        <v>4</v>
      </c>
      <c r="AD935">
        <v>0</v>
      </c>
      <c r="AE935">
        <v>6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3</v>
      </c>
      <c r="AP935">
        <v>1</v>
      </c>
      <c r="AQ935">
        <v>0</v>
      </c>
      <c r="AR935">
        <v>4</v>
      </c>
      <c r="AS935">
        <v>0</v>
      </c>
      <c r="AT935">
        <v>3</v>
      </c>
      <c r="AU935">
        <v>3</v>
      </c>
      <c r="AV935">
        <v>4</v>
      </c>
      <c r="AW935">
        <v>0</v>
      </c>
      <c r="AX935">
        <v>6</v>
      </c>
      <c r="AY935">
        <v>3</v>
      </c>
      <c r="AZ935">
        <v>0</v>
      </c>
      <c r="BA935">
        <v>0</v>
      </c>
      <c r="BB935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1</v>
      </c>
      <c r="BH935" s="2">
        <v>3</v>
      </c>
      <c r="BI935" s="2">
        <v>1</v>
      </c>
      <c r="BJ935" s="2">
        <v>0</v>
      </c>
      <c r="BK935" s="2">
        <v>4</v>
      </c>
      <c r="BL935" s="2">
        <v>0</v>
      </c>
      <c r="BM935" s="2">
        <v>3</v>
      </c>
      <c r="BN935" s="2">
        <v>3</v>
      </c>
      <c r="BO935" s="2">
        <v>4</v>
      </c>
      <c r="BP935" s="2">
        <v>0</v>
      </c>
      <c r="BQ935" s="2">
        <v>6</v>
      </c>
      <c r="BR935" s="2">
        <v>3</v>
      </c>
      <c r="BS935" s="2">
        <v>0</v>
      </c>
      <c r="BT935" s="2">
        <v>0</v>
      </c>
      <c r="BU935" s="2">
        <v>1</v>
      </c>
      <c r="BV935" s="2">
        <f t="shared" si="61"/>
        <v>29</v>
      </c>
      <c r="BW935" s="16">
        <f t="shared" si="59"/>
        <v>1.5263157894736843</v>
      </c>
      <c r="BX935" s="16">
        <f>COUNTIF($BC$6:BU935, "=0") / COUNTIF($BC$6:BU935, "&gt;-1")</f>
        <v>0.25681946802490097</v>
      </c>
      <c r="BY935" s="18">
        <f>SUM($BC$6:BU935) / $BY$4</f>
        <v>0.93374246977332775</v>
      </c>
      <c r="BZ935" s="14">
        <f t="shared" si="60"/>
        <v>9</v>
      </c>
      <c r="CA935" t="s">
        <v>5832</v>
      </c>
      <c r="CZ935" t="s">
        <v>11277</v>
      </c>
      <c r="DA935" t="s">
        <v>5904</v>
      </c>
      <c r="DB935">
        <v>461.8</v>
      </c>
      <c r="DC935" t="s">
        <v>29709</v>
      </c>
      <c r="DD935" t="s">
        <v>29710</v>
      </c>
      <c r="DE935" t="s">
        <v>29711</v>
      </c>
      <c r="DF935" t="s">
        <v>29712</v>
      </c>
      <c r="DG935" t="s">
        <v>29713</v>
      </c>
      <c r="DH935" t="str">
        <f>"AK2"</f>
        <v>AK2</v>
      </c>
      <c r="DI935" t="s">
        <v>29714</v>
      </c>
      <c r="DJ935" t="s">
        <v>13777</v>
      </c>
      <c r="DK935">
        <v>9606</v>
      </c>
      <c r="DL935" s="34" t="str">
        <f>HYPERLINK("http://www.uniprot.org/uniprot/P54819", "P54819")</f>
        <v>P54819</v>
      </c>
      <c r="DM935" t="s">
        <v>29715</v>
      </c>
      <c r="DN935" t="s">
        <v>13772</v>
      </c>
      <c r="DO935" t="s">
        <v>14491</v>
      </c>
      <c r="DP935" t="s">
        <v>13780</v>
      </c>
      <c r="DQ935" t="s">
        <v>13772</v>
      </c>
      <c r="DR935" t="s">
        <v>29716</v>
      </c>
      <c r="DS935" t="s">
        <v>13772</v>
      </c>
      <c r="DT935" t="s">
        <v>14005</v>
      </c>
      <c r="DU935" t="s">
        <v>14006</v>
      </c>
      <c r="DV935" t="s">
        <v>15256</v>
      </c>
      <c r="DW935" t="s">
        <v>13812</v>
      </c>
      <c r="DX935" t="s">
        <v>29717</v>
      </c>
      <c r="DY935" t="s">
        <v>29718</v>
      </c>
      <c r="DZ935" t="s">
        <v>29719</v>
      </c>
      <c r="EA935" t="s">
        <v>13772</v>
      </c>
      <c r="EB935" t="s">
        <v>16974</v>
      </c>
    </row>
    <row r="936" spans="1:132" hidden="1">
      <c r="A936">
        <v>1778</v>
      </c>
      <c r="B936">
        <v>1</v>
      </c>
      <c r="C936" t="s">
        <v>4206</v>
      </c>
      <c r="D936" t="s">
        <v>73</v>
      </c>
      <c r="E936" t="s">
        <v>73</v>
      </c>
      <c r="F936" t="s">
        <v>73</v>
      </c>
      <c r="G936" t="s">
        <v>73</v>
      </c>
      <c r="H936">
        <v>44.4</v>
      </c>
      <c r="I936">
        <v>72</v>
      </c>
      <c r="J936">
        <v>8024</v>
      </c>
      <c r="K936" t="s">
        <v>4207</v>
      </c>
      <c r="L936">
        <f t="shared" si="58"/>
        <v>29</v>
      </c>
      <c r="N936">
        <v>29</v>
      </c>
      <c r="O936">
        <v>29</v>
      </c>
      <c r="P936">
        <v>1</v>
      </c>
      <c r="Q936">
        <v>2</v>
      </c>
      <c r="R936">
        <v>3</v>
      </c>
      <c r="S936">
        <v>1</v>
      </c>
      <c r="T936">
        <v>4</v>
      </c>
      <c r="U936">
        <v>3</v>
      </c>
      <c r="V936">
        <v>2</v>
      </c>
      <c r="W936">
        <v>1</v>
      </c>
      <c r="X936">
        <v>2</v>
      </c>
      <c r="Y936">
        <v>0</v>
      </c>
      <c r="Z936">
        <v>0</v>
      </c>
      <c r="AA936">
        <v>2</v>
      </c>
      <c r="AB936">
        <v>3</v>
      </c>
      <c r="AC936">
        <v>1</v>
      </c>
      <c r="AD936">
        <v>2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2</v>
      </c>
      <c r="AK936">
        <v>3</v>
      </c>
      <c r="AL936">
        <v>1</v>
      </c>
      <c r="AM936">
        <v>4</v>
      </c>
      <c r="AN936">
        <v>3</v>
      </c>
      <c r="AO936">
        <v>2</v>
      </c>
      <c r="AP936">
        <v>1</v>
      </c>
      <c r="AQ936">
        <v>2</v>
      </c>
      <c r="AR936">
        <v>0</v>
      </c>
      <c r="AS936">
        <v>0</v>
      </c>
      <c r="AT936">
        <v>2</v>
      </c>
      <c r="AU936">
        <v>3</v>
      </c>
      <c r="AV936">
        <v>1</v>
      </c>
      <c r="AW936">
        <v>2</v>
      </c>
      <c r="AX936">
        <v>1</v>
      </c>
      <c r="AY936">
        <v>0</v>
      </c>
      <c r="AZ936">
        <v>0</v>
      </c>
      <c r="BA936">
        <v>1</v>
      </c>
      <c r="BB936">
        <v>1</v>
      </c>
      <c r="BC936" s="2">
        <v>2</v>
      </c>
      <c r="BD936" s="2">
        <v>3</v>
      </c>
      <c r="BE936" s="2">
        <v>1</v>
      </c>
      <c r="BF936" s="2">
        <v>4</v>
      </c>
      <c r="BG936" s="2">
        <v>3</v>
      </c>
      <c r="BH936" s="2">
        <v>2</v>
      </c>
      <c r="BI936" s="2">
        <v>1</v>
      </c>
      <c r="BJ936" s="2">
        <v>2</v>
      </c>
      <c r="BK936" s="2">
        <v>0</v>
      </c>
      <c r="BL936" s="2">
        <v>0</v>
      </c>
      <c r="BM936" s="2">
        <v>2</v>
      </c>
      <c r="BN936" s="2">
        <v>3</v>
      </c>
      <c r="BO936" s="2">
        <v>1</v>
      </c>
      <c r="BP936" s="2">
        <v>2</v>
      </c>
      <c r="BQ936" s="2">
        <v>1</v>
      </c>
      <c r="BR936" s="2">
        <v>0</v>
      </c>
      <c r="BS936" s="2">
        <v>0</v>
      </c>
      <c r="BT936" s="2">
        <v>1</v>
      </c>
      <c r="BU936" s="2">
        <v>1</v>
      </c>
      <c r="BV936" s="2">
        <f t="shared" si="61"/>
        <v>29</v>
      </c>
      <c r="BW936" s="16">
        <f t="shared" si="59"/>
        <v>1.5263157894736843</v>
      </c>
      <c r="BX936" s="16">
        <f>COUNTIF($BC$6:BU936, "=0") / COUNTIF($BC$6:BU936, "&gt;-1")</f>
        <v>0.25676974390864377</v>
      </c>
      <c r="BY936" s="18">
        <f>SUM($BC$6:BU936) / $BY$4</f>
        <v>0.93386669524252008</v>
      </c>
      <c r="BZ936" s="14">
        <f t="shared" si="60"/>
        <v>4</v>
      </c>
      <c r="CA936" t="s">
        <v>5832</v>
      </c>
      <c r="CZ936" t="s">
        <v>11682</v>
      </c>
      <c r="DA936" t="s">
        <v>5904</v>
      </c>
      <c r="DB936">
        <v>147.5</v>
      </c>
      <c r="DC936" t="s">
        <v>30872</v>
      </c>
      <c r="DD936" t="s">
        <v>13772</v>
      </c>
      <c r="DE936" t="s">
        <v>30873</v>
      </c>
      <c r="DF936" t="s">
        <v>30874</v>
      </c>
      <c r="DG936" t="s">
        <v>30875</v>
      </c>
      <c r="DH936" t="str">
        <f>"GNG12"</f>
        <v>GNG12</v>
      </c>
      <c r="DI936" t="s">
        <v>13772</v>
      </c>
      <c r="DJ936" t="s">
        <v>13777</v>
      </c>
      <c r="DK936">
        <v>9606</v>
      </c>
      <c r="DL936" s="34" t="str">
        <f>HYPERLINK("http://www.uniprot.org/uniprot/Q9UBI6", "Q9UBI6")</f>
        <v>Q9UBI6</v>
      </c>
      <c r="DM936" t="s">
        <v>30876</v>
      </c>
      <c r="DN936" t="s">
        <v>13772</v>
      </c>
      <c r="DO936" t="s">
        <v>13792</v>
      </c>
      <c r="DP936" t="s">
        <v>13772</v>
      </c>
      <c r="DQ936" t="s">
        <v>13772</v>
      </c>
      <c r="DR936" t="s">
        <v>13772</v>
      </c>
      <c r="DS936" t="s">
        <v>13772</v>
      </c>
      <c r="DT936" t="s">
        <v>13772</v>
      </c>
      <c r="DU936" t="s">
        <v>16883</v>
      </c>
      <c r="DV936" t="s">
        <v>19929</v>
      </c>
      <c r="DW936" t="s">
        <v>13772</v>
      </c>
      <c r="DX936" t="s">
        <v>30877</v>
      </c>
      <c r="DY936" t="s">
        <v>30878</v>
      </c>
      <c r="DZ936" t="s">
        <v>30879</v>
      </c>
      <c r="EA936" t="s">
        <v>13772</v>
      </c>
      <c r="EB936" t="s">
        <v>30880</v>
      </c>
    </row>
    <row r="937" spans="1:132" hidden="1">
      <c r="A937">
        <v>2312</v>
      </c>
      <c r="B937">
        <v>1</v>
      </c>
      <c r="C937" t="s">
        <v>5399</v>
      </c>
      <c r="D937" t="s">
        <v>5400</v>
      </c>
      <c r="E937" t="s">
        <v>73</v>
      </c>
      <c r="F937" t="s">
        <v>73</v>
      </c>
      <c r="G937" t="s">
        <v>73</v>
      </c>
      <c r="H937">
        <v>9.9</v>
      </c>
      <c r="I937">
        <v>1797</v>
      </c>
      <c r="J937">
        <v>193191</v>
      </c>
      <c r="K937" t="s">
        <v>5401</v>
      </c>
      <c r="L937">
        <f t="shared" si="58"/>
        <v>29</v>
      </c>
      <c r="N937">
        <v>29</v>
      </c>
      <c r="O937">
        <v>29</v>
      </c>
      <c r="P937">
        <v>1</v>
      </c>
      <c r="Q937">
        <v>1</v>
      </c>
      <c r="R937">
        <v>0</v>
      </c>
      <c r="S937">
        <v>3</v>
      </c>
      <c r="T937">
        <v>0</v>
      </c>
      <c r="U937">
        <v>5</v>
      </c>
      <c r="V937">
        <v>11</v>
      </c>
      <c r="W937">
        <v>1</v>
      </c>
      <c r="X937">
        <v>6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3</v>
      </c>
      <c r="AM937">
        <v>0</v>
      </c>
      <c r="AN937">
        <v>5</v>
      </c>
      <c r="AO937">
        <v>11</v>
      </c>
      <c r="AP937">
        <v>1</v>
      </c>
      <c r="AQ937">
        <v>6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 s="2">
        <v>1</v>
      </c>
      <c r="BD937" s="2">
        <v>0</v>
      </c>
      <c r="BE937" s="2">
        <v>3</v>
      </c>
      <c r="BF937" s="2">
        <v>0</v>
      </c>
      <c r="BG937" s="2">
        <v>5</v>
      </c>
      <c r="BH937" s="2">
        <v>11</v>
      </c>
      <c r="BI937" s="2">
        <v>1</v>
      </c>
      <c r="BJ937" s="2">
        <v>6</v>
      </c>
      <c r="BK937" s="2">
        <v>0</v>
      </c>
      <c r="BL937" s="2">
        <v>0</v>
      </c>
      <c r="BM937" s="2">
        <v>1</v>
      </c>
      <c r="BN937" s="2">
        <v>1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f t="shared" si="61"/>
        <v>29</v>
      </c>
      <c r="BW937" s="16">
        <f t="shared" si="59"/>
        <v>1.5263157894736843</v>
      </c>
      <c r="BX937" s="16">
        <f>COUNTIF($BC$6:BU937, "=0") / COUNTIF($BC$6:BU937, "&gt;-1")</f>
        <v>0.25711542805511634</v>
      </c>
      <c r="BY937" s="18">
        <f>SUM($BC$6:BU937) / $BY$4</f>
        <v>0.93399092071171241</v>
      </c>
      <c r="BZ937" s="14">
        <f t="shared" si="60"/>
        <v>11</v>
      </c>
      <c r="CA937" t="s">
        <v>5832</v>
      </c>
      <c r="CZ937" t="s">
        <v>13444</v>
      </c>
      <c r="DA937" t="s">
        <v>5904</v>
      </c>
      <c r="DB937">
        <v>3087</v>
      </c>
      <c r="DC937" t="s">
        <v>35832</v>
      </c>
      <c r="DD937" t="s">
        <v>35833</v>
      </c>
      <c r="DE937" t="s">
        <v>35834</v>
      </c>
      <c r="DF937" t="s">
        <v>35835</v>
      </c>
      <c r="DG937" t="s">
        <v>35836</v>
      </c>
      <c r="DH937" t="str">
        <f>"COL14A1"</f>
        <v>COL14A1</v>
      </c>
      <c r="DI937" t="s">
        <v>35837</v>
      </c>
      <c r="DJ937" t="s">
        <v>13777</v>
      </c>
      <c r="DK937">
        <v>9606</v>
      </c>
      <c r="DL937" s="34" t="str">
        <f>HYPERLINK("http://www.uniprot.org/uniprot/Q05707", "Q05707")</f>
        <v>Q05707</v>
      </c>
      <c r="DM937" t="s">
        <v>35838</v>
      </c>
      <c r="DN937" t="s">
        <v>13949</v>
      </c>
      <c r="DO937" t="s">
        <v>13869</v>
      </c>
      <c r="DP937" t="s">
        <v>13780</v>
      </c>
      <c r="DQ937" t="s">
        <v>13772</v>
      </c>
      <c r="DR937" t="s">
        <v>13772</v>
      </c>
      <c r="DS937" t="s">
        <v>13872</v>
      </c>
      <c r="DT937" t="s">
        <v>13772</v>
      </c>
      <c r="DU937" t="s">
        <v>13772</v>
      </c>
      <c r="DV937" t="s">
        <v>22002</v>
      </c>
      <c r="DW937" t="s">
        <v>13772</v>
      </c>
      <c r="DX937" t="s">
        <v>35839</v>
      </c>
      <c r="DY937" t="s">
        <v>35840</v>
      </c>
      <c r="DZ937" t="s">
        <v>35841</v>
      </c>
      <c r="EA937" t="s">
        <v>13772</v>
      </c>
      <c r="EB937" t="s">
        <v>27334</v>
      </c>
    </row>
    <row r="938" spans="1:132" hidden="1">
      <c r="A938">
        <v>1591</v>
      </c>
      <c r="B938">
        <v>1</v>
      </c>
      <c r="C938" t="s">
        <v>3771</v>
      </c>
      <c r="D938" t="s">
        <v>73</v>
      </c>
      <c r="E938" t="s">
        <v>73</v>
      </c>
      <c r="F938" t="s">
        <v>253</v>
      </c>
      <c r="G938" t="s">
        <v>73</v>
      </c>
      <c r="H938">
        <v>44</v>
      </c>
      <c r="I938">
        <v>191</v>
      </c>
      <c r="J938">
        <v>21258</v>
      </c>
      <c r="K938" t="s">
        <v>3772</v>
      </c>
      <c r="L938">
        <f t="shared" si="58"/>
        <v>32</v>
      </c>
      <c r="N938">
        <v>32</v>
      </c>
      <c r="O938">
        <v>27</v>
      </c>
      <c r="P938">
        <v>0.84399999999999997</v>
      </c>
      <c r="Q938">
        <v>0</v>
      </c>
      <c r="R938">
        <v>4</v>
      </c>
      <c r="S938">
        <v>1</v>
      </c>
      <c r="T938">
        <v>1</v>
      </c>
      <c r="U938">
        <v>5</v>
      </c>
      <c r="V938">
        <v>3</v>
      </c>
      <c r="W938">
        <v>1</v>
      </c>
      <c r="X938">
        <v>1</v>
      </c>
      <c r="Y938">
        <v>2</v>
      </c>
      <c r="Z938">
        <v>0</v>
      </c>
      <c r="AA938">
        <v>8</v>
      </c>
      <c r="AB938">
        <v>2</v>
      </c>
      <c r="AC938">
        <v>3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</v>
      </c>
      <c r="AL938">
        <v>1</v>
      </c>
      <c r="AM938">
        <v>1</v>
      </c>
      <c r="AN938">
        <v>3</v>
      </c>
      <c r="AO938">
        <v>2</v>
      </c>
      <c r="AP938">
        <v>0</v>
      </c>
      <c r="AQ938">
        <v>1</v>
      </c>
      <c r="AR938">
        <v>2</v>
      </c>
      <c r="AS938">
        <v>0</v>
      </c>
      <c r="AT938">
        <v>8</v>
      </c>
      <c r="AU938">
        <v>2</v>
      </c>
      <c r="AV938">
        <v>3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 s="2">
        <v>0</v>
      </c>
      <c r="BD938" s="2">
        <v>3.6</v>
      </c>
      <c r="BE938" s="2">
        <v>1</v>
      </c>
      <c r="BF938" s="2">
        <v>1</v>
      </c>
      <c r="BG938" s="2">
        <v>3.8570000000000002</v>
      </c>
      <c r="BH938" s="2">
        <v>2.4</v>
      </c>
      <c r="BI938" s="2">
        <v>0</v>
      </c>
      <c r="BJ938" s="2">
        <v>1</v>
      </c>
      <c r="BK938" s="2">
        <v>2</v>
      </c>
      <c r="BL938" s="2">
        <v>0</v>
      </c>
      <c r="BM938" s="2">
        <v>8</v>
      </c>
      <c r="BN938" s="2">
        <v>2</v>
      </c>
      <c r="BO938" s="2">
        <v>3</v>
      </c>
      <c r="BP938" s="2">
        <v>0</v>
      </c>
      <c r="BQ938" s="2">
        <v>1</v>
      </c>
      <c r="BR938" s="2">
        <v>0</v>
      </c>
      <c r="BS938" s="2">
        <v>0</v>
      </c>
      <c r="BT938" s="2">
        <v>0</v>
      </c>
      <c r="BU938" s="2">
        <v>0</v>
      </c>
      <c r="BV938" s="2">
        <f t="shared" si="61"/>
        <v>28.856999999999999</v>
      </c>
      <c r="BW938" s="16">
        <f t="shared" si="59"/>
        <v>1.5187894736842105</v>
      </c>
      <c r="BX938" s="16">
        <f>COUNTIF($BC$6:BU938, "=0") / COUNTIF($BC$6:BU938, "&gt;-1")</f>
        <v>0.25729113781237661</v>
      </c>
      <c r="BY938" s="18">
        <f>SUM($BC$6:BU938) / $BY$4</f>
        <v>0.93411453362083252</v>
      </c>
      <c r="BZ938" s="14">
        <f t="shared" si="60"/>
        <v>8</v>
      </c>
      <c r="CA938" t="s">
        <v>5832</v>
      </c>
      <c r="CZ938" t="s">
        <v>11044</v>
      </c>
      <c r="DA938" t="s">
        <v>5904</v>
      </c>
      <c r="DB938">
        <v>392.9</v>
      </c>
      <c r="DC938" t="s">
        <v>29063</v>
      </c>
      <c r="DD938" t="s">
        <v>29064</v>
      </c>
      <c r="DE938" t="s">
        <v>29065</v>
      </c>
      <c r="DF938" t="s">
        <v>29066</v>
      </c>
      <c r="DG938" t="s">
        <v>29067</v>
      </c>
      <c r="DH938" t="str">
        <f>"CDC42"</f>
        <v>CDC42</v>
      </c>
      <c r="DI938" t="s">
        <v>13772</v>
      </c>
      <c r="DJ938" t="s">
        <v>13777</v>
      </c>
      <c r="DK938">
        <v>9606</v>
      </c>
      <c r="DL938" s="34" t="str">
        <f>HYPERLINK("http://www.uniprot.org/uniprot/P60953", "P60953")</f>
        <v>P60953</v>
      </c>
      <c r="DM938" t="s">
        <v>29068</v>
      </c>
      <c r="DN938" t="s">
        <v>14726</v>
      </c>
      <c r="DO938" t="s">
        <v>17663</v>
      </c>
      <c r="DP938" t="s">
        <v>13841</v>
      </c>
      <c r="DQ938" t="s">
        <v>13772</v>
      </c>
      <c r="DR938" t="s">
        <v>17801</v>
      </c>
      <c r="DS938" t="s">
        <v>13772</v>
      </c>
      <c r="DT938" t="s">
        <v>14216</v>
      </c>
      <c r="DU938" t="s">
        <v>13772</v>
      </c>
      <c r="DV938" t="s">
        <v>29069</v>
      </c>
      <c r="DW938" t="s">
        <v>13812</v>
      </c>
      <c r="DX938" t="s">
        <v>29070</v>
      </c>
      <c r="DY938" t="s">
        <v>29071</v>
      </c>
      <c r="DZ938" t="s">
        <v>29072</v>
      </c>
      <c r="EA938" t="s">
        <v>13772</v>
      </c>
      <c r="EB938" t="s">
        <v>29073</v>
      </c>
    </row>
    <row r="939" spans="1:132" hidden="1">
      <c r="A939">
        <v>2393</v>
      </c>
      <c r="B939">
        <v>1</v>
      </c>
      <c r="C939" t="s">
        <v>5576</v>
      </c>
      <c r="D939" t="s">
        <v>73</v>
      </c>
      <c r="E939" t="s">
        <v>73</v>
      </c>
      <c r="F939" t="s">
        <v>5577</v>
      </c>
      <c r="G939" t="s">
        <v>73</v>
      </c>
      <c r="H939">
        <v>49.3</v>
      </c>
      <c r="I939">
        <v>152</v>
      </c>
      <c r="J939">
        <v>17358</v>
      </c>
      <c r="K939" t="s">
        <v>5578</v>
      </c>
      <c r="L939">
        <f t="shared" si="58"/>
        <v>32</v>
      </c>
      <c r="N939">
        <v>32</v>
      </c>
      <c r="O939">
        <v>18</v>
      </c>
      <c r="P939">
        <v>0.56200000000000006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2</v>
      </c>
      <c r="W939">
        <v>0</v>
      </c>
      <c r="X939">
        <v>2</v>
      </c>
      <c r="Y939">
        <v>14</v>
      </c>
      <c r="Z939">
        <v>0</v>
      </c>
      <c r="AA939">
        <v>4</v>
      </c>
      <c r="AB939">
        <v>4</v>
      </c>
      <c r="AC939">
        <v>2</v>
      </c>
      <c r="AD939">
        <v>0</v>
      </c>
      <c r="AE939">
        <v>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10</v>
      </c>
      <c r="AS939">
        <v>0</v>
      </c>
      <c r="AT939">
        <v>2</v>
      </c>
      <c r="AU939">
        <v>2</v>
      </c>
      <c r="AV939">
        <v>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2</v>
      </c>
      <c r="BH939" s="2">
        <v>1.5</v>
      </c>
      <c r="BI939" s="2">
        <v>0</v>
      </c>
      <c r="BJ939" s="2">
        <v>1</v>
      </c>
      <c r="BK939" s="2">
        <v>13.333</v>
      </c>
      <c r="BL939" s="2">
        <v>0</v>
      </c>
      <c r="BM939" s="2">
        <v>4</v>
      </c>
      <c r="BN939" s="2">
        <v>4</v>
      </c>
      <c r="BO939" s="2">
        <v>2</v>
      </c>
      <c r="BP939" s="2">
        <v>0</v>
      </c>
      <c r="BQ939" s="2">
        <v>1</v>
      </c>
      <c r="BR939" s="2">
        <v>0</v>
      </c>
      <c r="BS939" s="2">
        <v>0</v>
      </c>
      <c r="BT939" s="2">
        <v>0</v>
      </c>
      <c r="BU939" s="2">
        <v>0</v>
      </c>
      <c r="BV939" s="2">
        <f t="shared" si="61"/>
        <v>28.832999999999998</v>
      </c>
      <c r="BW939" s="16">
        <f t="shared" si="59"/>
        <v>1.5175263157894736</v>
      </c>
      <c r="BX939" s="16">
        <f>COUNTIF($BC$6:BU939, "=0") / COUNTIF($BC$6:BU939, "&gt;-1")</f>
        <v>0.25763552349825314</v>
      </c>
      <c r="BY939" s="18">
        <f>SUM($BC$6:BU939) / $BY$4</f>
        <v>0.93423804372266772</v>
      </c>
      <c r="BZ939" s="14">
        <f t="shared" si="60"/>
        <v>11</v>
      </c>
      <c r="CA939" t="s">
        <v>5832</v>
      </c>
      <c r="CZ939" t="s">
        <v>13690</v>
      </c>
      <c r="DA939" t="s">
        <v>5904</v>
      </c>
      <c r="DB939">
        <v>293.5</v>
      </c>
      <c r="DC939" t="s">
        <v>36493</v>
      </c>
      <c r="DD939" t="s">
        <v>36494</v>
      </c>
      <c r="DE939" t="s">
        <v>36495</v>
      </c>
      <c r="DF939" t="s">
        <v>36496</v>
      </c>
      <c r="DG939" t="s">
        <v>36497</v>
      </c>
      <c r="DH939" t="str">
        <f>"NME2"</f>
        <v>NME2</v>
      </c>
      <c r="DI939" t="s">
        <v>36498</v>
      </c>
      <c r="DJ939" t="s">
        <v>13777</v>
      </c>
      <c r="DK939">
        <v>9606</v>
      </c>
      <c r="DL939" s="34" t="str">
        <f>HYPERLINK("http://www.uniprot.org/uniprot/P22392", "P22392")</f>
        <v>P22392</v>
      </c>
      <c r="DM939" t="s">
        <v>36499</v>
      </c>
      <c r="DN939" t="s">
        <v>36500</v>
      </c>
      <c r="DO939" t="s">
        <v>22575</v>
      </c>
      <c r="DP939" t="s">
        <v>13841</v>
      </c>
      <c r="DQ939" t="s">
        <v>13772</v>
      </c>
      <c r="DR939" t="s">
        <v>13772</v>
      </c>
      <c r="DS939" t="s">
        <v>13772</v>
      </c>
      <c r="DT939" t="s">
        <v>17602</v>
      </c>
      <c r="DU939" t="s">
        <v>36501</v>
      </c>
      <c r="DV939" t="s">
        <v>13772</v>
      </c>
      <c r="DW939" t="s">
        <v>13812</v>
      </c>
      <c r="DX939" t="s">
        <v>36502</v>
      </c>
      <c r="DY939" t="s">
        <v>36503</v>
      </c>
      <c r="DZ939" t="s">
        <v>36504</v>
      </c>
      <c r="EA939" t="s">
        <v>13772</v>
      </c>
      <c r="EB939" t="s">
        <v>36505</v>
      </c>
    </row>
    <row r="940" spans="1:132" hidden="1">
      <c r="A940">
        <v>1671</v>
      </c>
      <c r="B940">
        <v>1</v>
      </c>
      <c r="C940" t="s">
        <v>3961</v>
      </c>
      <c r="D940" t="s">
        <v>73</v>
      </c>
      <c r="E940" t="s">
        <v>73</v>
      </c>
      <c r="F940" t="s">
        <v>1838</v>
      </c>
      <c r="G940" t="s">
        <v>73</v>
      </c>
      <c r="H940">
        <v>22.5</v>
      </c>
      <c r="I940">
        <v>630</v>
      </c>
      <c r="J940">
        <v>70797</v>
      </c>
      <c r="K940" t="s">
        <v>3962</v>
      </c>
      <c r="L940">
        <f t="shared" si="58"/>
        <v>49</v>
      </c>
      <c r="N940">
        <v>49</v>
      </c>
      <c r="O940">
        <v>20</v>
      </c>
      <c r="P940">
        <v>0.40799999999999997</v>
      </c>
      <c r="Q940">
        <v>0</v>
      </c>
      <c r="R940">
        <v>2</v>
      </c>
      <c r="S940">
        <v>0</v>
      </c>
      <c r="T940">
        <v>1</v>
      </c>
      <c r="U940">
        <v>4</v>
      </c>
      <c r="V940">
        <v>4</v>
      </c>
      <c r="W940">
        <v>0</v>
      </c>
      <c r="X940">
        <v>3</v>
      </c>
      <c r="Y940">
        <v>5</v>
      </c>
      <c r="Z940">
        <v>1</v>
      </c>
      <c r="AA940">
        <v>15</v>
      </c>
      <c r="AB940">
        <v>2</v>
      </c>
      <c r="AC940">
        <v>5</v>
      </c>
      <c r="AD940">
        <v>1</v>
      </c>
      <c r="AE940">
        <v>2</v>
      </c>
      <c r="AF940">
        <v>2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3</v>
      </c>
      <c r="AP940">
        <v>0</v>
      </c>
      <c r="AQ940">
        <v>1</v>
      </c>
      <c r="AR940">
        <v>4</v>
      </c>
      <c r="AS940">
        <v>0</v>
      </c>
      <c r="AT940">
        <v>9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 s="2">
        <v>0</v>
      </c>
      <c r="BD940" s="2">
        <v>2</v>
      </c>
      <c r="BE940" s="2">
        <v>0</v>
      </c>
      <c r="BF940" s="2">
        <v>0.5</v>
      </c>
      <c r="BG940" s="2">
        <v>2.3330000000000002</v>
      </c>
      <c r="BH940" s="2">
        <v>3.3330000000000002</v>
      </c>
      <c r="BI940" s="2">
        <v>0</v>
      </c>
      <c r="BJ940" s="2">
        <v>2</v>
      </c>
      <c r="BK940" s="2">
        <v>4.3639999999999999</v>
      </c>
      <c r="BL940" s="2">
        <v>0</v>
      </c>
      <c r="BM940" s="2">
        <v>12.201000000000001</v>
      </c>
      <c r="BN940" s="2">
        <v>0</v>
      </c>
      <c r="BO940" s="2">
        <v>0.5</v>
      </c>
      <c r="BP940" s="2">
        <v>0</v>
      </c>
      <c r="BQ940" s="2">
        <v>0.5</v>
      </c>
      <c r="BR940" s="2">
        <v>1.091</v>
      </c>
      <c r="BS940" s="2">
        <v>0</v>
      </c>
      <c r="BT940" s="2">
        <v>0</v>
      </c>
      <c r="BU940" s="2">
        <v>0</v>
      </c>
      <c r="BV940" s="2">
        <f t="shared" si="61"/>
        <v>28.822000000000003</v>
      </c>
      <c r="BW940" s="16">
        <f t="shared" si="59"/>
        <v>1.5169473684210528</v>
      </c>
      <c r="BX940" s="16">
        <f>COUNTIF($BC$6:BU940, "=0") / COUNTIF($BC$6:BU940, "&gt;-1")</f>
        <v>0.25786659161272163</v>
      </c>
      <c r="BY940" s="18">
        <f>SUM($BC$6:BU940) / $BY$4</f>
        <v>0.93436150670449747</v>
      </c>
      <c r="BZ940" s="14">
        <f t="shared" si="60"/>
        <v>9</v>
      </c>
      <c r="CA940" t="s">
        <v>5832</v>
      </c>
      <c r="CZ940" t="s">
        <v>11319</v>
      </c>
      <c r="DA940" t="s">
        <v>5904</v>
      </c>
      <c r="DB940">
        <v>1298.0999999999999</v>
      </c>
      <c r="DC940" t="s">
        <v>29831</v>
      </c>
      <c r="DD940" t="s">
        <v>29832</v>
      </c>
      <c r="DE940" t="s">
        <v>29833</v>
      </c>
      <c r="DF940" t="s">
        <v>29834</v>
      </c>
      <c r="DG940" t="s">
        <v>29835</v>
      </c>
      <c r="DH940" t="str">
        <f>"PLS3"</f>
        <v>PLS3</v>
      </c>
      <c r="DI940" t="s">
        <v>13772</v>
      </c>
      <c r="DJ940" t="s">
        <v>13777</v>
      </c>
      <c r="DK940">
        <v>9606</v>
      </c>
      <c r="DL940" s="34" t="str">
        <f>HYPERLINK("http://www.uniprot.org/uniprot/P13797", "P13797")</f>
        <v>P13797</v>
      </c>
      <c r="DM940" t="s">
        <v>29836</v>
      </c>
      <c r="DN940" t="s">
        <v>13772</v>
      </c>
      <c r="DO940" t="s">
        <v>13899</v>
      </c>
      <c r="DP940" t="s">
        <v>13780</v>
      </c>
      <c r="DQ940" t="s">
        <v>13772</v>
      </c>
      <c r="DR940" t="s">
        <v>13807</v>
      </c>
      <c r="DS940" t="s">
        <v>14096</v>
      </c>
      <c r="DT940" t="s">
        <v>13873</v>
      </c>
      <c r="DU940" t="s">
        <v>13990</v>
      </c>
      <c r="DV940" t="s">
        <v>13782</v>
      </c>
      <c r="DW940" t="s">
        <v>13812</v>
      </c>
      <c r="DX940" t="s">
        <v>29837</v>
      </c>
      <c r="DY940" t="s">
        <v>29838</v>
      </c>
      <c r="DZ940" t="s">
        <v>29839</v>
      </c>
      <c r="EA940" t="s">
        <v>13772</v>
      </c>
      <c r="EB940" t="s">
        <v>13772</v>
      </c>
    </row>
    <row r="941" spans="1:132" hidden="1">
      <c r="A941">
        <v>1255</v>
      </c>
      <c r="B941">
        <v>1</v>
      </c>
      <c r="C941" t="s">
        <v>3002</v>
      </c>
      <c r="D941" t="s">
        <v>3003</v>
      </c>
      <c r="E941" t="s">
        <v>73</v>
      </c>
      <c r="F941" t="s">
        <v>3004</v>
      </c>
      <c r="G941" t="s">
        <v>73</v>
      </c>
      <c r="H941">
        <v>37.9</v>
      </c>
      <c r="I941">
        <v>356</v>
      </c>
      <c r="J941">
        <v>38503</v>
      </c>
      <c r="K941" t="s">
        <v>3005</v>
      </c>
      <c r="L941">
        <f t="shared" si="58"/>
        <v>33</v>
      </c>
      <c r="N941">
        <v>33</v>
      </c>
      <c r="O941">
        <v>24</v>
      </c>
      <c r="P941">
        <v>0.72699999999999998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5</v>
      </c>
      <c r="Z941">
        <v>0</v>
      </c>
      <c r="AA941">
        <v>3</v>
      </c>
      <c r="AB941">
        <v>7</v>
      </c>
      <c r="AC941">
        <v>4</v>
      </c>
      <c r="AD941">
        <v>0</v>
      </c>
      <c r="AE941">
        <v>6</v>
      </c>
      <c r="AF941">
        <v>7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4</v>
      </c>
      <c r="AS941">
        <v>0</v>
      </c>
      <c r="AT941">
        <v>2</v>
      </c>
      <c r="AU941">
        <v>5</v>
      </c>
      <c r="AV941">
        <v>2</v>
      </c>
      <c r="AW941">
        <v>0</v>
      </c>
      <c r="AX941">
        <v>3</v>
      </c>
      <c r="AY941">
        <v>7</v>
      </c>
      <c r="AZ941">
        <v>0</v>
      </c>
      <c r="BA941">
        <v>0</v>
      </c>
      <c r="BB941">
        <v>0</v>
      </c>
      <c r="BC941" s="2">
        <v>0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4.4000000000000004</v>
      </c>
      <c r="BL941" s="2">
        <v>0</v>
      </c>
      <c r="BM941" s="2">
        <v>2.4</v>
      </c>
      <c r="BN941" s="2">
        <v>6</v>
      </c>
      <c r="BO941" s="2">
        <v>3.3330000000000002</v>
      </c>
      <c r="BP941" s="2">
        <v>0</v>
      </c>
      <c r="BQ941" s="2">
        <v>4.5</v>
      </c>
      <c r="BR941" s="2">
        <v>7</v>
      </c>
      <c r="BS941" s="2">
        <v>0</v>
      </c>
      <c r="BT941" s="2">
        <v>0</v>
      </c>
      <c r="BU941" s="2">
        <v>0</v>
      </c>
      <c r="BV941" s="2">
        <f t="shared" si="61"/>
        <v>28.633000000000003</v>
      </c>
      <c r="BW941" s="16">
        <f t="shared" si="59"/>
        <v>1.5070000000000001</v>
      </c>
      <c r="BX941" s="16">
        <f>COUNTIF($BC$6:BU941, "=0") / COUNTIF($BC$6:BU941, "&gt;-1")</f>
        <v>0.25826585695006748</v>
      </c>
      <c r="BY941" s="18">
        <f>SUM($BC$6:BU941) / $BY$4</f>
        <v>0.93448416007895907</v>
      </c>
      <c r="BZ941" s="14">
        <f t="shared" si="60"/>
        <v>12</v>
      </c>
      <c r="CA941" t="s">
        <v>5832</v>
      </c>
      <c r="CZ941" t="s">
        <v>9908</v>
      </c>
      <c r="DA941" t="s">
        <v>5904</v>
      </c>
      <c r="DB941">
        <v>714.5</v>
      </c>
      <c r="DC941" t="s">
        <v>25880</v>
      </c>
      <c r="DD941" t="s">
        <v>25881</v>
      </c>
      <c r="DE941" t="s">
        <v>25882</v>
      </c>
      <c r="DF941" t="s">
        <v>25883</v>
      </c>
      <c r="DG941" t="s">
        <v>25884</v>
      </c>
      <c r="DH941" t="str">
        <f>"HNRNPD"</f>
        <v>HNRNPD</v>
      </c>
      <c r="DI941" t="s">
        <v>25885</v>
      </c>
      <c r="DJ941" t="s">
        <v>13777</v>
      </c>
      <c r="DK941">
        <v>9606</v>
      </c>
      <c r="DL941" s="34" t="str">
        <f>HYPERLINK("http://www.uniprot.org/uniprot/Q14103", "Q14103")</f>
        <v>Q14103</v>
      </c>
      <c r="DM941" t="s">
        <v>25886</v>
      </c>
      <c r="DN941" t="s">
        <v>16734</v>
      </c>
      <c r="DO941" t="s">
        <v>13912</v>
      </c>
      <c r="DP941" t="s">
        <v>13841</v>
      </c>
      <c r="DQ941" t="s">
        <v>13772</v>
      </c>
      <c r="DR941" t="s">
        <v>13772</v>
      </c>
      <c r="DS941" t="s">
        <v>14096</v>
      </c>
      <c r="DT941" t="s">
        <v>13772</v>
      </c>
      <c r="DU941" t="s">
        <v>23916</v>
      </c>
      <c r="DV941" t="s">
        <v>14663</v>
      </c>
      <c r="DW941" t="s">
        <v>13812</v>
      </c>
      <c r="DX941" t="s">
        <v>25887</v>
      </c>
      <c r="DY941" t="s">
        <v>25888</v>
      </c>
      <c r="DZ941" t="s">
        <v>25889</v>
      </c>
      <c r="EA941" t="s">
        <v>13772</v>
      </c>
      <c r="EB941" t="s">
        <v>25890</v>
      </c>
    </row>
    <row r="942" spans="1:132" hidden="1">
      <c r="A942">
        <v>1588</v>
      </c>
      <c r="B942">
        <v>1</v>
      </c>
      <c r="C942" t="s">
        <v>3763</v>
      </c>
      <c r="D942" t="s">
        <v>73</v>
      </c>
      <c r="E942" t="s">
        <v>73</v>
      </c>
      <c r="F942" t="s">
        <v>3764</v>
      </c>
      <c r="G942" t="s">
        <v>73</v>
      </c>
      <c r="H942">
        <v>27.5</v>
      </c>
      <c r="I942">
        <v>679</v>
      </c>
      <c r="J942">
        <v>73708</v>
      </c>
      <c r="K942" t="s">
        <v>3765</v>
      </c>
      <c r="L942">
        <f t="shared" si="58"/>
        <v>30</v>
      </c>
      <c r="N942">
        <v>30</v>
      </c>
      <c r="O942">
        <v>28</v>
      </c>
      <c r="P942">
        <v>0.93300000000000005</v>
      </c>
      <c r="Q942">
        <v>0</v>
      </c>
      <c r="R942">
        <v>1</v>
      </c>
      <c r="S942">
        <v>0</v>
      </c>
      <c r="T942">
        <v>0</v>
      </c>
      <c r="U942">
        <v>3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4</v>
      </c>
      <c r="AB942">
        <v>12</v>
      </c>
      <c r="AC942">
        <v>4</v>
      </c>
      <c r="AD942">
        <v>0</v>
      </c>
      <c r="AE942">
        <v>3</v>
      </c>
      <c r="AF942">
        <v>2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3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</v>
      </c>
      <c r="AU942">
        <v>12</v>
      </c>
      <c r="AV942">
        <v>3</v>
      </c>
      <c r="AW942">
        <v>0</v>
      </c>
      <c r="AX942">
        <v>3</v>
      </c>
      <c r="AY942">
        <v>2</v>
      </c>
      <c r="AZ942">
        <v>0</v>
      </c>
      <c r="BA942">
        <v>0</v>
      </c>
      <c r="BB942">
        <v>0</v>
      </c>
      <c r="BC942" s="2">
        <v>0</v>
      </c>
      <c r="BD942" s="2">
        <v>1</v>
      </c>
      <c r="BE942" s="2">
        <v>0</v>
      </c>
      <c r="BF942" s="2">
        <v>0</v>
      </c>
      <c r="BG942" s="2">
        <v>3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4</v>
      </c>
      <c r="BN942" s="2">
        <v>12</v>
      </c>
      <c r="BO942" s="2">
        <v>3.25</v>
      </c>
      <c r="BP942" s="2">
        <v>0</v>
      </c>
      <c r="BQ942" s="2">
        <v>3</v>
      </c>
      <c r="BR942" s="2">
        <v>2</v>
      </c>
      <c r="BS942" s="2">
        <v>0</v>
      </c>
      <c r="BT942" s="2">
        <v>0</v>
      </c>
      <c r="BU942" s="2">
        <v>0</v>
      </c>
      <c r="BV942" s="2">
        <f t="shared" si="61"/>
        <v>28.25</v>
      </c>
      <c r="BW942" s="16">
        <f t="shared" si="59"/>
        <v>1.486842105263158</v>
      </c>
      <c r="BX942" s="16">
        <f>COUNTIF($BC$6:BU942, "=0") / COUNTIF($BC$6:BU942, "&gt;-1")</f>
        <v>0.25866427006684267</v>
      </c>
      <c r="BY942" s="18">
        <f>SUM($BC$6:BU942) / $BY$4</f>
        <v>0.93460517282049982</v>
      </c>
      <c r="BZ942" s="14">
        <f t="shared" si="60"/>
        <v>12</v>
      </c>
      <c r="CA942" t="s">
        <v>5832</v>
      </c>
      <c r="CZ942" t="s">
        <v>11034</v>
      </c>
      <c r="DA942" t="s">
        <v>5904</v>
      </c>
      <c r="DB942">
        <v>1384.4</v>
      </c>
      <c r="DC942" t="s">
        <v>29030</v>
      </c>
      <c r="DD942" t="s">
        <v>29031</v>
      </c>
      <c r="DE942" t="s">
        <v>29032</v>
      </c>
      <c r="DF942" t="s">
        <v>29033</v>
      </c>
      <c r="DG942" t="s">
        <v>29034</v>
      </c>
      <c r="DH942" t="str">
        <f>"HSPA9"</f>
        <v>HSPA9</v>
      </c>
      <c r="DI942" t="s">
        <v>29035</v>
      </c>
      <c r="DJ942" t="s">
        <v>13777</v>
      </c>
      <c r="DK942">
        <v>9606</v>
      </c>
      <c r="DL942" s="34" t="str">
        <f>HYPERLINK("http://www.uniprot.org/uniprot/P38646", "P38646")</f>
        <v>P38646</v>
      </c>
      <c r="DM942" t="s">
        <v>29036</v>
      </c>
      <c r="DN942" t="s">
        <v>13772</v>
      </c>
      <c r="DO942" t="s">
        <v>15225</v>
      </c>
      <c r="DP942" t="s">
        <v>13793</v>
      </c>
      <c r="DQ942" t="s">
        <v>13772</v>
      </c>
      <c r="DR942" t="s">
        <v>14517</v>
      </c>
      <c r="DS942" t="s">
        <v>14391</v>
      </c>
      <c r="DT942" t="s">
        <v>14005</v>
      </c>
      <c r="DU942" t="s">
        <v>14477</v>
      </c>
      <c r="DV942" t="s">
        <v>14098</v>
      </c>
      <c r="DW942" t="s">
        <v>13812</v>
      </c>
      <c r="DX942" t="s">
        <v>29037</v>
      </c>
      <c r="DY942" t="s">
        <v>29038</v>
      </c>
      <c r="DZ942" t="s">
        <v>29039</v>
      </c>
      <c r="EA942" t="s">
        <v>13772</v>
      </c>
      <c r="EB942" t="s">
        <v>29040</v>
      </c>
    </row>
    <row r="943" spans="1:132" hidden="1">
      <c r="A943">
        <v>105</v>
      </c>
      <c r="B943">
        <v>1</v>
      </c>
      <c r="C943" t="s">
        <v>280</v>
      </c>
      <c r="D943" t="s">
        <v>281</v>
      </c>
      <c r="E943" t="s">
        <v>73</v>
      </c>
      <c r="F943" t="s">
        <v>73</v>
      </c>
      <c r="G943" t="s">
        <v>73</v>
      </c>
      <c r="H943">
        <v>15.2</v>
      </c>
      <c r="I943">
        <v>480</v>
      </c>
      <c r="J943">
        <v>51474</v>
      </c>
      <c r="K943" t="s">
        <v>282</v>
      </c>
      <c r="L943">
        <f t="shared" si="58"/>
        <v>28</v>
      </c>
      <c r="N943">
        <v>28</v>
      </c>
      <c r="O943">
        <v>28</v>
      </c>
      <c r="P943">
        <v>1</v>
      </c>
      <c r="Q943">
        <v>0</v>
      </c>
      <c r="R943">
        <v>2</v>
      </c>
      <c r="S943">
        <v>1</v>
      </c>
      <c r="T943">
        <v>3</v>
      </c>
      <c r="U943">
        <v>3</v>
      </c>
      <c r="V943">
        <v>2</v>
      </c>
      <c r="W943">
        <v>4</v>
      </c>
      <c r="X943">
        <v>3</v>
      </c>
      <c r="Y943">
        <v>1</v>
      </c>
      <c r="Z943">
        <v>0</v>
      </c>
      <c r="AA943">
        <v>2</v>
      </c>
      <c r="AB943">
        <v>1</v>
      </c>
      <c r="AC943">
        <v>1</v>
      </c>
      <c r="AD943">
        <v>0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2</v>
      </c>
      <c r="AL943">
        <v>1</v>
      </c>
      <c r="AM943">
        <v>3</v>
      </c>
      <c r="AN943">
        <v>3</v>
      </c>
      <c r="AO943">
        <v>2</v>
      </c>
      <c r="AP943">
        <v>4</v>
      </c>
      <c r="AQ943">
        <v>3</v>
      </c>
      <c r="AR943">
        <v>1</v>
      </c>
      <c r="AS943">
        <v>0</v>
      </c>
      <c r="AT943">
        <v>2</v>
      </c>
      <c r="AU943">
        <v>1</v>
      </c>
      <c r="AV943">
        <v>1</v>
      </c>
      <c r="AW943">
        <v>0</v>
      </c>
      <c r="AX943">
        <v>2</v>
      </c>
      <c r="AY943">
        <v>2</v>
      </c>
      <c r="AZ943">
        <v>0</v>
      </c>
      <c r="BA943">
        <v>0</v>
      </c>
      <c r="BB943">
        <v>1</v>
      </c>
      <c r="BC943" s="2">
        <v>0</v>
      </c>
      <c r="BD943" s="2">
        <v>2</v>
      </c>
      <c r="BE943" s="2">
        <v>1</v>
      </c>
      <c r="BF943" s="2">
        <v>3</v>
      </c>
      <c r="BG943" s="2">
        <v>3</v>
      </c>
      <c r="BH943" s="2">
        <v>2</v>
      </c>
      <c r="BI943" s="2">
        <v>4</v>
      </c>
      <c r="BJ943" s="2">
        <v>3</v>
      </c>
      <c r="BK943" s="2">
        <v>1</v>
      </c>
      <c r="BL943" s="2">
        <v>0</v>
      </c>
      <c r="BM943" s="2">
        <v>2</v>
      </c>
      <c r="BN943" s="2">
        <v>1</v>
      </c>
      <c r="BO943" s="2">
        <v>1</v>
      </c>
      <c r="BP943" s="2">
        <v>0</v>
      </c>
      <c r="BQ943" s="2">
        <v>2</v>
      </c>
      <c r="BR943" s="2">
        <v>2</v>
      </c>
      <c r="BS943" s="2">
        <v>0</v>
      </c>
      <c r="BT943" s="2">
        <v>0</v>
      </c>
      <c r="BU943" s="2">
        <v>1</v>
      </c>
      <c r="BV943" s="2">
        <f t="shared" si="61"/>
        <v>28</v>
      </c>
      <c r="BW943" s="16">
        <f t="shared" si="59"/>
        <v>1.4736842105263157</v>
      </c>
      <c r="BX943" s="16">
        <f>COUNTIF($BC$6:BU943, "=0") / COUNTIF($BC$6:BU943, "&gt;-1")</f>
        <v>0.25866906071148021</v>
      </c>
      <c r="BY943" s="18">
        <f>SUM($BC$6:BU943) / $BY$4</f>
        <v>0.93472511465282337</v>
      </c>
      <c r="BZ943" s="14">
        <f t="shared" si="60"/>
        <v>5</v>
      </c>
      <c r="CA943" t="s">
        <v>5832</v>
      </c>
      <c r="CZ943" t="s">
        <v>6051</v>
      </c>
      <c r="DA943" t="s">
        <v>6054</v>
      </c>
      <c r="DB943">
        <v>124</v>
      </c>
      <c r="DC943" t="s">
        <v>14329</v>
      </c>
      <c r="DD943" t="s">
        <v>14330</v>
      </c>
      <c r="DE943" t="s">
        <v>14331</v>
      </c>
      <c r="DF943" t="s">
        <v>14332</v>
      </c>
      <c r="DG943" t="s">
        <v>14333</v>
      </c>
      <c r="DH943" t="str">
        <f>"SECTM1"</f>
        <v>SECTM1</v>
      </c>
      <c r="DI943" t="s">
        <v>14334</v>
      </c>
      <c r="DJ943" t="s">
        <v>13777</v>
      </c>
      <c r="DK943">
        <v>9606</v>
      </c>
      <c r="DL943" s="34" t="str">
        <f>HYPERLINK("http://www.uniprot.org/uniprot/Q8WVN6", "Q8WVN6")</f>
        <v>Q8WVN6</v>
      </c>
      <c r="DM943" t="s">
        <v>14335</v>
      </c>
      <c r="DN943" t="s">
        <v>13772</v>
      </c>
      <c r="DO943" t="s">
        <v>14336</v>
      </c>
      <c r="DP943" t="s">
        <v>13772</v>
      </c>
      <c r="DQ943" t="s">
        <v>13772</v>
      </c>
      <c r="DR943" t="s">
        <v>13772</v>
      </c>
      <c r="DS943" t="s">
        <v>13855</v>
      </c>
      <c r="DT943" t="s">
        <v>13772</v>
      </c>
      <c r="DU943" t="s">
        <v>13772</v>
      </c>
      <c r="DV943" t="s">
        <v>13796</v>
      </c>
      <c r="DW943" t="s">
        <v>13772</v>
      </c>
      <c r="DX943" t="s">
        <v>14337</v>
      </c>
      <c r="DY943" t="s">
        <v>14338</v>
      </c>
      <c r="DZ943" t="s">
        <v>14339</v>
      </c>
      <c r="EA943" t="s">
        <v>13772</v>
      </c>
      <c r="EB943" t="s">
        <v>13772</v>
      </c>
    </row>
    <row r="944" spans="1:132" hidden="1">
      <c r="A944">
        <v>420</v>
      </c>
      <c r="B944">
        <v>1</v>
      </c>
      <c r="C944" t="s">
        <v>1052</v>
      </c>
      <c r="D944" t="s">
        <v>73</v>
      </c>
      <c r="E944" t="s">
        <v>73</v>
      </c>
      <c r="F944" t="s">
        <v>73</v>
      </c>
      <c r="G944" t="s">
        <v>73</v>
      </c>
      <c r="H944">
        <v>21.1</v>
      </c>
      <c r="I944">
        <v>279</v>
      </c>
      <c r="J944">
        <v>28675</v>
      </c>
      <c r="K944" t="s">
        <v>1053</v>
      </c>
      <c r="L944">
        <f t="shared" si="58"/>
        <v>28</v>
      </c>
      <c r="N944">
        <v>28</v>
      </c>
      <c r="O944">
        <v>28</v>
      </c>
      <c r="P944">
        <v>1</v>
      </c>
      <c r="Q944">
        <v>3</v>
      </c>
      <c r="R944">
        <v>1</v>
      </c>
      <c r="S944">
        <v>2</v>
      </c>
      <c r="T944">
        <v>4</v>
      </c>
      <c r="U944">
        <v>4</v>
      </c>
      <c r="V944">
        <v>6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4</v>
      </c>
      <c r="AG944">
        <v>0</v>
      </c>
      <c r="AH944">
        <v>0</v>
      </c>
      <c r="AI944">
        <v>0</v>
      </c>
      <c r="AJ944">
        <v>3</v>
      </c>
      <c r="AK944">
        <v>1</v>
      </c>
      <c r="AL944">
        <v>2</v>
      </c>
      <c r="AM944">
        <v>4</v>
      </c>
      <c r="AN944">
        <v>4</v>
      </c>
      <c r="AO944">
        <v>6</v>
      </c>
      <c r="AP944">
        <v>2</v>
      </c>
      <c r="AQ944">
        <v>2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4</v>
      </c>
      <c r="AZ944">
        <v>0</v>
      </c>
      <c r="BA944">
        <v>0</v>
      </c>
      <c r="BB944">
        <v>0</v>
      </c>
      <c r="BC944" s="2">
        <v>3</v>
      </c>
      <c r="BD944" s="2">
        <v>1</v>
      </c>
      <c r="BE944" s="2">
        <v>2</v>
      </c>
      <c r="BF944" s="2">
        <v>4</v>
      </c>
      <c r="BG944" s="2">
        <v>4</v>
      </c>
      <c r="BH944" s="2">
        <v>6</v>
      </c>
      <c r="BI944" s="2">
        <v>2</v>
      </c>
      <c r="BJ944" s="2">
        <v>2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4</v>
      </c>
      <c r="BS944" s="2">
        <v>0</v>
      </c>
      <c r="BT944" s="2">
        <v>0</v>
      </c>
      <c r="BU944" s="2">
        <v>0</v>
      </c>
      <c r="BV944" s="2">
        <f t="shared" si="61"/>
        <v>28</v>
      </c>
      <c r="BW944" s="16">
        <f t="shared" si="59"/>
        <v>1.4736842105263157</v>
      </c>
      <c r="BX944" s="16">
        <f>COUNTIF($BC$6:BU944, "=0") / COUNTIF($BC$6:BU944, "&gt;-1")</f>
        <v>0.25895409450142931</v>
      </c>
      <c r="BY944" s="18">
        <f>SUM($BC$6:BU944) / $BY$4</f>
        <v>0.93484505648514704</v>
      </c>
      <c r="BZ944" s="14">
        <f t="shared" si="60"/>
        <v>10</v>
      </c>
      <c r="CA944" t="s">
        <v>5832</v>
      </c>
      <c r="CZ944" t="s">
        <v>7158</v>
      </c>
      <c r="DA944" t="s">
        <v>5904</v>
      </c>
      <c r="DB944">
        <v>352.1</v>
      </c>
      <c r="DC944" t="s">
        <v>17840</v>
      </c>
      <c r="DD944" t="s">
        <v>17841</v>
      </c>
      <c r="DE944" t="s">
        <v>17842</v>
      </c>
      <c r="DF944" t="s">
        <v>17843</v>
      </c>
      <c r="DG944" t="s">
        <v>17844</v>
      </c>
      <c r="DH944" t="str">
        <f>"TMEM119"</f>
        <v>TMEM119</v>
      </c>
      <c r="DI944" t="s">
        <v>13772</v>
      </c>
      <c r="DJ944" t="s">
        <v>13777</v>
      </c>
      <c r="DK944">
        <v>9606</v>
      </c>
      <c r="DL944" s="34" t="str">
        <f>HYPERLINK("http://www.uniprot.org/uniprot/Q4V9L6", "Q4V9L6")</f>
        <v>Q4V9L6</v>
      </c>
      <c r="DM944" t="s">
        <v>17845</v>
      </c>
      <c r="DN944" t="s">
        <v>17846</v>
      </c>
      <c r="DO944" t="s">
        <v>17847</v>
      </c>
      <c r="DP944" t="s">
        <v>13793</v>
      </c>
      <c r="DQ944" t="s">
        <v>13772</v>
      </c>
      <c r="DR944" t="s">
        <v>13772</v>
      </c>
      <c r="DS944" t="s">
        <v>13855</v>
      </c>
      <c r="DT944" t="s">
        <v>13772</v>
      </c>
      <c r="DU944" t="s">
        <v>13772</v>
      </c>
      <c r="DV944" t="s">
        <v>13978</v>
      </c>
      <c r="DW944" t="s">
        <v>13772</v>
      </c>
      <c r="DX944" t="s">
        <v>17848</v>
      </c>
      <c r="DY944" t="s">
        <v>17849</v>
      </c>
      <c r="DZ944" t="s">
        <v>13772</v>
      </c>
      <c r="EA944" t="s">
        <v>13772</v>
      </c>
      <c r="EB944" t="s">
        <v>13772</v>
      </c>
    </row>
    <row r="945" spans="1:132" hidden="1">
      <c r="A945">
        <v>537</v>
      </c>
      <c r="B945">
        <v>1</v>
      </c>
      <c r="C945" t="s">
        <v>1341</v>
      </c>
      <c r="D945" t="s">
        <v>73</v>
      </c>
      <c r="E945" t="s">
        <v>73</v>
      </c>
      <c r="F945" t="s">
        <v>73</v>
      </c>
      <c r="G945" t="s">
        <v>73</v>
      </c>
      <c r="H945">
        <v>23.9</v>
      </c>
      <c r="I945">
        <v>476</v>
      </c>
      <c r="J945">
        <v>53577</v>
      </c>
      <c r="K945" t="s">
        <v>1342</v>
      </c>
      <c r="L945">
        <f t="shared" si="58"/>
        <v>28</v>
      </c>
      <c r="N945">
        <v>28</v>
      </c>
      <c r="O945">
        <v>28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2</v>
      </c>
      <c r="Z945">
        <v>0</v>
      </c>
      <c r="AA945">
        <v>7</v>
      </c>
      <c r="AB945">
        <v>7</v>
      </c>
      <c r="AC945">
        <v>4</v>
      </c>
      <c r="AD945">
        <v>1</v>
      </c>
      <c r="AE945">
        <v>1</v>
      </c>
      <c r="AF945">
        <v>4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2</v>
      </c>
      <c r="AS945">
        <v>0</v>
      </c>
      <c r="AT945">
        <v>7</v>
      </c>
      <c r="AU945">
        <v>7</v>
      </c>
      <c r="AV945">
        <v>4</v>
      </c>
      <c r="AW945">
        <v>1</v>
      </c>
      <c r="AX945">
        <v>1</v>
      </c>
      <c r="AY945">
        <v>4</v>
      </c>
      <c r="AZ945">
        <v>1</v>
      </c>
      <c r="BA945">
        <v>0</v>
      </c>
      <c r="BB945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2</v>
      </c>
      <c r="BL945" s="2">
        <v>0</v>
      </c>
      <c r="BM945" s="2">
        <v>7</v>
      </c>
      <c r="BN945" s="2">
        <v>7</v>
      </c>
      <c r="BO945" s="2">
        <v>4</v>
      </c>
      <c r="BP945" s="2">
        <v>1</v>
      </c>
      <c r="BQ945" s="2">
        <v>1</v>
      </c>
      <c r="BR945" s="2">
        <v>4</v>
      </c>
      <c r="BS945" s="2">
        <v>1</v>
      </c>
      <c r="BT945" s="2">
        <v>0</v>
      </c>
      <c r="BU945" s="2">
        <v>0</v>
      </c>
      <c r="BV945" s="2">
        <f t="shared" si="61"/>
        <v>28</v>
      </c>
      <c r="BW945" s="16">
        <f t="shared" si="59"/>
        <v>1.4736842105263157</v>
      </c>
      <c r="BX945" s="16">
        <f>COUNTIF($BC$6:BU945, "=0") / COUNTIF($BC$6:BU945, "&gt;-1")</f>
        <v>0.25923852183650614</v>
      </c>
      <c r="BY945" s="18">
        <f>SUM($BC$6:BU945) / $BY$4</f>
        <v>0.93496499831747071</v>
      </c>
      <c r="BZ945" s="14">
        <f t="shared" si="60"/>
        <v>10</v>
      </c>
      <c r="CA945" t="s">
        <v>5832</v>
      </c>
      <c r="CZ945" t="s">
        <v>7560</v>
      </c>
      <c r="DA945" t="s">
        <v>5904</v>
      </c>
      <c r="DB945">
        <v>760.4</v>
      </c>
      <c r="DC945" t="s">
        <v>19056</v>
      </c>
      <c r="DD945" t="s">
        <v>19057</v>
      </c>
      <c r="DE945" t="s">
        <v>19058</v>
      </c>
      <c r="DF945" t="s">
        <v>19059</v>
      </c>
      <c r="DG945" t="s">
        <v>19060</v>
      </c>
      <c r="DH945" t="str">
        <f>"MMP3"</f>
        <v>MMP3</v>
      </c>
      <c r="DI945" t="s">
        <v>19061</v>
      </c>
      <c r="DJ945" t="s">
        <v>13777</v>
      </c>
      <c r="DK945">
        <v>9606</v>
      </c>
      <c r="DL945" s="34" t="str">
        <f>HYPERLINK("http://www.uniprot.org/uniprot/P08254", "P08254")</f>
        <v>P08254</v>
      </c>
      <c r="DM945" t="s">
        <v>19062</v>
      </c>
      <c r="DN945" t="s">
        <v>19063</v>
      </c>
      <c r="DO945" t="s">
        <v>13869</v>
      </c>
      <c r="DP945" t="s">
        <v>13793</v>
      </c>
      <c r="DQ945" t="s">
        <v>13772</v>
      </c>
      <c r="DR945" t="s">
        <v>13772</v>
      </c>
      <c r="DS945" t="s">
        <v>14404</v>
      </c>
      <c r="DT945" t="s">
        <v>14628</v>
      </c>
      <c r="DU945" t="s">
        <v>15139</v>
      </c>
      <c r="DV945" t="s">
        <v>15387</v>
      </c>
      <c r="DW945" t="s">
        <v>13812</v>
      </c>
      <c r="DX945" t="s">
        <v>19064</v>
      </c>
      <c r="DY945" t="s">
        <v>19065</v>
      </c>
      <c r="DZ945" t="s">
        <v>19066</v>
      </c>
      <c r="EA945" t="s">
        <v>13772</v>
      </c>
      <c r="EB945" t="s">
        <v>19067</v>
      </c>
    </row>
    <row r="946" spans="1:132" hidden="1">
      <c r="A946">
        <v>839</v>
      </c>
      <c r="B946">
        <v>1</v>
      </c>
      <c r="C946" t="s">
        <v>2056</v>
      </c>
      <c r="D946" t="s">
        <v>2057</v>
      </c>
      <c r="E946" t="s">
        <v>73</v>
      </c>
      <c r="F946" t="s">
        <v>73</v>
      </c>
      <c r="G946" t="s">
        <v>73</v>
      </c>
      <c r="H946">
        <v>30.3</v>
      </c>
      <c r="I946">
        <v>376</v>
      </c>
      <c r="J946">
        <v>40400</v>
      </c>
      <c r="K946" t="s">
        <v>2058</v>
      </c>
      <c r="L946">
        <f t="shared" si="58"/>
        <v>28</v>
      </c>
      <c r="N946">
        <v>28</v>
      </c>
      <c r="O946">
        <v>28</v>
      </c>
      <c r="P946">
        <v>1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</v>
      </c>
      <c r="X946">
        <v>0</v>
      </c>
      <c r="Y946">
        <v>3</v>
      </c>
      <c r="Z946">
        <v>1</v>
      </c>
      <c r="AA946">
        <v>7</v>
      </c>
      <c r="AB946">
        <v>2</v>
      </c>
      <c r="AC946">
        <v>2</v>
      </c>
      <c r="AD946">
        <v>0</v>
      </c>
      <c r="AE946">
        <v>6</v>
      </c>
      <c r="AF946">
        <v>1</v>
      </c>
      <c r="AG946">
        <v>1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</v>
      </c>
      <c r="AQ946">
        <v>0</v>
      </c>
      <c r="AR946">
        <v>3</v>
      </c>
      <c r="AS946">
        <v>1</v>
      </c>
      <c r="AT946">
        <v>7</v>
      </c>
      <c r="AU946">
        <v>2</v>
      </c>
      <c r="AV946">
        <v>2</v>
      </c>
      <c r="AW946">
        <v>0</v>
      </c>
      <c r="AX946">
        <v>6</v>
      </c>
      <c r="AY946">
        <v>1</v>
      </c>
      <c r="AZ946">
        <v>1</v>
      </c>
      <c r="BA946">
        <v>0</v>
      </c>
      <c r="BB946">
        <v>0</v>
      </c>
      <c r="BC946" s="2">
        <v>2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3</v>
      </c>
      <c r="BJ946" s="2">
        <v>0</v>
      </c>
      <c r="BK946" s="2">
        <v>3</v>
      </c>
      <c r="BL946" s="2">
        <v>1</v>
      </c>
      <c r="BM946" s="2">
        <v>7</v>
      </c>
      <c r="BN946" s="2">
        <v>2</v>
      </c>
      <c r="BO946" s="2">
        <v>2</v>
      </c>
      <c r="BP946" s="2">
        <v>0</v>
      </c>
      <c r="BQ946" s="2">
        <v>6</v>
      </c>
      <c r="BR946" s="2">
        <v>1</v>
      </c>
      <c r="BS946" s="2">
        <v>1</v>
      </c>
      <c r="BT946" s="2">
        <v>0</v>
      </c>
      <c r="BU946" s="2">
        <v>0</v>
      </c>
      <c r="BV946" s="2">
        <f t="shared" si="61"/>
        <v>28</v>
      </c>
      <c r="BW946" s="16">
        <f t="shared" si="59"/>
        <v>1.4736842105263157</v>
      </c>
      <c r="BX946" s="16">
        <f>COUNTIF($BC$6:BU946, "=0") / COUNTIF($BC$6:BU946, "&gt;-1")</f>
        <v>0.2594664131103529</v>
      </c>
      <c r="BY946" s="18">
        <f>SUM($BC$6:BU946) / $BY$4</f>
        <v>0.93508494014979426</v>
      </c>
      <c r="BZ946" s="14">
        <f t="shared" si="60"/>
        <v>9</v>
      </c>
      <c r="CA946" t="s">
        <v>5832</v>
      </c>
      <c r="CZ946" t="s">
        <v>8574</v>
      </c>
      <c r="DA946" t="s">
        <v>5904</v>
      </c>
      <c r="DB946">
        <v>664.5</v>
      </c>
      <c r="DC946" t="s">
        <v>22062</v>
      </c>
      <c r="DD946" t="s">
        <v>22063</v>
      </c>
      <c r="DE946" t="s">
        <v>22064</v>
      </c>
      <c r="DF946" t="s">
        <v>22065</v>
      </c>
      <c r="DG946" t="s">
        <v>22066</v>
      </c>
      <c r="DH946" t="str">
        <f>"SUMF1"</f>
        <v>SUMF1</v>
      </c>
      <c r="DI946" t="s">
        <v>13772</v>
      </c>
      <c r="DJ946" t="s">
        <v>13777</v>
      </c>
      <c r="DK946">
        <v>9606</v>
      </c>
      <c r="DL946" s="34" t="str">
        <f>HYPERLINK("http://www.uniprot.org/uniprot/Q8NBK3", "Q8NBK3")</f>
        <v>Q8NBK3</v>
      </c>
      <c r="DM946" t="s">
        <v>22067</v>
      </c>
      <c r="DN946" t="s">
        <v>13772</v>
      </c>
      <c r="DO946" t="s">
        <v>14908</v>
      </c>
      <c r="DP946" t="s">
        <v>13780</v>
      </c>
      <c r="DQ946" t="s">
        <v>13772</v>
      </c>
      <c r="DR946" t="s">
        <v>22068</v>
      </c>
      <c r="DS946" t="s">
        <v>13808</v>
      </c>
      <c r="DT946" t="s">
        <v>22069</v>
      </c>
      <c r="DU946" t="s">
        <v>13885</v>
      </c>
      <c r="DV946" t="s">
        <v>13796</v>
      </c>
      <c r="DW946" t="s">
        <v>13812</v>
      </c>
      <c r="DX946" t="s">
        <v>22070</v>
      </c>
      <c r="DY946" t="s">
        <v>22071</v>
      </c>
      <c r="DZ946" t="s">
        <v>22072</v>
      </c>
      <c r="EA946" t="s">
        <v>22073</v>
      </c>
      <c r="EB946" t="s">
        <v>22074</v>
      </c>
    </row>
    <row r="947" spans="1:132" hidden="1">
      <c r="A947">
        <v>931</v>
      </c>
      <c r="B947">
        <v>1</v>
      </c>
      <c r="C947" t="s">
        <v>2265</v>
      </c>
      <c r="D947" t="s">
        <v>2266</v>
      </c>
      <c r="E947" t="s">
        <v>73</v>
      </c>
      <c r="F947" t="s">
        <v>73</v>
      </c>
      <c r="G947" t="s">
        <v>73</v>
      </c>
      <c r="H947">
        <v>18.399999999999999</v>
      </c>
      <c r="I947">
        <v>859</v>
      </c>
      <c r="J947">
        <v>94430</v>
      </c>
      <c r="K947" t="s">
        <v>2267</v>
      </c>
      <c r="L947">
        <f t="shared" si="58"/>
        <v>28</v>
      </c>
      <c r="N947">
        <v>28</v>
      </c>
      <c r="O947">
        <v>28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6</v>
      </c>
      <c r="Y947">
        <v>3</v>
      </c>
      <c r="Z947">
        <v>0</v>
      </c>
      <c r="AA947">
        <v>9</v>
      </c>
      <c r="AB947">
        <v>2</v>
      </c>
      <c r="AC947">
        <v>3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6</v>
      </c>
      <c r="AR947">
        <v>3</v>
      </c>
      <c r="AS947">
        <v>0</v>
      </c>
      <c r="AT947">
        <v>9</v>
      </c>
      <c r="AU947">
        <v>2</v>
      </c>
      <c r="AV947">
        <v>3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 s="2">
        <v>0</v>
      </c>
      <c r="BD947" s="2">
        <v>0</v>
      </c>
      <c r="BE947" s="2">
        <v>0</v>
      </c>
      <c r="BF947" s="2">
        <v>1</v>
      </c>
      <c r="BG947" s="2">
        <v>1</v>
      </c>
      <c r="BH947" s="2">
        <v>1</v>
      </c>
      <c r="BI947" s="2">
        <v>0</v>
      </c>
      <c r="BJ947" s="2">
        <v>6</v>
      </c>
      <c r="BK947" s="2">
        <v>3</v>
      </c>
      <c r="BL947" s="2">
        <v>0</v>
      </c>
      <c r="BM947" s="2">
        <v>9</v>
      </c>
      <c r="BN947" s="2">
        <v>2</v>
      </c>
      <c r="BO947" s="2">
        <v>3</v>
      </c>
      <c r="BP947" s="2">
        <v>0</v>
      </c>
      <c r="BQ947" s="2">
        <v>1</v>
      </c>
      <c r="BR947" s="2">
        <v>1</v>
      </c>
      <c r="BS947" s="2">
        <v>0</v>
      </c>
      <c r="BT947" s="2">
        <v>0</v>
      </c>
      <c r="BU947" s="2">
        <v>0</v>
      </c>
      <c r="BV947" s="2">
        <f t="shared" si="61"/>
        <v>28</v>
      </c>
      <c r="BW947" s="16">
        <f t="shared" si="59"/>
        <v>1.4736842105263157</v>
      </c>
      <c r="BX947" s="16">
        <f>COUNTIF($BC$6:BU947, "=0") / COUNTIF($BC$6:BU947, "&gt;-1")</f>
        <v>0.25969382053860768</v>
      </c>
      <c r="BY947" s="18">
        <f>SUM($BC$6:BU947) / $BY$4</f>
        <v>0.93520488198211793</v>
      </c>
      <c r="BZ947" s="14">
        <f t="shared" si="60"/>
        <v>9</v>
      </c>
      <c r="CA947" t="s">
        <v>5832</v>
      </c>
      <c r="CZ947" t="s">
        <v>8887</v>
      </c>
      <c r="DA947" t="s">
        <v>5904</v>
      </c>
      <c r="DB947">
        <v>1560</v>
      </c>
      <c r="DC947" t="s">
        <v>22959</v>
      </c>
      <c r="DD947" t="s">
        <v>22960</v>
      </c>
      <c r="DE947" t="s">
        <v>22961</v>
      </c>
      <c r="DF947" t="s">
        <v>22962</v>
      </c>
      <c r="DG947" t="s">
        <v>22963</v>
      </c>
      <c r="DH947" t="str">
        <f>"TGFBR3"</f>
        <v>TGFBR3</v>
      </c>
      <c r="DI947" t="s">
        <v>13772</v>
      </c>
      <c r="DJ947" t="s">
        <v>13777</v>
      </c>
      <c r="DK947">
        <v>9606</v>
      </c>
      <c r="DL947" s="34" t="str">
        <f>HYPERLINK("http://www.uniprot.org/uniprot/Q03167", "Q03167")</f>
        <v>Q03167</v>
      </c>
      <c r="DM947" t="s">
        <v>22964</v>
      </c>
      <c r="DN947" t="s">
        <v>13772</v>
      </c>
      <c r="DO947" t="s">
        <v>14336</v>
      </c>
      <c r="DP947" t="s">
        <v>13780</v>
      </c>
      <c r="DQ947" t="s">
        <v>13772</v>
      </c>
      <c r="DR947" t="s">
        <v>13772</v>
      </c>
      <c r="DS947" t="s">
        <v>13855</v>
      </c>
      <c r="DT947" t="s">
        <v>13772</v>
      </c>
      <c r="DU947" t="s">
        <v>13795</v>
      </c>
      <c r="DV947" t="s">
        <v>14520</v>
      </c>
      <c r="DW947" t="s">
        <v>13772</v>
      </c>
      <c r="DX947" t="s">
        <v>22965</v>
      </c>
      <c r="DY947" t="s">
        <v>22966</v>
      </c>
      <c r="DZ947" t="s">
        <v>22967</v>
      </c>
      <c r="EA947" t="s">
        <v>13772</v>
      </c>
      <c r="EB947" t="s">
        <v>13772</v>
      </c>
    </row>
    <row r="948" spans="1:132" hidden="1">
      <c r="A948">
        <v>983</v>
      </c>
      <c r="B948">
        <v>1</v>
      </c>
      <c r="C948" t="s">
        <v>2385</v>
      </c>
      <c r="D948" t="s">
        <v>2386</v>
      </c>
      <c r="E948" t="s">
        <v>73</v>
      </c>
      <c r="F948" t="s">
        <v>73</v>
      </c>
      <c r="G948" t="s">
        <v>73</v>
      </c>
      <c r="H948">
        <v>0.4</v>
      </c>
      <c r="I948">
        <v>6964</v>
      </c>
      <c r="J948">
        <v>785693</v>
      </c>
      <c r="K948" t="s">
        <v>2387</v>
      </c>
      <c r="L948">
        <f t="shared" si="58"/>
        <v>28</v>
      </c>
      <c r="N948">
        <v>28</v>
      </c>
      <c r="O948">
        <v>28</v>
      </c>
      <c r="P948">
        <v>1</v>
      </c>
      <c r="Q948">
        <v>3</v>
      </c>
      <c r="R948">
        <v>2</v>
      </c>
      <c r="S948">
        <v>3</v>
      </c>
      <c r="T948">
        <v>1</v>
      </c>
      <c r="U948">
        <v>3</v>
      </c>
      <c r="V948">
        <v>0</v>
      </c>
      <c r="W948">
        <v>0</v>
      </c>
      <c r="X948">
        <v>1</v>
      </c>
      <c r="Y948">
        <v>1</v>
      </c>
      <c r="Z948">
        <v>3</v>
      </c>
      <c r="AA948">
        <v>0</v>
      </c>
      <c r="AB948">
        <v>1</v>
      </c>
      <c r="AC948">
        <v>1</v>
      </c>
      <c r="AD948">
        <v>1</v>
      </c>
      <c r="AE948">
        <v>4</v>
      </c>
      <c r="AF948">
        <v>0</v>
      </c>
      <c r="AG948">
        <v>1</v>
      </c>
      <c r="AH948">
        <v>2</v>
      </c>
      <c r="AI948">
        <v>1</v>
      </c>
      <c r="AJ948">
        <v>3</v>
      </c>
      <c r="AK948">
        <v>2</v>
      </c>
      <c r="AL948">
        <v>3</v>
      </c>
      <c r="AM948">
        <v>1</v>
      </c>
      <c r="AN948">
        <v>3</v>
      </c>
      <c r="AO948">
        <v>0</v>
      </c>
      <c r="AP948">
        <v>0</v>
      </c>
      <c r="AQ948">
        <v>1</v>
      </c>
      <c r="AR948">
        <v>1</v>
      </c>
      <c r="AS948">
        <v>3</v>
      </c>
      <c r="AT948">
        <v>0</v>
      </c>
      <c r="AU948">
        <v>1</v>
      </c>
      <c r="AV948">
        <v>1</v>
      </c>
      <c r="AW948">
        <v>1</v>
      </c>
      <c r="AX948">
        <v>4</v>
      </c>
      <c r="AY948">
        <v>0</v>
      </c>
      <c r="AZ948">
        <v>1</v>
      </c>
      <c r="BA948">
        <v>2</v>
      </c>
      <c r="BB948">
        <v>1</v>
      </c>
      <c r="BC948" s="2">
        <v>3</v>
      </c>
      <c r="BD948" s="2">
        <v>2</v>
      </c>
      <c r="BE948" s="2">
        <v>3</v>
      </c>
      <c r="BF948" s="2">
        <v>1</v>
      </c>
      <c r="BG948" s="2">
        <v>3</v>
      </c>
      <c r="BH948" s="2">
        <v>0</v>
      </c>
      <c r="BI948" s="2">
        <v>0</v>
      </c>
      <c r="BJ948" s="2">
        <v>1</v>
      </c>
      <c r="BK948" s="2">
        <v>1</v>
      </c>
      <c r="BL948" s="2">
        <v>3</v>
      </c>
      <c r="BM948" s="2">
        <v>0</v>
      </c>
      <c r="BN948" s="2">
        <v>1</v>
      </c>
      <c r="BO948" s="2">
        <v>1</v>
      </c>
      <c r="BP948" s="2">
        <v>1</v>
      </c>
      <c r="BQ948" s="2">
        <v>4</v>
      </c>
      <c r="BR948" s="2">
        <v>0</v>
      </c>
      <c r="BS948" s="2">
        <v>1</v>
      </c>
      <c r="BT948" s="2">
        <v>2</v>
      </c>
      <c r="BU948" s="2">
        <v>1</v>
      </c>
      <c r="BV948" s="2">
        <f t="shared" si="61"/>
        <v>28</v>
      </c>
      <c r="BW948" s="16">
        <f t="shared" si="59"/>
        <v>1.4736842105263157</v>
      </c>
      <c r="BX948" s="16">
        <f>COUNTIF($BC$6:BU948, "=0") / COUNTIF($BC$6:BU948, "&gt;-1")</f>
        <v>0.25964168108500307</v>
      </c>
      <c r="BY948" s="18">
        <f>SUM($BC$6:BU948) / $BY$4</f>
        <v>0.93532482381444149</v>
      </c>
      <c r="BZ948" s="14">
        <f t="shared" si="60"/>
        <v>4</v>
      </c>
      <c r="CA948" t="s">
        <v>5832</v>
      </c>
      <c r="CZ948" t="s">
        <v>9065</v>
      </c>
      <c r="DA948" t="s">
        <v>5904</v>
      </c>
      <c r="DB948">
        <v>9435.1</v>
      </c>
      <c r="DC948" t="s">
        <v>23472</v>
      </c>
      <c r="DD948" t="s">
        <v>13772</v>
      </c>
      <c r="DE948" t="s">
        <v>23473</v>
      </c>
      <c r="DF948" t="s">
        <v>23474</v>
      </c>
      <c r="DG948" t="s">
        <v>23475</v>
      </c>
      <c r="DH948" t="str">
        <f>"FSIP2"</f>
        <v>FSIP2</v>
      </c>
      <c r="DI948" t="s">
        <v>13772</v>
      </c>
      <c r="DJ948" t="s">
        <v>13777</v>
      </c>
      <c r="DK948">
        <v>9606</v>
      </c>
      <c r="DL948" s="34" t="str">
        <f>HYPERLINK("http://www.uniprot.org/uniprot/Q5CZC0", "Q5CZC0")</f>
        <v>Q5CZC0</v>
      </c>
      <c r="DM948" t="s">
        <v>23476</v>
      </c>
      <c r="DN948" t="s">
        <v>13772</v>
      </c>
      <c r="DO948" t="s">
        <v>13772</v>
      </c>
      <c r="DP948" t="s">
        <v>13780</v>
      </c>
      <c r="DQ948" t="s">
        <v>13772</v>
      </c>
      <c r="DR948" t="s">
        <v>13772</v>
      </c>
      <c r="DS948" t="s">
        <v>14048</v>
      </c>
      <c r="DT948" t="s">
        <v>13772</v>
      </c>
      <c r="DU948" t="s">
        <v>13772</v>
      </c>
      <c r="DV948" t="s">
        <v>13782</v>
      </c>
      <c r="DW948" t="s">
        <v>13772</v>
      </c>
      <c r="DX948" t="s">
        <v>13772</v>
      </c>
      <c r="DY948" t="s">
        <v>13772</v>
      </c>
      <c r="DZ948" t="s">
        <v>13772</v>
      </c>
      <c r="EA948" t="s">
        <v>13772</v>
      </c>
      <c r="EB948" t="s">
        <v>13772</v>
      </c>
    </row>
    <row r="949" spans="1:132" hidden="1">
      <c r="A949">
        <v>1269</v>
      </c>
      <c r="B949">
        <v>1</v>
      </c>
      <c r="C949" t="s">
        <v>3042</v>
      </c>
      <c r="D949" t="s">
        <v>3043</v>
      </c>
      <c r="E949" t="s">
        <v>73</v>
      </c>
      <c r="F949" t="s">
        <v>73</v>
      </c>
      <c r="G949" t="s">
        <v>73</v>
      </c>
      <c r="H949">
        <v>11.1</v>
      </c>
      <c r="I949">
        <v>976</v>
      </c>
      <c r="J949">
        <v>109734</v>
      </c>
      <c r="K949" t="s">
        <v>3044</v>
      </c>
      <c r="L949">
        <f t="shared" si="58"/>
        <v>28</v>
      </c>
      <c r="N949">
        <v>28</v>
      </c>
      <c r="O949">
        <v>28</v>
      </c>
      <c r="P949">
        <v>1</v>
      </c>
      <c r="Q949">
        <v>2</v>
      </c>
      <c r="R949">
        <v>1</v>
      </c>
      <c r="S949">
        <v>4</v>
      </c>
      <c r="T949">
        <v>8</v>
      </c>
      <c r="U949">
        <v>4</v>
      </c>
      <c r="V949">
        <v>1</v>
      </c>
      <c r="W949">
        <v>4</v>
      </c>
      <c r="X949">
        <v>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1</v>
      </c>
      <c r="AL949">
        <v>4</v>
      </c>
      <c r="AM949">
        <v>8</v>
      </c>
      <c r="AN949">
        <v>4</v>
      </c>
      <c r="AO949">
        <v>1</v>
      </c>
      <c r="AP949">
        <v>4</v>
      </c>
      <c r="AQ949">
        <v>4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 s="2">
        <v>2</v>
      </c>
      <c r="BD949" s="2">
        <v>1</v>
      </c>
      <c r="BE949" s="2">
        <v>4</v>
      </c>
      <c r="BF949" s="2">
        <v>8</v>
      </c>
      <c r="BG949" s="2">
        <v>4</v>
      </c>
      <c r="BH949" s="2">
        <v>1</v>
      </c>
      <c r="BI949" s="2">
        <v>4</v>
      </c>
      <c r="BJ949" s="2">
        <v>4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f t="shared" si="61"/>
        <v>28</v>
      </c>
      <c r="BW949" s="16">
        <f t="shared" si="59"/>
        <v>1.4736842105263157</v>
      </c>
      <c r="BX949" s="16">
        <f>COUNTIF($BC$6:BU949, "=0") / COUNTIF($BC$6:BU949, "&gt;-1")</f>
        <v>0.25997992863514718</v>
      </c>
      <c r="BY949" s="18">
        <f>SUM($BC$6:BU949) / $BY$4</f>
        <v>0.93544476564676515</v>
      </c>
      <c r="BZ949" s="14">
        <f t="shared" si="60"/>
        <v>11</v>
      </c>
      <c r="CA949" t="s">
        <v>5832</v>
      </c>
      <c r="CZ949" t="s">
        <v>9962</v>
      </c>
      <c r="DA949" t="s">
        <v>5904</v>
      </c>
      <c r="DB949">
        <v>1806.6</v>
      </c>
      <c r="DC949" t="s">
        <v>26023</v>
      </c>
      <c r="DD949" t="s">
        <v>26024</v>
      </c>
      <c r="DE949" t="s">
        <v>26025</v>
      </c>
      <c r="DF949" t="s">
        <v>26026</v>
      </c>
      <c r="DG949" t="s">
        <v>26027</v>
      </c>
      <c r="DH949" t="str">
        <f>"KIT"</f>
        <v>KIT</v>
      </c>
      <c r="DI949" t="s">
        <v>26028</v>
      </c>
      <c r="DJ949" t="s">
        <v>13777</v>
      </c>
      <c r="DK949">
        <v>9606</v>
      </c>
      <c r="DL949" s="34" t="str">
        <f>HYPERLINK("http://www.uniprot.org/uniprot/P10721", "P10721")</f>
        <v>P10721</v>
      </c>
      <c r="DM949" t="s">
        <v>26029</v>
      </c>
      <c r="DN949" t="s">
        <v>13772</v>
      </c>
      <c r="DO949" t="s">
        <v>18623</v>
      </c>
      <c r="DP949" t="s">
        <v>13780</v>
      </c>
      <c r="DQ949" t="s">
        <v>13772</v>
      </c>
      <c r="DR949" t="s">
        <v>16495</v>
      </c>
      <c r="DS949" t="s">
        <v>13951</v>
      </c>
      <c r="DT949" t="s">
        <v>17602</v>
      </c>
      <c r="DU949" t="s">
        <v>16809</v>
      </c>
      <c r="DV949" t="s">
        <v>14640</v>
      </c>
      <c r="DW949" t="s">
        <v>13812</v>
      </c>
      <c r="DX949" t="s">
        <v>26030</v>
      </c>
      <c r="DY949" t="s">
        <v>26031</v>
      </c>
      <c r="DZ949" t="s">
        <v>26032</v>
      </c>
      <c r="EA949" t="s">
        <v>13772</v>
      </c>
      <c r="EB949" t="s">
        <v>26033</v>
      </c>
    </row>
    <row r="950" spans="1:132" hidden="1">
      <c r="A950">
        <v>1336</v>
      </c>
      <c r="B950">
        <v>1</v>
      </c>
      <c r="C950" t="s">
        <v>3201</v>
      </c>
      <c r="D950" t="s">
        <v>73</v>
      </c>
      <c r="E950" t="s">
        <v>73</v>
      </c>
      <c r="F950" t="s">
        <v>73</v>
      </c>
      <c r="G950" t="s">
        <v>73</v>
      </c>
      <c r="H950">
        <v>29.2</v>
      </c>
      <c r="I950">
        <v>312</v>
      </c>
      <c r="J950">
        <v>36305</v>
      </c>
      <c r="K950" t="s">
        <v>3202</v>
      </c>
      <c r="L950">
        <f t="shared" si="58"/>
        <v>28</v>
      </c>
      <c r="N950">
        <v>28</v>
      </c>
      <c r="O950">
        <v>28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9</v>
      </c>
      <c r="AA950">
        <v>1</v>
      </c>
      <c r="AB950">
        <v>0</v>
      </c>
      <c r="AC950">
        <v>4</v>
      </c>
      <c r="AD950">
        <v>5</v>
      </c>
      <c r="AE950">
        <v>0</v>
      </c>
      <c r="AF950">
        <v>0</v>
      </c>
      <c r="AG950">
        <v>5</v>
      </c>
      <c r="AH950">
        <v>0</v>
      </c>
      <c r="AI950">
        <v>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9</v>
      </c>
      <c r="AT950">
        <v>1</v>
      </c>
      <c r="AU950">
        <v>0</v>
      </c>
      <c r="AV950">
        <v>4</v>
      </c>
      <c r="AW950">
        <v>5</v>
      </c>
      <c r="AX950">
        <v>0</v>
      </c>
      <c r="AY950">
        <v>0</v>
      </c>
      <c r="AZ950">
        <v>5</v>
      </c>
      <c r="BA950">
        <v>0</v>
      </c>
      <c r="BB950">
        <v>3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1</v>
      </c>
      <c r="BL950" s="2">
        <v>9</v>
      </c>
      <c r="BM950" s="2">
        <v>1</v>
      </c>
      <c r="BN950" s="2">
        <v>0</v>
      </c>
      <c r="BO950" s="2">
        <v>4</v>
      </c>
      <c r="BP950" s="2">
        <v>5</v>
      </c>
      <c r="BQ950" s="2">
        <v>0</v>
      </c>
      <c r="BR950" s="2">
        <v>0</v>
      </c>
      <c r="BS950" s="2">
        <v>5</v>
      </c>
      <c r="BT950" s="2">
        <v>0</v>
      </c>
      <c r="BU950" s="2">
        <v>3</v>
      </c>
      <c r="BV950" s="2">
        <f t="shared" si="61"/>
        <v>28</v>
      </c>
      <c r="BW950" s="16">
        <f t="shared" si="59"/>
        <v>1.4736842105263157</v>
      </c>
      <c r="BX950" s="16">
        <f>COUNTIF($BC$6:BU950, "=0") / COUNTIF($BC$6:BU950, "&gt;-1")</f>
        <v>0.2603731551099972</v>
      </c>
      <c r="BY950" s="18">
        <f>SUM($BC$6:BU950) / $BY$4</f>
        <v>0.93556470747908871</v>
      </c>
      <c r="BZ950" s="14">
        <f t="shared" si="60"/>
        <v>12</v>
      </c>
      <c r="CA950" t="s">
        <v>5832</v>
      </c>
      <c r="CZ950" t="s">
        <v>10196</v>
      </c>
      <c r="DA950" t="s">
        <v>5904</v>
      </c>
      <c r="DB950">
        <v>570.5</v>
      </c>
      <c r="DC950" t="s">
        <v>26700</v>
      </c>
      <c r="DD950" t="s">
        <v>26701</v>
      </c>
      <c r="DE950" t="s">
        <v>26702</v>
      </c>
      <c r="DF950" t="s">
        <v>26703</v>
      </c>
      <c r="DG950" t="s">
        <v>26704</v>
      </c>
      <c r="DH950" t="str">
        <f>"FGL1"</f>
        <v>FGL1</v>
      </c>
      <c r="DI950" t="s">
        <v>13772</v>
      </c>
      <c r="DJ950" t="s">
        <v>13777</v>
      </c>
      <c r="DK950">
        <v>9606</v>
      </c>
      <c r="DL950" s="34" t="str">
        <f>HYPERLINK("http://www.uniprot.org/uniprot/Q08830", "Q08830")</f>
        <v>Q08830</v>
      </c>
      <c r="DM950" t="s">
        <v>26705</v>
      </c>
      <c r="DN950" t="s">
        <v>15290</v>
      </c>
      <c r="DO950" t="s">
        <v>14321</v>
      </c>
      <c r="DP950" t="s">
        <v>13793</v>
      </c>
      <c r="DQ950" t="s">
        <v>13772</v>
      </c>
      <c r="DR950" t="s">
        <v>13772</v>
      </c>
      <c r="DS950" t="s">
        <v>16820</v>
      </c>
      <c r="DT950" t="s">
        <v>13772</v>
      </c>
      <c r="DU950" t="s">
        <v>13772</v>
      </c>
      <c r="DV950" t="s">
        <v>14506</v>
      </c>
      <c r="DW950" t="s">
        <v>13772</v>
      </c>
      <c r="DX950" t="s">
        <v>26706</v>
      </c>
      <c r="DY950" t="s">
        <v>26707</v>
      </c>
      <c r="DZ950" t="s">
        <v>13772</v>
      </c>
      <c r="EA950" t="s">
        <v>13772</v>
      </c>
      <c r="EB950" t="s">
        <v>13772</v>
      </c>
    </row>
    <row r="951" spans="1:132" hidden="1">
      <c r="A951">
        <v>1346</v>
      </c>
      <c r="B951">
        <v>1</v>
      </c>
      <c r="C951" t="s">
        <v>3220</v>
      </c>
      <c r="D951" t="s">
        <v>3221</v>
      </c>
      <c r="E951" t="s">
        <v>73</v>
      </c>
      <c r="F951" t="s">
        <v>73</v>
      </c>
      <c r="G951" t="s">
        <v>73</v>
      </c>
      <c r="H951">
        <v>19.100000000000001</v>
      </c>
      <c r="I951">
        <v>440</v>
      </c>
      <c r="J951">
        <v>50316</v>
      </c>
      <c r="K951" t="s">
        <v>3222</v>
      </c>
      <c r="L951">
        <f t="shared" si="58"/>
        <v>28</v>
      </c>
      <c r="N951">
        <v>28</v>
      </c>
      <c r="O951">
        <v>28</v>
      </c>
      <c r="P951">
        <v>1</v>
      </c>
      <c r="Q951">
        <v>1</v>
      </c>
      <c r="R951">
        <v>2</v>
      </c>
      <c r="S951">
        <v>0</v>
      </c>
      <c r="T951">
        <v>1</v>
      </c>
      <c r="U951">
        <v>7</v>
      </c>
      <c r="V951">
        <v>6</v>
      </c>
      <c r="W951">
        <v>5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2</v>
      </c>
      <c r="AH951">
        <v>0</v>
      </c>
      <c r="AI951">
        <v>0</v>
      </c>
      <c r="AJ951">
        <v>1</v>
      </c>
      <c r="AK951">
        <v>2</v>
      </c>
      <c r="AL951">
        <v>0</v>
      </c>
      <c r="AM951">
        <v>1</v>
      </c>
      <c r="AN951">
        <v>7</v>
      </c>
      <c r="AO951">
        <v>6</v>
      </c>
      <c r="AP951">
        <v>5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2</v>
      </c>
      <c r="BA951">
        <v>0</v>
      </c>
      <c r="BB951">
        <v>0</v>
      </c>
      <c r="BC951" s="2">
        <v>1</v>
      </c>
      <c r="BD951" s="2">
        <v>2</v>
      </c>
      <c r="BE951" s="2">
        <v>0</v>
      </c>
      <c r="BF951" s="2">
        <v>1</v>
      </c>
      <c r="BG951" s="2">
        <v>7</v>
      </c>
      <c r="BH951" s="2">
        <v>6</v>
      </c>
      <c r="BI951" s="2">
        <v>5</v>
      </c>
      <c r="BJ951" s="2">
        <v>3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1</v>
      </c>
      <c r="BS951" s="2">
        <v>2</v>
      </c>
      <c r="BT951" s="2">
        <v>0</v>
      </c>
      <c r="BU951" s="2">
        <v>0</v>
      </c>
      <c r="BV951" s="2">
        <f t="shared" si="61"/>
        <v>28</v>
      </c>
      <c r="BW951" s="16">
        <f t="shared" si="59"/>
        <v>1.4736842105263157</v>
      </c>
      <c r="BX951" s="16">
        <f>COUNTIF($BC$6:BU951, "=0") / COUNTIF($BC$6:BU951, "&gt;-1")</f>
        <v>0.2606542784021364</v>
      </c>
      <c r="BY951" s="18">
        <f>SUM($BC$6:BU951) / $BY$4</f>
        <v>0.93568464931141238</v>
      </c>
      <c r="BZ951" s="14">
        <f t="shared" si="60"/>
        <v>10</v>
      </c>
      <c r="CA951" t="s">
        <v>5832</v>
      </c>
      <c r="CZ951" t="s">
        <v>10232</v>
      </c>
      <c r="DA951" t="s">
        <v>5904</v>
      </c>
      <c r="DB951">
        <v>823.2</v>
      </c>
      <c r="DC951" t="s">
        <v>26793</v>
      </c>
      <c r="DD951" t="s">
        <v>26794</v>
      </c>
      <c r="DE951" t="s">
        <v>26795</v>
      </c>
      <c r="DF951" t="s">
        <v>26796</v>
      </c>
      <c r="DG951" t="s">
        <v>26797</v>
      </c>
      <c r="DH951" t="str">
        <f>"ENPP6"</f>
        <v>ENPP6</v>
      </c>
      <c r="DI951" t="s">
        <v>13772</v>
      </c>
      <c r="DJ951" t="s">
        <v>13777</v>
      </c>
      <c r="DK951">
        <v>9606</v>
      </c>
      <c r="DL951" s="34" t="str">
        <f>HYPERLINK("http://www.uniprot.org/uniprot/Q6UWR7", "Q6UWR7")</f>
        <v>Q6UWR7</v>
      </c>
      <c r="DM951" t="s">
        <v>26798</v>
      </c>
      <c r="DN951" t="s">
        <v>17548</v>
      </c>
      <c r="DO951" t="s">
        <v>13792</v>
      </c>
      <c r="DP951" t="s">
        <v>13793</v>
      </c>
      <c r="DQ951" t="s">
        <v>13772</v>
      </c>
      <c r="DR951" t="s">
        <v>13772</v>
      </c>
      <c r="DS951" t="s">
        <v>13808</v>
      </c>
      <c r="DT951" t="s">
        <v>13772</v>
      </c>
      <c r="DU951" t="s">
        <v>13857</v>
      </c>
      <c r="DV951" t="s">
        <v>16276</v>
      </c>
      <c r="DW951" t="s">
        <v>13772</v>
      </c>
      <c r="DX951" t="s">
        <v>26799</v>
      </c>
      <c r="DY951" t="s">
        <v>26800</v>
      </c>
      <c r="DZ951" t="s">
        <v>26801</v>
      </c>
      <c r="EA951" t="s">
        <v>13772</v>
      </c>
      <c r="EB951" t="s">
        <v>26802</v>
      </c>
    </row>
    <row r="952" spans="1:132" hidden="1">
      <c r="A952">
        <v>1561</v>
      </c>
      <c r="B952">
        <v>1</v>
      </c>
      <c r="C952" t="s">
        <v>3701</v>
      </c>
      <c r="D952" t="s">
        <v>73</v>
      </c>
      <c r="E952" t="s">
        <v>73</v>
      </c>
      <c r="F952" t="s">
        <v>73</v>
      </c>
      <c r="G952" t="s">
        <v>73</v>
      </c>
      <c r="H952">
        <v>36.6</v>
      </c>
      <c r="I952">
        <v>317</v>
      </c>
      <c r="J952">
        <v>35076</v>
      </c>
      <c r="K952" t="s">
        <v>3702</v>
      </c>
      <c r="L952">
        <f t="shared" si="58"/>
        <v>28</v>
      </c>
      <c r="N952">
        <v>28</v>
      </c>
      <c r="O952">
        <v>28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8</v>
      </c>
      <c r="AB952">
        <v>10</v>
      </c>
      <c r="AC952">
        <v>6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8</v>
      </c>
      <c r="AU952">
        <v>10</v>
      </c>
      <c r="AV952">
        <v>6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</v>
      </c>
      <c r="BI952" s="2">
        <v>0</v>
      </c>
      <c r="BJ952" s="2">
        <v>0</v>
      </c>
      <c r="BK952" s="2">
        <v>1</v>
      </c>
      <c r="BL952" s="2">
        <v>0</v>
      </c>
      <c r="BM952" s="2">
        <v>8</v>
      </c>
      <c r="BN952" s="2">
        <v>10</v>
      </c>
      <c r="BO952" s="2">
        <v>6</v>
      </c>
      <c r="BP952" s="2">
        <v>0</v>
      </c>
      <c r="BQ952" s="2">
        <v>0</v>
      </c>
      <c r="BR952" s="2">
        <v>1</v>
      </c>
      <c r="BS952" s="2">
        <v>1</v>
      </c>
      <c r="BT952" s="2">
        <v>0</v>
      </c>
      <c r="BU952" s="2">
        <v>0</v>
      </c>
      <c r="BV952" s="2">
        <f t="shared" si="61"/>
        <v>28</v>
      </c>
      <c r="BW952" s="16">
        <f t="shared" si="59"/>
        <v>1.4736842105263157</v>
      </c>
      <c r="BX952" s="16">
        <f>COUNTIF($BC$6:BU952, "=0") / COUNTIF($BC$6:BU952, "&gt;-1")</f>
        <v>0.26104596231867949</v>
      </c>
      <c r="BY952" s="18">
        <f>SUM($BC$6:BU952) / $BY$4</f>
        <v>0.93580459114373593</v>
      </c>
      <c r="BZ952" s="14">
        <f t="shared" si="60"/>
        <v>12</v>
      </c>
      <c r="CA952" t="s">
        <v>5832</v>
      </c>
      <c r="CZ952" t="s">
        <v>10942</v>
      </c>
      <c r="DA952" t="s">
        <v>5904</v>
      </c>
      <c r="DB952">
        <v>653.70000000000005</v>
      </c>
      <c r="DC952" t="s">
        <v>28774</v>
      </c>
      <c r="DD952" t="s">
        <v>28775</v>
      </c>
      <c r="DE952" t="s">
        <v>28776</v>
      </c>
      <c r="DF952" t="s">
        <v>28777</v>
      </c>
      <c r="DG952" t="s">
        <v>28778</v>
      </c>
      <c r="DH952" t="str">
        <f>"RACK1"</f>
        <v>RACK1</v>
      </c>
      <c r="DI952" t="s">
        <v>28779</v>
      </c>
      <c r="DJ952" t="s">
        <v>13777</v>
      </c>
      <c r="DK952">
        <v>9606</v>
      </c>
      <c r="DL952" s="34" t="str">
        <f>HYPERLINK("http://www.uniprot.org/uniprot/P63244", "P63244")</f>
        <v>P63244</v>
      </c>
      <c r="DM952" t="s">
        <v>28780</v>
      </c>
      <c r="DN952" t="s">
        <v>28781</v>
      </c>
      <c r="DO952" t="s">
        <v>26248</v>
      </c>
      <c r="DP952" t="s">
        <v>13772</v>
      </c>
      <c r="DQ952" t="s">
        <v>13772</v>
      </c>
      <c r="DR952" t="s">
        <v>13772</v>
      </c>
      <c r="DS952" t="s">
        <v>23494</v>
      </c>
      <c r="DT952" t="s">
        <v>13772</v>
      </c>
      <c r="DU952" t="s">
        <v>24674</v>
      </c>
      <c r="DV952" t="s">
        <v>13886</v>
      </c>
      <c r="DW952" t="s">
        <v>13812</v>
      </c>
      <c r="DX952" t="s">
        <v>28782</v>
      </c>
      <c r="DY952" t="s">
        <v>28783</v>
      </c>
      <c r="DZ952" t="s">
        <v>28784</v>
      </c>
      <c r="EA952" t="s">
        <v>13772</v>
      </c>
      <c r="EB952" t="s">
        <v>28785</v>
      </c>
    </row>
    <row r="953" spans="1:132" hidden="1">
      <c r="A953">
        <v>1789</v>
      </c>
      <c r="B953">
        <v>1</v>
      </c>
      <c r="C953" t="s">
        <v>4231</v>
      </c>
      <c r="D953" t="s">
        <v>73</v>
      </c>
      <c r="E953" t="s">
        <v>73</v>
      </c>
      <c r="F953" t="s">
        <v>73</v>
      </c>
      <c r="G953" t="s">
        <v>73</v>
      </c>
      <c r="H953">
        <v>52.3</v>
      </c>
      <c r="I953">
        <v>151</v>
      </c>
      <c r="J953">
        <v>16288</v>
      </c>
      <c r="K953" t="s">
        <v>4232</v>
      </c>
      <c r="L953">
        <f t="shared" si="58"/>
        <v>28</v>
      </c>
      <c r="N953">
        <v>28</v>
      </c>
      <c r="O953">
        <v>28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9</v>
      </c>
      <c r="Z953">
        <v>0</v>
      </c>
      <c r="AA953">
        <v>6</v>
      </c>
      <c r="AB953">
        <v>3</v>
      </c>
      <c r="AC953">
        <v>4</v>
      </c>
      <c r="AD953">
        <v>0</v>
      </c>
      <c r="AE953">
        <v>1</v>
      </c>
      <c r="AF953">
        <v>3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9</v>
      </c>
      <c r="AS953">
        <v>0</v>
      </c>
      <c r="AT953">
        <v>6</v>
      </c>
      <c r="AU953">
        <v>3</v>
      </c>
      <c r="AV953">
        <v>4</v>
      </c>
      <c r="AW953">
        <v>0</v>
      </c>
      <c r="AX953">
        <v>1</v>
      </c>
      <c r="AY953">
        <v>3</v>
      </c>
      <c r="AZ953">
        <v>0</v>
      </c>
      <c r="BA953">
        <v>0</v>
      </c>
      <c r="BB953">
        <v>0</v>
      </c>
      <c r="BC953" s="2">
        <v>0</v>
      </c>
      <c r="BD953" s="2">
        <v>1</v>
      </c>
      <c r="BE953" s="2">
        <v>0</v>
      </c>
      <c r="BF953" s="2">
        <v>0</v>
      </c>
      <c r="BG953" s="2">
        <v>1</v>
      </c>
      <c r="BH953" s="2">
        <v>0</v>
      </c>
      <c r="BI953" s="2">
        <v>0</v>
      </c>
      <c r="BJ953" s="2">
        <v>0</v>
      </c>
      <c r="BK953" s="2">
        <v>9</v>
      </c>
      <c r="BL953" s="2">
        <v>0</v>
      </c>
      <c r="BM953" s="2">
        <v>6</v>
      </c>
      <c r="BN953" s="2">
        <v>3</v>
      </c>
      <c r="BO953" s="2">
        <v>4</v>
      </c>
      <c r="BP953" s="2">
        <v>0</v>
      </c>
      <c r="BQ953" s="2">
        <v>1</v>
      </c>
      <c r="BR953" s="2">
        <v>3</v>
      </c>
      <c r="BS953" s="2">
        <v>0</v>
      </c>
      <c r="BT953" s="2">
        <v>0</v>
      </c>
      <c r="BU953" s="2">
        <v>0</v>
      </c>
      <c r="BV953" s="2">
        <f t="shared" si="61"/>
        <v>28</v>
      </c>
      <c r="BW953" s="16">
        <f t="shared" si="59"/>
        <v>1.4736842105263157</v>
      </c>
      <c r="BX953" s="16">
        <f>COUNTIF($BC$6:BU953, "=0") / COUNTIF($BC$6:BU953, "&gt;-1")</f>
        <v>0.26138130135465243</v>
      </c>
      <c r="BY953" s="18">
        <f>SUM($BC$6:BU953) / $BY$4</f>
        <v>0.9359245329760596</v>
      </c>
      <c r="BZ953" s="14">
        <f t="shared" si="60"/>
        <v>11</v>
      </c>
      <c r="CA953" t="s">
        <v>5832</v>
      </c>
      <c r="CZ953" t="s">
        <v>11715</v>
      </c>
      <c r="DA953" t="s">
        <v>5904</v>
      </c>
      <c r="DB953">
        <v>307</v>
      </c>
      <c r="DC953" t="s">
        <v>30969</v>
      </c>
      <c r="DD953" t="s">
        <v>30970</v>
      </c>
      <c r="DE953" t="s">
        <v>30971</v>
      </c>
      <c r="DF953" t="s">
        <v>30972</v>
      </c>
      <c r="DG953" t="s">
        <v>30973</v>
      </c>
      <c r="DH953" t="str">
        <f>"ARPC5"</f>
        <v>ARPC5</v>
      </c>
      <c r="DI953" t="s">
        <v>30974</v>
      </c>
      <c r="DJ953" t="s">
        <v>13777</v>
      </c>
      <c r="DK953">
        <v>9606</v>
      </c>
      <c r="DL953" s="34" t="str">
        <f>HYPERLINK("http://www.uniprot.org/uniprot/O15511", "O15511")</f>
        <v>O15511</v>
      </c>
      <c r="DM953" t="s">
        <v>30975</v>
      </c>
      <c r="DN953" t="s">
        <v>13772</v>
      </c>
      <c r="DO953" t="s">
        <v>18178</v>
      </c>
      <c r="DP953" t="s">
        <v>13841</v>
      </c>
      <c r="DQ953" t="s">
        <v>13772</v>
      </c>
      <c r="DR953" t="s">
        <v>13772</v>
      </c>
      <c r="DS953" t="s">
        <v>13772</v>
      </c>
      <c r="DT953" t="s">
        <v>13772</v>
      </c>
      <c r="DU953" t="s">
        <v>13990</v>
      </c>
      <c r="DV953" t="s">
        <v>16949</v>
      </c>
      <c r="DW953" t="s">
        <v>13772</v>
      </c>
      <c r="DX953" t="s">
        <v>30976</v>
      </c>
      <c r="DY953" t="s">
        <v>30977</v>
      </c>
      <c r="DZ953" t="s">
        <v>23000</v>
      </c>
      <c r="EA953" t="s">
        <v>13772</v>
      </c>
      <c r="EB953" t="s">
        <v>30978</v>
      </c>
    </row>
    <row r="954" spans="1:132" hidden="1">
      <c r="A954">
        <v>1799</v>
      </c>
      <c r="B954">
        <v>1</v>
      </c>
      <c r="C954" t="s">
        <v>4254</v>
      </c>
      <c r="D954" t="s">
        <v>73</v>
      </c>
      <c r="E954" t="s">
        <v>73</v>
      </c>
      <c r="F954" t="s">
        <v>73</v>
      </c>
      <c r="G954" t="s">
        <v>73</v>
      </c>
      <c r="H954">
        <v>35.4</v>
      </c>
      <c r="I954">
        <v>314</v>
      </c>
      <c r="J954">
        <v>33606</v>
      </c>
      <c r="K954" t="s">
        <v>4255</v>
      </c>
      <c r="L954">
        <f t="shared" si="58"/>
        <v>28</v>
      </c>
      <c r="N954">
        <v>28</v>
      </c>
      <c r="O954">
        <v>28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4</v>
      </c>
      <c r="W954">
        <v>2</v>
      </c>
      <c r="X954">
        <v>3</v>
      </c>
      <c r="Y954">
        <v>7</v>
      </c>
      <c r="Z954">
        <v>0</v>
      </c>
      <c r="AA954">
        <v>9</v>
      </c>
      <c r="AB954">
        <v>1</v>
      </c>
      <c r="AC954">
        <v>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</v>
      </c>
      <c r="AP954">
        <v>2</v>
      </c>
      <c r="AQ954">
        <v>3</v>
      </c>
      <c r="AR954">
        <v>7</v>
      </c>
      <c r="AS954">
        <v>0</v>
      </c>
      <c r="AT954">
        <v>9</v>
      </c>
      <c r="AU954">
        <v>1</v>
      </c>
      <c r="AV954">
        <v>2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4</v>
      </c>
      <c r="BI954" s="2">
        <v>2</v>
      </c>
      <c r="BJ954" s="2">
        <v>3</v>
      </c>
      <c r="BK954" s="2">
        <v>7</v>
      </c>
      <c r="BL954" s="2">
        <v>0</v>
      </c>
      <c r="BM954" s="2">
        <v>9</v>
      </c>
      <c r="BN954" s="2">
        <v>1</v>
      </c>
      <c r="BO954" s="2">
        <v>2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f t="shared" si="61"/>
        <v>28</v>
      </c>
      <c r="BW954" s="16">
        <f t="shared" si="59"/>
        <v>1.4736842105263157</v>
      </c>
      <c r="BX954" s="16">
        <f>COUNTIF($BC$6:BU954, "=0") / COUNTIF($BC$6:BU954, "&gt;-1")</f>
        <v>0.26177139371083136</v>
      </c>
      <c r="BY954" s="18">
        <f>SUM($BC$6:BU954) / $BY$4</f>
        <v>0.93604447480838315</v>
      </c>
      <c r="BZ954" s="14">
        <f t="shared" si="60"/>
        <v>12</v>
      </c>
      <c r="CA954" t="s">
        <v>5832</v>
      </c>
      <c r="CZ954" t="s">
        <v>11749</v>
      </c>
      <c r="DA954" t="s">
        <v>5904</v>
      </c>
      <c r="DB954">
        <v>605.9</v>
      </c>
      <c r="DC954" t="s">
        <v>31069</v>
      </c>
      <c r="DD954" t="s">
        <v>31070</v>
      </c>
      <c r="DE954" t="s">
        <v>31071</v>
      </c>
      <c r="DF954" t="s">
        <v>31072</v>
      </c>
      <c r="DG954" t="s">
        <v>31073</v>
      </c>
      <c r="DH954" t="str">
        <f>"CRYM"</f>
        <v>CRYM</v>
      </c>
      <c r="DI954" t="s">
        <v>31074</v>
      </c>
      <c r="DJ954" t="s">
        <v>13777</v>
      </c>
      <c r="DK954">
        <v>9606</v>
      </c>
      <c r="DL954" s="34" t="str">
        <f>HYPERLINK("http://www.uniprot.org/uniprot/Q14894", "Q14894")</f>
        <v>Q14894</v>
      </c>
      <c r="DM954" t="s">
        <v>31075</v>
      </c>
      <c r="DN954" t="s">
        <v>13772</v>
      </c>
      <c r="DO954" t="s">
        <v>13899</v>
      </c>
      <c r="DP954" t="s">
        <v>13772</v>
      </c>
      <c r="DQ954" t="s">
        <v>13772</v>
      </c>
      <c r="DR954" t="s">
        <v>14255</v>
      </c>
      <c r="DS954" t="s">
        <v>13772</v>
      </c>
      <c r="DT954" t="s">
        <v>26523</v>
      </c>
      <c r="DU954" t="s">
        <v>13885</v>
      </c>
      <c r="DV954" t="s">
        <v>13772</v>
      </c>
      <c r="DW954" t="s">
        <v>13812</v>
      </c>
      <c r="DX954" t="s">
        <v>31076</v>
      </c>
      <c r="DY954" t="s">
        <v>31077</v>
      </c>
      <c r="DZ954" t="s">
        <v>31078</v>
      </c>
      <c r="EA954" t="s">
        <v>13772</v>
      </c>
      <c r="EB954" t="s">
        <v>21822</v>
      </c>
    </row>
    <row r="955" spans="1:132" hidden="1">
      <c r="A955">
        <v>2213</v>
      </c>
      <c r="B955">
        <v>1</v>
      </c>
      <c r="C955" t="s">
        <v>5176</v>
      </c>
      <c r="D955" t="s">
        <v>73</v>
      </c>
      <c r="E955" t="s">
        <v>73</v>
      </c>
      <c r="F955" t="s">
        <v>73</v>
      </c>
      <c r="G955" t="s">
        <v>73</v>
      </c>
      <c r="H955">
        <v>17.2</v>
      </c>
      <c r="I955">
        <v>267</v>
      </c>
      <c r="J955">
        <v>30208</v>
      </c>
      <c r="K955" t="s">
        <v>5177</v>
      </c>
      <c r="L955">
        <f t="shared" si="58"/>
        <v>28</v>
      </c>
      <c r="N955">
        <v>28</v>
      </c>
      <c r="O955">
        <v>28</v>
      </c>
      <c r="P955">
        <v>1</v>
      </c>
      <c r="Q955">
        <v>1</v>
      </c>
      <c r="R955">
        <v>3</v>
      </c>
      <c r="S955">
        <v>3</v>
      </c>
      <c r="T955">
        <v>4</v>
      </c>
      <c r="U955">
        <v>4</v>
      </c>
      <c r="V955">
        <v>5</v>
      </c>
      <c r="W955">
        <v>3</v>
      </c>
      <c r="X955">
        <v>3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3</v>
      </c>
      <c r="AL955">
        <v>3</v>
      </c>
      <c r="AM955">
        <v>4</v>
      </c>
      <c r="AN955">
        <v>4</v>
      </c>
      <c r="AO955">
        <v>5</v>
      </c>
      <c r="AP955">
        <v>3</v>
      </c>
      <c r="AQ955">
        <v>3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 s="2">
        <v>1</v>
      </c>
      <c r="BD955" s="2">
        <v>3</v>
      </c>
      <c r="BE955" s="2">
        <v>3</v>
      </c>
      <c r="BF955" s="2">
        <v>4</v>
      </c>
      <c r="BG955" s="2">
        <v>4</v>
      </c>
      <c r="BH955" s="2">
        <v>5</v>
      </c>
      <c r="BI955" s="2">
        <v>3</v>
      </c>
      <c r="BJ955" s="2">
        <v>3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1</v>
      </c>
      <c r="BS955" s="2">
        <v>0</v>
      </c>
      <c r="BT955" s="2">
        <v>0</v>
      </c>
      <c r="BU955" s="2">
        <v>0</v>
      </c>
      <c r="BV955" s="2">
        <f t="shared" si="61"/>
        <v>28</v>
      </c>
      <c r="BW955" s="16">
        <f t="shared" si="59"/>
        <v>1.4736842105263157</v>
      </c>
      <c r="BX955" s="16">
        <f>COUNTIF($BC$6:BU955, "=0") / COUNTIF($BC$6:BU955, "&gt;-1")</f>
        <v>0.26199445983379499</v>
      </c>
      <c r="BY955" s="18">
        <f>SUM($BC$6:BU955) / $BY$4</f>
        <v>0.93616441664070682</v>
      </c>
      <c r="BZ955" s="14">
        <f t="shared" si="60"/>
        <v>9</v>
      </c>
      <c r="CA955" t="s">
        <v>5832</v>
      </c>
      <c r="CZ955" t="s">
        <v>13124</v>
      </c>
      <c r="DA955" t="s">
        <v>5904</v>
      </c>
      <c r="DB955">
        <v>358.6</v>
      </c>
      <c r="DC955" t="s">
        <v>34908</v>
      </c>
      <c r="DD955" t="s">
        <v>34909</v>
      </c>
      <c r="DE955" t="s">
        <v>34910</v>
      </c>
      <c r="DF955" t="s">
        <v>34911</v>
      </c>
      <c r="DG955" t="s">
        <v>34912</v>
      </c>
      <c r="DH955" t="str">
        <f>"PROCR"</f>
        <v>PROCR</v>
      </c>
      <c r="DI955" t="s">
        <v>34913</v>
      </c>
      <c r="DJ955" t="s">
        <v>13777</v>
      </c>
      <c r="DK955">
        <v>9606</v>
      </c>
      <c r="DL955" s="34" t="str">
        <f>HYPERLINK("http://www.uniprot.org/uniprot/Q9UNN8", "Q9UNN8")</f>
        <v>Q9UNN8</v>
      </c>
      <c r="DM955" t="s">
        <v>34914</v>
      </c>
      <c r="DN955" t="s">
        <v>16755</v>
      </c>
      <c r="DO955" t="s">
        <v>13825</v>
      </c>
      <c r="DP955" t="s">
        <v>13793</v>
      </c>
      <c r="DQ955" t="s">
        <v>13772</v>
      </c>
      <c r="DR955" t="s">
        <v>13772</v>
      </c>
      <c r="DS955" t="s">
        <v>13855</v>
      </c>
      <c r="DT955" t="s">
        <v>13772</v>
      </c>
      <c r="DU955" t="s">
        <v>13795</v>
      </c>
      <c r="DV955" t="s">
        <v>13796</v>
      </c>
      <c r="DW955" t="s">
        <v>13812</v>
      </c>
      <c r="DX955" t="s">
        <v>34915</v>
      </c>
      <c r="DY955" t="s">
        <v>34916</v>
      </c>
      <c r="DZ955" t="s">
        <v>19331</v>
      </c>
      <c r="EA955" t="s">
        <v>13772</v>
      </c>
      <c r="EB955" t="s">
        <v>34917</v>
      </c>
    </row>
    <row r="956" spans="1:132" hidden="1">
      <c r="A956">
        <v>2263</v>
      </c>
      <c r="B956">
        <v>1</v>
      </c>
      <c r="C956" t="s">
        <v>5288</v>
      </c>
      <c r="D956" t="s">
        <v>73</v>
      </c>
      <c r="E956" t="s">
        <v>73</v>
      </c>
      <c r="F956" t="s">
        <v>73</v>
      </c>
      <c r="G956" t="s">
        <v>73</v>
      </c>
      <c r="H956">
        <v>8.3000000000000007</v>
      </c>
      <c r="I956">
        <v>624</v>
      </c>
      <c r="J956">
        <v>68386</v>
      </c>
      <c r="K956" t="s">
        <v>5289</v>
      </c>
      <c r="L956">
        <f t="shared" si="58"/>
        <v>28</v>
      </c>
      <c r="N956">
        <v>28</v>
      </c>
      <c r="O956">
        <v>28</v>
      </c>
      <c r="P956">
        <v>1</v>
      </c>
      <c r="Q956">
        <v>0</v>
      </c>
      <c r="R956">
        <v>3</v>
      </c>
      <c r="S956">
        <v>5</v>
      </c>
      <c r="T956">
        <v>5</v>
      </c>
      <c r="U956">
        <v>8</v>
      </c>
      <c r="V956">
        <v>5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  <c r="AL956">
        <v>5</v>
      </c>
      <c r="AM956">
        <v>5</v>
      </c>
      <c r="AN956">
        <v>8</v>
      </c>
      <c r="AO956">
        <v>5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 s="2">
        <v>0</v>
      </c>
      <c r="BD956" s="2">
        <v>3</v>
      </c>
      <c r="BE956" s="2">
        <v>5</v>
      </c>
      <c r="BF956" s="2">
        <v>5</v>
      </c>
      <c r="BG956" s="2">
        <v>8</v>
      </c>
      <c r="BH956" s="2">
        <v>5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1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f t="shared" si="61"/>
        <v>28</v>
      </c>
      <c r="BW956" s="16">
        <f t="shared" si="59"/>
        <v>1.4736842105263157</v>
      </c>
      <c r="BX956" s="16">
        <f>COUNTIF($BC$6:BU956, "=0") / COUNTIF($BC$6:BU956, "&gt;-1")</f>
        <v>0.26238308705517738</v>
      </c>
      <c r="BY956" s="18">
        <f>SUM($BC$6:BU956) / $BY$4</f>
        <v>0.93628435847303038</v>
      </c>
      <c r="BZ956" s="14">
        <f t="shared" si="60"/>
        <v>12</v>
      </c>
      <c r="CA956" t="s">
        <v>5832</v>
      </c>
      <c r="CZ956" t="s">
        <v>13289</v>
      </c>
      <c r="DA956" t="s">
        <v>5904</v>
      </c>
      <c r="DB956">
        <v>1149</v>
      </c>
      <c r="DC956" t="s">
        <v>35380</v>
      </c>
      <c r="DD956" t="s">
        <v>13772</v>
      </c>
      <c r="DE956" t="s">
        <v>35381</v>
      </c>
      <c r="DF956" t="s">
        <v>35382</v>
      </c>
      <c r="DG956" t="s">
        <v>35383</v>
      </c>
      <c r="DH956" t="str">
        <f>"MATN4"</f>
        <v>MATN4</v>
      </c>
      <c r="DI956" t="s">
        <v>13772</v>
      </c>
      <c r="DJ956" t="s">
        <v>13777</v>
      </c>
      <c r="DK956">
        <v>9606</v>
      </c>
      <c r="DL956" s="34" t="str">
        <f>HYPERLINK("http://www.uniprot.org/uniprot/O95460", "O95460")</f>
        <v>O95460</v>
      </c>
      <c r="DM956" t="s">
        <v>35384</v>
      </c>
      <c r="DN956" t="s">
        <v>13772</v>
      </c>
      <c r="DO956" t="s">
        <v>14321</v>
      </c>
      <c r="DP956" t="s">
        <v>13780</v>
      </c>
      <c r="DQ956" t="s">
        <v>13772</v>
      </c>
      <c r="DR956" t="s">
        <v>13772</v>
      </c>
      <c r="DS956" t="s">
        <v>27024</v>
      </c>
      <c r="DT956" t="s">
        <v>13772</v>
      </c>
      <c r="DU956" t="s">
        <v>13772</v>
      </c>
      <c r="DV956" t="s">
        <v>13796</v>
      </c>
      <c r="DW956" t="s">
        <v>13772</v>
      </c>
      <c r="DX956" t="s">
        <v>35385</v>
      </c>
      <c r="DY956" t="s">
        <v>33963</v>
      </c>
      <c r="DZ956" t="s">
        <v>15899</v>
      </c>
      <c r="EA956" t="s">
        <v>13772</v>
      </c>
      <c r="EB956" t="s">
        <v>27028</v>
      </c>
    </row>
    <row r="957" spans="1:132" hidden="1">
      <c r="A957">
        <v>2279</v>
      </c>
      <c r="B957">
        <v>1</v>
      </c>
      <c r="C957" t="s">
        <v>5323</v>
      </c>
      <c r="D957" t="s">
        <v>5324</v>
      </c>
      <c r="E957" t="s">
        <v>73</v>
      </c>
      <c r="F957" t="s">
        <v>73</v>
      </c>
      <c r="G957" t="s">
        <v>73</v>
      </c>
      <c r="H957">
        <v>17.7</v>
      </c>
      <c r="I957">
        <v>576</v>
      </c>
      <c r="J957">
        <v>66252</v>
      </c>
      <c r="K957" t="s">
        <v>5325</v>
      </c>
      <c r="L957">
        <f t="shared" si="58"/>
        <v>28</v>
      </c>
      <c r="N957">
        <v>28</v>
      </c>
      <c r="O957">
        <v>28</v>
      </c>
      <c r="P957">
        <v>1</v>
      </c>
      <c r="Q957">
        <v>7</v>
      </c>
      <c r="R957">
        <v>2</v>
      </c>
      <c r="S957">
        <v>2</v>
      </c>
      <c r="T957">
        <v>1</v>
      </c>
      <c r="U957">
        <v>1</v>
      </c>
      <c r="V957">
        <v>6</v>
      </c>
      <c r="W957">
        <v>6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7</v>
      </c>
      <c r="AK957">
        <v>2</v>
      </c>
      <c r="AL957">
        <v>2</v>
      </c>
      <c r="AM957">
        <v>1</v>
      </c>
      <c r="AN957">
        <v>1</v>
      </c>
      <c r="AO957">
        <v>6</v>
      </c>
      <c r="AP957">
        <v>6</v>
      </c>
      <c r="AQ957">
        <v>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 s="2">
        <v>7</v>
      </c>
      <c r="BD957" s="2">
        <v>2</v>
      </c>
      <c r="BE957" s="2">
        <v>2</v>
      </c>
      <c r="BF957" s="2">
        <v>1</v>
      </c>
      <c r="BG957" s="2">
        <v>1</v>
      </c>
      <c r="BH957" s="2">
        <v>6</v>
      </c>
      <c r="BI957" s="2">
        <v>6</v>
      </c>
      <c r="BJ957" s="2">
        <v>2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1</v>
      </c>
      <c r="BS957" s="2">
        <v>0</v>
      </c>
      <c r="BT957" s="2">
        <v>0</v>
      </c>
      <c r="BU957" s="2">
        <v>0</v>
      </c>
      <c r="BV957" s="2">
        <f t="shared" si="61"/>
        <v>28</v>
      </c>
      <c r="BW957" s="16">
        <f t="shared" si="59"/>
        <v>1.4736842105263157</v>
      </c>
      <c r="BX957" s="16">
        <f>COUNTIF($BC$6:BU957, "=0") / COUNTIF($BC$6:BU957, "&gt;-1")</f>
        <v>0.26266032728881028</v>
      </c>
      <c r="BY957" s="18">
        <f>SUM($BC$6:BU957) / $BY$4</f>
        <v>0.93640430030535404</v>
      </c>
      <c r="BZ957" s="14">
        <f t="shared" si="60"/>
        <v>10</v>
      </c>
      <c r="CA957" t="s">
        <v>5832</v>
      </c>
      <c r="CZ957" t="s">
        <v>13339</v>
      </c>
      <c r="DA957" t="s">
        <v>5904</v>
      </c>
      <c r="DB957">
        <v>921</v>
      </c>
      <c r="DC957" t="s">
        <v>35517</v>
      </c>
      <c r="DD957" t="s">
        <v>35518</v>
      </c>
      <c r="DE957" t="s">
        <v>35519</v>
      </c>
      <c r="DF957" t="s">
        <v>35520</v>
      </c>
      <c r="DG957" t="s">
        <v>35521</v>
      </c>
      <c r="DH957" t="str">
        <f>"IL1R1"</f>
        <v>IL1R1</v>
      </c>
      <c r="DI957" t="s">
        <v>35522</v>
      </c>
      <c r="DJ957" t="s">
        <v>13777</v>
      </c>
      <c r="DK957">
        <v>9606</v>
      </c>
      <c r="DL957" s="34" t="str">
        <f>HYPERLINK("http://www.uniprot.org/uniprot/P14778", "P14778")</f>
        <v>P14778</v>
      </c>
      <c r="DM957" t="s">
        <v>35523</v>
      </c>
      <c r="DN957" t="s">
        <v>17346</v>
      </c>
      <c r="DO957" t="s">
        <v>14336</v>
      </c>
      <c r="DP957" t="s">
        <v>13793</v>
      </c>
      <c r="DQ957" t="s">
        <v>13772</v>
      </c>
      <c r="DR957" t="s">
        <v>13772</v>
      </c>
      <c r="DS957" t="s">
        <v>13951</v>
      </c>
      <c r="DT957" t="s">
        <v>13772</v>
      </c>
      <c r="DU957" t="s">
        <v>13795</v>
      </c>
      <c r="DV957" t="s">
        <v>13964</v>
      </c>
      <c r="DW957" t="s">
        <v>13812</v>
      </c>
      <c r="DX957" t="s">
        <v>35524</v>
      </c>
      <c r="DY957" t="s">
        <v>35525</v>
      </c>
      <c r="DZ957" t="s">
        <v>35526</v>
      </c>
      <c r="EA957" t="s">
        <v>13772</v>
      </c>
      <c r="EB957" t="s">
        <v>35357</v>
      </c>
    </row>
    <row r="958" spans="1:132" hidden="1">
      <c r="A958">
        <v>225</v>
      </c>
      <c r="B958">
        <v>1</v>
      </c>
      <c r="C958" t="s">
        <v>571</v>
      </c>
      <c r="D958" t="s">
        <v>73</v>
      </c>
      <c r="E958" t="s">
        <v>73</v>
      </c>
      <c r="F958" t="s">
        <v>572</v>
      </c>
      <c r="G958" t="s">
        <v>73</v>
      </c>
      <c r="H958">
        <v>63.4</v>
      </c>
      <c r="I958">
        <v>142</v>
      </c>
      <c r="J958">
        <v>16713</v>
      </c>
      <c r="K958" t="s">
        <v>573</v>
      </c>
      <c r="L958">
        <f t="shared" si="58"/>
        <v>39</v>
      </c>
      <c r="N958">
        <v>39</v>
      </c>
      <c r="O958">
        <v>21</v>
      </c>
      <c r="P958">
        <v>0.53800000000000003</v>
      </c>
      <c r="Q958">
        <v>2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7</v>
      </c>
      <c r="Y958">
        <v>3</v>
      </c>
      <c r="Z958">
        <v>0</v>
      </c>
      <c r="AA958">
        <v>7</v>
      </c>
      <c r="AB958">
        <v>2</v>
      </c>
      <c r="AC958">
        <v>3</v>
      </c>
      <c r="AD958">
        <v>0</v>
      </c>
      <c r="AE958">
        <v>3</v>
      </c>
      <c r="AF958">
        <v>4</v>
      </c>
      <c r="AG958">
        <v>1</v>
      </c>
      <c r="AH958">
        <v>2</v>
      </c>
      <c r="AI958">
        <v>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</v>
      </c>
      <c r="AR958">
        <v>3</v>
      </c>
      <c r="AS958">
        <v>0</v>
      </c>
      <c r="AT958">
        <v>4</v>
      </c>
      <c r="AU958">
        <v>1</v>
      </c>
      <c r="AV958">
        <v>2</v>
      </c>
      <c r="AW958">
        <v>0</v>
      </c>
      <c r="AX958">
        <v>2</v>
      </c>
      <c r="AY958">
        <v>3</v>
      </c>
      <c r="AZ958">
        <v>0</v>
      </c>
      <c r="BA958">
        <v>1</v>
      </c>
      <c r="BB958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0.5</v>
      </c>
      <c r="BI958" s="2">
        <v>0.5</v>
      </c>
      <c r="BJ958" s="2">
        <v>6</v>
      </c>
      <c r="BK958" s="2">
        <v>3</v>
      </c>
      <c r="BL958" s="2">
        <v>0</v>
      </c>
      <c r="BM958" s="2">
        <v>5.0910000000000002</v>
      </c>
      <c r="BN958" s="2">
        <v>1.25</v>
      </c>
      <c r="BO958" s="2">
        <v>2.5</v>
      </c>
      <c r="BP958" s="2">
        <v>0</v>
      </c>
      <c r="BQ958" s="2">
        <v>2.5</v>
      </c>
      <c r="BR958" s="2">
        <v>3.3330000000000002</v>
      </c>
      <c r="BS958" s="2">
        <v>0</v>
      </c>
      <c r="BT958" s="2">
        <v>1.25</v>
      </c>
      <c r="BU958" s="2">
        <v>2</v>
      </c>
      <c r="BV958" s="2">
        <f t="shared" si="61"/>
        <v>27.923999999999999</v>
      </c>
      <c r="BW958" s="16">
        <f t="shared" si="59"/>
        <v>1.4696842105263157</v>
      </c>
      <c r="BX958" s="16">
        <f>COUNTIF($BC$6:BU958, "=0") / COUNTIF($BC$6:BU958, "&gt;-1")</f>
        <v>0.26282653117578836</v>
      </c>
      <c r="BY958" s="18">
        <f>SUM($BC$6:BU958) / $BY$4</f>
        <v>0.93652391658127565</v>
      </c>
      <c r="BZ958" s="14">
        <f t="shared" si="60"/>
        <v>8</v>
      </c>
      <c r="CA958" t="s">
        <v>5832</v>
      </c>
      <c r="CZ958" t="s">
        <v>6475</v>
      </c>
      <c r="DA958" t="s">
        <v>5904</v>
      </c>
      <c r="DB958">
        <v>293.89999999999998</v>
      </c>
      <c r="DC958" t="s">
        <v>15735</v>
      </c>
      <c r="DD958" t="s">
        <v>13772</v>
      </c>
      <c r="DE958" t="s">
        <v>15736</v>
      </c>
      <c r="DF958" t="s">
        <v>15737</v>
      </c>
      <c r="DG958" t="s">
        <v>15738</v>
      </c>
      <c r="DH958" t="str">
        <f>"GMFB"</f>
        <v>GMFB</v>
      </c>
      <c r="DI958" t="s">
        <v>13772</v>
      </c>
      <c r="DJ958" t="s">
        <v>13777</v>
      </c>
      <c r="DK958">
        <v>9606</v>
      </c>
      <c r="DL958" s="34" t="str">
        <f>HYPERLINK("http://www.uniprot.org/uniprot/P60983", "P60983")</f>
        <v>P60983</v>
      </c>
      <c r="DM958" t="s">
        <v>15739</v>
      </c>
      <c r="DN958" t="s">
        <v>13772</v>
      </c>
      <c r="DO958" t="s">
        <v>13772</v>
      </c>
      <c r="DP958" t="s">
        <v>13772</v>
      </c>
      <c r="DQ958" t="s">
        <v>13772</v>
      </c>
      <c r="DR958" t="s">
        <v>13772</v>
      </c>
      <c r="DS958" t="s">
        <v>13772</v>
      </c>
      <c r="DT958" t="s">
        <v>13772</v>
      </c>
      <c r="DU958" t="s">
        <v>15740</v>
      </c>
      <c r="DV958" t="s">
        <v>13886</v>
      </c>
      <c r="DW958" t="s">
        <v>13772</v>
      </c>
      <c r="DX958" t="s">
        <v>15741</v>
      </c>
      <c r="DY958" t="s">
        <v>15742</v>
      </c>
      <c r="DZ958" t="s">
        <v>15743</v>
      </c>
      <c r="EA958" t="s">
        <v>13772</v>
      </c>
      <c r="EB958" t="s">
        <v>13772</v>
      </c>
    </row>
    <row r="959" spans="1:132" hidden="1">
      <c r="A959">
        <v>486</v>
      </c>
      <c r="B959">
        <v>1</v>
      </c>
      <c r="C959" t="s">
        <v>1221</v>
      </c>
      <c r="D959" t="s">
        <v>73</v>
      </c>
      <c r="E959" t="s">
        <v>73</v>
      </c>
      <c r="F959" t="s">
        <v>1222</v>
      </c>
      <c r="G959" t="s">
        <v>73</v>
      </c>
      <c r="H959">
        <v>46</v>
      </c>
      <c r="I959">
        <v>211</v>
      </c>
      <c r="J959">
        <v>24144</v>
      </c>
      <c r="K959" t="s">
        <v>1223</v>
      </c>
      <c r="L959">
        <f t="shared" si="58"/>
        <v>28</v>
      </c>
      <c r="N959">
        <v>28</v>
      </c>
      <c r="O959">
        <v>27</v>
      </c>
      <c r="P959">
        <v>0.96399999999999997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</v>
      </c>
      <c r="W959">
        <v>0</v>
      </c>
      <c r="X959">
        <v>0</v>
      </c>
      <c r="Y959">
        <v>2</v>
      </c>
      <c r="Z959">
        <v>0</v>
      </c>
      <c r="AA959">
        <v>6</v>
      </c>
      <c r="AB959">
        <v>5</v>
      </c>
      <c r="AC959">
        <v>1</v>
      </c>
      <c r="AD959">
        <v>0</v>
      </c>
      <c r="AE959">
        <v>3</v>
      </c>
      <c r="AF959">
        <v>8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2</v>
      </c>
      <c r="AS959">
        <v>0</v>
      </c>
      <c r="AT959">
        <v>6</v>
      </c>
      <c r="AU959">
        <v>5</v>
      </c>
      <c r="AV959">
        <v>1</v>
      </c>
      <c r="AW959">
        <v>0</v>
      </c>
      <c r="AX959">
        <v>3</v>
      </c>
      <c r="AY959">
        <v>8</v>
      </c>
      <c r="AZ959">
        <v>1</v>
      </c>
      <c r="BA959">
        <v>0</v>
      </c>
      <c r="BB959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1.0669999999999999</v>
      </c>
      <c r="BI959" s="2">
        <v>0</v>
      </c>
      <c r="BJ959" s="2">
        <v>0</v>
      </c>
      <c r="BK959" s="2">
        <v>2</v>
      </c>
      <c r="BL959" s="2">
        <v>0</v>
      </c>
      <c r="BM959" s="2">
        <v>6</v>
      </c>
      <c r="BN959" s="2">
        <v>5</v>
      </c>
      <c r="BO959" s="2">
        <v>1</v>
      </c>
      <c r="BP959" s="2">
        <v>0</v>
      </c>
      <c r="BQ959" s="2">
        <v>3</v>
      </c>
      <c r="BR959" s="2">
        <v>8</v>
      </c>
      <c r="BS959" s="2">
        <v>1</v>
      </c>
      <c r="BT959" s="2">
        <v>0</v>
      </c>
      <c r="BU959" s="2">
        <v>0</v>
      </c>
      <c r="BV959" s="2">
        <f t="shared" si="61"/>
        <v>27.067</v>
      </c>
      <c r="BW959" s="16">
        <f t="shared" si="59"/>
        <v>1.4245789473684212</v>
      </c>
      <c r="BX959" s="16">
        <f>COUNTIF($BC$6:BU959, "=0") / COUNTIF($BC$6:BU959, "&gt;-1")</f>
        <v>0.26315789473684209</v>
      </c>
      <c r="BY959" s="18">
        <f>SUM($BC$6:BU959) / $BY$4</f>
        <v>0.93663986178040082</v>
      </c>
      <c r="BZ959" s="14">
        <f t="shared" si="60"/>
        <v>11</v>
      </c>
      <c r="CA959" t="s">
        <v>5832</v>
      </c>
      <c r="CZ959" t="s">
        <v>7390</v>
      </c>
      <c r="DA959" t="s">
        <v>5904</v>
      </c>
      <c r="DB959">
        <v>439.1</v>
      </c>
      <c r="DC959" t="s">
        <v>18547</v>
      </c>
      <c r="DD959" t="s">
        <v>13772</v>
      </c>
      <c r="DE959" t="s">
        <v>18548</v>
      </c>
      <c r="DF959" t="s">
        <v>18549</v>
      </c>
      <c r="DG959" t="s">
        <v>18550</v>
      </c>
      <c r="DH959" t="str">
        <f>"PITHD1"</f>
        <v>PITHD1</v>
      </c>
      <c r="DI959" t="s">
        <v>18551</v>
      </c>
      <c r="DJ959" t="s">
        <v>13777</v>
      </c>
      <c r="DK959">
        <v>9606</v>
      </c>
      <c r="DL959" s="34" t="str">
        <f>HYPERLINK("http://www.uniprot.org/uniprot/Q9GZP4", "Q9GZP4")</f>
        <v>Q9GZP4</v>
      </c>
      <c r="DM959" t="s">
        <v>18552</v>
      </c>
      <c r="DN959" t="s">
        <v>13772</v>
      </c>
      <c r="DO959" t="s">
        <v>13772</v>
      </c>
      <c r="DP959" t="s">
        <v>13841</v>
      </c>
      <c r="DQ959" t="s">
        <v>13772</v>
      </c>
      <c r="DR959" t="s">
        <v>13772</v>
      </c>
      <c r="DS959" t="s">
        <v>13772</v>
      </c>
      <c r="DT959" t="s">
        <v>13772</v>
      </c>
      <c r="DU959" t="s">
        <v>13772</v>
      </c>
      <c r="DV959" t="s">
        <v>13782</v>
      </c>
      <c r="DW959" t="s">
        <v>13772</v>
      </c>
      <c r="DX959" t="s">
        <v>13772</v>
      </c>
      <c r="DY959" t="s">
        <v>15556</v>
      </c>
      <c r="DZ959" t="s">
        <v>13772</v>
      </c>
      <c r="EA959" t="s">
        <v>13772</v>
      </c>
      <c r="EB959" t="s">
        <v>13772</v>
      </c>
    </row>
    <row r="960" spans="1:132" hidden="1">
      <c r="A960">
        <v>2000</v>
      </c>
      <c r="B960">
        <v>1</v>
      </c>
      <c r="C960" t="s">
        <v>4705</v>
      </c>
      <c r="D960" t="s">
        <v>4706</v>
      </c>
      <c r="E960" t="s">
        <v>73</v>
      </c>
      <c r="F960" t="s">
        <v>2739</v>
      </c>
      <c r="G960" t="s">
        <v>73</v>
      </c>
      <c r="H960">
        <v>13.5</v>
      </c>
      <c r="I960">
        <v>1140</v>
      </c>
      <c r="J960">
        <v>128099</v>
      </c>
      <c r="K960" t="s">
        <v>4707</v>
      </c>
      <c r="L960">
        <f t="shared" si="58"/>
        <v>33</v>
      </c>
      <c r="N960">
        <v>33</v>
      </c>
      <c r="O960">
        <v>24</v>
      </c>
      <c r="P960">
        <v>0.72699999999999998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</v>
      </c>
      <c r="X960">
        <v>3</v>
      </c>
      <c r="Y960">
        <v>3</v>
      </c>
      <c r="Z960">
        <v>0</v>
      </c>
      <c r="AA960">
        <v>4</v>
      </c>
      <c r="AB960">
        <v>1</v>
      </c>
      <c r="AC960">
        <v>1</v>
      </c>
      <c r="AD960">
        <v>0</v>
      </c>
      <c r="AE960">
        <v>13</v>
      </c>
      <c r="AF960">
        <v>3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</v>
      </c>
      <c r="AQ960">
        <v>2</v>
      </c>
      <c r="AR960">
        <v>2</v>
      </c>
      <c r="AS960">
        <v>0</v>
      </c>
      <c r="AT960">
        <v>3</v>
      </c>
      <c r="AU960">
        <v>0</v>
      </c>
      <c r="AV960">
        <v>0</v>
      </c>
      <c r="AW960">
        <v>0</v>
      </c>
      <c r="AX960">
        <v>12</v>
      </c>
      <c r="AY960">
        <v>2</v>
      </c>
      <c r="AZ960">
        <v>0</v>
      </c>
      <c r="BA960">
        <v>0</v>
      </c>
      <c r="BB960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3.6</v>
      </c>
      <c r="BJ960" s="2">
        <v>3</v>
      </c>
      <c r="BK960" s="2">
        <v>2.25</v>
      </c>
      <c r="BL960" s="2">
        <v>0</v>
      </c>
      <c r="BM960" s="2">
        <v>3.2309999999999999</v>
      </c>
      <c r="BN960" s="2">
        <v>0</v>
      </c>
      <c r="BO960" s="2">
        <v>0</v>
      </c>
      <c r="BP960" s="2">
        <v>0</v>
      </c>
      <c r="BQ960" s="2">
        <v>12.234999999999999</v>
      </c>
      <c r="BR960" s="2">
        <v>2.2000000000000002</v>
      </c>
      <c r="BS960" s="2">
        <v>0.5</v>
      </c>
      <c r="BT960" s="2">
        <v>0</v>
      </c>
      <c r="BU960" s="2">
        <v>0</v>
      </c>
      <c r="BV960" s="2">
        <f t="shared" si="61"/>
        <v>27.015999999999998</v>
      </c>
      <c r="BW960" s="16">
        <f t="shared" si="59"/>
        <v>1.4218947368421051</v>
      </c>
      <c r="BX960" s="16">
        <f>COUNTIF($BC$6:BU960, "=0") / COUNTIF($BC$6:BU960, "&gt;-1")</f>
        <v>0.26354367594378619</v>
      </c>
      <c r="BY960" s="18">
        <f>SUM($BC$6:BU960) / $BY$4</f>
        <v>0.93675558851404561</v>
      </c>
      <c r="BZ960" s="14">
        <f t="shared" si="60"/>
        <v>12</v>
      </c>
      <c r="CA960" t="s">
        <v>5832</v>
      </c>
      <c r="CZ960" t="s">
        <v>12416</v>
      </c>
      <c r="DA960" t="s">
        <v>5904</v>
      </c>
      <c r="DB960">
        <v>2049.6</v>
      </c>
      <c r="DC960" t="s">
        <v>32939</v>
      </c>
      <c r="DD960" t="s">
        <v>32940</v>
      </c>
      <c r="DE960" t="s">
        <v>32941</v>
      </c>
      <c r="DF960" t="s">
        <v>32942</v>
      </c>
      <c r="DG960" t="s">
        <v>32943</v>
      </c>
      <c r="DH960" t="str">
        <f>"MYBPC2"</f>
        <v>MYBPC2</v>
      </c>
      <c r="DI960" t="s">
        <v>32944</v>
      </c>
      <c r="DJ960" t="s">
        <v>13777</v>
      </c>
      <c r="DK960">
        <v>9606</v>
      </c>
      <c r="DL960" s="34" t="str">
        <f>HYPERLINK("http://www.uniprot.org/uniprot/Q14324", "Q14324")</f>
        <v>Q14324</v>
      </c>
      <c r="DM960" t="s">
        <v>32945</v>
      </c>
      <c r="DN960" t="s">
        <v>13949</v>
      </c>
      <c r="DO960" t="s">
        <v>24754</v>
      </c>
      <c r="DP960" t="s">
        <v>13793</v>
      </c>
      <c r="DQ960" t="s">
        <v>13772</v>
      </c>
      <c r="DR960" t="s">
        <v>13772</v>
      </c>
      <c r="DS960" t="s">
        <v>15552</v>
      </c>
      <c r="DT960" t="s">
        <v>13772</v>
      </c>
      <c r="DU960" t="s">
        <v>14849</v>
      </c>
      <c r="DV960" t="s">
        <v>13772</v>
      </c>
      <c r="DW960" t="s">
        <v>13812</v>
      </c>
      <c r="DX960" t="s">
        <v>24755</v>
      </c>
      <c r="DY960" t="s">
        <v>32946</v>
      </c>
      <c r="DZ960" t="s">
        <v>32947</v>
      </c>
      <c r="EA960" t="s">
        <v>13772</v>
      </c>
      <c r="EB960" t="s">
        <v>15657</v>
      </c>
    </row>
    <row r="961" spans="1:132" hidden="1">
      <c r="A961">
        <v>132</v>
      </c>
      <c r="B961">
        <v>1</v>
      </c>
      <c r="C961" t="s">
        <v>345</v>
      </c>
      <c r="D961" t="s">
        <v>346</v>
      </c>
      <c r="E961" t="s">
        <v>73</v>
      </c>
      <c r="F961" t="s">
        <v>73</v>
      </c>
      <c r="G961" t="s">
        <v>73</v>
      </c>
      <c r="H961">
        <v>5.4</v>
      </c>
      <c r="I961">
        <v>4646</v>
      </c>
      <c r="J961">
        <v>532266</v>
      </c>
      <c r="K961" t="s">
        <v>347</v>
      </c>
      <c r="L961">
        <f t="shared" si="58"/>
        <v>27</v>
      </c>
      <c r="N961">
        <v>27</v>
      </c>
      <c r="O961">
        <v>27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14</v>
      </c>
      <c r="AB961">
        <v>6</v>
      </c>
      <c r="AC961">
        <v>2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14</v>
      </c>
      <c r="AU961">
        <v>6</v>
      </c>
      <c r="AV961">
        <v>2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1</v>
      </c>
      <c r="BI961" s="2">
        <v>0</v>
      </c>
      <c r="BJ961" s="2">
        <v>0</v>
      </c>
      <c r="BK961" s="2">
        <v>1</v>
      </c>
      <c r="BL961" s="2">
        <v>0</v>
      </c>
      <c r="BM961" s="2">
        <v>14</v>
      </c>
      <c r="BN961" s="2">
        <v>6</v>
      </c>
      <c r="BO961" s="2">
        <v>2</v>
      </c>
      <c r="BP961" s="2">
        <v>0</v>
      </c>
      <c r="BQ961" s="2">
        <v>0</v>
      </c>
      <c r="BR961" s="2">
        <v>1</v>
      </c>
      <c r="BS961" s="2">
        <v>0</v>
      </c>
      <c r="BT961" s="2">
        <v>0</v>
      </c>
      <c r="BU961" s="2">
        <v>0</v>
      </c>
      <c r="BV961" s="2">
        <f t="shared" si="61"/>
        <v>27</v>
      </c>
      <c r="BW961" s="16">
        <f t="shared" si="59"/>
        <v>1.4210526315789473</v>
      </c>
      <c r="BX961" s="16">
        <f>COUNTIF($BC$6:BU961, "=0") / COUNTIF($BC$6:BU961, "&gt;-1")</f>
        <v>0.26387359612420169</v>
      </c>
      <c r="BY961" s="18">
        <f>SUM($BC$6:BU961) / $BY$4</f>
        <v>0.9368712467095005</v>
      </c>
      <c r="BZ961" s="14">
        <f t="shared" si="60"/>
        <v>11</v>
      </c>
      <c r="CA961" t="s">
        <v>5832</v>
      </c>
      <c r="CZ961" t="s">
        <v>6150</v>
      </c>
      <c r="DA961" t="s">
        <v>5904</v>
      </c>
      <c r="DB961">
        <v>9572.2000000000007</v>
      </c>
      <c r="DC961" t="s">
        <v>14668</v>
      </c>
      <c r="DD961" t="s">
        <v>14669</v>
      </c>
      <c r="DE961" t="s">
        <v>14670</v>
      </c>
      <c r="DF961" t="s">
        <v>14671</v>
      </c>
      <c r="DG961" t="s">
        <v>14672</v>
      </c>
      <c r="DH961" t="str">
        <f>"DYNC1H1"</f>
        <v>DYNC1H1</v>
      </c>
      <c r="DI961" t="s">
        <v>14673</v>
      </c>
      <c r="DJ961" t="s">
        <v>13777</v>
      </c>
      <c r="DK961">
        <v>9606</v>
      </c>
      <c r="DL961" s="34" t="str">
        <f>HYPERLINK("http://www.uniprot.org/uniprot/Q14204", "Q14204")</f>
        <v>Q14204</v>
      </c>
      <c r="DM961" t="s">
        <v>14674</v>
      </c>
      <c r="DN961" t="s">
        <v>14675</v>
      </c>
      <c r="DO961" t="s">
        <v>14676</v>
      </c>
      <c r="DP961" t="s">
        <v>13793</v>
      </c>
      <c r="DQ961" t="s">
        <v>13772</v>
      </c>
      <c r="DR961" t="s">
        <v>14677</v>
      </c>
      <c r="DS961" t="s">
        <v>14048</v>
      </c>
      <c r="DT961" t="s">
        <v>14005</v>
      </c>
      <c r="DU961" t="s">
        <v>14678</v>
      </c>
      <c r="DV961" t="s">
        <v>13886</v>
      </c>
      <c r="DW961" t="s">
        <v>13812</v>
      </c>
      <c r="DX961" t="s">
        <v>14679</v>
      </c>
      <c r="DY961" t="s">
        <v>14680</v>
      </c>
      <c r="DZ961" t="s">
        <v>14681</v>
      </c>
      <c r="EA961" t="s">
        <v>13772</v>
      </c>
      <c r="EB961" t="s">
        <v>14682</v>
      </c>
    </row>
    <row r="962" spans="1:132" hidden="1">
      <c r="A962">
        <v>305</v>
      </c>
      <c r="B962">
        <v>1</v>
      </c>
      <c r="C962" t="s">
        <v>766</v>
      </c>
      <c r="D962" t="s">
        <v>73</v>
      </c>
      <c r="E962" t="s">
        <v>73</v>
      </c>
      <c r="F962" t="s">
        <v>73</v>
      </c>
      <c r="G962" t="s">
        <v>73</v>
      </c>
      <c r="H962">
        <v>28.1</v>
      </c>
      <c r="I962">
        <v>577</v>
      </c>
      <c r="J962">
        <v>61924</v>
      </c>
      <c r="K962" t="s">
        <v>767</v>
      </c>
      <c r="L962">
        <f t="shared" si="58"/>
        <v>27</v>
      </c>
      <c r="N962">
        <v>27</v>
      </c>
      <c r="O962">
        <v>27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2</v>
      </c>
      <c r="W962">
        <v>0</v>
      </c>
      <c r="X962">
        <v>1</v>
      </c>
      <c r="Y962">
        <v>7</v>
      </c>
      <c r="Z962">
        <v>1</v>
      </c>
      <c r="AA962">
        <v>5</v>
      </c>
      <c r="AB962">
        <v>2</v>
      </c>
      <c r="AC962">
        <v>1</v>
      </c>
      <c r="AD962">
        <v>0</v>
      </c>
      <c r="AE962">
        <v>2</v>
      </c>
      <c r="AF962">
        <v>2</v>
      </c>
      <c r="AG962">
        <v>0</v>
      </c>
      <c r="AH962">
        <v>1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2</v>
      </c>
      <c r="AP962">
        <v>0</v>
      </c>
      <c r="AQ962">
        <v>1</v>
      </c>
      <c r="AR962">
        <v>7</v>
      </c>
      <c r="AS962">
        <v>1</v>
      </c>
      <c r="AT962">
        <v>5</v>
      </c>
      <c r="AU962">
        <v>2</v>
      </c>
      <c r="AV962">
        <v>1</v>
      </c>
      <c r="AW962">
        <v>0</v>
      </c>
      <c r="AX962">
        <v>2</v>
      </c>
      <c r="AY962">
        <v>2</v>
      </c>
      <c r="AZ962">
        <v>0</v>
      </c>
      <c r="BA962">
        <v>1</v>
      </c>
      <c r="BB962">
        <v>2</v>
      </c>
      <c r="BC962" s="2">
        <v>0</v>
      </c>
      <c r="BD962" s="2">
        <v>0</v>
      </c>
      <c r="BE962" s="2">
        <v>0</v>
      </c>
      <c r="BF962" s="2">
        <v>0</v>
      </c>
      <c r="BG962" s="2">
        <v>1</v>
      </c>
      <c r="BH962" s="2">
        <v>2</v>
      </c>
      <c r="BI962" s="2">
        <v>0</v>
      </c>
      <c r="BJ962" s="2">
        <v>1</v>
      </c>
      <c r="BK962" s="2">
        <v>7</v>
      </c>
      <c r="BL962" s="2">
        <v>1</v>
      </c>
      <c r="BM962" s="2">
        <v>5</v>
      </c>
      <c r="BN962" s="2">
        <v>2</v>
      </c>
      <c r="BO962" s="2">
        <v>1</v>
      </c>
      <c r="BP962" s="2">
        <v>0</v>
      </c>
      <c r="BQ962" s="2">
        <v>2</v>
      </c>
      <c r="BR962" s="2">
        <v>2</v>
      </c>
      <c r="BS962" s="2">
        <v>0</v>
      </c>
      <c r="BT962" s="2">
        <v>1</v>
      </c>
      <c r="BU962" s="2">
        <v>2</v>
      </c>
      <c r="BV962" s="2">
        <f t="shared" si="61"/>
        <v>27</v>
      </c>
      <c r="BW962" s="16">
        <f t="shared" si="59"/>
        <v>1.4210526315789473</v>
      </c>
      <c r="BX962" s="16">
        <f>COUNTIF($BC$6:BU962, "=0") / COUNTIF($BC$6:BU962, "&gt;-1")</f>
        <v>0.26398284111532749</v>
      </c>
      <c r="BY962" s="18">
        <f>SUM($BC$6:BU962) / $BY$4</f>
        <v>0.9369869049049554</v>
      </c>
      <c r="BZ962" s="14">
        <f t="shared" si="60"/>
        <v>7</v>
      </c>
      <c r="CA962" t="s">
        <v>5832</v>
      </c>
      <c r="CZ962" t="s">
        <v>6748</v>
      </c>
      <c r="DA962" t="s">
        <v>5904</v>
      </c>
      <c r="DB962">
        <v>839.7</v>
      </c>
      <c r="DC962" t="s">
        <v>16586</v>
      </c>
      <c r="DD962" t="s">
        <v>16587</v>
      </c>
      <c r="DE962" t="s">
        <v>16588</v>
      </c>
      <c r="DF962" t="s">
        <v>16589</v>
      </c>
      <c r="DG962" t="s">
        <v>16590</v>
      </c>
      <c r="DH962" t="str">
        <f>"ZYX"</f>
        <v>ZYX</v>
      </c>
      <c r="DI962" t="s">
        <v>13772</v>
      </c>
      <c r="DJ962" t="s">
        <v>13777</v>
      </c>
      <c r="DK962">
        <v>9606</v>
      </c>
      <c r="DL962" s="34" t="str">
        <f>HYPERLINK("http://www.uniprot.org/uniprot/Q15942", "Q15942")</f>
        <v>Q15942</v>
      </c>
      <c r="DM962" t="s">
        <v>16591</v>
      </c>
      <c r="DN962" t="s">
        <v>16592</v>
      </c>
      <c r="DO962" t="s">
        <v>16593</v>
      </c>
      <c r="DP962" t="s">
        <v>13780</v>
      </c>
      <c r="DQ962" t="s">
        <v>13772</v>
      </c>
      <c r="DR962" t="s">
        <v>13772</v>
      </c>
      <c r="DS962" t="s">
        <v>15529</v>
      </c>
      <c r="DT962" t="s">
        <v>13856</v>
      </c>
      <c r="DU962" t="s">
        <v>13772</v>
      </c>
      <c r="DV962" t="s">
        <v>14098</v>
      </c>
      <c r="DW962" t="s">
        <v>13772</v>
      </c>
      <c r="DX962" t="s">
        <v>16594</v>
      </c>
      <c r="DY962" t="s">
        <v>16595</v>
      </c>
      <c r="DZ962" t="s">
        <v>16596</v>
      </c>
      <c r="EA962" t="s">
        <v>13772</v>
      </c>
      <c r="EB962" t="s">
        <v>13772</v>
      </c>
    </row>
    <row r="963" spans="1:132" hidden="1">
      <c r="A963">
        <v>311</v>
      </c>
      <c r="B963">
        <v>1</v>
      </c>
      <c r="C963" t="s">
        <v>780</v>
      </c>
      <c r="D963" t="s">
        <v>73</v>
      </c>
      <c r="E963" t="s">
        <v>73</v>
      </c>
      <c r="F963" t="s">
        <v>73</v>
      </c>
      <c r="G963" t="s">
        <v>73</v>
      </c>
      <c r="H963">
        <v>41.7</v>
      </c>
      <c r="I963">
        <v>103</v>
      </c>
      <c r="J963">
        <v>11349</v>
      </c>
      <c r="K963" t="s">
        <v>781</v>
      </c>
      <c r="L963">
        <f t="shared" si="58"/>
        <v>27</v>
      </c>
      <c r="N963">
        <v>27</v>
      </c>
      <c r="O963">
        <v>27</v>
      </c>
      <c r="P963">
        <v>1</v>
      </c>
      <c r="Q963">
        <v>3</v>
      </c>
      <c r="R963">
        <v>3</v>
      </c>
      <c r="S963">
        <v>3</v>
      </c>
      <c r="T963">
        <v>3</v>
      </c>
      <c r="U963">
        <v>2</v>
      </c>
      <c r="V963">
        <v>1</v>
      </c>
      <c r="W963">
        <v>1</v>
      </c>
      <c r="X963">
        <v>2</v>
      </c>
      <c r="Y963">
        <v>0</v>
      </c>
      <c r="Z963">
        <v>0</v>
      </c>
      <c r="AA963">
        <v>2</v>
      </c>
      <c r="AB963">
        <v>0</v>
      </c>
      <c r="AC963">
        <v>1</v>
      </c>
      <c r="AD963">
        <v>0</v>
      </c>
      <c r="AE963">
        <v>1</v>
      </c>
      <c r="AF963">
        <v>2</v>
      </c>
      <c r="AG963">
        <v>2</v>
      </c>
      <c r="AH963">
        <v>0</v>
      </c>
      <c r="AI963">
        <v>1</v>
      </c>
      <c r="AJ963">
        <v>3</v>
      </c>
      <c r="AK963">
        <v>3</v>
      </c>
      <c r="AL963">
        <v>3</v>
      </c>
      <c r="AM963">
        <v>3</v>
      </c>
      <c r="AN963">
        <v>2</v>
      </c>
      <c r="AO963">
        <v>1</v>
      </c>
      <c r="AP963">
        <v>1</v>
      </c>
      <c r="AQ963">
        <v>2</v>
      </c>
      <c r="AR963">
        <v>0</v>
      </c>
      <c r="AS963">
        <v>0</v>
      </c>
      <c r="AT963">
        <v>2</v>
      </c>
      <c r="AU963">
        <v>0</v>
      </c>
      <c r="AV963">
        <v>1</v>
      </c>
      <c r="AW963">
        <v>0</v>
      </c>
      <c r="AX963">
        <v>1</v>
      </c>
      <c r="AY963">
        <v>2</v>
      </c>
      <c r="AZ963">
        <v>2</v>
      </c>
      <c r="BA963">
        <v>0</v>
      </c>
      <c r="BB963">
        <v>1</v>
      </c>
      <c r="BC963" s="2">
        <v>3</v>
      </c>
      <c r="BD963" s="2">
        <v>3</v>
      </c>
      <c r="BE963" s="2">
        <v>3</v>
      </c>
      <c r="BF963" s="2">
        <v>3</v>
      </c>
      <c r="BG963" s="2">
        <v>2</v>
      </c>
      <c r="BH963" s="2">
        <v>1</v>
      </c>
      <c r="BI963" s="2">
        <v>1</v>
      </c>
      <c r="BJ963" s="2">
        <v>2</v>
      </c>
      <c r="BK963" s="2">
        <v>0</v>
      </c>
      <c r="BL963" s="2">
        <v>0</v>
      </c>
      <c r="BM963" s="2">
        <v>2</v>
      </c>
      <c r="BN963" s="2">
        <v>0</v>
      </c>
      <c r="BO963" s="2">
        <v>1</v>
      </c>
      <c r="BP963" s="2">
        <v>0</v>
      </c>
      <c r="BQ963" s="2">
        <v>1</v>
      </c>
      <c r="BR963" s="2">
        <v>2</v>
      </c>
      <c r="BS963" s="2">
        <v>2</v>
      </c>
      <c r="BT963" s="2">
        <v>0</v>
      </c>
      <c r="BU963" s="2">
        <v>1</v>
      </c>
      <c r="BV963" s="2">
        <f t="shared" si="61"/>
        <v>27</v>
      </c>
      <c r="BW963" s="16">
        <f t="shared" si="59"/>
        <v>1.4210526315789473</v>
      </c>
      <c r="BX963" s="16">
        <f>COUNTIF($BC$6:BU963, "=0") / COUNTIF($BC$6:BU963, "&gt;-1")</f>
        <v>0.26398198000219758</v>
      </c>
      <c r="BY963" s="18">
        <f>SUM($BC$6:BU963) / $BY$4</f>
        <v>0.93710256310041029</v>
      </c>
      <c r="BZ963" s="14">
        <f t="shared" si="60"/>
        <v>5</v>
      </c>
      <c r="CA963" t="s">
        <v>5832</v>
      </c>
      <c r="CZ963" t="s">
        <v>6770</v>
      </c>
      <c r="DA963" t="s">
        <v>5904</v>
      </c>
      <c r="DB963">
        <v>133.69999999999999</v>
      </c>
      <c r="DC963" t="s">
        <v>16650</v>
      </c>
      <c r="DD963" t="s">
        <v>16651</v>
      </c>
      <c r="DE963" t="s">
        <v>16652</v>
      </c>
      <c r="DF963" t="s">
        <v>16653</v>
      </c>
      <c r="DG963" t="s">
        <v>16654</v>
      </c>
      <c r="DH963" t="str">
        <f>"SLURP1"</f>
        <v>SLURP1</v>
      </c>
      <c r="DI963" t="s">
        <v>16655</v>
      </c>
      <c r="DJ963" t="s">
        <v>13777</v>
      </c>
      <c r="DK963">
        <v>9606</v>
      </c>
      <c r="DL963" s="34" t="str">
        <f>HYPERLINK("http://www.uniprot.org/uniprot/P55000", "P55000")</f>
        <v>P55000</v>
      </c>
      <c r="DM963" t="s">
        <v>16656</v>
      </c>
      <c r="DN963" t="s">
        <v>13772</v>
      </c>
      <c r="DO963" t="s">
        <v>14321</v>
      </c>
      <c r="DP963" t="s">
        <v>13772</v>
      </c>
      <c r="DQ963" t="s">
        <v>13772</v>
      </c>
      <c r="DR963" t="s">
        <v>16657</v>
      </c>
      <c r="DS963" t="s">
        <v>13808</v>
      </c>
      <c r="DT963" t="s">
        <v>13772</v>
      </c>
      <c r="DU963" t="s">
        <v>14405</v>
      </c>
      <c r="DV963" t="s">
        <v>14506</v>
      </c>
      <c r="DW963" t="s">
        <v>13812</v>
      </c>
      <c r="DX963" t="s">
        <v>16658</v>
      </c>
      <c r="DY963" t="s">
        <v>16659</v>
      </c>
      <c r="DZ963" t="s">
        <v>16660</v>
      </c>
      <c r="EA963" t="s">
        <v>13772</v>
      </c>
      <c r="EB963" t="s">
        <v>13772</v>
      </c>
    </row>
    <row r="964" spans="1:132" hidden="1">
      <c r="A964">
        <v>491</v>
      </c>
      <c r="B964">
        <v>1</v>
      </c>
      <c r="C964" t="s">
        <v>1233</v>
      </c>
      <c r="D964" t="s">
        <v>1234</v>
      </c>
      <c r="E964" t="s">
        <v>73</v>
      </c>
      <c r="F964" t="s">
        <v>73</v>
      </c>
      <c r="G964" t="s">
        <v>73</v>
      </c>
      <c r="H964">
        <v>21.1</v>
      </c>
      <c r="I964">
        <v>717</v>
      </c>
      <c r="J964">
        <v>80484</v>
      </c>
      <c r="K964" t="s">
        <v>1235</v>
      </c>
      <c r="L964">
        <f t="shared" si="58"/>
        <v>27</v>
      </c>
      <c r="N964">
        <v>27</v>
      </c>
      <c r="O964">
        <v>27</v>
      </c>
      <c r="P964">
        <v>1</v>
      </c>
      <c r="Q964">
        <v>1</v>
      </c>
      <c r="R964">
        <v>2</v>
      </c>
      <c r="S964">
        <v>0</v>
      </c>
      <c r="T964">
        <v>0</v>
      </c>
      <c r="U964">
        <v>2</v>
      </c>
      <c r="V964">
        <v>3</v>
      </c>
      <c r="W964">
        <v>0</v>
      </c>
      <c r="X964">
        <v>0</v>
      </c>
      <c r="Y964">
        <v>6</v>
      </c>
      <c r="Z964">
        <v>0</v>
      </c>
      <c r="AA964">
        <v>6</v>
      </c>
      <c r="AB964">
        <v>3</v>
      </c>
      <c r="AC964">
        <v>0</v>
      </c>
      <c r="AD964">
        <v>0</v>
      </c>
      <c r="AE964">
        <v>2</v>
      </c>
      <c r="AF964">
        <v>2</v>
      </c>
      <c r="AG964">
        <v>0</v>
      </c>
      <c r="AH964">
        <v>0</v>
      </c>
      <c r="AI964">
        <v>0</v>
      </c>
      <c r="AJ964">
        <v>1</v>
      </c>
      <c r="AK964">
        <v>2</v>
      </c>
      <c r="AL964">
        <v>0</v>
      </c>
      <c r="AM964">
        <v>0</v>
      </c>
      <c r="AN964">
        <v>2</v>
      </c>
      <c r="AO964">
        <v>3</v>
      </c>
      <c r="AP964">
        <v>0</v>
      </c>
      <c r="AQ964">
        <v>0</v>
      </c>
      <c r="AR964">
        <v>6</v>
      </c>
      <c r="AS964">
        <v>0</v>
      </c>
      <c r="AT964">
        <v>6</v>
      </c>
      <c r="AU964">
        <v>3</v>
      </c>
      <c r="AV964">
        <v>0</v>
      </c>
      <c r="AW964">
        <v>0</v>
      </c>
      <c r="AX964">
        <v>2</v>
      </c>
      <c r="AY964">
        <v>2</v>
      </c>
      <c r="AZ964">
        <v>0</v>
      </c>
      <c r="BA964">
        <v>0</v>
      </c>
      <c r="BB964">
        <v>0</v>
      </c>
      <c r="BC964" s="2">
        <v>1</v>
      </c>
      <c r="BD964" s="2">
        <v>2</v>
      </c>
      <c r="BE964" s="2">
        <v>0</v>
      </c>
      <c r="BF964" s="2">
        <v>0</v>
      </c>
      <c r="BG964" s="2">
        <v>2</v>
      </c>
      <c r="BH964" s="2">
        <v>3</v>
      </c>
      <c r="BI964" s="2">
        <v>0</v>
      </c>
      <c r="BJ964" s="2">
        <v>0</v>
      </c>
      <c r="BK964" s="2">
        <v>6</v>
      </c>
      <c r="BL964" s="2">
        <v>0</v>
      </c>
      <c r="BM964" s="2">
        <v>6</v>
      </c>
      <c r="BN964" s="2">
        <v>3</v>
      </c>
      <c r="BO964" s="2">
        <v>0</v>
      </c>
      <c r="BP964" s="2">
        <v>0</v>
      </c>
      <c r="BQ964" s="2">
        <v>2</v>
      </c>
      <c r="BR964" s="2">
        <v>2</v>
      </c>
      <c r="BS964" s="2">
        <v>0</v>
      </c>
      <c r="BT964" s="2">
        <v>0</v>
      </c>
      <c r="BU964" s="2">
        <v>0</v>
      </c>
      <c r="BV964" s="2">
        <f t="shared" si="61"/>
        <v>27</v>
      </c>
      <c r="BW964" s="16">
        <f t="shared" si="59"/>
        <v>1.4210526315789473</v>
      </c>
      <c r="BX964" s="16">
        <f>COUNTIF($BC$6:BU964, "=0") / COUNTIF($BC$6:BU964, "&gt;-1")</f>
        <v>0.26425552933428459</v>
      </c>
      <c r="BY964" s="18">
        <f>SUM($BC$6:BU964) / $BY$4</f>
        <v>0.93721822129586529</v>
      </c>
      <c r="BZ964" s="14">
        <f t="shared" si="60"/>
        <v>10</v>
      </c>
      <c r="CA964" t="s">
        <v>5832</v>
      </c>
      <c r="CZ964" t="s">
        <v>7408</v>
      </c>
      <c r="DA964" t="s">
        <v>5904</v>
      </c>
      <c r="DB964">
        <v>1232.2</v>
      </c>
      <c r="DC964" t="s">
        <v>18596</v>
      </c>
      <c r="DD964" t="s">
        <v>18597</v>
      </c>
      <c r="DE964" t="s">
        <v>18598</v>
      </c>
      <c r="DF964" t="s">
        <v>18599</v>
      </c>
      <c r="DG964" t="s">
        <v>18600</v>
      </c>
      <c r="DH964" t="str">
        <f>"EPS8L2"</f>
        <v>EPS8L2</v>
      </c>
      <c r="DI964" t="s">
        <v>18601</v>
      </c>
      <c r="DJ964" t="s">
        <v>13777</v>
      </c>
      <c r="DK964">
        <v>9606</v>
      </c>
      <c r="DL964" s="34" t="str">
        <f>HYPERLINK("http://www.uniprot.org/uniprot/Q9H6S3", "Q9H6S3")</f>
        <v>Q9H6S3</v>
      </c>
      <c r="DM964" t="s">
        <v>18602</v>
      </c>
      <c r="DN964" t="s">
        <v>13772</v>
      </c>
      <c r="DO964" t="s">
        <v>15370</v>
      </c>
      <c r="DP964" t="s">
        <v>13841</v>
      </c>
      <c r="DQ964" t="s">
        <v>13772</v>
      </c>
      <c r="DR964" t="s">
        <v>18603</v>
      </c>
      <c r="DS964" t="s">
        <v>18604</v>
      </c>
      <c r="DT964" t="s">
        <v>13772</v>
      </c>
      <c r="DU964" t="s">
        <v>13772</v>
      </c>
      <c r="DV964" t="s">
        <v>13782</v>
      </c>
      <c r="DW964" t="s">
        <v>13812</v>
      </c>
      <c r="DX964" t="s">
        <v>18605</v>
      </c>
      <c r="DY964" t="s">
        <v>18606</v>
      </c>
      <c r="DZ964" t="s">
        <v>18607</v>
      </c>
      <c r="EA964" t="s">
        <v>13772</v>
      </c>
      <c r="EB964" t="s">
        <v>13772</v>
      </c>
    </row>
    <row r="965" spans="1:132" hidden="1">
      <c r="A965">
        <v>575</v>
      </c>
      <c r="B965">
        <v>1</v>
      </c>
      <c r="C965" t="s">
        <v>1430</v>
      </c>
      <c r="D965" t="s">
        <v>1431</v>
      </c>
      <c r="E965" t="s">
        <v>73</v>
      </c>
      <c r="F965" t="s">
        <v>1432</v>
      </c>
      <c r="G965" t="s">
        <v>73</v>
      </c>
      <c r="H965">
        <v>27</v>
      </c>
      <c r="I965">
        <v>367</v>
      </c>
      <c r="J965">
        <v>40635</v>
      </c>
      <c r="K965" t="s">
        <v>1433</v>
      </c>
      <c r="L965">
        <f t="shared" si="58"/>
        <v>27</v>
      </c>
      <c r="N965">
        <v>27</v>
      </c>
      <c r="O965">
        <v>26</v>
      </c>
      <c r="P965">
        <v>0.96299999999999997</v>
      </c>
      <c r="Q965">
        <v>2</v>
      </c>
      <c r="R965">
        <v>5</v>
      </c>
      <c r="S965">
        <v>3</v>
      </c>
      <c r="T965">
        <v>3</v>
      </c>
      <c r="U965">
        <v>2</v>
      </c>
      <c r="V965">
        <v>4</v>
      </c>
      <c r="W965">
        <v>5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2</v>
      </c>
      <c r="AK965">
        <v>5</v>
      </c>
      <c r="AL965">
        <v>3</v>
      </c>
      <c r="AM965">
        <v>3</v>
      </c>
      <c r="AN965">
        <v>2</v>
      </c>
      <c r="AO965">
        <v>4</v>
      </c>
      <c r="AP965">
        <v>5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 s="2">
        <v>2</v>
      </c>
      <c r="BD965" s="2">
        <v>5</v>
      </c>
      <c r="BE965" s="2">
        <v>3</v>
      </c>
      <c r="BF965" s="2">
        <v>3</v>
      </c>
      <c r="BG965" s="2">
        <v>2</v>
      </c>
      <c r="BH965" s="2">
        <v>4</v>
      </c>
      <c r="BI965" s="2">
        <v>5</v>
      </c>
      <c r="BJ965" s="2">
        <v>2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1</v>
      </c>
      <c r="BV965" s="2">
        <f t="shared" si="61"/>
        <v>27</v>
      </c>
      <c r="BW965" s="16">
        <f t="shared" si="59"/>
        <v>1.4210526315789473</v>
      </c>
      <c r="BX965" s="16">
        <f>COUNTIF($BC$6:BU965, "=0") / COUNTIF($BC$6:BU965, "&gt;-1")</f>
        <v>0.26452850877192985</v>
      </c>
      <c r="BY965" s="18">
        <f>SUM($BC$6:BU965) / $BY$4</f>
        <v>0.93733387949132019</v>
      </c>
      <c r="BZ965" s="14">
        <f t="shared" si="60"/>
        <v>10</v>
      </c>
      <c r="CA965" t="s">
        <v>5832</v>
      </c>
      <c r="CZ965" t="s">
        <v>7690</v>
      </c>
      <c r="DA965" t="s">
        <v>5904</v>
      </c>
      <c r="DB965">
        <v>619.4</v>
      </c>
      <c r="DC965" t="s">
        <v>19445</v>
      </c>
      <c r="DD965" t="s">
        <v>19446</v>
      </c>
      <c r="DE965" t="s">
        <v>19447</v>
      </c>
      <c r="DF965" t="s">
        <v>19448</v>
      </c>
      <c r="DG965" t="s">
        <v>19449</v>
      </c>
      <c r="DH965" t="str">
        <f>"NTM"</f>
        <v>NTM</v>
      </c>
      <c r="DI965" t="s">
        <v>19450</v>
      </c>
      <c r="DJ965" t="s">
        <v>13777</v>
      </c>
      <c r="DK965">
        <v>9606</v>
      </c>
      <c r="DL965" s="34" t="str">
        <f>HYPERLINK("http://www.uniprot.org/uniprot/Q9P121", "Q9P121")</f>
        <v>Q9P121</v>
      </c>
      <c r="DM965" t="s">
        <v>19451</v>
      </c>
      <c r="DN965" t="s">
        <v>13949</v>
      </c>
      <c r="DO965" t="s">
        <v>13792</v>
      </c>
      <c r="DP965" t="s">
        <v>13841</v>
      </c>
      <c r="DQ965" t="s">
        <v>13772</v>
      </c>
      <c r="DR965" t="s">
        <v>13772</v>
      </c>
      <c r="DS965" t="s">
        <v>16182</v>
      </c>
      <c r="DT965" t="s">
        <v>13772</v>
      </c>
      <c r="DU965" t="s">
        <v>13772</v>
      </c>
      <c r="DV965" t="s">
        <v>15699</v>
      </c>
      <c r="DW965" t="s">
        <v>13812</v>
      </c>
      <c r="DX965" t="s">
        <v>19452</v>
      </c>
      <c r="DY965" t="s">
        <v>19453</v>
      </c>
      <c r="DZ965" t="s">
        <v>13772</v>
      </c>
      <c r="EA965" t="s">
        <v>13772</v>
      </c>
      <c r="EB965" t="s">
        <v>16280</v>
      </c>
    </row>
    <row r="966" spans="1:132" hidden="1">
      <c r="A966">
        <v>814</v>
      </c>
      <c r="B966">
        <v>1</v>
      </c>
      <c r="C966" t="s">
        <v>1997</v>
      </c>
      <c r="D966" t="s">
        <v>73</v>
      </c>
      <c r="E966" t="s">
        <v>73</v>
      </c>
      <c r="F966" t="s">
        <v>73</v>
      </c>
      <c r="G966" t="s">
        <v>73</v>
      </c>
      <c r="H966">
        <v>94.9</v>
      </c>
      <c r="I966">
        <v>98</v>
      </c>
      <c r="J966">
        <v>11070</v>
      </c>
      <c r="K966" t="s">
        <v>1998</v>
      </c>
      <c r="L966">
        <f t="shared" ref="L966:L1029" si="62">N966</f>
        <v>27</v>
      </c>
      <c r="N966">
        <v>27</v>
      </c>
      <c r="O966">
        <v>27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3</v>
      </c>
      <c r="W966">
        <v>1</v>
      </c>
      <c r="X966">
        <v>1</v>
      </c>
      <c r="Y966">
        <v>10</v>
      </c>
      <c r="Z966">
        <v>0</v>
      </c>
      <c r="AA966">
        <v>4</v>
      </c>
      <c r="AB966">
        <v>0</v>
      </c>
      <c r="AC966">
        <v>0</v>
      </c>
      <c r="AD966">
        <v>0</v>
      </c>
      <c r="AE966">
        <v>1</v>
      </c>
      <c r="AF966">
        <v>3</v>
      </c>
      <c r="AG966">
        <v>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2</v>
      </c>
      <c r="AO966">
        <v>3</v>
      </c>
      <c r="AP966">
        <v>1</v>
      </c>
      <c r="AQ966">
        <v>1</v>
      </c>
      <c r="AR966">
        <v>10</v>
      </c>
      <c r="AS966">
        <v>0</v>
      </c>
      <c r="AT966">
        <v>4</v>
      </c>
      <c r="AU966">
        <v>0</v>
      </c>
      <c r="AV966">
        <v>0</v>
      </c>
      <c r="AW966">
        <v>0</v>
      </c>
      <c r="AX966">
        <v>1</v>
      </c>
      <c r="AY966">
        <v>3</v>
      </c>
      <c r="AZ966">
        <v>2</v>
      </c>
      <c r="BA966">
        <v>0</v>
      </c>
      <c r="BB966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2</v>
      </c>
      <c r="BH966" s="2">
        <v>3</v>
      </c>
      <c r="BI966" s="2">
        <v>1</v>
      </c>
      <c r="BJ966" s="2">
        <v>1</v>
      </c>
      <c r="BK966" s="2">
        <v>10</v>
      </c>
      <c r="BL966" s="2">
        <v>0</v>
      </c>
      <c r="BM966" s="2">
        <v>4</v>
      </c>
      <c r="BN966" s="2">
        <v>0</v>
      </c>
      <c r="BO966" s="2">
        <v>0</v>
      </c>
      <c r="BP966" s="2">
        <v>0</v>
      </c>
      <c r="BQ966" s="2">
        <v>1</v>
      </c>
      <c r="BR966" s="2">
        <v>3</v>
      </c>
      <c r="BS966" s="2">
        <v>2</v>
      </c>
      <c r="BT966" s="2">
        <v>0</v>
      </c>
      <c r="BU966" s="2">
        <v>0</v>
      </c>
      <c r="BV966" s="2">
        <f t="shared" si="61"/>
        <v>27</v>
      </c>
      <c r="BW966" s="16">
        <f t="shared" ref="BW966:BW1029" si="63">AVERAGE(BC966:BU966)</f>
        <v>1.4210526315789473</v>
      </c>
      <c r="BX966" s="16">
        <f>COUNTIF($BC$6:BU966, "=0") / COUNTIF($BC$6:BU966, "&gt;-1")</f>
        <v>0.26480092009420014</v>
      </c>
      <c r="BY966" s="18">
        <f>SUM($BC$6:BU966) / $BY$4</f>
        <v>0.93744953768677508</v>
      </c>
      <c r="BZ966" s="14">
        <f t="shared" ref="BZ966:BZ1029" si="64">19-COUNTIF(BC966:BU966, "&gt;0")</f>
        <v>10</v>
      </c>
      <c r="CA966" t="s">
        <v>5832</v>
      </c>
      <c r="CZ966" t="s">
        <v>8487</v>
      </c>
      <c r="DA966" t="s">
        <v>5904</v>
      </c>
      <c r="DB966">
        <v>160.6</v>
      </c>
      <c r="DC966" t="s">
        <v>21823</v>
      </c>
      <c r="DD966" t="s">
        <v>21824</v>
      </c>
      <c r="DE966" t="s">
        <v>21825</v>
      </c>
      <c r="DF966" t="s">
        <v>21826</v>
      </c>
      <c r="DG966" t="s">
        <v>21827</v>
      </c>
      <c r="DH966" t="str">
        <f>"CSTA"</f>
        <v>CSTA</v>
      </c>
      <c r="DI966" t="s">
        <v>21828</v>
      </c>
      <c r="DJ966" t="s">
        <v>13777</v>
      </c>
      <c r="DK966">
        <v>9606</v>
      </c>
      <c r="DL966" s="34" t="str">
        <f>HYPERLINK("http://www.uniprot.org/uniprot/P01040", "P01040")</f>
        <v>P01040</v>
      </c>
      <c r="DM966" t="s">
        <v>21829</v>
      </c>
      <c r="DN966" t="s">
        <v>13949</v>
      </c>
      <c r="DO966" t="s">
        <v>13899</v>
      </c>
      <c r="DP966" t="s">
        <v>13793</v>
      </c>
      <c r="DQ966" t="s">
        <v>13772</v>
      </c>
      <c r="DR966" t="s">
        <v>21656</v>
      </c>
      <c r="DS966" t="s">
        <v>13772</v>
      </c>
      <c r="DT966" t="s">
        <v>13772</v>
      </c>
      <c r="DU966" t="s">
        <v>19559</v>
      </c>
      <c r="DV966" t="s">
        <v>14020</v>
      </c>
      <c r="DW966" t="s">
        <v>13812</v>
      </c>
      <c r="DX966" t="s">
        <v>21830</v>
      </c>
      <c r="DY966" t="s">
        <v>21831</v>
      </c>
      <c r="DZ966" t="s">
        <v>21832</v>
      </c>
      <c r="EA966" t="s">
        <v>13772</v>
      </c>
      <c r="EB966" t="s">
        <v>16024</v>
      </c>
    </row>
    <row r="967" spans="1:132" hidden="1">
      <c r="A967">
        <v>840</v>
      </c>
      <c r="B967">
        <v>1</v>
      </c>
      <c r="C967" t="s">
        <v>2059</v>
      </c>
      <c r="D967" t="s">
        <v>2060</v>
      </c>
      <c r="E967" t="s">
        <v>73</v>
      </c>
      <c r="F967" t="s">
        <v>73</v>
      </c>
      <c r="G967" t="s">
        <v>73</v>
      </c>
      <c r="H967">
        <v>6.7</v>
      </c>
      <c r="I967">
        <v>993</v>
      </c>
      <c r="J967">
        <v>108917</v>
      </c>
      <c r="K967" t="s">
        <v>2061</v>
      </c>
      <c r="L967">
        <f t="shared" si="62"/>
        <v>27</v>
      </c>
      <c r="N967">
        <v>27</v>
      </c>
      <c r="O967">
        <v>27</v>
      </c>
      <c r="P967">
        <v>1</v>
      </c>
      <c r="Q967">
        <v>0</v>
      </c>
      <c r="R967">
        <v>2</v>
      </c>
      <c r="S967">
        <v>1</v>
      </c>
      <c r="T967">
        <v>0</v>
      </c>
      <c r="U967">
        <v>1</v>
      </c>
      <c r="V967">
        <v>2</v>
      </c>
      <c r="W967">
        <v>1</v>
      </c>
      <c r="X967">
        <v>0</v>
      </c>
      <c r="Y967">
        <v>4</v>
      </c>
      <c r="Z967">
        <v>1</v>
      </c>
      <c r="AA967">
        <v>3</v>
      </c>
      <c r="AB967">
        <v>2</v>
      </c>
      <c r="AC967">
        <v>1</v>
      </c>
      <c r="AD967">
        <v>1</v>
      </c>
      <c r="AE967">
        <v>1</v>
      </c>
      <c r="AF967">
        <v>3</v>
      </c>
      <c r="AG967">
        <v>0</v>
      </c>
      <c r="AH967">
        <v>0</v>
      </c>
      <c r="AI967">
        <v>4</v>
      </c>
      <c r="AJ967">
        <v>0</v>
      </c>
      <c r="AK967">
        <v>2</v>
      </c>
      <c r="AL967">
        <v>1</v>
      </c>
      <c r="AM967">
        <v>0</v>
      </c>
      <c r="AN967">
        <v>1</v>
      </c>
      <c r="AO967">
        <v>2</v>
      </c>
      <c r="AP967">
        <v>1</v>
      </c>
      <c r="AQ967">
        <v>0</v>
      </c>
      <c r="AR967">
        <v>4</v>
      </c>
      <c r="AS967">
        <v>1</v>
      </c>
      <c r="AT967">
        <v>3</v>
      </c>
      <c r="AU967">
        <v>2</v>
      </c>
      <c r="AV967">
        <v>1</v>
      </c>
      <c r="AW967">
        <v>1</v>
      </c>
      <c r="AX967">
        <v>1</v>
      </c>
      <c r="AY967">
        <v>3</v>
      </c>
      <c r="AZ967">
        <v>0</v>
      </c>
      <c r="BA967">
        <v>0</v>
      </c>
      <c r="BB967">
        <v>4</v>
      </c>
      <c r="BC967" s="2">
        <v>0</v>
      </c>
      <c r="BD967" s="2">
        <v>2</v>
      </c>
      <c r="BE967" s="2">
        <v>1</v>
      </c>
      <c r="BF967" s="2">
        <v>0</v>
      </c>
      <c r="BG967" s="2">
        <v>1</v>
      </c>
      <c r="BH967" s="2">
        <v>2</v>
      </c>
      <c r="BI967" s="2">
        <v>1</v>
      </c>
      <c r="BJ967" s="2">
        <v>0</v>
      </c>
      <c r="BK967" s="2">
        <v>4</v>
      </c>
      <c r="BL967" s="2">
        <v>1</v>
      </c>
      <c r="BM967" s="2">
        <v>3</v>
      </c>
      <c r="BN967" s="2">
        <v>2</v>
      </c>
      <c r="BO967" s="2">
        <v>1</v>
      </c>
      <c r="BP967" s="2">
        <v>1</v>
      </c>
      <c r="BQ967" s="2">
        <v>1</v>
      </c>
      <c r="BR967" s="2">
        <v>3</v>
      </c>
      <c r="BS967" s="2">
        <v>0</v>
      </c>
      <c r="BT967" s="2">
        <v>0</v>
      </c>
      <c r="BU967" s="2">
        <v>4</v>
      </c>
      <c r="BV967" s="2">
        <f t="shared" ref="BV967:BV1030" si="65">SUM(BC967:BU967)</f>
        <v>27</v>
      </c>
      <c r="BW967" s="16">
        <f t="shared" si="63"/>
        <v>1.4210526315789473</v>
      </c>
      <c r="BX967" s="16">
        <f>COUNTIF($BC$6:BU967, "=0") / COUNTIF($BC$6:BU967, "&gt;-1")</f>
        <v>0.26479921216763325</v>
      </c>
      <c r="BY967" s="18">
        <f>SUM($BC$6:BU967) / $BY$4</f>
        <v>0.93756519588222997</v>
      </c>
      <c r="BZ967" s="14">
        <f t="shared" si="64"/>
        <v>5</v>
      </c>
      <c r="CA967" t="s">
        <v>5832</v>
      </c>
      <c r="CZ967" t="s">
        <v>8579</v>
      </c>
      <c r="DA967" t="s">
        <v>5904</v>
      </c>
      <c r="DB967">
        <v>1308.9000000000001</v>
      </c>
      <c r="DC967" t="s">
        <v>22075</v>
      </c>
      <c r="DD967" t="s">
        <v>22076</v>
      </c>
      <c r="DE967" t="s">
        <v>22077</v>
      </c>
      <c r="DF967" t="s">
        <v>22078</v>
      </c>
      <c r="DG967" t="s">
        <v>22079</v>
      </c>
      <c r="DH967" t="str">
        <f>"MMRN2"</f>
        <v>MMRN2</v>
      </c>
      <c r="DI967" t="s">
        <v>22080</v>
      </c>
      <c r="DJ967" t="s">
        <v>13777</v>
      </c>
      <c r="DK967">
        <v>9606</v>
      </c>
      <c r="DL967" s="34" t="str">
        <f>HYPERLINK("http://www.uniprot.org/uniprot/Q9H8L6", "Q9H8L6")</f>
        <v>Q9H8L6</v>
      </c>
      <c r="DM967" t="s">
        <v>22081</v>
      </c>
      <c r="DN967" t="s">
        <v>22082</v>
      </c>
      <c r="DO967" t="s">
        <v>13869</v>
      </c>
      <c r="DP967" t="s">
        <v>13793</v>
      </c>
      <c r="DQ967" t="s">
        <v>13772</v>
      </c>
      <c r="DR967" t="s">
        <v>13772</v>
      </c>
      <c r="DS967" t="s">
        <v>16820</v>
      </c>
      <c r="DT967" t="s">
        <v>13772</v>
      </c>
      <c r="DU967" t="s">
        <v>13772</v>
      </c>
      <c r="DV967" t="s">
        <v>13796</v>
      </c>
      <c r="DW967" t="s">
        <v>13772</v>
      </c>
      <c r="DX967" t="s">
        <v>22083</v>
      </c>
      <c r="DY967" t="s">
        <v>22084</v>
      </c>
      <c r="DZ967" t="s">
        <v>13772</v>
      </c>
      <c r="EA967" t="s">
        <v>13772</v>
      </c>
      <c r="EB967" t="s">
        <v>13772</v>
      </c>
    </row>
    <row r="968" spans="1:132" hidden="1">
      <c r="A968">
        <v>1168</v>
      </c>
      <c r="B968">
        <v>1</v>
      </c>
      <c r="C968" t="s">
        <v>2807</v>
      </c>
      <c r="D968" t="s">
        <v>73</v>
      </c>
      <c r="E968" t="s">
        <v>73</v>
      </c>
      <c r="F968" t="s">
        <v>73</v>
      </c>
      <c r="G968" t="s">
        <v>73</v>
      </c>
      <c r="H968">
        <v>35.9</v>
      </c>
      <c r="I968">
        <v>287</v>
      </c>
      <c r="J968">
        <v>30808</v>
      </c>
      <c r="K968" t="s">
        <v>2808</v>
      </c>
      <c r="L968">
        <f t="shared" si="62"/>
        <v>27</v>
      </c>
      <c r="N968">
        <v>27</v>
      </c>
      <c r="O968">
        <v>27</v>
      </c>
      <c r="P968">
        <v>1</v>
      </c>
      <c r="Q968">
        <v>0</v>
      </c>
      <c r="R968">
        <v>1</v>
      </c>
      <c r="S968">
        <v>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5</v>
      </c>
      <c r="Z968">
        <v>0</v>
      </c>
      <c r="AA968">
        <v>6</v>
      </c>
      <c r="AB968">
        <v>1</v>
      </c>
      <c r="AC968">
        <v>3</v>
      </c>
      <c r="AD968">
        <v>3</v>
      </c>
      <c r="AE968">
        <v>0</v>
      </c>
      <c r="AF968">
        <v>0</v>
      </c>
      <c r="AG968">
        <v>0</v>
      </c>
      <c r="AH968">
        <v>2</v>
      </c>
      <c r="AI968">
        <v>1</v>
      </c>
      <c r="AJ968">
        <v>0</v>
      </c>
      <c r="AK968">
        <v>1</v>
      </c>
      <c r="AL968">
        <v>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5</v>
      </c>
      <c r="AS968">
        <v>0</v>
      </c>
      <c r="AT968">
        <v>6</v>
      </c>
      <c r="AU968">
        <v>1</v>
      </c>
      <c r="AV968">
        <v>3</v>
      </c>
      <c r="AW968">
        <v>3</v>
      </c>
      <c r="AX968">
        <v>0</v>
      </c>
      <c r="AY968">
        <v>0</v>
      </c>
      <c r="AZ968">
        <v>0</v>
      </c>
      <c r="BA968">
        <v>2</v>
      </c>
      <c r="BB968">
        <v>1</v>
      </c>
      <c r="BC968" s="2">
        <v>0</v>
      </c>
      <c r="BD968" s="2">
        <v>1</v>
      </c>
      <c r="BE968" s="2">
        <v>5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5</v>
      </c>
      <c r="BL968" s="2">
        <v>0</v>
      </c>
      <c r="BM968" s="2">
        <v>6</v>
      </c>
      <c r="BN968" s="2">
        <v>1</v>
      </c>
      <c r="BO968" s="2">
        <v>3</v>
      </c>
      <c r="BP968" s="2">
        <v>3</v>
      </c>
      <c r="BQ968" s="2">
        <v>0</v>
      </c>
      <c r="BR968" s="2">
        <v>0</v>
      </c>
      <c r="BS968" s="2">
        <v>0</v>
      </c>
      <c r="BT968" s="2">
        <v>2</v>
      </c>
      <c r="BU968" s="2">
        <v>1</v>
      </c>
      <c r="BV968" s="2">
        <f t="shared" si="65"/>
        <v>27</v>
      </c>
      <c r="BW968" s="16">
        <f t="shared" si="63"/>
        <v>1.4210526315789473</v>
      </c>
      <c r="BX968" s="16">
        <f>COUNTIF($BC$6:BU968, "=0") / COUNTIF($BC$6:BU968, "&gt;-1")</f>
        <v>0.26507077663004863</v>
      </c>
      <c r="BY968" s="18">
        <f>SUM($BC$6:BU968) / $BY$4</f>
        <v>0.93768085407768487</v>
      </c>
      <c r="BZ968" s="14">
        <f t="shared" si="64"/>
        <v>10</v>
      </c>
      <c r="CA968" t="s">
        <v>5832</v>
      </c>
      <c r="CZ968" t="s">
        <v>9615</v>
      </c>
      <c r="DA968" t="s">
        <v>5904</v>
      </c>
      <c r="DB968">
        <v>501.5</v>
      </c>
      <c r="DC968" t="s">
        <v>25045</v>
      </c>
      <c r="DD968" t="s">
        <v>25046</v>
      </c>
      <c r="DE968" t="s">
        <v>25047</v>
      </c>
      <c r="DF968" t="s">
        <v>25048</v>
      </c>
      <c r="DG968" t="s">
        <v>25049</v>
      </c>
      <c r="DH968" t="str">
        <f>"UPK3A"</f>
        <v>UPK3A</v>
      </c>
      <c r="DI968" t="s">
        <v>25050</v>
      </c>
      <c r="DJ968" t="s">
        <v>13777</v>
      </c>
      <c r="DK968">
        <v>9606</v>
      </c>
      <c r="DL968" s="34" t="str">
        <f>HYPERLINK("http://www.uniprot.org/uniprot/O75631", "O75631")</f>
        <v>O75631</v>
      </c>
      <c r="DM968" t="s">
        <v>25051</v>
      </c>
      <c r="DN968" t="s">
        <v>13772</v>
      </c>
      <c r="DO968" t="s">
        <v>14714</v>
      </c>
      <c r="DP968" t="s">
        <v>13780</v>
      </c>
      <c r="DQ968" t="s">
        <v>13772</v>
      </c>
      <c r="DR968" t="s">
        <v>13807</v>
      </c>
      <c r="DS968" t="s">
        <v>13855</v>
      </c>
      <c r="DT968" t="s">
        <v>13772</v>
      </c>
      <c r="DU968" t="s">
        <v>13772</v>
      </c>
      <c r="DV968" t="s">
        <v>13858</v>
      </c>
      <c r="DW968" t="s">
        <v>13772</v>
      </c>
      <c r="DX968" t="s">
        <v>25052</v>
      </c>
      <c r="DY968" t="s">
        <v>25053</v>
      </c>
      <c r="DZ968" t="s">
        <v>13772</v>
      </c>
      <c r="EA968" t="s">
        <v>13772</v>
      </c>
      <c r="EB968" t="s">
        <v>13772</v>
      </c>
    </row>
    <row r="969" spans="1:132" hidden="1">
      <c r="A969">
        <v>1236</v>
      </c>
      <c r="B969">
        <v>1</v>
      </c>
      <c r="C969" t="s">
        <v>2968</v>
      </c>
      <c r="D969" t="s">
        <v>73</v>
      </c>
      <c r="E969" t="s">
        <v>73</v>
      </c>
      <c r="F969" t="s">
        <v>73</v>
      </c>
      <c r="G969" t="s">
        <v>73</v>
      </c>
      <c r="H969">
        <v>60.5</v>
      </c>
      <c r="I969">
        <v>129</v>
      </c>
      <c r="J969">
        <v>13597</v>
      </c>
      <c r="K969" t="s">
        <v>2969</v>
      </c>
      <c r="L969">
        <f t="shared" si="62"/>
        <v>27</v>
      </c>
      <c r="N969">
        <v>27</v>
      </c>
      <c r="O969">
        <v>27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19</v>
      </c>
      <c r="Z969">
        <v>0</v>
      </c>
      <c r="AA969">
        <v>7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19</v>
      </c>
      <c r="AS969">
        <v>0</v>
      </c>
      <c r="AT969">
        <v>7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19</v>
      </c>
      <c r="BL969" s="2">
        <v>0</v>
      </c>
      <c r="BM969" s="2">
        <v>7</v>
      </c>
      <c r="BN969" s="2">
        <v>0</v>
      </c>
      <c r="BO969" s="2">
        <v>1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f t="shared" si="65"/>
        <v>27</v>
      </c>
      <c r="BW969" s="16">
        <f t="shared" si="63"/>
        <v>1.4210526315789473</v>
      </c>
      <c r="BX969" s="16">
        <f>COUNTIF($BC$6:BU969, "=0") / COUNTIF($BC$6:BU969, "&gt;-1")</f>
        <v>0.26566936012229747</v>
      </c>
      <c r="BY969" s="18">
        <f>SUM($BC$6:BU969) / $BY$4</f>
        <v>0.93779651227313987</v>
      </c>
      <c r="BZ969" s="14">
        <f t="shared" si="64"/>
        <v>16</v>
      </c>
      <c r="CA969" t="s">
        <v>5832</v>
      </c>
      <c r="CZ969" t="s">
        <v>9850</v>
      </c>
      <c r="DA969" t="s">
        <v>5904</v>
      </c>
      <c r="DB969">
        <v>191.8</v>
      </c>
      <c r="DC969" t="s">
        <v>25704</v>
      </c>
      <c r="DD969" t="s">
        <v>25705</v>
      </c>
      <c r="DE969" t="s">
        <v>25706</v>
      </c>
      <c r="DF969" t="s">
        <v>25707</v>
      </c>
      <c r="DG969" t="s">
        <v>25708</v>
      </c>
      <c r="DH969" t="str">
        <f>"SNCG"</f>
        <v>SNCG</v>
      </c>
      <c r="DI969" t="s">
        <v>25709</v>
      </c>
      <c r="DJ969" t="s">
        <v>13777</v>
      </c>
      <c r="DK969">
        <v>9606</v>
      </c>
      <c r="DL969" s="34" t="str">
        <f>HYPERLINK("http://www.uniprot.org/uniprot/O76070", "O76070")</f>
        <v>O76070</v>
      </c>
      <c r="DM969" t="s">
        <v>25710</v>
      </c>
      <c r="DN969" t="s">
        <v>13772</v>
      </c>
      <c r="DO969" t="s">
        <v>13988</v>
      </c>
      <c r="DP969" t="s">
        <v>13793</v>
      </c>
      <c r="DQ969" t="s">
        <v>13772</v>
      </c>
      <c r="DR969" t="s">
        <v>13772</v>
      </c>
      <c r="DS969" t="s">
        <v>14096</v>
      </c>
      <c r="DT969" t="s">
        <v>13772</v>
      </c>
      <c r="DU969" t="s">
        <v>13772</v>
      </c>
      <c r="DV969" t="s">
        <v>13782</v>
      </c>
      <c r="DW969" t="s">
        <v>13772</v>
      </c>
      <c r="DX969" t="s">
        <v>25711</v>
      </c>
      <c r="DY969" t="s">
        <v>25712</v>
      </c>
      <c r="DZ969" t="s">
        <v>13772</v>
      </c>
      <c r="EA969" t="s">
        <v>13772</v>
      </c>
      <c r="EB969" t="s">
        <v>13772</v>
      </c>
    </row>
    <row r="970" spans="1:132" hidden="1">
      <c r="A970">
        <v>1326</v>
      </c>
      <c r="B970">
        <v>1</v>
      </c>
      <c r="C970" t="s">
        <v>3180</v>
      </c>
      <c r="D970" t="s">
        <v>73</v>
      </c>
      <c r="E970" t="s">
        <v>73</v>
      </c>
      <c r="F970" t="s">
        <v>73</v>
      </c>
      <c r="G970" t="s">
        <v>73</v>
      </c>
      <c r="H970">
        <v>23.3</v>
      </c>
      <c r="I970">
        <v>356</v>
      </c>
      <c r="J970">
        <v>39976</v>
      </c>
      <c r="K970" t="s">
        <v>3181</v>
      </c>
      <c r="L970">
        <f t="shared" si="62"/>
        <v>27</v>
      </c>
      <c r="N970">
        <v>27</v>
      </c>
      <c r="O970">
        <v>27</v>
      </c>
      <c r="P970">
        <v>1</v>
      </c>
      <c r="Q970">
        <v>0</v>
      </c>
      <c r="R970">
        <v>1</v>
      </c>
      <c r="S970">
        <v>0</v>
      </c>
      <c r="T970">
        <v>1</v>
      </c>
      <c r="U970">
        <v>6</v>
      </c>
      <c r="V970">
        <v>4</v>
      </c>
      <c r="W970">
        <v>5</v>
      </c>
      <c r="X970">
        <v>8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6</v>
      </c>
      <c r="AO970">
        <v>4</v>
      </c>
      <c r="AP970">
        <v>5</v>
      </c>
      <c r="AQ970">
        <v>8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 s="2">
        <v>0</v>
      </c>
      <c r="BD970" s="2">
        <v>1</v>
      </c>
      <c r="BE970" s="2">
        <v>0</v>
      </c>
      <c r="BF970" s="2">
        <v>1</v>
      </c>
      <c r="BG970" s="2">
        <v>6</v>
      </c>
      <c r="BH970" s="2">
        <v>4</v>
      </c>
      <c r="BI970" s="2">
        <v>5</v>
      </c>
      <c r="BJ970" s="2">
        <v>8</v>
      </c>
      <c r="BK970" s="2">
        <v>0</v>
      </c>
      <c r="BL970" s="2">
        <v>0</v>
      </c>
      <c r="BM970" s="2">
        <v>1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0</v>
      </c>
      <c r="BT970" s="2">
        <v>0</v>
      </c>
      <c r="BU970" s="2">
        <v>0</v>
      </c>
      <c r="BV970" s="2">
        <f t="shared" si="65"/>
        <v>27</v>
      </c>
      <c r="BW970" s="16">
        <f t="shared" si="63"/>
        <v>1.4210526315789473</v>
      </c>
      <c r="BX970" s="16">
        <f>COUNTIF($BC$6:BU970, "=0") / COUNTIF($BC$6:BU970, "&gt;-1")</f>
        <v>0.26599400054540495</v>
      </c>
      <c r="BY970" s="18">
        <f>SUM($BC$6:BU970) / $BY$4</f>
        <v>0.93791217046859476</v>
      </c>
      <c r="BZ970" s="14">
        <f t="shared" si="64"/>
        <v>11</v>
      </c>
      <c r="CA970" t="s">
        <v>5832</v>
      </c>
      <c r="CZ970" t="s">
        <v>10165</v>
      </c>
      <c r="DA970" t="s">
        <v>5904</v>
      </c>
      <c r="DB970">
        <v>591.29999999999995</v>
      </c>
      <c r="DC970" t="s">
        <v>26607</v>
      </c>
      <c r="DD970" t="s">
        <v>26608</v>
      </c>
      <c r="DE970" t="s">
        <v>26609</v>
      </c>
      <c r="DF970" t="s">
        <v>26610</v>
      </c>
      <c r="DG970" t="s">
        <v>26611</v>
      </c>
      <c r="DH970" t="str">
        <f>"NAAA PLT"</f>
        <v>NAAA PLT</v>
      </c>
      <c r="DI970" t="s">
        <v>13772</v>
      </c>
      <c r="DJ970" t="s">
        <v>13777</v>
      </c>
      <c r="DK970">
        <v>9606</v>
      </c>
      <c r="DL970" s="34" t="str">
        <f>HYPERLINK("http://www.uniprot.org/uniprot/Q02083", "Q02083")</f>
        <v>Q02083</v>
      </c>
      <c r="DM970" t="s">
        <v>26612</v>
      </c>
      <c r="DN970" t="s">
        <v>26613</v>
      </c>
      <c r="DO970" t="s">
        <v>18613</v>
      </c>
      <c r="DP970" t="s">
        <v>13780</v>
      </c>
      <c r="DQ970" t="s">
        <v>13772</v>
      </c>
      <c r="DR970" t="s">
        <v>13772</v>
      </c>
      <c r="DS970" t="s">
        <v>13808</v>
      </c>
      <c r="DT970" t="s">
        <v>13772</v>
      </c>
      <c r="DU970" t="s">
        <v>13857</v>
      </c>
      <c r="DV970" t="s">
        <v>19982</v>
      </c>
      <c r="DW970" t="s">
        <v>13812</v>
      </c>
      <c r="DX970" t="s">
        <v>26614</v>
      </c>
      <c r="DY970" t="s">
        <v>26615</v>
      </c>
      <c r="DZ970" t="s">
        <v>26616</v>
      </c>
      <c r="EA970" t="s">
        <v>26617</v>
      </c>
      <c r="EB970" t="s">
        <v>26618</v>
      </c>
    </row>
    <row r="971" spans="1:132" hidden="1">
      <c r="A971">
        <v>1399</v>
      </c>
      <c r="B971">
        <v>1</v>
      </c>
      <c r="C971" t="s">
        <v>3341</v>
      </c>
      <c r="D971" t="s">
        <v>73</v>
      </c>
      <c r="E971" t="s">
        <v>73</v>
      </c>
      <c r="F971" t="s">
        <v>73</v>
      </c>
      <c r="G971" t="s">
        <v>73</v>
      </c>
      <c r="H971">
        <v>47.9</v>
      </c>
      <c r="I971">
        <v>397</v>
      </c>
      <c r="J971">
        <v>41030</v>
      </c>
      <c r="K971" t="s">
        <v>3342</v>
      </c>
      <c r="L971">
        <f t="shared" si="62"/>
        <v>27</v>
      </c>
      <c r="N971">
        <v>27</v>
      </c>
      <c r="O971">
        <v>27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2</v>
      </c>
      <c r="X971">
        <v>0</v>
      </c>
      <c r="Y971">
        <v>16</v>
      </c>
      <c r="Z971">
        <v>0</v>
      </c>
      <c r="AA971">
        <v>6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2</v>
      </c>
      <c r="AQ971">
        <v>0</v>
      </c>
      <c r="AR971">
        <v>16</v>
      </c>
      <c r="AS971">
        <v>0</v>
      </c>
      <c r="AT971">
        <v>6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1</v>
      </c>
      <c r="BH971" s="2">
        <v>1</v>
      </c>
      <c r="BI971" s="2">
        <v>2</v>
      </c>
      <c r="BJ971" s="2">
        <v>0</v>
      </c>
      <c r="BK971" s="2">
        <v>16</v>
      </c>
      <c r="BL971" s="2">
        <v>0</v>
      </c>
      <c r="BM971" s="2">
        <v>6</v>
      </c>
      <c r="BN971" s="2">
        <v>0</v>
      </c>
      <c r="BO971" s="2">
        <v>1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f t="shared" si="65"/>
        <v>27</v>
      </c>
      <c r="BW971" s="16">
        <f t="shared" si="63"/>
        <v>1.4210526315789473</v>
      </c>
      <c r="BX971" s="16">
        <f>COUNTIF($BC$6:BU971, "=0") / COUNTIF($BC$6:BU971, "&gt;-1")</f>
        <v>0.26642693690748609</v>
      </c>
      <c r="BY971" s="18">
        <f>SUM($BC$6:BU971) / $BY$4</f>
        <v>0.93802782866404966</v>
      </c>
      <c r="BZ971" s="14">
        <f t="shared" si="64"/>
        <v>13</v>
      </c>
      <c r="CA971" t="s">
        <v>5832</v>
      </c>
      <c r="CZ971" t="s">
        <v>10407</v>
      </c>
      <c r="DA971" t="s">
        <v>5904</v>
      </c>
      <c r="DB971">
        <v>723</v>
      </c>
      <c r="DC971" t="s">
        <v>27285</v>
      </c>
      <c r="DD971" t="s">
        <v>27286</v>
      </c>
      <c r="DE971" t="s">
        <v>27287</v>
      </c>
      <c r="DF971" t="s">
        <v>27288</v>
      </c>
      <c r="DG971" t="s">
        <v>27289</v>
      </c>
      <c r="DH971" t="str">
        <f>"ACAT2"</f>
        <v>ACAT2</v>
      </c>
      <c r="DI971" t="s">
        <v>27290</v>
      </c>
      <c r="DJ971" t="s">
        <v>13777</v>
      </c>
      <c r="DK971">
        <v>9606</v>
      </c>
      <c r="DL971" s="34" t="str">
        <f>HYPERLINK("http://www.uniprot.org/uniprot/Q9BWD1", "Q9BWD1")</f>
        <v>Q9BWD1</v>
      </c>
      <c r="DM971" t="s">
        <v>27291</v>
      </c>
      <c r="DN971" t="s">
        <v>13772</v>
      </c>
      <c r="DO971" t="s">
        <v>13899</v>
      </c>
      <c r="DP971" t="s">
        <v>13780</v>
      </c>
      <c r="DQ971" t="s">
        <v>13772</v>
      </c>
      <c r="DR971" t="s">
        <v>13772</v>
      </c>
      <c r="DS971" t="s">
        <v>13772</v>
      </c>
      <c r="DT971" t="s">
        <v>13772</v>
      </c>
      <c r="DU971" t="s">
        <v>15096</v>
      </c>
      <c r="DV971" t="s">
        <v>14020</v>
      </c>
      <c r="DW971" t="s">
        <v>13812</v>
      </c>
      <c r="DX971" t="s">
        <v>27292</v>
      </c>
      <c r="DY971" t="s">
        <v>27293</v>
      </c>
      <c r="DZ971" t="s">
        <v>27294</v>
      </c>
      <c r="EA971" t="s">
        <v>13772</v>
      </c>
      <c r="EB971" t="s">
        <v>27295</v>
      </c>
    </row>
    <row r="972" spans="1:132" hidden="1">
      <c r="A972">
        <v>1425</v>
      </c>
      <c r="B972">
        <v>1</v>
      </c>
      <c r="C972" t="s">
        <v>3397</v>
      </c>
      <c r="D972" t="s">
        <v>73</v>
      </c>
      <c r="E972" t="s">
        <v>73</v>
      </c>
      <c r="F972" t="s">
        <v>73</v>
      </c>
      <c r="G972" t="s">
        <v>73</v>
      </c>
      <c r="H972">
        <v>16.5</v>
      </c>
      <c r="I972">
        <v>538</v>
      </c>
      <c r="J972">
        <v>56743</v>
      </c>
      <c r="K972" t="s">
        <v>3398</v>
      </c>
      <c r="L972">
        <f t="shared" si="62"/>
        <v>27</v>
      </c>
      <c r="N972">
        <v>27</v>
      </c>
      <c r="O972">
        <v>27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6</v>
      </c>
      <c r="AA972">
        <v>2</v>
      </c>
      <c r="AB972">
        <v>0</v>
      </c>
      <c r="AC972">
        <v>1</v>
      </c>
      <c r="AD972">
        <v>4</v>
      </c>
      <c r="AE972">
        <v>2</v>
      </c>
      <c r="AF972">
        <v>0</v>
      </c>
      <c r="AG972">
        <v>3</v>
      </c>
      <c r="AH972">
        <v>5</v>
      </c>
      <c r="AI972">
        <v>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6</v>
      </c>
      <c r="AT972">
        <v>2</v>
      </c>
      <c r="AU972">
        <v>0</v>
      </c>
      <c r="AV972">
        <v>1</v>
      </c>
      <c r="AW972">
        <v>4</v>
      </c>
      <c r="AX972">
        <v>2</v>
      </c>
      <c r="AY972">
        <v>0</v>
      </c>
      <c r="AZ972">
        <v>3</v>
      </c>
      <c r="BA972">
        <v>5</v>
      </c>
      <c r="BB972">
        <v>3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1</v>
      </c>
      <c r="BL972" s="2">
        <v>6</v>
      </c>
      <c r="BM972" s="2">
        <v>2</v>
      </c>
      <c r="BN972" s="2">
        <v>0</v>
      </c>
      <c r="BO972" s="2">
        <v>1</v>
      </c>
      <c r="BP972" s="2">
        <v>4</v>
      </c>
      <c r="BQ972" s="2">
        <v>2</v>
      </c>
      <c r="BR972" s="2">
        <v>0</v>
      </c>
      <c r="BS972" s="2">
        <v>3</v>
      </c>
      <c r="BT972" s="2">
        <v>5</v>
      </c>
      <c r="BU972" s="2">
        <v>3</v>
      </c>
      <c r="BV972" s="2">
        <f t="shared" si="65"/>
        <v>27</v>
      </c>
      <c r="BW972" s="16">
        <f t="shared" si="63"/>
        <v>1.4210526315789473</v>
      </c>
      <c r="BX972" s="16">
        <f>COUNTIF($BC$6:BU972, "=0") / COUNTIF($BC$6:BU972, "&gt;-1")</f>
        <v>0.26669569476949873</v>
      </c>
      <c r="BY972" s="18">
        <f>SUM($BC$6:BU972) / $BY$4</f>
        <v>0.93814348685950455</v>
      </c>
      <c r="BZ972" s="14">
        <f t="shared" si="64"/>
        <v>10</v>
      </c>
      <c r="CA972" t="s">
        <v>5832</v>
      </c>
      <c r="CZ972" t="s">
        <v>10484</v>
      </c>
      <c r="DA972" t="s">
        <v>5900</v>
      </c>
      <c r="DB972">
        <v>391.3</v>
      </c>
      <c r="DC972" t="s">
        <v>27496</v>
      </c>
      <c r="DD972" t="s">
        <v>13772</v>
      </c>
      <c r="DE972" t="s">
        <v>27497</v>
      </c>
      <c r="DF972" t="s">
        <v>27498</v>
      </c>
      <c r="DG972" t="s">
        <v>27499</v>
      </c>
      <c r="DH972" t="str">
        <f>"C1QA"</f>
        <v>C1QA</v>
      </c>
      <c r="DI972" t="s">
        <v>13772</v>
      </c>
      <c r="DJ972" t="s">
        <v>13777</v>
      </c>
      <c r="DK972">
        <v>9606</v>
      </c>
      <c r="DL972" s="34" t="str">
        <f>HYPERLINK("http://www.uniprot.org/uniprot/P02745", "P02745")</f>
        <v>P02745</v>
      </c>
      <c r="DM972" t="s">
        <v>27500</v>
      </c>
      <c r="DN972" t="s">
        <v>25999</v>
      </c>
      <c r="DO972" t="s">
        <v>14321</v>
      </c>
      <c r="DP972" t="s">
        <v>13793</v>
      </c>
      <c r="DQ972" t="s">
        <v>13772</v>
      </c>
      <c r="DR972" t="s">
        <v>13772</v>
      </c>
      <c r="DS972" t="s">
        <v>13872</v>
      </c>
      <c r="DT972" t="s">
        <v>13772</v>
      </c>
      <c r="DU972" t="s">
        <v>13772</v>
      </c>
      <c r="DV972" t="s">
        <v>22002</v>
      </c>
      <c r="DW972" t="s">
        <v>13812</v>
      </c>
      <c r="DX972" t="s">
        <v>27501</v>
      </c>
      <c r="DY972" t="s">
        <v>27502</v>
      </c>
      <c r="DZ972" t="s">
        <v>19821</v>
      </c>
      <c r="EA972" t="s">
        <v>13772</v>
      </c>
      <c r="EB972" t="s">
        <v>20461</v>
      </c>
    </row>
    <row r="973" spans="1:132" hidden="1">
      <c r="A973">
        <v>1455</v>
      </c>
      <c r="B973">
        <v>1</v>
      </c>
      <c r="C973" t="s">
        <v>3464</v>
      </c>
      <c r="D973" t="s">
        <v>73</v>
      </c>
      <c r="E973" t="s">
        <v>73</v>
      </c>
      <c r="F973" t="s">
        <v>1811</v>
      </c>
      <c r="G973" t="s">
        <v>73</v>
      </c>
      <c r="H973">
        <v>3.8</v>
      </c>
      <c r="I973">
        <v>1445</v>
      </c>
      <c r="J973">
        <v>161540</v>
      </c>
      <c r="K973" t="s">
        <v>3465</v>
      </c>
      <c r="L973">
        <f t="shared" si="62"/>
        <v>28</v>
      </c>
      <c r="N973">
        <v>28</v>
      </c>
      <c r="O973">
        <v>27</v>
      </c>
      <c r="P973">
        <v>0.96399999999999997</v>
      </c>
      <c r="Q973">
        <v>1</v>
      </c>
      <c r="R973">
        <v>3</v>
      </c>
      <c r="S973">
        <v>3</v>
      </c>
      <c r="T973">
        <v>5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4</v>
      </c>
      <c r="AB973">
        <v>0</v>
      </c>
      <c r="AC973">
        <v>2</v>
      </c>
      <c r="AD973">
        <v>0</v>
      </c>
      <c r="AE973">
        <v>1</v>
      </c>
      <c r="AF973">
        <v>1</v>
      </c>
      <c r="AG973">
        <v>1</v>
      </c>
      <c r="AH973">
        <v>0</v>
      </c>
      <c r="AI973">
        <v>2</v>
      </c>
      <c r="AJ973">
        <v>1</v>
      </c>
      <c r="AK973">
        <v>3</v>
      </c>
      <c r="AL973">
        <v>3</v>
      </c>
      <c r="AM973">
        <v>5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4</v>
      </c>
      <c r="AU973">
        <v>0</v>
      </c>
      <c r="AV973">
        <v>2</v>
      </c>
      <c r="AW973">
        <v>0</v>
      </c>
      <c r="AX973">
        <v>1</v>
      </c>
      <c r="AY973">
        <v>1</v>
      </c>
      <c r="AZ973">
        <v>1</v>
      </c>
      <c r="BA973">
        <v>0</v>
      </c>
      <c r="BB973">
        <v>2</v>
      </c>
      <c r="BC973" s="2">
        <v>1</v>
      </c>
      <c r="BD973" s="2">
        <v>3</v>
      </c>
      <c r="BE973" s="2">
        <v>3</v>
      </c>
      <c r="BF973" s="2">
        <v>5</v>
      </c>
      <c r="BG973" s="2">
        <v>0</v>
      </c>
      <c r="BH973" s="2">
        <v>1</v>
      </c>
      <c r="BI973" s="2">
        <v>1</v>
      </c>
      <c r="BJ973" s="2">
        <v>1</v>
      </c>
      <c r="BK973" s="2">
        <v>1</v>
      </c>
      <c r="BL973" s="2">
        <v>0</v>
      </c>
      <c r="BM973" s="2">
        <v>4</v>
      </c>
      <c r="BN973" s="2">
        <v>0</v>
      </c>
      <c r="BO973" s="2">
        <v>2</v>
      </c>
      <c r="BP973" s="2">
        <v>0</v>
      </c>
      <c r="BQ973" s="2">
        <v>1</v>
      </c>
      <c r="BR973" s="2">
        <v>1</v>
      </c>
      <c r="BS973" s="2">
        <v>1</v>
      </c>
      <c r="BT973" s="2">
        <v>0</v>
      </c>
      <c r="BU973" s="2">
        <v>2</v>
      </c>
      <c r="BV973" s="2">
        <f t="shared" si="65"/>
        <v>27</v>
      </c>
      <c r="BW973" s="16">
        <f t="shared" si="63"/>
        <v>1.4210526315789473</v>
      </c>
      <c r="BX973" s="16">
        <f>COUNTIF($BC$6:BU973, "=0") / COUNTIF($BC$6:BU973, "&gt;-1")</f>
        <v>0.26669204001739888</v>
      </c>
      <c r="BY973" s="18">
        <f>SUM($BC$6:BU973) / $BY$4</f>
        <v>0.93825914505495944</v>
      </c>
      <c r="BZ973" s="14">
        <f t="shared" si="64"/>
        <v>5</v>
      </c>
      <c r="CA973" t="s">
        <v>5832</v>
      </c>
      <c r="CZ973" t="s">
        <v>10581</v>
      </c>
      <c r="DA973" t="s">
        <v>5904</v>
      </c>
      <c r="DB973">
        <v>2616.6999999999998</v>
      </c>
      <c r="DC973" t="s">
        <v>27766</v>
      </c>
      <c r="DD973" t="s">
        <v>27767</v>
      </c>
      <c r="DE973" t="s">
        <v>27768</v>
      </c>
      <c r="DF973" t="s">
        <v>27769</v>
      </c>
      <c r="DG973" t="s">
        <v>27770</v>
      </c>
      <c r="DH973" t="str">
        <f>"CD109"</f>
        <v>CD109</v>
      </c>
      <c r="DI973" t="s">
        <v>27771</v>
      </c>
      <c r="DJ973" t="s">
        <v>13777</v>
      </c>
      <c r="DK973">
        <v>9606</v>
      </c>
      <c r="DL973" s="34" t="str">
        <f>HYPERLINK("http://www.uniprot.org/uniprot/Q6YHK3", "Q6YHK3")</f>
        <v>Q6YHK3</v>
      </c>
      <c r="DM973" t="s">
        <v>27772</v>
      </c>
      <c r="DN973" t="s">
        <v>13772</v>
      </c>
      <c r="DO973" t="s">
        <v>13792</v>
      </c>
      <c r="DP973" t="s">
        <v>13780</v>
      </c>
      <c r="DQ973" t="s">
        <v>13772</v>
      </c>
      <c r="DR973" t="s">
        <v>13772</v>
      </c>
      <c r="DS973" t="s">
        <v>24628</v>
      </c>
      <c r="DT973" t="s">
        <v>13772</v>
      </c>
      <c r="DU973" t="s">
        <v>14375</v>
      </c>
      <c r="DV973" t="s">
        <v>27773</v>
      </c>
      <c r="DW973" t="s">
        <v>13772</v>
      </c>
      <c r="DX973" t="s">
        <v>27774</v>
      </c>
      <c r="DY973" t="s">
        <v>27775</v>
      </c>
      <c r="DZ973" t="s">
        <v>27776</v>
      </c>
      <c r="EA973" t="s">
        <v>13772</v>
      </c>
      <c r="EB973" t="s">
        <v>27777</v>
      </c>
    </row>
    <row r="974" spans="1:132" hidden="1">
      <c r="A974">
        <v>1564</v>
      </c>
      <c r="B974">
        <v>1</v>
      </c>
      <c r="C974" t="s">
        <v>3707</v>
      </c>
      <c r="D974" t="s">
        <v>73</v>
      </c>
      <c r="E974" t="s">
        <v>73</v>
      </c>
      <c r="F974" t="s">
        <v>73</v>
      </c>
      <c r="G974" t="s">
        <v>73</v>
      </c>
      <c r="H974">
        <v>33.700000000000003</v>
      </c>
      <c r="I974">
        <v>439</v>
      </c>
      <c r="J974">
        <v>47461</v>
      </c>
      <c r="K974" t="s">
        <v>3708</v>
      </c>
      <c r="L974">
        <f t="shared" si="62"/>
        <v>27</v>
      </c>
      <c r="N974">
        <v>27</v>
      </c>
      <c r="O974">
        <v>27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3</v>
      </c>
      <c r="Z974">
        <v>0</v>
      </c>
      <c r="AA974">
        <v>6</v>
      </c>
      <c r="AB974">
        <v>0</v>
      </c>
      <c r="AC974">
        <v>1</v>
      </c>
      <c r="AD974">
        <v>0</v>
      </c>
      <c r="AE974">
        <v>9</v>
      </c>
      <c r="AF974">
        <v>5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0</v>
      </c>
      <c r="AR974">
        <v>3</v>
      </c>
      <c r="AS974">
        <v>0</v>
      </c>
      <c r="AT974">
        <v>6</v>
      </c>
      <c r="AU974">
        <v>0</v>
      </c>
      <c r="AV974">
        <v>1</v>
      </c>
      <c r="AW974">
        <v>0</v>
      </c>
      <c r="AX974">
        <v>9</v>
      </c>
      <c r="AY974">
        <v>5</v>
      </c>
      <c r="AZ974">
        <v>0</v>
      </c>
      <c r="BA974">
        <v>0</v>
      </c>
      <c r="BB974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3</v>
      </c>
      <c r="BL974" s="2">
        <v>0</v>
      </c>
      <c r="BM974" s="2">
        <v>6</v>
      </c>
      <c r="BN974" s="2">
        <v>0</v>
      </c>
      <c r="BO974" s="2">
        <v>1</v>
      </c>
      <c r="BP974" s="2">
        <v>0</v>
      </c>
      <c r="BQ974" s="2">
        <v>9</v>
      </c>
      <c r="BR974" s="2">
        <v>5</v>
      </c>
      <c r="BS974" s="2">
        <v>0</v>
      </c>
      <c r="BT974" s="2">
        <v>0</v>
      </c>
      <c r="BU974" s="2">
        <v>1</v>
      </c>
      <c r="BV974" s="2">
        <f t="shared" si="65"/>
        <v>27</v>
      </c>
      <c r="BW974" s="16">
        <f t="shared" si="63"/>
        <v>1.4210526315789473</v>
      </c>
      <c r="BX974" s="16">
        <f>COUNTIF($BC$6:BU974, "=0") / COUNTIF($BC$6:BU974, "&gt;-1")</f>
        <v>0.26701428493835205</v>
      </c>
      <c r="BY974" s="18">
        <f>SUM($BC$6:BU974) / $BY$4</f>
        <v>0.93837480325041434</v>
      </c>
      <c r="BZ974" s="14">
        <f t="shared" si="64"/>
        <v>11</v>
      </c>
      <c r="CA974" t="s">
        <v>5832</v>
      </c>
      <c r="CZ974" t="s">
        <v>10951</v>
      </c>
      <c r="DA974" t="s">
        <v>5904</v>
      </c>
      <c r="DB974">
        <v>721.5</v>
      </c>
      <c r="DC974" t="s">
        <v>28809</v>
      </c>
      <c r="DD974" t="s">
        <v>28810</v>
      </c>
      <c r="DE974" t="s">
        <v>28811</v>
      </c>
      <c r="DF974" t="s">
        <v>28812</v>
      </c>
      <c r="DG974" t="s">
        <v>28813</v>
      </c>
      <c r="DH974" t="str">
        <f>"SQSTM1"</f>
        <v>SQSTM1</v>
      </c>
      <c r="DI974" t="s">
        <v>28814</v>
      </c>
      <c r="DJ974" t="s">
        <v>13777</v>
      </c>
      <c r="DK974">
        <v>9606</v>
      </c>
      <c r="DL974" s="34" t="str">
        <f>HYPERLINK("http://www.uniprot.org/uniprot/Q13501", "Q13501")</f>
        <v>Q13501</v>
      </c>
      <c r="DM974" t="s">
        <v>28815</v>
      </c>
      <c r="DN974" t="s">
        <v>28816</v>
      </c>
      <c r="DO974" t="s">
        <v>28817</v>
      </c>
      <c r="DP974" t="s">
        <v>13780</v>
      </c>
      <c r="DQ974" t="s">
        <v>13772</v>
      </c>
      <c r="DR974" t="s">
        <v>13989</v>
      </c>
      <c r="DS974" t="s">
        <v>28818</v>
      </c>
      <c r="DT974" t="s">
        <v>13856</v>
      </c>
      <c r="DU974" t="s">
        <v>13772</v>
      </c>
      <c r="DV974" t="s">
        <v>13991</v>
      </c>
      <c r="DW974" t="s">
        <v>13812</v>
      </c>
      <c r="DX974" t="s">
        <v>28819</v>
      </c>
      <c r="DY974" t="s">
        <v>28820</v>
      </c>
      <c r="DZ974" t="s">
        <v>28821</v>
      </c>
      <c r="EA974" t="s">
        <v>13772</v>
      </c>
      <c r="EB974" t="s">
        <v>28822</v>
      </c>
    </row>
    <row r="975" spans="1:132" hidden="1">
      <c r="A975">
        <v>1615</v>
      </c>
      <c r="B975">
        <v>1</v>
      </c>
      <c r="C975" t="s">
        <v>3828</v>
      </c>
      <c r="D975" t="s">
        <v>73</v>
      </c>
      <c r="E975" t="s">
        <v>73</v>
      </c>
      <c r="F975" t="s">
        <v>73</v>
      </c>
      <c r="G975" t="s">
        <v>73</v>
      </c>
      <c r="H975">
        <v>17.2</v>
      </c>
      <c r="I975">
        <v>675</v>
      </c>
      <c r="J975">
        <v>75427</v>
      </c>
      <c r="K975" t="s">
        <v>3829</v>
      </c>
      <c r="L975">
        <f t="shared" si="62"/>
        <v>27</v>
      </c>
      <c r="N975">
        <v>27</v>
      </c>
      <c r="O975">
        <v>27</v>
      </c>
      <c r="P975">
        <v>1</v>
      </c>
      <c r="Q975">
        <v>1</v>
      </c>
      <c r="R975">
        <v>2</v>
      </c>
      <c r="S975">
        <v>1</v>
      </c>
      <c r="T975">
        <v>3</v>
      </c>
      <c r="U975">
        <v>1</v>
      </c>
      <c r="V975">
        <v>8</v>
      </c>
      <c r="W975">
        <v>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8</v>
      </c>
      <c r="AH975">
        <v>0</v>
      </c>
      <c r="AI975">
        <v>0</v>
      </c>
      <c r="AJ975">
        <v>1</v>
      </c>
      <c r="AK975">
        <v>2</v>
      </c>
      <c r="AL975">
        <v>1</v>
      </c>
      <c r="AM975">
        <v>3</v>
      </c>
      <c r="AN975">
        <v>1</v>
      </c>
      <c r="AO975">
        <v>8</v>
      </c>
      <c r="AP975">
        <v>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8</v>
      </c>
      <c r="BA975">
        <v>0</v>
      </c>
      <c r="BB975">
        <v>0</v>
      </c>
      <c r="BC975" s="2">
        <v>1</v>
      </c>
      <c r="BD975" s="2">
        <v>2</v>
      </c>
      <c r="BE975" s="2">
        <v>1</v>
      </c>
      <c r="BF975" s="2">
        <v>3</v>
      </c>
      <c r="BG975" s="2">
        <v>1</v>
      </c>
      <c r="BH975" s="2">
        <v>8</v>
      </c>
      <c r="BI975" s="2">
        <v>3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8</v>
      </c>
      <c r="BT975" s="2">
        <v>0</v>
      </c>
      <c r="BU975" s="2">
        <v>0</v>
      </c>
      <c r="BV975" s="2">
        <f t="shared" si="65"/>
        <v>27</v>
      </c>
      <c r="BW975" s="16">
        <f t="shared" si="63"/>
        <v>1.4210526315789473</v>
      </c>
      <c r="BX975" s="16">
        <f>COUNTIF($BC$6:BU975, "=0") / COUNTIF($BC$6:BU975, "&gt;-1")</f>
        <v>0.26733586543678783</v>
      </c>
      <c r="BY975" s="18">
        <f>SUM($BC$6:BU975) / $BY$4</f>
        <v>0.93849046144586934</v>
      </c>
      <c r="BZ975" s="14">
        <f t="shared" si="64"/>
        <v>11</v>
      </c>
      <c r="CA975" t="s">
        <v>5832</v>
      </c>
      <c r="CZ975" t="s">
        <v>11129</v>
      </c>
      <c r="DA975" t="s">
        <v>5904</v>
      </c>
      <c r="DB975">
        <v>1196.4000000000001</v>
      </c>
      <c r="DC975" t="s">
        <v>29275</v>
      </c>
      <c r="DD975" t="s">
        <v>29276</v>
      </c>
      <c r="DE975" t="s">
        <v>29277</v>
      </c>
      <c r="DF975" t="s">
        <v>29278</v>
      </c>
      <c r="DG975" t="s">
        <v>29279</v>
      </c>
      <c r="DH975" t="str">
        <f>"XPNPEP2"</f>
        <v>XPNPEP2</v>
      </c>
      <c r="DI975" t="s">
        <v>13772</v>
      </c>
      <c r="DJ975" t="s">
        <v>13777</v>
      </c>
      <c r="DK975">
        <v>9606</v>
      </c>
      <c r="DL975" s="34" t="str">
        <f>HYPERLINK("http://www.uniprot.org/uniprot/O43895", "O43895")</f>
        <v>O43895</v>
      </c>
      <c r="DM975" t="s">
        <v>29280</v>
      </c>
      <c r="DN975" t="s">
        <v>13772</v>
      </c>
      <c r="DO975" t="s">
        <v>13792</v>
      </c>
      <c r="DP975" t="s">
        <v>13793</v>
      </c>
      <c r="DQ975" t="s">
        <v>13772</v>
      </c>
      <c r="DR975" t="s">
        <v>13772</v>
      </c>
      <c r="DS975" t="s">
        <v>13808</v>
      </c>
      <c r="DT975" t="s">
        <v>13856</v>
      </c>
      <c r="DU975" t="s">
        <v>19025</v>
      </c>
      <c r="DV975" t="s">
        <v>27905</v>
      </c>
      <c r="DW975" t="s">
        <v>13772</v>
      </c>
      <c r="DX975" t="s">
        <v>13772</v>
      </c>
      <c r="DY975" t="s">
        <v>29281</v>
      </c>
      <c r="DZ975" t="s">
        <v>29282</v>
      </c>
      <c r="EA975" t="s">
        <v>13772</v>
      </c>
      <c r="EB975" t="s">
        <v>16280</v>
      </c>
    </row>
    <row r="976" spans="1:132" hidden="1">
      <c r="A976">
        <v>1631</v>
      </c>
      <c r="B976">
        <v>1</v>
      </c>
      <c r="C976" t="s">
        <v>3866</v>
      </c>
      <c r="D976" t="s">
        <v>3867</v>
      </c>
      <c r="E976" t="s">
        <v>73</v>
      </c>
      <c r="F976" t="s">
        <v>73</v>
      </c>
      <c r="G976" t="s">
        <v>73</v>
      </c>
      <c r="H976">
        <v>24.5</v>
      </c>
      <c r="I976">
        <v>555</v>
      </c>
      <c r="J976">
        <v>63614</v>
      </c>
      <c r="K976" t="s">
        <v>3868</v>
      </c>
      <c r="L976">
        <f t="shared" si="62"/>
        <v>27</v>
      </c>
      <c r="N976">
        <v>27</v>
      </c>
      <c r="O976">
        <v>27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6</v>
      </c>
      <c r="Z976">
        <v>1</v>
      </c>
      <c r="AA976">
        <v>7</v>
      </c>
      <c r="AB976">
        <v>7</v>
      </c>
      <c r="AC976">
        <v>6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6</v>
      </c>
      <c r="AS976">
        <v>1</v>
      </c>
      <c r="AT976">
        <v>7</v>
      </c>
      <c r="AU976">
        <v>7</v>
      </c>
      <c r="AV976">
        <v>6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6</v>
      </c>
      <c r="BL976" s="2">
        <v>1</v>
      </c>
      <c r="BM976" s="2">
        <v>7</v>
      </c>
      <c r="BN976" s="2">
        <v>7</v>
      </c>
      <c r="BO976" s="2">
        <v>6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f t="shared" si="65"/>
        <v>27</v>
      </c>
      <c r="BW976" s="16">
        <f t="shared" si="63"/>
        <v>1.4210526315789473</v>
      </c>
      <c r="BX976" s="16">
        <f>COUNTIF($BC$6:BU976, "=0") / COUNTIF($BC$6:BU976, "&gt;-1")</f>
        <v>0.26781939400509513</v>
      </c>
      <c r="BY976" s="18">
        <f>SUM($BC$6:BU976) / $BY$4</f>
        <v>0.93860611964132423</v>
      </c>
      <c r="BZ976" s="14">
        <f t="shared" si="64"/>
        <v>14</v>
      </c>
      <c r="CA976" t="s">
        <v>5832</v>
      </c>
      <c r="CZ976" t="s">
        <v>11183</v>
      </c>
      <c r="DA976" t="s">
        <v>5904</v>
      </c>
      <c r="DB976">
        <v>1034.2</v>
      </c>
      <c r="DC976" t="s">
        <v>29431</v>
      </c>
      <c r="DD976" t="s">
        <v>13772</v>
      </c>
      <c r="DE976" t="s">
        <v>29432</v>
      </c>
      <c r="DF976" t="s">
        <v>29433</v>
      </c>
      <c r="DG976" t="s">
        <v>29434</v>
      </c>
      <c r="DH976" t="str">
        <f>"G6PD"</f>
        <v>G6PD</v>
      </c>
      <c r="DI976" t="s">
        <v>13772</v>
      </c>
      <c r="DJ976" t="s">
        <v>13777</v>
      </c>
      <c r="DK976">
        <v>9606</v>
      </c>
      <c r="DL976" s="34" t="str">
        <f>HYPERLINK("http://www.uniprot.org/uniprot/P11413", "P11413")</f>
        <v>P11413</v>
      </c>
      <c r="DM976" t="s">
        <v>29435</v>
      </c>
      <c r="DN976" t="s">
        <v>26643</v>
      </c>
      <c r="DO976" t="s">
        <v>13772</v>
      </c>
      <c r="DP976" t="s">
        <v>13780</v>
      </c>
      <c r="DQ976" t="s">
        <v>13772</v>
      </c>
      <c r="DR976" t="s">
        <v>17205</v>
      </c>
      <c r="DS976" t="s">
        <v>13772</v>
      </c>
      <c r="DT976" t="s">
        <v>15759</v>
      </c>
      <c r="DU976" t="s">
        <v>13885</v>
      </c>
      <c r="DV976" t="s">
        <v>13886</v>
      </c>
      <c r="DW976" t="s">
        <v>13812</v>
      </c>
      <c r="DX976" t="s">
        <v>29436</v>
      </c>
      <c r="DY976" t="s">
        <v>29437</v>
      </c>
      <c r="DZ976" t="s">
        <v>29438</v>
      </c>
      <c r="EA976" t="s">
        <v>29439</v>
      </c>
      <c r="EB976" t="s">
        <v>29440</v>
      </c>
    </row>
    <row r="977" spans="1:132" hidden="1">
      <c r="A977">
        <v>1694</v>
      </c>
      <c r="B977">
        <v>1</v>
      </c>
      <c r="C977" t="s">
        <v>4015</v>
      </c>
      <c r="D977" t="s">
        <v>4016</v>
      </c>
      <c r="E977" t="s">
        <v>73</v>
      </c>
      <c r="F977" t="s">
        <v>73</v>
      </c>
      <c r="G977" t="s">
        <v>73</v>
      </c>
      <c r="H977">
        <v>58.4</v>
      </c>
      <c r="I977">
        <v>154</v>
      </c>
      <c r="J977">
        <v>16078</v>
      </c>
      <c r="K977" t="s">
        <v>4017</v>
      </c>
      <c r="L977">
        <f t="shared" si="62"/>
        <v>27</v>
      </c>
      <c r="N977">
        <v>27</v>
      </c>
      <c r="O977">
        <v>27</v>
      </c>
      <c r="P977">
        <v>1</v>
      </c>
      <c r="Q977">
        <v>1</v>
      </c>
      <c r="R977">
        <v>2</v>
      </c>
      <c r="S977">
        <v>1</v>
      </c>
      <c r="T977">
        <v>0</v>
      </c>
      <c r="U977">
        <v>2</v>
      </c>
      <c r="V977">
        <v>0</v>
      </c>
      <c r="W977">
        <v>2</v>
      </c>
      <c r="X977">
        <v>1</v>
      </c>
      <c r="Y977">
        <v>2</v>
      </c>
      <c r="Z977">
        <v>0</v>
      </c>
      <c r="AA977">
        <v>2</v>
      </c>
      <c r="AB977">
        <v>4</v>
      </c>
      <c r="AC977">
        <v>3</v>
      </c>
      <c r="AD977">
        <v>0</v>
      </c>
      <c r="AE977">
        <v>4</v>
      </c>
      <c r="AF977">
        <v>3</v>
      </c>
      <c r="AG977">
        <v>0</v>
      </c>
      <c r="AH977">
        <v>0</v>
      </c>
      <c r="AI977">
        <v>0</v>
      </c>
      <c r="AJ977">
        <v>1</v>
      </c>
      <c r="AK977">
        <v>2</v>
      </c>
      <c r="AL977">
        <v>1</v>
      </c>
      <c r="AM977">
        <v>0</v>
      </c>
      <c r="AN977">
        <v>2</v>
      </c>
      <c r="AO977">
        <v>0</v>
      </c>
      <c r="AP977">
        <v>2</v>
      </c>
      <c r="AQ977">
        <v>1</v>
      </c>
      <c r="AR977">
        <v>2</v>
      </c>
      <c r="AS977">
        <v>0</v>
      </c>
      <c r="AT977">
        <v>2</v>
      </c>
      <c r="AU977">
        <v>4</v>
      </c>
      <c r="AV977">
        <v>3</v>
      </c>
      <c r="AW977">
        <v>0</v>
      </c>
      <c r="AX977">
        <v>4</v>
      </c>
      <c r="AY977">
        <v>3</v>
      </c>
      <c r="AZ977">
        <v>0</v>
      </c>
      <c r="BA977">
        <v>0</v>
      </c>
      <c r="BB977">
        <v>0</v>
      </c>
      <c r="BC977" s="2">
        <v>1</v>
      </c>
      <c r="BD977" s="2">
        <v>2</v>
      </c>
      <c r="BE977" s="2">
        <v>1</v>
      </c>
      <c r="BF977" s="2">
        <v>0</v>
      </c>
      <c r="BG977" s="2">
        <v>2</v>
      </c>
      <c r="BH977" s="2">
        <v>0</v>
      </c>
      <c r="BI977" s="2">
        <v>2</v>
      </c>
      <c r="BJ977" s="2">
        <v>1</v>
      </c>
      <c r="BK977" s="2">
        <v>2</v>
      </c>
      <c r="BL977" s="2">
        <v>0</v>
      </c>
      <c r="BM977" s="2">
        <v>2</v>
      </c>
      <c r="BN977" s="2">
        <v>4</v>
      </c>
      <c r="BO977" s="2">
        <v>3</v>
      </c>
      <c r="BP977" s="2">
        <v>0</v>
      </c>
      <c r="BQ977" s="2">
        <v>4</v>
      </c>
      <c r="BR977" s="2">
        <v>3</v>
      </c>
      <c r="BS977" s="2">
        <v>0</v>
      </c>
      <c r="BT977" s="2">
        <v>0</v>
      </c>
      <c r="BU977" s="2">
        <v>0</v>
      </c>
      <c r="BV977" s="2">
        <f t="shared" si="65"/>
        <v>27</v>
      </c>
      <c r="BW977" s="16">
        <f t="shared" si="63"/>
        <v>1.4210526315789473</v>
      </c>
      <c r="BX977" s="16">
        <f>COUNTIF($BC$6:BU977, "=0") / COUNTIF($BC$6:BU977, "&gt;-1")</f>
        <v>0.26792289365388783</v>
      </c>
      <c r="BY977" s="18">
        <f>SUM($BC$6:BU977) / $BY$4</f>
        <v>0.93872177783677913</v>
      </c>
      <c r="BZ977" s="14">
        <f t="shared" si="64"/>
        <v>7</v>
      </c>
      <c r="CA977" t="s">
        <v>5832</v>
      </c>
      <c r="CZ977" t="s">
        <v>11399</v>
      </c>
      <c r="DA977" t="s">
        <v>5904</v>
      </c>
      <c r="DB977">
        <v>209.5</v>
      </c>
      <c r="DC977" t="s">
        <v>30050</v>
      </c>
      <c r="DD977" t="s">
        <v>30051</v>
      </c>
      <c r="DE977" t="s">
        <v>30052</v>
      </c>
      <c r="DF977" t="s">
        <v>30053</v>
      </c>
      <c r="DG977" t="s">
        <v>30054</v>
      </c>
      <c r="DH977" t="str">
        <f>"CHCHD2"</f>
        <v>CHCHD2</v>
      </c>
      <c r="DI977" t="s">
        <v>30055</v>
      </c>
      <c r="DJ977" t="s">
        <v>13777</v>
      </c>
      <c r="DK977">
        <v>9606</v>
      </c>
      <c r="DL977" s="34" t="str">
        <f>HYPERLINK("http://www.uniprot.org/uniprot/Q9Y6H1", "Q9Y6H1")</f>
        <v>Q9Y6H1</v>
      </c>
      <c r="DM977" t="s">
        <v>30056</v>
      </c>
      <c r="DN977" t="s">
        <v>21135</v>
      </c>
      <c r="DO977" t="s">
        <v>15225</v>
      </c>
      <c r="DP977" t="s">
        <v>13793</v>
      </c>
      <c r="DQ977" t="s">
        <v>13772</v>
      </c>
      <c r="DR977" t="s">
        <v>30057</v>
      </c>
      <c r="DS977" t="s">
        <v>13772</v>
      </c>
      <c r="DT977" t="s">
        <v>13772</v>
      </c>
      <c r="DU977" t="s">
        <v>21754</v>
      </c>
      <c r="DV977" t="s">
        <v>14506</v>
      </c>
      <c r="DW977" t="s">
        <v>13772</v>
      </c>
      <c r="DX977" t="s">
        <v>30058</v>
      </c>
      <c r="DY977" t="s">
        <v>30059</v>
      </c>
      <c r="DZ977" t="s">
        <v>30060</v>
      </c>
      <c r="EA977" t="s">
        <v>13772</v>
      </c>
      <c r="EB977" t="s">
        <v>22416</v>
      </c>
    </row>
    <row r="978" spans="1:132" hidden="1">
      <c r="A978">
        <v>1772</v>
      </c>
      <c r="B978">
        <v>1</v>
      </c>
      <c r="C978" t="s">
        <v>4193</v>
      </c>
      <c r="D978" t="s">
        <v>73</v>
      </c>
      <c r="E978" t="s">
        <v>73</v>
      </c>
      <c r="F978" t="s">
        <v>73</v>
      </c>
      <c r="G978" t="s">
        <v>73</v>
      </c>
      <c r="H978">
        <v>12.2</v>
      </c>
      <c r="I978">
        <v>933</v>
      </c>
      <c r="J978">
        <v>102641</v>
      </c>
      <c r="K978" t="s">
        <v>4194</v>
      </c>
      <c r="L978">
        <f t="shared" si="62"/>
        <v>27</v>
      </c>
      <c r="N978">
        <v>27</v>
      </c>
      <c r="O978">
        <v>27</v>
      </c>
      <c r="P978">
        <v>1</v>
      </c>
      <c r="Q978">
        <v>4</v>
      </c>
      <c r="R978">
        <v>0</v>
      </c>
      <c r="S978">
        <v>1</v>
      </c>
      <c r="T978">
        <v>4</v>
      </c>
      <c r="U978">
        <v>1</v>
      </c>
      <c r="V978">
        <v>2</v>
      </c>
      <c r="W978">
        <v>3</v>
      </c>
      <c r="X978">
        <v>1</v>
      </c>
      <c r="Y978">
        <v>0</v>
      </c>
      <c r="Z978">
        <v>0</v>
      </c>
      <c r="AA978">
        <v>7</v>
      </c>
      <c r="AB978">
        <v>1</v>
      </c>
      <c r="AC978">
        <v>0</v>
      </c>
      <c r="AD978">
        <v>0</v>
      </c>
      <c r="AE978">
        <v>1</v>
      </c>
      <c r="AF978">
        <v>2</v>
      </c>
      <c r="AG978">
        <v>0</v>
      </c>
      <c r="AH978">
        <v>0</v>
      </c>
      <c r="AI978">
        <v>0</v>
      </c>
      <c r="AJ978">
        <v>4</v>
      </c>
      <c r="AK978">
        <v>0</v>
      </c>
      <c r="AL978">
        <v>1</v>
      </c>
      <c r="AM978">
        <v>4</v>
      </c>
      <c r="AN978">
        <v>1</v>
      </c>
      <c r="AO978">
        <v>2</v>
      </c>
      <c r="AP978">
        <v>3</v>
      </c>
      <c r="AQ978">
        <v>1</v>
      </c>
      <c r="AR978">
        <v>0</v>
      </c>
      <c r="AS978">
        <v>0</v>
      </c>
      <c r="AT978">
        <v>7</v>
      </c>
      <c r="AU978">
        <v>1</v>
      </c>
      <c r="AV978">
        <v>0</v>
      </c>
      <c r="AW978">
        <v>0</v>
      </c>
      <c r="AX978">
        <v>1</v>
      </c>
      <c r="AY978">
        <v>2</v>
      </c>
      <c r="AZ978">
        <v>0</v>
      </c>
      <c r="BA978">
        <v>0</v>
      </c>
      <c r="BB978">
        <v>0</v>
      </c>
      <c r="BC978" s="2">
        <v>4</v>
      </c>
      <c r="BD978" s="2">
        <v>0</v>
      </c>
      <c r="BE978" s="2">
        <v>1</v>
      </c>
      <c r="BF978" s="2">
        <v>4</v>
      </c>
      <c r="BG978" s="2">
        <v>1</v>
      </c>
      <c r="BH978" s="2">
        <v>2</v>
      </c>
      <c r="BI978" s="2">
        <v>3</v>
      </c>
      <c r="BJ978" s="2">
        <v>1</v>
      </c>
      <c r="BK978" s="2">
        <v>0</v>
      </c>
      <c r="BL978" s="2">
        <v>0</v>
      </c>
      <c r="BM978" s="2">
        <v>7</v>
      </c>
      <c r="BN978" s="2">
        <v>1</v>
      </c>
      <c r="BO978" s="2">
        <v>0</v>
      </c>
      <c r="BP978" s="2">
        <v>0</v>
      </c>
      <c r="BQ978" s="2">
        <v>1</v>
      </c>
      <c r="BR978" s="2">
        <v>2</v>
      </c>
      <c r="BS978" s="2">
        <v>0</v>
      </c>
      <c r="BT978" s="2">
        <v>0</v>
      </c>
      <c r="BU978" s="2">
        <v>0</v>
      </c>
      <c r="BV978" s="2">
        <f t="shared" si="65"/>
        <v>27</v>
      </c>
      <c r="BW978" s="16">
        <f t="shared" si="63"/>
        <v>1.4210526315789473</v>
      </c>
      <c r="BX978" s="16">
        <f>COUNTIF($BC$6:BU978, "=0") / COUNTIF($BC$6:BU978, "&gt;-1")</f>
        <v>0.26808027262400608</v>
      </c>
      <c r="BY978" s="18">
        <f>SUM($BC$6:BU978) / $BY$4</f>
        <v>0.93883743603223402</v>
      </c>
      <c r="BZ978" s="14">
        <f t="shared" si="64"/>
        <v>8</v>
      </c>
      <c r="CA978" t="s">
        <v>5832</v>
      </c>
      <c r="CZ978" t="s">
        <v>11662</v>
      </c>
      <c r="DA978" t="s">
        <v>5904</v>
      </c>
      <c r="DB978">
        <v>1364.4</v>
      </c>
      <c r="DC978" t="s">
        <v>30813</v>
      </c>
      <c r="DD978" t="s">
        <v>30814</v>
      </c>
      <c r="DE978" t="s">
        <v>30815</v>
      </c>
      <c r="DF978" t="s">
        <v>30816</v>
      </c>
      <c r="DG978" t="s">
        <v>30817</v>
      </c>
      <c r="DH978" t="str">
        <f>"FAM129A"</f>
        <v>FAM129A</v>
      </c>
      <c r="DI978" t="s">
        <v>30818</v>
      </c>
      <c r="DJ978" t="s">
        <v>13777</v>
      </c>
      <c r="DK978">
        <v>9606</v>
      </c>
      <c r="DL978" s="34" t="str">
        <f>HYPERLINK("http://www.uniprot.org/uniprot/Q9BZQ8", "Q9BZQ8")</f>
        <v>Q9BZQ8</v>
      </c>
      <c r="DM978" t="s">
        <v>30819</v>
      </c>
      <c r="DN978" t="s">
        <v>30820</v>
      </c>
      <c r="DO978" t="s">
        <v>15896</v>
      </c>
      <c r="DP978" t="s">
        <v>13793</v>
      </c>
      <c r="DQ978" t="s">
        <v>13772</v>
      </c>
      <c r="DR978" t="s">
        <v>13772</v>
      </c>
      <c r="DS978" t="s">
        <v>13772</v>
      </c>
      <c r="DT978" t="s">
        <v>13772</v>
      </c>
      <c r="DU978" t="s">
        <v>13772</v>
      </c>
      <c r="DV978" t="s">
        <v>21052</v>
      </c>
      <c r="DW978" t="s">
        <v>13772</v>
      </c>
      <c r="DX978" t="s">
        <v>30821</v>
      </c>
      <c r="DY978" t="s">
        <v>30822</v>
      </c>
      <c r="DZ978" t="s">
        <v>13772</v>
      </c>
      <c r="EA978" t="s">
        <v>13772</v>
      </c>
      <c r="EB978" t="s">
        <v>13772</v>
      </c>
    </row>
    <row r="979" spans="1:132" hidden="1">
      <c r="A979">
        <v>1866</v>
      </c>
      <c r="B979">
        <v>1</v>
      </c>
      <c r="C979" t="s">
        <v>4405</v>
      </c>
      <c r="D979" t="s">
        <v>73</v>
      </c>
      <c r="E979" t="s">
        <v>73</v>
      </c>
      <c r="F979" t="s">
        <v>73</v>
      </c>
      <c r="G979" t="s">
        <v>73</v>
      </c>
      <c r="H979">
        <v>17.600000000000001</v>
      </c>
      <c r="I979">
        <v>652</v>
      </c>
      <c r="J979">
        <v>70274</v>
      </c>
      <c r="K979" t="s">
        <v>4406</v>
      </c>
      <c r="L979">
        <f t="shared" si="62"/>
        <v>27</v>
      </c>
      <c r="N979">
        <v>27</v>
      </c>
      <c r="O979">
        <v>27</v>
      </c>
      <c r="P979">
        <v>1</v>
      </c>
      <c r="Q979">
        <v>3</v>
      </c>
      <c r="R979">
        <v>0</v>
      </c>
      <c r="S979">
        <v>0</v>
      </c>
      <c r="T979">
        <v>1</v>
      </c>
      <c r="U979">
        <v>0</v>
      </c>
      <c r="V979">
        <v>3</v>
      </c>
      <c r="W979">
        <v>2</v>
      </c>
      <c r="X979">
        <v>1</v>
      </c>
      <c r="Y979">
        <v>0</v>
      </c>
      <c r="Z979">
        <v>2</v>
      </c>
      <c r="AA979">
        <v>2</v>
      </c>
      <c r="AB979">
        <v>0</v>
      </c>
      <c r="AC979">
        <v>4</v>
      </c>
      <c r="AD979">
        <v>3</v>
      </c>
      <c r="AE979">
        <v>0</v>
      </c>
      <c r="AF979">
        <v>1</v>
      </c>
      <c r="AG979">
        <v>2</v>
      </c>
      <c r="AH979">
        <v>2</v>
      </c>
      <c r="AI979">
        <v>1</v>
      </c>
      <c r="AJ979">
        <v>3</v>
      </c>
      <c r="AK979">
        <v>0</v>
      </c>
      <c r="AL979">
        <v>0</v>
      </c>
      <c r="AM979">
        <v>1</v>
      </c>
      <c r="AN979">
        <v>0</v>
      </c>
      <c r="AO979">
        <v>3</v>
      </c>
      <c r="AP979">
        <v>2</v>
      </c>
      <c r="AQ979">
        <v>1</v>
      </c>
      <c r="AR979">
        <v>0</v>
      </c>
      <c r="AS979">
        <v>2</v>
      </c>
      <c r="AT979">
        <v>2</v>
      </c>
      <c r="AU979">
        <v>0</v>
      </c>
      <c r="AV979">
        <v>4</v>
      </c>
      <c r="AW979">
        <v>3</v>
      </c>
      <c r="AX979">
        <v>0</v>
      </c>
      <c r="AY979">
        <v>1</v>
      </c>
      <c r="AZ979">
        <v>2</v>
      </c>
      <c r="BA979">
        <v>2</v>
      </c>
      <c r="BB979">
        <v>1</v>
      </c>
      <c r="BC979" s="2">
        <v>3</v>
      </c>
      <c r="BD979" s="2">
        <v>0</v>
      </c>
      <c r="BE979" s="2">
        <v>0</v>
      </c>
      <c r="BF979" s="2">
        <v>1</v>
      </c>
      <c r="BG979" s="2">
        <v>0</v>
      </c>
      <c r="BH979" s="2">
        <v>3</v>
      </c>
      <c r="BI979" s="2">
        <v>2</v>
      </c>
      <c r="BJ979" s="2">
        <v>1</v>
      </c>
      <c r="BK979" s="2">
        <v>0</v>
      </c>
      <c r="BL979" s="2">
        <v>2</v>
      </c>
      <c r="BM979" s="2">
        <v>2</v>
      </c>
      <c r="BN979" s="2">
        <v>0</v>
      </c>
      <c r="BO979" s="2">
        <v>4</v>
      </c>
      <c r="BP979" s="2">
        <v>3</v>
      </c>
      <c r="BQ979" s="2">
        <v>0</v>
      </c>
      <c r="BR979" s="2">
        <v>1</v>
      </c>
      <c r="BS979" s="2">
        <v>2</v>
      </c>
      <c r="BT979" s="2">
        <v>2</v>
      </c>
      <c r="BU979" s="2">
        <v>1</v>
      </c>
      <c r="BV979" s="2">
        <f t="shared" si="65"/>
        <v>27</v>
      </c>
      <c r="BW979" s="16">
        <f t="shared" si="63"/>
        <v>1.4210526315789473</v>
      </c>
      <c r="BX979" s="16">
        <f>COUNTIF($BC$6:BU979, "=0") / COUNTIF($BC$6:BU979, "&gt;-1")</f>
        <v>0.26812925537663462</v>
      </c>
      <c r="BY979" s="18">
        <f>SUM($BC$6:BU979) / $BY$4</f>
        <v>0.93895309422768891</v>
      </c>
      <c r="BZ979" s="14">
        <f t="shared" si="64"/>
        <v>6</v>
      </c>
      <c r="CA979" t="s">
        <v>5832</v>
      </c>
      <c r="CZ979" t="s">
        <v>11978</v>
      </c>
      <c r="DA979" t="s">
        <v>5904</v>
      </c>
      <c r="DB979">
        <v>902.1</v>
      </c>
      <c r="DC979" t="s">
        <v>31708</v>
      </c>
      <c r="DD979" t="s">
        <v>13772</v>
      </c>
      <c r="DE979" t="s">
        <v>31709</v>
      </c>
      <c r="DF979" t="s">
        <v>31710</v>
      </c>
      <c r="DG979" t="s">
        <v>31711</v>
      </c>
      <c r="DH979" t="str">
        <f>"IGFALS"</f>
        <v>IGFALS</v>
      </c>
      <c r="DI979" t="s">
        <v>31712</v>
      </c>
      <c r="DJ979" t="s">
        <v>13777</v>
      </c>
      <c r="DK979">
        <v>9606</v>
      </c>
      <c r="DL979" s="34" t="str">
        <f>HYPERLINK("http://www.uniprot.org/uniprot/P35858", "P35858")</f>
        <v>P35858</v>
      </c>
      <c r="DM979" t="s">
        <v>31713</v>
      </c>
      <c r="DN979" t="s">
        <v>13949</v>
      </c>
      <c r="DO979" t="s">
        <v>14321</v>
      </c>
      <c r="DP979" t="s">
        <v>13780</v>
      </c>
      <c r="DQ979" t="s">
        <v>13772</v>
      </c>
      <c r="DR979" t="s">
        <v>13807</v>
      </c>
      <c r="DS979" t="s">
        <v>19328</v>
      </c>
      <c r="DT979" t="s">
        <v>13772</v>
      </c>
      <c r="DU979" t="s">
        <v>13772</v>
      </c>
      <c r="DV979" t="s">
        <v>13858</v>
      </c>
      <c r="DW979" t="s">
        <v>13772</v>
      </c>
      <c r="DX979" t="s">
        <v>31714</v>
      </c>
      <c r="DY979" t="s">
        <v>31715</v>
      </c>
      <c r="DZ979" t="s">
        <v>26012</v>
      </c>
      <c r="EA979" t="s">
        <v>13772</v>
      </c>
      <c r="EB979" t="s">
        <v>23670</v>
      </c>
    </row>
    <row r="980" spans="1:132" hidden="1">
      <c r="A980">
        <v>2102</v>
      </c>
      <c r="B980">
        <v>1</v>
      </c>
      <c r="C980" t="s">
        <v>4935</v>
      </c>
      <c r="D980" t="s">
        <v>4936</v>
      </c>
      <c r="E980" t="s">
        <v>73</v>
      </c>
      <c r="F980" t="s">
        <v>73</v>
      </c>
      <c r="G980" t="s">
        <v>73</v>
      </c>
      <c r="H980">
        <v>20.6</v>
      </c>
      <c r="I980">
        <v>252</v>
      </c>
      <c r="J980">
        <v>28388</v>
      </c>
      <c r="K980" t="s">
        <v>4937</v>
      </c>
      <c r="L980">
        <f t="shared" si="62"/>
        <v>27</v>
      </c>
      <c r="N980">
        <v>27</v>
      </c>
      <c r="O980">
        <v>27</v>
      </c>
      <c r="P980">
        <v>1</v>
      </c>
      <c r="Q980">
        <v>0</v>
      </c>
      <c r="R980">
        <v>4</v>
      </c>
      <c r="S980">
        <v>1</v>
      </c>
      <c r="T980">
        <v>1</v>
      </c>
      <c r="U980">
        <v>7</v>
      </c>
      <c r="V980">
        <v>2</v>
      </c>
      <c r="W980">
        <v>2</v>
      </c>
      <c r="X980">
        <v>0</v>
      </c>
      <c r="Y980">
        <v>3</v>
      </c>
      <c r="Z980">
        <v>0</v>
      </c>
      <c r="AA980">
        <v>3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4</v>
      </c>
      <c r="AL980">
        <v>1</v>
      </c>
      <c r="AM980">
        <v>1</v>
      </c>
      <c r="AN980">
        <v>7</v>
      </c>
      <c r="AO980">
        <v>2</v>
      </c>
      <c r="AP980">
        <v>2</v>
      </c>
      <c r="AQ980">
        <v>0</v>
      </c>
      <c r="AR980">
        <v>3</v>
      </c>
      <c r="AS980">
        <v>0</v>
      </c>
      <c r="AT980">
        <v>3</v>
      </c>
      <c r="AU980">
        <v>0</v>
      </c>
      <c r="AV980">
        <v>1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 s="2">
        <v>0</v>
      </c>
      <c r="BD980" s="2">
        <v>4</v>
      </c>
      <c r="BE980" s="2">
        <v>1</v>
      </c>
      <c r="BF980" s="2">
        <v>1</v>
      </c>
      <c r="BG980" s="2">
        <v>7</v>
      </c>
      <c r="BH980" s="2">
        <v>2</v>
      </c>
      <c r="BI980" s="2">
        <v>2</v>
      </c>
      <c r="BJ980" s="2">
        <v>0</v>
      </c>
      <c r="BK980" s="2">
        <v>3</v>
      </c>
      <c r="BL980" s="2">
        <v>0</v>
      </c>
      <c r="BM980" s="2">
        <v>3</v>
      </c>
      <c r="BN980" s="2">
        <v>0</v>
      </c>
      <c r="BO980" s="2">
        <v>1</v>
      </c>
      <c r="BP980" s="2">
        <v>0</v>
      </c>
      <c r="BQ980" s="2">
        <v>0</v>
      </c>
      <c r="BR980" s="2">
        <v>1</v>
      </c>
      <c r="BS980" s="2">
        <v>1</v>
      </c>
      <c r="BT980" s="2">
        <v>0</v>
      </c>
      <c r="BU980" s="2">
        <v>1</v>
      </c>
      <c r="BV980" s="2">
        <f t="shared" si="65"/>
        <v>27</v>
      </c>
      <c r="BW980" s="16">
        <f t="shared" si="63"/>
        <v>1.4210526315789473</v>
      </c>
      <c r="BX980" s="16">
        <f>COUNTIF($BC$6:BU980, "=0") / COUNTIF($BC$6:BU980, "&gt;-1")</f>
        <v>0.26823211875843456</v>
      </c>
      <c r="BY980" s="18">
        <f>SUM($BC$6:BU980) / $BY$4</f>
        <v>0.93906875242314392</v>
      </c>
      <c r="BZ980" s="14">
        <f t="shared" si="64"/>
        <v>7</v>
      </c>
      <c r="CA980" t="s">
        <v>5832</v>
      </c>
      <c r="CZ980" t="s">
        <v>12757</v>
      </c>
      <c r="DA980" t="s">
        <v>5904</v>
      </c>
      <c r="DB980">
        <v>338.6</v>
      </c>
      <c r="DC980" t="s">
        <v>33897</v>
      </c>
      <c r="DD980" t="s">
        <v>33898</v>
      </c>
      <c r="DE980" t="s">
        <v>33899</v>
      </c>
      <c r="DF980" t="s">
        <v>33900</v>
      </c>
      <c r="DG980" t="s">
        <v>33901</v>
      </c>
      <c r="DH980" t="str">
        <f>"CHMP2A"</f>
        <v>CHMP2A</v>
      </c>
      <c r="DI980" t="s">
        <v>33902</v>
      </c>
      <c r="DJ980" t="s">
        <v>13777</v>
      </c>
      <c r="DK980">
        <v>9606</v>
      </c>
      <c r="DL980" s="34" t="str">
        <f>HYPERLINK("http://www.uniprot.org/uniprot/O43633", "O43633")</f>
        <v>O43633</v>
      </c>
      <c r="DM980" t="s">
        <v>33903</v>
      </c>
      <c r="DN980" t="s">
        <v>14347</v>
      </c>
      <c r="DO980" t="s">
        <v>13779</v>
      </c>
      <c r="DP980" t="s">
        <v>13772</v>
      </c>
      <c r="DQ980" t="s">
        <v>13772</v>
      </c>
      <c r="DR980" t="s">
        <v>13772</v>
      </c>
      <c r="DS980" t="s">
        <v>14245</v>
      </c>
      <c r="DT980" t="s">
        <v>13772</v>
      </c>
      <c r="DU980" t="s">
        <v>13772</v>
      </c>
      <c r="DV980" t="s">
        <v>19111</v>
      </c>
      <c r="DW980" t="s">
        <v>13772</v>
      </c>
      <c r="DX980" t="s">
        <v>33904</v>
      </c>
      <c r="DY980" t="s">
        <v>33905</v>
      </c>
      <c r="DZ980" t="s">
        <v>33906</v>
      </c>
      <c r="EA980" t="s">
        <v>13772</v>
      </c>
      <c r="EB980" t="s">
        <v>33907</v>
      </c>
    </row>
    <row r="981" spans="1:132" hidden="1">
      <c r="A981">
        <v>2221</v>
      </c>
      <c r="B981">
        <v>1</v>
      </c>
      <c r="C981" t="s">
        <v>5194</v>
      </c>
      <c r="D981" t="s">
        <v>5195</v>
      </c>
      <c r="E981" t="s">
        <v>73</v>
      </c>
      <c r="F981" t="s">
        <v>73</v>
      </c>
      <c r="G981" t="s">
        <v>73</v>
      </c>
      <c r="H981">
        <v>30.5</v>
      </c>
      <c r="I981">
        <v>508</v>
      </c>
      <c r="J981">
        <v>56957</v>
      </c>
      <c r="K981" t="s">
        <v>5196</v>
      </c>
      <c r="L981">
        <f t="shared" si="62"/>
        <v>27</v>
      </c>
      <c r="N981">
        <v>27</v>
      </c>
      <c r="O981">
        <v>27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>
        <v>0</v>
      </c>
      <c r="AA981">
        <v>4</v>
      </c>
      <c r="AB981">
        <v>2</v>
      </c>
      <c r="AC981">
        <v>17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4</v>
      </c>
      <c r="AS981">
        <v>0</v>
      </c>
      <c r="AT981">
        <v>4</v>
      </c>
      <c r="AU981">
        <v>2</v>
      </c>
      <c r="AV981">
        <v>17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4</v>
      </c>
      <c r="BL981" s="2">
        <v>0</v>
      </c>
      <c r="BM981" s="2">
        <v>4</v>
      </c>
      <c r="BN981" s="2">
        <v>2</v>
      </c>
      <c r="BO981" s="2">
        <v>17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f t="shared" si="65"/>
        <v>27</v>
      </c>
      <c r="BW981" s="16">
        <f t="shared" si="63"/>
        <v>1.4210526315789473</v>
      </c>
      <c r="BX981" s="16">
        <f>COUNTIF($BC$6:BU981, "=0") / COUNTIF($BC$6:BU981, "&gt;-1")</f>
        <v>0.26876617773943057</v>
      </c>
      <c r="BY981" s="18">
        <f>SUM($BC$6:BU981) / $BY$4</f>
        <v>0.93918441061859881</v>
      </c>
      <c r="BZ981" s="14">
        <f t="shared" si="64"/>
        <v>15</v>
      </c>
      <c r="CA981" t="s">
        <v>5832</v>
      </c>
      <c r="CZ981" t="s">
        <v>13148</v>
      </c>
      <c r="DA981" t="s">
        <v>5904</v>
      </c>
      <c r="DB981">
        <v>1030.4000000000001</v>
      </c>
      <c r="DC981" t="s">
        <v>34972</v>
      </c>
      <c r="DD981" t="s">
        <v>34973</v>
      </c>
      <c r="DE981" t="s">
        <v>34974</v>
      </c>
      <c r="DF981" t="s">
        <v>34975</v>
      </c>
      <c r="DG981" t="s">
        <v>34976</v>
      </c>
      <c r="DH981" t="str">
        <f>"UGP2"</f>
        <v>UGP2</v>
      </c>
      <c r="DI981" t="s">
        <v>34977</v>
      </c>
      <c r="DJ981" t="s">
        <v>13777</v>
      </c>
      <c r="DK981">
        <v>9606</v>
      </c>
      <c r="DL981" s="34" t="str">
        <f>HYPERLINK("http://www.uniprot.org/uniprot/Q16851", "Q16851")</f>
        <v>Q16851</v>
      </c>
      <c r="DM981" t="s">
        <v>34978</v>
      </c>
      <c r="DN981" t="s">
        <v>13772</v>
      </c>
      <c r="DO981" t="s">
        <v>13899</v>
      </c>
      <c r="DP981" t="s">
        <v>13780</v>
      </c>
      <c r="DQ981" t="s">
        <v>13772</v>
      </c>
      <c r="DR981" t="s">
        <v>13772</v>
      </c>
      <c r="DS981" t="s">
        <v>13772</v>
      </c>
      <c r="DT981" t="s">
        <v>14784</v>
      </c>
      <c r="DU981" t="s">
        <v>34979</v>
      </c>
      <c r="DV981" t="s">
        <v>13886</v>
      </c>
      <c r="DW981" t="s">
        <v>13812</v>
      </c>
      <c r="DX981" t="s">
        <v>34980</v>
      </c>
      <c r="DY981" t="s">
        <v>14085</v>
      </c>
      <c r="DZ981" t="s">
        <v>34981</v>
      </c>
      <c r="EA981" t="s">
        <v>13772</v>
      </c>
      <c r="EB981" t="s">
        <v>34982</v>
      </c>
    </row>
    <row r="982" spans="1:132" hidden="1">
      <c r="A982">
        <v>2315</v>
      </c>
      <c r="B982">
        <v>1</v>
      </c>
      <c r="C982" t="s">
        <v>5407</v>
      </c>
      <c r="D982" t="s">
        <v>73</v>
      </c>
      <c r="E982" t="s">
        <v>73</v>
      </c>
      <c r="F982" t="s">
        <v>73</v>
      </c>
      <c r="G982" t="s">
        <v>73</v>
      </c>
      <c r="H982">
        <v>43</v>
      </c>
      <c r="I982">
        <v>265</v>
      </c>
      <c r="J982">
        <v>28772</v>
      </c>
      <c r="K982" t="s">
        <v>5408</v>
      </c>
      <c r="L982">
        <f t="shared" si="62"/>
        <v>27</v>
      </c>
      <c r="N982">
        <v>27</v>
      </c>
      <c r="O982">
        <v>27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6</v>
      </c>
      <c r="Z982">
        <v>0</v>
      </c>
      <c r="AA982">
        <v>5</v>
      </c>
      <c r="AB982">
        <v>1</v>
      </c>
      <c r="AC982">
        <v>6</v>
      </c>
      <c r="AD982">
        <v>0</v>
      </c>
      <c r="AE982">
        <v>3</v>
      </c>
      <c r="AF982">
        <v>6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6</v>
      </c>
      <c r="AS982">
        <v>0</v>
      </c>
      <c r="AT982">
        <v>5</v>
      </c>
      <c r="AU982">
        <v>1</v>
      </c>
      <c r="AV982">
        <v>6</v>
      </c>
      <c r="AW982">
        <v>0</v>
      </c>
      <c r="AX982">
        <v>3</v>
      </c>
      <c r="AY982">
        <v>6</v>
      </c>
      <c r="AZ982">
        <v>0</v>
      </c>
      <c r="BA982">
        <v>0</v>
      </c>
      <c r="BB98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6</v>
      </c>
      <c r="BL982" s="2">
        <v>0</v>
      </c>
      <c r="BM982" s="2">
        <v>5</v>
      </c>
      <c r="BN982" s="2">
        <v>1</v>
      </c>
      <c r="BO982" s="2">
        <v>6</v>
      </c>
      <c r="BP982" s="2">
        <v>0</v>
      </c>
      <c r="BQ982" s="2">
        <v>3</v>
      </c>
      <c r="BR982" s="2">
        <v>6</v>
      </c>
      <c r="BS982" s="2">
        <v>0</v>
      </c>
      <c r="BT982" s="2">
        <v>0</v>
      </c>
      <c r="BU982" s="2">
        <v>0</v>
      </c>
      <c r="BV982" s="2">
        <f t="shared" si="65"/>
        <v>27</v>
      </c>
      <c r="BW982" s="16">
        <f t="shared" si="63"/>
        <v>1.4210526315789473</v>
      </c>
      <c r="BX982" s="16">
        <f>COUNTIF($BC$6:BU982, "=0") / COUNTIF($BC$6:BU982, "&gt;-1")</f>
        <v>0.26919140225179122</v>
      </c>
      <c r="BY982" s="18">
        <f>SUM($BC$6:BU982) / $BY$4</f>
        <v>0.9393000688140537</v>
      </c>
      <c r="BZ982" s="14">
        <f t="shared" si="64"/>
        <v>13</v>
      </c>
      <c r="CA982" t="s">
        <v>5832</v>
      </c>
      <c r="CZ982" t="s">
        <v>13454</v>
      </c>
      <c r="DA982" t="s">
        <v>5904</v>
      </c>
      <c r="DB982">
        <v>411</v>
      </c>
      <c r="DC982" t="s">
        <v>35859</v>
      </c>
      <c r="DD982" t="s">
        <v>35860</v>
      </c>
      <c r="DE982" t="s">
        <v>35861</v>
      </c>
      <c r="DF982" t="s">
        <v>35862</v>
      </c>
      <c r="DG982" t="s">
        <v>35863</v>
      </c>
      <c r="DH982" t="str">
        <f>"CYB5D2"</f>
        <v>CYB5D2</v>
      </c>
      <c r="DI982" t="s">
        <v>13772</v>
      </c>
      <c r="DJ982" t="s">
        <v>13777</v>
      </c>
      <c r="DK982">
        <v>9606</v>
      </c>
      <c r="DL982" s="34" t="str">
        <f>HYPERLINK("http://www.uniprot.org/uniprot/Q8WUJ1", "Q8WUJ1")</f>
        <v>Q8WUJ1</v>
      </c>
      <c r="DM982" t="s">
        <v>35864</v>
      </c>
      <c r="DN982" t="s">
        <v>20100</v>
      </c>
      <c r="DO982" t="s">
        <v>14321</v>
      </c>
      <c r="DP982" t="s">
        <v>13780</v>
      </c>
      <c r="DQ982" t="s">
        <v>13772</v>
      </c>
      <c r="DR982" t="s">
        <v>13772</v>
      </c>
      <c r="DS982" t="s">
        <v>13808</v>
      </c>
      <c r="DT982" t="s">
        <v>13772</v>
      </c>
      <c r="DU982" t="s">
        <v>13772</v>
      </c>
      <c r="DV982" t="s">
        <v>13772</v>
      </c>
      <c r="DW982" t="s">
        <v>13772</v>
      </c>
      <c r="DX982" t="s">
        <v>35865</v>
      </c>
      <c r="DY982" t="s">
        <v>15346</v>
      </c>
      <c r="DZ982" t="s">
        <v>25284</v>
      </c>
      <c r="EA982" t="s">
        <v>13772</v>
      </c>
      <c r="EB982" t="s">
        <v>13772</v>
      </c>
    </row>
    <row r="983" spans="1:132" hidden="1">
      <c r="A983">
        <v>2380</v>
      </c>
      <c r="B983">
        <v>1</v>
      </c>
      <c r="C983" t="s">
        <v>5546</v>
      </c>
      <c r="D983" t="s">
        <v>73</v>
      </c>
      <c r="E983" t="s">
        <v>73</v>
      </c>
      <c r="F983" t="s">
        <v>73</v>
      </c>
      <c r="G983" t="s">
        <v>73</v>
      </c>
      <c r="H983">
        <v>16.399999999999999</v>
      </c>
      <c r="I983">
        <v>268</v>
      </c>
      <c r="J983">
        <v>29991</v>
      </c>
      <c r="K983" t="s">
        <v>5547</v>
      </c>
      <c r="L983">
        <f t="shared" si="62"/>
        <v>27</v>
      </c>
      <c r="N983">
        <v>27</v>
      </c>
      <c r="O983">
        <v>27</v>
      </c>
      <c r="P983">
        <v>1</v>
      </c>
      <c r="Q983">
        <v>1</v>
      </c>
      <c r="R983">
        <v>2</v>
      </c>
      <c r="S983">
        <v>2</v>
      </c>
      <c r="T983">
        <v>7</v>
      </c>
      <c r="U983">
        <v>4</v>
      </c>
      <c r="V983">
        <v>3</v>
      </c>
      <c r="W983">
        <v>4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2</v>
      </c>
      <c r="AL983">
        <v>2</v>
      </c>
      <c r="AM983">
        <v>7</v>
      </c>
      <c r="AN983">
        <v>4</v>
      </c>
      <c r="AO983">
        <v>3</v>
      </c>
      <c r="AP983">
        <v>4</v>
      </c>
      <c r="AQ983">
        <v>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 s="2">
        <v>1</v>
      </c>
      <c r="BD983" s="2">
        <v>2</v>
      </c>
      <c r="BE983" s="2">
        <v>2</v>
      </c>
      <c r="BF983" s="2">
        <v>7</v>
      </c>
      <c r="BG983" s="2">
        <v>4</v>
      </c>
      <c r="BH983" s="2">
        <v>3</v>
      </c>
      <c r="BI983" s="2">
        <v>4</v>
      </c>
      <c r="BJ983" s="2">
        <v>2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1</v>
      </c>
      <c r="BT983" s="2">
        <v>1</v>
      </c>
      <c r="BU983" s="2">
        <v>0</v>
      </c>
      <c r="BV983" s="2">
        <f t="shared" si="65"/>
        <v>27</v>
      </c>
      <c r="BW983" s="16">
        <f t="shared" si="63"/>
        <v>1.4210526315789473</v>
      </c>
      <c r="BX983" s="16">
        <f>COUNTIF($BC$6:BU983, "=0") / COUNTIF($BC$6:BU983, "&gt;-1")</f>
        <v>0.26940049510278763</v>
      </c>
      <c r="BY983" s="18">
        <f>SUM($BC$6:BU983) / $BY$4</f>
        <v>0.93941572700950859</v>
      </c>
      <c r="BZ983" s="14">
        <f t="shared" si="64"/>
        <v>9</v>
      </c>
      <c r="CA983" t="s">
        <v>5832</v>
      </c>
      <c r="CZ983" t="s">
        <v>13655</v>
      </c>
      <c r="DA983" t="s">
        <v>5904</v>
      </c>
      <c r="DB983">
        <v>216.5</v>
      </c>
      <c r="DC983" t="s">
        <v>36397</v>
      </c>
      <c r="DD983" t="s">
        <v>36398</v>
      </c>
      <c r="DE983" t="s">
        <v>36399</v>
      </c>
      <c r="DF983" t="s">
        <v>36400</v>
      </c>
      <c r="DG983" t="s">
        <v>36401</v>
      </c>
      <c r="DH983" t="str">
        <f>"CD300LB"</f>
        <v>CD300LB</v>
      </c>
      <c r="DI983" t="s">
        <v>36402</v>
      </c>
      <c r="DJ983" t="s">
        <v>13777</v>
      </c>
      <c r="DK983">
        <v>9606</v>
      </c>
      <c r="DL983" s="34" t="str">
        <f>HYPERLINK("http://www.uniprot.org/uniprot/A8K4G0", "A8K4G0")</f>
        <v>A8K4G0</v>
      </c>
      <c r="DM983" t="s">
        <v>36403</v>
      </c>
      <c r="DN983" t="s">
        <v>13791</v>
      </c>
      <c r="DO983" t="s">
        <v>13792</v>
      </c>
      <c r="DP983" t="s">
        <v>13772</v>
      </c>
      <c r="DQ983" t="s">
        <v>13772</v>
      </c>
      <c r="DR983" t="s">
        <v>13772</v>
      </c>
      <c r="DS983" t="s">
        <v>13794</v>
      </c>
      <c r="DT983" t="s">
        <v>13772</v>
      </c>
      <c r="DU983" t="s">
        <v>13795</v>
      </c>
      <c r="DV983" t="s">
        <v>15554</v>
      </c>
      <c r="DW983" t="s">
        <v>13772</v>
      </c>
      <c r="DX983" t="s">
        <v>36404</v>
      </c>
      <c r="DY983" t="s">
        <v>13798</v>
      </c>
      <c r="DZ983" t="s">
        <v>13772</v>
      </c>
      <c r="EA983" t="s">
        <v>13772</v>
      </c>
      <c r="EB983" t="s">
        <v>36405</v>
      </c>
    </row>
    <row r="984" spans="1:132" hidden="1">
      <c r="A984">
        <v>1670</v>
      </c>
      <c r="B984">
        <v>1</v>
      </c>
      <c r="C984" t="s">
        <v>3958</v>
      </c>
      <c r="D984" t="s">
        <v>3959</v>
      </c>
      <c r="E984" t="s">
        <v>73</v>
      </c>
      <c r="F984" t="s">
        <v>3140</v>
      </c>
      <c r="G984" t="s">
        <v>73</v>
      </c>
      <c r="H984">
        <v>39.6</v>
      </c>
      <c r="I984">
        <v>298</v>
      </c>
      <c r="J984">
        <v>32878</v>
      </c>
      <c r="K984" t="s">
        <v>3960</v>
      </c>
      <c r="L984">
        <f t="shared" si="62"/>
        <v>47</v>
      </c>
      <c r="N984">
        <v>47</v>
      </c>
      <c r="O984">
        <v>13</v>
      </c>
      <c r="P984">
        <v>0.27700000000000002</v>
      </c>
      <c r="Q984">
        <v>1</v>
      </c>
      <c r="R984">
        <v>5</v>
      </c>
      <c r="S984">
        <v>1</v>
      </c>
      <c r="T984">
        <v>2</v>
      </c>
      <c r="U984">
        <v>4</v>
      </c>
      <c r="V984">
        <v>1</v>
      </c>
      <c r="W984">
        <v>0</v>
      </c>
      <c r="X984">
        <v>4</v>
      </c>
      <c r="Y984">
        <v>1</v>
      </c>
      <c r="Z984">
        <v>0</v>
      </c>
      <c r="AA984">
        <v>8</v>
      </c>
      <c r="AB984">
        <v>7</v>
      </c>
      <c r="AC984">
        <v>5</v>
      </c>
      <c r="AD984">
        <v>1</v>
      </c>
      <c r="AE984">
        <v>2</v>
      </c>
      <c r="AF984">
        <v>3</v>
      </c>
      <c r="AG984">
        <v>2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2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1</v>
      </c>
      <c r="AX984">
        <v>2</v>
      </c>
      <c r="AY984">
        <v>1</v>
      </c>
      <c r="AZ984">
        <v>1</v>
      </c>
      <c r="BA984">
        <v>0</v>
      </c>
      <c r="BB984">
        <v>0</v>
      </c>
      <c r="BC984" s="2">
        <v>0.33300000000000002</v>
      </c>
      <c r="BD984" s="2">
        <v>1.9330000000000001</v>
      </c>
      <c r="BE984" s="2">
        <v>0.33300000000000002</v>
      </c>
      <c r="BF984" s="2">
        <v>0.66700000000000004</v>
      </c>
      <c r="BG984" s="2">
        <v>1.833</v>
      </c>
      <c r="BH984" s="2">
        <v>0</v>
      </c>
      <c r="BI984" s="2">
        <v>0</v>
      </c>
      <c r="BJ984" s="2">
        <v>3.3330000000000002</v>
      </c>
      <c r="BK984" s="2">
        <v>1</v>
      </c>
      <c r="BL984" s="2">
        <v>0</v>
      </c>
      <c r="BM984" s="2">
        <v>3.3330000000000002</v>
      </c>
      <c r="BN984" s="2">
        <v>3</v>
      </c>
      <c r="BO984" s="2">
        <v>5</v>
      </c>
      <c r="BP984" s="2">
        <v>1</v>
      </c>
      <c r="BQ984" s="2">
        <v>2</v>
      </c>
      <c r="BR984" s="2">
        <v>1.667</v>
      </c>
      <c r="BS984" s="2">
        <v>1.5</v>
      </c>
      <c r="BT984" s="2">
        <v>0</v>
      </c>
      <c r="BU984" s="2">
        <v>0</v>
      </c>
      <c r="BV984" s="2">
        <f t="shared" si="65"/>
        <v>26.932000000000002</v>
      </c>
      <c r="BW984" s="16">
        <f t="shared" si="63"/>
        <v>1.4174736842105264</v>
      </c>
      <c r="BX984" s="16">
        <f>COUNTIF($BC$6:BU984, "=0") / COUNTIF($BC$6:BU984, "&gt;-1")</f>
        <v>0.26939411859577445</v>
      </c>
      <c r="BY984" s="18">
        <f>SUM($BC$6:BU984) / $BY$4</f>
        <v>0.93953109391765655</v>
      </c>
      <c r="BZ984" s="14">
        <f t="shared" si="64"/>
        <v>5</v>
      </c>
      <c r="CA984" t="s">
        <v>5832</v>
      </c>
      <c r="CZ984" t="s">
        <v>11316</v>
      </c>
      <c r="DA984" t="s">
        <v>5904</v>
      </c>
      <c r="DB984">
        <v>603.6</v>
      </c>
      <c r="DC984" t="s">
        <v>29819</v>
      </c>
      <c r="DD984" t="s">
        <v>29820</v>
      </c>
      <c r="DE984" t="s">
        <v>29821</v>
      </c>
      <c r="DF984" t="s">
        <v>29822</v>
      </c>
      <c r="DG984" t="s">
        <v>29823</v>
      </c>
      <c r="DH984" t="str">
        <f>"SLC25A6"</f>
        <v>SLC25A6</v>
      </c>
      <c r="DI984" t="s">
        <v>29824</v>
      </c>
      <c r="DJ984" t="s">
        <v>13777</v>
      </c>
      <c r="DK984">
        <v>9606</v>
      </c>
      <c r="DL984" s="34" t="str">
        <f>HYPERLINK("http://www.uniprot.org/uniprot/P12236", "P12236")</f>
        <v>P12236</v>
      </c>
      <c r="DM984" t="s">
        <v>29825</v>
      </c>
      <c r="DN984" t="s">
        <v>29826</v>
      </c>
      <c r="DO984" t="s">
        <v>15507</v>
      </c>
      <c r="DP984" t="s">
        <v>13793</v>
      </c>
      <c r="DQ984" t="s">
        <v>13772</v>
      </c>
      <c r="DR984" t="s">
        <v>13772</v>
      </c>
      <c r="DS984" t="s">
        <v>16604</v>
      </c>
      <c r="DT984" t="s">
        <v>13772</v>
      </c>
      <c r="DU984" t="s">
        <v>13772</v>
      </c>
      <c r="DV984" t="s">
        <v>14577</v>
      </c>
      <c r="DW984" t="s">
        <v>13772</v>
      </c>
      <c r="DX984" t="s">
        <v>29827</v>
      </c>
      <c r="DY984" t="s">
        <v>29828</v>
      </c>
      <c r="DZ984" t="s">
        <v>29829</v>
      </c>
      <c r="EA984" t="s">
        <v>13772</v>
      </c>
      <c r="EB984" t="s">
        <v>29830</v>
      </c>
    </row>
    <row r="985" spans="1:132" hidden="1">
      <c r="A985">
        <v>2111</v>
      </c>
      <c r="B985">
        <v>1</v>
      </c>
      <c r="C985" t="s">
        <v>4956</v>
      </c>
      <c r="D985" t="s">
        <v>73</v>
      </c>
      <c r="E985" t="s">
        <v>73</v>
      </c>
      <c r="F985" t="s">
        <v>4726</v>
      </c>
      <c r="G985" t="s">
        <v>73</v>
      </c>
      <c r="H985">
        <v>23.7</v>
      </c>
      <c r="I985">
        <v>438</v>
      </c>
      <c r="J985">
        <v>47504</v>
      </c>
      <c r="K985" t="s">
        <v>4957</v>
      </c>
      <c r="L985">
        <f t="shared" si="62"/>
        <v>34</v>
      </c>
      <c r="N985">
        <v>34</v>
      </c>
      <c r="O985">
        <v>24</v>
      </c>
      <c r="P985">
        <v>0.70599999999999996</v>
      </c>
      <c r="Q985">
        <v>1</v>
      </c>
      <c r="R985">
        <v>2</v>
      </c>
      <c r="S985">
        <v>1</v>
      </c>
      <c r="T985">
        <v>2</v>
      </c>
      <c r="U985">
        <v>2</v>
      </c>
      <c r="V985">
        <v>3</v>
      </c>
      <c r="W985">
        <v>4</v>
      </c>
      <c r="X985">
        <v>0</v>
      </c>
      <c r="Y985">
        <v>2</v>
      </c>
      <c r="Z985">
        <v>0</v>
      </c>
      <c r="AA985">
        <v>1</v>
      </c>
      <c r="AB985">
        <v>1</v>
      </c>
      <c r="AC985">
        <v>8</v>
      </c>
      <c r="AD985">
        <v>0</v>
      </c>
      <c r="AE985">
        <v>1</v>
      </c>
      <c r="AF985">
        <v>4</v>
      </c>
      <c r="AG985">
        <v>2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4</v>
      </c>
      <c r="AQ985">
        <v>0</v>
      </c>
      <c r="AR985">
        <v>2</v>
      </c>
      <c r="AS985">
        <v>0</v>
      </c>
      <c r="AT985">
        <v>1</v>
      </c>
      <c r="AU985">
        <v>1</v>
      </c>
      <c r="AV985">
        <v>8</v>
      </c>
      <c r="AW985">
        <v>0</v>
      </c>
      <c r="AX985">
        <v>1</v>
      </c>
      <c r="AY985">
        <v>3</v>
      </c>
      <c r="AZ985">
        <v>2</v>
      </c>
      <c r="BA985">
        <v>0</v>
      </c>
      <c r="BB985">
        <v>0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3</v>
      </c>
      <c r="BI985" s="2">
        <v>4</v>
      </c>
      <c r="BJ985" s="2">
        <v>0</v>
      </c>
      <c r="BK985" s="2">
        <v>2</v>
      </c>
      <c r="BL985" s="2">
        <v>0</v>
      </c>
      <c r="BM985" s="2">
        <v>1</v>
      </c>
      <c r="BN985" s="2">
        <v>1</v>
      </c>
      <c r="BO985" s="2">
        <v>8</v>
      </c>
      <c r="BP985" s="2">
        <v>0</v>
      </c>
      <c r="BQ985" s="2">
        <v>1</v>
      </c>
      <c r="BR985" s="2">
        <v>3.6</v>
      </c>
      <c r="BS985" s="2">
        <v>2</v>
      </c>
      <c r="BT985" s="2">
        <v>0</v>
      </c>
      <c r="BU985" s="2">
        <v>0</v>
      </c>
      <c r="BV985" s="2">
        <f t="shared" si="65"/>
        <v>26.6</v>
      </c>
      <c r="BW985" s="16">
        <f t="shared" si="63"/>
        <v>1.4000000000000001</v>
      </c>
      <c r="BX985" s="16">
        <f>COUNTIF($BC$6:BU985, "=0") / COUNTIF($BC$6:BU985, "&gt;-1")</f>
        <v>0.26960257787325459</v>
      </c>
      <c r="BY985" s="18">
        <f>SUM($BC$6:BU985) / $BY$4</f>
        <v>0.93964503865836402</v>
      </c>
      <c r="BZ985" s="14">
        <f t="shared" si="64"/>
        <v>9</v>
      </c>
      <c r="CA985" t="s">
        <v>5832</v>
      </c>
      <c r="CZ985" t="s">
        <v>12446</v>
      </c>
      <c r="DA985" t="s">
        <v>5904</v>
      </c>
      <c r="DB985">
        <v>552.4</v>
      </c>
      <c r="DC985" t="s">
        <v>33028</v>
      </c>
      <c r="DD985" t="s">
        <v>33029</v>
      </c>
      <c r="DE985" t="s">
        <v>33030</v>
      </c>
      <c r="DF985" t="s">
        <v>33031</v>
      </c>
      <c r="DG985" t="s">
        <v>33032</v>
      </c>
      <c r="DH985" t="str">
        <f>"CEACAM1"</f>
        <v>CEACAM1</v>
      </c>
      <c r="DI985" t="s">
        <v>13772</v>
      </c>
      <c r="DJ985" t="s">
        <v>13777</v>
      </c>
      <c r="DK985">
        <v>9606</v>
      </c>
      <c r="DL985" s="34" t="str">
        <f>HYPERLINK("http://www.uniprot.org/uniprot/P13688", "P13688")</f>
        <v>P13688</v>
      </c>
      <c r="DM985" t="s">
        <v>33033</v>
      </c>
      <c r="DN985" t="s">
        <v>13772</v>
      </c>
      <c r="DO985" t="s">
        <v>33034</v>
      </c>
      <c r="DP985" t="s">
        <v>13780</v>
      </c>
      <c r="DQ985" t="s">
        <v>13772</v>
      </c>
      <c r="DR985" t="s">
        <v>13772</v>
      </c>
      <c r="DS985" t="s">
        <v>13951</v>
      </c>
      <c r="DT985" t="s">
        <v>13772</v>
      </c>
      <c r="DU985" t="s">
        <v>13772</v>
      </c>
      <c r="DV985" t="s">
        <v>22482</v>
      </c>
      <c r="DW985" t="s">
        <v>13812</v>
      </c>
      <c r="DX985" t="s">
        <v>33035</v>
      </c>
      <c r="DY985" t="s">
        <v>33036</v>
      </c>
      <c r="DZ985" t="s">
        <v>33037</v>
      </c>
      <c r="EA985" t="s">
        <v>13772</v>
      </c>
      <c r="EB985" t="s">
        <v>33038</v>
      </c>
    </row>
    <row r="986" spans="1:132" hidden="1">
      <c r="A986">
        <v>1538</v>
      </c>
      <c r="B986">
        <v>1</v>
      </c>
      <c r="C986" t="s">
        <v>3651</v>
      </c>
      <c r="D986" t="s">
        <v>3652</v>
      </c>
      <c r="E986" t="s">
        <v>73</v>
      </c>
      <c r="F986" t="s">
        <v>3004</v>
      </c>
      <c r="G986" t="s">
        <v>73</v>
      </c>
      <c r="H986">
        <v>25.2</v>
      </c>
      <c r="I986">
        <v>361</v>
      </c>
      <c r="J986">
        <v>38903</v>
      </c>
      <c r="K986" t="s">
        <v>3653</v>
      </c>
      <c r="L986">
        <f t="shared" si="62"/>
        <v>31</v>
      </c>
      <c r="N986">
        <v>31</v>
      </c>
      <c r="O986">
        <v>22</v>
      </c>
      <c r="P986">
        <v>0.71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7</v>
      </c>
      <c r="Z986">
        <v>0</v>
      </c>
      <c r="AA986">
        <v>4</v>
      </c>
      <c r="AB986">
        <v>7</v>
      </c>
      <c r="AC986">
        <v>3</v>
      </c>
      <c r="AD986">
        <v>0</v>
      </c>
      <c r="AE986">
        <v>6</v>
      </c>
      <c r="AF986">
        <v>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6</v>
      </c>
      <c r="AS986">
        <v>0</v>
      </c>
      <c r="AT986">
        <v>3</v>
      </c>
      <c r="AU986">
        <v>5</v>
      </c>
      <c r="AV986">
        <v>1</v>
      </c>
      <c r="AW986">
        <v>0</v>
      </c>
      <c r="AX986">
        <v>3</v>
      </c>
      <c r="AY986">
        <v>3</v>
      </c>
      <c r="AZ986">
        <v>0</v>
      </c>
      <c r="BA986">
        <v>0</v>
      </c>
      <c r="BB986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6.6</v>
      </c>
      <c r="BL986" s="2">
        <v>0</v>
      </c>
      <c r="BM986" s="2">
        <v>3.6</v>
      </c>
      <c r="BN986" s="2">
        <v>6</v>
      </c>
      <c r="BO986" s="2">
        <v>1.667</v>
      </c>
      <c r="BP986" s="2">
        <v>0</v>
      </c>
      <c r="BQ986" s="2">
        <v>4.5</v>
      </c>
      <c r="BR986" s="2">
        <v>3</v>
      </c>
      <c r="BS986" s="2">
        <v>0</v>
      </c>
      <c r="BT986" s="2">
        <v>0</v>
      </c>
      <c r="BU986" s="2">
        <v>0</v>
      </c>
      <c r="BV986" s="2">
        <f t="shared" si="65"/>
        <v>26.367000000000001</v>
      </c>
      <c r="BW986" s="16">
        <f t="shared" si="63"/>
        <v>1.3877368421052632</v>
      </c>
      <c r="BX986" s="16">
        <f>COUNTIF($BC$6:BU986, "=0") / COUNTIF($BC$6:BU986, "&gt;-1")</f>
        <v>0.26997156499812219</v>
      </c>
      <c r="BY986" s="18">
        <f>SUM($BC$6:BU986) / $BY$4</f>
        <v>0.93975798531168109</v>
      </c>
      <c r="BZ986" s="14">
        <f t="shared" si="64"/>
        <v>12</v>
      </c>
      <c r="CA986" t="s">
        <v>5832</v>
      </c>
      <c r="CZ986" t="s">
        <v>10863</v>
      </c>
      <c r="DA986" t="s">
        <v>5904</v>
      </c>
      <c r="DB986">
        <v>626.29999999999995</v>
      </c>
      <c r="DC986" t="s">
        <v>28553</v>
      </c>
      <c r="DD986" t="s">
        <v>28554</v>
      </c>
      <c r="DE986" t="s">
        <v>28555</v>
      </c>
      <c r="DF986" t="s">
        <v>28556</v>
      </c>
      <c r="DG986" t="s">
        <v>28557</v>
      </c>
      <c r="DH986" t="str">
        <f>"HNRNPAB"</f>
        <v>HNRNPAB</v>
      </c>
      <c r="DI986" t="s">
        <v>28558</v>
      </c>
      <c r="DJ986" t="s">
        <v>13777</v>
      </c>
      <c r="DK986">
        <v>9606</v>
      </c>
      <c r="DL986" s="34" t="str">
        <f>HYPERLINK("http://www.uniprot.org/uniprot/Q99729", "Q99729")</f>
        <v>Q99729</v>
      </c>
      <c r="DM986" t="s">
        <v>20632</v>
      </c>
      <c r="DN986" t="s">
        <v>13772</v>
      </c>
      <c r="DO986" t="s">
        <v>13912</v>
      </c>
      <c r="DP986" t="s">
        <v>13841</v>
      </c>
      <c r="DQ986" t="s">
        <v>13772</v>
      </c>
      <c r="DR986" t="s">
        <v>13772</v>
      </c>
      <c r="DS986" t="s">
        <v>14096</v>
      </c>
      <c r="DT986" t="s">
        <v>13772</v>
      </c>
      <c r="DU986" t="s">
        <v>14826</v>
      </c>
      <c r="DV986" t="s">
        <v>14663</v>
      </c>
      <c r="DW986" t="s">
        <v>13812</v>
      </c>
      <c r="DX986" t="s">
        <v>28559</v>
      </c>
      <c r="DY986" t="s">
        <v>28560</v>
      </c>
      <c r="DZ986" t="s">
        <v>28561</v>
      </c>
      <c r="EA986" t="s">
        <v>13772</v>
      </c>
      <c r="EB986" t="s">
        <v>13772</v>
      </c>
    </row>
    <row r="987" spans="1:132" hidden="1">
      <c r="A987">
        <v>1809</v>
      </c>
      <c r="B987">
        <v>1</v>
      </c>
      <c r="C987" t="s">
        <v>4277</v>
      </c>
      <c r="D987" t="s">
        <v>73</v>
      </c>
      <c r="E987" t="s">
        <v>73</v>
      </c>
      <c r="F987" t="s">
        <v>4020</v>
      </c>
      <c r="G987" t="s">
        <v>73</v>
      </c>
      <c r="H987">
        <v>25.3</v>
      </c>
      <c r="I987">
        <v>269</v>
      </c>
      <c r="J987">
        <v>30512</v>
      </c>
      <c r="K987" t="s">
        <v>4278</v>
      </c>
      <c r="L987">
        <f t="shared" si="62"/>
        <v>27</v>
      </c>
      <c r="N987">
        <v>27</v>
      </c>
      <c r="O987">
        <v>26</v>
      </c>
      <c r="P987">
        <v>0.96299999999999997</v>
      </c>
      <c r="Q987">
        <v>2</v>
      </c>
      <c r="R987">
        <v>2</v>
      </c>
      <c r="S987">
        <v>0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5</v>
      </c>
      <c r="AA987">
        <v>1</v>
      </c>
      <c r="AB987">
        <v>1</v>
      </c>
      <c r="AC987">
        <v>1</v>
      </c>
      <c r="AD987">
        <v>3</v>
      </c>
      <c r="AE987">
        <v>0</v>
      </c>
      <c r="AF987">
        <v>2</v>
      </c>
      <c r="AG987">
        <v>4</v>
      </c>
      <c r="AH987">
        <v>0</v>
      </c>
      <c r="AI987">
        <v>3</v>
      </c>
      <c r="AJ987">
        <v>2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4</v>
      </c>
      <c r="AT987">
        <v>1</v>
      </c>
      <c r="AU987">
        <v>1</v>
      </c>
      <c r="AV987">
        <v>1</v>
      </c>
      <c r="AW987">
        <v>3</v>
      </c>
      <c r="AX987">
        <v>0</v>
      </c>
      <c r="AY987">
        <v>2</v>
      </c>
      <c r="AZ987">
        <v>4</v>
      </c>
      <c r="BA987">
        <v>0</v>
      </c>
      <c r="BB987">
        <v>3</v>
      </c>
      <c r="BC987" s="2">
        <v>2</v>
      </c>
      <c r="BD987" s="2">
        <v>2</v>
      </c>
      <c r="BE987" s="2">
        <v>0</v>
      </c>
      <c r="BF987" s="2">
        <v>1</v>
      </c>
      <c r="BG987" s="2">
        <v>0</v>
      </c>
      <c r="BH987" s="2">
        <v>1</v>
      </c>
      <c r="BI987" s="2">
        <v>0</v>
      </c>
      <c r="BJ987" s="2">
        <v>0</v>
      </c>
      <c r="BK987" s="2">
        <v>1</v>
      </c>
      <c r="BL987" s="2">
        <v>4.2859999999999996</v>
      </c>
      <c r="BM987" s="2">
        <v>1</v>
      </c>
      <c r="BN987" s="2">
        <v>1</v>
      </c>
      <c r="BO987" s="2">
        <v>1</v>
      </c>
      <c r="BP987" s="2">
        <v>3</v>
      </c>
      <c r="BQ987" s="2">
        <v>0</v>
      </c>
      <c r="BR987" s="2">
        <v>2</v>
      </c>
      <c r="BS987" s="2">
        <v>4</v>
      </c>
      <c r="BT987" s="2">
        <v>0</v>
      </c>
      <c r="BU987" s="2">
        <v>3</v>
      </c>
      <c r="BV987" s="2">
        <f t="shared" si="65"/>
        <v>26.286000000000001</v>
      </c>
      <c r="BW987" s="16">
        <f t="shared" si="63"/>
        <v>1.3834736842105264</v>
      </c>
      <c r="BX987" s="16">
        <f>COUNTIF($BC$6:BU987, "=0") / COUNTIF($BC$6:BU987, "&gt;-1")</f>
        <v>0.27001822274627507</v>
      </c>
      <c r="BY987" s="18">
        <f>SUM($BC$6:BU987) / $BY$4</f>
        <v>0.93987058499041165</v>
      </c>
      <c r="BZ987" s="14">
        <f t="shared" si="64"/>
        <v>6</v>
      </c>
      <c r="CA987" t="s">
        <v>5832</v>
      </c>
      <c r="CZ987" t="s">
        <v>11783</v>
      </c>
      <c r="DA987" t="s">
        <v>5904</v>
      </c>
      <c r="DB987">
        <v>367.9</v>
      </c>
      <c r="DC987" t="s">
        <v>31173</v>
      </c>
      <c r="DD987" t="s">
        <v>31174</v>
      </c>
      <c r="DE987" t="s">
        <v>31175</v>
      </c>
      <c r="DF987" t="s">
        <v>31176</v>
      </c>
      <c r="DG987" t="s">
        <v>31177</v>
      </c>
      <c r="DH987" t="str">
        <f>"CFHR2"</f>
        <v>CFHR2</v>
      </c>
      <c r="DI987" t="s">
        <v>31178</v>
      </c>
      <c r="DJ987" t="s">
        <v>13777</v>
      </c>
      <c r="DK987">
        <v>9606</v>
      </c>
      <c r="DL987" s="34" t="str">
        <f>HYPERLINK("http://www.uniprot.org/uniprot/P36980", "P36980")</f>
        <v>P36980</v>
      </c>
      <c r="DM987" t="s">
        <v>31179</v>
      </c>
      <c r="DN987" t="s">
        <v>13772</v>
      </c>
      <c r="DO987" t="s">
        <v>14321</v>
      </c>
      <c r="DP987" t="s">
        <v>13841</v>
      </c>
      <c r="DQ987" t="s">
        <v>13772</v>
      </c>
      <c r="DR987" t="s">
        <v>13772</v>
      </c>
      <c r="DS987" t="s">
        <v>28012</v>
      </c>
      <c r="DT987" t="s">
        <v>13772</v>
      </c>
      <c r="DU987" t="s">
        <v>13772</v>
      </c>
      <c r="DV987" t="s">
        <v>13796</v>
      </c>
      <c r="DW987" t="s">
        <v>13812</v>
      </c>
      <c r="DX987" t="s">
        <v>31180</v>
      </c>
      <c r="DY987" t="s">
        <v>30068</v>
      </c>
      <c r="DZ987" t="s">
        <v>30069</v>
      </c>
      <c r="EA987" t="s">
        <v>13772</v>
      </c>
      <c r="EB987" t="s">
        <v>22277</v>
      </c>
    </row>
    <row r="988" spans="1:132" hidden="1">
      <c r="A988">
        <v>295</v>
      </c>
      <c r="B988">
        <v>1</v>
      </c>
      <c r="C988" t="s">
        <v>740</v>
      </c>
      <c r="D988" t="s">
        <v>741</v>
      </c>
      <c r="E988" t="s">
        <v>73</v>
      </c>
      <c r="F988" t="s">
        <v>73</v>
      </c>
      <c r="G988" t="s">
        <v>73</v>
      </c>
      <c r="H988">
        <v>31.4</v>
      </c>
      <c r="I988">
        <v>226</v>
      </c>
      <c r="J988">
        <v>25209</v>
      </c>
      <c r="K988" t="s">
        <v>742</v>
      </c>
      <c r="L988">
        <f t="shared" si="62"/>
        <v>26</v>
      </c>
      <c r="N988">
        <v>26</v>
      </c>
      <c r="O988">
        <v>26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7</v>
      </c>
      <c r="Z988">
        <v>0</v>
      </c>
      <c r="AA988">
        <v>7</v>
      </c>
      <c r="AB988">
        <v>2</v>
      </c>
      <c r="AC988">
        <v>2</v>
      </c>
      <c r="AD988">
        <v>0</v>
      </c>
      <c r="AE988">
        <v>0</v>
      </c>
      <c r="AF988">
        <v>2</v>
      </c>
      <c r="AG988">
        <v>1</v>
      </c>
      <c r="AH988">
        <v>0</v>
      </c>
      <c r="AI988">
        <v>3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7</v>
      </c>
      <c r="AS988">
        <v>0</v>
      </c>
      <c r="AT988">
        <v>7</v>
      </c>
      <c r="AU988">
        <v>2</v>
      </c>
      <c r="AV988">
        <v>2</v>
      </c>
      <c r="AW988">
        <v>0</v>
      </c>
      <c r="AX988">
        <v>0</v>
      </c>
      <c r="AY988">
        <v>2</v>
      </c>
      <c r="AZ988">
        <v>1</v>
      </c>
      <c r="BA988">
        <v>0</v>
      </c>
      <c r="BB988">
        <v>3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0</v>
      </c>
      <c r="BK988" s="2">
        <v>7</v>
      </c>
      <c r="BL988" s="2">
        <v>0</v>
      </c>
      <c r="BM988" s="2">
        <v>7</v>
      </c>
      <c r="BN988" s="2">
        <v>2</v>
      </c>
      <c r="BO988" s="2">
        <v>2</v>
      </c>
      <c r="BP988" s="2">
        <v>0</v>
      </c>
      <c r="BQ988" s="2">
        <v>0</v>
      </c>
      <c r="BR988" s="2">
        <v>2</v>
      </c>
      <c r="BS988" s="2">
        <v>1</v>
      </c>
      <c r="BT988" s="2">
        <v>0</v>
      </c>
      <c r="BU988" s="2">
        <v>3</v>
      </c>
      <c r="BV988" s="2">
        <f t="shared" si="65"/>
        <v>26</v>
      </c>
      <c r="BW988" s="16">
        <f t="shared" si="63"/>
        <v>1.368421052631579</v>
      </c>
      <c r="BX988" s="16">
        <f>COUNTIF($BC$6:BU988, "=0") / COUNTIF($BC$6:BU988, "&gt;-1")</f>
        <v>0.2702789527226</v>
      </c>
      <c r="BY988" s="18">
        <f>SUM($BC$6:BU988) / $BY$4</f>
        <v>0.93998195954899788</v>
      </c>
      <c r="BZ988" s="14">
        <f t="shared" si="64"/>
        <v>10</v>
      </c>
      <c r="CA988" t="s">
        <v>5832</v>
      </c>
      <c r="CZ988" t="s">
        <v>6712</v>
      </c>
      <c r="DA988" t="s">
        <v>5904</v>
      </c>
      <c r="DB988">
        <v>271.2</v>
      </c>
      <c r="DC988" t="s">
        <v>16477</v>
      </c>
      <c r="DD988" t="s">
        <v>16478</v>
      </c>
      <c r="DE988" t="s">
        <v>16479</v>
      </c>
      <c r="DF988" t="s">
        <v>16480</v>
      </c>
      <c r="DG988" t="s">
        <v>16481</v>
      </c>
      <c r="DH988" t="str">
        <f>"RARRES2"</f>
        <v>RARRES2</v>
      </c>
      <c r="DI988" t="s">
        <v>16482</v>
      </c>
      <c r="DJ988" t="s">
        <v>13777</v>
      </c>
      <c r="DK988">
        <v>9606</v>
      </c>
      <c r="DL988" s="34" t="str">
        <f>HYPERLINK("http://www.uniprot.org/uniprot/Q99969", "Q99969")</f>
        <v>Q99969</v>
      </c>
      <c r="DM988" t="s">
        <v>16483</v>
      </c>
      <c r="DN988" t="s">
        <v>16484</v>
      </c>
      <c r="DO988" t="s">
        <v>14321</v>
      </c>
      <c r="DP988" t="s">
        <v>13772</v>
      </c>
      <c r="DQ988" t="s">
        <v>13772</v>
      </c>
      <c r="DR988" t="s">
        <v>13772</v>
      </c>
      <c r="DS988" t="s">
        <v>13808</v>
      </c>
      <c r="DT988" t="s">
        <v>13772</v>
      </c>
      <c r="DU988" t="s">
        <v>13772</v>
      </c>
      <c r="DV988" t="s">
        <v>14506</v>
      </c>
      <c r="DW988" t="s">
        <v>13772</v>
      </c>
      <c r="DX988" t="s">
        <v>16485</v>
      </c>
      <c r="DY988" t="s">
        <v>16486</v>
      </c>
      <c r="DZ988" t="s">
        <v>14749</v>
      </c>
      <c r="EA988" t="s">
        <v>13772</v>
      </c>
      <c r="EB988" t="s">
        <v>15665</v>
      </c>
    </row>
    <row r="989" spans="1:132" hidden="1">
      <c r="A989">
        <v>459</v>
      </c>
      <c r="B989">
        <v>1</v>
      </c>
      <c r="C989" t="s">
        <v>1150</v>
      </c>
      <c r="D989" t="s">
        <v>73</v>
      </c>
      <c r="E989" t="s">
        <v>73</v>
      </c>
      <c r="F989" t="s">
        <v>73</v>
      </c>
      <c r="G989" t="s">
        <v>73</v>
      </c>
      <c r="H989">
        <v>41.5</v>
      </c>
      <c r="I989">
        <v>142</v>
      </c>
      <c r="J989">
        <v>15943</v>
      </c>
      <c r="K989" t="s">
        <v>1151</v>
      </c>
      <c r="L989">
        <f t="shared" si="62"/>
        <v>26</v>
      </c>
      <c r="N989">
        <v>26</v>
      </c>
      <c r="O989">
        <v>26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</v>
      </c>
      <c r="Z989">
        <v>0</v>
      </c>
      <c r="AA989">
        <v>3</v>
      </c>
      <c r="AB989">
        <v>2</v>
      </c>
      <c r="AC989">
        <v>2</v>
      </c>
      <c r="AD989">
        <v>0</v>
      </c>
      <c r="AE989">
        <v>3</v>
      </c>
      <c r="AF989">
        <v>5</v>
      </c>
      <c r="AG989">
        <v>3</v>
      </c>
      <c r="AH989">
        <v>0</v>
      </c>
      <c r="AI989">
        <v>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4</v>
      </c>
      <c r="AS989">
        <v>0</v>
      </c>
      <c r="AT989">
        <v>3</v>
      </c>
      <c r="AU989">
        <v>2</v>
      </c>
      <c r="AV989">
        <v>2</v>
      </c>
      <c r="AW989">
        <v>0</v>
      </c>
      <c r="AX989">
        <v>3</v>
      </c>
      <c r="AY989">
        <v>5</v>
      </c>
      <c r="AZ989">
        <v>3</v>
      </c>
      <c r="BA989">
        <v>0</v>
      </c>
      <c r="BB989">
        <v>4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4</v>
      </c>
      <c r="BL989" s="2">
        <v>0</v>
      </c>
      <c r="BM989" s="2">
        <v>3</v>
      </c>
      <c r="BN989" s="2">
        <v>2</v>
      </c>
      <c r="BO989" s="2">
        <v>2</v>
      </c>
      <c r="BP989" s="2">
        <v>0</v>
      </c>
      <c r="BQ989" s="2">
        <v>3</v>
      </c>
      <c r="BR989" s="2">
        <v>5</v>
      </c>
      <c r="BS989" s="2">
        <v>3</v>
      </c>
      <c r="BT989" s="2">
        <v>0</v>
      </c>
      <c r="BU989" s="2">
        <v>4</v>
      </c>
      <c r="BV989" s="2">
        <f t="shared" si="65"/>
        <v>26</v>
      </c>
      <c r="BW989" s="16">
        <f t="shared" si="63"/>
        <v>1.368421052631579</v>
      </c>
      <c r="BX989" s="16">
        <f>COUNTIF($BC$6:BU989, "=0") / COUNTIF($BC$6:BU989, "&gt;-1")</f>
        <v>0.27059264013692769</v>
      </c>
      <c r="BY989" s="18">
        <f>SUM($BC$6:BU989) / $BY$4</f>
        <v>0.94009333410758411</v>
      </c>
      <c r="BZ989" s="14">
        <f t="shared" si="64"/>
        <v>11</v>
      </c>
      <c r="CA989" t="s">
        <v>5832</v>
      </c>
      <c r="CZ989" t="s">
        <v>7294</v>
      </c>
      <c r="DA989" t="s">
        <v>5904</v>
      </c>
      <c r="DB989">
        <v>211.5</v>
      </c>
      <c r="DC989" t="s">
        <v>18261</v>
      </c>
      <c r="DD989" t="s">
        <v>13772</v>
      </c>
      <c r="DE989" t="s">
        <v>18262</v>
      </c>
      <c r="DF989" t="s">
        <v>18263</v>
      </c>
      <c r="DG989" t="s">
        <v>18264</v>
      </c>
      <c r="DH989" t="str">
        <f>"SELENOM"</f>
        <v>SELENOM</v>
      </c>
      <c r="DI989" t="s">
        <v>13772</v>
      </c>
      <c r="DJ989" t="s">
        <v>13777</v>
      </c>
      <c r="DK989">
        <v>9606</v>
      </c>
      <c r="DL989" s="34" t="str">
        <f>HYPERLINK("http://www.uniprot.org/uniprot/Q8WWX9", "Q8WWX9")</f>
        <v>Q8WWX9</v>
      </c>
      <c r="DM989" t="s">
        <v>18265</v>
      </c>
      <c r="DN989" t="s">
        <v>13772</v>
      </c>
      <c r="DO989" t="s">
        <v>18266</v>
      </c>
      <c r="DP989" t="s">
        <v>18267</v>
      </c>
      <c r="DQ989" t="s">
        <v>13772</v>
      </c>
      <c r="DR989" t="s">
        <v>13772</v>
      </c>
      <c r="DS989" t="s">
        <v>13808</v>
      </c>
      <c r="DT989" t="s">
        <v>13772</v>
      </c>
      <c r="DU989" t="s">
        <v>13772</v>
      </c>
      <c r="DV989" t="s">
        <v>13772</v>
      </c>
      <c r="DW989" t="s">
        <v>13772</v>
      </c>
      <c r="DX989" t="s">
        <v>18268</v>
      </c>
      <c r="DY989" t="s">
        <v>18269</v>
      </c>
      <c r="DZ989" t="s">
        <v>13772</v>
      </c>
      <c r="EA989" t="s">
        <v>13772</v>
      </c>
      <c r="EB989" t="s">
        <v>13772</v>
      </c>
    </row>
    <row r="990" spans="1:132" hidden="1">
      <c r="A990">
        <v>661</v>
      </c>
      <c r="B990">
        <v>1</v>
      </c>
      <c r="C990" t="s">
        <v>1633</v>
      </c>
      <c r="D990" t="s">
        <v>73</v>
      </c>
      <c r="E990" t="s">
        <v>73</v>
      </c>
      <c r="F990" t="s">
        <v>73</v>
      </c>
      <c r="G990" t="s">
        <v>73</v>
      </c>
      <c r="H990">
        <v>26.3</v>
      </c>
      <c r="I990">
        <v>1050</v>
      </c>
      <c r="J990">
        <v>120241</v>
      </c>
      <c r="K990" t="s">
        <v>1634</v>
      </c>
      <c r="L990">
        <f t="shared" si="62"/>
        <v>26</v>
      </c>
      <c r="N990">
        <v>26</v>
      </c>
      <c r="O990">
        <v>26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24</v>
      </c>
      <c r="BA990">
        <v>0</v>
      </c>
      <c r="BB990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1</v>
      </c>
      <c r="BQ990" s="2">
        <v>0</v>
      </c>
      <c r="BR990" s="2">
        <v>0</v>
      </c>
      <c r="BS990" s="2">
        <v>24</v>
      </c>
      <c r="BT990" s="2">
        <v>0</v>
      </c>
      <c r="BU990" s="2">
        <v>1</v>
      </c>
      <c r="BV990" s="2">
        <f t="shared" si="65"/>
        <v>26</v>
      </c>
      <c r="BW990" s="16">
        <f t="shared" si="63"/>
        <v>1.368421052631579</v>
      </c>
      <c r="BX990" s="16">
        <f>COUNTIF($BC$6:BU990, "=0") / COUNTIF($BC$6:BU990, "&gt;-1")</f>
        <v>0.27117285599786267</v>
      </c>
      <c r="BY990" s="18">
        <f>SUM($BC$6:BU990) / $BY$4</f>
        <v>0.94020470866617034</v>
      </c>
      <c r="BZ990" s="14">
        <f t="shared" si="64"/>
        <v>16</v>
      </c>
      <c r="CA990" t="s">
        <v>5832</v>
      </c>
      <c r="CZ990" t="s">
        <v>7971</v>
      </c>
      <c r="DA990" t="s">
        <v>5904</v>
      </c>
      <c r="DB990">
        <v>1340.5</v>
      </c>
      <c r="DC990" t="s">
        <v>20294</v>
      </c>
      <c r="DD990" t="s">
        <v>20295</v>
      </c>
      <c r="DE990" t="s">
        <v>20296</v>
      </c>
      <c r="DF990" t="s">
        <v>20297</v>
      </c>
      <c r="DG990" t="s">
        <v>20298</v>
      </c>
      <c r="DH990" t="str">
        <f>"CP"</f>
        <v>CP</v>
      </c>
      <c r="DI990" t="s">
        <v>13772</v>
      </c>
      <c r="DJ990" t="s">
        <v>13777</v>
      </c>
      <c r="DK990">
        <v>9606</v>
      </c>
      <c r="DL990" s="34" t="str">
        <f>HYPERLINK("http://www.uniprot.org/uniprot/P00450", "P00450")</f>
        <v>P00450</v>
      </c>
      <c r="DM990" t="s">
        <v>20299</v>
      </c>
      <c r="DN990" t="s">
        <v>20300</v>
      </c>
      <c r="DO990" t="s">
        <v>14321</v>
      </c>
      <c r="DP990" t="s">
        <v>13793</v>
      </c>
      <c r="DQ990" t="s">
        <v>13772</v>
      </c>
      <c r="DR990" t="s">
        <v>13772</v>
      </c>
      <c r="DS990" t="s">
        <v>14404</v>
      </c>
      <c r="DT990" t="s">
        <v>15982</v>
      </c>
      <c r="DU990" t="s">
        <v>13885</v>
      </c>
      <c r="DV990" t="s">
        <v>13964</v>
      </c>
      <c r="DW990" t="s">
        <v>13812</v>
      </c>
      <c r="DX990" t="s">
        <v>20301</v>
      </c>
      <c r="DY990" t="s">
        <v>20302</v>
      </c>
      <c r="DZ990" t="s">
        <v>20303</v>
      </c>
      <c r="EA990" t="s">
        <v>13772</v>
      </c>
      <c r="EB990" t="s">
        <v>20304</v>
      </c>
    </row>
    <row r="991" spans="1:132" hidden="1">
      <c r="A991">
        <v>896</v>
      </c>
      <c r="B991">
        <v>1</v>
      </c>
      <c r="C991" t="s">
        <v>2190</v>
      </c>
      <c r="D991" t="s">
        <v>73</v>
      </c>
      <c r="E991" t="s">
        <v>73</v>
      </c>
      <c r="F991" t="s">
        <v>73</v>
      </c>
      <c r="G991" t="s">
        <v>73</v>
      </c>
      <c r="H991">
        <v>23.3</v>
      </c>
      <c r="I991">
        <v>524</v>
      </c>
      <c r="J991">
        <v>57997</v>
      </c>
      <c r="K991" t="s">
        <v>2191</v>
      </c>
      <c r="L991">
        <f t="shared" si="62"/>
        <v>26</v>
      </c>
      <c r="N991">
        <v>26</v>
      </c>
      <c r="O991">
        <v>26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</v>
      </c>
      <c r="Z991">
        <v>0</v>
      </c>
      <c r="AA991">
        <v>7</v>
      </c>
      <c r="AB991">
        <v>3</v>
      </c>
      <c r="AC991">
        <v>4</v>
      </c>
      <c r="AD991">
        <v>0</v>
      </c>
      <c r="AE991">
        <v>4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7</v>
      </c>
      <c r="AS991">
        <v>0</v>
      </c>
      <c r="AT991">
        <v>7</v>
      </c>
      <c r="AU991">
        <v>3</v>
      </c>
      <c r="AV991">
        <v>4</v>
      </c>
      <c r="AW991">
        <v>0</v>
      </c>
      <c r="AX991">
        <v>4</v>
      </c>
      <c r="AY991">
        <v>1</v>
      </c>
      <c r="AZ991">
        <v>0</v>
      </c>
      <c r="BA991">
        <v>0</v>
      </c>
      <c r="BB991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7</v>
      </c>
      <c r="BL991" s="2">
        <v>0</v>
      </c>
      <c r="BM991" s="2">
        <v>7</v>
      </c>
      <c r="BN991" s="2">
        <v>3</v>
      </c>
      <c r="BO991" s="2">
        <v>4</v>
      </c>
      <c r="BP991" s="2">
        <v>0</v>
      </c>
      <c r="BQ991" s="2">
        <v>4</v>
      </c>
      <c r="BR991" s="2">
        <v>1</v>
      </c>
      <c r="BS991" s="2">
        <v>0</v>
      </c>
      <c r="BT991" s="2">
        <v>0</v>
      </c>
      <c r="BU991" s="2">
        <v>0</v>
      </c>
      <c r="BV991" s="2">
        <f t="shared" si="65"/>
        <v>26</v>
      </c>
      <c r="BW991" s="16">
        <f t="shared" si="63"/>
        <v>1.368421052631579</v>
      </c>
      <c r="BX991" s="16">
        <f>COUNTIF($BC$6:BU991, "=0") / COUNTIF($BC$6:BU991, "&gt;-1")</f>
        <v>0.27159175830041637</v>
      </c>
      <c r="BY991" s="18">
        <f>SUM($BC$6:BU991) / $BY$4</f>
        <v>0.94031608322475657</v>
      </c>
      <c r="BZ991" s="14">
        <f t="shared" si="64"/>
        <v>13</v>
      </c>
      <c r="CA991" t="s">
        <v>5832</v>
      </c>
      <c r="CZ991" t="s">
        <v>8767</v>
      </c>
      <c r="DA991" t="s">
        <v>5904</v>
      </c>
      <c r="DB991">
        <v>1052</v>
      </c>
      <c r="DC991" t="s">
        <v>22628</v>
      </c>
      <c r="DD991" t="s">
        <v>22629</v>
      </c>
      <c r="DE991" t="s">
        <v>22630</v>
      </c>
      <c r="DF991" t="s">
        <v>22631</v>
      </c>
      <c r="DG991" t="s">
        <v>22632</v>
      </c>
      <c r="DH991" t="str">
        <f>"PAK2"</f>
        <v>PAK2</v>
      </c>
      <c r="DI991" t="s">
        <v>13772</v>
      </c>
      <c r="DJ991" t="s">
        <v>13777</v>
      </c>
      <c r="DK991">
        <v>9606</v>
      </c>
      <c r="DL991" s="34" t="str">
        <f>HYPERLINK("http://www.uniprot.org/uniprot/Q13177", "Q13177")</f>
        <v>Q13177</v>
      </c>
      <c r="DM991" t="s">
        <v>22633</v>
      </c>
      <c r="DN991" t="s">
        <v>22634</v>
      </c>
      <c r="DO991" t="s">
        <v>14532</v>
      </c>
      <c r="DP991" t="s">
        <v>13772</v>
      </c>
      <c r="DQ991" t="s">
        <v>13772</v>
      </c>
      <c r="DR991" t="s">
        <v>13772</v>
      </c>
      <c r="DS991" t="s">
        <v>13772</v>
      </c>
      <c r="DT991" t="s">
        <v>14005</v>
      </c>
      <c r="DU991" t="s">
        <v>22635</v>
      </c>
      <c r="DV991" t="s">
        <v>22636</v>
      </c>
      <c r="DW991" t="s">
        <v>13812</v>
      </c>
      <c r="DX991" t="s">
        <v>22637</v>
      </c>
      <c r="DY991" t="s">
        <v>22638</v>
      </c>
      <c r="DZ991" t="s">
        <v>22639</v>
      </c>
      <c r="EA991" t="s">
        <v>13772</v>
      </c>
      <c r="EB991" t="s">
        <v>22640</v>
      </c>
    </row>
    <row r="992" spans="1:132" hidden="1">
      <c r="A992">
        <v>1172</v>
      </c>
      <c r="B992">
        <v>1</v>
      </c>
      <c r="C992" t="s">
        <v>2813</v>
      </c>
      <c r="D992" t="s">
        <v>2814</v>
      </c>
      <c r="E992" t="s">
        <v>73</v>
      </c>
      <c r="F992" t="s">
        <v>73</v>
      </c>
      <c r="G992" t="s">
        <v>73</v>
      </c>
      <c r="H992">
        <v>32.9</v>
      </c>
      <c r="I992">
        <v>280</v>
      </c>
      <c r="J992">
        <v>30744</v>
      </c>
      <c r="K992" t="s">
        <v>2815</v>
      </c>
      <c r="L992">
        <f t="shared" si="62"/>
        <v>26</v>
      </c>
      <c r="N992">
        <v>26</v>
      </c>
      <c r="O992">
        <v>26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3</v>
      </c>
      <c r="Z992">
        <v>0</v>
      </c>
      <c r="AA992">
        <v>5</v>
      </c>
      <c r="AB992">
        <v>5</v>
      </c>
      <c r="AC992">
        <v>2</v>
      </c>
      <c r="AD992">
        <v>0</v>
      </c>
      <c r="AE992">
        <v>3</v>
      </c>
      <c r="AF992">
        <v>4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2</v>
      </c>
      <c r="AP992">
        <v>0</v>
      </c>
      <c r="AQ992">
        <v>0</v>
      </c>
      <c r="AR992">
        <v>3</v>
      </c>
      <c r="AS992">
        <v>0</v>
      </c>
      <c r="AT992">
        <v>5</v>
      </c>
      <c r="AU992">
        <v>5</v>
      </c>
      <c r="AV992">
        <v>2</v>
      </c>
      <c r="AW992">
        <v>0</v>
      </c>
      <c r="AX992">
        <v>3</v>
      </c>
      <c r="AY992">
        <v>4</v>
      </c>
      <c r="AZ992">
        <v>1</v>
      </c>
      <c r="BA992">
        <v>0</v>
      </c>
      <c r="BB992">
        <v>0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2</v>
      </c>
      <c r="BI992" s="2">
        <v>0</v>
      </c>
      <c r="BJ992" s="2">
        <v>0</v>
      </c>
      <c r="BK992" s="2">
        <v>3</v>
      </c>
      <c r="BL992" s="2">
        <v>0</v>
      </c>
      <c r="BM992" s="2">
        <v>5</v>
      </c>
      <c r="BN992" s="2">
        <v>5</v>
      </c>
      <c r="BO992" s="2">
        <v>2</v>
      </c>
      <c r="BP992" s="2">
        <v>0</v>
      </c>
      <c r="BQ992" s="2">
        <v>3</v>
      </c>
      <c r="BR992" s="2">
        <v>4</v>
      </c>
      <c r="BS992" s="2">
        <v>1</v>
      </c>
      <c r="BT992" s="2">
        <v>0</v>
      </c>
      <c r="BU992" s="2">
        <v>0</v>
      </c>
      <c r="BV992" s="2">
        <f t="shared" si="65"/>
        <v>26</v>
      </c>
      <c r="BW992" s="16">
        <f t="shared" si="63"/>
        <v>1.368421052631579</v>
      </c>
      <c r="BX992" s="16">
        <f>COUNTIF($BC$6:BU992, "=0") / COUNTIF($BC$6:BU992, "&gt;-1")</f>
        <v>0.27184983735935586</v>
      </c>
      <c r="BY992" s="18">
        <f>SUM($BC$6:BU992) / $BY$4</f>
        <v>0.94042745778334269</v>
      </c>
      <c r="BZ992" s="14">
        <f t="shared" si="64"/>
        <v>10</v>
      </c>
      <c r="CA992" t="s">
        <v>5832</v>
      </c>
      <c r="CZ992" t="s">
        <v>9631</v>
      </c>
      <c r="DA992" t="s">
        <v>6759</v>
      </c>
      <c r="DB992">
        <v>170.6</v>
      </c>
      <c r="DC992" t="s">
        <v>25089</v>
      </c>
      <c r="DD992" t="s">
        <v>25090</v>
      </c>
      <c r="DE992" t="s">
        <v>25091</v>
      </c>
      <c r="DF992" t="s">
        <v>25092</v>
      </c>
      <c r="DG992" t="s">
        <v>25093</v>
      </c>
      <c r="DH992" t="str">
        <f>"ANGPTL5"</f>
        <v>ANGPTL5</v>
      </c>
      <c r="DI992" t="s">
        <v>13772</v>
      </c>
      <c r="DJ992" t="s">
        <v>13777</v>
      </c>
      <c r="DK992">
        <v>9606</v>
      </c>
      <c r="DL992" s="34" t="str">
        <f>HYPERLINK("http://www.uniprot.org/uniprot/Q86XS5", "Q86XS5")</f>
        <v>Q86XS5</v>
      </c>
      <c r="DM992" t="s">
        <v>16819</v>
      </c>
      <c r="DN992" t="s">
        <v>13772</v>
      </c>
      <c r="DO992" t="s">
        <v>14321</v>
      </c>
      <c r="DP992" t="s">
        <v>13793</v>
      </c>
      <c r="DQ992" t="s">
        <v>13772</v>
      </c>
      <c r="DR992" t="s">
        <v>13772</v>
      </c>
      <c r="DS992" t="s">
        <v>16820</v>
      </c>
      <c r="DT992" t="s">
        <v>13772</v>
      </c>
      <c r="DU992" t="s">
        <v>13772</v>
      </c>
      <c r="DV992" t="s">
        <v>13796</v>
      </c>
      <c r="DW992" t="s">
        <v>13772</v>
      </c>
      <c r="DX992" t="s">
        <v>13772</v>
      </c>
      <c r="DY992" t="s">
        <v>15346</v>
      </c>
      <c r="DZ992" t="s">
        <v>13772</v>
      </c>
      <c r="EA992" t="s">
        <v>13772</v>
      </c>
      <c r="EB992" t="s">
        <v>13772</v>
      </c>
    </row>
    <row r="993" spans="1:132" hidden="1">
      <c r="A993">
        <v>1206</v>
      </c>
      <c r="B993">
        <v>1</v>
      </c>
      <c r="C993" t="s">
        <v>2894</v>
      </c>
      <c r="D993" t="s">
        <v>2895</v>
      </c>
      <c r="E993" t="s">
        <v>73</v>
      </c>
      <c r="F993" t="s">
        <v>73</v>
      </c>
      <c r="G993" t="s">
        <v>73</v>
      </c>
      <c r="H993">
        <v>22.8</v>
      </c>
      <c r="I993">
        <v>426</v>
      </c>
      <c r="J993">
        <v>47084</v>
      </c>
      <c r="K993" t="s">
        <v>2896</v>
      </c>
      <c r="L993">
        <f t="shared" si="62"/>
        <v>26</v>
      </c>
      <c r="N993">
        <v>26</v>
      </c>
      <c r="O993">
        <v>26</v>
      </c>
      <c r="P993">
        <v>1</v>
      </c>
      <c r="Q993">
        <v>1</v>
      </c>
      <c r="R993">
        <v>5</v>
      </c>
      <c r="S993">
        <v>5</v>
      </c>
      <c r="T993">
        <v>3</v>
      </c>
      <c r="U993">
        <v>5</v>
      </c>
      <c r="V993">
        <v>1</v>
      </c>
      <c r="W993">
        <v>2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5</v>
      </c>
      <c r="AL993">
        <v>5</v>
      </c>
      <c r="AM993">
        <v>3</v>
      </c>
      <c r="AN993">
        <v>5</v>
      </c>
      <c r="AO993">
        <v>1</v>
      </c>
      <c r="AP993">
        <v>2</v>
      </c>
      <c r="AQ993">
        <v>0</v>
      </c>
      <c r="AR993">
        <v>0</v>
      </c>
      <c r="AS993">
        <v>0</v>
      </c>
      <c r="AT993">
        <v>2</v>
      </c>
      <c r="AU993">
        <v>0</v>
      </c>
      <c r="AV993">
        <v>2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 s="2">
        <v>1</v>
      </c>
      <c r="BD993" s="2">
        <v>5</v>
      </c>
      <c r="BE993" s="2">
        <v>5</v>
      </c>
      <c r="BF993" s="2">
        <v>3</v>
      </c>
      <c r="BG993" s="2">
        <v>5</v>
      </c>
      <c r="BH993" s="2">
        <v>1</v>
      </c>
      <c r="BI993" s="2">
        <v>2</v>
      </c>
      <c r="BJ993" s="2">
        <v>0</v>
      </c>
      <c r="BK993" s="2">
        <v>0</v>
      </c>
      <c r="BL993" s="2">
        <v>0</v>
      </c>
      <c r="BM993" s="2">
        <v>2</v>
      </c>
      <c r="BN993" s="2">
        <v>0</v>
      </c>
      <c r="BO993" s="2">
        <v>2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f t="shared" si="65"/>
        <v>26</v>
      </c>
      <c r="BW993" s="16">
        <f t="shared" si="63"/>
        <v>1.368421052631579</v>
      </c>
      <c r="BX993" s="16">
        <f>COUNTIF($BC$6:BU993, "=0") / COUNTIF($BC$6:BU993, "&gt;-1")</f>
        <v>0.27210739399105049</v>
      </c>
      <c r="BY993" s="18">
        <f>SUM($BC$6:BU993) / $BY$4</f>
        <v>0.94053883234192892</v>
      </c>
      <c r="BZ993" s="14">
        <f t="shared" si="64"/>
        <v>10</v>
      </c>
      <c r="CA993" t="s">
        <v>5832</v>
      </c>
      <c r="CZ993" t="s">
        <v>9746</v>
      </c>
      <c r="DA993" t="s">
        <v>5904</v>
      </c>
      <c r="DB993">
        <v>740.7</v>
      </c>
      <c r="DC993" t="s">
        <v>25411</v>
      </c>
      <c r="DD993" t="s">
        <v>25412</v>
      </c>
      <c r="DE993" t="s">
        <v>25413</v>
      </c>
      <c r="DF993" t="s">
        <v>25414</v>
      </c>
      <c r="DG993" t="s">
        <v>25415</v>
      </c>
      <c r="DH993" t="str">
        <f>"SPOCK2"</f>
        <v>SPOCK2</v>
      </c>
      <c r="DI993" t="s">
        <v>25416</v>
      </c>
      <c r="DJ993" t="s">
        <v>13777</v>
      </c>
      <c r="DK993">
        <v>9606</v>
      </c>
      <c r="DL993" s="34" t="str">
        <f>HYPERLINK("http://www.uniprot.org/uniprot/Q92563", "Q92563")</f>
        <v>Q92563</v>
      </c>
      <c r="DM993" t="s">
        <v>25417</v>
      </c>
      <c r="DN993" t="s">
        <v>13772</v>
      </c>
      <c r="DO993" t="s">
        <v>13869</v>
      </c>
      <c r="DP993" t="s">
        <v>13780</v>
      </c>
      <c r="DQ993" t="s">
        <v>13772</v>
      </c>
      <c r="DR993" t="s">
        <v>13772</v>
      </c>
      <c r="DS993" t="s">
        <v>13808</v>
      </c>
      <c r="DT993" t="s">
        <v>14465</v>
      </c>
      <c r="DU993" t="s">
        <v>13772</v>
      </c>
      <c r="DV993" t="s">
        <v>25418</v>
      </c>
      <c r="DW993" t="s">
        <v>13772</v>
      </c>
      <c r="DX993" t="s">
        <v>25419</v>
      </c>
      <c r="DY993" t="s">
        <v>16757</v>
      </c>
      <c r="DZ993" t="s">
        <v>25420</v>
      </c>
      <c r="EA993" t="s">
        <v>13772</v>
      </c>
      <c r="EB993" t="s">
        <v>13772</v>
      </c>
    </row>
    <row r="994" spans="1:132" hidden="1">
      <c r="A994">
        <v>1234</v>
      </c>
      <c r="B994">
        <v>1</v>
      </c>
      <c r="C994" t="s">
        <v>2963</v>
      </c>
      <c r="D994" t="s">
        <v>2964</v>
      </c>
      <c r="E994" t="s">
        <v>73</v>
      </c>
      <c r="F994" t="s">
        <v>73</v>
      </c>
      <c r="G994" t="s">
        <v>73</v>
      </c>
      <c r="H994">
        <v>5.9</v>
      </c>
      <c r="I994">
        <v>836</v>
      </c>
      <c r="J994">
        <v>90046</v>
      </c>
      <c r="K994" t="s">
        <v>2965</v>
      </c>
      <c r="L994">
        <f t="shared" si="62"/>
        <v>26</v>
      </c>
      <c r="N994">
        <v>26</v>
      </c>
      <c r="O994">
        <v>26</v>
      </c>
      <c r="P994">
        <v>1</v>
      </c>
      <c r="Q994">
        <v>1</v>
      </c>
      <c r="R994">
        <v>1</v>
      </c>
      <c r="S994">
        <v>2</v>
      </c>
      <c r="T994">
        <v>1</v>
      </c>
      <c r="U994">
        <v>2</v>
      </c>
      <c r="V994">
        <v>1</v>
      </c>
      <c r="W994">
        <v>1</v>
      </c>
      <c r="X994">
        <v>1</v>
      </c>
      <c r="Y994">
        <v>2</v>
      </c>
      <c r="Z994">
        <v>0</v>
      </c>
      <c r="AA994">
        <v>3</v>
      </c>
      <c r="AB994">
        <v>2</v>
      </c>
      <c r="AC994">
        <v>1</v>
      </c>
      <c r="AD994">
        <v>0</v>
      </c>
      <c r="AE994">
        <v>1</v>
      </c>
      <c r="AF994">
        <v>3</v>
      </c>
      <c r="AG994">
        <v>1</v>
      </c>
      <c r="AH994">
        <v>1</v>
      </c>
      <c r="AI994">
        <v>2</v>
      </c>
      <c r="AJ994">
        <v>1</v>
      </c>
      <c r="AK994">
        <v>1</v>
      </c>
      <c r="AL994">
        <v>2</v>
      </c>
      <c r="AM994">
        <v>1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0</v>
      </c>
      <c r="AT994">
        <v>3</v>
      </c>
      <c r="AU994">
        <v>2</v>
      </c>
      <c r="AV994">
        <v>1</v>
      </c>
      <c r="AW994">
        <v>0</v>
      </c>
      <c r="AX994">
        <v>1</v>
      </c>
      <c r="AY994">
        <v>3</v>
      </c>
      <c r="AZ994">
        <v>1</v>
      </c>
      <c r="BA994">
        <v>1</v>
      </c>
      <c r="BB994">
        <v>2</v>
      </c>
      <c r="BC994" s="2">
        <v>1</v>
      </c>
      <c r="BD994" s="2">
        <v>1</v>
      </c>
      <c r="BE994" s="2">
        <v>2</v>
      </c>
      <c r="BF994" s="2">
        <v>1</v>
      </c>
      <c r="BG994" s="2">
        <v>2</v>
      </c>
      <c r="BH994" s="2">
        <v>1</v>
      </c>
      <c r="BI994" s="2">
        <v>1</v>
      </c>
      <c r="BJ994" s="2">
        <v>1</v>
      </c>
      <c r="BK994" s="2">
        <v>2</v>
      </c>
      <c r="BL994" s="2">
        <v>0</v>
      </c>
      <c r="BM994" s="2">
        <v>3</v>
      </c>
      <c r="BN994" s="2">
        <v>2</v>
      </c>
      <c r="BO994" s="2">
        <v>1</v>
      </c>
      <c r="BP994" s="2">
        <v>0</v>
      </c>
      <c r="BQ994" s="2">
        <v>1</v>
      </c>
      <c r="BR994" s="2">
        <v>3</v>
      </c>
      <c r="BS994" s="2">
        <v>1</v>
      </c>
      <c r="BT994" s="2">
        <v>1</v>
      </c>
      <c r="BU994" s="2">
        <v>2</v>
      </c>
      <c r="BV994" s="2">
        <f t="shared" si="65"/>
        <v>26</v>
      </c>
      <c r="BW994" s="16">
        <f t="shared" si="63"/>
        <v>1.368421052631579</v>
      </c>
      <c r="BX994" s="16">
        <f>COUNTIF($BC$6:BU994, "=0") / COUNTIF($BC$6:BU994, "&gt;-1")</f>
        <v>0.27193869405566495</v>
      </c>
      <c r="BY994" s="18">
        <f>SUM($BC$6:BU994) / $BY$4</f>
        <v>0.94065020690051515</v>
      </c>
      <c r="BZ994" s="14">
        <f t="shared" si="64"/>
        <v>2</v>
      </c>
      <c r="CA994" t="s">
        <v>5832</v>
      </c>
      <c r="CZ994" t="s">
        <v>9844</v>
      </c>
      <c r="DA994" t="s">
        <v>5904</v>
      </c>
      <c r="DB994">
        <v>1030.8</v>
      </c>
      <c r="DC994" t="s">
        <v>25684</v>
      </c>
      <c r="DD994" t="s">
        <v>25685</v>
      </c>
      <c r="DE994" t="s">
        <v>25686</v>
      </c>
      <c r="DF994" t="s">
        <v>25687</v>
      </c>
      <c r="DG994" t="s">
        <v>25688</v>
      </c>
      <c r="DH994" t="str">
        <f>"ADAM8"</f>
        <v>ADAM8</v>
      </c>
      <c r="DI994" t="s">
        <v>25689</v>
      </c>
      <c r="DJ994" t="s">
        <v>13777</v>
      </c>
      <c r="DK994">
        <v>9606</v>
      </c>
      <c r="DL994" s="34" t="str">
        <f>HYPERLINK("http://www.uniprot.org/uniprot/P78325", "P78325")</f>
        <v>P78325</v>
      </c>
      <c r="DM994" t="s">
        <v>25690</v>
      </c>
      <c r="DN994" t="s">
        <v>13772</v>
      </c>
      <c r="DO994" t="s">
        <v>13825</v>
      </c>
      <c r="DP994" t="s">
        <v>13780</v>
      </c>
      <c r="DQ994" t="s">
        <v>13772</v>
      </c>
      <c r="DR994" t="s">
        <v>13772</v>
      </c>
      <c r="DS994" t="s">
        <v>16416</v>
      </c>
      <c r="DT994" t="s">
        <v>13856</v>
      </c>
      <c r="DU994" t="s">
        <v>15139</v>
      </c>
      <c r="DV994" t="s">
        <v>13796</v>
      </c>
      <c r="DW994" t="s">
        <v>13812</v>
      </c>
      <c r="DX994" t="s">
        <v>25691</v>
      </c>
      <c r="DY994" t="s">
        <v>25692</v>
      </c>
      <c r="DZ994" t="s">
        <v>25693</v>
      </c>
      <c r="EA994" t="s">
        <v>13772</v>
      </c>
      <c r="EB994" t="s">
        <v>25694</v>
      </c>
    </row>
    <row r="995" spans="1:132" hidden="1">
      <c r="A995">
        <v>1405</v>
      </c>
      <c r="B995">
        <v>1</v>
      </c>
      <c r="C995" t="s">
        <v>3355</v>
      </c>
      <c r="D995" t="s">
        <v>73</v>
      </c>
      <c r="E995" t="s">
        <v>73</v>
      </c>
      <c r="F995" t="s">
        <v>3356</v>
      </c>
      <c r="G995" t="s">
        <v>73</v>
      </c>
      <c r="H995">
        <v>31.5</v>
      </c>
      <c r="I995">
        <v>464</v>
      </c>
      <c r="J995">
        <v>51219</v>
      </c>
      <c r="K995" t="s">
        <v>3357</v>
      </c>
      <c r="L995">
        <f t="shared" si="62"/>
        <v>44</v>
      </c>
      <c r="N995">
        <v>44</v>
      </c>
      <c r="O995">
        <v>10</v>
      </c>
      <c r="P995">
        <v>0.22700000000000001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3</v>
      </c>
      <c r="Y995">
        <v>4</v>
      </c>
      <c r="Z995">
        <v>0</v>
      </c>
      <c r="AA995">
        <v>11</v>
      </c>
      <c r="AB995">
        <v>5</v>
      </c>
      <c r="AC995">
        <v>3</v>
      </c>
      <c r="AD995">
        <v>1</v>
      </c>
      <c r="AE995">
        <v>7</v>
      </c>
      <c r="AF995">
        <v>7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2</v>
      </c>
      <c r="AR995">
        <v>1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2</v>
      </c>
      <c r="AY995">
        <v>1</v>
      </c>
      <c r="AZ995">
        <v>0</v>
      </c>
      <c r="BA995">
        <v>0</v>
      </c>
      <c r="BB995">
        <v>0</v>
      </c>
      <c r="BC995" s="2">
        <v>0</v>
      </c>
      <c r="BD995" s="2">
        <v>0</v>
      </c>
      <c r="BE995" s="2">
        <v>0</v>
      </c>
      <c r="BF995" s="2">
        <v>1</v>
      </c>
      <c r="BG995" s="2">
        <v>0</v>
      </c>
      <c r="BH995" s="2">
        <v>1</v>
      </c>
      <c r="BI995" s="2">
        <v>0</v>
      </c>
      <c r="BJ995" s="2">
        <v>2.6669999999999998</v>
      </c>
      <c r="BK995" s="2">
        <v>4</v>
      </c>
      <c r="BL995" s="2">
        <v>0</v>
      </c>
      <c r="BM995" s="2">
        <v>4</v>
      </c>
      <c r="BN995" s="2">
        <v>3</v>
      </c>
      <c r="BO995" s="2">
        <v>0</v>
      </c>
      <c r="BP995" s="2">
        <v>0.5</v>
      </c>
      <c r="BQ995" s="2">
        <v>5.3330000000000002</v>
      </c>
      <c r="BR995" s="2">
        <v>4</v>
      </c>
      <c r="BS995" s="2">
        <v>0</v>
      </c>
      <c r="BT995" s="2">
        <v>0</v>
      </c>
      <c r="BU995" s="2">
        <v>0.5</v>
      </c>
      <c r="BV995" s="2">
        <f t="shared" si="65"/>
        <v>26</v>
      </c>
      <c r="BW995" s="16">
        <f t="shared" si="63"/>
        <v>1.368421052631579</v>
      </c>
      <c r="BX995" s="16">
        <f>COUNTIF($BC$6:BU995, "=0") / COUNTIF($BC$6:BU995, "&gt;-1")</f>
        <v>0.2721424774056353</v>
      </c>
      <c r="BY995" s="18">
        <f>SUM($BC$6:BU995) / $BY$4</f>
        <v>0.94076158145910138</v>
      </c>
      <c r="BZ995" s="14">
        <f t="shared" si="64"/>
        <v>9</v>
      </c>
      <c r="CA995" t="s">
        <v>5832</v>
      </c>
      <c r="CZ995" t="s">
        <v>10428</v>
      </c>
      <c r="DA995" t="s">
        <v>5904</v>
      </c>
      <c r="DB995">
        <v>909.4</v>
      </c>
      <c r="DC995" t="s">
        <v>27343</v>
      </c>
      <c r="DD995" t="s">
        <v>27344</v>
      </c>
      <c r="DE995" t="s">
        <v>27345</v>
      </c>
      <c r="DF995" t="s">
        <v>27346</v>
      </c>
      <c r="DG995" t="s">
        <v>27347</v>
      </c>
      <c r="DH995" t="str">
        <f>"HNRNPK"</f>
        <v>HNRNPK</v>
      </c>
      <c r="DI995" t="s">
        <v>27348</v>
      </c>
      <c r="DJ995" t="s">
        <v>13777</v>
      </c>
      <c r="DK995">
        <v>9606</v>
      </c>
      <c r="DL995" s="34" t="str">
        <f>HYPERLINK("http://www.uniprot.org/uniprot/P61978", "P61978")</f>
        <v>P61978</v>
      </c>
      <c r="DM995" t="s">
        <v>27349</v>
      </c>
      <c r="DN995" t="s">
        <v>27350</v>
      </c>
      <c r="DO995" t="s">
        <v>27351</v>
      </c>
      <c r="DP995" t="s">
        <v>13841</v>
      </c>
      <c r="DQ995" t="s">
        <v>13772</v>
      </c>
      <c r="DR995" t="s">
        <v>17534</v>
      </c>
      <c r="DS995" t="s">
        <v>14096</v>
      </c>
      <c r="DT995" t="s">
        <v>13772</v>
      </c>
      <c r="DU995" t="s">
        <v>27352</v>
      </c>
      <c r="DV995" t="s">
        <v>27353</v>
      </c>
      <c r="DW995" t="s">
        <v>13812</v>
      </c>
      <c r="DX995" t="s">
        <v>27354</v>
      </c>
      <c r="DY995" t="s">
        <v>27355</v>
      </c>
      <c r="DZ995" t="s">
        <v>27356</v>
      </c>
      <c r="EA995" t="s">
        <v>13772</v>
      </c>
      <c r="EB995" t="s">
        <v>16093</v>
      </c>
    </row>
    <row r="996" spans="1:132" hidden="1">
      <c r="A996">
        <v>1525</v>
      </c>
      <c r="B996">
        <v>1</v>
      </c>
      <c r="C996" t="s">
        <v>3629</v>
      </c>
      <c r="D996" t="s">
        <v>3630</v>
      </c>
      <c r="E996" t="s">
        <v>73</v>
      </c>
      <c r="F996" t="s">
        <v>73</v>
      </c>
      <c r="G996" t="s">
        <v>73</v>
      </c>
      <c r="H996">
        <v>19.399999999999999</v>
      </c>
      <c r="I996">
        <v>770</v>
      </c>
      <c r="J996">
        <v>82704</v>
      </c>
      <c r="K996" t="s">
        <v>3631</v>
      </c>
      <c r="L996">
        <f t="shared" si="62"/>
        <v>26</v>
      </c>
      <c r="N996">
        <v>26</v>
      </c>
      <c r="O996">
        <v>26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11</v>
      </c>
      <c r="V996">
        <v>6</v>
      </c>
      <c r="W996">
        <v>0</v>
      </c>
      <c r="X996">
        <v>0</v>
      </c>
      <c r="Y996">
        <v>4</v>
      </c>
      <c r="Z996">
        <v>0</v>
      </c>
      <c r="AA996">
        <v>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11</v>
      </c>
      <c r="AO996">
        <v>6</v>
      </c>
      <c r="AP996">
        <v>0</v>
      </c>
      <c r="AQ996">
        <v>0</v>
      </c>
      <c r="AR996">
        <v>4</v>
      </c>
      <c r="AS996">
        <v>0</v>
      </c>
      <c r="AT996">
        <v>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 s="2">
        <v>1</v>
      </c>
      <c r="BD996" s="2">
        <v>1</v>
      </c>
      <c r="BE996" s="2">
        <v>0</v>
      </c>
      <c r="BF996" s="2">
        <v>0</v>
      </c>
      <c r="BG996" s="2">
        <v>11</v>
      </c>
      <c r="BH996" s="2">
        <v>6</v>
      </c>
      <c r="BI996" s="2">
        <v>0</v>
      </c>
      <c r="BJ996" s="2">
        <v>0</v>
      </c>
      <c r="BK996" s="2">
        <v>4</v>
      </c>
      <c r="BL996" s="2">
        <v>0</v>
      </c>
      <c r="BM996" s="2">
        <v>3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f t="shared" si="65"/>
        <v>26</v>
      </c>
      <c r="BW996" s="16">
        <f t="shared" si="63"/>
        <v>1.368421052631579</v>
      </c>
      <c r="BX996" s="16">
        <f>COUNTIF($BC$6:BU996, "=0") / COUNTIF($BC$6:BU996, "&gt;-1")</f>
        <v>0.27255828774762336</v>
      </c>
      <c r="BY996" s="18">
        <f>SUM($BC$6:BU996) / $BY$4</f>
        <v>0.94087295601768761</v>
      </c>
      <c r="BZ996" s="14">
        <f t="shared" si="64"/>
        <v>13</v>
      </c>
      <c r="CA996" t="s">
        <v>5832</v>
      </c>
      <c r="CZ996" t="s">
        <v>10821</v>
      </c>
      <c r="DA996" t="s">
        <v>5904</v>
      </c>
      <c r="DB996">
        <v>1264.5999999999999</v>
      </c>
      <c r="DC996" t="s">
        <v>28433</v>
      </c>
      <c r="DD996" t="s">
        <v>28434</v>
      </c>
      <c r="DE996" t="s">
        <v>28435</v>
      </c>
      <c r="DF996" t="s">
        <v>28436</v>
      </c>
      <c r="DG996" t="s">
        <v>28437</v>
      </c>
      <c r="DH996" t="str">
        <f>"DAB2"</f>
        <v>DAB2</v>
      </c>
      <c r="DI996" t="s">
        <v>28438</v>
      </c>
      <c r="DJ996" t="s">
        <v>13777</v>
      </c>
      <c r="DK996">
        <v>9606</v>
      </c>
      <c r="DL996" s="34" t="str">
        <f>HYPERLINK("http://www.uniprot.org/uniprot/P98082", "P98082")</f>
        <v>P98082</v>
      </c>
      <c r="DM996" t="s">
        <v>28439</v>
      </c>
      <c r="DN996" t="s">
        <v>28440</v>
      </c>
      <c r="DO996" t="s">
        <v>28441</v>
      </c>
      <c r="DP996" t="s">
        <v>13780</v>
      </c>
      <c r="DQ996" t="s">
        <v>13772</v>
      </c>
      <c r="DR996" t="s">
        <v>14505</v>
      </c>
      <c r="DS996" t="s">
        <v>13772</v>
      </c>
      <c r="DT996" t="s">
        <v>13772</v>
      </c>
      <c r="DU996" t="s">
        <v>14727</v>
      </c>
      <c r="DV996" t="s">
        <v>13886</v>
      </c>
      <c r="DW996" t="s">
        <v>13812</v>
      </c>
      <c r="DX996" t="s">
        <v>28442</v>
      </c>
      <c r="DY996" t="s">
        <v>28443</v>
      </c>
      <c r="DZ996" t="s">
        <v>28444</v>
      </c>
      <c r="EA996" t="s">
        <v>13772</v>
      </c>
      <c r="EB996" t="s">
        <v>28445</v>
      </c>
    </row>
    <row r="997" spans="1:132" hidden="1">
      <c r="A997">
        <v>1565</v>
      </c>
      <c r="B997">
        <v>1</v>
      </c>
      <c r="C997" t="s">
        <v>3709</v>
      </c>
      <c r="D997" t="s">
        <v>3710</v>
      </c>
      <c r="E997" t="s">
        <v>73</v>
      </c>
      <c r="F997" t="s">
        <v>73</v>
      </c>
      <c r="G997" t="s">
        <v>73</v>
      </c>
      <c r="H997">
        <v>12.6</v>
      </c>
      <c r="I997">
        <v>769</v>
      </c>
      <c r="J997">
        <v>86155</v>
      </c>
      <c r="K997" t="s">
        <v>3711</v>
      </c>
      <c r="L997">
        <f t="shared" si="62"/>
        <v>26</v>
      </c>
      <c r="N997">
        <v>26</v>
      </c>
      <c r="O997">
        <v>26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6</v>
      </c>
      <c r="AB997">
        <v>3</v>
      </c>
      <c r="AC997">
        <v>3</v>
      </c>
      <c r="AD997">
        <v>0</v>
      </c>
      <c r="AE997">
        <v>5</v>
      </c>
      <c r="AF997">
        <v>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6</v>
      </c>
      <c r="AU997">
        <v>3</v>
      </c>
      <c r="AV997">
        <v>3</v>
      </c>
      <c r="AW997">
        <v>0</v>
      </c>
      <c r="AX997">
        <v>5</v>
      </c>
      <c r="AY997">
        <v>8</v>
      </c>
      <c r="AZ997">
        <v>0</v>
      </c>
      <c r="BA997">
        <v>0</v>
      </c>
      <c r="BB997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1</v>
      </c>
      <c r="BL997" s="2">
        <v>0</v>
      </c>
      <c r="BM997" s="2">
        <v>6</v>
      </c>
      <c r="BN997" s="2">
        <v>3</v>
      </c>
      <c r="BO997" s="2">
        <v>3</v>
      </c>
      <c r="BP997" s="2">
        <v>0</v>
      </c>
      <c r="BQ997" s="2">
        <v>5</v>
      </c>
      <c r="BR997" s="2">
        <v>8</v>
      </c>
      <c r="BS997" s="2">
        <v>0</v>
      </c>
      <c r="BT997" s="2">
        <v>0</v>
      </c>
      <c r="BU997" s="2">
        <v>0</v>
      </c>
      <c r="BV997" s="2">
        <f t="shared" si="65"/>
        <v>26</v>
      </c>
      <c r="BW997" s="16">
        <f t="shared" si="63"/>
        <v>1.368421052631579</v>
      </c>
      <c r="BX997" s="16">
        <f>COUNTIF($BC$6:BU997, "=0") / COUNTIF($BC$6:BU997, "&gt;-1")</f>
        <v>0.27297325976230902</v>
      </c>
      <c r="BY997" s="18">
        <f>SUM($BC$6:BU997) / $BY$4</f>
        <v>0.94098433057627384</v>
      </c>
      <c r="BZ997" s="14">
        <f t="shared" si="64"/>
        <v>13</v>
      </c>
      <c r="CA997" t="s">
        <v>5832</v>
      </c>
      <c r="CZ997" t="s">
        <v>10956</v>
      </c>
      <c r="DA997" t="s">
        <v>5904</v>
      </c>
      <c r="DB997">
        <v>1179.5</v>
      </c>
      <c r="DC997" t="s">
        <v>28823</v>
      </c>
      <c r="DD997" t="s">
        <v>28824</v>
      </c>
      <c r="DE997" t="s">
        <v>28825</v>
      </c>
      <c r="DF997" t="s">
        <v>28826</v>
      </c>
      <c r="DG997" t="s">
        <v>28827</v>
      </c>
      <c r="DH997" t="str">
        <f>"AP4B1"</f>
        <v>AP4B1</v>
      </c>
      <c r="DI997" t="s">
        <v>13772</v>
      </c>
      <c r="DJ997" t="s">
        <v>13777</v>
      </c>
      <c r="DK997">
        <v>9606</v>
      </c>
      <c r="DL997" s="34" t="str">
        <f>HYPERLINK("http://www.uniprot.org/uniprot/Q9Y6B7", "Q9Y6B7")</f>
        <v>Q9Y6B7</v>
      </c>
      <c r="DM997" t="s">
        <v>28828</v>
      </c>
      <c r="DN997" t="s">
        <v>14347</v>
      </c>
      <c r="DO997" t="s">
        <v>18298</v>
      </c>
      <c r="DP997" t="s">
        <v>13780</v>
      </c>
      <c r="DQ997" t="s">
        <v>13772</v>
      </c>
      <c r="DR997" t="s">
        <v>26380</v>
      </c>
      <c r="DS997" t="s">
        <v>13772</v>
      </c>
      <c r="DT997" t="s">
        <v>13772</v>
      </c>
      <c r="DU997" t="s">
        <v>13772</v>
      </c>
      <c r="DV997" t="s">
        <v>13772</v>
      </c>
      <c r="DW997" t="s">
        <v>13812</v>
      </c>
      <c r="DX997" t="s">
        <v>28829</v>
      </c>
      <c r="DY997" t="s">
        <v>28830</v>
      </c>
      <c r="DZ997" t="s">
        <v>24937</v>
      </c>
      <c r="EA997" t="s">
        <v>13772</v>
      </c>
      <c r="EB997" t="s">
        <v>28831</v>
      </c>
    </row>
    <row r="998" spans="1:132" hidden="1">
      <c r="A998">
        <v>1709</v>
      </c>
      <c r="B998">
        <v>1</v>
      </c>
      <c r="C998" t="s">
        <v>4054</v>
      </c>
      <c r="D998" t="s">
        <v>73</v>
      </c>
      <c r="E998" t="s">
        <v>73</v>
      </c>
      <c r="F998" t="s">
        <v>73</v>
      </c>
      <c r="G998" t="s">
        <v>73</v>
      </c>
      <c r="H998">
        <v>25.1</v>
      </c>
      <c r="I998">
        <v>533</v>
      </c>
      <c r="J998">
        <v>56585</v>
      </c>
      <c r="K998" t="s">
        <v>4055</v>
      </c>
      <c r="L998">
        <f t="shared" si="62"/>
        <v>26</v>
      </c>
      <c r="N998">
        <v>26</v>
      </c>
      <c r="O998">
        <v>26</v>
      </c>
      <c r="P998">
        <v>1</v>
      </c>
      <c r="Q998">
        <v>2</v>
      </c>
      <c r="R998">
        <v>5</v>
      </c>
      <c r="S998">
        <v>0</v>
      </c>
      <c r="T998">
        <v>0</v>
      </c>
      <c r="U998">
        <v>7</v>
      </c>
      <c r="V998">
        <v>2</v>
      </c>
      <c r="W998">
        <v>0</v>
      </c>
      <c r="X998">
        <v>1</v>
      </c>
      <c r="Y998">
        <v>0</v>
      </c>
      <c r="Z998">
        <v>0</v>
      </c>
      <c r="AA998">
        <v>4</v>
      </c>
      <c r="AB998">
        <v>1</v>
      </c>
      <c r="AC998">
        <v>1</v>
      </c>
      <c r="AD998">
        <v>0</v>
      </c>
      <c r="AE998">
        <v>2</v>
      </c>
      <c r="AF998">
        <v>1</v>
      </c>
      <c r="AG998">
        <v>0</v>
      </c>
      <c r="AH998">
        <v>0</v>
      </c>
      <c r="AI998">
        <v>0</v>
      </c>
      <c r="AJ998">
        <v>2</v>
      </c>
      <c r="AK998">
        <v>5</v>
      </c>
      <c r="AL998">
        <v>0</v>
      </c>
      <c r="AM998">
        <v>0</v>
      </c>
      <c r="AN998">
        <v>7</v>
      </c>
      <c r="AO998">
        <v>2</v>
      </c>
      <c r="AP998">
        <v>0</v>
      </c>
      <c r="AQ998">
        <v>1</v>
      </c>
      <c r="AR998">
        <v>0</v>
      </c>
      <c r="AS998">
        <v>0</v>
      </c>
      <c r="AT998">
        <v>4</v>
      </c>
      <c r="AU998">
        <v>1</v>
      </c>
      <c r="AV998">
        <v>1</v>
      </c>
      <c r="AW998">
        <v>0</v>
      </c>
      <c r="AX998">
        <v>2</v>
      </c>
      <c r="AY998">
        <v>1</v>
      </c>
      <c r="AZ998">
        <v>0</v>
      </c>
      <c r="BA998">
        <v>0</v>
      </c>
      <c r="BB998">
        <v>0</v>
      </c>
      <c r="BC998" s="2">
        <v>2</v>
      </c>
      <c r="BD998" s="2">
        <v>5</v>
      </c>
      <c r="BE998" s="2">
        <v>0</v>
      </c>
      <c r="BF998" s="2">
        <v>0</v>
      </c>
      <c r="BG998" s="2">
        <v>7</v>
      </c>
      <c r="BH998" s="2">
        <v>2</v>
      </c>
      <c r="BI998" s="2">
        <v>0</v>
      </c>
      <c r="BJ998" s="2">
        <v>1</v>
      </c>
      <c r="BK998" s="2">
        <v>0</v>
      </c>
      <c r="BL998" s="2">
        <v>0</v>
      </c>
      <c r="BM998" s="2">
        <v>4</v>
      </c>
      <c r="BN998" s="2">
        <v>1</v>
      </c>
      <c r="BO998" s="2">
        <v>1</v>
      </c>
      <c r="BP998" s="2">
        <v>0</v>
      </c>
      <c r="BQ998" s="2">
        <v>2</v>
      </c>
      <c r="BR998" s="2">
        <v>1</v>
      </c>
      <c r="BS998" s="2">
        <v>0</v>
      </c>
      <c r="BT998" s="2">
        <v>0</v>
      </c>
      <c r="BU998" s="2">
        <v>0</v>
      </c>
      <c r="BV998" s="2">
        <f t="shared" si="65"/>
        <v>26</v>
      </c>
      <c r="BW998" s="16">
        <f t="shared" si="63"/>
        <v>1.368421052631579</v>
      </c>
      <c r="BX998" s="16">
        <f>COUNTIF($BC$6:BU998, "=0") / COUNTIF($BC$6:BU998, "&gt;-1")</f>
        <v>0.27317538559389409</v>
      </c>
      <c r="BY998" s="18">
        <f>SUM($BC$6:BU998) / $BY$4</f>
        <v>0.94109570513486007</v>
      </c>
      <c r="BZ998" s="14">
        <f t="shared" si="64"/>
        <v>9</v>
      </c>
      <c r="CA998" t="s">
        <v>5832</v>
      </c>
      <c r="CZ998" t="s">
        <v>11452</v>
      </c>
      <c r="DA998" t="s">
        <v>5904</v>
      </c>
      <c r="DB998">
        <v>1016.1</v>
      </c>
      <c r="DC998" t="s">
        <v>30198</v>
      </c>
      <c r="DD998" t="s">
        <v>30199</v>
      </c>
      <c r="DE998" t="s">
        <v>30200</v>
      </c>
      <c r="DF998" t="s">
        <v>30201</v>
      </c>
      <c r="DG998" t="s">
        <v>30202</v>
      </c>
      <c r="DH998" t="str">
        <f>"PHGDH"</f>
        <v>PHGDH</v>
      </c>
      <c r="DI998" t="s">
        <v>30203</v>
      </c>
      <c r="DJ998" t="s">
        <v>13777</v>
      </c>
      <c r="DK998">
        <v>9606</v>
      </c>
      <c r="DL998" s="34" t="str">
        <f>HYPERLINK("http://www.uniprot.org/uniprot/O43175", "O43175")</f>
        <v>O43175</v>
      </c>
      <c r="DM998" t="s">
        <v>30204</v>
      </c>
      <c r="DN998" t="s">
        <v>30205</v>
      </c>
      <c r="DO998" t="s">
        <v>13772</v>
      </c>
      <c r="DP998" t="s">
        <v>13772</v>
      </c>
      <c r="DQ998" t="s">
        <v>13772</v>
      </c>
      <c r="DR998" t="s">
        <v>13807</v>
      </c>
      <c r="DS998" t="s">
        <v>13772</v>
      </c>
      <c r="DT998" t="s">
        <v>14492</v>
      </c>
      <c r="DU998" t="s">
        <v>13885</v>
      </c>
      <c r="DV998" t="s">
        <v>13991</v>
      </c>
      <c r="DW998" t="s">
        <v>13812</v>
      </c>
      <c r="DX998" t="s">
        <v>30206</v>
      </c>
      <c r="DY998" t="s">
        <v>15111</v>
      </c>
      <c r="DZ998" t="s">
        <v>30207</v>
      </c>
      <c r="EA998" t="s">
        <v>30208</v>
      </c>
      <c r="EB998" t="s">
        <v>30209</v>
      </c>
    </row>
    <row r="999" spans="1:132" hidden="1">
      <c r="A999">
        <v>1861</v>
      </c>
      <c r="B999">
        <v>1</v>
      </c>
      <c r="C999" t="s">
        <v>4399</v>
      </c>
      <c r="D999" t="s">
        <v>73</v>
      </c>
      <c r="E999" t="s">
        <v>73</v>
      </c>
      <c r="F999" t="s">
        <v>73</v>
      </c>
      <c r="G999" t="s">
        <v>73</v>
      </c>
      <c r="H999">
        <v>16.2</v>
      </c>
      <c r="I999">
        <v>198</v>
      </c>
      <c r="J999">
        <v>21862</v>
      </c>
      <c r="K999" t="s">
        <v>4400</v>
      </c>
      <c r="L999">
        <f t="shared" si="62"/>
        <v>26</v>
      </c>
      <c r="N999">
        <v>26</v>
      </c>
      <c r="O999">
        <v>26</v>
      </c>
      <c r="P999">
        <v>1</v>
      </c>
      <c r="Q999">
        <v>0</v>
      </c>
      <c r="R999">
        <v>3</v>
      </c>
      <c r="S999">
        <v>3</v>
      </c>
      <c r="T999">
        <v>5</v>
      </c>
      <c r="U999">
        <v>5</v>
      </c>
      <c r="V999">
        <v>5</v>
      </c>
      <c r="W999">
        <v>3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</v>
      </c>
      <c r="AL999">
        <v>3</v>
      </c>
      <c r="AM999">
        <v>5</v>
      </c>
      <c r="AN999">
        <v>5</v>
      </c>
      <c r="AO999">
        <v>5</v>
      </c>
      <c r="AP999">
        <v>3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 s="2">
        <v>0</v>
      </c>
      <c r="BD999" s="2">
        <v>3</v>
      </c>
      <c r="BE999" s="2">
        <v>3</v>
      </c>
      <c r="BF999" s="2">
        <v>5</v>
      </c>
      <c r="BG999" s="2">
        <v>5</v>
      </c>
      <c r="BH999" s="2">
        <v>5</v>
      </c>
      <c r="BI999" s="2">
        <v>3</v>
      </c>
      <c r="BJ999" s="2">
        <v>2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f t="shared" si="65"/>
        <v>26</v>
      </c>
      <c r="BW999" s="16">
        <f t="shared" si="63"/>
        <v>1.368421052631579</v>
      </c>
      <c r="BX999" s="16">
        <f>COUNTIF($BC$6:BU999, "=0") / COUNTIF($BC$6:BU999, "&gt;-1")</f>
        <v>0.27353595255744995</v>
      </c>
      <c r="BY999" s="18">
        <f>SUM($BC$6:BU999) / $BY$4</f>
        <v>0.94120707969344619</v>
      </c>
      <c r="BZ999" s="14">
        <f t="shared" si="64"/>
        <v>12</v>
      </c>
      <c r="CA999" t="s">
        <v>5832</v>
      </c>
      <c r="CZ999" t="s">
        <v>11968</v>
      </c>
      <c r="DA999" t="s">
        <v>5896</v>
      </c>
      <c r="DB999">
        <v>224.2</v>
      </c>
      <c r="DC999" t="s">
        <v>31681</v>
      </c>
      <c r="DD999" t="s">
        <v>31682</v>
      </c>
      <c r="DE999" t="s">
        <v>31683</v>
      </c>
      <c r="DF999" t="s">
        <v>31684</v>
      </c>
      <c r="DG999" t="s">
        <v>31685</v>
      </c>
      <c r="DH999" t="str">
        <f>"C4BPA"</f>
        <v>C4BPA</v>
      </c>
      <c r="DI999" t="s">
        <v>31686</v>
      </c>
      <c r="DJ999" t="s">
        <v>13777</v>
      </c>
      <c r="DK999">
        <v>9606</v>
      </c>
      <c r="DL999" s="34" t="str">
        <f>HYPERLINK("http://www.uniprot.org/uniprot/P04003", "P04003")</f>
        <v>P04003</v>
      </c>
      <c r="DM999" t="s">
        <v>31687</v>
      </c>
      <c r="DN999" t="s">
        <v>20457</v>
      </c>
      <c r="DO999" t="s">
        <v>14321</v>
      </c>
      <c r="DP999" t="s">
        <v>13793</v>
      </c>
      <c r="DQ999" t="s">
        <v>13772</v>
      </c>
      <c r="DR999" t="s">
        <v>13772</v>
      </c>
      <c r="DS999" t="s">
        <v>28012</v>
      </c>
      <c r="DT999" t="s">
        <v>13772</v>
      </c>
      <c r="DU999" t="s">
        <v>13772</v>
      </c>
      <c r="DV999" t="s">
        <v>13796</v>
      </c>
      <c r="DW999" t="s">
        <v>13812</v>
      </c>
      <c r="DX999" t="s">
        <v>31688</v>
      </c>
      <c r="DY999" t="s">
        <v>31689</v>
      </c>
      <c r="DZ999" t="s">
        <v>14235</v>
      </c>
      <c r="EA999" t="s">
        <v>13772</v>
      </c>
      <c r="EB999" t="s">
        <v>22277</v>
      </c>
    </row>
    <row r="1000" spans="1:132" hidden="1">
      <c r="A1000">
        <v>1957</v>
      </c>
      <c r="B1000">
        <v>1</v>
      </c>
      <c r="C1000" t="s">
        <v>4617</v>
      </c>
      <c r="D1000" t="s">
        <v>73</v>
      </c>
      <c r="E1000" t="s">
        <v>73</v>
      </c>
      <c r="F1000" t="s">
        <v>73</v>
      </c>
      <c r="G1000" t="s">
        <v>73</v>
      </c>
      <c r="H1000">
        <v>25.4</v>
      </c>
      <c r="I1000">
        <v>497</v>
      </c>
      <c r="J1000">
        <v>55169</v>
      </c>
      <c r="K1000" t="s">
        <v>4618</v>
      </c>
      <c r="L1000">
        <f t="shared" si="62"/>
        <v>26</v>
      </c>
      <c r="N1000">
        <v>26</v>
      </c>
      <c r="O1000">
        <v>26</v>
      </c>
      <c r="P1000">
        <v>1</v>
      </c>
      <c r="Q1000">
        <v>2</v>
      </c>
      <c r="R1000">
        <v>3</v>
      </c>
      <c r="S1000">
        <v>0</v>
      </c>
      <c r="T1000">
        <v>0</v>
      </c>
      <c r="U1000">
        <v>1</v>
      </c>
      <c r="V1000">
        <v>2</v>
      </c>
      <c r="W1000">
        <v>5</v>
      </c>
      <c r="X1000">
        <v>11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3</v>
      </c>
      <c r="AL1000">
        <v>0</v>
      </c>
      <c r="AM1000">
        <v>0</v>
      </c>
      <c r="AN1000">
        <v>1</v>
      </c>
      <c r="AO1000">
        <v>2</v>
      </c>
      <c r="AP1000">
        <v>5</v>
      </c>
      <c r="AQ1000">
        <v>11</v>
      </c>
      <c r="AR1000">
        <v>0</v>
      </c>
      <c r="AS1000">
        <v>0</v>
      </c>
      <c r="AT1000">
        <v>0</v>
      </c>
      <c r="AU1000">
        <v>2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 s="2">
        <v>2</v>
      </c>
      <c r="BD1000" s="2">
        <v>3</v>
      </c>
      <c r="BE1000" s="2">
        <v>0</v>
      </c>
      <c r="BF1000" s="2">
        <v>0</v>
      </c>
      <c r="BG1000" s="2">
        <v>1</v>
      </c>
      <c r="BH1000" s="2">
        <v>2</v>
      </c>
      <c r="BI1000" s="2">
        <v>5</v>
      </c>
      <c r="BJ1000" s="2">
        <v>11</v>
      </c>
      <c r="BK1000" s="2">
        <v>0</v>
      </c>
      <c r="BL1000" s="2">
        <v>0</v>
      </c>
      <c r="BM1000" s="2">
        <v>0</v>
      </c>
      <c r="BN1000" s="2">
        <v>2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f t="shared" si="65"/>
        <v>26</v>
      </c>
      <c r="BW1000" s="16">
        <f t="shared" si="63"/>
        <v>1.368421052631579</v>
      </c>
      <c r="BX1000" s="16">
        <f>COUNTIF($BC$6:BU1000, "=0") / COUNTIF($BC$6:BU1000, "&gt;-1")</f>
        <v>0.27389579476329012</v>
      </c>
      <c r="BY1000" s="18">
        <f>SUM($BC$6:BU1000) / $BY$4</f>
        <v>0.94131845425203242</v>
      </c>
      <c r="BZ1000" s="14">
        <f t="shared" si="64"/>
        <v>12</v>
      </c>
      <c r="CA1000" t="s">
        <v>5832</v>
      </c>
      <c r="CZ1000" t="s">
        <v>12280</v>
      </c>
      <c r="DA1000" t="s">
        <v>5904</v>
      </c>
      <c r="DB1000">
        <v>779.2</v>
      </c>
      <c r="DC1000" t="s">
        <v>32541</v>
      </c>
      <c r="DD1000" t="s">
        <v>32542</v>
      </c>
      <c r="DE1000" t="s">
        <v>32543</v>
      </c>
      <c r="DF1000" t="s">
        <v>32544</v>
      </c>
      <c r="DG1000" t="s">
        <v>32545</v>
      </c>
      <c r="DH1000" t="str">
        <f>"DPP7"</f>
        <v>DPP7</v>
      </c>
      <c r="DI1000" t="s">
        <v>32546</v>
      </c>
      <c r="DJ1000" t="s">
        <v>13777</v>
      </c>
      <c r="DK1000">
        <v>9606</v>
      </c>
      <c r="DL1000" s="34" t="str">
        <f>HYPERLINK("http://www.uniprot.org/uniprot/Q9UHL4", "Q9UHL4")</f>
        <v>Q9UHL4</v>
      </c>
      <c r="DM1000" t="s">
        <v>32547</v>
      </c>
      <c r="DN1000" t="s">
        <v>13772</v>
      </c>
      <c r="DO1000" t="s">
        <v>32548</v>
      </c>
      <c r="DP1000" t="s">
        <v>13793</v>
      </c>
      <c r="DQ1000" t="s">
        <v>13772</v>
      </c>
      <c r="DR1000" t="s">
        <v>13772</v>
      </c>
      <c r="DS1000" t="s">
        <v>13808</v>
      </c>
      <c r="DT1000" t="s">
        <v>13772</v>
      </c>
      <c r="DU1000" t="s">
        <v>32549</v>
      </c>
      <c r="DV1000" t="s">
        <v>15541</v>
      </c>
      <c r="DW1000" t="s">
        <v>13812</v>
      </c>
      <c r="DX1000" t="s">
        <v>32550</v>
      </c>
      <c r="DY1000" t="s">
        <v>32551</v>
      </c>
      <c r="DZ1000" t="s">
        <v>32552</v>
      </c>
      <c r="EA1000" t="s">
        <v>13772</v>
      </c>
      <c r="EB1000" t="s">
        <v>13890</v>
      </c>
    </row>
    <row r="1001" spans="1:132" hidden="1">
      <c r="A1001">
        <v>2104</v>
      </c>
      <c r="B1001">
        <v>1</v>
      </c>
      <c r="C1001" t="s">
        <v>4940</v>
      </c>
      <c r="D1001" t="s">
        <v>73</v>
      </c>
      <c r="E1001" t="s">
        <v>73</v>
      </c>
      <c r="F1001" t="s">
        <v>73</v>
      </c>
      <c r="G1001" t="s">
        <v>73</v>
      </c>
      <c r="H1001">
        <v>13.9</v>
      </c>
      <c r="I1001">
        <v>252</v>
      </c>
      <c r="J1001">
        <v>28031</v>
      </c>
      <c r="K1001" t="s">
        <v>4941</v>
      </c>
      <c r="L1001">
        <f t="shared" si="62"/>
        <v>26</v>
      </c>
      <c r="N1001">
        <v>26</v>
      </c>
      <c r="O1001">
        <v>26</v>
      </c>
      <c r="P1001">
        <v>1</v>
      </c>
      <c r="Q1001">
        <v>3</v>
      </c>
      <c r="R1001">
        <v>3</v>
      </c>
      <c r="S1001">
        <v>2</v>
      </c>
      <c r="T1001">
        <v>2</v>
      </c>
      <c r="U1001">
        <v>1</v>
      </c>
      <c r="V1001">
        <v>1</v>
      </c>
      <c r="W1001">
        <v>2</v>
      </c>
      <c r="X1001">
        <v>1</v>
      </c>
      <c r="Y1001">
        <v>1</v>
      </c>
      <c r="Z1001">
        <v>0</v>
      </c>
      <c r="AA1001">
        <v>2</v>
      </c>
      <c r="AB1001">
        <v>1</v>
      </c>
      <c r="AC1001">
        <v>2</v>
      </c>
      <c r="AD1001">
        <v>0</v>
      </c>
      <c r="AE1001">
        <v>1</v>
      </c>
      <c r="AF1001">
        <v>2</v>
      </c>
      <c r="AG1001">
        <v>0</v>
      </c>
      <c r="AH1001">
        <v>1</v>
      </c>
      <c r="AI1001">
        <v>1</v>
      </c>
      <c r="AJ1001">
        <v>3</v>
      </c>
      <c r="AK1001">
        <v>3</v>
      </c>
      <c r="AL1001">
        <v>2</v>
      </c>
      <c r="AM1001">
        <v>2</v>
      </c>
      <c r="AN1001">
        <v>1</v>
      </c>
      <c r="AO1001">
        <v>1</v>
      </c>
      <c r="AP1001">
        <v>2</v>
      </c>
      <c r="AQ1001">
        <v>1</v>
      </c>
      <c r="AR1001">
        <v>1</v>
      </c>
      <c r="AS1001">
        <v>0</v>
      </c>
      <c r="AT1001">
        <v>2</v>
      </c>
      <c r="AU1001">
        <v>1</v>
      </c>
      <c r="AV1001">
        <v>2</v>
      </c>
      <c r="AW1001">
        <v>0</v>
      </c>
      <c r="AX1001">
        <v>1</v>
      </c>
      <c r="AY1001">
        <v>2</v>
      </c>
      <c r="AZ1001">
        <v>0</v>
      </c>
      <c r="BA1001">
        <v>1</v>
      </c>
      <c r="BB1001">
        <v>1</v>
      </c>
      <c r="BC1001" s="2">
        <v>3</v>
      </c>
      <c r="BD1001" s="2">
        <v>3</v>
      </c>
      <c r="BE1001" s="2">
        <v>2</v>
      </c>
      <c r="BF1001" s="2">
        <v>2</v>
      </c>
      <c r="BG1001" s="2">
        <v>1</v>
      </c>
      <c r="BH1001" s="2">
        <v>1</v>
      </c>
      <c r="BI1001" s="2">
        <v>2</v>
      </c>
      <c r="BJ1001" s="2">
        <v>1</v>
      </c>
      <c r="BK1001" s="2">
        <v>1</v>
      </c>
      <c r="BL1001" s="2">
        <v>0</v>
      </c>
      <c r="BM1001" s="2">
        <v>2</v>
      </c>
      <c r="BN1001" s="2">
        <v>1</v>
      </c>
      <c r="BO1001" s="2">
        <v>2</v>
      </c>
      <c r="BP1001" s="2">
        <v>0</v>
      </c>
      <c r="BQ1001" s="2">
        <v>1</v>
      </c>
      <c r="BR1001" s="2">
        <v>2</v>
      </c>
      <c r="BS1001" s="2">
        <v>0</v>
      </c>
      <c r="BT1001" s="2">
        <v>1</v>
      </c>
      <c r="BU1001" s="2">
        <v>1</v>
      </c>
      <c r="BV1001" s="2">
        <f t="shared" si="65"/>
        <v>26</v>
      </c>
      <c r="BW1001" s="16">
        <f t="shared" si="63"/>
        <v>1.368421052631579</v>
      </c>
      <c r="BX1001" s="16">
        <f>COUNTIF($BC$6:BU1001, "=0") / COUNTIF($BC$6:BU1001, "&gt;-1")</f>
        <v>0.27377932783766645</v>
      </c>
      <c r="BY1001" s="18">
        <f>SUM($BC$6:BU1001) / $BY$4</f>
        <v>0.94142982881061865</v>
      </c>
      <c r="BZ1001" s="14">
        <f t="shared" si="64"/>
        <v>3</v>
      </c>
      <c r="CA1001" t="s">
        <v>5832</v>
      </c>
      <c r="CZ1001" t="s">
        <v>12763</v>
      </c>
      <c r="DA1001" t="s">
        <v>5904</v>
      </c>
      <c r="DB1001">
        <v>379.4</v>
      </c>
      <c r="DC1001" t="s">
        <v>33916</v>
      </c>
      <c r="DD1001" t="s">
        <v>33917</v>
      </c>
      <c r="DE1001" t="s">
        <v>33918</v>
      </c>
      <c r="DF1001" t="s">
        <v>33919</v>
      </c>
      <c r="DG1001" t="s">
        <v>33920</v>
      </c>
      <c r="DH1001" t="str">
        <f>"SPINT2"</f>
        <v>SPINT2</v>
      </c>
      <c r="DI1001" t="s">
        <v>33921</v>
      </c>
      <c r="DJ1001" t="s">
        <v>13777</v>
      </c>
      <c r="DK1001">
        <v>9606</v>
      </c>
      <c r="DL1001" s="34" t="str">
        <f>HYPERLINK("http://www.uniprot.org/uniprot/O43291", "O43291")</f>
        <v>O43291</v>
      </c>
      <c r="DM1001" t="s">
        <v>33922</v>
      </c>
      <c r="DN1001" t="s">
        <v>13772</v>
      </c>
      <c r="DO1001" t="s">
        <v>13825</v>
      </c>
      <c r="DP1001" t="s">
        <v>13780</v>
      </c>
      <c r="DQ1001" t="s">
        <v>13772</v>
      </c>
      <c r="DR1001" t="s">
        <v>13807</v>
      </c>
      <c r="DS1001" t="s">
        <v>13826</v>
      </c>
      <c r="DT1001" t="s">
        <v>13772</v>
      </c>
      <c r="DU1001" t="s">
        <v>14375</v>
      </c>
      <c r="DV1001" t="s">
        <v>13796</v>
      </c>
      <c r="DW1001" t="s">
        <v>13812</v>
      </c>
      <c r="DX1001" t="s">
        <v>33923</v>
      </c>
      <c r="DY1001" t="s">
        <v>33924</v>
      </c>
      <c r="DZ1001" t="s">
        <v>20851</v>
      </c>
      <c r="EA1001" t="s">
        <v>13772</v>
      </c>
      <c r="EB1001" t="s">
        <v>16385</v>
      </c>
    </row>
    <row r="1002" spans="1:132" hidden="1">
      <c r="A1002">
        <v>1104</v>
      </c>
      <c r="B1002">
        <v>1</v>
      </c>
      <c r="C1002" t="s">
        <v>2656</v>
      </c>
      <c r="D1002" t="s">
        <v>2657</v>
      </c>
      <c r="E1002" t="s">
        <v>73</v>
      </c>
      <c r="F1002" t="s">
        <v>2658</v>
      </c>
      <c r="G1002" t="s">
        <v>73</v>
      </c>
      <c r="H1002">
        <v>28.3</v>
      </c>
      <c r="I1002">
        <v>283</v>
      </c>
      <c r="J1002">
        <v>30623</v>
      </c>
      <c r="K1002" t="s">
        <v>2659</v>
      </c>
      <c r="L1002">
        <f t="shared" si="62"/>
        <v>36</v>
      </c>
      <c r="N1002">
        <v>36</v>
      </c>
      <c r="O1002">
        <v>23</v>
      </c>
      <c r="P1002">
        <v>0.63900000000000001</v>
      </c>
      <c r="Q1002">
        <v>0</v>
      </c>
      <c r="R1002">
        <v>0</v>
      </c>
      <c r="S1002">
        <v>1</v>
      </c>
      <c r="T1002">
        <v>4</v>
      </c>
      <c r="U1002">
        <v>9</v>
      </c>
      <c r="V1002">
        <v>7</v>
      </c>
      <c r="W1002">
        <v>4</v>
      </c>
      <c r="X1002">
        <v>1</v>
      </c>
      <c r="Y1002">
        <v>0</v>
      </c>
      <c r="Z1002">
        <v>0</v>
      </c>
      <c r="AA1002">
        <v>3</v>
      </c>
      <c r="AB1002">
        <v>4</v>
      </c>
      <c r="AC1002">
        <v>0</v>
      </c>
      <c r="AD1002">
        <v>0</v>
      </c>
      <c r="AE1002">
        <v>0</v>
      </c>
      <c r="AF1002">
        <v>0</v>
      </c>
      <c r="AG1002">
        <v>3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4</v>
      </c>
      <c r="AN1002">
        <v>6</v>
      </c>
      <c r="AO1002">
        <v>3</v>
      </c>
      <c r="AP1002">
        <v>3</v>
      </c>
      <c r="AQ1002">
        <v>0</v>
      </c>
      <c r="AR1002">
        <v>0</v>
      </c>
      <c r="AS1002">
        <v>0</v>
      </c>
      <c r="AT1002">
        <v>1</v>
      </c>
      <c r="AU1002">
        <v>4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 s="2">
        <v>0</v>
      </c>
      <c r="BD1002" s="2">
        <v>0</v>
      </c>
      <c r="BE1002" s="2">
        <v>1</v>
      </c>
      <c r="BF1002" s="2">
        <v>4</v>
      </c>
      <c r="BG1002" s="2">
        <v>7.2</v>
      </c>
      <c r="BH1002" s="2">
        <v>3.8570000000000002</v>
      </c>
      <c r="BI1002" s="2">
        <v>3.25</v>
      </c>
      <c r="BJ1002" s="2">
        <v>0</v>
      </c>
      <c r="BK1002" s="2">
        <v>0</v>
      </c>
      <c r="BL1002" s="2">
        <v>0</v>
      </c>
      <c r="BM1002" s="2">
        <v>1.286</v>
      </c>
      <c r="BN1002" s="2">
        <v>4</v>
      </c>
      <c r="BO1002" s="2">
        <v>0</v>
      </c>
      <c r="BP1002" s="2">
        <v>0</v>
      </c>
      <c r="BQ1002" s="2">
        <v>0</v>
      </c>
      <c r="BR1002" s="2">
        <v>0</v>
      </c>
      <c r="BS1002" s="2">
        <v>1.1819999999999999</v>
      </c>
      <c r="BT1002" s="2">
        <v>0</v>
      </c>
      <c r="BU1002" s="2">
        <v>0</v>
      </c>
      <c r="BV1002" s="2">
        <f t="shared" si="65"/>
        <v>25.774999999999999</v>
      </c>
      <c r="BW1002" s="16">
        <f t="shared" si="63"/>
        <v>1.3565789473684209</v>
      </c>
      <c r="BX1002" s="16">
        <f>COUNTIF($BC$6:BU1002, "=0") / COUNTIF($BC$6:BU1002, "&gt;-1")</f>
        <v>0.27408541413714826</v>
      </c>
      <c r="BY1002" s="18">
        <f>SUM($BC$6:BU1002) / $BY$4</f>
        <v>0.94154023955090937</v>
      </c>
      <c r="BZ1002" s="14">
        <f t="shared" si="64"/>
        <v>11</v>
      </c>
      <c r="CA1002" t="s">
        <v>5832</v>
      </c>
      <c r="CZ1002" t="s">
        <v>9418</v>
      </c>
      <c r="DA1002" t="s">
        <v>5904</v>
      </c>
      <c r="DB1002">
        <v>568.9</v>
      </c>
      <c r="DC1002" t="s">
        <v>24489</v>
      </c>
      <c r="DD1002" t="s">
        <v>24490</v>
      </c>
      <c r="DE1002" t="s">
        <v>24491</v>
      </c>
      <c r="DF1002" t="s">
        <v>24492</v>
      </c>
      <c r="DG1002" t="s">
        <v>24493</v>
      </c>
      <c r="DH1002" t="str">
        <f>"VDAC3"</f>
        <v>VDAC3</v>
      </c>
      <c r="DI1002" t="s">
        <v>13772</v>
      </c>
      <c r="DJ1002" t="s">
        <v>13777</v>
      </c>
      <c r="DK1002">
        <v>9606</v>
      </c>
      <c r="DL1002" s="34" t="str">
        <f>HYPERLINK("http://www.uniprot.org/uniprot/Q9Y277", "Q9Y277")</f>
        <v>Q9Y277</v>
      </c>
      <c r="DM1002" t="s">
        <v>24494</v>
      </c>
      <c r="DN1002" t="s">
        <v>14288</v>
      </c>
      <c r="DO1002" t="s">
        <v>24495</v>
      </c>
      <c r="DP1002" t="s">
        <v>13841</v>
      </c>
      <c r="DQ1002" t="s">
        <v>13772</v>
      </c>
      <c r="DR1002" t="s">
        <v>13772</v>
      </c>
      <c r="DS1002" t="s">
        <v>24415</v>
      </c>
      <c r="DT1002" t="s">
        <v>24496</v>
      </c>
      <c r="DU1002" t="s">
        <v>24497</v>
      </c>
      <c r="DV1002" t="s">
        <v>13991</v>
      </c>
      <c r="DW1002" t="s">
        <v>13772</v>
      </c>
      <c r="DX1002" t="s">
        <v>24498</v>
      </c>
      <c r="DY1002" t="s">
        <v>24499</v>
      </c>
      <c r="DZ1002" t="s">
        <v>24500</v>
      </c>
      <c r="EA1002" t="s">
        <v>13772</v>
      </c>
      <c r="EB1002" t="s">
        <v>24501</v>
      </c>
    </row>
    <row r="1003" spans="1:132" hidden="1">
      <c r="A1003">
        <v>1315</v>
      </c>
      <c r="B1003">
        <v>1</v>
      </c>
      <c r="C1003" t="s">
        <v>3152</v>
      </c>
      <c r="D1003" t="s">
        <v>3153</v>
      </c>
      <c r="E1003" t="s">
        <v>73</v>
      </c>
      <c r="F1003" t="s">
        <v>3154</v>
      </c>
      <c r="G1003" t="s">
        <v>73</v>
      </c>
      <c r="H1003">
        <v>12.9</v>
      </c>
      <c r="I1003">
        <v>652</v>
      </c>
      <c r="J1003">
        <v>72788</v>
      </c>
      <c r="K1003" t="s">
        <v>3155</v>
      </c>
      <c r="L1003">
        <f t="shared" si="62"/>
        <v>29</v>
      </c>
      <c r="N1003">
        <v>29</v>
      </c>
      <c r="O1003">
        <v>25</v>
      </c>
      <c r="P1003">
        <v>0.86199999999999999</v>
      </c>
      <c r="Q1003">
        <v>2</v>
      </c>
      <c r="R1003">
        <v>1</v>
      </c>
      <c r="S1003">
        <v>1</v>
      </c>
      <c r="T1003">
        <v>2</v>
      </c>
      <c r="U1003">
        <v>1</v>
      </c>
      <c r="V1003">
        <v>1</v>
      </c>
      <c r="W1003">
        <v>4</v>
      </c>
      <c r="X1003">
        <v>0</v>
      </c>
      <c r="Y1003">
        <v>0</v>
      </c>
      <c r="Z1003">
        <v>2</v>
      </c>
      <c r="AA1003">
        <v>0</v>
      </c>
      <c r="AB1003">
        <v>1</v>
      </c>
      <c r="AC1003">
        <v>3</v>
      </c>
      <c r="AD1003">
        <v>4</v>
      </c>
      <c r="AE1003">
        <v>1</v>
      </c>
      <c r="AF1003">
        <v>1</v>
      </c>
      <c r="AG1003">
        <v>1</v>
      </c>
      <c r="AH1003">
        <v>1</v>
      </c>
      <c r="AI1003">
        <v>3</v>
      </c>
      <c r="AJ1003">
        <v>1</v>
      </c>
      <c r="AK1003">
        <v>1</v>
      </c>
      <c r="AL1003">
        <v>0</v>
      </c>
      <c r="AM1003">
        <v>2</v>
      </c>
      <c r="AN1003">
        <v>1</v>
      </c>
      <c r="AO1003">
        <v>1</v>
      </c>
      <c r="AP1003">
        <v>4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3</v>
      </c>
      <c r="AW1003">
        <v>4</v>
      </c>
      <c r="AX1003">
        <v>1</v>
      </c>
      <c r="AY1003">
        <v>1</v>
      </c>
      <c r="AZ1003">
        <v>1</v>
      </c>
      <c r="BA1003">
        <v>1</v>
      </c>
      <c r="BB1003">
        <v>3</v>
      </c>
      <c r="BC1003" s="2">
        <v>1.0029999999999999</v>
      </c>
      <c r="BD1003" s="2">
        <v>1</v>
      </c>
      <c r="BE1003" s="2">
        <v>0</v>
      </c>
      <c r="BF1003" s="2">
        <v>2</v>
      </c>
      <c r="BG1003" s="2">
        <v>1</v>
      </c>
      <c r="BH1003" s="2">
        <v>1</v>
      </c>
      <c r="BI1003" s="2">
        <v>4</v>
      </c>
      <c r="BJ1003" s="2">
        <v>0</v>
      </c>
      <c r="BK1003" s="2">
        <v>0</v>
      </c>
      <c r="BL1003" s="2">
        <v>1.002</v>
      </c>
      <c r="BM1003" s="2">
        <v>0</v>
      </c>
      <c r="BN1003" s="2">
        <v>0</v>
      </c>
      <c r="BO1003" s="2">
        <v>3</v>
      </c>
      <c r="BP1003" s="2">
        <v>4</v>
      </c>
      <c r="BQ1003" s="2">
        <v>1</v>
      </c>
      <c r="BR1003" s="2">
        <v>1</v>
      </c>
      <c r="BS1003" s="2">
        <v>1</v>
      </c>
      <c r="BT1003" s="2">
        <v>1</v>
      </c>
      <c r="BU1003" s="2">
        <v>3</v>
      </c>
      <c r="BV1003" s="2">
        <f t="shared" si="65"/>
        <v>25.005000000000003</v>
      </c>
      <c r="BW1003" s="16">
        <f t="shared" si="63"/>
        <v>1.3160526315789476</v>
      </c>
      <c r="BX1003" s="16">
        <f>COUNTIF($BC$6:BU1003, "=0") / COUNTIF($BC$6:BU1003, "&gt;-1")</f>
        <v>0.2740744647189115</v>
      </c>
      <c r="BY1003" s="18">
        <f>SUM($BC$6:BU1003) / $BY$4</f>
        <v>0.94164735189081128</v>
      </c>
      <c r="BZ1003" s="14">
        <f t="shared" si="64"/>
        <v>5</v>
      </c>
      <c r="CA1003" t="s">
        <v>5832</v>
      </c>
      <c r="CZ1003" t="s">
        <v>10128</v>
      </c>
      <c r="DA1003" t="s">
        <v>5904</v>
      </c>
      <c r="DB1003">
        <v>1159</v>
      </c>
      <c r="DC1003" t="s">
        <v>26507</v>
      </c>
      <c r="DD1003" t="s">
        <v>26508</v>
      </c>
      <c r="DE1003" t="s">
        <v>26509</v>
      </c>
      <c r="DF1003" t="s">
        <v>26510</v>
      </c>
      <c r="DG1003" t="s">
        <v>26511</v>
      </c>
      <c r="DH1003" t="str">
        <f>"F11"</f>
        <v>F11</v>
      </c>
      <c r="DI1003" t="s">
        <v>13772</v>
      </c>
      <c r="DJ1003" t="s">
        <v>13777</v>
      </c>
      <c r="DK1003">
        <v>9606</v>
      </c>
      <c r="DL1003" s="34" t="str">
        <f>HYPERLINK("http://www.uniprot.org/uniprot/P03951", "P03951")</f>
        <v>P03951</v>
      </c>
      <c r="DM1003" t="s">
        <v>26512</v>
      </c>
      <c r="DN1003" t="s">
        <v>16755</v>
      </c>
      <c r="DO1003" t="s">
        <v>14321</v>
      </c>
      <c r="DP1003" t="s">
        <v>13780</v>
      </c>
      <c r="DQ1003" t="s">
        <v>13772</v>
      </c>
      <c r="DR1003" t="s">
        <v>13807</v>
      </c>
      <c r="DS1003" t="s">
        <v>14404</v>
      </c>
      <c r="DT1003" t="s">
        <v>13772</v>
      </c>
      <c r="DU1003" t="s">
        <v>26513</v>
      </c>
      <c r="DV1003" t="s">
        <v>13796</v>
      </c>
      <c r="DW1003" t="s">
        <v>13812</v>
      </c>
      <c r="DX1003" t="s">
        <v>26514</v>
      </c>
      <c r="DY1003" t="s">
        <v>16384</v>
      </c>
      <c r="DZ1003" t="s">
        <v>26515</v>
      </c>
      <c r="EA1003" t="s">
        <v>13772</v>
      </c>
      <c r="EB1003" t="s">
        <v>14395</v>
      </c>
    </row>
    <row r="1004" spans="1:132" hidden="1">
      <c r="A1004">
        <v>151</v>
      </c>
      <c r="B1004">
        <v>1</v>
      </c>
      <c r="C1004" t="s">
        <v>383</v>
      </c>
      <c r="D1004" t="s">
        <v>73</v>
      </c>
      <c r="E1004" t="s">
        <v>73</v>
      </c>
      <c r="F1004" t="s">
        <v>73</v>
      </c>
      <c r="G1004" t="s">
        <v>73</v>
      </c>
      <c r="H1004">
        <v>94</v>
      </c>
      <c r="I1004">
        <v>84</v>
      </c>
      <c r="J1004">
        <v>9591</v>
      </c>
      <c r="K1004" t="s">
        <v>384</v>
      </c>
      <c r="L1004">
        <f t="shared" si="62"/>
        <v>25</v>
      </c>
      <c r="N1004">
        <v>25</v>
      </c>
      <c r="O1004">
        <v>25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10</v>
      </c>
      <c r="Y1004">
        <v>8</v>
      </c>
      <c r="Z1004">
        <v>0</v>
      </c>
      <c r="AA1004">
        <v>3</v>
      </c>
      <c r="AB1004">
        <v>0</v>
      </c>
      <c r="AC1004">
        <v>0</v>
      </c>
      <c r="AD1004">
        <v>0</v>
      </c>
      <c r="AE1004">
        <v>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10</v>
      </c>
      <c r="AR1004">
        <v>8</v>
      </c>
      <c r="AS1004">
        <v>0</v>
      </c>
      <c r="AT1004">
        <v>3</v>
      </c>
      <c r="AU1004">
        <v>0</v>
      </c>
      <c r="AV1004">
        <v>0</v>
      </c>
      <c r="AW1004">
        <v>0</v>
      </c>
      <c r="AX1004">
        <v>2</v>
      </c>
      <c r="AY1004">
        <v>0</v>
      </c>
      <c r="AZ1004">
        <v>0</v>
      </c>
      <c r="BA1004">
        <v>0</v>
      </c>
      <c r="BB1004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1</v>
      </c>
      <c r="BI1004" s="2">
        <v>1</v>
      </c>
      <c r="BJ1004" s="2">
        <v>10</v>
      </c>
      <c r="BK1004" s="2">
        <v>8</v>
      </c>
      <c r="BL1004" s="2">
        <v>0</v>
      </c>
      <c r="BM1004" s="2">
        <v>3</v>
      </c>
      <c r="BN1004" s="2">
        <v>0</v>
      </c>
      <c r="BO1004" s="2">
        <v>0</v>
      </c>
      <c r="BP1004" s="2">
        <v>0</v>
      </c>
      <c r="BQ1004" s="2">
        <v>2</v>
      </c>
      <c r="BR1004" s="2">
        <v>0</v>
      </c>
      <c r="BS1004" s="2">
        <v>0</v>
      </c>
      <c r="BT1004" s="2">
        <v>0</v>
      </c>
      <c r="BU1004" s="2">
        <v>0</v>
      </c>
      <c r="BV1004" s="2">
        <f t="shared" si="65"/>
        <v>25</v>
      </c>
      <c r="BW1004" s="16">
        <f t="shared" si="63"/>
        <v>1.3157894736842106</v>
      </c>
      <c r="BX1004" s="16">
        <f>COUNTIF($BC$6:BU1004, "=0") / COUNTIF($BC$6:BU1004, "&gt;-1")</f>
        <v>0.27448501132711661</v>
      </c>
      <c r="BY1004" s="18">
        <f>SUM($BC$6:BU1004) / $BY$4</f>
        <v>0.94175444281252874</v>
      </c>
      <c r="BZ1004" s="14">
        <f t="shared" si="64"/>
        <v>13</v>
      </c>
      <c r="CA1004" t="s">
        <v>5832</v>
      </c>
      <c r="CZ1004" t="s">
        <v>6214</v>
      </c>
      <c r="DA1004" t="s">
        <v>5904</v>
      </c>
      <c r="DB1004">
        <v>161.80000000000001</v>
      </c>
      <c r="DC1004" t="s">
        <v>14876</v>
      </c>
      <c r="DD1004" t="s">
        <v>14877</v>
      </c>
      <c r="DE1004" t="s">
        <v>14878</v>
      </c>
      <c r="DF1004" t="s">
        <v>14879</v>
      </c>
      <c r="DG1004" t="s">
        <v>14880</v>
      </c>
      <c r="DH1004" t="str">
        <f>"GCHFR"</f>
        <v>GCHFR</v>
      </c>
      <c r="DI1004" t="s">
        <v>14881</v>
      </c>
      <c r="DJ1004" t="s">
        <v>13777</v>
      </c>
      <c r="DK1004">
        <v>9606</v>
      </c>
      <c r="DL1004" s="34" t="str">
        <f>HYPERLINK("http://www.uniprot.org/uniprot/P30047", "P30047")</f>
        <v>P30047</v>
      </c>
      <c r="DM1004" t="s">
        <v>14882</v>
      </c>
      <c r="DN1004" t="s">
        <v>13772</v>
      </c>
      <c r="DO1004" t="s">
        <v>14532</v>
      </c>
      <c r="DP1004" t="s">
        <v>13841</v>
      </c>
      <c r="DQ1004" t="s">
        <v>13772</v>
      </c>
      <c r="DR1004" t="s">
        <v>13772</v>
      </c>
      <c r="DS1004" t="s">
        <v>13772</v>
      </c>
      <c r="DT1004" t="s">
        <v>13772</v>
      </c>
      <c r="DU1004" t="s">
        <v>13772</v>
      </c>
      <c r="DV1004" t="s">
        <v>13772</v>
      </c>
      <c r="DW1004" t="s">
        <v>13772</v>
      </c>
      <c r="DX1004" t="s">
        <v>14883</v>
      </c>
      <c r="DY1004" t="s">
        <v>14884</v>
      </c>
      <c r="DZ1004" t="s">
        <v>14885</v>
      </c>
      <c r="EA1004" t="s">
        <v>13772</v>
      </c>
      <c r="EB1004" t="s">
        <v>14886</v>
      </c>
    </row>
    <row r="1005" spans="1:132" hidden="1">
      <c r="A1005">
        <v>318</v>
      </c>
      <c r="B1005">
        <v>1</v>
      </c>
      <c r="C1005" t="s">
        <v>797</v>
      </c>
      <c r="D1005" t="s">
        <v>798</v>
      </c>
      <c r="E1005" t="s">
        <v>73</v>
      </c>
      <c r="F1005" t="s">
        <v>73</v>
      </c>
      <c r="G1005" t="s">
        <v>73</v>
      </c>
      <c r="H1005">
        <v>30.1</v>
      </c>
      <c r="I1005">
        <v>183</v>
      </c>
      <c r="J1005">
        <v>20811</v>
      </c>
      <c r="K1005" t="s">
        <v>799</v>
      </c>
      <c r="L1005">
        <f t="shared" si="62"/>
        <v>25</v>
      </c>
      <c r="N1005">
        <v>25</v>
      </c>
      <c r="O1005">
        <v>25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2</v>
      </c>
      <c r="V1005">
        <v>1</v>
      </c>
      <c r="W1005">
        <v>0</v>
      </c>
      <c r="X1005">
        <v>3</v>
      </c>
      <c r="Y1005">
        <v>2</v>
      </c>
      <c r="Z1005">
        <v>0</v>
      </c>
      <c r="AA1005">
        <v>3</v>
      </c>
      <c r="AB1005">
        <v>5</v>
      </c>
      <c r="AC1005">
        <v>0</v>
      </c>
      <c r="AD1005">
        <v>0</v>
      </c>
      <c r="AE1005">
        <v>3</v>
      </c>
      <c r="AF1005">
        <v>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</v>
      </c>
      <c r="AO1005">
        <v>1</v>
      </c>
      <c r="AP1005">
        <v>0</v>
      </c>
      <c r="AQ1005">
        <v>3</v>
      </c>
      <c r="AR1005">
        <v>2</v>
      </c>
      <c r="AS1005">
        <v>0</v>
      </c>
      <c r="AT1005">
        <v>3</v>
      </c>
      <c r="AU1005">
        <v>5</v>
      </c>
      <c r="AV1005">
        <v>0</v>
      </c>
      <c r="AW1005">
        <v>0</v>
      </c>
      <c r="AX1005">
        <v>3</v>
      </c>
      <c r="AY1005">
        <v>6</v>
      </c>
      <c r="AZ1005">
        <v>0</v>
      </c>
      <c r="BA1005">
        <v>0</v>
      </c>
      <c r="BB1005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2</v>
      </c>
      <c r="BH1005" s="2">
        <v>1</v>
      </c>
      <c r="BI1005" s="2">
        <v>0</v>
      </c>
      <c r="BJ1005" s="2">
        <v>3</v>
      </c>
      <c r="BK1005" s="2">
        <v>2</v>
      </c>
      <c r="BL1005" s="2">
        <v>0</v>
      </c>
      <c r="BM1005" s="2">
        <v>3</v>
      </c>
      <c r="BN1005" s="2">
        <v>5</v>
      </c>
      <c r="BO1005" s="2">
        <v>0</v>
      </c>
      <c r="BP1005" s="2">
        <v>0</v>
      </c>
      <c r="BQ1005" s="2">
        <v>3</v>
      </c>
      <c r="BR1005" s="2">
        <v>6</v>
      </c>
      <c r="BS1005" s="2">
        <v>0</v>
      </c>
      <c r="BT1005" s="2">
        <v>0</v>
      </c>
      <c r="BU1005" s="2">
        <v>0</v>
      </c>
      <c r="BV1005" s="2">
        <f t="shared" si="65"/>
        <v>25</v>
      </c>
      <c r="BW1005" s="16">
        <f t="shared" si="63"/>
        <v>1.3157894736842106</v>
      </c>
      <c r="BX1005" s="16">
        <f>COUNTIF($BC$6:BU1005, "=0") / COUNTIF($BC$6:BU1005, "&gt;-1")</f>
        <v>0.27478947368421053</v>
      </c>
      <c r="BY1005" s="18">
        <f>SUM($BC$6:BU1005) / $BY$4</f>
        <v>0.9418615337342463</v>
      </c>
      <c r="BZ1005" s="14">
        <f t="shared" si="64"/>
        <v>11</v>
      </c>
      <c r="CA1005" t="s">
        <v>5832</v>
      </c>
      <c r="CZ1005" t="s">
        <v>6799</v>
      </c>
      <c r="DA1005" t="s">
        <v>5904</v>
      </c>
      <c r="DB1005">
        <v>373.6</v>
      </c>
      <c r="DC1005" t="s">
        <v>16728</v>
      </c>
      <c r="DD1005" t="s">
        <v>16729</v>
      </c>
      <c r="DE1005" t="s">
        <v>16730</v>
      </c>
      <c r="DF1005" t="s">
        <v>16731</v>
      </c>
      <c r="DG1005" t="s">
        <v>16732</v>
      </c>
      <c r="DH1005" t="str">
        <f>"CBX3"</f>
        <v>CBX3</v>
      </c>
      <c r="DI1005" t="s">
        <v>13772</v>
      </c>
      <c r="DJ1005" t="s">
        <v>13777</v>
      </c>
      <c r="DK1005">
        <v>9606</v>
      </c>
      <c r="DL1005" s="34" t="str">
        <f>HYPERLINK("http://www.uniprot.org/uniprot/Q13185", "Q13185")</f>
        <v>Q13185</v>
      </c>
      <c r="DM1005" t="s">
        <v>16733</v>
      </c>
      <c r="DN1005" t="s">
        <v>16734</v>
      </c>
      <c r="DO1005" t="s">
        <v>14825</v>
      </c>
      <c r="DP1005" t="s">
        <v>13772</v>
      </c>
      <c r="DQ1005" t="s">
        <v>13772</v>
      </c>
      <c r="DR1005" t="s">
        <v>13772</v>
      </c>
      <c r="DS1005" t="s">
        <v>14096</v>
      </c>
      <c r="DT1005" t="s">
        <v>13772</v>
      </c>
      <c r="DU1005" t="s">
        <v>16735</v>
      </c>
      <c r="DV1005" t="s">
        <v>13991</v>
      </c>
      <c r="DW1005" t="s">
        <v>13812</v>
      </c>
      <c r="DX1005" t="s">
        <v>16736</v>
      </c>
      <c r="DY1005" t="s">
        <v>16737</v>
      </c>
      <c r="DZ1005" t="s">
        <v>16738</v>
      </c>
      <c r="EA1005" t="s">
        <v>13772</v>
      </c>
      <c r="EB1005" t="s">
        <v>16739</v>
      </c>
    </row>
    <row r="1006" spans="1:132" hidden="1">
      <c r="A1006">
        <v>452</v>
      </c>
      <c r="B1006">
        <v>1</v>
      </c>
      <c r="C1006" t="s">
        <v>1130</v>
      </c>
      <c r="D1006" t="s">
        <v>1131</v>
      </c>
      <c r="E1006" t="s">
        <v>73</v>
      </c>
      <c r="F1006" t="s">
        <v>73</v>
      </c>
      <c r="G1006" t="s">
        <v>73</v>
      </c>
      <c r="H1006">
        <v>38.700000000000003</v>
      </c>
      <c r="I1006">
        <v>292</v>
      </c>
      <c r="J1006">
        <v>32743</v>
      </c>
      <c r="K1006" t="s">
        <v>1132</v>
      </c>
      <c r="L1006">
        <f t="shared" si="62"/>
        <v>25</v>
      </c>
      <c r="N1006">
        <v>25</v>
      </c>
      <c r="O1006">
        <v>25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>
        <v>6</v>
      </c>
      <c r="Z1006">
        <v>0</v>
      </c>
      <c r="AA1006">
        <v>8</v>
      </c>
      <c r="AB1006">
        <v>2</v>
      </c>
      <c r="AC1006">
        <v>0</v>
      </c>
      <c r="AD1006">
        <v>0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6</v>
      </c>
      <c r="AS1006">
        <v>0</v>
      </c>
      <c r="AT1006">
        <v>8</v>
      </c>
      <c r="AU1006">
        <v>2</v>
      </c>
      <c r="AV1006">
        <v>0</v>
      </c>
      <c r="AW1006">
        <v>0</v>
      </c>
      <c r="AX1006">
        <v>2</v>
      </c>
      <c r="AY1006">
        <v>4</v>
      </c>
      <c r="AZ1006">
        <v>0</v>
      </c>
      <c r="BA1006">
        <v>0</v>
      </c>
      <c r="BB1006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2</v>
      </c>
      <c r="BK1006" s="2">
        <v>6</v>
      </c>
      <c r="BL1006" s="2">
        <v>0</v>
      </c>
      <c r="BM1006" s="2">
        <v>8</v>
      </c>
      <c r="BN1006" s="2">
        <v>2</v>
      </c>
      <c r="BO1006" s="2">
        <v>0</v>
      </c>
      <c r="BP1006" s="2">
        <v>0</v>
      </c>
      <c r="BQ1006" s="2">
        <v>2</v>
      </c>
      <c r="BR1006" s="2">
        <v>4</v>
      </c>
      <c r="BS1006" s="2">
        <v>0</v>
      </c>
      <c r="BT1006" s="2">
        <v>0</v>
      </c>
      <c r="BU1006" s="2">
        <v>1</v>
      </c>
      <c r="BV1006" s="2">
        <f t="shared" si="65"/>
        <v>25</v>
      </c>
      <c r="BW1006" s="16">
        <f t="shared" si="63"/>
        <v>1.3157894736842106</v>
      </c>
      <c r="BX1006" s="16">
        <f>COUNTIF($BC$6:BU1006, "=0") / COUNTIF($BC$6:BU1006, "&gt;-1")</f>
        <v>0.27514590672485412</v>
      </c>
      <c r="BY1006" s="18">
        <f>SUM($BC$6:BU1006) / $BY$4</f>
        <v>0.94196862465596376</v>
      </c>
      <c r="BZ1006" s="14">
        <f t="shared" si="64"/>
        <v>12</v>
      </c>
      <c r="CA1006" t="s">
        <v>5832</v>
      </c>
      <c r="CZ1006" t="s">
        <v>7268</v>
      </c>
      <c r="DA1006" t="s">
        <v>5904</v>
      </c>
      <c r="DB1006">
        <v>583.6</v>
      </c>
      <c r="DC1006" t="s">
        <v>18182</v>
      </c>
      <c r="DD1006" t="s">
        <v>18183</v>
      </c>
      <c r="DE1006" t="s">
        <v>18184</v>
      </c>
      <c r="DF1006" t="s">
        <v>18185</v>
      </c>
      <c r="DG1006" t="s">
        <v>13772</v>
      </c>
      <c r="DH1006" t="str">
        <f>"TXNL1"</f>
        <v>TXNL1</v>
      </c>
      <c r="DI1006" t="s">
        <v>18186</v>
      </c>
      <c r="DJ1006" t="s">
        <v>13777</v>
      </c>
      <c r="DK1006">
        <v>9606</v>
      </c>
      <c r="DL1006" s="34" t="str">
        <f>HYPERLINK("http://www.uniprot.org/uniprot/O43396", "O43396")</f>
        <v>O43396</v>
      </c>
      <c r="DM1006" t="s">
        <v>18187</v>
      </c>
      <c r="DN1006" t="s">
        <v>16041</v>
      </c>
      <c r="DO1006" t="s">
        <v>14204</v>
      </c>
      <c r="DP1006" t="s">
        <v>13772</v>
      </c>
      <c r="DQ1006" t="s">
        <v>13772</v>
      </c>
      <c r="DR1006" t="s">
        <v>13772</v>
      </c>
      <c r="DS1006" t="s">
        <v>18188</v>
      </c>
      <c r="DT1006" t="s">
        <v>13772</v>
      </c>
      <c r="DU1006" t="s">
        <v>13772</v>
      </c>
      <c r="DV1006" t="s">
        <v>15554</v>
      </c>
      <c r="DW1006" t="s">
        <v>13812</v>
      </c>
      <c r="DX1006" t="s">
        <v>18189</v>
      </c>
      <c r="DY1006" t="s">
        <v>18190</v>
      </c>
      <c r="DZ1006" t="s">
        <v>18191</v>
      </c>
      <c r="EA1006" t="s">
        <v>13772</v>
      </c>
      <c r="EB1006" t="s">
        <v>13772</v>
      </c>
    </row>
    <row r="1007" spans="1:132" hidden="1">
      <c r="A1007">
        <v>545</v>
      </c>
      <c r="B1007">
        <v>1</v>
      </c>
      <c r="C1007" t="s">
        <v>1359</v>
      </c>
      <c r="D1007" t="s">
        <v>73</v>
      </c>
      <c r="E1007" t="s">
        <v>73</v>
      </c>
      <c r="F1007" t="s">
        <v>73</v>
      </c>
      <c r="G1007" t="s">
        <v>73</v>
      </c>
      <c r="H1007">
        <v>32.700000000000003</v>
      </c>
      <c r="I1007">
        <v>330</v>
      </c>
      <c r="J1007">
        <v>35415</v>
      </c>
      <c r="K1007" t="s">
        <v>1360</v>
      </c>
      <c r="L1007">
        <f t="shared" si="62"/>
        <v>25</v>
      </c>
      <c r="N1007">
        <v>25</v>
      </c>
      <c r="O1007">
        <v>25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1</v>
      </c>
      <c r="W1007">
        <v>2</v>
      </c>
      <c r="X1007">
        <v>2</v>
      </c>
      <c r="Y1007">
        <v>4</v>
      </c>
      <c r="Z1007">
        <v>0</v>
      </c>
      <c r="AA1007">
        <v>5</v>
      </c>
      <c r="AB1007">
        <v>3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1</v>
      </c>
      <c r="AP1007">
        <v>2</v>
      </c>
      <c r="AQ1007">
        <v>2</v>
      </c>
      <c r="AR1007">
        <v>4</v>
      </c>
      <c r="AS1007">
        <v>0</v>
      </c>
      <c r="AT1007">
        <v>5</v>
      </c>
      <c r="AU1007">
        <v>3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1</v>
      </c>
      <c r="BC1007" s="2">
        <v>0</v>
      </c>
      <c r="BD1007" s="2">
        <v>1</v>
      </c>
      <c r="BE1007" s="2">
        <v>0</v>
      </c>
      <c r="BF1007" s="2">
        <v>0</v>
      </c>
      <c r="BG1007" s="2">
        <v>1</v>
      </c>
      <c r="BH1007" s="2">
        <v>1</v>
      </c>
      <c r="BI1007" s="2">
        <v>2</v>
      </c>
      <c r="BJ1007" s="2">
        <v>2</v>
      </c>
      <c r="BK1007" s="2">
        <v>4</v>
      </c>
      <c r="BL1007" s="2">
        <v>0</v>
      </c>
      <c r="BM1007" s="2">
        <v>5</v>
      </c>
      <c r="BN1007" s="2">
        <v>3</v>
      </c>
      <c r="BO1007" s="2">
        <v>1</v>
      </c>
      <c r="BP1007" s="2">
        <v>1</v>
      </c>
      <c r="BQ1007" s="2">
        <v>1</v>
      </c>
      <c r="BR1007" s="2">
        <v>1</v>
      </c>
      <c r="BS1007" s="2">
        <v>0</v>
      </c>
      <c r="BT1007" s="2">
        <v>1</v>
      </c>
      <c r="BU1007" s="2">
        <v>1</v>
      </c>
      <c r="BV1007" s="2">
        <f t="shared" si="65"/>
        <v>25</v>
      </c>
      <c r="BW1007" s="16">
        <f t="shared" si="63"/>
        <v>1.3157894736842106</v>
      </c>
      <c r="BX1007" s="16">
        <f>COUNTIF($BC$6:BU1007, "=0") / COUNTIF($BC$6:BU1007, "&gt;-1")</f>
        <v>0.27513394264103375</v>
      </c>
      <c r="BY1007" s="18">
        <f>SUM($BC$6:BU1007) / $BY$4</f>
        <v>0.94207571557768133</v>
      </c>
      <c r="BZ1007" s="14">
        <f t="shared" si="64"/>
        <v>5</v>
      </c>
      <c r="CA1007" t="s">
        <v>5832</v>
      </c>
      <c r="CZ1007" t="s">
        <v>7583</v>
      </c>
      <c r="DA1007" t="s">
        <v>5904</v>
      </c>
      <c r="DB1007">
        <v>617.79999999999995</v>
      </c>
      <c r="DC1007" t="s">
        <v>19136</v>
      </c>
      <c r="DD1007" t="s">
        <v>19137</v>
      </c>
      <c r="DE1007" t="s">
        <v>19138</v>
      </c>
      <c r="DF1007" t="s">
        <v>19139</v>
      </c>
      <c r="DG1007" t="s">
        <v>19140</v>
      </c>
      <c r="DH1007" t="str">
        <f>"CRYZ"</f>
        <v>CRYZ</v>
      </c>
      <c r="DI1007" t="s">
        <v>13772</v>
      </c>
      <c r="DJ1007" t="s">
        <v>13777</v>
      </c>
      <c r="DK1007">
        <v>9606</v>
      </c>
      <c r="DL1007" s="34" t="str">
        <f>HYPERLINK("http://www.uniprot.org/uniprot/Q08257", "Q08257")</f>
        <v>Q08257</v>
      </c>
      <c r="DM1007" t="s">
        <v>19141</v>
      </c>
      <c r="DN1007" t="s">
        <v>13772</v>
      </c>
      <c r="DO1007" t="s">
        <v>13899</v>
      </c>
      <c r="DP1007" t="s">
        <v>13780</v>
      </c>
      <c r="DQ1007" t="s">
        <v>13772</v>
      </c>
      <c r="DR1007" t="s">
        <v>13772</v>
      </c>
      <c r="DS1007" t="s">
        <v>13772</v>
      </c>
      <c r="DT1007" t="s">
        <v>15759</v>
      </c>
      <c r="DU1007" t="s">
        <v>19142</v>
      </c>
      <c r="DV1007" t="s">
        <v>13886</v>
      </c>
      <c r="DW1007" t="s">
        <v>13812</v>
      </c>
      <c r="DX1007" t="s">
        <v>19143</v>
      </c>
      <c r="DY1007" t="s">
        <v>15111</v>
      </c>
      <c r="DZ1007" t="s">
        <v>19144</v>
      </c>
      <c r="EA1007" t="s">
        <v>13772</v>
      </c>
      <c r="EB1007" t="s">
        <v>13772</v>
      </c>
    </row>
    <row r="1008" spans="1:132" hidden="1">
      <c r="A1008">
        <v>579</v>
      </c>
      <c r="B1008">
        <v>1</v>
      </c>
      <c r="C1008" t="s">
        <v>1440</v>
      </c>
      <c r="D1008" t="s">
        <v>73</v>
      </c>
      <c r="E1008" t="s">
        <v>73</v>
      </c>
      <c r="F1008" t="s">
        <v>73</v>
      </c>
      <c r="G1008" t="s">
        <v>73</v>
      </c>
      <c r="H1008">
        <v>7.6</v>
      </c>
      <c r="I1008">
        <v>619</v>
      </c>
      <c r="J1008">
        <v>67812</v>
      </c>
      <c r="K1008" t="s">
        <v>1441</v>
      </c>
      <c r="L1008">
        <f t="shared" si="62"/>
        <v>25</v>
      </c>
      <c r="N1008">
        <v>25</v>
      </c>
      <c r="O1008">
        <v>25</v>
      </c>
      <c r="P1008">
        <v>1</v>
      </c>
      <c r="Q1008">
        <v>1</v>
      </c>
      <c r="R1008">
        <v>4</v>
      </c>
      <c r="S1008">
        <v>0</v>
      </c>
      <c r="T1008">
        <v>2</v>
      </c>
      <c r="U1008">
        <v>5</v>
      </c>
      <c r="V1008">
        <v>7</v>
      </c>
      <c r="W1008">
        <v>2</v>
      </c>
      <c r="X1008">
        <v>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2</v>
      </c>
      <c r="AN1008">
        <v>5</v>
      </c>
      <c r="AO1008">
        <v>7</v>
      </c>
      <c r="AP1008">
        <v>2</v>
      </c>
      <c r="AQ1008">
        <v>3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 s="2">
        <v>1</v>
      </c>
      <c r="BD1008" s="2">
        <v>4</v>
      </c>
      <c r="BE1008" s="2">
        <v>0</v>
      </c>
      <c r="BF1008" s="2">
        <v>2</v>
      </c>
      <c r="BG1008" s="2">
        <v>5</v>
      </c>
      <c r="BH1008" s="2">
        <v>7</v>
      </c>
      <c r="BI1008" s="2">
        <v>2</v>
      </c>
      <c r="BJ1008" s="2">
        <v>3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1</v>
      </c>
      <c r="BS1008" s="2">
        <v>0</v>
      </c>
      <c r="BT1008" s="2">
        <v>0</v>
      </c>
      <c r="BU1008" s="2">
        <v>0</v>
      </c>
      <c r="BV1008" s="2">
        <f t="shared" si="65"/>
        <v>25</v>
      </c>
      <c r="BW1008" s="16">
        <f t="shared" si="63"/>
        <v>1.3157894736842106</v>
      </c>
      <c r="BX1008" s="16">
        <f>COUNTIF($BC$6:BU1008, "=0") / COUNTIF($BC$6:BU1008, "&gt;-1")</f>
        <v>0.27543684735267882</v>
      </c>
      <c r="BY1008" s="18">
        <f>SUM($BC$6:BU1008) / $BY$4</f>
        <v>0.94218280649939878</v>
      </c>
      <c r="BZ1008" s="14">
        <f t="shared" si="64"/>
        <v>11</v>
      </c>
      <c r="CA1008" t="s">
        <v>5832</v>
      </c>
      <c r="CZ1008" t="s">
        <v>7703</v>
      </c>
      <c r="DA1008" t="s">
        <v>5904</v>
      </c>
      <c r="DB1008">
        <v>1155.5999999999999</v>
      </c>
      <c r="DC1008" t="s">
        <v>19479</v>
      </c>
      <c r="DD1008" t="s">
        <v>19480</v>
      </c>
      <c r="DE1008" t="s">
        <v>19481</v>
      </c>
      <c r="DF1008" t="s">
        <v>19482</v>
      </c>
      <c r="DG1008" t="s">
        <v>19483</v>
      </c>
      <c r="DH1008" t="str">
        <f>"SLC5A12"</f>
        <v>SLC5A12</v>
      </c>
      <c r="DI1008" t="s">
        <v>19484</v>
      </c>
      <c r="DJ1008" t="s">
        <v>13777</v>
      </c>
      <c r="DK1008">
        <v>9606</v>
      </c>
      <c r="DL1008" s="34" t="str">
        <f>HYPERLINK("http://www.uniprot.org/uniprot/Q1EHB4", "Q1EHB4")</f>
        <v>Q1EHB4</v>
      </c>
      <c r="DM1008" t="s">
        <v>19485</v>
      </c>
      <c r="DN1008" t="s">
        <v>19486</v>
      </c>
      <c r="DO1008" t="s">
        <v>13792</v>
      </c>
      <c r="DP1008" t="s">
        <v>13780</v>
      </c>
      <c r="DQ1008" t="s">
        <v>13772</v>
      </c>
      <c r="DR1008" t="s">
        <v>13772</v>
      </c>
      <c r="DS1008" t="s">
        <v>13925</v>
      </c>
      <c r="DT1008" t="s">
        <v>13926</v>
      </c>
      <c r="DU1008" t="s">
        <v>13772</v>
      </c>
      <c r="DV1008" t="s">
        <v>13858</v>
      </c>
      <c r="DW1008" t="s">
        <v>13772</v>
      </c>
      <c r="DX1008" t="s">
        <v>19487</v>
      </c>
      <c r="DY1008" t="s">
        <v>19488</v>
      </c>
      <c r="DZ1008" t="s">
        <v>19489</v>
      </c>
      <c r="EA1008" t="s">
        <v>13772</v>
      </c>
      <c r="EB1008" t="s">
        <v>19490</v>
      </c>
    </row>
    <row r="1009" spans="1:132" hidden="1">
      <c r="A1009">
        <v>819</v>
      </c>
      <c r="B1009">
        <v>1</v>
      </c>
      <c r="C1009" t="s">
        <v>2009</v>
      </c>
      <c r="D1009" t="s">
        <v>73</v>
      </c>
      <c r="E1009" t="s">
        <v>73</v>
      </c>
      <c r="F1009" t="s">
        <v>73</v>
      </c>
      <c r="G1009" t="s">
        <v>73</v>
      </c>
      <c r="H1009">
        <v>13.6</v>
      </c>
      <c r="I1009">
        <v>1225</v>
      </c>
      <c r="J1009">
        <v>136844</v>
      </c>
      <c r="K1009" t="s">
        <v>2010</v>
      </c>
      <c r="L1009">
        <f t="shared" si="62"/>
        <v>25</v>
      </c>
      <c r="N1009">
        <v>25</v>
      </c>
      <c r="O1009">
        <v>25</v>
      </c>
      <c r="P1009">
        <v>1</v>
      </c>
      <c r="Q1009">
        <v>4</v>
      </c>
      <c r="R1009">
        <v>7</v>
      </c>
      <c r="S1009">
        <v>1</v>
      </c>
      <c r="T1009">
        <v>5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4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4</v>
      </c>
      <c r="AK1009">
        <v>7</v>
      </c>
      <c r="AL1009">
        <v>1</v>
      </c>
      <c r="AM1009">
        <v>5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4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 s="2">
        <v>4</v>
      </c>
      <c r="BD1009" s="2">
        <v>7</v>
      </c>
      <c r="BE1009" s="2">
        <v>1</v>
      </c>
      <c r="BF1009" s="2">
        <v>5</v>
      </c>
      <c r="BG1009" s="2">
        <v>1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1</v>
      </c>
      <c r="BN1009" s="2">
        <v>0</v>
      </c>
      <c r="BO1009" s="2">
        <v>1</v>
      </c>
      <c r="BP1009" s="2">
        <v>4</v>
      </c>
      <c r="BQ1009" s="2">
        <v>0</v>
      </c>
      <c r="BR1009" s="2">
        <v>0</v>
      </c>
      <c r="BS1009" s="2">
        <v>1</v>
      </c>
      <c r="BT1009" s="2">
        <v>0</v>
      </c>
      <c r="BU1009" s="2">
        <v>0</v>
      </c>
      <c r="BV1009" s="2">
        <f t="shared" si="65"/>
        <v>25</v>
      </c>
      <c r="BW1009" s="16">
        <f t="shared" si="63"/>
        <v>1.3157894736842106</v>
      </c>
      <c r="BX1009" s="16">
        <f>COUNTIF($BC$6:BU1009, "=0") / COUNTIF($BC$6:BU1009, "&gt;-1")</f>
        <v>0.2756867267771021</v>
      </c>
      <c r="BY1009" s="18">
        <f>SUM($BC$6:BU1009) / $BY$4</f>
        <v>0.94228989742111635</v>
      </c>
      <c r="BZ1009" s="14">
        <f t="shared" si="64"/>
        <v>10</v>
      </c>
      <c r="CA1009" t="s">
        <v>5832</v>
      </c>
      <c r="CZ1009" t="s">
        <v>8505</v>
      </c>
      <c r="DA1009" t="s">
        <v>5904</v>
      </c>
      <c r="DB1009">
        <v>2280</v>
      </c>
      <c r="DC1009" t="s">
        <v>21873</v>
      </c>
      <c r="DD1009" t="s">
        <v>21874</v>
      </c>
      <c r="DE1009" t="s">
        <v>21875</v>
      </c>
      <c r="DF1009" t="s">
        <v>21876</v>
      </c>
      <c r="DG1009" t="s">
        <v>21877</v>
      </c>
      <c r="DH1009" t="str">
        <f>"CHL1"</f>
        <v>CHL1</v>
      </c>
      <c r="DI1009" t="s">
        <v>21878</v>
      </c>
      <c r="DJ1009" t="s">
        <v>13777</v>
      </c>
      <c r="DK1009">
        <v>9606</v>
      </c>
      <c r="DL1009" s="34" t="str">
        <f>HYPERLINK("http://www.uniprot.org/uniprot/O00533", "O00533")</f>
        <v>O00533</v>
      </c>
      <c r="DM1009" t="s">
        <v>21879</v>
      </c>
      <c r="DN1009" t="s">
        <v>21880</v>
      </c>
      <c r="DO1009" t="s">
        <v>21881</v>
      </c>
      <c r="DP1009" t="s">
        <v>13780</v>
      </c>
      <c r="DQ1009" t="s">
        <v>13772</v>
      </c>
      <c r="DR1009" t="s">
        <v>13772</v>
      </c>
      <c r="DS1009" t="s">
        <v>13951</v>
      </c>
      <c r="DT1009" t="s">
        <v>13772</v>
      </c>
      <c r="DU1009" t="s">
        <v>14727</v>
      </c>
      <c r="DV1009" t="s">
        <v>13964</v>
      </c>
      <c r="DW1009" t="s">
        <v>13772</v>
      </c>
      <c r="DX1009" t="s">
        <v>21882</v>
      </c>
      <c r="DY1009" t="s">
        <v>21883</v>
      </c>
      <c r="DZ1009" t="s">
        <v>21884</v>
      </c>
      <c r="EA1009" t="s">
        <v>13772</v>
      </c>
      <c r="EB1009" t="s">
        <v>21885</v>
      </c>
    </row>
    <row r="1010" spans="1:132" hidden="1">
      <c r="A1010">
        <v>1026</v>
      </c>
      <c r="B1010">
        <v>1</v>
      </c>
      <c r="C1010" t="s">
        <v>2482</v>
      </c>
      <c r="D1010" t="s">
        <v>73</v>
      </c>
      <c r="E1010" t="s">
        <v>73</v>
      </c>
      <c r="F1010" t="s">
        <v>73</v>
      </c>
      <c r="G1010" t="s">
        <v>73</v>
      </c>
      <c r="H1010">
        <v>29</v>
      </c>
      <c r="I1010">
        <v>369</v>
      </c>
      <c r="J1010">
        <v>41415</v>
      </c>
      <c r="K1010" t="s">
        <v>2483</v>
      </c>
      <c r="L1010">
        <f t="shared" si="62"/>
        <v>25</v>
      </c>
      <c r="N1010">
        <v>25</v>
      </c>
      <c r="O1010">
        <v>25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8</v>
      </c>
      <c r="Z1010">
        <v>0</v>
      </c>
      <c r="AA1010">
        <v>5</v>
      </c>
      <c r="AB1010">
        <v>3</v>
      </c>
      <c r="AC1010">
        <v>1</v>
      </c>
      <c r="AD1010">
        <v>0</v>
      </c>
      <c r="AE1010">
        <v>3</v>
      </c>
      <c r="AF1010">
        <v>3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8</v>
      </c>
      <c r="AS1010">
        <v>0</v>
      </c>
      <c r="AT1010">
        <v>5</v>
      </c>
      <c r="AU1010">
        <v>3</v>
      </c>
      <c r="AV1010">
        <v>1</v>
      </c>
      <c r="AW1010">
        <v>0</v>
      </c>
      <c r="AX1010">
        <v>3</v>
      </c>
      <c r="AY1010">
        <v>3</v>
      </c>
      <c r="AZ1010">
        <v>0</v>
      </c>
      <c r="BA1010">
        <v>0</v>
      </c>
      <c r="BB1010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8</v>
      </c>
      <c r="BL1010" s="2">
        <v>0</v>
      </c>
      <c r="BM1010" s="2">
        <v>5</v>
      </c>
      <c r="BN1010" s="2">
        <v>3</v>
      </c>
      <c r="BO1010" s="2">
        <v>1</v>
      </c>
      <c r="BP1010" s="2">
        <v>0</v>
      </c>
      <c r="BQ1010" s="2">
        <v>3</v>
      </c>
      <c r="BR1010" s="2">
        <v>3</v>
      </c>
      <c r="BS1010" s="2">
        <v>0</v>
      </c>
      <c r="BT1010" s="2">
        <v>0</v>
      </c>
      <c r="BU1010" s="2">
        <v>0</v>
      </c>
      <c r="BV1010" s="2">
        <f t="shared" si="65"/>
        <v>25</v>
      </c>
      <c r="BW1010" s="16">
        <f t="shared" si="63"/>
        <v>1.3157894736842106</v>
      </c>
      <c r="BX1010" s="16">
        <f>COUNTIF($BC$6:BU1010, "=0") / COUNTIF($BC$6:BU1010, "&gt;-1")</f>
        <v>0.2759884786593349</v>
      </c>
      <c r="BY1010" s="18">
        <f>SUM($BC$6:BU1010) / $BY$4</f>
        <v>0.94239698834283381</v>
      </c>
      <c r="BZ1010" s="14">
        <f t="shared" si="64"/>
        <v>11</v>
      </c>
      <c r="CA1010" t="s">
        <v>5832</v>
      </c>
      <c r="CZ1010" t="s">
        <v>9197</v>
      </c>
      <c r="DA1010" t="s">
        <v>5904</v>
      </c>
      <c r="DB1010">
        <v>605.9</v>
      </c>
      <c r="DC1010" t="s">
        <v>23849</v>
      </c>
      <c r="DD1010" t="s">
        <v>23850</v>
      </c>
      <c r="DE1010" t="s">
        <v>23851</v>
      </c>
      <c r="DF1010" t="s">
        <v>23852</v>
      </c>
      <c r="DG1010" t="s">
        <v>23853</v>
      </c>
      <c r="DH1010" t="str">
        <f>"ST13"</f>
        <v>ST13</v>
      </c>
      <c r="DI1010" t="s">
        <v>23854</v>
      </c>
      <c r="DJ1010" t="s">
        <v>13777</v>
      </c>
      <c r="DK1010">
        <v>9606</v>
      </c>
      <c r="DL1010" s="34" t="str">
        <f>HYPERLINK("http://www.uniprot.org/uniprot/P50502", "P50502")</f>
        <v>P50502</v>
      </c>
      <c r="DM1010" t="s">
        <v>23855</v>
      </c>
      <c r="DN1010" t="s">
        <v>13772</v>
      </c>
      <c r="DO1010" t="s">
        <v>13899</v>
      </c>
      <c r="DP1010" t="s">
        <v>13793</v>
      </c>
      <c r="DQ1010" t="s">
        <v>13772</v>
      </c>
      <c r="DR1010" t="s">
        <v>13772</v>
      </c>
      <c r="DS1010" t="s">
        <v>19076</v>
      </c>
      <c r="DT1010" t="s">
        <v>13772</v>
      </c>
      <c r="DU1010" t="s">
        <v>14477</v>
      </c>
      <c r="DV1010" t="s">
        <v>13886</v>
      </c>
      <c r="DW1010" t="s">
        <v>13812</v>
      </c>
      <c r="DX1010" t="s">
        <v>23856</v>
      </c>
      <c r="DY1010" t="s">
        <v>23857</v>
      </c>
      <c r="DZ1010" t="s">
        <v>23858</v>
      </c>
      <c r="EA1010" t="s">
        <v>13772</v>
      </c>
      <c r="EB1010" t="s">
        <v>23859</v>
      </c>
    </row>
    <row r="1011" spans="1:132" hidden="1">
      <c r="A1011">
        <v>1087</v>
      </c>
      <c r="B1011">
        <v>1</v>
      </c>
      <c r="C1011" t="s">
        <v>2615</v>
      </c>
      <c r="D1011" t="s">
        <v>73</v>
      </c>
      <c r="E1011" t="s">
        <v>73</v>
      </c>
      <c r="F1011" t="s">
        <v>73</v>
      </c>
      <c r="G1011" t="s">
        <v>73</v>
      </c>
      <c r="H1011">
        <v>11.6</v>
      </c>
      <c r="I1011">
        <v>1018</v>
      </c>
      <c r="J1011">
        <v>113330</v>
      </c>
      <c r="K1011" t="s">
        <v>2616</v>
      </c>
      <c r="L1011">
        <f t="shared" si="62"/>
        <v>25</v>
      </c>
      <c r="N1011">
        <v>25</v>
      </c>
      <c r="O1011">
        <v>25</v>
      </c>
      <c r="P1011">
        <v>1</v>
      </c>
      <c r="Q1011">
        <v>1</v>
      </c>
      <c r="R1011">
        <v>2</v>
      </c>
      <c r="S1011">
        <v>1</v>
      </c>
      <c r="T1011">
        <v>3</v>
      </c>
      <c r="U1011">
        <v>1</v>
      </c>
      <c r="V1011">
        <v>4</v>
      </c>
      <c r="W1011">
        <v>1</v>
      </c>
      <c r="X1011">
        <v>3</v>
      </c>
      <c r="Y1011">
        <v>0</v>
      </c>
      <c r="Z1011">
        <v>0</v>
      </c>
      <c r="AA1011">
        <v>3</v>
      </c>
      <c r="AB1011">
        <v>1</v>
      </c>
      <c r="AC1011">
        <v>1</v>
      </c>
      <c r="AD1011">
        <v>0</v>
      </c>
      <c r="AE1011">
        <v>0</v>
      </c>
      <c r="AF1011">
        <v>2</v>
      </c>
      <c r="AG1011">
        <v>1</v>
      </c>
      <c r="AH1011">
        <v>1</v>
      </c>
      <c r="AI1011">
        <v>0</v>
      </c>
      <c r="AJ1011">
        <v>1</v>
      </c>
      <c r="AK1011">
        <v>2</v>
      </c>
      <c r="AL1011">
        <v>1</v>
      </c>
      <c r="AM1011">
        <v>3</v>
      </c>
      <c r="AN1011">
        <v>1</v>
      </c>
      <c r="AO1011">
        <v>4</v>
      </c>
      <c r="AP1011">
        <v>1</v>
      </c>
      <c r="AQ1011">
        <v>3</v>
      </c>
      <c r="AR1011">
        <v>0</v>
      </c>
      <c r="AS1011">
        <v>0</v>
      </c>
      <c r="AT1011">
        <v>3</v>
      </c>
      <c r="AU1011">
        <v>1</v>
      </c>
      <c r="AV1011">
        <v>1</v>
      </c>
      <c r="AW1011">
        <v>0</v>
      </c>
      <c r="AX1011">
        <v>0</v>
      </c>
      <c r="AY1011">
        <v>2</v>
      </c>
      <c r="AZ1011">
        <v>1</v>
      </c>
      <c r="BA1011">
        <v>1</v>
      </c>
      <c r="BB1011">
        <v>0</v>
      </c>
      <c r="BC1011" s="2">
        <v>1</v>
      </c>
      <c r="BD1011" s="2">
        <v>2</v>
      </c>
      <c r="BE1011" s="2">
        <v>1</v>
      </c>
      <c r="BF1011" s="2">
        <v>3</v>
      </c>
      <c r="BG1011" s="2">
        <v>1</v>
      </c>
      <c r="BH1011" s="2">
        <v>4</v>
      </c>
      <c r="BI1011" s="2">
        <v>1</v>
      </c>
      <c r="BJ1011" s="2">
        <v>3</v>
      </c>
      <c r="BK1011" s="2">
        <v>0</v>
      </c>
      <c r="BL1011" s="2">
        <v>0</v>
      </c>
      <c r="BM1011" s="2">
        <v>3</v>
      </c>
      <c r="BN1011" s="2">
        <v>1</v>
      </c>
      <c r="BO1011" s="2">
        <v>1</v>
      </c>
      <c r="BP1011" s="2">
        <v>0</v>
      </c>
      <c r="BQ1011" s="2">
        <v>0</v>
      </c>
      <c r="BR1011" s="2">
        <v>2</v>
      </c>
      <c r="BS1011" s="2">
        <v>1</v>
      </c>
      <c r="BT1011" s="2">
        <v>1</v>
      </c>
      <c r="BU1011" s="2">
        <v>0</v>
      </c>
      <c r="BV1011" s="2">
        <f t="shared" si="65"/>
        <v>25</v>
      </c>
      <c r="BW1011" s="16">
        <f t="shared" si="63"/>
        <v>1.3157894736842106</v>
      </c>
      <c r="BX1011" s="16">
        <f>COUNTIF($BC$6:BU1011, "=0") / COUNTIF($BC$6:BU1011, "&gt;-1")</f>
        <v>0.27597572459976982</v>
      </c>
      <c r="BY1011" s="18">
        <f>SUM($BC$6:BU1011) / $BY$4</f>
        <v>0.94250407926455138</v>
      </c>
      <c r="BZ1011" s="14">
        <f t="shared" si="64"/>
        <v>5</v>
      </c>
      <c r="CA1011" t="s">
        <v>5832</v>
      </c>
      <c r="CZ1011" t="s">
        <v>9358</v>
      </c>
      <c r="DA1011" t="s">
        <v>5904</v>
      </c>
      <c r="DB1011">
        <v>2055.8000000000002</v>
      </c>
      <c r="DC1011" t="s">
        <v>24301</v>
      </c>
      <c r="DD1011" t="s">
        <v>24302</v>
      </c>
      <c r="DE1011" t="s">
        <v>24303</v>
      </c>
      <c r="DF1011" t="s">
        <v>24304</v>
      </c>
      <c r="DG1011" t="s">
        <v>24305</v>
      </c>
      <c r="DH1011" t="str">
        <f>"CNTN1"</f>
        <v>CNTN1</v>
      </c>
      <c r="DI1011" t="s">
        <v>13772</v>
      </c>
      <c r="DJ1011" t="s">
        <v>13777</v>
      </c>
      <c r="DK1011">
        <v>9606</v>
      </c>
      <c r="DL1011" s="34" t="str">
        <f>HYPERLINK("http://www.uniprot.org/uniprot/Q12860", "Q12860")</f>
        <v>Q12860</v>
      </c>
      <c r="DM1011" t="s">
        <v>24306</v>
      </c>
      <c r="DN1011" t="s">
        <v>24307</v>
      </c>
      <c r="DO1011" t="s">
        <v>13792</v>
      </c>
      <c r="DP1011" t="s">
        <v>13780</v>
      </c>
      <c r="DQ1011" t="s">
        <v>13772</v>
      </c>
      <c r="DR1011" t="s">
        <v>13772</v>
      </c>
      <c r="DS1011" t="s">
        <v>16182</v>
      </c>
      <c r="DT1011" t="s">
        <v>13772</v>
      </c>
      <c r="DU1011" t="s">
        <v>13772</v>
      </c>
      <c r="DV1011" t="s">
        <v>15699</v>
      </c>
      <c r="DW1011" t="s">
        <v>13812</v>
      </c>
      <c r="DX1011" t="s">
        <v>24308</v>
      </c>
      <c r="DY1011" t="s">
        <v>24309</v>
      </c>
      <c r="DZ1011" t="s">
        <v>20728</v>
      </c>
      <c r="EA1011" t="s">
        <v>13772</v>
      </c>
      <c r="EB1011" t="s">
        <v>24310</v>
      </c>
    </row>
    <row r="1012" spans="1:132" hidden="1">
      <c r="A1012">
        <v>1149</v>
      </c>
      <c r="B1012">
        <v>1</v>
      </c>
      <c r="C1012" t="s">
        <v>2765</v>
      </c>
      <c r="D1012" t="s">
        <v>73</v>
      </c>
      <c r="E1012" t="s">
        <v>73</v>
      </c>
      <c r="F1012" t="s">
        <v>73</v>
      </c>
      <c r="G1012" t="s">
        <v>73</v>
      </c>
      <c r="H1012">
        <v>30.4</v>
      </c>
      <c r="I1012">
        <v>280</v>
      </c>
      <c r="J1012">
        <v>32322</v>
      </c>
      <c r="K1012" t="s">
        <v>2766</v>
      </c>
      <c r="L1012">
        <f t="shared" si="62"/>
        <v>25</v>
      </c>
      <c r="N1012">
        <v>25</v>
      </c>
      <c r="O1012">
        <v>25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4</v>
      </c>
      <c r="Y1012">
        <v>0</v>
      </c>
      <c r="Z1012">
        <v>0</v>
      </c>
      <c r="AA1012">
        <v>7</v>
      </c>
      <c r="AB1012">
        <v>1</v>
      </c>
      <c r="AC1012">
        <v>5</v>
      </c>
      <c r="AD1012">
        <v>0</v>
      </c>
      <c r="AE1012">
        <v>0</v>
      </c>
      <c r="AF1012">
        <v>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4</v>
      </c>
      <c r="AR1012">
        <v>0</v>
      </c>
      <c r="AS1012">
        <v>0</v>
      </c>
      <c r="AT1012">
        <v>7</v>
      </c>
      <c r="AU1012">
        <v>1</v>
      </c>
      <c r="AV1012">
        <v>5</v>
      </c>
      <c r="AW1012">
        <v>0</v>
      </c>
      <c r="AX1012">
        <v>0</v>
      </c>
      <c r="AY1012">
        <v>7</v>
      </c>
      <c r="AZ1012">
        <v>0</v>
      </c>
      <c r="BA1012">
        <v>0</v>
      </c>
      <c r="BB101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  <c r="BI1012" s="2">
        <v>0</v>
      </c>
      <c r="BJ1012" s="2">
        <v>4</v>
      </c>
      <c r="BK1012" s="2">
        <v>0</v>
      </c>
      <c r="BL1012" s="2">
        <v>0</v>
      </c>
      <c r="BM1012" s="2">
        <v>7</v>
      </c>
      <c r="BN1012" s="2">
        <v>1</v>
      </c>
      <c r="BO1012" s="2">
        <v>5</v>
      </c>
      <c r="BP1012" s="2">
        <v>0</v>
      </c>
      <c r="BQ1012" s="2">
        <v>0</v>
      </c>
      <c r="BR1012" s="2">
        <v>7</v>
      </c>
      <c r="BS1012" s="2">
        <v>0</v>
      </c>
      <c r="BT1012" s="2">
        <v>0</v>
      </c>
      <c r="BU1012" s="2">
        <v>0</v>
      </c>
      <c r="BV1012" s="2">
        <f t="shared" si="65"/>
        <v>25</v>
      </c>
      <c r="BW1012" s="16">
        <f t="shared" si="63"/>
        <v>1.3157894736842106</v>
      </c>
      <c r="BX1012" s="16">
        <f>COUNTIF($BC$6:BU1012, "=0") / COUNTIF($BC$6:BU1012, "&gt;-1")</f>
        <v>0.27638112162232792</v>
      </c>
      <c r="BY1012" s="18">
        <f>SUM($BC$6:BU1012) / $BY$4</f>
        <v>0.94261117018626883</v>
      </c>
      <c r="BZ1012" s="14">
        <f t="shared" si="64"/>
        <v>13</v>
      </c>
      <c r="CA1012" t="s">
        <v>5832</v>
      </c>
      <c r="CZ1012" t="s">
        <v>9551</v>
      </c>
      <c r="DA1012" t="s">
        <v>5904</v>
      </c>
      <c r="DB1012">
        <v>406.4</v>
      </c>
      <c r="DC1012" t="s">
        <v>24857</v>
      </c>
      <c r="DD1012" t="s">
        <v>24858</v>
      </c>
      <c r="DE1012" t="s">
        <v>24859</v>
      </c>
      <c r="DF1012" t="s">
        <v>24860</v>
      </c>
      <c r="DG1012" t="s">
        <v>24861</v>
      </c>
      <c r="DH1012" t="str">
        <f>"IDI1"</f>
        <v>IDI1</v>
      </c>
      <c r="DI1012" t="s">
        <v>13772</v>
      </c>
      <c r="DJ1012" t="s">
        <v>13777</v>
      </c>
      <c r="DK1012">
        <v>9606</v>
      </c>
      <c r="DL1012" s="34" t="str">
        <f>HYPERLINK("http://www.uniprot.org/uniprot/Q13907", "Q13907")</f>
        <v>Q13907</v>
      </c>
      <c r="DM1012" t="s">
        <v>24862</v>
      </c>
      <c r="DN1012" t="s">
        <v>24863</v>
      </c>
      <c r="DO1012" t="s">
        <v>16689</v>
      </c>
      <c r="DP1012" t="s">
        <v>13841</v>
      </c>
      <c r="DQ1012" t="s">
        <v>13772</v>
      </c>
      <c r="DR1012" t="s">
        <v>13772</v>
      </c>
      <c r="DS1012" t="s">
        <v>13772</v>
      </c>
      <c r="DT1012" t="s">
        <v>14784</v>
      </c>
      <c r="DU1012" t="s">
        <v>14910</v>
      </c>
      <c r="DV1012" t="s">
        <v>14020</v>
      </c>
      <c r="DW1012" t="s">
        <v>13812</v>
      </c>
      <c r="DX1012" t="s">
        <v>24864</v>
      </c>
      <c r="DY1012" t="s">
        <v>24865</v>
      </c>
      <c r="DZ1012" t="s">
        <v>24866</v>
      </c>
      <c r="EA1012" t="s">
        <v>24867</v>
      </c>
      <c r="EB1012" t="s">
        <v>24868</v>
      </c>
    </row>
    <row r="1013" spans="1:132" hidden="1">
      <c r="A1013">
        <v>1352</v>
      </c>
      <c r="B1013">
        <v>1</v>
      </c>
      <c r="C1013" t="s">
        <v>3234</v>
      </c>
      <c r="D1013" t="s">
        <v>73</v>
      </c>
      <c r="E1013" t="s">
        <v>73</v>
      </c>
      <c r="F1013" t="s">
        <v>73</v>
      </c>
      <c r="G1013" t="s">
        <v>73</v>
      </c>
      <c r="H1013">
        <v>1.2</v>
      </c>
      <c r="I1013">
        <v>1369</v>
      </c>
      <c r="J1013">
        <v>147892</v>
      </c>
      <c r="K1013" t="s">
        <v>3235</v>
      </c>
      <c r="L1013">
        <f t="shared" si="62"/>
        <v>25</v>
      </c>
      <c r="N1013">
        <v>25</v>
      </c>
      <c r="O1013">
        <v>25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  <c r="W1013">
        <v>1</v>
      </c>
      <c r="X1013">
        <v>2</v>
      </c>
      <c r="Y1013">
        <v>1</v>
      </c>
      <c r="Z1013">
        <v>1</v>
      </c>
      <c r="AA1013">
        <v>3</v>
      </c>
      <c r="AB1013">
        <v>2</v>
      </c>
      <c r="AC1013">
        <v>1</v>
      </c>
      <c r="AD1013">
        <v>3</v>
      </c>
      <c r="AE1013">
        <v>2</v>
      </c>
      <c r="AF1013">
        <v>0</v>
      </c>
      <c r="AG1013">
        <v>3</v>
      </c>
      <c r="AH1013">
        <v>1</v>
      </c>
      <c r="AI1013">
        <v>2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2</v>
      </c>
      <c r="AR1013">
        <v>1</v>
      </c>
      <c r="AS1013">
        <v>1</v>
      </c>
      <c r="AT1013">
        <v>3</v>
      </c>
      <c r="AU1013">
        <v>2</v>
      </c>
      <c r="AV1013">
        <v>1</v>
      </c>
      <c r="AW1013">
        <v>3</v>
      </c>
      <c r="AX1013">
        <v>2</v>
      </c>
      <c r="AY1013">
        <v>0</v>
      </c>
      <c r="AZ1013">
        <v>3</v>
      </c>
      <c r="BA1013">
        <v>1</v>
      </c>
      <c r="BB1013">
        <v>2</v>
      </c>
      <c r="BC1013" s="2">
        <v>0</v>
      </c>
      <c r="BD1013" s="2">
        <v>1</v>
      </c>
      <c r="BE1013" s="2">
        <v>0</v>
      </c>
      <c r="BF1013" s="2">
        <v>1</v>
      </c>
      <c r="BG1013" s="2">
        <v>0</v>
      </c>
      <c r="BH1013" s="2">
        <v>1</v>
      </c>
      <c r="BI1013" s="2">
        <v>1</v>
      </c>
      <c r="BJ1013" s="2">
        <v>2</v>
      </c>
      <c r="BK1013" s="2">
        <v>1</v>
      </c>
      <c r="BL1013" s="2">
        <v>1</v>
      </c>
      <c r="BM1013" s="2">
        <v>3</v>
      </c>
      <c r="BN1013" s="2">
        <v>2</v>
      </c>
      <c r="BO1013" s="2">
        <v>1</v>
      </c>
      <c r="BP1013" s="2">
        <v>3</v>
      </c>
      <c r="BQ1013" s="2">
        <v>2</v>
      </c>
      <c r="BR1013" s="2">
        <v>0</v>
      </c>
      <c r="BS1013" s="2">
        <v>3</v>
      </c>
      <c r="BT1013" s="2">
        <v>1</v>
      </c>
      <c r="BU1013" s="2">
        <v>2</v>
      </c>
      <c r="BV1013" s="2">
        <f t="shared" si="65"/>
        <v>25</v>
      </c>
      <c r="BW1013" s="16">
        <f t="shared" si="63"/>
        <v>1.3157894736842106</v>
      </c>
      <c r="BX1013" s="16">
        <f>COUNTIF($BC$6:BU1013, "=0") / COUNTIF($BC$6:BU1013, "&gt;-1")</f>
        <v>0.27631578947368424</v>
      </c>
      <c r="BY1013" s="18">
        <f>SUM($BC$6:BU1013) / $BY$4</f>
        <v>0.9427182611079864</v>
      </c>
      <c r="BZ1013" s="14">
        <f t="shared" si="64"/>
        <v>4</v>
      </c>
      <c r="CA1013" t="s">
        <v>5832</v>
      </c>
      <c r="CZ1013" t="s">
        <v>10249</v>
      </c>
      <c r="DA1013" t="s">
        <v>5904</v>
      </c>
      <c r="DB1013">
        <v>2249.1999999999998</v>
      </c>
      <c r="DC1013" t="s">
        <v>26847</v>
      </c>
      <c r="DD1013" t="s">
        <v>13772</v>
      </c>
      <c r="DE1013" t="s">
        <v>26848</v>
      </c>
      <c r="DF1013" t="s">
        <v>26849</v>
      </c>
      <c r="DG1013" t="s">
        <v>26850</v>
      </c>
      <c r="DH1013" t="str">
        <f>"RGS12"</f>
        <v>RGS12</v>
      </c>
      <c r="DI1013" t="s">
        <v>13772</v>
      </c>
      <c r="DJ1013" t="s">
        <v>13777</v>
      </c>
      <c r="DK1013">
        <v>9606</v>
      </c>
      <c r="DL1013" s="34" t="str">
        <f>HYPERLINK("http://www.uniprot.org/uniprot/O14924", "O14924")</f>
        <v>O14924</v>
      </c>
      <c r="DM1013" t="s">
        <v>26851</v>
      </c>
      <c r="DN1013" t="s">
        <v>21135</v>
      </c>
      <c r="DO1013" t="s">
        <v>26852</v>
      </c>
      <c r="DP1013" t="s">
        <v>13780</v>
      </c>
      <c r="DQ1013" t="s">
        <v>13772</v>
      </c>
      <c r="DR1013" t="s">
        <v>13772</v>
      </c>
      <c r="DS1013" t="s">
        <v>14096</v>
      </c>
      <c r="DT1013" t="s">
        <v>13772</v>
      </c>
      <c r="DU1013" t="s">
        <v>26853</v>
      </c>
      <c r="DV1013" t="s">
        <v>26854</v>
      </c>
      <c r="DW1013" t="s">
        <v>13812</v>
      </c>
      <c r="DX1013" t="s">
        <v>26855</v>
      </c>
      <c r="DY1013" t="s">
        <v>26856</v>
      </c>
      <c r="DZ1013" t="s">
        <v>26857</v>
      </c>
      <c r="EA1013" t="s">
        <v>13772</v>
      </c>
      <c r="EB1013" t="s">
        <v>26858</v>
      </c>
    </row>
    <row r="1014" spans="1:132" hidden="1">
      <c r="A1014">
        <v>1378</v>
      </c>
      <c r="B1014">
        <v>1</v>
      </c>
      <c r="C1014" t="s">
        <v>3296</v>
      </c>
      <c r="D1014" t="s">
        <v>73</v>
      </c>
      <c r="E1014" t="s">
        <v>73</v>
      </c>
      <c r="F1014" t="s">
        <v>73</v>
      </c>
      <c r="G1014" t="s">
        <v>73</v>
      </c>
      <c r="H1014">
        <v>42.8</v>
      </c>
      <c r="I1014">
        <v>222</v>
      </c>
      <c r="J1014">
        <v>24830</v>
      </c>
      <c r="K1014" t="s">
        <v>3297</v>
      </c>
      <c r="L1014">
        <f t="shared" si="62"/>
        <v>25</v>
      </c>
      <c r="N1014">
        <v>25</v>
      </c>
      <c r="O1014">
        <v>25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2</v>
      </c>
      <c r="W1014">
        <v>1</v>
      </c>
      <c r="X1014">
        <v>2</v>
      </c>
      <c r="Y1014">
        <v>0</v>
      </c>
      <c r="Z1014">
        <v>0</v>
      </c>
      <c r="AA1014">
        <v>1</v>
      </c>
      <c r="AB1014">
        <v>1</v>
      </c>
      <c r="AC1014">
        <v>4</v>
      </c>
      <c r="AD1014">
        <v>0</v>
      </c>
      <c r="AE1014">
        <v>0</v>
      </c>
      <c r="AF1014">
        <v>2</v>
      </c>
      <c r="AG1014">
        <v>10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</v>
      </c>
      <c r="AO1014">
        <v>2</v>
      </c>
      <c r="AP1014">
        <v>1</v>
      </c>
      <c r="AQ1014">
        <v>2</v>
      </c>
      <c r="AR1014">
        <v>0</v>
      </c>
      <c r="AS1014">
        <v>0</v>
      </c>
      <c r="AT1014">
        <v>1</v>
      </c>
      <c r="AU1014">
        <v>1</v>
      </c>
      <c r="AV1014">
        <v>4</v>
      </c>
      <c r="AW1014">
        <v>0</v>
      </c>
      <c r="AX1014">
        <v>0</v>
      </c>
      <c r="AY1014">
        <v>2</v>
      </c>
      <c r="AZ1014">
        <v>10</v>
      </c>
      <c r="BA1014">
        <v>0</v>
      </c>
      <c r="BB1014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2</v>
      </c>
      <c r="BH1014" s="2">
        <v>2</v>
      </c>
      <c r="BI1014" s="2">
        <v>1</v>
      </c>
      <c r="BJ1014" s="2">
        <v>2</v>
      </c>
      <c r="BK1014" s="2">
        <v>0</v>
      </c>
      <c r="BL1014" s="2">
        <v>0</v>
      </c>
      <c r="BM1014" s="2">
        <v>1</v>
      </c>
      <c r="BN1014" s="2">
        <v>1</v>
      </c>
      <c r="BO1014" s="2">
        <v>4</v>
      </c>
      <c r="BP1014" s="2">
        <v>0</v>
      </c>
      <c r="BQ1014" s="2">
        <v>0</v>
      </c>
      <c r="BR1014" s="2">
        <v>2</v>
      </c>
      <c r="BS1014" s="2">
        <v>10</v>
      </c>
      <c r="BT1014" s="2">
        <v>0</v>
      </c>
      <c r="BU1014" s="2">
        <v>0</v>
      </c>
      <c r="BV1014" s="2">
        <f t="shared" si="65"/>
        <v>25</v>
      </c>
      <c r="BW1014" s="16">
        <f t="shared" si="63"/>
        <v>1.3157894736842106</v>
      </c>
      <c r="BX1014" s="16">
        <f>COUNTIF($BC$6:BU1014, "=0") / COUNTIF($BC$6:BU1014, "&gt;-1")</f>
        <v>0.27656355954305983</v>
      </c>
      <c r="BY1014" s="18">
        <f>SUM($BC$6:BU1014) / $BY$4</f>
        <v>0.94282535202970386</v>
      </c>
      <c r="BZ1014" s="14">
        <f t="shared" si="64"/>
        <v>10</v>
      </c>
      <c r="CA1014" t="s">
        <v>5832</v>
      </c>
      <c r="CZ1014" t="s">
        <v>10339</v>
      </c>
      <c r="DA1014" t="s">
        <v>5904</v>
      </c>
      <c r="DB1014">
        <v>417.2</v>
      </c>
      <c r="DC1014" t="s">
        <v>27099</v>
      </c>
      <c r="DD1014" t="s">
        <v>13772</v>
      </c>
      <c r="DE1014" t="s">
        <v>27100</v>
      </c>
      <c r="DF1014" t="s">
        <v>27101</v>
      </c>
      <c r="DG1014" t="s">
        <v>27102</v>
      </c>
      <c r="DH1014" t="str">
        <f>"SOD2"</f>
        <v>SOD2</v>
      </c>
      <c r="DI1014" t="s">
        <v>13772</v>
      </c>
      <c r="DJ1014" t="s">
        <v>13777</v>
      </c>
      <c r="DK1014">
        <v>9606</v>
      </c>
      <c r="DL1014" s="34" t="str">
        <f>HYPERLINK("http://www.uniprot.org/uniprot/P04179", "P04179")</f>
        <v>P04179</v>
      </c>
      <c r="DM1014" t="s">
        <v>27103</v>
      </c>
      <c r="DN1014" t="s">
        <v>13772</v>
      </c>
      <c r="DO1014" t="s">
        <v>14491</v>
      </c>
      <c r="DP1014" t="s">
        <v>13780</v>
      </c>
      <c r="DQ1014" t="s">
        <v>13772</v>
      </c>
      <c r="DR1014" t="s">
        <v>13772</v>
      </c>
      <c r="DS1014" t="s">
        <v>14391</v>
      </c>
      <c r="DT1014" t="s">
        <v>15674</v>
      </c>
      <c r="DU1014" t="s">
        <v>13885</v>
      </c>
      <c r="DV1014" t="s">
        <v>27104</v>
      </c>
      <c r="DW1014" t="s">
        <v>13812</v>
      </c>
      <c r="DX1014" t="s">
        <v>27105</v>
      </c>
      <c r="DY1014" t="s">
        <v>18991</v>
      </c>
      <c r="DZ1014" t="s">
        <v>27106</v>
      </c>
      <c r="EA1014" t="s">
        <v>13772</v>
      </c>
      <c r="EB1014" t="s">
        <v>27107</v>
      </c>
    </row>
    <row r="1015" spans="1:132" hidden="1">
      <c r="A1015">
        <v>1449</v>
      </c>
      <c r="B1015">
        <v>1</v>
      </c>
      <c r="C1015" t="s">
        <v>3450</v>
      </c>
      <c r="D1015" t="s">
        <v>73</v>
      </c>
      <c r="E1015" t="s">
        <v>73</v>
      </c>
      <c r="F1015" t="s">
        <v>73</v>
      </c>
      <c r="G1015" t="s">
        <v>73</v>
      </c>
      <c r="H1015">
        <v>11.7</v>
      </c>
      <c r="I1015">
        <v>247</v>
      </c>
      <c r="J1015">
        <v>27510</v>
      </c>
      <c r="K1015" t="s">
        <v>3451</v>
      </c>
      <c r="L1015">
        <f t="shared" si="62"/>
        <v>25</v>
      </c>
      <c r="N1015">
        <v>25</v>
      </c>
      <c r="O1015">
        <v>25</v>
      </c>
      <c r="P1015">
        <v>1</v>
      </c>
      <c r="Q1015">
        <v>7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v>3</v>
      </c>
      <c r="X1015">
        <v>3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1</v>
      </c>
      <c r="AF1015">
        <v>3</v>
      </c>
      <c r="AG1015">
        <v>2</v>
      </c>
      <c r="AH1015">
        <v>0</v>
      </c>
      <c r="AI1015">
        <v>1</v>
      </c>
      <c r="AJ1015">
        <v>7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3</v>
      </c>
      <c r="AQ1015">
        <v>3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1</v>
      </c>
      <c r="AY1015">
        <v>3</v>
      </c>
      <c r="AZ1015">
        <v>2</v>
      </c>
      <c r="BA1015">
        <v>0</v>
      </c>
      <c r="BB1015">
        <v>1</v>
      </c>
      <c r="BC1015" s="2">
        <v>7</v>
      </c>
      <c r="BD1015" s="2">
        <v>0</v>
      </c>
      <c r="BE1015" s="2">
        <v>1</v>
      </c>
      <c r="BF1015" s="2">
        <v>0</v>
      </c>
      <c r="BG1015" s="2">
        <v>1</v>
      </c>
      <c r="BH1015" s="2">
        <v>1</v>
      </c>
      <c r="BI1015" s="2">
        <v>3</v>
      </c>
      <c r="BJ1015" s="2">
        <v>3</v>
      </c>
      <c r="BK1015" s="2">
        <v>0</v>
      </c>
      <c r="BL1015" s="2">
        <v>0</v>
      </c>
      <c r="BM1015" s="2">
        <v>1</v>
      </c>
      <c r="BN1015" s="2">
        <v>1</v>
      </c>
      <c r="BO1015" s="2">
        <v>0</v>
      </c>
      <c r="BP1015" s="2">
        <v>0</v>
      </c>
      <c r="BQ1015" s="2">
        <v>1</v>
      </c>
      <c r="BR1015" s="2">
        <v>3</v>
      </c>
      <c r="BS1015" s="2">
        <v>2</v>
      </c>
      <c r="BT1015" s="2">
        <v>0</v>
      </c>
      <c r="BU1015" s="2">
        <v>1</v>
      </c>
      <c r="BV1015" s="2">
        <f t="shared" si="65"/>
        <v>25</v>
      </c>
      <c r="BW1015" s="16">
        <f t="shared" si="63"/>
        <v>1.3157894736842106</v>
      </c>
      <c r="BX1015" s="16">
        <f>COUNTIF($BC$6:BU1015, "=0") / COUNTIF($BC$6:BU1015, "&gt;-1")</f>
        <v>0.27665450755601878</v>
      </c>
      <c r="BY1015" s="18">
        <f>SUM($BC$6:BU1015) / $BY$4</f>
        <v>0.94293244295142142</v>
      </c>
      <c r="BZ1015" s="14">
        <f t="shared" si="64"/>
        <v>7</v>
      </c>
      <c r="CA1015" t="s">
        <v>5832</v>
      </c>
      <c r="CZ1015" t="s">
        <v>10561</v>
      </c>
      <c r="DA1015" t="s">
        <v>5904</v>
      </c>
      <c r="DB1015">
        <v>345.9</v>
      </c>
      <c r="DC1015" t="s">
        <v>27708</v>
      </c>
      <c r="DD1015" t="s">
        <v>27709</v>
      </c>
      <c r="DE1015" t="s">
        <v>27710</v>
      </c>
      <c r="DF1015" t="s">
        <v>27711</v>
      </c>
      <c r="DG1015" t="s">
        <v>27712</v>
      </c>
      <c r="DH1015" t="str">
        <f>"RNASET2"</f>
        <v>RNASET2</v>
      </c>
      <c r="DI1015" t="s">
        <v>27713</v>
      </c>
      <c r="DJ1015" t="s">
        <v>13777</v>
      </c>
      <c r="DK1015">
        <v>9606</v>
      </c>
      <c r="DL1015" s="34" t="str">
        <f>HYPERLINK("http://www.uniprot.org/uniprot/O00584", "O00584")</f>
        <v>O00584</v>
      </c>
      <c r="DM1015" t="s">
        <v>27714</v>
      </c>
      <c r="DN1015" t="s">
        <v>13772</v>
      </c>
      <c r="DO1015" t="s">
        <v>16170</v>
      </c>
      <c r="DP1015" t="s">
        <v>13780</v>
      </c>
      <c r="DQ1015" t="s">
        <v>13772</v>
      </c>
      <c r="DR1015" t="s">
        <v>13807</v>
      </c>
      <c r="DS1015" t="s">
        <v>13808</v>
      </c>
      <c r="DT1015" t="s">
        <v>13772</v>
      </c>
      <c r="DU1015" t="s">
        <v>15343</v>
      </c>
      <c r="DV1015" t="s">
        <v>13796</v>
      </c>
      <c r="DW1015" t="s">
        <v>13812</v>
      </c>
      <c r="DX1015" t="s">
        <v>27715</v>
      </c>
      <c r="DY1015" t="s">
        <v>27716</v>
      </c>
      <c r="DZ1015" t="s">
        <v>27717</v>
      </c>
      <c r="EA1015" t="s">
        <v>13772</v>
      </c>
      <c r="EB1015" t="s">
        <v>13890</v>
      </c>
    </row>
    <row r="1016" spans="1:132" hidden="1">
      <c r="A1016">
        <v>1461</v>
      </c>
      <c r="B1016">
        <v>1</v>
      </c>
      <c r="C1016" t="s">
        <v>3477</v>
      </c>
      <c r="D1016" t="s">
        <v>73</v>
      </c>
      <c r="E1016" t="s">
        <v>73</v>
      </c>
      <c r="F1016" t="s">
        <v>73</v>
      </c>
      <c r="G1016" t="s">
        <v>73</v>
      </c>
      <c r="H1016">
        <v>29.9</v>
      </c>
      <c r="I1016">
        <v>308</v>
      </c>
      <c r="J1016">
        <v>32291</v>
      </c>
      <c r="K1016" t="s">
        <v>3478</v>
      </c>
      <c r="L1016">
        <f t="shared" si="62"/>
        <v>25</v>
      </c>
      <c r="N1016">
        <v>25</v>
      </c>
      <c r="O1016">
        <v>25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2</v>
      </c>
      <c r="V1016">
        <v>1</v>
      </c>
      <c r="W1016">
        <v>1</v>
      </c>
      <c r="X1016">
        <v>1</v>
      </c>
      <c r="Y1016">
        <v>0</v>
      </c>
      <c r="Z1016">
        <v>0</v>
      </c>
      <c r="AA1016">
        <v>5</v>
      </c>
      <c r="AB1016">
        <v>2</v>
      </c>
      <c r="AC1016">
        <v>1</v>
      </c>
      <c r="AD1016">
        <v>0</v>
      </c>
      <c r="AE1016">
        <v>2</v>
      </c>
      <c r="AF1016">
        <v>4</v>
      </c>
      <c r="AG1016">
        <v>2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2</v>
      </c>
      <c r="AO1016">
        <v>1</v>
      </c>
      <c r="AP1016">
        <v>1</v>
      </c>
      <c r="AQ1016">
        <v>1</v>
      </c>
      <c r="AR1016">
        <v>0</v>
      </c>
      <c r="AS1016">
        <v>0</v>
      </c>
      <c r="AT1016">
        <v>5</v>
      </c>
      <c r="AU1016">
        <v>2</v>
      </c>
      <c r="AV1016">
        <v>1</v>
      </c>
      <c r="AW1016">
        <v>0</v>
      </c>
      <c r="AX1016">
        <v>2</v>
      </c>
      <c r="AY1016">
        <v>4</v>
      </c>
      <c r="AZ1016">
        <v>2</v>
      </c>
      <c r="BA1016">
        <v>0</v>
      </c>
      <c r="BB1016">
        <v>1</v>
      </c>
      <c r="BC1016" s="2">
        <v>1</v>
      </c>
      <c r="BD1016" s="2">
        <v>1</v>
      </c>
      <c r="BE1016" s="2">
        <v>1</v>
      </c>
      <c r="BF1016" s="2">
        <v>0</v>
      </c>
      <c r="BG1016" s="2">
        <v>2</v>
      </c>
      <c r="BH1016" s="2">
        <v>1</v>
      </c>
      <c r="BI1016" s="2">
        <v>1</v>
      </c>
      <c r="BJ1016" s="2">
        <v>1</v>
      </c>
      <c r="BK1016" s="2">
        <v>0</v>
      </c>
      <c r="BL1016" s="2">
        <v>0</v>
      </c>
      <c r="BM1016" s="2">
        <v>5</v>
      </c>
      <c r="BN1016" s="2">
        <v>2</v>
      </c>
      <c r="BO1016" s="2">
        <v>1</v>
      </c>
      <c r="BP1016" s="2">
        <v>0</v>
      </c>
      <c r="BQ1016" s="2">
        <v>2</v>
      </c>
      <c r="BR1016" s="2">
        <v>4</v>
      </c>
      <c r="BS1016" s="2">
        <v>2</v>
      </c>
      <c r="BT1016" s="2">
        <v>0</v>
      </c>
      <c r="BU1016" s="2">
        <v>1</v>
      </c>
      <c r="BV1016" s="2">
        <f t="shared" si="65"/>
        <v>25</v>
      </c>
      <c r="BW1016" s="16">
        <f t="shared" si="63"/>
        <v>1.3157894736842106</v>
      </c>
      <c r="BX1016" s="16">
        <f>COUNTIF($BC$6:BU1016, "=0") / COUNTIF($BC$6:BU1016, "&gt;-1")</f>
        <v>0.27664115779061899</v>
      </c>
      <c r="BY1016" s="18">
        <f>SUM($BC$6:BU1016) / $BY$4</f>
        <v>0.94303953387313888</v>
      </c>
      <c r="BZ1016" s="14">
        <f t="shared" si="64"/>
        <v>5</v>
      </c>
      <c r="CA1016" t="s">
        <v>5832</v>
      </c>
      <c r="CZ1016" t="s">
        <v>10602</v>
      </c>
      <c r="DA1016" t="s">
        <v>5904</v>
      </c>
      <c r="DB1016">
        <v>390.6</v>
      </c>
      <c r="DC1016" t="s">
        <v>27828</v>
      </c>
      <c r="DD1016" t="s">
        <v>27829</v>
      </c>
      <c r="DE1016" t="s">
        <v>27830</v>
      </c>
      <c r="DF1016" t="s">
        <v>27831</v>
      </c>
      <c r="DG1016" t="s">
        <v>27832</v>
      </c>
      <c r="DH1016" t="str">
        <f>"TREML1"</f>
        <v>TREML1</v>
      </c>
      <c r="DI1016" t="s">
        <v>27833</v>
      </c>
      <c r="DJ1016" t="s">
        <v>13777</v>
      </c>
      <c r="DK1016">
        <v>9606</v>
      </c>
      <c r="DL1016" s="34" t="str">
        <f>HYPERLINK("http://www.uniprot.org/uniprot/Q86YW5", "Q86YW5")</f>
        <v>Q86YW5</v>
      </c>
      <c r="DM1016" t="s">
        <v>27834</v>
      </c>
      <c r="DN1016" t="s">
        <v>13772</v>
      </c>
      <c r="DO1016" t="s">
        <v>18623</v>
      </c>
      <c r="DP1016" t="s">
        <v>13780</v>
      </c>
      <c r="DQ1016" t="s">
        <v>13772</v>
      </c>
      <c r="DR1016" t="s">
        <v>13772</v>
      </c>
      <c r="DS1016" t="s">
        <v>13794</v>
      </c>
      <c r="DT1016" t="s">
        <v>13772</v>
      </c>
      <c r="DU1016" t="s">
        <v>13795</v>
      </c>
      <c r="DV1016" t="s">
        <v>27835</v>
      </c>
      <c r="DW1016" t="s">
        <v>13812</v>
      </c>
      <c r="DX1016" t="s">
        <v>27836</v>
      </c>
      <c r="DY1016" t="s">
        <v>27837</v>
      </c>
      <c r="DZ1016" t="s">
        <v>13772</v>
      </c>
      <c r="EA1016" t="s">
        <v>13772</v>
      </c>
      <c r="EB1016" t="s">
        <v>13799</v>
      </c>
    </row>
    <row r="1017" spans="1:132" hidden="1">
      <c r="A1017">
        <v>1646</v>
      </c>
      <c r="B1017">
        <v>1</v>
      </c>
      <c r="C1017" t="s">
        <v>3903</v>
      </c>
      <c r="D1017" t="s">
        <v>3904</v>
      </c>
      <c r="E1017" t="s">
        <v>73</v>
      </c>
      <c r="F1017" t="s">
        <v>73</v>
      </c>
      <c r="G1017" t="s">
        <v>73</v>
      </c>
      <c r="H1017">
        <v>46</v>
      </c>
      <c r="I1017">
        <v>309</v>
      </c>
      <c r="J1017">
        <v>35183</v>
      </c>
      <c r="K1017" t="s">
        <v>3905</v>
      </c>
      <c r="L1017">
        <f t="shared" si="62"/>
        <v>25</v>
      </c>
      <c r="N1017">
        <v>25</v>
      </c>
      <c r="O1017">
        <v>25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2</v>
      </c>
      <c r="AA1017">
        <v>0</v>
      </c>
      <c r="AB1017">
        <v>0</v>
      </c>
      <c r="AC1017">
        <v>0</v>
      </c>
      <c r="AD1017">
        <v>1</v>
      </c>
      <c r="AE1017">
        <v>19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2</v>
      </c>
      <c r="AT1017">
        <v>0</v>
      </c>
      <c r="AU1017">
        <v>0</v>
      </c>
      <c r="AV1017">
        <v>0</v>
      </c>
      <c r="AW1017">
        <v>1</v>
      </c>
      <c r="AX1017">
        <v>19</v>
      </c>
      <c r="AY1017">
        <v>2</v>
      </c>
      <c r="AZ1017">
        <v>0</v>
      </c>
      <c r="BA1017">
        <v>0</v>
      </c>
      <c r="BB1017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1</v>
      </c>
      <c r="BL1017" s="2">
        <v>2</v>
      </c>
      <c r="BM1017" s="2">
        <v>0</v>
      </c>
      <c r="BN1017" s="2">
        <v>0</v>
      </c>
      <c r="BO1017" s="2">
        <v>0</v>
      </c>
      <c r="BP1017" s="2">
        <v>1</v>
      </c>
      <c r="BQ1017" s="2">
        <v>19</v>
      </c>
      <c r="BR1017" s="2">
        <v>2</v>
      </c>
      <c r="BS1017" s="2">
        <v>0</v>
      </c>
      <c r="BT1017" s="2">
        <v>0</v>
      </c>
      <c r="BU1017" s="2">
        <v>0</v>
      </c>
      <c r="BV1017" s="2">
        <f t="shared" si="65"/>
        <v>25</v>
      </c>
      <c r="BW1017" s="16">
        <f t="shared" si="63"/>
        <v>1.3157894736842106</v>
      </c>
      <c r="BX1017" s="16">
        <f>COUNTIF($BC$6:BU1017, "=0") / COUNTIF($BC$6:BU1017, "&gt;-1")</f>
        <v>0.2770959018098606</v>
      </c>
      <c r="BY1017" s="18">
        <f>SUM($BC$6:BU1017) / $BY$4</f>
        <v>0.94314662479485645</v>
      </c>
      <c r="BZ1017" s="14">
        <f t="shared" si="64"/>
        <v>14</v>
      </c>
      <c r="CA1017" t="s">
        <v>5832</v>
      </c>
      <c r="CZ1017" t="s">
        <v>11235</v>
      </c>
      <c r="DA1017" t="s">
        <v>5904</v>
      </c>
      <c r="DB1017">
        <v>464.5</v>
      </c>
      <c r="DC1017" t="s">
        <v>29572</v>
      </c>
      <c r="DD1017" t="s">
        <v>29573</v>
      </c>
      <c r="DE1017" t="s">
        <v>29574</v>
      </c>
      <c r="DF1017" t="s">
        <v>29575</v>
      </c>
      <c r="DG1017" t="s">
        <v>29576</v>
      </c>
      <c r="DH1017" t="str">
        <f>"FHL1"</f>
        <v>FHL1</v>
      </c>
      <c r="DI1017" t="s">
        <v>29577</v>
      </c>
      <c r="DJ1017" t="s">
        <v>13777</v>
      </c>
      <c r="DK1017">
        <v>9606</v>
      </c>
      <c r="DL1017" s="34" t="str">
        <f>HYPERLINK("http://www.uniprot.org/uniprot/Q13642", "Q13642")</f>
        <v>Q13642</v>
      </c>
      <c r="DM1017" t="s">
        <v>29578</v>
      </c>
      <c r="DN1017" t="s">
        <v>15591</v>
      </c>
      <c r="DO1017" t="s">
        <v>13912</v>
      </c>
      <c r="DP1017" t="s">
        <v>13780</v>
      </c>
      <c r="DQ1017" t="s">
        <v>13772</v>
      </c>
      <c r="DR1017" t="s">
        <v>29579</v>
      </c>
      <c r="DS1017" t="s">
        <v>29580</v>
      </c>
      <c r="DT1017" t="s">
        <v>13856</v>
      </c>
      <c r="DU1017" t="s">
        <v>14727</v>
      </c>
      <c r="DV1017" t="s">
        <v>14312</v>
      </c>
      <c r="DW1017" t="s">
        <v>13812</v>
      </c>
      <c r="DX1017" t="s">
        <v>29581</v>
      </c>
      <c r="DY1017" t="s">
        <v>29582</v>
      </c>
      <c r="DZ1017" t="s">
        <v>29583</v>
      </c>
      <c r="EA1017" t="s">
        <v>13772</v>
      </c>
      <c r="EB1017" t="s">
        <v>13772</v>
      </c>
    </row>
    <row r="1018" spans="1:132" hidden="1">
      <c r="A1018">
        <v>1696</v>
      </c>
      <c r="B1018">
        <v>1</v>
      </c>
      <c r="C1018" t="s">
        <v>4022</v>
      </c>
      <c r="D1018" t="s">
        <v>73</v>
      </c>
      <c r="E1018" t="s">
        <v>73</v>
      </c>
      <c r="F1018" t="s">
        <v>73</v>
      </c>
      <c r="G1018" t="s">
        <v>73</v>
      </c>
      <c r="H1018">
        <v>41</v>
      </c>
      <c r="I1018">
        <v>183</v>
      </c>
      <c r="J1018">
        <v>20706</v>
      </c>
      <c r="K1018" t="s">
        <v>4023</v>
      </c>
      <c r="L1018">
        <f t="shared" si="62"/>
        <v>25</v>
      </c>
      <c r="N1018">
        <v>25</v>
      </c>
      <c r="O1018">
        <v>25</v>
      </c>
      <c r="P1018">
        <v>1</v>
      </c>
      <c r="Q1018">
        <v>1</v>
      </c>
      <c r="R1018">
        <v>2</v>
      </c>
      <c r="S1018">
        <v>6</v>
      </c>
      <c r="T1018">
        <v>4</v>
      </c>
      <c r="U1018">
        <v>2</v>
      </c>
      <c r="V1018">
        <v>4</v>
      </c>
      <c r="W1018">
        <v>5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2</v>
      </c>
      <c r="AL1018">
        <v>6</v>
      </c>
      <c r="AM1018">
        <v>4</v>
      </c>
      <c r="AN1018">
        <v>2</v>
      </c>
      <c r="AO1018">
        <v>4</v>
      </c>
      <c r="AP1018">
        <v>5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 s="2">
        <v>1</v>
      </c>
      <c r="BD1018" s="2">
        <v>2</v>
      </c>
      <c r="BE1018" s="2">
        <v>6</v>
      </c>
      <c r="BF1018" s="2">
        <v>4</v>
      </c>
      <c r="BG1018" s="2">
        <v>2</v>
      </c>
      <c r="BH1018" s="2">
        <v>4</v>
      </c>
      <c r="BI1018" s="2">
        <v>5</v>
      </c>
      <c r="BJ1018" s="2">
        <v>1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f t="shared" si="65"/>
        <v>25</v>
      </c>
      <c r="BW1018" s="16">
        <f t="shared" si="63"/>
        <v>1.3157894736842106</v>
      </c>
      <c r="BX1018" s="16">
        <f>COUNTIF($BC$6:BU1018, "=0") / COUNTIF($BC$6:BU1018, "&gt;-1")</f>
        <v>0.27739387956564659</v>
      </c>
      <c r="BY1018" s="18">
        <f>SUM($BC$6:BU1018) / $BY$4</f>
        <v>0.9432537157165739</v>
      </c>
      <c r="BZ1018" s="14">
        <f t="shared" si="64"/>
        <v>11</v>
      </c>
      <c r="CA1018" t="s">
        <v>5832</v>
      </c>
      <c r="CZ1018" t="s">
        <v>11406</v>
      </c>
      <c r="DA1018" t="s">
        <v>5896</v>
      </c>
      <c r="DB1018">
        <v>48.5</v>
      </c>
      <c r="DC1018" t="s">
        <v>30070</v>
      </c>
      <c r="DD1018" t="s">
        <v>30071</v>
      </c>
      <c r="DE1018" t="s">
        <v>30072</v>
      </c>
      <c r="DF1018" t="s">
        <v>30073</v>
      </c>
      <c r="DG1018" t="s">
        <v>30074</v>
      </c>
      <c r="DH1018" t="str">
        <f>"LY9"</f>
        <v>LY9</v>
      </c>
      <c r="DI1018" t="s">
        <v>13772</v>
      </c>
      <c r="DJ1018" t="s">
        <v>13777</v>
      </c>
      <c r="DK1018">
        <v>9606</v>
      </c>
      <c r="DL1018" s="34" t="str">
        <f>HYPERLINK("http://www.uniprot.org/uniprot/Q9HBG7", "Q9HBG7")</f>
        <v>Q9HBG7</v>
      </c>
      <c r="DM1018" t="s">
        <v>30075</v>
      </c>
      <c r="DN1018" t="s">
        <v>30076</v>
      </c>
      <c r="DO1018" t="s">
        <v>13792</v>
      </c>
      <c r="DP1018" t="s">
        <v>13780</v>
      </c>
      <c r="DQ1018" t="s">
        <v>13772</v>
      </c>
      <c r="DR1018" t="s">
        <v>13772</v>
      </c>
      <c r="DS1018" t="s">
        <v>13951</v>
      </c>
      <c r="DT1018" t="s">
        <v>13772</v>
      </c>
      <c r="DU1018" t="s">
        <v>13772</v>
      </c>
      <c r="DV1018" t="s">
        <v>13964</v>
      </c>
      <c r="DW1018" t="s">
        <v>13772</v>
      </c>
      <c r="DX1018" t="s">
        <v>30077</v>
      </c>
      <c r="DY1018" t="s">
        <v>30078</v>
      </c>
      <c r="DZ1018" t="s">
        <v>13772</v>
      </c>
      <c r="EA1018" t="s">
        <v>13772</v>
      </c>
      <c r="EB1018" t="s">
        <v>13772</v>
      </c>
    </row>
    <row r="1019" spans="1:132" hidden="1">
      <c r="A1019">
        <v>1718</v>
      </c>
      <c r="B1019">
        <v>1</v>
      </c>
      <c r="C1019" t="s">
        <v>4064</v>
      </c>
      <c r="D1019" t="s">
        <v>73</v>
      </c>
      <c r="E1019" t="s">
        <v>73</v>
      </c>
      <c r="F1019" t="s">
        <v>73</v>
      </c>
      <c r="G1019" t="s">
        <v>73</v>
      </c>
      <c r="H1019">
        <v>10.5</v>
      </c>
      <c r="I1019">
        <v>1191</v>
      </c>
      <c r="J1019">
        <v>130442</v>
      </c>
      <c r="K1019" t="s">
        <v>4065</v>
      </c>
      <c r="L1019">
        <f t="shared" si="62"/>
        <v>25</v>
      </c>
      <c r="N1019">
        <v>25</v>
      </c>
      <c r="O1019">
        <v>25</v>
      </c>
      <c r="P1019">
        <v>1</v>
      </c>
      <c r="Q1019">
        <v>3</v>
      </c>
      <c r="R1019">
        <v>6</v>
      </c>
      <c r="S1019">
        <v>3</v>
      </c>
      <c r="T1019">
        <v>2</v>
      </c>
      <c r="U1019">
        <v>4</v>
      </c>
      <c r="V1019">
        <v>3</v>
      </c>
      <c r="W1019">
        <v>2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3</v>
      </c>
      <c r="AK1019">
        <v>6</v>
      </c>
      <c r="AL1019">
        <v>3</v>
      </c>
      <c r="AM1019">
        <v>2</v>
      </c>
      <c r="AN1019">
        <v>4</v>
      </c>
      <c r="AO1019">
        <v>3</v>
      </c>
      <c r="AP1019">
        <v>2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 s="2">
        <v>3</v>
      </c>
      <c r="BD1019" s="2">
        <v>6</v>
      </c>
      <c r="BE1019" s="2">
        <v>3</v>
      </c>
      <c r="BF1019" s="2">
        <v>2</v>
      </c>
      <c r="BG1019" s="2">
        <v>4</v>
      </c>
      <c r="BH1019" s="2">
        <v>3</v>
      </c>
      <c r="BI1019" s="2">
        <v>2</v>
      </c>
      <c r="BJ1019" s="2">
        <v>0</v>
      </c>
      <c r="BK1019" s="2">
        <v>0</v>
      </c>
      <c r="BL1019" s="2">
        <v>0</v>
      </c>
      <c r="BM1019" s="2">
        <v>1</v>
      </c>
      <c r="BN1019" s="2">
        <v>0</v>
      </c>
      <c r="BO1019" s="2">
        <v>0</v>
      </c>
      <c r="BP1019" s="2">
        <v>0</v>
      </c>
      <c r="BQ1019" s="2">
        <v>0</v>
      </c>
      <c r="BR1019" s="2">
        <v>1</v>
      </c>
      <c r="BS1019" s="2">
        <v>0</v>
      </c>
      <c r="BT1019" s="2">
        <v>0</v>
      </c>
      <c r="BU1019" s="2">
        <v>0</v>
      </c>
      <c r="BV1019" s="2">
        <f t="shared" si="65"/>
        <v>25</v>
      </c>
      <c r="BW1019" s="16">
        <f t="shared" si="63"/>
        <v>1.3157894736842106</v>
      </c>
      <c r="BX1019" s="16">
        <f>COUNTIF($BC$6:BU1019, "=0") / COUNTIF($BC$6:BU1019, "&gt;-1")</f>
        <v>0.2776393646838991</v>
      </c>
      <c r="BY1019" s="18">
        <f>SUM($BC$6:BU1019) / $BY$4</f>
        <v>0.94336080663829147</v>
      </c>
      <c r="BZ1019" s="14">
        <f t="shared" si="64"/>
        <v>10</v>
      </c>
      <c r="CA1019" t="s">
        <v>5832</v>
      </c>
      <c r="CZ1019" t="s">
        <v>11474</v>
      </c>
      <c r="DA1019" t="s">
        <v>5904</v>
      </c>
      <c r="DB1019">
        <v>2130.5</v>
      </c>
      <c r="DC1019" t="s">
        <v>30257</v>
      </c>
      <c r="DD1019" t="s">
        <v>30258</v>
      </c>
      <c r="DE1019" t="s">
        <v>30259</v>
      </c>
      <c r="DF1019" t="s">
        <v>30260</v>
      </c>
      <c r="DG1019" t="s">
        <v>30261</v>
      </c>
      <c r="DH1019" t="str">
        <f>"LAMC2"</f>
        <v>LAMC2</v>
      </c>
      <c r="DI1019" t="s">
        <v>30262</v>
      </c>
      <c r="DJ1019" t="s">
        <v>13777</v>
      </c>
      <c r="DK1019">
        <v>9606</v>
      </c>
      <c r="DL1019" s="34" t="str">
        <f>HYPERLINK("http://www.uniprot.org/uniprot/Q13753", "Q13753")</f>
        <v>Q13753</v>
      </c>
      <c r="DM1019" t="s">
        <v>30263</v>
      </c>
      <c r="DN1019" t="s">
        <v>13949</v>
      </c>
      <c r="DO1019" t="s">
        <v>15002</v>
      </c>
      <c r="DP1019" t="s">
        <v>13780</v>
      </c>
      <c r="DQ1019" t="s">
        <v>13772</v>
      </c>
      <c r="DR1019" t="s">
        <v>17997</v>
      </c>
      <c r="DS1019" t="s">
        <v>17145</v>
      </c>
      <c r="DT1019" t="s">
        <v>13772</v>
      </c>
      <c r="DU1019" t="s">
        <v>14073</v>
      </c>
      <c r="DV1019" t="s">
        <v>13796</v>
      </c>
      <c r="DW1019" t="s">
        <v>13772</v>
      </c>
      <c r="DX1019" t="s">
        <v>30264</v>
      </c>
      <c r="DY1019" t="s">
        <v>30265</v>
      </c>
      <c r="DZ1019" t="s">
        <v>30266</v>
      </c>
      <c r="EA1019" t="s">
        <v>13772</v>
      </c>
      <c r="EB1019" t="s">
        <v>30267</v>
      </c>
    </row>
    <row r="1020" spans="1:132" hidden="1">
      <c r="A1020">
        <v>1752</v>
      </c>
      <c r="B1020">
        <v>1</v>
      </c>
      <c r="C1020" t="s">
        <v>4145</v>
      </c>
      <c r="D1020" t="s">
        <v>73</v>
      </c>
      <c r="E1020" t="s">
        <v>73</v>
      </c>
      <c r="F1020" t="s">
        <v>73</v>
      </c>
      <c r="G1020" t="s">
        <v>73</v>
      </c>
      <c r="H1020">
        <v>42.9</v>
      </c>
      <c r="I1020">
        <v>147</v>
      </c>
      <c r="J1020">
        <v>15909</v>
      </c>
      <c r="K1020" t="s">
        <v>4146</v>
      </c>
      <c r="L1020">
        <f t="shared" si="62"/>
        <v>25</v>
      </c>
      <c r="N1020">
        <v>25</v>
      </c>
      <c r="O1020">
        <v>25</v>
      </c>
      <c r="P1020">
        <v>1</v>
      </c>
      <c r="Q1020">
        <v>1</v>
      </c>
      <c r="R1020">
        <v>2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13</v>
      </c>
      <c r="Z1020">
        <v>0</v>
      </c>
      <c r="AA1020">
        <v>4</v>
      </c>
      <c r="AB1020">
        <v>2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</v>
      </c>
      <c r="AK1020">
        <v>2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13</v>
      </c>
      <c r="AS1020">
        <v>0</v>
      </c>
      <c r="AT1020">
        <v>4</v>
      </c>
      <c r="AU1020">
        <v>2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 s="2">
        <v>1</v>
      </c>
      <c r="BD1020" s="2">
        <v>2</v>
      </c>
      <c r="BE1020" s="2">
        <v>0</v>
      </c>
      <c r="BF1020" s="2">
        <v>0</v>
      </c>
      <c r="BG1020" s="2">
        <v>1</v>
      </c>
      <c r="BH1020" s="2">
        <v>0</v>
      </c>
      <c r="BI1020" s="2">
        <v>1</v>
      </c>
      <c r="BJ1020" s="2">
        <v>0</v>
      </c>
      <c r="BK1020" s="2">
        <v>13</v>
      </c>
      <c r="BL1020" s="2">
        <v>0</v>
      </c>
      <c r="BM1020" s="2">
        <v>4</v>
      </c>
      <c r="BN1020" s="2">
        <v>2</v>
      </c>
      <c r="BO1020" s="2">
        <v>0</v>
      </c>
      <c r="BP1020" s="2">
        <v>0</v>
      </c>
      <c r="BQ1020" s="2">
        <v>0</v>
      </c>
      <c r="BR1020" s="2">
        <v>1</v>
      </c>
      <c r="BS1020" s="2">
        <v>0</v>
      </c>
      <c r="BT1020" s="2">
        <v>0</v>
      </c>
      <c r="BU1020" s="2">
        <v>0</v>
      </c>
      <c r="BV1020" s="2">
        <f t="shared" si="65"/>
        <v>25</v>
      </c>
      <c r="BW1020" s="16">
        <f t="shared" si="63"/>
        <v>1.3157894736842106</v>
      </c>
      <c r="BX1020" s="16">
        <f>COUNTIF($BC$6:BU1020, "=0") / COUNTIF($BC$6:BU1020, "&gt;-1")</f>
        <v>0.27793621985999484</v>
      </c>
      <c r="BY1020" s="18">
        <f>SUM($BC$6:BU1020) / $BY$4</f>
        <v>0.94346789756000893</v>
      </c>
      <c r="BZ1020" s="14">
        <f t="shared" si="64"/>
        <v>11</v>
      </c>
      <c r="CA1020" t="s">
        <v>5832</v>
      </c>
      <c r="CZ1020" t="s">
        <v>11594</v>
      </c>
      <c r="DA1020" t="s">
        <v>5904</v>
      </c>
      <c r="DB1020">
        <v>273.89999999999998</v>
      </c>
      <c r="DC1020" t="s">
        <v>30601</v>
      </c>
      <c r="DD1020" t="s">
        <v>30602</v>
      </c>
      <c r="DE1020" t="s">
        <v>30603</v>
      </c>
      <c r="DF1020" t="s">
        <v>30604</v>
      </c>
      <c r="DG1020" t="s">
        <v>30605</v>
      </c>
      <c r="DH1020" t="str">
        <f>"CARHSP1"</f>
        <v>CARHSP1</v>
      </c>
      <c r="DI1020" t="s">
        <v>13772</v>
      </c>
      <c r="DJ1020" t="s">
        <v>13777</v>
      </c>
      <c r="DK1020">
        <v>9606</v>
      </c>
      <c r="DL1020" s="34" t="str">
        <f>HYPERLINK("http://www.uniprot.org/uniprot/Q9Y2V2", "Q9Y2V2")</f>
        <v>Q9Y2V2</v>
      </c>
      <c r="DM1020" t="s">
        <v>30606</v>
      </c>
      <c r="DN1020" t="s">
        <v>13772</v>
      </c>
      <c r="DO1020" t="s">
        <v>13899</v>
      </c>
      <c r="DP1020" t="s">
        <v>13772</v>
      </c>
      <c r="DQ1020" t="s">
        <v>13772</v>
      </c>
      <c r="DR1020" t="s">
        <v>13772</v>
      </c>
      <c r="DS1020" t="s">
        <v>13772</v>
      </c>
      <c r="DT1020" t="s">
        <v>13772</v>
      </c>
      <c r="DU1020" t="s">
        <v>14826</v>
      </c>
      <c r="DV1020" t="s">
        <v>13886</v>
      </c>
      <c r="DW1020" t="s">
        <v>13812</v>
      </c>
      <c r="DX1020" t="s">
        <v>30607</v>
      </c>
      <c r="DY1020" t="s">
        <v>30608</v>
      </c>
      <c r="DZ1020" t="s">
        <v>30609</v>
      </c>
      <c r="EA1020" t="s">
        <v>13772</v>
      </c>
      <c r="EB1020" t="s">
        <v>13772</v>
      </c>
    </row>
    <row r="1021" spans="1:132" hidden="1">
      <c r="A1021">
        <v>1812</v>
      </c>
      <c r="B1021">
        <v>1</v>
      </c>
      <c r="C1021" t="s">
        <v>4284</v>
      </c>
      <c r="D1021" t="s">
        <v>73</v>
      </c>
      <c r="E1021" t="s">
        <v>73</v>
      </c>
      <c r="F1021" t="s">
        <v>73</v>
      </c>
      <c r="G1021" t="s">
        <v>73</v>
      </c>
      <c r="H1021">
        <v>12.1</v>
      </c>
      <c r="I1021">
        <v>611</v>
      </c>
      <c r="J1021">
        <v>64512</v>
      </c>
      <c r="K1021" t="s">
        <v>4285</v>
      </c>
      <c r="L1021">
        <f t="shared" si="62"/>
        <v>25</v>
      </c>
      <c r="N1021">
        <v>25</v>
      </c>
      <c r="O1021">
        <v>25</v>
      </c>
      <c r="P1021">
        <v>1</v>
      </c>
      <c r="Q1021">
        <v>0</v>
      </c>
      <c r="R1021">
        <v>4</v>
      </c>
      <c r="S1021">
        <v>3</v>
      </c>
      <c r="T1021">
        <v>1</v>
      </c>
      <c r="U1021">
        <v>4</v>
      </c>
      <c r="V1021">
        <v>5</v>
      </c>
      <c r="W1021">
        <v>3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2</v>
      </c>
      <c r="AG1021">
        <v>0</v>
      </c>
      <c r="AH1021">
        <v>0</v>
      </c>
      <c r="AI1021">
        <v>0</v>
      </c>
      <c r="AJ1021">
        <v>0</v>
      </c>
      <c r="AK1021">
        <v>4</v>
      </c>
      <c r="AL1021">
        <v>3</v>
      </c>
      <c r="AM1021">
        <v>1</v>
      </c>
      <c r="AN1021">
        <v>4</v>
      </c>
      <c r="AO1021">
        <v>5</v>
      </c>
      <c r="AP1021">
        <v>3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2</v>
      </c>
      <c r="AZ1021">
        <v>0</v>
      </c>
      <c r="BA1021">
        <v>0</v>
      </c>
      <c r="BB1021">
        <v>0</v>
      </c>
      <c r="BC1021" s="2">
        <v>0</v>
      </c>
      <c r="BD1021" s="2">
        <v>4</v>
      </c>
      <c r="BE1021" s="2">
        <v>3</v>
      </c>
      <c r="BF1021" s="2">
        <v>1</v>
      </c>
      <c r="BG1021" s="2">
        <v>4</v>
      </c>
      <c r="BH1021" s="2">
        <v>5</v>
      </c>
      <c r="BI1021" s="2">
        <v>3</v>
      </c>
      <c r="BJ1021" s="2">
        <v>1</v>
      </c>
      <c r="BK1021" s="2">
        <v>0</v>
      </c>
      <c r="BL1021" s="2">
        <v>0</v>
      </c>
      <c r="BM1021" s="2">
        <v>1</v>
      </c>
      <c r="BN1021" s="2">
        <v>0</v>
      </c>
      <c r="BO1021" s="2">
        <v>1</v>
      </c>
      <c r="BP1021" s="2">
        <v>0</v>
      </c>
      <c r="BQ1021" s="2">
        <v>0</v>
      </c>
      <c r="BR1021" s="2">
        <v>2</v>
      </c>
      <c r="BS1021" s="2">
        <v>0</v>
      </c>
      <c r="BT1021" s="2">
        <v>0</v>
      </c>
      <c r="BU1021" s="2">
        <v>0</v>
      </c>
      <c r="BV1021" s="2">
        <f t="shared" si="65"/>
        <v>25</v>
      </c>
      <c r="BW1021" s="16">
        <f t="shared" si="63"/>
        <v>1.3157894736842106</v>
      </c>
      <c r="BX1021" s="16">
        <f>COUNTIF($BC$6:BU1021, "=0") / COUNTIF($BC$6:BU1021, "&gt;-1")</f>
        <v>0.27812888520513884</v>
      </c>
      <c r="BY1021" s="18">
        <f>SUM($BC$6:BU1021) / $BY$4</f>
        <v>0.9435749884817265</v>
      </c>
      <c r="BZ1021" s="14">
        <f t="shared" si="64"/>
        <v>9</v>
      </c>
      <c r="CA1021" t="s">
        <v>5832</v>
      </c>
      <c r="CZ1021" t="s">
        <v>11795</v>
      </c>
      <c r="DA1021" t="s">
        <v>5904</v>
      </c>
      <c r="DB1021">
        <v>1108.2</v>
      </c>
      <c r="DC1021" t="s">
        <v>31199</v>
      </c>
      <c r="DD1021" t="s">
        <v>31200</v>
      </c>
      <c r="DE1021" t="s">
        <v>31201</v>
      </c>
      <c r="DF1021" t="s">
        <v>31202</v>
      </c>
      <c r="DG1021" t="s">
        <v>31203</v>
      </c>
      <c r="DH1021" t="str">
        <f>"IGSF8"</f>
        <v>IGSF8</v>
      </c>
      <c r="DI1021" t="s">
        <v>31204</v>
      </c>
      <c r="DJ1021" t="s">
        <v>13777</v>
      </c>
      <c r="DK1021">
        <v>9606</v>
      </c>
      <c r="DL1021" s="34" t="str">
        <f>HYPERLINK("http://www.uniprot.org/uniprot/Q969P0", "Q969P0")</f>
        <v>Q969P0</v>
      </c>
      <c r="DM1021" t="s">
        <v>31205</v>
      </c>
      <c r="DN1021" t="s">
        <v>13772</v>
      </c>
      <c r="DO1021" t="s">
        <v>13792</v>
      </c>
      <c r="DP1021" t="s">
        <v>13841</v>
      </c>
      <c r="DQ1021" t="s">
        <v>13772</v>
      </c>
      <c r="DR1021" t="s">
        <v>13772</v>
      </c>
      <c r="DS1021" t="s">
        <v>13951</v>
      </c>
      <c r="DT1021" t="s">
        <v>13772</v>
      </c>
      <c r="DU1021" t="s">
        <v>13772</v>
      </c>
      <c r="DV1021" t="s">
        <v>14418</v>
      </c>
      <c r="DW1021" t="s">
        <v>13772</v>
      </c>
      <c r="DX1021" t="s">
        <v>31206</v>
      </c>
      <c r="DY1021" t="s">
        <v>28454</v>
      </c>
      <c r="DZ1021" t="s">
        <v>13772</v>
      </c>
      <c r="EA1021" t="s">
        <v>13772</v>
      </c>
      <c r="EB1021" t="s">
        <v>13772</v>
      </c>
    </row>
    <row r="1022" spans="1:132" hidden="1">
      <c r="A1022">
        <v>2093</v>
      </c>
      <c r="B1022">
        <v>1</v>
      </c>
      <c r="C1022" t="s">
        <v>4914</v>
      </c>
      <c r="D1022" t="s">
        <v>4915</v>
      </c>
      <c r="E1022" t="s">
        <v>73</v>
      </c>
      <c r="F1022" t="s">
        <v>73</v>
      </c>
      <c r="G1022" t="s">
        <v>73</v>
      </c>
      <c r="H1022">
        <v>46.1</v>
      </c>
      <c r="I1022">
        <v>271</v>
      </c>
      <c r="J1022">
        <v>29634</v>
      </c>
      <c r="K1022" t="s">
        <v>4916</v>
      </c>
      <c r="L1022">
        <f t="shared" si="62"/>
        <v>25</v>
      </c>
      <c r="N1022">
        <v>25</v>
      </c>
      <c r="O1022">
        <v>25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6</v>
      </c>
      <c r="Z1022">
        <v>0</v>
      </c>
      <c r="AA1022">
        <v>4</v>
      </c>
      <c r="AB1022">
        <v>3</v>
      </c>
      <c r="AC1022">
        <v>3</v>
      </c>
      <c r="AD1022">
        <v>0</v>
      </c>
      <c r="AE1022">
        <v>2</v>
      </c>
      <c r="AF1022">
        <v>5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6</v>
      </c>
      <c r="AS1022">
        <v>0</v>
      </c>
      <c r="AT1022">
        <v>4</v>
      </c>
      <c r="AU1022">
        <v>3</v>
      </c>
      <c r="AV1022">
        <v>3</v>
      </c>
      <c r="AW1022">
        <v>0</v>
      </c>
      <c r="AX1022">
        <v>2</v>
      </c>
      <c r="AY1022">
        <v>5</v>
      </c>
      <c r="AZ1022">
        <v>0</v>
      </c>
      <c r="BA1022">
        <v>0</v>
      </c>
      <c r="BB1022">
        <v>0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1</v>
      </c>
      <c r="BI1022" s="2">
        <v>0</v>
      </c>
      <c r="BJ1022" s="2">
        <v>0</v>
      </c>
      <c r="BK1022" s="2">
        <v>6</v>
      </c>
      <c r="BL1022" s="2">
        <v>0</v>
      </c>
      <c r="BM1022" s="2">
        <v>4</v>
      </c>
      <c r="BN1022" s="2">
        <v>3</v>
      </c>
      <c r="BO1022" s="2">
        <v>3</v>
      </c>
      <c r="BP1022" s="2">
        <v>0</v>
      </c>
      <c r="BQ1022" s="2">
        <v>2</v>
      </c>
      <c r="BR1022" s="2">
        <v>5</v>
      </c>
      <c r="BS1022" s="2">
        <v>0</v>
      </c>
      <c r="BT1022" s="2">
        <v>0</v>
      </c>
      <c r="BU1022" s="2">
        <v>0</v>
      </c>
      <c r="BV1022" s="2">
        <f t="shared" si="65"/>
        <v>25</v>
      </c>
      <c r="BW1022" s="16">
        <f t="shared" si="63"/>
        <v>1.3157894736842106</v>
      </c>
      <c r="BX1022" s="16">
        <f>COUNTIF($BC$6:BU1022, "=0") / COUNTIF($BC$6:BU1022, "&gt;-1")</f>
        <v>0.27842467525746517</v>
      </c>
      <c r="BY1022" s="18">
        <f>SUM($BC$6:BU1022) / $BY$4</f>
        <v>0.94368207940344395</v>
      </c>
      <c r="BZ1022" s="14">
        <f t="shared" si="64"/>
        <v>11</v>
      </c>
      <c r="CA1022" t="s">
        <v>5832</v>
      </c>
      <c r="CZ1022" t="s">
        <v>12730</v>
      </c>
      <c r="DA1022" t="s">
        <v>5904</v>
      </c>
      <c r="DB1022">
        <v>375.2</v>
      </c>
      <c r="DC1022" t="s">
        <v>33816</v>
      </c>
      <c r="DD1022" t="s">
        <v>33817</v>
      </c>
      <c r="DE1022" t="s">
        <v>33818</v>
      </c>
      <c r="DF1022" t="s">
        <v>33819</v>
      </c>
      <c r="DG1022" t="s">
        <v>33820</v>
      </c>
      <c r="DH1022" t="str">
        <f>"TPD52"</f>
        <v>TPD52</v>
      </c>
      <c r="DI1022" t="s">
        <v>13772</v>
      </c>
      <c r="DJ1022" t="s">
        <v>13777</v>
      </c>
      <c r="DK1022">
        <v>9606</v>
      </c>
      <c r="DL1022" s="34" t="str">
        <f>HYPERLINK("http://www.uniprot.org/uniprot/P55327", "P55327")</f>
        <v>P55327</v>
      </c>
      <c r="DM1022" t="s">
        <v>14455</v>
      </c>
      <c r="DN1022" t="s">
        <v>13772</v>
      </c>
      <c r="DO1022" t="s">
        <v>13772</v>
      </c>
      <c r="DP1022" t="s">
        <v>13780</v>
      </c>
      <c r="DQ1022" t="s">
        <v>13772</v>
      </c>
      <c r="DR1022" t="s">
        <v>13772</v>
      </c>
      <c r="DS1022" t="s">
        <v>14245</v>
      </c>
      <c r="DT1022" t="s">
        <v>13772</v>
      </c>
      <c r="DU1022" t="s">
        <v>13772</v>
      </c>
      <c r="DV1022" t="s">
        <v>13782</v>
      </c>
      <c r="DW1022" t="s">
        <v>13772</v>
      </c>
      <c r="DX1022" t="s">
        <v>33821</v>
      </c>
      <c r="DY1022" t="s">
        <v>33822</v>
      </c>
      <c r="DZ1022" t="s">
        <v>25293</v>
      </c>
      <c r="EA1022" t="s">
        <v>13772</v>
      </c>
      <c r="EB1022" t="s">
        <v>15924</v>
      </c>
    </row>
    <row r="1023" spans="1:132" hidden="1">
      <c r="A1023">
        <v>2094</v>
      </c>
      <c r="B1023">
        <v>1</v>
      </c>
      <c r="C1023" t="s">
        <v>4917</v>
      </c>
      <c r="D1023" t="s">
        <v>73</v>
      </c>
      <c r="E1023" t="s">
        <v>73</v>
      </c>
      <c r="F1023" t="s">
        <v>73</v>
      </c>
      <c r="G1023" t="s">
        <v>73</v>
      </c>
      <c r="H1023">
        <v>31.8</v>
      </c>
      <c r="I1023">
        <v>264</v>
      </c>
      <c r="J1023">
        <v>28207</v>
      </c>
      <c r="K1023" t="s">
        <v>4918</v>
      </c>
      <c r="L1023">
        <f t="shared" si="62"/>
        <v>25</v>
      </c>
      <c r="N1023">
        <v>25</v>
      </c>
      <c r="O1023">
        <v>22</v>
      </c>
      <c r="P1023">
        <v>0.88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8</v>
      </c>
      <c r="AA1023">
        <v>4</v>
      </c>
      <c r="AB1023">
        <v>2</v>
      </c>
      <c r="AC1023">
        <v>0</v>
      </c>
      <c r="AD1023">
        <v>0</v>
      </c>
      <c r="AE1023">
        <v>8</v>
      </c>
      <c r="AF1023">
        <v>3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7</v>
      </c>
      <c r="AT1023">
        <v>4</v>
      </c>
      <c r="AU1023">
        <v>2</v>
      </c>
      <c r="AV1023">
        <v>0</v>
      </c>
      <c r="AW1023">
        <v>0</v>
      </c>
      <c r="AX1023">
        <v>7</v>
      </c>
      <c r="AY1023">
        <v>2</v>
      </c>
      <c r="AZ1023">
        <v>0</v>
      </c>
      <c r="BA1023">
        <v>0</v>
      </c>
      <c r="BB1023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8</v>
      </c>
      <c r="BM1023" s="2">
        <v>4</v>
      </c>
      <c r="BN1023" s="2">
        <v>2</v>
      </c>
      <c r="BO1023" s="2">
        <v>0</v>
      </c>
      <c r="BP1023" s="2">
        <v>0</v>
      </c>
      <c r="BQ1023" s="2">
        <v>8</v>
      </c>
      <c r="BR1023" s="2">
        <v>3</v>
      </c>
      <c r="BS1023" s="2">
        <v>0</v>
      </c>
      <c r="BT1023" s="2">
        <v>0</v>
      </c>
      <c r="BU1023" s="2">
        <v>0</v>
      </c>
      <c r="BV1023" s="2">
        <f t="shared" si="65"/>
        <v>25</v>
      </c>
      <c r="BW1023" s="16">
        <f t="shared" si="63"/>
        <v>1.3157894736842106</v>
      </c>
      <c r="BX1023" s="16">
        <f>COUNTIF($BC$6:BU1023, "=0") / COUNTIF($BC$6:BU1023, "&gt;-1")</f>
        <v>0.27887498707475961</v>
      </c>
      <c r="BY1023" s="18">
        <f>SUM($BC$6:BU1023) / $BY$4</f>
        <v>0.94378917032516152</v>
      </c>
      <c r="BZ1023" s="14">
        <f t="shared" si="64"/>
        <v>14</v>
      </c>
      <c r="CA1023" t="s">
        <v>5832</v>
      </c>
      <c r="CZ1023" t="s">
        <v>12633</v>
      </c>
      <c r="DA1023" t="s">
        <v>5904</v>
      </c>
      <c r="DB1023">
        <v>463</v>
      </c>
      <c r="DC1023" t="s">
        <v>33541</v>
      </c>
      <c r="DD1023" t="s">
        <v>13772</v>
      </c>
      <c r="DE1023" t="s">
        <v>33542</v>
      </c>
      <c r="DF1023" t="s">
        <v>33543</v>
      </c>
      <c r="DG1023" t="s">
        <v>13772</v>
      </c>
      <c r="DH1023" t="str">
        <f>"CTRB1"</f>
        <v>CTRB1</v>
      </c>
      <c r="DI1023" t="s">
        <v>13772</v>
      </c>
      <c r="DJ1023" t="s">
        <v>13777</v>
      </c>
      <c r="DK1023">
        <v>9606</v>
      </c>
      <c r="DL1023" s="34" t="str">
        <f>HYPERLINK("http://www.uniprot.org/uniprot/P17538", "P17538")</f>
        <v>P17538</v>
      </c>
      <c r="DM1023" t="s">
        <v>33544</v>
      </c>
      <c r="DN1023" t="s">
        <v>15385</v>
      </c>
      <c r="DO1023" t="s">
        <v>14321</v>
      </c>
      <c r="DP1023" t="s">
        <v>13793</v>
      </c>
      <c r="DQ1023" t="s">
        <v>13772</v>
      </c>
      <c r="DR1023" t="s">
        <v>13772</v>
      </c>
      <c r="DS1023" t="s">
        <v>13808</v>
      </c>
      <c r="DT1023" t="s">
        <v>13772</v>
      </c>
      <c r="DU1023" t="s">
        <v>15176</v>
      </c>
      <c r="DV1023" t="s">
        <v>19250</v>
      </c>
      <c r="DW1023" t="s">
        <v>13772</v>
      </c>
      <c r="DX1023" t="s">
        <v>33545</v>
      </c>
      <c r="DY1023" t="s">
        <v>22023</v>
      </c>
      <c r="DZ1023" t="s">
        <v>25219</v>
      </c>
      <c r="EA1023" t="s">
        <v>13772</v>
      </c>
      <c r="EB1023" t="s">
        <v>16639</v>
      </c>
    </row>
    <row r="1024" spans="1:132" hidden="1">
      <c r="A1024">
        <v>2117</v>
      </c>
      <c r="B1024">
        <v>1</v>
      </c>
      <c r="C1024" t="s">
        <v>4968</v>
      </c>
      <c r="D1024" t="s">
        <v>73</v>
      </c>
      <c r="E1024" t="s">
        <v>73</v>
      </c>
      <c r="F1024" t="s">
        <v>73</v>
      </c>
      <c r="G1024" t="s">
        <v>73</v>
      </c>
      <c r="H1024">
        <v>22.9</v>
      </c>
      <c r="I1024">
        <v>328</v>
      </c>
      <c r="J1024">
        <v>35848</v>
      </c>
      <c r="K1024" t="s">
        <v>4969</v>
      </c>
      <c r="L1024">
        <f t="shared" si="62"/>
        <v>25</v>
      </c>
      <c r="N1024">
        <v>25</v>
      </c>
      <c r="O1024">
        <v>25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3</v>
      </c>
      <c r="Z1024">
        <v>0</v>
      </c>
      <c r="AA1024">
        <v>3</v>
      </c>
      <c r="AB1024">
        <v>7</v>
      </c>
      <c r="AC1024">
        <v>3</v>
      </c>
      <c r="AD1024">
        <v>0</v>
      </c>
      <c r="AE1024">
        <v>4</v>
      </c>
      <c r="AF1024">
        <v>2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3</v>
      </c>
      <c r="AS1024">
        <v>0</v>
      </c>
      <c r="AT1024">
        <v>3</v>
      </c>
      <c r="AU1024">
        <v>7</v>
      </c>
      <c r="AV1024">
        <v>3</v>
      </c>
      <c r="AW1024">
        <v>0</v>
      </c>
      <c r="AX1024">
        <v>4</v>
      </c>
      <c r="AY1024">
        <v>2</v>
      </c>
      <c r="AZ1024">
        <v>0</v>
      </c>
      <c r="BA1024">
        <v>0</v>
      </c>
      <c r="BB1024">
        <v>0</v>
      </c>
      <c r="BC1024" s="2">
        <v>0</v>
      </c>
      <c r="BD1024" s="2">
        <v>1</v>
      </c>
      <c r="BE1024" s="2">
        <v>0</v>
      </c>
      <c r="BF1024" s="2">
        <v>0</v>
      </c>
      <c r="BG1024" s="2">
        <v>1</v>
      </c>
      <c r="BH1024" s="2">
        <v>0</v>
      </c>
      <c r="BI1024" s="2">
        <v>0</v>
      </c>
      <c r="BJ1024" s="2">
        <v>1</v>
      </c>
      <c r="BK1024" s="2">
        <v>3</v>
      </c>
      <c r="BL1024" s="2">
        <v>0</v>
      </c>
      <c r="BM1024" s="2">
        <v>3</v>
      </c>
      <c r="BN1024" s="2">
        <v>7</v>
      </c>
      <c r="BO1024" s="2">
        <v>3</v>
      </c>
      <c r="BP1024" s="2">
        <v>0</v>
      </c>
      <c r="BQ1024" s="2">
        <v>4</v>
      </c>
      <c r="BR1024" s="2">
        <v>2</v>
      </c>
      <c r="BS1024" s="2">
        <v>0</v>
      </c>
      <c r="BT1024" s="2">
        <v>0</v>
      </c>
      <c r="BU1024" s="2">
        <v>0</v>
      </c>
      <c r="BV1024" s="2">
        <f t="shared" si="65"/>
        <v>25</v>
      </c>
      <c r="BW1024" s="16">
        <f t="shared" si="63"/>
        <v>1.3157894736842106</v>
      </c>
      <c r="BX1024" s="16">
        <f>COUNTIF($BC$6:BU1024, "=0") / COUNTIF($BC$6:BU1024, "&gt;-1")</f>
        <v>0.2791178141624916</v>
      </c>
      <c r="BY1024" s="18">
        <f>SUM($BC$6:BU1024) / $BY$4</f>
        <v>0.94389626124687898</v>
      </c>
      <c r="BZ1024" s="14">
        <f t="shared" si="64"/>
        <v>10</v>
      </c>
      <c r="CA1024" t="s">
        <v>5832</v>
      </c>
      <c r="CZ1024" t="s">
        <v>12804</v>
      </c>
      <c r="DA1024" t="s">
        <v>5904</v>
      </c>
      <c r="DB1024">
        <v>515.79999999999995</v>
      </c>
      <c r="DC1024" t="s">
        <v>34022</v>
      </c>
      <c r="DD1024" t="s">
        <v>13772</v>
      </c>
      <c r="DE1024" t="s">
        <v>34023</v>
      </c>
      <c r="DF1024" t="s">
        <v>34024</v>
      </c>
      <c r="DG1024" t="s">
        <v>34025</v>
      </c>
      <c r="DH1024" t="str">
        <f>"ECH1"</f>
        <v>ECH1</v>
      </c>
      <c r="DI1024" t="s">
        <v>13772</v>
      </c>
      <c r="DJ1024" t="s">
        <v>13777</v>
      </c>
      <c r="DK1024">
        <v>9606</v>
      </c>
      <c r="DL1024" s="34" t="str">
        <f>HYPERLINK("http://www.uniprot.org/uniprot/Q13011", "Q13011")</f>
        <v>Q13011</v>
      </c>
      <c r="DM1024" t="s">
        <v>34026</v>
      </c>
      <c r="DN1024" t="s">
        <v>14430</v>
      </c>
      <c r="DO1024" t="s">
        <v>27814</v>
      </c>
      <c r="DP1024" t="s">
        <v>13793</v>
      </c>
      <c r="DQ1024" t="s">
        <v>13772</v>
      </c>
      <c r="DR1024" t="s">
        <v>13772</v>
      </c>
      <c r="DS1024" t="s">
        <v>14391</v>
      </c>
      <c r="DT1024" t="s">
        <v>13772</v>
      </c>
      <c r="DU1024" t="s">
        <v>14910</v>
      </c>
      <c r="DV1024" t="s">
        <v>13886</v>
      </c>
      <c r="DW1024" t="s">
        <v>13812</v>
      </c>
      <c r="DX1024" t="s">
        <v>34027</v>
      </c>
      <c r="DY1024" t="s">
        <v>34028</v>
      </c>
      <c r="DZ1024" t="s">
        <v>34029</v>
      </c>
      <c r="EA1024" t="s">
        <v>17197</v>
      </c>
      <c r="EB1024" t="s">
        <v>34030</v>
      </c>
    </row>
    <row r="1025" spans="1:132" hidden="1">
      <c r="A1025">
        <v>2281</v>
      </c>
      <c r="B1025">
        <v>1</v>
      </c>
      <c r="C1025" t="s">
        <v>5328</v>
      </c>
      <c r="D1025" t="s">
        <v>5329</v>
      </c>
      <c r="E1025" t="s">
        <v>73</v>
      </c>
      <c r="F1025" t="s">
        <v>73</v>
      </c>
      <c r="G1025" t="s">
        <v>73</v>
      </c>
      <c r="H1025">
        <v>11.6</v>
      </c>
      <c r="I1025">
        <v>310</v>
      </c>
      <c r="J1025">
        <v>32626</v>
      </c>
      <c r="K1025" t="s">
        <v>5330</v>
      </c>
      <c r="L1025">
        <f t="shared" si="62"/>
        <v>25</v>
      </c>
      <c r="N1025">
        <v>25</v>
      </c>
      <c r="O1025">
        <v>25</v>
      </c>
      <c r="P1025">
        <v>1</v>
      </c>
      <c r="Q1025">
        <v>0</v>
      </c>
      <c r="R1025">
        <v>1</v>
      </c>
      <c r="S1025">
        <v>2</v>
      </c>
      <c r="T1025">
        <v>1</v>
      </c>
      <c r="U1025">
        <v>0</v>
      </c>
      <c r="V1025">
        <v>5</v>
      </c>
      <c r="W1025">
        <v>0</v>
      </c>
      <c r="X1025">
        <v>0</v>
      </c>
      <c r="Y1025">
        <v>3</v>
      </c>
      <c r="Z1025">
        <v>0</v>
      </c>
      <c r="AA1025">
        <v>5</v>
      </c>
      <c r="AB1025">
        <v>1</v>
      </c>
      <c r="AC1025">
        <v>2</v>
      </c>
      <c r="AD1025">
        <v>0</v>
      </c>
      <c r="AE1025">
        <v>0</v>
      </c>
      <c r="AF1025">
        <v>3</v>
      </c>
      <c r="AG1025">
        <v>0</v>
      </c>
      <c r="AH1025">
        <v>0</v>
      </c>
      <c r="AI1025">
        <v>2</v>
      </c>
      <c r="AJ1025">
        <v>0</v>
      </c>
      <c r="AK1025">
        <v>1</v>
      </c>
      <c r="AL1025">
        <v>2</v>
      </c>
      <c r="AM1025">
        <v>1</v>
      </c>
      <c r="AN1025">
        <v>0</v>
      </c>
      <c r="AO1025">
        <v>5</v>
      </c>
      <c r="AP1025">
        <v>0</v>
      </c>
      <c r="AQ1025">
        <v>0</v>
      </c>
      <c r="AR1025">
        <v>3</v>
      </c>
      <c r="AS1025">
        <v>0</v>
      </c>
      <c r="AT1025">
        <v>5</v>
      </c>
      <c r="AU1025">
        <v>1</v>
      </c>
      <c r="AV1025">
        <v>2</v>
      </c>
      <c r="AW1025">
        <v>0</v>
      </c>
      <c r="AX1025">
        <v>0</v>
      </c>
      <c r="AY1025">
        <v>3</v>
      </c>
      <c r="AZ1025">
        <v>0</v>
      </c>
      <c r="BA1025">
        <v>0</v>
      </c>
      <c r="BB1025">
        <v>2</v>
      </c>
      <c r="BC1025" s="2">
        <v>0</v>
      </c>
      <c r="BD1025" s="2">
        <v>1</v>
      </c>
      <c r="BE1025" s="2">
        <v>2</v>
      </c>
      <c r="BF1025" s="2">
        <v>1</v>
      </c>
      <c r="BG1025" s="2">
        <v>0</v>
      </c>
      <c r="BH1025" s="2">
        <v>5</v>
      </c>
      <c r="BI1025" s="2">
        <v>0</v>
      </c>
      <c r="BJ1025" s="2">
        <v>0</v>
      </c>
      <c r="BK1025" s="2">
        <v>3</v>
      </c>
      <c r="BL1025" s="2">
        <v>0</v>
      </c>
      <c r="BM1025" s="2">
        <v>5</v>
      </c>
      <c r="BN1025" s="2">
        <v>1</v>
      </c>
      <c r="BO1025" s="2">
        <v>2</v>
      </c>
      <c r="BP1025" s="2">
        <v>0</v>
      </c>
      <c r="BQ1025" s="2">
        <v>0</v>
      </c>
      <c r="BR1025" s="2">
        <v>3</v>
      </c>
      <c r="BS1025" s="2">
        <v>0</v>
      </c>
      <c r="BT1025" s="2">
        <v>0</v>
      </c>
      <c r="BU1025" s="2">
        <v>2</v>
      </c>
      <c r="BV1025" s="2">
        <f t="shared" si="65"/>
        <v>25</v>
      </c>
      <c r="BW1025" s="16">
        <f t="shared" si="63"/>
        <v>1.3157894736842106</v>
      </c>
      <c r="BX1025" s="16">
        <f>COUNTIF($BC$6:BU1025, "=0") / COUNTIF($BC$6:BU1025, "&gt;-1")</f>
        <v>0.27930856553147576</v>
      </c>
      <c r="BY1025" s="18">
        <f>SUM($BC$6:BU1025) / $BY$4</f>
        <v>0.94400335216859654</v>
      </c>
      <c r="BZ1025" s="14">
        <f t="shared" si="64"/>
        <v>9</v>
      </c>
      <c r="CA1025" t="s">
        <v>5832</v>
      </c>
      <c r="CZ1025" t="s">
        <v>13346</v>
      </c>
      <c r="DA1025" t="s">
        <v>5904</v>
      </c>
      <c r="DB1025">
        <v>393.3</v>
      </c>
      <c r="DC1025" t="s">
        <v>35536</v>
      </c>
      <c r="DD1025" t="s">
        <v>35537</v>
      </c>
      <c r="DE1025" t="s">
        <v>35538</v>
      </c>
      <c r="DF1025" t="s">
        <v>35539</v>
      </c>
      <c r="DG1025" t="s">
        <v>35540</v>
      </c>
      <c r="DH1025" t="str">
        <f>"SDC1"</f>
        <v>SDC1</v>
      </c>
      <c r="DI1025" t="s">
        <v>35541</v>
      </c>
      <c r="DJ1025" t="s">
        <v>13777</v>
      </c>
      <c r="DK1025">
        <v>9606</v>
      </c>
      <c r="DL1025" s="34" t="str">
        <f>HYPERLINK("http://www.uniprot.org/uniprot/P18827", "P18827")</f>
        <v>P18827</v>
      </c>
      <c r="DM1025" t="s">
        <v>35542</v>
      </c>
      <c r="DN1025" t="s">
        <v>13772</v>
      </c>
      <c r="DO1025" t="s">
        <v>17261</v>
      </c>
      <c r="DP1025" t="s">
        <v>13793</v>
      </c>
      <c r="DQ1025" t="s">
        <v>13772</v>
      </c>
      <c r="DR1025" t="s">
        <v>13772</v>
      </c>
      <c r="DS1025" t="s">
        <v>13855</v>
      </c>
      <c r="DT1025" t="s">
        <v>13772</v>
      </c>
      <c r="DU1025" t="s">
        <v>13772</v>
      </c>
      <c r="DV1025" t="s">
        <v>20422</v>
      </c>
      <c r="DW1025" t="s">
        <v>13812</v>
      </c>
      <c r="DX1025" t="s">
        <v>35543</v>
      </c>
      <c r="DY1025" t="s">
        <v>35544</v>
      </c>
      <c r="DZ1025" t="s">
        <v>35545</v>
      </c>
      <c r="EA1025" t="s">
        <v>13772</v>
      </c>
      <c r="EB1025" t="s">
        <v>35546</v>
      </c>
    </row>
    <row r="1026" spans="1:132" hidden="1">
      <c r="A1026">
        <v>2346</v>
      </c>
      <c r="B1026">
        <v>1</v>
      </c>
      <c r="C1026" t="s">
        <v>5473</v>
      </c>
      <c r="D1026" t="s">
        <v>5474</v>
      </c>
      <c r="E1026" t="s">
        <v>73</v>
      </c>
      <c r="F1026" t="s">
        <v>73</v>
      </c>
      <c r="G1026" t="s">
        <v>73</v>
      </c>
      <c r="H1026">
        <v>15.7</v>
      </c>
      <c r="I1026">
        <v>931</v>
      </c>
      <c r="J1026">
        <v>104847</v>
      </c>
      <c r="K1026" t="s">
        <v>5475</v>
      </c>
      <c r="L1026">
        <f t="shared" si="62"/>
        <v>25</v>
      </c>
      <c r="N1026">
        <v>25</v>
      </c>
      <c r="O1026">
        <v>25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6</v>
      </c>
      <c r="Z1026">
        <v>0</v>
      </c>
      <c r="AA1026">
        <v>13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</v>
      </c>
      <c r="AR1026">
        <v>6</v>
      </c>
      <c r="AS1026">
        <v>0</v>
      </c>
      <c r="AT1026">
        <v>13</v>
      </c>
      <c r="AU1026">
        <v>0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2</v>
      </c>
      <c r="BK1026" s="2">
        <v>6</v>
      </c>
      <c r="BL1026" s="2">
        <v>0</v>
      </c>
      <c r="BM1026" s="2">
        <v>13</v>
      </c>
      <c r="BN1026" s="2">
        <v>0</v>
      </c>
      <c r="BO1026" s="2">
        <v>1</v>
      </c>
      <c r="BP1026" s="2">
        <v>1</v>
      </c>
      <c r="BQ1026" s="2">
        <v>1</v>
      </c>
      <c r="BR1026" s="2">
        <v>0</v>
      </c>
      <c r="BS1026" s="2">
        <v>0</v>
      </c>
      <c r="BT1026" s="2">
        <v>0</v>
      </c>
      <c r="BU1026" s="2">
        <v>0</v>
      </c>
      <c r="BV1026" s="2">
        <f t="shared" si="65"/>
        <v>25</v>
      </c>
      <c r="BW1026" s="16">
        <f t="shared" si="63"/>
        <v>1.3157894736842106</v>
      </c>
      <c r="BX1026" s="16">
        <f>COUNTIF($BC$6:BU1026, "=0") / COUNTIF($BC$6:BU1026, "&gt;-1")</f>
        <v>0.27965359039125726</v>
      </c>
      <c r="BY1026" s="18">
        <f>SUM($BC$6:BU1026) / $BY$4</f>
        <v>0.944110443090314</v>
      </c>
      <c r="BZ1026" s="14">
        <f t="shared" si="64"/>
        <v>12</v>
      </c>
      <c r="CA1026" t="s">
        <v>5832</v>
      </c>
      <c r="CZ1026" t="s">
        <v>13550</v>
      </c>
      <c r="DA1026" t="s">
        <v>5904</v>
      </c>
      <c r="DB1026">
        <v>1868.6</v>
      </c>
      <c r="DC1026" t="s">
        <v>36115</v>
      </c>
      <c r="DD1026" t="s">
        <v>36116</v>
      </c>
      <c r="DE1026" t="s">
        <v>36117</v>
      </c>
      <c r="DF1026" t="s">
        <v>36118</v>
      </c>
      <c r="DG1026" t="s">
        <v>36119</v>
      </c>
      <c r="DH1026" t="str">
        <f>"NPEPPS"</f>
        <v>NPEPPS</v>
      </c>
      <c r="DI1026" t="s">
        <v>32620</v>
      </c>
      <c r="DJ1026" t="s">
        <v>13777</v>
      </c>
      <c r="DK1026">
        <v>9606</v>
      </c>
      <c r="DL1026" s="34" t="str">
        <f>HYPERLINK("http://www.uniprot.org/uniprot/P55786", "P55786")</f>
        <v>P55786</v>
      </c>
      <c r="DM1026" t="s">
        <v>36120</v>
      </c>
      <c r="DN1026" t="s">
        <v>13772</v>
      </c>
      <c r="DO1026" t="s">
        <v>13912</v>
      </c>
      <c r="DP1026" t="s">
        <v>13841</v>
      </c>
      <c r="DQ1026" t="s">
        <v>13772</v>
      </c>
      <c r="DR1026" t="s">
        <v>13772</v>
      </c>
      <c r="DS1026" t="s">
        <v>13772</v>
      </c>
      <c r="DT1026" t="s">
        <v>13856</v>
      </c>
      <c r="DU1026" t="s">
        <v>19025</v>
      </c>
      <c r="DV1026" t="s">
        <v>36121</v>
      </c>
      <c r="DW1026" t="s">
        <v>13772</v>
      </c>
      <c r="DX1026" t="s">
        <v>36122</v>
      </c>
      <c r="DY1026" t="s">
        <v>14085</v>
      </c>
      <c r="DZ1026" t="s">
        <v>26636</v>
      </c>
      <c r="EA1026" t="s">
        <v>13772</v>
      </c>
      <c r="EB1026" t="s">
        <v>14087</v>
      </c>
    </row>
    <row r="1027" spans="1:132" hidden="1">
      <c r="A1027">
        <v>1491</v>
      </c>
      <c r="B1027">
        <v>1</v>
      </c>
      <c r="C1027" t="s">
        <v>3547</v>
      </c>
      <c r="D1027" t="s">
        <v>73</v>
      </c>
      <c r="E1027" t="s">
        <v>73</v>
      </c>
      <c r="F1027" t="s">
        <v>3548</v>
      </c>
      <c r="G1027" t="s">
        <v>73</v>
      </c>
      <c r="H1027">
        <v>56.6</v>
      </c>
      <c r="I1027">
        <v>145</v>
      </c>
      <c r="J1027">
        <v>16363</v>
      </c>
      <c r="K1027" t="s">
        <v>3549</v>
      </c>
      <c r="L1027">
        <f t="shared" si="62"/>
        <v>31</v>
      </c>
      <c r="N1027">
        <v>31</v>
      </c>
      <c r="O1027">
        <v>18</v>
      </c>
      <c r="P1027">
        <v>0.58099999999999996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6</v>
      </c>
      <c r="Z1027">
        <v>0</v>
      </c>
      <c r="AA1027">
        <v>7</v>
      </c>
      <c r="AB1027">
        <v>0</v>
      </c>
      <c r="AC1027">
        <v>4</v>
      </c>
      <c r="AD1027">
        <v>0</v>
      </c>
      <c r="AE1027">
        <v>7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</v>
      </c>
      <c r="AS1027">
        <v>0</v>
      </c>
      <c r="AT1027">
        <v>4</v>
      </c>
      <c r="AU1027">
        <v>0</v>
      </c>
      <c r="AV1027">
        <v>2</v>
      </c>
      <c r="AW1027">
        <v>0</v>
      </c>
      <c r="AX1027">
        <v>5</v>
      </c>
      <c r="AY1027">
        <v>2</v>
      </c>
      <c r="AZ1027">
        <v>0</v>
      </c>
      <c r="BA1027">
        <v>0</v>
      </c>
      <c r="BB1027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0.5</v>
      </c>
      <c r="BI1027" s="2">
        <v>0</v>
      </c>
      <c r="BJ1027" s="2">
        <v>0.5</v>
      </c>
      <c r="BK1027" s="2">
        <v>5.8330000000000002</v>
      </c>
      <c r="BL1027" s="2">
        <v>0</v>
      </c>
      <c r="BM1027" s="2">
        <v>5.5</v>
      </c>
      <c r="BN1027" s="2">
        <v>0</v>
      </c>
      <c r="BO1027" s="2">
        <v>3</v>
      </c>
      <c r="BP1027" s="2">
        <v>0</v>
      </c>
      <c r="BQ1027" s="2">
        <v>6</v>
      </c>
      <c r="BR1027" s="2">
        <v>3</v>
      </c>
      <c r="BS1027" s="2">
        <v>0</v>
      </c>
      <c r="BT1027" s="2">
        <v>0</v>
      </c>
      <c r="BU1027" s="2">
        <v>0.5</v>
      </c>
      <c r="BV1027" s="2">
        <f t="shared" si="65"/>
        <v>24.832999999999998</v>
      </c>
      <c r="BW1027" s="16">
        <f t="shared" si="63"/>
        <v>1.3069999999999999</v>
      </c>
      <c r="BX1027" s="16">
        <f>COUNTIF($BC$6:BU1027, "=0") / COUNTIF($BC$6:BU1027, "&gt;-1")</f>
        <v>0.27994644144608094</v>
      </c>
      <c r="BY1027" s="18">
        <f>SUM($BC$6:BU1027) / $BY$4</f>
        <v>0.94421681864467455</v>
      </c>
      <c r="BZ1027" s="14">
        <f t="shared" si="64"/>
        <v>11</v>
      </c>
      <c r="CA1027" t="s">
        <v>5832</v>
      </c>
      <c r="CZ1027" t="s">
        <v>10703</v>
      </c>
      <c r="DA1027" t="s">
        <v>5904</v>
      </c>
      <c r="DB1027">
        <v>298.10000000000002</v>
      </c>
      <c r="DC1027" t="s">
        <v>28125</v>
      </c>
      <c r="DD1027" t="s">
        <v>28126</v>
      </c>
      <c r="DE1027" t="s">
        <v>28127</v>
      </c>
      <c r="DF1027" t="s">
        <v>28128</v>
      </c>
      <c r="DG1027" t="s">
        <v>13772</v>
      </c>
      <c r="DH1027" t="str">
        <f>"UBE2V2"</f>
        <v>UBE2V2</v>
      </c>
      <c r="DI1027" t="s">
        <v>28129</v>
      </c>
      <c r="DJ1027" t="s">
        <v>13777</v>
      </c>
      <c r="DK1027">
        <v>9606</v>
      </c>
      <c r="DL1027" s="34" t="str">
        <f>HYPERLINK("http://www.uniprot.org/uniprot/Q15819", "Q15819")</f>
        <v>Q15819</v>
      </c>
      <c r="DM1027" t="s">
        <v>28130</v>
      </c>
      <c r="DN1027" t="s">
        <v>14109</v>
      </c>
      <c r="DO1027" t="s">
        <v>13772</v>
      </c>
      <c r="DP1027" t="s">
        <v>13793</v>
      </c>
      <c r="DQ1027" t="s">
        <v>13772</v>
      </c>
      <c r="DR1027" t="s">
        <v>13772</v>
      </c>
      <c r="DS1027" t="s">
        <v>13772</v>
      </c>
      <c r="DT1027" t="s">
        <v>13772</v>
      </c>
      <c r="DU1027" t="s">
        <v>13772</v>
      </c>
      <c r="DV1027" t="s">
        <v>14020</v>
      </c>
      <c r="DW1027" t="s">
        <v>13812</v>
      </c>
      <c r="DX1027" t="s">
        <v>28131</v>
      </c>
      <c r="DY1027" t="s">
        <v>28132</v>
      </c>
      <c r="DZ1027" t="s">
        <v>28133</v>
      </c>
      <c r="EA1027" t="s">
        <v>13772</v>
      </c>
      <c r="EB1027" t="s">
        <v>28134</v>
      </c>
    </row>
    <row r="1028" spans="1:132" hidden="1">
      <c r="A1028">
        <v>2425</v>
      </c>
      <c r="B1028">
        <v>1</v>
      </c>
      <c r="C1028" t="s">
        <v>5671</v>
      </c>
      <c r="D1028" t="s">
        <v>73</v>
      </c>
      <c r="E1028" t="s">
        <v>5672</v>
      </c>
      <c r="F1028" t="s">
        <v>5669</v>
      </c>
      <c r="G1028" t="s">
        <v>73</v>
      </c>
      <c r="H1028">
        <v>69.5</v>
      </c>
      <c r="I1028">
        <v>285</v>
      </c>
      <c r="J1028">
        <v>33222</v>
      </c>
      <c r="K1028" t="s">
        <v>5673</v>
      </c>
      <c r="L1028">
        <f t="shared" si="62"/>
        <v>139</v>
      </c>
      <c r="N1028">
        <v>139</v>
      </c>
      <c r="O1028">
        <v>8</v>
      </c>
      <c r="P1028">
        <v>5.8000000000000003E-2</v>
      </c>
      <c r="Q1028">
        <v>1</v>
      </c>
      <c r="R1028">
        <v>2</v>
      </c>
      <c r="S1028">
        <v>0</v>
      </c>
      <c r="T1028">
        <v>2</v>
      </c>
      <c r="U1028">
        <v>3</v>
      </c>
      <c r="V1028">
        <v>2</v>
      </c>
      <c r="W1028">
        <v>1</v>
      </c>
      <c r="X1028">
        <v>3</v>
      </c>
      <c r="Y1028">
        <v>30</v>
      </c>
      <c r="Z1028">
        <v>7</v>
      </c>
      <c r="AA1028">
        <v>14</v>
      </c>
      <c r="AB1028">
        <v>14</v>
      </c>
      <c r="AC1028">
        <v>13</v>
      </c>
      <c r="AD1028">
        <v>2</v>
      </c>
      <c r="AE1028">
        <v>22</v>
      </c>
      <c r="AF1028">
        <v>14</v>
      </c>
      <c r="AG1028">
        <v>2</v>
      </c>
      <c r="AH1028">
        <v>3</v>
      </c>
      <c r="AI1028">
        <v>4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2</v>
      </c>
      <c r="AV1028">
        <v>0</v>
      </c>
      <c r="AW1028">
        <v>0</v>
      </c>
      <c r="AX1028">
        <v>2</v>
      </c>
      <c r="AY1028">
        <v>3</v>
      </c>
      <c r="AZ1028">
        <v>0</v>
      </c>
      <c r="BA1028">
        <v>0</v>
      </c>
      <c r="BB1028">
        <v>0</v>
      </c>
      <c r="BC1028" s="2">
        <v>5.0999999999999997E-2</v>
      </c>
      <c r="BD1028" s="2">
        <v>0.19400000000000001</v>
      </c>
      <c r="BE1028" s="2">
        <v>0</v>
      </c>
      <c r="BF1028" s="2">
        <v>0.10299999999999999</v>
      </c>
      <c r="BG1028" s="2">
        <v>0.32300000000000001</v>
      </c>
      <c r="BH1028" s="2">
        <v>0.19400000000000001</v>
      </c>
      <c r="BI1028" s="2">
        <v>1</v>
      </c>
      <c r="BJ1028" s="2">
        <v>0.32300000000000001</v>
      </c>
      <c r="BK1028" s="2">
        <v>4.2610000000000001</v>
      </c>
      <c r="BL1028" s="2">
        <v>0.52800000000000002</v>
      </c>
      <c r="BM1028" s="2">
        <v>1.21</v>
      </c>
      <c r="BN1028" s="2">
        <v>5.0069999999999997</v>
      </c>
      <c r="BO1028" s="2">
        <v>1.304</v>
      </c>
      <c r="BP1028" s="2">
        <v>0.27200000000000002</v>
      </c>
      <c r="BQ1028" s="2">
        <v>4.7130000000000001</v>
      </c>
      <c r="BR1028" s="2">
        <v>4.2409999999999997</v>
      </c>
      <c r="BS1028" s="2">
        <v>0.27200000000000002</v>
      </c>
      <c r="BT1028" s="2">
        <v>0.32300000000000001</v>
      </c>
      <c r="BU1028" s="2">
        <v>0.45200000000000001</v>
      </c>
      <c r="BV1028" s="2">
        <f t="shared" si="65"/>
        <v>24.771000000000001</v>
      </c>
      <c r="BW1028" s="16">
        <f t="shared" si="63"/>
        <v>1.3037368421052633</v>
      </c>
      <c r="BX1028" s="16">
        <f>COUNTIF($BC$6:BU1028, "=0") / COUNTIF($BC$6:BU1028, "&gt;-1")</f>
        <v>0.27972423727941553</v>
      </c>
      <c r="BY1028" s="18">
        <f>SUM($BC$6:BU1028) / $BY$4</f>
        <v>0.94432292861354905</v>
      </c>
      <c r="BZ1028" s="14">
        <f t="shared" si="64"/>
        <v>1</v>
      </c>
      <c r="CA1028" t="s">
        <v>5832</v>
      </c>
      <c r="CZ1028" t="s">
        <v>11462</v>
      </c>
      <c r="DA1028" t="s">
        <v>5904</v>
      </c>
      <c r="DB1028">
        <v>431</v>
      </c>
      <c r="DC1028" t="s">
        <v>30229</v>
      </c>
      <c r="DD1028" t="s">
        <v>30230</v>
      </c>
      <c r="DE1028" t="s">
        <v>30231</v>
      </c>
      <c r="DF1028" t="s">
        <v>30232</v>
      </c>
      <c r="DG1028" t="s">
        <v>30233</v>
      </c>
      <c r="DH1028" t="str">
        <f>"TPM3"</f>
        <v>TPM3</v>
      </c>
      <c r="DI1028" t="s">
        <v>13772</v>
      </c>
      <c r="DJ1028" t="s">
        <v>13777</v>
      </c>
      <c r="DK1028">
        <v>9606</v>
      </c>
      <c r="DL1028" s="34" t="str">
        <f>HYPERLINK("http://www.uniprot.org/uniprot/P06753", "P06753")</f>
        <v>P06753</v>
      </c>
      <c r="DM1028" t="s">
        <v>30234</v>
      </c>
      <c r="DN1028" t="s">
        <v>13772</v>
      </c>
      <c r="DO1028" t="s">
        <v>13988</v>
      </c>
      <c r="DP1028" t="s">
        <v>14661</v>
      </c>
      <c r="DQ1028" t="s">
        <v>13772</v>
      </c>
      <c r="DR1028" t="s">
        <v>30235</v>
      </c>
      <c r="DS1028" t="s">
        <v>14245</v>
      </c>
      <c r="DT1028" t="s">
        <v>13772</v>
      </c>
      <c r="DU1028" t="s">
        <v>14849</v>
      </c>
      <c r="DV1028" t="s">
        <v>13886</v>
      </c>
      <c r="DW1028" t="s">
        <v>13772</v>
      </c>
      <c r="DX1028" t="s">
        <v>30236</v>
      </c>
      <c r="DY1028" t="s">
        <v>30237</v>
      </c>
      <c r="DZ1028" t="s">
        <v>15847</v>
      </c>
      <c r="EA1028" t="s">
        <v>13772</v>
      </c>
      <c r="EB1028" t="s">
        <v>14853</v>
      </c>
    </row>
    <row r="1029" spans="1:132" hidden="1">
      <c r="A1029">
        <v>1945</v>
      </c>
      <c r="B1029">
        <v>1</v>
      </c>
      <c r="C1029" t="s">
        <v>4584</v>
      </c>
      <c r="D1029" t="s">
        <v>4585</v>
      </c>
      <c r="E1029" t="s">
        <v>73</v>
      </c>
      <c r="F1029" t="s">
        <v>2067</v>
      </c>
      <c r="G1029" t="s">
        <v>73</v>
      </c>
      <c r="H1029">
        <v>21.3</v>
      </c>
      <c r="I1029">
        <v>408</v>
      </c>
      <c r="J1029">
        <v>42993</v>
      </c>
      <c r="K1029" t="s">
        <v>4586</v>
      </c>
      <c r="L1029">
        <f t="shared" si="62"/>
        <v>25</v>
      </c>
      <c r="N1029">
        <v>25</v>
      </c>
      <c r="O1029">
        <v>23</v>
      </c>
      <c r="P1029">
        <v>0.92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0</v>
      </c>
      <c r="X1029">
        <v>2</v>
      </c>
      <c r="Y1029">
        <v>2</v>
      </c>
      <c r="Z1029">
        <v>0</v>
      </c>
      <c r="AA1029">
        <v>7</v>
      </c>
      <c r="AB1029">
        <v>0</v>
      </c>
      <c r="AC1029">
        <v>0</v>
      </c>
      <c r="AD1029">
        <v>0</v>
      </c>
      <c r="AE1029">
        <v>2</v>
      </c>
      <c r="AF1029">
        <v>7</v>
      </c>
      <c r="AG1029">
        <v>2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2</v>
      </c>
      <c r="AP1029">
        <v>0</v>
      </c>
      <c r="AQ1029">
        <v>2</v>
      </c>
      <c r="AR1029">
        <v>1</v>
      </c>
      <c r="AS1029">
        <v>0</v>
      </c>
      <c r="AT1029">
        <v>6</v>
      </c>
      <c r="AU1029">
        <v>0</v>
      </c>
      <c r="AV1029">
        <v>0</v>
      </c>
      <c r="AW1029">
        <v>0</v>
      </c>
      <c r="AX1029">
        <v>2</v>
      </c>
      <c r="AY1029">
        <v>7</v>
      </c>
      <c r="AZ1029">
        <v>2</v>
      </c>
      <c r="BA1029">
        <v>0</v>
      </c>
      <c r="BB1029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2</v>
      </c>
      <c r="BI1029" s="2">
        <v>0</v>
      </c>
      <c r="BJ1029" s="2">
        <v>2</v>
      </c>
      <c r="BK1029" s="2">
        <v>2</v>
      </c>
      <c r="BL1029" s="2">
        <v>0</v>
      </c>
      <c r="BM1029" s="2">
        <v>6.6669999999999998</v>
      </c>
      <c r="BN1029" s="2">
        <v>0</v>
      </c>
      <c r="BO1029" s="2">
        <v>0</v>
      </c>
      <c r="BP1029" s="2">
        <v>0</v>
      </c>
      <c r="BQ1029" s="2">
        <v>2</v>
      </c>
      <c r="BR1029" s="2">
        <v>7</v>
      </c>
      <c r="BS1029" s="2">
        <v>2</v>
      </c>
      <c r="BT1029" s="2">
        <v>0</v>
      </c>
      <c r="BU1029" s="2">
        <v>1</v>
      </c>
      <c r="BV1029" s="2">
        <f t="shared" si="65"/>
        <v>24.667000000000002</v>
      </c>
      <c r="BW1029" s="16">
        <f t="shared" si="63"/>
        <v>1.298263157894737</v>
      </c>
      <c r="BX1029" s="16">
        <f>COUNTIF($BC$6:BU1029, "=0") / COUNTIF($BC$6:BU1029, "&gt;-1")</f>
        <v>0.28001644736842107</v>
      </c>
      <c r="BY1029" s="18">
        <f>SUM($BC$6:BU1029) / $BY$4</f>
        <v>0.94442859308418925</v>
      </c>
      <c r="BZ1029" s="14">
        <f t="shared" si="64"/>
        <v>11</v>
      </c>
      <c r="CA1029" t="s">
        <v>5832</v>
      </c>
      <c r="CZ1029" t="s">
        <v>12239</v>
      </c>
      <c r="DA1029" t="s">
        <v>5904</v>
      </c>
      <c r="DB1029">
        <v>674.5</v>
      </c>
      <c r="DC1029" t="s">
        <v>32432</v>
      </c>
      <c r="DD1029" t="s">
        <v>32433</v>
      </c>
      <c r="DE1029" t="s">
        <v>32434</v>
      </c>
      <c r="DF1029" t="s">
        <v>32435</v>
      </c>
      <c r="DG1029" t="s">
        <v>32436</v>
      </c>
      <c r="DH1029" t="str">
        <f>"RAD23B"</f>
        <v>RAD23B</v>
      </c>
      <c r="DI1029" t="s">
        <v>13772</v>
      </c>
      <c r="DJ1029" t="s">
        <v>13777</v>
      </c>
      <c r="DK1029">
        <v>9606</v>
      </c>
      <c r="DL1029" s="34" t="str">
        <f>HYPERLINK("http://www.uniprot.org/uniprot/P54727", "P54727")</f>
        <v>P54727</v>
      </c>
      <c r="DM1029" t="s">
        <v>32437</v>
      </c>
      <c r="DN1029" t="s">
        <v>24382</v>
      </c>
      <c r="DO1029" t="s">
        <v>14204</v>
      </c>
      <c r="DP1029" t="s">
        <v>13780</v>
      </c>
      <c r="DQ1029" t="s">
        <v>13772</v>
      </c>
      <c r="DR1029" t="s">
        <v>13772</v>
      </c>
      <c r="DS1029" t="s">
        <v>14096</v>
      </c>
      <c r="DT1029" t="s">
        <v>13772</v>
      </c>
      <c r="DU1029" t="s">
        <v>13772</v>
      </c>
      <c r="DV1029" t="s">
        <v>13782</v>
      </c>
      <c r="DW1029" t="s">
        <v>13812</v>
      </c>
      <c r="DX1029" t="s">
        <v>32438</v>
      </c>
      <c r="DY1029" t="s">
        <v>32439</v>
      </c>
      <c r="DZ1029" t="s">
        <v>32440</v>
      </c>
      <c r="EA1029" t="s">
        <v>13772</v>
      </c>
      <c r="EB1029" t="s">
        <v>32441</v>
      </c>
    </row>
    <row r="1030" spans="1:132" hidden="1">
      <c r="A1030">
        <v>1939</v>
      </c>
      <c r="B1030">
        <v>1</v>
      </c>
      <c r="C1030" t="s">
        <v>4567</v>
      </c>
      <c r="D1030" t="s">
        <v>73</v>
      </c>
      <c r="E1030" t="s">
        <v>73</v>
      </c>
      <c r="F1030" t="s">
        <v>73</v>
      </c>
      <c r="G1030" t="s">
        <v>73</v>
      </c>
      <c r="H1030">
        <v>17.399999999999999</v>
      </c>
      <c r="I1030">
        <v>489</v>
      </c>
      <c r="J1030">
        <v>55823</v>
      </c>
      <c r="K1030" t="s">
        <v>4568</v>
      </c>
      <c r="L1030">
        <f t="shared" ref="L1030:L1093" si="66">N1030</f>
        <v>25</v>
      </c>
      <c r="N1030">
        <v>25</v>
      </c>
      <c r="O1030">
        <v>24</v>
      </c>
      <c r="P1030">
        <v>0.96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2</v>
      </c>
      <c r="Y1030">
        <v>2</v>
      </c>
      <c r="Z1030">
        <v>0</v>
      </c>
      <c r="AA1030">
        <v>4</v>
      </c>
      <c r="AB1030">
        <v>2</v>
      </c>
      <c r="AC1030">
        <v>1</v>
      </c>
      <c r="AD1030">
        <v>3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2</v>
      </c>
      <c r="AR1030">
        <v>2</v>
      </c>
      <c r="AS1030">
        <v>0</v>
      </c>
      <c r="AT1030">
        <v>4</v>
      </c>
      <c r="AU1030">
        <v>2</v>
      </c>
      <c r="AV1030">
        <v>1</v>
      </c>
      <c r="AW1030">
        <v>3</v>
      </c>
      <c r="AX1030">
        <v>2</v>
      </c>
      <c r="AY1030">
        <v>4</v>
      </c>
      <c r="AZ1030">
        <v>0</v>
      </c>
      <c r="BA1030">
        <v>0</v>
      </c>
      <c r="BB1030">
        <v>1</v>
      </c>
      <c r="BC1030" s="2">
        <v>0.5</v>
      </c>
      <c r="BD1030" s="2">
        <v>0</v>
      </c>
      <c r="BE1030" s="2">
        <v>1</v>
      </c>
      <c r="BF1030" s="2">
        <v>0</v>
      </c>
      <c r="BG1030" s="2">
        <v>0</v>
      </c>
      <c r="BH1030" s="2">
        <v>1</v>
      </c>
      <c r="BI1030" s="2">
        <v>1</v>
      </c>
      <c r="BJ1030" s="2">
        <v>2</v>
      </c>
      <c r="BK1030" s="2">
        <v>2</v>
      </c>
      <c r="BL1030" s="2">
        <v>0</v>
      </c>
      <c r="BM1030" s="2">
        <v>4</v>
      </c>
      <c r="BN1030" s="2">
        <v>2</v>
      </c>
      <c r="BO1030" s="2">
        <v>1</v>
      </c>
      <c r="BP1030" s="2">
        <v>3</v>
      </c>
      <c r="BQ1030" s="2">
        <v>2</v>
      </c>
      <c r="BR1030" s="2">
        <v>4</v>
      </c>
      <c r="BS1030" s="2">
        <v>0</v>
      </c>
      <c r="BT1030" s="2">
        <v>0</v>
      </c>
      <c r="BU1030" s="2">
        <v>1</v>
      </c>
      <c r="BV1030" s="2">
        <f t="shared" si="65"/>
        <v>24.5</v>
      </c>
      <c r="BW1030" s="16">
        <f t="shared" ref="BW1030:BW1093" si="67">AVERAGE(BC1030:BU1030)</f>
        <v>1.2894736842105263</v>
      </c>
      <c r="BX1030" s="16">
        <f>COUNTIF($BC$6:BU1030, "=0") / COUNTIF($BC$6:BU1030, "&gt;-1")</f>
        <v>0.28005134788189989</v>
      </c>
      <c r="BY1030" s="18">
        <f>SUM($BC$6:BU1030) / $BY$4</f>
        <v>0.94453354218747243</v>
      </c>
      <c r="BZ1030" s="14">
        <f t="shared" ref="BZ1030:BZ1093" si="68">19-COUNTIF(BC1030:BU1030, "&gt;0")</f>
        <v>6</v>
      </c>
      <c r="CA1030" t="s">
        <v>5832</v>
      </c>
      <c r="CZ1030" t="s">
        <v>12216</v>
      </c>
      <c r="DA1030" t="s">
        <v>5904</v>
      </c>
      <c r="DB1030">
        <v>816.6</v>
      </c>
      <c r="DC1030" t="s">
        <v>32367</v>
      </c>
      <c r="DD1030" t="s">
        <v>32368</v>
      </c>
      <c r="DE1030" t="s">
        <v>32369</v>
      </c>
      <c r="DF1030" t="s">
        <v>32370</v>
      </c>
      <c r="DG1030" t="s">
        <v>32371</v>
      </c>
      <c r="DH1030" t="str">
        <f>"ERP44"</f>
        <v>ERP44</v>
      </c>
      <c r="DI1030" t="s">
        <v>32372</v>
      </c>
      <c r="DJ1030" t="s">
        <v>13777</v>
      </c>
      <c r="DK1030">
        <v>9606</v>
      </c>
      <c r="DL1030" s="34" t="str">
        <f>HYPERLINK("http://www.uniprot.org/uniprot/Q9BS26", "Q9BS26")</f>
        <v>Q9BS26</v>
      </c>
      <c r="DM1030" t="s">
        <v>32373</v>
      </c>
      <c r="DN1030" t="s">
        <v>15280</v>
      </c>
      <c r="DO1030" t="s">
        <v>14908</v>
      </c>
      <c r="DP1030" t="s">
        <v>13772</v>
      </c>
      <c r="DQ1030" t="s">
        <v>13772</v>
      </c>
      <c r="DR1030" t="s">
        <v>13772</v>
      </c>
      <c r="DS1030" t="s">
        <v>13808</v>
      </c>
      <c r="DT1030" t="s">
        <v>13772</v>
      </c>
      <c r="DU1030" t="s">
        <v>14477</v>
      </c>
      <c r="DV1030" t="s">
        <v>14506</v>
      </c>
      <c r="DW1030" t="s">
        <v>13812</v>
      </c>
      <c r="DX1030" t="s">
        <v>32374</v>
      </c>
      <c r="DY1030" t="s">
        <v>32375</v>
      </c>
      <c r="DZ1030" t="s">
        <v>32376</v>
      </c>
      <c r="EA1030" t="s">
        <v>13772</v>
      </c>
      <c r="EB1030" t="s">
        <v>13890</v>
      </c>
    </row>
    <row r="1031" spans="1:132" hidden="1">
      <c r="A1031">
        <v>193</v>
      </c>
      <c r="B1031">
        <v>1</v>
      </c>
      <c r="C1031" t="s">
        <v>487</v>
      </c>
      <c r="D1031" t="s">
        <v>73</v>
      </c>
      <c r="E1031" t="s">
        <v>73</v>
      </c>
      <c r="F1031" t="s">
        <v>73</v>
      </c>
      <c r="G1031" t="s">
        <v>73</v>
      </c>
      <c r="H1031">
        <v>12.3</v>
      </c>
      <c r="I1031">
        <v>381</v>
      </c>
      <c r="J1031">
        <v>41928</v>
      </c>
      <c r="K1031" t="s">
        <v>488</v>
      </c>
      <c r="L1031">
        <f t="shared" si="66"/>
        <v>24</v>
      </c>
      <c r="N1031">
        <v>24</v>
      </c>
      <c r="O1031">
        <v>24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>
        <v>5</v>
      </c>
      <c r="Z1031">
        <v>0</v>
      </c>
      <c r="AA1031">
        <v>4</v>
      </c>
      <c r="AB1031">
        <v>1</v>
      </c>
      <c r="AC1031">
        <v>2</v>
      </c>
      <c r="AD1031">
        <v>2</v>
      </c>
      <c r="AE1031">
        <v>5</v>
      </c>
      <c r="AF1031">
        <v>1</v>
      </c>
      <c r="AG1031">
        <v>0</v>
      </c>
      <c r="AH1031">
        <v>0</v>
      </c>
      <c r="AI1031">
        <v>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5</v>
      </c>
      <c r="AS1031">
        <v>0</v>
      </c>
      <c r="AT1031">
        <v>4</v>
      </c>
      <c r="AU1031">
        <v>1</v>
      </c>
      <c r="AV1031">
        <v>2</v>
      </c>
      <c r="AW1031">
        <v>2</v>
      </c>
      <c r="AX1031">
        <v>5</v>
      </c>
      <c r="AY1031">
        <v>1</v>
      </c>
      <c r="AZ1031">
        <v>0</v>
      </c>
      <c r="BA1031">
        <v>0</v>
      </c>
      <c r="BB1031">
        <v>2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2</v>
      </c>
      <c r="BK1031" s="2">
        <v>5</v>
      </c>
      <c r="BL1031" s="2">
        <v>0</v>
      </c>
      <c r="BM1031" s="2">
        <v>4</v>
      </c>
      <c r="BN1031" s="2">
        <v>1</v>
      </c>
      <c r="BO1031" s="2">
        <v>2</v>
      </c>
      <c r="BP1031" s="2">
        <v>2</v>
      </c>
      <c r="BQ1031" s="2">
        <v>5</v>
      </c>
      <c r="BR1031" s="2">
        <v>1</v>
      </c>
      <c r="BS1031" s="2">
        <v>0</v>
      </c>
      <c r="BT1031" s="2">
        <v>0</v>
      </c>
      <c r="BU1031" s="2">
        <v>2</v>
      </c>
      <c r="BV1031" s="2">
        <f t="shared" ref="BV1031:BV1094" si="69">SUM(BC1031:BU1031)</f>
        <v>24</v>
      </c>
      <c r="BW1031" s="16">
        <f t="shared" si="67"/>
        <v>1.263157894736842</v>
      </c>
      <c r="BX1031" s="16">
        <f>COUNTIF($BC$6:BU1031, "=0") / COUNTIF($BC$6:BU1031, "&gt;-1")</f>
        <v>0.28029137170411411</v>
      </c>
      <c r="BY1031" s="18">
        <f>SUM($BC$6:BU1031) / $BY$4</f>
        <v>0.94463634947232122</v>
      </c>
      <c r="BZ1031" s="14">
        <f t="shared" si="68"/>
        <v>10</v>
      </c>
      <c r="CA1031" t="s">
        <v>5832</v>
      </c>
      <c r="CZ1031" t="s">
        <v>6364</v>
      </c>
      <c r="DA1031" t="s">
        <v>5904</v>
      </c>
      <c r="DB1031">
        <v>433.3</v>
      </c>
      <c r="DC1031" t="s">
        <v>15379</v>
      </c>
      <c r="DD1031" t="s">
        <v>15380</v>
      </c>
      <c r="DE1031" t="s">
        <v>15381</v>
      </c>
      <c r="DF1031" t="s">
        <v>15382</v>
      </c>
      <c r="DG1031" t="s">
        <v>15383</v>
      </c>
      <c r="DH1031" t="str">
        <f>"PGA3"</f>
        <v>PGA3</v>
      </c>
      <c r="DI1031" t="s">
        <v>13772</v>
      </c>
      <c r="DJ1031" t="s">
        <v>13777</v>
      </c>
      <c r="DK1031">
        <v>9606</v>
      </c>
      <c r="DL1031" s="34" t="str">
        <f>HYPERLINK("http://www.uniprot.org/uniprot/P0DJD8", "P0DJD8")</f>
        <v>P0DJD8</v>
      </c>
      <c r="DM1031" t="s">
        <v>15384</v>
      </c>
      <c r="DN1031" t="s">
        <v>15385</v>
      </c>
      <c r="DO1031" t="s">
        <v>14321</v>
      </c>
      <c r="DP1031" t="s">
        <v>13772</v>
      </c>
      <c r="DQ1031" t="s">
        <v>13772</v>
      </c>
      <c r="DR1031" t="s">
        <v>13772</v>
      </c>
      <c r="DS1031" t="s">
        <v>13808</v>
      </c>
      <c r="DT1031" t="s">
        <v>13772</v>
      </c>
      <c r="DU1031" t="s">
        <v>15386</v>
      </c>
      <c r="DV1031" t="s">
        <v>15387</v>
      </c>
      <c r="DW1031" t="s">
        <v>13772</v>
      </c>
      <c r="DX1031" t="s">
        <v>15388</v>
      </c>
      <c r="DY1031" t="s">
        <v>15389</v>
      </c>
      <c r="DZ1031" t="s">
        <v>15390</v>
      </c>
      <c r="EA1031" t="s">
        <v>13772</v>
      </c>
      <c r="EB1031" t="s">
        <v>15391</v>
      </c>
    </row>
    <row r="1032" spans="1:132" hidden="1">
      <c r="A1032">
        <v>230</v>
      </c>
      <c r="B1032">
        <v>1</v>
      </c>
      <c r="C1032" t="s">
        <v>583</v>
      </c>
      <c r="D1032" t="s">
        <v>73</v>
      </c>
      <c r="E1032" t="s">
        <v>73</v>
      </c>
      <c r="F1032" t="s">
        <v>73</v>
      </c>
      <c r="G1032" t="s">
        <v>73</v>
      </c>
      <c r="H1032">
        <v>8.6</v>
      </c>
      <c r="I1032">
        <v>1193</v>
      </c>
      <c r="J1032">
        <v>133328</v>
      </c>
      <c r="K1032" t="s">
        <v>584</v>
      </c>
      <c r="L1032">
        <f t="shared" si="66"/>
        <v>24</v>
      </c>
      <c r="N1032">
        <v>24</v>
      </c>
      <c r="O1032">
        <v>24</v>
      </c>
      <c r="P1032">
        <v>1</v>
      </c>
      <c r="Q1032">
        <v>0</v>
      </c>
      <c r="R1032">
        <v>3</v>
      </c>
      <c r="S1032">
        <v>4</v>
      </c>
      <c r="T1032">
        <v>5</v>
      </c>
      <c r="U1032">
        <v>4</v>
      </c>
      <c r="V1032">
        <v>2</v>
      </c>
      <c r="W1032">
        <v>0</v>
      </c>
      <c r="X1032">
        <v>2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3</v>
      </c>
      <c r="AL1032">
        <v>4</v>
      </c>
      <c r="AM1032">
        <v>5</v>
      </c>
      <c r="AN1032">
        <v>4</v>
      </c>
      <c r="AO1032">
        <v>2</v>
      </c>
      <c r="AP1032">
        <v>0</v>
      </c>
      <c r="AQ1032">
        <v>2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 s="2">
        <v>0</v>
      </c>
      <c r="BD1032" s="2">
        <v>3</v>
      </c>
      <c r="BE1032" s="2">
        <v>4</v>
      </c>
      <c r="BF1032" s="2">
        <v>5</v>
      </c>
      <c r="BG1032" s="2">
        <v>4</v>
      </c>
      <c r="BH1032" s="2">
        <v>2</v>
      </c>
      <c r="BI1032" s="2">
        <v>0</v>
      </c>
      <c r="BJ1032" s="2">
        <v>2</v>
      </c>
      <c r="BK1032" s="2">
        <v>0</v>
      </c>
      <c r="BL1032" s="2">
        <v>0</v>
      </c>
      <c r="BM1032" s="2">
        <v>1</v>
      </c>
      <c r="BN1032" s="2">
        <v>1</v>
      </c>
      <c r="BO1032" s="2">
        <v>0</v>
      </c>
      <c r="BP1032" s="2">
        <v>0</v>
      </c>
      <c r="BQ1032" s="2">
        <v>1</v>
      </c>
      <c r="BR1032" s="2">
        <v>1</v>
      </c>
      <c r="BS1032" s="2">
        <v>0</v>
      </c>
      <c r="BT1032" s="2">
        <v>0</v>
      </c>
      <c r="BU1032" s="2">
        <v>0</v>
      </c>
      <c r="BV1032" s="2">
        <f t="shared" si="69"/>
        <v>24</v>
      </c>
      <c r="BW1032" s="16">
        <f t="shared" si="67"/>
        <v>1.263157894736842</v>
      </c>
      <c r="BX1032" s="16">
        <f>COUNTIF($BC$6:BU1032, "=0") / COUNTIF($BC$6:BU1032, "&gt;-1")</f>
        <v>0.2804796802131912</v>
      </c>
      <c r="BY1032" s="18">
        <f>SUM($BC$6:BU1032) / $BY$4</f>
        <v>0.94473915675717002</v>
      </c>
      <c r="BZ1032" s="14">
        <f t="shared" si="68"/>
        <v>9</v>
      </c>
      <c r="CA1032" t="s">
        <v>5832</v>
      </c>
      <c r="CZ1032" t="s">
        <v>6491</v>
      </c>
      <c r="DA1032" t="s">
        <v>5904</v>
      </c>
      <c r="DB1032">
        <v>2267.6999999999998</v>
      </c>
      <c r="DC1032" t="s">
        <v>15790</v>
      </c>
      <c r="DD1032" t="s">
        <v>15791</v>
      </c>
      <c r="DE1032" t="s">
        <v>15792</v>
      </c>
      <c r="DF1032" t="s">
        <v>15793</v>
      </c>
      <c r="DG1032" t="s">
        <v>15794</v>
      </c>
      <c r="DH1032" t="str">
        <f>"CILP"</f>
        <v>CILP</v>
      </c>
      <c r="DI1032" t="s">
        <v>13772</v>
      </c>
      <c r="DJ1032" t="s">
        <v>13777</v>
      </c>
      <c r="DK1032">
        <v>9606</v>
      </c>
      <c r="DL1032" s="34" t="str">
        <f>HYPERLINK("http://www.uniprot.org/uniprot/O75339", "O75339")</f>
        <v>O75339</v>
      </c>
      <c r="DM1032" t="s">
        <v>15795</v>
      </c>
      <c r="DN1032" t="s">
        <v>13772</v>
      </c>
      <c r="DO1032" t="s">
        <v>13869</v>
      </c>
      <c r="DP1032" t="s">
        <v>13793</v>
      </c>
      <c r="DQ1032" t="s">
        <v>13772</v>
      </c>
      <c r="DR1032" t="s">
        <v>13772</v>
      </c>
      <c r="DS1032" t="s">
        <v>15698</v>
      </c>
      <c r="DT1032" t="s">
        <v>13772</v>
      </c>
      <c r="DU1032" t="s">
        <v>13772</v>
      </c>
      <c r="DV1032" t="s">
        <v>14629</v>
      </c>
      <c r="DW1032" t="s">
        <v>13772</v>
      </c>
      <c r="DX1032" t="s">
        <v>15796</v>
      </c>
      <c r="DY1032" t="s">
        <v>15797</v>
      </c>
      <c r="DZ1032" t="s">
        <v>13772</v>
      </c>
      <c r="EA1032" t="s">
        <v>13772</v>
      </c>
      <c r="EB1032" t="s">
        <v>15798</v>
      </c>
    </row>
    <row r="1033" spans="1:132" hidden="1">
      <c r="A1033">
        <v>340</v>
      </c>
      <c r="B1033">
        <v>1</v>
      </c>
      <c r="C1033" t="s">
        <v>855</v>
      </c>
      <c r="D1033" t="s">
        <v>73</v>
      </c>
      <c r="E1033" t="s">
        <v>73</v>
      </c>
      <c r="F1033" t="s">
        <v>73</v>
      </c>
      <c r="G1033" t="s">
        <v>73</v>
      </c>
      <c r="H1033">
        <v>48.2</v>
      </c>
      <c r="I1033">
        <v>228</v>
      </c>
      <c r="J1033">
        <v>26108</v>
      </c>
      <c r="K1033" t="s">
        <v>856</v>
      </c>
      <c r="L1033">
        <f t="shared" si="66"/>
        <v>24</v>
      </c>
      <c r="N1033">
        <v>24</v>
      </c>
      <c r="O1033">
        <v>24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2</v>
      </c>
      <c r="W1033">
        <v>0</v>
      </c>
      <c r="X1033">
        <v>0</v>
      </c>
      <c r="Y1033">
        <v>1</v>
      </c>
      <c r="Z1033">
        <v>0</v>
      </c>
      <c r="AA1033">
        <v>5</v>
      </c>
      <c r="AB1033">
        <v>5</v>
      </c>
      <c r="AC1033">
        <v>0</v>
      </c>
      <c r="AD1033">
        <v>0</v>
      </c>
      <c r="AE1033">
        <v>3</v>
      </c>
      <c r="AF1033">
        <v>4</v>
      </c>
      <c r="AG1033">
        <v>0</v>
      </c>
      <c r="AH1033">
        <v>0</v>
      </c>
      <c r="AI1033">
        <v>2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2</v>
      </c>
      <c r="AP1033">
        <v>0</v>
      </c>
      <c r="AQ1033">
        <v>0</v>
      </c>
      <c r="AR1033">
        <v>1</v>
      </c>
      <c r="AS1033">
        <v>0</v>
      </c>
      <c r="AT1033">
        <v>5</v>
      </c>
      <c r="AU1033">
        <v>5</v>
      </c>
      <c r="AV1033">
        <v>0</v>
      </c>
      <c r="AW1033">
        <v>0</v>
      </c>
      <c r="AX1033">
        <v>3</v>
      </c>
      <c r="AY1033">
        <v>4</v>
      </c>
      <c r="AZ1033">
        <v>0</v>
      </c>
      <c r="BA1033">
        <v>0</v>
      </c>
      <c r="BB1033">
        <v>2</v>
      </c>
      <c r="BC1033" s="2">
        <v>0</v>
      </c>
      <c r="BD1033" s="2">
        <v>1</v>
      </c>
      <c r="BE1033" s="2">
        <v>0</v>
      </c>
      <c r="BF1033" s="2">
        <v>0</v>
      </c>
      <c r="BG1033" s="2">
        <v>1</v>
      </c>
      <c r="BH1033" s="2">
        <v>2</v>
      </c>
      <c r="BI1033" s="2">
        <v>0</v>
      </c>
      <c r="BJ1033" s="2">
        <v>0</v>
      </c>
      <c r="BK1033" s="2">
        <v>1</v>
      </c>
      <c r="BL1033" s="2">
        <v>0</v>
      </c>
      <c r="BM1033" s="2">
        <v>5</v>
      </c>
      <c r="BN1033" s="2">
        <v>5</v>
      </c>
      <c r="BO1033" s="2">
        <v>0</v>
      </c>
      <c r="BP1033" s="2">
        <v>0</v>
      </c>
      <c r="BQ1033" s="2">
        <v>3</v>
      </c>
      <c r="BR1033" s="2">
        <v>4</v>
      </c>
      <c r="BS1033" s="2">
        <v>0</v>
      </c>
      <c r="BT1033" s="2">
        <v>0</v>
      </c>
      <c r="BU1033" s="2">
        <v>2</v>
      </c>
      <c r="BV1033" s="2">
        <f t="shared" si="69"/>
        <v>24</v>
      </c>
      <c r="BW1033" s="16">
        <f t="shared" si="67"/>
        <v>1.263157894736842</v>
      </c>
      <c r="BX1033" s="16">
        <f>COUNTIF($BC$6:BU1033, "=0") / COUNTIF($BC$6:BU1033, "&gt;-1")</f>
        <v>0.28071882039729673</v>
      </c>
      <c r="BY1033" s="18">
        <f>SUM($BC$6:BU1033) / $BY$4</f>
        <v>0.94484196404201881</v>
      </c>
      <c r="BZ1033" s="14">
        <f t="shared" si="68"/>
        <v>10</v>
      </c>
      <c r="CA1033" t="s">
        <v>5832</v>
      </c>
      <c r="CZ1033" t="s">
        <v>6879</v>
      </c>
      <c r="DA1033" t="s">
        <v>5904</v>
      </c>
      <c r="DB1033">
        <v>398.3</v>
      </c>
      <c r="DC1033" t="s">
        <v>16963</v>
      </c>
      <c r="DD1033" t="s">
        <v>16964</v>
      </c>
      <c r="DE1033" t="s">
        <v>16965</v>
      </c>
      <c r="DF1033" t="s">
        <v>16966</v>
      </c>
      <c r="DG1033" t="s">
        <v>16967</v>
      </c>
      <c r="DH1033" t="str">
        <f>"CMPK1"</f>
        <v>CMPK1</v>
      </c>
      <c r="DI1033" t="s">
        <v>13772</v>
      </c>
      <c r="DJ1033" t="s">
        <v>13777</v>
      </c>
      <c r="DK1033">
        <v>9606</v>
      </c>
      <c r="DL1033" s="34" t="str">
        <f>HYPERLINK("http://www.uniprot.org/uniprot/P30085", "P30085")</f>
        <v>P30085</v>
      </c>
      <c r="DM1033" t="s">
        <v>16968</v>
      </c>
      <c r="DN1033" t="s">
        <v>16969</v>
      </c>
      <c r="DO1033" t="s">
        <v>13912</v>
      </c>
      <c r="DP1033" t="s">
        <v>16970</v>
      </c>
      <c r="DQ1033" t="s">
        <v>13772</v>
      </c>
      <c r="DR1033" t="s">
        <v>13772</v>
      </c>
      <c r="DS1033" t="s">
        <v>13772</v>
      </c>
      <c r="DT1033" t="s">
        <v>14005</v>
      </c>
      <c r="DU1033" t="s">
        <v>14006</v>
      </c>
      <c r="DV1033" t="s">
        <v>13991</v>
      </c>
      <c r="DW1033" t="s">
        <v>13812</v>
      </c>
      <c r="DX1033" t="s">
        <v>16971</v>
      </c>
      <c r="DY1033" t="s">
        <v>16972</v>
      </c>
      <c r="DZ1033" t="s">
        <v>16973</v>
      </c>
      <c r="EA1033" t="s">
        <v>13772</v>
      </c>
      <c r="EB1033" t="s">
        <v>16974</v>
      </c>
    </row>
    <row r="1034" spans="1:132" hidden="1">
      <c r="A1034">
        <v>357</v>
      </c>
      <c r="B1034">
        <v>1</v>
      </c>
      <c r="C1034" t="s">
        <v>893</v>
      </c>
      <c r="D1034" t="s">
        <v>73</v>
      </c>
      <c r="E1034" t="s">
        <v>73</v>
      </c>
      <c r="F1034" t="s">
        <v>73</v>
      </c>
      <c r="G1034" t="s">
        <v>73</v>
      </c>
      <c r="H1034">
        <v>9.1</v>
      </c>
      <c r="I1034">
        <v>1786</v>
      </c>
      <c r="J1034">
        <v>197401</v>
      </c>
      <c r="K1034" t="s">
        <v>894</v>
      </c>
      <c r="L1034">
        <f t="shared" si="66"/>
        <v>24</v>
      </c>
      <c r="N1034">
        <v>24</v>
      </c>
      <c r="O1034">
        <v>24</v>
      </c>
      <c r="P1034">
        <v>1</v>
      </c>
      <c r="Q1034">
        <v>1</v>
      </c>
      <c r="R1034">
        <v>1</v>
      </c>
      <c r="S1034">
        <v>2</v>
      </c>
      <c r="T1034">
        <v>3</v>
      </c>
      <c r="U1034">
        <v>4</v>
      </c>
      <c r="V1034">
        <v>8</v>
      </c>
      <c r="W1034">
        <v>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2</v>
      </c>
      <c r="AM1034">
        <v>3</v>
      </c>
      <c r="AN1034">
        <v>4</v>
      </c>
      <c r="AO1034">
        <v>8</v>
      </c>
      <c r="AP1034">
        <v>4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 s="2">
        <v>1</v>
      </c>
      <c r="BD1034" s="2">
        <v>1</v>
      </c>
      <c r="BE1034" s="2">
        <v>2</v>
      </c>
      <c r="BF1034" s="2">
        <v>3</v>
      </c>
      <c r="BG1034" s="2">
        <v>4</v>
      </c>
      <c r="BH1034" s="2">
        <v>8</v>
      </c>
      <c r="BI1034" s="2">
        <v>4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1</v>
      </c>
      <c r="BR1034" s="2">
        <v>0</v>
      </c>
      <c r="BS1034" s="2">
        <v>0</v>
      </c>
      <c r="BT1034" s="2">
        <v>0</v>
      </c>
      <c r="BU1034" s="2">
        <v>0</v>
      </c>
      <c r="BV1034" s="2">
        <f t="shared" si="69"/>
        <v>24</v>
      </c>
      <c r="BW1034" s="16">
        <f t="shared" si="67"/>
        <v>1.263157894736842</v>
      </c>
      <c r="BX1034" s="16">
        <f>COUNTIF($BC$6:BU1034, "=0") / COUNTIF($BC$6:BU1034, "&gt;-1")</f>
        <v>0.2810086440591274</v>
      </c>
      <c r="BY1034" s="18">
        <f>SUM($BC$6:BU1034) / $BY$4</f>
        <v>0.94494477132686761</v>
      </c>
      <c r="BZ1034" s="14">
        <f t="shared" si="68"/>
        <v>11</v>
      </c>
      <c r="CA1034" t="s">
        <v>5832</v>
      </c>
      <c r="CZ1034" t="s">
        <v>6935</v>
      </c>
      <c r="DA1034" t="s">
        <v>5904</v>
      </c>
      <c r="DB1034">
        <v>3499.9</v>
      </c>
      <c r="DC1034" t="s">
        <v>17138</v>
      </c>
      <c r="DD1034" t="s">
        <v>17139</v>
      </c>
      <c r="DE1034" t="s">
        <v>17140</v>
      </c>
      <c r="DF1034" t="s">
        <v>17141</v>
      </c>
      <c r="DG1034" t="s">
        <v>17142</v>
      </c>
      <c r="DH1034" t="str">
        <f>"LAMB1"</f>
        <v>LAMB1</v>
      </c>
      <c r="DI1034" t="s">
        <v>13772</v>
      </c>
      <c r="DJ1034" t="s">
        <v>13777</v>
      </c>
      <c r="DK1034">
        <v>9606</v>
      </c>
      <c r="DL1034" s="34" t="str">
        <f>HYPERLINK("http://www.uniprot.org/uniprot/P07942", "P07942")</f>
        <v>P07942</v>
      </c>
      <c r="DM1034" t="s">
        <v>17143</v>
      </c>
      <c r="DN1034" t="s">
        <v>13949</v>
      </c>
      <c r="DO1034" t="s">
        <v>15002</v>
      </c>
      <c r="DP1034" t="s">
        <v>13793</v>
      </c>
      <c r="DQ1034" t="s">
        <v>13772</v>
      </c>
      <c r="DR1034" t="s">
        <v>17144</v>
      </c>
      <c r="DS1034" t="s">
        <v>17145</v>
      </c>
      <c r="DT1034" t="s">
        <v>13772</v>
      </c>
      <c r="DU1034" t="s">
        <v>13772</v>
      </c>
      <c r="DV1034" t="s">
        <v>13964</v>
      </c>
      <c r="DW1034" t="s">
        <v>13812</v>
      </c>
      <c r="DX1034" t="s">
        <v>17146</v>
      </c>
      <c r="DY1034" t="s">
        <v>17147</v>
      </c>
      <c r="DZ1034" t="s">
        <v>17148</v>
      </c>
      <c r="EA1034" t="s">
        <v>13772</v>
      </c>
      <c r="EB1034" t="s">
        <v>17149</v>
      </c>
    </row>
    <row r="1035" spans="1:132" hidden="1">
      <c r="A1035">
        <v>368</v>
      </c>
      <c r="B1035">
        <v>1</v>
      </c>
      <c r="C1035" t="s">
        <v>917</v>
      </c>
      <c r="D1035" t="s">
        <v>918</v>
      </c>
      <c r="E1035" t="s">
        <v>73</v>
      </c>
      <c r="F1035" t="s">
        <v>73</v>
      </c>
      <c r="G1035" t="s">
        <v>73</v>
      </c>
      <c r="H1035">
        <v>8.1</v>
      </c>
      <c r="I1035">
        <v>346</v>
      </c>
      <c r="J1035">
        <v>39701</v>
      </c>
      <c r="K1035" t="s">
        <v>919</v>
      </c>
      <c r="L1035">
        <f t="shared" si="66"/>
        <v>24</v>
      </c>
      <c r="N1035">
        <v>24</v>
      </c>
      <c r="O1035">
        <v>24</v>
      </c>
      <c r="P1035">
        <v>1</v>
      </c>
      <c r="Q1035">
        <v>0</v>
      </c>
      <c r="R1035">
        <v>1</v>
      </c>
      <c r="S1035">
        <v>6</v>
      </c>
      <c r="T1035">
        <v>4</v>
      </c>
      <c r="U1035">
        <v>6</v>
      </c>
      <c r="V1035">
        <v>3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</v>
      </c>
      <c r="AM1035">
        <v>4</v>
      </c>
      <c r="AN1035">
        <v>6</v>
      </c>
      <c r="AO1035">
        <v>3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 s="2">
        <v>0</v>
      </c>
      <c r="BD1035" s="2">
        <v>1</v>
      </c>
      <c r="BE1035" s="2">
        <v>6</v>
      </c>
      <c r="BF1035" s="2">
        <v>4</v>
      </c>
      <c r="BG1035" s="2">
        <v>6</v>
      </c>
      <c r="BH1035" s="2">
        <v>3</v>
      </c>
      <c r="BI1035" s="2">
        <v>1</v>
      </c>
      <c r="BJ1035" s="2">
        <v>1</v>
      </c>
      <c r="BK1035" s="2">
        <v>0</v>
      </c>
      <c r="BL1035" s="2">
        <v>0</v>
      </c>
      <c r="BM1035" s="2">
        <v>0</v>
      </c>
      <c r="BN1035" s="2">
        <v>1</v>
      </c>
      <c r="BO1035" s="2">
        <v>0</v>
      </c>
      <c r="BP1035" s="2">
        <v>0</v>
      </c>
      <c r="BQ1035" s="2">
        <v>0</v>
      </c>
      <c r="BR1035" s="2">
        <v>1</v>
      </c>
      <c r="BS1035" s="2">
        <v>0</v>
      </c>
      <c r="BT1035" s="2">
        <v>0</v>
      </c>
      <c r="BU1035" s="2">
        <v>0</v>
      </c>
      <c r="BV1035" s="2">
        <f t="shared" si="69"/>
        <v>24</v>
      </c>
      <c r="BW1035" s="16">
        <f t="shared" si="67"/>
        <v>1.263157894736842</v>
      </c>
      <c r="BX1035" s="16">
        <f>COUNTIF($BC$6:BU1035, "=0") / COUNTIF($BC$6:BU1035, "&gt;-1")</f>
        <v>0.28124680633622895</v>
      </c>
      <c r="BY1035" s="18">
        <f>SUM($BC$6:BU1035) / $BY$4</f>
        <v>0.9450475786117164</v>
      </c>
      <c r="BZ1035" s="14">
        <f t="shared" si="68"/>
        <v>10</v>
      </c>
      <c r="CA1035" t="s">
        <v>5832</v>
      </c>
      <c r="CZ1035" t="s">
        <v>6976</v>
      </c>
      <c r="DA1035" t="s">
        <v>5904</v>
      </c>
      <c r="DB1035">
        <v>647.1</v>
      </c>
      <c r="DC1035" t="s">
        <v>17266</v>
      </c>
      <c r="DD1035" t="s">
        <v>17267</v>
      </c>
      <c r="DE1035" t="s">
        <v>17268</v>
      </c>
      <c r="DF1035" t="s">
        <v>17269</v>
      </c>
      <c r="DG1035" t="s">
        <v>17270</v>
      </c>
      <c r="DH1035" t="str">
        <f>"SFRP4"</f>
        <v>SFRP4</v>
      </c>
      <c r="DI1035" t="s">
        <v>17271</v>
      </c>
      <c r="DJ1035" t="s">
        <v>13777</v>
      </c>
      <c r="DK1035">
        <v>9606</v>
      </c>
      <c r="DL1035" s="34" t="str">
        <f>HYPERLINK("http://www.uniprot.org/uniprot/Q6FHJ7", "Q6FHJ7")</f>
        <v>Q6FHJ7</v>
      </c>
      <c r="DM1035" t="s">
        <v>17272</v>
      </c>
      <c r="DN1035" t="s">
        <v>17273</v>
      </c>
      <c r="DO1035" t="s">
        <v>14321</v>
      </c>
      <c r="DP1035" t="s">
        <v>13793</v>
      </c>
      <c r="DQ1035" t="s">
        <v>13772</v>
      </c>
      <c r="DR1035" t="s">
        <v>13772</v>
      </c>
      <c r="DS1035" t="s">
        <v>13808</v>
      </c>
      <c r="DT1035" t="s">
        <v>13772</v>
      </c>
      <c r="DU1035" t="s">
        <v>14727</v>
      </c>
      <c r="DV1035" t="s">
        <v>13796</v>
      </c>
      <c r="DW1035" t="s">
        <v>13772</v>
      </c>
      <c r="DX1035" t="s">
        <v>17274</v>
      </c>
      <c r="DY1035" t="s">
        <v>17275</v>
      </c>
      <c r="DZ1035" t="s">
        <v>17276</v>
      </c>
      <c r="EA1035" t="s">
        <v>13772</v>
      </c>
      <c r="EB1035" t="s">
        <v>13772</v>
      </c>
    </row>
    <row r="1036" spans="1:132" hidden="1">
      <c r="A1036">
        <v>559</v>
      </c>
      <c r="B1036">
        <v>1</v>
      </c>
      <c r="C1036" t="s">
        <v>1393</v>
      </c>
      <c r="D1036" t="s">
        <v>1394</v>
      </c>
      <c r="E1036" t="s">
        <v>73</v>
      </c>
      <c r="F1036" t="s">
        <v>73</v>
      </c>
      <c r="G1036" t="s">
        <v>73</v>
      </c>
      <c r="H1036">
        <v>29.5</v>
      </c>
      <c r="I1036">
        <v>315</v>
      </c>
      <c r="J1036">
        <v>35200</v>
      </c>
      <c r="K1036" t="s">
        <v>1395</v>
      </c>
      <c r="L1036">
        <f t="shared" si="66"/>
        <v>24</v>
      </c>
      <c r="N1036">
        <v>24</v>
      </c>
      <c r="O1036">
        <v>24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7</v>
      </c>
      <c r="V1036">
        <v>3</v>
      </c>
      <c r="W1036">
        <v>2</v>
      </c>
      <c r="X1036">
        <v>8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7</v>
      </c>
      <c r="AO1036">
        <v>3</v>
      </c>
      <c r="AP1036">
        <v>2</v>
      </c>
      <c r="AQ1036">
        <v>8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7</v>
      </c>
      <c r="BH1036" s="2">
        <v>3</v>
      </c>
      <c r="BI1036" s="2">
        <v>2</v>
      </c>
      <c r="BJ1036" s="2">
        <v>8</v>
      </c>
      <c r="BK1036" s="2">
        <v>1</v>
      </c>
      <c r="BL1036" s="2">
        <v>0</v>
      </c>
      <c r="BM1036" s="2">
        <v>1</v>
      </c>
      <c r="BN1036" s="2">
        <v>0</v>
      </c>
      <c r="BO1036" s="2">
        <v>0</v>
      </c>
      <c r="BP1036" s="2">
        <v>0</v>
      </c>
      <c r="BQ1036" s="2">
        <v>0</v>
      </c>
      <c r="BR1036" s="2">
        <v>2</v>
      </c>
      <c r="BS1036" s="2">
        <v>0</v>
      </c>
      <c r="BT1036" s="2">
        <v>0</v>
      </c>
      <c r="BU1036" s="2">
        <v>0</v>
      </c>
      <c r="BV1036" s="2">
        <f t="shared" si="69"/>
        <v>24</v>
      </c>
      <c r="BW1036" s="16">
        <f t="shared" si="67"/>
        <v>1.263157894736842</v>
      </c>
      <c r="BX1036" s="16">
        <f>COUNTIF($BC$6:BU1036, "=0") / COUNTIF($BC$6:BU1036, "&gt;-1")</f>
        <v>0.28158660472714281</v>
      </c>
      <c r="BY1036" s="18">
        <f>SUM($BC$6:BU1036) / $BY$4</f>
        <v>0.9451503858965653</v>
      </c>
      <c r="BZ1036" s="14">
        <f t="shared" si="68"/>
        <v>12</v>
      </c>
      <c r="CA1036" t="s">
        <v>5832</v>
      </c>
      <c r="CZ1036" t="s">
        <v>7632</v>
      </c>
      <c r="DA1036" t="s">
        <v>5904</v>
      </c>
      <c r="DB1036">
        <v>597.79999999999995</v>
      </c>
      <c r="DC1036" t="s">
        <v>19281</v>
      </c>
      <c r="DD1036" t="s">
        <v>13772</v>
      </c>
      <c r="DE1036" t="s">
        <v>19282</v>
      </c>
      <c r="DF1036" t="s">
        <v>19283</v>
      </c>
      <c r="DG1036" t="s">
        <v>19284</v>
      </c>
      <c r="DH1036" t="str">
        <f>"C11orf54"</f>
        <v>C11orf54</v>
      </c>
      <c r="DI1036" t="s">
        <v>13772</v>
      </c>
      <c r="DJ1036" t="s">
        <v>13777</v>
      </c>
      <c r="DK1036">
        <v>9606</v>
      </c>
      <c r="DL1036" s="34" t="str">
        <f>HYPERLINK("http://www.uniprot.org/uniprot/Q9H0W9", "Q9H0W9")</f>
        <v>Q9H0W9</v>
      </c>
      <c r="DM1036" t="s">
        <v>19285</v>
      </c>
      <c r="DN1036" t="s">
        <v>13772</v>
      </c>
      <c r="DO1036" t="s">
        <v>14825</v>
      </c>
      <c r="DP1036" t="s">
        <v>13841</v>
      </c>
      <c r="DQ1036" t="s">
        <v>13772</v>
      </c>
      <c r="DR1036" t="s">
        <v>13772</v>
      </c>
      <c r="DS1036" t="s">
        <v>13772</v>
      </c>
      <c r="DT1036" t="s">
        <v>13856</v>
      </c>
      <c r="DU1036" t="s">
        <v>13857</v>
      </c>
      <c r="DV1036" t="s">
        <v>13772</v>
      </c>
      <c r="DW1036" t="s">
        <v>13812</v>
      </c>
      <c r="DX1036" t="s">
        <v>13772</v>
      </c>
      <c r="DY1036" t="s">
        <v>19286</v>
      </c>
      <c r="DZ1036" t="s">
        <v>19287</v>
      </c>
      <c r="EA1036" t="s">
        <v>13772</v>
      </c>
      <c r="EB1036" t="s">
        <v>13772</v>
      </c>
    </row>
    <row r="1037" spans="1:132" hidden="1">
      <c r="A1037">
        <v>585</v>
      </c>
      <c r="B1037">
        <v>1</v>
      </c>
      <c r="C1037" t="s">
        <v>1452</v>
      </c>
      <c r="D1037" t="s">
        <v>73</v>
      </c>
      <c r="E1037" t="s">
        <v>73</v>
      </c>
      <c r="F1037" t="s">
        <v>73</v>
      </c>
      <c r="G1037" t="s">
        <v>73</v>
      </c>
      <c r="H1037">
        <v>36</v>
      </c>
      <c r="I1037">
        <v>189</v>
      </c>
      <c r="J1037">
        <v>22064</v>
      </c>
      <c r="K1037" t="s">
        <v>1453</v>
      </c>
      <c r="L1037">
        <f t="shared" si="66"/>
        <v>24</v>
      </c>
      <c r="N1037">
        <v>24</v>
      </c>
      <c r="O1037">
        <v>24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3</v>
      </c>
      <c r="Z1037">
        <v>0</v>
      </c>
      <c r="AA1037">
        <v>8</v>
      </c>
      <c r="AB1037">
        <v>1</v>
      </c>
      <c r="AC1037">
        <v>0</v>
      </c>
      <c r="AD1037">
        <v>0</v>
      </c>
      <c r="AE1037">
        <v>8</v>
      </c>
      <c r="AF1037">
        <v>3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3</v>
      </c>
      <c r="AS1037">
        <v>0</v>
      </c>
      <c r="AT1037">
        <v>8</v>
      </c>
      <c r="AU1037">
        <v>1</v>
      </c>
      <c r="AV1037">
        <v>0</v>
      </c>
      <c r="AW1037">
        <v>0</v>
      </c>
      <c r="AX1037">
        <v>8</v>
      </c>
      <c r="AY1037">
        <v>3</v>
      </c>
      <c r="AZ1037">
        <v>0</v>
      </c>
      <c r="BA1037">
        <v>0</v>
      </c>
      <c r="BB1037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0</v>
      </c>
      <c r="BJ1037" s="2">
        <v>0</v>
      </c>
      <c r="BK1037" s="2">
        <v>3</v>
      </c>
      <c r="BL1037" s="2">
        <v>0</v>
      </c>
      <c r="BM1037" s="2">
        <v>8</v>
      </c>
      <c r="BN1037" s="2">
        <v>1</v>
      </c>
      <c r="BO1037" s="2">
        <v>0</v>
      </c>
      <c r="BP1037" s="2">
        <v>0</v>
      </c>
      <c r="BQ1037" s="2">
        <v>8</v>
      </c>
      <c r="BR1037" s="2">
        <v>3</v>
      </c>
      <c r="BS1037" s="2">
        <v>0</v>
      </c>
      <c r="BT1037" s="2">
        <v>0</v>
      </c>
      <c r="BU1037" s="2">
        <v>0</v>
      </c>
      <c r="BV1037" s="2">
        <f t="shared" si="69"/>
        <v>24</v>
      </c>
      <c r="BW1037" s="16">
        <f t="shared" si="67"/>
        <v>1.263157894736842</v>
      </c>
      <c r="BX1037" s="16">
        <f>COUNTIF($BC$6:BU1037, "=0") / COUNTIF($BC$6:BU1037, "&gt;-1")</f>
        <v>0.28197674418604651</v>
      </c>
      <c r="BY1037" s="18">
        <f>SUM($BC$6:BU1037) / $BY$4</f>
        <v>0.9452531931814141</v>
      </c>
      <c r="BZ1037" s="14">
        <f t="shared" si="68"/>
        <v>13</v>
      </c>
      <c r="CA1037" t="s">
        <v>5832</v>
      </c>
      <c r="CZ1037" t="s">
        <v>7722</v>
      </c>
      <c r="DA1037" t="s">
        <v>5904</v>
      </c>
      <c r="DB1037">
        <v>354</v>
      </c>
      <c r="DC1037" t="s">
        <v>19544</v>
      </c>
      <c r="DD1037" t="s">
        <v>19545</v>
      </c>
      <c r="DE1037" t="s">
        <v>19546</v>
      </c>
      <c r="DF1037" t="s">
        <v>19547</v>
      </c>
      <c r="DG1037" t="s">
        <v>19548</v>
      </c>
      <c r="DH1037" t="str">
        <f>"TNNI2"</f>
        <v>TNNI2</v>
      </c>
      <c r="DI1037" t="s">
        <v>13772</v>
      </c>
      <c r="DJ1037" t="s">
        <v>13777</v>
      </c>
      <c r="DK1037">
        <v>9606</v>
      </c>
      <c r="DL1037" s="34" t="str">
        <f>HYPERLINK("http://www.uniprot.org/uniprot/P48788", "P48788")</f>
        <v>P48788</v>
      </c>
      <c r="DM1037" t="s">
        <v>19549</v>
      </c>
      <c r="DN1037" t="s">
        <v>13772</v>
      </c>
      <c r="DO1037" t="s">
        <v>13772</v>
      </c>
      <c r="DP1037" t="s">
        <v>13841</v>
      </c>
      <c r="DQ1037" t="s">
        <v>13772</v>
      </c>
      <c r="DR1037" t="s">
        <v>13807</v>
      </c>
      <c r="DS1037" t="s">
        <v>13772</v>
      </c>
      <c r="DT1037" t="s">
        <v>13772</v>
      </c>
      <c r="DU1037" t="s">
        <v>14849</v>
      </c>
      <c r="DV1037" t="s">
        <v>13886</v>
      </c>
      <c r="DW1037" t="s">
        <v>13812</v>
      </c>
      <c r="DX1037" t="s">
        <v>19550</v>
      </c>
      <c r="DY1037" t="s">
        <v>19551</v>
      </c>
      <c r="DZ1037" t="s">
        <v>19552</v>
      </c>
      <c r="EA1037" t="s">
        <v>13772</v>
      </c>
      <c r="EB1037" t="s">
        <v>15657</v>
      </c>
    </row>
    <row r="1038" spans="1:132" hidden="1">
      <c r="A1038">
        <v>630</v>
      </c>
      <c r="B1038">
        <v>1</v>
      </c>
      <c r="C1038" t="s">
        <v>1558</v>
      </c>
      <c r="D1038" t="s">
        <v>1559</v>
      </c>
      <c r="E1038" t="s">
        <v>73</v>
      </c>
      <c r="F1038" t="s">
        <v>73</v>
      </c>
      <c r="G1038" t="s">
        <v>73</v>
      </c>
      <c r="H1038">
        <v>33.9</v>
      </c>
      <c r="I1038">
        <v>274</v>
      </c>
      <c r="J1038">
        <v>28840</v>
      </c>
      <c r="K1038" t="s">
        <v>1560</v>
      </c>
      <c r="L1038">
        <f t="shared" si="66"/>
        <v>24</v>
      </c>
      <c r="N1038">
        <v>24</v>
      </c>
      <c r="O1038">
        <v>24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4</v>
      </c>
      <c r="V1038">
        <v>4</v>
      </c>
      <c r="W1038">
        <v>2</v>
      </c>
      <c r="X1038">
        <v>5</v>
      </c>
      <c r="Y1038">
        <v>4</v>
      </c>
      <c r="Z1038">
        <v>0</v>
      </c>
      <c r="AA1038">
        <v>3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4</v>
      </c>
      <c r="AO1038">
        <v>4</v>
      </c>
      <c r="AP1038">
        <v>2</v>
      </c>
      <c r="AQ1038">
        <v>5</v>
      </c>
      <c r="AR1038">
        <v>4</v>
      </c>
      <c r="AS1038">
        <v>0</v>
      </c>
      <c r="AT1038">
        <v>3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 s="2">
        <v>1</v>
      </c>
      <c r="BD1038" s="2">
        <v>0</v>
      </c>
      <c r="BE1038" s="2">
        <v>0</v>
      </c>
      <c r="BF1038" s="2">
        <v>0</v>
      </c>
      <c r="BG1038" s="2">
        <v>4</v>
      </c>
      <c r="BH1038" s="2">
        <v>4</v>
      </c>
      <c r="BI1038" s="2">
        <v>2</v>
      </c>
      <c r="BJ1038" s="2">
        <v>5</v>
      </c>
      <c r="BK1038" s="2">
        <v>4</v>
      </c>
      <c r="BL1038" s="2">
        <v>0</v>
      </c>
      <c r="BM1038" s="2">
        <v>3</v>
      </c>
      <c r="BN1038" s="2">
        <v>0</v>
      </c>
      <c r="BO1038" s="2">
        <v>0</v>
      </c>
      <c r="BP1038" s="2">
        <v>0</v>
      </c>
      <c r="BQ1038" s="2">
        <v>0</v>
      </c>
      <c r="BR1038" s="2">
        <v>1</v>
      </c>
      <c r="BS1038" s="2">
        <v>0</v>
      </c>
      <c r="BT1038" s="2">
        <v>0</v>
      </c>
      <c r="BU1038" s="2">
        <v>0</v>
      </c>
      <c r="BV1038" s="2">
        <f t="shared" si="69"/>
        <v>24</v>
      </c>
      <c r="BW1038" s="16">
        <f t="shared" si="67"/>
        <v>1.263157894736842</v>
      </c>
      <c r="BX1038" s="16">
        <f>COUNTIF($BC$6:BU1038, "=0") / COUNTIF($BC$6:BU1038, "&gt;-1")</f>
        <v>0.28226422784939115</v>
      </c>
      <c r="BY1038" s="18">
        <f>SUM($BC$6:BU1038) / $BY$4</f>
        <v>0.94535600046626289</v>
      </c>
      <c r="BZ1038" s="14">
        <f t="shared" si="68"/>
        <v>11</v>
      </c>
      <c r="CA1038" t="s">
        <v>5832</v>
      </c>
      <c r="CZ1038" t="s">
        <v>7868</v>
      </c>
      <c r="DA1038" t="s">
        <v>5904</v>
      </c>
      <c r="DB1038">
        <v>508.4</v>
      </c>
      <c r="DC1038" t="s">
        <v>20004</v>
      </c>
      <c r="DD1038" t="s">
        <v>20005</v>
      </c>
      <c r="DE1038" t="s">
        <v>20006</v>
      </c>
      <c r="DF1038" t="s">
        <v>20007</v>
      </c>
      <c r="DG1038" t="s">
        <v>20008</v>
      </c>
      <c r="DH1038" t="str">
        <f>"CCS"</f>
        <v>CCS</v>
      </c>
      <c r="DI1038" t="s">
        <v>13772</v>
      </c>
      <c r="DJ1038" t="s">
        <v>13777</v>
      </c>
      <c r="DK1038">
        <v>9606</v>
      </c>
      <c r="DL1038" s="34" t="str">
        <f>HYPERLINK("http://www.uniprot.org/uniprot/O14618", "O14618")</f>
        <v>O14618</v>
      </c>
      <c r="DM1038" t="s">
        <v>20009</v>
      </c>
      <c r="DN1038" t="s">
        <v>13772</v>
      </c>
      <c r="DO1038" t="s">
        <v>13899</v>
      </c>
      <c r="DP1038" t="s">
        <v>13793</v>
      </c>
      <c r="DQ1038" t="s">
        <v>13772</v>
      </c>
      <c r="DR1038" t="s">
        <v>13772</v>
      </c>
      <c r="DS1038" t="s">
        <v>13772</v>
      </c>
      <c r="DT1038" t="s">
        <v>20010</v>
      </c>
      <c r="DU1038" t="s">
        <v>14477</v>
      </c>
      <c r="DV1038" t="s">
        <v>20011</v>
      </c>
      <c r="DW1038" t="s">
        <v>13812</v>
      </c>
      <c r="DX1038" t="s">
        <v>20012</v>
      </c>
      <c r="DY1038" t="s">
        <v>13914</v>
      </c>
      <c r="DZ1038" t="s">
        <v>20013</v>
      </c>
      <c r="EA1038" t="s">
        <v>13772</v>
      </c>
      <c r="EB1038" t="s">
        <v>17385</v>
      </c>
    </row>
    <row r="1039" spans="1:132" hidden="1">
      <c r="A1039">
        <v>696</v>
      </c>
      <c r="B1039">
        <v>1</v>
      </c>
      <c r="C1039" t="s">
        <v>1714</v>
      </c>
      <c r="D1039" t="s">
        <v>73</v>
      </c>
      <c r="E1039" t="s">
        <v>73</v>
      </c>
      <c r="F1039" t="s">
        <v>73</v>
      </c>
      <c r="G1039" t="s">
        <v>73</v>
      </c>
      <c r="H1039">
        <v>3.6</v>
      </c>
      <c r="I1039">
        <v>956</v>
      </c>
      <c r="J1039">
        <v>108369</v>
      </c>
      <c r="K1039" t="s">
        <v>1715</v>
      </c>
      <c r="L1039">
        <f t="shared" si="66"/>
        <v>24</v>
      </c>
      <c r="N1039">
        <v>24</v>
      </c>
      <c r="O1039">
        <v>24</v>
      </c>
      <c r="P1039">
        <v>1</v>
      </c>
      <c r="Q1039">
        <v>0</v>
      </c>
      <c r="R1039">
        <v>4</v>
      </c>
      <c r="S1039">
        <v>2</v>
      </c>
      <c r="T1039">
        <v>1</v>
      </c>
      <c r="U1039">
        <v>3</v>
      </c>
      <c r="V1039">
        <v>6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2</v>
      </c>
      <c r="AC1039">
        <v>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4</v>
      </c>
      <c r="AL1039">
        <v>2</v>
      </c>
      <c r="AM1039">
        <v>1</v>
      </c>
      <c r="AN1039">
        <v>3</v>
      </c>
      <c r="AO1039">
        <v>6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2</v>
      </c>
      <c r="AV1039">
        <v>1</v>
      </c>
      <c r="AW1039">
        <v>0</v>
      </c>
      <c r="AX1039">
        <v>1</v>
      </c>
      <c r="AY1039">
        <v>1</v>
      </c>
      <c r="AZ1039">
        <v>0</v>
      </c>
      <c r="BA1039">
        <v>0</v>
      </c>
      <c r="BB1039">
        <v>1</v>
      </c>
      <c r="BC1039" s="2">
        <v>0</v>
      </c>
      <c r="BD1039" s="2">
        <v>4</v>
      </c>
      <c r="BE1039" s="2">
        <v>2</v>
      </c>
      <c r="BF1039" s="2">
        <v>1</v>
      </c>
      <c r="BG1039" s="2">
        <v>3</v>
      </c>
      <c r="BH1039" s="2">
        <v>6</v>
      </c>
      <c r="BI1039" s="2">
        <v>0</v>
      </c>
      <c r="BJ1039" s="2">
        <v>1</v>
      </c>
      <c r="BK1039" s="2">
        <v>0</v>
      </c>
      <c r="BL1039" s="2">
        <v>0</v>
      </c>
      <c r="BM1039" s="2">
        <v>1</v>
      </c>
      <c r="BN1039" s="2">
        <v>2</v>
      </c>
      <c r="BO1039" s="2">
        <v>1</v>
      </c>
      <c r="BP1039" s="2">
        <v>0</v>
      </c>
      <c r="BQ1039" s="2">
        <v>1</v>
      </c>
      <c r="BR1039" s="2">
        <v>1</v>
      </c>
      <c r="BS1039" s="2">
        <v>0</v>
      </c>
      <c r="BT1039" s="2">
        <v>0</v>
      </c>
      <c r="BU1039" s="2">
        <v>1</v>
      </c>
      <c r="BV1039" s="2">
        <f t="shared" si="69"/>
        <v>24</v>
      </c>
      <c r="BW1039" s="16">
        <f t="shared" si="67"/>
        <v>1.263157894736842</v>
      </c>
      <c r="BX1039" s="16">
        <f>COUNTIF($BC$6:BU1039, "=0") / COUNTIF($BC$6:BU1039, "&gt;-1")</f>
        <v>0.28234755166446096</v>
      </c>
      <c r="BY1039" s="18">
        <f>SUM($BC$6:BU1039) / $BY$4</f>
        <v>0.94545880775111169</v>
      </c>
      <c r="BZ1039" s="14">
        <f t="shared" si="68"/>
        <v>7</v>
      </c>
      <c r="CA1039" t="s">
        <v>5832</v>
      </c>
      <c r="CZ1039" t="s">
        <v>8093</v>
      </c>
      <c r="DA1039" t="s">
        <v>5904</v>
      </c>
      <c r="DB1039">
        <v>1578.9</v>
      </c>
      <c r="DC1039" t="s">
        <v>20658</v>
      </c>
      <c r="DD1039" t="s">
        <v>20659</v>
      </c>
      <c r="DE1039" t="s">
        <v>20660</v>
      </c>
      <c r="DF1039" t="s">
        <v>20661</v>
      </c>
      <c r="DG1039" t="s">
        <v>20662</v>
      </c>
      <c r="DH1039" t="str">
        <f>"CCDC80"</f>
        <v>CCDC80</v>
      </c>
      <c r="DI1039" t="s">
        <v>20663</v>
      </c>
      <c r="DJ1039" t="s">
        <v>13777</v>
      </c>
      <c r="DK1039">
        <v>9606</v>
      </c>
      <c r="DL1039" s="34" t="str">
        <f>HYPERLINK("http://www.uniprot.org/uniprot/Q76M96", "Q76M96")</f>
        <v>Q76M96</v>
      </c>
      <c r="DM1039" t="s">
        <v>20664</v>
      </c>
      <c r="DN1039" t="s">
        <v>13772</v>
      </c>
      <c r="DO1039" t="s">
        <v>13869</v>
      </c>
      <c r="DP1039" t="s">
        <v>13841</v>
      </c>
      <c r="DQ1039" t="s">
        <v>13772</v>
      </c>
      <c r="DR1039" t="s">
        <v>13772</v>
      </c>
      <c r="DS1039" t="s">
        <v>16820</v>
      </c>
      <c r="DT1039" t="s">
        <v>13772</v>
      </c>
      <c r="DU1039" t="s">
        <v>13772</v>
      </c>
      <c r="DV1039" t="s">
        <v>13938</v>
      </c>
      <c r="DW1039" t="s">
        <v>13772</v>
      </c>
      <c r="DX1039" t="s">
        <v>20665</v>
      </c>
      <c r="DY1039" t="s">
        <v>20666</v>
      </c>
      <c r="DZ1039" t="s">
        <v>20667</v>
      </c>
      <c r="EA1039" t="s">
        <v>13772</v>
      </c>
      <c r="EB1039" t="s">
        <v>13772</v>
      </c>
    </row>
    <row r="1040" spans="1:132" hidden="1">
      <c r="A1040">
        <v>823</v>
      </c>
      <c r="B1040">
        <v>1</v>
      </c>
      <c r="C1040" t="s">
        <v>2014</v>
      </c>
      <c r="D1040" t="s">
        <v>2015</v>
      </c>
      <c r="E1040" t="s">
        <v>73</v>
      </c>
      <c r="F1040" t="s">
        <v>73</v>
      </c>
      <c r="G1040" t="s">
        <v>73</v>
      </c>
      <c r="H1040">
        <v>11.5</v>
      </c>
      <c r="I1040">
        <v>452</v>
      </c>
      <c r="J1040">
        <v>48833</v>
      </c>
      <c r="K1040" t="s">
        <v>2016</v>
      </c>
      <c r="L1040">
        <f t="shared" si="66"/>
        <v>24</v>
      </c>
      <c r="N1040">
        <v>24</v>
      </c>
      <c r="O1040">
        <v>24</v>
      </c>
      <c r="P1040">
        <v>1</v>
      </c>
      <c r="Q1040">
        <v>3</v>
      </c>
      <c r="R1040">
        <v>2</v>
      </c>
      <c r="S1040">
        <v>5</v>
      </c>
      <c r="T1040">
        <v>6</v>
      </c>
      <c r="U1040">
        <v>2</v>
      </c>
      <c r="V1040">
        <v>1</v>
      </c>
      <c r="W1040">
        <v>3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3</v>
      </c>
      <c r="AK1040">
        <v>2</v>
      </c>
      <c r="AL1040">
        <v>5</v>
      </c>
      <c r="AM1040">
        <v>6</v>
      </c>
      <c r="AN1040">
        <v>2</v>
      </c>
      <c r="AO1040">
        <v>1</v>
      </c>
      <c r="AP1040">
        <v>3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 s="2">
        <v>3</v>
      </c>
      <c r="BD1040" s="2">
        <v>2</v>
      </c>
      <c r="BE1040" s="2">
        <v>5</v>
      </c>
      <c r="BF1040" s="2">
        <v>6</v>
      </c>
      <c r="BG1040" s="2">
        <v>2</v>
      </c>
      <c r="BH1040" s="2">
        <v>1</v>
      </c>
      <c r="BI1040" s="2">
        <v>3</v>
      </c>
      <c r="BJ1040" s="2">
        <v>1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1</v>
      </c>
      <c r="BT1040" s="2">
        <v>0</v>
      </c>
      <c r="BU1040" s="2">
        <v>0</v>
      </c>
      <c r="BV1040" s="2">
        <f t="shared" si="69"/>
        <v>24</v>
      </c>
      <c r="BW1040" s="16">
        <f t="shared" si="67"/>
        <v>1.263157894736842</v>
      </c>
      <c r="BX1040" s="16">
        <f>COUNTIF($BC$6:BU1040, "=0") / COUNTIF($BC$6:BU1040, "&gt;-1")</f>
        <v>0.28258326976862447</v>
      </c>
      <c r="BY1040" s="18">
        <f>SUM($BC$6:BU1040) / $BY$4</f>
        <v>0.94556161503596048</v>
      </c>
      <c r="BZ1040" s="14">
        <f t="shared" si="68"/>
        <v>10</v>
      </c>
      <c r="CA1040" t="s">
        <v>5832</v>
      </c>
      <c r="CZ1040" t="s">
        <v>8517</v>
      </c>
      <c r="DA1040" t="s">
        <v>5904</v>
      </c>
      <c r="DB1040">
        <v>445.3</v>
      </c>
      <c r="DC1040" t="s">
        <v>21909</v>
      </c>
      <c r="DD1040" t="s">
        <v>21910</v>
      </c>
      <c r="DE1040" t="s">
        <v>21911</v>
      </c>
      <c r="DF1040" t="s">
        <v>21912</v>
      </c>
      <c r="DG1040" t="s">
        <v>21913</v>
      </c>
      <c r="DH1040" t="str">
        <f>"LAMP3"</f>
        <v>LAMP3</v>
      </c>
      <c r="DI1040" t="s">
        <v>21914</v>
      </c>
      <c r="DJ1040" t="s">
        <v>13777</v>
      </c>
      <c r="DK1040">
        <v>9606</v>
      </c>
      <c r="DL1040" s="34" t="str">
        <f>HYPERLINK("http://www.uniprot.org/uniprot/Q9UQV4", "Q9UQV4")</f>
        <v>Q9UQV4</v>
      </c>
      <c r="DM1040" t="s">
        <v>21915</v>
      </c>
      <c r="DN1040" t="s">
        <v>15290</v>
      </c>
      <c r="DO1040" t="s">
        <v>21916</v>
      </c>
      <c r="DP1040" t="s">
        <v>13793</v>
      </c>
      <c r="DQ1040" t="s">
        <v>13772</v>
      </c>
      <c r="DR1040" t="s">
        <v>13772</v>
      </c>
      <c r="DS1040" t="s">
        <v>13855</v>
      </c>
      <c r="DT1040" t="s">
        <v>13772</v>
      </c>
      <c r="DU1040" t="s">
        <v>13772</v>
      </c>
      <c r="DV1040" t="s">
        <v>13796</v>
      </c>
      <c r="DW1040" t="s">
        <v>13812</v>
      </c>
      <c r="DX1040" t="s">
        <v>21917</v>
      </c>
      <c r="DY1040" t="s">
        <v>21918</v>
      </c>
      <c r="DZ1040" t="s">
        <v>13772</v>
      </c>
      <c r="EA1040" t="s">
        <v>13772</v>
      </c>
      <c r="EB1040" t="s">
        <v>13772</v>
      </c>
    </row>
    <row r="1041" spans="1:132" hidden="1">
      <c r="A1041">
        <v>850</v>
      </c>
      <c r="B1041">
        <v>1</v>
      </c>
      <c r="C1041" t="s">
        <v>2085</v>
      </c>
      <c r="D1041" t="s">
        <v>73</v>
      </c>
      <c r="E1041" t="s">
        <v>73</v>
      </c>
      <c r="F1041" t="s">
        <v>73</v>
      </c>
      <c r="G1041" t="s">
        <v>73</v>
      </c>
      <c r="H1041">
        <v>35</v>
      </c>
      <c r="I1041">
        <v>260</v>
      </c>
      <c r="J1041">
        <v>29774</v>
      </c>
      <c r="K1041" t="s">
        <v>2086</v>
      </c>
      <c r="L1041">
        <f t="shared" si="66"/>
        <v>24</v>
      </c>
      <c r="N1041">
        <v>24</v>
      </c>
      <c r="O1041">
        <v>24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6</v>
      </c>
      <c r="Z1041">
        <v>0</v>
      </c>
      <c r="AA1041">
        <v>6</v>
      </c>
      <c r="AB1041">
        <v>2</v>
      </c>
      <c r="AC1041">
        <v>3</v>
      </c>
      <c r="AD1041">
        <v>5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6</v>
      </c>
      <c r="AS1041">
        <v>0</v>
      </c>
      <c r="AT1041">
        <v>6</v>
      </c>
      <c r="AU1041">
        <v>2</v>
      </c>
      <c r="AV1041">
        <v>3</v>
      </c>
      <c r="AW1041">
        <v>5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1</v>
      </c>
      <c r="BJ1041" s="2">
        <v>0</v>
      </c>
      <c r="BK1041" s="2">
        <v>6</v>
      </c>
      <c r="BL1041" s="2">
        <v>0</v>
      </c>
      <c r="BM1041" s="2">
        <v>6</v>
      </c>
      <c r="BN1041" s="2">
        <v>2</v>
      </c>
      <c r="BO1041" s="2">
        <v>3</v>
      </c>
      <c r="BP1041" s="2">
        <v>5</v>
      </c>
      <c r="BQ1041" s="2">
        <v>0</v>
      </c>
      <c r="BR1041" s="2">
        <v>1</v>
      </c>
      <c r="BS1041" s="2">
        <v>0</v>
      </c>
      <c r="BT1041" s="2">
        <v>0</v>
      </c>
      <c r="BU1041" s="2">
        <v>0</v>
      </c>
      <c r="BV1041" s="2">
        <f t="shared" si="69"/>
        <v>24</v>
      </c>
      <c r="BW1041" s="16">
        <f t="shared" si="67"/>
        <v>1.263157894736842</v>
      </c>
      <c r="BX1041" s="16">
        <f>COUNTIF($BC$6:BU1041, "=0") / COUNTIF($BC$6:BU1041, "&gt;-1")</f>
        <v>0.28292013818329609</v>
      </c>
      <c r="BY1041" s="18">
        <f>SUM($BC$6:BU1041) / $BY$4</f>
        <v>0.94566442232080927</v>
      </c>
      <c r="BZ1041" s="14">
        <f t="shared" si="68"/>
        <v>12</v>
      </c>
      <c r="CA1041" t="s">
        <v>5832</v>
      </c>
      <c r="CZ1041" t="s">
        <v>8613</v>
      </c>
      <c r="DA1041" t="s">
        <v>5904</v>
      </c>
      <c r="DB1041">
        <v>519.20000000000005</v>
      </c>
      <c r="DC1041" t="s">
        <v>22168</v>
      </c>
      <c r="DD1041" t="s">
        <v>22169</v>
      </c>
      <c r="DE1041" t="s">
        <v>22170</v>
      </c>
      <c r="DF1041" t="s">
        <v>22171</v>
      </c>
      <c r="DG1041" t="s">
        <v>22172</v>
      </c>
      <c r="DH1041" t="str">
        <f>"UPK1B"</f>
        <v>UPK1B</v>
      </c>
      <c r="DI1041" t="s">
        <v>22173</v>
      </c>
      <c r="DJ1041" t="s">
        <v>13777</v>
      </c>
      <c r="DK1041">
        <v>9606</v>
      </c>
      <c r="DL1041" s="34" t="str">
        <f>HYPERLINK("http://www.uniprot.org/uniprot/O75841", "O75841")</f>
        <v>O75841</v>
      </c>
      <c r="DM1041" t="s">
        <v>22174</v>
      </c>
      <c r="DN1041" t="s">
        <v>13772</v>
      </c>
      <c r="DO1041" t="s">
        <v>13825</v>
      </c>
      <c r="DP1041" t="s">
        <v>13793</v>
      </c>
      <c r="DQ1041" t="s">
        <v>13772</v>
      </c>
      <c r="DR1041" t="s">
        <v>13772</v>
      </c>
      <c r="DS1041" t="s">
        <v>13925</v>
      </c>
      <c r="DT1041" t="s">
        <v>13772</v>
      </c>
      <c r="DU1041" t="s">
        <v>13772</v>
      </c>
      <c r="DV1041" t="s">
        <v>13858</v>
      </c>
      <c r="DW1041" t="s">
        <v>13772</v>
      </c>
      <c r="DX1041" t="s">
        <v>22175</v>
      </c>
      <c r="DY1041" t="s">
        <v>22176</v>
      </c>
      <c r="DZ1041" t="s">
        <v>16532</v>
      </c>
      <c r="EA1041" t="s">
        <v>13772</v>
      </c>
      <c r="EB1041" t="s">
        <v>13772</v>
      </c>
    </row>
    <row r="1042" spans="1:132" hidden="1">
      <c r="A1042">
        <v>940</v>
      </c>
      <c r="B1042">
        <v>1</v>
      </c>
      <c r="C1042" t="s">
        <v>2288</v>
      </c>
      <c r="D1042" t="s">
        <v>73</v>
      </c>
      <c r="E1042" t="s">
        <v>73</v>
      </c>
      <c r="F1042" t="s">
        <v>73</v>
      </c>
      <c r="G1042" t="s">
        <v>73</v>
      </c>
      <c r="H1042">
        <v>28.9</v>
      </c>
      <c r="I1042">
        <v>266</v>
      </c>
      <c r="J1042">
        <v>30445</v>
      </c>
      <c r="K1042" t="s">
        <v>2289</v>
      </c>
      <c r="L1042">
        <f t="shared" si="66"/>
        <v>24</v>
      </c>
      <c r="N1042">
        <v>24</v>
      </c>
      <c r="O1042">
        <v>24</v>
      </c>
      <c r="P1042">
        <v>1</v>
      </c>
      <c r="Q1042">
        <v>1</v>
      </c>
      <c r="R1042">
        <v>2</v>
      </c>
      <c r="S1042">
        <v>3</v>
      </c>
      <c r="T1042">
        <v>1</v>
      </c>
      <c r="U1042">
        <v>4</v>
      </c>
      <c r="V1042">
        <v>5</v>
      </c>
      <c r="W1042">
        <v>2</v>
      </c>
      <c r="X1042">
        <v>4</v>
      </c>
      <c r="Y1042">
        <v>0</v>
      </c>
      <c r="Z1042">
        <v>0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3</v>
      </c>
      <c r="AM1042">
        <v>1</v>
      </c>
      <c r="AN1042">
        <v>4</v>
      </c>
      <c r="AO1042">
        <v>5</v>
      </c>
      <c r="AP1042">
        <v>2</v>
      </c>
      <c r="AQ1042">
        <v>4</v>
      </c>
      <c r="AR1042">
        <v>0</v>
      </c>
      <c r="AS1042">
        <v>0</v>
      </c>
      <c r="AT1042">
        <v>0</v>
      </c>
      <c r="AU1042">
        <v>2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 s="2">
        <v>1</v>
      </c>
      <c r="BD1042" s="2">
        <v>2</v>
      </c>
      <c r="BE1042" s="2">
        <v>3</v>
      </c>
      <c r="BF1042" s="2">
        <v>1</v>
      </c>
      <c r="BG1042" s="2">
        <v>4</v>
      </c>
      <c r="BH1042" s="2">
        <v>5</v>
      </c>
      <c r="BI1042" s="2">
        <v>2</v>
      </c>
      <c r="BJ1042" s="2">
        <v>4</v>
      </c>
      <c r="BK1042" s="2">
        <v>0</v>
      </c>
      <c r="BL1042" s="2">
        <v>0</v>
      </c>
      <c r="BM1042" s="2">
        <v>0</v>
      </c>
      <c r="BN1042" s="2">
        <v>2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f t="shared" si="69"/>
        <v>24</v>
      </c>
      <c r="BW1042" s="16">
        <f t="shared" si="67"/>
        <v>1.263157894736842</v>
      </c>
      <c r="BX1042" s="16">
        <f>COUNTIF($BC$6:BU1042, "=0") / COUNTIF($BC$6:BU1042, "&gt;-1")</f>
        <v>0.28315484951530223</v>
      </c>
      <c r="BY1042" s="18">
        <f>SUM($BC$6:BU1042) / $BY$4</f>
        <v>0.94576722960565818</v>
      </c>
      <c r="BZ1042" s="14">
        <f t="shared" si="68"/>
        <v>10</v>
      </c>
      <c r="CA1042" t="s">
        <v>5832</v>
      </c>
      <c r="CZ1042" t="s">
        <v>8920</v>
      </c>
      <c r="DA1042" t="s">
        <v>5904</v>
      </c>
      <c r="DB1042">
        <v>532.29999999999995</v>
      </c>
      <c r="DC1042" t="s">
        <v>23056</v>
      </c>
      <c r="DD1042" t="s">
        <v>23057</v>
      </c>
      <c r="DE1042" t="s">
        <v>23058</v>
      </c>
      <c r="DF1042" t="s">
        <v>23059</v>
      </c>
      <c r="DG1042" t="s">
        <v>23060</v>
      </c>
      <c r="DH1042" t="str">
        <f>"ITM2B"</f>
        <v>ITM2B</v>
      </c>
      <c r="DI1042" t="s">
        <v>23061</v>
      </c>
      <c r="DJ1042" t="s">
        <v>13777</v>
      </c>
      <c r="DK1042">
        <v>9606</v>
      </c>
      <c r="DL1042" s="34" t="str">
        <f>HYPERLINK("http://www.uniprot.org/uniprot/Q9Y287", "Q9Y287")</f>
        <v>Q9Y287</v>
      </c>
      <c r="DM1042" t="s">
        <v>23062</v>
      </c>
      <c r="DN1042" t="s">
        <v>13772</v>
      </c>
      <c r="DO1042" t="s">
        <v>23063</v>
      </c>
      <c r="DP1042" t="s">
        <v>13841</v>
      </c>
      <c r="DQ1042" t="s">
        <v>13772</v>
      </c>
      <c r="DR1042" t="s">
        <v>23064</v>
      </c>
      <c r="DS1042" t="s">
        <v>14417</v>
      </c>
      <c r="DT1042" t="s">
        <v>13772</v>
      </c>
      <c r="DU1042" t="s">
        <v>13772</v>
      </c>
      <c r="DV1042" t="s">
        <v>14629</v>
      </c>
      <c r="DW1042" t="s">
        <v>13772</v>
      </c>
      <c r="DX1042" t="s">
        <v>23065</v>
      </c>
      <c r="DY1042" t="s">
        <v>23066</v>
      </c>
      <c r="DZ1042" t="s">
        <v>23067</v>
      </c>
      <c r="EA1042" t="s">
        <v>13772</v>
      </c>
      <c r="EB1042" t="s">
        <v>18773</v>
      </c>
    </row>
    <row r="1043" spans="1:132" hidden="1">
      <c r="A1043">
        <v>1037</v>
      </c>
      <c r="B1043">
        <v>1</v>
      </c>
      <c r="C1043" t="s">
        <v>2510</v>
      </c>
      <c r="D1043" t="s">
        <v>73</v>
      </c>
      <c r="E1043" t="s">
        <v>73</v>
      </c>
      <c r="F1043" t="s">
        <v>73</v>
      </c>
      <c r="G1043" t="s">
        <v>73</v>
      </c>
      <c r="H1043">
        <v>19.2</v>
      </c>
      <c r="I1043">
        <v>798</v>
      </c>
      <c r="J1043">
        <v>88165</v>
      </c>
      <c r="K1043" t="s">
        <v>2511</v>
      </c>
      <c r="L1043">
        <f t="shared" si="66"/>
        <v>24</v>
      </c>
      <c r="N1043">
        <v>24</v>
      </c>
      <c r="O1043">
        <v>24</v>
      </c>
      <c r="P1043">
        <v>1</v>
      </c>
      <c r="Q1043">
        <v>0</v>
      </c>
      <c r="R1043">
        <v>6</v>
      </c>
      <c r="S1043">
        <v>0</v>
      </c>
      <c r="T1043">
        <v>2</v>
      </c>
      <c r="U1043">
        <v>6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2</v>
      </c>
      <c r="AD1043">
        <v>0</v>
      </c>
      <c r="AE1043">
        <v>1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6</v>
      </c>
      <c r="AL1043">
        <v>0</v>
      </c>
      <c r="AM1043">
        <v>2</v>
      </c>
      <c r="AN1043">
        <v>6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2</v>
      </c>
      <c r="AW1043">
        <v>0</v>
      </c>
      <c r="AX1043">
        <v>1</v>
      </c>
      <c r="AY1043">
        <v>2</v>
      </c>
      <c r="AZ1043">
        <v>0</v>
      </c>
      <c r="BA1043">
        <v>0</v>
      </c>
      <c r="BB1043">
        <v>0</v>
      </c>
      <c r="BC1043" s="2">
        <v>0</v>
      </c>
      <c r="BD1043" s="2">
        <v>6</v>
      </c>
      <c r="BE1043" s="2">
        <v>0</v>
      </c>
      <c r="BF1043" s="2">
        <v>2</v>
      </c>
      <c r="BG1043" s="2">
        <v>6</v>
      </c>
      <c r="BH1043" s="2">
        <v>1</v>
      </c>
      <c r="BI1043" s="2">
        <v>1</v>
      </c>
      <c r="BJ1043" s="2">
        <v>1</v>
      </c>
      <c r="BK1043" s="2">
        <v>1</v>
      </c>
      <c r="BL1043" s="2">
        <v>0</v>
      </c>
      <c r="BM1043" s="2">
        <v>0</v>
      </c>
      <c r="BN1043" s="2">
        <v>1</v>
      </c>
      <c r="BO1043" s="2">
        <v>2</v>
      </c>
      <c r="BP1043" s="2">
        <v>0</v>
      </c>
      <c r="BQ1043" s="2">
        <v>1</v>
      </c>
      <c r="BR1043" s="2">
        <v>2</v>
      </c>
      <c r="BS1043" s="2">
        <v>0</v>
      </c>
      <c r="BT1043" s="2">
        <v>0</v>
      </c>
      <c r="BU1043" s="2">
        <v>0</v>
      </c>
      <c r="BV1043" s="2">
        <f t="shared" si="69"/>
        <v>24</v>
      </c>
      <c r="BW1043" s="16">
        <f t="shared" si="67"/>
        <v>1.263157894736842</v>
      </c>
      <c r="BX1043" s="16">
        <f>COUNTIF($BC$6:BU1043, "=0") / COUNTIF($BC$6:BU1043, "&gt;-1")</f>
        <v>0.28328769901632694</v>
      </c>
      <c r="BY1043" s="18">
        <f>SUM($BC$6:BU1043) / $BY$4</f>
        <v>0.94587003689050697</v>
      </c>
      <c r="BZ1043" s="14">
        <f t="shared" si="68"/>
        <v>8</v>
      </c>
      <c r="CA1043" t="s">
        <v>5832</v>
      </c>
      <c r="CZ1043" t="s">
        <v>9238</v>
      </c>
      <c r="DA1043" t="s">
        <v>5904</v>
      </c>
      <c r="DB1043">
        <v>1550</v>
      </c>
      <c r="DC1043" t="s">
        <v>23966</v>
      </c>
      <c r="DD1043" t="s">
        <v>23967</v>
      </c>
      <c r="DE1043" t="s">
        <v>23968</v>
      </c>
      <c r="DF1043" t="s">
        <v>23969</v>
      </c>
      <c r="DG1043" t="s">
        <v>23970</v>
      </c>
      <c r="DH1043" t="str">
        <f>"ITGB1"</f>
        <v>ITGB1</v>
      </c>
      <c r="DI1043" t="s">
        <v>23971</v>
      </c>
      <c r="DJ1043" t="s">
        <v>13777</v>
      </c>
      <c r="DK1043">
        <v>9606</v>
      </c>
      <c r="DL1043" s="34" t="str">
        <f>HYPERLINK("http://www.uniprot.org/uniprot/P05556", "P05556")</f>
        <v>P05556</v>
      </c>
      <c r="DM1043" t="s">
        <v>23972</v>
      </c>
      <c r="DN1043" t="s">
        <v>16592</v>
      </c>
      <c r="DO1043" t="s">
        <v>23973</v>
      </c>
      <c r="DP1043" t="s">
        <v>13841</v>
      </c>
      <c r="DQ1043" t="s">
        <v>13772</v>
      </c>
      <c r="DR1043" t="s">
        <v>13772</v>
      </c>
      <c r="DS1043" t="s">
        <v>13826</v>
      </c>
      <c r="DT1043" t="s">
        <v>15709</v>
      </c>
      <c r="DU1043" t="s">
        <v>23974</v>
      </c>
      <c r="DV1043" t="s">
        <v>19882</v>
      </c>
      <c r="DW1043" t="s">
        <v>13812</v>
      </c>
      <c r="DX1043" t="s">
        <v>23975</v>
      </c>
      <c r="DY1043" t="s">
        <v>23976</v>
      </c>
      <c r="DZ1043" t="s">
        <v>23977</v>
      </c>
      <c r="EA1043" t="s">
        <v>13772</v>
      </c>
      <c r="EB1043" t="s">
        <v>23978</v>
      </c>
    </row>
    <row r="1044" spans="1:132" hidden="1">
      <c r="A1044">
        <v>1311</v>
      </c>
      <c r="B1044">
        <v>1</v>
      </c>
      <c r="C1044" t="s">
        <v>3145</v>
      </c>
      <c r="D1044" t="s">
        <v>73</v>
      </c>
      <c r="E1044" t="s">
        <v>73</v>
      </c>
      <c r="F1044" t="s">
        <v>73</v>
      </c>
      <c r="G1044" t="s">
        <v>73</v>
      </c>
      <c r="H1044">
        <v>50</v>
      </c>
      <c r="I1044">
        <v>98</v>
      </c>
      <c r="J1044">
        <v>11085</v>
      </c>
      <c r="K1044" t="s">
        <v>3146</v>
      </c>
      <c r="L1044">
        <f t="shared" si="66"/>
        <v>24</v>
      </c>
      <c r="N1044">
        <v>24</v>
      </c>
      <c r="O1044">
        <v>24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>
        <v>0</v>
      </c>
      <c r="AA1044">
        <v>7</v>
      </c>
      <c r="AB1044">
        <v>3</v>
      </c>
      <c r="AC1044">
        <v>4</v>
      </c>
      <c r="AD1044">
        <v>0</v>
      </c>
      <c r="AE1044">
        <v>1</v>
      </c>
      <c r="AF1044">
        <v>2</v>
      </c>
      <c r="AG1044">
        <v>0</v>
      </c>
      <c r="AH1044">
        <v>0</v>
      </c>
      <c r="AI1044">
        <v>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</v>
      </c>
      <c r="AS1044">
        <v>0</v>
      </c>
      <c r="AT1044">
        <v>7</v>
      </c>
      <c r="AU1044">
        <v>3</v>
      </c>
      <c r="AV1044">
        <v>4</v>
      </c>
      <c r="AW1044">
        <v>0</v>
      </c>
      <c r="AX1044">
        <v>1</v>
      </c>
      <c r="AY1044">
        <v>2</v>
      </c>
      <c r="AZ1044">
        <v>0</v>
      </c>
      <c r="BA1044">
        <v>0</v>
      </c>
      <c r="BB1044">
        <v>2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5</v>
      </c>
      <c r="BL1044" s="2">
        <v>0</v>
      </c>
      <c r="BM1044" s="2">
        <v>7</v>
      </c>
      <c r="BN1044" s="2">
        <v>3</v>
      </c>
      <c r="BO1044" s="2">
        <v>4</v>
      </c>
      <c r="BP1044" s="2">
        <v>0</v>
      </c>
      <c r="BQ1044" s="2">
        <v>1</v>
      </c>
      <c r="BR1044" s="2">
        <v>2</v>
      </c>
      <c r="BS1044" s="2">
        <v>0</v>
      </c>
      <c r="BT1044" s="2">
        <v>0</v>
      </c>
      <c r="BU1044" s="2">
        <v>2</v>
      </c>
      <c r="BV1044" s="2">
        <f t="shared" si="69"/>
        <v>24</v>
      </c>
      <c r="BW1044" s="16">
        <f t="shared" si="67"/>
        <v>1.263157894736842</v>
      </c>
      <c r="BX1044" s="16">
        <f>COUNTIF($BC$6:BU1044, "=0") / COUNTIF($BC$6:BU1044, "&gt;-1")</f>
        <v>0.28362291677219997</v>
      </c>
      <c r="BY1044" s="18">
        <f>SUM($BC$6:BU1044) / $BY$4</f>
        <v>0.94597284417535576</v>
      </c>
      <c r="BZ1044" s="14">
        <f t="shared" si="68"/>
        <v>12</v>
      </c>
      <c r="CA1044" t="s">
        <v>5832</v>
      </c>
      <c r="CZ1044" t="s">
        <v>10113</v>
      </c>
      <c r="DA1044" t="s">
        <v>5904</v>
      </c>
      <c r="DB1044">
        <v>186.8</v>
      </c>
      <c r="DC1044" t="s">
        <v>26466</v>
      </c>
      <c r="DD1044" t="s">
        <v>26467</v>
      </c>
      <c r="DE1044" t="s">
        <v>26468</v>
      </c>
      <c r="DF1044" t="s">
        <v>26469</v>
      </c>
      <c r="DG1044" t="s">
        <v>13772</v>
      </c>
      <c r="DH1044" t="str">
        <f>"SCRG1"</f>
        <v>SCRG1</v>
      </c>
      <c r="DI1044" t="s">
        <v>13772</v>
      </c>
      <c r="DJ1044" t="s">
        <v>13777</v>
      </c>
      <c r="DK1044">
        <v>9606</v>
      </c>
      <c r="DL1044" s="34" t="str">
        <f>HYPERLINK("http://www.uniprot.org/uniprot/O75711", "O75711")</f>
        <v>O75711</v>
      </c>
      <c r="DM1044" t="s">
        <v>26470</v>
      </c>
      <c r="DN1044" t="s">
        <v>13772</v>
      </c>
      <c r="DO1044" t="s">
        <v>14321</v>
      </c>
      <c r="DP1044" t="s">
        <v>13793</v>
      </c>
      <c r="DQ1044" t="s">
        <v>13772</v>
      </c>
      <c r="DR1044" t="s">
        <v>13772</v>
      </c>
      <c r="DS1044" t="s">
        <v>13808</v>
      </c>
      <c r="DT1044" t="s">
        <v>13772</v>
      </c>
      <c r="DU1044" t="s">
        <v>13772</v>
      </c>
      <c r="DV1044" t="s">
        <v>13858</v>
      </c>
      <c r="DW1044" t="s">
        <v>13772</v>
      </c>
      <c r="DX1044" t="s">
        <v>26471</v>
      </c>
      <c r="DY1044" t="s">
        <v>26472</v>
      </c>
      <c r="DZ1044" t="s">
        <v>13772</v>
      </c>
      <c r="EA1044" t="s">
        <v>13772</v>
      </c>
      <c r="EB1044" t="s">
        <v>13772</v>
      </c>
    </row>
    <row r="1045" spans="1:132" hidden="1">
      <c r="A1045">
        <v>1435</v>
      </c>
      <c r="B1045">
        <v>1</v>
      </c>
      <c r="C1045" t="s">
        <v>3417</v>
      </c>
      <c r="D1045" t="s">
        <v>73</v>
      </c>
      <c r="E1045" t="s">
        <v>73</v>
      </c>
      <c r="F1045" t="s">
        <v>73</v>
      </c>
      <c r="G1045" t="s">
        <v>73</v>
      </c>
      <c r="H1045">
        <v>32.1</v>
      </c>
      <c r="I1045">
        <v>165</v>
      </c>
      <c r="J1045">
        <v>18144</v>
      </c>
      <c r="K1045" t="s">
        <v>3418</v>
      </c>
      <c r="L1045">
        <f t="shared" si="66"/>
        <v>24</v>
      </c>
      <c r="N1045">
        <v>24</v>
      </c>
      <c r="O1045">
        <v>24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4</v>
      </c>
      <c r="Z1045">
        <v>1</v>
      </c>
      <c r="AA1045">
        <v>5</v>
      </c>
      <c r="AB1045">
        <v>4</v>
      </c>
      <c r="AC1045">
        <v>4</v>
      </c>
      <c r="AD1045">
        <v>0</v>
      </c>
      <c r="AE1045">
        <v>1</v>
      </c>
      <c r="AF1045">
        <v>3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>
        <v>1</v>
      </c>
      <c r="AT1045">
        <v>5</v>
      </c>
      <c r="AU1045">
        <v>4</v>
      </c>
      <c r="AV1045">
        <v>4</v>
      </c>
      <c r="AW1045">
        <v>0</v>
      </c>
      <c r="AX1045">
        <v>1</v>
      </c>
      <c r="AY1045">
        <v>3</v>
      </c>
      <c r="AZ1045">
        <v>1</v>
      </c>
      <c r="BA1045">
        <v>0</v>
      </c>
      <c r="BB1045">
        <v>0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4</v>
      </c>
      <c r="BL1045" s="2">
        <v>1</v>
      </c>
      <c r="BM1045" s="2">
        <v>5</v>
      </c>
      <c r="BN1045" s="2">
        <v>4</v>
      </c>
      <c r="BO1045" s="2">
        <v>4</v>
      </c>
      <c r="BP1045" s="2">
        <v>0</v>
      </c>
      <c r="BQ1045" s="2">
        <v>1</v>
      </c>
      <c r="BR1045" s="2">
        <v>3</v>
      </c>
      <c r="BS1045" s="2">
        <v>1</v>
      </c>
      <c r="BT1045" s="2">
        <v>0</v>
      </c>
      <c r="BU1045" s="2">
        <v>0</v>
      </c>
      <c r="BV1045" s="2">
        <f t="shared" si="69"/>
        <v>24</v>
      </c>
      <c r="BW1045" s="16">
        <f t="shared" si="67"/>
        <v>1.263157894736842</v>
      </c>
      <c r="BX1045" s="16">
        <f>COUNTIF($BC$6:BU1045, "=0") / COUNTIF($BC$6:BU1045, "&gt;-1")</f>
        <v>0.28385627530364371</v>
      </c>
      <c r="BY1045" s="18">
        <f>SUM($BC$6:BU1045) / $BY$4</f>
        <v>0.94607565146020456</v>
      </c>
      <c r="BZ1045" s="14">
        <f t="shared" si="68"/>
        <v>10</v>
      </c>
      <c r="CA1045" t="s">
        <v>5832</v>
      </c>
      <c r="CZ1045" t="s">
        <v>10514</v>
      </c>
      <c r="DA1045" t="s">
        <v>5904</v>
      </c>
      <c r="DB1045">
        <v>314.7</v>
      </c>
      <c r="DC1045" t="s">
        <v>27571</v>
      </c>
      <c r="DD1045" t="s">
        <v>27572</v>
      </c>
      <c r="DE1045" t="s">
        <v>27573</v>
      </c>
      <c r="DF1045" t="s">
        <v>27574</v>
      </c>
      <c r="DG1045" t="s">
        <v>27575</v>
      </c>
      <c r="DH1045" t="str">
        <f>"SELENOF"</f>
        <v>SELENOF</v>
      </c>
      <c r="DI1045" t="s">
        <v>13772</v>
      </c>
      <c r="DJ1045" t="s">
        <v>13777</v>
      </c>
      <c r="DK1045">
        <v>9606</v>
      </c>
      <c r="DL1045" s="34" t="str">
        <f>HYPERLINK("http://www.uniprot.org/uniprot/O60613", "O60613")</f>
        <v>O60613</v>
      </c>
      <c r="DM1045" t="s">
        <v>27576</v>
      </c>
      <c r="DN1045" t="s">
        <v>13772</v>
      </c>
      <c r="DO1045" t="s">
        <v>14908</v>
      </c>
      <c r="DP1045" t="s">
        <v>27577</v>
      </c>
      <c r="DQ1045" t="s">
        <v>13772</v>
      </c>
      <c r="DR1045" t="s">
        <v>13772</v>
      </c>
      <c r="DS1045" t="s">
        <v>13808</v>
      </c>
      <c r="DT1045" t="s">
        <v>13772</v>
      </c>
      <c r="DU1045" t="s">
        <v>13772</v>
      </c>
      <c r="DV1045" t="s">
        <v>13772</v>
      </c>
      <c r="DW1045" t="s">
        <v>13772</v>
      </c>
      <c r="DX1045" t="s">
        <v>27578</v>
      </c>
      <c r="DY1045" t="s">
        <v>27579</v>
      </c>
      <c r="DZ1045" t="s">
        <v>13772</v>
      </c>
      <c r="EA1045" t="s">
        <v>13772</v>
      </c>
      <c r="EB1045" t="s">
        <v>13772</v>
      </c>
    </row>
    <row r="1046" spans="1:132" hidden="1">
      <c r="A1046">
        <v>2455</v>
      </c>
      <c r="B1046">
        <v>1</v>
      </c>
      <c r="C1046" t="s">
        <v>5772</v>
      </c>
      <c r="D1046" t="s">
        <v>73</v>
      </c>
      <c r="E1046" t="s">
        <v>5773</v>
      </c>
      <c r="F1046" t="s">
        <v>73</v>
      </c>
      <c r="G1046" t="s">
        <v>73</v>
      </c>
      <c r="H1046">
        <v>6.8</v>
      </c>
      <c r="I1046">
        <v>936</v>
      </c>
      <c r="J1046">
        <v>104176</v>
      </c>
      <c r="K1046" t="s">
        <v>5774</v>
      </c>
      <c r="L1046">
        <f t="shared" si="66"/>
        <v>24</v>
      </c>
      <c r="N1046">
        <v>24</v>
      </c>
      <c r="O1046">
        <v>24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2</v>
      </c>
      <c r="W1046">
        <v>4</v>
      </c>
      <c r="X1046">
        <v>5</v>
      </c>
      <c r="Y1046">
        <v>0</v>
      </c>
      <c r="Z1046">
        <v>0</v>
      </c>
      <c r="AA1046">
        <v>3</v>
      </c>
      <c r="AB1046">
        <v>3</v>
      </c>
      <c r="AC1046">
        <v>0</v>
      </c>
      <c r="AD1046">
        <v>0</v>
      </c>
      <c r="AE1046">
        <v>1</v>
      </c>
      <c r="AF1046">
        <v>4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2</v>
      </c>
      <c r="AP1046">
        <v>4</v>
      </c>
      <c r="AQ1046">
        <v>5</v>
      </c>
      <c r="AR1046">
        <v>0</v>
      </c>
      <c r="AS1046">
        <v>0</v>
      </c>
      <c r="AT1046">
        <v>3</v>
      </c>
      <c r="AU1046">
        <v>3</v>
      </c>
      <c r="AV1046">
        <v>0</v>
      </c>
      <c r="AW1046">
        <v>0</v>
      </c>
      <c r="AX1046">
        <v>1</v>
      </c>
      <c r="AY1046">
        <v>4</v>
      </c>
      <c r="AZ1046">
        <v>1</v>
      </c>
      <c r="BA1046">
        <v>0</v>
      </c>
      <c r="BB1046">
        <v>0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2</v>
      </c>
      <c r="BI1046" s="2">
        <v>4</v>
      </c>
      <c r="BJ1046" s="2">
        <v>5</v>
      </c>
      <c r="BK1046" s="2">
        <v>0</v>
      </c>
      <c r="BL1046" s="2">
        <v>0</v>
      </c>
      <c r="BM1046" s="2">
        <v>3</v>
      </c>
      <c r="BN1046" s="2">
        <v>3</v>
      </c>
      <c r="BO1046" s="2">
        <v>0</v>
      </c>
      <c r="BP1046" s="2">
        <v>0</v>
      </c>
      <c r="BQ1046" s="2">
        <v>1</v>
      </c>
      <c r="BR1046" s="2">
        <v>4</v>
      </c>
      <c r="BS1046" s="2">
        <v>1</v>
      </c>
      <c r="BT1046" s="2">
        <v>0</v>
      </c>
      <c r="BU1046" s="2">
        <v>0</v>
      </c>
      <c r="BV1046" s="2">
        <f t="shared" si="69"/>
        <v>24</v>
      </c>
      <c r="BW1046" s="16">
        <f t="shared" si="67"/>
        <v>1.263157894736842</v>
      </c>
      <c r="BX1046" s="16">
        <f>COUNTIF($BC$6:BU1046, "=0") / COUNTIF($BC$6:BU1046, "&gt;-1")</f>
        <v>0.28408918549977247</v>
      </c>
      <c r="BY1046" s="18">
        <f>SUM($BC$6:BU1046) / $BY$4</f>
        <v>0.94617845874505335</v>
      </c>
      <c r="BZ1046" s="14">
        <f t="shared" si="68"/>
        <v>10</v>
      </c>
      <c r="CA1046" t="s">
        <v>5832</v>
      </c>
      <c r="CZ1046" t="s">
        <v>10888</v>
      </c>
      <c r="DA1046" t="s">
        <v>5904</v>
      </c>
      <c r="DB1046">
        <v>1583.9</v>
      </c>
      <c r="DC1046" t="s">
        <v>28618</v>
      </c>
      <c r="DD1046" t="s">
        <v>28619</v>
      </c>
      <c r="DE1046" t="s">
        <v>28620</v>
      </c>
      <c r="DF1046" t="s">
        <v>28621</v>
      </c>
      <c r="DG1046" t="s">
        <v>28622</v>
      </c>
      <c r="DH1046" t="str">
        <f>"PAM"</f>
        <v>PAM</v>
      </c>
      <c r="DI1046" t="s">
        <v>13772</v>
      </c>
      <c r="DJ1046" t="s">
        <v>13777</v>
      </c>
      <c r="DK1046">
        <v>9606</v>
      </c>
      <c r="DL1046" s="34" t="str">
        <f>HYPERLINK("http://www.uniprot.org/uniprot/P19021", "P19021")</f>
        <v>P19021</v>
      </c>
      <c r="DM1046" t="s">
        <v>28623</v>
      </c>
      <c r="DN1046" t="s">
        <v>13772</v>
      </c>
      <c r="DO1046" t="s">
        <v>14464</v>
      </c>
      <c r="DP1046" t="s">
        <v>13780</v>
      </c>
      <c r="DQ1046" t="s">
        <v>13772</v>
      </c>
      <c r="DR1046" t="s">
        <v>13772</v>
      </c>
      <c r="DS1046" t="s">
        <v>13826</v>
      </c>
      <c r="DT1046" t="s">
        <v>28624</v>
      </c>
      <c r="DU1046" t="s">
        <v>28625</v>
      </c>
      <c r="DV1046" t="s">
        <v>28626</v>
      </c>
      <c r="DW1046" t="s">
        <v>13772</v>
      </c>
      <c r="DX1046" t="s">
        <v>28627</v>
      </c>
      <c r="DY1046" t="s">
        <v>28628</v>
      </c>
      <c r="DZ1046" t="s">
        <v>28629</v>
      </c>
      <c r="EA1046" t="s">
        <v>13772</v>
      </c>
      <c r="EB1046" t="s">
        <v>13772</v>
      </c>
    </row>
    <row r="1047" spans="1:132" hidden="1">
      <c r="A1047">
        <v>1601</v>
      </c>
      <c r="B1047">
        <v>1</v>
      </c>
      <c r="C1047" t="s">
        <v>3794</v>
      </c>
      <c r="D1047" t="s">
        <v>73</v>
      </c>
      <c r="E1047" t="s">
        <v>73</v>
      </c>
      <c r="F1047" t="s">
        <v>73</v>
      </c>
      <c r="G1047" t="s">
        <v>73</v>
      </c>
      <c r="H1047">
        <v>17</v>
      </c>
      <c r="I1047">
        <v>683</v>
      </c>
      <c r="J1047">
        <v>74419</v>
      </c>
      <c r="K1047" t="s">
        <v>3795</v>
      </c>
      <c r="L1047">
        <f t="shared" si="66"/>
        <v>24</v>
      </c>
      <c r="N1047">
        <v>24</v>
      </c>
      <c r="O1047">
        <v>24</v>
      </c>
      <c r="P1047">
        <v>1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2</v>
      </c>
      <c r="Y1047">
        <v>1</v>
      </c>
      <c r="Z1047">
        <v>0</v>
      </c>
      <c r="AA1047">
        <v>3</v>
      </c>
      <c r="AB1047">
        <v>0</v>
      </c>
      <c r="AC1047">
        <v>1</v>
      </c>
      <c r="AD1047">
        <v>7</v>
      </c>
      <c r="AE1047">
        <v>1</v>
      </c>
      <c r="AF1047">
        <v>1</v>
      </c>
      <c r="AG1047">
        <v>1</v>
      </c>
      <c r="AH1047">
        <v>0</v>
      </c>
      <c r="AI1047">
        <v>3</v>
      </c>
      <c r="AJ1047">
        <v>0</v>
      </c>
      <c r="AK1047">
        <v>1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2</v>
      </c>
      <c r="AR1047">
        <v>1</v>
      </c>
      <c r="AS1047">
        <v>0</v>
      </c>
      <c r="AT1047">
        <v>3</v>
      </c>
      <c r="AU1047">
        <v>0</v>
      </c>
      <c r="AV1047">
        <v>1</v>
      </c>
      <c r="AW1047">
        <v>7</v>
      </c>
      <c r="AX1047">
        <v>1</v>
      </c>
      <c r="AY1047">
        <v>1</v>
      </c>
      <c r="AZ1047">
        <v>1</v>
      </c>
      <c r="BA1047">
        <v>0</v>
      </c>
      <c r="BB1047">
        <v>3</v>
      </c>
      <c r="BC1047" s="2">
        <v>0</v>
      </c>
      <c r="BD1047" s="2">
        <v>1</v>
      </c>
      <c r="BE1047" s="2">
        <v>0</v>
      </c>
      <c r="BF1047" s="2">
        <v>1</v>
      </c>
      <c r="BG1047" s="2">
        <v>1</v>
      </c>
      <c r="BH1047" s="2">
        <v>1</v>
      </c>
      <c r="BI1047" s="2">
        <v>0</v>
      </c>
      <c r="BJ1047" s="2">
        <v>2</v>
      </c>
      <c r="BK1047" s="2">
        <v>1</v>
      </c>
      <c r="BL1047" s="2">
        <v>0</v>
      </c>
      <c r="BM1047" s="2">
        <v>3</v>
      </c>
      <c r="BN1047" s="2">
        <v>0</v>
      </c>
      <c r="BO1047" s="2">
        <v>1</v>
      </c>
      <c r="BP1047" s="2">
        <v>7</v>
      </c>
      <c r="BQ1047" s="2">
        <v>1</v>
      </c>
      <c r="BR1047" s="2">
        <v>1</v>
      </c>
      <c r="BS1047" s="2">
        <v>1</v>
      </c>
      <c r="BT1047" s="2">
        <v>0</v>
      </c>
      <c r="BU1047" s="2">
        <v>3</v>
      </c>
      <c r="BV1047" s="2">
        <f t="shared" si="69"/>
        <v>24</v>
      </c>
      <c r="BW1047" s="16">
        <f t="shared" si="67"/>
        <v>1.263157894736842</v>
      </c>
      <c r="BX1047" s="16">
        <f>COUNTIF($BC$6:BU1047, "=0") / COUNTIF($BC$6:BU1047, "&gt;-1")</f>
        <v>0.28411960804121628</v>
      </c>
      <c r="BY1047" s="18">
        <f>SUM($BC$6:BU1047) / $BY$4</f>
        <v>0.94628126602990215</v>
      </c>
      <c r="BZ1047" s="14">
        <f t="shared" si="68"/>
        <v>6</v>
      </c>
      <c r="CA1047" t="s">
        <v>5832</v>
      </c>
      <c r="CZ1047" t="s">
        <v>11078</v>
      </c>
      <c r="DA1047" t="s">
        <v>5904</v>
      </c>
      <c r="DB1047">
        <v>1284.2</v>
      </c>
      <c r="DC1047" t="s">
        <v>29146</v>
      </c>
      <c r="DD1047" t="s">
        <v>29147</v>
      </c>
      <c r="DE1047" t="s">
        <v>29148</v>
      </c>
      <c r="DF1047" t="s">
        <v>29149</v>
      </c>
      <c r="DG1047" t="s">
        <v>29150</v>
      </c>
      <c r="DH1047" t="str">
        <f>"TGFBI"</f>
        <v>TGFBI</v>
      </c>
      <c r="DI1047" t="s">
        <v>29151</v>
      </c>
      <c r="DJ1047" t="s">
        <v>13777</v>
      </c>
      <c r="DK1047">
        <v>9606</v>
      </c>
      <c r="DL1047" s="34" t="str">
        <f>HYPERLINK("http://www.uniprot.org/uniprot/Q15582", "Q15582")</f>
        <v>Q15582</v>
      </c>
      <c r="DM1047" t="s">
        <v>29152</v>
      </c>
      <c r="DN1047" t="s">
        <v>29153</v>
      </c>
      <c r="DO1047" t="s">
        <v>29154</v>
      </c>
      <c r="DP1047" t="s">
        <v>13793</v>
      </c>
      <c r="DQ1047" t="s">
        <v>13772</v>
      </c>
      <c r="DR1047" t="s">
        <v>29155</v>
      </c>
      <c r="DS1047" t="s">
        <v>14404</v>
      </c>
      <c r="DT1047" t="s">
        <v>13772</v>
      </c>
      <c r="DU1047" t="s">
        <v>13772</v>
      </c>
      <c r="DV1047" t="s">
        <v>24532</v>
      </c>
      <c r="DW1047" t="s">
        <v>13812</v>
      </c>
      <c r="DX1047" t="s">
        <v>29156</v>
      </c>
      <c r="DY1047" t="s">
        <v>29157</v>
      </c>
      <c r="DZ1047" t="s">
        <v>29158</v>
      </c>
      <c r="EA1047" t="s">
        <v>13772</v>
      </c>
      <c r="EB1047" t="s">
        <v>18773</v>
      </c>
    </row>
    <row r="1048" spans="1:132" hidden="1">
      <c r="A1048">
        <v>1888</v>
      </c>
      <c r="B1048">
        <v>1</v>
      </c>
      <c r="C1048" t="s">
        <v>4457</v>
      </c>
      <c r="D1048" t="s">
        <v>73</v>
      </c>
      <c r="E1048" t="s">
        <v>73</v>
      </c>
      <c r="F1048" t="s">
        <v>73</v>
      </c>
      <c r="G1048" t="s">
        <v>73</v>
      </c>
      <c r="H1048">
        <v>45.4</v>
      </c>
      <c r="I1048">
        <v>603</v>
      </c>
      <c r="J1048">
        <v>64074</v>
      </c>
      <c r="K1048" t="s">
        <v>4458</v>
      </c>
      <c r="L1048">
        <f t="shared" si="66"/>
        <v>24</v>
      </c>
      <c r="N1048">
        <v>24</v>
      </c>
      <c r="O1048">
        <v>24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19</v>
      </c>
      <c r="Z1048">
        <v>0</v>
      </c>
      <c r="AA1048">
        <v>4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19</v>
      </c>
      <c r="AS1048">
        <v>0</v>
      </c>
      <c r="AT1048">
        <v>4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19</v>
      </c>
      <c r="BL1048" s="2">
        <v>0</v>
      </c>
      <c r="BM1048" s="2">
        <v>4</v>
      </c>
      <c r="BN1048" s="2">
        <v>0</v>
      </c>
      <c r="BO1048" s="2">
        <v>1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f t="shared" si="69"/>
        <v>24</v>
      </c>
      <c r="BW1048" s="16">
        <f t="shared" si="67"/>
        <v>1.263157894736842</v>
      </c>
      <c r="BX1048" s="16">
        <f>COUNTIF($BC$6:BU1048, "=0") / COUNTIF($BC$6:BU1048, "&gt;-1")</f>
        <v>0.2846545894938689</v>
      </c>
      <c r="BY1048" s="18">
        <f>SUM($BC$6:BU1048) / $BY$4</f>
        <v>0.94638407331475094</v>
      </c>
      <c r="BZ1048" s="14">
        <f t="shared" si="68"/>
        <v>16</v>
      </c>
      <c r="CA1048" t="s">
        <v>5832</v>
      </c>
      <c r="CZ1048" t="s">
        <v>12052</v>
      </c>
      <c r="DA1048" t="s">
        <v>5904</v>
      </c>
      <c r="DB1048">
        <v>708.4</v>
      </c>
      <c r="DC1048" t="s">
        <v>31899</v>
      </c>
      <c r="DD1048" t="s">
        <v>13772</v>
      </c>
      <c r="DE1048" t="s">
        <v>31900</v>
      </c>
      <c r="DF1048" t="s">
        <v>31901</v>
      </c>
      <c r="DG1048" t="s">
        <v>31902</v>
      </c>
      <c r="DH1048" t="str">
        <f>"SARG"</f>
        <v>SARG</v>
      </c>
      <c r="DI1048" t="s">
        <v>31903</v>
      </c>
      <c r="DJ1048" t="s">
        <v>13777</v>
      </c>
      <c r="DK1048">
        <v>9606</v>
      </c>
      <c r="DL1048" s="34" t="str">
        <f>HYPERLINK("http://www.uniprot.org/uniprot/Q9BW04", "Q9BW04")</f>
        <v>Q9BW04</v>
      </c>
      <c r="DM1048" t="s">
        <v>31904</v>
      </c>
      <c r="DN1048" t="s">
        <v>13772</v>
      </c>
      <c r="DO1048" t="s">
        <v>13899</v>
      </c>
      <c r="DP1048" t="s">
        <v>13780</v>
      </c>
      <c r="DQ1048" t="s">
        <v>13772</v>
      </c>
      <c r="DR1048" t="s">
        <v>13772</v>
      </c>
      <c r="DS1048" t="s">
        <v>13772</v>
      </c>
      <c r="DT1048" t="s">
        <v>13772</v>
      </c>
      <c r="DU1048" t="s">
        <v>13795</v>
      </c>
      <c r="DV1048" t="s">
        <v>13782</v>
      </c>
      <c r="DW1048" t="s">
        <v>13772</v>
      </c>
      <c r="DX1048" t="s">
        <v>13772</v>
      </c>
      <c r="DY1048" t="s">
        <v>31905</v>
      </c>
      <c r="DZ1048" t="s">
        <v>13772</v>
      </c>
      <c r="EA1048" t="s">
        <v>13772</v>
      </c>
      <c r="EB1048" t="s">
        <v>13772</v>
      </c>
    </row>
    <row r="1049" spans="1:132" hidden="1">
      <c r="A1049">
        <v>1983</v>
      </c>
      <c r="B1049">
        <v>1</v>
      </c>
      <c r="C1049" t="s">
        <v>4669</v>
      </c>
      <c r="D1049" t="s">
        <v>73</v>
      </c>
      <c r="E1049" t="s">
        <v>73</v>
      </c>
      <c r="F1049" t="s">
        <v>73</v>
      </c>
      <c r="G1049" t="s">
        <v>73</v>
      </c>
      <c r="H1049">
        <v>9.5</v>
      </c>
      <c r="I1049">
        <v>370</v>
      </c>
      <c r="J1049">
        <v>42594</v>
      </c>
      <c r="K1049" t="s">
        <v>4670</v>
      </c>
      <c r="L1049">
        <f t="shared" si="66"/>
        <v>24</v>
      </c>
      <c r="N1049">
        <v>24</v>
      </c>
      <c r="O1049">
        <v>24</v>
      </c>
      <c r="P1049">
        <v>1</v>
      </c>
      <c r="Q1049">
        <v>1</v>
      </c>
      <c r="R1049">
        <v>5</v>
      </c>
      <c r="S1049">
        <v>2</v>
      </c>
      <c r="T1049">
        <v>5</v>
      </c>
      <c r="U1049">
        <v>5</v>
      </c>
      <c r="V1049">
        <v>2</v>
      </c>
      <c r="W1049">
        <v>3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5</v>
      </c>
      <c r="AL1049">
        <v>2</v>
      </c>
      <c r="AM1049">
        <v>5</v>
      </c>
      <c r="AN1049">
        <v>5</v>
      </c>
      <c r="AO1049">
        <v>2</v>
      </c>
      <c r="AP1049">
        <v>3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 s="2">
        <v>1</v>
      </c>
      <c r="BD1049" s="2">
        <v>5</v>
      </c>
      <c r="BE1049" s="2">
        <v>2</v>
      </c>
      <c r="BF1049" s="2">
        <v>5</v>
      </c>
      <c r="BG1049" s="2">
        <v>5</v>
      </c>
      <c r="BH1049" s="2">
        <v>2</v>
      </c>
      <c r="BI1049" s="2">
        <v>3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f t="shared" si="69"/>
        <v>24</v>
      </c>
      <c r="BW1049" s="16">
        <f t="shared" si="67"/>
        <v>1.263157894736842</v>
      </c>
      <c r="BX1049" s="16">
        <f>COUNTIF($BC$6:BU1049, "=0") / COUNTIF($BC$6:BU1049, "&gt;-1")</f>
        <v>0.28493647912885661</v>
      </c>
      <c r="BY1049" s="18">
        <f>SUM($BC$6:BU1049) / $BY$4</f>
        <v>0.94648688059959984</v>
      </c>
      <c r="BZ1049" s="14">
        <f t="shared" si="68"/>
        <v>11</v>
      </c>
      <c r="CA1049" t="s">
        <v>5832</v>
      </c>
      <c r="CZ1049" t="s">
        <v>12364</v>
      </c>
      <c r="DA1049" t="s">
        <v>5904</v>
      </c>
      <c r="DB1049">
        <v>548.5</v>
      </c>
      <c r="DC1049" t="s">
        <v>32802</v>
      </c>
      <c r="DD1049" t="s">
        <v>13772</v>
      </c>
      <c r="DE1049" t="s">
        <v>32803</v>
      </c>
      <c r="DF1049" t="s">
        <v>32804</v>
      </c>
      <c r="DG1049" t="s">
        <v>32805</v>
      </c>
      <c r="DH1049" t="str">
        <f>"LRRC19"</f>
        <v>LRRC19</v>
      </c>
      <c r="DI1049" t="s">
        <v>13772</v>
      </c>
      <c r="DJ1049" t="s">
        <v>13777</v>
      </c>
      <c r="DK1049">
        <v>9606</v>
      </c>
      <c r="DL1049" s="34" t="str">
        <f>HYPERLINK("http://www.uniprot.org/uniprot/Q9H756", "Q9H756")</f>
        <v>Q9H756</v>
      </c>
      <c r="DM1049" t="s">
        <v>32806</v>
      </c>
      <c r="DN1049" t="s">
        <v>13772</v>
      </c>
      <c r="DO1049" t="s">
        <v>13825</v>
      </c>
      <c r="DP1049" t="s">
        <v>13772</v>
      </c>
      <c r="DQ1049" t="s">
        <v>13772</v>
      </c>
      <c r="DR1049" t="s">
        <v>13772</v>
      </c>
      <c r="DS1049" t="s">
        <v>14158</v>
      </c>
      <c r="DT1049" t="s">
        <v>13772</v>
      </c>
      <c r="DU1049" t="s">
        <v>13772</v>
      </c>
      <c r="DV1049" t="s">
        <v>13858</v>
      </c>
      <c r="DW1049" t="s">
        <v>13772</v>
      </c>
      <c r="DX1049" t="s">
        <v>32807</v>
      </c>
      <c r="DY1049" t="s">
        <v>13798</v>
      </c>
      <c r="DZ1049" t="s">
        <v>19331</v>
      </c>
      <c r="EA1049" t="s">
        <v>13772</v>
      </c>
      <c r="EB1049" t="s">
        <v>13772</v>
      </c>
    </row>
    <row r="1050" spans="1:132" hidden="1">
      <c r="A1050">
        <v>2376</v>
      </c>
      <c r="B1050">
        <v>1</v>
      </c>
      <c r="C1050" t="s">
        <v>5537</v>
      </c>
      <c r="D1050" t="s">
        <v>5538</v>
      </c>
      <c r="E1050" t="s">
        <v>73</v>
      </c>
      <c r="F1050" t="s">
        <v>73</v>
      </c>
      <c r="G1050" t="s">
        <v>73</v>
      </c>
      <c r="H1050">
        <v>50</v>
      </c>
      <c r="I1050">
        <v>216</v>
      </c>
      <c r="J1050">
        <v>24496</v>
      </c>
      <c r="K1050" t="s">
        <v>5539</v>
      </c>
      <c r="L1050">
        <f t="shared" si="66"/>
        <v>24</v>
      </c>
      <c r="N1050">
        <v>24</v>
      </c>
      <c r="O1050">
        <v>24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15</v>
      </c>
      <c r="AB1050">
        <v>1</v>
      </c>
      <c r="AC1050">
        <v>4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15</v>
      </c>
      <c r="AU1050">
        <v>1</v>
      </c>
      <c r="AV1050">
        <v>4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1</v>
      </c>
      <c r="BL1050" s="2">
        <v>0</v>
      </c>
      <c r="BM1050" s="2">
        <v>15</v>
      </c>
      <c r="BN1050" s="2">
        <v>1</v>
      </c>
      <c r="BO1050" s="2">
        <v>4</v>
      </c>
      <c r="BP1050" s="2">
        <v>1</v>
      </c>
      <c r="BQ1050" s="2">
        <v>1</v>
      </c>
      <c r="BR1050" s="2">
        <v>0</v>
      </c>
      <c r="BS1050" s="2">
        <v>0</v>
      </c>
      <c r="BT1050" s="2">
        <v>0</v>
      </c>
      <c r="BU1050" s="2">
        <v>1</v>
      </c>
      <c r="BV1050" s="2">
        <f t="shared" si="69"/>
        <v>24</v>
      </c>
      <c r="BW1050" s="16">
        <f t="shared" si="67"/>
        <v>1.263157894736842</v>
      </c>
      <c r="BX1050" s="16">
        <f>COUNTIF($BC$6:BU1050, "=0") / COUNTIF($BC$6:BU1050, "&gt;-1")</f>
        <v>0.28526819440946866</v>
      </c>
      <c r="BY1050" s="18">
        <f>SUM($BC$6:BU1050) / $BY$4</f>
        <v>0.94658968788444864</v>
      </c>
      <c r="BZ1050" s="14">
        <f t="shared" si="68"/>
        <v>12</v>
      </c>
      <c r="CA1050" t="s">
        <v>5832</v>
      </c>
      <c r="CZ1050" t="s">
        <v>13647</v>
      </c>
      <c r="DA1050" t="s">
        <v>5904</v>
      </c>
      <c r="DB1050">
        <v>265.8</v>
      </c>
      <c r="DC1050" t="s">
        <v>36376</v>
      </c>
      <c r="DD1050" t="s">
        <v>36377</v>
      </c>
      <c r="DE1050" t="s">
        <v>36378</v>
      </c>
      <c r="DF1050" t="s">
        <v>36379</v>
      </c>
      <c r="DG1050" t="s">
        <v>36380</v>
      </c>
      <c r="DH1050" t="str">
        <f>"GH1"</f>
        <v>GH1</v>
      </c>
      <c r="DI1050" t="s">
        <v>13772</v>
      </c>
      <c r="DJ1050" t="s">
        <v>13777</v>
      </c>
      <c r="DK1050">
        <v>9606</v>
      </c>
      <c r="DL1050" s="34" t="str">
        <f>HYPERLINK("http://www.uniprot.org/uniprot/P01241", "P01241")</f>
        <v>P01241</v>
      </c>
      <c r="DM1050" t="s">
        <v>36381</v>
      </c>
      <c r="DN1050" t="s">
        <v>13772</v>
      </c>
      <c r="DO1050" t="s">
        <v>14321</v>
      </c>
      <c r="DP1050" t="s">
        <v>13780</v>
      </c>
      <c r="DQ1050" t="s">
        <v>13772</v>
      </c>
      <c r="DR1050" t="s">
        <v>14517</v>
      </c>
      <c r="DS1050" t="s">
        <v>13808</v>
      </c>
      <c r="DT1050" t="s">
        <v>13856</v>
      </c>
      <c r="DU1050" t="s">
        <v>14322</v>
      </c>
      <c r="DV1050" t="s">
        <v>15554</v>
      </c>
      <c r="DW1050" t="s">
        <v>14324</v>
      </c>
      <c r="DX1050" t="s">
        <v>36382</v>
      </c>
      <c r="DY1050" t="s">
        <v>36383</v>
      </c>
      <c r="DZ1050" t="s">
        <v>36384</v>
      </c>
      <c r="EA1050" t="s">
        <v>13772</v>
      </c>
      <c r="EB1050" t="s">
        <v>36385</v>
      </c>
    </row>
    <row r="1051" spans="1:132">
      <c r="A1051">
        <v>2434</v>
      </c>
      <c r="B1051">
        <v>1</v>
      </c>
      <c r="C1051" t="s">
        <v>5703</v>
      </c>
      <c r="D1051" t="s">
        <v>73</v>
      </c>
      <c r="E1051" t="s">
        <v>5704</v>
      </c>
      <c r="F1051" t="s">
        <v>5705</v>
      </c>
      <c r="G1051" t="s">
        <v>73</v>
      </c>
      <c r="H1051">
        <v>23.5</v>
      </c>
      <c r="I1051">
        <v>136</v>
      </c>
      <c r="J1051">
        <v>15248</v>
      </c>
      <c r="K1051" t="s">
        <v>5706</v>
      </c>
      <c r="L1051">
        <f t="shared" si="66"/>
        <v>76</v>
      </c>
      <c r="N1051">
        <v>76</v>
      </c>
      <c r="O1051">
        <v>19</v>
      </c>
      <c r="P1051">
        <v>0.25</v>
      </c>
      <c r="Q1051">
        <v>1</v>
      </c>
      <c r="R1051">
        <v>6</v>
      </c>
      <c r="S1051">
        <v>1</v>
      </c>
      <c r="T1051">
        <v>1</v>
      </c>
      <c r="U1051">
        <v>5</v>
      </c>
      <c r="V1051">
        <v>1</v>
      </c>
      <c r="W1051">
        <v>2</v>
      </c>
      <c r="X1051">
        <v>3</v>
      </c>
      <c r="Y1051">
        <v>9</v>
      </c>
      <c r="Z1051">
        <v>1</v>
      </c>
      <c r="AA1051">
        <v>8</v>
      </c>
      <c r="AB1051">
        <v>8</v>
      </c>
      <c r="AC1051">
        <v>13</v>
      </c>
      <c r="AD1051">
        <v>1</v>
      </c>
      <c r="AE1051">
        <v>4</v>
      </c>
      <c r="AF1051">
        <v>2</v>
      </c>
      <c r="AG1051">
        <v>6</v>
      </c>
      <c r="AH1051">
        <v>2</v>
      </c>
      <c r="AI1051">
        <v>2</v>
      </c>
      <c r="AJ1051">
        <v>0</v>
      </c>
      <c r="AK1051">
        <v>3</v>
      </c>
      <c r="AL1051">
        <v>1</v>
      </c>
      <c r="AM1051">
        <v>1</v>
      </c>
      <c r="AN1051">
        <v>3</v>
      </c>
      <c r="AO1051">
        <v>1</v>
      </c>
      <c r="AP1051">
        <v>1</v>
      </c>
      <c r="AQ1051">
        <v>2</v>
      </c>
      <c r="AR1051">
        <v>0</v>
      </c>
      <c r="AS1051">
        <v>0</v>
      </c>
      <c r="AT1051">
        <v>0</v>
      </c>
      <c r="AU1051">
        <v>4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 s="2">
        <v>8.7999999999999995E-2</v>
      </c>
      <c r="BD1051" s="2">
        <v>3.262</v>
      </c>
      <c r="BE1051" s="2">
        <v>1</v>
      </c>
      <c r="BF1051" s="2">
        <v>1</v>
      </c>
      <c r="BG1051" s="2">
        <v>3.1749999999999998</v>
      </c>
      <c r="BH1051" s="2">
        <v>1</v>
      </c>
      <c r="BI1051" s="2">
        <v>1.087</v>
      </c>
      <c r="BJ1051" s="2">
        <v>2.0880000000000001</v>
      </c>
      <c r="BK1051" s="2">
        <v>0.78800000000000003</v>
      </c>
      <c r="BL1051" s="2">
        <v>8.6999999999999994E-2</v>
      </c>
      <c r="BM1051" s="2">
        <v>0.7</v>
      </c>
      <c r="BN1051" s="2">
        <v>4.3499999999999996</v>
      </c>
      <c r="BO1051" s="2">
        <v>1.1379999999999999</v>
      </c>
      <c r="BP1051" s="2">
        <v>8.6999999999999994E-2</v>
      </c>
      <c r="BQ1051" s="2">
        <v>0.35</v>
      </c>
      <c r="BR1051" s="2">
        <v>0.17499999999999999</v>
      </c>
      <c r="BS1051" s="2">
        <v>1.4370000000000001</v>
      </c>
      <c r="BT1051" s="2">
        <v>1.0880000000000001</v>
      </c>
      <c r="BU1051" s="2">
        <v>1.0880000000000001</v>
      </c>
      <c r="BV1051" s="2">
        <f t="shared" si="69"/>
        <v>23.988000000000003</v>
      </c>
      <c r="BW1051" s="16">
        <f t="shared" si="67"/>
        <v>1.2625263157894739</v>
      </c>
      <c r="BX1051" s="16">
        <f>COUNTIF($BC$6:BU1051, "=0") / COUNTIF($BC$6:BU1051, "&gt;-1")</f>
        <v>0.28499547147026266</v>
      </c>
      <c r="BY1051" s="18">
        <f>SUM($BC$6:BU1051) / $BY$4</f>
        <v>0.94669244376565476</v>
      </c>
      <c r="BZ1051" s="14">
        <f t="shared" si="68"/>
        <v>0</v>
      </c>
      <c r="CA1051" t="s">
        <v>5832</v>
      </c>
      <c r="CZ1051" t="s">
        <v>9627</v>
      </c>
      <c r="DA1051" t="s">
        <v>5904</v>
      </c>
      <c r="DB1051">
        <v>252.7</v>
      </c>
      <c r="DC1051" t="s">
        <v>25078</v>
      </c>
      <c r="DD1051" t="s">
        <v>13772</v>
      </c>
      <c r="DE1051" t="s">
        <v>25079</v>
      </c>
      <c r="DF1051" t="s">
        <v>25080</v>
      </c>
      <c r="DG1051" t="s">
        <v>25081</v>
      </c>
      <c r="DH1051" t="str">
        <f>"H3F3A"</f>
        <v>H3F3A</v>
      </c>
      <c r="DI1051" t="s">
        <v>25082</v>
      </c>
      <c r="DJ1051" t="s">
        <v>13777</v>
      </c>
      <c r="DK1051">
        <v>9606</v>
      </c>
      <c r="DL1051" s="34" t="str">
        <f>HYPERLINK("http://www.uniprot.org/uniprot/P84243", "P84243")</f>
        <v>P84243</v>
      </c>
      <c r="DM1051" t="s">
        <v>25083</v>
      </c>
      <c r="DN1051" t="s">
        <v>13772</v>
      </c>
      <c r="DO1051" t="s">
        <v>15870</v>
      </c>
      <c r="DP1051" t="s">
        <v>13772</v>
      </c>
      <c r="DQ1051" t="s">
        <v>13772</v>
      </c>
      <c r="DR1051" t="s">
        <v>13807</v>
      </c>
      <c r="DS1051" t="s">
        <v>13772</v>
      </c>
      <c r="DT1051" t="s">
        <v>13772</v>
      </c>
      <c r="DU1051" t="s">
        <v>15871</v>
      </c>
      <c r="DV1051" t="s">
        <v>25084</v>
      </c>
      <c r="DW1051" t="s">
        <v>13812</v>
      </c>
      <c r="DX1051" t="s">
        <v>25085</v>
      </c>
      <c r="DY1051" t="s">
        <v>25086</v>
      </c>
      <c r="DZ1051" t="s">
        <v>25087</v>
      </c>
      <c r="EA1051" t="s">
        <v>13772</v>
      </c>
      <c r="EB1051" t="s">
        <v>25088</v>
      </c>
    </row>
    <row r="1052" spans="1:132" hidden="1">
      <c r="A1052">
        <v>1216</v>
      </c>
      <c r="B1052">
        <v>1</v>
      </c>
      <c r="C1052" t="s">
        <v>2920</v>
      </c>
      <c r="D1052" t="s">
        <v>73</v>
      </c>
      <c r="E1052" t="s">
        <v>73</v>
      </c>
      <c r="F1052" t="s">
        <v>2918</v>
      </c>
      <c r="G1052" t="s">
        <v>73</v>
      </c>
      <c r="H1052">
        <v>36</v>
      </c>
      <c r="I1052">
        <v>577</v>
      </c>
      <c r="J1052">
        <v>61119</v>
      </c>
      <c r="K1052" t="s">
        <v>2921</v>
      </c>
      <c r="L1052">
        <f t="shared" si="66"/>
        <v>50</v>
      </c>
      <c r="N1052">
        <v>50</v>
      </c>
      <c r="O1052">
        <v>5</v>
      </c>
      <c r="P1052">
        <v>0.1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1</v>
      </c>
      <c r="X1052">
        <v>2</v>
      </c>
      <c r="Y1052">
        <v>9</v>
      </c>
      <c r="Z1052">
        <v>0</v>
      </c>
      <c r="AA1052">
        <v>6</v>
      </c>
      <c r="AB1052">
        <v>3</v>
      </c>
      <c r="AC1052">
        <v>5</v>
      </c>
      <c r="AD1052">
        <v>0</v>
      </c>
      <c r="AE1052">
        <v>10</v>
      </c>
      <c r="AF1052">
        <v>12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</v>
      </c>
      <c r="AW1052">
        <v>0</v>
      </c>
      <c r="AX1052">
        <v>0</v>
      </c>
      <c r="AY1052">
        <v>3</v>
      </c>
      <c r="AZ1052">
        <v>0</v>
      </c>
      <c r="BA1052">
        <v>0</v>
      </c>
      <c r="BB1052">
        <v>0</v>
      </c>
      <c r="BC1052" s="2">
        <v>0</v>
      </c>
      <c r="BD1052" s="2">
        <v>0</v>
      </c>
      <c r="BE1052" s="2">
        <v>0.5</v>
      </c>
      <c r="BF1052" s="2">
        <v>0.5</v>
      </c>
      <c r="BG1052" s="2">
        <v>0</v>
      </c>
      <c r="BH1052" s="2">
        <v>0</v>
      </c>
      <c r="BI1052" s="2">
        <v>0.5</v>
      </c>
      <c r="BJ1052" s="2">
        <v>1</v>
      </c>
      <c r="BK1052" s="2">
        <v>0</v>
      </c>
      <c r="BL1052" s="2">
        <v>0</v>
      </c>
      <c r="BM1052" s="2">
        <v>0</v>
      </c>
      <c r="BN1052" s="2">
        <v>1.5</v>
      </c>
      <c r="BO1052" s="2">
        <v>5</v>
      </c>
      <c r="BP1052" s="2">
        <v>0</v>
      </c>
      <c r="BQ1052" s="2">
        <v>5</v>
      </c>
      <c r="BR1052" s="2">
        <v>9.75</v>
      </c>
      <c r="BS1052" s="2">
        <v>0</v>
      </c>
      <c r="BT1052" s="2">
        <v>0</v>
      </c>
      <c r="BU1052" s="2">
        <v>0</v>
      </c>
      <c r="BV1052" s="2">
        <f t="shared" si="69"/>
        <v>23.75</v>
      </c>
      <c r="BW1052" s="16">
        <f t="shared" si="67"/>
        <v>1.25</v>
      </c>
      <c r="BX1052" s="16">
        <f>COUNTIF($BC$6:BU1052, "=0") / COUNTIF($BC$6:BU1052, "&gt;-1")</f>
        <v>0.28527622781883072</v>
      </c>
      <c r="BY1052" s="18">
        <f>SUM($BC$6:BU1052) / $BY$4</f>
        <v>0.94679418014128647</v>
      </c>
      <c r="BZ1052" s="14">
        <f t="shared" si="68"/>
        <v>11</v>
      </c>
      <c r="CA1052" t="s">
        <v>5832</v>
      </c>
      <c r="CZ1052" t="s">
        <v>9777</v>
      </c>
      <c r="DA1052" t="s">
        <v>5904</v>
      </c>
      <c r="DB1052">
        <v>828.5</v>
      </c>
      <c r="DC1052" t="s">
        <v>25504</v>
      </c>
      <c r="DD1052" t="s">
        <v>25505</v>
      </c>
      <c r="DE1052" t="s">
        <v>25506</v>
      </c>
      <c r="DF1052" t="s">
        <v>25507</v>
      </c>
      <c r="DG1052" t="s">
        <v>25508</v>
      </c>
      <c r="DH1052" t="str">
        <f>"BAG3"</f>
        <v>BAG3</v>
      </c>
      <c r="DI1052" t="s">
        <v>25509</v>
      </c>
      <c r="DJ1052" t="s">
        <v>13777</v>
      </c>
      <c r="DK1052">
        <v>9606</v>
      </c>
      <c r="DL1052" s="34" t="str">
        <f>HYPERLINK("http://www.uniprot.org/uniprot/O95817", "O95817")</f>
        <v>O95817</v>
      </c>
      <c r="DM1052" t="s">
        <v>25510</v>
      </c>
      <c r="DN1052" t="s">
        <v>17109</v>
      </c>
      <c r="DO1052" t="s">
        <v>13912</v>
      </c>
      <c r="DP1052" t="s">
        <v>13793</v>
      </c>
      <c r="DQ1052" t="s">
        <v>13772</v>
      </c>
      <c r="DR1052" t="s">
        <v>17082</v>
      </c>
      <c r="DS1052" t="s">
        <v>14096</v>
      </c>
      <c r="DT1052" t="s">
        <v>13772</v>
      </c>
      <c r="DU1052" t="s">
        <v>14477</v>
      </c>
      <c r="DV1052" t="s">
        <v>14663</v>
      </c>
      <c r="DW1052" t="s">
        <v>13772</v>
      </c>
      <c r="DX1052" t="s">
        <v>25511</v>
      </c>
      <c r="DY1052" t="s">
        <v>25512</v>
      </c>
      <c r="DZ1052" t="s">
        <v>25513</v>
      </c>
      <c r="EA1052" t="s">
        <v>13772</v>
      </c>
      <c r="EB1052" t="s">
        <v>23859</v>
      </c>
    </row>
    <row r="1053" spans="1:132" hidden="1">
      <c r="A1053">
        <v>197</v>
      </c>
      <c r="B1053">
        <v>1</v>
      </c>
      <c r="C1053" t="s">
        <v>497</v>
      </c>
      <c r="D1053" t="s">
        <v>73</v>
      </c>
      <c r="E1053" t="s">
        <v>73</v>
      </c>
      <c r="F1053" t="s">
        <v>498</v>
      </c>
      <c r="G1053" t="s">
        <v>73</v>
      </c>
      <c r="H1053">
        <v>67.5</v>
      </c>
      <c r="I1053">
        <v>114</v>
      </c>
      <c r="J1053">
        <v>11574</v>
      </c>
      <c r="K1053" t="s">
        <v>499</v>
      </c>
      <c r="L1053">
        <f t="shared" si="66"/>
        <v>28</v>
      </c>
      <c r="N1053">
        <v>28</v>
      </c>
      <c r="O1053">
        <v>22</v>
      </c>
      <c r="P1053">
        <v>0.78600000000000003</v>
      </c>
      <c r="Q1053">
        <v>0</v>
      </c>
      <c r="R1053">
        <v>0</v>
      </c>
      <c r="S1053">
        <v>3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3</v>
      </c>
      <c r="Z1053">
        <v>0</v>
      </c>
      <c r="AA1053">
        <v>6</v>
      </c>
      <c r="AB1053">
        <v>4</v>
      </c>
      <c r="AC1053">
        <v>2</v>
      </c>
      <c r="AD1053">
        <v>0</v>
      </c>
      <c r="AE1053">
        <v>2</v>
      </c>
      <c r="AF1053">
        <v>5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3</v>
      </c>
      <c r="AM1053">
        <v>2</v>
      </c>
      <c r="AN1053">
        <v>0</v>
      </c>
      <c r="AO1053">
        <v>0</v>
      </c>
      <c r="AP1053">
        <v>0</v>
      </c>
      <c r="AQ1053">
        <v>0</v>
      </c>
      <c r="AR1053">
        <v>2</v>
      </c>
      <c r="AS1053">
        <v>0</v>
      </c>
      <c r="AT1053">
        <v>4</v>
      </c>
      <c r="AU1053">
        <v>3</v>
      </c>
      <c r="AV1053">
        <v>2</v>
      </c>
      <c r="AW1053">
        <v>0</v>
      </c>
      <c r="AX1053">
        <v>2</v>
      </c>
      <c r="AY1053">
        <v>3</v>
      </c>
      <c r="AZ1053">
        <v>1</v>
      </c>
      <c r="BA1053">
        <v>0</v>
      </c>
      <c r="BB1053">
        <v>0</v>
      </c>
      <c r="BC1053" s="2">
        <v>0</v>
      </c>
      <c r="BD1053" s="2">
        <v>0</v>
      </c>
      <c r="BE1053" s="2">
        <v>3</v>
      </c>
      <c r="BF1053" s="2">
        <v>2</v>
      </c>
      <c r="BG1053" s="2">
        <v>0</v>
      </c>
      <c r="BH1053" s="2">
        <v>0</v>
      </c>
      <c r="BI1053" s="2">
        <v>0</v>
      </c>
      <c r="BJ1053" s="2">
        <v>0</v>
      </c>
      <c r="BK1053" s="2">
        <v>2.3330000000000002</v>
      </c>
      <c r="BL1053" s="2">
        <v>0</v>
      </c>
      <c r="BM1053" s="2">
        <v>4.5709999999999997</v>
      </c>
      <c r="BN1053" s="2">
        <v>3.3330000000000002</v>
      </c>
      <c r="BO1053" s="2">
        <v>2</v>
      </c>
      <c r="BP1053" s="2">
        <v>0</v>
      </c>
      <c r="BQ1053" s="2">
        <v>2</v>
      </c>
      <c r="BR1053" s="2">
        <v>3.5</v>
      </c>
      <c r="BS1053" s="2">
        <v>1</v>
      </c>
      <c r="BT1053" s="2">
        <v>0</v>
      </c>
      <c r="BU1053" s="2">
        <v>0</v>
      </c>
      <c r="BV1053" s="2">
        <f t="shared" si="69"/>
        <v>23.737000000000002</v>
      </c>
      <c r="BW1053" s="16">
        <f t="shared" si="67"/>
        <v>1.2493157894736844</v>
      </c>
      <c r="BX1053" s="16">
        <f>COUNTIF($BC$6:BU1053, "=0") / COUNTIF($BC$6:BU1053, "&gt;-1")</f>
        <v>0.28550622740056247</v>
      </c>
      <c r="BY1053" s="18">
        <f>SUM($BC$6:BU1053) / $BY$4</f>
        <v>0.94689586082963884</v>
      </c>
      <c r="BZ1053" s="14">
        <f t="shared" si="68"/>
        <v>10</v>
      </c>
      <c r="CA1053" t="s">
        <v>5832</v>
      </c>
      <c r="CZ1053" t="s">
        <v>6377</v>
      </c>
      <c r="DA1053" t="s">
        <v>5904</v>
      </c>
      <c r="DB1053">
        <v>222.2</v>
      </c>
      <c r="DC1053" t="s">
        <v>15423</v>
      </c>
      <c r="DD1053" t="s">
        <v>15424</v>
      </c>
      <c r="DE1053" t="s">
        <v>15425</v>
      </c>
      <c r="DF1053" t="s">
        <v>15426</v>
      </c>
      <c r="DG1053" t="s">
        <v>15427</v>
      </c>
      <c r="DH1053" t="str">
        <f>"RPLP1"</f>
        <v>RPLP1</v>
      </c>
      <c r="DI1053" t="s">
        <v>15428</v>
      </c>
      <c r="DJ1053" t="s">
        <v>13777</v>
      </c>
      <c r="DK1053">
        <v>9606</v>
      </c>
      <c r="DL1053" s="34" t="str">
        <f>HYPERLINK("http://www.uniprot.org/uniprot/P05386", "P05386")</f>
        <v>P05386</v>
      </c>
      <c r="DM1053" t="s">
        <v>15429</v>
      </c>
      <c r="DN1053" t="s">
        <v>13772</v>
      </c>
      <c r="DO1053" t="s">
        <v>13772</v>
      </c>
      <c r="DP1053" t="s">
        <v>13841</v>
      </c>
      <c r="DQ1053" t="s">
        <v>13772</v>
      </c>
      <c r="DR1053" t="s">
        <v>13772</v>
      </c>
      <c r="DS1053" t="s">
        <v>13772</v>
      </c>
      <c r="DT1053" t="s">
        <v>13772</v>
      </c>
      <c r="DU1053" t="s">
        <v>13937</v>
      </c>
      <c r="DV1053" t="s">
        <v>13886</v>
      </c>
      <c r="DW1053" t="s">
        <v>13812</v>
      </c>
      <c r="DX1053" t="s">
        <v>15430</v>
      </c>
      <c r="DY1053" t="s">
        <v>15431</v>
      </c>
      <c r="DZ1053" t="s">
        <v>15432</v>
      </c>
      <c r="EA1053" t="s">
        <v>13772</v>
      </c>
      <c r="EB1053" t="s">
        <v>13942</v>
      </c>
    </row>
    <row r="1054" spans="1:132" hidden="1">
      <c r="A1054">
        <v>204</v>
      </c>
      <c r="B1054">
        <v>1</v>
      </c>
      <c r="C1054" t="s">
        <v>514</v>
      </c>
      <c r="D1054" t="s">
        <v>73</v>
      </c>
      <c r="E1054" t="s">
        <v>73</v>
      </c>
      <c r="F1054" t="s">
        <v>515</v>
      </c>
      <c r="G1054" t="s">
        <v>73</v>
      </c>
      <c r="H1054">
        <v>40.799999999999997</v>
      </c>
      <c r="I1054">
        <v>417</v>
      </c>
      <c r="J1054">
        <v>47002</v>
      </c>
      <c r="K1054" t="s">
        <v>516</v>
      </c>
      <c r="L1054">
        <f t="shared" si="66"/>
        <v>24</v>
      </c>
      <c r="N1054">
        <v>24</v>
      </c>
      <c r="O1054">
        <v>21</v>
      </c>
      <c r="P1054">
        <v>0.875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4</v>
      </c>
      <c r="AC1054">
        <v>0</v>
      </c>
      <c r="AD1054">
        <v>0</v>
      </c>
      <c r="AE1054">
        <v>0</v>
      </c>
      <c r="AF1054">
        <v>0</v>
      </c>
      <c r="AG1054">
        <v>20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3</v>
      </c>
      <c r="AV1054">
        <v>0</v>
      </c>
      <c r="AW1054">
        <v>0</v>
      </c>
      <c r="AX1054">
        <v>0</v>
      </c>
      <c r="AY1054">
        <v>0</v>
      </c>
      <c r="AZ1054">
        <v>18</v>
      </c>
      <c r="BA1054">
        <v>0</v>
      </c>
      <c r="BB1054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3.4289999999999998</v>
      </c>
      <c r="BO1054" s="2">
        <v>0</v>
      </c>
      <c r="BP1054" s="2">
        <v>0</v>
      </c>
      <c r="BQ1054" s="2">
        <v>0</v>
      </c>
      <c r="BR1054" s="2">
        <v>0</v>
      </c>
      <c r="BS1054" s="2">
        <v>20</v>
      </c>
      <c r="BT1054" s="2">
        <v>0</v>
      </c>
      <c r="BU1054" s="2">
        <v>0</v>
      </c>
      <c r="BV1054" s="2">
        <f t="shared" si="69"/>
        <v>23.428999999999998</v>
      </c>
      <c r="BW1054" s="16">
        <f t="shared" si="67"/>
        <v>1.2331052631578947</v>
      </c>
      <c r="BX1054" s="16">
        <f>COUNTIF($BC$6:BU1054, "=0") / COUNTIF($BC$6:BU1054, "&gt;-1")</f>
        <v>0.2860870001505193</v>
      </c>
      <c r="BY1054" s="18">
        <f>SUM($BC$6:BU1054) / $BY$4</f>
        <v>0.94699622215783563</v>
      </c>
      <c r="BZ1054" s="14">
        <f t="shared" si="68"/>
        <v>17</v>
      </c>
      <c r="CA1054" t="s">
        <v>5832</v>
      </c>
      <c r="CZ1054" t="s">
        <v>6400</v>
      </c>
      <c r="DA1054" t="s">
        <v>5904</v>
      </c>
      <c r="DB1054">
        <v>845.5</v>
      </c>
      <c r="DC1054" t="s">
        <v>15500</v>
      </c>
      <c r="DD1054" t="s">
        <v>15501</v>
      </c>
      <c r="DE1054" t="s">
        <v>15502</v>
      </c>
      <c r="DF1054" t="s">
        <v>15503</v>
      </c>
      <c r="DG1054" t="s">
        <v>15504</v>
      </c>
      <c r="DH1054" t="str">
        <f>"CKMT1A"</f>
        <v>CKMT1A</v>
      </c>
      <c r="DI1054" t="s">
        <v>15505</v>
      </c>
      <c r="DJ1054" t="s">
        <v>13777</v>
      </c>
      <c r="DK1054">
        <v>9606</v>
      </c>
      <c r="DL1054" s="34" t="str">
        <f>HYPERLINK("http://www.uniprot.org/uniprot/P12532", "P12532")</f>
        <v>P12532</v>
      </c>
      <c r="DM1054" t="s">
        <v>15506</v>
      </c>
      <c r="DN1054" t="s">
        <v>13772</v>
      </c>
      <c r="DO1054" t="s">
        <v>15507</v>
      </c>
      <c r="DP1054" t="s">
        <v>13841</v>
      </c>
      <c r="DQ1054" t="s">
        <v>13772</v>
      </c>
      <c r="DR1054" t="s">
        <v>13772</v>
      </c>
      <c r="DS1054" t="s">
        <v>14391</v>
      </c>
      <c r="DT1054" t="s">
        <v>14005</v>
      </c>
      <c r="DU1054" t="s">
        <v>14006</v>
      </c>
      <c r="DV1054" t="s">
        <v>13782</v>
      </c>
      <c r="DW1054" t="s">
        <v>13812</v>
      </c>
      <c r="DX1054" t="s">
        <v>15508</v>
      </c>
      <c r="DY1054" t="s">
        <v>15509</v>
      </c>
      <c r="DZ1054" t="s">
        <v>15510</v>
      </c>
      <c r="EA1054" t="s">
        <v>13772</v>
      </c>
      <c r="EB1054" t="s">
        <v>15511</v>
      </c>
    </row>
    <row r="1055" spans="1:132" hidden="1">
      <c r="A1055">
        <v>2179</v>
      </c>
      <c r="B1055">
        <v>1</v>
      </c>
      <c r="C1055" t="s">
        <v>5098</v>
      </c>
      <c r="D1055" t="s">
        <v>73</v>
      </c>
      <c r="E1055" t="s">
        <v>73</v>
      </c>
      <c r="F1055" t="s">
        <v>3548</v>
      </c>
      <c r="G1055" t="s">
        <v>73</v>
      </c>
      <c r="H1055">
        <v>55.8</v>
      </c>
      <c r="I1055">
        <v>147</v>
      </c>
      <c r="J1055">
        <v>16495</v>
      </c>
      <c r="K1055" t="s">
        <v>5099</v>
      </c>
      <c r="L1055">
        <f t="shared" si="66"/>
        <v>30</v>
      </c>
      <c r="N1055">
        <v>30</v>
      </c>
      <c r="O1055">
        <v>17</v>
      </c>
      <c r="P1055">
        <v>0.56699999999999995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2</v>
      </c>
      <c r="Z1055">
        <v>0</v>
      </c>
      <c r="AA1055">
        <v>7</v>
      </c>
      <c r="AB1055">
        <v>1</v>
      </c>
      <c r="AC1055">
        <v>4</v>
      </c>
      <c r="AD1055">
        <v>0</v>
      </c>
      <c r="AE1055">
        <v>7</v>
      </c>
      <c r="AF1055">
        <v>4</v>
      </c>
      <c r="AG1055">
        <v>0</v>
      </c>
      <c r="AH1055">
        <v>0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4</v>
      </c>
      <c r="AU1055">
        <v>1</v>
      </c>
      <c r="AV1055">
        <v>2</v>
      </c>
      <c r="AW1055">
        <v>0</v>
      </c>
      <c r="AX1055">
        <v>5</v>
      </c>
      <c r="AY1055">
        <v>2</v>
      </c>
      <c r="AZ1055">
        <v>0</v>
      </c>
      <c r="BA1055">
        <v>0</v>
      </c>
      <c r="BB1055">
        <v>0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0.5</v>
      </c>
      <c r="BI1055" s="2">
        <v>0</v>
      </c>
      <c r="BJ1055" s="2">
        <v>0.5</v>
      </c>
      <c r="BK1055" s="2">
        <v>1.167</v>
      </c>
      <c r="BL1055" s="2">
        <v>0</v>
      </c>
      <c r="BM1055" s="2">
        <v>5.5</v>
      </c>
      <c r="BN1055" s="2">
        <v>1</v>
      </c>
      <c r="BO1055" s="2">
        <v>3</v>
      </c>
      <c r="BP1055" s="2">
        <v>0</v>
      </c>
      <c r="BQ1055" s="2">
        <v>6</v>
      </c>
      <c r="BR1055" s="2">
        <v>3</v>
      </c>
      <c r="BS1055" s="2">
        <v>0</v>
      </c>
      <c r="BT1055" s="2">
        <v>0</v>
      </c>
      <c r="BU1055" s="2">
        <v>0.5</v>
      </c>
      <c r="BV1055" s="2">
        <f t="shared" si="69"/>
        <v>23.167000000000002</v>
      </c>
      <c r="BW1055" s="16">
        <f t="shared" si="67"/>
        <v>1.2193157894736844</v>
      </c>
      <c r="BX1055" s="16">
        <f>COUNTIF($BC$6:BU1055, "=0") / COUNTIF($BC$6:BU1055, "&gt;-1")</f>
        <v>0.28621553884711781</v>
      </c>
      <c r="BY1055" s="18">
        <f>SUM($BC$6:BU1055) / $BY$4</f>
        <v>0.94709546117317278</v>
      </c>
      <c r="BZ1055" s="14">
        <f t="shared" si="68"/>
        <v>8</v>
      </c>
      <c r="CA1055" t="s">
        <v>5832</v>
      </c>
      <c r="CZ1055" t="s">
        <v>13009</v>
      </c>
      <c r="DA1055" t="s">
        <v>5904</v>
      </c>
      <c r="DB1055">
        <v>303.89999999999998</v>
      </c>
      <c r="DC1055" t="s">
        <v>34585</v>
      </c>
      <c r="DD1055" t="s">
        <v>34586</v>
      </c>
      <c r="DE1055" t="s">
        <v>34587</v>
      </c>
      <c r="DF1055" t="s">
        <v>34588</v>
      </c>
      <c r="DG1055" t="s">
        <v>34589</v>
      </c>
      <c r="DH1055" t="str">
        <f>"UBE2V1"</f>
        <v>UBE2V1</v>
      </c>
      <c r="DI1055" t="s">
        <v>34590</v>
      </c>
      <c r="DJ1055" t="s">
        <v>13777</v>
      </c>
      <c r="DK1055">
        <v>9606</v>
      </c>
      <c r="DL1055" s="34" t="str">
        <f>HYPERLINK("http://www.uniprot.org/uniprot/Q13404", "Q13404")</f>
        <v>Q13404</v>
      </c>
      <c r="DM1055" t="s">
        <v>34591</v>
      </c>
      <c r="DN1055" t="s">
        <v>14109</v>
      </c>
      <c r="DO1055" t="s">
        <v>14825</v>
      </c>
      <c r="DP1055" t="s">
        <v>13841</v>
      </c>
      <c r="DQ1055" t="s">
        <v>13772</v>
      </c>
      <c r="DR1055" t="s">
        <v>13772</v>
      </c>
      <c r="DS1055" t="s">
        <v>13772</v>
      </c>
      <c r="DT1055" t="s">
        <v>13772</v>
      </c>
      <c r="DU1055" t="s">
        <v>13772</v>
      </c>
      <c r="DV1055" t="s">
        <v>14020</v>
      </c>
      <c r="DW1055" t="s">
        <v>13812</v>
      </c>
      <c r="DX1055" t="s">
        <v>34592</v>
      </c>
      <c r="DY1055" t="s">
        <v>34593</v>
      </c>
      <c r="DZ1055" t="s">
        <v>28133</v>
      </c>
      <c r="EA1055" t="s">
        <v>13772</v>
      </c>
      <c r="EB1055" t="s">
        <v>34594</v>
      </c>
    </row>
    <row r="1056" spans="1:132" hidden="1">
      <c r="A1056">
        <v>74</v>
      </c>
      <c r="B1056">
        <v>1</v>
      </c>
      <c r="C1056" t="s">
        <v>206</v>
      </c>
      <c r="D1056" t="s">
        <v>73</v>
      </c>
      <c r="E1056" t="s">
        <v>73</v>
      </c>
      <c r="F1056" t="s">
        <v>73</v>
      </c>
      <c r="G1056" t="s">
        <v>73</v>
      </c>
      <c r="H1056">
        <v>27.1</v>
      </c>
      <c r="I1056">
        <v>166</v>
      </c>
      <c r="J1056">
        <v>19416</v>
      </c>
      <c r="K1056" t="s">
        <v>207</v>
      </c>
      <c r="L1056">
        <f t="shared" si="66"/>
        <v>23</v>
      </c>
      <c r="N1056">
        <v>23</v>
      </c>
      <c r="O1056">
        <v>23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2</v>
      </c>
      <c r="V1056">
        <v>3</v>
      </c>
      <c r="W1056">
        <v>5</v>
      </c>
      <c r="X1056">
        <v>3</v>
      </c>
      <c r="Y1056">
        <v>0</v>
      </c>
      <c r="Z1056">
        <v>0</v>
      </c>
      <c r="AA1056">
        <v>3</v>
      </c>
      <c r="AB1056">
        <v>1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2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2</v>
      </c>
      <c r="AO1056">
        <v>3</v>
      </c>
      <c r="AP1056">
        <v>5</v>
      </c>
      <c r="AQ1056">
        <v>3</v>
      </c>
      <c r="AR1056">
        <v>0</v>
      </c>
      <c r="AS1056">
        <v>0</v>
      </c>
      <c r="AT1056">
        <v>3</v>
      </c>
      <c r="AU1056">
        <v>1</v>
      </c>
      <c r="AV1056">
        <v>0</v>
      </c>
      <c r="AW1056">
        <v>0</v>
      </c>
      <c r="AX1056">
        <v>1</v>
      </c>
      <c r="AY1056">
        <v>1</v>
      </c>
      <c r="AZ1056">
        <v>0</v>
      </c>
      <c r="BA1056">
        <v>2</v>
      </c>
      <c r="BB1056">
        <v>0</v>
      </c>
      <c r="BC1056" s="2">
        <v>1</v>
      </c>
      <c r="BD1056" s="2">
        <v>0</v>
      </c>
      <c r="BE1056" s="2">
        <v>1</v>
      </c>
      <c r="BF1056" s="2">
        <v>0</v>
      </c>
      <c r="BG1056" s="2">
        <v>2</v>
      </c>
      <c r="BH1056" s="2">
        <v>3</v>
      </c>
      <c r="BI1056" s="2">
        <v>5</v>
      </c>
      <c r="BJ1056" s="2">
        <v>3</v>
      </c>
      <c r="BK1056" s="2">
        <v>0</v>
      </c>
      <c r="BL1056" s="2">
        <v>0</v>
      </c>
      <c r="BM1056" s="2">
        <v>3</v>
      </c>
      <c r="BN1056" s="2">
        <v>1</v>
      </c>
      <c r="BO1056" s="2">
        <v>0</v>
      </c>
      <c r="BP1056" s="2">
        <v>0</v>
      </c>
      <c r="BQ1056" s="2">
        <v>1</v>
      </c>
      <c r="BR1056" s="2">
        <v>1</v>
      </c>
      <c r="BS1056" s="2">
        <v>0</v>
      </c>
      <c r="BT1056" s="2">
        <v>2</v>
      </c>
      <c r="BU1056" s="2">
        <v>0</v>
      </c>
      <c r="BV1056" s="2">
        <f t="shared" si="69"/>
        <v>23</v>
      </c>
      <c r="BW1056" s="16">
        <f t="shared" si="67"/>
        <v>1.2105263157894737</v>
      </c>
      <c r="BX1056" s="16">
        <f>COUNTIF($BC$6:BU1056, "=0") / COUNTIF($BC$6:BU1056, "&gt;-1")</f>
        <v>0.28634383294105864</v>
      </c>
      <c r="BY1056" s="18">
        <f>SUM($BC$6:BU1056) / $BY$4</f>
        <v>0.94719398482115291</v>
      </c>
      <c r="BZ1056" s="14">
        <f t="shared" si="68"/>
        <v>8</v>
      </c>
      <c r="CA1056" t="s">
        <v>5832</v>
      </c>
      <c r="CZ1056" t="s">
        <v>5959</v>
      </c>
      <c r="DA1056" t="s">
        <v>5904</v>
      </c>
      <c r="DB1056">
        <v>334.7</v>
      </c>
      <c r="DC1056" t="s">
        <v>14012</v>
      </c>
      <c r="DD1056" t="s">
        <v>14013</v>
      </c>
      <c r="DE1056" t="s">
        <v>14014</v>
      </c>
      <c r="DF1056" t="s">
        <v>14015</v>
      </c>
      <c r="DG1056" t="s">
        <v>14016</v>
      </c>
      <c r="DH1056" t="str">
        <f>"ZBTB8OS"</f>
        <v>ZBTB8OS</v>
      </c>
      <c r="DI1056" t="s">
        <v>14017</v>
      </c>
      <c r="DJ1056" t="s">
        <v>13777</v>
      </c>
      <c r="DK1056">
        <v>9606</v>
      </c>
      <c r="DL1056" s="34" t="str">
        <f>HYPERLINK("http://www.uniprot.org/uniprot/Q8IWT0", "Q8IWT0")</f>
        <v>Q8IWT0</v>
      </c>
      <c r="DM1056" t="s">
        <v>14018</v>
      </c>
      <c r="DN1056" t="s">
        <v>14019</v>
      </c>
      <c r="DO1056" t="s">
        <v>13772</v>
      </c>
      <c r="DP1056" t="s">
        <v>13841</v>
      </c>
      <c r="DQ1056" t="s">
        <v>13772</v>
      </c>
      <c r="DR1056" t="s">
        <v>13772</v>
      </c>
      <c r="DS1056" t="s">
        <v>13772</v>
      </c>
      <c r="DT1056" t="s">
        <v>13873</v>
      </c>
      <c r="DU1056" t="s">
        <v>13772</v>
      </c>
      <c r="DV1056" t="s">
        <v>14020</v>
      </c>
      <c r="DW1056" t="s">
        <v>13772</v>
      </c>
      <c r="DX1056" t="s">
        <v>14021</v>
      </c>
      <c r="DY1056" t="s">
        <v>14022</v>
      </c>
      <c r="DZ1056" t="s">
        <v>14023</v>
      </c>
      <c r="EA1056" t="s">
        <v>13772</v>
      </c>
      <c r="EB1056" t="s">
        <v>14024</v>
      </c>
    </row>
    <row r="1057" spans="1:132" hidden="1">
      <c r="A1057">
        <v>94</v>
      </c>
      <c r="B1057">
        <v>1</v>
      </c>
      <c r="C1057" t="s">
        <v>257</v>
      </c>
      <c r="D1057" t="s">
        <v>73</v>
      </c>
      <c r="E1057" t="s">
        <v>73</v>
      </c>
      <c r="F1057" t="s">
        <v>73</v>
      </c>
      <c r="G1057" t="s">
        <v>73</v>
      </c>
      <c r="H1057">
        <v>31.6</v>
      </c>
      <c r="I1057">
        <v>272</v>
      </c>
      <c r="J1057">
        <v>29760</v>
      </c>
      <c r="K1057" t="s">
        <v>258</v>
      </c>
      <c r="L1057">
        <f t="shared" si="66"/>
        <v>23</v>
      </c>
      <c r="N1057">
        <v>23</v>
      </c>
      <c r="O1057">
        <v>23</v>
      </c>
      <c r="P1057">
        <v>1</v>
      </c>
      <c r="Q1057">
        <v>0</v>
      </c>
      <c r="R1057">
        <v>2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10</v>
      </c>
      <c r="AB1057">
        <v>7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</v>
      </c>
      <c r="AL1057">
        <v>0</v>
      </c>
      <c r="AM1057">
        <v>1</v>
      </c>
      <c r="AN1057">
        <v>1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10</v>
      </c>
      <c r="AU1057">
        <v>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 s="2">
        <v>0</v>
      </c>
      <c r="BD1057" s="2">
        <v>2</v>
      </c>
      <c r="BE1057" s="2">
        <v>0</v>
      </c>
      <c r="BF1057" s="2">
        <v>1</v>
      </c>
      <c r="BG1057" s="2">
        <v>1</v>
      </c>
      <c r="BH1057" s="2">
        <v>1</v>
      </c>
      <c r="BI1057" s="2">
        <v>1</v>
      </c>
      <c r="BJ1057" s="2">
        <v>0</v>
      </c>
      <c r="BK1057" s="2">
        <v>0</v>
      </c>
      <c r="BL1057" s="2">
        <v>0</v>
      </c>
      <c r="BM1057" s="2">
        <v>10</v>
      </c>
      <c r="BN1057" s="2">
        <v>7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f t="shared" si="69"/>
        <v>23</v>
      </c>
      <c r="BW1057" s="16">
        <f t="shared" si="67"/>
        <v>1.2105263157894737</v>
      </c>
      <c r="BX1057" s="16">
        <f>COUNTIF($BC$6:BU1057, "=0") / COUNTIF($BC$6:BU1057, "&gt;-1")</f>
        <v>0.28667200320192116</v>
      </c>
      <c r="BY1057" s="18">
        <f>SUM($BC$6:BU1057) / $BY$4</f>
        <v>0.94729250846913304</v>
      </c>
      <c r="BZ1057" s="14">
        <f t="shared" si="68"/>
        <v>12</v>
      </c>
      <c r="CA1057" t="s">
        <v>5832</v>
      </c>
      <c r="CZ1057" t="s">
        <v>6022</v>
      </c>
      <c r="DA1057" t="s">
        <v>5904</v>
      </c>
      <c r="DB1057">
        <v>544.70000000000005</v>
      </c>
      <c r="DC1057" t="s">
        <v>14237</v>
      </c>
      <c r="DD1057" t="s">
        <v>13772</v>
      </c>
      <c r="DE1057" t="s">
        <v>14238</v>
      </c>
      <c r="DF1057" t="s">
        <v>14239</v>
      </c>
      <c r="DG1057" t="s">
        <v>14240</v>
      </c>
      <c r="DH1057" t="str">
        <f>"PHB"</f>
        <v>PHB</v>
      </c>
      <c r="DI1057" t="s">
        <v>13772</v>
      </c>
      <c r="DJ1057" t="s">
        <v>13777</v>
      </c>
      <c r="DK1057">
        <v>9606</v>
      </c>
      <c r="DL1057" s="34" t="str">
        <f>HYPERLINK("http://www.uniprot.org/uniprot/P35232", "P35232")</f>
        <v>P35232</v>
      </c>
      <c r="DM1057" t="s">
        <v>14241</v>
      </c>
      <c r="DN1057" t="s">
        <v>14242</v>
      </c>
      <c r="DO1057" t="s">
        <v>14243</v>
      </c>
      <c r="DP1057" t="s">
        <v>13780</v>
      </c>
      <c r="DQ1057" t="s">
        <v>13772</v>
      </c>
      <c r="DR1057" t="s">
        <v>14244</v>
      </c>
      <c r="DS1057" t="s">
        <v>14245</v>
      </c>
      <c r="DT1057" t="s">
        <v>13772</v>
      </c>
      <c r="DU1057" t="s">
        <v>13772</v>
      </c>
      <c r="DV1057" t="s">
        <v>13886</v>
      </c>
      <c r="DW1057" t="s">
        <v>13812</v>
      </c>
      <c r="DX1057" t="s">
        <v>14246</v>
      </c>
      <c r="DY1057" t="s">
        <v>14247</v>
      </c>
      <c r="DZ1057" t="s">
        <v>14248</v>
      </c>
      <c r="EA1057" t="s">
        <v>13772</v>
      </c>
      <c r="EB1057" t="s">
        <v>14249</v>
      </c>
    </row>
    <row r="1058" spans="1:132" hidden="1">
      <c r="A1058">
        <v>226</v>
      </c>
      <c r="B1058">
        <v>1</v>
      </c>
      <c r="C1058" t="s">
        <v>574</v>
      </c>
      <c r="D1058" t="s">
        <v>73</v>
      </c>
      <c r="E1058" t="s">
        <v>73</v>
      </c>
      <c r="F1058" t="s">
        <v>73</v>
      </c>
      <c r="G1058" t="s">
        <v>73</v>
      </c>
      <c r="H1058">
        <v>26.3</v>
      </c>
      <c r="I1058">
        <v>152</v>
      </c>
      <c r="J1058">
        <v>15393</v>
      </c>
      <c r="K1058" t="s">
        <v>575</v>
      </c>
      <c r="L1058">
        <f t="shared" si="66"/>
        <v>23</v>
      </c>
      <c r="N1058">
        <v>23</v>
      </c>
      <c r="O1058">
        <v>23</v>
      </c>
      <c r="P1058">
        <v>1</v>
      </c>
      <c r="Q1058">
        <v>2</v>
      </c>
      <c r="R1058">
        <v>3</v>
      </c>
      <c r="S1058">
        <v>3</v>
      </c>
      <c r="T1058">
        <v>4</v>
      </c>
      <c r="U1058">
        <v>2</v>
      </c>
      <c r="V1058">
        <v>4</v>
      </c>
      <c r="W1058">
        <v>3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2</v>
      </c>
      <c r="AK1058">
        <v>3</v>
      </c>
      <c r="AL1058">
        <v>3</v>
      </c>
      <c r="AM1058">
        <v>4</v>
      </c>
      <c r="AN1058">
        <v>2</v>
      </c>
      <c r="AO1058">
        <v>4</v>
      </c>
      <c r="AP1058">
        <v>3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 s="2">
        <v>2</v>
      </c>
      <c r="BD1058" s="2">
        <v>3</v>
      </c>
      <c r="BE1058" s="2">
        <v>3</v>
      </c>
      <c r="BF1058" s="2">
        <v>4</v>
      </c>
      <c r="BG1058" s="2">
        <v>2</v>
      </c>
      <c r="BH1058" s="2">
        <v>4</v>
      </c>
      <c r="BI1058" s="2">
        <v>3</v>
      </c>
      <c r="BJ1058" s="2">
        <v>1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1</v>
      </c>
      <c r="BU1058" s="2">
        <v>0</v>
      </c>
      <c r="BV1058" s="2">
        <f t="shared" si="69"/>
        <v>23</v>
      </c>
      <c r="BW1058" s="16">
        <f t="shared" si="67"/>
        <v>1.2105263157894737</v>
      </c>
      <c r="BX1058" s="16">
        <f>COUNTIF($BC$6:BU1058, "=0") / COUNTIF($BC$6:BU1058, "&gt;-1")</f>
        <v>0.2868995851451992</v>
      </c>
      <c r="BY1058" s="18">
        <f>SUM($BC$6:BU1058) / $BY$4</f>
        <v>0.94739103211711317</v>
      </c>
      <c r="BZ1058" s="14">
        <f t="shared" si="68"/>
        <v>10</v>
      </c>
      <c r="CA1058" t="s">
        <v>5832</v>
      </c>
      <c r="CZ1058" t="s">
        <v>6479</v>
      </c>
      <c r="DA1058" t="s">
        <v>5904</v>
      </c>
      <c r="DB1058">
        <v>210.3</v>
      </c>
      <c r="DC1058" t="s">
        <v>15744</v>
      </c>
      <c r="DD1058" t="s">
        <v>15745</v>
      </c>
      <c r="DE1058" t="s">
        <v>15746</v>
      </c>
      <c r="DF1058" t="s">
        <v>15747</v>
      </c>
      <c r="DG1058" t="s">
        <v>13772</v>
      </c>
      <c r="DH1058" t="str">
        <f>"INAFM2"</f>
        <v>INAFM2</v>
      </c>
      <c r="DI1058" t="s">
        <v>13772</v>
      </c>
      <c r="DJ1058" t="s">
        <v>13777</v>
      </c>
      <c r="DK1058">
        <v>9606</v>
      </c>
      <c r="DL1058" s="34" t="str">
        <f>HYPERLINK("http://www.uniprot.org/uniprot/P0DMQ5", "P0DMQ5")</f>
        <v>P0DMQ5</v>
      </c>
      <c r="DM1058" t="s">
        <v>15748</v>
      </c>
      <c r="DN1058" t="s">
        <v>13772</v>
      </c>
      <c r="DO1058" t="s">
        <v>13825</v>
      </c>
      <c r="DP1058" t="s">
        <v>13772</v>
      </c>
      <c r="DQ1058" t="s">
        <v>13772</v>
      </c>
      <c r="DR1058" t="s">
        <v>13772</v>
      </c>
      <c r="DS1058" t="s">
        <v>13925</v>
      </c>
      <c r="DT1058" t="s">
        <v>13772</v>
      </c>
      <c r="DU1058" t="s">
        <v>13772</v>
      </c>
      <c r="DV1058" t="s">
        <v>13772</v>
      </c>
      <c r="DW1058" t="s">
        <v>13772</v>
      </c>
      <c r="DX1058" t="s">
        <v>13772</v>
      </c>
      <c r="DY1058" t="s">
        <v>15378</v>
      </c>
      <c r="DZ1058" t="s">
        <v>15749</v>
      </c>
      <c r="EA1058" t="s">
        <v>13772</v>
      </c>
      <c r="EB1058" t="s">
        <v>13772</v>
      </c>
    </row>
    <row r="1059" spans="1:132" hidden="1">
      <c r="A1059">
        <v>401</v>
      </c>
      <c r="B1059">
        <v>1</v>
      </c>
      <c r="C1059" t="s">
        <v>1004</v>
      </c>
      <c r="D1059" t="s">
        <v>1005</v>
      </c>
      <c r="E1059" t="s">
        <v>73</v>
      </c>
      <c r="F1059" t="s">
        <v>73</v>
      </c>
      <c r="G1059" t="s">
        <v>73</v>
      </c>
      <c r="H1059">
        <v>36</v>
      </c>
      <c r="I1059">
        <v>178</v>
      </c>
      <c r="J1059">
        <v>20592</v>
      </c>
      <c r="K1059" t="s">
        <v>1006</v>
      </c>
      <c r="L1059">
        <f t="shared" si="66"/>
        <v>23</v>
      </c>
      <c r="N1059">
        <v>23</v>
      </c>
      <c r="O1059">
        <v>23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10</v>
      </c>
      <c r="Z1059">
        <v>0</v>
      </c>
      <c r="AA1059">
        <v>2</v>
      </c>
      <c r="AB1059">
        <v>1</v>
      </c>
      <c r="AC1059">
        <v>1</v>
      </c>
      <c r="AD1059">
        <v>0</v>
      </c>
      <c r="AE1059">
        <v>5</v>
      </c>
      <c r="AF1059">
        <v>3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10</v>
      </c>
      <c r="AS1059">
        <v>0</v>
      </c>
      <c r="AT1059">
        <v>2</v>
      </c>
      <c r="AU1059">
        <v>1</v>
      </c>
      <c r="AV1059">
        <v>1</v>
      </c>
      <c r="AW1059">
        <v>0</v>
      </c>
      <c r="AX1059">
        <v>5</v>
      </c>
      <c r="AY1059">
        <v>3</v>
      </c>
      <c r="AZ1059">
        <v>0</v>
      </c>
      <c r="BA1059">
        <v>0</v>
      </c>
      <c r="BB1059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10</v>
      </c>
      <c r="BL1059" s="2">
        <v>0</v>
      </c>
      <c r="BM1059" s="2">
        <v>2</v>
      </c>
      <c r="BN1059" s="2">
        <v>1</v>
      </c>
      <c r="BO1059" s="2">
        <v>1</v>
      </c>
      <c r="BP1059" s="2">
        <v>0</v>
      </c>
      <c r="BQ1059" s="2">
        <v>5</v>
      </c>
      <c r="BR1059" s="2">
        <v>3</v>
      </c>
      <c r="BS1059" s="2">
        <v>0</v>
      </c>
      <c r="BT1059" s="2">
        <v>0</v>
      </c>
      <c r="BU1059" s="2">
        <v>0</v>
      </c>
      <c r="BV1059" s="2">
        <f t="shared" si="69"/>
        <v>23</v>
      </c>
      <c r="BW1059" s="16">
        <f t="shared" si="67"/>
        <v>1.2105263157894737</v>
      </c>
      <c r="BX1059" s="16">
        <f>COUNTIF($BC$6:BU1059, "=0") / COUNTIF($BC$6:BU1059, "&gt;-1")</f>
        <v>0.28722660541296313</v>
      </c>
      <c r="BY1059" s="18">
        <f>SUM($BC$6:BU1059) / $BY$4</f>
        <v>0.94748955576509331</v>
      </c>
      <c r="BZ1059" s="14">
        <f t="shared" si="68"/>
        <v>12</v>
      </c>
      <c r="CA1059" t="s">
        <v>5832</v>
      </c>
      <c r="CZ1059" t="s">
        <v>7094</v>
      </c>
      <c r="DA1059" t="s">
        <v>5904</v>
      </c>
      <c r="DB1059">
        <v>305.8</v>
      </c>
      <c r="DC1059" t="s">
        <v>17629</v>
      </c>
      <c r="DD1059" t="s">
        <v>17630</v>
      </c>
      <c r="DE1059" t="s">
        <v>17631</v>
      </c>
      <c r="DF1059" t="s">
        <v>17632</v>
      </c>
      <c r="DG1059" t="s">
        <v>17633</v>
      </c>
      <c r="DH1059" t="str">
        <f>"UBE2L3"</f>
        <v>UBE2L3</v>
      </c>
      <c r="DI1059" t="s">
        <v>17634</v>
      </c>
      <c r="DJ1059" t="s">
        <v>13777</v>
      </c>
      <c r="DK1059">
        <v>9606</v>
      </c>
      <c r="DL1059" s="34" t="str">
        <f>HYPERLINK("http://www.uniprot.org/uniprot/P68036", "P68036")</f>
        <v>P68036</v>
      </c>
      <c r="DM1059" t="s">
        <v>17635</v>
      </c>
      <c r="DN1059" t="s">
        <v>17636</v>
      </c>
      <c r="DO1059" t="s">
        <v>13912</v>
      </c>
      <c r="DP1059" t="s">
        <v>13841</v>
      </c>
      <c r="DQ1059" t="s">
        <v>13772</v>
      </c>
      <c r="DR1059" t="s">
        <v>13772</v>
      </c>
      <c r="DS1059" t="s">
        <v>13772</v>
      </c>
      <c r="DT1059" t="s">
        <v>14005</v>
      </c>
      <c r="DU1059" t="s">
        <v>14111</v>
      </c>
      <c r="DV1059" t="s">
        <v>16949</v>
      </c>
      <c r="DW1059" t="s">
        <v>13812</v>
      </c>
      <c r="DX1059" t="s">
        <v>17637</v>
      </c>
      <c r="DY1059" t="s">
        <v>17638</v>
      </c>
      <c r="DZ1059" t="s">
        <v>17639</v>
      </c>
      <c r="EA1059" t="s">
        <v>14116</v>
      </c>
      <c r="EB1059" t="s">
        <v>17640</v>
      </c>
    </row>
    <row r="1060" spans="1:132" hidden="1">
      <c r="A1060">
        <v>469</v>
      </c>
      <c r="B1060">
        <v>1</v>
      </c>
      <c r="C1060" t="s">
        <v>1176</v>
      </c>
      <c r="D1060" t="s">
        <v>1177</v>
      </c>
      <c r="E1060" t="s">
        <v>73</v>
      </c>
      <c r="F1060" t="s">
        <v>73</v>
      </c>
      <c r="G1060" t="s">
        <v>73</v>
      </c>
      <c r="H1060">
        <v>19.899999999999999</v>
      </c>
      <c r="I1060">
        <v>246</v>
      </c>
      <c r="J1060">
        <v>25847</v>
      </c>
      <c r="K1060" t="s">
        <v>1178</v>
      </c>
      <c r="L1060">
        <f t="shared" si="66"/>
        <v>23</v>
      </c>
      <c r="N1060">
        <v>23</v>
      </c>
      <c r="O1060">
        <v>23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2</v>
      </c>
      <c r="Z1060">
        <v>1</v>
      </c>
      <c r="AA1060">
        <v>3</v>
      </c>
      <c r="AB1060">
        <v>1</v>
      </c>
      <c r="AC1060">
        <v>3</v>
      </c>
      <c r="AD1060">
        <v>4</v>
      </c>
      <c r="AE1060">
        <v>1</v>
      </c>
      <c r="AF1060">
        <v>2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2</v>
      </c>
      <c r="AS1060">
        <v>1</v>
      </c>
      <c r="AT1060">
        <v>3</v>
      </c>
      <c r="AU1060">
        <v>1</v>
      </c>
      <c r="AV1060">
        <v>3</v>
      </c>
      <c r="AW1060">
        <v>4</v>
      </c>
      <c r="AX1060">
        <v>1</v>
      </c>
      <c r="AY1060">
        <v>2</v>
      </c>
      <c r="AZ1060">
        <v>1</v>
      </c>
      <c r="BA1060">
        <v>0</v>
      </c>
      <c r="BB1060">
        <v>1</v>
      </c>
      <c r="BC1060" s="2">
        <v>1</v>
      </c>
      <c r="BD1060" s="2">
        <v>1</v>
      </c>
      <c r="BE1060" s="2">
        <v>1</v>
      </c>
      <c r="BF1060" s="2">
        <v>0</v>
      </c>
      <c r="BG1060" s="2">
        <v>0</v>
      </c>
      <c r="BH1060" s="2">
        <v>0</v>
      </c>
      <c r="BI1060" s="2">
        <v>1</v>
      </c>
      <c r="BJ1060" s="2">
        <v>0</v>
      </c>
      <c r="BK1060" s="2">
        <v>2</v>
      </c>
      <c r="BL1060" s="2">
        <v>1</v>
      </c>
      <c r="BM1060" s="2">
        <v>3</v>
      </c>
      <c r="BN1060" s="2">
        <v>1</v>
      </c>
      <c r="BO1060" s="2">
        <v>3</v>
      </c>
      <c r="BP1060" s="2">
        <v>4</v>
      </c>
      <c r="BQ1060" s="2">
        <v>1</v>
      </c>
      <c r="BR1060" s="2">
        <v>2</v>
      </c>
      <c r="BS1060" s="2">
        <v>1</v>
      </c>
      <c r="BT1060" s="2">
        <v>0</v>
      </c>
      <c r="BU1060" s="2">
        <v>1</v>
      </c>
      <c r="BV1060" s="2">
        <f t="shared" si="69"/>
        <v>23</v>
      </c>
      <c r="BW1060" s="16">
        <f t="shared" si="67"/>
        <v>1.2105263157894737</v>
      </c>
      <c r="BX1060" s="16">
        <f>COUNTIF($BC$6:BU1060, "=0") / COUNTIF($BC$6:BU1060, "&gt;-1")</f>
        <v>0.28720379146919434</v>
      </c>
      <c r="BY1060" s="18">
        <f>SUM($BC$6:BU1060) / $BY$4</f>
        <v>0.94758807941307333</v>
      </c>
      <c r="BZ1060" s="14">
        <f t="shared" si="68"/>
        <v>5</v>
      </c>
      <c r="CA1060" t="s">
        <v>5832</v>
      </c>
      <c r="CZ1060" t="s">
        <v>7331</v>
      </c>
      <c r="DA1060" t="s">
        <v>5900</v>
      </c>
      <c r="DB1060">
        <v>209.5</v>
      </c>
      <c r="DC1060" t="s">
        <v>18375</v>
      </c>
      <c r="DD1060" t="s">
        <v>18376</v>
      </c>
      <c r="DE1060" t="s">
        <v>18377</v>
      </c>
      <c r="DF1060" t="s">
        <v>18378</v>
      </c>
      <c r="DG1060" t="s">
        <v>18379</v>
      </c>
      <c r="DH1060" t="str">
        <f>"UPK2"</f>
        <v>UPK2</v>
      </c>
      <c r="DI1060" t="s">
        <v>13772</v>
      </c>
      <c r="DJ1060" t="s">
        <v>13777</v>
      </c>
      <c r="DK1060">
        <v>9606</v>
      </c>
      <c r="DL1060" s="34" t="str">
        <f>HYPERLINK("http://www.uniprot.org/uniprot/O00526", "O00526")</f>
        <v>O00526</v>
      </c>
      <c r="DM1060" t="s">
        <v>18380</v>
      </c>
      <c r="DN1060" t="s">
        <v>13772</v>
      </c>
      <c r="DO1060" t="s">
        <v>13792</v>
      </c>
      <c r="DP1060" t="s">
        <v>13793</v>
      </c>
      <c r="DQ1060" t="s">
        <v>13772</v>
      </c>
      <c r="DR1060" t="s">
        <v>13772</v>
      </c>
      <c r="DS1060" t="s">
        <v>13855</v>
      </c>
      <c r="DT1060" t="s">
        <v>13772</v>
      </c>
      <c r="DU1060" t="s">
        <v>13772</v>
      </c>
      <c r="DV1060" t="s">
        <v>17713</v>
      </c>
      <c r="DW1060" t="s">
        <v>13772</v>
      </c>
      <c r="DX1060" t="s">
        <v>18381</v>
      </c>
      <c r="DY1060" t="s">
        <v>18382</v>
      </c>
      <c r="DZ1060" t="s">
        <v>13772</v>
      </c>
      <c r="EA1060" t="s">
        <v>13772</v>
      </c>
      <c r="EB1060" t="s">
        <v>13772</v>
      </c>
    </row>
    <row r="1061" spans="1:132" hidden="1">
      <c r="A1061">
        <v>595</v>
      </c>
      <c r="B1061">
        <v>1</v>
      </c>
      <c r="C1061" t="s">
        <v>1474</v>
      </c>
      <c r="D1061" t="s">
        <v>1475</v>
      </c>
      <c r="E1061" t="s">
        <v>73</v>
      </c>
      <c r="F1061" t="s">
        <v>73</v>
      </c>
      <c r="G1061" t="s">
        <v>73</v>
      </c>
      <c r="H1061">
        <v>34.5</v>
      </c>
      <c r="I1061">
        <v>194</v>
      </c>
      <c r="J1061">
        <v>20955</v>
      </c>
      <c r="K1061" t="s">
        <v>1476</v>
      </c>
      <c r="L1061">
        <f t="shared" si="66"/>
        <v>23</v>
      </c>
      <c r="N1061">
        <v>23</v>
      </c>
      <c r="O1061">
        <v>23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>
        <v>0</v>
      </c>
      <c r="AA1061">
        <v>3</v>
      </c>
      <c r="AB1061">
        <v>2</v>
      </c>
      <c r="AC1061">
        <v>1</v>
      </c>
      <c r="AD1061">
        <v>0</v>
      </c>
      <c r="AE1061">
        <v>5</v>
      </c>
      <c r="AF1061">
        <v>6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0</v>
      </c>
      <c r="AT1061">
        <v>3</v>
      </c>
      <c r="AU1061">
        <v>2</v>
      </c>
      <c r="AV1061">
        <v>1</v>
      </c>
      <c r="AW1061">
        <v>0</v>
      </c>
      <c r="AX1061">
        <v>5</v>
      </c>
      <c r="AY1061">
        <v>6</v>
      </c>
      <c r="AZ1061">
        <v>0</v>
      </c>
      <c r="BA1061">
        <v>0</v>
      </c>
      <c r="BB1061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6</v>
      </c>
      <c r="BL1061" s="2">
        <v>0</v>
      </c>
      <c r="BM1061" s="2">
        <v>3</v>
      </c>
      <c r="BN1061" s="2">
        <v>2</v>
      </c>
      <c r="BO1061" s="2">
        <v>1</v>
      </c>
      <c r="BP1061" s="2">
        <v>0</v>
      </c>
      <c r="BQ1061" s="2">
        <v>5</v>
      </c>
      <c r="BR1061" s="2">
        <v>6</v>
      </c>
      <c r="BS1061" s="2">
        <v>0</v>
      </c>
      <c r="BT1061" s="2">
        <v>0</v>
      </c>
      <c r="BU1061" s="2">
        <v>0</v>
      </c>
      <c r="BV1061" s="2">
        <f t="shared" si="69"/>
        <v>23</v>
      </c>
      <c r="BW1061" s="16">
        <f t="shared" si="67"/>
        <v>1.2105263157894737</v>
      </c>
      <c r="BX1061" s="16">
        <f>COUNTIF($BC$6:BU1061, "=0") / COUNTIF($BC$6:BU1061, "&gt;-1")</f>
        <v>0.28757974481658694</v>
      </c>
      <c r="BY1061" s="18">
        <f>SUM($BC$6:BU1061) / $BY$4</f>
        <v>0.94768660306105346</v>
      </c>
      <c r="BZ1061" s="14">
        <f t="shared" si="68"/>
        <v>13</v>
      </c>
      <c r="CA1061" t="s">
        <v>5832</v>
      </c>
      <c r="CZ1061" t="s">
        <v>7756</v>
      </c>
      <c r="DA1061" t="s">
        <v>5904</v>
      </c>
      <c r="DB1061">
        <v>396.7</v>
      </c>
      <c r="DC1061" t="s">
        <v>19649</v>
      </c>
      <c r="DD1061" t="s">
        <v>19650</v>
      </c>
      <c r="DE1061" t="s">
        <v>19651</v>
      </c>
      <c r="DF1061" t="s">
        <v>19652</v>
      </c>
      <c r="DG1061" t="s">
        <v>19653</v>
      </c>
      <c r="DH1061" t="str">
        <f>"CSRP3"</f>
        <v>CSRP3</v>
      </c>
      <c r="DI1061" t="s">
        <v>19654</v>
      </c>
      <c r="DJ1061" t="s">
        <v>13777</v>
      </c>
      <c r="DK1061">
        <v>9606</v>
      </c>
      <c r="DL1061" s="34" t="str">
        <f>HYPERLINK("http://www.uniprot.org/uniprot/P50461", "P50461")</f>
        <v>P50461</v>
      </c>
      <c r="DM1061" t="s">
        <v>19655</v>
      </c>
      <c r="DN1061" t="s">
        <v>19656</v>
      </c>
      <c r="DO1061" t="s">
        <v>15843</v>
      </c>
      <c r="DP1061" t="s">
        <v>13841</v>
      </c>
      <c r="DQ1061" t="s">
        <v>13772</v>
      </c>
      <c r="DR1061" t="s">
        <v>14848</v>
      </c>
      <c r="DS1061" t="s">
        <v>15529</v>
      </c>
      <c r="DT1061" t="s">
        <v>13856</v>
      </c>
      <c r="DU1061" t="s">
        <v>19657</v>
      </c>
      <c r="DV1061" t="s">
        <v>13782</v>
      </c>
      <c r="DW1061" t="s">
        <v>13812</v>
      </c>
      <c r="DX1061" t="s">
        <v>19658</v>
      </c>
      <c r="DY1061" t="s">
        <v>19659</v>
      </c>
      <c r="DZ1061" t="s">
        <v>19660</v>
      </c>
      <c r="EA1061" t="s">
        <v>13772</v>
      </c>
      <c r="EB1061" t="s">
        <v>13772</v>
      </c>
    </row>
    <row r="1062" spans="1:132" hidden="1">
      <c r="A1062">
        <v>623</v>
      </c>
      <c r="B1062">
        <v>1</v>
      </c>
      <c r="C1062" t="s">
        <v>1542</v>
      </c>
      <c r="D1062" t="s">
        <v>73</v>
      </c>
      <c r="E1062" t="s">
        <v>73</v>
      </c>
      <c r="F1062" t="s">
        <v>73</v>
      </c>
      <c r="G1062" t="s">
        <v>73</v>
      </c>
      <c r="H1062">
        <v>19.600000000000001</v>
      </c>
      <c r="I1062">
        <v>489</v>
      </c>
      <c r="J1062">
        <v>54035</v>
      </c>
      <c r="K1062" t="s">
        <v>1543</v>
      </c>
      <c r="L1062">
        <f t="shared" si="66"/>
        <v>23</v>
      </c>
      <c r="N1062">
        <v>23</v>
      </c>
      <c r="O1062">
        <v>23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2</v>
      </c>
      <c r="W1062">
        <v>0</v>
      </c>
      <c r="X1062">
        <v>1</v>
      </c>
      <c r="Y1062">
        <v>2</v>
      </c>
      <c r="Z1062">
        <v>0</v>
      </c>
      <c r="AA1062">
        <v>4</v>
      </c>
      <c r="AB1062">
        <v>2</v>
      </c>
      <c r="AC1062">
        <v>2</v>
      </c>
      <c r="AD1062">
        <v>0</v>
      </c>
      <c r="AE1062">
        <v>1</v>
      </c>
      <c r="AF1062">
        <v>5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2</v>
      </c>
      <c r="AP1062">
        <v>0</v>
      </c>
      <c r="AQ1062">
        <v>1</v>
      </c>
      <c r="AR1062">
        <v>2</v>
      </c>
      <c r="AS1062">
        <v>0</v>
      </c>
      <c r="AT1062">
        <v>4</v>
      </c>
      <c r="AU1062">
        <v>2</v>
      </c>
      <c r="AV1062">
        <v>2</v>
      </c>
      <c r="AW1062">
        <v>0</v>
      </c>
      <c r="AX1062">
        <v>1</v>
      </c>
      <c r="AY1062">
        <v>5</v>
      </c>
      <c r="AZ1062">
        <v>1</v>
      </c>
      <c r="BA1062">
        <v>0</v>
      </c>
      <c r="BB1062">
        <v>1</v>
      </c>
      <c r="BC1062" s="2">
        <v>0</v>
      </c>
      <c r="BD1062" s="2">
        <v>1</v>
      </c>
      <c r="BE1062" s="2">
        <v>0</v>
      </c>
      <c r="BF1062" s="2">
        <v>0</v>
      </c>
      <c r="BG1062" s="2">
        <v>1</v>
      </c>
      <c r="BH1062" s="2">
        <v>2</v>
      </c>
      <c r="BI1062" s="2">
        <v>0</v>
      </c>
      <c r="BJ1062" s="2">
        <v>1</v>
      </c>
      <c r="BK1062" s="2">
        <v>2</v>
      </c>
      <c r="BL1062" s="2">
        <v>0</v>
      </c>
      <c r="BM1062" s="2">
        <v>4</v>
      </c>
      <c r="BN1062" s="2">
        <v>2</v>
      </c>
      <c r="BO1062" s="2">
        <v>2</v>
      </c>
      <c r="BP1062" s="2">
        <v>0</v>
      </c>
      <c r="BQ1062" s="2">
        <v>1</v>
      </c>
      <c r="BR1062" s="2">
        <v>5</v>
      </c>
      <c r="BS1062" s="2">
        <v>1</v>
      </c>
      <c r="BT1062" s="2">
        <v>0</v>
      </c>
      <c r="BU1062" s="2">
        <v>1</v>
      </c>
      <c r="BV1062" s="2">
        <f t="shared" si="69"/>
        <v>23</v>
      </c>
      <c r="BW1062" s="16">
        <f t="shared" si="67"/>
        <v>1.2105263157894737</v>
      </c>
      <c r="BX1062" s="16">
        <f>COUNTIF($BC$6:BU1062, "=0") / COUNTIF($BC$6:BU1062, "&gt;-1")</f>
        <v>0.28765622665936363</v>
      </c>
      <c r="BY1062" s="18">
        <f>SUM($BC$6:BU1062) / $BY$4</f>
        <v>0.94778512670903359</v>
      </c>
      <c r="BZ1062" s="14">
        <f t="shared" si="68"/>
        <v>7</v>
      </c>
      <c r="CA1062" t="s">
        <v>5832</v>
      </c>
      <c r="CZ1062" t="s">
        <v>7849</v>
      </c>
      <c r="DA1062" t="s">
        <v>5904</v>
      </c>
      <c r="DB1062">
        <v>947.2</v>
      </c>
      <c r="DC1062" t="s">
        <v>19955</v>
      </c>
      <c r="DD1062" t="s">
        <v>19956</v>
      </c>
      <c r="DE1062" t="s">
        <v>19957</v>
      </c>
      <c r="DF1062" t="s">
        <v>19958</v>
      </c>
      <c r="DG1062" t="s">
        <v>19959</v>
      </c>
      <c r="DH1062" t="str">
        <f>"CORO1B"</f>
        <v>CORO1B</v>
      </c>
      <c r="DI1062" t="s">
        <v>13772</v>
      </c>
      <c r="DJ1062" t="s">
        <v>13777</v>
      </c>
      <c r="DK1062">
        <v>9606</v>
      </c>
      <c r="DL1062" s="34" t="str">
        <f>HYPERLINK("http://www.uniprot.org/uniprot/Q9BR76", "Q9BR76")</f>
        <v>Q9BR76</v>
      </c>
      <c r="DM1062" t="s">
        <v>19960</v>
      </c>
      <c r="DN1062" t="s">
        <v>13772</v>
      </c>
      <c r="DO1062" t="s">
        <v>13988</v>
      </c>
      <c r="DP1062" t="s">
        <v>13793</v>
      </c>
      <c r="DQ1062" t="s">
        <v>13772</v>
      </c>
      <c r="DR1062" t="s">
        <v>13772</v>
      </c>
      <c r="DS1062" t="s">
        <v>13781</v>
      </c>
      <c r="DT1062" t="s">
        <v>13772</v>
      </c>
      <c r="DU1062" t="s">
        <v>13990</v>
      </c>
      <c r="DV1062" t="s">
        <v>13782</v>
      </c>
      <c r="DW1062" t="s">
        <v>13772</v>
      </c>
      <c r="DX1062" t="s">
        <v>19961</v>
      </c>
      <c r="DY1062" t="s">
        <v>19962</v>
      </c>
      <c r="DZ1062" t="s">
        <v>19963</v>
      </c>
      <c r="EA1062" t="s">
        <v>13772</v>
      </c>
      <c r="EB1062" t="s">
        <v>13772</v>
      </c>
    </row>
    <row r="1063" spans="1:132" hidden="1">
      <c r="A1063">
        <v>628</v>
      </c>
      <c r="B1063">
        <v>1</v>
      </c>
      <c r="C1063" t="s">
        <v>1553</v>
      </c>
      <c r="D1063" t="s">
        <v>1554</v>
      </c>
      <c r="E1063" t="s">
        <v>73</v>
      </c>
      <c r="F1063" t="s">
        <v>73</v>
      </c>
      <c r="G1063" t="s">
        <v>73</v>
      </c>
      <c r="H1063">
        <v>24.1</v>
      </c>
      <c r="I1063">
        <v>377</v>
      </c>
      <c r="J1063">
        <v>40595</v>
      </c>
      <c r="K1063" t="s">
        <v>1555</v>
      </c>
      <c r="L1063">
        <f t="shared" si="66"/>
        <v>23</v>
      </c>
      <c r="N1063">
        <v>23</v>
      </c>
      <c r="O1063">
        <v>23</v>
      </c>
      <c r="P1063">
        <v>1</v>
      </c>
      <c r="Q1063">
        <v>6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3</v>
      </c>
      <c r="AB1063">
        <v>3</v>
      </c>
      <c r="AC1063">
        <v>1</v>
      </c>
      <c r="AD1063">
        <v>1</v>
      </c>
      <c r="AE1063">
        <v>1</v>
      </c>
      <c r="AF1063">
        <v>2</v>
      </c>
      <c r="AG1063">
        <v>1</v>
      </c>
      <c r="AH1063">
        <v>0</v>
      </c>
      <c r="AI1063">
        <v>3</v>
      </c>
      <c r="AJ1063">
        <v>6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3</v>
      </c>
      <c r="AU1063">
        <v>3</v>
      </c>
      <c r="AV1063">
        <v>1</v>
      </c>
      <c r="AW1063">
        <v>1</v>
      </c>
      <c r="AX1063">
        <v>1</v>
      </c>
      <c r="AY1063">
        <v>2</v>
      </c>
      <c r="AZ1063">
        <v>1</v>
      </c>
      <c r="BA1063">
        <v>0</v>
      </c>
      <c r="BB1063">
        <v>3</v>
      </c>
      <c r="BC1063" s="2">
        <v>6</v>
      </c>
      <c r="BD1063" s="2">
        <v>0</v>
      </c>
      <c r="BE1063" s="2">
        <v>0</v>
      </c>
      <c r="BF1063" s="2">
        <v>1</v>
      </c>
      <c r="BG1063" s="2">
        <v>0</v>
      </c>
      <c r="BH1063" s="2">
        <v>0</v>
      </c>
      <c r="BI1063" s="2">
        <v>0</v>
      </c>
      <c r="BJ1063" s="2">
        <v>0</v>
      </c>
      <c r="BK1063" s="2">
        <v>1</v>
      </c>
      <c r="BL1063" s="2">
        <v>0</v>
      </c>
      <c r="BM1063" s="2">
        <v>3</v>
      </c>
      <c r="BN1063" s="2">
        <v>3</v>
      </c>
      <c r="BO1063" s="2">
        <v>1</v>
      </c>
      <c r="BP1063" s="2">
        <v>1</v>
      </c>
      <c r="BQ1063" s="2">
        <v>1</v>
      </c>
      <c r="BR1063" s="2">
        <v>2</v>
      </c>
      <c r="BS1063" s="2">
        <v>1</v>
      </c>
      <c r="BT1063" s="2">
        <v>0</v>
      </c>
      <c r="BU1063" s="2">
        <v>3</v>
      </c>
      <c r="BV1063" s="2">
        <f t="shared" si="69"/>
        <v>23</v>
      </c>
      <c r="BW1063" s="16">
        <f t="shared" si="67"/>
        <v>1.2105263157894737</v>
      </c>
      <c r="BX1063" s="16">
        <f>COUNTIF($BC$6:BU1063, "=0") / COUNTIF($BC$6:BU1063, "&gt;-1")</f>
        <v>0.28778231021788875</v>
      </c>
      <c r="BY1063" s="18">
        <f>SUM($BC$6:BU1063) / $BY$4</f>
        <v>0.94788365035701372</v>
      </c>
      <c r="BZ1063" s="14">
        <f t="shared" si="68"/>
        <v>8</v>
      </c>
      <c r="CA1063" t="s">
        <v>5832</v>
      </c>
      <c r="CZ1063" t="s">
        <v>7861</v>
      </c>
      <c r="DA1063" t="s">
        <v>5904</v>
      </c>
      <c r="DB1063">
        <v>536.20000000000005</v>
      </c>
      <c r="DC1063" t="s">
        <v>19987</v>
      </c>
      <c r="DD1063" t="s">
        <v>13772</v>
      </c>
      <c r="DE1063" t="s">
        <v>19988</v>
      </c>
      <c r="DF1063" t="s">
        <v>19989</v>
      </c>
      <c r="DG1063" t="s">
        <v>19990</v>
      </c>
      <c r="DH1063" t="str">
        <f>"DKK3"</f>
        <v>DKK3</v>
      </c>
      <c r="DI1063" t="s">
        <v>19991</v>
      </c>
      <c r="DJ1063" t="s">
        <v>13777</v>
      </c>
      <c r="DK1063">
        <v>9606</v>
      </c>
      <c r="DL1063" s="34" t="str">
        <f>HYPERLINK("http://www.uniprot.org/uniprot/Q9UBP4", "Q9UBP4")</f>
        <v>Q9UBP4</v>
      </c>
      <c r="DM1063" t="s">
        <v>19992</v>
      </c>
      <c r="DN1063" t="s">
        <v>14072</v>
      </c>
      <c r="DO1063" t="s">
        <v>14321</v>
      </c>
      <c r="DP1063" t="s">
        <v>13793</v>
      </c>
      <c r="DQ1063" t="s">
        <v>13772</v>
      </c>
      <c r="DR1063" t="s">
        <v>13772</v>
      </c>
      <c r="DS1063" t="s">
        <v>16820</v>
      </c>
      <c r="DT1063" t="s">
        <v>13772</v>
      </c>
      <c r="DU1063" t="s">
        <v>14727</v>
      </c>
      <c r="DV1063" t="s">
        <v>13796</v>
      </c>
      <c r="DW1063" t="s">
        <v>13772</v>
      </c>
      <c r="DX1063" t="s">
        <v>19993</v>
      </c>
      <c r="DY1063" t="s">
        <v>14508</v>
      </c>
      <c r="DZ1063" t="s">
        <v>19994</v>
      </c>
      <c r="EA1063" t="s">
        <v>13772</v>
      </c>
      <c r="EB1063" t="s">
        <v>13772</v>
      </c>
    </row>
    <row r="1064" spans="1:132" hidden="1">
      <c r="A1064">
        <v>747</v>
      </c>
      <c r="B1064">
        <v>1</v>
      </c>
      <c r="C1064" t="s">
        <v>1835</v>
      </c>
      <c r="D1064" t="s">
        <v>73</v>
      </c>
      <c r="E1064" t="s">
        <v>73</v>
      </c>
      <c r="F1064" t="s">
        <v>73</v>
      </c>
      <c r="G1064" t="s">
        <v>73</v>
      </c>
      <c r="H1064">
        <v>52.7</v>
      </c>
      <c r="I1064">
        <v>150</v>
      </c>
      <c r="J1064">
        <v>17143</v>
      </c>
      <c r="K1064" t="s">
        <v>1836</v>
      </c>
      <c r="L1064">
        <f t="shared" si="66"/>
        <v>23</v>
      </c>
      <c r="N1064">
        <v>23</v>
      </c>
      <c r="O1064">
        <v>23</v>
      </c>
      <c r="P1064">
        <v>1</v>
      </c>
      <c r="Q1064">
        <v>0</v>
      </c>
      <c r="R1064">
        <v>0</v>
      </c>
      <c r="S1064">
        <v>2</v>
      </c>
      <c r="T1064">
        <v>0</v>
      </c>
      <c r="U1064">
        <v>6</v>
      </c>
      <c r="V1064">
        <v>6</v>
      </c>
      <c r="W1064">
        <v>4</v>
      </c>
      <c r="X1064">
        <v>2</v>
      </c>
      <c r="Y1064">
        <v>0</v>
      </c>
      <c r="Z1064">
        <v>0</v>
      </c>
      <c r="AA1064">
        <v>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</v>
      </c>
      <c r="AM1064">
        <v>0</v>
      </c>
      <c r="AN1064">
        <v>6</v>
      </c>
      <c r="AO1064">
        <v>6</v>
      </c>
      <c r="AP1064">
        <v>4</v>
      </c>
      <c r="AQ1064">
        <v>2</v>
      </c>
      <c r="AR1064">
        <v>0</v>
      </c>
      <c r="AS1064">
        <v>0</v>
      </c>
      <c r="AT1064">
        <v>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 s="2">
        <v>0</v>
      </c>
      <c r="BD1064" s="2">
        <v>0</v>
      </c>
      <c r="BE1064" s="2">
        <v>2</v>
      </c>
      <c r="BF1064" s="2">
        <v>0</v>
      </c>
      <c r="BG1064" s="2">
        <v>6</v>
      </c>
      <c r="BH1064" s="2">
        <v>6</v>
      </c>
      <c r="BI1064" s="2">
        <v>4</v>
      </c>
      <c r="BJ1064" s="2">
        <v>2</v>
      </c>
      <c r="BK1064" s="2">
        <v>0</v>
      </c>
      <c r="BL1064" s="2">
        <v>0</v>
      </c>
      <c r="BM1064" s="2">
        <v>3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f t="shared" si="69"/>
        <v>23</v>
      </c>
      <c r="BW1064" s="16">
        <f t="shared" si="67"/>
        <v>1.2105263157894737</v>
      </c>
      <c r="BX1064" s="16">
        <f>COUNTIF($BC$6:BU1064, "=0") / COUNTIF($BC$6:BU1064, "&gt;-1")</f>
        <v>0.28815665225386411</v>
      </c>
      <c r="BY1064" s="18">
        <f>SUM($BC$6:BU1064) / $BY$4</f>
        <v>0.94798217400499385</v>
      </c>
      <c r="BZ1064" s="14">
        <f t="shared" si="68"/>
        <v>13</v>
      </c>
      <c r="CA1064" t="s">
        <v>5832</v>
      </c>
      <c r="CZ1064" t="s">
        <v>8256</v>
      </c>
      <c r="DA1064" t="s">
        <v>5904</v>
      </c>
      <c r="DB1064">
        <v>305.8</v>
      </c>
      <c r="DC1064" t="s">
        <v>21129</v>
      </c>
      <c r="DD1064" t="s">
        <v>21130</v>
      </c>
      <c r="DE1064" t="s">
        <v>21131</v>
      </c>
      <c r="DF1064" t="s">
        <v>21132</v>
      </c>
      <c r="DG1064" t="s">
        <v>21133</v>
      </c>
      <c r="DH1064" t="str">
        <f>"POLR2H"</f>
        <v>POLR2H</v>
      </c>
      <c r="DI1064" t="s">
        <v>13772</v>
      </c>
      <c r="DJ1064" t="s">
        <v>13777</v>
      </c>
      <c r="DK1064">
        <v>9606</v>
      </c>
      <c r="DL1064" s="34" t="str">
        <f>HYPERLINK("http://www.uniprot.org/uniprot/P52434", "P52434")</f>
        <v>P52434</v>
      </c>
      <c r="DM1064" t="s">
        <v>21134</v>
      </c>
      <c r="DN1064" t="s">
        <v>21135</v>
      </c>
      <c r="DO1064" t="s">
        <v>21136</v>
      </c>
      <c r="DP1064" t="s">
        <v>13841</v>
      </c>
      <c r="DQ1064" t="s">
        <v>13772</v>
      </c>
      <c r="DR1064" t="s">
        <v>13772</v>
      </c>
      <c r="DS1064" t="s">
        <v>13772</v>
      </c>
      <c r="DT1064" t="s">
        <v>13772</v>
      </c>
      <c r="DU1064" t="s">
        <v>15871</v>
      </c>
      <c r="DV1064" t="s">
        <v>14020</v>
      </c>
      <c r="DW1064" t="s">
        <v>13812</v>
      </c>
      <c r="DX1064" t="s">
        <v>21137</v>
      </c>
      <c r="DY1064" t="s">
        <v>21138</v>
      </c>
      <c r="DZ1064" t="s">
        <v>21139</v>
      </c>
      <c r="EA1064" t="s">
        <v>13772</v>
      </c>
      <c r="EB1064" t="s">
        <v>21140</v>
      </c>
    </row>
    <row r="1065" spans="1:132" hidden="1">
      <c r="A1065">
        <v>934</v>
      </c>
      <c r="B1065">
        <v>1</v>
      </c>
      <c r="C1065" t="s">
        <v>2272</v>
      </c>
      <c r="D1065" t="s">
        <v>73</v>
      </c>
      <c r="E1065" t="s">
        <v>73</v>
      </c>
      <c r="F1065" t="s">
        <v>73</v>
      </c>
      <c r="G1065" t="s">
        <v>73</v>
      </c>
      <c r="H1065">
        <v>33</v>
      </c>
      <c r="I1065">
        <v>300</v>
      </c>
      <c r="J1065">
        <v>34333</v>
      </c>
      <c r="K1065" t="s">
        <v>2273</v>
      </c>
      <c r="L1065">
        <f t="shared" si="66"/>
        <v>23</v>
      </c>
      <c r="N1065">
        <v>23</v>
      </c>
      <c r="O1065">
        <v>23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</v>
      </c>
      <c r="Z1065">
        <v>0</v>
      </c>
      <c r="AA1065">
        <v>5</v>
      </c>
      <c r="AB1065">
        <v>4</v>
      </c>
      <c r="AC1065">
        <v>8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5</v>
      </c>
      <c r="AS1065">
        <v>0</v>
      </c>
      <c r="AT1065">
        <v>5</v>
      </c>
      <c r="AU1065">
        <v>4</v>
      </c>
      <c r="AV1065">
        <v>8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5</v>
      </c>
      <c r="BL1065" s="2">
        <v>0</v>
      </c>
      <c r="BM1065" s="2">
        <v>5</v>
      </c>
      <c r="BN1065" s="2">
        <v>4</v>
      </c>
      <c r="BO1065" s="2">
        <v>8</v>
      </c>
      <c r="BP1065" s="2">
        <v>0</v>
      </c>
      <c r="BQ1065" s="2">
        <v>0</v>
      </c>
      <c r="BR1065" s="2">
        <v>1</v>
      </c>
      <c r="BS1065" s="2">
        <v>0</v>
      </c>
      <c r="BT1065" s="2">
        <v>0</v>
      </c>
      <c r="BU1065" s="2">
        <v>0</v>
      </c>
      <c r="BV1065" s="2">
        <f t="shared" si="69"/>
        <v>23</v>
      </c>
      <c r="BW1065" s="16">
        <f t="shared" si="67"/>
        <v>1.2105263157894737</v>
      </c>
      <c r="BX1065" s="16">
        <f>COUNTIF($BC$6:BU1065, "=0") / COUNTIF($BC$6:BU1065, "&gt;-1")</f>
        <v>0.28857994041708046</v>
      </c>
      <c r="BY1065" s="18">
        <f>SUM($BC$6:BU1065) / $BY$4</f>
        <v>0.94808069765297398</v>
      </c>
      <c r="BZ1065" s="14">
        <f t="shared" si="68"/>
        <v>14</v>
      </c>
      <c r="CA1065" t="s">
        <v>5832</v>
      </c>
      <c r="CZ1065" t="s">
        <v>8898</v>
      </c>
      <c r="DA1065" t="s">
        <v>5904</v>
      </c>
      <c r="DB1065">
        <v>622.1</v>
      </c>
      <c r="DC1065" t="s">
        <v>22990</v>
      </c>
      <c r="DD1065" t="s">
        <v>22991</v>
      </c>
      <c r="DE1065" t="s">
        <v>22992</v>
      </c>
      <c r="DF1065" t="s">
        <v>22993</v>
      </c>
      <c r="DG1065" t="s">
        <v>22994</v>
      </c>
      <c r="DH1065" t="str">
        <f>"ARPC2"</f>
        <v>ARPC2</v>
      </c>
      <c r="DI1065" t="s">
        <v>22995</v>
      </c>
      <c r="DJ1065" t="s">
        <v>13777</v>
      </c>
      <c r="DK1065">
        <v>9606</v>
      </c>
      <c r="DL1065" s="34" t="str">
        <f>HYPERLINK("http://www.uniprot.org/uniprot/O15144", "O15144")</f>
        <v>O15144</v>
      </c>
      <c r="DM1065" t="s">
        <v>22996</v>
      </c>
      <c r="DN1065" t="s">
        <v>13772</v>
      </c>
      <c r="DO1065" t="s">
        <v>22997</v>
      </c>
      <c r="DP1065" t="s">
        <v>13772</v>
      </c>
      <c r="DQ1065" t="s">
        <v>13772</v>
      </c>
      <c r="DR1065" t="s">
        <v>13772</v>
      </c>
      <c r="DS1065" t="s">
        <v>13772</v>
      </c>
      <c r="DT1065" t="s">
        <v>13772</v>
      </c>
      <c r="DU1065" t="s">
        <v>13990</v>
      </c>
      <c r="DV1065" t="s">
        <v>14020</v>
      </c>
      <c r="DW1065" t="s">
        <v>13772</v>
      </c>
      <c r="DX1065" t="s">
        <v>22998</v>
      </c>
      <c r="DY1065" t="s">
        <v>22999</v>
      </c>
      <c r="DZ1065" t="s">
        <v>23000</v>
      </c>
      <c r="EA1065" t="s">
        <v>13772</v>
      </c>
      <c r="EB1065" t="s">
        <v>18181</v>
      </c>
    </row>
    <row r="1066" spans="1:132" hidden="1">
      <c r="A1066">
        <v>1073</v>
      </c>
      <c r="B1066">
        <v>1</v>
      </c>
      <c r="C1066" t="s">
        <v>2579</v>
      </c>
      <c r="D1066" t="s">
        <v>2580</v>
      </c>
      <c r="E1066" t="s">
        <v>73</v>
      </c>
      <c r="F1066" t="s">
        <v>73</v>
      </c>
      <c r="G1066" t="s">
        <v>73</v>
      </c>
      <c r="H1066">
        <v>6.1</v>
      </c>
      <c r="I1066">
        <v>505</v>
      </c>
      <c r="J1066">
        <v>56814</v>
      </c>
      <c r="K1066" t="s">
        <v>2581</v>
      </c>
      <c r="L1066">
        <f t="shared" si="66"/>
        <v>23</v>
      </c>
      <c r="N1066">
        <v>23</v>
      </c>
      <c r="O1066">
        <v>23</v>
      </c>
      <c r="P1066">
        <v>1</v>
      </c>
      <c r="Q1066">
        <v>2</v>
      </c>
      <c r="R1066">
        <v>5</v>
      </c>
      <c r="S1066">
        <v>1</v>
      </c>
      <c r="T1066">
        <v>3</v>
      </c>
      <c r="U1066">
        <v>1</v>
      </c>
      <c r="V1066">
        <v>1</v>
      </c>
      <c r="W1066">
        <v>2</v>
      </c>
      <c r="X1066">
        <v>1</v>
      </c>
      <c r="Y1066">
        <v>0</v>
      </c>
      <c r="Z1066">
        <v>0</v>
      </c>
      <c r="AA1066">
        <v>2</v>
      </c>
      <c r="AB1066">
        <v>1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2</v>
      </c>
      <c r="AJ1066">
        <v>2</v>
      </c>
      <c r="AK1066">
        <v>5</v>
      </c>
      <c r="AL1066">
        <v>1</v>
      </c>
      <c r="AM1066">
        <v>3</v>
      </c>
      <c r="AN1066">
        <v>1</v>
      </c>
      <c r="AO1066">
        <v>1</v>
      </c>
      <c r="AP1066">
        <v>2</v>
      </c>
      <c r="AQ1066">
        <v>1</v>
      </c>
      <c r="AR1066">
        <v>0</v>
      </c>
      <c r="AS1066">
        <v>0</v>
      </c>
      <c r="AT1066">
        <v>2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2</v>
      </c>
      <c r="BC1066" s="2">
        <v>2</v>
      </c>
      <c r="BD1066" s="2">
        <v>5</v>
      </c>
      <c r="BE1066" s="2">
        <v>1</v>
      </c>
      <c r="BF1066" s="2">
        <v>3</v>
      </c>
      <c r="BG1066" s="2">
        <v>1</v>
      </c>
      <c r="BH1066" s="2">
        <v>1</v>
      </c>
      <c r="BI1066" s="2">
        <v>2</v>
      </c>
      <c r="BJ1066" s="2">
        <v>1</v>
      </c>
      <c r="BK1066" s="2">
        <v>0</v>
      </c>
      <c r="BL1066" s="2">
        <v>0</v>
      </c>
      <c r="BM1066" s="2">
        <v>2</v>
      </c>
      <c r="BN1066" s="2">
        <v>1</v>
      </c>
      <c r="BO1066" s="2">
        <v>0</v>
      </c>
      <c r="BP1066" s="2">
        <v>0</v>
      </c>
      <c r="BQ1066" s="2">
        <v>0</v>
      </c>
      <c r="BR1066" s="2">
        <v>1</v>
      </c>
      <c r="BS1066" s="2">
        <v>1</v>
      </c>
      <c r="BT1066" s="2">
        <v>0</v>
      </c>
      <c r="BU1066" s="2">
        <v>2</v>
      </c>
      <c r="BV1066" s="2">
        <f t="shared" si="69"/>
        <v>23</v>
      </c>
      <c r="BW1066" s="16">
        <f t="shared" si="67"/>
        <v>1.2105263157894737</v>
      </c>
      <c r="BX1066" s="16">
        <f>COUNTIF($BC$6:BU1066, "=0") / COUNTIF($BC$6:BU1066, "&gt;-1")</f>
        <v>0.28860558559452354</v>
      </c>
      <c r="BY1066" s="18">
        <f>SUM($BC$6:BU1066) / $BY$4</f>
        <v>0.948179221300954</v>
      </c>
      <c r="BZ1066" s="14">
        <f t="shared" si="68"/>
        <v>6</v>
      </c>
      <c r="CA1066" t="s">
        <v>5832</v>
      </c>
      <c r="CZ1066" t="s">
        <v>9304</v>
      </c>
      <c r="DA1066" t="s">
        <v>5904</v>
      </c>
      <c r="DB1066">
        <v>1042.3</v>
      </c>
      <c r="DC1066" t="s">
        <v>24160</v>
      </c>
      <c r="DD1066" t="s">
        <v>24161</v>
      </c>
      <c r="DE1066" t="s">
        <v>24162</v>
      </c>
      <c r="DF1066" t="s">
        <v>24163</v>
      </c>
      <c r="DG1066" t="s">
        <v>24164</v>
      </c>
      <c r="DH1066" t="str">
        <f>"ACVR1B"</f>
        <v>ACVR1B</v>
      </c>
      <c r="DI1066" t="s">
        <v>24165</v>
      </c>
      <c r="DJ1066" t="s">
        <v>13777</v>
      </c>
      <c r="DK1066">
        <v>9606</v>
      </c>
      <c r="DL1066" s="34" t="str">
        <f>HYPERLINK("http://www.uniprot.org/uniprot/P36896", "P36896")</f>
        <v>P36896</v>
      </c>
      <c r="DM1066" t="s">
        <v>24166</v>
      </c>
      <c r="DN1066" t="s">
        <v>13772</v>
      </c>
      <c r="DO1066" t="s">
        <v>13792</v>
      </c>
      <c r="DP1066" t="s">
        <v>13780</v>
      </c>
      <c r="DQ1066" t="s">
        <v>13772</v>
      </c>
      <c r="DR1066" t="s">
        <v>13772</v>
      </c>
      <c r="DS1066" t="s">
        <v>13855</v>
      </c>
      <c r="DT1066" t="s">
        <v>23768</v>
      </c>
      <c r="DU1066" t="s">
        <v>23769</v>
      </c>
      <c r="DV1066" t="s">
        <v>16810</v>
      </c>
      <c r="DW1066" t="s">
        <v>13772</v>
      </c>
      <c r="DX1066" t="s">
        <v>24167</v>
      </c>
      <c r="DY1066" t="s">
        <v>24168</v>
      </c>
      <c r="DZ1066" t="s">
        <v>24169</v>
      </c>
      <c r="EA1066" t="s">
        <v>13772</v>
      </c>
      <c r="EB1066" t="s">
        <v>24170</v>
      </c>
    </row>
    <row r="1067" spans="1:132" hidden="1">
      <c r="A1067">
        <v>1261</v>
      </c>
      <c r="B1067">
        <v>1</v>
      </c>
      <c r="C1067" t="s">
        <v>3021</v>
      </c>
      <c r="D1067" t="s">
        <v>3022</v>
      </c>
      <c r="E1067" t="s">
        <v>73</v>
      </c>
      <c r="F1067" t="s">
        <v>73</v>
      </c>
      <c r="G1067" t="s">
        <v>73</v>
      </c>
      <c r="H1067">
        <v>29.2</v>
      </c>
      <c r="I1067">
        <v>384</v>
      </c>
      <c r="J1067">
        <v>41724</v>
      </c>
      <c r="K1067" t="s">
        <v>3023</v>
      </c>
      <c r="L1067">
        <f t="shared" si="66"/>
        <v>23</v>
      </c>
      <c r="N1067">
        <v>23</v>
      </c>
      <c r="O1067">
        <v>23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7</v>
      </c>
      <c r="W1067">
        <v>3</v>
      </c>
      <c r="X1067">
        <v>1</v>
      </c>
      <c r="Y1067">
        <v>2</v>
      </c>
      <c r="Z1067">
        <v>0</v>
      </c>
      <c r="AA1067">
        <v>1</v>
      </c>
      <c r="AB1067">
        <v>2</v>
      </c>
      <c r="AC1067">
        <v>1</v>
      </c>
      <c r="AD1067">
        <v>0</v>
      </c>
      <c r="AE1067">
        <v>4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7</v>
      </c>
      <c r="AP1067">
        <v>3</v>
      </c>
      <c r="AQ1067">
        <v>1</v>
      </c>
      <c r="AR1067">
        <v>2</v>
      </c>
      <c r="AS1067">
        <v>0</v>
      </c>
      <c r="AT1067">
        <v>1</v>
      </c>
      <c r="AU1067">
        <v>2</v>
      </c>
      <c r="AV1067">
        <v>1</v>
      </c>
      <c r="AW1067">
        <v>0</v>
      </c>
      <c r="AX1067">
        <v>4</v>
      </c>
      <c r="AY1067">
        <v>1</v>
      </c>
      <c r="AZ1067">
        <v>0</v>
      </c>
      <c r="BA1067">
        <v>0</v>
      </c>
      <c r="BB1067">
        <v>0</v>
      </c>
      <c r="BC1067" s="2">
        <v>0</v>
      </c>
      <c r="BD1067" s="2">
        <v>1</v>
      </c>
      <c r="BE1067" s="2">
        <v>0</v>
      </c>
      <c r="BF1067" s="2">
        <v>0</v>
      </c>
      <c r="BG1067" s="2">
        <v>0</v>
      </c>
      <c r="BH1067" s="2">
        <v>7</v>
      </c>
      <c r="BI1067" s="2">
        <v>3</v>
      </c>
      <c r="BJ1067" s="2">
        <v>1</v>
      </c>
      <c r="BK1067" s="2">
        <v>2</v>
      </c>
      <c r="BL1067" s="2">
        <v>0</v>
      </c>
      <c r="BM1067" s="2">
        <v>1</v>
      </c>
      <c r="BN1067" s="2">
        <v>2</v>
      </c>
      <c r="BO1067" s="2">
        <v>1</v>
      </c>
      <c r="BP1067" s="2">
        <v>0</v>
      </c>
      <c r="BQ1067" s="2">
        <v>4</v>
      </c>
      <c r="BR1067" s="2">
        <v>1</v>
      </c>
      <c r="BS1067" s="2">
        <v>0</v>
      </c>
      <c r="BT1067" s="2">
        <v>0</v>
      </c>
      <c r="BU1067" s="2">
        <v>0</v>
      </c>
      <c r="BV1067" s="2">
        <f t="shared" si="69"/>
        <v>23</v>
      </c>
      <c r="BW1067" s="16">
        <f t="shared" si="67"/>
        <v>1.2105263157894737</v>
      </c>
      <c r="BX1067" s="16">
        <f>COUNTIF($BC$6:BU1067, "=0") / COUNTIF($BC$6:BU1067, "&gt;-1")</f>
        <v>0.28877985925265143</v>
      </c>
      <c r="BY1067" s="18">
        <f>SUM($BC$6:BU1067) / $BY$4</f>
        <v>0.94827774494893413</v>
      </c>
      <c r="BZ1067" s="14">
        <f t="shared" si="68"/>
        <v>9</v>
      </c>
      <c r="CA1067" t="s">
        <v>5832</v>
      </c>
      <c r="CZ1067" t="s">
        <v>9931</v>
      </c>
      <c r="DA1067" t="s">
        <v>5904</v>
      </c>
      <c r="DB1067">
        <v>770</v>
      </c>
      <c r="DC1067" t="s">
        <v>25944</v>
      </c>
      <c r="DD1067" t="s">
        <v>25945</v>
      </c>
      <c r="DE1067" t="s">
        <v>25946</v>
      </c>
      <c r="DF1067" t="s">
        <v>25947</v>
      </c>
      <c r="DG1067" t="s">
        <v>25948</v>
      </c>
      <c r="DH1067" t="str">
        <f>"NDRG1"</f>
        <v>NDRG1</v>
      </c>
      <c r="DI1067" t="s">
        <v>25949</v>
      </c>
      <c r="DJ1067" t="s">
        <v>13777</v>
      </c>
      <c r="DK1067">
        <v>9606</v>
      </c>
      <c r="DL1067" s="34" t="str">
        <f>HYPERLINK("http://www.uniprot.org/uniprot/Q92597", "Q92597")</f>
        <v>Q92597</v>
      </c>
      <c r="DM1067" t="s">
        <v>25950</v>
      </c>
      <c r="DN1067" t="s">
        <v>13772</v>
      </c>
      <c r="DO1067" t="s">
        <v>25951</v>
      </c>
      <c r="DP1067" t="s">
        <v>13780</v>
      </c>
      <c r="DQ1067" t="s">
        <v>13772</v>
      </c>
      <c r="DR1067" t="s">
        <v>25952</v>
      </c>
      <c r="DS1067" t="s">
        <v>14096</v>
      </c>
      <c r="DT1067" t="s">
        <v>13772</v>
      </c>
      <c r="DU1067" t="s">
        <v>13772</v>
      </c>
      <c r="DV1067" t="s">
        <v>13886</v>
      </c>
      <c r="DW1067" t="s">
        <v>13772</v>
      </c>
      <c r="DX1067" t="s">
        <v>25953</v>
      </c>
      <c r="DY1067" t="s">
        <v>25954</v>
      </c>
      <c r="DZ1067" t="s">
        <v>25955</v>
      </c>
      <c r="EA1067" t="s">
        <v>13772</v>
      </c>
      <c r="EB1067" t="s">
        <v>25956</v>
      </c>
    </row>
    <row r="1068" spans="1:132" hidden="1">
      <c r="A1068">
        <v>2449</v>
      </c>
      <c r="B1068">
        <v>1</v>
      </c>
      <c r="C1068" t="s">
        <v>5752</v>
      </c>
      <c r="D1068" t="s">
        <v>73</v>
      </c>
      <c r="E1068" t="s">
        <v>5753</v>
      </c>
      <c r="F1068" t="s">
        <v>73</v>
      </c>
      <c r="G1068" t="s">
        <v>73</v>
      </c>
      <c r="H1068">
        <v>42.4</v>
      </c>
      <c r="I1068">
        <v>264</v>
      </c>
      <c r="J1068">
        <v>29945</v>
      </c>
      <c r="K1068" t="s">
        <v>5754</v>
      </c>
      <c r="L1068">
        <f t="shared" si="66"/>
        <v>23</v>
      </c>
      <c r="N1068">
        <v>23</v>
      </c>
      <c r="O1068">
        <v>23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0</v>
      </c>
      <c r="AA1068">
        <v>4</v>
      </c>
      <c r="AB1068">
        <v>9</v>
      </c>
      <c r="AC1068">
        <v>3</v>
      </c>
      <c r="AD1068">
        <v>0</v>
      </c>
      <c r="AE1068">
        <v>4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2</v>
      </c>
      <c r="AS1068">
        <v>0</v>
      </c>
      <c r="AT1068">
        <v>4</v>
      </c>
      <c r="AU1068">
        <v>9</v>
      </c>
      <c r="AV1068">
        <v>3</v>
      </c>
      <c r="AW1068">
        <v>0</v>
      </c>
      <c r="AX1068">
        <v>4</v>
      </c>
      <c r="AY1068">
        <v>1</v>
      </c>
      <c r="AZ1068">
        <v>0</v>
      </c>
      <c r="BA1068">
        <v>0</v>
      </c>
      <c r="BB1068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2</v>
      </c>
      <c r="BL1068" s="2">
        <v>0</v>
      </c>
      <c r="BM1068" s="2">
        <v>4</v>
      </c>
      <c r="BN1068" s="2">
        <v>9</v>
      </c>
      <c r="BO1068" s="2">
        <v>3</v>
      </c>
      <c r="BP1068" s="2">
        <v>0</v>
      </c>
      <c r="BQ1068" s="2">
        <v>4</v>
      </c>
      <c r="BR1068" s="2">
        <v>1</v>
      </c>
      <c r="BS1068" s="2">
        <v>0</v>
      </c>
      <c r="BT1068" s="2">
        <v>0</v>
      </c>
      <c r="BU1068" s="2">
        <v>0</v>
      </c>
      <c r="BV1068" s="2">
        <f t="shared" si="69"/>
        <v>23</v>
      </c>
      <c r="BW1068" s="16">
        <f t="shared" si="67"/>
        <v>1.2105263157894737</v>
      </c>
      <c r="BX1068" s="16">
        <f>COUNTIF($BC$6:BU1068, "=0") / COUNTIF($BC$6:BU1068, "&gt;-1")</f>
        <v>0.28915185423577761</v>
      </c>
      <c r="BY1068" s="18">
        <f>SUM($BC$6:BU1068) / $BY$4</f>
        <v>0.94837626859691426</v>
      </c>
      <c r="BZ1068" s="14">
        <f t="shared" si="68"/>
        <v>13</v>
      </c>
      <c r="CA1068" t="s">
        <v>5832</v>
      </c>
      <c r="CZ1068" t="s">
        <v>10059</v>
      </c>
      <c r="DA1068" t="s">
        <v>5904</v>
      </c>
      <c r="DB1068">
        <v>545.79999999999995</v>
      </c>
      <c r="DC1068" t="s">
        <v>26301</v>
      </c>
      <c r="DD1068" t="s">
        <v>26302</v>
      </c>
      <c r="DE1068" t="s">
        <v>26303</v>
      </c>
      <c r="DF1068" t="s">
        <v>26304</v>
      </c>
      <c r="DG1068" t="s">
        <v>26305</v>
      </c>
      <c r="DH1068" t="str">
        <f>"RPS3A MFTL"</f>
        <v>RPS3A MFTL</v>
      </c>
      <c r="DI1068" t="s">
        <v>13772</v>
      </c>
      <c r="DJ1068" t="s">
        <v>13777</v>
      </c>
      <c r="DK1068">
        <v>9606</v>
      </c>
      <c r="DL1068" s="34" t="str">
        <f>HYPERLINK("http://www.uniprot.org/uniprot/P61247", "P61247")</f>
        <v>P61247</v>
      </c>
      <c r="DM1068" t="s">
        <v>26306</v>
      </c>
      <c r="DN1068" t="s">
        <v>15591</v>
      </c>
      <c r="DO1068" t="s">
        <v>13912</v>
      </c>
      <c r="DP1068" t="s">
        <v>13772</v>
      </c>
      <c r="DQ1068" t="s">
        <v>13772</v>
      </c>
      <c r="DR1068" t="s">
        <v>13772</v>
      </c>
      <c r="DS1068" t="s">
        <v>13772</v>
      </c>
      <c r="DT1068" t="s">
        <v>13772</v>
      </c>
      <c r="DU1068" t="s">
        <v>13937</v>
      </c>
      <c r="DV1068" t="s">
        <v>13991</v>
      </c>
      <c r="DW1068" t="s">
        <v>13812</v>
      </c>
      <c r="DX1068" t="s">
        <v>26307</v>
      </c>
      <c r="DY1068" t="s">
        <v>26308</v>
      </c>
      <c r="DZ1068" t="s">
        <v>13941</v>
      </c>
      <c r="EA1068" t="s">
        <v>13772</v>
      </c>
      <c r="EB1068" t="s">
        <v>17828</v>
      </c>
    </row>
    <row r="1069" spans="1:132" hidden="1">
      <c r="A1069">
        <v>1307</v>
      </c>
      <c r="B1069">
        <v>1</v>
      </c>
      <c r="C1069" t="s">
        <v>3134</v>
      </c>
      <c r="D1069" t="s">
        <v>3135</v>
      </c>
      <c r="E1069" t="s">
        <v>73</v>
      </c>
      <c r="F1069" t="s">
        <v>73</v>
      </c>
      <c r="G1069" t="s">
        <v>73</v>
      </c>
      <c r="H1069">
        <v>25.5</v>
      </c>
      <c r="I1069">
        <v>314</v>
      </c>
      <c r="J1069">
        <v>34423</v>
      </c>
      <c r="K1069" t="s">
        <v>3136</v>
      </c>
      <c r="L1069">
        <f t="shared" si="66"/>
        <v>23</v>
      </c>
      <c r="N1069">
        <v>23</v>
      </c>
      <c r="O1069">
        <v>23</v>
      </c>
      <c r="P1069">
        <v>1</v>
      </c>
      <c r="Q1069">
        <v>0</v>
      </c>
      <c r="R1069">
        <v>6</v>
      </c>
      <c r="S1069">
        <v>0</v>
      </c>
      <c r="T1069">
        <v>0</v>
      </c>
      <c r="U1069">
        <v>3</v>
      </c>
      <c r="V1069">
        <v>2</v>
      </c>
      <c r="W1069">
        <v>1</v>
      </c>
      <c r="X1069">
        <v>3</v>
      </c>
      <c r="Y1069">
        <v>1</v>
      </c>
      <c r="Z1069">
        <v>0</v>
      </c>
      <c r="AA1069">
        <v>0</v>
      </c>
      <c r="AB1069">
        <v>5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6</v>
      </c>
      <c r="AL1069">
        <v>0</v>
      </c>
      <c r="AM1069">
        <v>0</v>
      </c>
      <c r="AN1069">
        <v>3</v>
      </c>
      <c r="AO1069">
        <v>2</v>
      </c>
      <c r="AP1069">
        <v>1</v>
      </c>
      <c r="AQ1069">
        <v>3</v>
      </c>
      <c r="AR1069">
        <v>1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 s="2">
        <v>0</v>
      </c>
      <c r="BD1069" s="2">
        <v>6</v>
      </c>
      <c r="BE1069" s="2">
        <v>0</v>
      </c>
      <c r="BF1069" s="2">
        <v>0</v>
      </c>
      <c r="BG1069" s="2">
        <v>3</v>
      </c>
      <c r="BH1069" s="2">
        <v>2</v>
      </c>
      <c r="BI1069" s="2">
        <v>1</v>
      </c>
      <c r="BJ1069" s="2">
        <v>3</v>
      </c>
      <c r="BK1069" s="2">
        <v>1</v>
      </c>
      <c r="BL1069" s="2">
        <v>0</v>
      </c>
      <c r="BM1069" s="2">
        <v>0</v>
      </c>
      <c r="BN1069" s="2">
        <v>5</v>
      </c>
      <c r="BO1069" s="2">
        <v>0</v>
      </c>
      <c r="BP1069" s="2">
        <v>0</v>
      </c>
      <c r="BQ1069" s="2">
        <v>1</v>
      </c>
      <c r="BR1069" s="2">
        <v>1</v>
      </c>
      <c r="BS1069" s="2">
        <v>0</v>
      </c>
      <c r="BT1069" s="2">
        <v>0</v>
      </c>
      <c r="BU1069" s="2">
        <v>0</v>
      </c>
      <c r="BV1069" s="2">
        <f t="shared" si="69"/>
        <v>23</v>
      </c>
      <c r="BW1069" s="16">
        <f t="shared" si="67"/>
        <v>1.2105263157894737</v>
      </c>
      <c r="BX1069" s="16">
        <f>COUNTIF($BC$6:BU1069, "=0") / COUNTIF($BC$6:BU1069, "&gt;-1")</f>
        <v>0.28937475267115154</v>
      </c>
      <c r="BY1069" s="18">
        <f>SUM($BC$6:BU1069) / $BY$4</f>
        <v>0.94847479224489439</v>
      </c>
      <c r="BZ1069" s="14">
        <f t="shared" si="68"/>
        <v>10</v>
      </c>
      <c r="CA1069" t="s">
        <v>5832</v>
      </c>
      <c r="CZ1069" t="s">
        <v>10101</v>
      </c>
      <c r="DA1069" t="s">
        <v>5904</v>
      </c>
      <c r="DB1069">
        <v>583.6</v>
      </c>
      <c r="DC1069" t="s">
        <v>26425</v>
      </c>
      <c r="DD1069" t="s">
        <v>26426</v>
      </c>
      <c r="DE1069" t="s">
        <v>26427</v>
      </c>
      <c r="DF1069" t="s">
        <v>26428</v>
      </c>
      <c r="DG1069" t="s">
        <v>26429</v>
      </c>
      <c r="DH1069" t="str">
        <f>"HADH"</f>
        <v>HADH</v>
      </c>
      <c r="DI1069" t="s">
        <v>26430</v>
      </c>
      <c r="DJ1069" t="s">
        <v>13777</v>
      </c>
      <c r="DK1069">
        <v>9606</v>
      </c>
      <c r="DL1069" s="34" t="str">
        <f>HYPERLINK("http://www.uniprot.org/uniprot/Q16836", "Q16836")</f>
        <v>Q16836</v>
      </c>
      <c r="DM1069" t="s">
        <v>26431</v>
      </c>
      <c r="DN1069" t="s">
        <v>14430</v>
      </c>
      <c r="DO1069" t="s">
        <v>14491</v>
      </c>
      <c r="DP1069" t="s">
        <v>13780</v>
      </c>
      <c r="DQ1069" t="s">
        <v>13772</v>
      </c>
      <c r="DR1069" t="s">
        <v>13807</v>
      </c>
      <c r="DS1069" t="s">
        <v>14391</v>
      </c>
      <c r="DT1069" t="s">
        <v>14492</v>
      </c>
      <c r="DU1069" t="s">
        <v>13885</v>
      </c>
      <c r="DV1069" t="s">
        <v>14020</v>
      </c>
      <c r="DW1069" t="s">
        <v>13812</v>
      </c>
      <c r="DX1069" t="s">
        <v>26432</v>
      </c>
      <c r="DY1069" t="s">
        <v>26433</v>
      </c>
      <c r="DZ1069" t="s">
        <v>26434</v>
      </c>
      <c r="EA1069" t="s">
        <v>17197</v>
      </c>
      <c r="EB1069" t="s">
        <v>25703</v>
      </c>
    </row>
    <row r="1070" spans="1:132" hidden="1">
      <c r="A1070">
        <v>1409</v>
      </c>
      <c r="B1070">
        <v>1</v>
      </c>
      <c r="C1070" t="s">
        <v>3365</v>
      </c>
      <c r="D1070" t="s">
        <v>73</v>
      </c>
      <c r="E1070" t="s">
        <v>73</v>
      </c>
      <c r="F1070" t="s">
        <v>73</v>
      </c>
      <c r="G1070" t="s">
        <v>73</v>
      </c>
      <c r="H1070">
        <v>20.399999999999999</v>
      </c>
      <c r="I1070">
        <v>446</v>
      </c>
      <c r="J1070">
        <v>48611</v>
      </c>
      <c r="K1070" t="s">
        <v>3366</v>
      </c>
      <c r="L1070">
        <f t="shared" si="66"/>
        <v>23</v>
      </c>
      <c r="N1070">
        <v>23</v>
      </c>
      <c r="O1070">
        <v>23</v>
      </c>
      <c r="P1070">
        <v>1</v>
      </c>
      <c r="Q1070">
        <v>3</v>
      </c>
      <c r="R1070">
        <v>6</v>
      </c>
      <c r="S1070">
        <v>3</v>
      </c>
      <c r="T1070">
        <v>5</v>
      </c>
      <c r="U1070">
        <v>2</v>
      </c>
      <c r="V1070">
        <v>2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6</v>
      </c>
      <c r="AL1070">
        <v>3</v>
      </c>
      <c r="AM1070">
        <v>5</v>
      </c>
      <c r="AN1070">
        <v>2</v>
      </c>
      <c r="AO1070">
        <v>2</v>
      </c>
      <c r="AP1070">
        <v>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s="2">
        <v>3</v>
      </c>
      <c r="BD1070" s="2">
        <v>6</v>
      </c>
      <c r="BE1070" s="2">
        <v>3</v>
      </c>
      <c r="BF1070" s="2">
        <v>5</v>
      </c>
      <c r="BG1070" s="2">
        <v>2</v>
      </c>
      <c r="BH1070" s="2">
        <v>2</v>
      </c>
      <c r="BI1070" s="2">
        <v>2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f t="shared" si="69"/>
        <v>23</v>
      </c>
      <c r="BW1070" s="16">
        <f t="shared" si="67"/>
        <v>1.2105263157894737</v>
      </c>
      <c r="BX1070" s="16">
        <f>COUNTIF($BC$6:BU1070, "=0") / COUNTIF($BC$6:BU1070, "&gt;-1")</f>
        <v>0.28969607116382506</v>
      </c>
      <c r="BY1070" s="18">
        <f>SUM($BC$6:BU1070) / $BY$4</f>
        <v>0.94857331589287452</v>
      </c>
      <c r="BZ1070" s="14">
        <f t="shared" si="68"/>
        <v>12</v>
      </c>
      <c r="CA1070" t="s">
        <v>5832</v>
      </c>
      <c r="CZ1070" t="s">
        <v>10441</v>
      </c>
      <c r="DA1070" t="s">
        <v>5904</v>
      </c>
      <c r="DB1070">
        <v>355.9</v>
      </c>
      <c r="DC1070" t="s">
        <v>27386</v>
      </c>
      <c r="DD1070" t="s">
        <v>27387</v>
      </c>
      <c r="DE1070" t="s">
        <v>27388</v>
      </c>
      <c r="DF1070" t="s">
        <v>27389</v>
      </c>
      <c r="DG1070" t="s">
        <v>13772</v>
      </c>
      <c r="DH1070" t="str">
        <f>"ERVV-2"</f>
        <v>ERVV-2</v>
      </c>
      <c r="DI1070" t="s">
        <v>27390</v>
      </c>
      <c r="DJ1070" t="s">
        <v>13777</v>
      </c>
      <c r="DK1070">
        <v>9606</v>
      </c>
      <c r="DL1070" s="34" t="str">
        <f>HYPERLINK("http://www.uniprot.org/uniprot/B6SEH9", "B6SEH9")</f>
        <v>B6SEH9</v>
      </c>
      <c r="DM1070" t="s">
        <v>27391</v>
      </c>
      <c r="DN1070" t="s">
        <v>13772</v>
      </c>
      <c r="DO1070" t="s">
        <v>13825</v>
      </c>
      <c r="DP1070" t="s">
        <v>13772</v>
      </c>
      <c r="DQ1070" t="s">
        <v>13772</v>
      </c>
      <c r="DR1070" t="s">
        <v>13772</v>
      </c>
      <c r="DS1070" t="s">
        <v>13855</v>
      </c>
      <c r="DT1070" t="s">
        <v>13772</v>
      </c>
      <c r="DU1070" t="s">
        <v>13772</v>
      </c>
      <c r="DV1070" t="s">
        <v>13858</v>
      </c>
      <c r="DW1070" t="s">
        <v>27392</v>
      </c>
      <c r="DX1070" t="s">
        <v>13772</v>
      </c>
      <c r="DY1070" t="s">
        <v>15378</v>
      </c>
      <c r="DZ1070" t="s">
        <v>13772</v>
      </c>
      <c r="EA1070" t="s">
        <v>13772</v>
      </c>
      <c r="EB1070" t="s">
        <v>13772</v>
      </c>
    </row>
    <row r="1071" spans="1:132" hidden="1">
      <c r="A1071">
        <v>1441</v>
      </c>
      <c r="B1071">
        <v>1</v>
      </c>
      <c r="C1071" t="s">
        <v>3432</v>
      </c>
      <c r="D1071" t="s">
        <v>3433</v>
      </c>
      <c r="E1071" t="s">
        <v>73</v>
      </c>
      <c r="F1071" t="s">
        <v>73</v>
      </c>
      <c r="G1071" t="s">
        <v>73</v>
      </c>
      <c r="H1071">
        <v>37.1</v>
      </c>
      <c r="I1071">
        <v>248</v>
      </c>
      <c r="J1071">
        <v>28851</v>
      </c>
      <c r="K1071" t="s">
        <v>3434</v>
      </c>
      <c r="L1071">
        <f t="shared" si="66"/>
        <v>23</v>
      </c>
      <c r="N1071">
        <v>23</v>
      </c>
      <c r="O1071">
        <v>23</v>
      </c>
      <c r="P1071">
        <v>1</v>
      </c>
      <c r="Q1071">
        <v>1</v>
      </c>
      <c r="R1071">
        <v>4</v>
      </c>
      <c r="S1071">
        <v>0</v>
      </c>
      <c r="T1071">
        <v>1</v>
      </c>
      <c r="U1071">
        <v>6</v>
      </c>
      <c r="V1071">
        <v>8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4</v>
      </c>
      <c r="AL1071">
        <v>0</v>
      </c>
      <c r="AM1071">
        <v>1</v>
      </c>
      <c r="AN1071">
        <v>6</v>
      </c>
      <c r="AO1071">
        <v>8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 s="2">
        <v>1</v>
      </c>
      <c r="BD1071" s="2">
        <v>4</v>
      </c>
      <c r="BE1071" s="2">
        <v>0</v>
      </c>
      <c r="BF1071" s="2">
        <v>1</v>
      </c>
      <c r="BG1071" s="2">
        <v>6</v>
      </c>
      <c r="BH1071" s="2">
        <v>8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1</v>
      </c>
      <c r="BS1071" s="2">
        <v>0</v>
      </c>
      <c r="BT1071" s="2">
        <v>0</v>
      </c>
      <c r="BU1071" s="2">
        <v>0</v>
      </c>
      <c r="BV1071" s="2">
        <f t="shared" si="69"/>
        <v>23</v>
      </c>
      <c r="BW1071" s="16">
        <f t="shared" si="67"/>
        <v>1.2105263157894737</v>
      </c>
      <c r="BX1071" s="16">
        <f>COUNTIF($BC$6:BU1071, "=0") / COUNTIF($BC$6:BU1071, "&gt;-1")</f>
        <v>0.2899674138441789</v>
      </c>
      <c r="BY1071" s="18">
        <f>SUM($BC$6:BU1071) / $BY$4</f>
        <v>0.94867183954085454</v>
      </c>
      <c r="BZ1071" s="14">
        <f t="shared" si="68"/>
        <v>11</v>
      </c>
      <c r="CA1071" t="s">
        <v>5832</v>
      </c>
      <c r="CZ1071" t="s">
        <v>10535</v>
      </c>
      <c r="DA1071" t="s">
        <v>5904</v>
      </c>
      <c r="DB1071">
        <v>393.7</v>
      </c>
      <c r="DC1071" t="s">
        <v>27626</v>
      </c>
      <c r="DD1071" t="s">
        <v>27627</v>
      </c>
      <c r="DE1071" t="s">
        <v>27628</v>
      </c>
      <c r="DF1071" t="s">
        <v>27629</v>
      </c>
      <c r="DG1071" t="s">
        <v>27630</v>
      </c>
      <c r="DH1071" t="str">
        <f>"GSTA1"</f>
        <v>GSTA1</v>
      </c>
      <c r="DI1071" t="s">
        <v>13772</v>
      </c>
      <c r="DJ1071" t="s">
        <v>13777</v>
      </c>
      <c r="DK1071">
        <v>9606</v>
      </c>
      <c r="DL1071" s="34" t="str">
        <f>HYPERLINK("http://www.uniprot.org/uniprot/P08263", "P08263")</f>
        <v>P08263</v>
      </c>
      <c r="DM1071" t="s">
        <v>27631</v>
      </c>
      <c r="DN1071" t="s">
        <v>13772</v>
      </c>
      <c r="DO1071" t="s">
        <v>13899</v>
      </c>
      <c r="DP1071" t="s">
        <v>13793</v>
      </c>
      <c r="DQ1071" t="s">
        <v>13772</v>
      </c>
      <c r="DR1071" t="s">
        <v>13772</v>
      </c>
      <c r="DS1071" t="s">
        <v>13772</v>
      </c>
      <c r="DT1071" t="s">
        <v>13772</v>
      </c>
      <c r="DU1071" t="s">
        <v>27632</v>
      </c>
      <c r="DV1071" t="s">
        <v>14020</v>
      </c>
      <c r="DW1071" t="s">
        <v>13812</v>
      </c>
      <c r="DX1071" t="s">
        <v>27633</v>
      </c>
      <c r="DY1071" t="s">
        <v>15111</v>
      </c>
      <c r="DZ1071" t="s">
        <v>27634</v>
      </c>
      <c r="EA1071" t="s">
        <v>13772</v>
      </c>
      <c r="EB1071" t="s">
        <v>18170</v>
      </c>
    </row>
    <row r="1072" spans="1:132" hidden="1">
      <c r="A1072">
        <v>1624</v>
      </c>
      <c r="B1072">
        <v>1</v>
      </c>
      <c r="C1072" t="s">
        <v>3848</v>
      </c>
      <c r="D1072" t="s">
        <v>73</v>
      </c>
      <c r="E1072" t="s">
        <v>73</v>
      </c>
      <c r="F1072" t="s">
        <v>73</v>
      </c>
      <c r="G1072" t="s">
        <v>73</v>
      </c>
      <c r="H1072">
        <v>43.4</v>
      </c>
      <c r="I1072">
        <v>212</v>
      </c>
      <c r="J1072">
        <v>23545</v>
      </c>
      <c r="K1072" t="s">
        <v>3849</v>
      </c>
      <c r="L1072">
        <f t="shared" si="66"/>
        <v>23</v>
      </c>
      <c r="N1072">
        <v>23</v>
      </c>
      <c r="O1072">
        <v>23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2</v>
      </c>
      <c r="W1072">
        <v>1</v>
      </c>
      <c r="X1072">
        <v>2</v>
      </c>
      <c r="Y1072">
        <v>2</v>
      </c>
      <c r="Z1072">
        <v>0</v>
      </c>
      <c r="AA1072">
        <v>5</v>
      </c>
      <c r="AB1072">
        <v>4</v>
      </c>
      <c r="AC1072">
        <v>3</v>
      </c>
      <c r="AD1072">
        <v>0</v>
      </c>
      <c r="AE1072">
        <v>1</v>
      </c>
      <c r="AF1072">
        <v>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2</v>
      </c>
      <c r="AP1072">
        <v>1</v>
      </c>
      <c r="AQ1072">
        <v>2</v>
      </c>
      <c r="AR1072">
        <v>2</v>
      </c>
      <c r="AS1072">
        <v>0</v>
      </c>
      <c r="AT1072">
        <v>5</v>
      </c>
      <c r="AU1072">
        <v>4</v>
      </c>
      <c r="AV1072">
        <v>3</v>
      </c>
      <c r="AW1072">
        <v>0</v>
      </c>
      <c r="AX1072">
        <v>1</v>
      </c>
      <c r="AY1072">
        <v>2</v>
      </c>
      <c r="AZ1072">
        <v>0</v>
      </c>
      <c r="BA1072">
        <v>0</v>
      </c>
      <c r="BB107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1</v>
      </c>
      <c r="BH1072" s="2">
        <v>2</v>
      </c>
      <c r="BI1072" s="2">
        <v>1</v>
      </c>
      <c r="BJ1072" s="2">
        <v>2</v>
      </c>
      <c r="BK1072" s="2">
        <v>2</v>
      </c>
      <c r="BL1072" s="2">
        <v>0</v>
      </c>
      <c r="BM1072" s="2">
        <v>5</v>
      </c>
      <c r="BN1072" s="2">
        <v>4</v>
      </c>
      <c r="BO1072" s="2">
        <v>3</v>
      </c>
      <c r="BP1072" s="2">
        <v>0</v>
      </c>
      <c r="BQ1072" s="2">
        <v>1</v>
      </c>
      <c r="BR1072" s="2">
        <v>2</v>
      </c>
      <c r="BS1072" s="2">
        <v>0</v>
      </c>
      <c r="BT1072" s="2">
        <v>0</v>
      </c>
      <c r="BU1072" s="2">
        <v>0</v>
      </c>
      <c r="BV1072" s="2">
        <f t="shared" si="69"/>
        <v>23</v>
      </c>
      <c r="BW1072" s="16">
        <f t="shared" si="67"/>
        <v>1.2105263157894737</v>
      </c>
      <c r="BX1072" s="16">
        <f>COUNTIF($BC$6:BU1072, "=0") / COUNTIF($BC$6:BU1072, "&gt;-1")</f>
        <v>0.2901395945346027</v>
      </c>
      <c r="BY1072" s="18">
        <f>SUM($BC$6:BU1072) / $BY$4</f>
        <v>0.94877036318883468</v>
      </c>
      <c r="BZ1072" s="14">
        <f t="shared" si="68"/>
        <v>9</v>
      </c>
      <c r="CA1072" t="s">
        <v>5832</v>
      </c>
      <c r="CZ1072" t="s">
        <v>11160</v>
      </c>
      <c r="DA1072" t="s">
        <v>5904</v>
      </c>
      <c r="DB1072">
        <v>441.8</v>
      </c>
      <c r="DC1072" t="s">
        <v>29374</v>
      </c>
      <c r="DD1072" t="s">
        <v>13772</v>
      </c>
      <c r="DE1072" t="s">
        <v>29375</v>
      </c>
      <c r="DF1072" t="s">
        <v>29376</v>
      </c>
      <c r="DG1072" t="s">
        <v>29377</v>
      </c>
      <c r="DH1072" t="str">
        <f>"RAB2A"</f>
        <v>RAB2A</v>
      </c>
      <c r="DI1072" t="s">
        <v>29378</v>
      </c>
      <c r="DJ1072" t="s">
        <v>13777</v>
      </c>
      <c r="DK1072">
        <v>9606</v>
      </c>
      <c r="DL1072" s="34" t="str">
        <f>HYPERLINK("http://www.uniprot.org/uniprot/P61019", "P61019")</f>
        <v>P61019</v>
      </c>
      <c r="DM1072" t="s">
        <v>29379</v>
      </c>
      <c r="DN1072" t="s">
        <v>15450</v>
      </c>
      <c r="DO1072" t="s">
        <v>17766</v>
      </c>
      <c r="DP1072" t="s">
        <v>13841</v>
      </c>
      <c r="DQ1072" t="s">
        <v>13772</v>
      </c>
      <c r="DR1072" t="s">
        <v>13772</v>
      </c>
      <c r="DS1072" t="s">
        <v>13772</v>
      </c>
      <c r="DT1072" t="s">
        <v>14216</v>
      </c>
      <c r="DU1072" t="s">
        <v>13772</v>
      </c>
      <c r="DV1072" t="s">
        <v>23961</v>
      </c>
      <c r="DW1072" t="s">
        <v>13812</v>
      </c>
      <c r="DX1072" t="s">
        <v>29380</v>
      </c>
      <c r="DY1072" t="s">
        <v>29381</v>
      </c>
      <c r="DZ1072" t="s">
        <v>14352</v>
      </c>
      <c r="EA1072" t="s">
        <v>13772</v>
      </c>
      <c r="EB1072" t="s">
        <v>29382</v>
      </c>
    </row>
    <row r="1073" spans="1:132" hidden="1">
      <c r="A1073">
        <v>1826</v>
      </c>
      <c r="B1073">
        <v>1</v>
      </c>
      <c r="C1073" t="s">
        <v>4317</v>
      </c>
      <c r="D1073" t="s">
        <v>73</v>
      </c>
      <c r="E1073" t="s">
        <v>73</v>
      </c>
      <c r="F1073" t="s">
        <v>73</v>
      </c>
      <c r="G1073" t="s">
        <v>73</v>
      </c>
      <c r="H1073">
        <v>23</v>
      </c>
      <c r="I1073">
        <v>574</v>
      </c>
      <c r="J1073">
        <v>64615</v>
      </c>
      <c r="K1073" t="s">
        <v>4318</v>
      </c>
      <c r="L1073">
        <f t="shared" si="66"/>
        <v>23</v>
      </c>
      <c r="N1073">
        <v>23</v>
      </c>
      <c r="O1073">
        <v>23</v>
      </c>
      <c r="P1073">
        <v>1</v>
      </c>
      <c r="Q1073">
        <v>1</v>
      </c>
      <c r="R1073">
        <v>5</v>
      </c>
      <c r="S1073">
        <v>0</v>
      </c>
      <c r="T1073">
        <v>0</v>
      </c>
      <c r="U1073">
        <v>12</v>
      </c>
      <c r="V1073">
        <v>4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5</v>
      </c>
      <c r="AL1073">
        <v>0</v>
      </c>
      <c r="AM1073">
        <v>0</v>
      </c>
      <c r="AN1073">
        <v>12</v>
      </c>
      <c r="AO1073">
        <v>4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 s="2">
        <v>1</v>
      </c>
      <c r="BD1073" s="2">
        <v>5</v>
      </c>
      <c r="BE1073" s="2">
        <v>0</v>
      </c>
      <c r="BF1073" s="2">
        <v>0</v>
      </c>
      <c r="BG1073" s="2">
        <v>12</v>
      </c>
      <c r="BH1073" s="2">
        <v>4</v>
      </c>
      <c r="BI1073" s="2">
        <v>0</v>
      </c>
      <c r="BJ1073" s="2">
        <v>1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f t="shared" si="69"/>
        <v>23</v>
      </c>
      <c r="BW1073" s="16">
        <f t="shared" si="67"/>
        <v>1.2105263157894737</v>
      </c>
      <c r="BX1073" s="16">
        <f>COUNTIF($BC$6:BU1073, "=0") / COUNTIF($BC$6:BU1073, "&gt;-1")</f>
        <v>0.29055785531243838</v>
      </c>
      <c r="BY1073" s="18">
        <f>SUM($BC$6:BU1073) / $BY$4</f>
        <v>0.94886888683681481</v>
      </c>
      <c r="BZ1073" s="14">
        <f t="shared" si="68"/>
        <v>14</v>
      </c>
      <c r="CA1073" t="s">
        <v>5832</v>
      </c>
      <c r="CZ1073" t="s">
        <v>11845</v>
      </c>
      <c r="DA1073" t="s">
        <v>5904</v>
      </c>
      <c r="DB1073">
        <v>928.7</v>
      </c>
      <c r="DC1073" t="s">
        <v>31335</v>
      </c>
      <c r="DD1073" t="s">
        <v>31336</v>
      </c>
      <c r="DE1073" t="s">
        <v>31337</v>
      </c>
      <c r="DF1073" t="s">
        <v>31338</v>
      </c>
      <c r="DG1073" t="s">
        <v>31339</v>
      </c>
      <c r="DH1073" t="str">
        <f>"ACSM1"</f>
        <v>ACSM1</v>
      </c>
      <c r="DI1073" t="s">
        <v>31340</v>
      </c>
      <c r="DJ1073" t="s">
        <v>13777</v>
      </c>
      <c r="DK1073">
        <v>9606</v>
      </c>
      <c r="DL1073" s="34" t="str">
        <f>HYPERLINK("http://www.uniprot.org/uniprot/Q08AH1", "Q08AH1")</f>
        <v>Q08AH1</v>
      </c>
      <c r="DM1073" t="s">
        <v>31341</v>
      </c>
      <c r="DN1073" t="s">
        <v>14430</v>
      </c>
      <c r="DO1073" t="s">
        <v>14491</v>
      </c>
      <c r="DP1073" t="s">
        <v>13780</v>
      </c>
      <c r="DQ1073" t="s">
        <v>13772</v>
      </c>
      <c r="DR1073" t="s">
        <v>13772</v>
      </c>
      <c r="DS1073" t="s">
        <v>14391</v>
      </c>
      <c r="DT1073" t="s">
        <v>31342</v>
      </c>
      <c r="DU1073" t="s">
        <v>21123</v>
      </c>
      <c r="DV1073" t="s">
        <v>14020</v>
      </c>
      <c r="DW1073" t="s">
        <v>13772</v>
      </c>
      <c r="DX1073" t="s">
        <v>31343</v>
      </c>
      <c r="DY1073" t="s">
        <v>31344</v>
      </c>
      <c r="DZ1073" t="s">
        <v>31345</v>
      </c>
      <c r="EA1073" t="s">
        <v>13772</v>
      </c>
      <c r="EB1073" t="s">
        <v>31346</v>
      </c>
    </row>
    <row r="1074" spans="1:132" hidden="1">
      <c r="A1074">
        <v>1854</v>
      </c>
      <c r="B1074">
        <v>1</v>
      </c>
      <c r="C1074" t="s">
        <v>4381</v>
      </c>
      <c r="D1074" t="s">
        <v>4382</v>
      </c>
      <c r="E1074" t="s">
        <v>73</v>
      </c>
      <c r="F1074" t="s">
        <v>73</v>
      </c>
      <c r="G1074" t="s">
        <v>73</v>
      </c>
      <c r="H1074">
        <v>8.5</v>
      </c>
      <c r="I1074">
        <v>673</v>
      </c>
      <c r="J1074">
        <v>74062</v>
      </c>
      <c r="K1074" t="s">
        <v>4383</v>
      </c>
      <c r="L1074">
        <f t="shared" si="66"/>
        <v>23</v>
      </c>
      <c r="N1074">
        <v>23</v>
      </c>
      <c r="O1074">
        <v>23</v>
      </c>
      <c r="P1074">
        <v>1</v>
      </c>
      <c r="Q1074">
        <v>2</v>
      </c>
      <c r="R1074">
        <v>5</v>
      </c>
      <c r="S1074">
        <v>0</v>
      </c>
      <c r="T1074">
        <v>2</v>
      </c>
      <c r="U1074">
        <v>6</v>
      </c>
      <c r="V1074">
        <v>3</v>
      </c>
      <c r="W1074">
        <v>3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5</v>
      </c>
      <c r="AL1074">
        <v>0</v>
      </c>
      <c r="AM1074">
        <v>2</v>
      </c>
      <c r="AN1074">
        <v>6</v>
      </c>
      <c r="AO1074">
        <v>3</v>
      </c>
      <c r="AP1074">
        <v>3</v>
      </c>
      <c r="AQ1074">
        <v>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 s="2">
        <v>2</v>
      </c>
      <c r="BD1074" s="2">
        <v>5</v>
      </c>
      <c r="BE1074" s="2">
        <v>0</v>
      </c>
      <c r="BF1074" s="2">
        <v>2</v>
      </c>
      <c r="BG1074" s="2">
        <v>6</v>
      </c>
      <c r="BH1074" s="2">
        <v>3</v>
      </c>
      <c r="BI1074" s="2">
        <v>3</v>
      </c>
      <c r="BJ1074" s="2">
        <v>2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f t="shared" si="69"/>
        <v>23</v>
      </c>
      <c r="BW1074" s="16">
        <f t="shared" si="67"/>
        <v>1.2105263157894737</v>
      </c>
      <c r="BX1074" s="16">
        <f>COUNTIF($BC$6:BU1074, "=0") / COUNTIF($BC$6:BU1074, "&gt;-1")</f>
        <v>0.29087686475308944</v>
      </c>
      <c r="BY1074" s="18">
        <f>SUM($BC$6:BU1074) / $BY$4</f>
        <v>0.94896741048479494</v>
      </c>
      <c r="BZ1074" s="14">
        <f t="shared" si="68"/>
        <v>12</v>
      </c>
      <c r="CA1074" t="s">
        <v>5832</v>
      </c>
      <c r="CZ1074" t="s">
        <v>11942</v>
      </c>
      <c r="DA1074" t="s">
        <v>5904</v>
      </c>
      <c r="DB1074">
        <v>1162.5</v>
      </c>
      <c r="DC1074" t="s">
        <v>31617</v>
      </c>
      <c r="DD1074" t="s">
        <v>31618</v>
      </c>
      <c r="DE1074" t="s">
        <v>31619</v>
      </c>
      <c r="DF1074" t="s">
        <v>31620</v>
      </c>
      <c r="DG1074" t="s">
        <v>31621</v>
      </c>
      <c r="DH1074" t="str">
        <f>"SLC5A11"</f>
        <v>SLC5A11</v>
      </c>
      <c r="DI1074" t="s">
        <v>13772</v>
      </c>
      <c r="DJ1074" t="s">
        <v>13777</v>
      </c>
      <c r="DK1074">
        <v>9606</v>
      </c>
      <c r="DL1074" s="34" t="str">
        <f>HYPERLINK("http://www.uniprot.org/uniprot/Q8WWX8", "Q8WWX8")</f>
        <v>Q8WWX8</v>
      </c>
      <c r="DM1074" t="s">
        <v>31622</v>
      </c>
      <c r="DN1074" t="s">
        <v>31623</v>
      </c>
      <c r="DO1074" t="s">
        <v>13825</v>
      </c>
      <c r="DP1074" t="s">
        <v>13780</v>
      </c>
      <c r="DQ1074" t="s">
        <v>13772</v>
      </c>
      <c r="DR1074" t="s">
        <v>13772</v>
      </c>
      <c r="DS1074" t="s">
        <v>13925</v>
      </c>
      <c r="DT1074" t="s">
        <v>13926</v>
      </c>
      <c r="DU1074" t="s">
        <v>13772</v>
      </c>
      <c r="DV1074" t="s">
        <v>13772</v>
      </c>
      <c r="DW1074" t="s">
        <v>13772</v>
      </c>
      <c r="DX1074" t="s">
        <v>31624</v>
      </c>
      <c r="DY1074" t="s">
        <v>13798</v>
      </c>
      <c r="DZ1074" t="s">
        <v>31625</v>
      </c>
      <c r="EA1074" t="s">
        <v>13772</v>
      </c>
      <c r="EB1074" t="s">
        <v>31626</v>
      </c>
    </row>
    <row r="1075" spans="1:132" hidden="1">
      <c r="A1075">
        <v>2083</v>
      </c>
      <c r="B1075">
        <v>1</v>
      </c>
      <c r="C1075" t="s">
        <v>4895</v>
      </c>
      <c r="D1075" t="s">
        <v>73</v>
      </c>
      <c r="E1075" t="s">
        <v>73</v>
      </c>
      <c r="F1075" t="s">
        <v>73</v>
      </c>
      <c r="G1075" t="s">
        <v>73</v>
      </c>
      <c r="H1075">
        <v>16.3</v>
      </c>
      <c r="I1075">
        <v>338</v>
      </c>
      <c r="J1075">
        <v>36899</v>
      </c>
      <c r="K1075" t="s">
        <v>4896</v>
      </c>
      <c r="L1075">
        <f t="shared" si="66"/>
        <v>23</v>
      </c>
      <c r="N1075">
        <v>23</v>
      </c>
      <c r="O1075">
        <v>23</v>
      </c>
      <c r="P1075">
        <v>1</v>
      </c>
      <c r="Q1075">
        <v>2</v>
      </c>
      <c r="R1075">
        <v>2</v>
      </c>
      <c r="S1075">
        <v>3</v>
      </c>
      <c r="T1075">
        <v>1</v>
      </c>
      <c r="U1075">
        <v>5</v>
      </c>
      <c r="V1075">
        <v>2</v>
      </c>
      <c r="W1075">
        <v>4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3</v>
      </c>
      <c r="AM1075">
        <v>1</v>
      </c>
      <c r="AN1075">
        <v>5</v>
      </c>
      <c r="AO1075">
        <v>2</v>
      </c>
      <c r="AP1075">
        <v>4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 s="2">
        <v>2</v>
      </c>
      <c r="BD1075" s="2">
        <v>2</v>
      </c>
      <c r="BE1075" s="2">
        <v>3</v>
      </c>
      <c r="BF1075" s="2">
        <v>1</v>
      </c>
      <c r="BG1075" s="2">
        <v>5</v>
      </c>
      <c r="BH1075" s="2">
        <v>2</v>
      </c>
      <c r="BI1075" s="2">
        <v>4</v>
      </c>
      <c r="BJ1075" s="2">
        <v>1</v>
      </c>
      <c r="BK1075" s="2">
        <v>0</v>
      </c>
      <c r="BL1075" s="2">
        <v>0</v>
      </c>
      <c r="BM1075" s="2">
        <v>1</v>
      </c>
      <c r="BN1075" s="2">
        <v>0</v>
      </c>
      <c r="BO1075" s="2">
        <v>0</v>
      </c>
      <c r="BP1075" s="2">
        <v>0</v>
      </c>
      <c r="BQ1075" s="2">
        <v>1</v>
      </c>
      <c r="BR1075" s="2">
        <v>1</v>
      </c>
      <c r="BS1075" s="2">
        <v>0</v>
      </c>
      <c r="BT1075" s="2">
        <v>0</v>
      </c>
      <c r="BU1075" s="2">
        <v>0</v>
      </c>
      <c r="BV1075" s="2">
        <f t="shared" si="69"/>
        <v>23</v>
      </c>
      <c r="BW1075" s="16">
        <f t="shared" si="67"/>
        <v>1.2105263157894737</v>
      </c>
      <c r="BX1075" s="16">
        <f>COUNTIF($BC$6:BU1075, "=0") / COUNTIF($BC$6:BU1075, "&gt;-1")</f>
        <v>0.2909985243482538</v>
      </c>
      <c r="BY1075" s="18">
        <f>SUM($BC$6:BU1075) / $BY$4</f>
        <v>0.94906593413277507</v>
      </c>
      <c r="BZ1075" s="14">
        <f t="shared" si="68"/>
        <v>8</v>
      </c>
      <c r="CA1075" t="s">
        <v>5832</v>
      </c>
      <c r="CZ1075" t="s">
        <v>12697</v>
      </c>
      <c r="DA1075" t="s">
        <v>5904</v>
      </c>
      <c r="DB1075">
        <v>429.5</v>
      </c>
      <c r="DC1075" t="s">
        <v>33730</v>
      </c>
      <c r="DD1075" t="s">
        <v>33731</v>
      </c>
      <c r="DE1075" t="s">
        <v>33732</v>
      </c>
      <c r="DF1075" t="s">
        <v>33733</v>
      </c>
      <c r="DG1075" t="s">
        <v>33734</v>
      </c>
      <c r="DH1075" t="str">
        <f>"GP6"</f>
        <v>GP6</v>
      </c>
      <c r="DI1075" t="s">
        <v>13772</v>
      </c>
      <c r="DJ1075" t="s">
        <v>13777</v>
      </c>
      <c r="DK1075">
        <v>9606</v>
      </c>
      <c r="DL1075" s="34" t="str">
        <f>HYPERLINK("http://www.uniprot.org/uniprot/Q9HCN6", "Q9HCN6")</f>
        <v>Q9HCN6</v>
      </c>
      <c r="DM1075" t="s">
        <v>33735</v>
      </c>
      <c r="DN1075" t="s">
        <v>16755</v>
      </c>
      <c r="DO1075" t="s">
        <v>13792</v>
      </c>
      <c r="DP1075" t="s">
        <v>13780</v>
      </c>
      <c r="DQ1075" t="s">
        <v>13772</v>
      </c>
      <c r="DR1075" t="s">
        <v>13807</v>
      </c>
      <c r="DS1075" t="s">
        <v>13951</v>
      </c>
      <c r="DT1075" t="s">
        <v>13772</v>
      </c>
      <c r="DU1075" t="s">
        <v>13795</v>
      </c>
      <c r="DV1075" t="s">
        <v>13796</v>
      </c>
      <c r="DW1075" t="s">
        <v>13812</v>
      </c>
      <c r="DX1075" t="s">
        <v>33736</v>
      </c>
      <c r="DY1075" t="s">
        <v>33737</v>
      </c>
      <c r="DZ1075" t="s">
        <v>33738</v>
      </c>
      <c r="EA1075" t="s">
        <v>13772</v>
      </c>
      <c r="EB1075" t="s">
        <v>33739</v>
      </c>
    </row>
    <row r="1076" spans="1:132" hidden="1">
      <c r="A1076">
        <v>2190</v>
      </c>
      <c r="B1076">
        <v>1</v>
      </c>
      <c r="C1076" t="s">
        <v>5122</v>
      </c>
      <c r="D1076" t="s">
        <v>73</v>
      </c>
      <c r="E1076" t="s">
        <v>73</v>
      </c>
      <c r="F1076" t="s">
        <v>73</v>
      </c>
      <c r="G1076" t="s">
        <v>73</v>
      </c>
      <c r="H1076">
        <v>49.6</v>
      </c>
      <c r="I1076">
        <v>129</v>
      </c>
      <c r="J1076">
        <v>13743</v>
      </c>
      <c r="K1076" t="s">
        <v>5123</v>
      </c>
      <c r="L1076">
        <f t="shared" si="66"/>
        <v>23</v>
      </c>
      <c r="N1076">
        <v>23</v>
      </c>
      <c r="O1076">
        <v>23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3</v>
      </c>
      <c r="AB1076">
        <v>6</v>
      </c>
      <c r="AC1076">
        <v>2</v>
      </c>
      <c r="AD1076">
        <v>1</v>
      </c>
      <c r="AE1076">
        <v>5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3</v>
      </c>
      <c r="AU1076">
        <v>6</v>
      </c>
      <c r="AV1076">
        <v>2</v>
      </c>
      <c r="AW1076">
        <v>1</v>
      </c>
      <c r="AX1076">
        <v>5</v>
      </c>
      <c r="AY1076">
        <v>1</v>
      </c>
      <c r="AZ1076">
        <v>0</v>
      </c>
      <c r="BA1076">
        <v>0</v>
      </c>
      <c r="BB1076">
        <v>0</v>
      </c>
      <c r="BC1076" s="2">
        <v>1</v>
      </c>
      <c r="BD1076" s="2">
        <v>1</v>
      </c>
      <c r="BE1076" s="2">
        <v>0</v>
      </c>
      <c r="BF1076" s="2">
        <v>0</v>
      </c>
      <c r="BG1076" s="2">
        <v>1</v>
      </c>
      <c r="BH1076" s="2">
        <v>0</v>
      </c>
      <c r="BI1076" s="2">
        <v>0</v>
      </c>
      <c r="BJ1076" s="2">
        <v>1</v>
      </c>
      <c r="BK1076" s="2">
        <v>1</v>
      </c>
      <c r="BL1076" s="2">
        <v>0</v>
      </c>
      <c r="BM1076" s="2">
        <v>3</v>
      </c>
      <c r="BN1076" s="2">
        <v>6</v>
      </c>
      <c r="BO1076" s="2">
        <v>2</v>
      </c>
      <c r="BP1076" s="2">
        <v>1</v>
      </c>
      <c r="BQ1076" s="2">
        <v>5</v>
      </c>
      <c r="BR1076" s="2">
        <v>1</v>
      </c>
      <c r="BS1076" s="2">
        <v>0</v>
      </c>
      <c r="BT1076" s="2">
        <v>0</v>
      </c>
      <c r="BU1076" s="2">
        <v>0</v>
      </c>
      <c r="BV1076" s="2">
        <f t="shared" si="69"/>
        <v>23</v>
      </c>
      <c r="BW1076" s="16">
        <f t="shared" si="67"/>
        <v>1.2105263157894737</v>
      </c>
      <c r="BX1076" s="16">
        <f>COUNTIF($BC$6:BU1076, "=0") / COUNTIF($BC$6:BU1076, "&gt;-1")</f>
        <v>0.2911199567546317</v>
      </c>
      <c r="BY1076" s="18">
        <f>SUM($BC$6:BU1076) / $BY$4</f>
        <v>0.9491644577807552</v>
      </c>
      <c r="BZ1076" s="14">
        <f t="shared" si="68"/>
        <v>8</v>
      </c>
      <c r="CA1076" t="s">
        <v>5832</v>
      </c>
      <c r="CZ1076" t="s">
        <v>13046</v>
      </c>
      <c r="DA1076" t="s">
        <v>5904</v>
      </c>
      <c r="DB1076">
        <v>235</v>
      </c>
      <c r="DC1076" t="s">
        <v>34696</v>
      </c>
      <c r="DD1076" t="s">
        <v>34697</v>
      </c>
      <c r="DE1076" t="s">
        <v>34698</v>
      </c>
      <c r="DF1076" t="s">
        <v>34699</v>
      </c>
      <c r="DG1076" t="s">
        <v>34700</v>
      </c>
      <c r="DH1076" t="str">
        <f>"COX5B"</f>
        <v>COX5B</v>
      </c>
      <c r="DI1076" t="s">
        <v>13772</v>
      </c>
      <c r="DJ1076" t="s">
        <v>13777</v>
      </c>
      <c r="DK1076">
        <v>9606</v>
      </c>
      <c r="DL1076" s="34" t="str">
        <f>HYPERLINK("http://www.uniprot.org/uniprot/P10606", "P10606")</f>
        <v>P10606</v>
      </c>
      <c r="DM1076" t="s">
        <v>34701</v>
      </c>
      <c r="DN1076" t="s">
        <v>13772</v>
      </c>
      <c r="DO1076" t="s">
        <v>15507</v>
      </c>
      <c r="DP1076" t="s">
        <v>13772</v>
      </c>
      <c r="DQ1076" t="s">
        <v>13772</v>
      </c>
      <c r="DR1076" t="s">
        <v>13772</v>
      </c>
      <c r="DS1076" t="s">
        <v>14391</v>
      </c>
      <c r="DT1076" t="s">
        <v>13856</v>
      </c>
      <c r="DU1076" t="s">
        <v>13772</v>
      </c>
      <c r="DV1076" t="s">
        <v>14020</v>
      </c>
      <c r="DW1076" t="s">
        <v>13812</v>
      </c>
      <c r="DX1076" t="s">
        <v>34702</v>
      </c>
      <c r="DY1076" t="s">
        <v>15509</v>
      </c>
      <c r="DZ1076" t="s">
        <v>34703</v>
      </c>
      <c r="EA1076" t="s">
        <v>13772</v>
      </c>
      <c r="EB1076" t="s">
        <v>16035</v>
      </c>
    </row>
    <row r="1077" spans="1:132" hidden="1">
      <c r="A1077">
        <v>2236</v>
      </c>
      <c r="B1077">
        <v>1</v>
      </c>
      <c r="C1077" t="s">
        <v>5229</v>
      </c>
      <c r="D1077" t="s">
        <v>5230</v>
      </c>
      <c r="E1077" t="s">
        <v>73</v>
      </c>
      <c r="F1077" t="s">
        <v>73</v>
      </c>
      <c r="G1077" t="s">
        <v>73</v>
      </c>
      <c r="H1077">
        <v>9.9</v>
      </c>
      <c r="I1077">
        <v>767</v>
      </c>
      <c r="J1077">
        <v>81927</v>
      </c>
      <c r="K1077" t="s">
        <v>5231</v>
      </c>
      <c r="L1077">
        <f t="shared" si="66"/>
        <v>23</v>
      </c>
      <c r="N1077">
        <v>23</v>
      </c>
      <c r="O1077">
        <v>23</v>
      </c>
      <c r="P1077">
        <v>1</v>
      </c>
      <c r="Q1077">
        <v>2</v>
      </c>
      <c r="R1077">
        <v>4</v>
      </c>
      <c r="S1077">
        <v>2</v>
      </c>
      <c r="T1077">
        <v>1</v>
      </c>
      <c r="U1077">
        <v>9</v>
      </c>
      <c r="V1077">
        <v>2</v>
      </c>
      <c r="W1077">
        <v>2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4</v>
      </c>
      <c r="AL1077">
        <v>2</v>
      </c>
      <c r="AM1077">
        <v>1</v>
      </c>
      <c r="AN1077">
        <v>9</v>
      </c>
      <c r="AO1077">
        <v>2</v>
      </c>
      <c r="AP1077">
        <v>2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s="2">
        <v>2</v>
      </c>
      <c r="BD1077" s="2">
        <v>4</v>
      </c>
      <c r="BE1077" s="2">
        <v>2</v>
      </c>
      <c r="BF1077" s="2">
        <v>1</v>
      </c>
      <c r="BG1077" s="2">
        <v>9</v>
      </c>
      <c r="BH1077" s="2">
        <v>2</v>
      </c>
      <c r="BI1077" s="2">
        <v>2</v>
      </c>
      <c r="BJ1077" s="2">
        <v>0</v>
      </c>
      <c r="BK1077" s="2">
        <v>0</v>
      </c>
      <c r="BL1077" s="2">
        <v>0</v>
      </c>
      <c r="BM1077" s="2">
        <v>1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f t="shared" si="69"/>
        <v>23</v>
      </c>
      <c r="BW1077" s="16">
        <f t="shared" si="67"/>
        <v>1.2105263157894737</v>
      </c>
      <c r="BX1077" s="16">
        <f>COUNTIF($BC$6:BU1077, "=0") / COUNTIF($BC$6:BU1077, "&gt;-1")</f>
        <v>0.29138845247446976</v>
      </c>
      <c r="BY1077" s="18">
        <f>SUM($BC$6:BU1077) / $BY$4</f>
        <v>0.94926298142873522</v>
      </c>
      <c r="BZ1077" s="14">
        <f t="shared" si="68"/>
        <v>11</v>
      </c>
      <c r="CA1077" t="s">
        <v>5832</v>
      </c>
      <c r="CZ1077" t="s">
        <v>13197</v>
      </c>
      <c r="DA1077" t="s">
        <v>5904</v>
      </c>
      <c r="DB1077">
        <v>1108.5999999999999</v>
      </c>
      <c r="DC1077" t="s">
        <v>35110</v>
      </c>
      <c r="DD1077" t="s">
        <v>35111</v>
      </c>
      <c r="DE1077" t="s">
        <v>35112</v>
      </c>
      <c r="DF1077" t="s">
        <v>35113</v>
      </c>
      <c r="DG1077" t="s">
        <v>35114</v>
      </c>
      <c r="DH1077" t="str">
        <f>"CNNM3"</f>
        <v>CNNM3</v>
      </c>
      <c r="DI1077" t="s">
        <v>35115</v>
      </c>
      <c r="DJ1077" t="s">
        <v>13777</v>
      </c>
      <c r="DK1077">
        <v>9606</v>
      </c>
      <c r="DL1077" s="34" t="str">
        <f>HYPERLINK("http://www.uniprot.org/uniprot/Q8NE01", "Q8NE01")</f>
        <v>Q8NE01</v>
      </c>
      <c r="DM1077" t="s">
        <v>35116</v>
      </c>
      <c r="DN1077" t="s">
        <v>14288</v>
      </c>
      <c r="DO1077" t="s">
        <v>13792</v>
      </c>
      <c r="DP1077" t="s">
        <v>13841</v>
      </c>
      <c r="DQ1077" t="s">
        <v>13772</v>
      </c>
      <c r="DR1077" t="s">
        <v>13772</v>
      </c>
      <c r="DS1077" t="s">
        <v>35117</v>
      </c>
      <c r="DT1077" t="s">
        <v>13772</v>
      </c>
      <c r="DU1077" t="s">
        <v>13772</v>
      </c>
      <c r="DV1077" t="s">
        <v>13978</v>
      </c>
      <c r="DW1077" t="s">
        <v>13812</v>
      </c>
      <c r="DX1077" t="s">
        <v>19487</v>
      </c>
      <c r="DY1077" t="s">
        <v>21498</v>
      </c>
      <c r="DZ1077" t="s">
        <v>19648</v>
      </c>
      <c r="EA1077" t="s">
        <v>13772</v>
      </c>
      <c r="EB1077" t="s">
        <v>13772</v>
      </c>
    </row>
    <row r="1078" spans="1:132" hidden="1">
      <c r="A1078">
        <v>2277</v>
      </c>
      <c r="B1078">
        <v>1</v>
      </c>
      <c r="C1078" t="s">
        <v>5319</v>
      </c>
      <c r="D1078" t="s">
        <v>73</v>
      </c>
      <c r="E1078" t="s">
        <v>73</v>
      </c>
      <c r="F1078" t="s">
        <v>73</v>
      </c>
      <c r="G1078" t="s">
        <v>73</v>
      </c>
      <c r="H1078">
        <v>25.9</v>
      </c>
      <c r="I1078">
        <v>622</v>
      </c>
      <c r="J1078">
        <v>69496</v>
      </c>
      <c r="K1078" t="s">
        <v>5320</v>
      </c>
      <c r="L1078">
        <f t="shared" si="66"/>
        <v>23</v>
      </c>
      <c r="N1078">
        <v>23</v>
      </c>
      <c r="O1078">
        <v>23</v>
      </c>
      <c r="P1078">
        <v>1</v>
      </c>
      <c r="Q1078">
        <v>1</v>
      </c>
      <c r="R1078">
        <v>2</v>
      </c>
      <c r="S1078">
        <v>0</v>
      </c>
      <c r="T1078">
        <v>0</v>
      </c>
      <c r="U1078">
        <v>9</v>
      </c>
      <c r="V1078">
        <v>7</v>
      </c>
      <c r="W1078">
        <v>0</v>
      </c>
      <c r="X1078">
        <v>0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0</v>
      </c>
      <c r="AM1078">
        <v>0</v>
      </c>
      <c r="AN1078">
        <v>9</v>
      </c>
      <c r="AO1078">
        <v>7</v>
      </c>
      <c r="AP1078">
        <v>0</v>
      </c>
      <c r="AQ1078">
        <v>0</v>
      </c>
      <c r="AR1078">
        <v>0</v>
      </c>
      <c r="AS1078">
        <v>0</v>
      </c>
      <c r="AT1078">
        <v>2</v>
      </c>
      <c r="AU1078">
        <v>0</v>
      </c>
      <c r="AV1078">
        <v>0</v>
      </c>
      <c r="AW1078">
        <v>0</v>
      </c>
      <c r="AX1078">
        <v>0</v>
      </c>
      <c r="AY1078">
        <v>2</v>
      </c>
      <c r="AZ1078">
        <v>0</v>
      </c>
      <c r="BA1078">
        <v>0</v>
      </c>
      <c r="BB1078">
        <v>0</v>
      </c>
      <c r="BC1078" s="2">
        <v>1</v>
      </c>
      <c r="BD1078" s="2">
        <v>2</v>
      </c>
      <c r="BE1078" s="2">
        <v>0</v>
      </c>
      <c r="BF1078" s="2">
        <v>0</v>
      </c>
      <c r="BG1078" s="2">
        <v>9</v>
      </c>
      <c r="BH1078" s="2">
        <v>7</v>
      </c>
      <c r="BI1078" s="2">
        <v>0</v>
      </c>
      <c r="BJ1078" s="2">
        <v>0</v>
      </c>
      <c r="BK1078" s="2">
        <v>0</v>
      </c>
      <c r="BL1078" s="2">
        <v>0</v>
      </c>
      <c r="BM1078" s="2">
        <v>2</v>
      </c>
      <c r="BN1078" s="2">
        <v>0</v>
      </c>
      <c r="BO1078" s="2">
        <v>0</v>
      </c>
      <c r="BP1078" s="2">
        <v>0</v>
      </c>
      <c r="BQ1078" s="2">
        <v>0</v>
      </c>
      <c r="BR1078" s="2">
        <v>2</v>
      </c>
      <c r="BS1078" s="2">
        <v>0</v>
      </c>
      <c r="BT1078" s="2">
        <v>0</v>
      </c>
      <c r="BU1078" s="2">
        <v>0</v>
      </c>
      <c r="BV1078" s="2">
        <f t="shared" si="69"/>
        <v>23</v>
      </c>
      <c r="BW1078" s="16">
        <f t="shared" si="67"/>
        <v>1.2105263157894737</v>
      </c>
      <c r="BX1078" s="16">
        <f>COUNTIF($BC$6:BU1078, "=0") / COUNTIF($BC$6:BU1078, "&gt;-1")</f>
        <v>0.29175454946779811</v>
      </c>
      <c r="BY1078" s="18">
        <f>SUM($BC$6:BU1078) / $BY$4</f>
        <v>0.94936150507671535</v>
      </c>
      <c r="BZ1078" s="14">
        <f t="shared" si="68"/>
        <v>13</v>
      </c>
      <c r="CA1078" t="s">
        <v>5832</v>
      </c>
      <c r="CZ1078" t="s">
        <v>13332</v>
      </c>
      <c r="DA1078" t="s">
        <v>5904</v>
      </c>
      <c r="DB1078">
        <v>1180.2</v>
      </c>
      <c r="DC1078" t="s">
        <v>35497</v>
      </c>
      <c r="DD1078" t="s">
        <v>13772</v>
      </c>
      <c r="DE1078" t="s">
        <v>35498</v>
      </c>
      <c r="DF1078" t="s">
        <v>35499</v>
      </c>
      <c r="DG1078" t="s">
        <v>35500</v>
      </c>
      <c r="DH1078" t="str">
        <f>"PCK1"</f>
        <v>PCK1</v>
      </c>
      <c r="DI1078" t="s">
        <v>35501</v>
      </c>
      <c r="DJ1078" t="s">
        <v>13777</v>
      </c>
      <c r="DK1078">
        <v>9606</v>
      </c>
      <c r="DL1078" s="34" t="str">
        <f>HYPERLINK("http://www.uniprot.org/uniprot/P35558", "P35558")</f>
        <v>P35558</v>
      </c>
      <c r="DM1078" t="s">
        <v>35502</v>
      </c>
      <c r="DN1078" t="s">
        <v>14953</v>
      </c>
      <c r="DO1078" t="s">
        <v>13899</v>
      </c>
      <c r="DP1078" t="s">
        <v>13780</v>
      </c>
      <c r="DQ1078" t="s">
        <v>13772</v>
      </c>
      <c r="DR1078" t="s">
        <v>13772</v>
      </c>
      <c r="DS1078" t="s">
        <v>13772</v>
      </c>
      <c r="DT1078" t="s">
        <v>14954</v>
      </c>
      <c r="DU1078" t="s">
        <v>14955</v>
      </c>
      <c r="DV1078" t="s">
        <v>19111</v>
      </c>
      <c r="DW1078" t="s">
        <v>13812</v>
      </c>
      <c r="DX1078" t="s">
        <v>35503</v>
      </c>
      <c r="DY1078" t="s">
        <v>35504</v>
      </c>
      <c r="DZ1078" t="s">
        <v>35505</v>
      </c>
      <c r="EA1078" t="s">
        <v>35506</v>
      </c>
      <c r="EB1078" t="s">
        <v>35507</v>
      </c>
    </row>
    <row r="1079" spans="1:132" hidden="1">
      <c r="A1079">
        <v>330</v>
      </c>
      <c r="B1079">
        <v>1</v>
      </c>
      <c r="C1079" t="s">
        <v>828</v>
      </c>
      <c r="D1079" t="s">
        <v>829</v>
      </c>
      <c r="E1079" t="s">
        <v>73</v>
      </c>
      <c r="F1079" t="s">
        <v>830</v>
      </c>
      <c r="G1079" t="s">
        <v>73</v>
      </c>
      <c r="H1079">
        <v>30.7</v>
      </c>
      <c r="I1079">
        <v>437</v>
      </c>
      <c r="J1079">
        <v>48900</v>
      </c>
      <c r="K1079" t="s">
        <v>831</v>
      </c>
      <c r="L1079">
        <f t="shared" si="66"/>
        <v>32</v>
      </c>
      <c r="N1079">
        <v>32</v>
      </c>
      <c r="O1079">
        <v>16</v>
      </c>
      <c r="P1079">
        <v>0.5</v>
      </c>
      <c r="Q1079">
        <v>1</v>
      </c>
      <c r="R1079">
        <v>6</v>
      </c>
      <c r="S1079">
        <v>3</v>
      </c>
      <c r="T1079">
        <v>7</v>
      </c>
      <c r="U1079">
        <v>4</v>
      </c>
      <c r="V1079">
        <v>1</v>
      </c>
      <c r="W1079">
        <v>6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4</v>
      </c>
      <c r="AL1079">
        <v>2</v>
      </c>
      <c r="AM1079">
        <v>5</v>
      </c>
      <c r="AN1079">
        <v>2</v>
      </c>
      <c r="AO1079">
        <v>0</v>
      </c>
      <c r="AP1079">
        <v>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 s="2">
        <v>0</v>
      </c>
      <c r="BD1079" s="2">
        <v>4.8</v>
      </c>
      <c r="BE1079" s="2">
        <v>2.6669999999999998</v>
      </c>
      <c r="BF1079" s="2">
        <v>5.8330000000000002</v>
      </c>
      <c r="BG1079" s="2">
        <v>2.5710000000000002</v>
      </c>
      <c r="BH1079" s="2">
        <v>0</v>
      </c>
      <c r="BI1079" s="2">
        <v>4.8</v>
      </c>
      <c r="BJ1079" s="2">
        <v>0.5</v>
      </c>
      <c r="BK1079" s="2">
        <v>0</v>
      </c>
      <c r="BL1079" s="2">
        <v>0</v>
      </c>
      <c r="BM1079" s="2">
        <v>0.5</v>
      </c>
      <c r="BN1079" s="2">
        <v>0</v>
      </c>
      <c r="BO1079" s="2">
        <v>0</v>
      </c>
      <c r="BP1079" s="2">
        <v>0</v>
      </c>
      <c r="BQ1079" s="2">
        <v>0.5</v>
      </c>
      <c r="BR1079" s="2">
        <v>0.5</v>
      </c>
      <c r="BS1079" s="2">
        <v>0</v>
      </c>
      <c r="BT1079" s="2">
        <v>0</v>
      </c>
      <c r="BU1079" s="2">
        <v>0</v>
      </c>
      <c r="BV1079" s="2">
        <f t="shared" si="69"/>
        <v>22.670999999999999</v>
      </c>
      <c r="BW1079" s="16">
        <f t="shared" si="67"/>
        <v>1.1932105263157895</v>
      </c>
      <c r="BX1079" s="16">
        <f>COUNTIF($BC$6:BU1079, "=0") / COUNTIF($BC$6:BU1079, "&gt;-1")</f>
        <v>0.29197294913260807</v>
      </c>
      <c r="BY1079" s="18">
        <f>SUM($BC$6:BU1079) / $BY$4</f>
        <v>0.94945861940816556</v>
      </c>
      <c r="BZ1079" s="14">
        <f t="shared" si="68"/>
        <v>10</v>
      </c>
      <c r="CA1079" t="s">
        <v>5832</v>
      </c>
      <c r="CZ1079" t="s">
        <v>6844</v>
      </c>
      <c r="DA1079" t="s">
        <v>5904</v>
      </c>
      <c r="DB1079">
        <v>902.9</v>
      </c>
      <c r="DC1079" t="s">
        <v>16853</v>
      </c>
      <c r="DD1079" t="s">
        <v>16854</v>
      </c>
      <c r="DE1079" t="s">
        <v>16855</v>
      </c>
      <c r="DF1079" t="s">
        <v>16856</v>
      </c>
      <c r="DG1079" t="s">
        <v>16857</v>
      </c>
      <c r="DH1079" t="str">
        <f>"VPS4A"</f>
        <v>VPS4A</v>
      </c>
      <c r="DI1079" t="s">
        <v>13772</v>
      </c>
      <c r="DJ1079" t="s">
        <v>13777</v>
      </c>
      <c r="DK1079">
        <v>9606</v>
      </c>
      <c r="DL1079" s="34" t="str">
        <f>HYPERLINK("http://www.uniprot.org/uniprot/Q9UN37", "Q9UN37")</f>
        <v>Q9UN37</v>
      </c>
      <c r="DM1079" t="s">
        <v>16858</v>
      </c>
      <c r="DN1079" t="s">
        <v>16859</v>
      </c>
      <c r="DO1079" t="s">
        <v>13779</v>
      </c>
      <c r="DP1079" t="s">
        <v>13772</v>
      </c>
      <c r="DQ1079" t="s">
        <v>13772</v>
      </c>
      <c r="DR1079" t="s">
        <v>13807</v>
      </c>
      <c r="DS1079" t="s">
        <v>13772</v>
      </c>
      <c r="DT1079" t="s">
        <v>14005</v>
      </c>
      <c r="DU1079" t="s">
        <v>13857</v>
      </c>
      <c r="DV1079" t="s">
        <v>13886</v>
      </c>
      <c r="DW1079" t="s">
        <v>13812</v>
      </c>
      <c r="DX1079" t="s">
        <v>16860</v>
      </c>
      <c r="DY1079" t="s">
        <v>16861</v>
      </c>
      <c r="DZ1079" t="s">
        <v>16862</v>
      </c>
      <c r="EA1079" t="s">
        <v>13772</v>
      </c>
      <c r="EB1079" t="s">
        <v>16863</v>
      </c>
    </row>
    <row r="1080" spans="1:132" hidden="1">
      <c r="A1080">
        <v>2248</v>
      </c>
      <c r="B1080">
        <v>1</v>
      </c>
      <c r="C1080" t="s">
        <v>5257</v>
      </c>
      <c r="D1080" t="s">
        <v>73</v>
      </c>
      <c r="E1080" t="s">
        <v>73</v>
      </c>
      <c r="F1080" t="s">
        <v>474</v>
      </c>
      <c r="G1080" t="s">
        <v>73</v>
      </c>
      <c r="H1080">
        <v>40.5</v>
      </c>
      <c r="I1080">
        <v>205</v>
      </c>
      <c r="J1080">
        <v>22677</v>
      </c>
      <c r="K1080" t="s">
        <v>5258</v>
      </c>
      <c r="L1080">
        <f t="shared" si="66"/>
        <v>43</v>
      </c>
      <c r="N1080">
        <v>43</v>
      </c>
      <c r="O1080">
        <v>10</v>
      </c>
      <c r="P1080">
        <v>0.23300000000000001</v>
      </c>
      <c r="Q1080">
        <v>1</v>
      </c>
      <c r="R1080">
        <v>2</v>
      </c>
      <c r="S1080">
        <v>1</v>
      </c>
      <c r="T1080">
        <v>2</v>
      </c>
      <c r="U1080">
        <v>3</v>
      </c>
      <c r="V1080">
        <v>7</v>
      </c>
      <c r="W1080">
        <v>3</v>
      </c>
      <c r="X1080">
        <v>3</v>
      </c>
      <c r="Y1080">
        <v>3</v>
      </c>
      <c r="Z1080">
        <v>0</v>
      </c>
      <c r="AA1080">
        <v>5</v>
      </c>
      <c r="AB1080">
        <v>5</v>
      </c>
      <c r="AC1080">
        <v>3</v>
      </c>
      <c r="AD1080">
        <v>0</v>
      </c>
      <c r="AE1080">
        <v>1</v>
      </c>
      <c r="AF1080">
        <v>4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2</v>
      </c>
      <c r="AR1080">
        <v>2</v>
      </c>
      <c r="AS1080">
        <v>0</v>
      </c>
      <c r="AT1080">
        <v>1</v>
      </c>
      <c r="AU1080">
        <v>2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5.6669999999999998</v>
      </c>
      <c r="BI1080" s="2">
        <v>0</v>
      </c>
      <c r="BJ1080" s="2">
        <v>2.4</v>
      </c>
      <c r="BK1080" s="2">
        <v>2.6669999999999998</v>
      </c>
      <c r="BL1080" s="2">
        <v>0</v>
      </c>
      <c r="BM1080" s="2">
        <v>2.3330000000000002</v>
      </c>
      <c r="BN1080" s="2">
        <v>3.4</v>
      </c>
      <c r="BO1080" s="2">
        <v>2</v>
      </c>
      <c r="BP1080" s="2">
        <v>0</v>
      </c>
      <c r="BQ1080" s="2">
        <v>0.16700000000000001</v>
      </c>
      <c r="BR1080" s="2">
        <v>4</v>
      </c>
      <c r="BS1080" s="2">
        <v>0</v>
      </c>
      <c r="BT1080" s="2">
        <v>0</v>
      </c>
      <c r="BU1080" s="2">
        <v>0</v>
      </c>
      <c r="BV1080" s="2">
        <f t="shared" si="69"/>
        <v>22.634</v>
      </c>
      <c r="BW1080" s="16">
        <f t="shared" si="67"/>
        <v>1.1912631578947368</v>
      </c>
      <c r="BX1080" s="16">
        <f>COUNTIF($BC$6:BU1080, "=0") / COUNTIF($BC$6:BU1080, "&gt;-1")</f>
        <v>0.29223990208078338</v>
      </c>
      <c r="BY1080" s="18">
        <f>SUM($BC$6:BU1080) / $BY$4</f>
        <v>0.94955557524505152</v>
      </c>
      <c r="BZ1080" s="14">
        <f t="shared" si="68"/>
        <v>11</v>
      </c>
      <c r="CA1080" t="s">
        <v>5832</v>
      </c>
      <c r="CZ1080" t="s">
        <v>13237</v>
      </c>
      <c r="DA1080" t="s">
        <v>5904</v>
      </c>
      <c r="DB1080">
        <v>425.6</v>
      </c>
      <c r="DC1080" t="s">
        <v>35233</v>
      </c>
      <c r="DD1080" t="s">
        <v>35234</v>
      </c>
      <c r="DE1080" t="s">
        <v>35235</v>
      </c>
      <c r="DF1080" t="s">
        <v>35236</v>
      </c>
      <c r="DG1080" t="s">
        <v>35237</v>
      </c>
      <c r="DH1080" t="str">
        <f>"RAB1A"</f>
        <v>RAB1A</v>
      </c>
      <c r="DI1080" t="s">
        <v>35238</v>
      </c>
      <c r="DJ1080" t="s">
        <v>13777</v>
      </c>
      <c r="DK1080">
        <v>9606</v>
      </c>
      <c r="DL1080" s="34" t="str">
        <f>HYPERLINK("http://www.uniprot.org/uniprot/P62820", "P62820")</f>
        <v>P62820</v>
      </c>
      <c r="DM1080" t="s">
        <v>35239</v>
      </c>
      <c r="DN1080" t="s">
        <v>35240</v>
      </c>
      <c r="DO1080" t="s">
        <v>35241</v>
      </c>
      <c r="DP1080" t="s">
        <v>13841</v>
      </c>
      <c r="DQ1080" t="s">
        <v>13772</v>
      </c>
      <c r="DR1080" t="s">
        <v>13772</v>
      </c>
      <c r="DS1080" t="s">
        <v>13772</v>
      </c>
      <c r="DT1080" t="s">
        <v>14216</v>
      </c>
      <c r="DU1080" t="s">
        <v>13772</v>
      </c>
      <c r="DV1080" t="s">
        <v>35242</v>
      </c>
      <c r="DW1080" t="s">
        <v>13812</v>
      </c>
      <c r="DX1080" t="s">
        <v>35243</v>
      </c>
      <c r="DY1080" t="s">
        <v>35244</v>
      </c>
      <c r="DZ1080" t="s">
        <v>35245</v>
      </c>
      <c r="EA1080" t="s">
        <v>13772</v>
      </c>
      <c r="EB1080" t="s">
        <v>19933</v>
      </c>
    </row>
    <row r="1081" spans="1:132" hidden="1">
      <c r="A1081">
        <v>1913</v>
      </c>
      <c r="B1081">
        <v>1</v>
      </c>
      <c r="C1081" t="s">
        <v>4506</v>
      </c>
      <c r="D1081" t="s">
        <v>73</v>
      </c>
      <c r="E1081" t="s">
        <v>73</v>
      </c>
      <c r="F1081" t="s">
        <v>4507</v>
      </c>
      <c r="G1081" t="s">
        <v>73</v>
      </c>
      <c r="H1081">
        <v>32.6</v>
      </c>
      <c r="I1081">
        <v>279</v>
      </c>
      <c r="J1081">
        <v>31050</v>
      </c>
      <c r="K1081" t="s">
        <v>4508</v>
      </c>
      <c r="L1081">
        <f t="shared" si="66"/>
        <v>28</v>
      </c>
      <c r="N1081">
        <v>28</v>
      </c>
      <c r="O1081">
        <v>14</v>
      </c>
      <c r="P1081">
        <v>0.5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2</v>
      </c>
      <c r="Y1081">
        <v>1</v>
      </c>
      <c r="Z1081">
        <v>1</v>
      </c>
      <c r="AA1081">
        <v>7</v>
      </c>
      <c r="AB1081">
        <v>5</v>
      </c>
      <c r="AC1081">
        <v>2</v>
      </c>
      <c r="AD1081">
        <v>0</v>
      </c>
      <c r="AE1081">
        <v>3</v>
      </c>
      <c r="AF1081">
        <v>4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3</v>
      </c>
      <c r="AU1081">
        <v>2</v>
      </c>
      <c r="AV1081">
        <v>1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1</v>
      </c>
      <c r="BC1081" s="2">
        <v>0</v>
      </c>
      <c r="BD1081" s="2">
        <v>1</v>
      </c>
      <c r="BE1081" s="2">
        <v>0</v>
      </c>
      <c r="BF1081" s="2">
        <v>0</v>
      </c>
      <c r="BG1081" s="2">
        <v>1</v>
      </c>
      <c r="BH1081" s="2">
        <v>0</v>
      </c>
      <c r="BI1081" s="2">
        <v>0</v>
      </c>
      <c r="BJ1081" s="2">
        <v>1.333</v>
      </c>
      <c r="BK1081" s="2">
        <v>1</v>
      </c>
      <c r="BL1081" s="2">
        <v>1</v>
      </c>
      <c r="BM1081" s="2">
        <v>6</v>
      </c>
      <c r="BN1081" s="2">
        <v>4</v>
      </c>
      <c r="BO1081" s="2">
        <v>2</v>
      </c>
      <c r="BP1081" s="2">
        <v>0</v>
      </c>
      <c r="BQ1081" s="2">
        <v>1.667</v>
      </c>
      <c r="BR1081" s="2">
        <v>2.5</v>
      </c>
      <c r="BS1081" s="2">
        <v>0</v>
      </c>
      <c r="BT1081" s="2">
        <v>0</v>
      </c>
      <c r="BU1081" s="2">
        <v>1</v>
      </c>
      <c r="BV1081" s="2">
        <f t="shared" si="69"/>
        <v>22.5</v>
      </c>
      <c r="BW1081" s="16">
        <f t="shared" si="67"/>
        <v>1.1842105263157894</v>
      </c>
      <c r="BX1081" s="16">
        <f>COUNTIF($BC$6:BU1081, "=0") / COUNTIF($BC$6:BU1081, "&gt;-1")</f>
        <v>0.29235961651340248</v>
      </c>
      <c r="BY1081" s="18">
        <f>SUM($BC$6:BU1081) / $BY$4</f>
        <v>0.94965195707459737</v>
      </c>
      <c r="BZ1081" s="14">
        <f t="shared" si="68"/>
        <v>8</v>
      </c>
      <c r="CA1081" t="s">
        <v>5832</v>
      </c>
      <c r="CZ1081" t="s">
        <v>10428</v>
      </c>
      <c r="DA1081" t="s">
        <v>5904</v>
      </c>
      <c r="DB1081">
        <v>569.70000000000005</v>
      </c>
      <c r="DC1081" t="s">
        <v>27343</v>
      </c>
      <c r="DD1081" t="s">
        <v>27344</v>
      </c>
      <c r="DE1081" t="s">
        <v>27345</v>
      </c>
      <c r="DF1081" t="s">
        <v>27346</v>
      </c>
      <c r="DG1081" t="s">
        <v>27347</v>
      </c>
      <c r="DH1081" t="str">
        <f>"HNRNPK"</f>
        <v>HNRNPK</v>
      </c>
      <c r="DI1081" t="s">
        <v>27348</v>
      </c>
      <c r="DJ1081" t="s">
        <v>13777</v>
      </c>
      <c r="DK1081">
        <v>9606</v>
      </c>
      <c r="DL1081" s="34" t="str">
        <f>HYPERLINK("http://www.uniprot.org/uniprot/P61978", "P61978")</f>
        <v>P61978</v>
      </c>
      <c r="DM1081" t="s">
        <v>27349</v>
      </c>
      <c r="DN1081" t="s">
        <v>27350</v>
      </c>
      <c r="DO1081" t="s">
        <v>27351</v>
      </c>
      <c r="DP1081" t="s">
        <v>13841</v>
      </c>
      <c r="DQ1081" t="s">
        <v>13772</v>
      </c>
      <c r="DR1081" t="s">
        <v>17534</v>
      </c>
      <c r="DS1081" t="s">
        <v>14096</v>
      </c>
      <c r="DT1081" t="s">
        <v>13772</v>
      </c>
      <c r="DU1081" t="s">
        <v>27352</v>
      </c>
      <c r="DV1081" t="s">
        <v>27353</v>
      </c>
      <c r="DW1081" t="s">
        <v>13812</v>
      </c>
      <c r="DX1081" t="s">
        <v>27354</v>
      </c>
      <c r="DY1081" t="s">
        <v>27355</v>
      </c>
      <c r="DZ1081" t="s">
        <v>27356</v>
      </c>
      <c r="EA1081" t="s">
        <v>13772</v>
      </c>
      <c r="EB1081" t="s">
        <v>16093</v>
      </c>
    </row>
    <row r="1082" spans="1:132" hidden="1">
      <c r="A1082">
        <v>1387</v>
      </c>
      <c r="B1082">
        <v>1</v>
      </c>
      <c r="C1082" t="s">
        <v>3315</v>
      </c>
      <c r="D1082" t="s">
        <v>73</v>
      </c>
      <c r="E1082" t="s">
        <v>73</v>
      </c>
      <c r="F1082" t="s">
        <v>3316</v>
      </c>
      <c r="G1082" t="s">
        <v>73</v>
      </c>
      <c r="H1082">
        <v>21.6</v>
      </c>
      <c r="I1082">
        <v>379</v>
      </c>
      <c r="J1082">
        <v>42191</v>
      </c>
      <c r="K1082" t="s">
        <v>3317</v>
      </c>
      <c r="L1082">
        <f t="shared" si="66"/>
        <v>39</v>
      </c>
      <c r="N1082">
        <v>39</v>
      </c>
      <c r="O1082">
        <v>4</v>
      </c>
      <c r="P1082">
        <v>0.10299999999999999</v>
      </c>
      <c r="Q1082">
        <v>3</v>
      </c>
      <c r="R1082">
        <v>1</v>
      </c>
      <c r="S1082">
        <v>1</v>
      </c>
      <c r="T1082">
        <v>0</v>
      </c>
      <c r="U1082">
        <v>3</v>
      </c>
      <c r="V1082">
        <v>2</v>
      </c>
      <c r="W1082">
        <v>8</v>
      </c>
      <c r="X1082">
        <v>3</v>
      </c>
      <c r="Y1082">
        <v>0</v>
      </c>
      <c r="Z1082">
        <v>0</v>
      </c>
      <c r="AA1082">
        <v>3</v>
      </c>
      <c r="AB1082">
        <v>6</v>
      </c>
      <c r="AC1082">
        <v>2</v>
      </c>
      <c r="AD1082">
        <v>0</v>
      </c>
      <c r="AE1082">
        <v>0</v>
      </c>
      <c r="AF1082">
        <v>1</v>
      </c>
      <c r="AG1082">
        <v>4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 s="2">
        <v>1.2</v>
      </c>
      <c r="BD1082" s="2">
        <v>0.2</v>
      </c>
      <c r="BE1082" s="2">
        <v>0</v>
      </c>
      <c r="BF1082" s="2">
        <v>0</v>
      </c>
      <c r="BG1082" s="2">
        <v>0.9</v>
      </c>
      <c r="BH1082" s="2">
        <v>1</v>
      </c>
      <c r="BI1082" s="2">
        <v>6.5</v>
      </c>
      <c r="BJ1082" s="2">
        <v>0.9</v>
      </c>
      <c r="BK1082" s="2">
        <v>0</v>
      </c>
      <c r="BL1082" s="2">
        <v>0</v>
      </c>
      <c r="BM1082" s="2">
        <v>3</v>
      </c>
      <c r="BN1082" s="2">
        <v>4.6669999999999998</v>
      </c>
      <c r="BO1082" s="2">
        <v>2</v>
      </c>
      <c r="BP1082" s="2">
        <v>0</v>
      </c>
      <c r="BQ1082" s="2">
        <v>0</v>
      </c>
      <c r="BR1082" s="2">
        <v>0.5</v>
      </c>
      <c r="BS1082" s="2">
        <v>1.4</v>
      </c>
      <c r="BT1082" s="2">
        <v>0.2</v>
      </c>
      <c r="BU1082" s="2">
        <v>0</v>
      </c>
      <c r="BV1082" s="2">
        <f t="shared" si="69"/>
        <v>22.466999999999999</v>
      </c>
      <c r="BW1082" s="16">
        <f t="shared" si="67"/>
        <v>1.1824736842105263</v>
      </c>
      <c r="BX1082" s="16">
        <f>COUNTIF($BC$6:BU1082, "=0") / COUNTIF($BC$6:BU1082, "&gt;-1")</f>
        <v>0.29243023994526707</v>
      </c>
      <c r="BY1082" s="18">
        <f>SUM($BC$6:BU1082) / $BY$4</f>
        <v>0.94974819754412643</v>
      </c>
      <c r="BZ1082" s="14">
        <f t="shared" si="68"/>
        <v>7</v>
      </c>
      <c r="CA1082" t="s">
        <v>5832</v>
      </c>
      <c r="CZ1082" t="s">
        <v>7919</v>
      </c>
      <c r="DA1082" t="s">
        <v>5904</v>
      </c>
      <c r="DB1082">
        <v>550.4</v>
      </c>
      <c r="DC1082" t="s">
        <v>20152</v>
      </c>
      <c r="DD1082" t="s">
        <v>20153</v>
      </c>
      <c r="DE1082" t="s">
        <v>20154</v>
      </c>
      <c r="DF1082" t="s">
        <v>20155</v>
      </c>
      <c r="DG1082" t="s">
        <v>20156</v>
      </c>
      <c r="DH1082" t="str">
        <f>"HLA-A"</f>
        <v>HLA-A</v>
      </c>
      <c r="DI1082" t="s">
        <v>20157</v>
      </c>
      <c r="DJ1082" t="s">
        <v>13777</v>
      </c>
      <c r="DK1082">
        <v>9606</v>
      </c>
      <c r="DL1082" s="34" t="str">
        <f>HYPERLINK("http://www.uniprot.org/uniprot/P01891", "P01891")</f>
        <v>P01891</v>
      </c>
      <c r="DM1082" t="s">
        <v>20158</v>
      </c>
      <c r="DN1082" t="s">
        <v>13791</v>
      </c>
      <c r="DO1082" t="s">
        <v>20159</v>
      </c>
      <c r="DP1082" t="s">
        <v>13793</v>
      </c>
      <c r="DQ1082" t="s">
        <v>13772</v>
      </c>
      <c r="DR1082" t="s">
        <v>13772</v>
      </c>
      <c r="DS1082" t="s">
        <v>13855</v>
      </c>
      <c r="DT1082" t="s">
        <v>13772</v>
      </c>
      <c r="DU1082" t="s">
        <v>13772</v>
      </c>
      <c r="DV1082" t="s">
        <v>14640</v>
      </c>
      <c r="DW1082" t="s">
        <v>13812</v>
      </c>
      <c r="DX1082" t="s">
        <v>20160</v>
      </c>
      <c r="DY1082" t="s">
        <v>20161</v>
      </c>
      <c r="DZ1082" t="s">
        <v>20162</v>
      </c>
      <c r="EA1082" t="s">
        <v>13772</v>
      </c>
      <c r="EB1082" t="s">
        <v>20163</v>
      </c>
    </row>
    <row r="1083" spans="1:132" hidden="1">
      <c r="A1083">
        <v>160</v>
      </c>
      <c r="B1083">
        <v>1</v>
      </c>
      <c r="C1083" t="s">
        <v>405</v>
      </c>
      <c r="D1083" t="s">
        <v>406</v>
      </c>
      <c r="E1083" t="s">
        <v>73</v>
      </c>
      <c r="F1083" t="s">
        <v>73</v>
      </c>
      <c r="G1083" t="s">
        <v>73</v>
      </c>
      <c r="H1083">
        <v>7.6</v>
      </c>
      <c r="I1083">
        <v>1480</v>
      </c>
      <c r="J1083">
        <v>161855</v>
      </c>
      <c r="K1083" t="s">
        <v>407</v>
      </c>
      <c r="L1083">
        <f t="shared" si="66"/>
        <v>22</v>
      </c>
      <c r="N1083">
        <v>22</v>
      </c>
      <c r="O1083">
        <v>22</v>
      </c>
      <c r="P1083">
        <v>1</v>
      </c>
      <c r="Q1083">
        <v>1</v>
      </c>
      <c r="R1083">
        <v>0</v>
      </c>
      <c r="S1083">
        <v>2</v>
      </c>
      <c r="T1083">
        <v>4</v>
      </c>
      <c r="U1083">
        <v>4</v>
      </c>
      <c r="V1083">
        <v>5</v>
      </c>
      <c r="W1083">
        <v>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2</v>
      </c>
      <c r="AM1083">
        <v>4</v>
      </c>
      <c r="AN1083">
        <v>4</v>
      </c>
      <c r="AO1083">
        <v>5</v>
      </c>
      <c r="AP1083">
        <v>4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 s="2">
        <v>1</v>
      </c>
      <c r="BD1083" s="2">
        <v>0</v>
      </c>
      <c r="BE1083" s="2">
        <v>2</v>
      </c>
      <c r="BF1083" s="2">
        <v>4</v>
      </c>
      <c r="BG1083" s="2">
        <v>4</v>
      </c>
      <c r="BH1083" s="2">
        <v>5</v>
      </c>
      <c r="BI1083" s="2">
        <v>4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1</v>
      </c>
      <c r="BS1083" s="2">
        <v>0</v>
      </c>
      <c r="BT1083" s="2">
        <v>0</v>
      </c>
      <c r="BU1083" s="2">
        <v>0</v>
      </c>
      <c r="BV1083" s="2">
        <f t="shared" si="69"/>
        <v>22</v>
      </c>
      <c r="BW1083" s="16">
        <f t="shared" si="67"/>
        <v>1.1578947368421053</v>
      </c>
      <c r="BX1083" s="16">
        <f>COUNTIF($BC$6:BU1083, "=0") / COUNTIF($BC$6:BU1083, "&gt;-1")</f>
        <v>0.29269602577873255</v>
      </c>
      <c r="BY1083" s="18">
        <f>SUM($BC$6:BU1083) / $BY$4</f>
        <v>0.9498424375552379</v>
      </c>
      <c r="BZ1083" s="14">
        <f t="shared" si="68"/>
        <v>11</v>
      </c>
      <c r="CA1083" t="s">
        <v>5832</v>
      </c>
      <c r="CZ1083" t="s">
        <v>6245</v>
      </c>
      <c r="DA1083" t="s">
        <v>5904</v>
      </c>
      <c r="DB1083">
        <v>2904.4</v>
      </c>
      <c r="DC1083" t="s">
        <v>14985</v>
      </c>
      <c r="DD1083" t="s">
        <v>14986</v>
      </c>
      <c r="DE1083" t="s">
        <v>14987</v>
      </c>
      <c r="DF1083" t="s">
        <v>14988</v>
      </c>
      <c r="DG1083" t="s">
        <v>14989</v>
      </c>
      <c r="DH1083" t="str">
        <f>"NEO1"</f>
        <v>NEO1</v>
      </c>
      <c r="DI1083" t="s">
        <v>14990</v>
      </c>
      <c r="DJ1083" t="s">
        <v>13777</v>
      </c>
      <c r="DK1083">
        <v>9606</v>
      </c>
      <c r="DL1083" s="34" t="str">
        <f>HYPERLINK("http://www.uniprot.org/uniprot/Q92859", "Q92859")</f>
        <v>Q92859</v>
      </c>
      <c r="DM1083" t="s">
        <v>14991</v>
      </c>
      <c r="DN1083" t="s">
        <v>13949</v>
      </c>
      <c r="DO1083" t="s">
        <v>13792</v>
      </c>
      <c r="DP1083" t="s">
        <v>13780</v>
      </c>
      <c r="DQ1083" t="s">
        <v>13772</v>
      </c>
      <c r="DR1083" t="s">
        <v>13772</v>
      </c>
      <c r="DS1083" t="s">
        <v>13951</v>
      </c>
      <c r="DT1083" t="s">
        <v>13772</v>
      </c>
      <c r="DU1083" t="s">
        <v>13772</v>
      </c>
      <c r="DV1083" t="s">
        <v>13964</v>
      </c>
      <c r="DW1083" t="s">
        <v>13812</v>
      </c>
      <c r="DX1083" t="s">
        <v>14992</v>
      </c>
      <c r="DY1083" t="s">
        <v>14993</v>
      </c>
      <c r="DZ1083" t="s">
        <v>14994</v>
      </c>
      <c r="EA1083" t="s">
        <v>13772</v>
      </c>
      <c r="EB1083" t="s">
        <v>14995</v>
      </c>
    </row>
    <row r="1084" spans="1:132" hidden="1">
      <c r="A1084">
        <v>375</v>
      </c>
      <c r="B1084">
        <v>1</v>
      </c>
      <c r="C1084" t="s">
        <v>934</v>
      </c>
      <c r="D1084" t="s">
        <v>935</v>
      </c>
      <c r="E1084" t="s">
        <v>73</v>
      </c>
      <c r="F1084" t="s">
        <v>73</v>
      </c>
      <c r="G1084" t="s">
        <v>73</v>
      </c>
      <c r="H1084">
        <v>27</v>
      </c>
      <c r="I1084">
        <v>704</v>
      </c>
      <c r="J1084">
        <v>79791</v>
      </c>
      <c r="K1084" t="s">
        <v>936</v>
      </c>
      <c r="L1084">
        <f t="shared" si="66"/>
        <v>22</v>
      </c>
      <c r="N1084">
        <v>22</v>
      </c>
      <c r="O1084">
        <v>22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22</v>
      </c>
      <c r="BA1084">
        <v>0</v>
      </c>
      <c r="BB1084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22</v>
      </c>
      <c r="BT1084" s="2">
        <v>0</v>
      </c>
      <c r="BU1084" s="2">
        <v>0</v>
      </c>
      <c r="BV1084" s="2">
        <f t="shared" si="69"/>
        <v>22</v>
      </c>
      <c r="BW1084" s="16">
        <f t="shared" si="67"/>
        <v>1.1578947368421053</v>
      </c>
      <c r="BX1084" s="16">
        <f>COUNTIF($BC$6:BU1084, "=0") / COUNTIF($BC$6:BU1084, "&gt;-1")</f>
        <v>0.29330276571874542</v>
      </c>
      <c r="BY1084" s="18">
        <f>SUM($BC$6:BU1084) / $BY$4</f>
        <v>0.94993667756634925</v>
      </c>
      <c r="BZ1084" s="14">
        <f t="shared" si="68"/>
        <v>18</v>
      </c>
      <c r="CA1084" t="s">
        <v>5832</v>
      </c>
      <c r="CZ1084" t="s">
        <v>7000</v>
      </c>
      <c r="DA1084" t="s">
        <v>5904</v>
      </c>
      <c r="DB1084">
        <v>1261.9000000000001</v>
      </c>
      <c r="DC1084" t="s">
        <v>17340</v>
      </c>
      <c r="DD1084" t="s">
        <v>17341</v>
      </c>
      <c r="DE1084" t="s">
        <v>17342</v>
      </c>
      <c r="DF1084" t="s">
        <v>17343</v>
      </c>
      <c r="DG1084" t="s">
        <v>17344</v>
      </c>
      <c r="DH1084" t="str">
        <f>"MEP1B"</f>
        <v>MEP1B</v>
      </c>
      <c r="DI1084" t="s">
        <v>13772</v>
      </c>
      <c r="DJ1084" t="s">
        <v>13777</v>
      </c>
      <c r="DK1084">
        <v>9606</v>
      </c>
      <c r="DL1084" s="34" t="str">
        <f>HYPERLINK("http://www.uniprot.org/uniprot/Q16820", "Q16820")</f>
        <v>Q16820</v>
      </c>
      <c r="DM1084" t="s">
        <v>17345</v>
      </c>
      <c r="DN1084" t="s">
        <v>17346</v>
      </c>
      <c r="DO1084" t="s">
        <v>14336</v>
      </c>
      <c r="DP1084" t="s">
        <v>13793</v>
      </c>
      <c r="DQ1084" t="s">
        <v>13772</v>
      </c>
      <c r="DR1084" t="s">
        <v>13772</v>
      </c>
      <c r="DS1084" t="s">
        <v>16416</v>
      </c>
      <c r="DT1084" t="s">
        <v>13856</v>
      </c>
      <c r="DU1084" t="s">
        <v>15139</v>
      </c>
      <c r="DV1084" t="s">
        <v>15472</v>
      </c>
      <c r="DW1084" t="s">
        <v>13812</v>
      </c>
      <c r="DX1084" t="s">
        <v>17347</v>
      </c>
      <c r="DY1084" t="s">
        <v>17348</v>
      </c>
      <c r="DZ1084" t="s">
        <v>17349</v>
      </c>
      <c r="EA1084" t="s">
        <v>13772</v>
      </c>
      <c r="EB1084" t="s">
        <v>13772</v>
      </c>
    </row>
    <row r="1085" spans="1:132" hidden="1">
      <c r="A1085">
        <v>438</v>
      </c>
      <c r="B1085">
        <v>1</v>
      </c>
      <c r="C1085" t="s">
        <v>1096</v>
      </c>
      <c r="D1085" t="s">
        <v>1097</v>
      </c>
      <c r="E1085" t="s">
        <v>73</v>
      </c>
      <c r="F1085" t="s">
        <v>73</v>
      </c>
      <c r="G1085" t="s">
        <v>73</v>
      </c>
      <c r="H1085">
        <v>30.7</v>
      </c>
      <c r="I1085">
        <v>306</v>
      </c>
      <c r="J1085">
        <v>34011</v>
      </c>
      <c r="K1085" t="s">
        <v>1098</v>
      </c>
      <c r="L1085">
        <f t="shared" si="66"/>
        <v>22</v>
      </c>
      <c r="N1085">
        <v>22</v>
      </c>
      <c r="O1085">
        <v>22</v>
      </c>
      <c r="P1085">
        <v>1</v>
      </c>
      <c r="Q1085">
        <v>5</v>
      </c>
      <c r="R1085">
        <v>1</v>
      </c>
      <c r="S1085">
        <v>1</v>
      </c>
      <c r="T1085">
        <v>0</v>
      </c>
      <c r="U1085">
        <v>4</v>
      </c>
      <c r="V1085">
        <v>2</v>
      </c>
      <c r="W1085">
        <v>2</v>
      </c>
      <c r="X1085">
        <v>2</v>
      </c>
      <c r="Y1085">
        <v>0</v>
      </c>
      <c r="Z1085">
        <v>0</v>
      </c>
      <c r="AA1085">
        <v>2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5</v>
      </c>
      <c r="AK1085">
        <v>1</v>
      </c>
      <c r="AL1085">
        <v>1</v>
      </c>
      <c r="AM1085">
        <v>0</v>
      </c>
      <c r="AN1085">
        <v>4</v>
      </c>
      <c r="AO1085">
        <v>2</v>
      </c>
      <c r="AP1085">
        <v>2</v>
      </c>
      <c r="AQ1085">
        <v>2</v>
      </c>
      <c r="AR1085">
        <v>0</v>
      </c>
      <c r="AS1085">
        <v>0</v>
      </c>
      <c r="AT1085">
        <v>2</v>
      </c>
      <c r="AU1085">
        <v>1</v>
      </c>
      <c r="AV1085">
        <v>0</v>
      </c>
      <c r="AW1085">
        <v>0</v>
      </c>
      <c r="AX1085">
        <v>1</v>
      </c>
      <c r="AY1085">
        <v>1</v>
      </c>
      <c r="AZ1085">
        <v>0</v>
      </c>
      <c r="BA1085">
        <v>0</v>
      </c>
      <c r="BB1085">
        <v>0</v>
      </c>
      <c r="BC1085" s="2">
        <v>5</v>
      </c>
      <c r="BD1085" s="2">
        <v>1</v>
      </c>
      <c r="BE1085" s="2">
        <v>1</v>
      </c>
      <c r="BF1085" s="2">
        <v>0</v>
      </c>
      <c r="BG1085" s="2">
        <v>4</v>
      </c>
      <c r="BH1085" s="2">
        <v>2</v>
      </c>
      <c r="BI1085" s="2">
        <v>2</v>
      </c>
      <c r="BJ1085" s="2">
        <v>2</v>
      </c>
      <c r="BK1085" s="2">
        <v>0</v>
      </c>
      <c r="BL1085" s="2">
        <v>0</v>
      </c>
      <c r="BM1085" s="2">
        <v>2</v>
      </c>
      <c r="BN1085" s="2">
        <v>1</v>
      </c>
      <c r="BO1085" s="2">
        <v>0</v>
      </c>
      <c r="BP1085" s="2">
        <v>0</v>
      </c>
      <c r="BQ1085" s="2">
        <v>1</v>
      </c>
      <c r="BR1085" s="2">
        <v>1</v>
      </c>
      <c r="BS1085" s="2">
        <v>0</v>
      </c>
      <c r="BT1085" s="2">
        <v>0</v>
      </c>
      <c r="BU1085" s="2">
        <v>0</v>
      </c>
      <c r="BV1085" s="2">
        <f t="shared" si="69"/>
        <v>22</v>
      </c>
      <c r="BW1085" s="16">
        <f t="shared" si="67"/>
        <v>1.1578947368421053</v>
      </c>
      <c r="BX1085" s="16">
        <f>COUNTIF($BC$6:BU1085, "=0") / COUNTIF($BC$6:BU1085, "&gt;-1")</f>
        <v>0.29342105263157897</v>
      </c>
      <c r="BY1085" s="18">
        <f>SUM($BC$6:BU1085) / $BY$4</f>
        <v>0.95003091757746072</v>
      </c>
      <c r="BZ1085" s="14">
        <f t="shared" si="68"/>
        <v>8</v>
      </c>
      <c r="CA1085" t="s">
        <v>5832</v>
      </c>
      <c r="CZ1085" t="s">
        <v>7219</v>
      </c>
      <c r="DA1085" t="s">
        <v>5904</v>
      </c>
      <c r="DB1085">
        <v>601.70000000000005</v>
      </c>
      <c r="DC1085" t="s">
        <v>18037</v>
      </c>
      <c r="DD1085" t="s">
        <v>18038</v>
      </c>
      <c r="DE1085" t="s">
        <v>18039</v>
      </c>
      <c r="DF1085" t="s">
        <v>18040</v>
      </c>
      <c r="DG1085" t="s">
        <v>18041</v>
      </c>
      <c r="DH1085" t="str">
        <f>"PPT1"</f>
        <v>PPT1</v>
      </c>
      <c r="DI1085" t="s">
        <v>18042</v>
      </c>
      <c r="DJ1085" t="s">
        <v>13777</v>
      </c>
      <c r="DK1085">
        <v>9606</v>
      </c>
      <c r="DL1085" s="34" t="str">
        <f>HYPERLINK("http://www.uniprot.org/uniprot/P50897", "P50897")</f>
        <v>P50897</v>
      </c>
      <c r="DM1085" t="s">
        <v>18043</v>
      </c>
      <c r="DN1085" t="s">
        <v>15757</v>
      </c>
      <c r="DO1085" t="s">
        <v>14402</v>
      </c>
      <c r="DP1085" t="s">
        <v>13780</v>
      </c>
      <c r="DQ1085" t="s">
        <v>13772</v>
      </c>
      <c r="DR1085" t="s">
        <v>18044</v>
      </c>
      <c r="DS1085" t="s">
        <v>13808</v>
      </c>
      <c r="DT1085" t="s">
        <v>13772</v>
      </c>
      <c r="DU1085" t="s">
        <v>13857</v>
      </c>
      <c r="DV1085" t="s">
        <v>13796</v>
      </c>
      <c r="DW1085" t="s">
        <v>13812</v>
      </c>
      <c r="DX1085" t="s">
        <v>18045</v>
      </c>
      <c r="DY1085" t="s">
        <v>18046</v>
      </c>
      <c r="DZ1085" t="s">
        <v>18047</v>
      </c>
      <c r="EA1085" t="s">
        <v>13772</v>
      </c>
      <c r="EB1085" t="s">
        <v>18048</v>
      </c>
    </row>
    <row r="1086" spans="1:132" hidden="1">
      <c r="A1086">
        <v>449</v>
      </c>
      <c r="B1086">
        <v>1</v>
      </c>
      <c r="C1086" t="s">
        <v>1123</v>
      </c>
      <c r="D1086" t="s">
        <v>73</v>
      </c>
      <c r="E1086" t="s">
        <v>73</v>
      </c>
      <c r="F1086" t="s">
        <v>73</v>
      </c>
      <c r="G1086" t="s">
        <v>73</v>
      </c>
      <c r="H1086">
        <v>36.1</v>
      </c>
      <c r="I1086">
        <v>208</v>
      </c>
      <c r="J1086">
        <v>24023</v>
      </c>
      <c r="K1086" t="s">
        <v>1124</v>
      </c>
      <c r="L1086">
        <f t="shared" si="66"/>
        <v>22</v>
      </c>
      <c r="N1086">
        <v>22</v>
      </c>
      <c r="O1086">
        <v>22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2</v>
      </c>
      <c r="V1086">
        <v>1</v>
      </c>
      <c r="W1086">
        <v>0</v>
      </c>
      <c r="X1086">
        <v>1</v>
      </c>
      <c r="Y1086">
        <v>5</v>
      </c>
      <c r="Z1086">
        <v>0</v>
      </c>
      <c r="AA1086">
        <v>4</v>
      </c>
      <c r="AB1086">
        <v>1</v>
      </c>
      <c r="AC1086">
        <v>0</v>
      </c>
      <c r="AD1086">
        <v>0</v>
      </c>
      <c r="AE1086">
        <v>3</v>
      </c>
      <c r="AF1086">
        <v>5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</v>
      </c>
      <c r="AO1086">
        <v>1</v>
      </c>
      <c r="AP1086">
        <v>0</v>
      </c>
      <c r="AQ1086">
        <v>1</v>
      </c>
      <c r="AR1086">
        <v>5</v>
      </c>
      <c r="AS1086">
        <v>0</v>
      </c>
      <c r="AT1086">
        <v>4</v>
      </c>
      <c r="AU1086">
        <v>1</v>
      </c>
      <c r="AV1086">
        <v>0</v>
      </c>
      <c r="AW1086">
        <v>0</v>
      </c>
      <c r="AX1086">
        <v>3</v>
      </c>
      <c r="AY1086">
        <v>5</v>
      </c>
      <c r="AZ1086">
        <v>0</v>
      </c>
      <c r="BA1086">
        <v>0</v>
      </c>
      <c r="BB1086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2</v>
      </c>
      <c r="BH1086" s="2">
        <v>1</v>
      </c>
      <c r="BI1086" s="2">
        <v>0</v>
      </c>
      <c r="BJ1086" s="2">
        <v>1</v>
      </c>
      <c r="BK1086" s="2">
        <v>5</v>
      </c>
      <c r="BL1086" s="2">
        <v>0</v>
      </c>
      <c r="BM1086" s="2">
        <v>4</v>
      </c>
      <c r="BN1086" s="2">
        <v>1</v>
      </c>
      <c r="BO1086" s="2">
        <v>0</v>
      </c>
      <c r="BP1086" s="2">
        <v>0</v>
      </c>
      <c r="BQ1086" s="2">
        <v>3</v>
      </c>
      <c r="BR1086" s="2">
        <v>5</v>
      </c>
      <c r="BS1086" s="2">
        <v>0</v>
      </c>
      <c r="BT1086" s="2">
        <v>0</v>
      </c>
      <c r="BU1086" s="2">
        <v>0</v>
      </c>
      <c r="BV1086" s="2">
        <f t="shared" si="69"/>
        <v>22</v>
      </c>
      <c r="BW1086" s="16">
        <f t="shared" si="67"/>
        <v>1.1578947368421053</v>
      </c>
      <c r="BX1086" s="16">
        <f>COUNTIF($BC$6:BU1086, "=0") / COUNTIF($BC$6:BU1086, "&gt;-1")</f>
        <v>0.29368518428355811</v>
      </c>
      <c r="BY1086" s="18">
        <f>SUM($BC$6:BU1086) / $BY$4</f>
        <v>0.95012515758857208</v>
      </c>
      <c r="BZ1086" s="14">
        <f t="shared" si="68"/>
        <v>11</v>
      </c>
      <c r="CA1086" t="s">
        <v>5832</v>
      </c>
      <c r="CZ1086" t="s">
        <v>7257</v>
      </c>
      <c r="DA1086" t="s">
        <v>5904</v>
      </c>
      <c r="DB1086">
        <v>383.6</v>
      </c>
      <c r="DC1086" t="s">
        <v>18152</v>
      </c>
      <c r="DD1086" t="s">
        <v>18153</v>
      </c>
      <c r="DE1086" t="s">
        <v>18154</v>
      </c>
      <c r="DF1086" t="s">
        <v>18155</v>
      </c>
      <c r="DG1086" t="s">
        <v>18156</v>
      </c>
      <c r="DH1086" t="str">
        <f>"RANBP1"</f>
        <v>RANBP1</v>
      </c>
      <c r="DI1086" t="s">
        <v>13772</v>
      </c>
      <c r="DJ1086" t="s">
        <v>13777</v>
      </c>
      <c r="DK1086">
        <v>9606</v>
      </c>
      <c r="DL1086" s="34" t="str">
        <f>HYPERLINK("http://www.uniprot.org/uniprot/P43487", "P43487")</f>
        <v>P43487</v>
      </c>
      <c r="DM1086" t="s">
        <v>18157</v>
      </c>
      <c r="DN1086" t="s">
        <v>13772</v>
      </c>
      <c r="DO1086" t="s">
        <v>13772</v>
      </c>
      <c r="DP1086" t="s">
        <v>13780</v>
      </c>
      <c r="DQ1086" t="s">
        <v>13772</v>
      </c>
      <c r="DR1086" t="s">
        <v>13772</v>
      </c>
      <c r="DS1086" t="s">
        <v>13772</v>
      </c>
      <c r="DT1086" t="s">
        <v>13772</v>
      </c>
      <c r="DU1086" t="s">
        <v>14301</v>
      </c>
      <c r="DV1086" t="s">
        <v>13991</v>
      </c>
      <c r="DW1086" t="s">
        <v>13812</v>
      </c>
      <c r="DX1086" t="s">
        <v>18158</v>
      </c>
      <c r="DY1086" t="s">
        <v>18159</v>
      </c>
      <c r="DZ1086" t="s">
        <v>18160</v>
      </c>
      <c r="EA1086" t="s">
        <v>13772</v>
      </c>
      <c r="EB1086" t="s">
        <v>18161</v>
      </c>
    </row>
    <row r="1087" spans="1:132" hidden="1">
      <c r="A1087">
        <v>644</v>
      </c>
      <c r="B1087">
        <v>1</v>
      </c>
      <c r="C1087" t="s">
        <v>1591</v>
      </c>
      <c r="D1087" t="s">
        <v>1592</v>
      </c>
      <c r="E1087" t="s">
        <v>73</v>
      </c>
      <c r="F1087" t="s">
        <v>73</v>
      </c>
      <c r="G1087" t="s">
        <v>73</v>
      </c>
      <c r="H1087">
        <v>13.4</v>
      </c>
      <c r="I1087">
        <v>1190</v>
      </c>
      <c r="J1087">
        <v>130700</v>
      </c>
      <c r="K1087" t="s">
        <v>1593</v>
      </c>
      <c r="L1087">
        <f t="shared" si="66"/>
        <v>22</v>
      </c>
      <c r="N1087">
        <v>22</v>
      </c>
      <c r="O1087">
        <v>22</v>
      </c>
      <c r="P1087">
        <v>1</v>
      </c>
      <c r="Q1087">
        <v>0</v>
      </c>
      <c r="R1087">
        <v>4</v>
      </c>
      <c r="S1087">
        <v>0</v>
      </c>
      <c r="T1087">
        <v>0</v>
      </c>
      <c r="U1087">
        <v>9</v>
      </c>
      <c r="V1087">
        <v>6</v>
      </c>
      <c r="W1087">
        <v>0</v>
      </c>
      <c r="X1087">
        <v>2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</v>
      </c>
      <c r="AL1087">
        <v>0</v>
      </c>
      <c r="AM1087">
        <v>0</v>
      </c>
      <c r="AN1087">
        <v>9</v>
      </c>
      <c r="AO1087">
        <v>6</v>
      </c>
      <c r="AP1087">
        <v>0</v>
      </c>
      <c r="AQ1087">
        <v>2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 s="2">
        <v>0</v>
      </c>
      <c r="BD1087" s="2">
        <v>4</v>
      </c>
      <c r="BE1087" s="2">
        <v>0</v>
      </c>
      <c r="BF1087" s="2">
        <v>0</v>
      </c>
      <c r="BG1087" s="2">
        <v>9</v>
      </c>
      <c r="BH1087" s="2">
        <v>6</v>
      </c>
      <c r="BI1087" s="2">
        <v>0</v>
      </c>
      <c r="BJ1087" s="2">
        <v>2</v>
      </c>
      <c r="BK1087" s="2">
        <v>0</v>
      </c>
      <c r="BL1087" s="2">
        <v>0</v>
      </c>
      <c r="BM1087" s="2">
        <v>1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f t="shared" si="69"/>
        <v>22</v>
      </c>
      <c r="BW1087" s="16">
        <f t="shared" si="67"/>
        <v>1.1578947368421053</v>
      </c>
      <c r="BX1087" s="16">
        <f>COUNTIF($BC$6:BU1087, "=0") / COUNTIF($BC$6:BU1087, "&gt;-1")</f>
        <v>0.29409475629925091</v>
      </c>
      <c r="BY1087" s="18">
        <f>SUM($BC$6:BU1087) / $BY$4</f>
        <v>0.95021939759968355</v>
      </c>
      <c r="BZ1087" s="14">
        <f t="shared" si="68"/>
        <v>14</v>
      </c>
      <c r="CA1087" t="s">
        <v>5832</v>
      </c>
      <c r="CZ1087" t="s">
        <v>7916</v>
      </c>
      <c r="DA1087" t="s">
        <v>5904</v>
      </c>
      <c r="DB1087">
        <v>2370.1</v>
      </c>
      <c r="DC1087" t="s">
        <v>20140</v>
      </c>
      <c r="DD1087" t="s">
        <v>20141</v>
      </c>
      <c r="DE1087" t="s">
        <v>20142</v>
      </c>
      <c r="DF1087" t="s">
        <v>20143</v>
      </c>
      <c r="DG1087" t="s">
        <v>20144</v>
      </c>
      <c r="DH1087" t="str">
        <f>"PC"</f>
        <v>PC</v>
      </c>
      <c r="DI1087" t="s">
        <v>13772</v>
      </c>
      <c r="DJ1087" t="s">
        <v>13777</v>
      </c>
      <c r="DK1087">
        <v>9606</v>
      </c>
      <c r="DL1087" s="34" t="str">
        <f>HYPERLINK("http://www.uniprot.org/uniprot/P11498", "P11498")</f>
        <v>P11498</v>
      </c>
      <c r="DM1087" t="s">
        <v>20145</v>
      </c>
      <c r="DN1087" t="s">
        <v>20146</v>
      </c>
      <c r="DO1087" t="s">
        <v>14491</v>
      </c>
      <c r="DP1087" t="s">
        <v>13780</v>
      </c>
      <c r="DQ1087" t="s">
        <v>13772</v>
      </c>
      <c r="DR1087" t="s">
        <v>13807</v>
      </c>
      <c r="DS1087" t="s">
        <v>14391</v>
      </c>
      <c r="DT1087" t="s">
        <v>20147</v>
      </c>
      <c r="DU1087" t="s">
        <v>20148</v>
      </c>
      <c r="DV1087" t="s">
        <v>13886</v>
      </c>
      <c r="DW1087" t="s">
        <v>13812</v>
      </c>
      <c r="DX1087" t="s">
        <v>20149</v>
      </c>
      <c r="DY1087" t="s">
        <v>17383</v>
      </c>
      <c r="DZ1087" t="s">
        <v>20150</v>
      </c>
      <c r="EA1087" t="s">
        <v>14959</v>
      </c>
      <c r="EB1087" t="s">
        <v>20151</v>
      </c>
    </row>
    <row r="1088" spans="1:132" hidden="1">
      <c r="A1088">
        <v>858</v>
      </c>
      <c r="B1088">
        <v>1</v>
      </c>
      <c r="C1088" t="s">
        <v>2104</v>
      </c>
      <c r="D1088" t="s">
        <v>73</v>
      </c>
      <c r="E1088" t="s">
        <v>73</v>
      </c>
      <c r="F1088" t="s">
        <v>73</v>
      </c>
      <c r="G1088" t="s">
        <v>73</v>
      </c>
      <c r="H1088">
        <v>21.5</v>
      </c>
      <c r="I1088">
        <v>548</v>
      </c>
      <c r="J1088">
        <v>59677</v>
      </c>
      <c r="K1088" t="s">
        <v>2105</v>
      </c>
      <c r="L1088">
        <f t="shared" si="66"/>
        <v>22</v>
      </c>
      <c r="N1088">
        <v>22</v>
      </c>
      <c r="O1088">
        <v>22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2</v>
      </c>
      <c r="W1088">
        <v>0</v>
      </c>
      <c r="X1088">
        <v>1</v>
      </c>
      <c r="Y1088">
        <v>4</v>
      </c>
      <c r="Z1088">
        <v>1</v>
      </c>
      <c r="AA1088">
        <v>6</v>
      </c>
      <c r="AB1088">
        <v>4</v>
      </c>
      <c r="AC1088">
        <v>2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2</v>
      </c>
      <c r="AP1088">
        <v>0</v>
      </c>
      <c r="AQ1088">
        <v>1</v>
      </c>
      <c r="AR1088">
        <v>4</v>
      </c>
      <c r="AS1088">
        <v>1</v>
      </c>
      <c r="AT1088">
        <v>6</v>
      </c>
      <c r="AU1088">
        <v>4</v>
      </c>
      <c r="AV1088">
        <v>2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2</v>
      </c>
      <c r="BI1088" s="2">
        <v>0</v>
      </c>
      <c r="BJ1088" s="2">
        <v>1</v>
      </c>
      <c r="BK1088" s="2">
        <v>4</v>
      </c>
      <c r="BL1088" s="2">
        <v>1</v>
      </c>
      <c r="BM1088" s="2">
        <v>6</v>
      </c>
      <c r="BN1088" s="2">
        <v>4</v>
      </c>
      <c r="BO1088" s="2">
        <v>2</v>
      </c>
      <c r="BP1088" s="2">
        <v>1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f t="shared" si="69"/>
        <v>22</v>
      </c>
      <c r="BW1088" s="16">
        <f t="shared" si="67"/>
        <v>1.1578947368421053</v>
      </c>
      <c r="BX1088" s="16">
        <f>COUNTIF($BC$6:BU1088, "=0") / COUNTIF($BC$6:BU1088, "&gt;-1")</f>
        <v>0.29430918015259755</v>
      </c>
      <c r="BY1088" s="18">
        <f>SUM($BC$6:BU1088) / $BY$4</f>
        <v>0.9503136376107949</v>
      </c>
      <c r="BZ1088" s="14">
        <f t="shared" si="68"/>
        <v>10</v>
      </c>
      <c r="CA1088" t="s">
        <v>5832</v>
      </c>
      <c r="CZ1088" t="s">
        <v>8640</v>
      </c>
      <c r="DA1088" t="s">
        <v>5904</v>
      </c>
      <c r="DB1088">
        <v>1120.9000000000001</v>
      </c>
      <c r="DC1088" t="s">
        <v>22248</v>
      </c>
      <c r="DD1088" t="s">
        <v>22249</v>
      </c>
      <c r="DE1088" t="s">
        <v>22250</v>
      </c>
      <c r="DF1088" t="s">
        <v>22251</v>
      </c>
      <c r="DG1088" t="s">
        <v>22252</v>
      </c>
      <c r="DH1088" t="str">
        <f>"CCT8"</f>
        <v>CCT8</v>
      </c>
      <c r="DI1088" t="s">
        <v>22253</v>
      </c>
      <c r="DJ1088" t="s">
        <v>13777</v>
      </c>
      <c r="DK1088">
        <v>9606</v>
      </c>
      <c r="DL1088" s="34" t="str">
        <f>HYPERLINK("http://www.uniprot.org/uniprot/P50990", "P50990")</f>
        <v>P50990</v>
      </c>
      <c r="DM1088" t="s">
        <v>22254</v>
      </c>
      <c r="DN1088" t="s">
        <v>13772</v>
      </c>
      <c r="DO1088" t="s">
        <v>22255</v>
      </c>
      <c r="DP1088" t="s">
        <v>13780</v>
      </c>
      <c r="DQ1088" t="s">
        <v>13772</v>
      </c>
      <c r="DR1088" t="s">
        <v>13772</v>
      </c>
      <c r="DS1088" t="s">
        <v>13772</v>
      </c>
      <c r="DT1088" t="s">
        <v>14005</v>
      </c>
      <c r="DU1088" t="s">
        <v>14477</v>
      </c>
      <c r="DV1088" t="s">
        <v>13991</v>
      </c>
      <c r="DW1088" t="s">
        <v>13772</v>
      </c>
      <c r="DX1088" t="s">
        <v>22256</v>
      </c>
      <c r="DY1088" t="s">
        <v>22257</v>
      </c>
      <c r="DZ1088" t="s">
        <v>22258</v>
      </c>
      <c r="EA1088" t="s">
        <v>13772</v>
      </c>
      <c r="EB1088" t="s">
        <v>22259</v>
      </c>
    </row>
    <row r="1089" spans="1:132" hidden="1">
      <c r="A1089">
        <v>882</v>
      </c>
      <c r="B1089">
        <v>1</v>
      </c>
      <c r="C1089" t="s">
        <v>2154</v>
      </c>
      <c r="D1089" t="s">
        <v>2155</v>
      </c>
      <c r="E1089" t="s">
        <v>73</v>
      </c>
      <c r="F1089" t="s">
        <v>73</v>
      </c>
      <c r="G1089" t="s">
        <v>73</v>
      </c>
      <c r="H1089">
        <v>16.600000000000001</v>
      </c>
      <c r="I1089">
        <v>795</v>
      </c>
      <c r="J1089">
        <v>88018</v>
      </c>
      <c r="K1089" t="s">
        <v>2156</v>
      </c>
      <c r="L1089">
        <f t="shared" si="66"/>
        <v>22</v>
      </c>
      <c r="N1089">
        <v>22</v>
      </c>
      <c r="O1089">
        <v>22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2</v>
      </c>
      <c r="V1089">
        <v>0</v>
      </c>
      <c r="W1089">
        <v>0</v>
      </c>
      <c r="X1089">
        <v>0</v>
      </c>
      <c r="Y1089">
        <v>2</v>
      </c>
      <c r="Z1089">
        <v>1</v>
      </c>
      <c r="AA1089">
        <v>0</v>
      </c>
      <c r="AB1089">
        <v>1</v>
      </c>
      <c r="AC1089">
        <v>9</v>
      </c>
      <c r="AD1089">
        <v>0</v>
      </c>
      <c r="AE1089">
        <v>2</v>
      </c>
      <c r="AF1089">
        <v>0</v>
      </c>
      <c r="AG1089">
        <v>3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2</v>
      </c>
      <c r="AO1089">
        <v>0</v>
      </c>
      <c r="AP1089">
        <v>0</v>
      </c>
      <c r="AQ1089">
        <v>0</v>
      </c>
      <c r="AR1089">
        <v>2</v>
      </c>
      <c r="AS1089">
        <v>1</v>
      </c>
      <c r="AT1089">
        <v>0</v>
      </c>
      <c r="AU1089">
        <v>1</v>
      </c>
      <c r="AV1089">
        <v>9</v>
      </c>
      <c r="AW1089">
        <v>0</v>
      </c>
      <c r="AX1089">
        <v>2</v>
      </c>
      <c r="AY1089">
        <v>0</v>
      </c>
      <c r="AZ1089">
        <v>3</v>
      </c>
      <c r="BA1089">
        <v>1</v>
      </c>
      <c r="BB1089">
        <v>0</v>
      </c>
      <c r="BC1089" s="2">
        <v>0</v>
      </c>
      <c r="BD1089" s="2">
        <v>1</v>
      </c>
      <c r="BE1089" s="2">
        <v>0</v>
      </c>
      <c r="BF1089" s="2">
        <v>0</v>
      </c>
      <c r="BG1089" s="2">
        <v>2</v>
      </c>
      <c r="BH1089" s="2">
        <v>0</v>
      </c>
      <c r="BI1089" s="2">
        <v>0</v>
      </c>
      <c r="BJ1089" s="2">
        <v>0</v>
      </c>
      <c r="BK1089" s="2">
        <v>2</v>
      </c>
      <c r="BL1089" s="2">
        <v>1</v>
      </c>
      <c r="BM1089" s="2">
        <v>0</v>
      </c>
      <c r="BN1089" s="2">
        <v>1</v>
      </c>
      <c r="BO1089" s="2">
        <v>9</v>
      </c>
      <c r="BP1089" s="2">
        <v>0</v>
      </c>
      <c r="BQ1089" s="2">
        <v>2</v>
      </c>
      <c r="BR1089" s="2">
        <v>0</v>
      </c>
      <c r="BS1089" s="2">
        <v>3</v>
      </c>
      <c r="BT1089" s="2">
        <v>1</v>
      </c>
      <c r="BU1089" s="2">
        <v>0</v>
      </c>
      <c r="BV1089" s="2">
        <f t="shared" si="69"/>
        <v>22</v>
      </c>
      <c r="BW1089" s="16">
        <f t="shared" si="67"/>
        <v>1.1578947368421053</v>
      </c>
      <c r="BX1089" s="16">
        <f>COUNTIF($BC$6:BU1089, "=0") / COUNTIF($BC$6:BU1089, "&gt;-1")</f>
        <v>0.29452320838997864</v>
      </c>
      <c r="BY1089" s="18">
        <f>SUM($BC$6:BU1089) / $BY$4</f>
        <v>0.95040787762190637</v>
      </c>
      <c r="BZ1089" s="14">
        <f t="shared" si="68"/>
        <v>10</v>
      </c>
      <c r="CA1089" t="s">
        <v>5832</v>
      </c>
      <c r="CZ1089" t="s">
        <v>8716</v>
      </c>
      <c r="DA1089" t="s">
        <v>5904</v>
      </c>
      <c r="DB1089">
        <v>1306.5999999999999</v>
      </c>
      <c r="DC1089" t="s">
        <v>22474</v>
      </c>
      <c r="DD1089" t="s">
        <v>22475</v>
      </c>
      <c r="DE1089" t="s">
        <v>22476</v>
      </c>
      <c r="DF1089" t="s">
        <v>22477</v>
      </c>
      <c r="DG1089" t="s">
        <v>22478</v>
      </c>
      <c r="DH1089" t="str">
        <f>"ITGB2"</f>
        <v>ITGB2</v>
      </c>
      <c r="DI1089" t="s">
        <v>22479</v>
      </c>
      <c r="DJ1089" t="s">
        <v>13777</v>
      </c>
      <c r="DK1089">
        <v>9606</v>
      </c>
      <c r="DL1089" s="34" t="str">
        <f>HYPERLINK("http://www.uniprot.org/uniprot/P05107", "P05107")</f>
        <v>P05107</v>
      </c>
      <c r="DM1089" t="s">
        <v>22480</v>
      </c>
      <c r="DN1089" t="s">
        <v>20542</v>
      </c>
      <c r="DO1089" t="s">
        <v>13792</v>
      </c>
      <c r="DP1089" t="s">
        <v>13772</v>
      </c>
      <c r="DQ1089" t="s">
        <v>13772</v>
      </c>
      <c r="DR1089" t="s">
        <v>13807</v>
      </c>
      <c r="DS1089" t="s">
        <v>13826</v>
      </c>
      <c r="DT1089" t="s">
        <v>18390</v>
      </c>
      <c r="DU1089" t="s">
        <v>22481</v>
      </c>
      <c r="DV1089" t="s">
        <v>22482</v>
      </c>
      <c r="DW1089" t="s">
        <v>13812</v>
      </c>
      <c r="DX1089" t="s">
        <v>22483</v>
      </c>
      <c r="DY1089" t="s">
        <v>22484</v>
      </c>
      <c r="DZ1089" t="s">
        <v>22485</v>
      </c>
      <c r="EA1089" t="s">
        <v>13772</v>
      </c>
      <c r="EB1089" t="s">
        <v>22486</v>
      </c>
    </row>
    <row r="1090" spans="1:132" hidden="1">
      <c r="A1090">
        <v>904</v>
      </c>
      <c r="B1090">
        <v>1</v>
      </c>
      <c r="C1090" t="s">
        <v>2204</v>
      </c>
      <c r="D1090" t="s">
        <v>73</v>
      </c>
      <c r="E1090" t="s">
        <v>73</v>
      </c>
      <c r="F1090" t="s">
        <v>73</v>
      </c>
      <c r="G1090" t="s">
        <v>73</v>
      </c>
      <c r="H1090">
        <v>11.8</v>
      </c>
      <c r="I1090">
        <v>415</v>
      </c>
      <c r="J1090">
        <v>45441</v>
      </c>
      <c r="K1090" t="s">
        <v>2205</v>
      </c>
      <c r="L1090">
        <f t="shared" si="66"/>
        <v>22</v>
      </c>
      <c r="N1090">
        <v>22</v>
      </c>
      <c r="O1090">
        <v>22</v>
      </c>
      <c r="P1090">
        <v>1</v>
      </c>
      <c r="Q1090">
        <v>2</v>
      </c>
      <c r="R1090">
        <v>0</v>
      </c>
      <c r="S1090">
        <v>2</v>
      </c>
      <c r="T1090">
        <v>6</v>
      </c>
      <c r="U1090">
        <v>4</v>
      </c>
      <c r="V1090">
        <v>2</v>
      </c>
      <c r="W1090">
        <v>4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2</v>
      </c>
      <c r="AK1090">
        <v>0</v>
      </c>
      <c r="AL1090">
        <v>2</v>
      </c>
      <c r="AM1090">
        <v>6</v>
      </c>
      <c r="AN1090">
        <v>4</v>
      </c>
      <c r="AO1090">
        <v>2</v>
      </c>
      <c r="AP1090">
        <v>4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 s="2">
        <v>2</v>
      </c>
      <c r="BD1090" s="2">
        <v>0</v>
      </c>
      <c r="BE1090" s="2">
        <v>2</v>
      </c>
      <c r="BF1090" s="2">
        <v>6</v>
      </c>
      <c r="BG1090" s="2">
        <v>4</v>
      </c>
      <c r="BH1090" s="2">
        <v>2</v>
      </c>
      <c r="BI1090" s="2">
        <v>4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1</v>
      </c>
      <c r="BS1090" s="2">
        <v>0</v>
      </c>
      <c r="BT1090" s="2">
        <v>0</v>
      </c>
      <c r="BU1090" s="2">
        <v>0</v>
      </c>
      <c r="BV1090" s="2">
        <f t="shared" si="69"/>
        <v>22</v>
      </c>
      <c r="BW1090" s="16">
        <f t="shared" si="67"/>
        <v>1.1578947368421053</v>
      </c>
      <c r="BX1090" s="16">
        <f>COUNTIF($BC$6:BU1090, "=0") / COUNTIF($BC$6:BU1090, "&gt;-1")</f>
        <v>0.29478535047295656</v>
      </c>
      <c r="BY1090" s="18">
        <f>SUM($BC$6:BU1090) / $BY$4</f>
        <v>0.95050211763301773</v>
      </c>
      <c r="BZ1090" s="14">
        <f t="shared" si="68"/>
        <v>11</v>
      </c>
      <c r="CA1090" t="s">
        <v>5832</v>
      </c>
      <c r="CZ1090" t="s">
        <v>8791</v>
      </c>
      <c r="DA1090" t="s">
        <v>5904</v>
      </c>
      <c r="DB1090">
        <v>762.7</v>
      </c>
      <c r="DC1090" t="s">
        <v>22702</v>
      </c>
      <c r="DD1090" t="s">
        <v>22703</v>
      </c>
      <c r="DE1090" t="s">
        <v>22704</v>
      </c>
      <c r="DF1090" t="s">
        <v>22705</v>
      </c>
      <c r="DG1090" t="s">
        <v>22706</v>
      </c>
      <c r="DH1090" t="str">
        <f>"PCOLCE2"</f>
        <v>PCOLCE2</v>
      </c>
      <c r="DI1090" t="s">
        <v>22707</v>
      </c>
      <c r="DJ1090" t="s">
        <v>13777</v>
      </c>
      <c r="DK1090">
        <v>9606</v>
      </c>
      <c r="DL1090" s="34" t="str">
        <f>HYPERLINK("http://www.uniprot.org/uniprot/Q9UKZ9", "Q9UKZ9")</f>
        <v>Q9UKZ9</v>
      </c>
      <c r="DM1090" t="s">
        <v>22708</v>
      </c>
      <c r="DN1090" t="s">
        <v>13772</v>
      </c>
      <c r="DO1090" t="s">
        <v>14321</v>
      </c>
      <c r="DP1090" t="s">
        <v>13793</v>
      </c>
      <c r="DQ1090" t="s">
        <v>13772</v>
      </c>
      <c r="DR1090" t="s">
        <v>13772</v>
      </c>
      <c r="DS1090" t="s">
        <v>14404</v>
      </c>
      <c r="DT1090" t="s">
        <v>13772</v>
      </c>
      <c r="DU1090" t="s">
        <v>14073</v>
      </c>
      <c r="DV1090" t="s">
        <v>13796</v>
      </c>
      <c r="DW1090" t="s">
        <v>13772</v>
      </c>
      <c r="DX1090" t="s">
        <v>22709</v>
      </c>
      <c r="DY1090" t="s">
        <v>15346</v>
      </c>
      <c r="DZ1090" t="s">
        <v>22710</v>
      </c>
      <c r="EA1090" t="s">
        <v>13772</v>
      </c>
      <c r="EB1090" t="s">
        <v>15055</v>
      </c>
    </row>
    <row r="1091" spans="1:132" hidden="1">
      <c r="A1091">
        <v>1116</v>
      </c>
      <c r="B1091">
        <v>1</v>
      </c>
      <c r="C1091" t="s">
        <v>2684</v>
      </c>
      <c r="D1091" t="s">
        <v>2685</v>
      </c>
      <c r="E1091" t="s">
        <v>73</v>
      </c>
      <c r="F1091" t="s">
        <v>73</v>
      </c>
      <c r="G1091" t="s">
        <v>73</v>
      </c>
      <c r="H1091">
        <v>32.6</v>
      </c>
      <c r="I1091">
        <v>267</v>
      </c>
      <c r="J1091">
        <v>28826</v>
      </c>
      <c r="K1091" t="s">
        <v>2686</v>
      </c>
      <c r="L1091">
        <f t="shared" si="66"/>
        <v>22</v>
      </c>
      <c r="N1091">
        <v>22</v>
      </c>
      <c r="O1091">
        <v>22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2</v>
      </c>
      <c r="Y1091">
        <v>8</v>
      </c>
      <c r="Z1091">
        <v>0</v>
      </c>
      <c r="AA1091">
        <v>7</v>
      </c>
      <c r="AB1091">
        <v>1</v>
      </c>
      <c r="AC1091">
        <v>0</v>
      </c>
      <c r="AD1091">
        <v>0</v>
      </c>
      <c r="AE1091">
        <v>2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2</v>
      </c>
      <c r="AR1091">
        <v>8</v>
      </c>
      <c r="AS1091">
        <v>0</v>
      </c>
      <c r="AT1091">
        <v>7</v>
      </c>
      <c r="AU1091">
        <v>1</v>
      </c>
      <c r="AV1091">
        <v>0</v>
      </c>
      <c r="AW1091">
        <v>0</v>
      </c>
      <c r="AX1091">
        <v>2</v>
      </c>
      <c r="AY1091">
        <v>1</v>
      </c>
      <c r="AZ1091">
        <v>0</v>
      </c>
      <c r="BA1091">
        <v>0</v>
      </c>
      <c r="BB1091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0</v>
      </c>
      <c r="BJ1091" s="2">
        <v>2</v>
      </c>
      <c r="BK1091" s="2">
        <v>8</v>
      </c>
      <c r="BL1091" s="2">
        <v>0</v>
      </c>
      <c r="BM1091" s="2">
        <v>7</v>
      </c>
      <c r="BN1091" s="2">
        <v>1</v>
      </c>
      <c r="BO1091" s="2">
        <v>0</v>
      </c>
      <c r="BP1091" s="2">
        <v>0</v>
      </c>
      <c r="BQ1091" s="2">
        <v>2</v>
      </c>
      <c r="BR1091" s="2">
        <v>1</v>
      </c>
      <c r="BS1091" s="2">
        <v>0</v>
      </c>
      <c r="BT1091" s="2">
        <v>0</v>
      </c>
      <c r="BU1091" s="2">
        <v>0</v>
      </c>
      <c r="BV1091" s="2">
        <f t="shared" si="69"/>
        <v>22</v>
      </c>
      <c r="BW1091" s="16">
        <f t="shared" si="67"/>
        <v>1.1578947368421053</v>
      </c>
      <c r="BX1091" s="16">
        <f>COUNTIF($BC$6:BU1091, "=0") / COUNTIF($BC$6:BU1091, "&gt;-1")</f>
        <v>0.2950954734903557</v>
      </c>
      <c r="BY1091" s="18">
        <f>SUM($BC$6:BU1091) / $BY$4</f>
        <v>0.9505963576441292</v>
      </c>
      <c r="BZ1091" s="14">
        <f t="shared" si="68"/>
        <v>12</v>
      </c>
      <c r="CA1091" t="s">
        <v>5832</v>
      </c>
      <c r="CZ1091" t="s">
        <v>9456</v>
      </c>
      <c r="DA1091" t="s">
        <v>5904</v>
      </c>
      <c r="DB1091">
        <v>494.6</v>
      </c>
      <c r="DC1091" t="s">
        <v>24604</v>
      </c>
      <c r="DD1091" t="s">
        <v>24605</v>
      </c>
      <c r="DE1091" t="s">
        <v>24606</v>
      </c>
      <c r="DF1091" t="s">
        <v>24607</v>
      </c>
      <c r="DG1091" t="s">
        <v>24608</v>
      </c>
      <c r="DH1091" t="str">
        <f>"NECAP2"</f>
        <v>NECAP2</v>
      </c>
      <c r="DI1091" t="s">
        <v>13772</v>
      </c>
      <c r="DJ1091" t="s">
        <v>13777</v>
      </c>
      <c r="DK1091">
        <v>9606</v>
      </c>
      <c r="DL1091" s="34" t="str">
        <f>HYPERLINK("http://www.uniprot.org/uniprot/Q9NVZ3", "Q9NVZ3")</f>
        <v>Q9NVZ3</v>
      </c>
      <c r="DM1091" t="s">
        <v>24609</v>
      </c>
      <c r="DN1091" t="s">
        <v>19177</v>
      </c>
      <c r="DO1091" t="s">
        <v>13976</v>
      </c>
      <c r="DP1091" t="s">
        <v>13780</v>
      </c>
      <c r="DQ1091" t="s">
        <v>13772</v>
      </c>
      <c r="DR1091" t="s">
        <v>13772</v>
      </c>
      <c r="DS1091" t="s">
        <v>14096</v>
      </c>
      <c r="DT1091" t="s">
        <v>13772</v>
      </c>
      <c r="DU1091" t="s">
        <v>13772</v>
      </c>
      <c r="DV1091" t="s">
        <v>13782</v>
      </c>
      <c r="DW1091" t="s">
        <v>13772</v>
      </c>
      <c r="DX1091" t="s">
        <v>24610</v>
      </c>
      <c r="DY1091" t="s">
        <v>24611</v>
      </c>
      <c r="DZ1091" t="s">
        <v>13772</v>
      </c>
      <c r="EA1091" t="s">
        <v>13772</v>
      </c>
      <c r="EB1091" t="s">
        <v>24612</v>
      </c>
    </row>
    <row r="1092" spans="1:132" hidden="1">
      <c r="A1092">
        <v>1306</v>
      </c>
      <c r="B1092">
        <v>1</v>
      </c>
      <c r="C1092" t="s">
        <v>3132</v>
      </c>
      <c r="D1092" t="s">
        <v>73</v>
      </c>
      <c r="E1092" t="s">
        <v>73</v>
      </c>
      <c r="F1092" t="s">
        <v>73</v>
      </c>
      <c r="G1092" t="s">
        <v>73</v>
      </c>
      <c r="H1092">
        <v>18</v>
      </c>
      <c r="I1092">
        <v>256</v>
      </c>
      <c r="J1092">
        <v>28795</v>
      </c>
      <c r="K1092" t="s">
        <v>3133</v>
      </c>
      <c r="L1092">
        <f t="shared" si="66"/>
        <v>22</v>
      </c>
      <c r="N1092">
        <v>22</v>
      </c>
      <c r="O1092">
        <v>22</v>
      </c>
      <c r="P1092">
        <v>1</v>
      </c>
      <c r="Q1092">
        <v>1</v>
      </c>
      <c r="R1092">
        <v>3</v>
      </c>
      <c r="S1092">
        <v>0</v>
      </c>
      <c r="T1092">
        <v>0</v>
      </c>
      <c r="U1092">
        <v>3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3</v>
      </c>
      <c r="AB1092">
        <v>4</v>
      </c>
      <c r="AC1092">
        <v>0</v>
      </c>
      <c r="AD1092">
        <v>2</v>
      </c>
      <c r="AE1092">
        <v>3</v>
      </c>
      <c r="AF1092">
        <v>1</v>
      </c>
      <c r="AG1092">
        <v>0</v>
      </c>
      <c r="AH1092">
        <v>0</v>
      </c>
      <c r="AI1092">
        <v>1</v>
      </c>
      <c r="AJ1092">
        <v>1</v>
      </c>
      <c r="AK1092">
        <v>3</v>
      </c>
      <c r="AL1092">
        <v>0</v>
      </c>
      <c r="AM1092">
        <v>0</v>
      </c>
      <c r="AN1092">
        <v>3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3</v>
      </c>
      <c r="AU1092">
        <v>4</v>
      </c>
      <c r="AV1092">
        <v>0</v>
      </c>
      <c r="AW1092">
        <v>2</v>
      </c>
      <c r="AX1092">
        <v>3</v>
      </c>
      <c r="AY1092">
        <v>1</v>
      </c>
      <c r="AZ1092">
        <v>0</v>
      </c>
      <c r="BA1092">
        <v>0</v>
      </c>
      <c r="BB1092">
        <v>1</v>
      </c>
      <c r="BC1092" s="2">
        <v>1</v>
      </c>
      <c r="BD1092" s="2">
        <v>3</v>
      </c>
      <c r="BE1092" s="2">
        <v>0</v>
      </c>
      <c r="BF1092" s="2">
        <v>0</v>
      </c>
      <c r="BG1092" s="2">
        <v>3</v>
      </c>
      <c r="BH1092" s="2">
        <v>0</v>
      </c>
      <c r="BI1092" s="2">
        <v>0</v>
      </c>
      <c r="BJ1092" s="2">
        <v>0</v>
      </c>
      <c r="BK1092" s="2">
        <v>1</v>
      </c>
      <c r="BL1092" s="2">
        <v>0</v>
      </c>
      <c r="BM1092" s="2">
        <v>3</v>
      </c>
      <c r="BN1092" s="2">
        <v>4</v>
      </c>
      <c r="BO1092" s="2">
        <v>0</v>
      </c>
      <c r="BP1092" s="2">
        <v>2</v>
      </c>
      <c r="BQ1092" s="2">
        <v>3</v>
      </c>
      <c r="BR1092" s="2">
        <v>1</v>
      </c>
      <c r="BS1092" s="2">
        <v>0</v>
      </c>
      <c r="BT1092" s="2">
        <v>0</v>
      </c>
      <c r="BU1092" s="2">
        <v>1</v>
      </c>
      <c r="BV1092" s="2">
        <f t="shared" si="69"/>
        <v>22</v>
      </c>
      <c r="BW1092" s="16">
        <f t="shared" si="67"/>
        <v>1.1578947368421053</v>
      </c>
      <c r="BX1092" s="16">
        <f>COUNTIF($BC$6:BU1092, "=0") / COUNTIF($BC$6:BU1092, "&gt;-1")</f>
        <v>0.29525976855662617</v>
      </c>
      <c r="BY1092" s="18">
        <f>SUM($BC$6:BU1092) / $BY$4</f>
        <v>0.95069059765524055</v>
      </c>
      <c r="BZ1092" s="14">
        <f t="shared" si="68"/>
        <v>9</v>
      </c>
      <c r="CA1092" t="s">
        <v>5832</v>
      </c>
      <c r="CZ1092" t="s">
        <v>10097</v>
      </c>
      <c r="DA1092" t="s">
        <v>5904</v>
      </c>
      <c r="DB1092">
        <v>441</v>
      </c>
      <c r="DC1092" t="s">
        <v>26416</v>
      </c>
      <c r="DD1092" t="s">
        <v>26417</v>
      </c>
      <c r="DE1092" t="s">
        <v>26418</v>
      </c>
      <c r="DF1092" t="s">
        <v>26419</v>
      </c>
      <c r="DG1092" t="s">
        <v>26420</v>
      </c>
      <c r="DH1092" t="str">
        <f>"ATP5PB"</f>
        <v>ATP5PB</v>
      </c>
      <c r="DI1092" t="s">
        <v>26421</v>
      </c>
      <c r="DJ1092" t="s">
        <v>13777</v>
      </c>
      <c r="DK1092">
        <v>9606</v>
      </c>
      <c r="DL1092" s="34" t="str">
        <f>HYPERLINK("http://www.uniprot.org/uniprot/P24539", "P24539")</f>
        <v>P24539</v>
      </c>
      <c r="DM1092" t="s">
        <v>26422</v>
      </c>
      <c r="DN1092" t="s">
        <v>14032</v>
      </c>
      <c r="DO1092" t="s">
        <v>19894</v>
      </c>
      <c r="DP1092" t="s">
        <v>13793</v>
      </c>
      <c r="DQ1092" t="s">
        <v>13772</v>
      </c>
      <c r="DR1092" t="s">
        <v>13772</v>
      </c>
      <c r="DS1092" t="s">
        <v>14391</v>
      </c>
      <c r="DT1092" t="s">
        <v>13772</v>
      </c>
      <c r="DU1092" t="s">
        <v>13772</v>
      </c>
      <c r="DV1092" t="s">
        <v>14020</v>
      </c>
      <c r="DW1092" t="s">
        <v>13772</v>
      </c>
      <c r="DX1092" t="s">
        <v>26423</v>
      </c>
      <c r="DY1092" t="s">
        <v>26424</v>
      </c>
      <c r="DZ1092" t="s">
        <v>19897</v>
      </c>
      <c r="EA1092" t="s">
        <v>13772</v>
      </c>
      <c r="EB1092" t="s">
        <v>19898</v>
      </c>
    </row>
    <row r="1093" spans="1:132" hidden="1">
      <c r="A1093">
        <v>1406</v>
      </c>
      <c r="B1093">
        <v>1</v>
      </c>
      <c r="C1093" t="s">
        <v>3358</v>
      </c>
      <c r="D1093" t="s">
        <v>73</v>
      </c>
      <c r="E1093" t="s">
        <v>73</v>
      </c>
      <c r="F1093" t="s">
        <v>73</v>
      </c>
      <c r="G1093" t="s">
        <v>73</v>
      </c>
      <c r="H1093">
        <v>36.6</v>
      </c>
      <c r="I1093">
        <v>164</v>
      </c>
      <c r="J1093">
        <v>19329</v>
      </c>
      <c r="K1093" t="s">
        <v>3359</v>
      </c>
      <c r="L1093">
        <f t="shared" si="66"/>
        <v>22</v>
      </c>
      <c r="N1093">
        <v>22</v>
      </c>
      <c r="O1093">
        <v>22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2</v>
      </c>
      <c r="X1093">
        <v>3</v>
      </c>
      <c r="Y1093">
        <v>5</v>
      </c>
      <c r="Z1093">
        <v>0</v>
      </c>
      <c r="AA1093">
        <v>1</v>
      </c>
      <c r="AB1093">
        <v>3</v>
      </c>
      <c r="AC1093">
        <v>1</v>
      </c>
      <c r="AD1093">
        <v>0</v>
      </c>
      <c r="AE1093">
        <v>2</v>
      </c>
      <c r="AF1093">
        <v>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2</v>
      </c>
      <c r="AQ1093">
        <v>3</v>
      </c>
      <c r="AR1093">
        <v>5</v>
      </c>
      <c r="AS1093">
        <v>0</v>
      </c>
      <c r="AT1093">
        <v>1</v>
      </c>
      <c r="AU1093">
        <v>3</v>
      </c>
      <c r="AV1093">
        <v>1</v>
      </c>
      <c r="AW1093">
        <v>0</v>
      </c>
      <c r="AX1093">
        <v>2</v>
      </c>
      <c r="AY1093">
        <v>4</v>
      </c>
      <c r="AZ1093">
        <v>0</v>
      </c>
      <c r="BA1093">
        <v>0</v>
      </c>
      <c r="BB1093">
        <v>0</v>
      </c>
      <c r="BC1093" s="2">
        <v>0</v>
      </c>
      <c r="BD1093" s="2">
        <v>0</v>
      </c>
      <c r="BE1093" s="2">
        <v>0</v>
      </c>
      <c r="BF1093" s="2">
        <v>1</v>
      </c>
      <c r="BG1093" s="2">
        <v>0</v>
      </c>
      <c r="BH1093" s="2">
        <v>0</v>
      </c>
      <c r="BI1093" s="2">
        <v>2</v>
      </c>
      <c r="BJ1093" s="2">
        <v>3</v>
      </c>
      <c r="BK1093" s="2">
        <v>5</v>
      </c>
      <c r="BL1093" s="2">
        <v>0</v>
      </c>
      <c r="BM1093" s="2">
        <v>1</v>
      </c>
      <c r="BN1093" s="2">
        <v>3</v>
      </c>
      <c r="BO1093" s="2">
        <v>1</v>
      </c>
      <c r="BP1093" s="2">
        <v>0</v>
      </c>
      <c r="BQ1093" s="2">
        <v>2</v>
      </c>
      <c r="BR1093" s="2">
        <v>4</v>
      </c>
      <c r="BS1093" s="2">
        <v>0</v>
      </c>
      <c r="BT1093" s="2">
        <v>0</v>
      </c>
      <c r="BU1093" s="2">
        <v>0</v>
      </c>
      <c r="BV1093" s="2">
        <f t="shared" si="69"/>
        <v>22</v>
      </c>
      <c r="BW1093" s="16">
        <f t="shared" si="67"/>
        <v>1.1578947368421053</v>
      </c>
      <c r="BX1093" s="16">
        <f>COUNTIF($BC$6:BU1093, "=0") / COUNTIF($BC$6:BU1093, "&gt;-1")</f>
        <v>0.29547213622291024</v>
      </c>
      <c r="BY1093" s="18">
        <f>SUM($BC$6:BU1093) / $BY$4</f>
        <v>0.95078483766635202</v>
      </c>
      <c r="BZ1093" s="14">
        <f t="shared" si="68"/>
        <v>10</v>
      </c>
      <c r="CA1093" t="s">
        <v>5832</v>
      </c>
      <c r="CZ1093" t="s">
        <v>10431</v>
      </c>
      <c r="DA1093" t="s">
        <v>5904</v>
      </c>
      <c r="DB1093">
        <v>315.8</v>
      </c>
      <c r="DC1093" t="s">
        <v>27357</v>
      </c>
      <c r="DD1093" t="s">
        <v>27358</v>
      </c>
      <c r="DE1093" t="s">
        <v>27359</v>
      </c>
      <c r="DF1093" t="s">
        <v>27360</v>
      </c>
      <c r="DG1093" t="s">
        <v>27361</v>
      </c>
      <c r="DH1093" t="str">
        <f>"SRSF3"</f>
        <v>SRSF3</v>
      </c>
      <c r="DI1093" t="s">
        <v>27362</v>
      </c>
      <c r="DJ1093" t="s">
        <v>13777</v>
      </c>
      <c r="DK1093">
        <v>9606</v>
      </c>
      <c r="DL1093" s="34" t="str">
        <f>HYPERLINK("http://www.uniprot.org/uniprot/P84103", "P84103")</f>
        <v>P84103</v>
      </c>
      <c r="DM1093" t="s">
        <v>27363</v>
      </c>
      <c r="DN1093" t="s">
        <v>16723</v>
      </c>
      <c r="DO1093" t="s">
        <v>13912</v>
      </c>
      <c r="DP1093" t="s">
        <v>13841</v>
      </c>
      <c r="DQ1093" t="s">
        <v>13772</v>
      </c>
      <c r="DR1093" t="s">
        <v>13772</v>
      </c>
      <c r="DS1093" t="s">
        <v>14096</v>
      </c>
      <c r="DT1093" t="s">
        <v>13772</v>
      </c>
      <c r="DU1093" t="s">
        <v>14826</v>
      </c>
      <c r="DV1093" t="s">
        <v>13886</v>
      </c>
      <c r="DW1093" t="s">
        <v>13812</v>
      </c>
      <c r="DX1093" t="s">
        <v>27364</v>
      </c>
      <c r="DY1093" t="s">
        <v>27145</v>
      </c>
      <c r="DZ1093" t="s">
        <v>15487</v>
      </c>
      <c r="EA1093" t="s">
        <v>13772</v>
      </c>
      <c r="EB1093" t="s">
        <v>15488</v>
      </c>
    </row>
    <row r="1094" spans="1:132" hidden="1">
      <c r="A1094">
        <v>1418</v>
      </c>
      <c r="B1094">
        <v>1</v>
      </c>
      <c r="C1094" t="s">
        <v>3384</v>
      </c>
      <c r="D1094" t="s">
        <v>73</v>
      </c>
      <c r="E1094" t="s">
        <v>73</v>
      </c>
      <c r="F1094" t="s">
        <v>73</v>
      </c>
      <c r="G1094" t="s">
        <v>73</v>
      </c>
      <c r="H1094">
        <v>37.799999999999997</v>
      </c>
      <c r="I1094">
        <v>90</v>
      </c>
      <c r="J1094">
        <v>9448</v>
      </c>
      <c r="K1094" t="s">
        <v>3385</v>
      </c>
      <c r="L1094">
        <f t="shared" ref="L1094:L1157" si="70">N1094</f>
        <v>22</v>
      </c>
      <c r="N1094">
        <v>22</v>
      </c>
      <c r="O1094">
        <v>22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3</v>
      </c>
      <c r="Y1094">
        <v>3</v>
      </c>
      <c r="Z1094">
        <v>0</v>
      </c>
      <c r="AA1094">
        <v>1</v>
      </c>
      <c r="AB1094">
        <v>2</v>
      </c>
      <c r="AC1094">
        <v>2</v>
      </c>
      <c r="AD1094">
        <v>0</v>
      </c>
      <c r="AE1094">
        <v>5</v>
      </c>
      <c r="AF1094">
        <v>2</v>
      </c>
      <c r="AG1094">
        <v>0</v>
      </c>
      <c r="AH1094">
        <v>0</v>
      </c>
      <c r="AI1094">
        <v>2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3</v>
      </c>
      <c r="AR1094">
        <v>3</v>
      </c>
      <c r="AS1094">
        <v>0</v>
      </c>
      <c r="AT1094">
        <v>1</v>
      </c>
      <c r="AU1094">
        <v>2</v>
      </c>
      <c r="AV1094">
        <v>2</v>
      </c>
      <c r="AW1094">
        <v>0</v>
      </c>
      <c r="AX1094">
        <v>5</v>
      </c>
      <c r="AY1094">
        <v>2</v>
      </c>
      <c r="AZ1094">
        <v>0</v>
      </c>
      <c r="BA1094">
        <v>0</v>
      </c>
      <c r="BB1094">
        <v>2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3</v>
      </c>
      <c r="BK1094" s="2">
        <v>3</v>
      </c>
      <c r="BL1094" s="2">
        <v>0</v>
      </c>
      <c r="BM1094" s="2">
        <v>1</v>
      </c>
      <c r="BN1094" s="2">
        <v>2</v>
      </c>
      <c r="BO1094" s="2">
        <v>2</v>
      </c>
      <c r="BP1094" s="2">
        <v>0</v>
      </c>
      <c r="BQ1094" s="2">
        <v>5</v>
      </c>
      <c r="BR1094" s="2">
        <v>2</v>
      </c>
      <c r="BS1094" s="2">
        <v>0</v>
      </c>
      <c r="BT1094" s="2">
        <v>0</v>
      </c>
      <c r="BU1094" s="2">
        <v>2</v>
      </c>
      <c r="BV1094" s="2">
        <f t="shared" si="69"/>
        <v>22</v>
      </c>
      <c r="BW1094" s="16">
        <f t="shared" ref="BW1094:BW1157" si="71">AVERAGE(BC1094:BU1094)</f>
        <v>1.1578947368421053</v>
      </c>
      <c r="BX1094" s="16">
        <f>COUNTIF($BC$6:BU1094, "=0") / COUNTIF($BC$6:BU1094, "&gt;-1")</f>
        <v>0.29563578367406118</v>
      </c>
      <c r="BY1094" s="18">
        <f>SUM($BC$6:BU1094) / $BY$4</f>
        <v>0.95087907767746338</v>
      </c>
      <c r="BZ1094" s="14">
        <f t="shared" ref="BZ1094:BZ1157" si="72">19-COUNTIF(BC1094:BU1094, "&gt;0")</f>
        <v>9</v>
      </c>
      <c r="CA1094" t="s">
        <v>5832</v>
      </c>
      <c r="CZ1094" t="s">
        <v>10465</v>
      </c>
      <c r="DA1094" t="s">
        <v>5904</v>
      </c>
      <c r="DB1094">
        <v>116.3</v>
      </c>
      <c r="DC1094" t="s">
        <v>27439</v>
      </c>
      <c r="DD1094" t="s">
        <v>27440</v>
      </c>
      <c r="DE1094" t="s">
        <v>27441</v>
      </c>
      <c r="DF1094" t="s">
        <v>27442</v>
      </c>
      <c r="DG1094" t="s">
        <v>27443</v>
      </c>
      <c r="DH1094" t="str">
        <f>"HMGN4"</f>
        <v>HMGN4</v>
      </c>
      <c r="DI1094" t="s">
        <v>27444</v>
      </c>
      <c r="DJ1094" t="s">
        <v>13777</v>
      </c>
      <c r="DK1094">
        <v>9606</v>
      </c>
      <c r="DL1094" s="34" t="str">
        <f>HYPERLINK("http://www.uniprot.org/uniprot/O00479", "O00479")</f>
        <v>O00479</v>
      </c>
      <c r="DM1094" t="s">
        <v>27445</v>
      </c>
      <c r="DN1094" t="s">
        <v>13772</v>
      </c>
      <c r="DO1094" t="s">
        <v>14825</v>
      </c>
      <c r="DP1094" t="s">
        <v>13772</v>
      </c>
      <c r="DQ1094" t="s">
        <v>13772</v>
      </c>
      <c r="DR1094" t="s">
        <v>13772</v>
      </c>
      <c r="DS1094" t="s">
        <v>13772</v>
      </c>
      <c r="DT1094" t="s">
        <v>13772</v>
      </c>
      <c r="DU1094" t="s">
        <v>15871</v>
      </c>
      <c r="DV1094" t="s">
        <v>24257</v>
      </c>
      <c r="DW1094" t="s">
        <v>13772</v>
      </c>
      <c r="DX1094" t="s">
        <v>13772</v>
      </c>
      <c r="DY1094" t="s">
        <v>27446</v>
      </c>
      <c r="DZ1094" t="s">
        <v>27447</v>
      </c>
      <c r="EA1094" t="s">
        <v>13772</v>
      </c>
      <c r="EB1094" t="s">
        <v>13772</v>
      </c>
    </row>
    <row r="1095" spans="1:132" hidden="1">
      <c r="A1095">
        <v>1464</v>
      </c>
      <c r="B1095">
        <v>1</v>
      </c>
      <c r="C1095" t="s">
        <v>3483</v>
      </c>
      <c r="D1095" t="s">
        <v>73</v>
      </c>
      <c r="E1095" t="s">
        <v>73</v>
      </c>
      <c r="F1095" t="s">
        <v>73</v>
      </c>
      <c r="G1095" t="s">
        <v>73</v>
      </c>
      <c r="H1095">
        <v>8</v>
      </c>
      <c r="I1095">
        <v>925</v>
      </c>
      <c r="J1095">
        <v>105157</v>
      </c>
      <c r="K1095" t="s">
        <v>3484</v>
      </c>
      <c r="L1095">
        <f t="shared" si="70"/>
        <v>22</v>
      </c>
      <c r="N1095">
        <v>22</v>
      </c>
      <c r="O1095">
        <v>22</v>
      </c>
      <c r="P1095">
        <v>1</v>
      </c>
      <c r="Q1095">
        <v>3</v>
      </c>
      <c r="R1095">
        <v>1</v>
      </c>
      <c r="S1095">
        <v>1</v>
      </c>
      <c r="T1095">
        <v>3</v>
      </c>
      <c r="U1095">
        <v>6</v>
      </c>
      <c r="V1095">
        <v>1</v>
      </c>
      <c r="W1095">
        <v>2</v>
      </c>
      <c r="X1095">
        <v>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1</v>
      </c>
      <c r="AJ1095">
        <v>3</v>
      </c>
      <c r="AK1095">
        <v>1</v>
      </c>
      <c r="AL1095">
        <v>1</v>
      </c>
      <c r="AM1095">
        <v>3</v>
      </c>
      <c r="AN1095">
        <v>6</v>
      </c>
      <c r="AO1095">
        <v>1</v>
      </c>
      <c r="AP1095">
        <v>2</v>
      </c>
      <c r="AQ1095">
        <v>2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1</v>
      </c>
      <c r="BC1095" s="2">
        <v>3</v>
      </c>
      <c r="BD1095" s="2">
        <v>1</v>
      </c>
      <c r="BE1095" s="2">
        <v>1</v>
      </c>
      <c r="BF1095" s="2">
        <v>3</v>
      </c>
      <c r="BG1095" s="2">
        <v>6</v>
      </c>
      <c r="BH1095" s="2">
        <v>1</v>
      </c>
      <c r="BI1095" s="2">
        <v>2</v>
      </c>
      <c r="BJ1095" s="2">
        <v>2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1</v>
      </c>
      <c r="BS1095" s="2">
        <v>1</v>
      </c>
      <c r="BT1095" s="2">
        <v>0</v>
      </c>
      <c r="BU1095" s="2">
        <v>1</v>
      </c>
      <c r="BV1095" s="2">
        <f t="shared" ref="BV1095:BV1158" si="73">SUM(BC1095:BU1095)</f>
        <v>22</v>
      </c>
      <c r="BW1095" s="16">
        <f t="shared" si="71"/>
        <v>1.1578947368421053</v>
      </c>
      <c r="BX1095" s="16">
        <f>COUNTIF($BC$6:BU1095, "=0") / COUNTIF($BC$6:BU1095, "&gt;-1")</f>
        <v>0.29575084500241428</v>
      </c>
      <c r="BY1095" s="18">
        <f>SUM($BC$6:BU1095) / $BY$4</f>
        <v>0.95097331768857474</v>
      </c>
      <c r="BZ1095" s="14">
        <f t="shared" si="72"/>
        <v>8</v>
      </c>
      <c r="CA1095" t="s">
        <v>5832</v>
      </c>
      <c r="CZ1095" t="s">
        <v>10611</v>
      </c>
      <c r="DA1095" t="s">
        <v>5904</v>
      </c>
      <c r="DB1095">
        <v>1684.8</v>
      </c>
      <c r="DC1095" t="s">
        <v>27858</v>
      </c>
      <c r="DD1095" t="s">
        <v>27859</v>
      </c>
      <c r="DE1095" t="s">
        <v>27860</v>
      </c>
      <c r="DF1095" t="s">
        <v>27861</v>
      </c>
      <c r="DG1095" t="s">
        <v>27862</v>
      </c>
      <c r="DH1095" t="str">
        <f>"ENPP1"</f>
        <v>ENPP1</v>
      </c>
      <c r="DI1095" t="s">
        <v>13772</v>
      </c>
      <c r="DJ1095" t="s">
        <v>13777</v>
      </c>
      <c r="DK1095">
        <v>9606</v>
      </c>
      <c r="DL1095" s="34" t="str">
        <f>HYPERLINK("http://www.uniprot.org/uniprot/P22413", "P22413")</f>
        <v>P22413</v>
      </c>
      <c r="DM1095" t="s">
        <v>27863</v>
      </c>
      <c r="DN1095" t="s">
        <v>16274</v>
      </c>
      <c r="DO1095" t="s">
        <v>14336</v>
      </c>
      <c r="DP1095" t="s">
        <v>13793</v>
      </c>
      <c r="DQ1095" t="s">
        <v>13772</v>
      </c>
      <c r="DR1095" t="s">
        <v>22340</v>
      </c>
      <c r="DS1095" t="s">
        <v>17249</v>
      </c>
      <c r="DT1095" t="s">
        <v>14628</v>
      </c>
      <c r="DU1095" t="s">
        <v>13857</v>
      </c>
      <c r="DV1095" t="s">
        <v>13964</v>
      </c>
      <c r="DW1095" t="s">
        <v>13812</v>
      </c>
      <c r="DX1095" t="s">
        <v>27864</v>
      </c>
      <c r="DY1095" t="s">
        <v>27865</v>
      </c>
      <c r="DZ1095" t="s">
        <v>27866</v>
      </c>
      <c r="EA1095" t="s">
        <v>13772</v>
      </c>
      <c r="EB1095" t="s">
        <v>27867</v>
      </c>
    </row>
    <row r="1096" spans="1:132" hidden="1">
      <c r="A1096">
        <v>1567</v>
      </c>
      <c r="B1096">
        <v>1</v>
      </c>
      <c r="C1096" t="s">
        <v>3715</v>
      </c>
      <c r="D1096" t="s">
        <v>3716</v>
      </c>
      <c r="E1096" t="s">
        <v>73</v>
      </c>
      <c r="F1096" t="s">
        <v>73</v>
      </c>
      <c r="G1096" t="s">
        <v>73</v>
      </c>
      <c r="H1096">
        <v>12.7</v>
      </c>
      <c r="I1096">
        <v>1004</v>
      </c>
      <c r="J1096">
        <v>108822</v>
      </c>
      <c r="K1096" t="s">
        <v>3717</v>
      </c>
      <c r="L1096">
        <f t="shared" si="70"/>
        <v>22</v>
      </c>
      <c r="N1096">
        <v>22</v>
      </c>
      <c r="O1096">
        <v>22</v>
      </c>
      <c r="P1096">
        <v>1</v>
      </c>
      <c r="Q1096">
        <v>3</v>
      </c>
      <c r="R1096">
        <v>0</v>
      </c>
      <c r="S1096">
        <v>0</v>
      </c>
      <c r="T1096">
        <v>1</v>
      </c>
      <c r="U1096">
        <v>2</v>
      </c>
      <c r="V1096">
        <v>1</v>
      </c>
      <c r="W1096">
        <v>5</v>
      </c>
      <c r="X1096">
        <v>9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</v>
      </c>
      <c r="AK1096">
        <v>0</v>
      </c>
      <c r="AL1096">
        <v>0</v>
      </c>
      <c r="AM1096">
        <v>1</v>
      </c>
      <c r="AN1096">
        <v>2</v>
      </c>
      <c r="AO1096">
        <v>1</v>
      </c>
      <c r="AP1096">
        <v>5</v>
      </c>
      <c r="AQ1096">
        <v>9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 s="2">
        <v>3</v>
      </c>
      <c r="BD1096" s="2">
        <v>0</v>
      </c>
      <c r="BE1096" s="2">
        <v>0</v>
      </c>
      <c r="BF1096" s="2">
        <v>1</v>
      </c>
      <c r="BG1096" s="2">
        <v>2</v>
      </c>
      <c r="BH1096" s="2">
        <v>1</v>
      </c>
      <c r="BI1096" s="2">
        <v>5</v>
      </c>
      <c r="BJ1096" s="2">
        <v>9</v>
      </c>
      <c r="BK1096" s="2">
        <v>0</v>
      </c>
      <c r="BL1096" s="2">
        <v>0</v>
      </c>
      <c r="BM1096" s="2">
        <v>0</v>
      </c>
      <c r="BN1096" s="2">
        <v>1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f t="shared" si="73"/>
        <v>22</v>
      </c>
      <c r="BW1096" s="16">
        <f t="shared" si="71"/>
        <v>1.1578947368421053</v>
      </c>
      <c r="BX1096" s="16">
        <f>COUNTIF($BC$6:BU1096, "=0") / COUNTIF($BC$6:BU1096, "&gt;-1")</f>
        <v>0.29605866177818513</v>
      </c>
      <c r="BY1096" s="18">
        <f>SUM($BC$6:BU1096) / $BY$4</f>
        <v>0.95106755769968621</v>
      </c>
      <c r="BZ1096" s="14">
        <f t="shared" si="72"/>
        <v>12</v>
      </c>
      <c r="CA1096" t="s">
        <v>5832</v>
      </c>
      <c r="CZ1096" t="s">
        <v>10964</v>
      </c>
      <c r="DA1096" t="s">
        <v>5904</v>
      </c>
      <c r="DB1096">
        <v>1861.3</v>
      </c>
      <c r="DC1096" t="s">
        <v>28840</v>
      </c>
      <c r="DD1096" t="s">
        <v>13772</v>
      </c>
      <c r="DE1096" t="s">
        <v>28841</v>
      </c>
      <c r="DF1096" t="s">
        <v>28842</v>
      </c>
      <c r="DG1096" t="s">
        <v>28843</v>
      </c>
      <c r="DH1096" t="str">
        <f>"PCDHAC2"</f>
        <v>PCDHAC2</v>
      </c>
      <c r="DI1096" t="s">
        <v>13772</v>
      </c>
      <c r="DJ1096" t="s">
        <v>13777</v>
      </c>
      <c r="DK1096">
        <v>9606</v>
      </c>
      <c r="DL1096" s="34" t="str">
        <f>HYPERLINK("http://www.uniprot.org/uniprot/Q9Y5I4", "Q9Y5I4")</f>
        <v>Q9Y5I4</v>
      </c>
      <c r="DM1096" t="s">
        <v>28844</v>
      </c>
      <c r="DN1096" t="s">
        <v>13949</v>
      </c>
      <c r="DO1096" t="s">
        <v>13792</v>
      </c>
      <c r="DP1096" t="s">
        <v>13841</v>
      </c>
      <c r="DQ1096" t="s">
        <v>13772</v>
      </c>
      <c r="DR1096" t="s">
        <v>13772</v>
      </c>
      <c r="DS1096" t="s">
        <v>13826</v>
      </c>
      <c r="DT1096" t="s">
        <v>14465</v>
      </c>
      <c r="DU1096" t="s">
        <v>13772</v>
      </c>
      <c r="DV1096" t="s">
        <v>13858</v>
      </c>
      <c r="DW1096" t="s">
        <v>13772</v>
      </c>
      <c r="DX1096" t="s">
        <v>28845</v>
      </c>
      <c r="DY1096" t="s">
        <v>28846</v>
      </c>
      <c r="DZ1096" t="s">
        <v>15899</v>
      </c>
      <c r="EA1096" t="s">
        <v>13772</v>
      </c>
      <c r="EB1096" t="s">
        <v>13772</v>
      </c>
    </row>
    <row r="1097" spans="1:132" hidden="1">
      <c r="A1097">
        <v>1585</v>
      </c>
      <c r="B1097">
        <v>1</v>
      </c>
      <c r="C1097" t="s">
        <v>3755</v>
      </c>
      <c r="D1097" t="s">
        <v>3756</v>
      </c>
      <c r="E1097" t="s">
        <v>73</v>
      </c>
      <c r="F1097" t="s">
        <v>73</v>
      </c>
      <c r="G1097" t="s">
        <v>73</v>
      </c>
      <c r="H1097">
        <v>12</v>
      </c>
      <c r="I1097">
        <v>790</v>
      </c>
      <c r="J1097">
        <v>88271</v>
      </c>
      <c r="K1097" t="s">
        <v>3757</v>
      </c>
      <c r="L1097">
        <f t="shared" si="70"/>
        <v>22</v>
      </c>
      <c r="N1097">
        <v>22</v>
      </c>
      <c r="O1097">
        <v>22</v>
      </c>
      <c r="P1097">
        <v>1</v>
      </c>
      <c r="Q1097">
        <v>3</v>
      </c>
      <c r="R1097">
        <v>1</v>
      </c>
      <c r="S1097">
        <v>2</v>
      </c>
      <c r="T1097">
        <v>0</v>
      </c>
      <c r="U1097">
        <v>3</v>
      </c>
      <c r="V1097">
        <v>7</v>
      </c>
      <c r="W1097">
        <v>1</v>
      </c>
      <c r="X1097">
        <v>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1</v>
      </c>
      <c r="AL1097">
        <v>2</v>
      </c>
      <c r="AM1097">
        <v>0</v>
      </c>
      <c r="AN1097">
        <v>3</v>
      </c>
      <c r="AO1097">
        <v>7</v>
      </c>
      <c r="AP1097">
        <v>1</v>
      </c>
      <c r="AQ1097">
        <v>5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 s="2">
        <v>3</v>
      </c>
      <c r="BD1097" s="2">
        <v>1</v>
      </c>
      <c r="BE1097" s="2">
        <v>2</v>
      </c>
      <c r="BF1097" s="2">
        <v>0</v>
      </c>
      <c r="BG1097" s="2">
        <v>3</v>
      </c>
      <c r="BH1097" s="2">
        <v>7</v>
      </c>
      <c r="BI1097" s="2">
        <v>1</v>
      </c>
      <c r="BJ1097" s="2">
        <v>5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f t="shared" si="73"/>
        <v>22</v>
      </c>
      <c r="BW1097" s="16">
        <f t="shared" si="71"/>
        <v>1.1578947368421053</v>
      </c>
      <c r="BX1097" s="16">
        <f>COUNTIF($BC$6:BU1097, "=0") / COUNTIF($BC$6:BU1097, "&gt;-1")</f>
        <v>0.29636591478696744</v>
      </c>
      <c r="BY1097" s="18">
        <f>SUM($BC$6:BU1097) / $BY$4</f>
        <v>0.95116179771079756</v>
      </c>
      <c r="BZ1097" s="14">
        <f t="shared" si="72"/>
        <v>12</v>
      </c>
      <c r="CA1097" t="s">
        <v>5832</v>
      </c>
      <c r="CZ1097" t="s">
        <v>11024</v>
      </c>
      <c r="DA1097" t="s">
        <v>5904</v>
      </c>
      <c r="DB1097">
        <v>1604</v>
      </c>
      <c r="DC1097" t="s">
        <v>29004</v>
      </c>
      <c r="DD1097" t="s">
        <v>29005</v>
      </c>
      <c r="DE1097" t="s">
        <v>29006</v>
      </c>
      <c r="DF1097" t="s">
        <v>29007</v>
      </c>
      <c r="DG1097" t="s">
        <v>29008</v>
      </c>
      <c r="DH1097" t="str">
        <f>"CDH6"</f>
        <v>CDH6</v>
      </c>
      <c r="DI1097" t="s">
        <v>13772</v>
      </c>
      <c r="DJ1097" t="s">
        <v>13777</v>
      </c>
      <c r="DK1097">
        <v>9606</v>
      </c>
      <c r="DL1097" s="34" t="str">
        <f>HYPERLINK("http://www.uniprot.org/uniprot/P55285", "P55285")</f>
        <v>P55285</v>
      </c>
      <c r="DM1097" t="s">
        <v>29009</v>
      </c>
      <c r="DN1097" t="s">
        <v>13949</v>
      </c>
      <c r="DO1097" t="s">
        <v>13792</v>
      </c>
      <c r="DP1097" t="s">
        <v>13841</v>
      </c>
      <c r="DQ1097" t="s">
        <v>13772</v>
      </c>
      <c r="DR1097" t="s">
        <v>13772</v>
      </c>
      <c r="DS1097" t="s">
        <v>13826</v>
      </c>
      <c r="DT1097" t="s">
        <v>13873</v>
      </c>
      <c r="DU1097" t="s">
        <v>13772</v>
      </c>
      <c r="DV1097" t="s">
        <v>17425</v>
      </c>
      <c r="DW1097" t="s">
        <v>13812</v>
      </c>
      <c r="DX1097" t="s">
        <v>29010</v>
      </c>
      <c r="DY1097" t="s">
        <v>17715</v>
      </c>
      <c r="DZ1097" t="s">
        <v>17716</v>
      </c>
      <c r="EA1097" t="s">
        <v>13772</v>
      </c>
      <c r="EB1097" t="s">
        <v>15361</v>
      </c>
    </row>
    <row r="1098" spans="1:132" hidden="1">
      <c r="A1098">
        <v>1666</v>
      </c>
      <c r="B1098">
        <v>1</v>
      </c>
      <c r="C1098" t="s">
        <v>3950</v>
      </c>
      <c r="D1098" t="s">
        <v>73</v>
      </c>
      <c r="E1098" t="s">
        <v>73</v>
      </c>
      <c r="F1098" t="s">
        <v>73</v>
      </c>
      <c r="G1098" t="s">
        <v>73</v>
      </c>
      <c r="H1098">
        <v>13.8</v>
      </c>
      <c r="I1098">
        <v>318</v>
      </c>
      <c r="J1098">
        <v>35139</v>
      </c>
      <c r="K1098" t="s">
        <v>3951</v>
      </c>
      <c r="L1098">
        <f t="shared" si="70"/>
        <v>22</v>
      </c>
      <c r="N1098">
        <v>22</v>
      </c>
      <c r="O1098">
        <v>22</v>
      </c>
      <c r="P1098">
        <v>1</v>
      </c>
      <c r="Q1098">
        <v>0</v>
      </c>
      <c r="R1098">
        <v>1</v>
      </c>
      <c r="S1098">
        <v>3</v>
      </c>
      <c r="T1098">
        <v>5</v>
      </c>
      <c r="U1098">
        <v>3</v>
      </c>
      <c r="V1098">
        <v>3</v>
      </c>
      <c r="W1098">
        <v>2</v>
      </c>
      <c r="X1098">
        <v>2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3</v>
      </c>
      <c r="AM1098">
        <v>5</v>
      </c>
      <c r="AN1098">
        <v>3</v>
      </c>
      <c r="AO1098">
        <v>3</v>
      </c>
      <c r="AP1098">
        <v>2</v>
      </c>
      <c r="AQ1098">
        <v>2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 s="2">
        <v>0</v>
      </c>
      <c r="BD1098" s="2">
        <v>1</v>
      </c>
      <c r="BE1098" s="2">
        <v>3</v>
      </c>
      <c r="BF1098" s="2">
        <v>5</v>
      </c>
      <c r="BG1098" s="2">
        <v>3</v>
      </c>
      <c r="BH1098" s="2">
        <v>3</v>
      </c>
      <c r="BI1098" s="2">
        <v>2</v>
      </c>
      <c r="BJ1098" s="2">
        <v>2</v>
      </c>
      <c r="BK1098" s="2">
        <v>0</v>
      </c>
      <c r="BL1098" s="2">
        <v>0</v>
      </c>
      <c r="BM1098" s="2">
        <v>0</v>
      </c>
      <c r="BN1098" s="2">
        <v>1</v>
      </c>
      <c r="BO1098" s="2">
        <v>0</v>
      </c>
      <c r="BP1098" s="2">
        <v>0</v>
      </c>
      <c r="BQ1098" s="2">
        <v>0</v>
      </c>
      <c r="BR1098" s="2">
        <v>0</v>
      </c>
      <c r="BS1098" s="2">
        <v>1</v>
      </c>
      <c r="BT1098" s="2">
        <v>0</v>
      </c>
      <c r="BU1098" s="2">
        <v>1</v>
      </c>
      <c r="BV1098" s="2">
        <f t="shared" si="73"/>
        <v>22</v>
      </c>
      <c r="BW1098" s="16">
        <f t="shared" si="71"/>
        <v>1.1578947368421053</v>
      </c>
      <c r="BX1098" s="16">
        <f>COUNTIF($BC$6:BU1098, "=0") / COUNTIF($BC$6:BU1098, "&gt;-1")</f>
        <v>0.29652814561564017</v>
      </c>
      <c r="BY1098" s="18">
        <f>SUM($BC$6:BU1098) / $BY$4</f>
        <v>0.95125603772190903</v>
      </c>
      <c r="BZ1098" s="14">
        <f t="shared" si="72"/>
        <v>9</v>
      </c>
      <c r="CA1098" t="s">
        <v>5832</v>
      </c>
      <c r="CZ1098" t="s">
        <v>11302</v>
      </c>
      <c r="DA1098" t="s">
        <v>5904</v>
      </c>
      <c r="DB1098">
        <v>533.9</v>
      </c>
      <c r="DC1098" t="s">
        <v>29780</v>
      </c>
      <c r="DD1098" t="s">
        <v>29781</v>
      </c>
      <c r="DE1098" t="s">
        <v>29782</v>
      </c>
      <c r="DF1098" t="s">
        <v>29783</v>
      </c>
      <c r="DG1098" t="s">
        <v>29784</v>
      </c>
      <c r="DH1098" t="str">
        <f>"EDA2R"</f>
        <v>EDA2R</v>
      </c>
      <c r="DI1098" t="s">
        <v>29785</v>
      </c>
      <c r="DJ1098" t="s">
        <v>13777</v>
      </c>
      <c r="DK1098">
        <v>9606</v>
      </c>
      <c r="DL1098" s="34" t="str">
        <f>HYPERLINK("http://www.uniprot.org/uniprot/Q9HAV5", "Q9HAV5")</f>
        <v>Q9HAV5</v>
      </c>
      <c r="DM1098" t="s">
        <v>29786</v>
      </c>
      <c r="DN1098" t="s">
        <v>15591</v>
      </c>
      <c r="DO1098" t="s">
        <v>13825</v>
      </c>
      <c r="DP1098" t="s">
        <v>13780</v>
      </c>
      <c r="DQ1098" t="s">
        <v>13772</v>
      </c>
      <c r="DR1098" t="s">
        <v>13772</v>
      </c>
      <c r="DS1098" t="s">
        <v>16604</v>
      </c>
      <c r="DT1098" t="s">
        <v>13772</v>
      </c>
      <c r="DU1098" t="s">
        <v>15919</v>
      </c>
      <c r="DV1098" t="s">
        <v>13796</v>
      </c>
      <c r="DW1098" t="s">
        <v>13772</v>
      </c>
      <c r="DX1098" t="s">
        <v>29787</v>
      </c>
      <c r="DY1098" t="s">
        <v>29788</v>
      </c>
      <c r="DZ1098" t="s">
        <v>29789</v>
      </c>
      <c r="EA1098" t="s">
        <v>13772</v>
      </c>
      <c r="EB1098" t="s">
        <v>24565</v>
      </c>
    </row>
    <row r="1099" spans="1:132" hidden="1">
      <c r="A1099">
        <v>1831</v>
      </c>
      <c r="B1099">
        <v>1</v>
      </c>
      <c r="C1099" t="s">
        <v>4328</v>
      </c>
      <c r="D1099" t="s">
        <v>73</v>
      </c>
      <c r="E1099" t="s">
        <v>73</v>
      </c>
      <c r="F1099" t="s">
        <v>73</v>
      </c>
      <c r="G1099" t="s">
        <v>73</v>
      </c>
      <c r="H1099">
        <v>3.5</v>
      </c>
      <c r="I1099">
        <v>2313</v>
      </c>
      <c r="J1099">
        <v>261956</v>
      </c>
      <c r="K1099" t="s">
        <v>4329</v>
      </c>
      <c r="L1099">
        <f t="shared" si="70"/>
        <v>22</v>
      </c>
      <c r="N1099">
        <v>22</v>
      </c>
      <c r="O1099">
        <v>22</v>
      </c>
      <c r="P1099">
        <v>1</v>
      </c>
      <c r="Q1099">
        <v>0</v>
      </c>
      <c r="R1099">
        <v>1</v>
      </c>
      <c r="S1099">
        <v>1</v>
      </c>
      <c r="T1099">
        <v>2</v>
      </c>
      <c r="U1099">
        <v>6</v>
      </c>
      <c r="V1099">
        <v>1</v>
      </c>
      <c r="W1099">
        <v>1</v>
      </c>
      <c r="X1099">
        <v>2</v>
      </c>
      <c r="Y1099">
        <v>2</v>
      </c>
      <c r="Z1099">
        <v>0</v>
      </c>
      <c r="AA1099">
        <v>1</v>
      </c>
      <c r="AB1099">
        <v>2</v>
      </c>
      <c r="AC1099">
        <v>1</v>
      </c>
      <c r="AD1099">
        <v>0</v>
      </c>
      <c r="AE1099">
        <v>0</v>
      </c>
      <c r="AF1099">
        <v>2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2</v>
      </c>
      <c r="AN1099">
        <v>6</v>
      </c>
      <c r="AO1099">
        <v>1</v>
      </c>
      <c r="AP1099">
        <v>1</v>
      </c>
      <c r="AQ1099">
        <v>2</v>
      </c>
      <c r="AR1099">
        <v>2</v>
      </c>
      <c r="AS1099">
        <v>0</v>
      </c>
      <c r="AT1099">
        <v>1</v>
      </c>
      <c r="AU1099">
        <v>2</v>
      </c>
      <c r="AV1099">
        <v>1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 s="2">
        <v>0</v>
      </c>
      <c r="BD1099" s="2">
        <v>1</v>
      </c>
      <c r="BE1099" s="2">
        <v>1</v>
      </c>
      <c r="BF1099" s="2">
        <v>2</v>
      </c>
      <c r="BG1099" s="2">
        <v>6</v>
      </c>
      <c r="BH1099" s="2">
        <v>1</v>
      </c>
      <c r="BI1099" s="2">
        <v>1</v>
      </c>
      <c r="BJ1099" s="2">
        <v>2</v>
      </c>
      <c r="BK1099" s="2">
        <v>2</v>
      </c>
      <c r="BL1099" s="2">
        <v>0</v>
      </c>
      <c r="BM1099" s="2">
        <v>1</v>
      </c>
      <c r="BN1099" s="2">
        <v>2</v>
      </c>
      <c r="BO1099" s="2">
        <v>1</v>
      </c>
      <c r="BP1099" s="2">
        <v>0</v>
      </c>
      <c r="BQ1099" s="2">
        <v>0</v>
      </c>
      <c r="BR1099" s="2">
        <v>2</v>
      </c>
      <c r="BS1099" s="2">
        <v>0</v>
      </c>
      <c r="BT1099" s="2">
        <v>0</v>
      </c>
      <c r="BU1099" s="2">
        <v>0</v>
      </c>
      <c r="BV1099" s="2">
        <f t="shared" si="73"/>
        <v>22</v>
      </c>
      <c r="BW1099" s="16">
        <f t="shared" si="71"/>
        <v>1.1578947368421053</v>
      </c>
      <c r="BX1099" s="16">
        <f>COUNTIF($BC$6:BU1099, "=0") / COUNTIF($BC$6:BU1099, "&gt;-1")</f>
        <v>0.29659386125276627</v>
      </c>
      <c r="BY1099" s="18">
        <f>SUM($BC$6:BU1099) / $BY$4</f>
        <v>0.95135027773302039</v>
      </c>
      <c r="BZ1099" s="14">
        <f t="shared" si="72"/>
        <v>7</v>
      </c>
      <c r="CA1099" t="s">
        <v>5832</v>
      </c>
      <c r="CZ1099" t="s">
        <v>11863</v>
      </c>
      <c r="DA1099" t="s">
        <v>5904</v>
      </c>
      <c r="DB1099">
        <v>2089.3000000000002</v>
      </c>
      <c r="DC1099" t="s">
        <v>31388</v>
      </c>
      <c r="DD1099" t="s">
        <v>31389</v>
      </c>
      <c r="DE1099" t="s">
        <v>31390</v>
      </c>
      <c r="DF1099" t="s">
        <v>31391</v>
      </c>
      <c r="DG1099" t="s">
        <v>31392</v>
      </c>
      <c r="DH1099" t="str">
        <f>"F5"</f>
        <v>F5</v>
      </c>
      <c r="DI1099" t="s">
        <v>13772</v>
      </c>
      <c r="DJ1099" t="s">
        <v>13777</v>
      </c>
      <c r="DK1099">
        <v>9606</v>
      </c>
      <c r="DL1099" s="34" t="str">
        <f>HYPERLINK("http://www.uniprot.org/uniprot/P12259", "P12259")</f>
        <v>P12259</v>
      </c>
      <c r="DM1099" t="s">
        <v>31393</v>
      </c>
      <c r="DN1099" t="s">
        <v>16755</v>
      </c>
      <c r="DO1099" t="s">
        <v>14321</v>
      </c>
      <c r="DP1099" t="s">
        <v>13793</v>
      </c>
      <c r="DQ1099" t="s">
        <v>13772</v>
      </c>
      <c r="DR1099" t="s">
        <v>17445</v>
      </c>
      <c r="DS1099" t="s">
        <v>14404</v>
      </c>
      <c r="DT1099" t="s">
        <v>22069</v>
      </c>
      <c r="DU1099" t="s">
        <v>13772</v>
      </c>
      <c r="DV1099" t="s">
        <v>31394</v>
      </c>
      <c r="DW1099" t="s">
        <v>13812</v>
      </c>
      <c r="DX1099" t="s">
        <v>31395</v>
      </c>
      <c r="DY1099" t="s">
        <v>31396</v>
      </c>
      <c r="DZ1099" t="s">
        <v>31397</v>
      </c>
      <c r="EA1099" t="s">
        <v>13772</v>
      </c>
      <c r="EB1099" t="s">
        <v>31398</v>
      </c>
    </row>
    <row r="1100" spans="1:132" hidden="1">
      <c r="A1100">
        <v>1937</v>
      </c>
      <c r="B1100">
        <v>1</v>
      </c>
      <c r="C1100" t="s">
        <v>4562</v>
      </c>
      <c r="D1100" t="s">
        <v>4563</v>
      </c>
      <c r="E1100" t="s">
        <v>73</v>
      </c>
      <c r="F1100" t="s">
        <v>73</v>
      </c>
      <c r="G1100" t="s">
        <v>73</v>
      </c>
      <c r="H1100">
        <v>42.2</v>
      </c>
      <c r="I1100">
        <v>301</v>
      </c>
      <c r="J1100">
        <v>33753</v>
      </c>
      <c r="K1100" t="s">
        <v>4564</v>
      </c>
      <c r="L1100">
        <f t="shared" si="70"/>
        <v>22</v>
      </c>
      <c r="N1100">
        <v>22</v>
      </c>
      <c r="O1100">
        <v>22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3</v>
      </c>
      <c r="Z1100">
        <v>0</v>
      </c>
      <c r="AA1100">
        <v>4</v>
      </c>
      <c r="AB1100">
        <v>3</v>
      </c>
      <c r="AC1100">
        <v>6</v>
      </c>
      <c r="AD1100">
        <v>0</v>
      </c>
      <c r="AE1100">
        <v>3</v>
      </c>
      <c r="AF1100">
        <v>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3</v>
      </c>
      <c r="AS1100">
        <v>0</v>
      </c>
      <c r="AT1100">
        <v>4</v>
      </c>
      <c r="AU1100">
        <v>3</v>
      </c>
      <c r="AV1100">
        <v>6</v>
      </c>
      <c r="AW1100">
        <v>0</v>
      </c>
      <c r="AX1100">
        <v>3</v>
      </c>
      <c r="AY1100">
        <v>2</v>
      </c>
      <c r="AZ1100">
        <v>0</v>
      </c>
      <c r="BA1100">
        <v>0</v>
      </c>
      <c r="BB1100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0</v>
      </c>
      <c r="BJ1100" s="2">
        <v>0</v>
      </c>
      <c r="BK1100" s="2">
        <v>3</v>
      </c>
      <c r="BL1100" s="2">
        <v>0</v>
      </c>
      <c r="BM1100" s="2">
        <v>4</v>
      </c>
      <c r="BN1100" s="2">
        <v>3</v>
      </c>
      <c r="BO1100" s="2">
        <v>6</v>
      </c>
      <c r="BP1100" s="2">
        <v>0</v>
      </c>
      <c r="BQ1100" s="2">
        <v>3</v>
      </c>
      <c r="BR1100" s="2">
        <v>2</v>
      </c>
      <c r="BS1100" s="2">
        <v>0</v>
      </c>
      <c r="BT1100" s="2">
        <v>0</v>
      </c>
      <c r="BU1100" s="2">
        <v>0</v>
      </c>
      <c r="BV1100" s="2">
        <f t="shared" si="73"/>
        <v>22</v>
      </c>
      <c r="BW1100" s="16">
        <f t="shared" si="71"/>
        <v>1.1578947368421053</v>
      </c>
      <c r="BX1100" s="16">
        <f>COUNTIF($BC$6:BU1100, "=0") / COUNTIF($BC$6:BU1100, "&gt;-1")</f>
        <v>0.29689978370583991</v>
      </c>
      <c r="BY1100" s="18">
        <f>SUM($BC$6:BU1100) / $BY$4</f>
        <v>0.95144451774413186</v>
      </c>
      <c r="BZ1100" s="14">
        <f t="shared" si="72"/>
        <v>12</v>
      </c>
      <c r="CA1100" t="s">
        <v>5832</v>
      </c>
      <c r="CZ1100" t="s">
        <v>12210</v>
      </c>
      <c r="DA1100" t="s">
        <v>5904</v>
      </c>
      <c r="DB1100">
        <v>517.29999999999995</v>
      </c>
      <c r="DC1100" t="s">
        <v>32348</v>
      </c>
      <c r="DD1100" t="s">
        <v>32349</v>
      </c>
      <c r="DE1100" t="s">
        <v>32350</v>
      </c>
      <c r="DF1100" t="s">
        <v>32351</v>
      </c>
      <c r="DG1100" t="s">
        <v>32352</v>
      </c>
      <c r="DH1100" t="str">
        <f>"CAPZB"</f>
        <v>CAPZB</v>
      </c>
      <c r="DI1100" t="s">
        <v>13772</v>
      </c>
      <c r="DJ1100" t="s">
        <v>13777</v>
      </c>
      <c r="DK1100">
        <v>9606</v>
      </c>
      <c r="DL1100" s="34" t="str">
        <f>HYPERLINK("http://www.uniprot.org/uniprot/P47756", "P47756")</f>
        <v>P47756</v>
      </c>
      <c r="DM1100" t="s">
        <v>32353</v>
      </c>
      <c r="DN1100" t="s">
        <v>13772</v>
      </c>
      <c r="DO1100" t="s">
        <v>13988</v>
      </c>
      <c r="DP1100" t="s">
        <v>13841</v>
      </c>
      <c r="DQ1100" t="s">
        <v>13772</v>
      </c>
      <c r="DR1100" t="s">
        <v>13772</v>
      </c>
      <c r="DS1100" t="s">
        <v>13772</v>
      </c>
      <c r="DT1100" t="s">
        <v>13772</v>
      </c>
      <c r="DU1100" t="s">
        <v>14589</v>
      </c>
      <c r="DV1100" t="s">
        <v>13886</v>
      </c>
      <c r="DW1100" t="s">
        <v>13772</v>
      </c>
      <c r="DX1100" t="s">
        <v>32354</v>
      </c>
      <c r="DY1100" t="s">
        <v>32355</v>
      </c>
      <c r="DZ1100" t="s">
        <v>25825</v>
      </c>
      <c r="EA1100" t="s">
        <v>13772</v>
      </c>
      <c r="EB1100" t="s">
        <v>32356</v>
      </c>
    </row>
    <row r="1101" spans="1:132" hidden="1">
      <c r="A1101">
        <v>1969</v>
      </c>
      <c r="B1101">
        <v>1</v>
      </c>
      <c r="C1101" t="s">
        <v>4640</v>
      </c>
      <c r="D1101" t="s">
        <v>73</v>
      </c>
      <c r="E1101" t="s">
        <v>73</v>
      </c>
      <c r="F1101" t="s">
        <v>73</v>
      </c>
      <c r="G1101" t="s">
        <v>73</v>
      </c>
      <c r="H1101">
        <v>44.1</v>
      </c>
      <c r="I1101">
        <v>118</v>
      </c>
      <c r="J1101">
        <v>13680</v>
      </c>
      <c r="K1101" t="s">
        <v>4641</v>
      </c>
      <c r="L1101">
        <f t="shared" si="70"/>
        <v>22</v>
      </c>
      <c r="N1101">
        <v>22</v>
      </c>
      <c r="O1101">
        <v>22</v>
      </c>
      <c r="P1101">
        <v>1</v>
      </c>
      <c r="Q1101">
        <v>0</v>
      </c>
      <c r="R1101">
        <v>2</v>
      </c>
      <c r="S1101">
        <v>0</v>
      </c>
      <c r="T1101">
        <v>0</v>
      </c>
      <c r="U1101">
        <v>4</v>
      </c>
      <c r="V1101">
        <v>0</v>
      </c>
      <c r="W1101">
        <v>1</v>
      </c>
      <c r="X1101">
        <v>5</v>
      </c>
      <c r="Y1101">
        <v>3</v>
      </c>
      <c r="Z1101">
        <v>0</v>
      </c>
      <c r="AA1101">
        <v>2</v>
      </c>
      <c r="AB1101">
        <v>0</v>
      </c>
      <c r="AC1101">
        <v>3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0</v>
      </c>
      <c r="AM1101">
        <v>0</v>
      </c>
      <c r="AN1101">
        <v>4</v>
      </c>
      <c r="AO1101">
        <v>0</v>
      </c>
      <c r="AP1101">
        <v>1</v>
      </c>
      <c r="AQ1101">
        <v>5</v>
      </c>
      <c r="AR1101">
        <v>3</v>
      </c>
      <c r="AS1101">
        <v>0</v>
      </c>
      <c r="AT1101">
        <v>2</v>
      </c>
      <c r="AU1101">
        <v>0</v>
      </c>
      <c r="AV1101">
        <v>3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 s="2">
        <v>0</v>
      </c>
      <c r="BD1101" s="2">
        <v>2</v>
      </c>
      <c r="BE1101" s="2">
        <v>0</v>
      </c>
      <c r="BF1101" s="2">
        <v>0</v>
      </c>
      <c r="BG1101" s="2">
        <v>4</v>
      </c>
      <c r="BH1101" s="2">
        <v>0</v>
      </c>
      <c r="BI1101" s="2">
        <v>1</v>
      </c>
      <c r="BJ1101" s="2">
        <v>5</v>
      </c>
      <c r="BK1101" s="2">
        <v>3</v>
      </c>
      <c r="BL1101" s="2">
        <v>0</v>
      </c>
      <c r="BM1101" s="2">
        <v>2</v>
      </c>
      <c r="BN1101" s="2">
        <v>0</v>
      </c>
      <c r="BO1101" s="2">
        <v>3</v>
      </c>
      <c r="BP1101" s="2">
        <v>0</v>
      </c>
      <c r="BQ1101" s="2">
        <v>1</v>
      </c>
      <c r="BR1101" s="2">
        <v>1</v>
      </c>
      <c r="BS1101" s="2">
        <v>0</v>
      </c>
      <c r="BT1101" s="2">
        <v>0</v>
      </c>
      <c r="BU1101" s="2">
        <v>0</v>
      </c>
      <c r="BV1101" s="2">
        <f t="shared" si="73"/>
        <v>22</v>
      </c>
      <c r="BW1101" s="16">
        <f t="shared" si="71"/>
        <v>1.1578947368421053</v>
      </c>
      <c r="BX1101" s="16">
        <f>COUNTIF($BC$6:BU1101, "=0") / COUNTIF($BC$6:BU1101, "&gt;-1")</f>
        <v>0.29710910487898579</v>
      </c>
      <c r="BY1101" s="18">
        <f>SUM($BC$6:BU1101) / $BY$4</f>
        <v>0.95153875775524321</v>
      </c>
      <c r="BZ1101" s="14">
        <f t="shared" si="72"/>
        <v>10</v>
      </c>
      <c r="CA1101" t="s">
        <v>5832</v>
      </c>
      <c r="CZ1101" t="s">
        <v>12320</v>
      </c>
      <c r="DA1101" t="s">
        <v>5904</v>
      </c>
      <c r="DB1101">
        <v>231.1</v>
      </c>
      <c r="DC1101" t="s">
        <v>32651</v>
      </c>
      <c r="DD1101" t="s">
        <v>32652</v>
      </c>
      <c r="DE1101" t="s">
        <v>32653</v>
      </c>
      <c r="DF1101" t="s">
        <v>32654</v>
      </c>
      <c r="DG1101" t="s">
        <v>32655</v>
      </c>
      <c r="DH1101" t="str">
        <f>"ATP6V1G1"</f>
        <v>ATP6V1G1</v>
      </c>
      <c r="DI1101" t="s">
        <v>32656</v>
      </c>
      <c r="DJ1101" t="s">
        <v>13777</v>
      </c>
      <c r="DK1101">
        <v>9606</v>
      </c>
      <c r="DL1101" s="34" t="str">
        <f>HYPERLINK("http://www.uniprot.org/uniprot/O75348", "O75348")</f>
        <v>O75348</v>
      </c>
      <c r="DM1101" t="s">
        <v>32657</v>
      </c>
      <c r="DN1101" t="s">
        <v>14032</v>
      </c>
      <c r="DO1101" t="s">
        <v>13772</v>
      </c>
      <c r="DP1101" t="s">
        <v>13772</v>
      </c>
      <c r="DQ1101" t="s">
        <v>13772</v>
      </c>
      <c r="DR1101" t="s">
        <v>13772</v>
      </c>
      <c r="DS1101" t="s">
        <v>13772</v>
      </c>
      <c r="DT1101" t="s">
        <v>13772</v>
      </c>
      <c r="DU1101" t="s">
        <v>13772</v>
      </c>
      <c r="DV1101" t="s">
        <v>14020</v>
      </c>
      <c r="DW1101" t="s">
        <v>13772</v>
      </c>
      <c r="DX1101" t="s">
        <v>32658</v>
      </c>
      <c r="DY1101" t="s">
        <v>32659</v>
      </c>
      <c r="DZ1101" t="s">
        <v>32660</v>
      </c>
      <c r="EA1101" t="s">
        <v>13772</v>
      </c>
      <c r="EB1101" t="s">
        <v>17137</v>
      </c>
    </row>
    <row r="1102" spans="1:132" hidden="1">
      <c r="A1102">
        <v>2031</v>
      </c>
      <c r="B1102">
        <v>1</v>
      </c>
      <c r="C1102" t="s">
        <v>4772</v>
      </c>
      <c r="D1102" t="s">
        <v>73</v>
      </c>
      <c r="E1102" t="s">
        <v>73</v>
      </c>
      <c r="F1102" t="s">
        <v>73</v>
      </c>
      <c r="G1102" t="s">
        <v>73</v>
      </c>
      <c r="H1102">
        <v>41.7</v>
      </c>
      <c r="I1102">
        <v>175</v>
      </c>
      <c r="J1102">
        <v>20002</v>
      </c>
      <c r="K1102" t="s">
        <v>4773</v>
      </c>
      <c r="L1102">
        <f t="shared" si="70"/>
        <v>22</v>
      </c>
      <c r="N1102">
        <v>22</v>
      </c>
      <c r="O1102">
        <v>22</v>
      </c>
      <c r="P1102">
        <v>1</v>
      </c>
      <c r="Q1102">
        <v>0</v>
      </c>
      <c r="R1102">
        <v>0</v>
      </c>
      <c r="S1102">
        <v>0</v>
      </c>
      <c r="T1102">
        <v>2</v>
      </c>
      <c r="U1102">
        <v>1</v>
      </c>
      <c r="V1102">
        <v>3</v>
      </c>
      <c r="W1102">
        <v>1</v>
      </c>
      <c r="X1102">
        <v>0</v>
      </c>
      <c r="Y1102">
        <v>6</v>
      </c>
      <c r="Z1102">
        <v>0</v>
      </c>
      <c r="AA1102">
        <v>6</v>
      </c>
      <c r="AB1102">
        <v>0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</v>
      </c>
      <c r="AN1102">
        <v>1</v>
      </c>
      <c r="AO1102">
        <v>3</v>
      </c>
      <c r="AP1102">
        <v>1</v>
      </c>
      <c r="AQ1102">
        <v>0</v>
      </c>
      <c r="AR1102">
        <v>6</v>
      </c>
      <c r="AS1102">
        <v>0</v>
      </c>
      <c r="AT1102">
        <v>6</v>
      </c>
      <c r="AU1102">
        <v>0</v>
      </c>
      <c r="AV1102">
        <v>3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 s="2">
        <v>0</v>
      </c>
      <c r="BD1102" s="2">
        <v>0</v>
      </c>
      <c r="BE1102" s="2">
        <v>0</v>
      </c>
      <c r="BF1102" s="2">
        <v>2</v>
      </c>
      <c r="BG1102" s="2">
        <v>1</v>
      </c>
      <c r="BH1102" s="2">
        <v>3</v>
      </c>
      <c r="BI1102" s="2">
        <v>1</v>
      </c>
      <c r="BJ1102" s="2">
        <v>0</v>
      </c>
      <c r="BK1102" s="2">
        <v>6</v>
      </c>
      <c r="BL1102" s="2">
        <v>0</v>
      </c>
      <c r="BM1102" s="2">
        <v>6</v>
      </c>
      <c r="BN1102" s="2">
        <v>0</v>
      </c>
      <c r="BO1102" s="2">
        <v>3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f t="shared" si="73"/>
        <v>22</v>
      </c>
      <c r="BW1102" s="16">
        <f t="shared" si="71"/>
        <v>1.1578947368421053</v>
      </c>
      <c r="BX1102" s="16">
        <f>COUNTIF($BC$6:BU1102, "=0") / COUNTIF($BC$6:BU1102, "&gt;-1")</f>
        <v>0.29741399990404455</v>
      </c>
      <c r="BY1102" s="18">
        <f>SUM($BC$6:BU1102) / $BY$4</f>
        <v>0.95163299776635468</v>
      </c>
      <c r="BZ1102" s="14">
        <f t="shared" si="72"/>
        <v>12</v>
      </c>
      <c r="CA1102" t="s">
        <v>5832</v>
      </c>
      <c r="CZ1102" t="s">
        <v>12517</v>
      </c>
      <c r="DA1102" t="s">
        <v>5904</v>
      </c>
      <c r="DB1102">
        <v>322.8</v>
      </c>
      <c r="DC1102" t="s">
        <v>33217</v>
      </c>
      <c r="DD1102" t="s">
        <v>13772</v>
      </c>
      <c r="DE1102" t="s">
        <v>33218</v>
      </c>
      <c r="DF1102" t="s">
        <v>33219</v>
      </c>
      <c r="DG1102" t="s">
        <v>33220</v>
      </c>
      <c r="DH1102" t="str">
        <f>"FTL"</f>
        <v>FTL</v>
      </c>
      <c r="DI1102" t="s">
        <v>13772</v>
      </c>
      <c r="DJ1102" t="s">
        <v>13777</v>
      </c>
      <c r="DK1102">
        <v>9606</v>
      </c>
      <c r="DL1102" s="34" t="str">
        <f>HYPERLINK("http://www.uniprot.org/uniprot/P02792", "P02792")</f>
        <v>P02792</v>
      </c>
      <c r="DM1102" t="s">
        <v>33221</v>
      </c>
      <c r="DN1102" t="s">
        <v>31428</v>
      </c>
      <c r="DO1102" t="s">
        <v>13772</v>
      </c>
      <c r="DP1102" t="s">
        <v>13772</v>
      </c>
      <c r="DQ1102" t="s">
        <v>13772</v>
      </c>
      <c r="DR1102" t="s">
        <v>33222</v>
      </c>
      <c r="DS1102" t="s">
        <v>13772</v>
      </c>
      <c r="DT1102" t="s">
        <v>17802</v>
      </c>
      <c r="DU1102" t="s">
        <v>13772</v>
      </c>
      <c r="DV1102" t="s">
        <v>14020</v>
      </c>
      <c r="DW1102" t="s">
        <v>13812</v>
      </c>
      <c r="DX1102" t="s">
        <v>33223</v>
      </c>
      <c r="DY1102" t="s">
        <v>33224</v>
      </c>
      <c r="DZ1102" t="s">
        <v>31431</v>
      </c>
      <c r="EA1102" t="s">
        <v>13772</v>
      </c>
      <c r="EB1102" t="s">
        <v>31432</v>
      </c>
    </row>
    <row r="1103" spans="1:132" hidden="1">
      <c r="A1103">
        <v>2070</v>
      </c>
      <c r="B1103">
        <v>1</v>
      </c>
      <c r="C1103" t="s">
        <v>4864</v>
      </c>
      <c r="D1103" t="s">
        <v>4865</v>
      </c>
      <c r="E1103" t="s">
        <v>73</v>
      </c>
      <c r="F1103" t="s">
        <v>73</v>
      </c>
      <c r="G1103" t="s">
        <v>73</v>
      </c>
      <c r="H1103">
        <v>24.7</v>
      </c>
      <c r="I1103">
        <v>162</v>
      </c>
      <c r="J1103">
        <v>18104</v>
      </c>
      <c r="K1103" t="s">
        <v>4866</v>
      </c>
      <c r="L1103">
        <f t="shared" si="70"/>
        <v>22</v>
      </c>
      <c r="N1103">
        <v>22</v>
      </c>
      <c r="O1103">
        <v>22</v>
      </c>
      <c r="P1103">
        <v>1</v>
      </c>
      <c r="Q1103">
        <v>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7</v>
      </c>
      <c r="Z1103">
        <v>3</v>
      </c>
      <c r="AA1103">
        <v>4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7</v>
      </c>
      <c r="AS1103">
        <v>3</v>
      </c>
      <c r="AT1103">
        <v>4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0</v>
      </c>
      <c r="BA1103">
        <v>0</v>
      </c>
      <c r="BB1103">
        <v>1</v>
      </c>
      <c r="BC1103" s="2">
        <v>2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7</v>
      </c>
      <c r="BL1103" s="2">
        <v>3</v>
      </c>
      <c r="BM1103" s="2">
        <v>4</v>
      </c>
      <c r="BN1103" s="2">
        <v>1</v>
      </c>
      <c r="BO1103" s="2">
        <v>1</v>
      </c>
      <c r="BP1103" s="2">
        <v>1</v>
      </c>
      <c r="BQ1103" s="2">
        <v>1</v>
      </c>
      <c r="BR1103" s="2">
        <v>1</v>
      </c>
      <c r="BS1103" s="2">
        <v>0</v>
      </c>
      <c r="BT1103" s="2">
        <v>0</v>
      </c>
      <c r="BU1103" s="2">
        <v>1</v>
      </c>
      <c r="BV1103" s="2">
        <f t="shared" si="73"/>
        <v>22</v>
      </c>
      <c r="BW1103" s="16">
        <f t="shared" si="71"/>
        <v>1.1578947368421053</v>
      </c>
      <c r="BX1103" s="16">
        <f>COUNTIF($BC$6:BU1103, "=0") / COUNTIF($BC$6:BU1103, "&gt;-1")</f>
        <v>0.29757453743648737</v>
      </c>
      <c r="BY1103" s="18">
        <f>SUM($BC$6:BU1103) / $BY$4</f>
        <v>0.95172723777746604</v>
      </c>
      <c r="BZ1103" s="14">
        <f t="shared" si="72"/>
        <v>9</v>
      </c>
      <c r="CA1103" t="s">
        <v>5832</v>
      </c>
      <c r="CZ1103" t="s">
        <v>12652</v>
      </c>
      <c r="DA1103" t="s">
        <v>6759</v>
      </c>
      <c r="DB1103">
        <v>93.2</v>
      </c>
      <c r="DC1103" t="s">
        <v>33595</v>
      </c>
      <c r="DD1103" t="s">
        <v>33596</v>
      </c>
      <c r="DE1103" t="s">
        <v>33597</v>
      </c>
      <c r="DF1103" t="s">
        <v>33598</v>
      </c>
      <c r="DG1103" t="s">
        <v>33599</v>
      </c>
      <c r="DH1103" t="str">
        <f>"APOC1"</f>
        <v>APOC1</v>
      </c>
      <c r="DI1103" t="s">
        <v>13772</v>
      </c>
      <c r="DJ1103" t="s">
        <v>13777</v>
      </c>
      <c r="DK1103">
        <v>9606</v>
      </c>
      <c r="DL1103" s="34" t="str">
        <f>HYPERLINK("http://www.uniprot.org/uniprot/P02654", "P02654")</f>
        <v>P02654</v>
      </c>
      <c r="DM1103" t="s">
        <v>33600</v>
      </c>
      <c r="DN1103" t="s">
        <v>13898</v>
      </c>
      <c r="DO1103" t="s">
        <v>33601</v>
      </c>
      <c r="DP1103" t="s">
        <v>13793</v>
      </c>
      <c r="DQ1103" t="s">
        <v>13772</v>
      </c>
      <c r="DR1103" t="s">
        <v>13772</v>
      </c>
      <c r="DS1103" t="s">
        <v>13808</v>
      </c>
      <c r="DT1103" t="s">
        <v>13772</v>
      </c>
      <c r="DU1103" t="s">
        <v>13772</v>
      </c>
      <c r="DV1103" t="s">
        <v>13772</v>
      </c>
      <c r="DW1103" t="s">
        <v>13812</v>
      </c>
      <c r="DX1103" t="s">
        <v>33602</v>
      </c>
      <c r="DY1103" t="s">
        <v>33603</v>
      </c>
      <c r="DZ1103" t="s">
        <v>33604</v>
      </c>
      <c r="EA1103" t="s">
        <v>13772</v>
      </c>
      <c r="EB1103" t="s">
        <v>33605</v>
      </c>
    </row>
    <row r="1104" spans="1:132" hidden="1">
      <c r="A1104">
        <v>2207</v>
      </c>
      <c r="B1104">
        <v>1</v>
      </c>
      <c r="C1104" t="s">
        <v>5161</v>
      </c>
      <c r="D1104" t="s">
        <v>5162</v>
      </c>
      <c r="E1104" t="s">
        <v>73</v>
      </c>
      <c r="F1104" t="s">
        <v>73</v>
      </c>
      <c r="G1104" t="s">
        <v>73</v>
      </c>
      <c r="H1104">
        <v>21.2</v>
      </c>
      <c r="I1104">
        <v>278</v>
      </c>
      <c r="J1104">
        <v>30327</v>
      </c>
      <c r="K1104" t="s">
        <v>5163</v>
      </c>
      <c r="L1104">
        <f t="shared" si="70"/>
        <v>22</v>
      </c>
      <c r="N1104">
        <v>22</v>
      </c>
      <c r="O1104">
        <v>22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4</v>
      </c>
      <c r="V1104">
        <v>4</v>
      </c>
      <c r="W1104">
        <v>4</v>
      </c>
      <c r="X1104">
        <v>4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3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4</v>
      </c>
      <c r="AO1104">
        <v>4</v>
      </c>
      <c r="AP1104">
        <v>4</v>
      </c>
      <c r="AQ1104">
        <v>4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3</v>
      </c>
      <c r="AZ1104">
        <v>0</v>
      </c>
      <c r="BA1104">
        <v>0</v>
      </c>
      <c r="BB1104">
        <v>0</v>
      </c>
      <c r="BC1104" s="2">
        <v>0</v>
      </c>
      <c r="BD1104" s="2">
        <v>0</v>
      </c>
      <c r="BE1104" s="2">
        <v>0</v>
      </c>
      <c r="BF1104" s="2">
        <v>1</v>
      </c>
      <c r="BG1104" s="2">
        <v>4</v>
      </c>
      <c r="BH1104" s="2">
        <v>4</v>
      </c>
      <c r="BI1104" s="2">
        <v>4</v>
      </c>
      <c r="BJ1104" s="2">
        <v>4</v>
      </c>
      <c r="BK1104" s="2">
        <v>0</v>
      </c>
      <c r="BL1104" s="2">
        <v>0</v>
      </c>
      <c r="BM1104" s="2">
        <v>1</v>
      </c>
      <c r="BN1104" s="2">
        <v>0</v>
      </c>
      <c r="BO1104" s="2">
        <v>1</v>
      </c>
      <c r="BP1104" s="2">
        <v>0</v>
      </c>
      <c r="BQ1104" s="2">
        <v>0</v>
      </c>
      <c r="BR1104" s="2">
        <v>3</v>
      </c>
      <c r="BS1104" s="2">
        <v>0</v>
      </c>
      <c r="BT1104" s="2">
        <v>0</v>
      </c>
      <c r="BU1104" s="2">
        <v>0</v>
      </c>
      <c r="BV1104" s="2">
        <f t="shared" si="73"/>
        <v>22</v>
      </c>
      <c r="BW1104" s="16">
        <f t="shared" si="71"/>
        <v>1.1578947368421053</v>
      </c>
      <c r="BX1104" s="16">
        <f>COUNTIF($BC$6:BU1104, "=0") / COUNTIF($BC$6:BU1104, "&gt;-1")</f>
        <v>0.29783056367032229</v>
      </c>
      <c r="BY1104" s="18">
        <f>SUM($BC$6:BU1104) / $BY$4</f>
        <v>0.95182147778857751</v>
      </c>
      <c r="BZ1104" s="14">
        <f t="shared" si="72"/>
        <v>11</v>
      </c>
      <c r="CA1104" t="s">
        <v>5832</v>
      </c>
      <c r="CZ1104" t="s">
        <v>13103</v>
      </c>
      <c r="DA1104" t="s">
        <v>5904</v>
      </c>
      <c r="DB1104">
        <v>505.4</v>
      </c>
      <c r="DC1104" t="s">
        <v>34852</v>
      </c>
      <c r="DD1104" t="s">
        <v>13772</v>
      </c>
      <c r="DE1104" t="s">
        <v>34853</v>
      </c>
      <c r="DF1104" t="s">
        <v>34854</v>
      </c>
      <c r="DG1104" t="s">
        <v>34855</v>
      </c>
      <c r="DH1104" t="str">
        <f>"PSMF1"</f>
        <v>PSMF1</v>
      </c>
      <c r="DI1104" t="s">
        <v>13772</v>
      </c>
      <c r="DJ1104" t="s">
        <v>13777</v>
      </c>
      <c r="DK1104">
        <v>9606</v>
      </c>
      <c r="DL1104" s="34" t="str">
        <f>HYPERLINK("http://www.uniprot.org/uniprot/Q92530", "Q92530")</f>
        <v>Q92530</v>
      </c>
      <c r="DM1104" t="s">
        <v>34856</v>
      </c>
      <c r="DN1104" t="s">
        <v>13772</v>
      </c>
      <c r="DO1104" t="s">
        <v>34857</v>
      </c>
      <c r="DP1104" t="s">
        <v>13793</v>
      </c>
      <c r="DQ1104" t="s">
        <v>13772</v>
      </c>
      <c r="DR1104" t="s">
        <v>13772</v>
      </c>
      <c r="DS1104" t="s">
        <v>13772</v>
      </c>
      <c r="DT1104" t="s">
        <v>13772</v>
      </c>
      <c r="DU1104" t="s">
        <v>13772</v>
      </c>
      <c r="DV1104" t="s">
        <v>14098</v>
      </c>
      <c r="DW1104" t="s">
        <v>13812</v>
      </c>
      <c r="DX1104" t="s">
        <v>34858</v>
      </c>
      <c r="DY1104" t="s">
        <v>34859</v>
      </c>
      <c r="DZ1104" t="s">
        <v>34860</v>
      </c>
      <c r="EA1104" t="s">
        <v>13772</v>
      </c>
      <c r="EB1104" t="s">
        <v>14208</v>
      </c>
    </row>
    <row r="1105" spans="1:132" hidden="1">
      <c r="A1105">
        <v>2233</v>
      </c>
      <c r="B1105">
        <v>1</v>
      </c>
      <c r="C1105" t="s">
        <v>5222</v>
      </c>
      <c r="D1105" t="s">
        <v>5223</v>
      </c>
      <c r="E1105" t="s">
        <v>73</v>
      </c>
      <c r="F1105" t="s">
        <v>73</v>
      </c>
      <c r="G1105" t="s">
        <v>73</v>
      </c>
      <c r="H1105">
        <v>15.8</v>
      </c>
      <c r="I1105">
        <v>524</v>
      </c>
      <c r="J1105">
        <v>57121</v>
      </c>
      <c r="K1105" t="s">
        <v>5224</v>
      </c>
      <c r="L1105">
        <f t="shared" si="70"/>
        <v>22</v>
      </c>
      <c r="N1105">
        <v>22</v>
      </c>
      <c r="O1105">
        <v>22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4</v>
      </c>
      <c r="Z1105">
        <v>1</v>
      </c>
      <c r="AA1105">
        <v>1</v>
      </c>
      <c r="AB1105">
        <v>5</v>
      </c>
      <c r="AC1105">
        <v>9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</v>
      </c>
      <c r="AS1105">
        <v>1</v>
      </c>
      <c r="AT1105">
        <v>1</v>
      </c>
      <c r="AU1105">
        <v>5</v>
      </c>
      <c r="AV1105">
        <v>9</v>
      </c>
      <c r="AW1105">
        <v>0</v>
      </c>
      <c r="AX1105">
        <v>0</v>
      </c>
      <c r="AY1105">
        <v>0</v>
      </c>
      <c r="AZ1105">
        <v>2</v>
      </c>
      <c r="BA1105">
        <v>0</v>
      </c>
      <c r="BB1105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4</v>
      </c>
      <c r="BL1105" s="2">
        <v>1</v>
      </c>
      <c r="BM1105" s="2">
        <v>1</v>
      </c>
      <c r="BN1105" s="2">
        <v>5</v>
      </c>
      <c r="BO1105" s="2">
        <v>9</v>
      </c>
      <c r="BP1105" s="2">
        <v>0</v>
      </c>
      <c r="BQ1105" s="2">
        <v>0</v>
      </c>
      <c r="BR1105" s="2">
        <v>0</v>
      </c>
      <c r="BS1105" s="2">
        <v>2</v>
      </c>
      <c r="BT1105" s="2">
        <v>0</v>
      </c>
      <c r="BU1105" s="2">
        <v>0</v>
      </c>
      <c r="BV1105" s="2">
        <f t="shared" si="73"/>
        <v>22</v>
      </c>
      <c r="BW1105" s="16">
        <f t="shared" si="71"/>
        <v>1.1578947368421053</v>
      </c>
      <c r="BX1105" s="16">
        <f>COUNTIF($BC$6:BU1105, "=0") / COUNTIF($BC$6:BU1105, "&gt;-1")</f>
        <v>0.29818181818181816</v>
      </c>
      <c r="BY1105" s="18">
        <f>SUM($BC$6:BU1105) / $BY$4</f>
        <v>0.95191571779968887</v>
      </c>
      <c r="BZ1105" s="14">
        <f t="shared" si="72"/>
        <v>13</v>
      </c>
      <c r="CA1105" t="s">
        <v>5832</v>
      </c>
      <c r="CZ1105" t="s">
        <v>13187</v>
      </c>
      <c r="DA1105" t="s">
        <v>5904</v>
      </c>
      <c r="DB1105">
        <v>689.1</v>
      </c>
      <c r="DC1105" t="s">
        <v>35078</v>
      </c>
      <c r="DD1105" t="s">
        <v>35079</v>
      </c>
      <c r="DE1105" t="s">
        <v>35080</v>
      </c>
      <c r="DF1105" t="s">
        <v>35081</v>
      </c>
      <c r="DG1105" t="s">
        <v>35082</v>
      </c>
      <c r="DH1105" t="str">
        <f>"BPI"</f>
        <v>BPI</v>
      </c>
      <c r="DI1105" t="s">
        <v>13772</v>
      </c>
      <c r="DJ1105" t="s">
        <v>13777</v>
      </c>
      <c r="DK1105">
        <v>9606</v>
      </c>
      <c r="DL1105" s="34" t="str">
        <f>HYPERLINK("http://www.uniprot.org/uniprot/P17213", "P17213")</f>
        <v>P17213</v>
      </c>
      <c r="DM1105" t="s">
        <v>35083</v>
      </c>
      <c r="DN1105" t="s">
        <v>13772</v>
      </c>
      <c r="DO1105" t="s">
        <v>17261</v>
      </c>
      <c r="DP1105" t="s">
        <v>13793</v>
      </c>
      <c r="DQ1105" t="s">
        <v>13772</v>
      </c>
      <c r="DR1105" t="s">
        <v>13772</v>
      </c>
      <c r="DS1105" t="s">
        <v>13808</v>
      </c>
      <c r="DT1105" t="s">
        <v>13772</v>
      </c>
      <c r="DU1105" t="s">
        <v>21730</v>
      </c>
      <c r="DV1105" t="s">
        <v>13796</v>
      </c>
      <c r="DW1105" t="s">
        <v>13812</v>
      </c>
      <c r="DX1105" t="s">
        <v>35084</v>
      </c>
      <c r="DY1105" t="s">
        <v>35085</v>
      </c>
      <c r="DZ1105" t="s">
        <v>21734</v>
      </c>
      <c r="EA1105" t="s">
        <v>13772</v>
      </c>
      <c r="EB1105" t="s">
        <v>35086</v>
      </c>
    </row>
    <row r="1106" spans="1:132" hidden="1">
      <c r="A1106">
        <v>2229</v>
      </c>
      <c r="B1106">
        <v>1</v>
      </c>
      <c r="C1106" t="s">
        <v>5211</v>
      </c>
      <c r="D1106" t="s">
        <v>73</v>
      </c>
      <c r="E1106" t="s">
        <v>73</v>
      </c>
      <c r="F1106" t="s">
        <v>5212</v>
      </c>
      <c r="G1106" t="s">
        <v>73</v>
      </c>
      <c r="H1106">
        <v>50.6</v>
      </c>
      <c r="I1106">
        <v>168</v>
      </c>
      <c r="J1106">
        <v>17452</v>
      </c>
      <c r="K1106" t="s">
        <v>5213</v>
      </c>
      <c r="L1106">
        <f t="shared" si="70"/>
        <v>76</v>
      </c>
      <c r="N1106">
        <v>76</v>
      </c>
      <c r="O1106">
        <v>9</v>
      </c>
      <c r="P1106">
        <v>0.11799999999999999</v>
      </c>
      <c r="Q1106">
        <v>4</v>
      </c>
      <c r="R1106">
        <v>6</v>
      </c>
      <c r="S1106">
        <v>3</v>
      </c>
      <c r="T1106">
        <v>5</v>
      </c>
      <c r="U1106">
        <v>2</v>
      </c>
      <c r="V1106">
        <v>2</v>
      </c>
      <c r="W1106">
        <v>2</v>
      </c>
      <c r="X1106">
        <v>1</v>
      </c>
      <c r="Y1106">
        <v>7</v>
      </c>
      <c r="Z1106">
        <v>1</v>
      </c>
      <c r="AA1106">
        <v>7</v>
      </c>
      <c r="AB1106">
        <v>7</v>
      </c>
      <c r="AC1106">
        <v>7</v>
      </c>
      <c r="AD1106">
        <v>2</v>
      </c>
      <c r="AE1106">
        <v>5</v>
      </c>
      <c r="AF1106">
        <v>8</v>
      </c>
      <c r="AG1106">
        <v>1</v>
      </c>
      <c r="AH1106">
        <v>2</v>
      </c>
      <c r="AI1106">
        <v>4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0</v>
      </c>
      <c r="AT1106">
        <v>2</v>
      </c>
      <c r="AU1106">
        <v>1</v>
      </c>
      <c r="AV1106">
        <v>2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 s="2">
        <v>0</v>
      </c>
      <c r="BD1106" s="2">
        <v>0</v>
      </c>
      <c r="BE1106" s="2">
        <v>1.667</v>
      </c>
      <c r="BF1106" s="2">
        <v>0</v>
      </c>
      <c r="BG1106" s="2">
        <v>1</v>
      </c>
      <c r="BH1106" s="2">
        <v>0</v>
      </c>
      <c r="BI1106" s="2">
        <v>0</v>
      </c>
      <c r="BJ1106" s="2">
        <v>0</v>
      </c>
      <c r="BK1106" s="2">
        <v>5.3330000000000002</v>
      </c>
      <c r="BL1106" s="2">
        <v>0.5</v>
      </c>
      <c r="BM1106" s="2">
        <v>3.4289999999999998</v>
      </c>
      <c r="BN1106" s="2">
        <v>1.857</v>
      </c>
      <c r="BO1106" s="2">
        <v>5.3330000000000002</v>
      </c>
      <c r="BP1106" s="2">
        <v>1</v>
      </c>
      <c r="BQ1106" s="2">
        <v>0</v>
      </c>
      <c r="BR1106" s="2">
        <v>1.875</v>
      </c>
      <c r="BS1106" s="2">
        <v>0</v>
      </c>
      <c r="BT1106" s="2">
        <v>0</v>
      </c>
      <c r="BU1106" s="2">
        <v>0</v>
      </c>
      <c r="BV1106" s="2">
        <f t="shared" si="73"/>
        <v>21.994</v>
      </c>
      <c r="BW1106" s="16">
        <f t="shared" si="71"/>
        <v>1.157578947368421</v>
      </c>
      <c r="BX1106" s="16">
        <f>COUNTIF($BC$6:BU1106, "=0") / COUNTIF($BC$6:BU1106, "&gt;-1")</f>
        <v>0.29838902433194703</v>
      </c>
      <c r="BY1106" s="18">
        <f>SUM($BC$6:BU1106) / $BY$4</f>
        <v>0.95200993210897911</v>
      </c>
      <c r="BZ1106" s="14">
        <f t="shared" si="72"/>
        <v>10</v>
      </c>
      <c r="CA1106" t="s">
        <v>5832</v>
      </c>
      <c r="CZ1106" t="s">
        <v>13172</v>
      </c>
      <c r="DA1106" t="s">
        <v>5904</v>
      </c>
      <c r="DB1106">
        <v>280.39999999999998</v>
      </c>
      <c r="DC1106" t="s">
        <v>35038</v>
      </c>
      <c r="DD1106" t="s">
        <v>35039</v>
      </c>
      <c r="DE1106" t="s">
        <v>35040</v>
      </c>
      <c r="DF1106" t="s">
        <v>35041</v>
      </c>
      <c r="DG1106" t="s">
        <v>35042</v>
      </c>
      <c r="DH1106" t="str">
        <f>"AVP"</f>
        <v>AVP</v>
      </c>
      <c r="DI1106" t="s">
        <v>35043</v>
      </c>
      <c r="DJ1106" t="s">
        <v>13777</v>
      </c>
      <c r="DK1106">
        <v>9606</v>
      </c>
      <c r="DL1106" s="34" t="str">
        <f>HYPERLINK("http://www.uniprot.org/uniprot/P01185", "P01185")</f>
        <v>P01185</v>
      </c>
      <c r="DM1106" t="s">
        <v>35044</v>
      </c>
      <c r="DN1106" t="s">
        <v>13772</v>
      </c>
      <c r="DO1106" t="s">
        <v>14321</v>
      </c>
      <c r="DP1106" t="s">
        <v>13793</v>
      </c>
      <c r="DQ1106" t="s">
        <v>13772</v>
      </c>
      <c r="DR1106" t="s">
        <v>25302</v>
      </c>
      <c r="DS1106" t="s">
        <v>13808</v>
      </c>
      <c r="DT1106" t="s">
        <v>13772</v>
      </c>
      <c r="DU1106" t="s">
        <v>35045</v>
      </c>
      <c r="DV1106" t="s">
        <v>35046</v>
      </c>
      <c r="DW1106" t="s">
        <v>13772</v>
      </c>
      <c r="DX1106" t="s">
        <v>35047</v>
      </c>
      <c r="DY1106" t="s">
        <v>35048</v>
      </c>
      <c r="DZ1106" t="s">
        <v>35049</v>
      </c>
      <c r="EA1106" t="s">
        <v>13772</v>
      </c>
      <c r="EB1106" t="s">
        <v>35050</v>
      </c>
    </row>
    <row r="1107" spans="1:132" hidden="1">
      <c r="A1107">
        <v>498</v>
      </c>
      <c r="B1107">
        <v>1</v>
      </c>
      <c r="C1107" t="s">
        <v>1254</v>
      </c>
      <c r="D1107" t="s">
        <v>1255</v>
      </c>
      <c r="E1107" t="s">
        <v>73</v>
      </c>
      <c r="F1107" t="s">
        <v>490</v>
      </c>
      <c r="G1107" t="s">
        <v>73</v>
      </c>
      <c r="H1107">
        <v>27.6</v>
      </c>
      <c r="I1107">
        <v>612</v>
      </c>
      <c r="J1107">
        <v>68642</v>
      </c>
      <c r="K1107" t="s">
        <v>1256</v>
      </c>
      <c r="L1107">
        <f t="shared" si="70"/>
        <v>23</v>
      </c>
      <c r="N1107">
        <v>23</v>
      </c>
      <c r="O1107">
        <v>20</v>
      </c>
      <c r="P1107">
        <v>0.87</v>
      </c>
      <c r="Q1107">
        <v>1</v>
      </c>
      <c r="R1107">
        <v>1</v>
      </c>
      <c r="S1107">
        <v>0</v>
      </c>
      <c r="T1107">
        <v>0</v>
      </c>
      <c r="U1107">
        <v>6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3</v>
      </c>
      <c r="AB1107">
        <v>0</v>
      </c>
      <c r="AC1107">
        <v>3</v>
      </c>
      <c r="AD1107">
        <v>0</v>
      </c>
      <c r="AE1107">
        <v>1</v>
      </c>
      <c r="AF1107">
        <v>5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6</v>
      </c>
      <c r="AO1107">
        <v>1</v>
      </c>
      <c r="AP1107">
        <v>1</v>
      </c>
      <c r="AQ1107">
        <v>0</v>
      </c>
      <c r="AR1107">
        <v>1</v>
      </c>
      <c r="AS1107">
        <v>0</v>
      </c>
      <c r="AT1107">
        <v>2</v>
      </c>
      <c r="AU1107">
        <v>0</v>
      </c>
      <c r="AV1107">
        <v>1</v>
      </c>
      <c r="AW1107">
        <v>0</v>
      </c>
      <c r="AX1107">
        <v>1</v>
      </c>
      <c r="AY1107">
        <v>5</v>
      </c>
      <c r="AZ1107">
        <v>0</v>
      </c>
      <c r="BA1107">
        <v>0</v>
      </c>
      <c r="BB1107">
        <v>0</v>
      </c>
      <c r="BC1107" s="2">
        <v>1</v>
      </c>
      <c r="BD1107" s="2">
        <v>1</v>
      </c>
      <c r="BE1107" s="2">
        <v>0</v>
      </c>
      <c r="BF1107" s="2">
        <v>0</v>
      </c>
      <c r="BG1107" s="2">
        <v>6</v>
      </c>
      <c r="BH1107" s="2">
        <v>1</v>
      </c>
      <c r="BI1107" s="2">
        <v>1</v>
      </c>
      <c r="BJ1107" s="2">
        <v>0</v>
      </c>
      <c r="BK1107" s="2">
        <v>1</v>
      </c>
      <c r="BL1107" s="2">
        <v>0</v>
      </c>
      <c r="BM1107" s="2">
        <v>2.3330000000000002</v>
      </c>
      <c r="BN1107" s="2">
        <v>0</v>
      </c>
      <c r="BO1107" s="2">
        <v>2.3330000000000002</v>
      </c>
      <c r="BP1107" s="2">
        <v>0</v>
      </c>
      <c r="BQ1107" s="2">
        <v>1</v>
      </c>
      <c r="BR1107" s="2">
        <v>5</v>
      </c>
      <c r="BS1107" s="2">
        <v>0</v>
      </c>
      <c r="BT1107" s="2">
        <v>0</v>
      </c>
      <c r="BU1107" s="2">
        <v>0</v>
      </c>
      <c r="BV1107" s="2">
        <f t="shared" si="73"/>
        <v>21.666</v>
      </c>
      <c r="BW1107" s="16">
        <f t="shared" si="71"/>
        <v>1.1403157894736842</v>
      </c>
      <c r="BX1107" s="16">
        <f>COUNTIF($BC$6:BU1107, "=0") / COUNTIF($BC$6:BU1107, "&gt;-1")</f>
        <v>0.2985480943738657</v>
      </c>
      <c r="BY1107" s="18">
        <f>SUM($BC$6:BU1107) / $BY$4</f>
        <v>0.95210274138537654</v>
      </c>
      <c r="BZ1107" s="14">
        <f t="shared" si="72"/>
        <v>9</v>
      </c>
      <c r="CA1107" t="s">
        <v>5832</v>
      </c>
      <c r="CZ1107" t="s">
        <v>7437</v>
      </c>
      <c r="DA1107" t="s">
        <v>5904</v>
      </c>
      <c r="DB1107">
        <v>1095.9000000000001</v>
      </c>
      <c r="DC1107" t="s">
        <v>18679</v>
      </c>
      <c r="DD1107" t="s">
        <v>18680</v>
      </c>
      <c r="DE1107" t="s">
        <v>18681</v>
      </c>
      <c r="DF1107" t="s">
        <v>18682</v>
      </c>
      <c r="DG1107" t="s">
        <v>18683</v>
      </c>
      <c r="DH1107" t="str">
        <f>"EHD1"</f>
        <v>EHD1</v>
      </c>
      <c r="DI1107" t="s">
        <v>13772</v>
      </c>
      <c r="DJ1107" t="s">
        <v>13777</v>
      </c>
      <c r="DK1107">
        <v>9606</v>
      </c>
      <c r="DL1107" s="34" t="str">
        <f>HYPERLINK("http://www.uniprot.org/uniprot/Q9H4M9", "Q9H4M9")</f>
        <v>Q9H4M9</v>
      </c>
      <c r="DM1107" t="s">
        <v>18684</v>
      </c>
      <c r="DN1107" t="s">
        <v>18685</v>
      </c>
      <c r="DO1107" t="s">
        <v>18686</v>
      </c>
      <c r="DP1107" t="s">
        <v>13772</v>
      </c>
      <c r="DQ1107" t="s">
        <v>13772</v>
      </c>
      <c r="DR1107" t="s">
        <v>13772</v>
      </c>
      <c r="DS1107" t="s">
        <v>14245</v>
      </c>
      <c r="DT1107" t="s">
        <v>15398</v>
      </c>
      <c r="DU1107" t="s">
        <v>13772</v>
      </c>
      <c r="DV1107" t="s">
        <v>13886</v>
      </c>
      <c r="DW1107" t="s">
        <v>13812</v>
      </c>
      <c r="DX1107" t="s">
        <v>18687</v>
      </c>
      <c r="DY1107" t="s">
        <v>18688</v>
      </c>
      <c r="DZ1107" t="s">
        <v>18689</v>
      </c>
      <c r="EA1107" t="s">
        <v>13772</v>
      </c>
      <c r="EB1107" t="s">
        <v>18690</v>
      </c>
    </row>
    <row r="1108" spans="1:132" hidden="1">
      <c r="A1108">
        <v>1038</v>
      </c>
      <c r="B1108">
        <v>1</v>
      </c>
      <c r="C1108" t="s">
        <v>2512</v>
      </c>
      <c r="D1108" t="s">
        <v>73</v>
      </c>
      <c r="E1108" t="s">
        <v>73</v>
      </c>
      <c r="F1108" t="s">
        <v>1464</v>
      </c>
      <c r="G1108" t="s">
        <v>73</v>
      </c>
      <c r="H1108">
        <v>37.5</v>
      </c>
      <c r="I1108">
        <v>184</v>
      </c>
      <c r="J1108">
        <v>20869</v>
      </c>
      <c r="K1108" t="s">
        <v>2513</v>
      </c>
      <c r="L1108">
        <f t="shared" si="70"/>
        <v>31</v>
      </c>
      <c r="N1108">
        <v>31</v>
      </c>
      <c r="O1108">
        <v>10</v>
      </c>
      <c r="P1108">
        <v>0.32300000000000001</v>
      </c>
      <c r="Q1108">
        <v>1</v>
      </c>
      <c r="R1108">
        <v>5</v>
      </c>
      <c r="S1108">
        <v>1</v>
      </c>
      <c r="T1108">
        <v>2</v>
      </c>
      <c r="U1108">
        <v>6</v>
      </c>
      <c r="V1108">
        <v>3</v>
      </c>
      <c r="W1108">
        <v>0</v>
      </c>
      <c r="X1108">
        <v>2</v>
      </c>
      <c r="Y1108">
        <v>1</v>
      </c>
      <c r="Z1108">
        <v>0</v>
      </c>
      <c r="AA1108">
        <v>3</v>
      </c>
      <c r="AB1108">
        <v>4</v>
      </c>
      <c r="AC1108">
        <v>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2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 s="2">
        <v>0</v>
      </c>
      <c r="BD1108" s="2">
        <v>3</v>
      </c>
      <c r="BE1108" s="2">
        <v>0</v>
      </c>
      <c r="BF1108" s="2">
        <v>2</v>
      </c>
      <c r="BG1108" s="2">
        <v>5.6</v>
      </c>
      <c r="BH1108" s="2">
        <v>1.2</v>
      </c>
      <c r="BI1108" s="2">
        <v>0</v>
      </c>
      <c r="BJ1108" s="2">
        <v>0.7</v>
      </c>
      <c r="BK1108" s="2">
        <v>0.5</v>
      </c>
      <c r="BL1108" s="2">
        <v>0</v>
      </c>
      <c r="BM1108" s="2">
        <v>2</v>
      </c>
      <c r="BN1108" s="2">
        <v>3.3330000000000002</v>
      </c>
      <c r="BO1108" s="2">
        <v>3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f t="shared" si="73"/>
        <v>21.332999999999998</v>
      </c>
      <c r="BW1108" s="16">
        <f t="shared" si="71"/>
        <v>1.1227894736842103</v>
      </c>
      <c r="BX1108" s="16">
        <f>COUNTIF($BC$6:BU1108, "=0") / COUNTIF($BC$6:BU1108, "&gt;-1")</f>
        <v>0.29875459273751015</v>
      </c>
      <c r="BY1108" s="18">
        <f>SUM($BC$6:BU1108) / $BY$4</f>
        <v>0.95219412421069671</v>
      </c>
      <c r="BZ1108" s="14">
        <f t="shared" si="72"/>
        <v>10</v>
      </c>
      <c r="CA1108" t="s">
        <v>5832</v>
      </c>
      <c r="CZ1108" t="s">
        <v>9241</v>
      </c>
      <c r="DA1108" t="s">
        <v>5904</v>
      </c>
      <c r="DB1108">
        <v>377.1</v>
      </c>
      <c r="DC1108" t="s">
        <v>23979</v>
      </c>
      <c r="DD1108" t="s">
        <v>23980</v>
      </c>
      <c r="DE1108" t="s">
        <v>23981</v>
      </c>
      <c r="DF1108" t="s">
        <v>23982</v>
      </c>
      <c r="DG1108" t="s">
        <v>23983</v>
      </c>
      <c r="DH1108" t="str">
        <f>"RAP1B"</f>
        <v>RAP1B</v>
      </c>
      <c r="DI1108" t="s">
        <v>13772</v>
      </c>
      <c r="DJ1108" t="s">
        <v>13777</v>
      </c>
      <c r="DK1108">
        <v>9606</v>
      </c>
      <c r="DL1108" s="34" t="str">
        <f>HYPERLINK("http://www.uniprot.org/uniprot/P61224", "P61224")</f>
        <v>P61224</v>
      </c>
      <c r="DM1108" t="s">
        <v>23984</v>
      </c>
      <c r="DN1108" t="s">
        <v>13772</v>
      </c>
      <c r="DO1108" t="s">
        <v>23985</v>
      </c>
      <c r="DP1108" t="s">
        <v>13841</v>
      </c>
      <c r="DQ1108" t="s">
        <v>13772</v>
      </c>
      <c r="DR1108" t="s">
        <v>13772</v>
      </c>
      <c r="DS1108" t="s">
        <v>13772</v>
      </c>
      <c r="DT1108" t="s">
        <v>14216</v>
      </c>
      <c r="DU1108" t="s">
        <v>13772</v>
      </c>
      <c r="DV1108" t="s">
        <v>20113</v>
      </c>
      <c r="DW1108" t="s">
        <v>13812</v>
      </c>
      <c r="DX1108" t="s">
        <v>23986</v>
      </c>
      <c r="DY1108" t="s">
        <v>23987</v>
      </c>
      <c r="DZ1108" t="s">
        <v>23988</v>
      </c>
      <c r="EA1108" t="s">
        <v>13772</v>
      </c>
      <c r="EB1108" t="s">
        <v>23989</v>
      </c>
    </row>
    <row r="1109" spans="1:132" hidden="1">
      <c r="A1109">
        <v>694</v>
      </c>
      <c r="B1109">
        <v>1</v>
      </c>
      <c r="C1109" t="s">
        <v>1709</v>
      </c>
      <c r="D1109" t="s">
        <v>73</v>
      </c>
      <c r="E1109" t="s">
        <v>73</v>
      </c>
      <c r="F1109" t="s">
        <v>1617</v>
      </c>
      <c r="G1109" t="s">
        <v>73</v>
      </c>
      <c r="H1109">
        <v>53.2</v>
      </c>
      <c r="I1109">
        <v>111</v>
      </c>
      <c r="J1109">
        <v>12569</v>
      </c>
      <c r="K1109" t="s">
        <v>1710</v>
      </c>
      <c r="L1109">
        <f t="shared" si="70"/>
        <v>30</v>
      </c>
      <c r="N1109">
        <v>30</v>
      </c>
      <c r="O1109">
        <v>10</v>
      </c>
      <c r="P1109">
        <v>0.33300000000000002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6</v>
      </c>
      <c r="Y1109">
        <v>3</v>
      </c>
      <c r="Z1109">
        <v>0</v>
      </c>
      <c r="AA1109">
        <v>4</v>
      </c>
      <c r="AB1109">
        <v>2</v>
      </c>
      <c r="AC1109">
        <v>1</v>
      </c>
      <c r="AD1109">
        <v>1</v>
      </c>
      <c r="AE1109">
        <v>1</v>
      </c>
      <c r="AF1109">
        <v>4</v>
      </c>
      <c r="AG1109">
        <v>1</v>
      </c>
      <c r="AH1109">
        <v>2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</v>
      </c>
      <c r="AR1109">
        <v>2</v>
      </c>
      <c r="AS1109">
        <v>0</v>
      </c>
      <c r="AT1109">
        <v>3</v>
      </c>
      <c r="AU1109">
        <v>0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0</v>
      </c>
      <c r="BC1109" s="2">
        <v>0.5</v>
      </c>
      <c r="BD1109" s="2">
        <v>0</v>
      </c>
      <c r="BE1109" s="2">
        <v>0.5</v>
      </c>
      <c r="BF1109" s="2">
        <v>0</v>
      </c>
      <c r="BG1109" s="2">
        <v>0.5</v>
      </c>
      <c r="BH1109" s="2">
        <v>0</v>
      </c>
      <c r="BI1109" s="2">
        <v>0.5</v>
      </c>
      <c r="BJ1109" s="2">
        <v>4</v>
      </c>
      <c r="BK1109" s="2">
        <v>3</v>
      </c>
      <c r="BL1109" s="2">
        <v>0</v>
      </c>
      <c r="BM1109" s="2">
        <v>3.75</v>
      </c>
      <c r="BN1109" s="2">
        <v>1</v>
      </c>
      <c r="BO1109" s="2">
        <v>0.5</v>
      </c>
      <c r="BP1109" s="2">
        <v>0.5</v>
      </c>
      <c r="BQ1109" s="2">
        <v>0.5</v>
      </c>
      <c r="BR1109" s="2">
        <v>4</v>
      </c>
      <c r="BS1109" s="2">
        <v>0.5</v>
      </c>
      <c r="BT1109" s="2">
        <v>1</v>
      </c>
      <c r="BU1109" s="2">
        <v>0.5</v>
      </c>
      <c r="BV1109" s="2">
        <f t="shared" si="73"/>
        <v>21.25</v>
      </c>
      <c r="BW1109" s="16">
        <f t="shared" si="71"/>
        <v>1.118421052631579</v>
      </c>
      <c r="BX1109" s="16">
        <f>COUNTIF($BC$6:BU1109, "=0") / COUNTIF($BC$6:BU1109, "&gt;-1")</f>
        <v>0.29867467581998475</v>
      </c>
      <c r="BY1109" s="18">
        <f>SUM($BC$6:BU1109) / $BY$4</f>
        <v>0.9522851514941566</v>
      </c>
      <c r="BZ1109" s="14">
        <f t="shared" si="72"/>
        <v>4</v>
      </c>
      <c r="CA1109" t="s">
        <v>5832</v>
      </c>
      <c r="CZ1109" t="s">
        <v>8086</v>
      </c>
      <c r="DA1109" t="s">
        <v>5904</v>
      </c>
      <c r="DB1109">
        <v>195.7</v>
      </c>
      <c r="DC1109" t="s">
        <v>20637</v>
      </c>
      <c r="DD1109" t="s">
        <v>20638</v>
      </c>
      <c r="DE1109" t="s">
        <v>20639</v>
      </c>
      <c r="DF1109" t="s">
        <v>20640</v>
      </c>
      <c r="DG1109" t="s">
        <v>20641</v>
      </c>
      <c r="DH1109" t="str">
        <f>"SUMO3"</f>
        <v>SUMO3</v>
      </c>
      <c r="DI1109" t="s">
        <v>13772</v>
      </c>
      <c r="DJ1109" t="s">
        <v>13777</v>
      </c>
      <c r="DK1109">
        <v>9606</v>
      </c>
      <c r="DL1109" s="34" t="str">
        <f>HYPERLINK("http://www.uniprot.org/uniprot/P55854", "P55854")</f>
        <v>P55854</v>
      </c>
      <c r="DM1109" t="s">
        <v>20642</v>
      </c>
      <c r="DN1109" t="s">
        <v>14109</v>
      </c>
      <c r="DO1109" t="s">
        <v>13912</v>
      </c>
      <c r="DP1109" t="s">
        <v>13780</v>
      </c>
      <c r="DQ1109" t="s">
        <v>13772</v>
      </c>
      <c r="DR1109" t="s">
        <v>13772</v>
      </c>
      <c r="DS1109" t="s">
        <v>13772</v>
      </c>
      <c r="DT1109" t="s">
        <v>13772</v>
      </c>
      <c r="DU1109" t="s">
        <v>13772</v>
      </c>
      <c r="DV1109" t="s">
        <v>18592</v>
      </c>
      <c r="DW1109" t="s">
        <v>13812</v>
      </c>
      <c r="DX1109" t="s">
        <v>20643</v>
      </c>
      <c r="DY1109" t="s">
        <v>20644</v>
      </c>
      <c r="DZ1109" t="s">
        <v>20645</v>
      </c>
      <c r="EA1109" t="s">
        <v>13772</v>
      </c>
      <c r="EB1109" t="s">
        <v>20646</v>
      </c>
    </row>
    <row r="1110" spans="1:132" hidden="1">
      <c r="A1110">
        <v>279</v>
      </c>
      <c r="B1110">
        <v>1</v>
      </c>
      <c r="C1110" t="s">
        <v>707</v>
      </c>
      <c r="D1110" t="s">
        <v>708</v>
      </c>
      <c r="E1110" t="s">
        <v>73</v>
      </c>
      <c r="F1110" t="s">
        <v>73</v>
      </c>
      <c r="G1110" t="s">
        <v>73</v>
      </c>
      <c r="H1110">
        <v>23.5</v>
      </c>
      <c r="I1110">
        <v>81</v>
      </c>
      <c r="J1110">
        <v>9071</v>
      </c>
      <c r="K1110" t="s">
        <v>709</v>
      </c>
      <c r="L1110">
        <f t="shared" si="70"/>
        <v>21</v>
      </c>
      <c r="N1110">
        <v>21</v>
      </c>
      <c r="O1110">
        <v>21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2</v>
      </c>
      <c r="Z1110">
        <v>0</v>
      </c>
      <c r="AA1110">
        <v>3</v>
      </c>
      <c r="AB1110">
        <v>3</v>
      </c>
      <c r="AC1110">
        <v>3</v>
      </c>
      <c r="AD1110">
        <v>0</v>
      </c>
      <c r="AE1110">
        <v>4</v>
      </c>
      <c r="AF1110">
        <v>3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2</v>
      </c>
      <c r="AS1110">
        <v>0</v>
      </c>
      <c r="AT1110">
        <v>3</v>
      </c>
      <c r="AU1110">
        <v>3</v>
      </c>
      <c r="AV1110">
        <v>3</v>
      </c>
      <c r="AW1110">
        <v>0</v>
      </c>
      <c r="AX1110">
        <v>4</v>
      </c>
      <c r="AY1110">
        <v>3</v>
      </c>
      <c r="AZ1110">
        <v>0</v>
      </c>
      <c r="BA1110">
        <v>0</v>
      </c>
      <c r="BB1110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</v>
      </c>
      <c r="BI1110" s="2">
        <v>0</v>
      </c>
      <c r="BJ1110" s="2">
        <v>1</v>
      </c>
      <c r="BK1110" s="2">
        <v>2</v>
      </c>
      <c r="BL1110" s="2">
        <v>0</v>
      </c>
      <c r="BM1110" s="2">
        <v>3</v>
      </c>
      <c r="BN1110" s="2">
        <v>3</v>
      </c>
      <c r="BO1110" s="2">
        <v>3</v>
      </c>
      <c r="BP1110" s="2">
        <v>0</v>
      </c>
      <c r="BQ1110" s="2">
        <v>4</v>
      </c>
      <c r="BR1110" s="2">
        <v>3</v>
      </c>
      <c r="BS1110" s="2">
        <v>0</v>
      </c>
      <c r="BT1110" s="2">
        <v>0</v>
      </c>
      <c r="BU1110" s="2">
        <v>1</v>
      </c>
      <c r="BV1110" s="2">
        <f t="shared" si="73"/>
        <v>21</v>
      </c>
      <c r="BW1110" s="16">
        <f t="shared" si="71"/>
        <v>1.1052631578947369</v>
      </c>
      <c r="BX1110" s="16">
        <f>COUNTIF($BC$6:BU1110, "=0") / COUNTIF($BC$6:BU1110, "&gt;-1")</f>
        <v>0.29888068587758992</v>
      </c>
      <c r="BY1110" s="18">
        <f>SUM($BC$6:BU1110) / $BY$4</f>
        <v>0.9523751078683993</v>
      </c>
      <c r="BZ1110" s="14">
        <f t="shared" si="72"/>
        <v>10</v>
      </c>
      <c r="CA1110" t="s">
        <v>5832</v>
      </c>
      <c r="CZ1110" t="s">
        <v>6666</v>
      </c>
      <c r="DA1110" t="s">
        <v>5904</v>
      </c>
      <c r="DB1110">
        <v>159.80000000000001</v>
      </c>
      <c r="DC1110" t="s">
        <v>16323</v>
      </c>
      <c r="DD1110" t="s">
        <v>16324</v>
      </c>
      <c r="DE1110" t="s">
        <v>16325</v>
      </c>
      <c r="DF1110" t="s">
        <v>16326</v>
      </c>
      <c r="DG1110" t="s">
        <v>16327</v>
      </c>
      <c r="DH1110" t="str">
        <f>"NEDD8"</f>
        <v>NEDD8</v>
      </c>
      <c r="DI1110" t="s">
        <v>13772</v>
      </c>
      <c r="DJ1110" t="s">
        <v>13777</v>
      </c>
      <c r="DK1110">
        <v>9606</v>
      </c>
      <c r="DL1110" s="34" t="str">
        <f>HYPERLINK("http://www.uniprot.org/uniprot/Q15843", "Q15843")</f>
        <v>Q15843</v>
      </c>
      <c r="DM1110" t="s">
        <v>16328</v>
      </c>
      <c r="DN1110" t="s">
        <v>14109</v>
      </c>
      <c r="DO1110" t="s">
        <v>14825</v>
      </c>
      <c r="DP1110" t="s">
        <v>13772</v>
      </c>
      <c r="DQ1110" t="s">
        <v>13772</v>
      </c>
      <c r="DR1110" t="s">
        <v>13772</v>
      </c>
      <c r="DS1110" t="s">
        <v>13772</v>
      </c>
      <c r="DT1110" t="s">
        <v>13772</v>
      </c>
      <c r="DU1110" t="s">
        <v>13772</v>
      </c>
      <c r="DV1110" t="s">
        <v>16329</v>
      </c>
      <c r="DW1110" t="s">
        <v>13812</v>
      </c>
      <c r="DX1110" t="s">
        <v>16330</v>
      </c>
      <c r="DY1110" t="s">
        <v>16331</v>
      </c>
      <c r="DZ1110" t="s">
        <v>16332</v>
      </c>
      <c r="EA1110" t="s">
        <v>13772</v>
      </c>
      <c r="EB1110" t="s">
        <v>16333</v>
      </c>
    </row>
    <row r="1111" spans="1:132" hidden="1">
      <c r="A1111">
        <v>428</v>
      </c>
      <c r="B1111">
        <v>1</v>
      </c>
      <c r="C1111" t="s">
        <v>1073</v>
      </c>
      <c r="D1111" t="s">
        <v>73</v>
      </c>
      <c r="E1111" t="s">
        <v>73</v>
      </c>
      <c r="F1111" t="s">
        <v>73</v>
      </c>
      <c r="G1111" t="s">
        <v>73</v>
      </c>
      <c r="H1111">
        <v>32.799999999999997</v>
      </c>
      <c r="I1111">
        <v>375</v>
      </c>
      <c r="J1111">
        <v>42076</v>
      </c>
      <c r="K1111" t="s">
        <v>1074</v>
      </c>
      <c r="L1111">
        <f t="shared" si="70"/>
        <v>21</v>
      </c>
      <c r="N1111">
        <v>21</v>
      </c>
      <c r="O1111">
        <v>21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11</v>
      </c>
      <c r="AB1111">
        <v>2</v>
      </c>
      <c r="AC1111">
        <v>2</v>
      </c>
      <c r="AD1111">
        <v>0</v>
      </c>
      <c r="AE1111">
        <v>3</v>
      </c>
      <c r="AF1111">
        <v>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11</v>
      </c>
      <c r="AU1111">
        <v>2</v>
      </c>
      <c r="AV1111">
        <v>2</v>
      </c>
      <c r="AW1111">
        <v>0</v>
      </c>
      <c r="AX1111">
        <v>3</v>
      </c>
      <c r="AY1111">
        <v>2</v>
      </c>
      <c r="AZ1111">
        <v>0</v>
      </c>
      <c r="BA1111">
        <v>0</v>
      </c>
      <c r="BB1111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1</v>
      </c>
      <c r="BL1111" s="2">
        <v>0</v>
      </c>
      <c r="BM1111" s="2">
        <v>11</v>
      </c>
      <c r="BN1111" s="2">
        <v>2</v>
      </c>
      <c r="BO1111" s="2">
        <v>2</v>
      </c>
      <c r="BP1111" s="2">
        <v>0</v>
      </c>
      <c r="BQ1111" s="2">
        <v>3</v>
      </c>
      <c r="BR1111" s="2">
        <v>2</v>
      </c>
      <c r="BS1111" s="2">
        <v>0</v>
      </c>
      <c r="BT1111" s="2">
        <v>0</v>
      </c>
      <c r="BU1111" s="2">
        <v>0</v>
      </c>
      <c r="BV1111" s="2">
        <f t="shared" si="73"/>
        <v>21</v>
      </c>
      <c r="BW1111" s="16">
        <f t="shared" si="71"/>
        <v>1.1052631578947369</v>
      </c>
      <c r="BX1111" s="16">
        <f>COUNTIF($BC$6:BU1111, "=0") / COUNTIF($BC$6:BU1111, "&gt;-1")</f>
        <v>0.29922908537165699</v>
      </c>
      <c r="BY1111" s="18">
        <f>SUM($BC$6:BU1111) / $BY$4</f>
        <v>0.95246506424264199</v>
      </c>
      <c r="BZ1111" s="14">
        <f t="shared" si="72"/>
        <v>13</v>
      </c>
      <c r="CA1111" t="s">
        <v>5832</v>
      </c>
      <c r="CZ1111" t="s">
        <v>7186</v>
      </c>
      <c r="DA1111" t="s">
        <v>5904</v>
      </c>
      <c r="DB1111">
        <v>717.2</v>
      </c>
      <c r="DC1111" t="s">
        <v>17928</v>
      </c>
      <c r="DD1111" t="s">
        <v>17929</v>
      </c>
      <c r="DE1111" t="s">
        <v>17930</v>
      </c>
      <c r="DF1111" t="s">
        <v>17931</v>
      </c>
      <c r="DG1111" t="s">
        <v>17932</v>
      </c>
      <c r="DH1111" t="str">
        <f>"SERPINB5"</f>
        <v>SERPINB5</v>
      </c>
      <c r="DI1111" t="s">
        <v>17933</v>
      </c>
      <c r="DJ1111" t="s">
        <v>13777</v>
      </c>
      <c r="DK1111">
        <v>9606</v>
      </c>
      <c r="DL1111" s="34" t="str">
        <f>HYPERLINK("http://www.uniprot.org/uniprot/P36952", "P36952")</f>
        <v>P36952</v>
      </c>
      <c r="DM1111" t="s">
        <v>17934</v>
      </c>
      <c r="DN1111" t="s">
        <v>13772</v>
      </c>
      <c r="DO1111" t="s">
        <v>14321</v>
      </c>
      <c r="DP1111" t="s">
        <v>13780</v>
      </c>
      <c r="DQ1111" t="s">
        <v>13772</v>
      </c>
      <c r="DR1111" t="s">
        <v>13772</v>
      </c>
      <c r="DS1111" t="s">
        <v>13772</v>
      </c>
      <c r="DT1111" t="s">
        <v>13772</v>
      </c>
      <c r="DU1111" t="s">
        <v>13772</v>
      </c>
      <c r="DV1111" t="s">
        <v>13858</v>
      </c>
      <c r="DW1111" t="s">
        <v>13812</v>
      </c>
      <c r="DX1111" t="s">
        <v>17935</v>
      </c>
      <c r="DY1111" t="s">
        <v>17936</v>
      </c>
      <c r="DZ1111" t="s">
        <v>16362</v>
      </c>
      <c r="EA1111" t="s">
        <v>13772</v>
      </c>
      <c r="EB1111" t="s">
        <v>13772</v>
      </c>
    </row>
    <row r="1112" spans="1:132" hidden="1">
      <c r="A1112">
        <v>503</v>
      </c>
      <c r="B1112">
        <v>1</v>
      </c>
      <c r="C1112" t="s">
        <v>1269</v>
      </c>
      <c r="D1112" t="s">
        <v>73</v>
      </c>
      <c r="E1112" t="s">
        <v>73</v>
      </c>
      <c r="F1112" t="s">
        <v>73</v>
      </c>
      <c r="G1112" t="s">
        <v>73</v>
      </c>
      <c r="H1112">
        <v>41.6</v>
      </c>
      <c r="I1112">
        <v>243</v>
      </c>
      <c r="J1112">
        <v>26674</v>
      </c>
      <c r="K1112" t="s">
        <v>1270</v>
      </c>
      <c r="L1112">
        <f t="shared" si="70"/>
        <v>21</v>
      </c>
      <c r="N1112">
        <v>21</v>
      </c>
      <c r="O1112">
        <v>21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3</v>
      </c>
      <c r="Z1112">
        <v>0</v>
      </c>
      <c r="AA1112">
        <v>4</v>
      </c>
      <c r="AB1112">
        <v>4</v>
      </c>
      <c r="AC1112">
        <v>1</v>
      </c>
      <c r="AD1112">
        <v>0</v>
      </c>
      <c r="AE1112">
        <v>3</v>
      </c>
      <c r="AF1112">
        <v>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3</v>
      </c>
      <c r="AS1112">
        <v>0</v>
      </c>
      <c r="AT1112">
        <v>4</v>
      </c>
      <c r="AU1112">
        <v>4</v>
      </c>
      <c r="AV1112">
        <v>1</v>
      </c>
      <c r="AW1112">
        <v>0</v>
      </c>
      <c r="AX1112">
        <v>3</v>
      </c>
      <c r="AY1112">
        <v>5</v>
      </c>
      <c r="AZ1112">
        <v>0</v>
      </c>
      <c r="BA1112">
        <v>0</v>
      </c>
      <c r="BB111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1</v>
      </c>
      <c r="BJ1112" s="2">
        <v>0</v>
      </c>
      <c r="BK1112" s="2">
        <v>3</v>
      </c>
      <c r="BL1112" s="2">
        <v>0</v>
      </c>
      <c r="BM1112" s="2">
        <v>4</v>
      </c>
      <c r="BN1112" s="2">
        <v>4</v>
      </c>
      <c r="BO1112" s="2">
        <v>1</v>
      </c>
      <c r="BP1112" s="2">
        <v>0</v>
      </c>
      <c r="BQ1112" s="2">
        <v>3</v>
      </c>
      <c r="BR1112" s="2">
        <v>5</v>
      </c>
      <c r="BS1112" s="2">
        <v>0</v>
      </c>
      <c r="BT1112" s="2">
        <v>0</v>
      </c>
      <c r="BU1112" s="2">
        <v>0</v>
      </c>
      <c r="BV1112" s="2">
        <f t="shared" si="73"/>
        <v>21</v>
      </c>
      <c r="BW1112" s="16">
        <f t="shared" si="71"/>
        <v>1.1052631578947369</v>
      </c>
      <c r="BX1112" s="16">
        <f>COUNTIF($BC$6:BU1112, "=0") / COUNTIF($BC$6:BU1112, "&gt;-1")</f>
        <v>0.29952931108258452</v>
      </c>
      <c r="BY1112" s="18">
        <f>SUM($BC$6:BU1112) / $BY$4</f>
        <v>0.95255502061688468</v>
      </c>
      <c r="BZ1112" s="14">
        <f t="shared" si="72"/>
        <v>12</v>
      </c>
      <c r="CA1112" t="s">
        <v>5832</v>
      </c>
      <c r="CZ1112" t="s">
        <v>7455</v>
      </c>
      <c r="DA1112" t="s">
        <v>5904</v>
      </c>
      <c r="DB1112">
        <v>490.7</v>
      </c>
      <c r="DC1112" t="s">
        <v>18736</v>
      </c>
      <c r="DD1112" t="s">
        <v>18737</v>
      </c>
      <c r="DE1112" t="s">
        <v>18738</v>
      </c>
      <c r="DF1112" t="s">
        <v>18739</v>
      </c>
      <c r="DG1112" t="s">
        <v>18740</v>
      </c>
      <c r="DH1112" t="str">
        <f>"RPS3"</f>
        <v>RPS3</v>
      </c>
      <c r="DI1112" t="s">
        <v>13772</v>
      </c>
      <c r="DJ1112" t="s">
        <v>13777</v>
      </c>
      <c r="DK1112">
        <v>9606</v>
      </c>
      <c r="DL1112" s="34" t="str">
        <f>HYPERLINK("http://www.uniprot.org/uniprot/P23396", "P23396")</f>
        <v>P23396</v>
      </c>
      <c r="DM1112" t="s">
        <v>18741</v>
      </c>
      <c r="DN1112" t="s">
        <v>18742</v>
      </c>
      <c r="DO1112" t="s">
        <v>18743</v>
      </c>
      <c r="DP1112" t="s">
        <v>13841</v>
      </c>
      <c r="DQ1112" t="s">
        <v>13772</v>
      </c>
      <c r="DR1112" t="s">
        <v>13772</v>
      </c>
      <c r="DS1112" t="s">
        <v>13772</v>
      </c>
      <c r="DT1112" t="s">
        <v>13772</v>
      </c>
      <c r="DU1112" t="s">
        <v>18744</v>
      </c>
      <c r="DV1112" t="s">
        <v>14663</v>
      </c>
      <c r="DW1112" t="s">
        <v>13812</v>
      </c>
      <c r="DX1112" t="s">
        <v>18745</v>
      </c>
      <c r="DY1112" t="s">
        <v>18746</v>
      </c>
      <c r="DZ1112" t="s">
        <v>18747</v>
      </c>
      <c r="EA1112" t="s">
        <v>13772</v>
      </c>
      <c r="EB1112" t="s">
        <v>17828</v>
      </c>
    </row>
    <row r="1113" spans="1:132" hidden="1">
      <c r="A1113">
        <v>505</v>
      </c>
      <c r="B1113">
        <v>1</v>
      </c>
      <c r="C1113" t="s">
        <v>1274</v>
      </c>
      <c r="D1113" t="s">
        <v>73</v>
      </c>
      <c r="E1113" t="s">
        <v>73</v>
      </c>
      <c r="F1113" t="s">
        <v>73</v>
      </c>
      <c r="G1113" t="s">
        <v>73</v>
      </c>
      <c r="H1113">
        <v>5.6</v>
      </c>
      <c r="I1113">
        <v>2211</v>
      </c>
      <c r="J1113">
        <v>247889</v>
      </c>
      <c r="K1113" t="s">
        <v>1275</v>
      </c>
      <c r="L1113">
        <f t="shared" si="70"/>
        <v>21</v>
      </c>
      <c r="N1113">
        <v>21</v>
      </c>
      <c r="O1113">
        <v>21</v>
      </c>
      <c r="P1113">
        <v>1</v>
      </c>
      <c r="Q1113">
        <v>0</v>
      </c>
      <c r="R1113">
        <v>4</v>
      </c>
      <c r="S1113">
        <v>1</v>
      </c>
      <c r="T1113">
        <v>1</v>
      </c>
      <c r="U1113">
        <v>5</v>
      </c>
      <c r="V1113">
        <v>3</v>
      </c>
      <c r="W1113">
        <v>4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</v>
      </c>
      <c r="AL1113">
        <v>1</v>
      </c>
      <c r="AM1113">
        <v>1</v>
      </c>
      <c r="AN1113">
        <v>5</v>
      </c>
      <c r="AO1113">
        <v>3</v>
      </c>
      <c r="AP1113">
        <v>4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s="2">
        <v>0</v>
      </c>
      <c r="BD1113" s="2">
        <v>4</v>
      </c>
      <c r="BE1113" s="2">
        <v>1</v>
      </c>
      <c r="BF1113" s="2">
        <v>1</v>
      </c>
      <c r="BG1113" s="2">
        <v>5</v>
      </c>
      <c r="BH1113" s="2">
        <v>3</v>
      </c>
      <c r="BI1113" s="2">
        <v>4</v>
      </c>
      <c r="BJ1113" s="2">
        <v>1</v>
      </c>
      <c r="BK1113" s="2">
        <v>0</v>
      </c>
      <c r="BL1113" s="2">
        <v>0</v>
      </c>
      <c r="BM1113" s="2">
        <v>1</v>
      </c>
      <c r="BN1113" s="2">
        <v>1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f t="shared" si="73"/>
        <v>21</v>
      </c>
      <c r="BW1113" s="16">
        <f t="shared" si="71"/>
        <v>1.1052631578947369</v>
      </c>
      <c r="BX1113" s="16">
        <f>COUNTIF($BC$6:BU1113, "=0") / COUNTIF($BC$6:BU1113, "&gt;-1")</f>
        <v>0.29973399201976059</v>
      </c>
      <c r="BY1113" s="18">
        <f>SUM($BC$6:BU1113) / $BY$4</f>
        <v>0.95264497699112738</v>
      </c>
      <c r="BZ1113" s="14">
        <f t="shared" si="72"/>
        <v>10</v>
      </c>
      <c r="CA1113" t="s">
        <v>5832</v>
      </c>
      <c r="CZ1113" t="s">
        <v>7463</v>
      </c>
      <c r="DA1113" t="s">
        <v>5904</v>
      </c>
      <c r="DB1113">
        <v>4376.6000000000004</v>
      </c>
      <c r="DC1113" t="s">
        <v>18761</v>
      </c>
      <c r="DD1113" t="s">
        <v>18762</v>
      </c>
      <c r="DE1113" t="s">
        <v>18763</v>
      </c>
      <c r="DF1113" t="s">
        <v>18764</v>
      </c>
      <c r="DG1113" t="s">
        <v>18765</v>
      </c>
      <c r="DH1113" t="str">
        <f>"SORL1"</f>
        <v>SORL1</v>
      </c>
      <c r="DI1113" t="s">
        <v>18766</v>
      </c>
      <c r="DJ1113" t="s">
        <v>13777</v>
      </c>
      <c r="DK1113">
        <v>9606</v>
      </c>
      <c r="DL1113" s="34" t="str">
        <f>HYPERLINK("http://www.uniprot.org/uniprot/Q92673", "Q92673")</f>
        <v>Q92673</v>
      </c>
      <c r="DM1113" t="s">
        <v>18767</v>
      </c>
      <c r="DN1113" t="s">
        <v>18768</v>
      </c>
      <c r="DO1113" t="s">
        <v>18769</v>
      </c>
      <c r="DP1113" t="s">
        <v>13793</v>
      </c>
      <c r="DQ1113" t="s">
        <v>13772</v>
      </c>
      <c r="DR1113" t="s">
        <v>15137</v>
      </c>
      <c r="DS1113" t="s">
        <v>13963</v>
      </c>
      <c r="DT1113" t="s">
        <v>13772</v>
      </c>
      <c r="DU1113" t="s">
        <v>13795</v>
      </c>
      <c r="DV1113" t="s">
        <v>15920</v>
      </c>
      <c r="DW1113" t="s">
        <v>13812</v>
      </c>
      <c r="DX1113" t="s">
        <v>18770</v>
      </c>
      <c r="DY1113" t="s">
        <v>18771</v>
      </c>
      <c r="DZ1113" t="s">
        <v>18772</v>
      </c>
      <c r="EA1113" t="s">
        <v>13772</v>
      </c>
      <c r="EB1113" t="s">
        <v>18773</v>
      </c>
    </row>
    <row r="1114" spans="1:132" hidden="1">
      <c r="A1114">
        <v>560</v>
      </c>
      <c r="B1114">
        <v>1</v>
      </c>
      <c r="C1114" t="s">
        <v>1396</v>
      </c>
      <c r="D1114" t="s">
        <v>1397</v>
      </c>
      <c r="E1114" t="s">
        <v>73</v>
      </c>
      <c r="F1114" t="s">
        <v>73</v>
      </c>
      <c r="G1114" t="s">
        <v>73</v>
      </c>
      <c r="H1114">
        <v>30.1</v>
      </c>
      <c r="I1114">
        <v>539</v>
      </c>
      <c r="J1114">
        <v>60543</v>
      </c>
      <c r="K1114" t="s">
        <v>1398</v>
      </c>
      <c r="L1114">
        <f t="shared" si="70"/>
        <v>21</v>
      </c>
      <c r="N1114">
        <v>21</v>
      </c>
      <c r="O1114">
        <v>21</v>
      </c>
      <c r="P1114">
        <v>1</v>
      </c>
      <c r="Q1114">
        <v>1</v>
      </c>
      <c r="R1114">
        <v>0</v>
      </c>
      <c r="S1114">
        <v>0</v>
      </c>
      <c r="T1114">
        <v>1</v>
      </c>
      <c r="U1114">
        <v>3</v>
      </c>
      <c r="V1114">
        <v>0</v>
      </c>
      <c r="W1114">
        <v>1</v>
      </c>
      <c r="X1114">
        <v>0</v>
      </c>
      <c r="Y1114">
        <v>9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1</v>
      </c>
      <c r="AF1114">
        <v>3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3</v>
      </c>
      <c r="AO1114">
        <v>0</v>
      </c>
      <c r="AP1114">
        <v>1</v>
      </c>
      <c r="AQ1114">
        <v>0</v>
      </c>
      <c r="AR1114">
        <v>9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1</v>
      </c>
      <c r="AY1114">
        <v>3</v>
      </c>
      <c r="AZ1114">
        <v>0</v>
      </c>
      <c r="BA1114">
        <v>0</v>
      </c>
      <c r="BB1114">
        <v>0</v>
      </c>
      <c r="BC1114" s="2">
        <v>1</v>
      </c>
      <c r="BD1114" s="2">
        <v>0</v>
      </c>
      <c r="BE1114" s="2">
        <v>0</v>
      </c>
      <c r="BF1114" s="2">
        <v>1</v>
      </c>
      <c r="BG1114" s="2">
        <v>3</v>
      </c>
      <c r="BH1114" s="2">
        <v>0</v>
      </c>
      <c r="BI1114" s="2">
        <v>1</v>
      </c>
      <c r="BJ1114" s="2">
        <v>0</v>
      </c>
      <c r="BK1114" s="2">
        <v>9</v>
      </c>
      <c r="BL1114" s="2">
        <v>0</v>
      </c>
      <c r="BM1114" s="2">
        <v>1</v>
      </c>
      <c r="BN1114" s="2">
        <v>1</v>
      </c>
      <c r="BO1114" s="2">
        <v>0</v>
      </c>
      <c r="BP1114" s="2">
        <v>0</v>
      </c>
      <c r="BQ1114" s="2">
        <v>1</v>
      </c>
      <c r="BR1114" s="2">
        <v>3</v>
      </c>
      <c r="BS1114" s="2">
        <v>0</v>
      </c>
      <c r="BT1114" s="2">
        <v>0</v>
      </c>
      <c r="BU1114" s="2">
        <v>0</v>
      </c>
      <c r="BV1114" s="2">
        <f t="shared" si="73"/>
        <v>21</v>
      </c>
      <c r="BW1114" s="16">
        <f t="shared" si="71"/>
        <v>1.1052631578947369</v>
      </c>
      <c r="BX1114" s="16">
        <f>COUNTIF($BC$6:BU1114, "=0") / COUNTIF($BC$6:BU1114, "&gt;-1")</f>
        <v>0.29993830382990838</v>
      </c>
      <c r="BY1114" s="18">
        <f>SUM($BC$6:BU1114) / $BY$4</f>
        <v>0.95273493336537007</v>
      </c>
      <c r="BZ1114" s="14">
        <f t="shared" si="72"/>
        <v>10</v>
      </c>
      <c r="CA1114" t="s">
        <v>5832</v>
      </c>
      <c r="CZ1114" t="s">
        <v>7637</v>
      </c>
      <c r="DA1114" t="s">
        <v>5904</v>
      </c>
      <c r="DB1114">
        <v>1017.7</v>
      </c>
      <c r="DC1114" t="s">
        <v>19288</v>
      </c>
      <c r="DD1114" t="s">
        <v>19289</v>
      </c>
      <c r="DE1114" t="s">
        <v>19290</v>
      </c>
      <c r="DF1114" t="s">
        <v>19291</v>
      </c>
      <c r="DG1114" t="s">
        <v>19292</v>
      </c>
      <c r="DH1114" t="str">
        <f>"CTTN"</f>
        <v>CTTN</v>
      </c>
      <c r="DI1114" t="s">
        <v>19293</v>
      </c>
      <c r="DJ1114" t="s">
        <v>13777</v>
      </c>
      <c r="DK1114">
        <v>9606</v>
      </c>
      <c r="DL1114" s="34" t="str">
        <f>HYPERLINK("http://www.uniprot.org/uniprot/Q14247", "Q14247")</f>
        <v>Q14247</v>
      </c>
      <c r="DM1114" t="s">
        <v>19294</v>
      </c>
      <c r="DN1114" t="s">
        <v>13824</v>
      </c>
      <c r="DO1114" t="s">
        <v>19295</v>
      </c>
      <c r="DP1114" t="s">
        <v>13841</v>
      </c>
      <c r="DQ1114" t="s">
        <v>13772</v>
      </c>
      <c r="DR1114" t="s">
        <v>13772</v>
      </c>
      <c r="DS1114" t="s">
        <v>19296</v>
      </c>
      <c r="DT1114" t="s">
        <v>13772</v>
      </c>
      <c r="DU1114" t="s">
        <v>13772</v>
      </c>
      <c r="DV1114" t="s">
        <v>14663</v>
      </c>
      <c r="DW1114" t="s">
        <v>13812</v>
      </c>
      <c r="DX1114" t="s">
        <v>19297</v>
      </c>
      <c r="DY1114" t="s">
        <v>19298</v>
      </c>
      <c r="DZ1114" t="s">
        <v>19299</v>
      </c>
      <c r="EA1114" t="s">
        <v>13772</v>
      </c>
      <c r="EB1114" t="s">
        <v>19300</v>
      </c>
    </row>
    <row r="1115" spans="1:132" hidden="1">
      <c r="A1115">
        <v>872</v>
      </c>
      <c r="B1115">
        <v>1</v>
      </c>
      <c r="C1115" t="s">
        <v>2130</v>
      </c>
      <c r="D1115" t="s">
        <v>73</v>
      </c>
      <c r="E1115" t="s">
        <v>73</v>
      </c>
      <c r="F1115" t="s">
        <v>73</v>
      </c>
      <c r="G1115" t="s">
        <v>73</v>
      </c>
      <c r="H1115">
        <v>36.6</v>
      </c>
      <c r="I1115">
        <v>213</v>
      </c>
      <c r="J1115">
        <v>23514</v>
      </c>
      <c r="K1115" t="s">
        <v>2131</v>
      </c>
      <c r="L1115">
        <f t="shared" si="70"/>
        <v>21</v>
      </c>
      <c r="N1115">
        <v>21</v>
      </c>
      <c r="O1115">
        <v>21</v>
      </c>
      <c r="P1115">
        <v>1</v>
      </c>
      <c r="Q1115">
        <v>0</v>
      </c>
      <c r="R1115">
        <v>4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2</v>
      </c>
      <c r="Y1115">
        <v>3</v>
      </c>
      <c r="Z1115">
        <v>0</v>
      </c>
      <c r="AA1115">
        <v>4</v>
      </c>
      <c r="AB1115">
        <v>2</v>
      </c>
      <c r="AC1115">
        <v>3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4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2</v>
      </c>
      <c r="AR1115">
        <v>3</v>
      </c>
      <c r="AS1115">
        <v>0</v>
      </c>
      <c r="AT1115">
        <v>4</v>
      </c>
      <c r="AU1115">
        <v>2</v>
      </c>
      <c r="AV1115">
        <v>3</v>
      </c>
      <c r="AW1115">
        <v>0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 s="2">
        <v>0</v>
      </c>
      <c r="BD1115" s="2">
        <v>4</v>
      </c>
      <c r="BE1115" s="2">
        <v>0</v>
      </c>
      <c r="BF1115" s="2">
        <v>0</v>
      </c>
      <c r="BG1115" s="2">
        <v>1</v>
      </c>
      <c r="BH1115" s="2">
        <v>0</v>
      </c>
      <c r="BI1115" s="2">
        <v>0</v>
      </c>
      <c r="BJ1115" s="2">
        <v>2</v>
      </c>
      <c r="BK1115" s="2">
        <v>3</v>
      </c>
      <c r="BL1115" s="2">
        <v>0</v>
      </c>
      <c r="BM1115" s="2">
        <v>4</v>
      </c>
      <c r="BN1115" s="2">
        <v>2</v>
      </c>
      <c r="BO1115" s="2">
        <v>3</v>
      </c>
      <c r="BP1115" s="2">
        <v>0</v>
      </c>
      <c r="BQ1115" s="2">
        <v>1</v>
      </c>
      <c r="BR1115" s="2">
        <v>1</v>
      </c>
      <c r="BS1115" s="2">
        <v>0</v>
      </c>
      <c r="BT1115" s="2">
        <v>0</v>
      </c>
      <c r="BU1115" s="2">
        <v>0</v>
      </c>
      <c r="BV1115" s="2">
        <f t="shared" si="73"/>
        <v>21</v>
      </c>
      <c r="BW1115" s="16">
        <f t="shared" si="71"/>
        <v>1.1052631578947369</v>
      </c>
      <c r="BX1115" s="16">
        <f>COUNTIF($BC$6:BU1115, "=0") / COUNTIF($BC$6:BU1115, "&gt;-1")</f>
        <v>0.30014224751066854</v>
      </c>
      <c r="BY1115" s="18">
        <f>SUM($BC$6:BU1115) / $BY$4</f>
        <v>0.95282488973961277</v>
      </c>
      <c r="BZ1115" s="14">
        <f t="shared" si="72"/>
        <v>10</v>
      </c>
      <c r="CA1115" t="s">
        <v>5832</v>
      </c>
      <c r="CZ1115" t="s">
        <v>8682</v>
      </c>
      <c r="DA1115" t="s">
        <v>5904</v>
      </c>
      <c r="DB1115">
        <v>387.5</v>
      </c>
      <c r="DC1115" t="s">
        <v>22378</v>
      </c>
      <c r="DD1115" t="s">
        <v>22379</v>
      </c>
      <c r="DE1115" t="s">
        <v>22380</v>
      </c>
      <c r="DF1115" t="s">
        <v>22381</v>
      </c>
      <c r="DG1115" t="s">
        <v>22382</v>
      </c>
      <c r="DH1115" t="str">
        <f>"ATP5PO ATPO"</f>
        <v>ATP5PO ATPO</v>
      </c>
      <c r="DI1115" t="s">
        <v>13772</v>
      </c>
      <c r="DJ1115" t="s">
        <v>13777</v>
      </c>
      <c r="DK1115">
        <v>9606</v>
      </c>
      <c r="DL1115" s="34" t="str">
        <f>HYPERLINK("http://www.uniprot.org/uniprot/P48047", "P48047")</f>
        <v>P48047</v>
      </c>
      <c r="DM1115" t="s">
        <v>22383</v>
      </c>
      <c r="DN1115" t="s">
        <v>17568</v>
      </c>
      <c r="DO1115" t="s">
        <v>15507</v>
      </c>
      <c r="DP1115" t="s">
        <v>13793</v>
      </c>
      <c r="DQ1115" t="s">
        <v>13772</v>
      </c>
      <c r="DR1115" t="s">
        <v>13772</v>
      </c>
      <c r="DS1115" t="s">
        <v>14391</v>
      </c>
      <c r="DT1115" t="s">
        <v>13772</v>
      </c>
      <c r="DU1115" t="s">
        <v>13772</v>
      </c>
      <c r="DV1115" t="s">
        <v>14020</v>
      </c>
      <c r="DW1115" t="s">
        <v>13772</v>
      </c>
      <c r="DX1115" t="s">
        <v>22384</v>
      </c>
      <c r="DY1115" t="s">
        <v>22385</v>
      </c>
      <c r="DZ1115" t="s">
        <v>22386</v>
      </c>
      <c r="EA1115" t="s">
        <v>13772</v>
      </c>
      <c r="EB1115" t="s">
        <v>19898</v>
      </c>
    </row>
    <row r="1116" spans="1:132" hidden="1">
      <c r="A1116">
        <v>1120</v>
      </c>
      <c r="B1116">
        <v>1</v>
      </c>
      <c r="C1116" t="s">
        <v>2695</v>
      </c>
      <c r="D1116" t="s">
        <v>2696</v>
      </c>
      <c r="E1116" t="s">
        <v>73</v>
      </c>
      <c r="F1116" t="s">
        <v>73</v>
      </c>
      <c r="G1116" t="s">
        <v>73</v>
      </c>
      <c r="H1116">
        <v>11.9</v>
      </c>
      <c r="I1116">
        <v>362</v>
      </c>
      <c r="J1116">
        <v>39917</v>
      </c>
      <c r="K1116" t="s">
        <v>2697</v>
      </c>
      <c r="L1116">
        <f t="shared" si="70"/>
        <v>21</v>
      </c>
      <c r="N1116">
        <v>21</v>
      </c>
      <c r="O1116">
        <v>21</v>
      </c>
      <c r="P1116">
        <v>1</v>
      </c>
      <c r="Q1116">
        <v>0</v>
      </c>
      <c r="R1116">
        <v>3</v>
      </c>
      <c r="S1116">
        <v>1</v>
      </c>
      <c r="T1116">
        <v>0</v>
      </c>
      <c r="U1116">
        <v>3</v>
      </c>
      <c r="V1116">
        <v>0</v>
      </c>
      <c r="W1116">
        <v>3</v>
      </c>
      <c r="X1116">
        <v>2</v>
      </c>
      <c r="Y1116">
        <v>0</v>
      </c>
      <c r="Z1116">
        <v>0</v>
      </c>
      <c r="AA1116">
        <v>2</v>
      </c>
      <c r="AB1116">
        <v>3</v>
      </c>
      <c r="AC1116">
        <v>1</v>
      </c>
      <c r="AD1116">
        <v>1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3</v>
      </c>
      <c r="AL1116">
        <v>1</v>
      </c>
      <c r="AM1116">
        <v>0</v>
      </c>
      <c r="AN1116">
        <v>3</v>
      </c>
      <c r="AO1116">
        <v>0</v>
      </c>
      <c r="AP1116">
        <v>3</v>
      </c>
      <c r="AQ1116">
        <v>2</v>
      </c>
      <c r="AR1116">
        <v>0</v>
      </c>
      <c r="AS1116">
        <v>0</v>
      </c>
      <c r="AT1116">
        <v>2</v>
      </c>
      <c r="AU1116">
        <v>3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 s="2">
        <v>0</v>
      </c>
      <c r="BD1116" s="2">
        <v>3</v>
      </c>
      <c r="BE1116" s="2">
        <v>1</v>
      </c>
      <c r="BF1116" s="2">
        <v>0</v>
      </c>
      <c r="BG1116" s="2">
        <v>3</v>
      </c>
      <c r="BH1116" s="2">
        <v>0</v>
      </c>
      <c r="BI1116" s="2">
        <v>3</v>
      </c>
      <c r="BJ1116" s="2">
        <v>2</v>
      </c>
      <c r="BK1116" s="2">
        <v>0</v>
      </c>
      <c r="BL1116" s="2">
        <v>0</v>
      </c>
      <c r="BM1116" s="2">
        <v>2</v>
      </c>
      <c r="BN1116" s="2">
        <v>3</v>
      </c>
      <c r="BO1116" s="2">
        <v>1</v>
      </c>
      <c r="BP1116" s="2">
        <v>1</v>
      </c>
      <c r="BQ1116" s="2">
        <v>1</v>
      </c>
      <c r="BR1116" s="2">
        <v>1</v>
      </c>
      <c r="BS1116" s="2">
        <v>0</v>
      </c>
      <c r="BT1116" s="2">
        <v>0</v>
      </c>
      <c r="BU1116" s="2">
        <v>0</v>
      </c>
      <c r="BV1116" s="2">
        <f t="shared" si="73"/>
        <v>21</v>
      </c>
      <c r="BW1116" s="16">
        <f t="shared" si="71"/>
        <v>1.1052631578947369</v>
      </c>
      <c r="BX1116" s="16">
        <f>COUNTIF($BC$6:BU1116, "=0") / COUNTIF($BC$6:BU1116, "&gt;-1")</f>
        <v>0.30025107773935289</v>
      </c>
      <c r="BY1116" s="18">
        <f>SUM($BC$6:BU1116) / $BY$4</f>
        <v>0.95291484611385557</v>
      </c>
      <c r="BZ1116" s="14">
        <f t="shared" si="72"/>
        <v>8</v>
      </c>
      <c r="CA1116" t="s">
        <v>5832</v>
      </c>
      <c r="CZ1116" t="s">
        <v>9471</v>
      </c>
      <c r="DA1116" t="s">
        <v>5904</v>
      </c>
      <c r="DB1116">
        <v>665.6</v>
      </c>
      <c r="DC1116" t="s">
        <v>24643</v>
      </c>
      <c r="DD1116" t="s">
        <v>24644</v>
      </c>
      <c r="DE1116" t="s">
        <v>24645</v>
      </c>
      <c r="DF1116" t="s">
        <v>24646</v>
      </c>
      <c r="DG1116" t="s">
        <v>24647</v>
      </c>
      <c r="DH1116" t="str">
        <f>"SLC25A3"</f>
        <v>SLC25A3</v>
      </c>
      <c r="DI1116" t="s">
        <v>24648</v>
      </c>
      <c r="DJ1116" t="s">
        <v>13777</v>
      </c>
      <c r="DK1116">
        <v>9606</v>
      </c>
      <c r="DL1116" s="34" t="str">
        <f>HYPERLINK("http://www.uniprot.org/uniprot/Q00325", "Q00325")</f>
        <v>Q00325</v>
      </c>
      <c r="DM1116" t="s">
        <v>24649</v>
      </c>
      <c r="DN1116" t="s">
        <v>24650</v>
      </c>
      <c r="DO1116" t="s">
        <v>15507</v>
      </c>
      <c r="DP1116" t="s">
        <v>13841</v>
      </c>
      <c r="DQ1116" t="s">
        <v>13772</v>
      </c>
      <c r="DR1116" t="s">
        <v>13807</v>
      </c>
      <c r="DS1116" t="s">
        <v>24651</v>
      </c>
      <c r="DT1116" t="s">
        <v>13772</v>
      </c>
      <c r="DU1116" t="s">
        <v>13772</v>
      </c>
      <c r="DV1116" t="s">
        <v>14098</v>
      </c>
      <c r="DW1116" t="s">
        <v>13772</v>
      </c>
      <c r="DX1116" t="s">
        <v>24652</v>
      </c>
      <c r="DY1116" t="s">
        <v>24653</v>
      </c>
      <c r="DZ1116" t="s">
        <v>24654</v>
      </c>
      <c r="EA1116" t="s">
        <v>13772</v>
      </c>
      <c r="EB1116" t="s">
        <v>13772</v>
      </c>
    </row>
    <row r="1117" spans="1:132" hidden="1">
      <c r="A1117">
        <v>1235</v>
      </c>
      <c r="B1117">
        <v>1</v>
      </c>
      <c r="C1117" t="s">
        <v>2966</v>
      </c>
      <c r="D1117" t="s">
        <v>73</v>
      </c>
      <c r="E1117" t="s">
        <v>73</v>
      </c>
      <c r="F1117" t="s">
        <v>73</v>
      </c>
      <c r="G1117" t="s">
        <v>73</v>
      </c>
      <c r="H1117">
        <v>24.8</v>
      </c>
      <c r="I1117">
        <v>290</v>
      </c>
      <c r="J1117">
        <v>31260</v>
      </c>
      <c r="K1117" t="s">
        <v>2967</v>
      </c>
      <c r="L1117">
        <f t="shared" si="70"/>
        <v>21</v>
      </c>
      <c r="N1117">
        <v>21</v>
      </c>
      <c r="O1117">
        <v>21</v>
      </c>
      <c r="P1117">
        <v>1</v>
      </c>
      <c r="Q1117">
        <v>0</v>
      </c>
      <c r="R1117">
        <v>3</v>
      </c>
      <c r="S1117">
        <v>0</v>
      </c>
      <c r="T1117">
        <v>0</v>
      </c>
      <c r="U1117">
        <v>5</v>
      </c>
      <c r="V1117">
        <v>2</v>
      </c>
      <c r="W1117">
        <v>0</v>
      </c>
      <c r="X1117">
        <v>4</v>
      </c>
      <c r="Y1117">
        <v>0</v>
      </c>
      <c r="Z1117">
        <v>0</v>
      </c>
      <c r="AA1117">
        <v>1</v>
      </c>
      <c r="AB1117">
        <v>3</v>
      </c>
      <c r="AC1117">
        <v>0</v>
      </c>
      <c r="AD1117">
        <v>0</v>
      </c>
      <c r="AE1117">
        <v>1</v>
      </c>
      <c r="AF1117">
        <v>2</v>
      </c>
      <c r="AG1117">
        <v>0</v>
      </c>
      <c r="AH1117">
        <v>0</v>
      </c>
      <c r="AI1117">
        <v>0</v>
      </c>
      <c r="AJ1117">
        <v>0</v>
      </c>
      <c r="AK1117">
        <v>3</v>
      </c>
      <c r="AL1117">
        <v>0</v>
      </c>
      <c r="AM1117">
        <v>0</v>
      </c>
      <c r="AN1117">
        <v>5</v>
      </c>
      <c r="AO1117">
        <v>2</v>
      </c>
      <c r="AP1117">
        <v>0</v>
      </c>
      <c r="AQ1117">
        <v>4</v>
      </c>
      <c r="AR1117">
        <v>0</v>
      </c>
      <c r="AS1117">
        <v>0</v>
      </c>
      <c r="AT1117">
        <v>1</v>
      </c>
      <c r="AU1117">
        <v>3</v>
      </c>
      <c r="AV1117">
        <v>0</v>
      </c>
      <c r="AW1117">
        <v>0</v>
      </c>
      <c r="AX1117">
        <v>1</v>
      </c>
      <c r="AY1117">
        <v>2</v>
      </c>
      <c r="AZ1117">
        <v>0</v>
      </c>
      <c r="BA1117">
        <v>0</v>
      </c>
      <c r="BB1117">
        <v>0</v>
      </c>
      <c r="BC1117" s="2">
        <v>0</v>
      </c>
      <c r="BD1117" s="2">
        <v>3</v>
      </c>
      <c r="BE1117" s="2">
        <v>0</v>
      </c>
      <c r="BF1117" s="2">
        <v>0</v>
      </c>
      <c r="BG1117" s="2">
        <v>5</v>
      </c>
      <c r="BH1117" s="2">
        <v>2</v>
      </c>
      <c r="BI1117" s="2">
        <v>0</v>
      </c>
      <c r="BJ1117" s="2">
        <v>4</v>
      </c>
      <c r="BK1117" s="2">
        <v>0</v>
      </c>
      <c r="BL1117" s="2">
        <v>0</v>
      </c>
      <c r="BM1117" s="2">
        <v>1</v>
      </c>
      <c r="BN1117" s="2">
        <v>3</v>
      </c>
      <c r="BO1117" s="2">
        <v>0</v>
      </c>
      <c r="BP1117" s="2">
        <v>0</v>
      </c>
      <c r="BQ1117" s="2">
        <v>1</v>
      </c>
      <c r="BR1117" s="2">
        <v>2</v>
      </c>
      <c r="BS1117" s="2">
        <v>0</v>
      </c>
      <c r="BT1117" s="2">
        <v>0</v>
      </c>
      <c r="BU1117" s="2">
        <v>0</v>
      </c>
      <c r="BV1117" s="2">
        <f t="shared" si="73"/>
        <v>21</v>
      </c>
      <c r="BW1117" s="16">
        <f t="shared" si="71"/>
        <v>1.1052631578947369</v>
      </c>
      <c r="BX1117" s="16">
        <f>COUNTIF($BC$6:BU1117, "=0") / COUNTIF($BC$6:BU1117, "&gt;-1")</f>
        <v>0.30050170390003789</v>
      </c>
      <c r="BY1117" s="18">
        <f>SUM($BC$6:BU1117) / $BY$4</f>
        <v>0.95300480248809827</v>
      </c>
      <c r="BZ1117" s="14">
        <f t="shared" si="72"/>
        <v>11</v>
      </c>
      <c r="CA1117" t="s">
        <v>5832</v>
      </c>
      <c r="CZ1117" t="s">
        <v>9847</v>
      </c>
      <c r="DA1117" t="s">
        <v>5904</v>
      </c>
      <c r="DB1117">
        <v>509.2</v>
      </c>
      <c r="DC1117" t="s">
        <v>25695</v>
      </c>
      <c r="DD1117" t="s">
        <v>25696</v>
      </c>
      <c r="DE1117" t="s">
        <v>25697</v>
      </c>
      <c r="DF1117" t="s">
        <v>25698</v>
      </c>
      <c r="DG1117" t="s">
        <v>25699</v>
      </c>
      <c r="DH1117" t="str">
        <f>"ECHS1"</f>
        <v>ECHS1</v>
      </c>
      <c r="DI1117" t="s">
        <v>13772</v>
      </c>
      <c r="DJ1117" t="s">
        <v>13777</v>
      </c>
      <c r="DK1117">
        <v>9606</v>
      </c>
      <c r="DL1117" s="34" t="str">
        <f>HYPERLINK("http://www.uniprot.org/uniprot/P30084", "P30084")</f>
        <v>P30084</v>
      </c>
      <c r="DM1117" t="s">
        <v>25700</v>
      </c>
      <c r="DN1117" t="s">
        <v>14430</v>
      </c>
      <c r="DO1117" t="s">
        <v>14491</v>
      </c>
      <c r="DP1117" t="s">
        <v>13793</v>
      </c>
      <c r="DQ1117" t="s">
        <v>13772</v>
      </c>
      <c r="DR1117" t="s">
        <v>22610</v>
      </c>
      <c r="DS1117" t="s">
        <v>14391</v>
      </c>
      <c r="DT1117" t="s">
        <v>13772</v>
      </c>
      <c r="DU1117" t="s">
        <v>15788</v>
      </c>
      <c r="DV1117" t="s">
        <v>13886</v>
      </c>
      <c r="DW1117" t="s">
        <v>13812</v>
      </c>
      <c r="DX1117" t="s">
        <v>25701</v>
      </c>
      <c r="DY1117" t="s">
        <v>15582</v>
      </c>
      <c r="DZ1117" t="s">
        <v>25702</v>
      </c>
      <c r="EA1117" t="s">
        <v>17197</v>
      </c>
      <c r="EB1117" t="s">
        <v>25703</v>
      </c>
    </row>
    <row r="1118" spans="1:132" hidden="1">
      <c r="A1118">
        <v>1481</v>
      </c>
      <c r="B1118">
        <v>1</v>
      </c>
      <c r="C1118" t="s">
        <v>3524</v>
      </c>
      <c r="D1118" t="s">
        <v>73</v>
      </c>
      <c r="E1118" t="s">
        <v>73</v>
      </c>
      <c r="F1118" t="s">
        <v>73</v>
      </c>
      <c r="G1118" t="s">
        <v>73</v>
      </c>
      <c r="H1118">
        <v>7.2</v>
      </c>
      <c r="I1118">
        <v>710</v>
      </c>
      <c r="J1118">
        <v>78989</v>
      </c>
      <c r="K1118" t="s">
        <v>3525</v>
      </c>
      <c r="L1118">
        <f t="shared" si="70"/>
        <v>21</v>
      </c>
      <c r="N1118">
        <v>21</v>
      </c>
      <c r="O1118">
        <v>21</v>
      </c>
      <c r="P1118">
        <v>1</v>
      </c>
      <c r="Q1118">
        <v>2</v>
      </c>
      <c r="R1118">
        <v>2</v>
      </c>
      <c r="S1118">
        <v>3</v>
      </c>
      <c r="T1118">
        <v>3</v>
      </c>
      <c r="U1118">
        <v>4</v>
      </c>
      <c r="V1118">
        <v>0</v>
      </c>
      <c r="W1118">
        <v>2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2</v>
      </c>
      <c r="AK1118">
        <v>2</v>
      </c>
      <c r="AL1118">
        <v>3</v>
      </c>
      <c r="AM1118">
        <v>3</v>
      </c>
      <c r="AN1118">
        <v>4</v>
      </c>
      <c r="AO1118">
        <v>0</v>
      </c>
      <c r="AP1118">
        <v>2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 s="2">
        <v>2</v>
      </c>
      <c r="BD1118" s="2">
        <v>2</v>
      </c>
      <c r="BE1118" s="2">
        <v>3</v>
      </c>
      <c r="BF1118" s="2">
        <v>3</v>
      </c>
      <c r="BG1118" s="2">
        <v>4</v>
      </c>
      <c r="BH1118" s="2">
        <v>0</v>
      </c>
      <c r="BI1118" s="2">
        <v>2</v>
      </c>
      <c r="BJ1118" s="2">
        <v>1</v>
      </c>
      <c r="BK1118" s="2">
        <v>1</v>
      </c>
      <c r="BL1118" s="2">
        <v>0</v>
      </c>
      <c r="BM1118" s="2">
        <v>1</v>
      </c>
      <c r="BN1118" s="2">
        <v>1</v>
      </c>
      <c r="BO1118" s="2">
        <v>0</v>
      </c>
      <c r="BP1118" s="2">
        <v>0</v>
      </c>
      <c r="BQ1118" s="2">
        <v>0</v>
      </c>
      <c r="BR1118" s="2">
        <v>1</v>
      </c>
      <c r="BS1118" s="2">
        <v>0</v>
      </c>
      <c r="BT1118" s="2">
        <v>0</v>
      </c>
      <c r="BU1118" s="2">
        <v>0</v>
      </c>
      <c r="BV1118" s="2">
        <f t="shared" si="73"/>
        <v>21</v>
      </c>
      <c r="BW1118" s="16">
        <f t="shared" si="71"/>
        <v>1.1052631578947369</v>
      </c>
      <c r="BX1118" s="16">
        <f>COUNTIF($BC$6:BU1118, "=0") / COUNTIF($BC$6:BU1118, "&gt;-1")</f>
        <v>0.30061001560505035</v>
      </c>
      <c r="BY1118" s="18">
        <f>SUM($BC$6:BU1118) / $BY$4</f>
        <v>0.95309475886234096</v>
      </c>
      <c r="BZ1118" s="14">
        <f t="shared" si="72"/>
        <v>8</v>
      </c>
      <c r="CA1118" t="s">
        <v>5832</v>
      </c>
      <c r="CZ1118" t="s">
        <v>10668</v>
      </c>
      <c r="DA1118" t="s">
        <v>5904</v>
      </c>
      <c r="DB1118">
        <v>1179.5</v>
      </c>
      <c r="DC1118" t="s">
        <v>28027</v>
      </c>
      <c r="DD1118" t="s">
        <v>28028</v>
      </c>
      <c r="DE1118" t="s">
        <v>28029</v>
      </c>
      <c r="DF1118" t="s">
        <v>28030</v>
      </c>
      <c r="DG1118" t="s">
        <v>28031</v>
      </c>
      <c r="DH1118" t="str">
        <f>"SLC44A4"</f>
        <v>SLC44A4</v>
      </c>
      <c r="DI1118" t="s">
        <v>13772</v>
      </c>
      <c r="DJ1118" t="s">
        <v>13777</v>
      </c>
      <c r="DK1118">
        <v>9606</v>
      </c>
      <c r="DL1118" s="34" t="str">
        <f>HYPERLINK("http://www.uniprot.org/uniprot/Q53GD3", "Q53GD3")</f>
        <v>Q53GD3</v>
      </c>
      <c r="DM1118" t="s">
        <v>28032</v>
      </c>
      <c r="DN1118" t="s">
        <v>13772</v>
      </c>
      <c r="DO1118" t="s">
        <v>13792</v>
      </c>
      <c r="DP1118" t="s">
        <v>13780</v>
      </c>
      <c r="DQ1118" t="s">
        <v>13772</v>
      </c>
      <c r="DR1118" t="s">
        <v>14255</v>
      </c>
      <c r="DS1118" t="s">
        <v>13925</v>
      </c>
      <c r="DT1118" t="s">
        <v>13772</v>
      </c>
      <c r="DU1118" t="s">
        <v>13772</v>
      </c>
      <c r="DV1118" t="s">
        <v>13858</v>
      </c>
      <c r="DW1118" t="s">
        <v>13772</v>
      </c>
      <c r="DX1118" t="s">
        <v>28033</v>
      </c>
      <c r="DY1118" t="s">
        <v>19488</v>
      </c>
      <c r="DZ1118" t="s">
        <v>28034</v>
      </c>
      <c r="EA1118" t="s">
        <v>13772</v>
      </c>
      <c r="EB1118" t="s">
        <v>28035</v>
      </c>
    </row>
    <row r="1119" spans="1:132" hidden="1">
      <c r="A1119">
        <v>1509</v>
      </c>
      <c r="B1119">
        <v>1</v>
      </c>
      <c r="C1119" t="s">
        <v>3591</v>
      </c>
      <c r="D1119" t="s">
        <v>3592</v>
      </c>
      <c r="E1119" t="s">
        <v>73</v>
      </c>
      <c r="F1119" t="s">
        <v>73</v>
      </c>
      <c r="G1119" t="s">
        <v>73</v>
      </c>
      <c r="H1119">
        <v>22.3</v>
      </c>
      <c r="I1119">
        <v>283</v>
      </c>
      <c r="J1119">
        <v>33172</v>
      </c>
      <c r="K1119" t="s">
        <v>3593</v>
      </c>
      <c r="L1119">
        <f t="shared" si="70"/>
        <v>21</v>
      </c>
      <c r="N1119">
        <v>21</v>
      </c>
      <c r="O1119">
        <v>21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4</v>
      </c>
      <c r="Z1119">
        <v>0</v>
      </c>
      <c r="AA1119">
        <v>6</v>
      </c>
      <c r="AB1119">
        <v>7</v>
      </c>
      <c r="AC1119">
        <v>1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4</v>
      </c>
      <c r="AS1119">
        <v>0</v>
      </c>
      <c r="AT1119">
        <v>6</v>
      </c>
      <c r="AU1119">
        <v>7</v>
      </c>
      <c r="AV1119">
        <v>1</v>
      </c>
      <c r="AW1119">
        <v>0</v>
      </c>
      <c r="AX1119">
        <v>2</v>
      </c>
      <c r="AY1119">
        <v>0</v>
      </c>
      <c r="AZ1119">
        <v>0</v>
      </c>
      <c r="BA1119">
        <v>0</v>
      </c>
      <c r="BB1119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0</v>
      </c>
      <c r="BI1119" s="2">
        <v>0</v>
      </c>
      <c r="BJ1119" s="2">
        <v>0</v>
      </c>
      <c r="BK1119" s="2">
        <v>4</v>
      </c>
      <c r="BL1119" s="2">
        <v>0</v>
      </c>
      <c r="BM1119" s="2">
        <v>6</v>
      </c>
      <c r="BN1119" s="2">
        <v>7</v>
      </c>
      <c r="BO1119" s="2">
        <v>1</v>
      </c>
      <c r="BP1119" s="2">
        <v>0</v>
      </c>
      <c r="BQ1119" s="2">
        <v>2</v>
      </c>
      <c r="BR1119" s="2">
        <v>0</v>
      </c>
      <c r="BS1119" s="2">
        <v>0</v>
      </c>
      <c r="BT1119" s="2">
        <v>0</v>
      </c>
      <c r="BU1119" s="2">
        <v>0</v>
      </c>
      <c r="BV1119" s="2">
        <f t="shared" si="73"/>
        <v>21</v>
      </c>
      <c r="BW1119" s="16">
        <f t="shared" si="71"/>
        <v>1.1052631578947369</v>
      </c>
      <c r="BX1119" s="16">
        <f>COUNTIF($BC$6:BU1119, "=0") / COUNTIF($BC$6:BU1119, "&gt;-1")</f>
        <v>0.30095436076726828</v>
      </c>
      <c r="BY1119" s="18">
        <f>SUM($BC$6:BU1119) / $BY$4</f>
        <v>0.95318471523658366</v>
      </c>
      <c r="BZ1119" s="14">
        <f t="shared" si="72"/>
        <v>13</v>
      </c>
      <c r="CA1119" t="s">
        <v>5832</v>
      </c>
      <c r="CZ1119" t="s">
        <v>10762</v>
      </c>
      <c r="DA1119" t="s">
        <v>5904</v>
      </c>
      <c r="DB1119">
        <v>486.9</v>
      </c>
      <c r="DC1119" t="s">
        <v>28277</v>
      </c>
      <c r="DD1119" t="s">
        <v>28278</v>
      </c>
      <c r="DE1119" t="s">
        <v>28279</v>
      </c>
      <c r="DF1119" t="s">
        <v>28280</v>
      </c>
      <c r="DG1119" t="s">
        <v>28281</v>
      </c>
      <c r="DH1119" t="str">
        <f>"RPL7"</f>
        <v>RPL7</v>
      </c>
      <c r="DI1119" t="s">
        <v>13772</v>
      </c>
      <c r="DJ1119" t="s">
        <v>13777</v>
      </c>
      <c r="DK1119">
        <v>9606</v>
      </c>
      <c r="DL1119" s="34" t="str">
        <f>HYPERLINK("http://www.uniprot.org/uniprot/P18124", "P18124")</f>
        <v>P18124</v>
      </c>
      <c r="DM1119" t="s">
        <v>28282</v>
      </c>
      <c r="DN1119" t="s">
        <v>13772</v>
      </c>
      <c r="DO1119" t="s">
        <v>13772</v>
      </c>
      <c r="DP1119" t="s">
        <v>13772</v>
      </c>
      <c r="DQ1119" t="s">
        <v>13772</v>
      </c>
      <c r="DR1119" t="s">
        <v>13772</v>
      </c>
      <c r="DS1119" t="s">
        <v>14096</v>
      </c>
      <c r="DT1119" t="s">
        <v>13772</v>
      </c>
      <c r="DU1119" t="s">
        <v>28283</v>
      </c>
      <c r="DV1119" t="s">
        <v>13886</v>
      </c>
      <c r="DW1119" t="s">
        <v>13812</v>
      </c>
      <c r="DX1119" t="s">
        <v>28284</v>
      </c>
      <c r="DY1119" t="s">
        <v>28285</v>
      </c>
      <c r="DZ1119" t="s">
        <v>28286</v>
      </c>
      <c r="EA1119" t="s">
        <v>13772</v>
      </c>
      <c r="EB1119" t="s">
        <v>13942</v>
      </c>
    </row>
    <row r="1120" spans="1:132" hidden="1">
      <c r="A1120">
        <v>1557</v>
      </c>
      <c r="B1120">
        <v>1</v>
      </c>
      <c r="C1120" t="s">
        <v>3692</v>
      </c>
      <c r="D1120" t="s">
        <v>73</v>
      </c>
      <c r="E1120" t="s">
        <v>73</v>
      </c>
      <c r="F1120" t="s">
        <v>73</v>
      </c>
      <c r="G1120" t="s">
        <v>73</v>
      </c>
      <c r="H1120">
        <v>49.6</v>
      </c>
      <c r="I1120">
        <v>121</v>
      </c>
      <c r="J1120">
        <v>14450</v>
      </c>
      <c r="K1120" t="s">
        <v>3693</v>
      </c>
      <c r="L1120">
        <f t="shared" si="70"/>
        <v>21</v>
      </c>
      <c r="N1120">
        <v>21</v>
      </c>
      <c r="O1120">
        <v>21</v>
      </c>
      <c r="P1120">
        <v>1</v>
      </c>
      <c r="Q1120">
        <v>2</v>
      </c>
      <c r="R1120">
        <v>3</v>
      </c>
      <c r="S1120">
        <v>1</v>
      </c>
      <c r="T1120">
        <v>2</v>
      </c>
      <c r="U1120">
        <v>4</v>
      </c>
      <c r="V1120">
        <v>3</v>
      </c>
      <c r="W1120">
        <v>1</v>
      </c>
      <c r="X1120">
        <v>2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2</v>
      </c>
      <c r="AK1120">
        <v>3</v>
      </c>
      <c r="AL1120">
        <v>1</v>
      </c>
      <c r="AM1120">
        <v>2</v>
      </c>
      <c r="AN1120">
        <v>4</v>
      </c>
      <c r="AO1120">
        <v>3</v>
      </c>
      <c r="AP1120">
        <v>1</v>
      </c>
      <c r="AQ1120">
        <v>2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 s="2">
        <v>2</v>
      </c>
      <c r="BD1120" s="2">
        <v>3</v>
      </c>
      <c r="BE1120" s="2">
        <v>1</v>
      </c>
      <c r="BF1120" s="2">
        <v>2</v>
      </c>
      <c r="BG1120" s="2">
        <v>4</v>
      </c>
      <c r="BH1120" s="2">
        <v>3</v>
      </c>
      <c r="BI1120" s="2">
        <v>1</v>
      </c>
      <c r="BJ1120" s="2">
        <v>2</v>
      </c>
      <c r="BK1120" s="2">
        <v>0</v>
      </c>
      <c r="BL1120" s="2">
        <v>0</v>
      </c>
      <c r="BM1120" s="2">
        <v>0</v>
      </c>
      <c r="BN1120" s="2">
        <v>1</v>
      </c>
      <c r="BO1120" s="2">
        <v>1</v>
      </c>
      <c r="BP1120" s="2">
        <v>0</v>
      </c>
      <c r="BQ1120" s="2">
        <v>0</v>
      </c>
      <c r="BR1120" s="2">
        <v>1</v>
      </c>
      <c r="BS1120" s="2">
        <v>0</v>
      </c>
      <c r="BT1120" s="2">
        <v>0</v>
      </c>
      <c r="BU1120" s="2">
        <v>0</v>
      </c>
      <c r="BV1120" s="2">
        <f t="shared" si="73"/>
        <v>21</v>
      </c>
      <c r="BW1120" s="16">
        <f t="shared" si="71"/>
        <v>1.1052631578947369</v>
      </c>
      <c r="BX1120" s="16">
        <f>COUNTIF($BC$6:BU1120, "=0") / COUNTIF($BC$6:BU1120, "&gt;-1")</f>
        <v>0.30106207222091103</v>
      </c>
      <c r="BY1120" s="18">
        <f>SUM($BC$6:BU1120) / $BY$4</f>
        <v>0.95327467161082635</v>
      </c>
      <c r="BZ1120" s="14">
        <f t="shared" si="72"/>
        <v>8</v>
      </c>
      <c r="CA1120" t="s">
        <v>5832</v>
      </c>
      <c r="CZ1120" t="s">
        <v>10928</v>
      </c>
      <c r="DA1120" t="s">
        <v>5904</v>
      </c>
      <c r="DB1120">
        <v>249.6</v>
      </c>
      <c r="DC1120" t="s">
        <v>28736</v>
      </c>
      <c r="DD1120" t="s">
        <v>28737</v>
      </c>
      <c r="DE1120" t="s">
        <v>28738</v>
      </c>
      <c r="DF1120" t="s">
        <v>28739</v>
      </c>
      <c r="DG1120" t="s">
        <v>28740</v>
      </c>
      <c r="DH1120" t="str">
        <f>"PDCD6"</f>
        <v>PDCD6</v>
      </c>
      <c r="DI1120" t="s">
        <v>28741</v>
      </c>
      <c r="DJ1120" t="s">
        <v>13777</v>
      </c>
      <c r="DK1120">
        <v>9606</v>
      </c>
      <c r="DL1120" s="34" t="str">
        <f>HYPERLINK("http://www.uniprot.org/uniprot/O75340", "O75340")</f>
        <v>O75340</v>
      </c>
      <c r="DM1120" t="s">
        <v>28742</v>
      </c>
      <c r="DN1120" t="s">
        <v>21081</v>
      </c>
      <c r="DO1120" t="s">
        <v>28743</v>
      </c>
      <c r="DP1120" t="s">
        <v>13780</v>
      </c>
      <c r="DQ1120" t="s">
        <v>13772</v>
      </c>
      <c r="DR1120" t="s">
        <v>13772</v>
      </c>
      <c r="DS1120" t="s">
        <v>14096</v>
      </c>
      <c r="DT1120" t="s">
        <v>15709</v>
      </c>
      <c r="DU1120" t="s">
        <v>13772</v>
      </c>
      <c r="DV1120" t="s">
        <v>14020</v>
      </c>
      <c r="DW1120" t="s">
        <v>13812</v>
      </c>
      <c r="DX1120" t="s">
        <v>28744</v>
      </c>
      <c r="DY1120" t="s">
        <v>28745</v>
      </c>
      <c r="DZ1120" t="s">
        <v>28746</v>
      </c>
      <c r="EA1120" t="s">
        <v>13772</v>
      </c>
      <c r="EB1120" t="s">
        <v>13772</v>
      </c>
    </row>
    <row r="1121" spans="1:132" hidden="1">
      <c r="A1121">
        <v>1618</v>
      </c>
      <c r="B1121">
        <v>1</v>
      </c>
      <c r="C1121" t="s">
        <v>3834</v>
      </c>
      <c r="D1121" t="s">
        <v>3835</v>
      </c>
      <c r="E1121" t="s">
        <v>73</v>
      </c>
      <c r="F1121" t="s">
        <v>73</v>
      </c>
      <c r="G1121" t="s">
        <v>73</v>
      </c>
      <c r="H1121">
        <v>48.2</v>
      </c>
      <c r="I1121">
        <v>307</v>
      </c>
      <c r="J1121">
        <v>34081</v>
      </c>
      <c r="K1121" t="s">
        <v>3836</v>
      </c>
      <c r="L1121">
        <f t="shared" si="70"/>
        <v>21</v>
      </c>
      <c r="N1121">
        <v>21</v>
      </c>
      <c r="O1121">
        <v>21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4</v>
      </c>
      <c r="V1121">
        <v>1</v>
      </c>
      <c r="W1121">
        <v>0</v>
      </c>
      <c r="X1121">
        <v>10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3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4</v>
      </c>
      <c r="AO1121">
        <v>1</v>
      </c>
      <c r="AP1121">
        <v>0</v>
      </c>
      <c r="AQ1121">
        <v>10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3</v>
      </c>
      <c r="AY1121">
        <v>1</v>
      </c>
      <c r="AZ1121">
        <v>0</v>
      </c>
      <c r="BA1121">
        <v>0</v>
      </c>
      <c r="BB1121">
        <v>0</v>
      </c>
      <c r="BC1121" s="2">
        <v>0</v>
      </c>
      <c r="BD1121" s="2">
        <v>1</v>
      </c>
      <c r="BE1121" s="2">
        <v>0</v>
      </c>
      <c r="BF1121" s="2">
        <v>0</v>
      </c>
      <c r="BG1121" s="2">
        <v>4</v>
      </c>
      <c r="BH1121" s="2">
        <v>1</v>
      </c>
      <c r="BI1121" s="2">
        <v>0</v>
      </c>
      <c r="BJ1121" s="2">
        <v>10</v>
      </c>
      <c r="BK1121" s="2">
        <v>0</v>
      </c>
      <c r="BL1121" s="2">
        <v>0</v>
      </c>
      <c r="BM1121" s="2">
        <v>1</v>
      </c>
      <c r="BN1121" s="2">
        <v>0</v>
      </c>
      <c r="BO1121" s="2">
        <v>0</v>
      </c>
      <c r="BP1121" s="2">
        <v>0</v>
      </c>
      <c r="BQ1121" s="2">
        <v>3</v>
      </c>
      <c r="BR1121" s="2">
        <v>1</v>
      </c>
      <c r="BS1121" s="2">
        <v>0</v>
      </c>
      <c r="BT1121" s="2">
        <v>0</v>
      </c>
      <c r="BU1121" s="2">
        <v>0</v>
      </c>
      <c r="BV1121" s="2">
        <f t="shared" si="73"/>
        <v>21</v>
      </c>
      <c r="BW1121" s="16">
        <f t="shared" si="71"/>
        <v>1.1052631578947369</v>
      </c>
      <c r="BX1121" s="16">
        <f>COUNTIF($BC$6:BU1121, "=0") / COUNTIF($BC$6:BU1121, "&gt;-1")</f>
        <v>0.30135823429541597</v>
      </c>
      <c r="BY1121" s="18">
        <f>SUM($BC$6:BU1121) / $BY$4</f>
        <v>0.95336462798506905</v>
      </c>
      <c r="BZ1121" s="14">
        <f t="shared" si="72"/>
        <v>12</v>
      </c>
      <c r="CA1121" t="s">
        <v>5832</v>
      </c>
      <c r="CZ1121" t="s">
        <v>11140</v>
      </c>
      <c r="DA1121" t="s">
        <v>5904</v>
      </c>
      <c r="DB1121">
        <v>574.70000000000005</v>
      </c>
      <c r="DC1121" t="s">
        <v>29305</v>
      </c>
      <c r="DD1121" t="s">
        <v>29306</v>
      </c>
      <c r="DE1121" t="s">
        <v>29307</v>
      </c>
      <c r="DF1121" t="s">
        <v>29308</v>
      </c>
      <c r="DG1121" t="s">
        <v>29309</v>
      </c>
      <c r="DH1121" t="str">
        <f>"RGN"</f>
        <v>RGN</v>
      </c>
      <c r="DI1121" t="s">
        <v>29310</v>
      </c>
      <c r="DJ1121" t="s">
        <v>13777</v>
      </c>
      <c r="DK1121">
        <v>9606</v>
      </c>
      <c r="DL1121" s="34" t="str">
        <f>HYPERLINK("http://www.uniprot.org/uniprot/Q15493", "Q15493")</f>
        <v>Q15493</v>
      </c>
      <c r="DM1121" t="s">
        <v>29311</v>
      </c>
      <c r="DN1121" t="s">
        <v>13772</v>
      </c>
      <c r="DO1121" t="s">
        <v>13899</v>
      </c>
      <c r="DP1121" t="s">
        <v>13841</v>
      </c>
      <c r="DQ1121" t="s">
        <v>13772</v>
      </c>
      <c r="DR1121" t="s">
        <v>13772</v>
      </c>
      <c r="DS1121" t="s">
        <v>13772</v>
      </c>
      <c r="DT1121" t="s">
        <v>14628</v>
      </c>
      <c r="DU1121" t="s">
        <v>13857</v>
      </c>
      <c r="DV1121" t="s">
        <v>13772</v>
      </c>
      <c r="DW1121" t="s">
        <v>13812</v>
      </c>
      <c r="DX1121" t="s">
        <v>29312</v>
      </c>
      <c r="DY1121" t="s">
        <v>13914</v>
      </c>
      <c r="DZ1121" t="s">
        <v>29313</v>
      </c>
      <c r="EA1121" t="s">
        <v>13772</v>
      </c>
      <c r="EB1121" t="s">
        <v>13772</v>
      </c>
    </row>
    <row r="1122" spans="1:132" hidden="1">
      <c r="A1122">
        <v>1882</v>
      </c>
      <c r="B1122">
        <v>1</v>
      </c>
      <c r="C1122" t="s">
        <v>4443</v>
      </c>
      <c r="D1122" t="s">
        <v>73</v>
      </c>
      <c r="E1122" t="s">
        <v>73</v>
      </c>
      <c r="F1122" t="s">
        <v>73</v>
      </c>
      <c r="G1122" t="s">
        <v>73</v>
      </c>
      <c r="H1122">
        <v>61.6</v>
      </c>
      <c r="I1122">
        <v>86</v>
      </c>
      <c r="J1122">
        <v>10100</v>
      </c>
      <c r="K1122" t="s">
        <v>4444</v>
      </c>
      <c r="L1122">
        <f t="shared" si="70"/>
        <v>21</v>
      </c>
      <c r="N1122">
        <v>21</v>
      </c>
      <c r="O1122">
        <v>21</v>
      </c>
      <c r="P1122">
        <v>1</v>
      </c>
      <c r="Q1122">
        <v>2</v>
      </c>
      <c r="R1122">
        <v>0</v>
      </c>
      <c r="S1122">
        <v>0</v>
      </c>
      <c r="T1122">
        <v>0</v>
      </c>
      <c r="U1122">
        <v>3</v>
      </c>
      <c r="V1122">
        <v>0</v>
      </c>
      <c r="W1122">
        <v>0</v>
      </c>
      <c r="X1122">
        <v>4</v>
      </c>
      <c r="Y1122">
        <v>2</v>
      </c>
      <c r="Z1122">
        <v>0</v>
      </c>
      <c r="AA1122">
        <v>3</v>
      </c>
      <c r="AB1122">
        <v>2</v>
      </c>
      <c r="AC1122">
        <v>0</v>
      </c>
      <c r="AD1122">
        <v>0</v>
      </c>
      <c r="AE1122">
        <v>3</v>
      </c>
      <c r="AF1122">
        <v>2</v>
      </c>
      <c r="AG1122">
        <v>0</v>
      </c>
      <c r="AH1122">
        <v>0</v>
      </c>
      <c r="AI1122">
        <v>0</v>
      </c>
      <c r="AJ1122">
        <v>2</v>
      </c>
      <c r="AK1122">
        <v>0</v>
      </c>
      <c r="AL1122">
        <v>0</v>
      </c>
      <c r="AM1122">
        <v>0</v>
      </c>
      <c r="AN1122">
        <v>3</v>
      </c>
      <c r="AO1122">
        <v>0</v>
      </c>
      <c r="AP1122">
        <v>0</v>
      </c>
      <c r="AQ1122">
        <v>4</v>
      </c>
      <c r="AR1122">
        <v>2</v>
      </c>
      <c r="AS1122">
        <v>0</v>
      </c>
      <c r="AT1122">
        <v>3</v>
      </c>
      <c r="AU1122">
        <v>2</v>
      </c>
      <c r="AV1122">
        <v>0</v>
      </c>
      <c r="AW1122">
        <v>0</v>
      </c>
      <c r="AX1122">
        <v>3</v>
      </c>
      <c r="AY1122">
        <v>2</v>
      </c>
      <c r="AZ1122">
        <v>0</v>
      </c>
      <c r="BA1122">
        <v>0</v>
      </c>
      <c r="BB1122">
        <v>0</v>
      </c>
      <c r="BC1122" s="2">
        <v>2</v>
      </c>
      <c r="BD1122" s="2">
        <v>0</v>
      </c>
      <c r="BE1122" s="2">
        <v>0</v>
      </c>
      <c r="BF1122" s="2">
        <v>0</v>
      </c>
      <c r="BG1122" s="2">
        <v>3</v>
      </c>
      <c r="BH1122" s="2">
        <v>0</v>
      </c>
      <c r="BI1122" s="2">
        <v>0</v>
      </c>
      <c r="BJ1122" s="2">
        <v>4</v>
      </c>
      <c r="BK1122" s="2">
        <v>2</v>
      </c>
      <c r="BL1122" s="2">
        <v>0</v>
      </c>
      <c r="BM1122" s="2">
        <v>3</v>
      </c>
      <c r="BN1122" s="2">
        <v>2</v>
      </c>
      <c r="BO1122" s="2">
        <v>0</v>
      </c>
      <c r="BP1122" s="2">
        <v>0</v>
      </c>
      <c r="BQ1122" s="2">
        <v>3</v>
      </c>
      <c r="BR1122" s="2">
        <v>2</v>
      </c>
      <c r="BS1122" s="2">
        <v>0</v>
      </c>
      <c r="BT1122" s="2">
        <v>0</v>
      </c>
      <c r="BU1122" s="2">
        <v>0</v>
      </c>
      <c r="BV1122" s="2">
        <f t="shared" si="73"/>
        <v>21</v>
      </c>
      <c r="BW1122" s="16">
        <f t="shared" si="71"/>
        <v>1.1052631578947369</v>
      </c>
      <c r="BX1122" s="16">
        <f>COUNTIF($BC$6:BU1122, "=0") / COUNTIF($BC$6:BU1122, "&gt;-1")</f>
        <v>0.30160674739669224</v>
      </c>
      <c r="BY1122" s="18">
        <f>SUM($BC$6:BU1122) / $BY$4</f>
        <v>0.95345458435931174</v>
      </c>
      <c r="BZ1122" s="14">
        <f t="shared" si="72"/>
        <v>11</v>
      </c>
      <c r="CA1122" t="s">
        <v>5832</v>
      </c>
      <c r="CZ1122" t="s">
        <v>12028</v>
      </c>
      <c r="DA1122" t="s">
        <v>5904</v>
      </c>
      <c r="DB1122">
        <v>161</v>
      </c>
      <c r="DC1122" t="s">
        <v>31840</v>
      </c>
      <c r="DD1122" t="s">
        <v>13772</v>
      </c>
      <c r="DE1122" t="s">
        <v>31841</v>
      </c>
      <c r="DF1122" t="s">
        <v>31842</v>
      </c>
      <c r="DG1122" t="s">
        <v>31843</v>
      </c>
      <c r="DH1122" t="str">
        <f>"BOLA2"</f>
        <v>BOLA2</v>
      </c>
      <c r="DI1122" t="s">
        <v>31844</v>
      </c>
      <c r="DJ1122" t="s">
        <v>13777</v>
      </c>
      <c r="DK1122">
        <v>9606</v>
      </c>
      <c r="DL1122" s="34" t="str">
        <f>HYPERLINK("http://www.uniprot.org/uniprot/Q9H3K6", "Q9H3K6")</f>
        <v>Q9H3K6</v>
      </c>
      <c r="DM1122" t="s">
        <v>31845</v>
      </c>
      <c r="DN1122" t="s">
        <v>13772</v>
      </c>
      <c r="DO1122" t="s">
        <v>13912</v>
      </c>
      <c r="DP1122" t="s">
        <v>13841</v>
      </c>
      <c r="DQ1122" t="s">
        <v>13772</v>
      </c>
      <c r="DR1122" t="s">
        <v>13772</v>
      </c>
      <c r="DS1122" t="s">
        <v>13772</v>
      </c>
      <c r="DT1122" t="s">
        <v>13772</v>
      </c>
      <c r="DU1122" t="s">
        <v>13772</v>
      </c>
      <c r="DV1122" t="s">
        <v>14020</v>
      </c>
      <c r="DW1122" t="s">
        <v>13772</v>
      </c>
      <c r="DX1122" t="s">
        <v>31846</v>
      </c>
      <c r="DY1122" t="s">
        <v>13914</v>
      </c>
      <c r="DZ1122" t="s">
        <v>13772</v>
      </c>
      <c r="EA1122" t="s">
        <v>13772</v>
      </c>
      <c r="EB1122" t="s">
        <v>23130</v>
      </c>
    </row>
    <row r="1123" spans="1:132" hidden="1">
      <c r="A1123">
        <v>2038</v>
      </c>
      <c r="B1123">
        <v>1</v>
      </c>
      <c r="C1123" t="s">
        <v>4788</v>
      </c>
      <c r="D1123" t="s">
        <v>73</v>
      </c>
      <c r="E1123" t="s">
        <v>73</v>
      </c>
      <c r="F1123" t="s">
        <v>73</v>
      </c>
      <c r="G1123" t="s">
        <v>73</v>
      </c>
      <c r="H1123">
        <v>31.6</v>
      </c>
      <c r="I1123">
        <v>212</v>
      </c>
      <c r="J1123">
        <v>22368</v>
      </c>
      <c r="K1123" t="s">
        <v>4789</v>
      </c>
      <c r="L1123">
        <f t="shared" si="70"/>
        <v>21</v>
      </c>
      <c r="N1123">
        <v>21</v>
      </c>
      <c r="O1123">
        <v>21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4</v>
      </c>
      <c r="AB1123">
        <v>3</v>
      </c>
      <c r="AC1123">
        <v>1</v>
      </c>
      <c r="AD1123">
        <v>0</v>
      </c>
      <c r="AE1123">
        <v>4</v>
      </c>
      <c r="AF1123">
        <v>4</v>
      </c>
      <c r="AG1123">
        <v>0</v>
      </c>
      <c r="AH1123">
        <v>0</v>
      </c>
      <c r="AI1123">
        <v>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4</v>
      </c>
      <c r="AU1123">
        <v>3</v>
      </c>
      <c r="AV1123">
        <v>1</v>
      </c>
      <c r="AW1123">
        <v>0</v>
      </c>
      <c r="AX1123">
        <v>4</v>
      </c>
      <c r="AY1123">
        <v>4</v>
      </c>
      <c r="AZ1123">
        <v>0</v>
      </c>
      <c r="BA1123">
        <v>0</v>
      </c>
      <c r="BB1123">
        <v>4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1</v>
      </c>
      <c r="BL1123" s="2">
        <v>0</v>
      </c>
      <c r="BM1123" s="2">
        <v>4</v>
      </c>
      <c r="BN1123" s="2">
        <v>3</v>
      </c>
      <c r="BO1123" s="2">
        <v>1</v>
      </c>
      <c r="BP1123" s="2">
        <v>0</v>
      </c>
      <c r="BQ1123" s="2">
        <v>4</v>
      </c>
      <c r="BR1123" s="2">
        <v>4</v>
      </c>
      <c r="BS1123" s="2">
        <v>0</v>
      </c>
      <c r="BT1123" s="2">
        <v>0</v>
      </c>
      <c r="BU1123" s="2">
        <v>4</v>
      </c>
      <c r="BV1123" s="2">
        <f t="shared" si="73"/>
        <v>21</v>
      </c>
      <c r="BW1123" s="16">
        <f t="shared" si="71"/>
        <v>1.1052631578947369</v>
      </c>
      <c r="BX1123" s="16">
        <f>COUNTIF($BC$6:BU1123, "=0") / COUNTIF($BC$6:BU1123, "&gt;-1")</f>
        <v>0.30190189247716787</v>
      </c>
      <c r="BY1123" s="18">
        <f>SUM($BC$6:BU1123) / $BY$4</f>
        <v>0.95354454073355455</v>
      </c>
      <c r="BZ1123" s="14">
        <f t="shared" si="72"/>
        <v>12</v>
      </c>
      <c r="CA1123" t="s">
        <v>5832</v>
      </c>
      <c r="CZ1123" t="s">
        <v>12542</v>
      </c>
      <c r="DA1123" t="s">
        <v>5904</v>
      </c>
      <c r="DB1123">
        <v>219.6</v>
      </c>
      <c r="DC1123" t="s">
        <v>33288</v>
      </c>
      <c r="DD1123" t="s">
        <v>13772</v>
      </c>
      <c r="DE1123" t="s">
        <v>33289</v>
      </c>
      <c r="DF1123" t="s">
        <v>33290</v>
      </c>
      <c r="DG1123" t="s">
        <v>33291</v>
      </c>
      <c r="DH1123" t="str">
        <f>"PINLYP"</f>
        <v>PINLYP</v>
      </c>
      <c r="DI1123" t="s">
        <v>13772</v>
      </c>
      <c r="DJ1123" t="s">
        <v>13777</v>
      </c>
      <c r="DK1123">
        <v>9606</v>
      </c>
      <c r="DL1123" s="34" t="str">
        <f>HYPERLINK("http://www.uniprot.org/uniprot/A6NC86", "A6NC86")</f>
        <v>A6NC86</v>
      </c>
      <c r="DM1123" t="s">
        <v>33292</v>
      </c>
      <c r="DN1123" t="s">
        <v>13772</v>
      </c>
      <c r="DO1123" t="s">
        <v>14321</v>
      </c>
      <c r="DP1123" t="s">
        <v>13841</v>
      </c>
      <c r="DQ1123" t="s">
        <v>13772</v>
      </c>
      <c r="DR1123" t="s">
        <v>13772</v>
      </c>
      <c r="DS1123" t="s">
        <v>13808</v>
      </c>
      <c r="DT1123" t="s">
        <v>13772</v>
      </c>
      <c r="DU1123" t="s">
        <v>13772</v>
      </c>
      <c r="DV1123" t="s">
        <v>14506</v>
      </c>
      <c r="DW1123" t="s">
        <v>13772</v>
      </c>
      <c r="DX1123" t="s">
        <v>13772</v>
      </c>
      <c r="DY1123" t="s">
        <v>15346</v>
      </c>
      <c r="DZ1123" t="s">
        <v>33293</v>
      </c>
      <c r="EA1123" t="s">
        <v>13772</v>
      </c>
      <c r="EB1123" t="s">
        <v>13772</v>
      </c>
    </row>
    <row r="1124" spans="1:132" hidden="1">
      <c r="A1124">
        <v>2172</v>
      </c>
      <c r="B1124">
        <v>1</v>
      </c>
      <c r="C1124" t="s">
        <v>5087</v>
      </c>
      <c r="D1124" t="s">
        <v>73</v>
      </c>
      <c r="E1124" t="s">
        <v>73</v>
      </c>
      <c r="F1124" t="s">
        <v>73</v>
      </c>
      <c r="G1124" t="s">
        <v>73</v>
      </c>
      <c r="H1124">
        <v>36.200000000000003</v>
      </c>
      <c r="I1124">
        <v>268</v>
      </c>
      <c r="J1124">
        <v>30037</v>
      </c>
      <c r="K1124" t="s">
        <v>5088</v>
      </c>
      <c r="L1124">
        <f t="shared" si="70"/>
        <v>21</v>
      </c>
      <c r="N1124">
        <v>21</v>
      </c>
      <c r="O1124">
        <v>21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6</v>
      </c>
      <c r="Z1124">
        <v>0</v>
      </c>
      <c r="AA1124">
        <v>7</v>
      </c>
      <c r="AB1124">
        <v>1</v>
      </c>
      <c r="AC1124">
        <v>2</v>
      </c>
      <c r="AD1124">
        <v>0</v>
      </c>
      <c r="AE1124">
        <v>1</v>
      </c>
      <c r="AF1124">
        <v>3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6</v>
      </c>
      <c r="AS1124">
        <v>0</v>
      </c>
      <c r="AT1124">
        <v>7</v>
      </c>
      <c r="AU1124">
        <v>1</v>
      </c>
      <c r="AV1124">
        <v>2</v>
      </c>
      <c r="AW1124">
        <v>0</v>
      </c>
      <c r="AX1124">
        <v>1</v>
      </c>
      <c r="AY1124">
        <v>3</v>
      </c>
      <c r="AZ1124">
        <v>0</v>
      </c>
      <c r="BA1124">
        <v>0</v>
      </c>
      <c r="BB1124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6</v>
      </c>
      <c r="BL1124" s="2">
        <v>0</v>
      </c>
      <c r="BM1124" s="2">
        <v>7</v>
      </c>
      <c r="BN1124" s="2">
        <v>1</v>
      </c>
      <c r="BO1124" s="2">
        <v>2</v>
      </c>
      <c r="BP1124" s="2">
        <v>0</v>
      </c>
      <c r="BQ1124" s="2">
        <v>1</v>
      </c>
      <c r="BR1124" s="2">
        <v>3</v>
      </c>
      <c r="BS1124" s="2">
        <v>0</v>
      </c>
      <c r="BT1124" s="2">
        <v>0</v>
      </c>
      <c r="BU1124" s="2">
        <v>1</v>
      </c>
      <c r="BV1124" s="2">
        <f t="shared" si="73"/>
        <v>21</v>
      </c>
      <c r="BW1124" s="16">
        <f t="shared" si="71"/>
        <v>1.1052631578947369</v>
      </c>
      <c r="BX1124" s="16">
        <f>COUNTIF($BC$6:BU1124, "=0") / COUNTIF($BC$6:BU1124, "&gt;-1")</f>
        <v>0.30219651004186071</v>
      </c>
      <c r="BY1124" s="18">
        <f>SUM($BC$6:BU1124) / $BY$4</f>
        <v>0.95363449710779724</v>
      </c>
      <c r="BZ1124" s="14">
        <f t="shared" si="72"/>
        <v>12</v>
      </c>
      <c r="CA1124" t="s">
        <v>5832</v>
      </c>
      <c r="CZ1124" t="s">
        <v>12989</v>
      </c>
      <c r="DA1124" t="s">
        <v>5904</v>
      </c>
      <c r="DB1124">
        <v>545.4</v>
      </c>
      <c r="DC1124" t="s">
        <v>34526</v>
      </c>
      <c r="DD1124" t="s">
        <v>34527</v>
      </c>
      <c r="DE1124" t="s">
        <v>34528</v>
      </c>
      <c r="DF1124" t="s">
        <v>34529</v>
      </c>
      <c r="DG1124" t="s">
        <v>34530</v>
      </c>
      <c r="DH1124" t="str">
        <f>"MAPRE1"</f>
        <v>MAPRE1</v>
      </c>
      <c r="DI1124" t="s">
        <v>13772</v>
      </c>
      <c r="DJ1124" t="s">
        <v>13777</v>
      </c>
      <c r="DK1124">
        <v>9606</v>
      </c>
      <c r="DL1124" s="34" t="str">
        <f>HYPERLINK("http://www.uniprot.org/uniprot/Q15691", "Q15691")</f>
        <v>Q15691</v>
      </c>
      <c r="DM1124" t="s">
        <v>34531</v>
      </c>
      <c r="DN1124" t="s">
        <v>14600</v>
      </c>
      <c r="DO1124" t="s">
        <v>34532</v>
      </c>
      <c r="DP1124" t="s">
        <v>13772</v>
      </c>
      <c r="DQ1124" t="s">
        <v>13772</v>
      </c>
      <c r="DR1124" t="s">
        <v>13772</v>
      </c>
      <c r="DS1124" t="s">
        <v>13772</v>
      </c>
      <c r="DT1124" t="s">
        <v>13772</v>
      </c>
      <c r="DU1124" t="s">
        <v>13772</v>
      </c>
      <c r="DV1124" t="s">
        <v>13886</v>
      </c>
      <c r="DW1124" t="s">
        <v>13812</v>
      </c>
      <c r="DX1124" t="s">
        <v>34533</v>
      </c>
      <c r="DY1124" t="s">
        <v>34534</v>
      </c>
      <c r="DZ1124" t="s">
        <v>34535</v>
      </c>
      <c r="EA1124" t="s">
        <v>13772</v>
      </c>
      <c r="EB1124" t="s">
        <v>34536</v>
      </c>
    </row>
    <row r="1125" spans="1:132" hidden="1">
      <c r="A1125">
        <v>2461</v>
      </c>
      <c r="B1125">
        <v>1</v>
      </c>
      <c r="C1125" t="s">
        <v>5791</v>
      </c>
      <c r="D1125" t="s">
        <v>73</v>
      </c>
      <c r="E1125" t="s">
        <v>5792</v>
      </c>
      <c r="F1125" t="s">
        <v>73</v>
      </c>
      <c r="G1125" t="s">
        <v>73</v>
      </c>
      <c r="H1125">
        <v>32</v>
      </c>
      <c r="I1125">
        <v>344</v>
      </c>
      <c r="J1125">
        <v>37574</v>
      </c>
      <c r="K1125" t="s">
        <v>5793</v>
      </c>
      <c r="L1125">
        <f t="shared" si="70"/>
        <v>21</v>
      </c>
      <c r="N1125">
        <v>21</v>
      </c>
      <c r="O1125">
        <v>21</v>
      </c>
      <c r="P1125">
        <v>1</v>
      </c>
      <c r="Q1125">
        <v>0</v>
      </c>
      <c r="R1125">
        <v>3</v>
      </c>
      <c r="S1125">
        <v>0</v>
      </c>
      <c r="T1125">
        <v>0</v>
      </c>
      <c r="U1125">
        <v>1</v>
      </c>
      <c r="V1125">
        <v>6</v>
      </c>
      <c r="W1125">
        <v>1</v>
      </c>
      <c r="X1125">
        <v>8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</v>
      </c>
      <c r="AL1125">
        <v>0</v>
      </c>
      <c r="AM1125">
        <v>0</v>
      </c>
      <c r="AN1125">
        <v>1</v>
      </c>
      <c r="AO1125">
        <v>6</v>
      </c>
      <c r="AP1125">
        <v>1</v>
      </c>
      <c r="AQ1125">
        <v>8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 s="2">
        <v>0</v>
      </c>
      <c r="BD1125" s="2">
        <v>3</v>
      </c>
      <c r="BE1125" s="2">
        <v>0</v>
      </c>
      <c r="BF1125" s="2">
        <v>0</v>
      </c>
      <c r="BG1125" s="2">
        <v>1</v>
      </c>
      <c r="BH1125" s="2">
        <v>6</v>
      </c>
      <c r="BI1125" s="2">
        <v>1</v>
      </c>
      <c r="BJ1125" s="2">
        <v>8</v>
      </c>
      <c r="BK1125" s="2">
        <v>1</v>
      </c>
      <c r="BL1125" s="2">
        <v>0</v>
      </c>
      <c r="BM1125" s="2">
        <v>1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f t="shared" si="73"/>
        <v>21</v>
      </c>
      <c r="BW1125" s="16">
        <f t="shared" si="71"/>
        <v>1.1052631578947369</v>
      </c>
      <c r="BX1125" s="16">
        <f>COUNTIF($BC$6:BU1125, "=0") / COUNTIF($BC$6:BU1125, "&gt;-1")</f>
        <v>0.30249060150375939</v>
      </c>
      <c r="BY1125" s="18">
        <f>SUM($BC$6:BU1125) / $BY$4</f>
        <v>0.95372445348203994</v>
      </c>
      <c r="BZ1125" s="14">
        <f t="shared" si="72"/>
        <v>12</v>
      </c>
      <c r="CA1125" t="s">
        <v>5832</v>
      </c>
      <c r="CZ1125" t="s">
        <v>12999</v>
      </c>
      <c r="DA1125" t="s">
        <v>5904</v>
      </c>
      <c r="DB1125">
        <v>531.20000000000005</v>
      </c>
      <c r="DC1125" t="s">
        <v>34556</v>
      </c>
      <c r="DD1125" t="s">
        <v>34557</v>
      </c>
      <c r="DE1125" t="s">
        <v>34558</v>
      </c>
      <c r="DF1125" t="s">
        <v>34559</v>
      </c>
      <c r="DG1125" t="s">
        <v>34560</v>
      </c>
      <c r="DH1125" t="str">
        <f>"KHK"</f>
        <v>KHK</v>
      </c>
      <c r="DI1125" t="s">
        <v>13772</v>
      </c>
      <c r="DJ1125" t="s">
        <v>13777</v>
      </c>
      <c r="DK1125">
        <v>9606</v>
      </c>
      <c r="DL1125" s="34" t="str">
        <f>HYPERLINK("http://www.uniprot.org/uniprot/P50053", "P50053")</f>
        <v>P50053</v>
      </c>
      <c r="DM1125" t="s">
        <v>34561</v>
      </c>
      <c r="DN1125" t="s">
        <v>18256</v>
      </c>
      <c r="DO1125" t="s">
        <v>13772</v>
      </c>
      <c r="DP1125" t="s">
        <v>13780</v>
      </c>
      <c r="DQ1125" t="s">
        <v>13772</v>
      </c>
      <c r="DR1125" t="s">
        <v>13807</v>
      </c>
      <c r="DS1125" t="s">
        <v>13772</v>
      </c>
      <c r="DT1125" t="s">
        <v>14005</v>
      </c>
      <c r="DU1125" t="s">
        <v>14006</v>
      </c>
      <c r="DV1125" t="s">
        <v>13772</v>
      </c>
      <c r="DW1125" t="s">
        <v>13812</v>
      </c>
      <c r="DX1125" t="s">
        <v>34562</v>
      </c>
      <c r="DY1125" t="s">
        <v>14194</v>
      </c>
      <c r="DZ1125" t="s">
        <v>34563</v>
      </c>
      <c r="EA1125" t="s">
        <v>34564</v>
      </c>
      <c r="EB1125" t="s">
        <v>34565</v>
      </c>
    </row>
    <row r="1126" spans="1:132" hidden="1">
      <c r="A1126">
        <v>2198</v>
      </c>
      <c r="B1126">
        <v>1</v>
      </c>
      <c r="C1126" t="s">
        <v>5139</v>
      </c>
      <c r="D1126" t="s">
        <v>73</v>
      </c>
      <c r="E1126" t="s">
        <v>73</v>
      </c>
      <c r="F1126" t="s">
        <v>73</v>
      </c>
      <c r="G1126" t="s">
        <v>73</v>
      </c>
      <c r="H1126">
        <v>12.5</v>
      </c>
      <c r="I1126">
        <v>829</v>
      </c>
      <c r="J1126">
        <v>91346</v>
      </c>
      <c r="K1126" t="s">
        <v>5140</v>
      </c>
      <c r="L1126">
        <f t="shared" si="70"/>
        <v>21</v>
      </c>
      <c r="N1126">
        <v>21</v>
      </c>
      <c r="O1126">
        <v>21</v>
      </c>
      <c r="P1126">
        <v>1</v>
      </c>
      <c r="Q1126">
        <v>2</v>
      </c>
      <c r="R1126">
        <v>4</v>
      </c>
      <c r="S1126">
        <v>4</v>
      </c>
      <c r="T1126">
        <v>4</v>
      </c>
      <c r="U1126">
        <v>2</v>
      </c>
      <c r="V1126">
        <v>4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</v>
      </c>
      <c r="AK1126">
        <v>4</v>
      </c>
      <c r="AL1126">
        <v>4</v>
      </c>
      <c r="AM1126">
        <v>4</v>
      </c>
      <c r="AN1126">
        <v>2</v>
      </c>
      <c r="AO1126">
        <v>4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 s="2">
        <v>2</v>
      </c>
      <c r="BD1126" s="2">
        <v>4</v>
      </c>
      <c r="BE1126" s="2">
        <v>4</v>
      </c>
      <c r="BF1126" s="2">
        <v>4</v>
      </c>
      <c r="BG1126" s="2">
        <v>2</v>
      </c>
      <c r="BH1126" s="2">
        <v>4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f t="shared" si="73"/>
        <v>21</v>
      </c>
      <c r="BW1126" s="16">
        <f t="shared" si="71"/>
        <v>1.1052631578947369</v>
      </c>
      <c r="BX1126" s="16">
        <f>COUNTIF($BC$6:BU1126, "=0") / COUNTIF($BC$6:BU1126, "&gt;-1")</f>
        <v>0.30278416827081084</v>
      </c>
      <c r="BY1126" s="18">
        <f>SUM($BC$6:BU1126) / $BY$4</f>
        <v>0.95381440985628263</v>
      </c>
      <c r="BZ1126" s="14">
        <f t="shared" si="72"/>
        <v>12</v>
      </c>
      <c r="CA1126" t="s">
        <v>5832</v>
      </c>
      <c r="CZ1126" t="s">
        <v>13070</v>
      </c>
      <c r="DA1126" t="s">
        <v>5904</v>
      </c>
      <c r="DB1126">
        <v>1228.8</v>
      </c>
      <c r="DC1126" t="s">
        <v>34768</v>
      </c>
      <c r="DD1126" t="s">
        <v>34769</v>
      </c>
      <c r="DE1126" t="s">
        <v>34770</v>
      </c>
      <c r="DF1126" t="s">
        <v>34771</v>
      </c>
      <c r="DG1126" t="s">
        <v>34772</v>
      </c>
      <c r="DH1126" t="str">
        <f>"PROM2"</f>
        <v>PROM2</v>
      </c>
      <c r="DI1126" t="s">
        <v>34773</v>
      </c>
      <c r="DJ1126" t="s">
        <v>13777</v>
      </c>
      <c r="DK1126">
        <v>9606</v>
      </c>
      <c r="DL1126" s="34" t="str">
        <f>HYPERLINK("http://www.uniprot.org/uniprot/Q8N271", "Q8N271")</f>
        <v>Q8N271</v>
      </c>
      <c r="DM1126" t="s">
        <v>34774</v>
      </c>
      <c r="DN1126" t="s">
        <v>13772</v>
      </c>
      <c r="DO1126" t="s">
        <v>34775</v>
      </c>
      <c r="DP1126" t="s">
        <v>13780</v>
      </c>
      <c r="DQ1126" t="s">
        <v>13772</v>
      </c>
      <c r="DR1126" t="s">
        <v>13772</v>
      </c>
      <c r="DS1126" t="s">
        <v>13855</v>
      </c>
      <c r="DT1126" t="s">
        <v>13772</v>
      </c>
      <c r="DU1126" t="s">
        <v>13772</v>
      </c>
      <c r="DV1126" t="s">
        <v>13978</v>
      </c>
      <c r="DW1126" t="s">
        <v>13772</v>
      </c>
      <c r="DX1126" t="s">
        <v>34776</v>
      </c>
      <c r="DY1126" t="s">
        <v>34777</v>
      </c>
      <c r="DZ1126" t="s">
        <v>34778</v>
      </c>
      <c r="EA1126" t="s">
        <v>13772</v>
      </c>
      <c r="EB1126" t="s">
        <v>13772</v>
      </c>
    </row>
    <row r="1127" spans="1:132" hidden="1">
      <c r="A1127">
        <v>2290</v>
      </c>
      <c r="B1127">
        <v>1</v>
      </c>
      <c r="C1127" t="s">
        <v>5351</v>
      </c>
      <c r="D1127" t="s">
        <v>73</v>
      </c>
      <c r="E1127" t="s">
        <v>73</v>
      </c>
      <c r="F1127" t="s">
        <v>73</v>
      </c>
      <c r="G1127" t="s">
        <v>73</v>
      </c>
      <c r="H1127">
        <v>31.2</v>
      </c>
      <c r="I1127">
        <v>474</v>
      </c>
      <c r="J1127">
        <v>51301</v>
      </c>
      <c r="K1127" t="s">
        <v>5352</v>
      </c>
      <c r="L1127">
        <f t="shared" si="70"/>
        <v>21</v>
      </c>
      <c r="N1127">
        <v>21</v>
      </c>
      <c r="O1127">
        <v>21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3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4</v>
      </c>
      <c r="AB1127">
        <v>7</v>
      </c>
      <c r="AC1127">
        <v>1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3</v>
      </c>
      <c r="AO1127">
        <v>0</v>
      </c>
      <c r="AP1127">
        <v>0</v>
      </c>
      <c r="AQ1127">
        <v>2</v>
      </c>
      <c r="AR1127">
        <v>0</v>
      </c>
      <c r="AS1127">
        <v>0</v>
      </c>
      <c r="AT1127">
        <v>4</v>
      </c>
      <c r="AU1127">
        <v>7</v>
      </c>
      <c r="AV1127">
        <v>1</v>
      </c>
      <c r="AW1127">
        <v>0</v>
      </c>
      <c r="AX1127">
        <v>2</v>
      </c>
      <c r="AY1127">
        <v>1</v>
      </c>
      <c r="AZ1127">
        <v>0</v>
      </c>
      <c r="BA1127">
        <v>0</v>
      </c>
      <c r="BB1127">
        <v>0</v>
      </c>
      <c r="BC1127" s="2">
        <v>0</v>
      </c>
      <c r="BD1127" s="2">
        <v>1</v>
      </c>
      <c r="BE1127" s="2">
        <v>0</v>
      </c>
      <c r="BF1127" s="2">
        <v>0</v>
      </c>
      <c r="BG1127" s="2">
        <v>3</v>
      </c>
      <c r="BH1127" s="2">
        <v>0</v>
      </c>
      <c r="BI1127" s="2">
        <v>0</v>
      </c>
      <c r="BJ1127" s="2">
        <v>2</v>
      </c>
      <c r="BK1127" s="2">
        <v>0</v>
      </c>
      <c r="BL1127" s="2">
        <v>0</v>
      </c>
      <c r="BM1127" s="2">
        <v>4</v>
      </c>
      <c r="BN1127" s="2">
        <v>7</v>
      </c>
      <c r="BO1127" s="2">
        <v>1</v>
      </c>
      <c r="BP1127" s="2">
        <v>0</v>
      </c>
      <c r="BQ1127" s="2">
        <v>2</v>
      </c>
      <c r="BR1127" s="2">
        <v>1</v>
      </c>
      <c r="BS1127" s="2">
        <v>0</v>
      </c>
      <c r="BT1127" s="2">
        <v>0</v>
      </c>
      <c r="BU1127" s="2">
        <v>0</v>
      </c>
      <c r="BV1127" s="2">
        <f t="shared" si="73"/>
        <v>21</v>
      </c>
      <c r="BW1127" s="16">
        <f t="shared" si="71"/>
        <v>1.1052631578947369</v>
      </c>
      <c r="BX1127" s="16">
        <f>COUNTIF($BC$6:BU1127, "=0") / COUNTIF($BC$6:BU1127, "&gt;-1")</f>
        <v>0.30303030303030304</v>
      </c>
      <c r="BY1127" s="18">
        <f>SUM($BC$6:BU1127) / $BY$4</f>
        <v>0.95390436623052532</v>
      </c>
      <c r="BZ1127" s="14">
        <f t="shared" si="72"/>
        <v>11</v>
      </c>
      <c r="CA1127" t="s">
        <v>5832</v>
      </c>
      <c r="CZ1127" t="s">
        <v>13378</v>
      </c>
      <c r="DA1127" t="s">
        <v>5904</v>
      </c>
      <c r="DB1127">
        <v>921.8</v>
      </c>
      <c r="DC1127" t="s">
        <v>35631</v>
      </c>
      <c r="DD1127" t="s">
        <v>35632</v>
      </c>
      <c r="DE1127" t="s">
        <v>35633</v>
      </c>
      <c r="DF1127" t="s">
        <v>35634</v>
      </c>
      <c r="DG1127" t="s">
        <v>35635</v>
      </c>
      <c r="DH1127" t="str">
        <f>"HADHB"</f>
        <v>HADHB</v>
      </c>
      <c r="DI1127" t="s">
        <v>13772</v>
      </c>
      <c r="DJ1127" t="s">
        <v>13777</v>
      </c>
      <c r="DK1127">
        <v>9606</v>
      </c>
      <c r="DL1127" s="34" t="str">
        <f>HYPERLINK("http://www.uniprot.org/uniprot/P55084", "P55084")</f>
        <v>P55084</v>
      </c>
      <c r="DM1127" t="s">
        <v>35636</v>
      </c>
      <c r="DN1127" t="s">
        <v>14430</v>
      </c>
      <c r="DO1127" t="s">
        <v>35637</v>
      </c>
      <c r="DP1127" t="s">
        <v>13780</v>
      </c>
      <c r="DQ1127" t="s">
        <v>13772</v>
      </c>
      <c r="DR1127" t="s">
        <v>13807</v>
      </c>
      <c r="DS1127" t="s">
        <v>14391</v>
      </c>
      <c r="DT1127" t="s">
        <v>13772</v>
      </c>
      <c r="DU1127" t="s">
        <v>15096</v>
      </c>
      <c r="DV1127" t="s">
        <v>14020</v>
      </c>
      <c r="DW1127" t="s">
        <v>13812</v>
      </c>
      <c r="DX1127" t="s">
        <v>35638</v>
      </c>
      <c r="DY1127" t="s">
        <v>35639</v>
      </c>
      <c r="DZ1127" t="s">
        <v>35640</v>
      </c>
      <c r="EA1127" t="s">
        <v>17197</v>
      </c>
      <c r="EB1127" t="s">
        <v>35630</v>
      </c>
    </row>
    <row r="1128" spans="1:132" hidden="1">
      <c r="A1128">
        <v>220</v>
      </c>
      <c r="B1128">
        <v>1</v>
      </c>
      <c r="C1128" t="s">
        <v>559</v>
      </c>
      <c r="D1128" t="s">
        <v>73</v>
      </c>
      <c r="E1128" t="s">
        <v>73</v>
      </c>
      <c r="F1128" t="s">
        <v>73</v>
      </c>
      <c r="G1128" t="s">
        <v>73</v>
      </c>
      <c r="H1128">
        <v>50.4</v>
      </c>
      <c r="I1128">
        <v>137</v>
      </c>
      <c r="J1128">
        <v>15565</v>
      </c>
      <c r="K1128" t="s">
        <v>560</v>
      </c>
      <c r="L1128">
        <f t="shared" si="70"/>
        <v>21</v>
      </c>
      <c r="N1128">
        <v>21</v>
      </c>
      <c r="O1128">
        <v>18</v>
      </c>
      <c r="P1128">
        <v>0.85699999999999998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10</v>
      </c>
      <c r="Y1128">
        <v>0</v>
      </c>
      <c r="Z1128">
        <v>0</v>
      </c>
      <c r="AA1128">
        <v>3</v>
      </c>
      <c r="AB1128">
        <v>4</v>
      </c>
      <c r="AC1128">
        <v>0</v>
      </c>
      <c r="AD1128">
        <v>0</v>
      </c>
      <c r="AE1128">
        <v>0</v>
      </c>
      <c r="AF1128">
        <v>3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9</v>
      </c>
      <c r="AR1128">
        <v>0</v>
      </c>
      <c r="AS1128">
        <v>0</v>
      </c>
      <c r="AT1128">
        <v>3</v>
      </c>
      <c r="AU1128">
        <v>3</v>
      </c>
      <c r="AV1128">
        <v>0</v>
      </c>
      <c r="AW1128">
        <v>0</v>
      </c>
      <c r="AX1128">
        <v>0</v>
      </c>
      <c r="AY1128">
        <v>3</v>
      </c>
      <c r="AZ1128">
        <v>0</v>
      </c>
      <c r="BA1128">
        <v>0</v>
      </c>
      <c r="BB1128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10</v>
      </c>
      <c r="BK1128" s="2">
        <v>0</v>
      </c>
      <c r="BL1128" s="2">
        <v>0</v>
      </c>
      <c r="BM1128" s="2">
        <v>3</v>
      </c>
      <c r="BN1128" s="2">
        <v>4</v>
      </c>
      <c r="BO1128" s="2">
        <v>0</v>
      </c>
      <c r="BP1128" s="2">
        <v>0</v>
      </c>
      <c r="BQ1128" s="2">
        <v>0</v>
      </c>
      <c r="BR1128" s="2">
        <v>3</v>
      </c>
      <c r="BS1128" s="2">
        <v>0</v>
      </c>
      <c r="BT1128" s="2">
        <v>0.5</v>
      </c>
      <c r="BU1128" s="2">
        <v>0</v>
      </c>
      <c r="BV1128" s="2">
        <f t="shared" si="73"/>
        <v>20.5</v>
      </c>
      <c r="BW1128" s="16">
        <f t="shared" si="71"/>
        <v>1.0789473684210527</v>
      </c>
      <c r="BX1128" s="16">
        <f>COUNTIF($BC$6:BU1128, "=0") / COUNTIF($BC$6:BU1128, "&gt;-1")</f>
        <v>0.30341660027182826</v>
      </c>
      <c r="BY1128" s="18">
        <f>SUM($BC$6:BU1128) / $BY$4</f>
        <v>0.95399218078633374</v>
      </c>
      <c r="BZ1128" s="14">
        <f t="shared" si="72"/>
        <v>14</v>
      </c>
      <c r="CA1128" t="s">
        <v>5832</v>
      </c>
      <c r="CZ1128" t="s">
        <v>6456</v>
      </c>
      <c r="DA1128" t="s">
        <v>5904</v>
      </c>
      <c r="DB1128">
        <v>287</v>
      </c>
      <c r="DC1128" t="s">
        <v>15680</v>
      </c>
      <c r="DD1128" t="s">
        <v>15681</v>
      </c>
      <c r="DE1128" t="s">
        <v>15682</v>
      </c>
      <c r="DF1128" t="s">
        <v>15683</v>
      </c>
      <c r="DG1128" t="s">
        <v>15684</v>
      </c>
      <c r="DH1128" t="str">
        <f>"CRABP1"</f>
        <v>CRABP1</v>
      </c>
      <c r="DI1128" t="s">
        <v>15685</v>
      </c>
      <c r="DJ1128" t="s">
        <v>13777</v>
      </c>
      <c r="DK1128">
        <v>9606</v>
      </c>
      <c r="DL1128" s="34" t="str">
        <f>HYPERLINK("http://www.uniprot.org/uniprot/P29762", "P29762")</f>
        <v>P29762</v>
      </c>
      <c r="DM1128" t="s">
        <v>15686</v>
      </c>
      <c r="DN1128" t="s">
        <v>14192</v>
      </c>
      <c r="DO1128" t="s">
        <v>13899</v>
      </c>
      <c r="DP1128" t="s">
        <v>13772</v>
      </c>
      <c r="DQ1128" t="s">
        <v>13772</v>
      </c>
      <c r="DR1128" t="s">
        <v>13772</v>
      </c>
      <c r="DS1128" t="s">
        <v>13772</v>
      </c>
      <c r="DT1128" t="s">
        <v>15687</v>
      </c>
      <c r="DU1128" t="s">
        <v>13772</v>
      </c>
      <c r="DV1128" t="s">
        <v>13772</v>
      </c>
      <c r="DW1128" t="s">
        <v>13772</v>
      </c>
      <c r="DX1128" t="s">
        <v>15688</v>
      </c>
      <c r="DY1128" t="s">
        <v>13902</v>
      </c>
      <c r="DZ1128" t="s">
        <v>15689</v>
      </c>
      <c r="EA1128" t="s">
        <v>13772</v>
      </c>
      <c r="EB1128" t="s">
        <v>15690</v>
      </c>
    </row>
    <row r="1129" spans="1:132" hidden="1">
      <c r="A1129">
        <v>1636</v>
      </c>
      <c r="B1129">
        <v>1</v>
      </c>
      <c r="C1129" t="s">
        <v>3879</v>
      </c>
      <c r="D1129" t="s">
        <v>73</v>
      </c>
      <c r="E1129" t="s">
        <v>73</v>
      </c>
      <c r="F1129" t="s">
        <v>835</v>
      </c>
      <c r="G1129" t="s">
        <v>73</v>
      </c>
      <c r="H1129">
        <v>29.9</v>
      </c>
      <c r="I1129">
        <v>354</v>
      </c>
      <c r="J1129">
        <v>40546</v>
      </c>
      <c r="K1129" t="s">
        <v>3880</v>
      </c>
      <c r="L1129">
        <f t="shared" si="70"/>
        <v>36</v>
      </c>
      <c r="N1129">
        <v>36</v>
      </c>
      <c r="O1129">
        <v>14</v>
      </c>
      <c r="P1129">
        <v>0.38900000000000001</v>
      </c>
      <c r="Q1129">
        <v>1</v>
      </c>
      <c r="R1129">
        <v>1</v>
      </c>
      <c r="S1129">
        <v>2</v>
      </c>
      <c r="T1129">
        <v>3</v>
      </c>
      <c r="U1129">
        <v>5</v>
      </c>
      <c r="V1129">
        <v>4</v>
      </c>
      <c r="W1129">
        <v>3</v>
      </c>
      <c r="X1129">
        <v>0</v>
      </c>
      <c r="Y1129">
        <v>0</v>
      </c>
      <c r="Z1129">
        <v>1</v>
      </c>
      <c r="AA1129">
        <v>3</v>
      </c>
      <c r="AB1129">
        <v>4</v>
      </c>
      <c r="AC1129">
        <v>5</v>
      </c>
      <c r="AD1129">
        <v>1</v>
      </c>
      <c r="AE1129">
        <v>0</v>
      </c>
      <c r="AF1129">
        <v>3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3</v>
      </c>
      <c r="AO1129">
        <v>2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2</v>
      </c>
      <c r="AZ1129">
        <v>0</v>
      </c>
      <c r="BA1129">
        <v>0</v>
      </c>
      <c r="BB1129">
        <v>0</v>
      </c>
      <c r="BC1129" s="2">
        <v>1</v>
      </c>
      <c r="BD1129" s="2">
        <v>1</v>
      </c>
      <c r="BE1129" s="2">
        <v>2</v>
      </c>
      <c r="BF1129" s="2">
        <v>2.5</v>
      </c>
      <c r="BG1129" s="2">
        <v>4</v>
      </c>
      <c r="BH1129" s="2">
        <v>2.8</v>
      </c>
      <c r="BI1129" s="2">
        <v>1.361</v>
      </c>
      <c r="BJ1129" s="2">
        <v>0</v>
      </c>
      <c r="BK1129" s="2">
        <v>0</v>
      </c>
      <c r="BL1129" s="2">
        <v>0.2</v>
      </c>
      <c r="BM1129" s="2">
        <v>1.5</v>
      </c>
      <c r="BN1129" s="2">
        <v>1.5249999999999999</v>
      </c>
      <c r="BO1129" s="2">
        <v>0</v>
      </c>
      <c r="BP1129" s="2">
        <v>0</v>
      </c>
      <c r="BQ1129" s="2">
        <v>0</v>
      </c>
      <c r="BR1129" s="2">
        <v>2.5</v>
      </c>
      <c r="BS1129" s="2">
        <v>0</v>
      </c>
      <c r="BT1129" s="2">
        <v>0</v>
      </c>
      <c r="BU1129" s="2">
        <v>0</v>
      </c>
      <c r="BV1129" s="2">
        <f t="shared" si="73"/>
        <v>20.385999999999999</v>
      </c>
      <c r="BW1129" s="16">
        <f t="shared" si="71"/>
        <v>1.0729473684210526</v>
      </c>
      <c r="BX1129" s="16">
        <f>COUNTIF($BC$6:BU1129, "=0") / COUNTIF($BC$6:BU1129, "&gt;-1")</f>
        <v>0.30352125866267093</v>
      </c>
      <c r="BY1129" s="18">
        <f>SUM($BC$6:BU1129) / $BY$4</f>
        <v>0.95407950700753907</v>
      </c>
      <c r="BZ1129" s="14">
        <f t="shared" si="72"/>
        <v>8</v>
      </c>
      <c r="CA1129" t="s">
        <v>5832</v>
      </c>
      <c r="CZ1129" t="s">
        <v>11200</v>
      </c>
      <c r="DA1129" t="s">
        <v>5904</v>
      </c>
      <c r="DB1129">
        <v>731.1</v>
      </c>
      <c r="DC1129" t="s">
        <v>29480</v>
      </c>
      <c r="DD1129" t="s">
        <v>29481</v>
      </c>
      <c r="DE1129" t="s">
        <v>29482</v>
      </c>
      <c r="DF1129" t="s">
        <v>29483</v>
      </c>
      <c r="DG1129" t="s">
        <v>29484</v>
      </c>
      <c r="DH1129" t="str">
        <f>"GNAI3"</f>
        <v>GNAI3</v>
      </c>
      <c r="DI1129" t="s">
        <v>13772</v>
      </c>
      <c r="DJ1129" t="s">
        <v>13777</v>
      </c>
      <c r="DK1129">
        <v>9606</v>
      </c>
      <c r="DL1129" s="34" t="str">
        <f>HYPERLINK("http://www.uniprot.org/uniprot/P08754", "P08754")</f>
        <v>P08754</v>
      </c>
      <c r="DM1129" t="s">
        <v>29485</v>
      </c>
      <c r="DN1129" t="s">
        <v>21625</v>
      </c>
      <c r="DO1129" t="s">
        <v>17663</v>
      </c>
      <c r="DP1129" t="s">
        <v>13772</v>
      </c>
      <c r="DQ1129" t="s">
        <v>13772</v>
      </c>
      <c r="DR1129" t="s">
        <v>13807</v>
      </c>
      <c r="DS1129" t="s">
        <v>13772</v>
      </c>
      <c r="DT1129" t="s">
        <v>16882</v>
      </c>
      <c r="DU1129" t="s">
        <v>16883</v>
      </c>
      <c r="DV1129" t="s">
        <v>16884</v>
      </c>
      <c r="DW1129" t="s">
        <v>13812</v>
      </c>
      <c r="DX1129" t="s">
        <v>29486</v>
      </c>
      <c r="DY1129" t="s">
        <v>29487</v>
      </c>
      <c r="DZ1129" t="s">
        <v>29488</v>
      </c>
      <c r="EA1129" t="s">
        <v>13772</v>
      </c>
      <c r="EB1129" t="s">
        <v>29489</v>
      </c>
    </row>
    <row r="1130" spans="1:132" hidden="1">
      <c r="A1130">
        <v>944</v>
      </c>
      <c r="B1130">
        <v>1</v>
      </c>
      <c r="C1130" t="s">
        <v>2298</v>
      </c>
      <c r="D1130" t="s">
        <v>73</v>
      </c>
      <c r="E1130" t="s">
        <v>73</v>
      </c>
      <c r="F1130" t="s">
        <v>2299</v>
      </c>
      <c r="G1130" t="s">
        <v>73</v>
      </c>
      <c r="H1130">
        <v>34.5</v>
      </c>
      <c r="I1130">
        <v>328</v>
      </c>
      <c r="J1130">
        <v>36168</v>
      </c>
      <c r="K1130" t="s">
        <v>2300</v>
      </c>
      <c r="L1130">
        <f t="shared" si="70"/>
        <v>22</v>
      </c>
      <c r="N1130">
        <v>22</v>
      </c>
      <c r="O1130">
        <v>18</v>
      </c>
      <c r="P1130">
        <v>0.81799999999999995</v>
      </c>
      <c r="Q1130">
        <v>0</v>
      </c>
      <c r="R1130">
        <v>1</v>
      </c>
      <c r="S1130">
        <v>2</v>
      </c>
      <c r="T1130">
        <v>2</v>
      </c>
      <c r="U1130">
        <v>2</v>
      </c>
      <c r="V1130">
        <v>0</v>
      </c>
      <c r="W1130">
        <v>0</v>
      </c>
      <c r="X1130">
        <v>2</v>
      </c>
      <c r="Y1130">
        <v>0</v>
      </c>
      <c r="Z1130">
        <v>0</v>
      </c>
      <c r="AA1130">
        <v>3</v>
      </c>
      <c r="AB1130">
        <v>2</v>
      </c>
      <c r="AC1130">
        <v>0</v>
      </c>
      <c r="AD1130">
        <v>0</v>
      </c>
      <c r="AE1130">
        <v>4</v>
      </c>
      <c r="AF1130">
        <v>3</v>
      </c>
      <c r="AG1130">
        <v>0</v>
      </c>
      <c r="AH1130">
        <v>0</v>
      </c>
      <c r="AI1130">
        <v>1</v>
      </c>
      <c r="AJ1130">
        <v>0</v>
      </c>
      <c r="AK1130">
        <v>1</v>
      </c>
      <c r="AL1130">
        <v>2</v>
      </c>
      <c r="AM1130">
        <v>2</v>
      </c>
      <c r="AN1130">
        <v>2</v>
      </c>
      <c r="AO1130">
        <v>0</v>
      </c>
      <c r="AP1130">
        <v>0</v>
      </c>
      <c r="AQ1130">
        <v>2</v>
      </c>
      <c r="AR1130">
        <v>0</v>
      </c>
      <c r="AS1130">
        <v>0</v>
      </c>
      <c r="AT1130">
        <v>3</v>
      </c>
      <c r="AU1130">
        <v>2</v>
      </c>
      <c r="AV1130">
        <v>0</v>
      </c>
      <c r="AW1130">
        <v>0</v>
      </c>
      <c r="AX1130">
        <v>2</v>
      </c>
      <c r="AY1130">
        <v>1</v>
      </c>
      <c r="AZ1130">
        <v>0</v>
      </c>
      <c r="BA1130">
        <v>0</v>
      </c>
      <c r="BB1130">
        <v>1</v>
      </c>
      <c r="BC1130" s="2">
        <v>0</v>
      </c>
      <c r="BD1130" s="2">
        <v>1</v>
      </c>
      <c r="BE1130" s="2">
        <v>2</v>
      </c>
      <c r="BF1130" s="2">
        <v>2</v>
      </c>
      <c r="BG1130" s="2">
        <v>2</v>
      </c>
      <c r="BH1130" s="2">
        <v>0</v>
      </c>
      <c r="BI1130" s="2">
        <v>0</v>
      </c>
      <c r="BJ1130" s="2">
        <v>2</v>
      </c>
      <c r="BK1130" s="2">
        <v>0</v>
      </c>
      <c r="BL1130" s="2">
        <v>0</v>
      </c>
      <c r="BM1130" s="2">
        <v>3</v>
      </c>
      <c r="BN1130" s="2">
        <v>2</v>
      </c>
      <c r="BO1130" s="2">
        <v>0</v>
      </c>
      <c r="BP1130" s="2">
        <v>0</v>
      </c>
      <c r="BQ1130" s="2">
        <v>3.1429999999999998</v>
      </c>
      <c r="BR1130" s="2">
        <v>2.1669999999999998</v>
      </c>
      <c r="BS1130" s="2">
        <v>0</v>
      </c>
      <c r="BT1130" s="2">
        <v>0</v>
      </c>
      <c r="BU1130" s="2">
        <v>1</v>
      </c>
      <c r="BV1130" s="2">
        <f t="shared" si="73"/>
        <v>20.310000000000002</v>
      </c>
      <c r="BW1130" s="16">
        <f t="shared" si="71"/>
        <v>1.0689473684210526</v>
      </c>
      <c r="BX1130" s="16">
        <f>COUNTIF($BC$6:BU1130, "=0") / COUNTIF($BC$6:BU1130, "&gt;-1")</f>
        <v>0.30367251461988304</v>
      </c>
      <c r="BY1130" s="18">
        <f>SUM($BC$6:BU1130) / $BY$4</f>
        <v>0.95416650767234235</v>
      </c>
      <c r="BZ1130" s="14">
        <f t="shared" si="72"/>
        <v>9</v>
      </c>
      <c r="CA1130" t="s">
        <v>5832</v>
      </c>
      <c r="CZ1130" t="s">
        <v>8934</v>
      </c>
      <c r="DA1130" t="s">
        <v>5904</v>
      </c>
      <c r="DB1130">
        <v>618.20000000000005</v>
      </c>
      <c r="DC1130" t="s">
        <v>23098</v>
      </c>
      <c r="DD1130" t="s">
        <v>23099</v>
      </c>
      <c r="DE1130" t="s">
        <v>23100</v>
      </c>
      <c r="DF1130" t="s">
        <v>23101</v>
      </c>
      <c r="DG1130" t="s">
        <v>23102</v>
      </c>
      <c r="DH1130" t="str">
        <f>"YBX1"</f>
        <v>YBX1</v>
      </c>
      <c r="DI1130" t="s">
        <v>23103</v>
      </c>
      <c r="DJ1130" t="s">
        <v>13777</v>
      </c>
      <c r="DK1130">
        <v>9606</v>
      </c>
      <c r="DL1130" s="34" t="str">
        <f>HYPERLINK("http://www.uniprot.org/uniprot/P67809", "P67809")</f>
        <v>P67809</v>
      </c>
      <c r="DM1130" t="s">
        <v>23104</v>
      </c>
      <c r="DN1130" t="s">
        <v>23105</v>
      </c>
      <c r="DO1130" t="s">
        <v>14276</v>
      </c>
      <c r="DP1130" t="s">
        <v>13772</v>
      </c>
      <c r="DQ1130" t="s">
        <v>13772</v>
      </c>
      <c r="DR1130" t="s">
        <v>13772</v>
      </c>
      <c r="DS1130" t="s">
        <v>13772</v>
      </c>
      <c r="DT1130" t="s">
        <v>13772</v>
      </c>
      <c r="DU1130" t="s">
        <v>23106</v>
      </c>
      <c r="DV1130" t="s">
        <v>13991</v>
      </c>
      <c r="DW1130" t="s">
        <v>13812</v>
      </c>
      <c r="DX1130" t="s">
        <v>23107</v>
      </c>
      <c r="DY1130" t="s">
        <v>23108</v>
      </c>
      <c r="DZ1130" t="s">
        <v>23109</v>
      </c>
      <c r="EA1130" t="s">
        <v>13772</v>
      </c>
      <c r="EB1130" t="s">
        <v>23110</v>
      </c>
    </row>
    <row r="1131" spans="1:132" hidden="1">
      <c r="A1131">
        <v>832</v>
      </c>
      <c r="B1131">
        <v>1</v>
      </c>
      <c r="C1131" t="s">
        <v>2037</v>
      </c>
      <c r="D1131" t="s">
        <v>2038</v>
      </c>
      <c r="E1131" t="s">
        <v>73</v>
      </c>
      <c r="F1131" t="s">
        <v>1733</v>
      </c>
      <c r="G1131" t="s">
        <v>73</v>
      </c>
      <c r="H1131">
        <v>5.0999999999999996</v>
      </c>
      <c r="I1131">
        <v>1749</v>
      </c>
      <c r="J1131">
        <v>172083</v>
      </c>
      <c r="K1131" t="s">
        <v>2039</v>
      </c>
      <c r="L1131">
        <f t="shared" si="70"/>
        <v>23</v>
      </c>
      <c r="N1131">
        <v>23</v>
      </c>
      <c r="O1131">
        <v>20</v>
      </c>
      <c r="P1131">
        <v>0.87</v>
      </c>
      <c r="Q1131">
        <v>2</v>
      </c>
      <c r="R1131">
        <v>3</v>
      </c>
      <c r="S1131">
        <v>4</v>
      </c>
      <c r="T1131">
        <v>3</v>
      </c>
      <c r="U1131">
        <v>2</v>
      </c>
      <c r="V1131">
        <v>5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2</v>
      </c>
      <c r="AL1131">
        <v>3</v>
      </c>
      <c r="AM1131">
        <v>3</v>
      </c>
      <c r="AN1131">
        <v>2</v>
      </c>
      <c r="AO1131">
        <v>5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 s="2">
        <v>1.0429999999999999</v>
      </c>
      <c r="BD1131" s="2">
        <v>2.0649999999999999</v>
      </c>
      <c r="BE1131" s="2">
        <v>3.0880000000000001</v>
      </c>
      <c r="BF1131" s="2">
        <v>3</v>
      </c>
      <c r="BG1131" s="2">
        <v>2</v>
      </c>
      <c r="BH1131" s="2">
        <v>5</v>
      </c>
      <c r="BI1131" s="2">
        <v>1</v>
      </c>
      <c r="BJ1131" s="2">
        <v>1</v>
      </c>
      <c r="BK1131" s="2">
        <v>0</v>
      </c>
      <c r="BL1131" s="2">
        <v>0</v>
      </c>
      <c r="BM1131" s="2">
        <v>1</v>
      </c>
      <c r="BN1131" s="2">
        <v>0</v>
      </c>
      <c r="BO1131" s="2">
        <v>0</v>
      </c>
      <c r="BP1131" s="2">
        <v>0</v>
      </c>
      <c r="BQ1131" s="2">
        <v>1</v>
      </c>
      <c r="BR1131" s="2">
        <v>0</v>
      </c>
      <c r="BS1131" s="2">
        <v>0</v>
      </c>
      <c r="BT1131" s="2">
        <v>0</v>
      </c>
      <c r="BU1131" s="2">
        <v>0</v>
      </c>
      <c r="BV1131" s="2">
        <f t="shared" si="73"/>
        <v>20.195999999999998</v>
      </c>
      <c r="BW1131" s="16">
        <f t="shared" si="71"/>
        <v>1.0629473684210524</v>
      </c>
      <c r="BX1131" s="16">
        <f>COUNTIF($BC$6:BU1131, "=0") / COUNTIF($BC$6:BU1131, "&gt;-1")</f>
        <v>0.30382350191642515</v>
      </c>
      <c r="BY1131" s="18">
        <f>SUM($BC$6:BU1131) / $BY$4</f>
        <v>0.95425302000254253</v>
      </c>
      <c r="BZ1131" s="14">
        <f t="shared" si="72"/>
        <v>9</v>
      </c>
      <c r="CA1131" t="s">
        <v>5832</v>
      </c>
      <c r="CZ1131" t="s">
        <v>8549</v>
      </c>
      <c r="DA1131" t="s">
        <v>5904</v>
      </c>
      <c r="DB1131">
        <v>2098.9</v>
      </c>
      <c r="DC1131" t="s">
        <v>21997</v>
      </c>
      <c r="DD1131" t="s">
        <v>13772</v>
      </c>
      <c r="DE1131" t="s">
        <v>21998</v>
      </c>
      <c r="DF1131" t="s">
        <v>21999</v>
      </c>
      <c r="DG1131" t="s">
        <v>22000</v>
      </c>
      <c r="DH1131" t="str">
        <f>"COL5A3"</f>
        <v>COL5A3</v>
      </c>
      <c r="DI1131" t="s">
        <v>13772</v>
      </c>
      <c r="DJ1131" t="s">
        <v>13777</v>
      </c>
      <c r="DK1131">
        <v>9606</v>
      </c>
      <c r="DL1131" s="34" t="str">
        <f>HYPERLINK("http://www.uniprot.org/uniprot/P25940", "P25940")</f>
        <v>P25940</v>
      </c>
      <c r="DM1131" t="s">
        <v>22001</v>
      </c>
      <c r="DN1131" t="s">
        <v>13772</v>
      </c>
      <c r="DO1131" t="s">
        <v>13869</v>
      </c>
      <c r="DP1131" t="s">
        <v>13793</v>
      </c>
      <c r="DQ1131" t="s">
        <v>13772</v>
      </c>
      <c r="DR1131" t="s">
        <v>13772</v>
      </c>
      <c r="DS1131" t="s">
        <v>13872</v>
      </c>
      <c r="DT1131" t="s">
        <v>13772</v>
      </c>
      <c r="DU1131" t="s">
        <v>13772</v>
      </c>
      <c r="DV1131" t="s">
        <v>22002</v>
      </c>
      <c r="DW1131" t="s">
        <v>13772</v>
      </c>
      <c r="DX1131" t="s">
        <v>22003</v>
      </c>
      <c r="DY1131" t="s">
        <v>22004</v>
      </c>
      <c r="DZ1131" t="s">
        <v>22005</v>
      </c>
      <c r="EA1131" t="s">
        <v>13772</v>
      </c>
      <c r="EB1131" t="s">
        <v>22006</v>
      </c>
    </row>
    <row r="1132" spans="1:132" hidden="1">
      <c r="A1132">
        <v>83</v>
      </c>
      <c r="B1132">
        <v>1</v>
      </c>
      <c r="C1132" t="s">
        <v>229</v>
      </c>
      <c r="D1132" t="s">
        <v>73</v>
      </c>
      <c r="E1132" t="s">
        <v>73</v>
      </c>
      <c r="F1132" t="s">
        <v>73</v>
      </c>
      <c r="G1132" t="s">
        <v>73</v>
      </c>
      <c r="H1132">
        <v>22.7</v>
      </c>
      <c r="I1132">
        <v>484</v>
      </c>
      <c r="J1132">
        <v>53296</v>
      </c>
      <c r="K1132" t="s">
        <v>230</v>
      </c>
      <c r="L1132">
        <f t="shared" si="70"/>
        <v>20</v>
      </c>
      <c r="N1132">
        <v>20</v>
      </c>
      <c r="O1132">
        <v>20</v>
      </c>
      <c r="P1132">
        <v>1</v>
      </c>
      <c r="Q1132">
        <v>0</v>
      </c>
      <c r="R1132">
        <v>2</v>
      </c>
      <c r="S1132">
        <v>0</v>
      </c>
      <c r="T1132">
        <v>0</v>
      </c>
      <c r="U1132">
        <v>1</v>
      </c>
      <c r="V1132">
        <v>3</v>
      </c>
      <c r="W1132">
        <v>0</v>
      </c>
      <c r="X1132">
        <v>0</v>
      </c>
      <c r="Y1132">
        <v>6</v>
      </c>
      <c r="Z1132">
        <v>0</v>
      </c>
      <c r="AA1132">
        <v>5</v>
      </c>
      <c r="AB1132">
        <v>1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1</v>
      </c>
      <c r="AO1132">
        <v>3</v>
      </c>
      <c r="AP1132">
        <v>0</v>
      </c>
      <c r="AQ1132">
        <v>0</v>
      </c>
      <c r="AR1132">
        <v>6</v>
      </c>
      <c r="AS1132">
        <v>0</v>
      </c>
      <c r="AT1132">
        <v>5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0</v>
      </c>
      <c r="BC1132" s="2">
        <v>0</v>
      </c>
      <c r="BD1132" s="2">
        <v>2</v>
      </c>
      <c r="BE1132" s="2">
        <v>0</v>
      </c>
      <c r="BF1132" s="2">
        <v>0</v>
      </c>
      <c r="BG1132" s="2">
        <v>1</v>
      </c>
      <c r="BH1132" s="2">
        <v>3</v>
      </c>
      <c r="BI1132" s="2">
        <v>0</v>
      </c>
      <c r="BJ1132" s="2">
        <v>0</v>
      </c>
      <c r="BK1132" s="2">
        <v>6</v>
      </c>
      <c r="BL1132" s="2">
        <v>0</v>
      </c>
      <c r="BM1132" s="2">
        <v>5</v>
      </c>
      <c r="BN1132" s="2">
        <v>1</v>
      </c>
      <c r="BO1132" s="2">
        <v>0</v>
      </c>
      <c r="BP1132" s="2">
        <v>0</v>
      </c>
      <c r="BQ1132" s="2">
        <v>0</v>
      </c>
      <c r="BR1132" s="2">
        <v>1</v>
      </c>
      <c r="BS1132" s="2">
        <v>1</v>
      </c>
      <c r="BT1132" s="2">
        <v>0</v>
      </c>
      <c r="BU1132" s="2">
        <v>0</v>
      </c>
      <c r="BV1132" s="2">
        <f t="shared" si="73"/>
        <v>20</v>
      </c>
      <c r="BW1132" s="16">
        <f t="shared" si="71"/>
        <v>1.0526315789473684</v>
      </c>
      <c r="BX1132" s="16">
        <f>COUNTIF($BC$6:BU1132, "=0") / COUNTIF($BC$6:BU1132, "&gt;-1")</f>
        <v>0.30406762247232988</v>
      </c>
      <c r="BY1132" s="18">
        <f>SUM($BC$6:BU1132) / $BY$4</f>
        <v>0.95433869273991656</v>
      </c>
      <c r="BZ1132" s="14">
        <f t="shared" si="72"/>
        <v>11</v>
      </c>
      <c r="CA1132" t="s">
        <v>5832</v>
      </c>
      <c r="CZ1132" t="s">
        <v>5992</v>
      </c>
      <c r="DA1132" t="s">
        <v>5904</v>
      </c>
      <c r="DB1132">
        <v>914.8</v>
      </c>
      <c r="DC1132" t="s">
        <v>14126</v>
      </c>
      <c r="DD1132" t="s">
        <v>14127</v>
      </c>
      <c r="DE1132" t="s">
        <v>14128</v>
      </c>
      <c r="DF1132" t="s">
        <v>14129</v>
      </c>
      <c r="DG1132" t="s">
        <v>14130</v>
      </c>
      <c r="DH1132" t="str">
        <f>"SHMT1"</f>
        <v>SHMT1</v>
      </c>
      <c r="DI1132" t="s">
        <v>13772</v>
      </c>
      <c r="DJ1132" t="s">
        <v>13777</v>
      </c>
      <c r="DK1132">
        <v>9606</v>
      </c>
      <c r="DL1132" s="34" t="str">
        <f>HYPERLINK("http://www.uniprot.org/uniprot/P34896", "P34896")</f>
        <v>P34896</v>
      </c>
      <c r="DM1132" t="s">
        <v>14131</v>
      </c>
      <c r="DN1132" t="s">
        <v>14132</v>
      </c>
      <c r="DO1132" t="s">
        <v>13899</v>
      </c>
      <c r="DP1132" t="s">
        <v>13780</v>
      </c>
      <c r="DQ1132" t="s">
        <v>13772</v>
      </c>
      <c r="DR1132" t="s">
        <v>13772</v>
      </c>
      <c r="DS1132" t="s">
        <v>13772</v>
      </c>
      <c r="DT1132" t="s">
        <v>14133</v>
      </c>
      <c r="DU1132" t="s">
        <v>14111</v>
      </c>
      <c r="DV1132" t="s">
        <v>14020</v>
      </c>
      <c r="DW1132" t="s">
        <v>13812</v>
      </c>
      <c r="DX1132" t="s">
        <v>14134</v>
      </c>
      <c r="DY1132" t="s">
        <v>14135</v>
      </c>
      <c r="DZ1132" t="s">
        <v>14136</v>
      </c>
      <c r="EA1132" t="s">
        <v>14137</v>
      </c>
      <c r="EB1132" t="s">
        <v>14138</v>
      </c>
    </row>
    <row r="1133" spans="1:132" hidden="1">
      <c r="A1133">
        <v>241</v>
      </c>
      <c r="B1133">
        <v>1</v>
      </c>
      <c r="C1133" t="s">
        <v>614</v>
      </c>
      <c r="D1133" t="s">
        <v>73</v>
      </c>
      <c r="E1133" t="s">
        <v>73</v>
      </c>
      <c r="F1133" t="s">
        <v>73</v>
      </c>
      <c r="G1133" t="s">
        <v>73</v>
      </c>
      <c r="H1133">
        <v>19.899999999999999</v>
      </c>
      <c r="I1133">
        <v>241</v>
      </c>
      <c r="J1133">
        <v>26411</v>
      </c>
      <c r="K1133" t="s">
        <v>615</v>
      </c>
      <c r="L1133">
        <f t="shared" si="70"/>
        <v>20</v>
      </c>
      <c r="N1133">
        <v>20</v>
      </c>
      <c r="O1133">
        <v>20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3</v>
      </c>
      <c r="AB1133">
        <v>2</v>
      </c>
      <c r="AC1133">
        <v>3</v>
      </c>
      <c r="AD1133">
        <v>1</v>
      </c>
      <c r="AE1133">
        <v>2</v>
      </c>
      <c r="AF1133">
        <v>1</v>
      </c>
      <c r="AG1133">
        <v>3</v>
      </c>
      <c r="AH1133">
        <v>2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3</v>
      </c>
      <c r="AU1133">
        <v>2</v>
      </c>
      <c r="AV1133">
        <v>3</v>
      </c>
      <c r="AW1133">
        <v>1</v>
      </c>
      <c r="AX1133">
        <v>2</v>
      </c>
      <c r="AY1133">
        <v>1</v>
      </c>
      <c r="AZ1133">
        <v>3</v>
      </c>
      <c r="BA1133">
        <v>2</v>
      </c>
      <c r="BB1133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0</v>
      </c>
      <c r="BI1133" s="2">
        <v>0</v>
      </c>
      <c r="BJ1133" s="2">
        <v>1</v>
      </c>
      <c r="BK1133" s="2">
        <v>1</v>
      </c>
      <c r="BL1133" s="2">
        <v>0</v>
      </c>
      <c r="BM1133" s="2">
        <v>3</v>
      </c>
      <c r="BN1133" s="2">
        <v>2</v>
      </c>
      <c r="BO1133" s="2">
        <v>3</v>
      </c>
      <c r="BP1133" s="2">
        <v>1</v>
      </c>
      <c r="BQ1133" s="2">
        <v>2</v>
      </c>
      <c r="BR1133" s="2">
        <v>1</v>
      </c>
      <c r="BS1133" s="2">
        <v>3</v>
      </c>
      <c r="BT1133" s="2">
        <v>2</v>
      </c>
      <c r="BU1133" s="2">
        <v>0</v>
      </c>
      <c r="BV1133" s="2">
        <f t="shared" si="73"/>
        <v>20</v>
      </c>
      <c r="BW1133" s="16">
        <f t="shared" si="71"/>
        <v>1.0526315789473684</v>
      </c>
      <c r="BX1133" s="16">
        <f>COUNTIF($BC$6:BU1133, "=0") / COUNTIF($BC$6:BU1133, "&gt;-1")</f>
        <v>0.30417133258678614</v>
      </c>
      <c r="BY1133" s="18">
        <f>SUM($BC$6:BU1133) / $BY$4</f>
        <v>0.95442436547729059</v>
      </c>
      <c r="BZ1133" s="14">
        <f t="shared" si="72"/>
        <v>8</v>
      </c>
      <c r="CA1133" t="s">
        <v>5832</v>
      </c>
      <c r="CZ1133" t="s">
        <v>6534</v>
      </c>
      <c r="DA1133" t="s">
        <v>5904</v>
      </c>
      <c r="DB1133">
        <v>498</v>
      </c>
      <c r="DC1133" t="s">
        <v>15925</v>
      </c>
      <c r="DD1133" t="s">
        <v>15926</v>
      </c>
      <c r="DE1133" t="s">
        <v>15927</v>
      </c>
      <c r="DF1133" t="s">
        <v>15928</v>
      </c>
      <c r="DG1133" t="s">
        <v>15929</v>
      </c>
      <c r="DH1133" t="str">
        <f>"PSMA5"</f>
        <v>PSMA5</v>
      </c>
      <c r="DI1133" t="s">
        <v>13772</v>
      </c>
      <c r="DJ1133" t="s">
        <v>13777</v>
      </c>
      <c r="DK1133">
        <v>9606</v>
      </c>
      <c r="DL1133" s="34" t="str">
        <f>HYPERLINK("http://www.uniprot.org/uniprot/P28066", "P28066")</f>
        <v>P28066</v>
      </c>
      <c r="DM1133" t="s">
        <v>15571</v>
      </c>
      <c r="DN1133" t="s">
        <v>13772</v>
      </c>
      <c r="DO1133" t="s">
        <v>14204</v>
      </c>
      <c r="DP1133" t="s">
        <v>13841</v>
      </c>
      <c r="DQ1133" t="s">
        <v>13772</v>
      </c>
      <c r="DR1133" t="s">
        <v>13772</v>
      </c>
      <c r="DS1133" t="s">
        <v>13772</v>
      </c>
      <c r="DT1133" t="s">
        <v>13772</v>
      </c>
      <c r="DU1133" t="s">
        <v>14564</v>
      </c>
      <c r="DV1133" t="s">
        <v>14182</v>
      </c>
      <c r="DW1133" t="s">
        <v>13812</v>
      </c>
      <c r="DX1133" t="s">
        <v>15930</v>
      </c>
      <c r="DY1133" t="s">
        <v>15931</v>
      </c>
      <c r="DZ1133" t="s">
        <v>15932</v>
      </c>
      <c r="EA1133" t="s">
        <v>13772</v>
      </c>
      <c r="EB1133" t="s">
        <v>14149</v>
      </c>
    </row>
    <row r="1134" spans="1:132" hidden="1">
      <c r="A1134">
        <v>285</v>
      </c>
      <c r="B1134">
        <v>1</v>
      </c>
      <c r="C1134" t="s">
        <v>719</v>
      </c>
      <c r="D1134" t="s">
        <v>73</v>
      </c>
      <c r="E1134" t="s">
        <v>73</v>
      </c>
      <c r="F1134" t="s">
        <v>73</v>
      </c>
      <c r="G1134" t="s">
        <v>73</v>
      </c>
      <c r="H1134">
        <v>11</v>
      </c>
      <c r="I1134">
        <v>527</v>
      </c>
      <c r="J1134">
        <v>58914</v>
      </c>
      <c r="K1134" t="s">
        <v>720</v>
      </c>
      <c r="L1134">
        <f t="shared" si="70"/>
        <v>20</v>
      </c>
      <c r="N1134">
        <v>20</v>
      </c>
      <c r="O1134">
        <v>20</v>
      </c>
      <c r="P1134">
        <v>1</v>
      </c>
      <c r="Q1134">
        <v>1</v>
      </c>
      <c r="R1134">
        <v>0</v>
      </c>
      <c r="S1134">
        <v>2</v>
      </c>
      <c r="T1134">
        <v>2</v>
      </c>
      <c r="U1134">
        <v>0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2</v>
      </c>
      <c r="AB1134">
        <v>2</v>
      </c>
      <c r="AC1134">
        <v>1</v>
      </c>
      <c r="AD1134">
        <v>1</v>
      </c>
      <c r="AE1134">
        <v>1</v>
      </c>
      <c r="AF1134">
        <v>2</v>
      </c>
      <c r="AG1134">
        <v>1</v>
      </c>
      <c r="AH1134">
        <v>0</v>
      </c>
      <c r="AI1134">
        <v>1</v>
      </c>
      <c r="AJ1134">
        <v>1</v>
      </c>
      <c r="AK1134">
        <v>0</v>
      </c>
      <c r="AL1134">
        <v>2</v>
      </c>
      <c r="AM1134">
        <v>2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2</v>
      </c>
      <c r="AU1134">
        <v>2</v>
      </c>
      <c r="AV1134">
        <v>1</v>
      </c>
      <c r="AW1134">
        <v>1</v>
      </c>
      <c r="AX1134">
        <v>1</v>
      </c>
      <c r="AY1134">
        <v>2</v>
      </c>
      <c r="AZ1134">
        <v>1</v>
      </c>
      <c r="BA1134">
        <v>0</v>
      </c>
      <c r="BB1134">
        <v>1</v>
      </c>
      <c r="BC1134" s="2">
        <v>1</v>
      </c>
      <c r="BD1134" s="2">
        <v>0</v>
      </c>
      <c r="BE1134" s="2">
        <v>2</v>
      </c>
      <c r="BF1134" s="2">
        <v>2</v>
      </c>
      <c r="BG1134" s="2">
        <v>0</v>
      </c>
      <c r="BH1134" s="2">
        <v>1</v>
      </c>
      <c r="BI1134" s="2">
        <v>1</v>
      </c>
      <c r="BJ1134" s="2">
        <v>0</v>
      </c>
      <c r="BK1134" s="2">
        <v>1</v>
      </c>
      <c r="BL1134" s="2">
        <v>1</v>
      </c>
      <c r="BM1134" s="2">
        <v>2</v>
      </c>
      <c r="BN1134" s="2">
        <v>2</v>
      </c>
      <c r="BO1134" s="2">
        <v>1</v>
      </c>
      <c r="BP1134" s="2">
        <v>1</v>
      </c>
      <c r="BQ1134" s="2">
        <v>1</v>
      </c>
      <c r="BR1134" s="2">
        <v>2</v>
      </c>
      <c r="BS1134" s="2">
        <v>1</v>
      </c>
      <c r="BT1134" s="2">
        <v>0</v>
      </c>
      <c r="BU1134" s="2">
        <v>1</v>
      </c>
      <c r="BV1134" s="2">
        <f t="shared" si="73"/>
        <v>20</v>
      </c>
      <c r="BW1134" s="16">
        <f t="shared" si="71"/>
        <v>1.0526315789473684</v>
      </c>
      <c r="BX1134" s="16">
        <f>COUNTIF($BC$6:BU1134, "=0") / COUNTIF($BC$6:BU1134, "&gt;-1")</f>
        <v>0.30408838748776279</v>
      </c>
      <c r="BY1134" s="18">
        <f>SUM($BC$6:BU1134) / $BY$4</f>
        <v>0.95451003821466462</v>
      </c>
      <c r="BZ1134" s="14">
        <f t="shared" si="72"/>
        <v>4</v>
      </c>
      <c r="CA1134" t="s">
        <v>5832</v>
      </c>
      <c r="CZ1134" t="s">
        <v>6682</v>
      </c>
      <c r="DA1134" t="s">
        <v>5904</v>
      </c>
      <c r="DB1134">
        <v>788.1</v>
      </c>
      <c r="DC1134" t="s">
        <v>16376</v>
      </c>
      <c r="DD1134" t="s">
        <v>16377</v>
      </c>
      <c r="DE1134" t="s">
        <v>16378</v>
      </c>
      <c r="DF1134" t="s">
        <v>16379</v>
      </c>
      <c r="DG1134" t="s">
        <v>16380</v>
      </c>
      <c r="DH1134" t="str">
        <f>"SPINT1"</f>
        <v>SPINT1</v>
      </c>
      <c r="DI1134" t="s">
        <v>16381</v>
      </c>
      <c r="DJ1134" t="s">
        <v>13777</v>
      </c>
      <c r="DK1134">
        <v>9606</v>
      </c>
      <c r="DL1134" s="34" t="str">
        <f>HYPERLINK("http://www.uniprot.org/uniprot/O43278", "O43278")</f>
        <v>O43278</v>
      </c>
      <c r="DM1134" t="s">
        <v>16382</v>
      </c>
      <c r="DN1134" t="s">
        <v>13772</v>
      </c>
      <c r="DO1134" t="s">
        <v>14321</v>
      </c>
      <c r="DP1134" t="s">
        <v>13780</v>
      </c>
      <c r="DQ1134" t="s">
        <v>13772</v>
      </c>
      <c r="DR1134" t="s">
        <v>13772</v>
      </c>
      <c r="DS1134" t="s">
        <v>14404</v>
      </c>
      <c r="DT1134" t="s">
        <v>13772</v>
      </c>
      <c r="DU1134" t="s">
        <v>14375</v>
      </c>
      <c r="DV1134" t="s">
        <v>13796</v>
      </c>
      <c r="DW1134" t="s">
        <v>13812</v>
      </c>
      <c r="DX1134" t="s">
        <v>16383</v>
      </c>
      <c r="DY1134" t="s">
        <v>16384</v>
      </c>
      <c r="DZ1134" t="s">
        <v>16362</v>
      </c>
      <c r="EA1134" t="s">
        <v>13772</v>
      </c>
      <c r="EB1134" t="s">
        <v>16385</v>
      </c>
    </row>
    <row r="1135" spans="1:132" hidden="1">
      <c r="A1135">
        <v>335</v>
      </c>
      <c r="B1135">
        <v>1</v>
      </c>
      <c r="C1135" t="s">
        <v>842</v>
      </c>
      <c r="D1135" t="s">
        <v>73</v>
      </c>
      <c r="E1135" t="s">
        <v>73</v>
      </c>
      <c r="F1135" t="s">
        <v>73</v>
      </c>
      <c r="G1135" t="s">
        <v>73</v>
      </c>
      <c r="H1135">
        <v>39.4</v>
      </c>
      <c r="I1135">
        <v>188</v>
      </c>
      <c r="J1135">
        <v>21076</v>
      </c>
      <c r="K1135" t="s">
        <v>843</v>
      </c>
      <c r="L1135">
        <f t="shared" si="70"/>
        <v>20</v>
      </c>
      <c r="N1135">
        <v>20</v>
      </c>
      <c r="O1135">
        <v>20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</v>
      </c>
      <c r="Y1135">
        <v>3</v>
      </c>
      <c r="Z1135">
        <v>0</v>
      </c>
      <c r="AA1135">
        <v>2</v>
      </c>
      <c r="AB1135">
        <v>0</v>
      </c>
      <c r="AC1135">
        <v>2</v>
      </c>
      <c r="AD1135">
        <v>0</v>
      </c>
      <c r="AE1135">
        <v>5</v>
      </c>
      <c r="AF1135">
        <v>3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</v>
      </c>
      <c r="AR1135">
        <v>3</v>
      </c>
      <c r="AS1135">
        <v>0</v>
      </c>
      <c r="AT1135">
        <v>2</v>
      </c>
      <c r="AU1135">
        <v>0</v>
      </c>
      <c r="AV1135">
        <v>2</v>
      </c>
      <c r="AW1135">
        <v>0</v>
      </c>
      <c r="AX1135">
        <v>5</v>
      </c>
      <c r="AY1135">
        <v>3</v>
      </c>
      <c r="AZ1135">
        <v>1</v>
      </c>
      <c r="BA1135">
        <v>0</v>
      </c>
      <c r="BB1135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3</v>
      </c>
      <c r="BK1135" s="2">
        <v>3</v>
      </c>
      <c r="BL1135" s="2">
        <v>0</v>
      </c>
      <c r="BM1135" s="2">
        <v>2</v>
      </c>
      <c r="BN1135" s="2">
        <v>0</v>
      </c>
      <c r="BO1135" s="2">
        <v>2</v>
      </c>
      <c r="BP1135" s="2">
        <v>0</v>
      </c>
      <c r="BQ1135" s="2">
        <v>5</v>
      </c>
      <c r="BR1135" s="2">
        <v>3</v>
      </c>
      <c r="BS1135" s="2">
        <v>1</v>
      </c>
      <c r="BT1135" s="2">
        <v>0</v>
      </c>
      <c r="BU1135" s="2">
        <v>1</v>
      </c>
      <c r="BV1135" s="2">
        <f t="shared" si="73"/>
        <v>20</v>
      </c>
      <c r="BW1135" s="16">
        <f t="shared" si="71"/>
        <v>1.0526315789473684</v>
      </c>
      <c r="BX1135" s="16">
        <f>COUNTIF($BC$6:BU1135, "=0") / COUNTIF($BC$6:BU1135, "&gt;-1")</f>
        <v>0.30433162552398696</v>
      </c>
      <c r="BY1135" s="18">
        <f>SUM($BC$6:BU1135) / $BY$4</f>
        <v>0.95459571095203866</v>
      </c>
      <c r="BZ1135" s="14">
        <f t="shared" si="72"/>
        <v>11</v>
      </c>
      <c r="CA1135" t="s">
        <v>5832</v>
      </c>
      <c r="CZ1135" t="s">
        <v>6862</v>
      </c>
      <c r="DA1135" t="s">
        <v>5904</v>
      </c>
      <c r="DB1135">
        <v>342</v>
      </c>
      <c r="DC1135" t="s">
        <v>16912</v>
      </c>
      <c r="DD1135" t="s">
        <v>16913</v>
      </c>
      <c r="DE1135" t="s">
        <v>16914</v>
      </c>
      <c r="DF1135" t="s">
        <v>16915</v>
      </c>
      <c r="DG1135" t="s">
        <v>16916</v>
      </c>
      <c r="DH1135" t="str">
        <f>"GGCT"</f>
        <v>GGCT</v>
      </c>
      <c r="DI1135" t="s">
        <v>16917</v>
      </c>
      <c r="DJ1135" t="s">
        <v>13777</v>
      </c>
      <c r="DK1135">
        <v>9606</v>
      </c>
      <c r="DL1135" s="34" t="str">
        <f>HYPERLINK("http://www.uniprot.org/uniprot/O75223", "O75223")</f>
        <v>O75223</v>
      </c>
      <c r="DM1135" t="s">
        <v>16918</v>
      </c>
      <c r="DN1135" t="s">
        <v>13772</v>
      </c>
      <c r="DO1135" t="s">
        <v>13772</v>
      </c>
      <c r="DP1135" t="s">
        <v>13841</v>
      </c>
      <c r="DQ1135" t="s">
        <v>13772</v>
      </c>
      <c r="DR1135" t="s">
        <v>13772</v>
      </c>
      <c r="DS1135" t="s">
        <v>13772</v>
      </c>
      <c r="DT1135" t="s">
        <v>13772</v>
      </c>
      <c r="DU1135" t="s">
        <v>15788</v>
      </c>
      <c r="DV1135" t="s">
        <v>13782</v>
      </c>
      <c r="DW1135" t="s">
        <v>13812</v>
      </c>
      <c r="DX1135" t="s">
        <v>16919</v>
      </c>
      <c r="DY1135" t="s">
        <v>15111</v>
      </c>
      <c r="DZ1135" t="s">
        <v>16920</v>
      </c>
      <c r="EA1135" t="s">
        <v>13772</v>
      </c>
      <c r="EB1135" t="s">
        <v>16921</v>
      </c>
    </row>
    <row r="1136" spans="1:132" hidden="1">
      <c r="A1136">
        <v>487</v>
      </c>
      <c r="B1136">
        <v>1</v>
      </c>
      <c r="C1136" t="s">
        <v>1224</v>
      </c>
      <c r="D1136" t="s">
        <v>1225</v>
      </c>
      <c r="E1136" t="s">
        <v>73</v>
      </c>
      <c r="F1136" t="s">
        <v>73</v>
      </c>
      <c r="G1136" t="s">
        <v>73</v>
      </c>
      <c r="H1136">
        <v>16.8</v>
      </c>
      <c r="I1136">
        <v>340</v>
      </c>
      <c r="J1136">
        <v>38355</v>
      </c>
      <c r="K1136" t="s">
        <v>1226</v>
      </c>
      <c r="L1136">
        <f t="shared" si="70"/>
        <v>20</v>
      </c>
      <c r="N1136">
        <v>20</v>
      </c>
      <c r="O1136">
        <v>20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0</v>
      </c>
      <c r="AA1136">
        <v>5</v>
      </c>
      <c r="AB1136">
        <v>1</v>
      </c>
      <c r="AC1136">
        <v>3</v>
      </c>
      <c r="AD1136">
        <v>0</v>
      </c>
      <c r="AE1136">
        <v>3</v>
      </c>
      <c r="AF1136">
        <v>4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2</v>
      </c>
      <c r="AR1136">
        <v>2</v>
      </c>
      <c r="AS1136">
        <v>0</v>
      </c>
      <c r="AT1136">
        <v>5</v>
      </c>
      <c r="AU1136">
        <v>1</v>
      </c>
      <c r="AV1136">
        <v>3</v>
      </c>
      <c r="AW1136">
        <v>0</v>
      </c>
      <c r="AX1136">
        <v>3</v>
      </c>
      <c r="AY1136">
        <v>4</v>
      </c>
      <c r="AZ1136">
        <v>0</v>
      </c>
      <c r="BA1136">
        <v>0</v>
      </c>
      <c r="BB1136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2</v>
      </c>
      <c r="BK1136" s="2">
        <v>2</v>
      </c>
      <c r="BL1136" s="2">
        <v>0</v>
      </c>
      <c r="BM1136" s="2">
        <v>5</v>
      </c>
      <c r="BN1136" s="2">
        <v>1</v>
      </c>
      <c r="BO1136" s="2">
        <v>3</v>
      </c>
      <c r="BP1136" s="2">
        <v>0</v>
      </c>
      <c r="BQ1136" s="2">
        <v>3</v>
      </c>
      <c r="BR1136" s="2">
        <v>4</v>
      </c>
      <c r="BS1136" s="2">
        <v>0</v>
      </c>
      <c r="BT1136" s="2">
        <v>0</v>
      </c>
      <c r="BU1136" s="2">
        <v>0</v>
      </c>
      <c r="BV1136" s="2">
        <f t="shared" si="73"/>
        <v>20</v>
      </c>
      <c r="BW1136" s="16">
        <f t="shared" si="71"/>
        <v>1.0526315789473684</v>
      </c>
      <c r="BX1136" s="16">
        <f>COUNTIF($BC$6:BU1136, "=0") / COUNTIF($BC$6:BU1136, "&gt;-1")</f>
        <v>0.30462096886779283</v>
      </c>
      <c r="BY1136" s="18">
        <f>SUM($BC$6:BU1136) / $BY$4</f>
        <v>0.95468138368941269</v>
      </c>
      <c r="BZ1136" s="14">
        <f t="shared" si="72"/>
        <v>12</v>
      </c>
      <c r="CA1136" t="s">
        <v>5832</v>
      </c>
      <c r="CZ1136" t="s">
        <v>7394</v>
      </c>
      <c r="DA1136" t="s">
        <v>5904</v>
      </c>
      <c r="DB1136">
        <v>647.1</v>
      </c>
      <c r="DC1136" t="s">
        <v>18553</v>
      </c>
      <c r="DD1136" t="s">
        <v>18554</v>
      </c>
      <c r="DE1136" t="s">
        <v>18555</v>
      </c>
      <c r="DF1136" t="s">
        <v>18556</v>
      </c>
      <c r="DG1136" t="s">
        <v>18557</v>
      </c>
      <c r="DH1136" t="str">
        <f>"CHORDC1"</f>
        <v>CHORDC1</v>
      </c>
      <c r="DI1136" t="s">
        <v>18558</v>
      </c>
      <c r="DJ1136" t="s">
        <v>13777</v>
      </c>
      <c r="DK1136">
        <v>9606</v>
      </c>
      <c r="DL1136" s="34" t="str">
        <f>HYPERLINK("http://www.uniprot.org/uniprot/Q9UHD1", "Q9UHD1")</f>
        <v>Q9UHD1</v>
      </c>
      <c r="DM1136" t="s">
        <v>18559</v>
      </c>
      <c r="DN1136" t="s">
        <v>15280</v>
      </c>
      <c r="DO1136" t="s">
        <v>13772</v>
      </c>
      <c r="DP1136" t="s">
        <v>13780</v>
      </c>
      <c r="DQ1136" t="s">
        <v>13772</v>
      </c>
      <c r="DR1136" t="s">
        <v>13772</v>
      </c>
      <c r="DS1136" t="s">
        <v>14096</v>
      </c>
      <c r="DT1136" t="s">
        <v>13856</v>
      </c>
      <c r="DU1136" t="s">
        <v>14477</v>
      </c>
      <c r="DV1136" t="s">
        <v>13886</v>
      </c>
      <c r="DW1136" t="s">
        <v>13812</v>
      </c>
      <c r="DX1136" t="s">
        <v>18560</v>
      </c>
      <c r="DY1136" t="s">
        <v>13772</v>
      </c>
      <c r="DZ1136" t="s">
        <v>18561</v>
      </c>
      <c r="EA1136" t="s">
        <v>13772</v>
      </c>
      <c r="EB1136" t="s">
        <v>13772</v>
      </c>
    </row>
    <row r="1137" spans="1:132" hidden="1">
      <c r="A1137">
        <v>580</v>
      </c>
      <c r="B1137">
        <v>1</v>
      </c>
      <c r="C1137" t="s">
        <v>1442</v>
      </c>
      <c r="D1137" t="s">
        <v>73</v>
      </c>
      <c r="E1137" t="s">
        <v>73</v>
      </c>
      <c r="F1137" t="s">
        <v>73</v>
      </c>
      <c r="G1137" t="s">
        <v>73</v>
      </c>
      <c r="H1137">
        <v>42.3</v>
      </c>
      <c r="I1137">
        <v>274</v>
      </c>
      <c r="J1137">
        <v>30168</v>
      </c>
      <c r="K1137" t="s">
        <v>1443</v>
      </c>
      <c r="L1137">
        <f t="shared" si="70"/>
        <v>20</v>
      </c>
      <c r="N1137">
        <v>20</v>
      </c>
      <c r="O1137">
        <v>20</v>
      </c>
      <c r="P1137">
        <v>1</v>
      </c>
      <c r="Q1137">
        <v>3</v>
      </c>
      <c r="R1137">
        <v>1</v>
      </c>
      <c r="S1137">
        <v>0</v>
      </c>
      <c r="T1137">
        <v>0</v>
      </c>
      <c r="U1137">
        <v>1</v>
      </c>
      <c r="V1137">
        <v>2</v>
      </c>
      <c r="W1137">
        <v>2</v>
      </c>
      <c r="X1137">
        <v>0</v>
      </c>
      <c r="Y1137">
        <v>3</v>
      </c>
      <c r="Z1137">
        <v>0</v>
      </c>
      <c r="AA1137">
        <v>5</v>
      </c>
      <c r="AB1137">
        <v>0</v>
      </c>
      <c r="AC1137">
        <v>0</v>
      </c>
      <c r="AD1137">
        <v>0</v>
      </c>
      <c r="AE1137">
        <v>1</v>
      </c>
      <c r="AF1137">
        <v>2</v>
      </c>
      <c r="AG1137">
        <v>0</v>
      </c>
      <c r="AH1137">
        <v>0</v>
      </c>
      <c r="AI1137">
        <v>0</v>
      </c>
      <c r="AJ1137">
        <v>3</v>
      </c>
      <c r="AK1137">
        <v>1</v>
      </c>
      <c r="AL1137">
        <v>0</v>
      </c>
      <c r="AM1137">
        <v>0</v>
      </c>
      <c r="AN1137">
        <v>1</v>
      </c>
      <c r="AO1137">
        <v>2</v>
      </c>
      <c r="AP1137">
        <v>2</v>
      </c>
      <c r="AQ1137">
        <v>0</v>
      </c>
      <c r="AR1137">
        <v>3</v>
      </c>
      <c r="AS1137">
        <v>0</v>
      </c>
      <c r="AT1137">
        <v>5</v>
      </c>
      <c r="AU1137">
        <v>0</v>
      </c>
      <c r="AV1137">
        <v>0</v>
      </c>
      <c r="AW1137">
        <v>0</v>
      </c>
      <c r="AX1137">
        <v>1</v>
      </c>
      <c r="AY1137">
        <v>2</v>
      </c>
      <c r="AZ1137">
        <v>0</v>
      </c>
      <c r="BA1137">
        <v>0</v>
      </c>
      <c r="BB1137">
        <v>0</v>
      </c>
      <c r="BC1137" s="2">
        <v>3</v>
      </c>
      <c r="BD1137" s="2">
        <v>1</v>
      </c>
      <c r="BE1137" s="2">
        <v>0</v>
      </c>
      <c r="BF1137" s="2">
        <v>0</v>
      </c>
      <c r="BG1137" s="2">
        <v>1</v>
      </c>
      <c r="BH1137" s="2">
        <v>2</v>
      </c>
      <c r="BI1137" s="2">
        <v>2</v>
      </c>
      <c r="BJ1137" s="2">
        <v>0</v>
      </c>
      <c r="BK1137" s="2">
        <v>3</v>
      </c>
      <c r="BL1137" s="2">
        <v>0</v>
      </c>
      <c r="BM1137" s="2">
        <v>5</v>
      </c>
      <c r="BN1137" s="2">
        <v>0</v>
      </c>
      <c r="BO1137" s="2">
        <v>0</v>
      </c>
      <c r="BP1137" s="2">
        <v>0</v>
      </c>
      <c r="BQ1137" s="2">
        <v>1</v>
      </c>
      <c r="BR1137" s="2">
        <v>2</v>
      </c>
      <c r="BS1137" s="2">
        <v>0</v>
      </c>
      <c r="BT1137" s="2">
        <v>0</v>
      </c>
      <c r="BU1137" s="2">
        <v>0</v>
      </c>
      <c r="BV1137" s="2">
        <f t="shared" si="73"/>
        <v>20</v>
      </c>
      <c r="BW1137" s="16">
        <f t="shared" si="71"/>
        <v>1.0526315789473684</v>
      </c>
      <c r="BX1137" s="16">
        <f>COUNTIF($BC$6:BU1137, "=0") / COUNTIF($BC$6:BU1137, "&gt;-1")</f>
        <v>0.30481681234889346</v>
      </c>
      <c r="BY1137" s="18">
        <f>SUM($BC$6:BU1137) / $BY$4</f>
        <v>0.95476705642678661</v>
      </c>
      <c r="BZ1137" s="14">
        <f t="shared" si="72"/>
        <v>10</v>
      </c>
      <c r="CA1137" t="s">
        <v>5832</v>
      </c>
      <c r="CZ1137" t="s">
        <v>7706</v>
      </c>
      <c r="DA1137" t="s">
        <v>5904</v>
      </c>
      <c r="DB1137">
        <v>523.1</v>
      </c>
      <c r="DC1137" t="s">
        <v>19491</v>
      </c>
      <c r="DD1137" t="s">
        <v>13772</v>
      </c>
      <c r="DE1137" t="s">
        <v>19492</v>
      </c>
      <c r="DF1137" t="s">
        <v>19493</v>
      </c>
      <c r="DG1137" t="s">
        <v>19494</v>
      </c>
      <c r="DH1137" t="str">
        <f>"TOLLIP"</f>
        <v>TOLLIP</v>
      </c>
      <c r="DI1137" t="s">
        <v>13772</v>
      </c>
      <c r="DJ1137" t="s">
        <v>13777</v>
      </c>
      <c r="DK1137">
        <v>9606</v>
      </c>
      <c r="DL1137" s="34" t="str">
        <f>HYPERLINK("http://www.uniprot.org/uniprot/Q9H0E2", "Q9H0E2")</f>
        <v>Q9H0E2</v>
      </c>
      <c r="DM1137" t="s">
        <v>19495</v>
      </c>
      <c r="DN1137" t="s">
        <v>19496</v>
      </c>
      <c r="DO1137" t="s">
        <v>13899</v>
      </c>
      <c r="DP1137" t="s">
        <v>13780</v>
      </c>
      <c r="DQ1137" t="s">
        <v>13772</v>
      </c>
      <c r="DR1137" t="s">
        <v>13772</v>
      </c>
      <c r="DS1137" t="s">
        <v>14096</v>
      </c>
      <c r="DT1137" t="s">
        <v>13772</v>
      </c>
      <c r="DU1137" t="s">
        <v>13772</v>
      </c>
      <c r="DV1137" t="s">
        <v>13886</v>
      </c>
      <c r="DW1137" t="s">
        <v>13812</v>
      </c>
      <c r="DX1137" t="s">
        <v>19497</v>
      </c>
      <c r="DY1137" t="s">
        <v>19498</v>
      </c>
      <c r="DZ1137" t="s">
        <v>19499</v>
      </c>
      <c r="EA1137" t="s">
        <v>13772</v>
      </c>
      <c r="EB1137" t="s">
        <v>19500</v>
      </c>
    </row>
    <row r="1138" spans="1:132" hidden="1">
      <c r="A1138">
        <v>666</v>
      </c>
      <c r="B1138">
        <v>1</v>
      </c>
      <c r="C1138" t="s">
        <v>1642</v>
      </c>
      <c r="D1138" t="s">
        <v>73</v>
      </c>
      <c r="E1138" t="s">
        <v>73</v>
      </c>
      <c r="F1138" t="s">
        <v>73</v>
      </c>
      <c r="G1138" t="s">
        <v>73</v>
      </c>
      <c r="H1138">
        <v>2.5</v>
      </c>
      <c r="I1138">
        <v>2029</v>
      </c>
      <c r="J1138">
        <v>224841</v>
      </c>
      <c r="K1138" t="s">
        <v>1643</v>
      </c>
      <c r="L1138">
        <f t="shared" si="70"/>
        <v>20</v>
      </c>
      <c r="N1138">
        <v>20</v>
      </c>
      <c r="O1138">
        <v>20</v>
      </c>
      <c r="P1138">
        <v>1</v>
      </c>
      <c r="Q1138">
        <v>2</v>
      </c>
      <c r="R1138">
        <v>1</v>
      </c>
      <c r="S1138">
        <v>1</v>
      </c>
      <c r="T1138">
        <v>1</v>
      </c>
      <c r="U1138">
        <v>2</v>
      </c>
      <c r="V1138">
        <v>3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3</v>
      </c>
      <c r="AF1138">
        <v>3</v>
      </c>
      <c r="AG1138">
        <v>0</v>
      </c>
      <c r="AH1138">
        <v>0</v>
      </c>
      <c r="AI1138">
        <v>0</v>
      </c>
      <c r="AJ1138">
        <v>2</v>
      </c>
      <c r="AK1138">
        <v>1</v>
      </c>
      <c r="AL1138">
        <v>1</v>
      </c>
      <c r="AM1138">
        <v>1</v>
      </c>
      <c r="AN1138">
        <v>2</v>
      </c>
      <c r="AO1138">
        <v>3</v>
      </c>
      <c r="AP1138">
        <v>1</v>
      </c>
      <c r="AQ1138">
        <v>1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3</v>
      </c>
      <c r="AY1138">
        <v>3</v>
      </c>
      <c r="AZ1138">
        <v>0</v>
      </c>
      <c r="BA1138">
        <v>0</v>
      </c>
      <c r="BB1138">
        <v>0</v>
      </c>
      <c r="BC1138" s="2">
        <v>2</v>
      </c>
      <c r="BD1138" s="2">
        <v>1</v>
      </c>
      <c r="BE1138" s="2">
        <v>1</v>
      </c>
      <c r="BF1138" s="2">
        <v>1</v>
      </c>
      <c r="BG1138" s="2">
        <v>2</v>
      </c>
      <c r="BH1138" s="2">
        <v>3</v>
      </c>
      <c r="BI1138" s="2">
        <v>1</v>
      </c>
      <c r="BJ1138" s="2">
        <v>1</v>
      </c>
      <c r="BK1138" s="2">
        <v>0</v>
      </c>
      <c r="BL1138" s="2">
        <v>0</v>
      </c>
      <c r="BM1138" s="2">
        <v>1</v>
      </c>
      <c r="BN1138" s="2">
        <v>1</v>
      </c>
      <c r="BO1138" s="2">
        <v>0</v>
      </c>
      <c r="BP1138" s="2">
        <v>0</v>
      </c>
      <c r="BQ1138" s="2">
        <v>3</v>
      </c>
      <c r="BR1138" s="2">
        <v>3</v>
      </c>
      <c r="BS1138" s="2">
        <v>0</v>
      </c>
      <c r="BT1138" s="2">
        <v>0</v>
      </c>
      <c r="BU1138" s="2">
        <v>0</v>
      </c>
      <c r="BV1138" s="2">
        <f t="shared" si="73"/>
        <v>20</v>
      </c>
      <c r="BW1138" s="16">
        <f t="shared" si="71"/>
        <v>1.0526315789473684</v>
      </c>
      <c r="BX1138" s="16">
        <f>COUNTIF($BC$6:BU1138, "=0") / COUNTIF($BC$6:BU1138, "&gt;-1")</f>
        <v>0.30487295024852512</v>
      </c>
      <c r="BY1138" s="18">
        <f>SUM($BC$6:BU1138) / $BY$4</f>
        <v>0.95485272916416064</v>
      </c>
      <c r="BZ1138" s="14">
        <f t="shared" si="72"/>
        <v>7</v>
      </c>
      <c r="CA1138" t="s">
        <v>5832</v>
      </c>
      <c r="CZ1138" t="s">
        <v>7990</v>
      </c>
      <c r="DA1138" t="s">
        <v>5904</v>
      </c>
      <c r="DB1138">
        <v>3787.7</v>
      </c>
      <c r="DC1138" t="s">
        <v>20350</v>
      </c>
      <c r="DD1138" t="s">
        <v>20351</v>
      </c>
      <c r="DE1138" t="s">
        <v>20352</v>
      </c>
      <c r="DF1138" t="s">
        <v>20353</v>
      </c>
      <c r="DG1138" t="s">
        <v>20354</v>
      </c>
      <c r="DH1138" t="str">
        <f>"PTPRS"</f>
        <v>PTPRS</v>
      </c>
      <c r="DI1138" t="s">
        <v>13772</v>
      </c>
      <c r="DJ1138" t="s">
        <v>13777</v>
      </c>
      <c r="DK1138">
        <v>9606</v>
      </c>
      <c r="DL1138" s="34" t="str">
        <f>HYPERLINK("http://www.uniprot.org/uniprot/Q13332", "Q13332")</f>
        <v>Q13332</v>
      </c>
      <c r="DM1138" t="s">
        <v>20355</v>
      </c>
      <c r="DN1138" t="s">
        <v>13949</v>
      </c>
      <c r="DO1138" t="s">
        <v>20356</v>
      </c>
      <c r="DP1138" t="s">
        <v>13780</v>
      </c>
      <c r="DQ1138" t="s">
        <v>13772</v>
      </c>
      <c r="DR1138" t="s">
        <v>13772</v>
      </c>
      <c r="DS1138" t="s">
        <v>13951</v>
      </c>
      <c r="DT1138" t="s">
        <v>13772</v>
      </c>
      <c r="DU1138" t="s">
        <v>20357</v>
      </c>
      <c r="DV1138" t="s">
        <v>13796</v>
      </c>
      <c r="DW1138" t="s">
        <v>13812</v>
      </c>
      <c r="DX1138" t="s">
        <v>20358</v>
      </c>
      <c r="DY1138" t="s">
        <v>20359</v>
      </c>
      <c r="DZ1138" t="s">
        <v>20360</v>
      </c>
      <c r="EA1138" t="s">
        <v>13772</v>
      </c>
      <c r="EB1138" t="s">
        <v>20361</v>
      </c>
    </row>
    <row r="1139" spans="1:132" hidden="1">
      <c r="A1139">
        <v>707</v>
      </c>
      <c r="B1139">
        <v>1</v>
      </c>
      <c r="C1139" t="s">
        <v>1743</v>
      </c>
      <c r="D1139" t="s">
        <v>73</v>
      </c>
      <c r="E1139" t="s">
        <v>73</v>
      </c>
      <c r="F1139" t="s">
        <v>73</v>
      </c>
      <c r="G1139" t="s">
        <v>73</v>
      </c>
      <c r="H1139">
        <v>10.6</v>
      </c>
      <c r="I1139">
        <v>367</v>
      </c>
      <c r="J1139">
        <v>40376</v>
      </c>
      <c r="K1139" t="s">
        <v>1744</v>
      </c>
      <c r="L1139">
        <f t="shared" si="70"/>
        <v>20</v>
      </c>
      <c r="N1139">
        <v>20</v>
      </c>
      <c r="O1139">
        <v>20</v>
      </c>
      <c r="P1139">
        <v>1</v>
      </c>
      <c r="Q1139">
        <v>1</v>
      </c>
      <c r="R1139">
        <v>1</v>
      </c>
      <c r="S1139">
        <v>2</v>
      </c>
      <c r="T1139">
        <v>4</v>
      </c>
      <c r="U1139">
        <v>5</v>
      </c>
      <c r="V1139">
        <v>4</v>
      </c>
      <c r="W1139">
        <v>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2</v>
      </c>
      <c r="AM1139">
        <v>4</v>
      </c>
      <c r="AN1139">
        <v>5</v>
      </c>
      <c r="AO1139">
        <v>4</v>
      </c>
      <c r="AP1139">
        <v>3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s="2">
        <v>1</v>
      </c>
      <c r="BD1139" s="2">
        <v>1</v>
      </c>
      <c r="BE1139" s="2">
        <v>2</v>
      </c>
      <c r="BF1139" s="2">
        <v>4</v>
      </c>
      <c r="BG1139" s="2">
        <v>5</v>
      </c>
      <c r="BH1139" s="2">
        <v>4</v>
      </c>
      <c r="BI1139" s="2">
        <v>3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f t="shared" si="73"/>
        <v>20</v>
      </c>
      <c r="BW1139" s="16">
        <f t="shared" si="71"/>
        <v>1.0526315789473684</v>
      </c>
      <c r="BX1139" s="16">
        <f>COUNTIF($BC$6:BU1139, "=0") / COUNTIF($BC$6:BU1139, "&gt;-1")</f>
        <v>0.30516105077508587</v>
      </c>
      <c r="BY1139" s="18">
        <f>SUM($BC$6:BU1139) / $BY$4</f>
        <v>0.95493840190153467</v>
      </c>
      <c r="BZ1139" s="14">
        <f t="shared" si="72"/>
        <v>12</v>
      </c>
      <c r="CA1139" t="s">
        <v>5832</v>
      </c>
      <c r="CZ1139" t="s">
        <v>8132</v>
      </c>
      <c r="DA1139" t="s">
        <v>5904</v>
      </c>
      <c r="DB1139">
        <v>644</v>
      </c>
      <c r="DC1139" t="s">
        <v>20768</v>
      </c>
      <c r="DD1139" t="s">
        <v>20769</v>
      </c>
      <c r="DE1139" t="s">
        <v>20770</v>
      </c>
      <c r="DF1139" t="s">
        <v>20771</v>
      </c>
      <c r="DG1139" t="s">
        <v>20772</v>
      </c>
      <c r="DH1139" t="str">
        <f>"WISP1"</f>
        <v>WISP1</v>
      </c>
      <c r="DI1139" t="s">
        <v>20773</v>
      </c>
      <c r="DJ1139" t="s">
        <v>13777</v>
      </c>
      <c r="DK1139">
        <v>9606</v>
      </c>
      <c r="DL1139" s="34" t="str">
        <f>HYPERLINK("http://www.uniprot.org/uniprot/O95388", "O95388")</f>
        <v>O95388</v>
      </c>
      <c r="DM1139" t="s">
        <v>20774</v>
      </c>
      <c r="DN1139" t="s">
        <v>20775</v>
      </c>
      <c r="DO1139" t="s">
        <v>14321</v>
      </c>
      <c r="DP1139" t="s">
        <v>13780</v>
      </c>
      <c r="DQ1139" t="s">
        <v>13772</v>
      </c>
      <c r="DR1139" t="s">
        <v>14244</v>
      </c>
      <c r="DS1139" t="s">
        <v>13808</v>
      </c>
      <c r="DT1139" t="s">
        <v>13772</v>
      </c>
      <c r="DU1139" t="s">
        <v>13772</v>
      </c>
      <c r="DV1139" t="s">
        <v>13796</v>
      </c>
      <c r="DW1139" t="s">
        <v>13772</v>
      </c>
      <c r="DX1139" t="s">
        <v>20776</v>
      </c>
      <c r="DY1139" t="s">
        <v>20777</v>
      </c>
      <c r="DZ1139" t="s">
        <v>20778</v>
      </c>
      <c r="EA1139" t="s">
        <v>13772</v>
      </c>
      <c r="EB1139" t="s">
        <v>13772</v>
      </c>
    </row>
    <row r="1140" spans="1:132" hidden="1">
      <c r="A1140">
        <v>796</v>
      </c>
      <c r="B1140">
        <v>1</v>
      </c>
      <c r="C1140" t="s">
        <v>1953</v>
      </c>
      <c r="D1140" t="s">
        <v>1954</v>
      </c>
      <c r="E1140" t="s">
        <v>73</v>
      </c>
      <c r="F1140" t="s">
        <v>73</v>
      </c>
      <c r="G1140" t="s">
        <v>73</v>
      </c>
      <c r="H1140">
        <v>13.2</v>
      </c>
      <c r="I1140">
        <v>748</v>
      </c>
      <c r="J1140">
        <v>76705</v>
      </c>
      <c r="K1140" t="s">
        <v>1955</v>
      </c>
      <c r="L1140">
        <f t="shared" si="70"/>
        <v>20</v>
      </c>
      <c r="N1140">
        <v>20</v>
      </c>
      <c r="O1140">
        <v>20</v>
      </c>
      <c r="P1140">
        <v>1</v>
      </c>
      <c r="Q1140">
        <v>2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1</v>
      </c>
      <c r="X1140">
        <v>2</v>
      </c>
      <c r="Y1140">
        <v>3</v>
      </c>
      <c r="Z1140">
        <v>0</v>
      </c>
      <c r="AA1140">
        <v>3</v>
      </c>
      <c r="AB1140">
        <v>2</v>
      </c>
      <c r="AC1140">
        <v>2</v>
      </c>
      <c r="AD1140">
        <v>0</v>
      </c>
      <c r="AE1140">
        <v>2</v>
      </c>
      <c r="AF1140">
        <v>1</v>
      </c>
      <c r="AG1140">
        <v>0</v>
      </c>
      <c r="AH1140">
        <v>0</v>
      </c>
      <c r="AI1140">
        <v>0</v>
      </c>
      <c r="AJ1140">
        <v>2</v>
      </c>
      <c r="AK1140">
        <v>0</v>
      </c>
      <c r="AL1140">
        <v>0</v>
      </c>
      <c r="AM1140">
        <v>0</v>
      </c>
      <c r="AN1140">
        <v>2</v>
      </c>
      <c r="AO1140">
        <v>0</v>
      </c>
      <c r="AP1140">
        <v>1</v>
      </c>
      <c r="AQ1140">
        <v>2</v>
      </c>
      <c r="AR1140">
        <v>3</v>
      </c>
      <c r="AS1140">
        <v>0</v>
      </c>
      <c r="AT1140">
        <v>3</v>
      </c>
      <c r="AU1140">
        <v>2</v>
      </c>
      <c r="AV1140">
        <v>2</v>
      </c>
      <c r="AW1140">
        <v>0</v>
      </c>
      <c r="AX1140">
        <v>2</v>
      </c>
      <c r="AY1140">
        <v>1</v>
      </c>
      <c r="AZ1140">
        <v>0</v>
      </c>
      <c r="BA1140">
        <v>0</v>
      </c>
      <c r="BB1140">
        <v>0</v>
      </c>
      <c r="BC1140" s="2">
        <v>2</v>
      </c>
      <c r="BD1140" s="2">
        <v>0</v>
      </c>
      <c r="BE1140" s="2">
        <v>0</v>
      </c>
      <c r="BF1140" s="2">
        <v>0</v>
      </c>
      <c r="BG1140" s="2">
        <v>2</v>
      </c>
      <c r="BH1140" s="2">
        <v>0</v>
      </c>
      <c r="BI1140" s="2">
        <v>1</v>
      </c>
      <c r="BJ1140" s="2">
        <v>2</v>
      </c>
      <c r="BK1140" s="2">
        <v>3</v>
      </c>
      <c r="BL1140" s="2">
        <v>0</v>
      </c>
      <c r="BM1140" s="2">
        <v>3</v>
      </c>
      <c r="BN1140" s="2">
        <v>2</v>
      </c>
      <c r="BO1140" s="2">
        <v>2</v>
      </c>
      <c r="BP1140" s="2">
        <v>0</v>
      </c>
      <c r="BQ1140" s="2">
        <v>2</v>
      </c>
      <c r="BR1140" s="2">
        <v>1</v>
      </c>
      <c r="BS1140" s="2">
        <v>0</v>
      </c>
      <c r="BT1140" s="2">
        <v>0</v>
      </c>
      <c r="BU1140" s="2">
        <v>0</v>
      </c>
      <c r="BV1140" s="2">
        <f t="shared" si="73"/>
        <v>20</v>
      </c>
      <c r="BW1140" s="16">
        <f t="shared" si="71"/>
        <v>1.0526315789473684</v>
      </c>
      <c r="BX1140" s="16">
        <f>COUNTIF($BC$6:BU1140, "=0") / COUNTIF($BC$6:BU1140, "&gt;-1")</f>
        <v>0.30530952932993277</v>
      </c>
      <c r="BY1140" s="18">
        <f>SUM($BC$6:BU1140) / $BY$4</f>
        <v>0.9550240746389087</v>
      </c>
      <c r="BZ1140" s="14">
        <f t="shared" si="72"/>
        <v>9</v>
      </c>
      <c r="CA1140" t="s">
        <v>5832</v>
      </c>
      <c r="CZ1140" t="s">
        <v>8426</v>
      </c>
      <c r="DA1140" t="s">
        <v>5904</v>
      </c>
      <c r="DB1140">
        <v>1356.3</v>
      </c>
      <c r="DC1140" t="s">
        <v>21639</v>
      </c>
      <c r="DD1140" t="s">
        <v>21640</v>
      </c>
      <c r="DE1140" t="s">
        <v>21641</v>
      </c>
      <c r="DF1140" t="s">
        <v>21642</v>
      </c>
      <c r="DG1140" t="s">
        <v>21643</v>
      </c>
      <c r="DH1140" t="str">
        <f>"KHSRP"</f>
        <v>KHSRP</v>
      </c>
      <c r="DI1140" t="s">
        <v>21644</v>
      </c>
      <c r="DJ1140" t="s">
        <v>13777</v>
      </c>
      <c r="DK1140">
        <v>9606</v>
      </c>
      <c r="DL1140" s="34" t="str">
        <f>HYPERLINK("http://www.uniprot.org/uniprot/Q92945", "Q92945")</f>
        <v>Q92945</v>
      </c>
      <c r="DM1140" t="s">
        <v>21645</v>
      </c>
      <c r="DN1140" t="s">
        <v>21646</v>
      </c>
      <c r="DO1140" t="s">
        <v>13912</v>
      </c>
      <c r="DP1140" t="s">
        <v>13772</v>
      </c>
      <c r="DQ1140" t="s">
        <v>13772</v>
      </c>
      <c r="DR1140" t="s">
        <v>13772</v>
      </c>
      <c r="DS1140" t="s">
        <v>14096</v>
      </c>
      <c r="DT1140" t="s">
        <v>13772</v>
      </c>
      <c r="DU1140" t="s">
        <v>20764</v>
      </c>
      <c r="DV1140" t="s">
        <v>14663</v>
      </c>
      <c r="DW1140" t="s">
        <v>13812</v>
      </c>
      <c r="DX1140" t="s">
        <v>21647</v>
      </c>
      <c r="DY1140" t="s">
        <v>21648</v>
      </c>
      <c r="DZ1140" t="s">
        <v>21649</v>
      </c>
      <c r="EA1140" t="s">
        <v>13772</v>
      </c>
      <c r="EB1140" t="s">
        <v>21650</v>
      </c>
    </row>
    <row r="1141" spans="1:132" hidden="1">
      <c r="A1141">
        <v>854</v>
      </c>
      <c r="B1141">
        <v>1</v>
      </c>
      <c r="C1141" t="s">
        <v>2095</v>
      </c>
      <c r="D1141" t="s">
        <v>73</v>
      </c>
      <c r="E1141" t="s">
        <v>73</v>
      </c>
      <c r="F1141" t="s">
        <v>73</v>
      </c>
      <c r="G1141" t="s">
        <v>73</v>
      </c>
      <c r="H1141">
        <v>26.1</v>
      </c>
      <c r="I1141">
        <v>161</v>
      </c>
      <c r="J1141">
        <v>17575</v>
      </c>
      <c r="K1141" t="s">
        <v>2096</v>
      </c>
      <c r="L1141">
        <f t="shared" si="70"/>
        <v>20</v>
      </c>
      <c r="N1141">
        <v>20</v>
      </c>
      <c r="O1141">
        <v>20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2</v>
      </c>
      <c r="Y1141">
        <v>3</v>
      </c>
      <c r="Z1141">
        <v>1</v>
      </c>
      <c r="AA1141">
        <v>3</v>
      </c>
      <c r="AB1141">
        <v>3</v>
      </c>
      <c r="AC1141">
        <v>1</v>
      </c>
      <c r="AD1141">
        <v>0</v>
      </c>
      <c r="AE1141">
        <v>3</v>
      </c>
      <c r="AF1141">
        <v>1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2</v>
      </c>
      <c r="AR1141">
        <v>3</v>
      </c>
      <c r="AS1141">
        <v>1</v>
      </c>
      <c r="AT1141">
        <v>3</v>
      </c>
      <c r="AU1141">
        <v>3</v>
      </c>
      <c r="AV1141">
        <v>1</v>
      </c>
      <c r="AW1141">
        <v>0</v>
      </c>
      <c r="AX1141">
        <v>3</v>
      </c>
      <c r="AY1141">
        <v>1</v>
      </c>
      <c r="AZ1141">
        <v>0</v>
      </c>
      <c r="BA1141">
        <v>0</v>
      </c>
      <c r="BB1141">
        <v>1</v>
      </c>
      <c r="BC1141" s="2">
        <v>0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1</v>
      </c>
      <c r="BJ1141" s="2">
        <v>2</v>
      </c>
      <c r="BK1141" s="2">
        <v>3</v>
      </c>
      <c r="BL1141" s="2">
        <v>1</v>
      </c>
      <c r="BM1141" s="2">
        <v>3</v>
      </c>
      <c r="BN1141" s="2">
        <v>3</v>
      </c>
      <c r="BO1141" s="2">
        <v>1</v>
      </c>
      <c r="BP1141" s="2">
        <v>0</v>
      </c>
      <c r="BQ1141" s="2">
        <v>3</v>
      </c>
      <c r="BR1141" s="2">
        <v>1</v>
      </c>
      <c r="BS1141" s="2">
        <v>0</v>
      </c>
      <c r="BT1141" s="2">
        <v>0</v>
      </c>
      <c r="BU1141" s="2">
        <v>1</v>
      </c>
      <c r="BV1141" s="2">
        <f t="shared" si="73"/>
        <v>20</v>
      </c>
      <c r="BW1141" s="16">
        <f t="shared" si="71"/>
        <v>1.0526315789473684</v>
      </c>
      <c r="BX1141" s="16">
        <f>COUNTIF($BC$6:BU1141, "=0") / COUNTIF($BC$6:BU1141, "&gt;-1")</f>
        <v>0.30541141586360265</v>
      </c>
      <c r="BY1141" s="18">
        <f>SUM($BC$6:BU1141) / $BY$4</f>
        <v>0.95510974737628274</v>
      </c>
      <c r="BZ1141" s="14">
        <f t="shared" si="72"/>
        <v>8</v>
      </c>
      <c r="CA1141" t="s">
        <v>5832</v>
      </c>
      <c r="CZ1141" t="s">
        <v>8627</v>
      </c>
      <c r="DA1141" t="s">
        <v>5904</v>
      </c>
      <c r="DB1141">
        <v>237.7</v>
      </c>
      <c r="DC1141" t="s">
        <v>22207</v>
      </c>
      <c r="DD1141" t="s">
        <v>22208</v>
      </c>
      <c r="DE1141" t="s">
        <v>22209</v>
      </c>
      <c r="DF1141" t="s">
        <v>22210</v>
      </c>
      <c r="DG1141" t="s">
        <v>22211</v>
      </c>
      <c r="DH1141" t="str">
        <f>"RPL29"</f>
        <v>RPL29</v>
      </c>
      <c r="DI1141" t="s">
        <v>13772</v>
      </c>
      <c r="DJ1141" t="s">
        <v>13777</v>
      </c>
      <c r="DK1141">
        <v>9606</v>
      </c>
      <c r="DL1141" s="34" t="str">
        <f>HYPERLINK("http://www.uniprot.org/uniprot/P47914", "P47914")</f>
        <v>P47914</v>
      </c>
      <c r="DM1141" t="s">
        <v>22212</v>
      </c>
      <c r="DN1141" t="s">
        <v>13772</v>
      </c>
      <c r="DO1141" t="s">
        <v>13772</v>
      </c>
      <c r="DP1141" t="s">
        <v>13772</v>
      </c>
      <c r="DQ1141" t="s">
        <v>13772</v>
      </c>
      <c r="DR1141" t="s">
        <v>13772</v>
      </c>
      <c r="DS1141" t="s">
        <v>14096</v>
      </c>
      <c r="DT1141" t="s">
        <v>13772</v>
      </c>
      <c r="DU1141" t="s">
        <v>22213</v>
      </c>
      <c r="DV1141" t="s">
        <v>14098</v>
      </c>
      <c r="DW1141" t="s">
        <v>13812</v>
      </c>
      <c r="DX1141" t="s">
        <v>22214</v>
      </c>
      <c r="DY1141" t="s">
        <v>22215</v>
      </c>
      <c r="DZ1141" t="s">
        <v>22216</v>
      </c>
      <c r="EA1141" t="s">
        <v>13772</v>
      </c>
      <c r="EB1141" t="s">
        <v>13942</v>
      </c>
    </row>
    <row r="1142" spans="1:132" hidden="1">
      <c r="A1142">
        <v>911</v>
      </c>
      <c r="B1142">
        <v>1</v>
      </c>
      <c r="C1142" t="s">
        <v>2219</v>
      </c>
      <c r="D1142" t="s">
        <v>73</v>
      </c>
      <c r="E1142" t="s">
        <v>73</v>
      </c>
      <c r="F1142" t="s">
        <v>73</v>
      </c>
      <c r="G1142" t="s">
        <v>73</v>
      </c>
      <c r="H1142">
        <v>20.6</v>
      </c>
      <c r="I1142">
        <v>504</v>
      </c>
      <c r="J1142">
        <v>56923</v>
      </c>
      <c r="K1142" t="s">
        <v>2220</v>
      </c>
      <c r="L1142">
        <f t="shared" si="70"/>
        <v>20</v>
      </c>
      <c r="N1142">
        <v>20</v>
      </c>
      <c r="O1142">
        <v>20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</v>
      </c>
      <c r="AB1142">
        <v>6</v>
      </c>
      <c r="AC1142">
        <v>0</v>
      </c>
      <c r="AD1142">
        <v>0</v>
      </c>
      <c r="AE1142">
        <v>0</v>
      </c>
      <c r="AF1142">
        <v>3</v>
      </c>
      <c r="AG1142">
        <v>9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</v>
      </c>
      <c r="AU1142">
        <v>6</v>
      </c>
      <c r="AV1142">
        <v>0</v>
      </c>
      <c r="AW1142">
        <v>0</v>
      </c>
      <c r="AX1142">
        <v>0</v>
      </c>
      <c r="AY1142">
        <v>3</v>
      </c>
      <c r="AZ1142">
        <v>9</v>
      </c>
      <c r="BA1142">
        <v>0</v>
      </c>
      <c r="BB114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2</v>
      </c>
      <c r="BN1142" s="2">
        <v>6</v>
      </c>
      <c r="BO1142" s="2">
        <v>0</v>
      </c>
      <c r="BP1142" s="2">
        <v>0</v>
      </c>
      <c r="BQ1142" s="2">
        <v>0</v>
      </c>
      <c r="BR1142" s="2">
        <v>3</v>
      </c>
      <c r="BS1142" s="2">
        <v>9</v>
      </c>
      <c r="BT1142" s="2">
        <v>0</v>
      </c>
      <c r="BU1142" s="2">
        <v>0</v>
      </c>
      <c r="BV1142" s="2">
        <f t="shared" si="73"/>
        <v>20</v>
      </c>
      <c r="BW1142" s="16">
        <f t="shared" si="71"/>
        <v>1.0526315789473684</v>
      </c>
      <c r="BX1142" s="16">
        <f>COUNTIF($BC$6:BU1142, "=0") / COUNTIF($BC$6:BU1142, "&gt;-1")</f>
        <v>0.30583715224737307</v>
      </c>
      <c r="BY1142" s="18">
        <f>SUM($BC$6:BU1142) / $BY$4</f>
        <v>0.95519542011365666</v>
      </c>
      <c r="BZ1142" s="14">
        <f t="shared" si="72"/>
        <v>15</v>
      </c>
      <c r="CA1142" t="s">
        <v>5832</v>
      </c>
      <c r="CZ1142" t="s">
        <v>8814</v>
      </c>
      <c r="DA1142" t="s">
        <v>5904</v>
      </c>
      <c r="DB1142">
        <v>745.3</v>
      </c>
      <c r="DC1142" t="s">
        <v>22765</v>
      </c>
      <c r="DD1142" t="s">
        <v>22766</v>
      </c>
      <c r="DE1142" t="s">
        <v>22767</v>
      </c>
      <c r="DF1142" t="s">
        <v>22768</v>
      </c>
      <c r="DG1142" t="s">
        <v>22769</v>
      </c>
      <c r="DH1142" t="str">
        <f>"OLFM4"</f>
        <v>OLFM4</v>
      </c>
      <c r="DI1142" t="s">
        <v>22770</v>
      </c>
      <c r="DJ1142" t="s">
        <v>13777</v>
      </c>
      <c r="DK1142">
        <v>9606</v>
      </c>
      <c r="DL1142" s="34" t="str">
        <f>HYPERLINK("http://www.uniprot.org/uniprot/Q6UX06", "Q6UX06")</f>
        <v>Q6UX06</v>
      </c>
      <c r="DM1142" t="s">
        <v>22771</v>
      </c>
      <c r="DN1142" t="s">
        <v>13949</v>
      </c>
      <c r="DO1142" t="s">
        <v>22772</v>
      </c>
      <c r="DP1142" t="s">
        <v>13793</v>
      </c>
      <c r="DQ1142" t="s">
        <v>13772</v>
      </c>
      <c r="DR1142" t="s">
        <v>13772</v>
      </c>
      <c r="DS1142" t="s">
        <v>16820</v>
      </c>
      <c r="DT1142" t="s">
        <v>13772</v>
      </c>
      <c r="DU1142" t="s">
        <v>13772</v>
      </c>
      <c r="DV1142" t="s">
        <v>13796</v>
      </c>
      <c r="DW1142" t="s">
        <v>13772</v>
      </c>
      <c r="DX1142" t="s">
        <v>22773</v>
      </c>
      <c r="DY1142" t="s">
        <v>22774</v>
      </c>
      <c r="DZ1142" t="s">
        <v>22775</v>
      </c>
      <c r="EA1142" t="s">
        <v>13772</v>
      </c>
      <c r="EB1142" t="s">
        <v>13890</v>
      </c>
    </row>
    <row r="1143" spans="1:132" hidden="1">
      <c r="A1143">
        <v>1145</v>
      </c>
      <c r="B1143">
        <v>1</v>
      </c>
      <c r="C1143" t="s">
        <v>2756</v>
      </c>
      <c r="D1143" t="s">
        <v>73</v>
      </c>
      <c r="E1143" t="s">
        <v>73</v>
      </c>
      <c r="F1143" t="s">
        <v>73</v>
      </c>
      <c r="G1143" t="s">
        <v>73</v>
      </c>
      <c r="H1143">
        <v>7.9</v>
      </c>
      <c r="I1143">
        <v>1017</v>
      </c>
      <c r="J1143">
        <v>111325</v>
      </c>
      <c r="K1143" t="s">
        <v>2757</v>
      </c>
      <c r="L1143">
        <f t="shared" si="70"/>
        <v>20</v>
      </c>
      <c r="N1143">
        <v>20</v>
      </c>
      <c r="O1143">
        <v>20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3</v>
      </c>
      <c r="Y1143">
        <v>0</v>
      </c>
      <c r="Z1143">
        <v>0</v>
      </c>
      <c r="AA1143">
        <v>0</v>
      </c>
      <c r="AB1143">
        <v>6</v>
      </c>
      <c r="AC1143">
        <v>0</v>
      </c>
      <c r="AD1143">
        <v>0</v>
      </c>
      <c r="AE1143">
        <v>2</v>
      </c>
      <c r="AF1143">
        <v>1</v>
      </c>
      <c r="AG1143">
        <v>1</v>
      </c>
      <c r="AH1143">
        <v>0</v>
      </c>
      <c r="AI1143">
        <v>3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1</v>
      </c>
      <c r="AP1143">
        <v>0</v>
      </c>
      <c r="AQ1143">
        <v>3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2</v>
      </c>
      <c r="AY1143">
        <v>1</v>
      </c>
      <c r="AZ1143">
        <v>1</v>
      </c>
      <c r="BA1143">
        <v>0</v>
      </c>
      <c r="BB1143">
        <v>3</v>
      </c>
      <c r="BC1143" s="2">
        <v>1</v>
      </c>
      <c r="BD1143" s="2">
        <v>1</v>
      </c>
      <c r="BE1143" s="2">
        <v>1</v>
      </c>
      <c r="BF1143" s="2">
        <v>0</v>
      </c>
      <c r="BG1143" s="2">
        <v>0</v>
      </c>
      <c r="BH1143" s="2">
        <v>1</v>
      </c>
      <c r="BI1143" s="2">
        <v>0</v>
      </c>
      <c r="BJ1143" s="2">
        <v>3</v>
      </c>
      <c r="BK1143" s="2">
        <v>0</v>
      </c>
      <c r="BL1143" s="2">
        <v>0</v>
      </c>
      <c r="BM1143" s="2">
        <v>0</v>
      </c>
      <c r="BN1143" s="2">
        <v>6</v>
      </c>
      <c r="BO1143" s="2">
        <v>0</v>
      </c>
      <c r="BP1143" s="2">
        <v>0</v>
      </c>
      <c r="BQ1143" s="2">
        <v>2</v>
      </c>
      <c r="BR1143" s="2">
        <v>1</v>
      </c>
      <c r="BS1143" s="2">
        <v>1</v>
      </c>
      <c r="BT1143" s="2">
        <v>0</v>
      </c>
      <c r="BU1143" s="2">
        <v>3</v>
      </c>
      <c r="BV1143" s="2">
        <f t="shared" si="73"/>
        <v>20</v>
      </c>
      <c r="BW1143" s="16">
        <f t="shared" si="71"/>
        <v>1.0526315789473684</v>
      </c>
      <c r="BX1143" s="16">
        <f>COUNTIF($BC$6:BU1143, "=0") / COUNTIF($BC$6:BU1143, "&gt;-1")</f>
        <v>0.30598464526870778</v>
      </c>
      <c r="BY1143" s="18">
        <f>SUM($BC$6:BU1143) / $BY$4</f>
        <v>0.95528109285103069</v>
      </c>
      <c r="BZ1143" s="14">
        <f t="shared" si="72"/>
        <v>9</v>
      </c>
      <c r="CA1143" t="s">
        <v>5832</v>
      </c>
      <c r="CZ1143" t="s">
        <v>9538</v>
      </c>
      <c r="DA1143" t="s">
        <v>5904</v>
      </c>
      <c r="DB1143">
        <v>1892.1</v>
      </c>
      <c r="DC1143" t="s">
        <v>24821</v>
      </c>
      <c r="DD1143" t="s">
        <v>13772</v>
      </c>
      <c r="DE1143" t="s">
        <v>24822</v>
      </c>
      <c r="DF1143" t="s">
        <v>24823</v>
      </c>
      <c r="DG1143" t="s">
        <v>24824</v>
      </c>
      <c r="DH1143" t="str">
        <f>"SCUBE1"</f>
        <v>SCUBE1</v>
      </c>
      <c r="DI1143" t="s">
        <v>13772</v>
      </c>
      <c r="DJ1143" t="s">
        <v>13777</v>
      </c>
      <c r="DK1143">
        <v>9606</v>
      </c>
      <c r="DL1143" s="34" t="str">
        <f>HYPERLINK("http://www.uniprot.org/uniprot/Q8IWY4", "Q8IWY4")</f>
        <v>Q8IWY4</v>
      </c>
      <c r="DM1143" t="s">
        <v>24825</v>
      </c>
      <c r="DN1143" t="s">
        <v>13772</v>
      </c>
      <c r="DO1143" t="s">
        <v>14336</v>
      </c>
      <c r="DP1143" t="s">
        <v>13793</v>
      </c>
      <c r="DQ1143" t="s">
        <v>13772</v>
      </c>
      <c r="DR1143" t="s">
        <v>13772</v>
      </c>
      <c r="DS1143" t="s">
        <v>14768</v>
      </c>
      <c r="DT1143" t="s">
        <v>14465</v>
      </c>
      <c r="DU1143" t="s">
        <v>13772</v>
      </c>
      <c r="DV1143" t="s">
        <v>13796</v>
      </c>
      <c r="DW1143" t="s">
        <v>13772</v>
      </c>
      <c r="DX1143" t="s">
        <v>24826</v>
      </c>
      <c r="DY1143" t="s">
        <v>24827</v>
      </c>
      <c r="DZ1143" t="s">
        <v>24828</v>
      </c>
      <c r="EA1143" t="s">
        <v>13772</v>
      </c>
      <c r="EB1143" t="s">
        <v>24829</v>
      </c>
    </row>
    <row r="1144" spans="1:132" hidden="1">
      <c r="A1144">
        <v>1152</v>
      </c>
      <c r="B1144">
        <v>1</v>
      </c>
      <c r="C1144" t="s">
        <v>2771</v>
      </c>
      <c r="D1144" t="s">
        <v>2772</v>
      </c>
      <c r="E1144" t="s">
        <v>73</v>
      </c>
      <c r="F1144" t="s">
        <v>73</v>
      </c>
      <c r="G1144" t="s">
        <v>73</v>
      </c>
      <c r="H1144">
        <v>25.2</v>
      </c>
      <c r="I1144">
        <v>405</v>
      </c>
      <c r="J1144">
        <v>44636</v>
      </c>
      <c r="K1144" t="s">
        <v>2773</v>
      </c>
      <c r="L1144">
        <f t="shared" si="70"/>
        <v>20</v>
      </c>
      <c r="N1144">
        <v>20</v>
      </c>
      <c r="O1144">
        <v>20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7</v>
      </c>
      <c r="Z1144">
        <v>0</v>
      </c>
      <c r="AA1144">
        <v>4</v>
      </c>
      <c r="AB1144">
        <v>2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7</v>
      </c>
      <c r="AS1144">
        <v>0</v>
      </c>
      <c r="AT1144">
        <v>4</v>
      </c>
      <c r="AU1144">
        <v>2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 s="2">
        <v>0</v>
      </c>
      <c r="BD1144" s="2">
        <v>0</v>
      </c>
      <c r="BE1144" s="2">
        <v>1</v>
      </c>
      <c r="BF1144" s="2">
        <v>0</v>
      </c>
      <c r="BG1144" s="2">
        <v>1</v>
      </c>
      <c r="BH1144" s="2">
        <v>1</v>
      </c>
      <c r="BI1144" s="2">
        <v>1</v>
      </c>
      <c r="BJ1144" s="2">
        <v>1</v>
      </c>
      <c r="BK1144" s="2">
        <v>7</v>
      </c>
      <c r="BL1144" s="2">
        <v>0</v>
      </c>
      <c r="BM1144" s="2">
        <v>4</v>
      </c>
      <c r="BN1144" s="2">
        <v>2</v>
      </c>
      <c r="BO1144" s="2">
        <v>0</v>
      </c>
      <c r="BP1144" s="2">
        <v>0</v>
      </c>
      <c r="BQ1144" s="2">
        <v>1</v>
      </c>
      <c r="BR1144" s="2">
        <v>1</v>
      </c>
      <c r="BS1144" s="2">
        <v>0</v>
      </c>
      <c r="BT1144" s="2">
        <v>0</v>
      </c>
      <c r="BU1144" s="2">
        <v>0</v>
      </c>
      <c r="BV1144" s="2">
        <f t="shared" si="73"/>
        <v>20</v>
      </c>
      <c r="BW1144" s="16">
        <f t="shared" si="71"/>
        <v>1.0526315789473684</v>
      </c>
      <c r="BX1144" s="16">
        <f>COUNTIF($BC$6:BU1144, "=0") / COUNTIF($BC$6:BU1144, "&gt;-1")</f>
        <v>0.30613187930317454</v>
      </c>
      <c r="BY1144" s="18">
        <f>SUM($BC$6:BU1144) / $BY$4</f>
        <v>0.95536676558840472</v>
      </c>
      <c r="BZ1144" s="14">
        <f t="shared" si="72"/>
        <v>9</v>
      </c>
      <c r="CA1144" t="s">
        <v>5832</v>
      </c>
      <c r="CZ1144" t="s">
        <v>9561</v>
      </c>
      <c r="DA1144" t="s">
        <v>5904</v>
      </c>
      <c r="DB1144">
        <v>778.5</v>
      </c>
      <c r="DC1144" t="s">
        <v>24888</v>
      </c>
      <c r="DD1144" t="s">
        <v>24889</v>
      </c>
      <c r="DE1144" t="s">
        <v>24890</v>
      </c>
      <c r="DF1144" t="s">
        <v>24891</v>
      </c>
      <c r="DG1144" t="s">
        <v>24892</v>
      </c>
      <c r="DH1144" t="str">
        <f>"DCTN2"</f>
        <v>DCTN2</v>
      </c>
      <c r="DI1144" t="s">
        <v>24893</v>
      </c>
      <c r="DJ1144" t="s">
        <v>13777</v>
      </c>
      <c r="DK1144">
        <v>9606</v>
      </c>
      <c r="DL1144" s="34" t="str">
        <f>HYPERLINK("http://www.uniprot.org/uniprot/Q13561", "Q13561")</f>
        <v>Q13561</v>
      </c>
      <c r="DM1144" t="s">
        <v>24894</v>
      </c>
      <c r="DN1144" t="s">
        <v>13772</v>
      </c>
      <c r="DO1144" t="s">
        <v>24895</v>
      </c>
      <c r="DP1144" t="s">
        <v>13841</v>
      </c>
      <c r="DQ1144" t="s">
        <v>13772</v>
      </c>
      <c r="DR1144" t="s">
        <v>13772</v>
      </c>
      <c r="DS1144" t="s">
        <v>14245</v>
      </c>
      <c r="DT1144" t="s">
        <v>13772</v>
      </c>
      <c r="DU1144" t="s">
        <v>13772</v>
      </c>
      <c r="DV1144" t="s">
        <v>13886</v>
      </c>
      <c r="DW1144" t="s">
        <v>13772</v>
      </c>
      <c r="DX1144" t="s">
        <v>24896</v>
      </c>
      <c r="DY1144" t="s">
        <v>24897</v>
      </c>
      <c r="DZ1144" t="s">
        <v>24898</v>
      </c>
      <c r="EA1144" t="s">
        <v>13772</v>
      </c>
      <c r="EB1144" t="s">
        <v>24899</v>
      </c>
    </row>
    <row r="1145" spans="1:132" hidden="1">
      <c r="A1145">
        <v>1180</v>
      </c>
      <c r="B1145">
        <v>1</v>
      </c>
      <c r="C1145" t="s">
        <v>2833</v>
      </c>
      <c r="D1145" t="s">
        <v>2834</v>
      </c>
      <c r="E1145" t="s">
        <v>73</v>
      </c>
      <c r="F1145" t="s">
        <v>73</v>
      </c>
      <c r="G1145" t="s">
        <v>73</v>
      </c>
      <c r="H1145">
        <v>58.4</v>
      </c>
      <c r="I1145">
        <v>197</v>
      </c>
      <c r="J1145">
        <v>22525</v>
      </c>
      <c r="K1145" t="s">
        <v>2835</v>
      </c>
      <c r="L1145">
        <f t="shared" si="70"/>
        <v>20</v>
      </c>
      <c r="N1145">
        <v>20</v>
      </c>
      <c r="O1145">
        <v>20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3</v>
      </c>
      <c r="Z1145">
        <v>0</v>
      </c>
      <c r="AA1145">
        <v>10</v>
      </c>
      <c r="AB1145">
        <v>2</v>
      </c>
      <c r="AC1145">
        <v>1</v>
      </c>
      <c r="AD1145">
        <v>0</v>
      </c>
      <c r="AE1145">
        <v>4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</v>
      </c>
      <c r="AS1145">
        <v>0</v>
      </c>
      <c r="AT1145">
        <v>10</v>
      </c>
      <c r="AU1145">
        <v>2</v>
      </c>
      <c r="AV1145">
        <v>1</v>
      </c>
      <c r="AW1145">
        <v>0</v>
      </c>
      <c r="AX1145">
        <v>4</v>
      </c>
      <c r="AY1145">
        <v>0</v>
      </c>
      <c r="AZ1145">
        <v>0</v>
      </c>
      <c r="BA1145">
        <v>0</v>
      </c>
      <c r="BB1145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3</v>
      </c>
      <c r="BL1145" s="2">
        <v>0</v>
      </c>
      <c r="BM1145" s="2">
        <v>10</v>
      </c>
      <c r="BN1145" s="2">
        <v>2</v>
      </c>
      <c r="BO1145" s="2">
        <v>1</v>
      </c>
      <c r="BP1145" s="2">
        <v>0</v>
      </c>
      <c r="BQ1145" s="2">
        <v>4</v>
      </c>
      <c r="BR1145" s="2">
        <v>0</v>
      </c>
      <c r="BS1145" s="2">
        <v>0</v>
      </c>
      <c r="BT1145" s="2">
        <v>0</v>
      </c>
      <c r="BU1145" s="2">
        <v>0</v>
      </c>
      <c r="BV1145" s="2">
        <f t="shared" si="73"/>
        <v>20</v>
      </c>
      <c r="BW1145" s="16">
        <f t="shared" si="71"/>
        <v>1.0526315789473684</v>
      </c>
      <c r="BX1145" s="16">
        <f>COUNTIF($BC$6:BU1145, "=0") / COUNTIF($BC$6:BU1145, "&gt;-1")</f>
        <v>0.30650969529085875</v>
      </c>
      <c r="BY1145" s="18">
        <f>SUM($BC$6:BU1145) / $BY$4</f>
        <v>0.95545243832577875</v>
      </c>
      <c r="BZ1145" s="14">
        <f t="shared" si="72"/>
        <v>14</v>
      </c>
      <c r="CA1145" t="s">
        <v>5832</v>
      </c>
      <c r="CZ1145" t="s">
        <v>9660</v>
      </c>
      <c r="DA1145" t="s">
        <v>5904</v>
      </c>
      <c r="DB1145">
        <v>220.3</v>
      </c>
      <c r="DC1145" t="s">
        <v>25165</v>
      </c>
      <c r="DD1145" t="s">
        <v>25166</v>
      </c>
      <c r="DE1145" t="s">
        <v>25167</v>
      </c>
      <c r="DF1145" t="s">
        <v>25168</v>
      </c>
      <c r="DG1145" t="s">
        <v>25169</v>
      </c>
      <c r="DH1145" t="str">
        <f>"BID"</f>
        <v>BID</v>
      </c>
      <c r="DI1145" t="s">
        <v>13772</v>
      </c>
      <c r="DJ1145" t="s">
        <v>13777</v>
      </c>
      <c r="DK1145">
        <v>9606</v>
      </c>
      <c r="DL1145" s="34" t="str">
        <f>HYPERLINK("http://www.uniprot.org/uniprot/P55957", "P55957")</f>
        <v>P55957</v>
      </c>
      <c r="DM1145" t="s">
        <v>25170</v>
      </c>
      <c r="DN1145" t="s">
        <v>17109</v>
      </c>
      <c r="DO1145" t="s">
        <v>13884</v>
      </c>
      <c r="DP1145" t="s">
        <v>13780</v>
      </c>
      <c r="DQ1145" t="s">
        <v>13772</v>
      </c>
      <c r="DR1145" t="s">
        <v>13772</v>
      </c>
      <c r="DS1145" t="s">
        <v>13772</v>
      </c>
      <c r="DT1145" t="s">
        <v>13772</v>
      </c>
      <c r="DU1145" t="s">
        <v>13772</v>
      </c>
      <c r="DV1145" t="s">
        <v>19111</v>
      </c>
      <c r="DW1145" t="s">
        <v>13812</v>
      </c>
      <c r="DX1145" t="s">
        <v>25171</v>
      </c>
      <c r="DY1145" t="s">
        <v>25172</v>
      </c>
      <c r="DZ1145" t="s">
        <v>25173</v>
      </c>
      <c r="EA1145" t="s">
        <v>13772</v>
      </c>
      <c r="EB1145" t="s">
        <v>25174</v>
      </c>
    </row>
    <row r="1146" spans="1:132" hidden="1">
      <c r="A1146">
        <v>1184</v>
      </c>
      <c r="B1146">
        <v>1</v>
      </c>
      <c r="C1146" t="s">
        <v>2843</v>
      </c>
      <c r="D1146" t="s">
        <v>73</v>
      </c>
      <c r="E1146" t="s">
        <v>73</v>
      </c>
      <c r="F1146" t="s">
        <v>73</v>
      </c>
      <c r="G1146" t="s">
        <v>73</v>
      </c>
      <c r="H1146">
        <v>19.5</v>
      </c>
      <c r="I1146">
        <v>149</v>
      </c>
      <c r="J1146">
        <v>16660</v>
      </c>
      <c r="K1146" t="s">
        <v>2844</v>
      </c>
      <c r="L1146">
        <f t="shared" si="70"/>
        <v>20</v>
      </c>
      <c r="N1146">
        <v>20</v>
      </c>
      <c r="O1146">
        <v>20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3</v>
      </c>
      <c r="Y1146">
        <v>2</v>
      </c>
      <c r="Z1146">
        <v>0</v>
      </c>
      <c r="AA1146">
        <v>1</v>
      </c>
      <c r="AB1146">
        <v>1</v>
      </c>
      <c r="AC1146">
        <v>1</v>
      </c>
      <c r="AD1146">
        <v>0</v>
      </c>
      <c r="AE1146">
        <v>3</v>
      </c>
      <c r="AF1146">
        <v>3</v>
      </c>
      <c r="AG1146">
        <v>3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3</v>
      </c>
      <c r="AR1146">
        <v>2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3</v>
      </c>
      <c r="AY1146">
        <v>3</v>
      </c>
      <c r="AZ1146">
        <v>3</v>
      </c>
      <c r="BA1146">
        <v>0</v>
      </c>
      <c r="BB1146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1</v>
      </c>
      <c r="BI1146" s="2">
        <v>0</v>
      </c>
      <c r="BJ1146" s="2">
        <v>3</v>
      </c>
      <c r="BK1146" s="2">
        <v>2</v>
      </c>
      <c r="BL1146" s="2">
        <v>0</v>
      </c>
      <c r="BM1146" s="2">
        <v>1</v>
      </c>
      <c r="BN1146" s="2">
        <v>1</v>
      </c>
      <c r="BO1146" s="2">
        <v>1</v>
      </c>
      <c r="BP1146" s="2">
        <v>0</v>
      </c>
      <c r="BQ1146" s="2">
        <v>3</v>
      </c>
      <c r="BR1146" s="2">
        <v>3</v>
      </c>
      <c r="BS1146" s="2">
        <v>3</v>
      </c>
      <c r="BT1146" s="2">
        <v>0</v>
      </c>
      <c r="BU1146" s="2">
        <v>1</v>
      </c>
      <c r="BV1146" s="2">
        <f t="shared" si="73"/>
        <v>20</v>
      </c>
      <c r="BW1146" s="16">
        <f t="shared" si="71"/>
        <v>1.0526315789473684</v>
      </c>
      <c r="BX1146" s="16">
        <f>COUNTIF($BC$6:BU1146, "=0") / COUNTIF($BC$6:BU1146, "&gt;-1")</f>
        <v>0.30661008349093594</v>
      </c>
      <c r="BY1146" s="18">
        <f>SUM($BC$6:BU1146) / $BY$4</f>
        <v>0.95553811106315278</v>
      </c>
      <c r="BZ1146" s="14">
        <f t="shared" si="72"/>
        <v>8</v>
      </c>
      <c r="CA1146" t="s">
        <v>5832</v>
      </c>
      <c r="CZ1146" t="s">
        <v>6170</v>
      </c>
      <c r="DA1146" t="s">
        <v>5904</v>
      </c>
      <c r="DB1146">
        <v>177.9</v>
      </c>
      <c r="DC1146" t="s">
        <v>14731</v>
      </c>
      <c r="DD1146" t="s">
        <v>13772</v>
      </c>
      <c r="DE1146" t="s">
        <v>14732</v>
      </c>
      <c r="DF1146" t="s">
        <v>14733</v>
      </c>
      <c r="DG1146" t="s">
        <v>14734</v>
      </c>
      <c r="DH1146" t="str">
        <f>"CALM3"</f>
        <v>CALM3</v>
      </c>
      <c r="DI1146" t="s">
        <v>13772</v>
      </c>
      <c r="DJ1146" t="s">
        <v>13777</v>
      </c>
      <c r="DK1146">
        <v>9606</v>
      </c>
      <c r="DL1146" s="34" t="str">
        <f>HYPERLINK("http://www.uniprot.org/uniprot/P0DP25", "P0DP25")</f>
        <v>P0DP25</v>
      </c>
      <c r="DM1146" t="s">
        <v>14735</v>
      </c>
      <c r="DN1146" t="s">
        <v>13772</v>
      </c>
      <c r="DO1146" t="s">
        <v>13988</v>
      </c>
      <c r="DP1146" t="s">
        <v>13793</v>
      </c>
      <c r="DQ1146" t="s">
        <v>13772</v>
      </c>
      <c r="DR1146" t="s">
        <v>14736</v>
      </c>
      <c r="DS1146" t="s">
        <v>14096</v>
      </c>
      <c r="DT1146" t="s">
        <v>13873</v>
      </c>
      <c r="DU1146" t="s">
        <v>13772</v>
      </c>
      <c r="DV1146" t="s">
        <v>14663</v>
      </c>
      <c r="DW1146" t="s">
        <v>13812</v>
      </c>
      <c r="DX1146" t="s">
        <v>14737</v>
      </c>
      <c r="DY1146" t="s">
        <v>14738</v>
      </c>
      <c r="DZ1146" t="s">
        <v>14739</v>
      </c>
      <c r="EA1146" t="s">
        <v>13772</v>
      </c>
      <c r="EB1146" t="s">
        <v>13772</v>
      </c>
    </row>
    <row r="1147" spans="1:132" hidden="1">
      <c r="A1147">
        <v>1278</v>
      </c>
      <c r="B1147">
        <v>1</v>
      </c>
      <c r="C1147" t="s">
        <v>3066</v>
      </c>
      <c r="D1147" t="s">
        <v>73</v>
      </c>
      <c r="E1147" t="s">
        <v>73</v>
      </c>
      <c r="F1147" t="s">
        <v>73</v>
      </c>
      <c r="G1147" t="s">
        <v>73</v>
      </c>
      <c r="H1147">
        <v>12.3</v>
      </c>
      <c r="I1147">
        <v>478</v>
      </c>
      <c r="J1147">
        <v>53354</v>
      </c>
      <c r="K1147" t="s">
        <v>3067</v>
      </c>
      <c r="L1147">
        <f t="shared" si="70"/>
        <v>20</v>
      </c>
      <c r="N1147">
        <v>20</v>
      </c>
      <c r="O1147">
        <v>20</v>
      </c>
      <c r="P1147">
        <v>1</v>
      </c>
      <c r="Q1147">
        <v>4</v>
      </c>
      <c r="R1147">
        <v>2</v>
      </c>
      <c r="S1147">
        <v>3</v>
      </c>
      <c r="T1147">
        <v>1</v>
      </c>
      <c r="U1147">
        <v>2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2</v>
      </c>
      <c r="AB1147">
        <v>2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0</v>
      </c>
      <c r="AI1147">
        <v>0</v>
      </c>
      <c r="AJ1147">
        <v>4</v>
      </c>
      <c r="AK1147">
        <v>2</v>
      </c>
      <c r="AL1147">
        <v>3</v>
      </c>
      <c r="AM1147">
        <v>1</v>
      </c>
      <c r="AN1147">
        <v>2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2</v>
      </c>
      <c r="AU1147">
        <v>2</v>
      </c>
      <c r="AV1147">
        <v>0</v>
      </c>
      <c r="AW1147">
        <v>0</v>
      </c>
      <c r="AX1147">
        <v>0</v>
      </c>
      <c r="AY1147">
        <v>2</v>
      </c>
      <c r="AZ1147">
        <v>0</v>
      </c>
      <c r="BA1147">
        <v>0</v>
      </c>
      <c r="BB1147">
        <v>0</v>
      </c>
      <c r="BC1147" s="2">
        <v>4</v>
      </c>
      <c r="BD1147" s="2">
        <v>2</v>
      </c>
      <c r="BE1147" s="2">
        <v>3</v>
      </c>
      <c r="BF1147" s="2">
        <v>1</v>
      </c>
      <c r="BG1147" s="2">
        <v>2</v>
      </c>
      <c r="BH1147" s="2">
        <v>1</v>
      </c>
      <c r="BI1147" s="2">
        <v>1</v>
      </c>
      <c r="BJ1147" s="2">
        <v>0</v>
      </c>
      <c r="BK1147" s="2">
        <v>0</v>
      </c>
      <c r="BL1147" s="2">
        <v>0</v>
      </c>
      <c r="BM1147" s="2">
        <v>2</v>
      </c>
      <c r="BN1147" s="2">
        <v>2</v>
      </c>
      <c r="BO1147" s="2">
        <v>0</v>
      </c>
      <c r="BP1147" s="2">
        <v>0</v>
      </c>
      <c r="BQ1147" s="2">
        <v>0</v>
      </c>
      <c r="BR1147" s="2">
        <v>2</v>
      </c>
      <c r="BS1147" s="2">
        <v>0</v>
      </c>
      <c r="BT1147" s="2">
        <v>0</v>
      </c>
      <c r="BU1147" s="2">
        <v>0</v>
      </c>
      <c r="BV1147" s="2">
        <f t="shared" si="73"/>
        <v>20</v>
      </c>
      <c r="BW1147" s="16">
        <f t="shared" si="71"/>
        <v>1.0526315789473684</v>
      </c>
      <c r="BX1147" s="16">
        <f>COUNTIF($BC$6:BU1147, "=0") / COUNTIF($BC$6:BU1147, "&gt;-1")</f>
        <v>0.30675638307678127</v>
      </c>
      <c r="BY1147" s="18">
        <f>SUM($BC$6:BU1147) / $BY$4</f>
        <v>0.9556237838005267</v>
      </c>
      <c r="BZ1147" s="14">
        <f t="shared" si="72"/>
        <v>9</v>
      </c>
      <c r="CA1147" t="s">
        <v>5832</v>
      </c>
      <c r="CZ1147" t="s">
        <v>9995</v>
      </c>
      <c r="DA1147" t="s">
        <v>5904</v>
      </c>
      <c r="DB1147">
        <v>945.3</v>
      </c>
      <c r="DC1147" t="s">
        <v>26125</v>
      </c>
      <c r="DD1147" t="s">
        <v>13772</v>
      </c>
      <c r="DE1147" t="s">
        <v>26126</v>
      </c>
      <c r="DF1147" t="s">
        <v>26127</v>
      </c>
      <c r="DG1147" t="s">
        <v>26128</v>
      </c>
      <c r="DH1147" t="str">
        <f>"LPL"</f>
        <v>LPL</v>
      </c>
      <c r="DI1147" t="s">
        <v>26129</v>
      </c>
      <c r="DJ1147" t="s">
        <v>13777</v>
      </c>
      <c r="DK1147">
        <v>9606</v>
      </c>
      <c r="DL1147" s="34" t="str">
        <f>HYPERLINK("http://www.uniprot.org/uniprot/P06858", "P06858")</f>
        <v>P06858</v>
      </c>
      <c r="DM1147" t="s">
        <v>26130</v>
      </c>
      <c r="DN1147" t="s">
        <v>17548</v>
      </c>
      <c r="DO1147" t="s">
        <v>26131</v>
      </c>
      <c r="DP1147" t="s">
        <v>13793</v>
      </c>
      <c r="DQ1147" t="s">
        <v>13772</v>
      </c>
      <c r="DR1147" t="s">
        <v>26132</v>
      </c>
      <c r="DS1147" t="s">
        <v>13808</v>
      </c>
      <c r="DT1147" t="s">
        <v>13873</v>
      </c>
      <c r="DU1147" t="s">
        <v>25270</v>
      </c>
      <c r="DV1147" t="s">
        <v>26133</v>
      </c>
      <c r="DW1147" t="s">
        <v>13812</v>
      </c>
      <c r="DX1147" t="s">
        <v>26134</v>
      </c>
      <c r="DY1147" t="s">
        <v>26135</v>
      </c>
      <c r="DZ1147" t="s">
        <v>26136</v>
      </c>
      <c r="EA1147" t="s">
        <v>13772</v>
      </c>
      <c r="EB1147" t="s">
        <v>26137</v>
      </c>
    </row>
    <row r="1148" spans="1:132" hidden="1">
      <c r="A1148">
        <v>1359</v>
      </c>
      <c r="B1148">
        <v>1</v>
      </c>
      <c r="C1148" t="s">
        <v>3249</v>
      </c>
      <c r="D1148" t="s">
        <v>73</v>
      </c>
      <c r="E1148" t="s">
        <v>73</v>
      </c>
      <c r="F1148" t="s">
        <v>73</v>
      </c>
      <c r="G1148" t="s">
        <v>73</v>
      </c>
      <c r="H1148">
        <v>28.3</v>
      </c>
      <c r="I1148">
        <v>314</v>
      </c>
      <c r="J1148">
        <v>35420</v>
      </c>
      <c r="K1148" t="s">
        <v>3250</v>
      </c>
      <c r="L1148">
        <f t="shared" si="70"/>
        <v>20</v>
      </c>
      <c r="N1148">
        <v>20</v>
      </c>
      <c r="O1148">
        <v>20</v>
      </c>
      <c r="P1148">
        <v>1</v>
      </c>
      <c r="Q1148">
        <v>1</v>
      </c>
      <c r="R1148">
        <v>3</v>
      </c>
      <c r="S1148">
        <v>1</v>
      </c>
      <c r="T1148">
        <v>3</v>
      </c>
      <c r="U1148">
        <v>4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3</v>
      </c>
      <c r="AG1148">
        <v>0</v>
      </c>
      <c r="AH1148">
        <v>0</v>
      </c>
      <c r="AI1148">
        <v>2</v>
      </c>
      <c r="AJ1148">
        <v>1</v>
      </c>
      <c r="AK1148">
        <v>3</v>
      </c>
      <c r="AL1148">
        <v>1</v>
      </c>
      <c r="AM1148">
        <v>3</v>
      </c>
      <c r="AN1148">
        <v>4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3</v>
      </c>
      <c r="AZ1148">
        <v>0</v>
      </c>
      <c r="BA1148">
        <v>0</v>
      </c>
      <c r="BB1148">
        <v>2</v>
      </c>
      <c r="BC1148" s="2">
        <v>1</v>
      </c>
      <c r="BD1148" s="2">
        <v>3</v>
      </c>
      <c r="BE1148" s="2">
        <v>1</v>
      </c>
      <c r="BF1148" s="2">
        <v>3</v>
      </c>
      <c r="BG1148" s="2">
        <v>4</v>
      </c>
      <c r="BH1148" s="2">
        <v>1</v>
      </c>
      <c r="BI1148" s="2">
        <v>0</v>
      </c>
      <c r="BJ1148" s="2">
        <v>0</v>
      </c>
      <c r="BK1148" s="2">
        <v>1</v>
      </c>
      <c r="BL1148" s="2">
        <v>0</v>
      </c>
      <c r="BM1148" s="2">
        <v>0</v>
      </c>
      <c r="BN1148" s="2">
        <v>0</v>
      </c>
      <c r="BO1148" s="2">
        <v>1</v>
      </c>
      <c r="BP1148" s="2">
        <v>0</v>
      </c>
      <c r="BQ1148" s="2">
        <v>0</v>
      </c>
      <c r="BR1148" s="2">
        <v>3</v>
      </c>
      <c r="BS1148" s="2">
        <v>0</v>
      </c>
      <c r="BT1148" s="2">
        <v>0</v>
      </c>
      <c r="BU1148" s="2">
        <v>2</v>
      </c>
      <c r="BV1148" s="2">
        <f t="shared" si="73"/>
        <v>20</v>
      </c>
      <c r="BW1148" s="16">
        <f t="shared" si="71"/>
        <v>1.0526315789473684</v>
      </c>
      <c r="BX1148" s="16">
        <f>COUNTIF($BC$6:BU1148, "=0") / COUNTIF($BC$6:BU1148, "&gt;-1")</f>
        <v>0.30690242667035039</v>
      </c>
      <c r="BY1148" s="18">
        <f>SUM($BC$6:BU1148) / $BY$4</f>
        <v>0.95570945653790074</v>
      </c>
      <c r="BZ1148" s="14">
        <f t="shared" si="72"/>
        <v>9</v>
      </c>
      <c r="CA1148" t="s">
        <v>5832</v>
      </c>
      <c r="CZ1148" t="s">
        <v>10273</v>
      </c>
      <c r="DA1148" t="s">
        <v>5904</v>
      </c>
      <c r="DB1148">
        <v>626.70000000000005</v>
      </c>
      <c r="DC1148" t="s">
        <v>26922</v>
      </c>
      <c r="DD1148" t="s">
        <v>26923</v>
      </c>
      <c r="DE1148" t="s">
        <v>26924</v>
      </c>
      <c r="DF1148" t="s">
        <v>26925</v>
      </c>
      <c r="DG1148" t="s">
        <v>26926</v>
      </c>
      <c r="DH1148" t="str">
        <f>"SFRP1"</f>
        <v>SFRP1</v>
      </c>
      <c r="DI1148" t="s">
        <v>26927</v>
      </c>
      <c r="DJ1148" t="s">
        <v>13777</v>
      </c>
      <c r="DK1148">
        <v>9606</v>
      </c>
      <c r="DL1148" s="34" t="str">
        <f>HYPERLINK("http://www.uniprot.org/uniprot/Q8N474", "Q8N474")</f>
        <v>Q8N474</v>
      </c>
      <c r="DM1148" t="s">
        <v>26928</v>
      </c>
      <c r="DN1148" t="s">
        <v>17273</v>
      </c>
      <c r="DO1148" t="s">
        <v>14321</v>
      </c>
      <c r="DP1148" t="s">
        <v>13772</v>
      </c>
      <c r="DQ1148" t="s">
        <v>13772</v>
      </c>
      <c r="DR1148" t="s">
        <v>13772</v>
      </c>
      <c r="DS1148" t="s">
        <v>13808</v>
      </c>
      <c r="DT1148" t="s">
        <v>13772</v>
      </c>
      <c r="DU1148" t="s">
        <v>14727</v>
      </c>
      <c r="DV1148" t="s">
        <v>13796</v>
      </c>
      <c r="DW1148" t="s">
        <v>13772</v>
      </c>
      <c r="DX1148" t="s">
        <v>26929</v>
      </c>
      <c r="DY1148" t="s">
        <v>26930</v>
      </c>
      <c r="DZ1148" t="s">
        <v>26931</v>
      </c>
      <c r="EA1148" t="s">
        <v>13772</v>
      </c>
      <c r="EB1148" t="s">
        <v>14077</v>
      </c>
    </row>
    <row r="1149" spans="1:132" hidden="1">
      <c r="A1149">
        <v>1371</v>
      </c>
      <c r="B1149">
        <v>1</v>
      </c>
      <c r="C1149" t="s">
        <v>3276</v>
      </c>
      <c r="D1149" t="s">
        <v>3277</v>
      </c>
      <c r="E1149" t="s">
        <v>73</v>
      </c>
      <c r="F1149" t="s">
        <v>73</v>
      </c>
      <c r="G1149" t="s">
        <v>73</v>
      </c>
      <c r="H1149">
        <v>27.4</v>
      </c>
      <c r="I1149">
        <v>117</v>
      </c>
      <c r="J1149">
        <v>13136</v>
      </c>
      <c r="K1149" t="s">
        <v>3278</v>
      </c>
      <c r="L1149">
        <f t="shared" si="70"/>
        <v>20</v>
      </c>
      <c r="N1149">
        <v>20</v>
      </c>
      <c r="O1149">
        <v>20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4</v>
      </c>
      <c r="Z1149">
        <v>0</v>
      </c>
      <c r="AA1149">
        <v>3</v>
      </c>
      <c r="AB1149">
        <v>4</v>
      </c>
      <c r="AC1149">
        <v>1</v>
      </c>
      <c r="AD1149">
        <v>0</v>
      </c>
      <c r="AE1149">
        <v>3</v>
      </c>
      <c r="AF1149">
        <v>3</v>
      </c>
      <c r="AG1149">
        <v>0</v>
      </c>
      <c r="AH1149">
        <v>0</v>
      </c>
      <c r="AI1149">
        <v>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4</v>
      </c>
      <c r="AS1149">
        <v>0</v>
      </c>
      <c r="AT1149">
        <v>3</v>
      </c>
      <c r="AU1149">
        <v>4</v>
      </c>
      <c r="AV1149">
        <v>1</v>
      </c>
      <c r="AW1149">
        <v>0</v>
      </c>
      <c r="AX1149">
        <v>3</v>
      </c>
      <c r="AY1149">
        <v>3</v>
      </c>
      <c r="AZ1149">
        <v>0</v>
      </c>
      <c r="BA1149">
        <v>0</v>
      </c>
      <c r="BB1149">
        <v>2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4</v>
      </c>
      <c r="BL1149" s="2">
        <v>0</v>
      </c>
      <c r="BM1149" s="2">
        <v>3</v>
      </c>
      <c r="BN1149" s="2">
        <v>4</v>
      </c>
      <c r="BO1149" s="2">
        <v>1</v>
      </c>
      <c r="BP1149" s="2">
        <v>0</v>
      </c>
      <c r="BQ1149" s="2">
        <v>3</v>
      </c>
      <c r="BR1149" s="2">
        <v>3</v>
      </c>
      <c r="BS1149" s="2">
        <v>0</v>
      </c>
      <c r="BT1149" s="2">
        <v>0</v>
      </c>
      <c r="BU1149" s="2">
        <v>2</v>
      </c>
      <c r="BV1149" s="2">
        <f t="shared" si="73"/>
        <v>20</v>
      </c>
      <c r="BW1149" s="16">
        <f t="shared" si="71"/>
        <v>1.0526315789473684</v>
      </c>
      <c r="BX1149" s="16">
        <f>COUNTIF($BC$6:BU1149, "=0") / COUNTIF($BC$6:BU1149, "&gt;-1")</f>
        <v>0.30718623481781376</v>
      </c>
      <c r="BY1149" s="18">
        <f>SUM($BC$6:BU1149) / $BY$4</f>
        <v>0.95579512927527477</v>
      </c>
      <c r="BZ1149" s="14">
        <f t="shared" si="72"/>
        <v>12</v>
      </c>
      <c r="CA1149" t="s">
        <v>5832</v>
      </c>
      <c r="CZ1149" t="s">
        <v>10312</v>
      </c>
      <c r="DA1149" t="s">
        <v>5904</v>
      </c>
      <c r="DB1149">
        <v>168.7</v>
      </c>
      <c r="DC1149" t="s">
        <v>27029</v>
      </c>
      <c r="DD1149" t="s">
        <v>13772</v>
      </c>
      <c r="DE1149" t="s">
        <v>27030</v>
      </c>
      <c r="DF1149" t="s">
        <v>27031</v>
      </c>
      <c r="DG1149" t="s">
        <v>27032</v>
      </c>
      <c r="DH1149" t="str">
        <f>"MLN"</f>
        <v>MLN</v>
      </c>
      <c r="DI1149" t="s">
        <v>13772</v>
      </c>
      <c r="DJ1149" t="s">
        <v>13777</v>
      </c>
      <c r="DK1149">
        <v>9606</v>
      </c>
      <c r="DL1149" s="34" t="str">
        <f>HYPERLINK("http://www.uniprot.org/uniprot/P12872", "P12872")</f>
        <v>P12872</v>
      </c>
      <c r="DM1149" t="s">
        <v>27033</v>
      </c>
      <c r="DN1149" t="s">
        <v>13772</v>
      </c>
      <c r="DO1149" t="s">
        <v>14321</v>
      </c>
      <c r="DP1149" t="s">
        <v>13780</v>
      </c>
      <c r="DQ1149" t="s">
        <v>13772</v>
      </c>
      <c r="DR1149" t="s">
        <v>13772</v>
      </c>
      <c r="DS1149" t="s">
        <v>13808</v>
      </c>
      <c r="DT1149" t="s">
        <v>13772</v>
      </c>
      <c r="DU1149" t="s">
        <v>14322</v>
      </c>
      <c r="DV1149" t="s">
        <v>24449</v>
      </c>
      <c r="DW1149" t="s">
        <v>13812</v>
      </c>
      <c r="DX1149" t="s">
        <v>27034</v>
      </c>
      <c r="DY1149" t="s">
        <v>15346</v>
      </c>
      <c r="DZ1149" t="s">
        <v>27035</v>
      </c>
      <c r="EA1149" t="s">
        <v>13772</v>
      </c>
      <c r="EB1149" t="s">
        <v>27036</v>
      </c>
    </row>
    <row r="1150" spans="1:132" hidden="1">
      <c r="A1150">
        <v>1475</v>
      </c>
      <c r="B1150">
        <v>1</v>
      </c>
      <c r="C1150" t="s">
        <v>3510</v>
      </c>
      <c r="D1150" t="s">
        <v>73</v>
      </c>
      <c r="E1150" t="s">
        <v>73</v>
      </c>
      <c r="F1150" t="s">
        <v>73</v>
      </c>
      <c r="G1150" t="s">
        <v>73</v>
      </c>
      <c r="H1150">
        <v>27.2</v>
      </c>
      <c r="I1150">
        <v>81</v>
      </c>
      <c r="J1150">
        <v>9070</v>
      </c>
      <c r="K1150" t="s">
        <v>3511</v>
      </c>
      <c r="L1150">
        <f t="shared" si="70"/>
        <v>20</v>
      </c>
      <c r="N1150">
        <v>20</v>
      </c>
      <c r="O1150">
        <v>20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2</v>
      </c>
      <c r="Y1150">
        <v>1</v>
      </c>
      <c r="Z1150">
        <v>0</v>
      </c>
      <c r="AA1150">
        <v>3</v>
      </c>
      <c r="AB1150">
        <v>2</v>
      </c>
      <c r="AC1150">
        <v>2</v>
      </c>
      <c r="AD1150">
        <v>0</v>
      </c>
      <c r="AE1150">
        <v>2</v>
      </c>
      <c r="AF1150">
        <v>2</v>
      </c>
      <c r="AG1150">
        <v>3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2</v>
      </c>
      <c r="AR1150">
        <v>1</v>
      </c>
      <c r="AS1150">
        <v>0</v>
      </c>
      <c r="AT1150">
        <v>3</v>
      </c>
      <c r="AU1150">
        <v>2</v>
      </c>
      <c r="AV1150">
        <v>2</v>
      </c>
      <c r="AW1150">
        <v>0</v>
      </c>
      <c r="AX1150">
        <v>2</v>
      </c>
      <c r="AY1150">
        <v>2</v>
      </c>
      <c r="AZ1150">
        <v>3</v>
      </c>
      <c r="BA1150">
        <v>0</v>
      </c>
      <c r="BB1150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</v>
      </c>
      <c r="BJ1150" s="2">
        <v>2</v>
      </c>
      <c r="BK1150" s="2">
        <v>1</v>
      </c>
      <c r="BL1150" s="2">
        <v>0</v>
      </c>
      <c r="BM1150" s="2">
        <v>3</v>
      </c>
      <c r="BN1150" s="2">
        <v>2</v>
      </c>
      <c r="BO1150" s="2">
        <v>2</v>
      </c>
      <c r="BP1150" s="2">
        <v>0</v>
      </c>
      <c r="BQ1150" s="2">
        <v>2</v>
      </c>
      <c r="BR1150" s="2">
        <v>2</v>
      </c>
      <c r="BS1150" s="2">
        <v>3</v>
      </c>
      <c r="BT1150" s="2">
        <v>0</v>
      </c>
      <c r="BU1150" s="2">
        <v>1</v>
      </c>
      <c r="BV1150" s="2">
        <f t="shared" si="73"/>
        <v>20</v>
      </c>
      <c r="BW1150" s="16">
        <f t="shared" si="71"/>
        <v>1.0526315789473684</v>
      </c>
      <c r="BX1150" s="16">
        <f>COUNTIF($BC$6:BU1150, "=0") / COUNTIF($BC$6:BU1150, "&gt;-1")</f>
        <v>0.30728568145253965</v>
      </c>
      <c r="BY1150" s="18">
        <f>SUM($BC$6:BU1150) / $BY$4</f>
        <v>0.9558808020126488</v>
      </c>
      <c r="BZ1150" s="14">
        <f t="shared" si="72"/>
        <v>8</v>
      </c>
      <c r="CA1150" t="s">
        <v>5832</v>
      </c>
      <c r="CZ1150" t="s">
        <v>10647</v>
      </c>
      <c r="DA1150" t="s">
        <v>5904</v>
      </c>
      <c r="DB1150">
        <v>162.5</v>
      </c>
      <c r="DC1150" t="s">
        <v>27969</v>
      </c>
      <c r="DD1150" t="s">
        <v>27970</v>
      </c>
      <c r="DE1150" t="s">
        <v>27971</v>
      </c>
      <c r="DF1150" t="s">
        <v>27972</v>
      </c>
      <c r="DG1150" t="s">
        <v>27973</v>
      </c>
      <c r="DH1150" t="str">
        <f>"ABRACL"</f>
        <v>ABRACL</v>
      </c>
      <c r="DI1150" t="s">
        <v>27974</v>
      </c>
      <c r="DJ1150" t="s">
        <v>13777</v>
      </c>
      <c r="DK1150">
        <v>9606</v>
      </c>
      <c r="DL1150" s="34" t="str">
        <f>HYPERLINK("http://www.uniprot.org/uniprot/Q9P1F3", "Q9P1F3")</f>
        <v>Q9P1F3</v>
      </c>
      <c r="DM1150" t="s">
        <v>27975</v>
      </c>
      <c r="DN1150" t="s">
        <v>13772</v>
      </c>
      <c r="DO1150" t="s">
        <v>13772</v>
      </c>
      <c r="DP1150" t="s">
        <v>13772</v>
      </c>
      <c r="DQ1150" t="s">
        <v>13772</v>
      </c>
      <c r="DR1150" t="s">
        <v>13772</v>
      </c>
      <c r="DS1150" t="s">
        <v>13772</v>
      </c>
      <c r="DT1150" t="s">
        <v>13772</v>
      </c>
      <c r="DU1150" t="s">
        <v>13772</v>
      </c>
      <c r="DV1150" t="s">
        <v>14020</v>
      </c>
      <c r="DW1150" t="s">
        <v>13812</v>
      </c>
      <c r="DX1150" t="s">
        <v>27976</v>
      </c>
      <c r="DY1150" t="s">
        <v>13772</v>
      </c>
      <c r="DZ1150" t="s">
        <v>13772</v>
      </c>
      <c r="EA1150" t="s">
        <v>13772</v>
      </c>
      <c r="EB1150" t="s">
        <v>13772</v>
      </c>
    </row>
    <row r="1151" spans="1:132" hidden="1">
      <c r="A1151">
        <v>1498</v>
      </c>
      <c r="B1151">
        <v>1</v>
      </c>
      <c r="C1151" t="s">
        <v>3564</v>
      </c>
      <c r="D1151" t="s">
        <v>3565</v>
      </c>
      <c r="E1151" t="s">
        <v>73</v>
      </c>
      <c r="F1151" t="s">
        <v>73</v>
      </c>
      <c r="G1151" t="s">
        <v>73</v>
      </c>
      <c r="H1151">
        <v>17.399999999999999</v>
      </c>
      <c r="I1151">
        <v>407</v>
      </c>
      <c r="J1151">
        <v>44727</v>
      </c>
      <c r="K1151" t="s">
        <v>3566</v>
      </c>
      <c r="L1151">
        <f t="shared" si="70"/>
        <v>20</v>
      </c>
      <c r="N1151">
        <v>20</v>
      </c>
      <c r="O1151">
        <v>20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2</v>
      </c>
      <c r="Z1151">
        <v>0</v>
      </c>
      <c r="AA1151">
        <v>6</v>
      </c>
      <c r="AB1151">
        <v>2</v>
      </c>
      <c r="AC1151">
        <v>0</v>
      </c>
      <c r="AD1151">
        <v>0</v>
      </c>
      <c r="AE1151">
        <v>4</v>
      </c>
      <c r="AF1151">
        <v>3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2</v>
      </c>
      <c r="AS1151">
        <v>0</v>
      </c>
      <c r="AT1151">
        <v>6</v>
      </c>
      <c r="AU1151">
        <v>2</v>
      </c>
      <c r="AV1151">
        <v>0</v>
      </c>
      <c r="AW1151">
        <v>0</v>
      </c>
      <c r="AX1151">
        <v>4</v>
      </c>
      <c r="AY1151">
        <v>3</v>
      </c>
      <c r="AZ1151">
        <v>1</v>
      </c>
      <c r="BA1151">
        <v>0</v>
      </c>
      <c r="BB1151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0</v>
      </c>
      <c r="BK1151" s="2">
        <v>2</v>
      </c>
      <c r="BL1151" s="2">
        <v>0</v>
      </c>
      <c r="BM1151" s="2">
        <v>6</v>
      </c>
      <c r="BN1151" s="2">
        <v>2</v>
      </c>
      <c r="BO1151" s="2">
        <v>0</v>
      </c>
      <c r="BP1151" s="2">
        <v>0</v>
      </c>
      <c r="BQ1151" s="2">
        <v>4</v>
      </c>
      <c r="BR1151" s="2">
        <v>3</v>
      </c>
      <c r="BS1151" s="2">
        <v>1</v>
      </c>
      <c r="BT1151" s="2">
        <v>0</v>
      </c>
      <c r="BU1151" s="2">
        <v>1</v>
      </c>
      <c r="BV1151" s="2">
        <f t="shared" si="73"/>
        <v>20</v>
      </c>
      <c r="BW1151" s="16">
        <f t="shared" si="71"/>
        <v>1.0526315789473684</v>
      </c>
      <c r="BX1151" s="16">
        <f>COUNTIF($BC$6:BU1151, "=0") / COUNTIF($BC$6:BU1151, "&gt;-1")</f>
        <v>0.30752273353540921</v>
      </c>
      <c r="BY1151" s="18">
        <f>SUM($BC$6:BU1151) / $BY$4</f>
        <v>0.95596647475002283</v>
      </c>
      <c r="BZ1151" s="14">
        <f t="shared" si="72"/>
        <v>11</v>
      </c>
      <c r="CA1151" t="s">
        <v>5832</v>
      </c>
      <c r="CZ1151" t="s">
        <v>10724</v>
      </c>
      <c r="DA1151" t="s">
        <v>5904</v>
      </c>
      <c r="DB1151">
        <v>804.7</v>
      </c>
      <c r="DC1151" t="s">
        <v>28184</v>
      </c>
      <c r="DD1151" t="s">
        <v>28185</v>
      </c>
      <c r="DE1151" t="s">
        <v>28186</v>
      </c>
      <c r="DF1151" t="s">
        <v>28187</v>
      </c>
      <c r="DG1151" t="s">
        <v>28188</v>
      </c>
      <c r="DH1151" t="str">
        <f>"SERBP1"</f>
        <v>SERBP1</v>
      </c>
      <c r="DI1151" t="s">
        <v>28189</v>
      </c>
      <c r="DJ1151" t="s">
        <v>13777</v>
      </c>
      <c r="DK1151">
        <v>9606</v>
      </c>
      <c r="DL1151" s="34" t="str">
        <f>HYPERLINK("http://www.uniprot.org/uniprot/Q8NC51", "Q8NC51")</f>
        <v>Q8NC51</v>
      </c>
      <c r="DM1151" t="s">
        <v>28190</v>
      </c>
      <c r="DN1151" t="s">
        <v>13772</v>
      </c>
      <c r="DO1151" t="s">
        <v>13912</v>
      </c>
      <c r="DP1151" t="s">
        <v>13841</v>
      </c>
      <c r="DQ1151" t="s">
        <v>13772</v>
      </c>
      <c r="DR1151" t="s">
        <v>13772</v>
      </c>
      <c r="DS1151" t="s">
        <v>13772</v>
      </c>
      <c r="DT1151" t="s">
        <v>13772</v>
      </c>
      <c r="DU1151" t="s">
        <v>14826</v>
      </c>
      <c r="DV1151" t="s">
        <v>14663</v>
      </c>
      <c r="DW1151" t="s">
        <v>13812</v>
      </c>
      <c r="DX1151" t="s">
        <v>28191</v>
      </c>
      <c r="DY1151" t="s">
        <v>28192</v>
      </c>
      <c r="DZ1151" t="s">
        <v>28193</v>
      </c>
      <c r="EA1151" t="s">
        <v>13772</v>
      </c>
      <c r="EB1151" t="s">
        <v>13772</v>
      </c>
    </row>
    <row r="1152" spans="1:132" hidden="1">
      <c r="A1152">
        <v>1563</v>
      </c>
      <c r="B1152">
        <v>1</v>
      </c>
      <c r="C1152" t="s">
        <v>3705</v>
      </c>
      <c r="D1152" t="s">
        <v>73</v>
      </c>
      <c r="E1152" t="s">
        <v>73</v>
      </c>
      <c r="F1152" t="s">
        <v>73</v>
      </c>
      <c r="G1152" t="s">
        <v>73</v>
      </c>
      <c r="H1152">
        <v>13.7</v>
      </c>
      <c r="I1152">
        <v>634</v>
      </c>
      <c r="J1152">
        <v>71127</v>
      </c>
      <c r="K1152" t="s">
        <v>3706</v>
      </c>
      <c r="L1152">
        <f t="shared" si="70"/>
        <v>20</v>
      </c>
      <c r="N1152">
        <v>20</v>
      </c>
      <c r="O1152">
        <v>20</v>
      </c>
      <c r="P1152">
        <v>1</v>
      </c>
      <c r="Q1152">
        <v>0</v>
      </c>
      <c r="R1152">
        <v>6</v>
      </c>
      <c r="S1152">
        <v>0</v>
      </c>
      <c r="T1152">
        <v>1</v>
      </c>
      <c r="U1152">
        <v>6</v>
      </c>
      <c r="V1152">
        <v>4</v>
      </c>
      <c r="W1152">
        <v>2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6</v>
      </c>
      <c r="AL1152">
        <v>0</v>
      </c>
      <c r="AM1152">
        <v>1</v>
      </c>
      <c r="AN1152">
        <v>6</v>
      </c>
      <c r="AO1152">
        <v>4</v>
      </c>
      <c r="AP1152">
        <v>2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 s="2">
        <v>0</v>
      </c>
      <c r="BD1152" s="2">
        <v>6</v>
      </c>
      <c r="BE1152" s="2">
        <v>0</v>
      </c>
      <c r="BF1152" s="2">
        <v>1</v>
      </c>
      <c r="BG1152" s="2">
        <v>6</v>
      </c>
      <c r="BH1152" s="2">
        <v>4</v>
      </c>
      <c r="BI1152" s="2">
        <v>2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f t="shared" si="73"/>
        <v>20</v>
      </c>
      <c r="BW1152" s="16">
        <f t="shared" si="71"/>
        <v>1.0526315789473684</v>
      </c>
      <c r="BX1152" s="16">
        <f>COUNTIF($BC$6:BU1152, "=0") / COUNTIF($BC$6:BU1152, "&gt;-1")</f>
        <v>0.30785114486302939</v>
      </c>
      <c r="BY1152" s="18">
        <f>SUM($BC$6:BU1152) / $BY$4</f>
        <v>0.95605214748739675</v>
      </c>
      <c r="BZ1152" s="14">
        <f t="shared" si="72"/>
        <v>13</v>
      </c>
      <c r="CA1152" t="s">
        <v>5832</v>
      </c>
      <c r="CZ1152" t="s">
        <v>10948</v>
      </c>
      <c r="DA1152" t="s">
        <v>5904</v>
      </c>
      <c r="DB1152">
        <v>1126.3</v>
      </c>
      <c r="DC1152" t="s">
        <v>28798</v>
      </c>
      <c r="DD1152" t="s">
        <v>28799</v>
      </c>
      <c r="DE1152" t="s">
        <v>28800</v>
      </c>
      <c r="DF1152" t="s">
        <v>28801</v>
      </c>
      <c r="DG1152" t="s">
        <v>28802</v>
      </c>
      <c r="DH1152" t="str">
        <f>"SLC6A19"</f>
        <v>SLC6A19</v>
      </c>
      <c r="DI1152" t="s">
        <v>28803</v>
      </c>
      <c r="DJ1152" t="s">
        <v>13777</v>
      </c>
      <c r="DK1152">
        <v>9606</v>
      </c>
      <c r="DL1152" s="34" t="str">
        <f>HYPERLINK("http://www.uniprot.org/uniprot/Q695T7", "Q695T7")</f>
        <v>Q695T7</v>
      </c>
      <c r="DM1152" t="s">
        <v>28804</v>
      </c>
      <c r="DN1152" t="s">
        <v>22728</v>
      </c>
      <c r="DO1152" t="s">
        <v>13792</v>
      </c>
      <c r="DP1152" t="s">
        <v>13793</v>
      </c>
      <c r="DQ1152" t="s">
        <v>13772</v>
      </c>
      <c r="DR1152" t="s">
        <v>13807</v>
      </c>
      <c r="DS1152" t="s">
        <v>13925</v>
      </c>
      <c r="DT1152" t="s">
        <v>13772</v>
      </c>
      <c r="DU1152" t="s">
        <v>13772</v>
      </c>
      <c r="DV1152" t="s">
        <v>13978</v>
      </c>
      <c r="DW1152" t="s">
        <v>13772</v>
      </c>
      <c r="DX1152" t="s">
        <v>28805</v>
      </c>
      <c r="DY1152" t="s">
        <v>28806</v>
      </c>
      <c r="DZ1152" t="s">
        <v>28807</v>
      </c>
      <c r="EA1152" t="s">
        <v>13772</v>
      </c>
      <c r="EB1152" t="s">
        <v>28808</v>
      </c>
    </row>
    <row r="1153" spans="1:132" hidden="1">
      <c r="A1153">
        <v>1657</v>
      </c>
      <c r="B1153">
        <v>1</v>
      </c>
      <c r="C1153" t="s">
        <v>3930</v>
      </c>
      <c r="D1153" t="s">
        <v>73</v>
      </c>
      <c r="E1153" t="s">
        <v>73</v>
      </c>
      <c r="F1153" t="s">
        <v>73</v>
      </c>
      <c r="G1153" t="s">
        <v>73</v>
      </c>
      <c r="H1153">
        <v>25.6</v>
      </c>
      <c r="I1153">
        <v>289</v>
      </c>
      <c r="J1153">
        <v>31445</v>
      </c>
      <c r="K1153" t="s">
        <v>3931</v>
      </c>
      <c r="L1153">
        <f t="shared" si="70"/>
        <v>20</v>
      </c>
      <c r="N1153">
        <v>20</v>
      </c>
      <c r="O1153">
        <v>20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5</v>
      </c>
      <c r="AB1153">
        <v>3</v>
      </c>
      <c r="AC1153">
        <v>4</v>
      </c>
      <c r="AD1153">
        <v>0</v>
      </c>
      <c r="AE1153">
        <v>2</v>
      </c>
      <c r="AF1153">
        <v>2</v>
      </c>
      <c r="AG1153">
        <v>0</v>
      </c>
      <c r="AH1153">
        <v>0</v>
      </c>
      <c r="AI1153">
        <v>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</v>
      </c>
      <c r="AS1153">
        <v>0</v>
      </c>
      <c r="AT1153">
        <v>5</v>
      </c>
      <c r="AU1153">
        <v>3</v>
      </c>
      <c r="AV1153">
        <v>4</v>
      </c>
      <c r="AW1153">
        <v>0</v>
      </c>
      <c r="AX1153">
        <v>2</v>
      </c>
      <c r="AY1153">
        <v>2</v>
      </c>
      <c r="AZ1153">
        <v>0</v>
      </c>
      <c r="BA1153">
        <v>0</v>
      </c>
      <c r="BB1153">
        <v>2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2</v>
      </c>
      <c r="BL1153" s="2">
        <v>0</v>
      </c>
      <c r="BM1153" s="2">
        <v>5</v>
      </c>
      <c r="BN1153" s="2">
        <v>3</v>
      </c>
      <c r="BO1153" s="2">
        <v>4</v>
      </c>
      <c r="BP1153" s="2">
        <v>0</v>
      </c>
      <c r="BQ1153" s="2">
        <v>2</v>
      </c>
      <c r="BR1153" s="2">
        <v>2</v>
      </c>
      <c r="BS1153" s="2">
        <v>0</v>
      </c>
      <c r="BT1153" s="2">
        <v>0</v>
      </c>
      <c r="BU1153" s="2">
        <v>2</v>
      </c>
      <c r="BV1153" s="2">
        <f t="shared" si="73"/>
        <v>20</v>
      </c>
      <c r="BW1153" s="16">
        <f t="shared" si="71"/>
        <v>1.0526315789473684</v>
      </c>
      <c r="BX1153" s="16">
        <f>COUNTIF($BC$6:BU1153, "=0") / COUNTIF($BC$6:BU1153, "&gt;-1")</f>
        <v>0.30813313772235468</v>
      </c>
      <c r="BY1153" s="18">
        <f>SUM($BC$6:BU1153) / $BY$4</f>
        <v>0.95613782022477078</v>
      </c>
      <c r="BZ1153" s="14">
        <f t="shared" si="72"/>
        <v>12</v>
      </c>
      <c r="CA1153" t="s">
        <v>5832</v>
      </c>
      <c r="CZ1153" t="s">
        <v>11273</v>
      </c>
      <c r="DA1153" t="s">
        <v>5904</v>
      </c>
      <c r="DB1153">
        <v>549.70000000000005</v>
      </c>
      <c r="DC1153" t="s">
        <v>29696</v>
      </c>
      <c r="DD1153" t="s">
        <v>29697</v>
      </c>
      <c r="DE1153" t="s">
        <v>29698</v>
      </c>
      <c r="DF1153" t="s">
        <v>29699</v>
      </c>
      <c r="DG1153" t="s">
        <v>29700</v>
      </c>
      <c r="DH1153" t="str">
        <f>"RBMX"</f>
        <v>RBMX</v>
      </c>
      <c r="DI1153" t="s">
        <v>29701</v>
      </c>
      <c r="DJ1153" t="s">
        <v>13777</v>
      </c>
      <c r="DK1153">
        <v>9606</v>
      </c>
      <c r="DL1153" s="34" t="str">
        <f>HYPERLINK("http://www.uniprot.org/uniprot/P38159", "P38159")</f>
        <v>P38159</v>
      </c>
      <c r="DM1153" t="s">
        <v>29702</v>
      </c>
      <c r="DN1153" t="s">
        <v>29703</v>
      </c>
      <c r="DO1153" t="s">
        <v>16088</v>
      </c>
      <c r="DP1153" t="s">
        <v>13841</v>
      </c>
      <c r="DQ1153" t="s">
        <v>13772</v>
      </c>
      <c r="DR1153" t="s">
        <v>29704</v>
      </c>
      <c r="DS1153" t="s">
        <v>13772</v>
      </c>
      <c r="DT1153" t="s">
        <v>13772</v>
      </c>
      <c r="DU1153" t="s">
        <v>29705</v>
      </c>
      <c r="DV1153" t="s">
        <v>27353</v>
      </c>
      <c r="DW1153" t="s">
        <v>13812</v>
      </c>
      <c r="DX1153" t="s">
        <v>29706</v>
      </c>
      <c r="DY1153" t="s">
        <v>29707</v>
      </c>
      <c r="DZ1153" t="s">
        <v>29708</v>
      </c>
      <c r="EA1153" t="s">
        <v>13772</v>
      </c>
      <c r="EB1153" t="s">
        <v>22927</v>
      </c>
    </row>
    <row r="1154" spans="1:132" hidden="1">
      <c r="A1154">
        <v>1680</v>
      </c>
      <c r="B1154">
        <v>1</v>
      </c>
      <c r="C1154" t="s">
        <v>3982</v>
      </c>
      <c r="D1154" t="s">
        <v>3983</v>
      </c>
      <c r="E1154" t="s">
        <v>73</v>
      </c>
      <c r="F1154" t="s">
        <v>73</v>
      </c>
      <c r="G1154" t="s">
        <v>73</v>
      </c>
      <c r="H1154">
        <v>8.6999999999999993</v>
      </c>
      <c r="I1154">
        <v>528</v>
      </c>
      <c r="J1154">
        <v>59830</v>
      </c>
      <c r="K1154" t="s">
        <v>3984</v>
      </c>
      <c r="L1154">
        <f t="shared" si="70"/>
        <v>20</v>
      </c>
      <c r="N1154">
        <v>20</v>
      </c>
      <c r="O1154">
        <v>20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>
        <v>0</v>
      </c>
      <c r="AA1154">
        <v>2</v>
      </c>
      <c r="AB1154">
        <v>2</v>
      </c>
      <c r="AC1154">
        <v>0</v>
      </c>
      <c r="AD1154">
        <v>0</v>
      </c>
      <c r="AE1154">
        <v>3</v>
      </c>
      <c r="AF1154">
        <v>4</v>
      </c>
      <c r="AG1154">
        <v>3</v>
      </c>
      <c r="AH1154">
        <v>0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</v>
      </c>
      <c r="AS1154">
        <v>0</v>
      </c>
      <c r="AT1154">
        <v>2</v>
      </c>
      <c r="AU1154">
        <v>2</v>
      </c>
      <c r="AV1154">
        <v>0</v>
      </c>
      <c r="AW1154">
        <v>0</v>
      </c>
      <c r="AX1154">
        <v>3</v>
      </c>
      <c r="AY1154">
        <v>4</v>
      </c>
      <c r="AZ1154">
        <v>3</v>
      </c>
      <c r="BA1154">
        <v>0</v>
      </c>
      <c r="BB1154">
        <v>3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3</v>
      </c>
      <c r="BL1154" s="2">
        <v>0</v>
      </c>
      <c r="BM1154" s="2">
        <v>2</v>
      </c>
      <c r="BN1154" s="2">
        <v>2</v>
      </c>
      <c r="BO1154" s="2">
        <v>0</v>
      </c>
      <c r="BP1154" s="2">
        <v>0</v>
      </c>
      <c r="BQ1154" s="2">
        <v>3</v>
      </c>
      <c r="BR1154" s="2">
        <v>4</v>
      </c>
      <c r="BS1154" s="2">
        <v>3</v>
      </c>
      <c r="BT1154" s="2">
        <v>0</v>
      </c>
      <c r="BU1154" s="2">
        <v>3</v>
      </c>
      <c r="BV1154" s="2">
        <f t="shared" si="73"/>
        <v>20</v>
      </c>
      <c r="BW1154" s="16">
        <f t="shared" si="71"/>
        <v>1.0526315789473684</v>
      </c>
      <c r="BX1154" s="16">
        <f>COUNTIF($BC$6:BU1154, "=0") / COUNTIF($BC$6:BU1154, "&gt;-1")</f>
        <v>0.3084146397324905</v>
      </c>
      <c r="BY1154" s="18">
        <f>SUM($BC$6:BU1154) / $BY$4</f>
        <v>0.95622349296214482</v>
      </c>
      <c r="BZ1154" s="14">
        <f t="shared" si="72"/>
        <v>12</v>
      </c>
      <c r="CA1154" t="s">
        <v>5832</v>
      </c>
      <c r="CZ1154" t="s">
        <v>11352</v>
      </c>
      <c r="DA1154" t="s">
        <v>5904</v>
      </c>
      <c r="DB1154">
        <v>920.2</v>
      </c>
      <c r="DC1154" t="s">
        <v>29917</v>
      </c>
      <c r="DD1154" t="s">
        <v>29918</v>
      </c>
      <c r="DE1154" t="s">
        <v>29919</v>
      </c>
      <c r="DF1154" t="s">
        <v>29920</v>
      </c>
      <c r="DG1154" t="s">
        <v>29921</v>
      </c>
      <c r="DH1154" t="str">
        <f>"CHRDL1"</f>
        <v>CHRDL1</v>
      </c>
      <c r="DI1154" t="s">
        <v>29922</v>
      </c>
      <c r="DJ1154" t="s">
        <v>13777</v>
      </c>
      <c r="DK1154">
        <v>9606</v>
      </c>
      <c r="DL1154" s="34" t="str">
        <f>HYPERLINK("http://www.uniprot.org/uniprot/Q9BU40", "Q9BU40")</f>
        <v>Q9BU40</v>
      </c>
      <c r="DM1154" t="s">
        <v>29923</v>
      </c>
      <c r="DN1154" t="s">
        <v>29924</v>
      </c>
      <c r="DO1154" t="s">
        <v>14321</v>
      </c>
      <c r="DP1154" t="s">
        <v>13841</v>
      </c>
      <c r="DQ1154" t="s">
        <v>13772</v>
      </c>
      <c r="DR1154" t="s">
        <v>13807</v>
      </c>
      <c r="DS1154" t="s">
        <v>14404</v>
      </c>
      <c r="DT1154" t="s">
        <v>13772</v>
      </c>
      <c r="DU1154" t="s">
        <v>14727</v>
      </c>
      <c r="DV1154" t="s">
        <v>13858</v>
      </c>
      <c r="DW1154" t="s">
        <v>13772</v>
      </c>
      <c r="DX1154" t="s">
        <v>29925</v>
      </c>
      <c r="DY1154" t="s">
        <v>29926</v>
      </c>
      <c r="DZ1154" t="s">
        <v>13772</v>
      </c>
      <c r="EA1154" t="s">
        <v>13772</v>
      </c>
      <c r="EB1154" t="s">
        <v>22324</v>
      </c>
    </row>
    <row r="1155" spans="1:132" hidden="1">
      <c r="A1155">
        <v>1732</v>
      </c>
      <c r="B1155">
        <v>1</v>
      </c>
      <c r="C1155" t="s">
        <v>4097</v>
      </c>
      <c r="D1155" t="s">
        <v>73</v>
      </c>
      <c r="E1155" t="s">
        <v>73</v>
      </c>
      <c r="F1155" t="s">
        <v>73</v>
      </c>
      <c r="G1155" t="s">
        <v>73</v>
      </c>
      <c r="H1155">
        <v>36.9</v>
      </c>
      <c r="I1155">
        <v>452</v>
      </c>
      <c r="J1155">
        <v>49412</v>
      </c>
      <c r="K1155" t="s">
        <v>4098</v>
      </c>
      <c r="L1155">
        <f t="shared" si="70"/>
        <v>20</v>
      </c>
      <c r="N1155">
        <v>20</v>
      </c>
      <c r="O1155">
        <v>20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5</v>
      </c>
      <c r="AB1155">
        <v>12</v>
      </c>
      <c r="AC1155">
        <v>0</v>
      </c>
      <c r="AD1155">
        <v>0</v>
      </c>
      <c r="AE1155">
        <v>0</v>
      </c>
      <c r="AF1155">
        <v>1</v>
      </c>
      <c r="AG1155">
        <v>2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5</v>
      </c>
      <c r="AU1155">
        <v>12</v>
      </c>
      <c r="AV1155">
        <v>0</v>
      </c>
      <c r="AW1155">
        <v>0</v>
      </c>
      <c r="AX1155">
        <v>0</v>
      </c>
      <c r="AY1155">
        <v>1</v>
      </c>
      <c r="AZ1155">
        <v>2</v>
      </c>
      <c r="BA1155">
        <v>0</v>
      </c>
      <c r="BB1155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5</v>
      </c>
      <c r="BN1155" s="2">
        <v>12</v>
      </c>
      <c r="BO1155" s="2">
        <v>0</v>
      </c>
      <c r="BP1155" s="2">
        <v>0</v>
      </c>
      <c r="BQ1155" s="2">
        <v>0</v>
      </c>
      <c r="BR1155" s="2">
        <v>1</v>
      </c>
      <c r="BS1155" s="2">
        <v>2</v>
      </c>
      <c r="BT1155" s="2">
        <v>0</v>
      </c>
      <c r="BU1155" s="2">
        <v>0</v>
      </c>
      <c r="BV1155" s="2">
        <f t="shared" si="73"/>
        <v>20</v>
      </c>
      <c r="BW1155" s="16">
        <f t="shared" si="71"/>
        <v>1.0526315789473684</v>
      </c>
      <c r="BX1155" s="16">
        <f>COUNTIF($BC$6:BU1155, "=0") / COUNTIF($BC$6:BU1155, "&gt;-1")</f>
        <v>0.30883295194508009</v>
      </c>
      <c r="BY1155" s="18">
        <f>SUM($BC$6:BU1155) / $BY$4</f>
        <v>0.95630916569951885</v>
      </c>
      <c r="BZ1155" s="14">
        <f t="shared" si="72"/>
        <v>15</v>
      </c>
      <c r="CA1155" t="s">
        <v>5832</v>
      </c>
      <c r="CZ1155" t="s">
        <v>11522</v>
      </c>
      <c r="DA1155" t="s">
        <v>5904</v>
      </c>
      <c r="DB1155">
        <v>833.2</v>
      </c>
      <c r="DC1155" t="s">
        <v>30401</v>
      </c>
      <c r="DD1155" t="s">
        <v>30402</v>
      </c>
      <c r="DE1155" t="s">
        <v>30403</v>
      </c>
      <c r="DF1155" t="s">
        <v>30404</v>
      </c>
      <c r="DG1155" t="s">
        <v>30405</v>
      </c>
      <c r="DH1155" t="str">
        <f>"TUFM"</f>
        <v>TUFM</v>
      </c>
      <c r="DI1155" t="s">
        <v>13772</v>
      </c>
      <c r="DJ1155" t="s">
        <v>13777</v>
      </c>
      <c r="DK1155">
        <v>9606</v>
      </c>
      <c r="DL1155" s="34" t="str">
        <f>HYPERLINK("http://www.uniprot.org/uniprot/P49411", "P49411")</f>
        <v>P49411</v>
      </c>
      <c r="DM1155" t="s">
        <v>30406</v>
      </c>
      <c r="DN1155" t="s">
        <v>17925</v>
      </c>
      <c r="DO1155" t="s">
        <v>14491</v>
      </c>
      <c r="DP1155" t="s">
        <v>13772</v>
      </c>
      <c r="DQ1155" t="s">
        <v>13772</v>
      </c>
      <c r="DR1155" t="s">
        <v>14390</v>
      </c>
      <c r="DS1155" t="s">
        <v>14391</v>
      </c>
      <c r="DT1155" t="s">
        <v>14216</v>
      </c>
      <c r="DU1155" t="s">
        <v>19001</v>
      </c>
      <c r="DV1155" t="s">
        <v>13886</v>
      </c>
      <c r="DW1155" t="s">
        <v>13772</v>
      </c>
      <c r="DX1155" t="s">
        <v>30407</v>
      </c>
      <c r="DY1155" t="s">
        <v>30408</v>
      </c>
      <c r="DZ1155" t="s">
        <v>30409</v>
      </c>
      <c r="EA1155" t="s">
        <v>13772</v>
      </c>
      <c r="EB1155" t="s">
        <v>30410</v>
      </c>
    </row>
    <row r="1156" spans="1:132" hidden="1">
      <c r="A1156">
        <v>1740</v>
      </c>
      <c r="B1156">
        <v>1</v>
      </c>
      <c r="C1156" t="s">
        <v>4114</v>
      </c>
      <c r="D1156" t="s">
        <v>73</v>
      </c>
      <c r="E1156" t="s">
        <v>73</v>
      </c>
      <c r="F1156" t="s">
        <v>73</v>
      </c>
      <c r="G1156" t="s">
        <v>73</v>
      </c>
      <c r="H1156">
        <v>34.4</v>
      </c>
      <c r="I1156">
        <v>372</v>
      </c>
      <c r="J1156">
        <v>41053</v>
      </c>
      <c r="K1156" t="s">
        <v>4115</v>
      </c>
      <c r="L1156">
        <f t="shared" si="70"/>
        <v>20</v>
      </c>
      <c r="N1156">
        <v>20</v>
      </c>
      <c r="O1156">
        <v>20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</v>
      </c>
      <c r="Z1156">
        <v>0</v>
      </c>
      <c r="AA1156">
        <v>7</v>
      </c>
      <c r="AB1156">
        <v>4</v>
      </c>
      <c r="AC1156">
        <v>6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3</v>
      </c>
      <c r="AS1156">
        <v>0</v>
      </c>
      <c r="AT1156">
        <v>7</v>
      </c>
      <c r="AU1156">
        <v>4</v>
      </c>
      <c r="AV1156">
        <v>6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3</v>
      </c>
      <c r="BL1156" s="2">
        <v>0</v>
      </c>
      <c r="BM1156" s="2">
        <v>7</v>
      </c>
      <c r="BN1156" s="2">
        <v>4</v>
      </c>
      <c r="BO1156" s="2">
        <v>6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f t="shared" si="73"/>
        <v>20</v>
      </c>
      <c r="BW1156" s="16">
        <f t="shared" si="71"/>
        <v>1.0526315789473684</v>
      </c>
      <c r="BX1156" s="16">
        <f>COUNTIF($BC$6:BU1156, "=0") / COUNTIF($BC$6:BU1156, "&gt;-1")</f>
        <v>0.30925053729022817</v>
      </c>
      <c r="BY1156" s="18">
        <f>SUM($BC$6:BU1156) / $BY$4</f>
        <v>0.95639483843689288</v>
      </c>
      <c r="BZ1156" s="14">
        <f t="shared" si="72"/>
        <v>15</v>
      </c>
      <c r="CA1156" t="s">
        <v>5832</v>
      </c>
      <c r="CZ1156" t="s">
        <v>11548</v>
      </c>
      <c r="DA1156" t="s">
        <v>5904</v>
      </c>
      <c r="DB1156">
        <v>756.1</v>
      </c>
      <c r="DC1156" t="s">
        <v>30479</v>
      </c>
      <c r="DD1156" t="s">
        <v>30480</v>
      </c>
      <c r="DE1156" t="s">
        <v>30481</v>
      </c>
      <c r="DF1156" t="s">
        <v>30482</v>
      </c>
      <c r="DG1156" t="s">
        <v>30483</v>
      </c>
      <c r="DH1156" t="str">
        <f>"ARPC1B"</f>
        <v>ARPC1B</v>
      </c>
      <c r="DI1156" t="s">
        <v>30484</v>
      </c>
      <c r="DJ1156" t="s">
        <v>13777</v>
      </c>
      <c r="DK1156">
        <v>9606</v>
      </c>
      <c r="DL1156" s="34" t="str">
        <f>HYPERLINK("http://www.uniprot.org/uniprot/O15143", "O15143")</f>
        <v>O15143</v>
      </c>
      <c r="DM1156" t="s">
        <v>30485</v>
      </c>
      <c r="DN1156" t="s">
        <v>13772</v>
      </c>
      <c r="DO1156" t="s">
        <v>15843</v>
      </c>
      <c r="DP1156" t="s">
        <v>13793</v>
      </c>
      <c r="DQ1156" t="s">
        <v>13772</v>
      </c>
      <c r="DR1156" t="s">
        <v>13807</v>
      </c>
      <c r="DS1156" t="s">
        <v>23494</v>
      </c>
      <c r="DT1156" t="s">
        <v>13772</v>
      </c>
      <c r="DU1156" t="s">
        <v>13990</v>
      </c>
      <c r="DV1156" t="s">
        <v>13772</v>
      </c>
      <c r="DW1156" t="s">
        <v>13772</v>
      </c>
      <c r="DX1156" t="s">
        <v>30486</v>
      </c>
      <c r="DY1156" t="s">
        <v>30487</v>
      </c>
      <c r="DZ1156" t="s">
        <v>23000</v>
      </c>
      <c r="EA1156" t="s">
        <v>13772</v>
      </c>
      <c r="EB1156" t="s">
        <v>30488</v>
      </c>
    </row>
    <row r="1157" spans="1:132" hidden="1">
      <c r="A1157">
        <v>1775</v>
      </c>
      <c r="B1157">
        <v>1</v>
      </c>
      <c r="C1157" t="s">
        <v>4199</v>
      </c>
      <c r="D1157" t="s">
        <v>73</v>
      </c>
      <c r="E1157" t="s">
        <v>73</v>
      </c>
      <c r="F1157" t="s">
        <v>73</v>
      </c>
      <c r="G1157" t="s">
        <v>73</v>
      </c>
      <c r="H1157">
        <v>30.2</v>
      </c>
      <c r="I1157">
        <v>453</v>
      </c>
      <c r="J1157">
        <v>48247</v>
      </c>
      <c r="K1157" t="s">
        <v>4200</v>
      </c>
      <c r="L1157">
        <f t="shared" si="70"/>
        <v>20</v>
      </c>
      <c r="N1157">
        <v>20</v>
      </c>
      <c r="O1157">
        <v>20</v>
      </c>
      <c r="P1157">
        <v>1</v>
      </c>
      <c r="Q1157">
        <v>0</v>
      </c>
      <c r="R1157">
        <v>5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2</v>
      </c>
      <c r="Z1157">
        <v>0</v>
      </c>
      <c r="AA1157">
        <v>1</v>
      </c>
      <c r="AB1157">
        <v>6</v>
      </c>
      <c r="AC1157">
        <v>0</v>
      </c>
      <c r="AD1157">
        <v>0</v>
      </c>
      <c r="AE1157">
        <v>2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5</v>
      </c>
      <c r="AL1157">
        <v>0</v>
      </c>
      <c r="AM1157">
        <v>0</v>
      </c>
      <c r="AN1157">
        <v>3</v>
      </c>
      <c r="AO1157">
        <v>0</v>
      </c>
      <c r="AP1157">
        <v>0</v>
      </c>
      <c r="AQ1157">
        <v>0</v>
      </c>
      <c r="AR1157">
        <v>2</v>
      </c>
      <c r="AS1157">
        <v>0</v>
      </c>
      <c r="AT1157">
        <v>1</v>
      </c>
      <c r="AU1157">
        <v>6</v>
      </c>
      <c r="AV1157">
        <v>0</v>
      </c>
      <c r="AW1157">
        <v>0</v>
      </c>
      <c r="AX1157">
        <v>2</v>
      </c>
      <c r="AY1157">
        <v>1</v>
      </c>
      <c r="AZ1157">
        <v>0</v>
      </c>
      <c r="BA1157">
        <v>0</v>
      </c>
      <c r="BB1157">
        <v>0</v>
      </c>
      <c r="BC1157" s="2">
        <v>0</v>
      </c>
      <c r="BD1157" s="2">
        <v>5</v>
      </c>
      <c r="BE1157" s="2">
        <v>0</v>
      </c>
      <c r="BF1157" s="2">
        <v>0</v>
      </c>
      <c r="BG1157" s="2">
        <v>3</v>
      </c>
      <c r="BH1157" s="2">
        <v>0</v>
      </c>
      <c r="BI1157" s="2">
        <v>0</v>
      </c>
      <c r="BJ1157" s="2">
        <v>0</v>
      </c>
      <c r="BK1157" s="2">
        <v>2</v>
      </c>
      <c r="BL1157" s="2">
        <v>0</v>
      </c>
      <c r="BM1157" s="2">
        <v>1</v>
      </c>
      <c r="BN1157" s="2">
        <v>6</v>
      </c>
      <c r="BO1157" s="2">
        <v>0</v>
      </c>
      <c r="BP1157" s="2">
        <v>0</v>
      </c>
      <c r="BQ1157" s="2">
        <v>2</v>
      </c>
      <c r="BR1157" s="2">
        <v>1</v>
      </c>
      <c r="BS1157" s="2">
        <v>0</v>
      </c>
      <c r="BT1157" s="2">
        <v>0</v>
      </c>
      <c r="BU1157" s="2">
        <v>0</v>
      </c>
      <c r="BV1157" s="2">
        <f t="shared" si="73"/>
        <v>20</v>
      </c>
      <c r="BW1157" s="16">
        <f t="shared" si="71"/>
        <v>1.0526315789473684</v>
      </c>
      <c r="BX1157" s="16">
        <f>COUNTIF($BC$6:BU1157, "=0") / COUNTIF($BC$6:BU1157, "&gt;-1")</f>
        <v>0.30953033625730997</v>
      </c>
      <c r="BY1157" s="18">
        <f>SUM($BC$6:BU1157) / $BY$4</f>
        <v>0.9564805111742668</v>
      </c>
      <c r="BZ1157" s="14">
        <f t="shared" si="72"/>
        <v>12</v>
      </c>
      <c r="CA1157" t="s">
        <v>5832</v>
      </c>
      <c r="CZ1157" t="s">
        <v>11671</v>
      </c>
      <c r="DA1157" t="s">
        <v>5904</v>
      </c>
      <c r="DB1157">
        <v>800.4</v>
      </c>
      <c r="DC1157" t="s">
        <v>30841</v>
      </c>
      <c r="DD1157" t="s">
        <v>30842</v>
      </c>
      <c r="DE1157" t="s">
        <v>30843</v>
      </c>
      <c r="DF1157" t="s">
        <v>30844</v>
      </c>
      <c r="DG1157" t="s">
        <v>30845</v>
      </c>
      <c r="DH1157" t="str">
        <f>"UQCRC2"</f>
        <v>UQCRC2</v>
      </c>
      <c r="DI1157" t="s">
        <v>13772</v>
      </c>
      <c r="DJ1157" t="s">
        <v>13777</v>
      </c>
      <c r="DK1157">
        <v>9606</v>
      </c>
      <c r="DL1157" s="34" t="str">
        <f>HYPERLINK("http://www.uniprot.org/uniprot/P22695", "P22695")</f>
        <v>P22695</v>
      </c>
      <c r="DM1157" t="s">
        <v>30846</v>
      </c>
      <c r="DN1157" t="s">
        <v>21478</v>
      </c>
      <c r="DO1157" t="s">
        <v>15507</v>
      </c>
      <c r="DP1157" t="s">
        <v>13793</v>
      </c>
      <c r="DQ1157" t="s">
        <v>13772</v>
      </c>
      <c r="DR1157" t="s">
        <v>14390</v>
      </c>
      <c r="DS1157" t="s">
        <v>14391</v>
      </c>
      <c r="DT1157" t="s">
        <v>13772</v>
      </c>
      <c r="DU1157" t="s">
        <v>13772</v>
      </c>
      <c r="DV1157" t="s">
        <v>14020</v>
      </c>
      <c r="DW1157" t="s">
        <v>13812</v>
      </c>
      <c r="DX1157" t="s">
        <v>30847</v>
      </c>
      <c r="DY1157" t="s">
        <v>30848</v>
      </c>
      <c r="DZ1157" t="s">
        <v>30849</v>
      </c>
      <c r="EA1157" t="s">
        <v>13772</v>
      </c>
      <c r="EB1157" t="s">
        <v>16045</v>
      </c>
    </row>
    <row r="1158" spans="1:132" hidden="1">
      <c r="A1158">
        <v>2035</v>
      </c>
      <c r="B1158">
        <v>1</v>
      </c>
      <c r="C1158" t="s">
        <v>4782</v>
      </c>
      <c r="D1158" t="s">
        <v>73</v>
      </c>
      <c r="E1158" t="s">
        <v>73</v>
      </c>
      <c r="F1158" t="s">
        <v>73</v>
      </c>
      <c r="G1158" t="s">
        <v>73</v>
      </c>
      <c r="H1158">
        <v>11.2</v>
      </c>
      <c r="I1158">
        <v>543</v>
      </c>
      <c r="J1158">
        <v>61203</v>
      </c>
      <c r="K1158" t="s">
        <v>4783</v>
      </c>
      <c r="L1158">
        <f t="shared" ref="L1158:L1221" si="74">N1158</f>
        <v>20</v>
      </c>
      <c r="N1158">
        <v>20</v>
      </c>
      <c r="O1158">
        <v>20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3</v>
      </c>
      <c r="Z1158">
        <v>0</v>
      </c>
      <c r="AA1158">
        <v>8</v>
      </c>
      <c r="AB1158">
        <v>1</v>
      </c>
      <c r="AC1158">
        <v>2</v>
      </c>
      <c r="AD1158">
        <v>0</v>
      </c>
      <c r="AE1158">
        <v>1</v>
      </c>
      <c r="AF1158">
        <v>4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3</v>
      </c>
      <c r="AS1158">
        <v>0</v>
      </c>
      <c r="AT1158">
        <v>8</v>
      </c>
      <c r="AU1158">
        <v>1</v>
      </c>
      <c r="AV1158">
        <v>2</v>
      </c>
      <c r="AW1158">
        <v>0</v>
      </c>
      <c r="AX1158">
        <v>1</v>
      </c>
      <c r="AY1158">
        <v>4</v>
      </c>
      <c r="AZ1158">
        <v>0</v>
      </c>
      <c r="BA1158">
        <v>0</v>
      </c>
      <c r="BB1158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3</v>
      </c>
      <c r="BL1158" s="2">
        <v>0</v>
      </c>
      <c r="BM1158" s="2">
        <v>8</v>
      </c>
      <c r="BN1158" s="2">
        <v>1</v>
      </c>
      <c r="BO1158" s="2">
        <v>2</v>
      </c>
      <c r="BP1158" s="2">
        <v>0</v>
      </c>
      <c r="BQ1158" s="2">
        <v>1</v>
      </c>
      <c r="BR1158" s="2">
        <v>4</v>
      </c>
      <c r="BS1158" s="2">
        <v>0</v>
      </c>
      <c r="BT1158" s="2">
        <v>0</v>
      </c>
      <c r="BU1158" s="2">
        <v>1</v>
      </c>
      <c r="BV1158" s="2">
        <f t="shared" si="73"/>
        <v>20</v>
      </c>
      <c r="BW1158" s="16">
        <f t="shared" ref="BW1158:BW1221" si="75">AVERAGE(BC1158:BU1158)</f>
        <v>1.0526315789473684</v>
      </c>
      <c r="BX1158" s="16">
        <f>COUNTIF($BC$6:BU1158, "=0") / COUNTIF($BC$6:BU1158, "&gt;-1")</f>
        <v>0.30980964988359883</v>
      </c>
      <c r="BY1158" s="18">
        <f>SUM($BC$6:BU1158) / $BY$4</f>
        <v>0.95656618391164083</v>
      </c>
      <c r="BZ1158" s="14">
        <f t="shared" ref="BZ1158:BZ1221" si="76">19-COUNTIF(BC1158:BU1158, "&gt;0")</f>
        <v>12</v>
      </c>
      <c r="CA1158" t="s">
        <v>5832</v>
      </c>
      <c r="CZ1158" t="s">
        <v>12531</v>
      </c>
      <c r="DA1158" t="s">
        <v>5904</v>
      </c>
      <c r="DB1158">
        <v>1108.5999999999999</v>
      </c>
      <c r="DC1158" t="s">
        <v>33256</v>
      </c>
      <c r="DD1158" t="s">
        <v>33257</v>
      </c>
      <c r="DE1158" t="s">
        <v>33258</v>
      </c>
      <c r="DF1158" t="s">
        <v>33259</v>
      </c>
      <c r="DG1158" t="s">
        <v>33260</v>
      </c>
      <c r="DH1158" t="str">
        <f>"EHD2"</f>
        <v>EHD2</v>
      </c>
      <c r="DI1158" t="s">
        <v>13772</v>
      </c>
      <c r="DJ1158" t="s">
        <v>13777</v>
      </c>
      <c r="DK1158">
        <v>9606</v>
      </c>
      <c r="DL1158" s="34" t="str">
        <f>HYPERLINK("http://www.uniprot.org/uniprot/Q9NZN4", "Q9NZN4")</f>
        <v>Q9NZN4</v>
      </c>
      <c r="DM1158" t="s">
        <v>33261</v>
      </c>
      <c r="DN1158" t="s">
        <v>13772</v>
      </c>
      <c r="DO1158" t="s">
        <v>33262</v>
      </c>
      <c r="DP1158" t="s">
        <v>13780</v>
      </c>
      <c r="DQ1158" t="s">
        <v>13772</v>
      </c>
      <c r="DR1158" t="s">
        <v>13772</v>
      </c>
      <c r="DS1158" t="s">
        <v>13772</v>
      </c>
      <c r="DT1158" t="s">
        <v>15398</v>
      </c>
      <c r="DU1158" t="s">
        <v>13857</v>
      </c>
      <c r="DV1158" t="s">
        <v>13782</v>
      </c>
      <c r="DW1158" t="s">
        <v>13772</v>
      </c>
      <c r="DX1158" t="s">
        <v>33263</v>
      </c>
      <c r="DY1158" t="s">
        <v>33264</v>
      </c>
      <c r="DZ1158" t="s">
        <v>33265</v>
      </c>
      <c r="EA1158" t="s">
        <v>13772</v>
      </c>
      <c r="EB1158" t="s">
        <v>18690</v>
      </c>
    </row>
    <row r="1159" spans="1:132" hidden="1">
      <c r="A1159">
        <v>2071</v>
      </c>
      <c r="B1159">
        <v>1</v>
      </c>
      <c r="C1159" t="s">
        <v>4867</v>
      </c>
      <c r="D1159" t="s">
        <v>4868</v>
      </c>
      <c r="E1159" t="s">
        <v>73</v>
      </c>
      <c r="F1159" t="s">
        <v>73</v>
      </c>
      <c r="G1159" t="s">
        <v>73</v>
      </c>
      <c r="H1159">
        <v>28.5</v>
      </c>
      <c r="I1159">
        <v>624</v>
      </c>
      <c r="J1159">
        <v>67957</v>
      </c>
      <c r="K1159" t="s">
        <v>4869</v>
      </c>
      <c r="L1159">
        <f t="shared" si="74"/>
        <v>20</v>
      </c>
      <c r="N1159">
        <v>20</v>
      </c>
      <c r="O1159">
        <v>20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13</v>
      </c>
      <c r="AB1159">
        <v>3</v>
      </c>
      <c r="AC1159">
        <v>2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13</v>
      </c>
      <c r="AU1159">
        <v>3</v>
      </c>
      <c r="AV1159">
        <v>2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1</v>
      </c>
      <c r="BL1159" s="2">
        <v>0</v>
      </c>
      <c r="BM1159" s="2">
        <v>13</v>
      </c>
      <c r="BN1159" s="2">
        <v>3</v>
      </c>
      <c r="BO1159" s="2">
        <v>2</v>
      </c>
      <c r="BP1159" s="2">
        <v>0</v>
      </c>
      <c r="BQ1159" s="2">
        <v>0</v>
      </c>
      <c r="BR1159" s="2">
        <v>1</v>
      </c>
      <c r="BS1159" s="2">
        <v>0</v>
      </c>
      <c r="BT1159" s="2">
        <v>0</v>
      </c>
      <c r="BU1159" s="2">
        <v>0</v>
      </c>
      <c r="BV1159" s="2">
        <f t="shared" ref="BV1159:BV1222" si="77">SUM(BC1159:BU1159)</f>
        <v>20</v>
      </c>
      <c r="BW1159" s="16">
        <f t="shared" si="75"/>
        <v>1.0526315789473684</v>
      </c>
      <c r="BX1159" s="16">
        <f>COUNTIF($BC$6:BU1159, "=0") / COUNTIF($BC$6:BU1159, "&gt;-1")</f>
        <v>0.31017969533886708</v>
      </c>
      <c r="BY1159" s="18">
        <f>SUM($BC$6:BU1159) / $BY$4</f>
        <v>0.95665185664901486</v>
      </c>
      <c r="BZ1159" s="14">
        <f t="shared" si="76"/>
        <v>14</v>
      </c>
      <c r="CA1159" t="s">
        <v>5832</v>
      </c>
      <c r="CZ1159" t="s">
        <v>12656</v>
      </c>
      <c r="DA1159" t="s">
        <v>5904</v>
      </c>
      <c r="DB1159">
        <v>1184.9000000000001</v>
      </c>
      <c r="DC1159" t="s">
        <v>33606</v>
      </c>
      <c r="DD1159" t="s">
        <v>13772</v>
      </c>
      <c r="DE1159" t="s">
        <v>33607</v>
      </c>
      <c r="DF1159" t="s">
        <v>33608</v>
      </c>
      <c r="DG1159" t="s">
        <v>33609</v>
      </c>
      <c r="DH1159" t="str">
        <f>"HNRNPL"</f>
        <v>HNRNPL</v>
      </c>
      <c r="DI1159" t="s">
        <v>33610</v>
      </c>
      <c r="DJ1159" t="s">
        <v>13777</v>
      </c>
      <c r="DK1159">
        <v>9606</v>
      </c>
      <c r="DL1159" s="34" t="str">
        <f>HYPERLINK("http://www.uniprot.org/uniprot/P14866", "P14866")</f>
        <v>P14866</v>
      </c>
      <c r="DM1159" t="s">
        <v>33611</v>
      </c>
      <c r="DN1159" t="s">
        <v>13772</v>
      </c>
      <c r="DO1159" t="s">
        <v>13912</v>
      </c>
      <c r="DP1159" t="s">
        <v>13841</v>
      </c>
      <c r="DQ1159" t="s">
        <v>13772</v>
      </c>
      <c r="DR1159" t="s">
        <v>13772</v>
      </c>
      <c r="DS1159" t="s">
        <v>14096</v>
      </c>
      <c r="DT1159" t="s">
        <v>13772</v>
      </c>
      <c r="DU1159" t="s">
        <v>16089</v>
      </c>
      <c r="DV1159" t="s">
        <v>14663</v>
      </c>
      <c r="DW1159" t="s">
        <v>13812</v>
      </c>
      <c r="DX1159" t="s">
        <v>33612</v>
      </c>
      <c r="DY1159" t="s">
        <v>33613</v>
      </c>
      <c r="DZ1159" t="s">
        <v>33614</v>
      </c>
      <c r="EA1159" t="s">
        <v>13772</v>
      </c>
      <c r="EB1159" t="s">
        <v>22927</v>
      </c>
    </row>
    <row r="1160" spans="1:132" hidden="1">
      <c r="A1160">
        <v>2089</v>
      </c>
      <c r="B1160">
        <v>1</v>
      </c>
      <c r="C1160" t="s">
        <v>4909</v>
      </c>
      <c r="D1160" t="s">
        <v>4910</v>
      </c>
      <c r="E1160" t="s">
        <v>73</v>
      </c>
      <c r="F1160" t="s">
        <v>73</v>
      </c>
      <c r="G1160" t="s">
        <v>73</v>
      </c>
      <c r="H1160">
        <v>22.8</v>
      </c>
      <c r="I1160">
        <v>430</v>
      </c>
      <c r="J1160">
        <v>47472</v>
      </c>
      <c r="K1160" t="s">
        <v>4911</v>
      </c>
      <c r="L1160">
        <f t="shared" si="74"/>
        <v>20</v>
      </c>
      <c r="N1160">
        <v>20</v>
      </c>
      <c r="O1160">
        <v>20</v>
      </c>
      <c r="P1160">
        <v>1</v>
      </c>
      <c r="Q1160">
        <v>0</v>
      </c>
      <c r="R1160">
        <v>5</v>
      </c>
      <c r="S1160">
        <v>0</v>
      </c>
      <c r="T1160">
        <v>0</v>
      </c>
      <c r="U1160">
        <v>1</v>
      </c>
      <c r="V1160">
        <v>2</v>
      </c>
      <c r="W1160">
        <v>0</v>
      </c>
      <c r="X1160">
        <v>2</v>
      </c>
      <c r="Y1160">
        <v>0</v>
      </c>
      <c r="Z1160">
        <v>0</v>
      </c>
      <c r="AA1160">
        <v>2</v>
      </c>
      <c r="AB1160">
        <v>8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5</v>
      </c>
      <c r="AL1160">
        <v>0</v>
      </c>
      <c r="AM1160">
        <v>0</v>
      </c>
      <c r="AN1160">
        <v>1</v>
      </c>
      <c r="AO1160">
        <v>2</v>
      </c>
      <c r="AP1160">
        <v>0</v>
      </c>
      <c r="AQ1160">
        <v>2</v>
      </c>
      <c r="AR1160">
        <v>0</v>
      </c>
      <c r="AS1160">
        <v>0</v>
      </c>
      <c r="AT1160">
        <v>2</v>
      </c>
      <c r="AU1160">
        <v>8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 s="2">
        <v>0</v>
      </c>
      <c r="BD1160" s="2">
        <v>5</v>
      </c>
      <c r="BE1160" s="2">
        <v>0</v>
      </c>
      <c r="BF1160" s="2">
        <v>0</v>
      </c>
      <c r="BG1160" s="2">
        <v>1</v>
      </c>
      <c r="BH1160" s="2">
        <v>2</v>
      </c>
      <c r="BI1160" s="2">
        <v>0</v>
      </c>
      <c r="BJ1160" s="2">
        <v>2</v>
      </c>
      <c r="BK1160" s="2">
        <v>0</v>
      </c>
      <c r="BL1160" s="2">
        <v>0</v>
      </c>
      <c r="BM1160" s="2">
        <v>2</v>
      </c>
      <c r="BN1160" s="2">
        <v>8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f t="shared" si="77"/>
        <v>20</v>
      </c>
      <c r="BW1160" s="16">
        <f t="shared" si="75"/>
        <v>1.0526315789473684</v>
      </c>
      <c r="BX1160" s="16">
        <f>COUNTIF($BC$6:BU1160, "=0") / COUNTIF($BC$6:BU1160, "&gt;-1")</f>
        <v>0.31050353155616311</v>
      </c>
      <c r="BY1160" s="18">
        <f>SUM($BC$6:BU1160) / $BY$4</f>
        <v>0.9567375293863889</v>
      </c>
      <c r="BZ1160" s="14">
        <f t="shared" si="76"/>
        <v>13</v>
      </c>
      <c r="CA1160" t="s">
        <v>5832</v>
      </c>
      <c r="CZ1160" t="s">
        <v>12719</v>
      </c>
      <c r="DA1160" t="s">
        <v>5904</v>
      </c>
      <c r="DB1160">
        <v>835.9</v>
      </c>
      <c r="DC1160" t="s">
        <v>33786</v>
      </c>
      <c r="DD1160" t="s">
        <v>33787</v>
      </c>
      <c r="DE1160" t="s">
        <v>33788</v>
      </c>
      <c r="DF1160" t="s">
        <v>33789</v>
      </c>
      <c r="DG1160" t="s">
        <v>33790</v>
      </c>
      <c r="DH1160" t="str">
        <f>"GOT2"</f>
        <v>GOT2</v>
      </c>
      <c r="DI1160" t="s">
        <v>13772</v>
      </c>
      <c r="DJ1160" t="s">
        <v>13777</v>
      </c>
      <c r="DK1160">
        <v>9606</v>
      </c>
      <c r="DL1160" s="34" t="str">
        <f>HYPERLINK("http://www.uniprot.org/uniprot/P00505", "P00505")</f>
        <v>P00505</v>
      </c>
      <c r="DM1160" t="s">
        <v>33791</v>
      </c>
      <c r="DN1160" t="s">
        <v>13898</v>
      </c>
      <c r="DO1160" t="s">
        <v>33792</v>
      </c>
      <c r="DP1160" t="s">
        <v>13780</v>
      </c>
      <c r="DQ1160" t="s">
        <v>13772</v>
      </c>
      <c r="DR1160" t="s">
        <v>13772</v>
      </c>
      <c r="DS1160" t="s">
        <v>14391</v>
      </c>
      <c r="DT1160" t="s">
        <v>14133</v>
      </c>
      <c r="DU1160" t="s">
        <v>25593</v>
      </c>
      <c r="DV1160" t="s">
        <v>23698</v>
      </c>
      <c r="DW1160" t="s">
        <v>13812</v>
      </c>
      <c r="DX1160" t="s">
        <v>33793</v>
      </c>
      <c r="DY1160" t="s">
        <v>33794</v>
      </c>
      <c r="DZ1160" t="s">
        <v>33795</v>
      </c>
      <c r="EA1160" t="s">
        <v>13772</v>
      </c>
      <c r="EB1160" t="s">
        <v>33796</v>
      </c>
    </row>
    <row r="1161" spans="1:132" hidden="1">
      <c r="A1161">
        <v>2112</v>
      </c>
      <c r="B1161">
        <v>1</v>
      </c>
      <c r="C1161" t="s">
        <v>4958</v>
      </c>
      <c r="D1161" t="s">
        <v>73</v>
      </c>
      <c r="E1161" t="s">
        <v>73</v>
      </c>
      <c r="F1161" t="s">
        <v>73</v>
      </c>
      <c r="G1161" t="s">
        <v>73</v>
      </c>
      <c r="H1161">
        <v>24.7</v>
      </c>
      <c r="I1161">
        <v>194</v>
      </c>
      <c r="J1161">
        <v>20909</v>
      </c>
      <c r="K1161" t="s">
        <v>4959</v>
      </c>
      <c r="L1161">
        <f t="shared" si="74"/>
        <v>20</v>
      </c>
      <c r="N1161">
        <v>20</v>
      </c>
      <c r="O1161">
        <v>20</v>
      </c>
      <c r="P1161">
        <v>1</v>
      </c>
      <c r="Q1161">
        <v>1</v>
      </c>
      <c r="R1161">
        <v>0</v>
      </c>
      <c r="S1161">
        <v>1</v>
      </c>
      <c r="T1161">
        <v>2</v>
      </c>
      <c r="U1161">
        <v>4</v>
      </c>
      <c r="V1161">
        <v>2</v>
      </c>
      <c r="W1161">
        <v>2</v>
      </c>
      <c r="X1161">
        <v>2</v>
      </c>
      <c r="Y1161">
        <v>0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0</v>
      </c>
      <c r="AF1161">
        <v>2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2</v>
      </c>
      <c r="AN1161">
        <v>4</v>
      </c>
      <c r="AO1161">
        <v>2</v>
      </c>
      <c r="AP1161">
        <v>2</v>
      </c>
      <c r="AQ1161">
        <v>2</v>
      </c>
      <c r="AR1161">
        <v>0</v>
      </c>
      <c r="AS1161">
        <v>0</v>
      </c>
      <c r="AT1161">
        <v>3</v>
      </c>
      <c r="AU1161">
        <v>0</v>
      </c>
      <c r="AV1161">
        <v>0</v>
      </c>
      <c r="AW1161">
        <v>0</v>
      </c>
      <c r="AX1161">
        <v>0</v>
      </c>
      <c r="AY1161">
        <v>2</v>
      </c>
      <c r="AZ1161">
        <v>0</v>
      </c>
      <c r="BA1161">
        <v>0</v>
      </c>
      <c r="BB1161">
        <v>1</v>
      </c>
      <c r="BC1161" s="2">
        <v>1</v>
      </c>
      <c r="BD1161" s="2">
        <v>0</v>
      </c>
      <c r="BE1161" s="2">
        <v>1</v>
      </c>
      <c r="BF1161" s="2">
        <v>2</v>
      </c>
      <c r="BG1161" s="2">
        <v>4</v>
      </c>
      <c r="BH1161" s="2">
        <v>2</v>
      </c>
      <c r="BI1161" s="2">
        <v>2</v>
      </c>
      <c r="BJ1161" s="2">
        <v>2</v>
      </c>
      <c r="BK1161" s="2">
        <v>0</v>
      </c>
      <c r="BL1161" s="2">
        <v>0</v>
      </c>
      <c r="BM1161" s="2">
        <v>3</v>
      </c>
      <c r="BN1161" s="2">
        <v>0</v>
      </c>
      <c r="BO1161" s="2">
        <v>0</v>
      </c>
      <c r="BP1161" s="2">
        <v>0</v>
      </c>
      <c r="BQ1161" s="2">
        <v>0</v>
      </c>
      <c r="BR1161" s="2">
        <v>2</v>
      </c>
      <c r="BS1161" s="2">
        <v>0</v>
      </c>
      <c r="BT1161" s="2">
        <v>0</v>
      </c>
      <c r="BU1161" s="2">
        <v>1</v>
      </c>
      <c r="BV1161" s="2">
        <f t="shared" si="77"/>
        <v>20</v>
      </c>
      <c r="BW1161" s="16">
        <f t="shared" si="75"/>
        <v>1.0526315789473684</v>
      </c>
      <c r="BX1161" s="16">
        <f>COUNTIF($BC$6:BU1161, "=0") / COUNTIF($BC$6:BU1161, "&gt;-1")</f>
        <v>0.31064469131305772</v>
      </c>
      <c r="BY1161" s="18">
        <f>SUM($BC$6:BU1161) / $BY$4</f>
        <v>0.95682320212376293</v>
      </c>
      <c r="BZ1161" s="14">
        <f t="shared" si="76"/>
        <v>9</v>
      </c>
      <c r="CA1161" t="s">
        <v>5832</v>
      </c>
      <c r="CZ1161" t="s">
        <v>12788</v>
      </c>
      <c r="DA1161" t="s">
        <v>5904</v>
      </c>
      <c r="DB1161">
        <v>312.8</v>
      </c>
      <c r="DC1161" t="s">
        <v>33983</v>
      </c>
      <c r="DD1161" t="s">
        <v>33984</v>
      </c>
      <c r="DE1161" t="s">
        <v>33985</v>
      </c>
      <c r="DF1161" t="s">
        <v>33986</v>
      </c>
      <c r="DG1161" t="s">
        <v>33987</v>
      </c>
      <c r="DH1161" t="str">
        <f>"CYBA"</f>
        <v>CYBA</v>
      </c>
      <c r="DI1161" t="s">
        <v>13772</v>
      </c>
      <c r="DJ1161" t="s">
        <v>13777</v>
      </c>
      <c r="DK1161">
        <v>9606</v>
      </c>
      <c r="DL1161" s="34" t="str">
        <f>HYPERLINK("http://www.uniprot.org/uniprot/P13498", "P13498")</f>
        <v>P13498</v>
      </c>
      <c r="DM1161" t="s">
        <v>33988</v>
      </c>
      <c r="DN1161" t="s">
        <v>16041</v>
      </c>
      <c r="DO1161" t="s">
        <v>13792</v>
      </c>
      <c r="DP1161" t="s">
        <v>13793</v>
      </c>
      <c r="DQ1161" t="s">
        <v>13772</v>
      </c>
      <c r="DR1161" t="s">
        <v>29343</v>
      </c>
      <c r="DS1161" t="s">
        <v>13772</v>
      </c>
      <c r="DT1161" t="s">
        <v>20087</v>
      </c>
      <c r="DU1161" t="s">
        <v>13885</v>
      </c>
      <c r="DV1161" t="s">
        <v>13938</v>
      </c>
      <c r="DW1161" t="s">
        <v>13812</v>
      </c>
      <c r="DX1161" t="s">
        <v>33989</v>
      </c>
      <c r="DY1161" t="s">
        <v>33990</v>
      </c>
      <c r="DZ1161" t="s">
        <v>33991</v>
      </c>
      <c r="EA1161" t="s">
        <v>13772</v>
      </c>
      <c r="EB1161" t="s">
        <v>29350</v>
      </c>
    </row>
    <row r="1162" spans="1:132" hidden="1">
      <c r="A1162">
        <v>2155</v>
      </c>
      <c r="B1162">
        <v>1</v>
      </c>
      <c r="C1162" t="s">
        <v>5050</v>
      </c>
      <c r="D1162" t="s">
        <v>73</v>
      </c>
      <c r="E1162" t="s">
        <v>73</v>
      </c>
      <c r="F1162" t="s">
        <v>73</v>
      </c>
      <c r="G1162" t="s">
        <v>73</v>
      </c>
      <c r="H1162">
        <v>26.9</v>
      </c>
      <c r="I1162">
        <v>346</v>
      </c>
      <c r="J1162">
        <v>36231</v>
      </c>
      <c r="K1162" t="s">
        <v>5051</v>
      </c>
      <c r="L1162">
        <f t="shared" si="74"/>
        <v>20</v>
      </c>
      <c r="N1162">
        <v>20</v>
      </c>
      <c r="O1162">
        <v>20</v>
      </c>
      <c r="P1162">
        <v>1</v>
      </c>
      <c r="Q1162">
        <v>2</v>
      </c>
      <c r="R1162">
        <v>0</v>
      </c>
      <c r="S1162">
        <v>1</v>
      </c>
      <c r="T1162">
        <v>0</v>
      </c>
      <c r="U1162">
        <v>3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4</v>
      </c>
      <c r="AB1162">
        <v>6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1</v>
      </c>
      <c r="AM1162">
        <v>0</v>
      </c>
      <c r="AN1162">
        <v>3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>
        <v>4</v>
      </c>
      <c r="AU1162">
        <v>6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 s="2">
        <v>2</v>
      </c>
      <c r="BD1162" s="2">
        <v>0</v>
      </c>
      <c r="BE1162" s="2">
        <v>1</v>
      </c>
      <c r="BF1162" s="2">
        <v>0</v>
      </c>
      <c r="BG1162" s="2">
        <v>3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4</v>
      </c>
      <c r="BN1162" s="2">
        <v>6</v>
      </c>
      <c r="BO1162" s="2">
        <v>1</v>
      </c>
      <c r="BP1162" s="2">
        <v>0</v>
      </c>
      <c r="BQ1162" s="2">
        <v>0</v>
      </c>
      <c r="BR1162" s="2">
        <v>1</v>
      </c>
      <c r="BS1162" s="2">
        <v>0</v>
      </c>
      <c r="BT1162" s="2">
        <v>0</v>
      </c>
      <c r="BU1162" s="2">
        <v>0</v>
      </c>
      <c r="BV1162" s="2">
        <f t="shared" si="77"/>
        <v>20</v>
      </c>
      <c r="BW1162" s="16">
        <f t="shared" si="75"/>
        <v>1.0526315789473684</v>
      </c>
      <c r="BX1162" s="16">
        <f>COUNTIF($BC$6:BU1162, "=0") / COUNTIF($BC$6:BU1162, "&gt;-1")</f>
        <v>0.31083109675658466</v>
      </c>
      <c r="BY1162" s="18">
        <f>SUM($BC$6:BU1162) / $BY$4</f>
        <v>0.95690887486113685</v>
      </c>
      <c r="BZ1162" s="14">
        <f t="shared" si="76"/>
        <v>10</v>
      </c>
      <c r="CA1162" t="s">
        <v>5832</v>
      </c>
      <c r="CZ1162" t="s">
        <v>12931</v>
      </c>
      <c r="DA1162" t="s">
        <v>5904</v>
      </c>
      <c r="DB1162">
        <v>574.70000000000005</v>
      </c>
      <c r="DC1162" t="s">
        <v>34369</v>
      </c>
      <c r="DD1162" t="s">
        <v>34370</v>
      </c>
      <c r="DE1162" t="s">
        <v>34371</v>
      </c>
      <c r="DF1162" t="s">
        <v>34372</v>
      </c>
      <c r="DG1162" t="s">
        <v>34373</v>
      </c>
      <c r="DH1162" t="str">
        <f>"SUCLG1"</f>
        <v>SUCLG1</v>
      </c>
      <c r="DI1162" t="s">
        <v>13772</v>
      </c>
      <c r="DJ1162" t="s">
        <v>13777</v>
      </c>
      <c r="DK1162">
        <v>9606</v>
      </c>
      <c r="DL1162" s="34" t="str">
        <f>HYPERLINK("http://www.uniprot.org/uniprot/P53597", "P53597")</f>
        <v>P53597</v>
      </c>
      <c r="DM1162" t="s">
        <v>34374</v>
      </c>
      <c r="DN1162" t="s">
        <v>15224</v>
      </c>
      <c r="DO1162" t="s">
        <v>14491</v>
      </c>
      <c r="DP1162" t="s">
        <v>13793</v>
      </c>
      <c r="DQ1162" t="s">
        <v>13772</v>
      </c>
      <c r="DR1162" t="s">
        <v>14390</v>
      </c>
      <c r="DS1162" t="s">
        <v>14391</v>
      </c>
      <c r="DT1162" t="s">
        <v>29232</v>
      </c>
      <c r="DU1162" t="s">
        <v>21123</v>
      </c>
      <c r="DV1162" t="s">
        <v>14020</v>
      </c>
      <c r="DW1162" t="s">
        <v>13812</v>
      </c>
      <c r="DX1162" t="s">
        <v>34375</v>
      </c>
      <c r="DY1162" t="s">
        <v>34376</v>
      </c>
      <c r="DZ1162" t="s">
        <v>34377</v>
      </c>
      <c r="EA1162" t="s">
        <v>21127</v>
      </c>
      <c r="EB1162" t="s">
        <v>21128</v>
      </c>
    </row>
    <row r="1163" spans="1:132" hidden="1">
      <c r="A1163">
        <v>2166</v>
      </c>
      <c r="B1163">
        <v>1</v>
      </c>
      <c r="C1163" t="s">
        <v>5074</v>
      </c>
      <c r="D1163" t="s">
        <v>73</v>
      </c>
      <c r="E1163" t="s">
        <v>73</v>
      </c>
      <c r="F1163" t="s">
        <v>73</v>
      </c>
      <c r="G1163" t="s">
        <v>73</v>
      </c>
      <c r="H1163">
        <v>8.8000000000000007</v>
      </c>
      <c r="I1163">
        <v>975</v>
      </c>
      <c r="J1163">
        <v>108355</v>
      </c>
      <c r="K1163" t="s">
        <v>5075</v>
      </c>
      <c r="L1163">
        <f t="shared" si="74"/>
        <v>20</v>
      </c>
      <c r="N1163">
        <v>20</v>
      </c>
      <c r="O1163">
        <v>20</v>
      </c>
      <c r="P1163">
        <v>1</v>
      </c>
      <c r="Q1163">
        <v>2</v>
      </c>
      <c r="R1163">
        <v>0</v>
      </c>
      <c r="S1163">
        <v>0</v>
      </c>
      <c r="T1163">
        <v>0</v>
      </c>
      <c r="U1163">
        <v>2</v>
      </c>
      <c r="V1163">
        <v>4</v>
      </c>
      <c r="W1163">
        <v>1</v>
      </c>
      <c r="X1163">
        <v>2</v>
      </c>
      <c r="Y1163">
        <v>0</v>
      </c>
      <c r="Z1163">
        <v>0</v>
      </c>
      <c r="AA1163">
        <v>2</v>
      </c>
      <c r="AB1163">
        <v>4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2</v>
      </c>
      <c r="AJ1163">
        <v>2</v>
      </c>
      <c r="AK1163">
        <v>0</v>
      </c>
      <c r="AL1163">
        <v>0</v>
      </c>
      <c r="AM1163">
        <v>0</v>
      </c>
      <c r="AN1163">
        <v>2</v>
      </c>
      <c r="AO1163">
        <v>4</v>
      </c>
      <c r="AP1163">
        <v>1</v>
      </c>
      <c r="AQ1163">
        <v>2</v>
      </c>
      <c r="AR1163">
        <v>0</v>
      </c>
      <c r="AS1163">
        <v>0</v>
      </c>
      <c r="AT1163">
        <v>2</v>
      </c>
      <c r="AU1163">
        <v>4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2</v>
      </c>
      <c r="BC1163" s="2">
        <v>2</v>
      </c>
      <c r="BD1163" s="2">
        <v>0</v>
      </c>
      <c r="BE1163" s="2">
        <v>0</v>
      </c>
      <c r="BF1163" s="2">
        <v>0</v>
      </c>
      <c r="BG1163" s="2">
        <v>2</v>
      </c>
      <c r="BH1163" s="2">
        <v>4</v>
      </c>
      <c r="BI1163" s="2">
        <v>1</v>
      </c>
      <c r="BJ1163" s="2">
        <v>2</v>
      </c>
      <c r="BK1163" s="2">
        <v>0</v>
      </c>
      <c r="BL1163" s="2">
        <v>0</v>
      </c>
      <c r="BM1163" s="2">
        <v>2</v>
      </c>
      <c r="BN1163" s="2">
        <v>4</v>
      </c>
      <c r="BO1163" s="2">
        <v>0</v>
      </c>
      <c r="BP1163" s="2">
        <v>0</v>
      </c>
      <c r="BQ1163" s="2">
        <v>0</v>
      </c>
      <c r="BR1163" s="2">
        <v>1</v>
      </c>
      <c r="BS1163" s="2">
        <v>0</v>
      </c>
      <c r="BT1163" s="2">
        <v>0</v>
      </c>
      <c r="BU1163" s="2">
        <v>2</v>
      </c>
      <c r="BV1163" s="2">
        <f t="shared" si="77"/>
        <v>20</v>
      </c>
      <c r="BW1163" s="16">
        <f t="shared" si="75"/>
        <v>1.0526315789473684</v>
      </c>
      <c r="BX1163" s="16">
        <f>COUNTIF($BC$6:BU1163, "=0") / COUNTIF($BC$6:BU1163, "&gt;-1")</f>
        <v>0.31101718025634034</v>
      </c>
      <c r="BY1163" s="18">
        <f>SUM($BC$6:BU1163) / $BY$4</f>
        <v>0.95699454759851088</v>
      </c>
      <c r="BZ1163" s="14">
        <f t="shared" si="76"/>
        <v>10</v>
      </c>
      <c r="CA1163" t="s">
        <v>5832</v>
      </c>
      <c r="CZ1163" t="s">
        <v>12968</v>
      </c>
      <c r="DA1163" t="s">
        <v>5904</v>
      </c>
      <c r="DB1163">
        <v>1867.4</v>
      </c>
      <c r="DC1163" t="s">
        <v>34462</v>
      </c>
      <c r="DD1163" t="s">
        <v>34463</v>
      </c>
      <c r="DE1163" t="s">
        <v>34464</v>
      </c>
      <c r="DF1163" t="s">
        <v>34465</v>
      </c>
      <c r="DG1163" t="s">
        <v>34466</v>
      </c>
      <c r="DH1163" t="str">
        <f>"EPHA2"</f>
        <v>EPHA2</v>
      </c>
      <c r="DI1163" t="s">
        <v>34467</v>
      </c>
      <c r="DJ1163" t="s">
        <v>13777</v>
      </c>
      <c r="DK1163">
        <v>9606</v>
      </c>
      <c r="DL1163" s="34" t="str">
        <f>HYPERLINK("http://www.uniprot.org/uniprot/P29317", "P29317")</f>
        <v>P29317</v>
      </c>
      <c r="DM1163" t="s">
        <v>34468</v>
      </c>
      <c r="DN1163" t="s">
        <v>34469</v>
      </c>
      <c r="DO1163" t="s">
        <v>18731</v>
      </c>
      <c r="DP1163" t="s">
        <v>13780</v>
      </c>
      <c r="DQ1163" t="s">
        <v>13772</v>
      </c>
      <c r="DR1163" t="s">
        <v>14004</v>
      </c>
      <c r="DS1163" t="s">
        <v>13826</v>
      </c>
      <c r="DT1163" t="s">
        <v>14005</v>
      </c>
      <c r="DU1163" t="s">
        <v>33781</v>
      </c>
      <c r="DV1163" t="s">
        <v>14640</v>
      </c>
      <c r="DW1163" t="s">
        <v>13812</v>
      </c>
      <c r="DX1163" t="s">
        <v>34470</v>
      </c>
      <c r="DY1163" t="s">
        <v>34471</v>
      </c>
      <c r="DZ1163" t="s">
        <v>34472</v>
      </c>
      <c r="EA1163" t="s">
        <v>13772</v>
      </c>
      <c r="EB1163" t="s">
        <v>20392</v>
      </c>
    </row>
    <row r="1164" spans="1:132" hidden="1">
      <c r="A1164">
        <v>2251</v>
      </c>
      <c r="B1164">
        <v>1</v>
      </c>
      <c r="C1164" t="s">
        <v>5261</v>
      </c>
      <c r="D1164" t="s">
        <v>5262</v>
      </c>
      <c r="E1164" t="s">
        <v>73</v>
      </c>
      <c r="F1164" t="s">
        <v>73</v>
      </c>
      <c r="G1164" t="s">
        <v>73</v>
      </c>
      <c r="H1164">
        <v>19.100000000000001</v>
      </c>
      <c r="I1164">
        <v>277</v>
      </c>
      <c r="J1164">
        <v>30274</v>
      </c>
      <c r="K1164" t="s">
        <v>5263</v>
      </c>
      <c r="L1164">
        <f t="shared" si="74"/>
        <v>20</v>
      </c>
      <c r="N1164">
        <v>20</v>
      </c>
      <c r="O1164">
        <v>20</v>
      </c>
      <c r="P1164">
        <v>1</v>
      </c>
      <c r="Q1164">
        <v>2</v>
      </c>
      <c r="R1164">
        <v>2</v>
      </c>
      <c r="S1164">
        <v>4</v>
      </c>
      <c r="T1164">
        <v>0</v>
      </c>
      <c r="U1164">
        <v>3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2</v>
      </c>
      <c r="AH1164">
        <v>1</v>
      </c>
      <c r="AI1164">
        <v>0</v>
      </c>
      <c r="AJ1164">
        <v>2</v>
      </c>
      <c r="AK1164">
        <v>2</v>
      </c>
      <c r="AL1164">
        <v>4</v>
      </c>
      <c r="AM1164">
        <v>0</v>
      </c>
      <c r="AN1164">
        <v>3</v>
      </c>
      <c r="AO1164">
        <v>1</v>
      </c>
      <c r="AP1164">
        <v>1</v>
      </c>
      <c r="AQ1164">
        <v>0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2</v>
      </c>
      <c r="BA1164">
        <v>1</v>
      </c>
      <c r="BB1164">
        <v>0</v>
      </c>
      <c r="BC1164" s="2">
        <v>2</v>
      </c>
      <c r="BD1164" s="2">
        <v>2</v>
      </c>
      <c r="BE1164" s="2">
        <v>4</v>
      </c>
      <c r="BF1164" s="2">
        <v>0</v>
      </c>
      <c r="BG1164" s="2">
        <v>3</v>
      </c>
      <c r="BH1164" s="2">
        <v>1</v>
      </c>
      <c r="BI1164" s="2">
        <v>1</v>
      </c>
      <c r="BJ1164" s="2">
        <v>0</v>
      </c>
      <c r="BK1164" s="2">
        <v>1</v>
      </c>
      <c r="BL1164" s="2">
        <v>0</v>
      </c>
      <c r="BM1164" s="2">
        <v>1</v>
      </c>
      <c r="BN1164" s="2">
        <v>1</v>
      </c>
      <c r="BO1164" s="2">
        <v>1</v>
      </c>
      <c r="BP1164" s="2">
        <v>0</v>
      </c>
      <c r="BQ1164" s="2">
        <v>0</v>
      </c>
      <c r="BR1164" s="2">
        <v>0</v>
      </c>
      <c r="BS1164" s="2">
        <v>2</v>
      </c>
      <c r="BT1164" s="2">
        <v>1</v>
      </c>
      <c r="BU1164" s="2">
        <v>0</v>
      </c>
      <c r="BV1164" s="2">
        <f t="shared" si="77"/>
        <v>20</v>
      </c>
      <c r="BW1164" s="16">
        <f t="shared" si="75"/>
        <v>1.0526315789473684</v>
      </c>
      <c r="BX1164" s="16">
        <f>COUNTIF($BC$6:BU1164, "=0") / COUNTIF($BC$6:BU1164, "&gt;-1")</f>
        <v>0.31106670905045186</v>
      </c>
      <c r="BY1164" s="18">
        <f>SUM($BC$6:BU1164) / $BY$4</f>
        <v>0.95708022033588491</v>
      </c>
      <c r="BZ1164" s="14">
        <f t="shared" si="76"/>
        <v>7</v>
      </c>
      <c r="CA1164" t="s">
        <v>5832</v>
      </c>
      <c r="CZ1164" t="s">
        <v>13248</v>
      </c>
      <c r="DA1164" t="s">
        <v>5904</v>
      </c>
      <c r="DB1164">
        <v>389.4</v>
      </c>
      <c r="DC1164" t="s">
        <v>35262</v>
      </c>
      <c r="DD1164" t="s">
        <v>35263</v>
      </c>
      <c r="DE1164" t="s">
        <v>35264</v>
      </c>
      <c r="DF1164" t="s">
        <v>35265</v>
      </c>
      <c r="DG1164" t="s">
        <v>35266</v>
      </c>
      <c r="DH1164" t="str">
        <f>"CD40"</f>
        <v>CD40</v>
      </c>
      <c r="DI1164" t="s">
        <v>35267</v>
      </c>
      <c r="DJ1164" t="s">
        <v>13777</v>
      </c>
      <c r="DK1164">
        <v>9606</v>
      </c>
      <c r="DL1164" s="34" t="str">
        <f>HYPERLINK("http://www.uniprot.org/uniprot/P25942", "P25942")</f>
        <v>P25942</v>
      </c>
      <c r="DM1164" t="s">
        <v>35268</v>
      </c>
      <c r="DN1164" t="s">
        <v>13791</v>
      </c>
      <c r="DO1164" t="s">
        <v>14336</v>
      </c>
      <c r="DP1164" t="s">
        <v>13780</v>
      </c>
      <c r="DQ1164" t="s">
        <v>13772</v>
      </c>
      <c r="DR1164" t="s">
        <v>13807</v>
      </c>
      <c r="DS1164" t="s">
        <v>13826</v>
      </c>
      <c r="DT1164" t="s">
        <v>13772</v>
      </c>
      <c r="DU1164" t="s">
        <v>13795</v>
      </c>
      <c r="DV1164" t="s">
        <v>13796</v>
      </c>
      <c r="DW1164" t="s">
        <v>13812</v>
      </c>
      <c r="DX1164" t="s">
        <v>35269</v>
      </c>
      <c r="DY1164" t="s">
        <v>35270</v>
      </c>
      <c r="DZ1164" t="s">
        <v>35271</v>
      </c>
      <c r="EA1164" t="s">
        <v>13772</v>
      </c>
      <c r="EB1164" t="s">
        <v>35272</v>
      </c>
    </row>
    <row r="1165" spans="1:132" hidden="1">
      <c r="A1165">
        <v>2327</v>
      </c>
      <c r="B1165">
        <v>1</v>
      </c>
      <c r="C1165" t="s">
        <v>5426</v>
      </c>
      <c r="D1165" t="s">
        <v>73</v>
      </c>
      <c r="E1165" t="s">
        <v>73</v>
      </c>
      <c r="F1165" t="s">
        <v>73</v>
      </c>
      <c r="G1165" t="s">
        <v>73</v>
      </c>
      <c r="H1165">
        <v>12.4</v>
      </c>
      <c r="I1165">
        <v>250</v>
      </c>
      <c r="J1165">
        <v>26802</v>
      </c>
      <c r="K1165" t="s">
        <v>5427</v>
      </c>
      <c r="L1165">
        <f t="shared" si="74"/>
        <v>20</v>
      </c>
      <c r="N1165">
        <v>20</v>
      </c>
      <c r="O1165">
        <v>20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2</v>
      </c>
      <c r="AB1165">
        <v>3</v>
      </c>
      <c r="AC1165">
        <v>2</v>
      </c>
      <c r="AD1165">
        <v>1</v>
      </c>
      <c r="AE1165">
        <v>2</v>
      </c>
      <c r="AF1165">
        <v>3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2</v>
      </c>
      <c r="AU1165">
        <v>3</v>
      </c>
      <c r="AV1165">
        <v>2</v>
      </c>
      <c r="AW1165">
        <v>1</v>
      </c>
      <c r="AX1165">
        <v>2</v>
      </c>
      <c r="AY1165">
        <v>3</v>
      </c>
      <c r="AZ1165">
        <v>1</v>
      </c>
      <c r="BA1165">
        <v>1</v>
      </c>
      <c r="BB1165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1</v>
      </c>
      <c r="BH1165" s="2">
        <v>1</v>
      </c>
      <c r="BI1165" s="2">
        <v>0</v>
      </c>
      <c r="BJ1165" s="2">
        <v>1</v>
      </c>
      <c r="BK1165" s="2">
        <v>1</v>
      </c>
      <c r="BL1165" s="2">
        <v>1</v>
      </c>
      <c r="BM1165" s="2">
        <v>2</v>
      </c>
      <c r="BN1165" s="2">
        <v>3</v>
      </c>
      <c r="BO1165" s="2">
        <v>2</v>
      </c>
      <c r="BP1165" s="2">
        <v>1</v>
      </c>
      <c r="BQ1165" s="2">
        <v>2</v>
      </c>
      <c r="BR1165" s="2">
        <v>3</v>
      </c>
      <c r="BS1165" s="2">
        <v>1</v>
      </c>
      <c r="BT1165" s="2">
        <v>1</v>
      </c>
      <c r="BU1165" s="2">
        <v>0</v>
      </c>
      <c r="BV1165" s="2">
        <f t="shared" si="77"/>
        <v>20</v>
      </c>
      <c r="BW1165" s="16">
        <f t="shared" si="75"/>
        <v>1.0526315789473684</v>
      </c>
      <c r="BX1165" s="16">
        <f>COUNTIF($BC$6:BU1165, "=0") / COUNTIF($BC$6:BU1165, "&gt;-1")</f>
        <v>0.31107078039927405</v>
      </c>
      <c r="BY1165" s="18">
        <f>SUM($BC$6:BU1165) / $BY$4</f>
        <v>0.95716589307325894</v>
      </c>
      <c r="BZ1165" s="14">
        <f t="shared" si="76"/>
        <v>6</v>
      </c>
      <c r="CA1165" t="s">
        <v>5832</v>
      </c>
      <c r="CZ1165" t="s">
        <v>13482</v>
      </c>
      <c r="DA1165" t="s">
        <v>5904</v>
      </c>
      <c r="DB1165">
        <v>254.2</v>
      </c>
      <c r="DC1165" t="s">
        <v>35932</v>
      </c>
      <c r="DD1165" t="s">
        <v>35933</v>
      </c>
      <c r="DE1165" t="s">
        <v>35934</v>
      </c>
      <c r="DF1165" t="s">
        <v>35935</v>
      </c>
      <c r="DG1165" t="s">
        <v>35936</v>
      </c>
      <c r="DH1165" t="str">
        <f>"CXCL16"</f>
        <v>CXCL16</v>
      </c>
      <c r="DI1165" t="s">
        <v>35937</v>
      </c>
      <c r="DJ1165" t="s">
        <v>13777</v>
      </c>
      <c r="DK1165">
        <v>9606</v>
      </c>
      <c r="DL1165" s="34" t="str">
        <f>HYPERLINK("http://www.uniprot.org/uniprot/Q9H2A7", "Q9H2A7")</f>
        <v>Q9H2A7</v>
      </c>
      <c r="DM1165" t="s">
        <v>35938</v>
      </c>
      <c r="DN1165" t="s">
        <v>35939</v>
      </c>
      <c r="DO1165" t="s">
        <v>14336</v>
      </c>
      <c r="DP1165" t="s">
        <v>13793</v>
      </c>
      <c r="DQ1165" t="s">
        <v>13772</v>
      </c>
      <c r="DR1165" t="s">
        <v>13772</v>
      </c>
      <c r="DS1165" t="s">
        <v>13855</v>
      </c>
      <c r="DT1165" t="s">
        <v>13772</v>
      </c>
      <c r="DU1165" t="s">
        <v>14405</v>
      </c>
      <c r="DV1165" t="s">
        <v>13796</v>
      </c>
      <c r="DW1165" t="s">
        <v>13772</v>
      </c>
      <c r="DX1165" t="s">
        <v>35940</v>
      </c>
      <c r="DY1165" t="s">
        <v>35941</v>
      </c>
      <c r="DZ1165" t="s">
        <v>35942</v>
      </c>
      <c r="EA1165" t="s">
        <v>13772</v>
      </c>
      <c r="EB1165" t="s">
        <v>35943</v>
      </c>
    </row>
    <row r="1166" spans="1:132" hidden="1">
      <c r="A1166">
        <v>2226</v>
      </c>
      <c r="B1166">
        <v>1</v>
      </c>
      <c r="C1166" t="s">
        <v>5204</v>
      </c>
      <c r="D1166" t="s">
        <v>5205</v>
      </c>
      <c r="E1166" t="s">
        <v>73</v>
      </c>
      <c r="F1166" t="s">
        <v>684</v>
      </c>
      <c r="G1166" t="s">
        <v>73</v>
      </c>
      <c r="H1166">
        <v>18.399999999999999</v>
      </c>
      <c r="I1166">
        <v>875</v>
      </c>
      <c r="J1166">
        <v>98569</v>
      </c>
      <c r="K1166" t="s">
        <v>5206</v>
      </c>
      <c r="L1166">
        <f t="shared" si="74"/>
        <v>29</v>
      </c>
      <c r="N1166">
        <v>29</v>
      </c>
      <c r="O1166">
        <v>15</v>
      </c>
      <c r="P1166">
        <v>0.51700000000000002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8</v>
      </c>
      <c r="Z1166">
        <v>0</v>
      </c>
      <c r="AA1166">
        <v>8</v>
      </c>
      <c r="AB1166">
        <v>7</v>
      </c>
      <c r="AC1166">
        <v>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</v>
      </c>
      <c r="AS1166">
        <v>0</v>
      </c>
      <c r="AT1166">
        <v>5</v>
      </c>
      <c r="AU1166">
        <v>4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0.33300000000000002</v>
      </c>
      <c r="BJ1166" s="2">
        <v>0</v>
      </c>
      <c r="BK1166" s="2">
        <v>6.024</v>
      </c>
      <c r="BL1166" s="2">
        <v>0</v>
      </c>
      <c r="BM1166" s="2">
        <v>5.9790000000000001</v>
      </c>
      <c r="BN1166" s="2">
        <v>6.133</v>
      </c>
      <c r="BO1166" s="2">
        <v>1.444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f t="shared" si="77"/>
        <v>19.913</v>
      </c>
      <c r="BW1166" s="16">
        <f t="shared" si="75"/>
        <v>1.0480526315789473</v>
      </c>
      <c r="BX1166" s="16">
        <f>COUNTIF($BC$6:BU1166, "=0") / COUNTIF($BC$6:BU1166, "&gt;-1")</f>
        <v>0.31143750849993201</v>
      </c>
      <c r="BY1166" s="18">
        <f>SUM($BC$6:BU1166) / $BY$4</f>
        <v>0.95725119313422535</v>
      </c>
      <c r="BZ1166" s="14">
        <f t="shared" si="76"/>
        <v>14</v>
      </c>
      <c r="CA1166" t="s">
        <v>5832</v>
      </c>
      <c r="CZ1166" t="s">
        <v>13162</v>
      </c>
      <c r="DA1166" t="s">
        <v>5904</v>
      </c>
      <c r="DB1166">
        <v>1560</v>
      </c>
      <c r="DC1166" t="s">
        <v>35012</v>
      </c>
      <c r="DD1166" t="s">
        <v>13772</v>
      </c>
      <c r="DE1166" t="s">
        <v>35013</v>
      </c>
      <c r="DF1166" t="s">
        <v>35014</v>
      </c>
      <c r="DG1166" t="s">
        <v>35015</v>
      </c>
      <c r="DH1166" t="str">
        <f>"PYGB"</f>
        <v>PYGB</v>
      </c>
      <c r="DI1166" t="s">
        <v>13772</v>
      </c>
      <c r="DJ1166" t="s">
        <v>13777</v>
      </c>
      <c r="DK1166">
        <v>9606</v>
      </c>
      <c r="DL1166" s="34" t="str">
        <f>HYPERLINK("http://www.uniprot.org/uniprot/P11216", "P11216")</f>
        <v>P11216</v>
      </c>
      <c r="DM1166" t="s">
        <v>35016</v>
      </c>
      <c r="DN1166" t="s">
        <v>16229</v>
      </c>
      <c r="DO1166" t="s">
        <v>13772</v>
      </c>
      <c r="DP1166" t="s">
        <v>13793</v>
      </c>
      <c r="DQ1166" t="s">
        <v>13772</v>
      </c>
      <c r="DR1166" t="s">
        <v>13772</v>
      </c>
      <c r="DS1166" t="s">
        <v>13772</v>
      </c>
      <c r="DT1166" t="s">
        <v>14133</v>
      </c>
      <c r="DU1166" t="s">
        <v>16232</v>
      </c>
      <c r="DV1166" t="s">
        <v>13886</v>
      </c>
      <c r="DW1166" t="s">
        <v>13812</v>
      </c>
      <c r="DX1166" t="s">
        <v>35017</v>
      </c>
      <c r="DY1166" t="s">
        <v>35018</v>
      </c>
      <c r="DZ1166" t="s">
        <v>35019</v>
      </c>
      <c r="EA1166" t="s">
        <v>13772</v>
      </c>
      <c r="EB1166" t="s">
        <v>16236</v>
      </c>
    </row>
    <row r="1167" spans="1:132" hidden="1">
      <c r="A1167">
        <v>194</v>
      </c>
      <c r="B1167">
        <v>1</v>
      </c>
      <c r="C1167" t="s">
        <v>489</v>
      </c>
      <c r="D1167" t="s">
        <v>73</v>
      </c>
      <c r="E1167" t="s">
        <v>73</v>
      </c>
      <c r="F1167" t="s">
        <v>490</v>
      </c>
      <c r="G1167" t="s">
        <v>73</v>
      </c>
      <c r="H1167">
        <v>26.8</v>
      </c>
      <c r="I1167">
        <v>541</v>
      </c>
      <c r="J1167">
        <v>61195</v>
      </c>
      <c r="K1167" t="s">
        <v>491</v>
      </c>
      <c r="L1167">
        <f t="shared" si="74"/>
        <v>21</v>
      </c>
      <c r="N1167">
        <v>21</v>
      </c>
      <c r="O1167">
        <v>14</v>
      </c>
      <c r="P1167">
        <v>0.66700000000000004</v>
      </c>
      <c r="Q1167">
        <v>0</v>
      </c>
      <c r="R1167">
        <v>2</v>
      </c>
      <c r="S1167">
        <v>0</v>
      </c>
      <c r="T1167">
        <v>0</v>
      </c>
      <c r="U1167">
        <v>0</v>
      </c>
      <c r="V1167">
        <v>2</v>
      </c>
      <c r="W1167">
        <v>0</v>
      </c>
      <c r="X1167">
        <v>0</v>
      </c>
      <c r="Y1167">
        <v>1</v>
      </c>
      <c r="Z1167">
        <v>0</v>
      </c>
      <c r="AA1167">
        <v>6</v>
      </c>
      <c r="AB1167">
        <v>0</v>
      </c>
      <c r="AC1167">
        <v>5</v>
      </c>
      <c r="AD1167">
        <v>1</v>
      </c>
      <c r="AE1167">
        <v>2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2</v>
      </c>
      <c r="AP1167">
        <v>0</v>
      </c>
      <c r="AQ1167">
        <v>0</v>
      </c>
      <c r="AR1167">
        <v>0</v>
      </c>
      <c r="AS1167">
        <v>0</v>
      </c>
      <c r="AT1167">
        <v>4</v>
      </c>
      <c r="AU1167">
        <v>0</v>
      </c>
      <c r="AV1167">
        <v>2</v>
      </c>
      <c r="AW1167">
        <v>1</v>
      </c>
      <c r="AX1167">
        <v>2</v>
      </c>
      <c r="AY1167">
        <v>1</v>
      </c>
      <c r="AZ1167">
        <v>0</v>
      </c>
      <c r="BA1167">
        <v>0</v>
      </c>
      <c r="BB1167">
        <v>0</v>
      </c>
      <c r="BC1167" s="2">
        <v>0</v>
      </c>
      <c r="BD1167" s="2">
        <v>2</v>
      </c>
      <c r="BE1167" s="2">
        <v>0</v>
      </c>
      <c r="BF1167" s="2">
        <v>0</v>
      </c>
      <c r="BG1167" s="2">
        <v>0</v>
      </c>
      <c r="BH1167" s="2">
        <v>2</v>
      </c>
      <c r="BI1167" s="2">
        <v>0</v>
      </c>
      <c r="BJ1167" s="2">
        <v>0</v>
      </c>
      <c r="BK1167" s="2">
        <v>0.5</v>
      </c>
      <c r="BL1167" s="2">
        <v>0</v>
      </c>
      <c r="BM1167" s="2">
        <v>5.6669999999999998</v>
      </c>
      <c r="BN1167" s="2">
        <v>0</v>
      </c>
      <c r="BO1167" s="2">
        <v>4.6669999999999998</v>
      </c>
      <c r="BP1167" s="2">
        <v>1</v>
      </c>
      <c r="BQ1167" s="2">
        <v>2</v>
      </c>
      <c r="BR1167" s="2">
        <v>2</v>
      </c>
      <c r="BS1167" s="2">
        <v>0</v>
      </c>
      <c r="BT1167" s="2">
        <v>0</v>
      </c>
      <c r="BU1167" s="2">
        <v>0</v>
      </c>
      <c r="BV1167" s="2">
        <f t="shared" si="77"/>
        <v>19.834</v>
      </c>
      <c r="BW1167" s="16">
        <f t="shared" si="75"/>
        <v>1.0438947368421052</v>
      </c>
      <c r="BX1167" s="16">
        <f>COUNTIF($BC$6:BU1167, "=0") / COUNTIF($BC$6:BU1167, "&gt;-1")</f>
        <v>0.31166772352568167</v>
      </c>
      <c r="BY1167" s="18">
        <f>SUM($BC$6:BU1167) / $BY$4</f>
        <v>0.95733615478787903</v>
      </c>
      <c r="BZ1167" s="14">
        <f t="shared" si="76"/>
        <v>11</v>
      </c>
      <c r="CA1167" t="s">
        <v>5832</v>
      </c>
      <c r="CZ1167" t="s">
        <v>6367</v>
      </c>
      <c r="DA1167" t="s">
        <v>5904</v>
      </c>
      <c r="DB1167">
        <v>1097.8</v>
      </c>
      <c r="DC1167" t="s">
        <v>15392</v>
      </c>
      <c r="DD1167" t="s">
        <v>15393</v>
      </c>
      <c r="DE1167" t="s">
        <v>15394</v>
      </c>
      <c r="DF1167" t="s">
        <v>15395</v>
      </c>
      <c r="DG1167" t="s">
        <v>15396</v>
      </c>
      <c r="DH1167" t="str">
        <f>"EHD4"</f>
        <v>EHD4</v>
      </c>
      <c r="DI1167" t="s">
        <v>13772</v>
      </c>
      <c r="DJ1167" t="s">
        <v>13777</v>
      </c>
      <c r="DK1167">
        <v>9606</v>
      </c>
      <c r="DL1167" s="34" t="str">
        <f>HYPERLINK("http://www.uniprot.org/uniprot/Q9H223", "Q9H223")</f>
        <v>Q9H223</v>
      </c>
      <c r="DM1167" t="s">
        <v>15397</v>
      </c>
      <c r="DN1167" t="s">
        <v>13772</v>
      </c>
      <c r="DO1167" t="s">
        <v>14348</v>
      </c>
      <c r="DP1167" t="s">
        <v>13793</v>
      </c>
      <c r="DQ1167" t="s">
        <v>13772</v>
      </c>
      <c r="DR1167" t="s">
        <v>13772</v>
      </c>
      <c r="DS1167" t="s">
        <v>13772</v>
      </c>
      <c r="DT1167" t="s">
        <v>15398</v>
      </c>
      <c r="DU1167" t="s">
        <v>13772</v>
      </c>
      <c r="DV1167" t="s">
        <v>13886</v>
      </c>
      <c r="DW1167" t="s">
        <v>13772</v>
      </c>
      <c r="DX1167" t="s">
        <v>15399</v>
      </c>
      <c r="DY1167" t="s">
        <v>15400</v>
      </c>
      <c r="DZ1167" t="s">
        <v>15401</v>
      </c>
      <c r="EA1167" t="s">
        <v>13772</v>
      </c>
      <c r="EB1167" t="s">
        <v>13772</v>
      </c>
    </row>
    <row r="1168" spans="1:132" hidden="1">
      <c r="A1168">
        <v>1031</v>
      </c>
      <c r="B1168">
        <v>1</v>
      </c>
      <c r="C1168" t="s">
        <v>2494</v>
      </c>
      <c r="D1168" t="s">
        <v>2495</v>
      </c>
      <c r="E1168" t="s">
        <v>73</v>
      </c>
      <c r="F1168" t="s">
        <v>2496</v>
      </c>
      <c r="G1168" t="s">
        <v>73</v>
      </c>
      <c r="H1168">
        <v>29.5</v>
      </c>
      <c r="I1168">
        <v>366</v>
      </c>
      <c r="J1168">
        <v>38651</v>
      </c>
      <c r="K1168" t="s">
        <v>2497</v>
      </c>
      <c r="L1168">
        <f t="shared" si="74"/>
        <v>41</v>
      </c>
      <c r="N1168">
        <v>41</v>
      </c>
      <c r="O1168">
        <v>13</v>
      </c>
      <c r="P1168">
        <v>0.317</v>
      </c>
      <c r="Q1168">
        <v>2</v>
      </c>
      <c r="R1168">
        <v>0</v>
      </c>
      <c r="S1168">
        <v>0</v>
      </c>
      <c r="T1168">
        <v>0</v>
      </c>
      <c r="U1168">
        <v>1</v>
      </c>
      <c r="V1168">
        <v>4</v>
      </c>
      <c r="W1168">
        <v>1</v>
      </c>
      <c r="X1168">
        <v>2</v>
      </c>
      <c r="Y1168">
        <v>7</v>
      </c>
      <c r="Z1168">
        <v>1</v>
      </c>
      <c r="AA1168">
        <v>6</v>
      </c>
      <c r="AB1168">
        <v>6</v>
      </c>
      <c r="AC1168">
        <v>1</v>
      </c>
      <c r="AD1168">
        <v>0</v>
      </c>
      <c r="AE1168">
        <v>4</v>
      </c>
      <c r="AF1168">
        <v>5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3</v>
      </c>
      <c r="AP1168">
        <v>0</v>
      </c>
      <c r="AQ1168">
        <v>0</v>
      </c>
      <c r="AR1168">
        <v>2</v>
      </c>
      <c r="AS1168">
        <v>0</v>
      </c>
      <c r="AT1168">
        <v>3</v>
      </c>
      <c r="AU1168">
        <v>2</v>
      </c>
      <c r="AV1168">
        <v>0</v>
      </c>
      <c r="AW1168">
        <v>0</v>
      </c>
      <c r="AX1168">
        <v>1</v>
      </c>
      <c r="AY1168">
        <v>1</v>
      </c>
      <c r="AZ1168">
        <v>0</v>
      </c>
      <c r="BA1168">
        <v>0</v>
      </c>
      <c r="BB1168">
        <v>0</v>
      </c>
      <c r="BC1168" s="2">
        <v>1</v>
      </c>
      <c r="BD1168" s="2">
        <v>0</v>
      </c>
      <c r="BE1168" s="2">
        <v>0</v>
      </c>
      <c r="BF1168" s="2">
        <v>0</v>
      </c>
      <c r="BG1168" s="2">
        <v>1</v>
      </c>
      <c r="BH1168" s="2">
        <v>3.5</v>
      </c>
      <c r="BI1168" s="2">
        <v>0</v>
      </c>
      <c r="BJ1168" s="2">
        <v>0</v>
      </c>
      <c r="BK1168" s="2">
        <v>3</v>
      </c>
      <c r="BL1168" s="2">
        <v>0.5</v>
      </c>
      <c r="BM1168" s="2">
        <v>3.8180000000000001</v>
      </c>
      <c r="BN1168" s="2">
        <v>3</v>
      </c>
      <c r="BO1168" s="2">
        <v>0</v>
      </c>
      <c r="BP1168" s="2">
        <v>0</v>
      </c>
      <c r="BQ1168" s="2">
        <v>1.5</v>
      </c>
      <c r="BR1168" s="2">
        <v>2</v>
      </c>
      <c r="BS1168" s="2">
        <v>0</v>
      </c>
      <c r="BT1168" s="2">
        <v>0</v>
      </c>
      <c r="BU1168" s="2">
        <v>0.5</v>
      </c>
      <c r="BV1168" s="2">
        <f t="shared" si="77"/>
        <v>19.817999999999998</v>
      </c>
      <c r="BW1168" s="16">
        <f t="shared" si="75"/>
        <v>1.0430526315789472</v>
      </c>
      <c r="BX1168" s="16">
        <f>COUNTIF($BC$6:BU1168, "=0") / COUNTIF($BC$6:BU1168, "&gt;-1")</f>
        <v>0.31180703262886367</v>
      </c>
      <c r="BY1168" s="18">
        <f>SUM($BC$6:BU1168) / $BY$4</f>
        <v>0.95742104790334293</v>
      </c>
      <c r="BZ1168" s="14">
        <f t="shared" si="76"/>
        <v>9</v>
      </c>
      <c r="CA1168" t="s">
        <v>5832</v>
      </c>
      <c r="CZ1168" t="s">
        <v>9217</v>
      </c>
      <c r="DA1168" t="s">
        <v>5904</v>
      </c>
      <c r="DB1168">
        <v>738</v>
      </c>
      <c r="DC1168" t="s">
        <v>23909</v>
      </c>
      <c r="DD1168" t="s">
        <v>23910</v>
      </c>
      <c r="DE1168" t="s">
        <v>23911</v>
      </c>
      <c r="DF1168" t="s">
        <v>23912</v>
      </c>
      <c r="DG1168" t="s">
        <v>23913</v>
      </c>
      <c r="DH1168" t="str">
        <f>"PCBP2"</f>
        <v>PCBP2</v>
      </c>
      <c r="DI1168" t="s">
        <v>13772</v>
      </c>
      <c r="DJ1168" t="s">
        <v>13777</v>
      </c>
      <c r="DK1168">
        <v>9606</v>
      </c>
      <c r="DL1168" s="34" t="str">
        <f>HYPERLINK("http://www.uniprot.org/uniprot/Q15366", "Q15366")</f>
        <v>Q15366</v>
      </c>
      <c r="DM1168" t="s">
        <v>23914</v>
      </c>
      <c r="DN1168" t="s">
        <v>23915</v>
      </c>
      <c r="DO1168" t="s">
        <v>13912</v>
      </c>
      <c r="DP1168" t="s">
        <v>13841</v>
      </c>
      <c r="DQ1168" t="s">
        <v>13772</v>
      </c>
      <c r="DR1168" t="s">
        <v>13772</v>
      </c>
      <c r="DS1168" t="s">
        <v>14096</v>
      </c>
      <c r="DT1168" t="s">
        <v>13772</v>
      </c>
      <c r="DU1168" t="s">
        <v>23916</v>
      </c>
      <c r="DV1168" t="s">
        <v>13938</v>
      </c>
      <c r="DW1168" t="s">
        <v>13812</v>
      </c>
      <c r="DX1168" t="s">
        <v>23917</v>
      </c>
      <c r="DY1168" t="s">
        <v>23918</v>
      </c>
      <c r="DZ1168" t="s">
        <v>23919</v>
      </c>
      <c r="EA1168" t="s">
        <v>13772</v>
      </c>
      <c r="EB1168" t="s">
        <v>23920</v>
      </c>
    </row>
    <row r="1169" spans="1:132" hidden="1">
      <c r="A1169">
        <v>2136</v>
      </c>
      <c r="B1169">
        <v>1</v>
      </c>
      <c r="C1169" t="s">
        <v>5009</v>
      </c>
      <c r="D1169" t="s">
        <v>5010</v>
      </c>
      <c r="E1169" t="s">
        <v>73</v>
      </c>
      <c r="F1169" t="s">
        <v>835</v>
      </c>
      <c r="G1169" t="s">
        <v>73</v>
      </c>
      <c r="H1169">
        <v>10.3</v>
      </c>
      <c r="I1169">
        <v>970</v>
      </c>
      <c r="J1169">
        <v>104071</v>
      </c>
      <c r="K1169" t="s">
        <v>5011</v>
      </c>
      <c r="L1169">
        <f t="shared" si="74"/>
        <v>26</v>
      </c>
      <c r="N1169">
        <v>26</v>
      </c>
      <c r="O1169">
        <v>18</v>
      </c>
      <c r="P1169">
        <v>0.69199999999999995</v>
      </c>
      <c r="Q1169">
        <v>0</v>
      </c>
      <c r="R1169">
        <v>2</v>
      </c>
      <c r="S1169">
        <v>1</v>
      </c>
      <c r="T1169">
        <v>2</v>
      </c>
      <c r="U1169">
        <v>3</v>
      </c>
      <c r="V1169">
        <v>3</v>
      </c>
      <c r="W1169">
        <v>4</v>
      </c>
      <c r="X1169">
        <v>3</v>
      </c>
      <c r="Y1169">
        <v>0</v>
      </c>
      <c r="Z1169">
        <v>1</v>
      </c>
      <c r="AA1169">
        <v>1</v>
      </c>
      <c r="AB1169">
        <v>3</v>
      </c>
      <c r="AC1169">
        <v>1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2</v>
      </c>
      <c r="AL1169">
        <v>1</v>
      </c>
      <c r="AM1169">
        <v>1</v>
      </c>
      <c r="AN1169">
        <v>3</v>
      </c>
      <c r="AO1169">
        <v>3</v>
      </c>
      <c r="AP1169">
        <v>3</v>
      </c>
      <c r="AQ1169">
        <v>3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 s="2">
        <v>0</v>
      </c>
      <c r="BD1169" s="2">
        <v>2</v>
      </c>
      <c r="BE1169" s="2">
        <v>1</v>
      </c>
      <c r="BF1169" s="2">
        <v>1.5</v>
      </c>
      <c r="BG1169" s="2">
        <v>3</v>
      </c>
      <c r="BH1169" s="2">
        <v>3</v>
      </c>
      <c r="BI1169" s="2">
        <v>3.3330000000000002</v>
      </c>
      <c r="BJ1169" s="2">
        <v>3</v>
      </c>
      <c r="BK1169" s="2">
        <v>0</v>
      </c>
      <c r="BL1169" s="2">
        <v>0.2</v>
      </c>
      <c r="BM1169" s="2">
        <v>0</v>
      </c>
      <c r="BN1169" s="2">
        <v>2.25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f t="shared" si="77"/>
        <v>19.282999999999998</v>
      </c>
      <c r="BW1169" s="16">
        <f t="shared" si="75"/>
        <v>1.0148947368421051</v>
      </c>
      <c r="BX1169" s="16">
        <f>COUNTIF($BC$6:BU1169, "=0") / COUNTIF($BC$6:BU1169, "&gt;-1")</f>
        <v>0.31199131850244166</v>
      </c>
      <c r="BY1169" s="18">
        <f>SUM($BC$6:BU1169) / $BY$4</f>
        <v>0.95750364927308218</v>
      </c>
      <c r="BZ1169" s="14">
        <f t="shared" si="76"/>
        <v>10</v>
      </c>
      <c r="CA1169" t="s">
        <v>5832</v>
      </c>
      <c r="CZ1169" t="s">
        <v>12868</v>
      </c>
      <c r="DA1169" t="s">
        <v>5896</v>
      </c>
      <c r="DB1169">
        <v>956.8</v>
      </c>
      <c r="DC1169" t="s">
        <v>34189</v>
      </c>
      <c r="DD1169" t="s">
        <v>34190</v>
      </c>
      <c r="DE1169" t="s">
        <v>34191</v>
      </c>
      <c r="DF1169" t="s">
        <v>34192</v>
      </c>
      <c r="DG1169" t="s">
        <v>34193</v>
      </c>
      <c r="DH1169" t="str">
        <f>"GNAS"</f>
        <v>GNAS</v>
      </c>
      <c r="DI1169" t="s">
        <v>34194</v>
      </c>
      <c r="DJ1169" t="s">
        <v>13777</v>
      </c>
      <c r="DK1169">
        <v>9606</v>
      </c>
      <c r="DL1169" s="34" t="str">
        <f>HYPERLINK("http://www.uniprot.org/uniprot/Q5JWF2", "Q5JWF2")</f>
        <v>Q5JWF2</v>
      </c>
      <c r="DM1169" t="s">
        <v>34195</v>
      </c>
      <c r="DN1169" t="s">
        <v>13772</v>
      </c>
      <c r="DO1169" t="s">
        <v>13792</v>
      </c>
      <c r="DP1169" t="s">
        <v>13780</v>
      </c>
      <c r="DQ1169" t="s">
        <v>13772</v>
      </c>
      <c r="DR1169" t="s">
        <v>21050</v>
      </c>
      <c r="DS1169" t="s">
        <v>14245</v>
      </c>
      <c r="DT1169" t="s">
        <v>16882</v>
      </c>
      <c r="DU1169" t="s">
        <v>16883</v>
      </c>
      <c r="DV1169" t="s">
        <v>34196</v>
      </c>
      <c r="DW1169" t="s">
        <v>13772</v>
      </c>
      <c r="DX1169" t="s">
        <v>34197</v>
      </c>
      <c r="DY1169" t="s">
        <v>34198</v>
      </c>
      <c r="DZ1169" t="s">
        <v>34199</v>
      </c>
      <c r="EA1169" t="s">
        <v>13772</v>
      </c>
      <c r="EB1169" t="s">
        <v>34200</v>
      </c>
    </row>
    <row r="1170" spans="1:132" hidden="1">
      <c r="A1170">
        <v>2423</v>
      </c>
      <c r="B1170">
        <v>1</v>
      </c>
      <c r="C1170" t="s">
        <v>5663</v>
      </c>
      <c r="D1170" t="s">
        <v>73</v>
      </c>
      <c r="E1170" t="s">
        <v>5664</v>
      </c>
      <c r="F1170" t="s">
        <v>5665</v>
      </c>
      <c r="G1170" t="s">
        <v>73</v>
      </c>
      <c r="H1170">
        <v>35.6</v>
      </c>
      <c r="I1170">
        <v>216</v>
      </c>
      <c r="J1170">
        <v>23482</v>
      </c>
      <c r="K1170" t="s">
        <v>5666</v>
      </c>
      <c r="L1170">
        <f t="shared" si="74"/>
        <v>26</v>
      </c>
      <c r="N1170">
        <v>26</v>
      </c>
      <c r="O1170">
        <v>9</v>
      </c>
      <c r="P1170">
        <v>0.34599999999999997</v>
      </c>
      <c r="Q1170">
        <v>0</v>
      </c>
      <c r="R1170">
        <v>5</v>
      </c>
      <c r="S1170">
        <v>1</v>
      </c>
      <c r="T1170">
        <v>0</v>
      </c>
      <c r="U1170">
        <v>6</v>
      </c>
      <c r="V1170">
        <v>4</v>
      </c>
      <c r="W1170">
        <v>1</v>
      </c>
      <c r="X1170">
        <v>1</v>
      </c>
      <c r="Y1170">
        <v>3</v>
      </c>
      <c r="Z1170">
        <v>0</v>
      </c>
      <c r="AA1170">
        <v>1</v>
      </c>
      <c r="AB1170">
        <v>2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2</v>
      </c>
      <c r="AL1170">
        <v>0</v>
      </c>
      <c r="AM1170">
        <v>0</v>
      </c>
      <c r="AN1170">
        <v>4</v>
      </c>
      <c r="AO1170">
        <v>2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 s="2">
        <v>0</v>
      </c>
      <c r="BD1170" s="2">
        <v>3.8</v>
      </c>
      <c r="BE1170" s="2">
        <v>0.6</v>
      </c>
      <c r="BF1170" s="2">
        <v>0</v>
      </c>
      <c r="BG1170" s="2">
        <v>5.2</v>
      </c>
      <c r="BH1170" s="2">
        <v>3.2</v>
      </c>
      <c r="BI1170" s="2">
        <v>0.6</v>
      </c>
      <c r="BJ1170" s="2">
        <v>0.6</v>
      </c>
      <c r="BK1170" s="2">
        <v>2.2000000000000002</v>
      </c>
      <c r="BL1170" s="2">
        <v>0</v>
      </c>
      <c r="BM1170" s="2">
        <v>0.6</v>
      </c>
      <c r="BN1170" s="2">
        <v>1.2</v>
      </c>
      <c r="BO1170" s="2">
        <v>0</v>
      </c>
      <c r="BP1170" s="2">
        <v>0</v>
      </c>
      <c r="BQ1170" s="2">
        <v>0.6</v>
      </c>
      <c r="BR1170" s="2">
        <v>0.6</v>
      </c>
      <c r="BS1170" s="2">
        <v>0</v>
      </c>
      <c r="BT1170" s="2">
        <v>0</v>
      </c>
      <c r="BU1170" s="2">
        <v>0</v>
      </c>
      <c r="BV1170" s="2">
        <f t="shared" si="77"/>
        <v>19.200000000000003</v>
      </c>
      <c r="BW1170" s="16">
        <f t="shared" si="75"/>
        <v>1.0105263157894739</v>
      </c>
      <c r="BX1170" s="16">
        <f>COUNTIF($BC$6:BU1170, "=0") / COUNTIF($BC$6:BU1170, "&gt;-1")</f>
        <v>0.31208493336345156</v>
      </c>
      <c r="BY1170" s="18">
        <f>SUM($BC$6:BU1170) / $BY$4</f>
        <v>0.95758589510096159</v>
      </c>
      <c r="BZ1170" s="14">
        <f t="shared" si="76"/>
        <v>8</v>
      </c>
      <c r="CA1170" t="s">
        <v>5832</v>
      </c>
      <c r="CZ1170" t="s">
        <v>6056</v>
      </c>
      <c r="DA1170" t="s">
        <v>5904</v>
      </c>
      <c r="DB1170">
        <v>446.8</v>
      </c>
      <c r="DC1170" t="s">
        <v>14340</v>
      </c>
      <c r="DD1170" t="s">
        <v>14341</v>
      </c>
      <c r="DE1170" t="s">
        <v>14342</v>
      </c>
      <c r="DF1170" t="s">
        <v>14343</v>
      </c>
      <c r="DG1170" t="s">
        <v>14344</v>
      </c>
      <c r="DH1170" t="str">
        <f>"RAB5C"</f>
        <v>RAB5C</v>
      </c>
      <c r="DI1170" t="s">
        <v>14345</v>
      </c>
      <c r="DJ1170" t="s">
        <v>13777</v>
      </c>
      <c r="DK1170">
        <v>9606</v>
      </c>
      <c r="DL1170" s="34" t="str">
        <f>HYPERLINK("http://www.uniprot.org/uniprot/P51148", "P51148")</f>
        <v>P51148</v>
      </c>
      <c r="DM1170" t="s">
        <v>14346</v>
      </c>
      <c r="DN1170" t="s">
        <v>14347</v>
      </c>
      <c r="DO1170" t="s">
        <v>14348</v>
      </c>
      <c r="DP1170" t="s">
        <v>13780</v>
      </c>
      <c r="DQ1170" t="s">
        <v>13772</v>
      </c>
      <c r="DR1170" t="s">
        <v>13772</v>
      </c>
      <c r="DS1170" t="s">
        <v>13772</v>
      </c>
      <c r="DT1170" t="s">
        <v>14216</v>
      </c>
      <c r="DU1170" t="s">
        <v>13772</v>
      </c>
      <c r="DV1170" t="s">
        <v>14349</v>
      </c>
      <c r="DW1170" t="s">
        <v>13812</v>
      </c>
      <c r="DX1170" t="s">
        <v>14350</v>
      </c>
      <c r="DY1170" t="s">
        <v>14351</v>
      </c>
      <c r="DZ1170" t="s">
        <v>14352</v>
      </c>
      <c r="EA1170" t="s">
        <v>13772</v>
      </c>
      <c r="EB1170" t="s">
        <v>14353</v>
      </c>
    </row>
    <row r="1171" spans="1:132" hidden="1">
      <c r="A1171">
        <v>59</v>
      </c>
      <c r="B1171">
        <v>1</v>
      </c>
      <c r="C1171" t="s">
        <v>170</v>
      </c>
      <c r="D1171" t="s">
        <v>171</v>
      </c>
      <c r="E1171" t="s">
        <v>73</v>
      </c>
      <c r="F1171" t="s">
        <v>73</v>
      </c>
      <c r="G1171" t="s">
        <v>73</v>
      </c>
      <c r="H1171">
        <v>7.8</v>
      </c>
      <c r="I1171">
        <v>1483</v>
      </c>
      <c r="J1171">
        <v>166021</v>
      </c>
      <c r="K1171" t="s">
        <v>172</v>
      </c>
      <c r="L1171">
        <f t="shared" si="74"/>
        <v>19</v>
      </c>
      <c r="N1171">
        <v>19</v>
      </c>
      <c r="O1171">
        <v>19</v>
      </c>
      <c r="P1171">
        <v>1</v>
      </c>
      <c r="Q1171">
        <v>0</v>
      </c>
      <c r="R1171">
        <v>1</v>
      </c>
      <c r="S1171">
        <v>1</v>
      </c>
      <c r="T1171">
        <v>2</v>
      </c>
      <c r="U1171">
        <v>6</v>
      </c>
      <c r="V1171">
        <v>5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2</v>
      </c>
      <c r="AN1171">
        <v>6</v>
      </c>
      <c r="AO1171">
        <v>5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 s="2">
        <v>0</v>
      </c>
      <c r="BD1171" s="2">
        <v>1</v>
      </c>
      <c r="BE1171" s="2">
        <v>1</v>
      </c>
      <c r="BF1171" s="2">
        <v>2</v>
      </c>
      <c r="BG1171" s="2">
        <v>6</v>
      </c>
      <c r="BH1171" s="2">
        <v>5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1</v>
      </c>
      <c r="BP1171" s="2">
        <v>1</v>
      </c>
      <c r="BQ1171" s="2">
        <v>0</v>
      </c>
      <c r="BR1171" s="2">
        <v>0</v>
      </c>
      <c r="BS1171" s="2">
        <v>1</v>
      </c>
      <c r="BT1171" s="2">
        <v>0</v>
      </c>
      <c r="BU1171" s="2">
        <v>0</v>
      </c>
      <c r="BV1171" s="2">
        <f t="shared" si="77"/>
        <v>19</v>
      </c>
      <c r="BW1171" s="16">
        <f t="shared" si="75"/>
        <v>1</v>
      </c>
      <c r="BX1171" s="16">
        <f>COUNTIF($BC$6:BU1171, "=0") / COUNTIF($BC$6:BU1171, "&gt;-1")</f>
        <v>0.3122686648009389</v>
      </c>
      <c r="BY1171" s="18">
        <f>SUM($BC$6:BU1171) / $BY$4</f>
        <v>0.95766728420146685</v>
      </c>
      <c r="BZ1171" s="14">
        <f t="shared" si="76"/>
        <v>10</v>
      </c>
      <c r="CA1171" t="s">
        <v>5832</v>
      </c>
      <c r="CZ1171" t="s">
        <v>5909</v>
      </c>
      <c r="DA1171" t="s">
        <v>5904</v>
      </c>
      <c r="DB1171">
        <v>2795.8</v>
      </c>
      <c r="DC1171" t="s">
        <v>13817</v>
      </c>
      <c r="DD1171" t="s">
        <v>13818</v>
      </c>
      <c r="DE1171" t="s">
        <v>13819</v>
      </c>
      <c r="DF1171" t="s">
        <v>13820</v>
      </c>
      <c r="DG1171" t="s">
        <v>13821</v>
      </c>
      <c r="DH1171" t="str">
        <f>"MRC2"</f>
        <v>MRC2</v>
      </c>
      <c r="DI1171" t="s">
        <v>13822</v>
      </c>
      <c r="DJ1171" t="s">
        <v>13777</v>
      </c>
      <c r="DK1171">
        <v>9606</v>
      </c>
      <c r="DL1171" s="34" t="str">
        <f>HYPERLINK("http://www.uniprot.org/uniprot/Q9UBG0", "Q9UBG0")</f>
        <v>Q9UBG0</v>
      </c>
      <c r="DM1171" t="s">
        <v>13823</v>
      </c>
      <c r="DN1171" t="s">
        <v>13824</v>
      </c>
      <c r="DO1171" t="s">
        <v>13825</v>
      </c>
      <c r="DP1171" t="s">
        <v>13793</v>
      </c>
      <c r="DQ1171" t="s">
        <v>13772</v>
      </c>
      <c r="DR1171" t="s">
        <v>13772</v>
      </c>
      <c r="DS1171" t="s">
        <v>13826</v>
      </c>
      <c r="DT1171" t="s">
        <v>13827</v>
      </c>
      <c r="DU1171" t="s">
        <v>13795</v>
      </c>
      <c r="DV1171" t="s">
        <v>13828</v>
      </c>
      <c r="DW1171" t="s">
        <v>13812</v>
      </c>
      <c r="DX1171" t="s">
        <v>13829</v>
      </c>
      <c r="DY1171" t="s">
        <v>13830</v>
      </c>
      <c r="DZ1171" t="s">
        <v>13831</v>
      </c>
      <c r="EA1171" t="s">
        <v>13772</v>
      </c>
      <c r="EB1171" t="s">
        <v>13832</v>
      </c>
    </row>
    <row r="1172" spans="1:132" hidden="1">
      <c r="A1172">
        <v>205</v>
      </c>
      <c r="B1172">
        <v>1</v>
      </c>
      <c r="C1172" t="s">
        <v>517</v>
      </c>
      <c r="D1172" t="s">
        <v>73</v>
      </c>
      <c r="E1172" t="s">
        <v>73</v>
      </c>
      <c r="F1172" t="s">
        <v>73</v>
      </c>
      <c r="G1172" t="s">
        <v>73</v>
      </c>
      <c r="H1172">
        <v>17.899999999999999</v>
      </c>
      <c r="I1172">
        <v>335</v>
      </c>
      <c r="J1172">
        <v>37172</v>
      </c>
      <c r="K1172" t="s">
        <v>518</v>
      </c>
      <c r="L1172">
        <f t="shared" si="74"/>
        <v>19</v>
      </c>
      <c r="N1172">
        <v>19</v>
      </c>
      <c r="O1172">
        <v>19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>
        <v>0</v>
      </c>
      <c r="Z1172">
        <v>0</v>
      </c>
      <c r="AA1172">
        <v>4</v>
      </c>
      <c r="AB1172">
        <v>2</v>
      </c>
      <c r="AC1172">
        <v>2</v>
      </c>
      <c r="AD1172">
        <v>0</v>
      </c>
      <c r="AE1172">
        <v>1</v>
      </c>
      <c r="AF1172">
        <v>2</v>
      </c>
      <c r="AG1172">
        <v>2</v>
      </c>
      <c r="AH1172">
        <v>0</v>
      </c>
      <c r="AI1172">
        <v>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</v>
      </c>
      <c r="AR1172">
        <v>0</v>
      </c>
      <c r="AS1172">
        <v>0</v>
      </c>
      <c r="AT1172">
        <v>4</v>
      </c>
      <c r="AU1172">
        <v>2</v>
      </c>
      <c r="AV1172">
        <v>2</v>
      </c>
      <c r="AW1172">
        <v>0</v>
      </c>
      <c r="AX1172">
        <v>1</v>
      </c>
      <c r="AY1172">
        <v>2</v>
      </c>
      <c r="AZ1172">
        <v>2</v>
      </c>
      <c r="BA1172">
        <v>0</v>
      </c>
      <c r="BB1172">
        <v>2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4</v>
      </c>
      <c r="BK1172" s="2">
        <v>0</v>
      </c>
      <c r="BL1172" s="2">
        <v>0</v>
      </c>
      <c r="BM1172" s="2">
        <v>4</v>
      </c>
      <c r="BN1172" s="2">
        <v>2</v>
      </c>
      <c r="BO1172" s="2">
        <v>2</v>
      </c>
      <c r="BP1172" s="2">
        <v>0</v>
      </c>
      <c r="BQ1172" s="2">
        <v>1</v>
      </c>
      <c r="BR1172" s="2">
        <v>2</v>
      </c>
      <c r="BS1172" s="2">
        <v>2</v>
      </c>
      <c r="BT1172" s="2">
        <v>0</v>
      </c>
      <c r="BU1172" s="2">
        <v>2</v>
      </c>
      <c r="BV1172" s="2">
        <f t="shared" si="77"/>
        <v>19</v>
      </c>
      <c r="BW1172" s="16">
        <f t="shared" si="75"/>
        <v>1</v>
      </c>
      <c r="BX1172" s="16">
        <f>COUNTIF($BC$6:BU1172, "=0") / COUNTIF($BC$6:BU1172, "&gt;-1")</f>
        <v>0.31249718125648313</v>
      </c>
      <c r="BY1172" s="18">
        <f>SUM($BC$6:BU1172) / $BY$4</f>
        <v>0.95774867330197222</v>
      </c>
      <c r="BZ1172" s="14">
        <f t="shared" si="76"/>
        <v>11</v>
      </c>
      <c r="CA1172" t="s">
        <v>5832</v>
      </c>
      <c r="CZ1172" t="s">
        <v>6403</v>
      </c>
      <c r="DA1172" t="s">
        <v>5904</v>
      </c>
      <c r="DB1172">
        <v>617.79999999999995</v>
      </c>
      <c r="DC1172" t="s">
        <v>15512</v>
      </c>
      <c r="DD1172" t="s">
        <v>13772</v>
      </c>
      <c r="DE1172" t="s">
        <v>15513</v>
      </c>
      <c r="DF1172" t="s">
        <v>15514</v>
      </c>
      <c r="DG1172" t="s">
        <v>15515</v>
      </c>
      <c r="DH1172" t="str">
        <f>"CTSH"</f>
        <v>CTSH</v>
      </c>
      <c r="DI1172" t="s">
        <v>15516</v>
      </c>
      <c r="DJ1172" t="s">
        <v>13777</v>
      </c>
      <c r="DK1172">
        <v>9606</v>
      </c>
      <c r="DL1172" s="34" t="str">
        <f>HYPERLINK("http://www.uniprot.org/uniprot/P09668", "P09668")</f>
        <v>P09668</v>
      </c>
      <c r="DM1172" t="s">
        <v>15517</v>
      </c>
      <c r="DN1172" t="s">
        <v>13772</v>
      </c>
      <c r="DO1172" t="s">
        <v>13806</v>
      </c>
      <c r="DP1172" t="s">
        <v>13793</v>
      </c>
      <c r="DQ1172" t="s">
        <v>13772</v>
      </c>
      <c r="DR1172" t="s">
        <v>13772</v>
      </c>
      <c r="DS1172" t="s">
        <v>13808</v>
      </c>
      <c r="DT1172" t="s">
        <v>13772</v>
      </c>
      <c r="DU1172" t="s">
        <v>14083</v>
      </c>
      <c r="DV1172" t="s">
        <v>15472</v>
      </c>
      <c r="DW1172" t="s">
        <v>13812</v>
      </c>
      <c r="DX1172" t="s">
        <v>15518</v>
      </c>
      <c r="DY1172" t="s">
        <v>15519</v>
      </c>
      <c r="DZ1172" t="s">
        <v>15520</v>
      </c>
      <c r="EA1172" t="s">
        <v>13772</v>
      </c>
      <c r="EB1172" t="s">
        <v>15521</v>
      </c>
    </row>
    <row r="1173" spans="1:132" hidden="1">
      <c r="A1173">
        <v>223</v>
      </c>
      <c r="B1173">
        <v>1</v>
      </c>
      <c r="C1173" t="s">
        <v>566</v>
      </c>
      <c r="D1173" t="s">
        <v>567</v>
      </c>
      <c r="E1173" t="s">
        <v>73</v>
      </c>
      <c r="F1173" t="s">
        <v>73</v>
      </c>
      <c r="G1173" t="s">
        <v>73</v>
      </c>
      <c r="H1173">
        <v>33.799999999999997</v>
      </c>
      <c r="I1173">
        <v>151</v>
      </c>
      <c r="J1173">
        <v>16254</v>
      </c>
      <c r="K1173" t="s">
        <v>568</v>
      </c>
      <c r="L1173">
        <f t="shared" si="74"/>
        <v>19</v>
      </c>
      <c r="N1173">
        <v>19</v>
      </c>
      <c r="O1173">
        <v>19</v>
      </c>
      <c r="P1173">
        <v>1</v>
      </c>
      <c r="Q1173">
        <v>0</v>
      </c>
      <c r="R1173">
        <v>2</v>
      </c>
      <c r="S1173">
        <v>3</v>
      </c>
      <c r="T1173">
        <v>3</v>
      </c>
      <c r="U1173">
        <v>1</v>
      </c>
      <c r="V1173">
        <v>1</v>
      </c>
      <c r="W1173">
        <v>1</v>
      </c>
      <c r="X1173">
        <v>1</v>
      </c>
      <c r="Y1173">
        <v>2</v>
      </c>
      <c r="Z1173">
        <v>0</v>
      </c>
      <c r="AA1173">
        <v>0</v>
      </c>
      <c r="AB1173">
        <v>3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2</v>
      </c>
      <c r="AL1173">
        <v>3</v>
      </c>
      <c r="AM1173">
        <v>3</v>
      </c>
      <c r="AN1173">
        <v>1</v>
      </c>
      <c r="AO1173">
        <v>1</v>
      </c>
      <c r="AP1173">
        <v>1</v>
      </c>
      <c r="AQ1173">
        <v>1</v>
      </c>
      <c r="AR1173">
        <v>2</v>
      </c>
      <c r="AS1173">
        <v>0</v>
      </c>
      <c r="AT1173">
        <v>0</v>
      </c>
      <c r="AU1173">
        <v>3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>
        <v>0</v>
      </c>
      <c r="BC1173" s="2">
        <v>0</v>
      </c>
      <c r="BD1173" s="2">
        <v>2</v>
      </c>
      <c r="BE1173" s="2">
        <v>3</v>
      </c>
      <c r="BF1173" s="2">
        <v>3</v>
      </c>
      <c r="BG1173" s="2">
        <v>1</v>
      </c>
      <c r="BH1173" s="2">
        <v>1</v>
      </c>
      <c r="BI1173" s="2">
        <v>1</v>
      </c>
      <c r="BJ1173" s="2">
        <v>1</v>
      </c>
      <c r="BK1173" s="2">
        <v>2</v>
      </c>
      <c r="BL1173" s="2">
        <v>0</v>
      </c>
      <c r="BM1173" s="2">
        <v>0</v>
      </c>
      <c r="BN1173" s="2">
        <v>3</v>
      </c>
      <c r="BO1173" s="2">
        <v>0</v>
      </c>
      <c r="BP1173" s="2">
        <v>0</v>
      </c>
      <c r="BQ1173" s="2">
        <v>1</v>
      </c>
      <c r="BR1173" s="2">
        <v>0</v>
      </c>
      <c r="BS1173" s="2">
        <v>0</v>
      </c>
      <c r="BT1173" s="2">
        <v>1</v>
      </c>
      <c r="BU1173" s="2">
        <v>0</v>
      </c>
      <c r="BV1173" s="2">
        <f t="shared" si="77"/>
        <v>19</v>
      </c>
      <c r="BW1173" s="16">
        <f t="shared" si="75"/>
        <v>1</v>
      </c>
      <c r="BX1173" s="16">
        <f>COUNTIF($BC$6:BU1173, "=0") / COUNTIF($BC$6:BU1173, "&gt;-1")</f>
        <v>0.31259012256669072</v>
      </c>
      <c r="BY1173" s="18">
        <f>SUM($BC$6:BU1173) / $BY$4</f>
        <v>0.95783006240247748</v>
      </c>
      <c r="BZ1173" s="14">
        <f t="shared" si="76"/>
        <v>8</v>
      </c>
      <c r="CA1173" t="s">
        <v>5832</v>
      </c>
      <c r="CZ1173" t="s">
        <v>6468</v>
      </c>
      <c r="DA1173" t="s">
        <v>5904</v>
      </c>
      <c r="DB1173">
        <v>303.89999999999998</v>
      </c>
      <c r="DC1173" t="s">
        <v>15714</v>
      </c>
      <c r="DD1173" t="s">
        <v>15715</v>
      </c>
      <c r="DE1173" t="s">
        <v>15716</v>
      </c>
      <c r="DF1173" t="s">
        <v>15717</v>
      </c>
      <c r="DG1173" t="s">
        <v>15718</v>
      </c>
      <c r="DH1173" t="str">
        <f>"RPS14"</f>
        <v>RPS14</v>
      </c>
      <c r="DI1173" t="s">
        <v>13772</v>
      </c>
      <c r="DJ1173" t="s">
        <v>13777</v>
      </c>
      <c r="DK1173">
        <v>9606</v>
      </c>
      <c r="DL1173" s="34" t="str">
        <f>HYPERLINK("http://www.uniprot.org/uniprot/P62263", "P62263")</f>
        <v>P62263</v>
      </c>
      <c r="DM1173" t="s">
        <v>15719</v>
      </c>
      <c r="DN1173" t="s">
        <v>13772</v>
      </c>
      <c r="DO1173" t="s">
        <v>13772</v>
      </c>
      <c r="DP1173" t="s">
        <v>13772</v>
      </c>
      <c r="DQ1173" t="s">
        <v>13772</v>
      </c>
      <c r="DR1173" t="s">
        <v>13772</v>
      </c>
      <c r="DS1173" t="s">
        <v>13772</v>
      </c>
      <c r="DT1173" t="s">
        <v>13772</v>
      </c>
      <c r="DU1173" t="s">
        <v>13937</v>
      </c>
      <c r="DV1173" t="s">
        <v>13938</v>
      </c>
      <c r="DW1173" t="s">
        <v>13812</v>
      </c>
      <c r="DX1173" t="s">
        <v>15720</v>
      </c>
      <c r="DY1173" t="s">
        <v>15721</v>
      </c>
      <c r="DZ1173" t="s">
        <v>15722</v>
      </c>
      <c r="EA1173" t="s">
        <v>13772</v>
      </c>
      <c r="EB1173" t="s">
        <v>15723</v>
      </c>
    </row>
    <row r="1174" spans="1:132" hidden="1">
      <c r="A1174">
        <v>245</v>
      </c>
      <c r="B1174">
        <v>1</v>
      </c>
      <c r="C1174" t="s">
        <v>623</v>
      </c>
      <c r="D1174" t="s">
        <v>624</v>
      </c>
      <c r="E1174" t="s">
        <v>73</v>
      </c>
      <c r="F1174" t="s">
        <v>73</v>
      </c>
      <c r="G1174" t="s">
        <v>73</v>
      </c>
      <c r="H1174">
        <v>31.4</v>
      </c>
      <c r="I1174">
        <v>420</v>
      </c>
      <c r="J1174">
        <v>47033</v>
      </c>
      <c r="K1174" t="s">
        <v>625</v>
      </c>
      <c r="L1174">
        <f t="shared" si="74"/>
        <v>19</v>
      </c>
      <c r="N1174">
        <v>19</v>
      </c>
      <c r="O1174">
        <v>19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2</v>
      </c>
      <c r="Z1174">
        <v>0</v>
      </c>
      <c r="AA1174">
        <v>4</v>
      </c>
      <c r="AB1174">
        <v>10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2</v>
      </c>
      <c r="AS1174">
        <v>0</v>
      </c>
      <c r="AT1174">
        <v>4</v>
      </c>
      <c r="AU1174">
        <v>10</v>
      </c>
      <c r="AV1174">
        <v>0</v>
      </c>
      <c r="AW1174">
        <v>0</v>
      </c>
      <c r="AX1174">
        <v>2</v>
      </c>
      <c r="AY1174">
        <v>0</v>
      </c>
      <c r="AZ1174">
        <v>0</v>
      </c>
      <c r="BA1174">
        <v>0</v>
      </c>
      <c r="BB1174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</v>
      </c>
      <c r="BK1174" s="2">
        <v>2</v>
      </c>
      <c r="BL1174" s="2">
        <v>0</v>
      </c>
      <c r="BM1174" s="2">
        <v>4</v>
      </c>
      <c r="BN1174" s="2">
        <v>10</v>
      </c>
      <c r="BO1174" s="2">
        <v>0</v>
      </c>
      <c r="BP1174" s="2">
        <v>0</v>
      </c>
      <c r="BQ1174" s="2">
        <v>2</v>
      </c>
      <c r="BR1174" s="2">
        <v>0</v>
      </c>
      <c r="BS1174" s="2">
        <v>0</v>
      </c>
      <c r="BT1174" s="2">
        <v>0</v>
      </c>
      <c r="BU1174" s="2">
        <v>0</v>
      </c>
      <c r="BV1174" s="2">
        <f t="shared" si="77"/>
        <v>19</v>
      </c>
      <c r="BW1174" s="16">
        <f t="shared" si="75"/>
        <v>1</v>
      </c>
      <c r="BX1174" s="16">
        <f>COUNTIF($BC$6:BU1174, "=0") / COUNTIF($BC$6:BU1174, "&gt;-1")</f>
        <v>0.31295304128584933</v>
      </c>
      <c r="BY1174" s="18">
        <f>SUM($BC$6:BU1174) / $BY$4</f>
        <v>0.95791145150298285</v>
      </c>
      <c r="BZ1174" s="14">
        <f t="shared" si="76"/>
        <v>14</v>
      </c>
      <c r="CA1174" t="s">
        <v>5832</v>
      </c>
      <c r="CZ1174" t="s">
        <v>6548</v>
      </c>
      <c r="DA1174" t="s">
        <v>5904</v>
      </c>
      <c r="DB1174">
        <v>719.5</v>
      </c>
      <c r="DC1174" t="s">
        <v>15964</v>
      </c>
      <c r="DD1174" t="s">
        <v>15965</v>
      </c>
      <c r="DE1174" t="s">
        <v>15966</v>
      </c>
      <c r="DF1174" t="s">
        <v>15967</v>
      </c>
      <c r="DG1174" t="s">
        <v>15968</v>
      </c>
      <c r="DH1174" t="str">
        <f>"RPL4"</f>
        <v>RPL4</v>
      </c>
      <c r="DI1174" t="s">
        <v>15969</v>
      </c>
      <c r="DJ1174" t="s">
        <v>13777</v>
      </c>
      <c r="DK1174">
        <v>9606</v>
      </c>
      <c r="DL1174" s="34" t="str">
        <f>HYPERLINK("http://www.uniprot.org/uniprot/P36578", "P36578")</f>
        <v>P36578</v>
      </c>
      <c r="DM1174" t="s">
        <v>15970</v>
      </c>
      <c r="DN1174" t="s">
        <v>13772</v>
      </c>
      <c r="DO1174" t="s">
        <v>13772</v>
      </c>
      <c r="DP1174" t="s">
        <v>13772</v>
      </c>
      <c r="DQ1174" t="s">
        <v>13772</v>
      </c>
      <c r="DR1174" t="s">
        <v>13772</v>
      </c>
      <c r="DS1174" t="s">
        <v>13772</v>
      </c>
      <c r="DT1174" t="s">
        <v>13772</v>
      </c>
      <c r="DU1174" t="s">
        <v>13937</v>
      </c>
      <c r="DV1174" t="s">
        <v>15971</v>
      </c>
      <c r="DW1174" t="s">
        <v>13812</v>
      </c>
      <c r="DX1174" t="s">
        <v>15972</v>
      </c>
      <c r="DY1174" t="s">
        <v>15973</v>
      </c>
      <c r="DZ1174" t="s">
        <v>14268</v>
      </c>
      <c r="EA1174" t="s">
        <v>13772</v>
      </c>
      <c r="EB1174" t="s">
        <v>13942</v>
      </c>
    </row>
    <row r="1175" spans="1:132" hidden="1">
      <c r="A1175">
        <v>349</v>
      </c>
      <c r="B1175">
        <v>1</v>
      </c>
      <c r="C1175" t="s">
        <v>875</v>
      </c>
      <c r="D1175" t="s">
        <v>73</v>
      </c>
      <c r="E1175" t="s">
        <v>73</v>
      </c>
      <c r="F1175" t="s">
        <v>73</v>
      </c>
      <c r="G1175" t="s">
        <v>73</v>
      </c>
      <c r="H1175">
        <v>26.4</v>
      </c>
      <c r="I1175">
        <v>296</v>
      </c>
      <c r="J1175">
        <v>33732</v>
      </c>
      <c r="K1175" t="s">
        <v>876</v>
      </c>
      <c r="L1175">
        <f t="shared" si="74"/>
        <v>19</v>
      </c>
      <c r="N1175">
        <v>19</v>
      </c>
      <c r="O1175">
        <v>19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</v>
      </c>
      <c r="Y1175">
        <v>3</v>
      </c>
      <c r="Z1175">
        <v>0</v>
      </c>
      <c r="AA1175">
        <v>5</v>
      </c>
      <c r="AB1175">
        <v>0</v>
      </c>
      <c r="AC1175">
        <v>3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6</v>
      </c>
      <c r="AR1175">
        <v>3</v>
      </c>
      <c r="AS1175">
        <v>0</v>
      </c>
      <c r="AT1175">
        <v>5</v>
      </c>
      <c r="AU1175">
        <v>0</v>
      </c>
      <c r="AV1175">
        <v>3</v>
      </c>
      <c r="AW1175">
        <v>0</v>
      </c>
      <c r="AX1175">
        <v>0</v>
      </c>
      <c r="AY1175">
        <v>2</v>
      </c>
      <c r="AZ1175">
        <v>0</v>
      </c>
      <c r="BA1175">
        <v>0</v>
      </c>
      <c r="BB1175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6</v>
      </c>
      <c r="BK1175" s="2">
        <v>3</v>
      </c>
      <c r="BL1175" s="2">
        <v>0</v>
      </c>
      <c r="BM1175" s="2">
        <v>5</v>
      </c>
      <c r="BN1175" s="2">
        <v>0</v>
      </c>
      <c r="BO1175" s="2">
        <v>3</v>
      </c>
      <c r="BP1175" s="2">
        <v>0</v>
      </c>
      <c r="BQ1175" s="2">
        <v>0</v>
      </c>
      <c r="BR1175" s="2">
        <v>2</v>
      </c>
      <c r="BS1175" s="2">
        <v>0</v>
      </c>
      <c r="BT1175" s="2">
        <v>0</v>
      </c>
      <c r="BU1175" s="2">
        <v>0</v>
      </c>
      <c r="BV1175" s="2">
        <f t="shared" si="77"/>
        <v>19</v>
      </c>
      <c r="BW1175" s="16">
        <f t="shared" si="75"/>
        <v>1</v>
      </c>
      <c r="BX1175" s="16">
        <f>COUNTIF($BC$6:BU1175, "=0") / COUNTIF($BC$6:BU1175, "&gt;-1")</f>
        <v>0.31331533963112912</v>
      </c>
      <c r="BY1175" s="18">
        <f>SUM($BC$6:BU1175) / $BY$4</f>
        <v>0.9579928406034881</v>
      </c>
      <c r="BZ1175" s="14">
        <f t="shared" si="76"/>
        <v>14</v>
      </c>
      <c r="CA1175" t="s">
        <v>5832</v>
      </c>
      <c r="CZ1175" t="s">
        <v>6911</v>
      </c>
      <c r="DA1175" t="s">
        <v>5904</v>
      </c>
      <c r="DB1175">
        <v>543.9</v>
      </c>
      <c r="DC1175" t="s">
        <v>17062</v>
      </c>
      <c r="DD1175" t="s">
        <v>17063</v>
      </c>
      <c r="DE1175" t="s">
        <v>17064</v>
      </c>
      <c r="DF1175" t="s">
        <v>17065</v>
      </c>
      <c r="DG1175" t="s">
        <v>17066</v>
      </c>
      <c r="DH1175" t="str">
        <f>"BLVRA"</f>
        <v>BLVRA</v>
      </c>
      <c r="DI1175" t="s">
        <v>17067</v>
      </c>
      <c r="DJ1175" t="s">
        <v>13777</v>
      </c>
      <c r="DK1175">
        <v>9606</v>
      </c>
      <c r="DL1175" s="34" t="str">
        <f>HYPERLINK("http://www.uniprot.org/uniprot/P53004", "P53004")</f>
        <v>P53004</v>
      </c>
      <c r="DM1175" t="s">
        <v>17068</v>
      </c>
      <c r="DN1175" t="s">
        <v>13772</v>
      </c>
      <c r="DO1175" t="s">
        <v>13899</v>
      </c>
      <c r="DP1175" t="s">
        <v>13793</v>
      </c>
      <c r="DQ1175" t="s">
        <v>13772</v>
      </c>
      <c r="DR1175" t="s">
        <v>13772</v>
      </c>
      <c r="DS1175" t="s">
        <v>13772</v>
      </c>
      <c r="DT1175" t="s">
        <v>17069</v>
      </c>
      <c r="DU1175" t="s">
        <v>13885</v>
      </c>
      <c r="DV1175" t="s">
        <v>13886</v>
      </c>
      <c r="DW1175" t="s">
        <v>13812</v>
      </c>
      <c r="DX1175" t="s">
        <v>17070</v>
      </c>
      <c r="DY1175" t="s">
        <v>15111</v>
      </c>
      <c r="DZ1175" t="s">
        <v>17071</v>
      </c>
      <c r="EA1175" t="s">
        <v>17072</v>
      </c>
      <c r="EB1175" t="s">
        <v>17073</v>
      </c>
    </row>
    <row r="1176" spans="1:132" hidden="1">
      <c r="A1176">
        <v>431</v>
      </c>
      <c r="B1176">
        <v>1</v>
      </c>
      <c r="C1176" t="s">
        <v>1080</v>
      </c>
      <c r="D1176" t="s">
        <v>73</v>
      </c>
      <c r="E1176" t="s">
        <v>73</v>
      </c>
      <c r="F1176" t="s">
        <v>73</v>
      </c>
      <c r="G1176" t="s">
        <v>73</v>
      </c>
      <c r="H1176">
        <v>24.7</v>
      </c>
      <c r="I1176">
        <v>223</v>
      </c>
      <c r="J1176">
        <v>24959</v>
      </c>
      <c r="K1176" t="s">
        <v>1081</v>
      </c>
      <c r="L1176">
        <f t="shared" si="74"/>
        <v>19</v>
      </c>
      <c r="N1176">
        <v>19</v>
      </c>
      <c r="O1176">
        <v>19</v>
      </c>
      <c r="P1176">
        <v>1</v>
      </c>
      <c r="Q1176">
        <v>2</v>
      </c>
      <c r="R1176">
        <v>0</v>
      </c>
      <c r="S1176">
        <v>0</v>
      </c>
      <c r="T1176">
        <v>0</v>
      </c>
      <c r="U1176">
        <v>0</v>
      </c>
      <c r="V1176">
        <v>3</v>
      </c>
      <c r="W1176">
        <v>1</v>
      </c>
      <c r="X1176">
        <v>0</v>
      </c>
      <c r="Y1176">
        <v>3</v>
      </c>
      <c r="Z1176">
        <v>0</v>
      </c>
      <c r="AA1176">
        <v>5</v>
      </c>
      <c r="AB1176">
        <v>2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1</v>
      </c>
      <c r="AJ1176">
        <v>2</v>
      </c>
      <c r="AK1176">
        <v>0</v>
      </c>
      <c r="AL1176">
        <v>0</v>
      </c>
      <c r="AM1176">
        <v>0</v>
      </c>
      <c r="AN1176">
        <v>0</v>
      </c>
      <c r="AO1176">
        <v>3</v>
      </c>
      <c r="AP1176">
        <v>1</v>
      </c>
      <c r="AQ1176">
        <v>0</v>
      </c>
      <c r="AR1176">
        <v>3</v>
      </c>
      <c r="AS1176">
        <v>0</v>
      </c>
      <c r="AT1176">
        <v>5</v>
      </c>
      <c r="AU1176">
        <v>2</v>
      </c>
      <c r="AV1176">
        <v>0</v>
      </c>
      <c r="AW1176">
        <v>0</v>
      </c>
      <c r="AX1176">
        <v>0</v>
      </c>
      <c r="AY1176">
        <v>2</v>
      </c>
      <c r="AZ1176">
        <v>0</v>
      </c>
      <c r="BA1176">
        <v>0</v>
      </c>
      <c r="BB1176">
        <v>1</v>
      </c>
      <c r="BC1176" s="2">
        <v>2</v>
      </c>
      <c r="BD1176" s="2">
        <v>0</v>
      </c>
      <c r="BE1176" s="2">
        <v>0</v>
      </c>
      <c r="BF1176" s="2">
        <v>0</v>
      </c>
      <c r="BG1176" s="2">
        <v>0</v>
      </c>
      <c r="BH1176" s="2">
        <v>3</v>
      </c>
      <c r="BI1176" s="2">
        <v>1</v>
      </c>
      <c r="BJ1176" s="2">
        <v>0</v>
      </c>
      <c r="BK1176" s="2">
        <v>3</v>
      </c>
      <c r="BL1176" s="2">
        <v>0</v>
      </c>
      <c r="BM1176" s="2">
        <v>5</v>
      </c>
      <c r="BN1176" s="2">
        <v>2</v>
      </c>
      <c r="BO1176" s="2">
        <v>0</v>
      </c>
      <c r="BP1176" s="2">
        <v>0</v>
      </c>
      <c r="BQ1176" s="2">
        <v>0</v>
      </c>
      <c r="BR1176" s="2">
        <v>2</v>
      </c>
      <c r="BS1176" s="2">
        <v>0</v>
      </c>
      <c r="BT1176" s="2">
        <v>0</v>
      </c>
      <c r="BU1176" s="2">
        <v>1</v>
      </c>
      <c r="BV1176" s="2">
        <f t="shared" si="77"/>
        <v>19</v>
      </c>
      <c r="BW1176" s="16">
        <f t="shared" si="75"/>
        <v>1</v>
      </c>
      <c r="BX1176" s="16">
        <f>COUNTIF($BC$6:BU1176, "=0") / COUNTIF($BC$6:BU1176, "&gt;-1")</f>
        <v>0.31354218167108633</v>
      </c>
      <c r="BY1176" s="18">
        <f>SUM($BC$6:BU1176) / $BY$4</f>
        <v>0.95807422970399336</v>
      </c>
      <c r="BZ1176" s="14">
        <f t="shared" si="76"/>
        <v>11</v>
      </c>
      <c r="CA1176" t="s">
        <v>5832</v>
      </c>
      <c r="CZ1176" t="s">
        <v>7196</v>
      </c>
      <c r="DA1176" t="s">
        <v>5904</v>
      </c>
      <c r="DB1176">
        <v>444.5</v>
      </c>
      <c r="DC1176" t="s">
        <v>17957</v>
      </c>
      <c r="DD1176" t="s">
        <v>13772</v>
      </c>
      <c r="DE1176" t="s">
        <v>17958</v>
      </c>
      <c r="DF1176" t="s">
        <v>17959</v>
      </c>
      <c r="DG1176" t="s">
        <v>17960</v>
      </c>
      <c r="DH1176" t="str">
        <f>"TWSG1"</f>
        <v>TWSG1</v>
      </c>
      <c r="DI1176" t="s">
        <v>17961</v>
      </c>
      <c r="DJ1176" t="s">
        <v>13777</v>
      </c>
      <c r="DK1176">
        <v>9606</v>
      </c>
      <c r="DL1176" s="34" t="str">
        <f>HYPERLINK("http://www.uniprot.org/uniprot/Q9GZX9", "Q9GZX9")</f>
        <v>Q9GZX9</v>
      </c>
      <c r="DM1176" t="s">
        <v>17962</v>
      </c>
      <c r="DN1176" t="s">
        <v>13772</v>
      </c>
      <c r="DO1176" t="s">
        <v>14321</v>
      </c>
      <c r="DP1176" t="s">
        <v>13841</v>
      </c>
      <c r="DQ1176" t="s">
        <v>13772</v>
      </c>
      <c r="DR1176" t="s">
        <v>13772</v>
      </c>
      <c r="DS1176" t="s">
        <v>13808</v>
      </c>
      <c r="DT1176" t="s">
        <v>13772</v>
      </c>
      <c r="DU1176" t="s">
        <v>14727</v>
      </c>
      <c r="DV1176" t="s">
        <v>13858</v>
      </c>
      <c r="DW1176" t="s">
        <v>13772</v>
      </c>
      <c r="DX1176" t="s">
        <v>17963</v>
      </c>
      <c r="DY1176" t="s">
        <v>14508</v>
      </c>
      <c r="DZ1176" t="s">
        <v>17964</v>
      </c>
      <c r="EA1176" t="s">
        <v>13772</v>
      </c>
      <c r="EB1176" t="s">
        <v>13772</v>
      </c>
    </row>
    <row r="1177" spans="1:132" hidden="1">
      <c r="A1177">
        <v>584</v>
      </c>
      <c r="B1177">
        <v>1</v>
      </c>
      <c r="C1177" t="s">
        <v>1450</v>
      </c>
      <c r="D1177" t="s">
        <v>73</v>
      </c>
      <c r="E1177" t="s">
        <v>73</v>
      </c>
      <c r="F1177" t="s">
        <v>73</v>
      </c>
      <c r="G1177" t="s">
        <v>73</v>
      </c>
      <c r="H1177">
        <v>18.2</v>
      </c>
      <c r="I1177">
        <v>715</v>
      </c>
      <c r="J1177">
        <v>81804</v>
      </c>
      <c r="K1177" t="s">
        <v>1451</v>
      </c>
      <c r="L1177">
        <f t="shared" si="74"/>
        <v>19</v>
      </c>
      <c r="N1177">
        <v>19</v>
      </c>
      <c r="O1177">
        <v>19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3</v>
      </c>
      <c r="Z1177">
        <v>0</v>
      </c>
      <c r="AA1177">
        <v>9</v>
      </c>
      <c r="AB1177">
        <v>3</v>
      </c>
      <c r="AC1177">
        <v>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3</v>
      </c>
      <c r="AS1177">
        <v>0</v>
      </c>
      <c r="AT1177">
        <v>9</v>
      </c>
      <c r="AU1177">
        <v>3</v>
      </c>
      <c r="AV1177">
        <v>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0</v>
      </c>
      <c r="BJ1177" s="2">
        <v>0</v>
      </c>
      <c r="BK1177" s="2">
        <v>3</v>
      </c>
      <c r="BL1177" s="2">
        <v>0</v>
      </c>
      <c r="BM1177" s="2">
        <v>9</v>
      </c>
      <c r="BN1177" s="2">
        <v>3</v>
      </c>
      <c r="BO1177" s="2">
        <v>3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f t="shared" si="77"/>
        <v>19</v>
      </c>
      <c r="BW1177" s="16">
        <f t="shared" si="75"/>
        <v>1</v>
      </c>
      <c r="BX1177" s="16">
        <f>COUNTIF($BC$6:BU1177, "=0") / COUNTIF($BC$6:BU1177, "&gt;-1")</f>
        <v>0.3139033590802946</v>
      </c>
      <c r="BY1177" s="18">
        <f>SUM($BC$6:BU1177) / $BY$4</f>
        <v>0.95815561880449873</v>
      </c>
      <c r="BZ1177" s="14">
        <f t="shared" si="76"/>
        <v>14</v>
      </c>
      <c r="CA1177" t="s">
        <v>5832</v>
      </c>
      <c r="CZ1177" t="s">
        <v>7719</v>
      </c>
      <c r="DA1177" t="s">
        <v>5904</v>
      </c>
      <c r="DB1177">
        <v>1437.2</v>
      </c>
      <c r="DC1177" t="s">
        <v>19531</v>
      </c>
      <c r="DD1177" t="s">
        <v>19532</v>
      </c>
      <c r="DE1177" t="s">
        <v>19533</v>
      </c>
      <c r="DF1177" t="s">
        <v>19534</v>
      </c>
      <c r="DG1177" t="s">
        <v>19535</v>
      </c>
      <c r="DH1177" t="str">
        <f>"CAPN1"</f>
        <v>CAPN1</v>
      </c>
      <c r="DI1177" t="s">
        <v>19536</v>
      </c>
      <c r="DJ1177" t="s">
        <v>13777</v>
      </c>
      <c r="DK1177">
        <v>9606</v>
      </c>
      <c r="DL1177" s="34" t="str">
        <f>HYPERLINK("http://www.uniprot.org/uniprot/P07384", "P07384")</f>
        <v>P07384</v>
      </c>
      <c r="DM1177" t="s">
        <v>19537</v>
      </c>
      <c r="DN1177" t="s">
        <v>13772</v>
      </c>
      <c r="DO1177" t="s">
        <v>18623</v>
      </c>
      <c r="DP1177" t="s">
        <v>13793</v>
      </c>
      <c r="DQ1177" t="s">
        <v>13772</v>
      </c>
      <c r="DR1177" t="s">
        <v>19538</v>
      </c>
      <c r="DS1177" t="s">
        <v>14096</v>
      </c>
      <c r="DT1177" t="s">
        <v>13873</v>
      </c>
      <c r="DU1177" t="s">
        <v>14083</v>
      </c>
      <c r="DV1177" t="s">
        <v>19539</v>
      </c>
      <c r="DW1177" t="s">
        <v>13812</v>
      </c>
      <c r="DX1177" t="s">
        <v>19540</v>
      </c>
      <c r="DY1177" t="s">
        <v>19541</v>
      </c>
      <c r="DZ1177" t="s">
        <v>19542</v>
      </c>
      <c r="EA1177" t="s">
        <v>13772</v>
      </c>
      <c r="EB1177" t="s">
        <v>19543</v>
      </c>
    </row>
    <row r="1178" spans="1:132" hidden="1">
      <c r="A1178">
        <v>602</v>
      </c>
      <c r="B1178">
        <v>1</v>
      </c>
      <c r="C1178" t="s">
        <v>1491</v>
      </c>
      <c r="D1178" t="s">
        <v>73</v>
      </c>
      <c r="E1178" t="s">
        <v>73</v>
      </c>
      <c r="F1178" t="s">
        <v>73</v>
      </c>
      <c r="G1178" t="s">
        <v>73</v>
      </c>
      <c r="H1178">
        <v>56</v>
      </c>
      <c r="I1178">
        <v>175</v>
      </c>
      <c r="J1178">
        <v>20067</v>
      </c>
      <c r="K1178" t="s">
        <v>1492</v>
      </c>
      <c r="L1178">
        <f t="shared" si="74"/>
        <v>19</v>
      </c>
      <c r="N1178">
        <v>19</v>
      </c>
      <c r="O1178">
        <v>19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2</v>
      </c>
      <c r="X1178">
        <v>1</v>
      </c>
      <c r="Y1178">
        <v>0</v>
      </c>
      <c r="Z1178">
        <v>0</v>
      </c>
      <c r="AA1178">
        <v>4</v>
      </c>
      <c r="AB1178">
        <v>2</v>
      </c>
      <c r="AC1178">
        <v>1</v>
      </c>
      <c r="AD1178">
        <v>0</v>
      </c>
      <c r="AE1178">
        <v>3</v>
      </c>
      <c r="AF1178">
        <v>2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2</v>
      </c>
      <c r="AQ1178">
        <v>1</v>
      </c>
      <c r="AR1178">
        <v>0</v>
      </c>
      <c r="AS1178">
        <v>0</v>
      </c>
      <c r="AT1178">
        <v>4</v>
      </c>
      <c r="AU1178">
        <v>2</v>
      </c>
      <c r="AV1178">
        <v>1</v>
      </c>
      <c r="AW1178">
        <v>0</v>
      </c>
      <c r="AX1178">
        <v>3</v>
      </c>
      <c r="AY1178">
        <v>2</v>
      </c>
      <c r="AZ1178">
        <v>0</v>
      </c>
      <c r="BA1178">
        <v>0</v>
      </c>
      <c r="BB1178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1</v>
      </c>
      <c r="BH1178" s="2">
        <v>1</v>
      </c>
      <c r="BI1178" s="2">
        <v>2</v>
      </c>
      <c r="BJ1178" s="2">
        <v>1</v>
      </c>
      <c r="BK1178" s="2">
        <v>0</v>
      </c>
      <c r="BL1178" s="2">
        <v>0</v>
      </c>
      <c r="BM1178" s="2">
        <v>4</v>
      </c>
      <c r="BN1178" s="2">
        <v>2</v>
      </c>
      <c r="BO1178" s="2">
        <v>1</v>
      </c>
      <c r="BP1178" s="2">
        <v>0</v>
      </c>
      <c r="BQ1178" s="2">
        <v>3</v>
      </c>
      <c r="BR1178" s="2">
        <v>2</v>
      </c>
      <c r="BS1178" s="2">
        <v>0</v>
      </c>
      <c r="BT1178" s="2">
        <v>0</v>
      </c>
      <c r="BU1178" s="2">
        <v>1</v>
      </c>
      <c r="BV1178" s="2">
        <f t="shared" si="77"/>
        <v>19</v>
      </c>
      <c r="BW1178" s="16">
        <f t="shared" si="75"/>
        <v>1</v>
      </c>
      <c r="BX1178" s="16">
        <f>COUNTIF($BC$6:BU1178, "=0") / COUNTIF($BC$6:BU1178, "&gt;-1")</f>
        <v>0.31399470543366087</v>
      </c>
      <c r="BY1178" s="18">
        <f>SUM($BC$6:BU1178) / $BY$4</f>
        <v>0.95823700790500399</v>
      </c>
      <c r="BZ1178" s="14">
        <f t="shared" si="76"/>
        <v>8</v>
      </c>
      <c r="CA1178" t="s">
        <v>5832</v>
      </c>
      <c r="CZ1178" t="s">
        <v>7778</v>
      </c>
      <c r="DA1178" t="s">
        <v>5904</v>
      </c>
      <c r="DB1178">
        <v>347.8</v>
      </c>
      <c r="DC1178" t="s">
        <v>19723</v>
      </c>
      <c r="DD1178" t="s">
        <v>19724</v>
      </c>
      <c r="DE1178" t="s">
        <v>19725</v>
      </c>
      <c r="DF1178" t="s">
        <v>19726</v>
      </c>
      <c r="DG1178" t="s">
        <v>19727</v>
      </c>
      <c r="DH1178" t="str">
        <f>"CRYAB"</f>
        <v>CRYAB</v>
      </c>
      <c r="DI1178" t="s">
        <v>19728</v>
      </c>
      <c r="DJ1178" t="s">
        <v>13777</v>
      </c>
      <c r="DK1178">
        <v>9606</v>
      </c>
      <c r="DL1178" s="34" t="str">
        <f>HYPERLINK("http://www.uniprot.org/uniprot/P02511", "P02511")</f>
        <v>P02511</v>
      </c>
      <c r="DM1178" t="s">
        <v>19729</v>
      </c>
      <c r="DN1178" t="s">
        <v>13772</v>
      </c>
      <c r="DO1178" t="s">
        <v>13912</v>
      </c>
      <c r="DP1178" t="s">
        <v>13793</v>
      </c>
      <c r="DQ1178" t="s">
        <v>13772</v>
      </c>
      <c r="DR1178" t="s">
        <v>19730</v>
      </c>
      <c r="DS1178" t="s">
        <v>13772</v>
      </c>
      <c r="DT1178" t="s">
        <v>13856</v>
      </c>
      <c r="DU1178" t="s">
        <v>19731</v>
      </c>
      <c r="DV1178" t="s">
        <v>19732</v>
      </c>
      <c r="DW1178" t="s">
        <v>13812</v>
      </c>
      <c r="DX1178" t="s">
        <v>19733</v>
      </c>
      <c r="DY1178" t="s">
        <v>19734</v>
      </c>
      <c r="DZ1178" t="s">
        <v>19735</v>
      </c>
      <c r="EA1178" t="s">
        <v>13772</v>
      </c>
      <c r="EB1178" t="s">
        <v>19736</v>
      </c>
    </row>
    <row r="1179" spans="1:132" hidden="1">
      <c r="A1179">
        <v>685</v>
      </c>
      <c r="B1179">
        <v>1</v>
      </c>
      <c r="C1179" t="s">
        <v>1687</v>
      </c>
      <c r="D1179" t="s">
        <v>1688</v>
      </c>
      <c r="E1179" t="s">
        <v>73</v>
      </c>
      <c r="F1179" t="s">
        <v>73</v>
      </c>
      <c r="G1179" t="s">
        <v>73</v>
      </c>
      <c r="H1179">
        <v>24.3</v>
      </c>
      <c r="I1179">
        <v>350</v>
      </c>
      <c r="J1179">
        <v>39214</v>
      </c>
      <c r="K1179" t="s">
        <v>1689</v>
      </c>
      <c r="L1179">
        <f t="shared" si="74"/>
        <v>19</v>
      </c>
      <c r="N1179">
        <v>19</v>
      </c>
      <c r="O1179">
        <v>19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6</v>
      </c>
      <c r="Z1179">
        <v>0</v>
      </c>
      <c r="AA1179">
        <v>6</v>
      </c>
      <c r="AB1179">
        <v>1</v>
      </c>
      <c r="AC1179">
        <v>2</v>
      </c>
      <c r="AD1179">
        <v>0</v>
      </c>
      <c r="AE1179">
        <v>2</v>
      </c>
      <c r="AF1179">
        <v>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6</v>
      </c>
      <c r="AS1179">
        <v>0</v>
      </c>
      <c r="AT1179">
        <v>6</v>
      </c>
      <c r="AU1179">
        <v>1</v>
      </c>
      <c r="AV1179">
        <v>2</v>
      </c>
      <c r="AW1179">
        <v>0</v>
      </c>
      <c r="AX1179">
        <v>2</v>
      </c>
      <c r="AY1179">
        <v>2</v>
      </c>
      <c r="AZ1179">
        <v>0</v>
      </c>
      <c r="BA1179">
        <v>0</v>
      </c>
      <c r="BB1179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6</v>
      </c>
      <c r="BL1179" s="2">
        <v>0</v>
      </c>
      <c r="BM1179" s="2">
        <v>6</v>
      </c>
      <c r="BN1179" s="2">
        <v>1</v>
      </c>
      <c r="BO1179" s="2">
        <v>2</v>
      </c>
      <c r="BP1179" s="2">
        <v>0</v>
      </c>
      <c r="BQ1179" s="2">
        <v>2</v>
      </c>
      <c r="BR1179" s="2">
        <v>2</v>
      </c>
      <c r="BS1179" s="2">
        <v>0</v>
      </c>
      <c r="BT1179" s="2">
        <v>0</v>
      </c>
      <c r="BU1179" s="2">
        <v>0</v>
      </c>
      <c r="BV1179" s="2">
        <f t="shared" si="77"/>
        <v>19</v>
      </c>
      <c r="BW1179" s="16">
        <f t="shared" si="75"/>
        <v>1</v>
      </c>
      <c r="BX1179" s="16">
        <f>COUNTIF($BC$6:BU1179, "=0") / COUNTIF($BC$6:BU1179, "&gt;-1")</f>
        <v>0.31431005110732541</v>
      </c>
      <c r="BY1179" s="18">
        <f>SUM($BC$6:BU1179) / $BY$4</f>
        <v>0.95831839700550936</v>
      </c>
      <c r="BZ1179" s="14">
        <f t="shared" si="76"/>
        <v>13</v>
      </c>
      <c r="CA1179" t="s">
        <v>5832</v>
      </c>
      <c r="CZ1179" t="s">
        <v>8057</v>
      </c>
      <c r="DA1179" t="s">
        <v>5904</v>
      </c>
      <c r="DB1179">
        <v>687.6</v>
      </c>
      <c r="DC1179" t="s">
        <v>20546</v>
      </c>
      <c r="DD1179" t="s">
        <v>13772</v>
      </c>
      <c r="DE1179" t="s">
        <v>20547</v>
      </c>
      <c r="DF1179" t="s">
        <v>20548</v>
      </c>
      <c r="DG1179" t="s">
        <v>20549</v>
      </c>
      <c r="DH1179" t="str">
        <f>"GYG1"</f>
        <v>GYG1</v>
      </c>
      <c r="DI1179" t="s">
        <v>20550</v>
      </c>
      <c r="DJ1179" t="s">
        <v>13777</v>
      </c>
      <c r="DK1179">
        <v>9606</v>
      </c>
      <c r="DL1179" s="34" t="str">
        <f>HYPERLINK("http://www.uniprot.org/uniprot/P46976", "P46976")</f>
        <v>P46976</v>
      </c>
      <c r="DM1179" t="s">
        <v>20551</v>
      </c>
      <c r="DN1179" t="s">
        <v>20552</v>
      </c>
      <c r="DO1179" t="s">
        <v>13772</v>
      </c>
      <c r="DP1179" t="s">
        <v>13841</v>
      </c>
      <c r="DQ1179" t="s">
        <v>13772</v>
      </c>
      <c r="DR1179" t="s">
        <v>16230</v>
      </c>
      <c r="DS1179" t="s">
        <v>13772</v>
      </c>
      <c r="DT1179" t="s">
        <v>15674</v>
      </c>
      <c r="DU1179" t="s">
        <v>14111</v>
      </c>
      <c r="DV1179" t="s">
        <v>14182</v>
      </c>
      <c r="DW1179" t="s">
        <v>13812</v>
      </c>
      <c r="DX1179" t="s">
        <v>20553</v>
      </c>
      <c r="DY1179" t="s">
        <v>20554</v>
      </c>
      <c r="DZ1179" t="s">
        <v>20555</v>
      </c>
      <c r="EA1179" t="s">
        <v>20556</v>
      </c>
      <c r="EB1179" t="s">
        <v>20557</v>
      </c>
    </row>
    <row r="1180" spans="1:132" hidden="1">
      <c r="A1180">
        <v>691</v>
      </c>
      <c r="B1180">
        <v>1</v>
      </c>
      <c r="C1180" t="s">
        <v>1702</v>
      </c>
      <c r="D1180" t="s">
        <v>73</v>
      </c>
      <c r="E1180" t="s">
        <v>73</v>
      </c>
      <c r="F1180" t="s">
        <v>73</v>
      </c>
      <c r="G1180" t="s">
        <v>73</v>
      </c>
      <c r="H1180">
        <v>32.9</v>
      </c>
      <c r="I1180">
        <v>401</v>
      </c>
      <c r="J1180">
        <v>45085</v>
      </c>
      <c r="K1180" t="s">
        <v>1703</v>
      </c>
      <c r="L1180">
        <f t="shared" si="74"/>
        <v>19</v>
      </c>
      <c r="N1180">
        <v>19</v>
      </c>
      <c r="O1180">
        <v>19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3</v>
      </c>
      <c r="V1180">
        <v>2</v>
      </c>
      <c r="W1180">
        <v>0</v>
      </c>
      <c r="X1180">
        <v>0</v>
      </c>
      <c r="Y1180">
        <v>4</v>
      </c>
      <c r="Z1180">
        <v>0</v>
      </c>
      <c r="AA1180">
        <v>7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3</v>
      </c>
      <c r="AO1180">
        <v>2</v>
      </c>
      <c r="AP1180">
        <v>0</v>
      </c>
      <c r="AQ1180">
        <v>0</v>
      </c>
      <c r="AR1180">
        <v>4</v>
      </c>
      <c r="AS1180">
        <v>0</v>
      </c>
      <c r="AT1180">
        <v>7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 s="2">
        <v>0</v>
      </c>
      <c r="BD1180" s="2">
        <v>1</v>
      </c>
      <c r="BE1180" s="2">
        <v>0</v>
      </c>
      <c r="BF1180" s="2">
        <v>0</v>
      </c>
      <c r="BG1180" s="2">
        <v>3</v>
      </c>
      <c r="BH1180" s="2">
        <v>2</v>
      </c>
      <c r="BI1180" s="2">
        <v>0</v>
      </c>
      <c r="BJ1180" s="2">
        <v>0</v>
      </c>
      <c r="BK1180" s="2">
        <v>4</v>
      </c>
      <c r="BL1180" s="2">
        <v>0</v>
      </c>
      <c r="BM1180" s="2">
        <v>7</v>
      </c>
      <c r="BN1180" s="2">
        <v>1</v>
      </c>
      <c r="BO1180" s="2">
        <v>1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f t="shared" si="77"/>
        <v>19</v>
      </c>
      <c r="BW1180" s="16">
        <f t="shared" si="75"/>
        <v>1</v>
      </c>
      <c r="BX1180" s="16">
        <f>COUNTIF($BC$6:BU1180, "=0") / COUNTIF($BC$6:BU1180, "&gt;-1")</f>
        <v>0.31458006718924975</v>
      </c>
      <c r="BY1180" s="18">
        <f>SUM($BC$6:BU1180) / $BY$4</f>
        <v>0.95839978610601462</v>
      </c>
      <c r="BZ1180" s="14">
        <f t="shared" si="76"/>
        <v>12</v>
      </c>
      <c r="CA1180" t="s">
        <v>5832</v>
      </c>
      <c r="CZ1180" t="s">
        <v>8076</v>
      </c>
      <c r="DA1180" t="s">
        <v>5904</v>
      </c>
      <c r="DB1180">
        <v>726.1</v>
      </c>
      <c r="DC1180" t="s">
        <v>20603</v>
      </c>
      <c r="DD1180" t="s">
        <v>13772</v>
      </c>
      <c r="DE1180" t="s">
        <v>20604</v>
      </c>
      <c r="DF1180" t="s">
        <v>20605</v>
      </c>
      <c r="DG1180" t="s">
        <v>20606</v>
      </c>
      <c r="DH1180" t="str">
        <f>"PRKAR2A"</f>
        <v>PRKAR2A</v>
      </c>
      <c r="DI1180" t="s">
        <v>20607</v>
      </c>
      <c r="DJ1180" t="s">
        <v>13777</v>
      </c>
      <c r="DK1180">
        <v>9606</v>
      </c>
      <c r="DL1180" s="34" t="str">
        <f>HYPERLINK("http://www.uniprot.org/uniprot/P13861", "P13861")</f>
        <v>P13861</v>
      </c>
      <c r="DM1180" t="s">
        <v>20608</v>
      </c>
      <c r="DN1180" t="s">
        <v>13772</v>
      </c>
      <c r="DO1180" t="s">
        <v>18623</v>
      </c>
      <c r="DP1180" t="s">
        <v>13841</v>
      </c>
      <c r="DQ1180" t="s">
        <v>13772</v>
      </c>
      <c r="DR1180" t="s">
        <v>13772</v>
      </c>
      <c r="DS1180" t="s">
        <v>14096</v>
      </c>
      <c r="DT1180" t="s">
        <v>20609</v>
      </c>
      <c r="DU1180" t="s">
        <v>13772</v>
      </c>
      <c r="DV1180" t="s">
        <v>13886</v>
      </c>
      <c r="DW1180" t="s">
        <v>13812</v>
      </c>
      <c r="DX1180" t="s">
        <v>20610</v>
      </c>
      <c r="DY1180" t="s">
        <v>20611</v>
      </c>
      <c r="DZ1180" t="s">
        <v>20612</v>
      </c>
      <c r="EA1180" t="s">
        <v>13772</v>
      </c>
      <c r="EB1180" t="s">
        <v>20613</v>
      </c>
    </row>
    <row r="1181" spans="1:132" hidden="1">
      <c r="A1181">
        <v>774</v>
      </c>
      <c r="B1181">
        <v>1</v>
      </c>
      <c r="C1181" t="s">
        <v>1902</v>
      </c>
      <c r="D1181" t="s">
        <v>73</v>
      </c>
      <c r="E1181" t="s">
        <v>73</v>
      </c>
      <c r="F1181" t="s">
        <v>73</v>
      </c>
      <c r="G1181" t="s">
        <v>73</v>
      </c>
      <c r="H1181">
        <v>28</v>
      </c>
      <c r="I1181">
        <v>168</v>
      </c>
      <c r="J1181">
        <v>19667</v>
      </c>
      <c r="K1181" t="s">
        <v>1903</v>
      </c>
      <c r="L1181">
        <f t="shared" si="74"/>
        <v>19</v>
      </c>
      <c r="N1181">
        <v>19</v>
      </c>
      <c r="O1181">
        <v>19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4</v>
      </c>
      <c r="V1181">
        <v>1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3</v>
      </c>
      <c r="AC1181">
        <v>4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4</v>
      </c>
      <c r="AO1181">
        <v>1</v>
      </c>
      <c r="AP1181">
        <v>0</v>
      </c>
      <c r="AQ1181">
        <v>1</v>
      </c>
      <c r="AR1181">
        <v>3</v>
      </c>
      <c r="AS1181">
        <v>0</v>
      </c>
      <c r="AT1181">
        <v>0</v>
      </c>
      <c r="AU1181">
        <v>3</v>
      </c>
      <c r="AV1181">
        <v>4</v>
      </c>
      <c r="AW1181">
        <v>1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 s="2">
        <v>0</v>
      </c>
      <c r="BD1181" s="2">
        <v>1</v>
      </c>
      <c r="BE1181" s="2">
        <v>0</v>
      </c>
      <c r="BF1181" s="2">
        <v>0</v>
      </c>
      <c r="BG1181" s="2">
        <v>4</v>
      </c>
      <c r="BH1181" s="2">
        <v>1</v>
      </c>
      <c r="BI1181" s="2">
        <v>0</v>
      </c>
      <c r="BJ1181" s="2">
        <v>1</v>
      </c>
      <c r="BK1181" s="2">
        <v>3</v>
      </c>
      <c r="BL1181" s="2">
        <v>0</v>
      </c>
      <c r="BM1181" s="2">
        <v>0</v>
      </c>
      <c r="BN1181" s="2">
        <v>3</v>
      </c>
      <c r="BO1181" s="2">
        <v>4</v>
      </c>
      <c r="BP1181" s="2">
        <v>1</v>
      </c>
      <c r="BQ1181" s="2">
        <v>0</v>
      </c>
      <c r="BR1181" s="2">
        <v>1</v>
      </c>
      <c r="BS1181" s="2">
        <v>0</v>
      </c>
      <c r="BT1181" s="2">
        <v>0</v>
      </c>
      <c r="BU1181" s="2">
        <v>0</v>
      </c>
      <c r="BV1181" s="2">
        <f t="shared" si="77"/>
        <v>19</v>
      </c>
      <c r="BW1181" s="16">
        <f t="shared" si="75"/>
        <v>1</v>
      </c>
      <c r="BX1181" s="16">
        <f>COUNTIF($BC$6:BU1181, "=0") / COUNTIF($BC$6:BU1181, "&gt;-1")</f>
        <v>0.31476011457214464</v>
      </c>
      <c r="BY1181" s="18">
        <f>SUM($BC$6:BU1181) / $BY$4</f>
        <v>0.95848117520651999</v>
      </c>
      <c r="BZ1181" s="14">
        <f t="shared" si="76"/>
        <v>10</v>
      </c>
      <c r="CA1181" t="s">
        <v>5832</v>
      </c>
      <c r="CZ1181" t="s">
        <v>8352</v>
      </c>
      <c r="DA1181" t="s">
        <v>5904</v>
      </c>
      <c r="DB1181">
        <v>341.7</v>
      </c>
      <c r="DC1181" t="s">
        <v>21411</v>
      </c>
      <c r="DD1181" t="s">
        <v>21412</v>
      </c>
      <c r="DE1181" t="s">
        <v>21413</v>
      </c>
      <c r="DF1181" t="s">
        <v>21414</v>
      </c>
      <c r="DG1181" t="s">
        <v>21415</v>
      </c>
      <c r="DH1181" t="str">
        <f>"ARPC4"</f>
        <v>ARPC4</v>
      </c>
      <c r="DI1181" t="s">
        <v>21416</v>
      </c>
      <c r="DJ1181" t="s">
        <v>13777</v>
      </c>
      <c r="DK1181">
        <v>9606</v>
      </c>
      <c r="DL1181" s="34" t="str">
        <f>HYPERLINK("http://www.uniprot.org/uniprot/P59998", "P59998")</f>
        <v>P59998</v>
      </c>
      <c r="DM1181" t="s">
        <v>21417</v>
      </c>
      <c r="DN1181" t="s">
        <v>13772</v>
      </c>
      <c r="DO1181" t="s">
        <v>18178</v>
      </c>
      <c r="DP1181" t="s">
        <v>13841</v>
      </c>
      <c r="DQ1181" t="s">
        <v>13772</v>
      </c>
      <c r="DR1181" t="s">
        <v>13772</v>
      </c>
      <c r="DS1181" t="s">
        <v>13772</v>
      </c>
      <c r="DT1181" t="s">
        <v>13772</v>
      </c>
      <c r="DU1181" t="s">
        <v>13990</v>
      </c>
      <c r="DV1181" t="s">
        <v>14020</v>
      </c>
      <c r="DW1181" t="s">
        <v>13772</v>
      </c>
      <c r="DX1181" t="s">
        <v>21418</v>
      </c>
      <c r="DY1181" t="s">
        <v>21419</v>
      </c>
      <c r="DZ1181" t="s">
        <v>21420</v>
      </c>
      <c r="EA1181" t="s">
        <v>13772</v>
      </c>
      <c r="EB1181" t="s">
        <v>18181</v>
      </c>
    </row>
    <row r="1182" spans="1:132" hidden="1">
      <c r="A1182">
        <v>780</v>
      </c>
      <c r="B1182">
        <v>1</v>
      </c>
      <c r="C1182" t="s">
        <v>1916</v>
      </c>
      <c r="D1182" t="s">
        <v>1917</v>
      </c>
      <c r="E1182" t="s">
        <v>73</v>
      </c>
      <c r="F1182" t="s">
        <v>73</v>
      </c>
      <c r="G1182" t="s">
        <v>73</v>
      </c>
      <c r="H1182">
        <v>31.2</v>
      </c>
      <c r="I1182">
        <v>481</v>
      </c>
      <c r="J1182">
        <v>52772</v>
      </c>
      <c r="K1182" t="s">
        <v>1918</v>
      </c>
      <c r="L1182">
        <f t="shared" si="74"/>
        <v>19</v>
      </c>
      <c r="N1182">
        <v>19</v>
      </c>
      <c r="O1182">
        <v>19</v>
      </c>
      <c r="P1182">
        <v>1</v>
      </c>
      <c r="Q1182">
        <v>0</v>
      </c>
      <c r="R1182">
        <v>6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8</v>
      </c>
      <c r="AB1182">
        <v>3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6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8</v>
      </c>
      <c r="AU1182">
        <v>3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 s="2">
        <v>0</v>
      </c>
      <c r="BD1182" s="2">
        <v>6</v>
      </c>
      <c r="BE1182" s="2">
        <v>0</v>
      </c>
      <c r="BF1182" s="2">
        <v>0</v>
      </c>
      <c r="BG1182" s="2">
        <v>0</v>
      </c>
      <c r="BH1182" s="2">
        <v>1</v>
      </c>
      <c r="BI1182" s="2">
        <v>0</v>
      </c>
      <c r="BJ1182" s="2">
        <v>0</v>
      </c>
      <c r="BK1182" s="2">
        <v>0</v>
      </c>
      <c r="BL1182" s="2">
        <v>0</v>
      </c>
      <c r="BM1182" s="2">
        <v>8</v>
      </c>
      <c r="BN1182" s="2">
        <v>3</v>
      </c>
      <c r="BO1182" s="2">
        <v>0</v>
      </c>
      <c r="BP1182" s="2">
        <v>0</v>
      </c>
      <c r="BQ1182" s="2">
        <v>0</v>
      </c>
      <c r="BR1182" s="2">
        <v>1</v>
      </c>
      <c r="BS1182" s="2">
        <v>0</v>
      </c>
      <c r="BT1182" s="2">
        <v>0</v>
      </c>
      <c r="BU1182" s="2">
        <v>0</v>
      </c>
      <c r="BV1182" s="2">
        <f t="shared" si="77"/>
        <v>19</v>
      </c>
      <c r="BW1182" s="16">
        <f t="shared" si="75"/>
        <v>1</v>
      </c>
      <c r="BX1182" s="16">
        <f>COUNTIF($BC$6:BU1182, "=0") / COUNTIF($BC$6:BU1182, "&gt;-1")</f>
        <v>0.31511872289048876</v>
      </c>
      <c r="BY1182" s="18">
        <f>SUM($BC$6:BU1182) / $BY$4</f>
        <v>0.95856256430702524</v>
      </c>
      <c r="BZ1182" s="14">
        <f t="shared" si="76"/>
        <v>14</v>
      </c>
      <c r="CA1182" t="s">
        <v>5832</v>
      </c>
      <c r="CZ1182" t="s">
        <v>8372</v>
      </c>
      <c r="DA1182" t="s">
        <v>5904</v>
      </c>
      <c r="DB1182">
        <v>905.2</v>
      </c>
      <c r="DC1182" t="s">
        <v>21472</v>
      </c>
      <c r="DD1182" t="s">
        <v>21473</v>
      </c>
      <c r="DE1182" t="s">
        <v>21474</v>
      </c>
      <c r="DF1182" t="s">
        <v>21475</v>
      </c>
      <c r="DG1182" t="s">
        <v>21476</v>
      </c>
      <c r="DH1182" t="str">
        <f>"UQCRC1"</f>
        <v>UQCRC1</v>
      </c>
      <c r="DI1182" t="s">
        <v>13772</v>
      </c>
      <c r="DJ1182" t="s">
        <v>13777</v>
      </c>
      <c r="DK1182">
        <v>9606</v>
      </c>
      <c r="DL1182" s="34" t="str">
        <f>HYPERLINK("http://www.uniprot.org/uniprot/P31930", "P31930")</f>
        <v>P31930</v>
      </c>
      <c r="DM1182" t="s">
        <v>21477</v>
      </c>
      <c r="DN1182" t="s">
        <v>21478</v>
      </c>
      <c r="DO1182" t="s">
        <v>15507</v>
      </c>
      <c r="DP1182" t="s">
        <v>13793</v>
      </c>
      <c r="DQ1182" t="s">
        <v>13772</v>
      </c>
      <c r="DR1182" t="s">
        <v>13772</v>
      </c>
      <c r="DS1182" t="s">
        <v>14391</v>
      </c>
      <c r="DT1182" t="s">
        <v>13772</v>
      </c>
      <c r="DU1182" t="s">
        <v>13772</v>
      </c>
      <c r="DV1182" t="s">
        <v>13886</v>
      </c>
      <c r="DW1182" t="s">
        <v>13812</v>
      </c>
      <c r="DX1182" t="s">
        <v>21479</v>
      </c>
      <c r="DY1182" t="s">
        <v>21480</v>
      </c>
      <c r="DZ1182" t="s">
        <v>21481</v>
      </c>
      <c r="EA1182" t="s">
        <v>13772</v>
      </c>
      <c r="EB1182" t="s">
        <v>16045</v>
      </c>
    </row>
    <row r="1183" spans="1:132" hidden="1">
      <c r="A1183">
        <v>894</v>
      </c>
      <c r="B1183">
        <v>1</v>
      </c>
      <c r="C1183" t="s">
        <v>2184</v>
      </c>
      <c r="D1183" t="s">
        <v>2185</v>
      </c>
      <c r="E1183" t="s">
        <v>73</v>
      </c>
      <c r="F1183" t="s">
        <v>73</v>
      </c>
      <c r="G1183" t="s">
        <v>73</v>
      </c>
      <c r="H1183">
        <v>17.5</v>
      </c>
      <c r="I1183">
        <v>445</v>
      </c>
      <c r="J1183">
        <v>50320</v>
      </c>
      <c r="K1183" t="s">
        <v>2186</v>
      </c>
      <c r="L1183">
        <f t="shared" si="74"/>
        <v>19</v>
      </c>
      <c r="N1183">
        <v>19</v>
      </c>
      <c r="O1183">
        <v>19</v>
      </c>
      <c r="P1183">
        <v>1</v>
      </c>
      <c r="Q1183">
        <v>1</v>
      </c>
      <c r="R1183">
        <v>4</v>
      </c>
      <c r="S1183">
        <v>2</v>
      </c>
      <c r="T1183">
        <v>6</v>
      </c>
      <c r="U1183">
        <v>2</v>
      </c>
      <c r="V1183">
        <v>1</v>
      </c>
      <c r="W1183">
        <v>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4</v>
      </c>
      <c r="AL1183">
        <v>2</v>
      </c>
      <c r="AM1183">
        <v>6</v>
      </c>
      <c r="AN1183">
        <v>2</v>
      </c>
      <c r="AO1183">
        <v>1</v>
      </c>
      <c r="AP1183">
        <v>3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 s="2">
        <v>1</v>
      </c>
      <c r="BD1183" s="2">
        <v>4</v>
      </c>
      <c r="BE1183" s="2">
        <v>2</v>
      </c>
      <c r="BF1183" s="2">
        <v>6</v>
      </c>
      <c r="BG1183" s="2">
        <v>2</v>
      </c>
      <c r="BH1183" s="2">
        <v>1</v>
      </c>
      <c r="BI1183" s="2">
        <v>3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f t="shared" si="77"/>
        <v>19</v>
      </c>
      <c r="BW1183" s="16">
        <f t="shared" si="75"/>
        <v>1</v>
      </c>
      <c r="BX1183" s="16">
        <f>COUNTIF($BC$6:BU1183, "=0") / COUNTIF($BC$6:BU1183, "&gt;-1")</f>
        <v>0.31538736484675184</v>
      </c>
      <c r="BY1183" s="18">
        <f>SUM($BC$6:BU1183) / $BY$4</f>
        <v>0.95864395340753061</v>
      </c>
      <c r="BZ1183" s="14">
        <f t="shared" si="76"/>
        <v>12</v>
      </c>
      <c r="CA1183" t="s">
        <v>5832</v>
      </c>
      <c r="CZ1183" t="s">
        <v>8761</v>
      </c>
      <c r="DA1183" t="s">
        <v>5904</v>
      </c>
      <c r="DB1183">
        <v>791.2</v>
      </c>
      <c r="DC1183" t="s">
        <v>22603</v>
      </c>
      <c r="DD1183" t="s">
        <v>22604</v>
      </c>
      <c r="DE1183" t="s">
        <v>22605</v>
      </c>
      <c r="DF1183" t="s">
        <v>22606</v>
      </c>
      <c r="DG1183" t="s">
        <v>22607</v>
      </c>
      <c r="DH1183" t="str">
        <f>"SERPINI1"</f>
        <v>SERPINI1</v>
      </c>
      <c r="DI1183" t="s">
        <v>22608</v>
      </c>
      <c r="DJ1183" t="s">
        <v>13777</v>
      </c>
      <c r="DK1183">
        <v>9606</v>
      </c>
      <c r="DL1183" s="34" t="str">
        <f>HYPERLINK("http://www.uniprot.org/uniprot/Q99574", "Q99574")</f>
        <v>Q99574</v>
      </c>
      <c r="DM1183" t="s">
        <v>22609</v>
      </c>
      <c r="DN1183" t="s">
        <v>13772</v>
      </c>
      <c r="DO1183" t="s">
        <v>16982</v>
      </c>
      <c r="DP1183" t="s">
        <v>13772</v>
      </c>
      <c r="DQ1183" t="s">
        <v>13772</v>
      </c>
      <c r="DR1183" t="s">
        <v>22610</v>
      </c>
      <c r="DS1183" t="s">
        <v>13808</v>
      </c>
      <c r="DT1183" t="s">
        <v>13772</v>
      </c>
      <c r="DU1183" t="s">
        <v>14375</v>
      </c>
      <c r="DV1183" t="s">
        <v>13858</v>
      </c>
      <c r="DW1183" t="s">
        <v>13812</v>
      </c>
      <c r="DX1183" t="s">
        <v>22611</v>
      </c>
      <c r="DY1183" t="s">
        <v>22612</v>
      </c>
      <c r="DZ1183" t="s">
        <v>16362</v>
      </c>
      <c r="EA1183" t="s">
        <v>13772</v>
      </c>
      <c r="EB1183" t="s">
        <v>13772</v>
      </c>
    </row>
    <row r="1184" spans="1:132" hidden="1">
      <c r="A1184">
        <v>960</v>
      </c>
      <c r="B1184">
        <v>1</v>
      </c>
      <c r="C1184" t="s">
        <v>2331</v>
      </c>
      <c r="D1184" t="s">
        <v>2332</v>
      </c>
      <c r="E1184" t="s">
        <v>73</v>
      </c>
      <c r="F1184" t="s">
        <v>73</v>
      </c>
      <c r="G1184" t="s">
        <v>73</v>
      </c>
      <c r="H1184">
        <v>7</v>
      </c>
      <c r="I1184">
        <v>986</v>
      </c>
      <c r="J1184">
        <v>109910</v>
      </c>
      <c r="K1184" t="s">
        <v>2333</v>
      </c>
      <c r="L1184">
        <f t="shared" si="74"/>
        <v>19</v>
      </c>
      <c r="N1184">
        <v>19</v>
      </c>
      <c r="O1184">
        <v>19</v>
      </c>
      <c r="P1184">
        <v>1</v>
      </c>
      <c r="Q1184">
        <v>2</v>
      </c>
      <c r="R1184">
        <v>3</v>
      </c>
      <c r="S1184">
        <v>2</v>
      </c>
      <c r="T1184">
        <v>1</v>
      </c>
      <c r="U1184">
        <v>1</v>
      </c>
      <c r="V1184">
        <v>1</v>
      </c>
      <c r="W1184">
        <v>4</v>
      </c>
      <c r="X1184">
        <v>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0</v>
      </c>
      <c r="AH1184">
        <v>0</v>
      </c>
      <c r="AI1184">
        <v>0</v>
      </c>
      <c r="AJ1184">
        <v>2</v>
      </c>
      <c r="AK1184">
        <v>3</v>
      </c>
      <c r="AL1184">
        <v>2</v>
      </c>
      <c r="AM1184">
        <v>1</v>
      </c>
      <c r="AN1184">
        <v>1</v>
      </c>
      <c r="AO1184">
        <v>1</v>
      </c>
      <c r="AP1184">
        <v>4</v>
      </c>
      <c r="AQ1184">
        <v>3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</v>
      </c>
      <c r="AZ1184">
        <v>0</v>
      </c>
      <c r="BA1184">
        <v>0</v>
      </c>
      <c r="BB1184">
        <v>0</v>
      </c>
      <c r="BC1184" s="2">
        <v>2</v>
      </c>
      <c r="BD1184" s="2">
        <v>3</v>
      </c>
      <c r="BE1184" s="2">
        <v>2</v>
      </c>
      <c r="BF1184" s="2">
        <v>1</v>
      </c>
      <c r="BG1184" s="2">
        <v>1</v>
      </c>
      <c r="BH1184" s="2">
        <v>1</v>
      </c>
      <c r="BI1184" s="2">
        <v>4</v>
      </c>
      <c r="BJ1184" s="2">
        <v>3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2</v>
      </c>
      <c r="BS1184" s="2">
        <v>0</v>
      </c>
      <c r="BT1184" s="2">
        <v>0</v>
      </c>
      <c r="BU1184" s="2">
        <v>0</v>
      </c>
      <c r="BV1184" s="2">
        <f t="shared" si="77"/>
        <v>19</v>
      </c>
      <c r="BW1184" s="16">
        <f t="shared" si="75"/>
        <v>1</v>
      </c>
      <c r="BX1184" s="16">
        <f>COUNTIF($BC$6:BU1184, "=0") / COUNTIF($BC$6:BU1184, "&gt;-1")</f>
        <v>0.31556626936297488</v>
      </c>
      <c r="BY1184" s="18">
        <f>SUM($BC$6:BU1184) / $BY$4</f>
        <v>0.95872534250803587</v>
      </c>
      <c r="BZ1184" s="14">
        <f t="shared" si="76"/>
        <v>10</v>
      </c>
      <c r="CA1184" t="s">
        <v>5832</v>
      </c>
      <c r="CZ1184" t="s">
        <v>8984</v>
      </c>
      <c r="DA1184" t="s">
        <v>5904</v>
      </c>
      <c r="DB1184">
        <v>2033.5</v>
      </c>
      <c r="DC1184" t="s">
        <v>23232</v>
      </c>
      <c r="DD1184" t="s">
        <v>23233</v>
      </c>
      <c r="DE1184" t="s">
        <v>23234</v>
      </c>
      <c r="DF1184" t="s">
        <v>23235</v>
      </c>
      <c r="DG1184" t="s">
        <v>23236</v>
      </c>
      <c r="DH1184" t="str">
        <f>"EPHA4"</f>
        <v>EPHA4</v>
      </c>
      <c r="DI1184" t="s">
        <v>23237</v>
      </c>
      <c r="DJ1184" t="s">
        <v>13777</v>
      </c>
      <c r="DK1184">
        <v>9606</v>
      </c>
      <c r="DL1184" s="34" t="str">
        <f>HYPERLINK("http://www.uniprot.org/uniprot/P54764", "P54764")</f>
        <v>P54764</v>
      </c>
      <c r="DM1184" t="s">
        <v>23238</v>
      </c>
      <c r="DN1184" t="s">
        <v>15603</v>
      </c>
      <c r="DO1184" t="s">
        <v>23239</v>
      </c>
      <c r="DP1184" t="s">
        <v>13780</v>
      </c>
      <c r="DQ1184" t="s">
        <v>13772</v>
      </c>
      <c r="DR1184" t="s">
        <v>13772</v>
      </c>
      <c r="DS1184" t="s">
        <v>13826</v>
      </c>
      <c r="DT1184" t="s">
        <v>14005</v>
      </c>
      <c r="DU1184" t="s">
        <v>20102</v>
      </c>
      <c r="DV1184" t="s">
        <v>13978</v>
      </c>
      <c r="DW1184" t="s">
        <v>13812</v>
      </c>
      <c r="DX1184" t="s">
        <v>23240</v>
      </c>
      <c r="DY1184" t="s">
        <v>23241</v>
      </c>
      <c r="DZ1184" t="s">
        <v>23242</v>
      </c>
      <c r="EA1184" t="s">
        <v>13772</v>
      </c>
      <c r="EB1184" t="s">
        <v>20392</v>
      </c>
    </row>
    <row r="1185" spans="1:132" hidden="1">
      <c r="A1185">
        <v>1061</v>
      </c>
      <c r="B1185">
        <v>1</v>
      </c>
      <c r="C1185" t="s">
        <v>2548</v>
      </c>
      <c r="D1185" t="s">
        <v>73</v>
      </c>
      <c r="E1185" t="s">
        <v>73</v>
      </c>
      <c r="F1185" t="s">
        <v>73</v>
      </c>
      <c r="G1185" t="s">
        <v>73</v>
      </c>
      <c r="H1185">
        <v>15.1</v>
      </c>
      <c r="I1185">
        <v>1191</v>
      </c>
      <c r="J1185">
        <v>118408</v>
      </c>
      <c r="K1185" t="s">
        <v>2549</v>
      </c>
      <c r="L1185">
        <f t="shared" si="74"/>
        <v>19</v>
      </c>
      <c r="N1185">
        <v>19</v>
      </c>
      <c r="O1185">
        <v>19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</v>
      </c>
      <c r="Z1185">
        <v>0</v>
      </c>
      <c r="AA1185">
        <v>4</v>
      </c>
      <c r="AB1185">
        <v>0</v>
      </c>
      <c r="AC1185">
        <v>1</v>
      </c>
      <c r="AD1185">
        <v>0</v>
      </c>
      <c r="AE1185">
        <v>9</v>
      </c>
      <c r="AF1185">
        <v>3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</v>
      </c>
      <c r="AS1185">
        <v>0</v>
      </c>
      <c r="AT1185">
        <v>4</v>
      </c>
      <c r="AU1185">
        <v>0</v>
      </c>
      <c r="AV1185">
        <v>1</v>
      </c>
      <c r="AW1185">
        <v>0</v>
      </c>
      <c r="AX1185">
        <v>9</v>
      </c>
      <c r="AY1185">
        <v>3</v>
      </c>
      <c r="AZ1185">
        <v>0</v>
      </c>
      <c r="BA1185">
        <v>0</v>
      </c>
      <c r="BB1185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2</v>
      </c>
      <c r="BL1185" s="2">
        <v>0</v>
      </c>
      <c r="BM1185" s="2">
        <v>4</v>
      </c>
      <c r="BN1185" s="2">
        <v>0</v>
      </c>
      <c r="BO1185" s="2">
        <v>1</v>
      </c>
      <c r="BP1185" s="2">
        <v>0</v>
      </c>
      <c r="BQ1185" s="2">
        <v>9</v>
      </c>
      <c r="BR1185" s="2">
        <v>3</v>
      </c>
      <c r="BS1185" s="2">
        <v>0</v>
      </c>
      <c r="BT1185" s="2">
        <v>0</v>
      </c>
      <c r="BU1185" s="2">
        <v>0</v>
      </c>
      <c r="BV1185" s="2">
        <f t="shared" si="77"/>
        <v>19</v>
      </c>
      <c r="BW1185" s="16">
        <f t="shared" si="75"/>
        <v>1</v>
      </c>
      <c r="BX1185" s="16">
        <f>COUNTIF($BC$6:BU1185, "=0") / COUNTIF($BC$6:BU1185, "&gt;-1")</f>
        <v>0.31592328278322929</v>
      </c>
      <c r="BY1185" s="18">
        <f>SUM($BC$6:BU1185) / $BY$4</f>
        <v>0.95880673160854124</v>
      </c>
      <c r="BZ1185" s="14">
        <f t="shared" si="76"/>
        <v>14</v>
      </c>
      <c r="CA1185" t="s">
        <v>5832</v>
      </c>
      <c r="CZ1185" t="s">
        <v>9260</v>
      </c>
      <c r="DA1185" t="s">
        <v>5904</v>
      </c>
      <c r="DB1185">
        <v>912.9</v>
      </c>
      <c r="DC1185" t="s">
        <v>24045</v>
      </c>
      <c r="DD1185" t="s">
        <v>24046</v>
      </c>
      <c r="DE1185" t="s">
        <v>24047</v>
      </c>
      <c r="DF1185" t="s">
        <v>24048</v>
      </c>
      <c r="DG1185" t="s">
        <v>13772</v>
      </c>
      <c r="DH1185" t="str">
        <f>"NACA"</f>
        <v>NACA</v>
      </c>
      <c r="DI1185" t="s">
        <v>13772</v>
      </c>
      <c r="DJ1185" t="s">
        <v>13777</v>
      </c>
      <c r="DK1185">
        <v>9606</v>
      </c>
      <c r="DL1185" s="34" t="str">
        <f>HYPERLINK("http://www.uniprot.org/uniprot/E9PAV3", "E9PAV3")</f>
        <v>E9PAV3</v>
      </c>
      <c r="DM1185" t="s">
        <v>24049</v>
      </c>
      <c r="DN1185" t="s">
        <v>14445</v>
      </c>
      <c r="DO1185" t="s">
        <v>13912</v>
      </c>
      <c r="DP1185" t="s">
        <v>13780</v>
      </c>
      <c r="DQ1185" t="s">
        <v>13772</v>
      </c>
      <c r="DR1185" t="s">
        <v>13772</v>
      </c>
      <c r="DS1185" t="s">
        <v>14096</v>
      </c>
      <c r="DT1185" t="s">
        <v>13772</v>
      </c>
      <c r="DU1185" t="s">
        <v>21227</v>
      </c>
      <c r="DV1185" t="s">
        <v>13991</v>
      </c>
      <c r="DW1185" t="s">
        <v>13772</v>
      </c>
      <c r="DX1185" t="s">
        <v>13772</v>
      </c>
      <c r="DY1185" t="s">
        <v>24050</v>
      </c>
      <c r="DZ1185" t="s">
        <v>24051</v>
      </c>
      <c r="EA1185" t="s">
        <v>13772</v>
      </c>
      <c r="EB1185" t="s">
        <v>13772</v>
      </c>
    </row>
    <row r="1186" spans="1:132" hidden="1">
      <c r="A1186">
        <v>1069</v>
      </c>
      <c r="B1186">
        <v>1</v>
      </c>
      <c r="C1186" t="s">
        <v>2569</v>
      </c>
      <c r="D1186" t="s">
        <v>2570</v>
      </c>
      <c r="E1186" t="s">
        <v>73</v>
      </c>
      <c r="F1186" t="s">
        <v>73</v>
      </c>
      <c r="G1186" t="s">
        <v>73</v>
      </c>
      <c r="H1186">
        <v>31.4</v>
      </c>
      <c r="I1186">
        <v>226</v>
      </c>
      <c r="J1186">
        <v>26156</v>
      </c>
      <c r="K1186" t="s">
        <v>2571</v>
      </c>
      <c r="L1186">
        <f t="shared" si="74"/>
        <v>19</v>
      </c>
      <c r="N1186">
        <v>19</v>
      </c>
      <c r="O1186">
        <v>19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3</v>
      </c>
      <c r="V1186">
        <v>4</v>
      </c>
      <c r="W1186">
        <v>2</v>
      </c>
      <c r="X1186">
        <v>3</v>
      </c>
      <c r="Y1186">
        <v>2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2</v>
      </c>
      <c r="AK1186">
        <v>0</v>
      </c>
      <c r="AL1186">
        <v>0</v>
      </c>
      <c r="AM1186">
        <v>0</v>
      </c>
      <c r="AN1186">
        <v>3</v>
      </c>
      <c r="AO1186">
        <v>4</v>
      </c>
      <c r="AP1186">
        <v>2</v>
      </c>
      <c r="AQ1186">
        <v>3</v>
      </c>
      <c r="AR1186">
        <v>2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 s="2">
        <v>2</v>
      </c>
      <c r="BD1186" s="2">
        <v>0</v>
      </c>
      <c r="BE1186" s="2">
        <v>0</v>
      </c>
      <c r="BF1186" s="2">
        <v>0</v>
      </c>
      <c r="BG1186" s="2">
        <v>3</v>
      </c>
      <c r="BH1186" s="2">
        <v>4</v>
      </c>
      <c r="BI1186" s="2">
        <v>2</v>
      </c>
      <c r="BJ1186" s="2">
        <v>3</v>
      </c>
      <c r="BK1186" s="2">
        <v>2</v>
      </c>
      <c r="BL1186" s="2">
        <v>0</v>
      </c>
      <c r="BM1186" s="2">
        <v>1</v>
      </c>
      <c r="BN1186" s="2">
        <v>1</v>
      </c>
      <c r="BO1186" s="2">
        <v>0</v>
      </c>
      <c r="BP1186" s="2">
        <v>0</v>
      </c>
      <c r="BQ1186" s="2">
        <v>1</v>
      </c>
      <c r="BR1186" s="2">
        <v>0</v>
      </c>
      <c r="BS1186" s="2">
        <v>0</v>
      </c>
      <c r="BT1186" s="2">
        <v>0</v>
      </c>
      <c r="BU1186" s="2">
        <v>0</v>
      </c>
      <c r="BV1186" s="2">
        <f t="shared" si="77"/>
        <v>19</v>
      </c>
      <c r="BW1186" s="16">
        <f t="shared" si="75"/>
        <v>1</v>
      </c>
      <c r="BX1186" s="16">
        <f>COUNTIF($BC$6:BU1186, "=0") / COUNTIF($BC$6:BU1186, "&gt;-1")</f>
        <v>0.3161014305450332</v>
      </c>
      <c r="BY1186" s="18">
        <f>SUM($BC$6:BU1186) / $BY$4</f>
        <v>0.9588881207090465</v>
      </c>
      <c r="BZ1186" s="14">
        <f t="shared" si="76"/>
        <v>10</v>
      </c>
      <c r="CA1186" t="s">
        <v>5832</v>
      </c>
      <c r="CZ1186" t="s">
        <v>9290</v>
      </c>
      <c r="DA1186" t="s">
        <v>5904</v>
      </c>
      <c r="DB1186">
        <v>448</v>
      </c>
      <c r="DC1186" t="s">
        <v>24117</v>
      </c>
      <c r="DD1186" t="s">
        <v>24118</v>
      </c>
      <c r="DE1186" t="s">
        <v>24119</v>
      </c>
      <c r="DF1186" t="s">
        <v>24120</v>
      </c>
      <c r="DG1186" t="s">
        <v>24121</v>
      </c>
      <c r="DH1186" t="str">
        <f>"ATP6V1E1"</f>
        <v>ATP6V1E1</v>
      </c>
      <c r="DI1186" t="s">
        <v>24122</v>
      </c>
      <c r="DJ1186" t="s">
        <v>13777</v>
      </c>
      <c r="DK1186">
        <v>9606</v>
      </c>
      <c r="DL1186" s="34" t="str">
        <f>HYPERLINK("http://www.uniprot.org/uniprot/P36543", "P36543")</f>
        <v>P36543</v>
      </c>
      <c r="DM1186" t="s">
        <v>24123</v>
      </c>
      <c r="DN1186" t="s">
        <v>14032</v>
      </c>
      <c r="DO1186" t="s">
        <v>13772</v>
      </c>
      <c r="DP1186" t="s">
        <v>13780</v>
      </c>
      <c r="DQ1186" t="s">
        <v>13772</v>
      </c>
      <c r="DR1186" t="s">
        <v>13807</v>
      </c>
      <c r="DS1186" t="s">
        <v>13772</v>
      </c>
      <c r="DT1186" t="s">
        <v>13772</v>
      </c>
      <c r="DU1186" t="s">
        <v>13857</v>
      </c>
      <c r="DV1186" t="s">
        <v>13886</v>
      </c>
      <c r="DW1186" t="s">
        <v>13772</v>
      </c>
      <c r="DX1186" t="s">
        <v>24124</v>
      </c>
      <c r="DY1186" t="s">
        <v>24125</v>
      </c>
      <c r="DZ1186" t="s">
        <v>14036</v>
      </c>
      <c r="EA1186" t="s">
        <v>13772</v>
      </c>
      <c r="EB1186" t="s">
        <v>17137</v>
      </c>
    </row>
    <row r="1187" spans="1:132" hidden="1">
      <c r="A1187">
        <v>1080</v>
      </c>
      <c r="B1187">
        <v>1</v>
      </c>
      <c r="C1187" t="s">
        <v>2597</v>
      </c>
      <c r="D1187" t="s">
        <v>2598</v>
      </c>
      <c r="E1187" t="s">
        <v>73</v>
      </c>
      <c r="F1187" t="s">
        <v>73</v>
      </c>
      <c r="G1187" t="s">
        <v>73</v>
      </c>
      <c r="H1187">
        <v>21.2</v>
      </c>
      <c r="I1187">
        <v>170</v>
      </c>
      <c r="J1187">
        <v>19296</v>
      </c>
      <c r="K1187" t="s">
        <v>2599</v>
      </c>
      <c r="L1187">
        <f t="shared" si="74"/>
        <v>19</v>
      </c>
      <c r="N1187">
        <v>19</v>
      </c>
      <c r="O1187">
        <v>19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</v>
      </c>
      <c r="AB1187">
        <v>2</v>
      </c>
      <c r="AC1187">
        <v>2</v>
      </c>
      <c r="AD1187">
        <v>0</v>
      </c>
      <c r="AE1187">
        <v>0</v>
      </c>
      <c r="AF1187">
        <v>3</v>
      </c>
      <c r="AG1187">
        <v>1</v>
      </c>
      <c r="AH1187">
        <v>0</v>
      </c>
      <c r="AI1187">
        <v>2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8</v>
      </c>
      <c r="AU1187">
        <v>2</v>
      </c>
      <c r="AV1187">
        <v>2</v>
      </c>
      <c r="AW1187">
        <v>0</v>
      </c>
      <c r="AX1187">
        <v>0</v>
      </c>
      <c r="AY1187">
        <v>3</v>
      </c>
      <c r="AZ1187">
        <v>1</v>
      </c>
      <c r="BA1187">
        <v>0</v>
      </c>
      <c r="BB1187">
        <v>2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8</v>
      </c>
      <c r="BN1187" s="2">
        <v>2</v>
      </c>
      <c r="BO1187" s="2">
        <v>2</v>
      </c>
      <c r="BP1187" s="2">
        <v>0</v>
      </c>
      <c r="BQ1187" s="2">
        <v>0</v>
      </c>
      <c r="BR1187" s="2">
        <v>3</v>
      </c>
      <c r="BS1187" s="2">
        <v>1</v>
      </c>
      <c r="BT1187" s="2">
        <v>0</v>
      </c>
      <c r="BU1187" s="2">
        <v>2</v>
      </c>
      <c r="BV1187" s="2">
        <f t="shared" si="77"/>
        <v>19</v>
      </c>
      <c r="BW1187" s="16">
        <f t="shared" si="75"/>
        <v>1</v>
      </c>
      <c r="BX1187" s="16">
        <f>COUNTIF($BC$6:BU1187, "=0") / COUNTIF($BC$6:BU1187, "&gt;-1")</f>
        <v>0.31636833199750647</v>
      </c>
      <c r="BY1187" s="18">
        <f>SUM($BC$6:BU1187) / $BY$4</f>
        <v>0.95896950980955187</v>
      </c>
      <c r="BZ1187" s="14">
        <f t="shared" si="76"/>
        <v>12</v>
      </c>
      <c r="CA1187" t="s">
        <v>5832</v>
      </c>
      <c r="CZ1187" t="s">
        <v>9331</v>
      </c>
      <c r="DA1187" t="s">
        <v>5904</v>
      </c>
      <c r="DB1187">
        <v>298.89999999999998</v>
      </c>
      <c r="DC1187" t="s">
        <v>24231</v>
      </c>
      <c r="DD1187" t="s">
        <v>24232</v>
      </c>
      <c r="DE1187" t="s">
        <v>24233</v>
      </c>
      <c r="DF1187" t="s">
        <v>24234</v>
      </c>
      <c r="DG1187" t="s">
        <v>24235</v>
      </c>
      <c r="DH1187" t="str">
        <f>"MFAP5"</f>
        <v>MFAP5</v>
      </c>
      <c r="DI1187" t="s">
        <v>24236</v>
      </c>
      <c r="DJ1187" t="s">
        <v>13777</v>
      </c>
      <c r="DK1187">
        <v>9606</v>
      </c>
      <c r="DL1187" s="34" t="str">
        <f>HYPERLINK("http://www.uniprot.org/uniprot/Q13361", "Q13361")</f>
        <v>Q13361</v>
      </c>
      <c r="DM1187" t="s">
        <v>24237</v>
      </c>
      <c r="DN1187" t="s">
        <v>13772</v>
      </c>
      <c r="DO1187" t="s">
        <v>13869</v>
      </c>
      <c r="DP1187" t="s">
        <v>13780</v>
      </c>
      <c r="DQ1187" t="s">
        <v>13772</v>
      </c>
      <c r="DR1187" t="s">
        <v>21023</v>
      </c>
      <c r="DS1187" t="s">
        <v>13808</v>
      </c>
      <c r="DT1187" t="s">
        <v>13772</v>
      </c>
      <c r="DU1187" t="s">
        <v>13772</v>
      </c>
      <c r="DV1187" t="s">
        <v>13796</v>
      </c>
      <c r="DW1187" t="s">
        <v>13772</v>
      </c>
      <c r="DX1187" t="s">
        <v>24238</v>
      </c>
      <c r="DY1187" t="s">
        <v>24239</v>
      </c>
      <c r="DZ1187" t="s">
        <v>19629</v>
      </c>
      <c r="EA1187" t="s">
        <v>13772</v>
      </c>
      <c r="EB1187" t="s">
        <v>15272</v>
      </c>
    </row>
    <row r="1188" spans="1:132" hidden="1">
      <c r="A1188">
        <v>1123</v>
      </c>
      <c r="B1188">
        <v>1</v>
      </c>
      <c r="C1188" t="s">
        <v>2701</v>
      </c>
      <c r="D1188" t="s">
        <v>2702</v>
      </c>
      <c r="E1188" t="s">
        <v>73</v>
      </c>
      <c r="F1188" t="s">
        <v>73</v>
      </c>
      <c r="G1188" t="s">
        <v>73</v>
      </c>
      <c r="H1188">
        <v>15.7</v>
      </c>
      <c r="I1188">
        <v>466</v>
      </c>
      <c r="J1188">
        <v>51846</v>
      </c>
      <c r="K1188" t="s">
        <v>2703</v>
      </c>
      <c r="L1188">
        <f t="shared" si="74"/>
        <v>19</v>
      </c>
      <c r="N1188">
        <v>19</v>
      </c>
      <c r="O1188">
        <v>19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2</v>
      </c>
      <c r="Y1188">
        <v>0</v>
      </c>
      <c r="Z1188">
        <v>0</v>
      </c>
      <c r="AA1188">
        <v>4</v>
      </c>
      <c r="AB1188">
        <v>5</v>
      </c>
      <c r="AC1188">
        <v>3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2</v>
      </c>
      <c r="AR1188">
        <v>0</v>
      </c>
      <c r="AS1188">
        <v>0</v>
      </c>
      <c r="AT1188">
        <v>4</v>
      </c>
      <c r="AU1188">
        <v>5</v>
      </c>
      <c r="AV1188">
        <v>3</v>
      </c>
      <c r="AW1188">
        <v>0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2</v>
      </c>
      <c r="BK1188" s="2">
        <v>0</v>
      </c>
      <c r="BL1188" s="2">
        <v>0</v>
      </c>
      <c r="BM1188" s="2">
        <v>4</v>
      </c>
      <c r="BN1188" s="2">
        <v>5</v>
      </c>
      <c r="BO1188" s="2">
        <v>3</v>
      </c>
      <c r="BP1188" s="2">
        <v>0</v>
      </c>
      <c r="BQ1188" s="2">
        <v>1</v>
      </c>
      <c r="BR1188" s="2">
        <v>1</v>
      </c>
      <c r="BS1188" s="2">
        <v>1</v>
      </c>
      <c r="BT1188" s="2">
        <v>0</v>
      </c>
      <c r="BU1188" s="2">
        <v>0</v>
      </c>
      <c r="BV1188" s="2">
        <f t="shared" si="77"/>
        <v>19</v>
      </c>
      <c r="BW1188" s="16">
        <f t="shared" si="75"/>
        <v>1</v>
      </c>
      <c r="BX1188" s="16">
        <f>COUNTIF($BC$6:BU1188, "=0") / COUNTIF($BC$6:BU1188, "&gt;-1")</f>
        <v>0.31654580237576191</v>
      </c>
      <c r="BY1188" s="18">
        <f>SUM($BC$6:BU1188) / $BY$4</f>
        <v>0.95905089891005713</v>
      </c>
      <c r="BZ1188" s="14">
        <f t="shared" si="76"/>
        <v>10</v>
      </c>
      <c r="CA1188" t="s">
        <v>5832</v>
      </c>
      <c r="CZ1188" t="s">
        <v>9477</v>
      </c>
      <c r="DA1188" t="s">
        <v>5904</v>
      </c>
      <c r="DB1188">
        <v>919.1</v>
      </c>
      <c r="DC1188" t="s">
        <v>24655</v>
      </c>
      <c r="DD1188" t="s">
        <v>24656</v>
      </c>
      <c r="DE1188" t="s">
        <v>24657</v>
      </c>
      <c r="DF1188" t="s">
        <v>24658</v>
      </c>
      <c r="DG1188" t="s">
        <v>24659</v>
      </c>
      <c r="DH1188" t="str">
        <f>"CS"</f>
        <v>CS</v>
      </c>
      <c r="DI1188" t="s">
        <v>13772</v>
      </c>
      <c r="DJ1188" t="s">
        <v>13777</v>
      </c>
      <c r="DK1188">
        <v>9606</v>
      </c>
      <c r="DL1188" s="34" t="str">
        <f>HYPERLINK("http://www.uniprot.org/uniprot/O75390", "O75390")</f>
        <v>O75390</v>
      </c>
      <c r="DM1188" t="s">
        <v>24660</v>
      </c>
      <c r="DN1188" t="s">
        <v>15224</v>
      </c>
      <c r="DO1188" t="s">
        <v>14491</v>
      </c>
      <c r="DP1188" t="s">
        <v>13772</v>
      </c>
      <c r="DQ1188" t="s">
        <v>13772</v>
      </c>
      <c r="DR1188" t="s">
        <v>13772</v>
      </c>
      <c r="DS1188" t="s">
        <v>14391</v>
      </c>
      <c r="DT1188" t="s">
        <v>13772</v>
      </c>
      <c r="DU1188" t="s">
        <v>14111</v>
      </c>
      <c r="DV1188" t="s">
        <v>14577</v>
      </c>
      <c r="DW1188" t="s">
        <v>13812</v>
      </c>
      <c r="DX1188" t="s">
        <v>24661</v>
      </c>
      <c r="DY1188" t="s">
        <v>24662</v>
      </c>
      <c r="DZ1188" t="s">
        <v>24663</v>
      </c>
      <c r="EA1188" t="s">
        <v>24664</v>
      </c>
      <c r="EB1188" t="s">
        <v>24665</v>
      </c>
    </row>
    <row r="1189" spans="1:132" hidden="1">
      <c r="A1189">
        <v>1164</v>
      </c>
      <c r="B1189">
        <v>1</v>
      </c>
      <c r="C1189" t="s">
        <v>2796</v>
      </c>
      <c r="D1189" t="s">
        <v>73</v>
      </c>
      <c r="E1189" t="s">
        <v>73</v>
      </c>
      <c r="F1189" t="s">
        <v>73</v>
      </c>
      <c r="G1189" t="s">
        <v>73</v>
      </c>
      <c r="H1189">
        <v>14.3</v>
      </c>
      <c r="I1189">
        <v>238</v>
      </c>
      <c r="J1189">
        <v>25805</v>
      </c>
      <c r="K1189" t="s">
        <v>2797</v>
      </c>
      <c r="L1189">
        <f t="shared" si="74"/>
        <v>19</v>
      </c>
      <c r="N1189">
        <v>19</v>
      </c>
      <c r="O1189">
        <v>19</v>
      </c>
      <c r="P1189">
        <v>1</v>
      </c>
      <c r="Q1189">
        <v>1</v>
      </c>
      <c r="R1189">
        <v>1</v>
      </c>
      <c r="S1189">
        <v>2</v>
      </c>
      <c r="T1189">
        <v>3</v>
      </c>
      <c r="U1189">
        <v>3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2</v>
      </c>
      <c r="AM1189">
        <v>3</v>
      </c>
      <c r="AN1189">
        <v>3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 s="2">
        <v>1</v>
      </c>
      <c r="BD1189" s="2">
        <v>1</v>
      </c>
      <c r="BE1189" s="2">
        <v>2</v>
      </c>
      <c r="BF1189" s="2">
        <v>3</v>
      </c>
      <c r="BG1189" s="2">
        <v>3</v>
      </c>
      <c r="BH1189" s="2">
        <v>1</v>
      </c>
      <c r="BI1189" s="2">
        <v>1</v>
      </c>
      <c r="BJ1189" s="2">
        <v>1</v>
      </c>
      <c r="BK1189" s="2">
        <v>1</v>
      </c>
      <c r="BL1189" s="2">
        <v>0</v>
      </c>
      <c r="BM1189" s="2">
        <v>1</v>
      </c>
      <c r="BN1189" s="2">
        <v>1</v>
      </c>
      <c r="BO1189" s="2">
        <v>0</v>
      </c>
      <c r="BP1189" s="2">
        <v>0</v>
      </c>
      <c r="BQ1189" s="2">
        <v>0</v>
      </c>
      <c r="BR1189" s="2">
        <v>1</v>
      </c>
      <c r="BS1189" s="2">
        <v>1</v>
      </c>
      <c r="BT1189" s="2">
        <v>0</v>
      </c>
      <c r="BU1189" s="2">
        <v>1</v>
      </c>
      <c r="BV1189" s="2">
        <f t="shared" si="77"/>
        <v>19</v>
      </c>
      <c r="BW1189" s="16">
        <f t="shared" si="75"/>
        <v>1</v>
      </c>
      <c r="BX1189" s="16">
        <f>COUNTIF($BC$6:BU1189, "=0") / COUNTIF($BC$6:BU1189, "&gt;-1")</f>
        <v>0.31650071123755336</v>
      </c>
      <c r="BY1189" s="18">
        <f>SUM($BC$6:BU1189) / $BY$4</f>
        <v>0.95913228801056249</v>
      </c>
      <c r="BZ1189" s="14">
        <f t="shared" si="76"/>
        <v>5</v>
      </c>
      <c r="CA1189" t="s">
        <v>5832</v>
      </c>
      <c r="CZ1189" t="s">
        <v>9600</v>
      </c>
      <c r="DA1189" t="s">
        <v>5904</v>
      </c>
      <c r="DB1189">
        <v>302.39999999999998</v>
      </c>
      <c r="DC1189" t="s">
        <v>25003</v>
      </c>
      <c r="DD1189" t="s">
        <v>25004</v>
      </c>
      <c r="DE1189" t="s">
        <v>25005</v>
      </c>
      <c r="DF1189" t="s">
        <v>25006</v>
      </c>
      <c r="DG1189" t="s">
        <v>25007</v>
      </c>
      <c r="DH1189" t="str">
        <f>"TSPAN8"</f>
        <v>TSPAN8</v>
      </c>
      <c r="DI1189" t="s">
        <v>25008</v>
      </c>
      <c r="DJ1189" t="s">
        <v>13777</v>
      </c>
      <c r="DK1189">
        <v>9606</v>
      </c>
      <c r="DL1189" s="34" t="str">
        <f>HYPERLINK("http://www.uniprot.org/uniprot/P19075", "P19075")</f>
        <v>P19075</v>
      </c>
      <c r="DM1189" t="s">
        <v>22174</v>
      </c>
      <c r="DN1189" t="s">
        <v>13772</v>
      </c>
      <c r="DO1189" t="s">
        <v>13825</v>
      </c>
      <c r="DP1189" t="s">
        <v>13793</v>
      </c>
      <c r="DQ1189" t="s">
        <v>13772</v>
      </c>
      <c r="DR1189" t="s">
        <v>13772</v>
      </c>
      <c r="DS1189" t="s">
        <v>13925</v>
      </c>
      <c r="DT1189" t="s">
        <v>13772</v>
      </c>
      <c r="DU1189" t="s">
        <v>13772</v>
      </c>
      <c r="DV1189" t="s">
        <v>13858</v>
      </c>
      <c r="DW1189" t="s">
        <v>13772</v>
      </c>
      <c r="DX1189" t="s">
        <v>25009</v>
      </c>
      <c r="DY1189" t="s">
        <v>25010</v>
      </c>
      <c r="DZ1189" t="s">
        <v>13954</v>
      </c>
      <c r="EA1189" t="s">
        <v>13772</v>
      </c>
      <c r="EB1189" t="s">
        <v>13772</v>
      </c>
    </row>
    <row r="1190" spans="1:132" hidden="1">
      <c r="A1190">
        <v>1197</v>
      </c>
      <c r="B1190">
        <v>1</v>
      </c>
      <c r="C1190" t="s">
        <v>2871</v>
      </c>
      <c r="D1190" t="s">
        <v>73</v>
      </c>
      <c r="E1190" t="s">
        <v>73</v>
      </c>
      <c r="F1190" t="s">
        <v>73</v>
      </c>
      <c r="G1190" t="s">
        <v>73</v>
      </c>
      <c r="H1190">
        <v>14.2</v>
      </c>
      <c r="I1190">
        <v>699</v>
      </c>
      <c r="J1190">
        <v>75100</v>
      </c>
      <c r="K1190" t="s">
        <v>2872</v>
      </c>
      <c r="L1190">
        <f t="shared" si="74"/>
        <v>19</v>
      </c>
      <c r="N1190">
        <v>19</v>
      </c>
      <c r="O1190">
        <v>19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2</v>
      </c>
      <c r="W1190">
        <v>2</v>
      </c>
      <c r="X1190">
        <v>2</v>
      </c>
      <c r="Y1190">
        <v>3</v>
      </c>
      <c r="Z1190">
        <v>0</v>
      </c>
      <c r="AA1190">
        <v>2</v>
      </c>
      <c r="AB1190">
        <v>3</v>
      </c>
      <c r="AC1190">
        <v>1</v>
      </c>
      <c r="AD1190">
        <v>0</v>
      </c>
      <c r="AE1190">
        <v>1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2</v>
      </c>
      <c r="AP1190">
        <v>2</v>
      </c>
      <c r="AQ1190">
        <v>2</v>
      </c>
      <c r="AR1190">
        <v>3</v>
      </c>
      <c r="AS1190">
        <v>0</v>
      </c>
      <c r="AT1190">
        <v>2</v>
      </c>
      <c r="AU1190">
        <v>3</v>
      </c>
      <c r="AV1190">
        <v>1</v>
      </c>
      <c r="AW1190">
        <v>0</v>
      </c>
      <c r="AX1190">
        <v>1</v>
      </c>
      <c r="AY1190">
        <v>2</v>
      </c>
      <c r="AZ1190">
        <v>0</v>
      </c>
      <c r="BA1190">
        <v>0</v>
      </c>
      <c r="BB1190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2</v>
      </c>
      <c r="BI1190" s="2">
        <v>2</v>
      </c>
      <c r="BJ1190" s="2">
        <v>2</v>
      </c>
      <c r="BK1190" s="2">
        <v>3</v>
      </c>
      <c r="BL1190" s="2">
        <v>0</v>
      </c>
      <c r="BM1190" s="2">
        <v>2</v>
      </c>
      <c r="BN1190" s="2">
        <v>3</v>
      </c>
      <c r="BO1190" s="2">
        <v>1</v>
      </c>
      <c r="BP1190" s="2">
        <v>0</v>
      </c>
      <c r="BQ1190" s="2">
        <v>1</v>
      </c>
      <c r="BR1190" s="2">
        <v>2</v>
      </c>
      <c r="BS1190" s="2">
        <v>0</v>
      </c>
      <c r="BT1190" s="2">
        <v>0</v>
      </c>
      <c r="BU1190" s="2">
        <v>0</v>
      </c>
      <c r="BV1190" s="2">
        <f t="shared" si="77"/>
        <v>19</v>
      </c>
      <c r="BW1190" s="16">
        <f t="shared" si="75"/>
        <v>1</v>
      </c>
      <c r="BX1190" s="16">
        <f>COUNTIF($BC$6:BU1190, "=0") / COUNTIF($BC$6:BU1190, "&gt;-1")</f>
        <v>0.31663335554075062</v>
      </c>
      <c r="BY1190" s="18">
        <f>SUM($BC$6:BU1190) / $BY$4</f>
        <v>0.95921367711106775</v>
      </c>
      <c r="BZ1190" s="14">
        <f t="shared" si="76"/>
        <v>9</v>
      </c>
      <c r="CA1190" t="s">
        <v>5832</v>
      </c>
      <c r="CZ1190" t="s">
        <v>9713</v>
      </c>
      <c r="DA1190" t="s">
        <v>5904</v>
      </c>
      <c r="DB1190">
        <v>1001.1</v>
      </c>
      <c r="DC1190" t="s">
        <v>25326</v>
      </c>
      <c r="DD1190" t="s">
        <v>13772</v>
      </c>
      <c r="DE1190" t="s">
        <v>25327</v>
      </c>
      <c r="DF1190" t="s">
        <v>25328</v>
      </c>
      <c r="DG1190" t="s">
        <v>25329</v>
      </c>
      <c r="DH1190" t="str">
        <f>"SH3BP1"</f>
        <v>SH3BP1</v>
      </c>
      <c r="DI1190" t="s">
        <v>13772</v>
      </c>
      <c r="DJ1190" t="s">
        <v>13777</v>
      </c>
      <c r="DK1190">
        <v>9606</v>
      </c>
      <c r="DL1190" s="34" t="str">
        <f>HYPERLINK("http://www.uniprot.org/uniprot/Q9Y3L3", "Q9Y3L3")</f>
        <v>Q9Y3L3</v>
      </c>
      <c r="DM1190" t="s">
        <v>25330</v>
      </c>
      <c r="DN1190" t="s">
        <v>25331</v>
      </c>
      <c r="DO1190" t="s">
        <v>25332</v>
      </c>
      <c r="DP1190" t="s">
        <v>19227</v>
      </c>
      <c r="DQ1190" t="s">
        <v>13772</v>
      </c>
      <c r="DR1190" t="s">
        <v>13772</v>
      </c>
      <c r="DS1190" t="s">
        <v>14871</v>
      </c>
      <c r="DT1190" t="s">
        <v>13772</v>
      </c>
      <c r="DU1190" t="s">
        <v>14301</v>
      </c>
      <c r="DV1190" t="s">
        <v>13782</v>
      </c>
      <c r="DW1190" t="s">
        <v>13812</v>
      </c>
      <c r="DX1190" t="s">
        <v>25333</v>
      </c>
      <c r="DY1190" t="s">
        <v>25334</v>
      </c>
      <c r="DZ1190" t="s">
        <v>25335</v>
      </c>
      <c r="EA1190" t="s">
        <v>13772</v>
      </c>
      <c r="EB1190" t="s">
        <v>13772</v>
      </c>
    </row>
    <row r="1191" spans="1:132" hidden="1">
      <c r="A1191">
        <v>1329</v>
      </c>
      <c r="B1191">
        <v>1</v>
      </c>
      <c r="C1191" t="s">
        <v>3187</v>
      </c>
      <c r="D1191" t="s">
        <v>73</v>
      </c>
      <c r="E1191" t="s">
        <v>73</v>
      </c>
      <c r="F1191" t="s">
        <v>73</v>
      </c>
      <c r="G1191" t="s">
        <v>73</v>
      </c>
      <c r="H1191">
        <v>26</v>
      </c>
      <c r="I1191">
        <v>615</v>
      </c>
      <c r="J1191">
        <v>68454</v>
      </c>
      <c r="K1191" t="s">
        <v>3188</v>
      </c>
      <c r="L1191">
        <f t="shared" si="74"/>
        <v>19</v>
      </c>
      <c r="N1191">
        <v>19</v>
      </c>
      <c r="O1191">
        <v>19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</v>
      </c>
      <c r="Z1191">
        <v>0</v>
      </c>
      <c r="AA1191">
        <v>10</v>
      </c>
      <c r="AB1191">
        <v>3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10</v>
      </c>
      <c r="AU1191">
        <v>3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5</v>
      </c>
      <c r="BL1191" s="2">
        <v>0</v>
      </c>
      <c r="BM1191" s="2">
        <v>10</v>
      </c>
      <c r="BN1191" s="2">
        <v>3</v>
      </c>
      <c r="BO1191" s="2">
        <v>1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f t="shared" si="77"/>
        <v>19</v>
      </c>
      <c r="BW1191" s="16">
        <f t="shared" si="75"/>
        <v>1</v>
      </c>
      <c r="BX1191" s="16">
        <f>COUNTIF($BC$6:BU1191, "=0") / COUNTIF($BC$6:BU1191, "&gt;-1")</f>
        <v>0.31703204047217537</v>
      </c>
      <c r="BY1191" s="18">
        <f>SUM($BC$6:BU1191) / $BY$4</f>
        <v>0.95929506621157301</v>
      </c>
      <c r="BZ1191" s="14">
        <f t="shared" si="76"/>
        <v>15</v>
      </c>
      <c r="CA1191" t="s">
        <v>5832</v>
      </c>
      <c r="CZ1191" t="s">
        <v>10175</v>
      </c>
      <c r="DA1191" t="s">
        <v>5904</v>
      </c>
      <c r="DB1191">
        <v>1186.8</v>
      </c>
      <c r="DC1191" t="s">
        <v>26637</v>
      </c>
      <c r="DD1191" t="s">
        <v>26638</v>
      </c>
      <c r="DE1191" t="s">
        <v>26639</v>
      </c>
      <c r="DF1191" t="s">
        <v>26640</v>
      </c>
      <c r="DG1191" t="s">
        <v>26641</v>
      </c>
      <c r="DH1191" t="str">
        <f>"PGM2"</f>
        <v>PGM2</v>
      </c>
      <c r="DI1191" t="s">
        <v>13772</v>
      </c>
      <c r="DJ1191" t="s">
        <v>13777</v>
      </c>
      <c r="DK1191">
        <v>9606</v>
      </c>
      <c r="DL1191" s="34" t="str">
        <f>HYPERLINK("http://www.uniprot.org/uniprot/Q96G03", "Q96G03")</f>
        <v>Q96G03</v>
      </c>
      <c r="DM1191" t="s">
        <v>26642</v>
      </c>
      <c r="DN1191" t="s">
        <v>26643</v>
      </c>
      <c r="DO1191" t="s">
        <v>13899</v>
      </c>
      <c r="DP1191" t="s">
        <v>13780</v>
      </c>
      <c r="DQ1191" t="s">
        <v>13772</v>
      </c>
      <c r="DR1191" t="s">
        <v>13772</v>
      </c>
      <c r="DS1191" t="s">
        <v>13772</v>
      </c>
      <c r="DT1191" t="s">
        <v>14784</v>
      </c>
      <c r="DU1191" t="s">
        <v>14910</v>
      </c>
      <c r="DV1191" t="s">
        <v>13886</v>
      </c>
      <c r="DW1191" t="s">
        <v>13772</v>
      </c>
      <c r="DX1191" t="s">
        <v>26644</v>
      </c>
      <c r="DY1191" t="s">
        <v>26645</v>
      </c>
      <c r="DZ1191" t="s">
        <v>26646</v>
      </c>
      <c r="EA1191" t="s">
        <v>26647</v>
      </c>
      <c r="EB1191" t="s">
        <v>26648</v>
      </c>
    </row>
    <row r="1192" spans="1:132" hidden="1">
      <c r="A1192">
        <v>1500</v>
      </c>
      <c r="B1192">
        <v>1</v>
      </c>
      <c r="C1192" t="s">
        <v>3570</v>
      </c>
      <c r="D1192" t="s">
        <v>73</v>
      </c>
      <c r="E1192" t="s">
        <v>73</v>
      </c>
      <c r="F1192" t="s">
        <v>73</v>
      </c>
      <c r="G1192" t="s">
        <v>73</v>
      </c>
      <c r="H1192">
        <v>18.5</v>
      </c>
      <c r="I1192">
        <v>270</v>
      </c>
      <c r="J1192">
        <v>28895</v>
      </c>
      <c r="K1192" t="s">
        <v>3571</v>
      </c>
      <c r="L1192">
        <f t="shared" si="74"/>
        <v>19</v>
      </c>
      <c r="N1192">
        <v>19</v>
      </c>
      <c r="O1192">
        <v>19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1</v>
      </c>
      <c r="AB1192">
        <v>1</v>
      </c>
      <c r="AC1192">
        <v>0</v>
      </c>
      <c r="AD1192">
        <v>0</v>
      </c>
      <c r="AE1192">
        <v>5</v>
      </c>
      <c r="AF1192">
        <v>0</v>
      </c>
      <c r="AG1192">
        <v>9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2</v>
      </c>
      <c r="AT1192">
        <v>1</v>
      </c>
      <c r="AU1192">
        <v>1</v>
      </c>
      <c r="AV1192">
        <v>0</v>
      </c>
      <c r="AW1192">
        <v>0</v>
      </c>
      <c r="AX1192">
        <v>5</v>
      </c>
      <c r="AY1192">
        <v>0</v>
      </c>
      <c r="AZ1192">
        <v>9</v>
      </c>
      <c r="BA1192">
        <v>0</v>
      </c>
      <c r="BB119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2</v>
      </c>
      <c r="BM1192" s="2">
        <v>1</v>
      </c>
      <c r="BN1192" s="2">
        <v>1</v>
      </c>
      <c r="BO1192" s="2">
        <v>0</v>
      </c>
      <c r="BP1192" s="2">
        <v>0</v>
      </c>
      <c r="BQ1192" s="2">
        <v>5</v>
      </c>
      <c r="BR1192" s="2">
        <v>0</v>
      </c>
      <c r="BS1192" s="2">
        <v>9</v>
      </c>
      <c r="BT1192" s="2">
        <v>0</v>
      </c>
      <c r="BU1192" s="2">
        <v>1</v>
      </c>
      <c r="BV1192" s="2">
        <f t="shared" si="77"/>
        <v>19</v>
      </c>
      <c r="BW1192" s="16">
        <f t="shared" si="75"/>
        <v>1</v>
      </c>
      <c r="BX1192" s="16">
        <f>COUNTIF($BC$6:BU1192, "=0") / COUNTIF($BC$6:BU1192, "&gt;-1")</f>
        <v>0.31734137365317255</v>
      </c>
      <c r="BY1192" s="18">
        <f>SUM($BC$6:BU1192) / $BY$4</f>
        <v>0.95937645531207838</v>
      </c>
      <c r="BZ1192" s="14">
        <f t="shared" si="76"/>
        <v>13</v>
      </c>
      <c r="CA1192" t="s">
        <v>5832</v>
      </c>
      <c r="CZ1192" t="s">
        <v>10732</v>
      </c>
      <c r="DA1192" t="s">
        <v>5904</v>
      </c>
      <c r="DB1192">
        <v>453</v>
      </c>
      <c r="DC1192" t="s">
        <v>28203</v>
      </c>
      <c r="DD1192" t="s">
        <v>28204</v>
      </c>
      <c r="DE1192" t="s">
        <v>28205</v>
      </c>
      <c r="DF1192" t="s">
        <v>28206</v>
      </c>
      <c r="DG1192" t="s">
        <v>28207</v>
      </c>
      <c r="DH1192" t="str">
        <f>"CELA3B"</f>
        <v>CELA3B</v>
      </c>
      <c r="DI1192" t="s">
        <v>28208</v>
      </c>
      <c r="DJ1192" t="s">
        <v>13777</v>
      </c>
      <c r="DK1192">
        <v>9606</v>
      </c>
      <c r="DL1192" s="34" t="str">
        <f>HYPERLINK("http://www.uniprot.org/uniprot/P08861", "P08861")</f>
        <v>P08861</v>
      </c>
      <c r="DM1192" t="s">
        <v>28209</v>
      </c>
      <c r="DN1192" t="s">
        <v>13772</v>
      </c>
      <c r="DO1192" t="s">
        <v>13772</v>
      </c>
      <c r="DP1192" t="s">
        <v>13793</v>
      </c>
      <c r="DQ1192" t="s">
        <v>13772</v>
      </c>
      <c r="DR1192" t="s">
        <v>13772</v>
      </c>
      <c r="DS1192" t="s">
        <v>13808</v>
      </c>
      <c r="DT1192" t="s">
        <v>13772</v>
      </c>
      <c r="DU1192" t="s">
        <v>15176</v>
      </c>
      <c r="DV1192" t="s">
        <v>15472</v>
      </c>
      <c r="DW1192" t="s">
        <v>13772</v>
      </c>
      <c r="DX1192" t="s">
        <v>17126</v>
      </c>
      <c r="DY1192" t="s">
        <v>14508</v>
      </c>
      <c r="DZ1192" t="s">
        <v>27530</v>
      </c>
      <c r="EA1192" t="s">
        <v>13772</v>
      </c>
      <c r="EB1192" t="s">
        <v>13772</v>
      </c>
    </row>
    <row r="1193" spans="1:132" hidden="1">
      <c r="A1193">
        <v>1521</v>
      </c>
      <c r="B1193">
        <v>1</v>
      </c>
      <c r="C1193" t="s">
        <v>3621</v>
      </c>
      <c r="D1193" t="s">
        <v>73</v>
      </c>
      <c r="E1193" t="s">
        <v>73</v>
      </c>
      <c r="F1193" t="s">
        <v>73</v>
      </c>
      <c r="G1193" t="s">
        <v>73</v>
      </c>
      <c r="H1193">
        <v>18.899999999999999</v>
      </c>
      <c r="I1193">
        <v>838</v>
      </c>
      <c r="J1193">
        <v>94242</v>
      </c>
      <c r="K1193" t="s">
        <v>3622</v>
      </c>
      <c r="L1193">
        <f t="shared" si="74"/>
        <v>19</v>
      </c>
      <c r="N1193">
        <v>19</v>
      </c>
      <c r="O1193">
        <v>19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8</v>
      </c>
      <c r="Z1193">
        <v>0</v>
      </c>
      <c r="AA1193">
        <v>6</v>
      </c>
      <c r="AB1193">
        <v>3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8</v>
      </c>
      <c r="AS1193">
        <v>0</v>
      </c>
      <c r="AT1193">
        <v>6</v>
      </c>
      <c r="AU1193">
        <v>3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8</v>
      </c>
      <c r="BL1193" s="2">
        <v>0</v>
      </c>
      <c r="BM1193" s="2">
        <v>6</v>
      </c>
      <c r="BN1193" s="2">
        <v>3</v>
      </c>
      <c r="BO1193" s="2">
        <v>0</v>
      </c>
      <c r="BP1193" s="2">
        <v>0</v>
      </c>
      <c r="BQ1193" s="2">
        <v>1</v>
      </c>
      <c r="BR1193" s="2">
        <v>1</v>
      </c>
      <c r="BS1193" s="2">
        <v>0</v>
      </c>
      <c r="BT1193" s="2">
        <v>0</v>
      </c>
      <c r="BU1193" s="2">
        <v>0</v>
      </c>
      <c r="BV1193" s="2">
        <f t="shared" si="77"/>
        <v>19</v>
      </c>
      <c r="BW1193" s="16">
        <f t="shared" si="75"/>
        <v>1</v>
      </c>
      <c r="BX1193" s="16">
        <f>COUNTIF($BC$6:BU1193, "=0") / COUNTIF($BC$6:BU1193, "&gt;-1")</f>
        <v>0.31769448874712031</v>
      </c>
      <c r="BY1193" s="18">
        <f>SUM($BC$6:BU1193) / $BY$4</f>
        <v>0.95945784441258364</v>
      </c>
      <c r="BZ1193" s="14">
        <f t="shared" si="76"/>
        <v>14</v>
      </c>
      <c r="CA1193" t="s">
        <v>5832</v>
      </c>
      <c r="CZ1193" t="s">
        <v>10806</v>
      </c>
      <c r="DA1193" t="s">
        <v>5904</v>
      </c>
      <c r="DB1193">
        <v>1672.5</v>
      </c>
      <c r="DC1193" t="s">
        <v>28393</v>
      </c>
      <c r="DD1193" t="s">
        <v>28394</v>
      </c>
      <c r="DE1193" t="s">
        <v>28395</v>
      </c>
      <c r="DF1193" t="s">
        <v>28396</v>
      </c>
      <c r="DG1193" t="s">
        <v>28397</v>
      </c>
      <c r="DH1193" t="str">
        <f>"HSPA4"</f>
        <v>HSPA4</v>
      </c>
      <c r="DI1193" t="s">
        <v>28398</v>
      </c>
      <c r="DJ1193" t="s">
        <v>13777</v>
      </c>
      <c r="DK1193">
        <v>9606</v>
      </c>
      <c r="DL1193" s="34" t="str">
        <f>HYPERLINK("http://www.uniprot.org/uniprot/P34932", "P34932")</f>
        <v>P34932</v>
      </c>
      <c r="DM1193" t="s">
        <v>28399</v>
      </c>
      <c r="DN1193" t="s">
        <v>15280</v>
      </c>
      <c r="DO1193" t="s">
        <v>13899</v>
      </c>
      <c r="DP1193" t="s">
        <v>13841</v>
      </c>
      <c r="DQ1193" t="s">
        <v>13772</v>
      </c>
      <c r="DR1193" t="s">
        <v>13772</v>
      </c>
      <c r="DS1193" t="s">
        <v>13772</v>
      </c>
      <c r="DT1193" t="s">
        <v>14005</v>
      </c>
      <c r="DU1193" t="s">
        <v>13772</v>
      </c>
      <c r="DV1193" t="s">
        <v>14098</v>
      </c>
      <c r="DW1193" t="s">
        <v>13772</v>
      </c>
      <c r="DX1193" t="s">
        <v>28400</v>
      </c>
      <c r="DY1193" t="s">
        <v>14135</v>
      </c>
      <c r="DZ1193" t="s">
        <v>25799</v>
      </c>
      <c r="EA1193" t="s">
        <v>13772</v>
      </c>
      <c r="EB1193" t="s">
        <v>23859</v>
      </c>
    </row>
    <row r="1194" spans="1:132" hidden="1">
      <c r="A1194">
        <v>1526</v>
      </c>
      <c r="B1194">
        <v>1</v>
      </c>
      <c r="C1194" t="s">
        <v>3632</v>
      </c>
      <c r="D1194" t="s">
        <v>3633</v>
      </c>
      <c r="E1194" t="s">
        <v>73</v>
      </c>
      <c r="F1194" t="s">
        <v>73</v>
      </c>
      <c r="G1194" t="s">
        <v>73</v>
      </c>
      <c r="H1194">
        <v>12.3</v>
      </c>
      <c r="I1194">
        <v>1073</v>
      </c>
      <c r="J1194">
        <v>120426</v>
      </c>
      <c r="K1194" t="s">
        <v>3634</v>
      </c>
      <c r="L1194">
        <f t="shared" si="74"/>
        <v>19</v>
      </c>
      <c r="N1194">
        <v>19</v>
      </c>
      <c r="O1194">
        <v>19</v>
      </c>
      <c r="P1194">
        <v>1</v>
      </c>
      <c r="Q1194">
        <v>0</v>
      </c>
      <c r="R1194">
        <v>3</v>
      </c>
      <c r="S1194">
        <v>4</v>
      </c>
      <c r="T1194">
        <v>3</v>
      </c>
      <c r="U1194">
        <v>5</v>
      </c>
      <c r="V1194">
        <v>2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</v>
      </c>
      <c r="AL1194">
        <v>4</v>
      </c>
      <c r="AM1194">
        <v>3</v>
      </c>
      <c r="AN1194">
        <v>5</v>
      </c>
      <c r="AO1194">
        <v>2</v>
      </c>
      <c r="AP1194">
        <v>2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 s="2">
        <v>0</v>
      </c>
      <c r="BD1194" s="2">
        <v>3</v>
      </c>
      <c r="BE1194" s="2">
        <v>4</v>
      </c>
      <c r="BF1194" s="2">
        <v>3</v>
      </c>
      <c r="BG1194" s="2">
        <v>5</v>
      </c>
      <c r="BH1194" s="2">
        <v>2</v>
      </c>
      <c r="BI1194" s="2">
        <v>2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f t="shared" si="77"/>
        <v>19</v>
      </c>
      <c r="BW1194" s="16">
        <f t="shared" si="75"/>
        <v>1</v>
      </c>
      <c r="BX1194" s="16">
        <f>COUNTIF($BC$6:BU1194, "=0") / COUNTIF($BC$6:BU1194, "&gt;-1")</f>
        <v>0.31800274445575671</v>
      </c>
      <c r="BY1194" s="18">
        <f>SUM($BC$6:BU1194) / $BY$4</f>
        <v>0.95953923351308901</v>
      </c>
      <c r="BZ1194" s="14">
        <f t="shared" si="76"/>
        <v>13</v>
      </c>
      <c r="CA1194" t="s">
        <v>5832</v>
      </c>
      <c r="CZ1194" t="s">
        <v>10826</v>
      </c>
      <c r="DA1194" t="s">
        <v>5904</v>
      </c>
      <c r="DB1194">
        <v>2142.5</v>
      </c>
      <c r="DC1194" t="s">
        <v>28446</v>
      </c>
      <c r="DD1194" t="s">
        <v>28447</v>
      </c>
      <c r="DE1194" t="s">
        <v>28448</v>
      </c>
      <c r="DF1194" t="s">
        <v>28449</v>
      </c>
      <c r="DG1194" t="s">
        <v>28450</v>
      </c>
      <c r="DH1194" t="str">
        <f>"SEMA5A"</f>
        <v>SEMA5A</v>
      </c>
      <c r="DI1194" t="s">
        <v>28451</v>
      </c>
      <c r="DJ1194" t="s">
        <v>13777</v>
      </c>
      <c r="DK1194">
        <v>9606</v>
      </c>
      <c r="DL1194" s="34" t="str">
        <f>HYPERLINK("http://www.uniprot.org/uniprot/Q13591", "Q13591")</f>
        <v>Q13591</v>
      </c>
      <c r="DM1194" t="s">
        <v>28452</v>
      </c>
      <c r="DN1194" t="s">
        <v>14726</v>
      </c>
      <c r="DO1194" t="s">
        <v>13825</v>
      </c>
      <c r="DP1194" t="s">
        <v>13793</v>
      </c>
      <c r="DQ1194" t="s">
        <v>13772</v>
      </c>
      <c r="DR1194" t="s">
        <v>13772</v>
      </c>
      <c r="DS1194" t="s">
        <v>13826</v>
      </c>
      <c r="DT1194" t="s">
        <v>13772</v>
      </c>
      <c r="DU1194" t="s">
        <v>14727</v>
      </c>
      <c r="DV1194" t="s">
        <v>13796</v>
      </c>
      <c r="DW1194" t="s">
        <v>13772</v>
      </c>
      <c r="DX1194" t="s">
        <v>28453</v>
      </c>
      <c r="DY1194" t="s">
        <v>28454</v>
      </c>
      <c r="DZ1194" t="s">
        <v>28455</v>
      </c>
      <c r="EA1194" t="s">
        <v>13772</v>
      </c>
      <c r="EB1194" t="s">
        <v>28456</v>
      </c>
    </row>
    <row r="1195" spans="1:132" hidden="1">
      <c r="A1195">
        <v>1558</v>
      </c>
      <c r="B1195">
        <v>1</v>
      </c>
      <c r="C1195" t="s">
        <v>3694</v>
      </c>
      <c r="D1195" t="s">
        <v>73</v>
      </c>
      <c r="E1195" t="s">
        <v>73</v>
      </c>
      <c r="F1195" t="s">
        <v>73</v>
      </c>
      <c r="G1195" t="s">
        <v>73</v>
      </c>
      <c r="H1195">
        <v>24.1</v>
      </c>
      <c r="I1195">
        <v>228</v>
      </c>
      <c r="J1195">
        <v>26297</v>
      </c>
      <c r="K1195" t="s">
        <v>3695</v>
      </c>
      <c r="L1195">
        <f t="shared" si="74"/>
        <v>19</v>
      </c>
      <c r="N1195">
        <v>19</v>
      </c>
      <c r="O1195">
        <v>19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2</v>
      </c>
      <c r="X1195">
        <v>3</v>
      </c>
      <c r="Y1195">
        <v>0</v>
      </c>
      <c r="Z1195">
        <v>0</v>
      </c>
      <c r="AA1195">
        <v>3</v>
      </c>
      <c r="AB1195">
        <v>1</v>
      </c>
      <c r="AC1195">
        <v>0</v>
      </c>
      <c r="AD1195">
        <v>0</v>
      </c>
      <c r="AE1195">
        <v>4</v>
      </c>
      <c r="AF1195">
        <v>2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2</v>
      </c>
      <c r="AQ1195">
        <v>3</v>
      </c>
      <c r="AR1195">
        <v>0</v>
      </c>
      <c r="AS1195">
        <v>0</v>
      </c>
      <c r="AT1195">
        <v>3</v>
      </c>
      <c r="AU1195">
        <v>1</v>
      </c>
      <c r="AV1195">
        <v>0</v>
      </c>
      <c r="AW1195">
        <v>0</v>
      </c>
      <c r="AX1195">
        <v>4</v>
      </c>
      <c r="AY1195">
        <v>2</v>
      </c>
      <c r="AZ1195">
        <v>0</v>
      </c>
      <c r="BA1195">
        <v>0</v>
      </c>
      <c r="BB1195">
        <v>1</v>
      </c>
      <c r="BC1195" s="2">
        <v>1</v>
      </c>
      <c r="BD1195" s="2">
        <v>1</v>
      </c>
      <c r="BE1195" s="2">
        <v>0</v>
      </c>
      <c r="BF1195" s="2">
        <v>1</v>
      </c>
      <c r="BG1195" s="2">
        <v>0</v>
      </c>
      <c r="BH1195" s="2">
        <v>0</v>
      </c>
      <c r="BI1195" s="2">
        <v>2</v>
      </c>
      <c r="BJ1195" s="2">
        <v>3</v>
      </c>
      <c r="BK1195" s="2">
        <v>0</v>
      </c>
      <c r="BL1195" s="2">
        <v>0</v>
      </c>
      <c r="BM1195" s="2">
        <v>3</v>
      </c>
      <c r="BN1195" s="2">
        <v>1</v>
      </c>
      <c r="BO1195" s="2">
        <v>0</v>
      </c>
      <c r="BP1195" s="2">
        <v>0</v>
      </c>
      <c r="BQ1195" s="2">
        <v>4</v>
      </c>
      <c r="BR1195" s="2">
        <v>2</v>
      </c>
      <c r="BS1195" s="2">
        <v>0</v>
      </c>
      <c r="BT1195" s="2">
        <v>0</v>
      </c>
      <c r="BU1195" s="2">
        <v>1</v>
      </c>
      <c r="BV1195" s="2">
        <f t="shared" si="77"/>
        <v>19</v>
      </c>
      <c r="BW1195" s="16">
        <f t="shared" si="75"/>
        <v>1</v>
      </c>
      <c r="BX1195" s="16">
        <f>COUNTIF($BC$6:BU1195, "=0") / COUNTIF($BC$6:BU1195, "&gt;-1")</f>
        <v>0.31813356921716057</v>
      </c>
      <c r="BY1195" s="18">
        <f>SUM($BC$6:BU1195) / $BY$4</f>
        <v>0.95962062261359427</v>
      </c>
      <c r="BZ1195" s="14">
        <f t="shared" si="76"/>
        <v>9</v>
      </c>
      <c r="CA1195" t="s">
        <v>5832</v>
      </c>
      <c r="CZ1195" t="s">
        <v>10932</v>
      </c>
      <c r="DA1195" t="s">
        <v>5904</v>
      </c>
      <c r="DB1195">
        <v>478</v>
      </c>
      <c r="DC1195" t="s">
        <v>28747</v>
      </c>
      <c r="DD1195" t="s">
        <v>28748</v>
      </c>
      <c r="DE1195" t="s">
        <v>28749</v>
      </c>
      <c r="DF1195" t="s">
        <v>28750</v>
      </c>
      <c r="DG1195" t="s">
        <v>13772</v>
      </c>
      <c r="DH1195" t="str">
        <f>"EFNA5"</f>
        <v>EFNA5</v>
      </c>
      <c r="DI1195" t="s">
        <v>28751</v>
      </c>
      <c r="DJ1195" t="s">
        <v>13777</v>
      </c>
      <c r="DK1195">
        <v>9606</v>
      </c>
      <c r="DL1195" s="34" t="str">
        <f>HYPERLINK("http://www.uniprot.org/uniprot/P52803", "P52803")</f>
        <v>P52803</v>
      </c>
      <c r="DM1195" t="s">
        <v>28752</v>
      </c>
      <c r="DN1195" t="s">
        <v>14726</v>
      </c>
      <c r="DO1195" t="s">
        <v>13792</v>
      </c>
      <c r="DP1195" t="s">
        <v>13793</v>
      </c>
      <c r="DQ1195" t="s">
        <v>13772</v>
      </c>
      <c r="DR1195" t="s">
        <v>13772</v>
      </c>
      <c r="DS1195" t="s">
        <v>13808</v>
      </c>
      <c r="DT1195" t="s">
        <v>13772</v>
      </c>
      <c r="DU1195" t="s">
        <v>14727</v>
      </c>
      <c r="DV1195" t="s">
        <v>15699</v>
      </c>
      <c r="DW1195" t="s">
        <v>13812</v>
      </c>
      <c r="DX1195" t="s">
        <v>28753</v>
      </c>
      <c r="DY1195" t="s">
        <v>28754</v>
      </c>
      <c r="DZ1195" t="s">
        <v>28755</v>
      </c>
      <c r="EA1195" t="s">
        <v>13772</v>
      </c>
      <c r="EB1195" t="s">
        <v>20392</v>
      </c>
    </row>
    <row r="1196" spans="1:132" hidden="1">
      <c r="A1196">
        <v>1698</v>
      </c>
      <c r="B1196">
        <v>1</v>
      </c>
      <c r="C1196" t="s">
        <v>4026</v>
      </c>
      <c r="D1196" t="s">
        <v>4027</v>
      </c>
      <c r="E1196" t="s">
        <v>73</v>
      </c>
      <c r="F1196" t="s">
        <v>73</v>
      </c>
      <c r="G1196" t="s">
        <v>73</v>
      </c>
      <c r="H1196">
        <v>16.2</v>
      </c>
      <c r="I1196">
        <v>105</v>
      </c>
      <c r="J1196">
        <v>11788</v>
      </c>
      <c r="K1196" t="s">
        <v>4028</v>
      </c>
      <c r="L1196">
        <f t="shared" si="74"/>
        <v>19</v>
      </c>
      <c r="N1196">
        <v>19</v>
      </c>
      <c r="O1196">
        <v>19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6</v>
      </c>
      <c r="Z1196">
        <v>0</v>
      </c>
      <c r="AA1196">
        <v>3</v>
      </c>
      <c r="AB1196">
        <v>1</v>
      </c>
      <c r="AC1196">
        <v>0</v>
      </c>
      <c r="AD1196">
        <v>0</v>
      </c>
      <c r="AE1196">
        <v>4</v>
      </c>
      <c r="AF1196">
        <v>2</v>
      </c>
      <c r="AG1196">
        <v>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6</v>
      </c>
      <c r="AS1196">
        <v>0</v>
      </c>
      <c r="AT1196">
        <v>3</v>
      </c>
      <c r="AU1196">
        <v>1</v>
      </c>
      <c r="AV1196">
        <v>0</v>
      </c>
      <c r="AW1196">
        <v>0</v>
      </c>
      <c r="AX1196">
        <v>4</v>
      </c>
      <c r="AY1196">
        <v>2</v>
      </c>
      <c r="AZ1196">
        <v>2</v>
      </c>
      <c r="BA1196">
        <v>0</v>
      </c>
      <c r="BB1196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0</v>
      </c>
      <c r="BK1196" s="2">
        <v>6</v>
      </c>
      <c r="BL1196" s="2">
        <v>0</v>
      </c>
      <c r="BM1196" s="2">
        <v>3</v>
      </c>
      <c r="BN1196" s="2">
        <v>1</v>
      </c>
      <c r="BO1196" s="2">
        <v>0</v>
      </c>
      <c r="BP1196" s="2">
        <v>0</v>
      </c>
      <c r="BQ1196" s="2">
        <v>4</v>
      </c>
      <c r="BR1196" s="2">
        <v>2</v>
      </c>
      <c r="BS1196" s="2">
        <v>2</v>
      </c>
      <c r="BT1196" s="2">
        <v>0</v>
      </c>
      <c r="BU1196" s="2">
        <v>0</v>
      </c>
      <c r="BV1196" s="2">
        <f t="shared" si="77"/>
        <v>19</v>
      </c>
      <c r="BW1196" s="16">
        <f t="shared" si="75"/>
        <v>1</v>
      </c>
      <c r="BX1196" s="16">
        <f>COUNTIF($BC$6:BU1196, "=0") / COUNTIF($BC$6:BU1196, "&gt;-1")</f>
        <v>0.31839674753634717</v>
      </c>
      <c r="BY1196" s="18">
        <f>SUM($BC$6:BU1196) / $BY$4</f>
        <v>0.95970201171409963</v>
      </c>
      <c r="BZ1196" s="14">
        <f t="shared" si="76"/>
        <v>12</v>
      </c>
      <c r="CA1196" t="s">
        <v>5832</v>
      </c>
      <c r="CZ1196" t="s">
        <v>11413</v>
      </c>
      <c r="DA1196" t="s">
        <v>5904</v>
      </c>
      <c r="DB1196">
        <v>179.1</v>
      </c>
      <c r="DC1196" t="s">
        <v>30090</v>
      </c>
      <c r="DD1196" t="s">
        <v>30091</v>
      </c>
      <c r="DE1196" t="s">
        <v>30092</v>
      </c>
      <c r="DF1196" t="s">
        <v>30093</v>
      </c>
      <c r="DG1196" t="s">
        <v>30094</v>
      </c>
      <c r="DH1196" t="str">
        <f>"S100A2"</f>
        <v>S100A2</v>
      </c>
      <c r="DI1196" t="s">
        <v>30095</v>
      </c>
      <c r="DJ1196" t="s">
        <v>13777</v>
      </c>
      <c r="DK1196">
        <v>9606</v>
      </c>
      <c r="DL1196" s="34" t="str">
        <f>HYPERLINK("http://www.uniprot.org/uniprot/P29034", "P29034")</f>
        <v>P29034</v>
      </c>
      <c r="DM1196" t="s">
        <v>30096</v>
      </c>
      <c r="DN1196" t="s">
        <v>13772</v>
      </c>
      <c r="DO1196" t="s">
        <v>13772</v>
      </c>
      <c r="DP1196" t="s">
        <v>13772</v>
      </c>
      <c r="DQ1196" t="s">
        <v>13772</v>
      </c>
      <c r="DR1196" t="s">
        <v>13772</v>
      </c>
      <c r="DS1196" t="s">
        <v>14096</v>
      </c>
      <c r="DT1196" t="s">
        <v>13873</v>
      </c>
      <c r="DU1196" t="s">
        <v>13772</v>
      </c>
      <c r="DV1196" t="s">
        <v>13772</v>
      </c>
      <c r="DW1196" t="s">
        <v>13812</v>
      </c>
      <c r="DX1196" t="s">
        <v>30097</v>
      </c>
      <c r="DY1196" t="s">
        <v>13772</v>
      </c>
      <c r="DZ1196" t="s">
        <v>30098</v>
      </c>
      <c r="EA1196" t="s">
        <v>13772</v>
      </c>
      <c r="EB1196" t="s">
        <v>13772</v>
      </c>
    </row>
    <row r="1197" spans="1:132" hidden="1">
      <c r="A1197">
        <v>1955</v>
      </c>
      <c r="B1197">
        <v>1</v>
      </c>
      <c r="C1197" t="s">
        <v>4612</v>
      </c>
      <c r="D1197" t="s">
        <v>4613</v>
      </c>
      <c r="E1197" t="s">
        <v>73</v>
      </c>
      <c r="F1197" t="s">
        <v>73</v>
      </c>
      <c r="G1197" t="s">
        <v>73</v>
      </c>
      <c r="H1197">
        <v>4.5999999999999996</v>
      </c>
      <c r="I1197">
        <v>2567</v>
      </c>
      <c r="J1197">
        <v>273322</v>
      </c>
      <c r="K1197" t="s">
        <v>4614</v>
      </c>
      <c r="L1197">
        <f t="shared" si="74"/>
        <v>19</v>
      </c>
      <c r="N1197">
        <v>19</v>
      </c>
      <c r="O1197">
        <v>19</v>
      </c>
      <c r="P1197">
        <v>1</v>
      </c>
      <c r="Q1197">
        <v>3</v>
      </c>
      <c r="R1197">
        <v>3</v>
      </c>
      <c r="S1197">
        <v>1</v>
      </c>
      <c r="T1197">
        <v>1</v>
      </c>
      <c r="U1197">
        <v>2</v>
      </c>
      <c r="V1197">
        <v>0</v>
      </c>
      <c r="W1197">
        <v>6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3</v>
      </c>
      <c r="AK1197">
        <v>3</v>
      </c>
      <c r="AL1197">
        <v>1</v>
      </c>
      <c r="AM1197">
        <v>1</v>
      </c>
      <c r="AN1197">
        <v>2</v>
      </c>
      <c r="AO1197">
        <v>0</v>
      </c>
      <c r="AP1197">
        <v>6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 s="2">
        <v>3</v>
      </c>
      <c r="BD1197" s="2">
        <v>3</v>
      </c>
      <c r="BE1197" s="2">
        <v>1</v>
      </c>
      <c r="BF1197" s="2">
        <v>1</v>
      </c>
      <c r="BG1197" s="2">
        <v>2</v>
      </c>
      <c r="BH1197" s="2">
        <v>0</v>
      </c>
      <c r="BI1197" s="2">
        <v>6</v>
      </c>
      <c r="BJ1197" s="2">
        <v>1</v>
      </c>
      <c r="BK1197" s="2">
        <v>0</v>
      </c>
      <c r="BL1197" s="2">
        <v>0</v>
      </c>
      <c r="BM1197" s="2">
        <v>1</v>
      </c>
      <c r="BN1197" s="2">
        <v>0</v>
      </c>
      <c r="BO1197" s="2">
        <v>0</v>
      </c>
      <c r="BP1197" s="2">
        <v>0</v>
      </c>
      <c r="BQ1197" s="2">
        <v>0</v>
      </c>
      <c r="BR1197" s="2">
        <v>1</v>
      </c>
      <c r="BS1197" s="2">
        <v>0</v>
      </c>
      <c r="BT1197" s="2">
        <v>0</v>
      </c>
      <c r="BU1197" s="2">
        <v>0</v>
      </c>
      <c r="BV1197" s="2">
        <f t="shared" si="77"/>
        <v>19</v>
      </c>
      <c r="BW1197" s="16">
        <f t="shared" si="75"/>
        <v>1</v>
      </c>
      <c r="BX1197" s="16">
        <f>COUNTIF($BC$6:BU1197, "=0") / COUNTIF($BC$6:BU1197, "&gt;-1")</f>
        <v>0.31857117626280468</v>
      </c>
      <c r="BY1197" s="18">
        <f>SUM($BC$6:BU1197) / $BY$4</f>
        <v>0.95978340081460489</v>
      </c>
      <c r="BZ1197" s="14">
        <f t="shared" si="76"/>
        <v>10</v>
      </c>
      <c r="CA1197" t="s">
        <v>5832</v>
      </c>
      <c r="CZ1197" t="s">
        <v>12273</v>
      </c>
      <c r="DA1197" t="s">
        <v>5904</v>
      </c>
      <c r="DB1197">
        <v>4602.7</v>
      </c>
      <c r="DC1197" t="s">
        <v>32517</v>
      </c>
      <c r="DD1197" t="s">
        <v>32518</v>
      </c>
      <c r="DE1197" t="s">
        <v>32519</v>
      </c>
      <c r="DF1197" t="s">
        <v>32520</v>
      </c>
      <c r="DG1197" t="s">
        <v>32521</v>
      </c>
      <c r="DH1197" t="str">
        <f>"NOTCH1"</f>
        <v>NOTCH1</v>
      </c>
      <c r="DI1197" t="s">
        <v>32522</v>
      </c>
      <c r="DJ1197" t="s">
        <v>13777</v>
      </c>
      <c r="DK1197">
        <v>9606</v>
      </c>
      <c r="DL1197" s="34" t="str">
        <f>HYPERLINK("http://www.uniprot.org/uniprot/P46531", "P46531")</f>
        <v>P46531</v>
      </c>
      <c r="DM1197" t="s">
        <v>32523</v>
      </c>
      <c r="DN1197" t="s">
        <v>32524</v>
      </c>
      <c r="DO1197" t="s">
        <v>18976</v>
      </c>
      <c r="DP1197" t="s">
        <v>13793</v>
      </c>
      <c r="DQ1197" t="s">
        <v>13772</v>
      </c>
      <c r="DR1197" t="s">
        <v>13807</v>
      </c>
      <c r="DS1197" t="s">
        <v>22284</v>
      </c>
      <c r="DT1197" t="s">
        <v>13873</v>
      </c>
      <c r="DU1197" t="s">
        <v>22285</v>
      </c>
      <c r="DV1197" t="s">
        <v>32525</v>
      </c>
      <c r="DW1197" t="s">
        <v>13812</v>
      </c>
      <c r="DX1197" t="s">
        <v>32526</v>
      </c>
      <c r="DY1197" t="s">
        <v>32527</v>
      </c>
      <c r="DZ1197" t="s">
        <v>32528</v>
      </c>
      <c r="EA1197" t="s">
        <v>13772</v>
      </c>
      <c r="EB1197" t="s">
        <v>32529</v>
      </c>
    </row>
    <row r="1198" spans="1:132" hidden="1">
      <c r="A1198">
        <v>2053</v>
      </c>
      <c r="B1198">
        <v>1</v>
      </c>
      <c r="C1198" t="s">
        <v>4825</v>
      </c>
      <c r="D1198" t="s">
        <v>73</v>
      </c>
      <c r="E1198" t="s">
        <v>73</v>
      </c>
      <c r="F1198" t="s">
        <v>73</v>
      </c>
      <c r="G1198" t="s">
        <v>73</v>
      </c>
      <c r="H1198">
        <v>40.799999999999997</v>
      </c>
      <c r="I1198">
        <v>169</v>
      </c>
      <c r="J1198">
        <v>19588</v>
      </c>
      <c r="K1198" t="s">
        <v>4826</v>
      </c>
      <c r="L1198">
        <f t="shared" si="74"/>
        <v>19</v>
      </c>
      <c r="N1198">
        <v>19</v>
      </c>
      <c r="O1198">
        <v>19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3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3</v>
      </c>
      <c r="AB1198">
        <v>6</v>
      </c>
      <c r="AC1198">
        <v>0</v>
      </c>
      <c r="AD1198">
        <v>0</v>
      </c>
      <c r="AE1198">
        <v>3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3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3</v>
      </c>
      <c r="AU1198">
        <v>6</v>
      </c>
      <c r="AV1198">
        <v>0</v>
      </c>
      <c r="AW1198">
        <v>0</v>
      </c>
      <c r="AX1198">
        <v>3</v>
      </c>
      <c r="AY1198">
        <v>1</v>
      </c>
      <c r="AZ1198">
        <v>0</v>
      </c>
      <c r="BA1198">
        <v>0</v>
      </c>
      <c r="BB1198">
        <v>0</v>
      </c>
      <c r="BC1198" s="2">
        <v>0</v>
      </c>
      <c r="BD1198" s="2">
        <v>1</v>
      </c>
      <c r="BE1198" s="2">
        <v>0</v>
      </c>
      <c r="BF1198" s="2">
        <v>0</v>
      </c>
      <c r="BG1198" s="2">
        <v>3</v>
      </c>
      <c r="BH1198" s="2">
        <v>0</v>
      </c>
      <c r="BI1198" s="2">
        <v>0</v>
      </c>
      <c r="BJ1198" s="2">
        <v>1</v>
      </c>
      <c r="BK1198" s="2">
        <v>1</v>
      </c>
      <c r="BL1198" s="2">
        <v>0</v>
      </c>
      <c r="BM1198" s="2">
        <v>3</v>
      </c>
      <c r="BN1198" s="2">
        <v>6</v>
      </c>
      <c r="BO1198" s="2">
        <v>0</v>
      </c>
      <c r="BP1198" s="2">
        <v>0</v>
      </c>
      <c r="BQ1198" s="2">
        <v>3</v>
      </c>
      <c r="BR1198" s="2">
        <v>1</v>
      </c>
      <c r="BS1198" s="2">
        <v>0</v>
      </c>
      <c r="BT1198" s="2">
        <v>0</v>
      </c>
      <c r="BU1198" s="2">
        <v>0</v>
      </c>
      <c r="BV1198" s="2">
        <f t="shared" si="77"/>
        <v>19</v>
      </c>
      <c r="BW1198" s="16">
        <f t="shared" si="75"/>
        <v>1</v>
      </c>
      <c r="BX1198" s="16">
        <f>COUNTIF($BC$6:BU1198, "=0") / COUNTIF($BC$6:BU1198, "&gt;-1")</f>
        <v>0.31878942956721223</v>
      </c>
      <c r="BY1198" s="18">
        <f>SUM($BC$6:BU1198) / $BY$4</f>
        <v>0.95986478991511026</v>
      </c>
      <c r="BZ1198" s="14">
        <f t="shared" si="76"/>
        <v>11</v>
      </c>
      <c r="CA1198" t="s">
        <v>5832</v>
      </c>
      <c r="CZ1198" t="s">
        <v>12595</v>
      </c>
      <c r="DA1198" t="s">
        <v>5904</v>
      </c>
      <c r="DB1198">
        <v>298.10000000000002</v>
      </c>
      <c r="DC1198" t="s">
        <v>33433</v>
      </c>
      <c r="DD1198" t="s">
        <v>33434</v>
      </c>
      <c r="DE1198" t="s">
        <v>33435</v>
      </c>
      <c r="DF1198" t="s">
        <v>33436</v>
      </c>
      <c r="DG1198" t="s">
        <v>33437</v>
      </c>
      <c r="DH1198" t="str">
        <f>"COX4I1"</f>
        <v>COX4I1</v>
      </c>
      <c r="DI1198" t="s">
        <v>33438</v>
      </c>
      <c r="DJ1198" t="s">
        <v>13777</v>
      </c>
      <c r="DK1198">
        <v>9606</v>
      </c>
      <c r="DL1198" s="34" t="str">
        <f>HYPERLINK("http://www.uniprot.org/uniprot/P13073", "P13073")</f>
        <v>P13073</v>
      </c>
      <c r="DM1198" t="s">
        <v>33439</v>
      </c>
      <c r="DN1198" t="s">
        <v>13772</v>
      </c>
      <c r="DO1198" t="s">
        <v>15507</v>
      </c>
      <c r="DP1198" t="s">
        <v>13793</v>
      </c>
      <c r="DQ1198" t="s">
        <v>13772</v>
      </c>
      <c r="DR1198" t="s">
        <v>13772</v>
      </c>
      <c r="DS1198" t="s">
        <v>14391</v>
      </c>
      <c r="DT1198" t="s">
        <v>13772</v>
      </c>
      <c r="DU1198" t="s">
        <v>13772</v>
      </c>
      <c r="DV1198" t="s">
        <v>13886</v>
      </c>
      <c r="DW1198" t="s">
        <v>13812</v>
      </c>
      <c r="DX1198" t="s">
        <v>33440</v>
      </c>
      <c r="DY1198" t="s">
        <v>33441</v>
      </c>
      <c r="DZ1198" t="s">
        <v>33186</v>
      </c>
      <c r="EA1198" t="s">
        <v>13772</v>
      </c>
      <c r="EB1198" t="s">
        <v>16035</v>
      </c>
    </row>
    <row r="1199" spans="1:132" hidden="1">
      <c r="A1199">
        <v>2123</v>
      </c>
      <c r="B1199">
        <v>1</v>
      </c>
      <c r="C1199" t="s">
        <v>4980</v>
      </c>
      <c r="D1199" t="s">
        <v>73</v>
      </c>
      <c r="E1199" t="s">
        <v>73</v>
      </c>
      <c r="F1199" t="s">
        <v>73</v>
      </c>
      <c r="G1199" t="s">
        <v>73</v>
      </c>
      <c r="H1199">
        <v>33</v>
      </c>
      <c r="I1199">
        <v>206</v>
      </c>
      <c r="J1199">
        <v>22276</v>
      </c>
      <c r="K1199" t="s">
        <v>4981</v>
      </c>
      <c r="L1199">
        <f t="shared" si="74"/>
        <v>19</v>
      </c>
      <c r="N1199">
        <v>19</v>
      </c>
      <c r="O1199">
        <v>19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</v>
      </c>
      <c r="Z1199">
        <v>0</v>
      </c>
      <c r="AA1199">
        <v>4</v>
      </c>
      <c r="AB1199">
        <v>0</v>
      </c>
      <c r="AC1199">
        <v>1</v>
      </c>
      <c r="AD1199">
        <v>0</v>
      </c>
      <c r="AE1199">
        <v>2</v>
      </c>
      <c r="AF1199">
        <v>6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5</v>
      </c>
      <c r="AS1199">
        <v>0</v>
      </c>
      <c r="AT1199">
        <v>4</v>
      </c>
      <c r="AU1199">
        <v>0</v>
      </c>
      <c r="AV1199">
        <v>1</v>
      </c>
      <c r="AW1199">
        <v>0</v>
      </c>
      <c r="AX1199">
        <v>2</v>
      </c>
      <c r="AY1199">
        <v>6</v>
      </c>
      <c r="AZ1199">
        <v>0</v>
      </c>
      <c r="BA1199">
        <v>0</v>
      </c>
      <c r="BB1199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5</v>
      </c>
      <c r="BL1199" s="2">
        <v>0</v>
      </c>
      <c r="BM1199" s="2">
        <v>4</v>
      </c>
      <c r="BN1199" s="2">
        <v>0</v>
      </c>
      <c r="BO1199" s="2">
        <v>1</v>
      </c>
      <c r="BP1199" s="2">
        <v>0</v>
      </c>
      <c r="BQ1199" s="2">
        <v>2</v>
      </c>
      <c r="BR1199" s="2">
        <v>6</v>
      </c>
      <c r="BS1199" s="2">
        <v>0</v>
      </c>
      <c r="BT1199" s="2">
        <v>0</v>
      </c>
      <c r="BU1199" s="2">
        <v>1</v>
      </c>
      <c r="BV1199" s="2">
        <f t="shared" si="77"/>
        <v>19</v>
      </c>
      <c r="BW1199" s="16">
        <f t="shared" si="75"/>
        <v>1</v>
      </c>
      <c r="BX1199" s="16">
        <f>COUNTIF($BC$6:BU1199, "=0") / COUNTIF($BC$6:BU1199, "&gt;-1")</f>
        <v>0.31909547738693467</v>
      </c>
      <c r="BY1199" s="18">
        <f>SUM($BC$6:BU1199) / $BY$4</f>
        <v>0.95994617901561552</v>
      </c>
      <c r="BZ1199" s="14">
        <f t="shared" si="76"/>
        <v>13</v>
      </c>
      <c r="CA1199" t="s">
        <v>5832</v>
      </c>
      <c r="CZ1199" t="s">
        <v>12823</v>
      </c>
      <c r="DA1199" t="s">
        <v>5904</v>
      </c>
      <c r="DB1199">
        <v>240.7</v>
      </c>
      <c r="DC1199" t="s">
        <v>13772</v>
      </c>
      <c r="DD1199" t="s">
        <v>13772</v>
      </c>
      <c r="DE1199" t="s">
        <v>13772</v>
      </c>
      <c r="DF1199" t="s">
        <v>13772</v>
      </c>
      <c r="DG1199" t="s">
        <v>13772</v>
      </c>
      <c r="DH1199" t="s">
        <v>13772</v>
      </c>
      <c r="DI1199" t="s">
        <v>13772</v>
      </c>
      <c r="DJ1199" t="s">
        <v>13772</v>
      </c>
      <c r="DK1199" t="s">
        <v>13772</v>
      </c>
      <c r="DL1199" s="34" t="s">
        <v>13772</v>
      </c>
      <c r="DM1199" t="s">
        <v>13772</v>
      </c>
      <c r="DN1199" t="s">
        <v>13772</v>
      </c>
      <c r="DO1199" t="s">
        <v>13772</v>
      </c>
      <c r="DP1199" t="s">
        <v>13772</v>
      </c>
      <c r="DQ1199" t="s">
        <v>13772</v>
      </c>
      <c r="DR1199" t="s">
        <v>13772</v>
      </c>
      <c r="DS1199" t="s">
        <v>13772</v>
      </c>
      <c r="DT1199" t="s">
        <v>13772</v>
      </c>
      <c r="DU1199" t="s">
        <v>13772</v>
      </c>
      <c r="DV1199" t="s">
        <v>13772</v>
      </c>
      <c r="DW1199" t="s">
        <v>13772</v>
      </c>
      <c r="DX1199" t="s">
        <v>13772</v>
      </c>
      <c r="DY1199" t="s">
        <v>13772</v>
      </c>
      <c r="DZ1199" t="s">
        <v>13772</v>
      </c>
      <c r="EA1199" t="s">
        <v>13772</v>
      </c>
      <c r="EB1199" t="s">
        <v>13772</v>
      </c>
    </row>
    <row r="1200" spans="1:132" hidden="1">
      <c r="A1200">
        <v>2144</v>
      </c>
      <c r="B1200">
        <v>1</v>
      </c>
      <c r="C1200" t="s">
        <v>5026</v>
      </c>
      <c r="D1200" t="s">
        <v>73</v>
      </c>
      <c r="E1200" t="s">
        <v>73</v>
      </c>
      <c r="F1200" t="s">
        <v>73</v>
      </c>
      <c r="G1200" t="s">
        <v>73</v>
      </c>
      <c r="H1200">
        <v>23.6</v>
      </c>
      <c r="I1200">
        <v>259</v>
      </c>
      <c r="J1200">
        <v>28769</v>
      </c>
      <c r="K1200" t="s">
        <v>5027</v>
      </c>
      <c r="L1200">
        <f t="shared" si="74"/>
        <v>19</v>
      </c>
      <c r="N1200">
        <v>19</v>
      </c>
      <c r="O1200">
        <v>19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3</v>
      </c>
      <c r="Z1200">
        <v>0</v>
      </c>
      <c r="AA1200">
        <v>5</v>
      </c>
      <c r="AB1200">
        <v>2</v>
      </c>
      <c r="AC1200">
        <v>2</v>
      </c>
      <c r="AD1200">
        <v>0</v>
      </c>
      <c r="AE1200">
        <v>2</v>
      </c>
      <c r="AF1200">
        <v>4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3</v>
      </c>
      <c r="AS1200">
        <v>0</v>
      </c>
      <c r="AT1200">
        <v>5</v>
      </c>
      <c r="AU1200">
        <v>2</v>
      </c>
      <c r="AV1200">
        <v>2</v>
      </c>
      <c r="AW1200">
        <v>0</v>
      </c>
      <c r="AX1200">
        <v>2</v>
      </c>
      <c r="AY1200">
        <v>4</v>
      </c>
      <c r="AZ1200">
        <v>1</v>
      </c>
      <c r="BA1200">
        <v>0</v>
      </c>
      <c r="BB1200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3</v>
      </c>
      <c r="BL1200" s="2">
        <v>0</v>
      </c>
      <c r="BM1200" s="2">
        <v>5</v>
      </c>
      <c r="BN1200" s="2">
        <v>2</v>
      </c>
      <c r="BO1200" s="2">
        <v>2</v>
      </c>
      <c r="BP1200" s="2">
        <v>0</v>
      </c>
      <c r="BQ1200" s="2">
        <v>2</v>
      </c>
      <c r="BR1200" s="2">
        <v>4</v>
      </c>
      <c r="BS1200" s="2">
        <v>1</v>
      </c>
      <c r="BT1200" s="2">
        <v>0</v>
      </c>
      <c r="BU1200" s="2">
        <v>0</v>
      </c>
      <c r="BV1200" s="2">
        <f t="shared" si="77"/>
        <v>19</v>
      </c>
      <c r="BW1200" s="16">
        <f t="shared" si="75"/>
        <v>1</v>
      </c>
      <c r="BX1200" s="16">
        <f>COUNTIF($BC$6:BU1200, "=0") / COUNTIF($BC$6:BU1200, "&gt;-1")</f>
        <v>0.31935696983043382</v>
      </c>
      <c r="BY1200" s="18">
        <f>SUM($BC$6:BU1200) / $BY$4</f>
        <v>0.96002756811612089</v>
      </c>
      <c r="BZ1200" s="14">
        <f t="shared" si="76"/>
        <v>12</v>
      </c>
      <c r="CA1200" t="s">
        <v>5832</v>
      </c>
      <c r="CZ1200" t="s">
        <v>12893</v>
      </c>
      <c r="DA1200" t="s">
        <v>5904</v>
      </c>
      <c r="DB1200">
        <v>472.6</v>
      </c>
      <c r="DC1200" t="s">
        <v>34270</v>
      </c>
      <c r="DD1200" t="s">
        <v>34271</v>
      </c>
      <c r="DE1200" t="s">
        <v>34272</v>
      </c>
      <c r="DF1200" t="s">
        <v>34273</v>
      </c>
      <c r="DG1200" t="s">
        <v>34274</v>
      </c>
      <c r="DH1200" t="str">
        <f>"ASPRV1"</f>
        <v>ASPRV1</v>
      </c>
      <c r="DI1200" t="s">
        <v>13772</v>
      </c>
      <c r="DJ1200" t="s">
        <v>13777</v>
      </c>
      <c r="DK1200">
        <v>9606</v>
      </c>
      <c r="DL1200" s="34" t="str">
        <f>HYPERLINK("http://www.uniprot.org/uniprot/Q53RT3", "Q53RT3")</f>
        <v>Q53RT3</v>
      </c>
      <c r="DM1200" t="s">
        <v>34275</v>
      </c>
      <c r="DN1200" t="s">
        <v>13772</v>
      </c>
      <c r="DO1200" t="s">
        <v>13825</v>
      </c>
      <c r="DP1200" t="s">
        <v>13793</v>
      </c>
      <c r="DQ1200" t="s">
        <v>13772</v>
      </c>
      <c r="DR1200" t="s">
        <v>13772</v>
      </c>
      <c r="DS1200" t="s">
        <v>13925</v>
      </c>
      <c r="DT1200" t="s">
        <v>13772</v>
      </c>
      <c r="DU1200" t="s">
        <v>15386</v>
      </c>
      <c r="DV1200" t="s">
        <v>29652</v>
      </c>
      <c r="DW1200" t="s">
        <v>13772</v>
      </c>
      <c r="DX1200" t="s">
        <v>34276</v>
      </c>
      <c r="DY1200" t="s">
        <v>15378</v>
      </c>
      <c r="DZ1200" t="s">
        <v>15390</v>
      </c>
      <c r="EA1200" t="s">
        <v>13772</v>
      </c>
      <c r="EB1200" t="s">
        <v>13772</v>
      </c>
    </row>
    <row r="1201" spans="1:132" hidden="1">
      <c r="A1201">
        <v>2184</v>
      </c>
      <c r="B1201">
        <v>1</v>
      </c>
      <c r="C1201" t="s">
        <v>5108</v>
      </c>
      <c r="D1201" t="s">
        <v>73</v>
      </c>
      <c r="E1201" t="s">
        <v>73</v>
      </c>
      <c r="F1201" t="s">
        <v>73</v>
      </c>
      <c r="G1201" t="s">
        <v>73</v>
      </c>
      <c r="H1201">
        <v>25</v>
      </c>
      <c r="I1201">
        <v>687</v>
      </c>
      <c r="J1201">
        <v>77129</v>
      </c>
      <c r="K1201" t="s">
        <v>5109</v>
      </c>
      <c r="L1201">
        <f t="shared" si="74"/>
        <v>19</v>
      </c>
      <c r="N1201">
        <v>19</v>
      </c>
      <c r="O1201">
        <v>19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</v>
      </c>
      <c r="W1201">
        <v>0</v>
      </c>
      <c r="X1201">
        <v>0</v>
      </c>
      <c r="Y1201">
        <v>0</v>
      </c>
      <c r="Z1201">
        <v>0</v>
      </c>
      <c r="AA1201">
        <v>10</v>
      </c>
      <c r="AB1201">
        <v>6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</v>
      </c>
      <c r="AP1201">
        <v>0</v>
      </c>
      <c r="AQ1201">
        <v>0</v>
      </c>
      <c r="AR1201">
        <v>0</v>
      </c>
      <c r="AS1201">
        <v>0</v>
      </c>
      <c r="AT1201">
        <v>10</v>
      </c>
      <c r="AU1201">
        <v>6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2</v>
      </c>
      <c r="BI1201" s="2">
        <v>0</v>
      </c>
      <c r="BJ1201" s="2">
        <v>0</v>
      </c>
      <c r="BK1201" s="2">
        <v>0</v>
      </c>
      <c r="BL1201" s="2">
        <v>0</v>
      </c>
      <c r="BM1201" s="2">
        <v>10</v>
      </c>
      <c r="BN1201" s="2">
        <v>6</v>
      </c>
      <c r="BO1201" s="2">
        <v>0</v>
      </c>
      <c r="BP1201" s="2">
        <v>0</v>
      </c>
      <c r="BQ1201" s="2">
        <v>0</v>
      </c>
      <c r="BR1201" s="2">
        <v>1</v>
      </c>
      <c r="BS1201" s="2">
        <v>0</v>
      </c>
      <c r="BT1201" s="2">
        <v>0</v>
      </c>
      <c r="BU1201" s="2">
        <v>0</v>
      </c>
      <c r="BV1201" s="2">
        <f t="shared" si="77"/>
        <v>19</v>
      </c>
      <c r="BW1201" s="16">
        <f t="shared" si="75"/>
        <v>1</v>
      </c>
      <c r="BX1201" s="16">
        <f>COUNTIF($BC$6:BU1201, "=0") / COUNTIF($BC$6:BU1201, "&gt;-1")</f>
        <v>0.31975004400633689</v>
      </c>
      <c r="BY1201" s="18">
        <f>SUM($BC$6:BU1201) / $BY$4</f>
        <v>0.96010895721662615</v>
      </c>
      <c r="BZ1201" s="14">
        <f t="shared" si="76"/>
        <v>15</v>
      </c>
      <c r="CA1201" t="s">
        <v>5832</v>
      </c>
      <c r="CZ1201" t="s">
        <v>13024</v>
      </c>
      <c r="DA1201" t="s">
        <v>5904</v>
      </c>
      <c r="DB1201">
        <v>1225.3</v>
      </c>
      <c r="DC1201" t="s">
        <v>34634</v>
      </c>
      <c r="DD1201" t="s">
        <v>34635</v>
      </c>
      <c r="DE1201" t="s">
        <v>34636</v>
      </c>
      <c r="DF1201" t="s">
        <v>34637</v>
      </c>
      <c r="DG1201" t="s">
        <v>34638</v>
      </c>
      <c r="DH1201" t="str">
        <f>"TGM2"</f>
        <v>TGM2</v>
      </c>
      <c r="DI1201" t="s">
        <v>13772</v>
      </c>
      <c r="DJ1201" t="s">
        <v>13777</v>
      </c>
      <c r="DK1201">
        <v>9606</v>
      </c>
      <c r="DL1201" s="34" t="str">
        <f>HYPERLINK("http://www.uniprot.org/uniprot/P21980", "P21980")</f>
        <v>P21980</v>
      </c>
      <c r="DM1201" t="s">
        <v>34639</v>
      </c>
      <c r="DN1201" t="s">
        <v>13772</v>
      </c>
      <c r="DO1201" t="s">
        <v>13772</v>
      </c>
      <c r="DP1201" t="s">
        <v>13780</v>
      </c>
      <c r="DQ1201" t="s">
        <v>13772</v>
      </c>
      <c r="DR1201" t="s">
        <v>13772</v>
      </c>
      <c r="DS1201" t="s">
        <v>13772</v>
      </c>
      <c r="DT1201" t="s">
        <v>13873</v>
      </c>
      <c r="DU1201" t="s">
        <v>15096</v>
      </c>
      <c r="DV1201" t="s">
        <v>13886</v>
      </c>
      <c r="DW1201" t="s">
        <v>13812</v>
      </c>
      <c r="DX1201" t="s">
        <v>34640</v>
      </c>
      <c r="DY1201" t="s">
        <v>34641</v>
      </c>
      <c r="DZ1201" t="s">
        <v>34642</v>
      </c>
      <c r="EA1201" t="s">
        <v>13772</v>
      </c>
      <c r="EB1201" t="s">
        <v>13772</v>
      </c>
    </row>
    <row r="1202" spans="1:132" hidden="1">
      <c r="A1202">
        <v>2208</v>
      </c>
      <c r="B1202">
        <v>1</v>
      </c>
      <c r="C1202" t="s">
        <v>5164</v>
      </c>
      <c r="D1202" t="s">
        <v>5165</v>
      </c>
      <c r="E1202" t="s">
        <v>73</v>
      </c>
      <c r="F1202" t="s">
        <v>73</v>
      </c>
      <c r="G1202" t="s">
        <v>73</v>
      </c>
      <c r="H1202">
        <v>15.6</v>
      </c>
      <c r="I1202">
        <v>1331</v>
      </c>
      <c r="J1202">
        <v>143114</v>
      </c>
      <c r="K1202" t="s">
        <v>5166</v>
      </c>
      <c r="L1202">
        <f t="shared" si="74"/>
        <v>19</v>
      </c>
      <c r="N1202">
        <v>19</v>
      </c>
      <c r="O1202">
        <v>19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12</v>
      </c>
      <c r="Z1202">
        <v>1</v>
      </c>
      <c r="AA1202">
        <v>3</v>
      </c>
      <c r="AB1202">
        <v>1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12</v>
      </c>
      <c r="AS1202">
        <v>1</v>
      </c>
      <c r="AT1202">
        <v>3</v>
      </c>
      <c r="AU1202">
        <v>1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12</v>
      </c>
      <c r="BL1202" s="2">
        <v>1</v>
      </c>
      <c r="BM1202" s="2">
        <v>3</v>
      </c>
      <c r="BN1202" s="2">
        <v>1</v>
      </c>
      <c r="BO1202" s="2">
        <v>0</v>
      </c>
      <c r="BP1202" s="2">
        <v>0</v>
      </c>
      <c r="BQ1202" s="2">
        <v>1</v>
      </c>
      <c r="BR1202" s="2">
        <v>1</v>
      </c>
      <c r="BS1202" s="2">
        <v>0</v>
      </c>
      <c r="BT1202" s="2">
        <v>0</v>
      </c>
      <c r="BU1202" s="2">
        <v>0</v>
      </c>
      <c r="BV1202" s="2">
        <f t="shared" si="77"/>
        <v>19</v>
      </c>
      <c r="BW1202" s="16">
        <f t="shared" si="75"/>
        <v>1</v>
      </c>
      <c r="BX1202" s="16">
        <f>COUNTIF($BC$6:BU1202, "=0") / COUNTIF($BC$6:BU1202, "&gt;-1")</f>
        <v>0.32005452227058873</v>
      </c>
      <c r="BY1202" s="18">
        <f>SUM($BC$6:BU1202) / $BY$4</f>
        <v>0.96019034631713152</v>
      </c>
      <c r="BZ1202" s="14">
        <f t="shared" si="76"/>
        <v>13</v>
      </c>
      <c r="CA1202" t="s">
        <v>5832</v>
      </c>
      <c r="CZ1202" t="s">
        <v>13107</v>
      </c>
      <c r="DA1202" t="s">
        <v>5904</v>
      </c>
      <c r="DB1202">
        <v>1517.7</v>
      </c>
      <c r="DC1202" t="s">
        <v>34861</v>
      </c>
      <c r="DD1202" t="s">
        <v>34862</v>
      </c>
      <c r="DE1202" t="s">
        <v>34863</v>
      </c>
      <c r="DF1202" t="s">
        <v>34864</v>
      </c>
      <c r="DG1202" t="s">
        <v>34865</v>
      </c>
      <c r="DH1202" t="str">
        <f>"AAK1"</f>
        <v>AAK1</v>
      </c>
      <c r="DI1202" t="s">
        <v>34866</v>
      </c>
      <c r="DJ1202" t="s">
        <v>13777</v>
      </c>
      <c r="DK1202">
        <v>9606</v>
      </c>
      <c r="DL1202" s="34" t="str">
        <f>HYPERLINK("http://www.uniprot.org/uniprot/Q2M2I8", "Q2M2I8")</f>
        <v>Q2M2I8</v>
      </c>
      <c r="DM1202" t="s">
        <v>34867</v>
      </c>
      <c r="DN1202" t="s">
        <v>13824</v>
      </c>
      <c r="DO1202" t="s">
        <v>19178</v>
      </c>
      <c r="DP1202" t="s">
        <v>13780</v>
      </c>
      <c r="DQ1202" t="s">
        <v>13772</v>
      </c>
      <c r="DR1202" t="s">
        <v>13772</v>
      </c>
      <c r="DS1202" t="s">
        <v>13772</v>
      </c>
      <c r="DT1202" t="s">
        <v>14005</v>
      </c>
      <c r="DU1202" t="s">
        <v>20891</v>
      </c>
      <c r="DV1202" t="s">
        <v>14098</v>
      </c>
      <c r="DW1202" t="s">
        <v>13812</v>
      </c>
      <c r="DX1202" t="s">
        <v>34868</v>
      </c>
      <c r="DY1202" t="s">
        <v>34869</v>
      </c>
      <c r="DZ1202" t="s">
        <v>34870</v>
      </c>
      <c r="EA1202" t="s">
        <v>13772</v>
      </c>
      <c r="EB1202" t="s">
        <v>24612</v>
      </c>
    </row>
    <row r="1203" spans="1:132" hidden="1">
      <c r="A1203">
        <v>2220</v>
      </c>
      <c r="B1203">
        <v>1</v>
      </c>
      <c r="C1203" t="s">
        <v>5192</v>
      </c>
      <c r="D1203" t="s">
        <v>73</v>
      </c>
      <c r="E1203" t="s">
        <v>73</v>
      </c>
      <c r="F1203" t="s">
        <v>73</v>
      </c>
      <c r="G1203" t="s">
        <v>73</v>
      </c>
      <c r="H1203">
        <v>20.2</v>
      </c>
      <c r="I1203">
        <v>188</v>
      </c>
      <c r="J1203">
        <v>20998</v>
      </c>
      <c r="K1203" t="s">
        <v>5193</v>
      </c>
      <c r="L1203">
        <f t="shared" si="74"/>
        <v>19</v>
      </c>
      <c r="N1203">
        <v>19</v>
      </c>
      <c r="O1203">
        <v>19</v>
      </c>
      <c r="P1203">
        <v>1</v>
      </c>
      <c r="Q1203">
        <v>1</v>
      </c>
      <c r="R1203">
        <v>4</v>
      </c>
      <c r="S1203">
        <v>1</v>
      </c>
      <c r="T1203">
        <v>0</v>
      </c>
      <c r="U1203">
        <v>4</v>
      </c>
      <c r="V1203">
        <v>3</v>
      </c>
      <c r="W1203">
        <v>3</v>
      </c>
      <c r="X1203">
        <v>2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4</v>
      </c>
      <c r="AL1203">
        <v>1</v>
      </c>
      <c r="AM1203">
        <v>0</v>
      </c>
      <c r="AN1203">
        <v>4</v>
      </c>
      <c r="AO1203">
        <v>3</v>
      </c>
      <c r="AP1203">
        <v>3</v>
      </c>
      <c r="AQ1203">
        <v>2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s="2">
        <v>1</v>
      </c>
      <c r="BD1203" s="2">
        <v>4</v>
      </c>
      <c r="BE1203" s="2">
        <v>1</v>
      </c>
      <c r="BF1203" s="2">
        <v>0</v>
      </c>
      <c r="BG1203" s="2">
        <v>4</v>
      </c>
      <c r="BH1203" s="2">
        <v>3</v>
      </c>
      <c r="BI1203" s="2">
        <v>3</v>
      </c>
      <c r="BJ1203" s="2">
        <v>2</v>
      </c>
      <c r="BK1203" s="2">
        <v>0</v>
      </c>
      <c r="BL1203" s="2">
        <v>0</v>
      </c>
      <c r="BM1203" s="2">
        <v>0</v>
      </c>
      <c r="BN1203" s="2">
        <v>1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f t="shared" si="77"/>
        <v>19</v>
      </c>
      <c r="BW1203" s="16">
        <f t="shared" si="75"/>
        <v>1</v>
      </c>
      <c r="BX1203" s="16">
        <f>COUNTIF($BC$6:BU1203, "=0") / COUNTIF($BC$6:BU1203, "&gt;-1")</f>
        <v>0.32027062648273436</v>
      </c>
      <c r="BY1203" s="18">
        <f>SUM($BC$6:BU1203) / $BY$4</f>
        <v>0.96027173541763677</v>
      </c>
      <c r="BZ1203" s="14">
        <f t="shared" si="76"/>
        <v>11</v>
      </c>
      <c r="CA1203" t="s">
        <v>5832</v>
      </c>
      <c r="CZ1203" t="s">
        <v>13144</v>
      </c>
      <c r="DA1203" t="s">
        <v>5904</v>
      </c>
      <c r="DB1203">
        <v>386.7</v>
      </c>
      <c r="DC1203" t="s">
        <v>34965</v>
      </c>
      <c r="DD1203" t="s">
        <v>34966</v>
      </c>
      <c r="DE1203" t="s">
        <v>34967</v>
      </c>
      <c r="DF1203" t="s">
        <v>34968</v>
      </c>
      <c r="DG1203" t="s">
        <v>34969</v>
      </c>
      <c r="DH1203" t="str">
        <f>"PRADC1"</f>
        <v>PRADC1</v>
      </c>
      <c r="DI1203" t="s">
        <v>34970</v>
      </c>
      <c r="DJ1203" t="s">
        <v>13777</v>
      </c>
      <c r="DK1203">
        <v>9606</v>
      </c>
      <c r="DL1203" s="34" t="str">
        <f>HYPERLINK("http://www.uniprot.org/uniprot/Q9BSG0", "Q9BSG0")</f>
        <v>Q9BSG0</v>
      </c>
      <c r="DM1203" t="s">
        <v>34971</v>
      </c>
      <c r="DN1203" t="s">
        <v>13772</v>
      </c>
      <c r="DO1203" t="s">
        <v>14321</v>
      </c>
      <c r="DP1203" t="s">
        <v>13772</v>
      </c>
      <c r="DQ1203" t="s">
        <v>13772</v>
      </c>
      <c r="DR1203" t="s">
        <v>13772</v>
      </c>
      <c r="DS1203" t="s">
        <v>13808</v>
      </c>
      <c r="DT1203" t="s">
        <v>13772</v>
      </c>
      <c r="DU1203" t="s">
        <v>13772</v>
      </c>
      <c r="DV1203" t="s">
        <v>13858</v>
      </c>
      <c r="DW1203" t="s">
        <v>13772</v>
      </c>
      <c r="DX1203" t="s">
        <v>13772</v>
      </c>
      <c r="DY1203" t="s">
        <v>15346</v>
      </c>
      <c r="DZ1203" t="s">
        <v>13772</v>
      </c>
      <c r="EA1203" t="s">
        <v>13772</v>
      </c>
      <c r="EB1203" t="s">
        <v>13772</v>
      </c>
    </row>
    <row r="1204" spans="1:132" hidden="1">
      <c r="A1204">
        <v>2261</v>
      </c>
      <c r="B1204">
        <v>1</v>
      </c>
      <c r="C1204" t="s">
        <v>5284</v>
      </c>
      <c r="D1204" t="s">
        <v>73</v>
      </c>
      <c r="E1204" t="s">
        <v>73</v>
      </c>
      <c r="F1204" t="s">
        <v>73</v>
      </c>
      <c r="G1204" t="s">
        <v>73</v>
      </c>
      <c r="H1204">
        <v>22.7</v>
      </c>
      <c r="I1204">
        <v>172</v>
      </c>
      <c r="J1204">
        <v>18957</v>
      </c>
      <c r="K1204" t="s">
        <v>5285</v>
      </c>
      <c r="L1204">
        <f t="shared" si="74"/>
        <v>19</v>
      </c>
      <c r="N1204">
        <v>19</v>
      </c>
      <c r="O1204">
        <v>19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4</v>
      </c>
      <c r="Y1204">
        <v>2</v>
      </c>
      <c r="Z1204">
        <v>0</v>
      </c>
      <c r="AA1204">
        <v>2</v>
      </c>
      <c r="AB1204">
        <v>2</v>
      </c>
      <c r="AC1204">
        <v>2</v>
      </c>
      <c r="AD1204">
        <v>0</v>
      </c>
      <c r="AE1204">
        <v>3</v>
      </c>
      <c r="AF1204">
        <v>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</v>
      </c>
      <c r="AQ1204">
        <v>4</v>
      </c>
      <c r="AR1204">
        <v>2</v>
      </c>
      <c r="AS1204">
        <v>0</v>
      </c>
      <c r="AT1204">
        <v>2</v>
      </c>
      <c r="AU1204">
        <v>2</v>
      </c>
      <c r="AV1204">
        <v>2</v>
      </c>
      <c r="AW1204">
        <v>0</v>
      </c>
      <c r="AX1204">
        <v>3</v>
      </c>
      <c r="AY1204">
        <v>2</v>
      </c>
      <c r="AZ1204">
        <v>0</v>
      </c>
      <c r="BA1204">
        <v>0</v>
      </c>
      <c r="BB1204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2</v>
      </c>
      <c r="BJ1204" s="2">
        <v>4</v>
      </c>
      <c r="BK1204" s="2">
        <v>2</v>
      </c>
      <c r="BL1204" s="2">
        <v>0</v>
      </c>
      <c r="BM1204" s="2">
        <v>2</v>
      </c>
      <c r="BN1204" s="2">
        <v>2</v>
      </c>
      <c r="BO1204" s="2">
        <v>2</v>
      </c>
      <c r="BP1204" s="2">
        <v>0</v>
      </c>
      <c r="BQ1204" s="2">
        <v>3</v>
      </c>
      <c r="BR1204" s="2">
        <v>2</v>
      </c>
      <c r="BS1204" s="2">
        <v>0</v>
      </c>
      <c r="BT1204" s="2">
        <v>0</v>
      </c>
      <c r="BU1204" s="2">
        <v>0</v>
      </c>
      <c r="BV1204" s="2">
        <f t="shared" si="77"/>
        <v>19</v>
      </c>
      <c r="BW1204" s="16">
        <f t="shared" si="75"/>
        <v>1</v>
      </c>
      <c r="BX1204" s="16">
        <f>COUNTIF($BC$6:BU1204, "=0") / COUNTIF($BC$6:BU1204, "&gt;-1")</f>
        <v>0.32048637022079801</v>
      </c>
      <c r="BY1204" s="18">
        <f>SUM($BC$6:BU1204) / $BY$4</f>
        <v>0.96035312451814203</v>
      </c>
      <c r="BZ1204" s="14">
        <f t="shared" si="76"/>
        <v>11</v>
      </c>
      <c r="CA1204" t="s">
        <v>5832</v>
      </c>
      <c r="CZ1204" t="s">
        <v>13282</v>
      </c>
      <c r="DA1204" t="s">
        <v>5904</v>
      </c>
      <c r="DB1204">
        <v>347.8</v>
      </c>
      <c r="DC1204" t="s">
        <v>35363</v>
      </c>
      <c r="DD1204" t="s">
        <v>35364</v>
      </c>
      <c r="DE1204" t="s">
        <v>35365</v>
      </c>
      <c r="DF1204" t="s">
        <v>35366</v>
      </c>
      <c r="DG1204" t="s">
        <v>35367</v>
      </c>
      <c r="DH1204" t="str">
        <f>"LGALSL"</f>
        <v>LGALSL</v>
      </c>
      <c r="DI1204" t="s">
        <v>35368</v>
      </c>
      <c r="DJ1204" t="s">
        <v>13777</v>
      </c>
      <c r="DK1204">
        <v>9606</v>
      </c>
      <c r="DL1204" s="34" t="str">
        <f>HYPERLINK("http://www.uniprot.org/uniprot/Q3ZCW2", "Q3ZCW2")</f>
        <v>Q3ZCW2</v>
      </c>
      <c r="DM1204" t="s">
        <v>35369</v>
      </c>
      <c r="DN1204" t="s">
        <v>13772</v>
      </c>
      <c r="DO1204" t="s">
        <v>13772</v>
      </c>
      <c r="DP1204" t="s">
        <v>13772</v>
      </c>
      <c r="DQ1204" t="s">
        <v>13772</v>
      </c>
      <c r="DR1204" t="s">
        <v>13772</v>
      </c>
      <c r="DS1204" t="s">
        <v>13772</v>
      </c>
      <c r="DT1204" t="s">
        <v>14277</v>
      </c>
      <c r="DU1204" t="s">
        <v>13772</v>
      </c>
      <c r="DV1204" t="s">
        <v>13886</v>
      </c>
      <c r="DW1204" t="s">
        <v>13812</v>
      </c>
      <c r="DX1204" t="s">
        <v>13772</v>
      </c>
      <c r="DY1204" t="s">
        <v>35370</v>
      </c>
      <c r="DZ1204" t="s">
        <v>20728</v>
      </c>
      <c r="EA1204" t="s">
        <v>13772</v>
      </c>
      <c r="EB1204" t="s">
        <v>13772</v>
      </c>
    </row>
    <row r="1205" spans="1:132" hidden="1">
      <c r="A1205">
        <v>2314</v>
      </c>
      <c r="B1205">
        <v>1</v>
      </c>
      <c r="C1205" t="s">
        <v>5404</v>
      </c>
      <c r="D1205" t="s">
        <v>5405</v>
      </c>
      <c r="E1205" t="s">
        <v>73</v>
      </c>
      <c r="F1205" t="s">
        <v>73</v>
      </c>
      <c r="G1205" t="s">
        <v>73</v>
      </c>
      <c r="H1205">
        <v>11.6</v>
      </c>
      <c r="I1205">
        <v>707</v>
      </c>
      <c r="J1205">
        <v>79631</v>
      </c>
      <c r="K1205" t="s">
        <v>5406</v>
      </c>
      <c r="L1205">
        <f t="shared" si="74"/>
        <v>19</v>
      </c>
      <c r="N1205">
        <v>19</v>
      </c>
      <c r="O1205">
        <v>19</v>
      </c>
      <c r="P1205">
        <v>1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0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3</v>
      </c>
      <c r="AE1205">
        <v>1</v>
      </c>
      <c r="AF1205">
        <v>4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2</v>
      </c>
      <c r="AN1205">
        <v>1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3</v>
      </c>
      <c r="AX1205">
        <v>1</v>
      </c>
      <c r="AY1205">
        <v>4</v>
      </c>
      <c r="AZ1205">
        <v>0</v>
      </c>
      <c r="BA1205">
        <v>0</v>
      </c>
      <c r="BB1205">
        <v>1</v>
      </c>
      <c r="BC1205" s="2">
        <v>1</v>
      </c>
      <c r="BD1205" s="2">
        <v>1</v>
      </c>
      <c r="BE1205" s="2">
        <v>1</v>
      </c>
      <c r="BF1205" s="2">
        <v>2</v>
      </c>
      <c r="BG1205" s="2">
        <v>1</v>
      </c>
      <c r="BH1205" s="2">
        <v>1</v>
      </c>
      <c r="BI1205" s="2">
        <v>0</v>
      </c>
      <c r="BJ1205" s="2">
        <v>1</v>
      </c>
      <c r="BK1205" s="2">
        <v>1</v>
      </c>
      <c r="BL1205" s="2">
        <v>1</v>
      </c>
      <c r="BM1205" s="2">
        <v>0</v>
      </c>
      <c r="BN1205" s="2">
        <v>0</v>
      </c>
      <c r="BO1205" s="2">
        <v>0</v>
      </c>
      <c r="BP1205" s="2">
        <v>3</v>
      </c>
      <c r="BQ1205" s="2">
        <v>1</v>
      </c>
      <c r="BR1205" s="2">
        <v>4</v>
      </c>
      <c r="BS1205" s="2">
        <v>0</v>
      </c>
      <c r="BT1205" s="2">
        <v>0</v>
      </c>
      <c r="BU1205" s="2">
        <v>1</v>
      </c>
      <c r="BV1205" s="2">
        <f t="shared" si="77"/>
        <v>19</v>
      </c>
      <c r="BW1205" s="16">
        <f t="shared" si="75"/>
        <v>1</v>
      </c>
      <c r="BX1205" s="16">
        <f>COUNTIF($BC$6:BU1205, "=0") / COUNTIF($BC$6:BU1205, "&gt;-1")</f>
        <v>0.32048245614035087</v>
      </c>
      <c r="BY1205" s="18">
        <f>SUM($BC$6:BU1205) / $BY$4</f>
        <v>0.9604345136186474</v>
      </c>
      <c r="BZ1205" s="14">
        <f t="shared" si="76"/>
        <v>6</v>
      </c>
      <c r="CA1205" t="s">
        <v>5832</v>
      </c>
      <c r="CZ1205" t="s">
        <v>13451</v>
      </c>
      <c r="DA1205" t="s">
        <v>5904</v>
      </c>
      <c r="DB1205">
        <v>1002.3</v>
      </c>
      <c r="DC1205" t="s">
        <v>35850</v>
      </c>
      <c r="DD1205" t="s">
        <v>35851</v>
      </c>
      <c r="DE1205" t="s">
        <v>35852</v>
      </c>
      <c r="DF1205" t="s">
        <v>35853</v>
      </c>
      <c r="DG1205" t="s">
        <v>35854</v>
      </c>
      <c r="DH1205" t="str">
        <f>"PECAM1"</f>
        <v>PECAM1</v>
      </c>
      <c r="DI1205" t="s">
        <v>13772</v>
      </c>
      <c r="DJ1205" t="s">
        <v>13777</v>
      </c>
      <c r="DK1205">
        <v>9606</v>
      </c>
      <c r="DL1205" s="34" t="str">
        <f>HYPERLINK("http://www.uniprot.org/uniprot/P16284", "P16284")</f>
        <v>P16284</v>
      </c>
      <c r="DM1205" t="s">
        <v>35855</v>
      </c>
      <c r="DN1205" t="s">
        <v>20542</v>
      </c>
      <c r="DO1205" t="s">
        <v>17424</v>
      </c>
      <c r="DP1205" t="s">
        <v>13780</v>
      </c>
      <c r="DQ1205" t="s">
        <v>13772</v>
      </c>
      <c r="DR1205" t="s">
        <v>13772</v>
      </c>
      <c r="DS1205" t="s">
        <v>13951</v>
      </c>
      <c r="DT1205" t="s">
        <v>13772</v>
      </c>
      <c r="DU1205" t="s">
        <v>13772</v>
      </c>
      <c r="DV1205" t="s">
        <v>14418</v>
      </c>
      <c r="DW1205" t="s">
        <v>13812</v>
      </c>
      <c r="DX1205" t="s">
        <v>35856</v>
      </c>
      <c r="DY1205" t="s">
        <v>35857</v>
      </c>
      <c r="DZ1205" t="s">
        <v>20460</v>
      </c>
      <c r="EA1205" t="s">
        <v>13772</v>
      </c>
      <c r="EB1205" t="s">
        <v>35858</v>
      </c>
    </row>
    <row r="1206" spans="1:132" hidden="1">
      <c r="A1206">
        <v>2335</v>
      </c>
      <c r="B1206">
        <v>1</v>
      </c>
      <c r="C1206" t="s">
        <v>5446</v>
      </c>
      <c r="D1206" t="s">
        <v>5447</v>
      </c>
      <c r="E1206" t="s">
        <v>73</v>
      </c>
      <c r="F1206" t="s">
        <v>73</v>
      </c>
      <c r="G1206" t="s">
        <v>73</v>
      </c>
      <c r="H1206">
        <v>18.600000000000001</v>
      </c>
      <c r="I1206">
        <v>689</v>
      </c>
      <c r="J1206">
        <v>74464</v>
      </c>
      <c r="K1206" t="s">
        <v>5448</v>
      </c>
      <c r="L1206">
        <f t="shared" si="74"/>
        <v>19</v>
      </c>
      <c r="N1206">
        <v>19</v>
      </c>
      <c r="O1206">
        <v>19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4</v>
      </c>
      <c r="AB1206">
        <v>4</v>
      </c>
      <c r="AC1206">
        <v>1</v>
      </c>
      <c r="AD1206">
        <v>0</v>
      </c>
      <c r="AE1206">
        <v>0</v>
      </c>
      <c r="AF1206">
        <v>2</v>
      </c>
      <c r="AG1206">
        <v>5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2</v>
      </c>
      <c r="AR1206">
        <v>0</v>
      </c>
      <c r="AS1206">
        <v>0</v>
      </c>
      <c r="AT1206">
        <v>4</v>
      </c>
      <c r="AU1206">
        <v>4</v>
      </c>
      <c r="AV1206">
        <v>1</v>
      </c>
      <c r="AW1206">
        <v>0</v>
      </c>
      <c r="AX1206">
        <v>0</v>
      </c>
      <c r="AY1206">
        <v>2</v>
      </c>
      <c r="AZ1206">
        <v>5</v>
      </c>
      <c r="BA1206">
        <v>0</v>
      </c>
      <c r="BB1206">
        <v>0</v>
      </c>
      <c r="BC1206" s="2">
        <v>0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2</v>
      </c>
      <c r="BK1206" s="2">
        <v>0</v>
      </c>
      <c r="BL1206" s="2">
        <v>0</v>
      </c>
      <c r="BM1206" s="2">
        <v>4</v>
      </c>
      <c r="BN1206" s="2">
        <v>4</v>
      </c>
      <c r="BO1206" s="2">
        <v>1</v>
      </c>
      <c r="BP1206" s="2">
        <v>0</v>
      </c>
      <c r="BQ1206" s="2">
        <v>0</v>
      </c>
      <c r="BR1206" s="2">
        <v>2</v>
      </c>
      <c r="BS1206" s="2">
        <v>5</v>
      </c>
      <c r="BT1206" s="2">
        <v>0</v>
      </c>
      <c r="BU1206" s="2">
        <v>0</v>
      </c>
      <c r="BV1206" s="2">
        <f t="shared" si="77"/>
        <v>19</v>
      </c>
      <c r="BW1206" s="16">
        <f t="shared" si="75"/>
        <v>1</v>
      </c>
      <c r="BX1206" s="16">
        <f>COUNTIF($BC$6:BU1206, "=0") / COUNTIF($BC$6:BU1206, "&gt;-1")</f>
        <v>0.32074148735702707</v>
      </c>
      <c r="BY1206" s="18">
        <f>SUM($BC$6:BU1206) / $BY$4</f>
        <v>0.96051590271915266</v>
      </c>
      <c r="BZ1206" s="14">
        <f t="shared" si="76"/>
        <v>12</v>
      </c>
      <c r="CA1206" t="s">
        <v>5832</v>
      </c>
      <c r="CZ1206" t="s">
        <v>13511</v>
      </c>
      <c r="DA1206" t="s">
        <v>5904</v>
      </c>
      <c r="DB1206">
        <v>1185.5999999999999</v>
      </c>
      <c r="DC1206" t="s">
        <v>36007</v>
      </c>
      <c r="DD1206" t="s">
        <v>13772</v>
      </c>
      <c r="DE1206" t="s">
        <v>36008</v>
      </c>
      <c r="DF1206" t="s">
        <v>36009</v>
      </c>
      <c r="DG1206" t="s">
        <v>36010</v>
      </c>
      <c r="DH1206" t="str">
        <f>"ACADVL"</f>
        <v>ACADVL</v>
      </c>
      <c r="DI1206" t="s">
        <v>36011</v>
      </c>
      <c r="DJ1206" t="s">
        <v>13777</v>
      </c>
      <c r="DK1206">
        <v>9606</v>
      </c>
      <c r="DL1206" s="34" t="str">
        <f>HYPERLINK("http://www.uniprot.org/uniprot/P49748", "P49748")</f>
        <v>P49748</v>
      </c>
      <c r="DM1206" t="s">
        <v>36012</v>
      </c>
      <c r="DN1206" t="s">
        <v>14430</v>
      </c>
      <c r="DO1206" t="s">
        <v>15507</v>
      </c>
      <c r="DP1206" t="s">
        <v>13780</v>
      </c>
      <c r="DQ1206" t="s">
        <v>13772</v>
      </c>
      <c r="DR1206" t="s">
        <v>14848</v>
      </c>
      <c r="DS1206" t="s">
        <v>14391</v>
      </c>
      <c r="DT1206" t="s">
        <v>15580</v>
      </c>
      <c r="DU1206" t="s">
        <v>13885</v>
      </c>
      <c r="DV1206" t="s">
        <v>26450</v>
      </c>
      <c r="DW1206" t="s">
        <v>13812</v>
      </c>
      <c r="DX1206" t="s">
        <v>36013</v>
      </c>
      <c r="DY1206" t="s">
        <v>36014</v>
      </c>
      <c r="DZ1206" t="s">
        <v>36015</v>
      </c>
      <c r="EA1206" t="s">
        <v>30246</v>
      </c>
      <c r="EB1206" t="s">
        <v>36016</v>
      </c>
    </row>
    <row r="1207" spans="1:132" hidden="1">
      <c r="A1207">
        <v>1027</v>
      </c>
      <c r="B1207">
        <v>1</v>
      </c>
      <c r="C1207" t="s">
        <v>2484</v>
      </c>
      <c r="D1207" t="s">
        <v>2485</v>
      </c>
      <c r="E1207" t="s">
        <v>73</v>
      </c>
      <c r="F1207" t="s">
        <v>945</v>
      </c>
      <c r="G1207" t="s">
        <v>73</v>
      </c>
      <c r="H1207">
        <v>26.6</v>
      </c>
      <c r="I1207">
        <v>610</v>
      </c>
      <c r="J1207">
        <v>66527</v>
      </c>
      <c r="K1207" t="s">
        <v>2486</v>
      </c>
      <c r="L1207">
        <f t="shared" si="74"/>
        <v>20</v>
      </c>
      <c r="N1207">
        <v>20</v>
      </c>
      <c r="O1207">
        <v>18</v>
      </c>
      <c r="P1207">
        <v>0.9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16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2</v>
      </c>
      <c r="AV1207">
        <v>0</v>
      </c>
      <c r="AW1207">
        <v>0</v>
      </c>
      <c r="AX1207">
        <v>0</v>
      </c>
      <c r="AY1207">
        <v>0</v>
      </c>
      <c r="AZ1207">
        <v>15</v>
      </c>
      <c r="BA1207">
        <v>0</v>
      </c>
      <c r="BB1207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1</v>
      </c>
      <c r="BN1207" s="2">
        <v>2</v>
      </c>
      <c r="BO1207" s="2">
        <v>0</v>
      </c>
      <c r="BP1207" s="2">
        <v>0</v>
      </c>
      <c r="BQ1207" s="2">
        <v>0</v>
      </c>
      <c r="BR1207" s="2">
        <v>0</v>
      </c>
      <c r="BS1207" s="2">
        <v>15.938000000000001</v>
      </c>
      <c r="BT1207" s="2">
        <v>0</v>
      </c>
      <c r="BU1207" s="2">
        <v>0</v>
      </c>
      <c r="BV1207" s="2">
        <f t="shared" si="77"/>
        <v>18.938000000000002</v>
      </c>
      <c r="BW1207" s="16">
        <f t="shared" si="75"/>
        <v>0.99673684210526325</v>
      </c>
      <c r="BX1207" s="16">
        <f>COUNTIF($BC$6:BU1207, "=0") / COUNTIF($BC$6:BU1207, "&gt;-1")</f>
        <v>0.32117523425869166</v>
      </c>
      <c r="BY1207" s="18">
        <f>SUM($BC$6:BU1207) / $BY$4</f>
        <v>0.96059702623417209</v>
      </c>
      <c r="BZ1207" s="14">
        <f t="shared" si="76"/>
        <v>16</v>
      </c>
      <c r="CA1207" t="s">
        <v>5832</v>
      </c>
      <c r="CZ1207" t="s">
        <v>9201</v>
      </c>
      <c r="DA1207" t="s">
        <v>5904</v>
      </c>
      <c r="DB1207">
        <v>973.8</v>
      </c>
      <c r="DC1207" t="s">
        <v>23860</v>
      </c>
      <c r="DD1207" t="s">
        <v>23861</v>
      </c>
      <c r="DE1207" t="s">
        <v>23862</v>
      </c>
      <c r="DF1207" t="s">
        <v>23863</v>
      </c>
      <c r="DG1207" t="s">
        <v>23864</v>
      </c>
      <c r="DH1207" t="str">
        <f>"TXNRD1"</f>
        <v>TXNRD1</v>
      </c>
      <c r="DI1207" t="s">
        <v>23865</v>
      </c>
      <c r="DJ1207" t="s">
        <v>13777</v>
      </c>
      <c r="DK1207">
        <v>9606</v>
      </c>
      <c r="DL1207" s="34" t="str">
        <f>HYPERLINK("http://www.uniprot.org/uniprot/Q16881", "Q16881")</f>
        <v>Q16881</v>
      </c>
      <c r="DM1207" t="s">
        <v>23866</v>
      </c>
      <c r="DN1207" t="s">
        <v>16041</v>
      </c>
      <c r="DO1207" t="s">
        <v>13912</v>
      </c>
      <c r="DP1207" t="s">
        <v>17380</v>
      </c>
      <c r="DQ1207" t="s">
        <v>13772</v>
      </c>
      <c r="DR1207" t="s">
        <v>13772</v>
      </c>
      <c r="DS1207" t="s">
        <v>18188</v>
      </c>
      <c r="DT1207" t="s">
        <v>17381</v>
      </c>
      <c r="DU1207" t="s">
        <v>13885</v>
      </c>
      <c r="DV1207" t="s">
        <v>23867</v>
      </c>
      <c r="DW1207" t="s">
        <v>13812</v>
      </c>
      <c r="DX1207" t="s">
        <v>23868</v>
      </c>
      <c r="DY1207" t="s">
        <v>23869</v>
      </c>
      <c r="DZ1207" t="s">
        <v>23870</v>
      </c>
      <c r="EA1207" t="s">
        <v>13772</v>
      </c>
      <c r="EB1207" t="s">
        <v>23871</v>
      </c>
    </row>
    <row r="1208" spans="1:132" hidden="1">
      <c r="A1208">
        <v>1887</v>
      </c>
      <c r="B1208">
        <v>1</v>
      </c>
      <c r="C1208" t="s">
        <v>4454</v>
      </c>
      <c r="D1208" t="s">
        <v>4455</v>
      </c>
      <c r="E1208" t="s">
        <v>73</v>
      </c>
      <c r="F1208" t="s">
        <v>552</v>
      </c>
      <c r="G1208" t="s">
        <v>73</v>
      </c>
      <c r="H1208">
        <v>8.6</v>
      </c>
      <c r="I1208">
        <v>1979</v>
      </c>
      <c r="J1208">
        <v>227867</v>
      </c>
      <c r="K1208" t="s">
        <v>4456</v>
      </c>
      <c r="L1208">
        <f t="shared" si="74"/>
        <v>49</v>
      </c>
      <c r="N1208">
        <v>49</v>
      </c>
      <c r="O1208">
        <v>17</v>
      </c>
      <c r="P1208">
        <v>0.34699999999999998</v>
      </c>
      <c r="Q1208">
        <v>2</v>
      </c>
      <c r="R1208">
        <v>3</v>
      </c>
      <c r="S1208">
        <v>0</v>
      </c>
      <c r="T1208">
        <v>1</v>
      </c>
      <c r="U1208">
        <v>1</v>
      </c>
      <c r="V1208">
        <v>2</v>
      </c>
      <c r="W1208">
        <v>0</v>
      </c>
      <c r="X1208">
        <v>1</v>
      </c>
      <c r="Y1208">
        <v>4</v>
      </c>
      <c r="Z1208">
        <v>2</v>
      </c>
      <c r="AA1208">
        <v>8</v>
      </c>
      <c r="AB1208">
        <v>6</v>
      </c>
      <c r="AC1208">
        <v>8</v>
      </c>
      <c r="AD1208">
        <v>0</v>
      </c>
      <c r="AE1208">
        <v>4</v>
      </c>
      <c r="AF1208">
        <v>6</v>
      </c>
      <c r="AG1208">
        <v>1</v>
      </c>
      <c r="AH1208">
        <v>0</v>
      </c>
      <c r="AI1208">
        <v>0</v>
      </c>
      <c r="AJ1208">
        <v>2</v>
      </c>
      <c r="AK1208">
        <v>2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2</v>
      </c>
      <c r="AU1208">
        <v>2</v>
      </c>
      <c r="AV1208">
        <v>1</v>
      </c>
      <c r="AW1208">
        <v>0</v>
      </c>
      <c r="AX1208">
        <v>3</v>
      </c>
      <c r="AY1208">
        <v>3</v>
      </c>
      <c r="AZ1208">
        <v>0</v>
      </c>
      <c r="BA1208">
        <v>0</v>
      </c>
      <c r="BB1208">
        <v>0</v>
      </c>
      <c r="BC1208" s="2">
        <v>2</v>
      </c>
      <c r="BD1208" s="2">
        <v>2.4</v>
      </c>
      <c r="BE1208" s="2">
        <v>0</v>
      </c>
      <c r="BF1208" s="2">
        <v>0.33300000000000002</v>
      </c>
      <c r="BG1208" s="2">
        <v>0</v>
      </c>
      <c r="BH1208" s="2">
        <v>1.111</v>
      </c>
      <c r="BI1208" s="2">
        <v>0</v>
      </c>
      <c r="BJ1208" s="2">
        <v>1</v>
      </c>
      <c r="BK1208" s="2">
        <v>0</v>
      </c>
      <c r="BL1208" s="2">
        <v>0</v>
      </c>
      <c r="BM1208" s="2">
        <v>2.1629999999999998</v>
      </c>
      <c r="BN1208" s="2">
        <v>2.0880000000000001</v>
      </c>
      <c r="BO1208" s="2">
        <v>1.125</v>
      </c>
      <c r="BP1208" s="2">
        <v>0</v>
      </c>
      <c r="BQ1208" s="2">
        <v>3.2309999999999999</v>
      </c>
      <c r="BR1208" s="2">
        <v>3.2570000000000001</v>
      </c>
      <c r="BS1208" s="2">
        <v>0</v>
      </c>
      <c r="BT1208" s="2">
        <v>0</v>
      </c>
      <c r="BU1208" s="2">
        <v>0</v>
      </c>
      <c r="BV1208" s="2">
        <f t="shared" si="77"/>
        <v>18.707999999999998</v>
      </c>
      <c r="BW1208" s="16">
        <f t="shared" si="75"/>
        <v>0.9846315789473683</v>
      </c>
      <c r="BX1208" s="16">
        <f>COUNTIF($BC$6:BU1208, "=0") / COUNTIF($BC$6:BU1208, "&gt;-1")</f>
        <v>0.32130200813755089</v>
      </c>
      <c r="BY1208" s="18">
        <f>SUM($BC$6:BU1208) / $BY$4</f>
        <v>0.96067716451271179</v>
      </c>
      <c r="BZ1208" s="14">
        <f t="shared" si="76"/>
        <v>9</v>
      </c>
      <c r="CA1208" t="s">
        <v>5832</v>
      </c>
      <c r="CZ1208" t="s">
        <v>12049</v>
      </c>
      <c r="DA1208" t="s">
        <v>5904</v>
      </c>
      <c r="DB1208">
        <v>3902.8</v>
      </c>
      <c r="DC1208" t="s">
        <v>31888</v>
      </c>
      <c r="DD1208" t="s">
        <v>31889</v>
      </c>
      <c r="DE1208" t="s">
        <v>31890</v>
      </c>
      <c r="DF1208" t="s">
        <v>31891</v>
      </c>
      <c r="DG1208" t="s">
        <v>31892</v>
      </c>
      <c r="DH1208" t="str">
        <f>"MYH11"</f>
        <v>MYH11</v>
      </c>
      <c r="DI1208" t="s">
        <v>31893</v>
      </c>
      <c r="DJ1208" t="s">
        <v>13777</v>
      </c>
      <c r="DK1208">
        <v>9606</v>
      </c>
      <c r="DL1208" s="34" t="str">
        <f>HYPERLINK("http://www.uniprot.org/uniprot/P35749", "P35749")</f>
        <v>P35749</v>
      </c>
      <c r="DM1208" t="s">
        <v>31894</v>
      </c>
      <c r="DN1208" t="s">
        <v>13772</v>
      </c>
      <c r="DO1208" t="s">
        <v>24754</v>
      </c>
      <c r="DP1208" t="s">
        <v>20333</v>
      </c>
      <c r="DQ1208" t="s">
        <v>13772</v>
      </c>
      <c r="DR1208" t="s">
        <v>31895</v>
      </c>
      <c r="DS1208" t="s">
        <v>14245</v>
      </c>
      <c r="DT1208" t="s">
        <v>14005</v>
      </c>
      <c r="DU1208" t="s">
        <v>15653</v>
      </c>
      <c r="DV1208" t="s">
        <v>14478</v>
      </c>
      <c r="DW1208" t="s">
        <v>13772</v>
      </c>
      <c r="DX1208" t="s">
        <v>31896</v>
      </c>
      <c r="DY1208" t="s">
        <v>31897</v>
      </c>
      <c r="DZ1208" t="s">
        <v>31898</v>
      </c>
      <c r="EA1208" t="s">
        <v>13772</v>
      </c>
      <c r="EB1208" t="s">
        <v>17525</v>
      </c>
    </row>
    <row r="1209" spans="1:132" hidden="1">
      <c r="A1209">
        <v>338</v>
      </c>
      <c r="B1209">
        <v>1</v>
      </c>
      <c r="C1209" t="s">
        <v>848</v>
      </c>
      <c r="D1209" t="s">
        <v>849</v>
      </c>
      <c r="E1209" t="s">
        <v>73</v>
      </c>
      <c r="F1209" t="s">
        <v>850</v>
      </c>
      <c r="G1209" t="s">
        <v>73</v>
      </c>
      <c r="H1209">
        <v>31.2</v>
      </c>
      <c r="I1209">
        <v>128</v>
      </c>
      <c r="J1209">
        <v>13509</v>
      </c>
      <c r="K1209" t="s">
        <v>851</v>
      </c>
      <c r="L1209">
        <f t="shared" si="74"/>
        <v>43</v>
      </c>
      <c r="N1209">
        <v>43</v>
      </c>
      <c r="O1209">
        <v>13</v>
      </c>
      <c r="P1209">
        <v>0.30199999999999999</v>
      </c>
      <c r="Q1209">
        <v>1</v>
      </c>
      <c r="R1209">
        <v>2</v>
      </c>
      <c r="S1209">
        <v>1</v>
      </c>
      <c r="T1209">
        <v>2</v>
      </c>
      <c r="U1209">
        <v>2</v>
      </c>
      <c r="V1209">
        <v>1</v>
      </c>
      <c r="W1209">
        <v>1</v>
      </c>
      <c r="X1209">
        <v>2</v>
      </c>
      <c r="Y1209">
        <v>6</v>
      </c>
      <c r="Z1209">
        <v>2</v>
      </c>
      <c r="AA1209">
        <v>3</v>
      </c>
      <c r="AB1209">
        <v>4</v>
      </c>
      <c r="AC1209">
        <v>7</v>
      </c>
      <c r="AD1209">
        <v>1</v>
      </c>
      <c r="AE1209">
        <v>2</v>
      </c>
      <c r="AF1209">
        <v>1</v>
      </c>
      <c r="AG1209">
        <v>2</v>
      </c>
      <c r="AH1209">
        <v>1</v>
      </c>
      <c r="AI1209">
        <v>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4</v>
      </c>
      <c r="AS1209">
        <v>0</v>
      </c>
      <c r="AT1209">
        <v>1</v>
      </c>
      <c r="AU1209">
        <v>2</v>
      </c>
      <c r="AV1209">
        <v>4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 s="2">
        <v>0.33300000000000002</v>
      </c>
      <c r="BD1209" s="2">
        <v>0</v>
      </c>
      <c r="BE1209" s="2">
        <v>0.33300000000000002</v>
      </c>
      <c r="BF1209" s="2">
        <v>0.66700000000000004</v>
      </c>
      <c r="BG1209" s="2">
        <v>0.66700000000000004</v>
      </c>
      <c r="BH1209" s="2">
        <v>0.33300000000000002</v>
      </c>
      <c r="BI1209" s="2">
        <v>0.33300000000000002</v>
      </c>
      <c r="BJ1209" s="2">
        <v>0</v>
      </c>
      <c r="BK1209" s="2">
        <v>4.5</v>
      </c>
      <c r="BL1209" s="2">
        <v>0</v>
      </c>
      <c r="BM1209" s="2">
        <v>1.25</v>
      </c>
      <c r="BN1209" s="2">
        <v>2.5</v>
      </c>
      <c r="BO1209" s="2">
        <v>4.75</v>
      </c>
      <c r="BP1209" s="2">
        <v>0.33300000000000002</v>
      </c>
      <c r="BQ1209" s="2">
        <v>1.2</v>
      </c>
      <c r="BR1209" s="2">
        <v>0</v>
      </c>
      <c r="BS1209" s="2">
        <v>0</v>
      </c>
      <c r="BT1209" s="2">
        <v>0</v>
      </c>
      <c r="BU1209" s="2">
        <v>1.5</v>
      </c>
      <c r="BV1209" s="2">
        <f t="shared" si="77"/>
        <v>18.699000000000002</v>
      </c>
      <c r="BW1209" s="16">
        <f t="shared" si="75"/>
        <v>0.98415789473684223</v>
      </c>
      <c r="BX1209" s="16">
        <f>COUNTIF($BC$6:BU1209, "=0") / COUNTIF($BC$6:BU1209, "&gt;-1")</f>
        <v>0.32129742962056301</v>
      </c>
      <c r="BY1209" s="18">
        <f>SUM($BC$6:BU1209) / $BY$4</f>
        <v>0.96075726423851993</v>
      </c>
      <c r="BZ1209" s="14">
        <f t="shared" si="76"/>
        <v>6</v>
      </c>
      <c r="CA1209" t="s">
        <v>5832</v>
      </c>
      <c r="CZ1209" t="s">
        <v>6872</v>
      </c>
      <c r="DA1209" t="s">
        <v>5904</v>
      </c>
      <c r="DB1209">
        <v>251.9</v>
      </c>
      <c r="DC1209" t="s">
        <v>16942</v>
      </c>
      <c r="DD1209" t="s">
        <v>16943</v>
      </c>
      <c r="DE1209" t="s">
        <v>16944</v>
      </c>
      <c r="DF1209" t="s">
        <v>16945</v>
      </c>
      <c r="DG1209" t="s">
        <v>16946</v>
      </c>
      <c r="DH1209" t="str">
        <f>"H2AFV"</f>
        <v>H2AFV</v>
      </c>
      <c r="DI1209" t="s">
        <v>16947</v>
      </c>
      <c r="DJ1209" t="s">
        <v>13777</v>
      </c>
      <c r="DK1209">
        <v>9606</v>
      </c>
      <c r="DL1209" s="34" t="str">
        <f>HYPERLINK("http://www.uniprot.org/uniprot/Q71UI9", "Q71UI9")</f>
        <v>Q71UI9</v>
      </c>
      <c r="DM1209" t="s">
        <v>16948</v>
      </c>
      <c r="DN1209" t="s">
        <v>13772</v>
      </c>
      <c r="DO1209" t="s">
        <v>15870</v>
      </c>
      <c r="DP1209" t="s">
        <v>13780</v>
      </c>
      <c r="DQ1209" t="s">
        <v>13772</v>
      </c>
      <c r="DR1209" t="s">
        <v>13772</v>
      </c>
      <c r="DS1209" t="s">
        <v>13772</v>
      </c>
      <c r="DT1209" t="s">
        <v>13772</v>
      </c>
      <c r="DU1209" t="s">
        <v>15871</v>
      </c>
      <c r="DV1209" t="s">
        <v>16949</v>
      </c>
      <c r="DW1209" t="s">
        <v>13812</v>
      </c>
      <c r="DX1209" t="s">
        <v>15873</v>
      </c>
      <c r="DY1209" t="s">
        <v>15874</v>
      </c>
      <c r="DZ1209" t="s">
        <v>15875</v>
      </c>
      <c r="EA1209" t="s">
        <v>13772</v>
      </c>
      <c r="EB1209" t="s">
        <v>16950</v>
      </c>
    </row>
    <row r="1210" spans="1:132" hidden="1">
      <c r="A1210">
        <v>2183</v>
      </c>
      <c r="B1210">
        <v>1</v>
      </c>
      <c r="C1210" t="s">
        <v>5106</v>
      </c>
      <c r="D1210" t="s">
        <v>73</v>
      </c>
      <c r="E1210" t="s">
        <v>73</v>
      </c>
      <c r="F1210" t="s">
        <v>3143</v>
      </c>
      <c r="G1210" t="s">
        <v>73</v>
      </c>
      <c r="H1210">
        <v>23.6</v>
      </c>
      <c r="I1210">
        <v>513</v>
      </c>
      <c r="J1210">
        <v>56776</v>
      </c>
      <c r="K1210" t="s">
        <v>5107</v>
      </c>
      <c r="L1210">
        <f t="shared" si="74"/>
        <v>31</v>
      </c>
      <c r="N1210">
        <v>31</v>
      </c>
      <c r="O1210">
        <v>11</v>
      </c>
      <c r="P1210">
        <v>0.35499999999999998</v>
      </c>
      <c r="Q1210">
        <v>1</v>
      </c>
      <c r="R1210">
        <v>1</v>
      </c>
      <c r="S1210">
        <v>5</v>
      </c>
      <c r="T1210">
        <v>0</v>
      </c>
      <c r="U1210">
        <v>7</v>
      </c>
      <c r="V1210">
        <v>8</v>
      </c>
      <c r="W1210">
        <v>3</v>
      </c>
      <c r="X1210">
        <v>3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3</v>
      </c>
      <c r="AM1210">
        <v>0</v>
      </c>
      <c r="AN1210">
        <v>2</v>
      </c>
      <c r="AO1210">
        <v>3</v>
      </c>
      <c r="AP1210">
        <v>1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 s="2">
        <v>0</v>
      </c>
      <c r="BD1210" s="2">
        <v>1</v>
      </c>
      <c r="BE1210" s="2">
        <v>5</v>
      </c>
      <c r="BF1210" s="2">
        <v>0</v>
      </c>
      <c r="BG1210" s="2">
        <v>3.4289999999999998</v>
      </c>
      <c r="BH1210" s="2">
        <v>4.5</v>
      </c>
      <c r="BI1210" s="2">
        <v>2</v>
      </c>
      <c r="BJ1210" s="2">
        <v>2</v>
      </c>
      <c r="BK1210" s="2">
        <v>0</v>
      </c>
      <c r="BL1210" s="2">
        <v>0</v>
      </c>
      <c r="BM1210" s="2">
        <v>0</v>
      </c>
      <c r="BN1210" s="2">
        <v>0.5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f t="shared" si="77"/>
        <v>18.429000000000002</v>
      </c>
      <c r="BW1210" s="16">
        <f t="shared" si="75"/>
        <v>0.96994736842105278</v>
      </c>
      <c r="BX1210" s="16">
        <f>COUNTIF($BC$6:BU1210, "=0") / COUNTIF($BC$6:BU1210, "&gt;-1")</f>
        <v>0.32155492465603841</v>
      </c>
      <c r="BY1210" s="18">
        <f>SUM($BC$6:BU1210) / $BY$4</f>
        <v>0.96083620738237319</v>
      </c>
      <c r="BZ1210" s="14">
        <f t="shared" si="76"/>
        <v>12</v>
      </c>
      <c r="CA1210" t="s">
        <v>5832</v>
      </c>
      <c r="CZ1210" t="s">
        <v>13021</v>
      </c>
      <c r="DA1210" t="s">
        <v>5904</v>
      </c>
      <c r="DB1210">
        <v>1028.8</v>
      </c>
      <c r="DC1210" t="s">
        <v>34624</v>
      </c>
      <c r="DD1210" t="s">
        <v>34625</v>
      </c>
      <c r="DE1210" t="s">
        <v>34626</v>
      </c>
      <c r="DF1210" t="s">
        <v>34627</v>
      </c>
      <c r="DG1210" t="s">
        <v>34628</v>
      </c>
      <c r="DH1210" t="str">
        <f>"ATP6V1B1"</f>
        <v>ATP6V1B1</v>
      </c>
      <c r="DI1210" t="s">
        <v>34629</v>
      </c>
      <c r="DJ1210" t="s">
        <v>13777</v>
      </c>
      <c r="DK1210">
        <v>9606</v>
      </c>
      <c r="DL1210" s="34" t="str">
        <f>HYPERLINK("http://www.uniprot.org/uniprot/P15313", "P15313")</f>
        <v>P15313</v>
      </c>
      <c r="DM1210" t="s">
        <v>34630</v>
      </c>
      <c r="DN1210" t="s">
        <v>14032</v>
      </c>
      <c r="DO1210" t="s">
        <v>13825</v>
      </c>
      <c r="DP1210" t="s">
        <v>13793</v>
      </c>
      <c r="DQ1210" t="s">
        <v>13772</v>
      </c>
      <c r="DR1210" t="s">
        <v>26462</v>
      </c>
      <c r="DS1210" t="s">
        <v>13772</v>
      </c>
      <c r="DT1210" t="s">
        <v>13772</v>
      </c>
      <c r="DU1210" t="s">
        <v>13857</v>
      </c>
      <c r="DV1210" t="s">
        <v>13772</v>
      </c>
      <c r="DW1210" t="s">
        <v>13772</v>
      </c>
      <c r="DX1210" t="s">
        <v>34631</v>
      </c>
      <c r="DY1210" t="s">
        <v>34632</v>
      </c>
      <c r="DZ1210" t="s">
        <v>34633</v>
      </c>
      <c r="EA1210" t="s">
        <v>13772</v>
      </c>
      <c r="EB1210" t="s">
        <v>17137</v>
      </c>
    </row>
    <row r="1211" spans="1:132" hidden="1">
      <c r="A1211">
        <v>1942</v>
      </c>
      <c r="B1211">
        <v>1</v>
      </c>
      <c r="C1211" t="s">
        <v>4575</v>
      </c>
      <c r="D1211" t="s">
        <v>73</v>
      </c>
      <c r="E1211" t="s">
        <v>73</v>
      </c>
      <c r="F1211" t="s">
        <v>4576</v>
      </c>
      <c r="G1211" t="s">
        <v>73</v>
      </c>
      <c r="H1211">
        <v>4.5</v>
      </c>
      <c r="I1211">
        <v>940</v>
      </c>
      <c r="J1211">
        <v>103963</v>
      </c>
      <c r="K1211" t="s">
        <v>4577</v>
      </c>
      <c r="L1211">
        <f t="shared" si="74"/>
        <v>19</v>
      </c>
      <c r="N1211">
        <v>19</v>
      </c>
      <c r="O1211">
        <v>16</v>
      </c>
      <c r="P1211">
        <v>0.84199999999999997</v>
      </c>
      <c r="Q1211">
        <v>1</v>
      </c>
      <c r="R1211">
        <v>1</v>
      </c>
      <c r="S1211">
        <v>3</v>
      </c>
      <c r="T1211">
        <v>6</v>
      </c>
      <c r="U1211">
        <v>3</v>
      </c>
      <c r="V1211">
        <v>3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3</v>
      </c>
      <c r="AM1211">
        <v>3</v>
      </c>
      <c r="AN1211">
        <v>3</v>
      </c>
      <c r="AO1211">
        <v>3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 s="2">
        <v>1</v>
      </c>
      <c r="BD1211" s="2">
        <v>1</v>
      </c>
      <c r="BE1211" s="2">
        <v>3</v>
      </c>
      <c r="BF1211" s="2">
        <v>5.25</v>
      </c>
      <c r="BG1211" s="2">
        <v>3</v>
      </c>
      <c r="BH1211" s="2">
        <v>3</v>
      </c>
      <c r="BI1211" s="2">
        <v>1</v>
      </c>
      <c r="BJ1211" s="2">
        <v>0</v>
      </c>
      <c r="BK1211" s="2">
        <v>0</v>
      </c>
      <c r="BL1211" s="2">
        <v>0</v>
      </c>
      <c r="BM1211" s="2">
        <v>1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f t="shared" si="77"/>
        <v>18.25</v>
      </c>
      <c r="BW1211" s="16">
        <f t="shared" si="75"/>
        <v>0.96052631578947367</v>
      </c>
      <c r="BX1211" s="16">
        <f>COUNTIF($BC$6:BU1211, "=0") / COUNTIF($BC$6:BU1211, "&gt;-1")</f>
        <v>0.32176835122632452</v>
      </c>
      <c r="BY1211" s="18">
        <f>SUM($BC$6:BU1211) / $BY$4</f>
        <v>0.96091438375522698</v>
      </c>
      <c r="BZ1211" s="14">
        <f t="shared" si="76"/>
        <v>11</v>
      </c>
      <c r="CA1211" t="s">
        <v>5832</v>
      </c>
      <c r="CZ1211" t="s">
        <v>12227</v>
      </c>
      <c r="DA1211" t="s">
        <v>5904</v>
      </c>
      <c r="DB1211">
        <v>1728.4</v>
      </c>
      <c r="DC1211" t="s">
        <v>32398</v>
      </c>
      <c r="DD1211" t="s">
        <v>32399</v>
      </c>
      <c r="DE1211" t="s">
        <v>32400</v>
      </c>
      <c r="DF1211" t="s">
        <v>32401</v>
      </c>
      <c r="DG1211" t="s">
        <v>32402</v>
      </c>
      <c r="DH1211" t="str">
        <f>"ROR2"</f>
        <v>ROR2</v>
      </c>
      <c r="DI1211" t="s">
        <v>32403</v>
      </c>
      <c r="DJ1211" t="s">
        <v>13777</v>
      </c>
      <c r="DK1211">
        <v>9606</v>
      </c>
      <c r="DL1211" s="34" t="str">
        <f>HYPERLINK("http://www.uniprot.org/uniprot/Q01974", "Q01974")</f>
        <v>Q01974</v>
      </c>
      <c r="DM1211" t="s">
        <v>32404</v>
      </c>
      <c r="DN1211" t="s">
        <v>14072</v>
      </c>
      <c r="DO1211" t="s">
        <v>13792</v>
      </c>
      <c r="DP1211" t="s">
        <v>13793</v>
      </c>
      <c r="DQ1211" t="s">
        <v>13772</v>
      </c>
      <c r="DR1211" t="s">
        <v>14517</v>
      </c>
      <c r="DS1211" t="s">
        <v>32405</v>
      </c>
      <c r="DT1211" t="s">
        <v>17602</v>
      </c>
      <c r="DU1211" t="s">
        <v>20102</v>
      </c>
      <c r="DV1211" t="s">
        <v>32406</v>
      </c>
      <c r="DW1211" t="s">
        <v>13812</v>
      </c>
      <c r="DX1211" t="s">
        <v>32407</v>
      </c>
      <c r="DY1211" t="s">
        <v>32408</v>
      </c>
      <c r="DZ1211" t="s">
        <v>32409</v>
      </c>
      <c r="EA1211" t="s">
        <v>13772</v>
      </c>
      <c r="EB1211" t="s">
        <v>32410</v>
      </c>
    </row>
    <row r="1212" spans="1:132" hidden="1">
      <c r="A1212">
        <v>1992</v>
      </c>
      <c r="B1212">
        <v>1</v>
      </c>
      <c r="C1212" t="s">
        <v>4690</v>
      </c>
      <c r="D1212" t="s">
        <v>73</v>
      </c>
      <c r="E1212" t="s">
        <v>73</v>
      </c>
      <c r="F1212" t="s">
        <v>4665</v>
      </c>
      <c r="G1212" t="s">
        <v>73</v>
      </c>
      <c r="H1212">
        <v>20.9</v>
      </c>
      <c r="I1212">
        <v>335</v>
      </c>
      <c r="J1212">
        <v>36409</v>
      </c>
      <c r="K1212" t="s">
        <v>4691</v>
      </c>
      <c r="L1212">
        <f t="shared" si="74"/>
        <v>27</v>
      </c>
      <c r="N1212">
        <v>27</v>
      </c>
      <c r="O1212">
        <v>16</v>
      </c>
      <c r="P1212">
        <v>0.59299999999999997</v>
      </c>
      <c r="Q1212">
        <v>1</v>
      </c>
      <c r="R1212">
        <v>3</v>
      </c>
      <c r="S1212">
        <v>0</v>
      </c>
      <c r="T1212">
        <v>1</v>
      </c>
      <c r="U1212">
        <v>4</v>
      </c>
      <c r="V1212">
        <v>6</v>
      </c>
      <c r="W1212">
        <v>0</v>
      </c>
      <c r="X1212">
        <v>0</v>
      </c>
      <c r="Y1212">
        <v>2</v>
      </c>
      <c r="Z1212">
        <v>0</v>
      </c>
      <c r="AA1212">
        <v>3</v>
      </c>
      <c r="AB1212">
        <v>3</v>
      </c>
      <c r="AC1212">
        <v>0</v>
      </c>
      <c r="AD1212">
        <v>0</v>
      </c>
      <c r="AE1212">
        <v>3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2</v>
      </c>
      <c r="AO1212">
        <v>3</v>
      </c>
      <c r="AP1212">
        <v>0</v>
      </c>
      <c r="AQ1212">
        <v>0</v>
      </c>
      <c r="AR1212">
        <v>1</v>
      </c>
      <c r="AS1212">
        <v>0</v>
      </c>
      <c r="AT1212">
        <v>2</v>
      </c>
      <c r="AU1212">
        <v>3</v>
      </c>
      <c r="AV1212">
        <v>0</v>
      </c>
      <c r="AW1212">
        <v>0</v>
      </c>
      <c r="AX1212">
        <v>2</v>
      </c>
      <c r="AY1212">
        <v>1</v>
      </c>
      <c r="AZ1212">
        <v>0</v>
      </c>
      <c r="BA1212">
        <v>0</v>
      </c>
      <c r="BB1212">
        <v>0</v>
      </c>
      <c r="BC1212" s="2">
        <v>1</v>
      </c>
      <c r="BD1212" s="2">
        <v>1.143</v>
      </c>
      <c r="BE1212" s="2">
        <v>0</v>
      </c>
      <c r="BF1212" s="2">
        <v>0</v>
      </c>
      <c r="BG1212" s="2">
        <v>2.16</v>
      </c>
      <c r="BH1212" s="2">
        <v>3.5</v>
      </c>
      <c r="BI1212" s="2">
        <v>0</v>
      </c>
      <c r="BJ1212" s="2">
        <v>0</v>
      </c>
      <c r="BK1212" s="2">
        <v>1.25</v>
      </c>
      <c r="BL1212" s="2">
        <v>0</v>
      </c>
      <c r="BM1212" s="2">
        <v>2.133</v>
      </c>
      <c r="BN1212" s="2">
        <v>3</v>
      </c>
      <c r="BO1212" s="2">
        <v>0</v>
      </c>
      <c r="BP1212" s="2">
        <v>0</v>
      </c>
      <c r="BQ1212" s="2">
        <v>3</v>
      </c>
      <c r="BR1212" s="2">
        <v>1</v>
      </c>
      <c r="BS1212" s="2">
        <v>0</v>
      </c>
      <c r="BT1212" s="2">
        <v>0</v>
      </c>
      <c r="BU1212" s="2">
        <v>0</v>
      </c>
      <c r="BV1212" s="2">
        <f t="shared" si="77"/>
        <v>18.186</v>
      </c>
      <c r="BW1212" s="16">
        <f t="shared" si="75"/>
        <v>0.9571578947368421</v>
      </c>
      <c r="BX1212" s="16">
        <f>COUNTIF($BC$6:BU1212, "=0") / COUNTIF($BC$6:BU1212, "&gt;-1")</f>
        <v>0.32193781886364625</v>
      </c>
      <c r="BY1212" s="18">
        <f>SUM($BC$6:BU1212) / $BY$4</f>
        <v>0.96099228597532127</v>
      </c>
      <c r="BZ1212" s="14">
        <f t="shared" si="76"/>
        <v>10</v>
      </c>
      <c r="CA1212" t="s">
        <v>5832</v>
      </c>
      <c r="CZ1212" t="s">
        <v>12395</v>
      </c>
      <c r="DA1212" t="s">
        <v>5904</v>
      </c>
      <c r="DB1212">
        <v>642.5</v>
      </c>
      <c r="DC1212" t="s">
        <v>32883</v>
      </c>
      <c r="DD1212" t="s">
        <v>32884</v>
      </c>
      <c r="DE1212" t="s">
        <v>32885</v>
      </c>
      <c r="DF1212" t="s">
        <v>32886</v>
      </c>
      <c r="DG1212" t="s">
        <v>32887</v>
      </c>
      <c r="DH1212" t="str">
        <f>"FBP2"</f>
        <v>FBP2</v>
      </c>
      <c r="DI1212" t="s">
        <v>13772</v>
      </c>
      <c r="DJ1212" t="s">
        <v>13777</v>
      </c>
      <c r="DK1212">
        <v>9606</v>
      </c>
      <c r="DL1212" s="34" t="str">
        <f>HYPERLINK("http://www.uniprot.org/uniprot/O00757", "O00757")</f>
        <v>O00757</v>
      </c>
      <c r="DM1212" t="s">
        <v>32888</v>
      </c>
      <c r="DN1212" t="s">
        <v>32790</v>
      </c>
      <c r="DO1212" t="s">
        <v>32889</v>
      </c>
      <c r="DP1212" t="s">
        <v>13793</v>
      </c>
      <c r="DQ1212" t="s">
        <v>13772</v>
      </c>
      <c r="DR1212" t="s">
        <v>13772</v>
      </c>
      <c r="DS1212" t="s">
        <v>13772</v>
      </c>
      <c r="DT1212" t="s">
        <v>15709</v>
      </c>
      <c r="DU1212" t="s">
        <v>32791</v>
      </c>
      <c r="DV1212" t="s">
        <v>13782</v>
      </c>
      <c r="DW1212" t="s">
        <v>13812</v>
      </c>
      <c r="DX1212" t="s">
        <v>32890</v>
      </c>
      <c r="DY1212" t="s">
        <v>32891</v>
      </c>
      <c r="DZ1212" t="s">
        <v>32892</v>
      </c>
      <c r="EA1212" t="s">
        <v>14959</v>
      </c>
      <c r="EB1212" t="s">
        <v>14960</v>
      </c>
    </row>
    <row r="1213" spans="1:132" hidden="1">
      <c r="A1213">
        <v>222</v>
      </c>
      <c r="B1213">
        <v>1</v>
      </c>
      <c r="C1213" t="s">
        <v>564</v>
      </c>
      <c r="D1213" t="s">
        <v>73</v>
      </c>
      <c r="E1213" t="s">
        <v>73</v>
      </c>
      <c r="F1213" t="s">
        <v>73</v>
      </c>
      <c r="G1213" t="s">
        <v>73</v>
      </c>
      <c r="H1213">
        <v>20.8</v>
      </c>
      <c r="I1213">
        <v>419</v>
      </c>
      <c r="J1213">
        <v>46337</v>
      </c>
      <c r="K1213" t="s">
        <v>565</v>
      </c>
      <c r="L1213">
        <f t="shared" si="74"/>
        <v>18</v>
      </c>
      <c r="N1213">
        <v>18</v>
      </c>
      <c r="O1213">
        <v>18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8</v>
      </c>
      <c r="V1213">
        <v>6</v>
      </c>
      <c r="W1213">
        <v>0</v>
      </c>
      <c r="X1213">
        <v>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8</v>
      </c>
      <c r="AO1213">
        <v>6</v>
      </c>
      <c r="AP1213">
        <v>0</v>
      </c>
      <c r="AQ1213">
        <v>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 s="2">
        <v>1</v>
      </c>
      <c r="BD1213" s="2">
        <v>0</v>
      </c>
      <c r="BE1213" s="2">
        <v>0</v>
      </c>
      <c r="BF1213" s="2">
        <v>0</v>
      </c>
      <c r="BG1213" s="2">
        <v>8</v>
      </c>
      <c r="BH1213" s="2">
        <v>6</v>
      </c>
      <c r="BI1213" s="2">
        <v>0</v>
      </c>
      <c r="BJ1213" s="2">
        <v>3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f t="shared" si="77"/>
        <v>18</v>
      </c>
      <c r="BW1213" s="16">
        <f t="shared" si="75"/>
        <v>0.94736842105263153</v>
      </c>
      <c r="BX1213" s="16">
        <f>COUNTIF($BC$6:BU1213, "=0") / COUNTIF($BC$6:BU1213, "&gt;-1")</f>
        <v>0.32232485186476123</v>
      </c>
      <c r="BY1213" s="18">
        <f>SUM($BC$6:BU1213) / $BY$4</f>
        <v>0.96106939143895787</v>
      </c>
      <c r="BZ1213" s="14">
        <f t="shared" si="76"/>
        <v>15</v>
      </c>
      <c r="CA1213" t="s">
        <v>5832</v>
      </c>
      <c r="CZ1213" t="s">
        <v>6463</v>
      </c>
      <c r="DA1213" t="s">
        <v>5904</v>
      </c>
      <c r="DB1213">
        <v>802.4</v>
      </c>
      <c r="DC1213" t="s">
        <v>15703</v>
      </c>
      <c r="DD1213" t="s">
        <v>15704</v>
      </c>
      <c r="DE1213" t="s">
        <v>15705</v>
      </c>
      <c r="DF1213" t="s">
        <v>15706</v>
      </c>
      <c r="DG1213" t="s">
        <v>15707</v>
      </c>
      <c r="DH1213" t="str">
        <f>"FAH"</f>
        <v>FAH</v>
      </c>
      <c r="DI1213" t="s">
        <v>13772</v>
      </c>
      <c r="DJ1213" t="s">
        <v>13777</v>
      </c>
      <c r="DK1213">
        <v>9606</v>
      </c>
      <c r="DL1213" s="34" t="str">
        <f>HYPERLINK("http://www.uniprot.org/uniprot/P16930", "P16930")</f>
        <v>P16930</v>
      </c>
      <c r="DM1213" t="s">
        <v>15708</v>
      </c>
      <c r="DN1213" t="s">
        <v>15063</v>
      </c>
      <c r="DO1213" t="s">
        <v>13772</v>
      </c>
      <c r="DP1213" t="s">
        <v>13841</v>
      </c>
      <c r="DQ1213" t="s">
        <v>13772</v>
      </c>
      <c r="DR1213" t="s">
        <v>13807</v>
      </c>
      <c r="DS1213" t="s">
        <v>13772</v>
      </c>
      <c r="DT1213" t="s">
        <v>15709</v>
      </c>
      <c r="DU1213" t="s">
        <v>13857</v>
      </c>
      <c r="DV1213" t="s">
        <v>13886</v>
      </c>
      <c r="DW1213" t="s">
        <v>13772</v>
      </c>
      <c r="DX1213" t="s">
        <v>15710</v>
      </c>
      <c r="DY1213" t="s">
        <v>15111</v>
      </c>
      <c r="DZ1213" t="s">
        <v>15711</v>
      </c>
      <c r="EA1213" t="s">
        <v>15712</v>
      </c>
      <c r="EB1213" t="s">
        <v>15713</v>
      </c>
    </row>
    <row r="1214" spans="1:132" hidden="1">
      <c r="A1214">
        <v>243</v>
      </c>
      <c r="B1214">
        <v>1</v>
      </c>
      <c r="C1214" t="s">
        <v>619</v>
      </c>
      <c r="D1214" t="s">
        <v>73</v>
      </c>
      <c r="E1214" t="s">
        <v>73</v>
      </c>
      <c r="F1214" t="s">
        <v>73</v>
      </c>
      <c r="G1214" t="s">
        <v>73</v>
      </c>
      <c r="H1214">
        <v>25</v>
      </c>
      <c r="I1214">
        <v>352</v>
      </c>
      <c r="J1214">
        <v>39583</v>
      </c>
      <c r="K1214" t="s">
        <v>620</v>
      </c>
      <c r="L1214">
        <f t="shared" si="74"/>
        <v>18</v>
      </c>
      <c r="N1214">
        <v>18</v>
      </c>
      <c r="O1214">
        <v>18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10</v>
      </c>
      <c r="Z1214">
        <v>0</v>
      </c>
      <c r="AA1214">
        <v>4</v>
      </c>
      <c r="AB1214">
        <v>1</v>
      </c>
      <c r="AC1214">
        <v>1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10</v>
      </c>
      <c r="AS1214">
        <v>0</v>
      </c>
      <c r="AT1214">
        <v>4</v>
      </c>
      <c r="AU1214">
        <v>1</v>
      </c>
      <c r="AV1214">
        <v>1</v>
      </c>
      <c r="AW1214">
        <v>0</v>
      </c>
      <c r="AX1214">
        <v>2</v>
      </c>
      <c r="AY1214">
        <v>0</v>
      </c>
      <c r="AZ1214">
        <v>0</v>
      </c>
      <c r="BA1214">
        <v>0</v>
      </c>
      <c r="BB1214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10</v>
      </c>
      <c r="BL1214" s="2">
        <v>0</v>
      </c>
      <c r="BM1214" s="2">
        <v>4</v>
      </c>
      <c r="BN1214" s="2">
        <v>1</v>
      </c>
      <c r="BO1214" s="2">
        <v>1</v>
      </c>
      <c r="BP1214" s="2">
        <v>0</v>
      </c>
      <c r="BQ1214" s="2">
        <v>2</v>
      </c>
      <c r="BR1214" s="2">
        <v>0</v>
      </c>
      <c r="BS1214" s="2">
        <v>0</v>
      </c>
      <c r="BT1214" s="2">
        <v>0</v>
      </c>
      <c r="BU1214" s="2">
        <v>0</v>
      </c>
      <c r="BV1214" s="2">
        <f t="shared" si="77"/>
        <v>18</v>
      </c>
      <c r="BW1214" s="16">
        <f t="shared" si="75"/>
        <v>0.94736842105263153</v>
      </c>
      <c r="BX1214" s="16">
        <f>COUNTIF($BC$6:BU1214, "=0") / COUNTIF($BC$6:BU1214, "&gt;-1")</f>
        <v>0.32266771146227852</v>
      </c>
      <c r="BY1214" s="18">
        <f>SUM($BC$6:BU1214) / $BY$4</f>
        <v>0.96114649690259446</v>
      </c>
      <c r="BZ1214" s="14">
        <f t="shared" si="76"/>
        <v>14</v>
      </c>
      <c r="CA1214" t="s">
        <v>5832</v>
      </c>
      <c r="CZ1214" t="s">
        <v>6541</v>
      </c>
      <c r="DA1214" t="s">
        <v>5904</v>
      </c>
      <c r="DB1214">
        <v>683.7</v>
      </c>
      <c r="DC1214" t="s">
        <v>15946</v>
      </c>
      <c r="DD1214" t="s">
        <v>15947</v>
      </c>
      <c r="DE1214" t="s">
        <v>15948</v>
      </c>
      <c r="DF1214" t="s">
        <v>15949</v>
      </c>
      <c r="DG1214" t="s">
        <v>15950</v>
      </c>
      <c r="DH1214" t="str">
        <f>"TMOD3"</f>
        <v>TMOD3</v>
      </c>
      <c r="DI1214" t="s">
        <v>13772</v>
      </c>
      <c r="DJ1214" t="s">
        <v>13777</v>
      </c>
      <c r="DK1214">
        <v>9606</v>
      </c>
      <c r="DL1214" s="34" t="str">
        <f>HYPERLINK("http://www.uniprot.org/uniprot/Q9NYL9", "Q9NYL9")</f>
        <v>Q9NYL9</v>
      </c>
      <c r="DM1214" t="s">
        <v>15951</v>
      </c>
      <c r="DN1214" t="s">
        <v>13772</v>
      </c>
      <c r="DO1214" t="s">
        <v>13988</v>
      </c>
      <c r="DP1214" t="s">
        <v>13772</v>
      </c>
      <c r="DQ1214" t="s">
        <v>13772</v>
      </c>
      <c r="DR1214" t="s">
        <v>13772</v>
      </c>
      <c r="DS1214" t="s">
        <v>13772</v>
      </c>
      <c r="DT1214" t="s">
        <v>13772</v>
      </c>
      <c r="DU1214" t="s">
        <v>13990</v>
      </c>
      <c r="DV1214" t="s">
        <v>13782</v>
      </c>
      <c r="DW1214" t="s">
        <v>13772</v>
      </c>
      <c r="DX1214" t="s">
        <v>15952</v>
      </c>
      <c r="DY1214" t="s">
        <v>15953</v>
      </c>
      <c r="DZ1214" t="s">
        <v>15954</v>
      </c>
      <c r="EA1214" t="s">
        <v>13772</v>
      </c>
      <c r="EB1214" t="s">
        <v>15657</v>
      </c>
    </row>
    <row r="1215" spans="1:132" hidden="1">
      <c r="A1215">
        <v>259</v>
      </c>
      <c r="B1215">
        <v>1</v>
      </c>
      <c r="C1215" t="s">
        <v>658</v>
      </c>
      <c r="D1215" t="s">
        <v>659</v>
      </c>
      <c r="E1215" t="s">
        <v>73</v>
      </c>
      <c r="F1215" t="s">
        <v>73</v>
      </c>
      <c r="G1215" t="s">
        <v>73</v>
      </c>
      <c r="H1215">
        <v>23.6</v>
      </c>
      <c r="I1215">
        <v>423</v>
      </c>
      <c r="J1215">
        <v>48427</v>
      </c>
      <c r="K1215" t="s">
        <v>660</v>
      </c>
      <c r="L1215">
        <f t="shared" si="74"/>
        <v>18</v>
      </c>
      <c r="N1215">
        <v>18</v>
      </c>
      <c r="O1215">
        <v>18</v>
      </c>
      <c r="P1215">
        <v>1</v>
      </c>
      <c r="Q1215">
        <v>0</v>
      </c>
      <c r="R1215">
        <v>6</v>
      </c>
      <c r="S1215">
        <v>0</v>
      </c>
      <c r="T1215">
        <v>0</v>
      </c>
      <c r="U1215">
        <v>5</v>
      </c>
      <c r="V1215">
        <v>6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6</v>
      </c>
      <c r="AL1215">
        <v>0</v>
      </c>
      <c r="AM1215">
        <v>0</v>
      </c>
      <c r="AN1215">
        <v>5</v>
      </c>
      <c r="AO1215">
        <v>6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s="2">
        <v>0</v>
      </c>
      <c r="BD1215" s="2">
        <v>6</v>
      </c>
      <c r="BE1215" s="2">
        <v>0</v>
      </c>
      <c r="BF1215" s="2">
        <v>0</v>
      </c>
      <c r="BG1215" s="2">
        <v>5</v>
      </c>
      <c r="BH1215" s="2">
        <v>6</v>
      </c>
      <c r="BI1215" s="2">
        <v>0</v>
      </c>
      <c r="BJ1215" s="2">
        <v>1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f t="shared" si="77"/>
        <v>18</v>
      </c>
      <c r="BW1215" s="16">
        <f t="shared" si="75"/>
        <v>0.94736842105263153</v>
      </c>
      <c r="BX1215" s="16">
        <f>COUNTIF($BC$6:BU1215, "=0") / COUNTIF($BC$6:BU1215, "&gt;-1")</f>
        <v>0.32305350152240103</v>
      </c>
      <c r="BY1215" s="18">
        <f>SUM($BC$6:BU1215) / $BY$4</f>
        <v>0.96122360236623106</v>
      </c>
      <c r="BZ1215" s="14">
        <f t="shared" si="76"/>
        <v>15</v>
      </c>
      <c r="CA1215" t="s">
        <v>5832</v>
      </c>
      <c r="CZ1215" t="s">
        <v>6596</v>
      </c>
      <c r="DA1215" t="s">
        <v>5904</v>
      </c>
      <c r="DB1215">
        <v>839.3</v>
      </c>
      <c r="DC1215" t="s">
        <v>16105</v>
      </c>
      <c r="DD1215" t="s">
        <v>16106</v>
      </c>
      <c r="DE1215" t="s">
        <v>16107</v>
      </c>
      <c r="DF1215" t="s">
        <v>16108</v>
      </c>
      <c r="DG1215" t="s">
        <v>16109</v>
      </c>
      <c r="DH1215" t="str">
        <f>"GATM"</f>
        <v>GATM</v>
      </c>
      <c r="DI1215" t="s">
        <v>16110</v>
      </c>
      <c r="DJ1215" t="s">
        <v>13777</v>
      </c>
      <c r="DK1215">
        <v>9606</v>
      </c>
      <c r="DL1215" s="34" t="str">
        <f>HYPERLINK("http://www.uniprot.org/uniprot/P50440", "P50440")</f>
        <v>P50440</v>
      </c>
      <c r="DM1215" t="s">
        <v>16111</v>
      </c>
      <c r="DN1215" t="s">
        <v>13772</v>
      </c>
      <c r="DO1215" t="s">
        <v>16112</v>
      </c>
      <c r="DP1215" t="s">
        <v>13780</v>
      </c>
      <c r="DQ1215" t="s">
        <v>13772</v>
      </c>
      <c r="DR1215" t="s">
        <v>13807</v>
      </c>
      <c r="DS1215" t="s">
        <v>14391</v>
      </c>
      <c r="DT1215" t="s">
        <v>13772</v>
      </c>
      <c r="DU1215" t="s">
        <v>14111</v>
      </c>
      <c r="DV1215" t="s">
        <v>13886</v>
      </c>
      <c r="DW1215" t="s">
        <v>13812</v>
      </c>
      <c r="DX1215" t="s">
        <v>16113</v>
      </c>
      <c r="DY1215" t="s">
        <v>16114</v>
      </c>
      <c r="DZ1215" t="s">
        <v>16115</v>
      </c>
      <c r="EA1215" t="s">
        <v>16116</v>
      </c>
      <c r="EB1215" t="s">
        <v>15511</v>
      </c>
    </row>
    <row r="1216" spans="1:132" hidden="1">
      <c r="A1216">
        <v>393</v>
      </c>
      <c r="B1216">
        <v>1</v>
      </c>
      <c r="C1216" t="s">
        <v>983</v>
      </c>
      <c r="D1216" t="s">
        <v>73</v>
      </c>
      <c r="E1216" t="s">
        <v>73</v>
      </c>
      <c r="F1216" t="s">
        <v>73</v>
      </c>
      <c r="G1216" t="s">
        <v>73</v>
      </c>
      <c r="H1216">
        <v>11.7</v>
      </c>
      <c r="I1216">
        <v>589</v>
      </c>
      <c r="J1216">
        <v>66001</v>
      </c>
      <c r="K1216" t="s">
        <v>984</v>
      </c>
      <c r="L1216">
        <f t="shared" si="74"/>
        <v>18</v>
      </c>
      <c r="N1216">
        <v>18</v>
      </c>
      <c r="O1216">
        <v>18</v>
      </c>
      <c r="P1216">
        <v>1</v>
      </c>
      <c r="Q1216">
        <v>3</v>
      </c>
      <c r="R1216">
        <v>2</v>
      </c>
      <c r="S1216">
        <v>0</v>
      </c>
      <c r="T1216">
        <v>1</v>
      </c>
      <c r="U1216">
        <v>1</v>
      </c>
      <c r="V1216">
        <v>1</v>
      </c>
      <c r="W1216">
        <v>4</v>
      </c>
      <c r="X1216">
        <v>3</v>
      </c>
      <c r="Y1216">
        <v>0</v>
      </c>
      <c r="Z1216">
        <v>0</v>
      </c>
      <c r="AA1216">
        <v>2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3</v>
      </c>
      <c r="AK1216">
        <v>2</v>
      </c>
      <c r="AL1216">
        <v>0</v>
      </c>
      <c r="AM1216">
        <v>1</v>
      </c>
      <c r="AN1216">
        <v>1</v>
      </c>
      <c r="AO1216">
        <v>1</v>
      </c>
      <c r="AP1216">
        <v>4</v>
      </c>
      <c r="AQ1216">
        <v>3</v>
      </c>
      <c r="AR1216">
        <v>0</v>
      </c>
      <c r="AS1216">
        <v>0</v>
      </c>
      <c r="AT1216">
        <v>2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 s="2">
        <v>3</v>
      </c>
      <c r="BD1216" s="2">
        <v>2</v>
      </c>
      <c r="BE1216" s="2">
        <v>0</v>
      </c>
      <c r="BF1216" s="2">
        <v>1</v>
      </c>
      <c r="BG1216" s="2">
        <v>1</v>
      </c>
      <c r="BH1216" s="2">
        <v>1</v>
      </c>
      <c r="BI1216" s="2">
        <v>4</v>
      </c>
      <c r="BJ1216" s="2">
        <v>3</v>
      </c>
      <c r="BK1216" s="2">
        <v>0</v>
      </c>
      <c r="BL1216" s="2">
        <v>0</v>
      </c>
      <c r="BM1216" s="2">
        <v>2</v>
      </c>
      <c r="BN1216" s="2">
        <v>0</v>
      </c>
      <c r="BO1216" s="2">
        <v>0</v>
      </c>
      <c r="BP1216" s="2">
        <v>0</v>
      </c>
      <c r="BQ1216" s="2">
        <v>1</v>
      </c>
      <c r="BR1216" s="2">
        <v>0</v>
      </c>
      <c r="BS1216" s="2">
        <v>0</v>
      </c>
      <c r="BT1216" s="2">
        <v>0</v>
      </c>
      <c r="BU1216" s="2">
        <v>0</v>
      </c>
      <c r="BV1216" s="2">
        <f t="shared" si="77"/>
        <v>18</v>
      </c>
      <c r="BW1216" s="16">
        <f t="shared" si="75"/>
        <v>0.94736842105263153</v>
      </c>
      <c r="BX1216" s="16">
        <f>COUNTIF($BC$6:BU1216, "=0") / COUNTIF($BC$6:BU1216, "&gt;-1")</f>
        <v>0.32322134816810816</v>
      </c>
      <c r="BY1216" s="18">
        <f>SUM($BC$6:BU1216) / $BY$4</f>
        <v>0.96130070782986765</v>
      </c>
      <c r="BZ1216" s="14">
        <f t="shared" si="76"/>
        <v>10</v>
      </c>
      <c r="CA1216" t="s">
        <v>5832</v>
      </c>
      <c r="CZ1216" t="s">
        <v>7065</v>
      </c>
      <c r="DA1216" t="s">
        <v>5904</v>
      </c>
      <c r="DB1216">
        <v>990.7</v>
      </c>
      <c r="DC1216" t="s">
        <v>17542</v>
      </c>
      <c r="DD1216" t="s">
        <v>17543</v>
      </c>
      <c r="DE1216" t="s">
        <v>17544</v>
      </c>
      <c r="DF1216" t="s">
        <v>17545</v>
      </c>
      <c r="DG1216" t="s">
        <v>17546</v>
      </c>
      <c r="DH1216" t="str">
        <f>"PLBD2"</f>
        <v>PLBD2</v>
      </c>
      <c r="DI1216" t="s">
        <v>13772</v>
      </c>
      <c r="DJ1216" t="s">
        <v>13777</v>
      </c>
      <c r="DK1216">
        <v>9606</v>
      </c>
      <c r="DL1216" s="34" t="str">
        <f>HYPERLINK("http://www.uniprot.org/uniprot/Q8NHP8", "Q8NHP8")</f>
        <v>Q8NHP8</v>
      </c>
      <c r="DM1216" t="s">
        <v>17547</v>
      </c>
      <c r="DN1216" t="s">
        <v>17548</v>
      </c>
      <c r="DO1216" t="s">
        <v>13806</v>
      </c>
      <c r="DP1216" t="s">
        <v>13780</v>
      </c>
      <c r="DQ1216" t="s">
        <v>13772</v>
      </c>
      <c r="DR1216" t="s">
        <v>13772</v>
      </c>
      <c r="DS1216" t="s">
        <v>13808</v>
      </c>
      <c r="DT1216" t="s">
        <v>13772</v>
      </c>
      <c r="DU1216" t="s">
        <v>13857</v>
      </c>
      <c r="DV1216" t="s">
        <v>13796</v>
      </c>
      <c r="DW1216" t="s">
        <v>13772</v>
      </c>
      <c r="DX1216" t="s">
        <v>17549</v>
      </c>
      <c r="DY1216" t="s">
        <v>17550</v>
      </c>
      <c r="DZ1216" t="s">
        <v>16563</v>
      </c>
      <c r="EA1216" t="s">
        <v>13772</v>
      </c>
      <c r="EB1216" t="s">
        <v>13772</v>
      </c>
    </row>
    <row r="1217" spans="1:132" hidden="1">
      <c r="A1217">
        <v>414</v>
      </c>
      <c r="B1217">
        <v>1</v>
      </c>
      <c r="C1217" t="s">
        <v>1037</v>
      </c>
      <c r="D1217" t="s">
        <v>1038</v>
      </c>
      <c r="E1217" t="s">
        <v>73</v>
      </c>
      <c r="F1217" t="s">
        <v>73</v>
      </c>
      <c r="G1217" t="s">
        <v>73</v>
      </c>
      <c r="H1217">
        <v>10.5</v>
      </c>
      <c r="I1217">
        <v>1056</v>
      </c>
      <c r="J1217">
        <v>109182</v>
      </c>
      <c r="K1217" t="s">
        <v>1039</v>
      </c>
      <c r="L1217">
        <f t="shared" si="74"/>
        <v>18</v>
      </c>
      <c r="N1217">
        <v>18</v>
      </c>
      <c r="O1217">
        <v>18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2</v>
      </c>
      <c r="Z1217">
        <v>0</v>
      </c>
      <c r="AA1217">
        <v>4</v>
      </c>
      <c r="AB1217">
        <v>2</v>
      </c>
      <c r="AC1217">
        <v>2</v>
      </c>
      <c r="AD1217">
        <v>0</v>
      </c>
      <c r="AE1217">
        <v>2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2</v>
      </c>
      <c r="AS1217">
        <v>0</v>
      </c>
      <c r="AT1217">
        <v>4</v>
      </c>
      <c r="AU1217">
        <v>2</v>
      </c>
      <c r="AV1217">
        <v>2</v>
      </c>
      <c r="AW1217">
        <v>0</v>
      </c>
      <c r="AX1217">
        <v>2</v>
      </c>
      <c r="AY1217">
        <v>1</v>
      </c>
      <c r="AZ1217">
        <v>0</v>
      </c>
      <c r="BA1217">
        <v>0</v>
      </c>
      <c r="BB1217">
        <v>1</v>
      </c>
      <c r="BC1217" s="2">
        <v>1</v>
      </c>
      <c r="BD1217" s="2">
        <v>1</v>
      </c>
      <c r="BE1217" s="2">
        <v>1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2</v>
      </c>
      <c r="BL1217" s="2">
        <v>0</v>
      </c>
      <c r="BM1217" s="2">
        <v>4</v>
      </c>
      <c r="BN1217" s="2">
        <v>2</v>
      </c>
      <c r="BO1217" s="2">
        <v>2</v>
      </c>
      <c r="BP1217" s="2">
        <v>0</v>
      </c>
      <c r="BQ1217" s="2">
        <v>2</v>
      </c>
      <c r="BR1217" s="2">
        <v>1</v>
      </c>
      <c r="BS1217" s="2">
        <v>0</v>
      </c>
      <c r="BT1217" s="2">
        <v>0</v>
      </c>
      <c r="BU1217" s="2">
        <v>1</v>
      </c>
      <c r="BV1217" s="2">
        <f t="shared" si="77"/>
        <v>18</v>
      </c>
      <c r="BW1217" s="16">
        <f t="shared" si="75"/>
        <v>0.94736842105263153</v>
      </c>
      <c r="BX1217" s="16">
        <f>COUNTIF($BC$6:BU1217, "=0") / COUNTIF($BC$6:BU1217, "&gt;-1")</f>
        <v>0.32330206704881015</v>
      </c>
      <c r="BY1217" s="18">
        <f>SUM($BC$6:BU1217) / $BY$4</f>
        <v>0.96137781329350425</v>
      </c>
      <c r="BZ1217" s="14">
        <f t="shared" si="76"/>
        <v>8</v>
      </c>
      <c r="CA1217" t="s">
        <v>5832</v>
      </c>
      <c r="CZ1217" t="s">
        <v>7138</v>
      </c>
      <c r="DA1217" t="s">
        <v>5904</v>
      </c>
      <c r="DB1217">
        <v>1249.5999999999999</v>
      </c>
      <c r="DC1217" t="s">
        <v>17772</v>
      </c>
      <c r="DD1217" t="s">
        <v>17773</v>
      </c>
      <c r="DE1217" t="s">
        <v>17774</v>
      </c>
      <c r="DF1217" t="s">
        <v>17775</v>
      </c>
      <c r="DG1217" t="s">
        <v>17776</v>
      </c>
      <c r="DH1217" t="str">
        <f>"EWSR1"</f>
        <v>EWSR1</v>
      </c>
      <c r="DI1217" t="s">
        <v>17777</v>
      </c>
      <c r="DJ1217" t="s">
        <v>13777</v>
      </c>
      <c r="DK1217">
        <v>9606</v>
      </c>
      <c r="DL1217" s="34" t="str">
        <f>HYPERLINK("http://www.uniprot.org/uniprot/Q01844", "Q01844")</f>
        <v>Q01844</v>
      </c>
      <c r="DM1217" t="s">
        <v>17778</v>
      </c>
      <c r="DN1217" t="s">
        <v>14445</v>
      </c>
      <c r="DO1217" t="s">
        <v>14968</v>
      </c>
      <c r="DP1217" t="s">
        <v>14661</v>
      </c>
      <c r="DQ1217" t="s">
        <v>13772</v>
      </c>
      <c r="DR1217" t="s">
        <v>14244</v>
      </c>
      <c r="DS1217" t="s">
        <v>17779</v>
      </c>
      <c r="DT1217" t="s">
        <v>13856</v>
      </c>
      <c r="DU1217" t="s">
        <v>17780</v>
      </c>
      <c r="DV1217" t="s">
        <v>14098</v>
      </c>
      <c r="DW1217" t="s">
        <v>13812</v>
      </c>
      <c r="DX1217" t="s">
        <v>17781</v>
      </c>
      <c r="DY1217" t="s">
        <v>17782</v>
      </c>
      <c r="DZ1217" t="s">
        <v>17783</v>
      </c>
      <c r="EA1217" t="s">
        <v>13772</v>
      </c>
      <c r="EB1217" t="s">
        <v>13772</v>
      </c>
    </row>
    <row r="1218" spans="1:132" hidden="1">
      <c r="A1218">
        <v>451</v>
      </c>
      <c r="B1218">
        <v>1</v>
      </c>
      <c r="C1218" t="s">
        <v>1127</v>
      </c>
      <c r="D1218" t="s">
        <v>1128</v>
      </c>
      <c r="E1218" t="s">
        <v>73</v>
      </c>
      <c r="F1218" t="s">
        <v>73</v>
      </c>
      <c r="G1218" t="s">
        <v>73</v>
      </c>
      <c r="H1218">
        <v>32.6</v>
      </c>
      <c r="I1218">
        <v>178</v>
      </c>
      <c r="J1218">
        <v>20546</v>
      </c>
      <c r="K1218" t="s">
        <v>1129</v>
      </c>
      <c r="L1218">
        <f t="shared" si="74"/>
        <v>18</v>
      </c>
      <c r="N1218">
        <v>18</v>
      </c>
      <c r="O1218">
        <v>18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4</v>
      </c>
      <c r="Z1218">
        <v>1</v>
      </c>
      <c r="AA1218">
        <v>4</v>
      </c>
      <c r="AB1218">
        <v>2</v>
      </c>
      <c r="AC1218">
        <v>4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4</v>
      </c>
      <c r="AS1218">
        <v>1</v>
      </c>
      <c r="AT1218">
        <v>4</v>
      </c>
      <c r="AU1218">
        <v>2</v>
      </c>
      <c r="AV1218">
        <v>4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</v>
      </c>
      <c r="BI1218" s="2">
        <v>0</v>
      </c>
      <c r="BJ1218" s="2">
        <v>0</v>
      </c>
      <c r="BK1218" s="2">
        <v>4</v>
      </c>
      <c r="BL1218" s="2">
        <v>1</v>
      </c>
      <c r="BM1218" s="2">
        <v>4</v>
      </c>
      <c r="BN1218" s="2">
        <v>2</v>
      </c>
      <c r="BO1218" s="2">
        <v>4</v>
      </c>
      <c r="BP1218" s="2">
        <v>0</v>
      </c>
      <c r="BQ1218" s="2">
        <v>0</v>
      </c>
      <c r="BR1218" s="2">
        <v>1</v>
      </c>
      <c r="BS1218" s="2">
        <v>0</v>
      </c>
      <c r="BT1218" s="2">
        <v>0</v>
      </c>
      <c r="BU1218" s="2">
        <v>0</v>
      </c>
      <c r="BV1218" s="2">
        <f t="shared" si="77"/>
        <v>18</v>
      </c>
      <c r="BW1218" s="16">
        <f t="shared" si="75"/>
        <v>0.94736842105263153</v>
      </c>
      <c r="BX1218" s="16">
        <f>COUNTIF($BC$6:BU1218, "=0") / COUNTIF($BC$6:BU1218, "&gt;-1")</f>
        <v>0.32351282162537426</v>
      </c>
      <c r="BY1218" s="18">
        <f>SUM($BC$6:BU1218) / $BY$4</f>
        <v>0.96145491875714084</v>
      </c>
      <c r="BZ1218" s="14">
        <f t="shared" si="76"/>
        <v>11</v>
      </c>
      <c r="CA1218" t="s">
        <v>5832</v>
      </c>
      <c r="CZ1218" t="s">
        <v>7264</v>
      </c>
      <c r="DA1218" t="s">
        <v>5904</v>
      </c>
      <c r="DB1218">
        <v>373.2</v>
      </c>
      <c r="DC1218" t="s">
        <v>18171</v>
      </c>
      <c r="DD1218" t="s">
        <v>18172</v>
      </c>
      <c r="DE1218" t="s">
        <v>18173</v>
      </c>
      <c r="DF1218" t="s">
        <v>18174</v>
      </c>
      <c r="DG1218" t="s">
        <v>18175</v>
      </c>
      <c r="DH1218" t="str">
        <f>"ARPC3"</f>
        <v>ARPC3</v>
      </c>
      <c r="DI1218" t="s">
        <v>18176</v>
      </c>
      <c r="DJ1218" t="s">
        <v>13777</v>
      </c>
      <c r="DK1218">
        <v>9606</v>
      </c>
      <c r="DL1218" s="34" t="str">
        <f>HYPERLINK("http://www.uniprot.org/uniprot/O15145", "O15145")</f>
        <v>O15145</v>
      </c>
      <c r="DM1218" t="s">
        <v>18177</v>
      </c>
      <c r="DN1218" t="s">
        <v>13772</v>
      </c>
      <c r="DO1218" t="s">
        <v>18178</v>
      </c>
      <c r="DP1218" t="s">
        <v>13772</v>
      </c>
      <c r="DQ1218" t="s">
        <v>13772</v>
      </c>
      <c r="DR1218" t="s">
        <v>13772</v>
      </c>
      <c r="DS1218" t="s">
        <v>13772</v>
      </c>
      <c r="DT1218" t="s">
        <v>13772</v>
      </c>
      <c r="DU1218" t="s">
        <v>13990</v>
      </c>
      <c r="DV1218" t="s">
        <v>13991</v>
      </c>
      <c r="DW1218" t="s">
        <v>13772</v>
      </c>
      <c r="DX1218" t="s">
        <v>18179</v>
      </c>
      <c r="DY1218" t="s">
        <v>18180</v>
      </c>
      <c r="DZ1218" t="s">
        <v>17483</v>
      </c>
      <c r="EA1218" t="s">
        <v>13772</v>
      </c>
      <c r="EB1218" t="s">
        <v>18181</v>
      </c>
    </row>
    <row r="1219" spans="1:132" hidden="1">
      <c r="A1219">
        <v>520</v>
      </c>
      <c r="B1219">
        <v>1</v>
      </c>
      <c r="C1219" t="s">
        <v>1311</v>
      </c>
      <c r="D1219" t="s">
        <v>73</v>
      </c>
      <c r="E1219" t="s">
        <v>73</v>
      </c>
      <c r="F1219" t="s">
        <v>73</v>
      </c>
      <c r="G1219" t="s">
        <v>73</v>
      </c>
      <c r="H1219">
        <v>29.5</v>
      </c>
      <c r="I1219">
        <v>271</v>
      </c>
      <c r="J1219">
        <v>31284</v>
      </c>
      <c r="K1219" t="s">
        <v>1312</v>
      </c>
      <c r="L1219">
        <f t="shared" si="74"/>
        <v>18</v>
      </c>
      <c r="N1219">
        <v>18</v>
      </c>
      <c r="O1219">
        <v>18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3</v>
      </c>
      <c r="Y1219">
        <v>4</v>
      </c>
      <c r="Z1219">
        <v>0</v>
      </c>
      <c r="AA1219">
        <v>6</v>
      </c>
      <c r="AB1219">
        <v>1</v>
      </c>
      <c r="AC1219">
        <v>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3</v>
      </c>
      <c r="AR1219">
        <v>4</v>
      </c>
      <c r="AS1219">
        <v>0</v>
      </c>
      <c r="AT1219">
        <v>6</v>
      </c>
      <c r="AU1219">
        <v>1</v>
      </c>
      <c r="AV1219">
        <v>2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3</v>
      </c>
      <c r="BK1219" s="2">
        <v>4</v>
      </c>
      <c r="BL1219" s="2">
        <v>0</v>
      </c>
      <c r="BM1219" s="2">
        <v>6</v>
      </c>
      <c r="BN1219" s="2">
        <v>1</v>
      </c>
      <c r="BO1219" s="2">
        <v>2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f t="shared" si="77"/>
        <v>18</v>
      </c>
      <c r="BW1219" s="16">
        <f t="shared" si="75"/>
        <v>0.94736842105263153</v>
      </c>
      <c r="BX1219" s="16">
        <f>COUNTIF($BC$6:BU1219, "=0") / COUNTIF($BC$6:BU1219, "&gt;-1")</f>
        <v>0.32376658284921528</v>
      </c>
      <c r="BY1219" s="18">
        <f>SUM($BC$6:BU1219) / $BY$4</f>
        <v>0.96153202422077744</v>
      </c>
      <c r="BZ1219" s="14">
        <f t="shared" si="76"/>
        <v>12</v>
      </c>
      <c r="CA1219" t="s">
        <v>5832</v>
      </c>
      <c r="CZ1219" t="s">
        <v>7517</v>
      </c>
      <c r="DA1219" t="s">
        <v>5904</v>
      </c>
      <c r="DB1219">
        <v>561.20000000000005</v>
      </c>
      <c r="DC1219" t="s">
        <v>18916</v>
      </c>
      <c r="DD1219" t="s">
        <v>18917</v>
      </c>
      <c r="DE1219" t="s">
        <v>18918</v>
      </c>
      <c r="DF1219" t="s">
        <v>18919</v>
      </c>
      <c r="DG1219" t="s">
        <v>18920</v>
      </c>
      <c r="DH1219" t="str">
        <f>"OTUB1"</f>
        <v>OTUB1</v>
      </c>
      <c r="DI1219" t="s">
        <v>18921</v>
      </c>
      <c r="DJ1219" t="s">
        <v>13777</v>
      </c>
      <c r="DK1219">
        <v>9606</v>
      </c>
      <c r="DL1219" s="34" t="str">
        <f>HYPERLINK("http://www.uniprot.org/uniprot/Q96FW1", "Q96FW1")</f>
        <v>Q96FW1</v>
      </c>
      <c r="DM1219" t="s">
        <v>18922</v>
      </c>
      <c r="DN1219" t="s">
        <v>18923</v>
      </c>
      <c r="DO1219" t="s">
        <v>13899</v>
      </c>
      <c r="DP1219" t="s">
        <v>13841</v>
      </c>
      <c r="DQ1219" t="s">
        <v>13772</v>
      </c>
      <c r="DR1219" t="s">
        <v>13772</v>
      </c>
      <c r="DS1219" t="s">
        <v>13772</v>
      </c>
      <c r="DT1219" t="s">
        <v>13772</v>
      </c>
      <c r="DU1219" t="s">
        <v>14083</v>
      </c>
      <c r="DV1219" t="s">
        <v>13886</v>
      </c>
      <c r="DW1219" t="s">
        <v>13812</v>
      </c>
      <c r="DX1219" t="s">
        <v>18924</v>
      </c>
      <c r="DY1219" t="s">
        <v>18925</v>
      </c>
      <c r="DZ1219" t="s">
        <v>18926</v>
      </c>
      <c r="EA1219" t="s">
        <v>13772</v>
      </c>
      <c r="EB1219" t="s">
        <v>18927</v>
      </c>
    </row>
    <row r="1220" spans="1:132" hidden="1">
      <c r="A1220">
        <v>542</v>
      </c>
      <c r="B1220">
        <v>1</v>
      </c>
      <c r="C1220" t="s">
        <v>1353</v>
      </c>
      <c r="D1220" t="s">
        <v>73</v>
      </c>
      <c r="E1220" t="s">
        <v>73</v>
      </c>
      <c r="F1220" t="s">
        <v>73</v>
      </c>
      <c r="G1220" t="s">
        <v>73</v>
      </c>
      <c r="H1220">
        <v>26.9</v>
      </c>
      <c r="I1220">
        <v>391</v>
      </c>
      <c r="J1220">
        <v>44016</v>
      </c>
      <c r="K1220" t="s">
        <v>1354</v>
      </c>
      <c r="L1220">
        <f t="shared" si="74"/>
        <v>18</v>
      </c>
      <c r="N1220">
        <v>18</v>
      </c>
      <c r="O1220">
        <v>18</v>
      </c>
      <c r="P1220">
        <v>1</v>
      </c>
      <c r="Q1220">
        <v>0</v>
      </c>
      <c r="R1220">
        <v>6</v>
      </c>
      <c r="S1220">
        <v>0</v>
      </c>
      <c r="T1220">
        <v>1</v>
      </c>
      <c r="U1220">
        <v>4</v>
      </c>
      <c r="V1220">
        <v>2</v>
      </c>
      <c r="W1220">
        <v>2</v>
      </c>
      <c r="X1220">
        <v>0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6</v>
      </c>
      <c r="AL1220">
        <v>0</v>
      </c>
      <c r="AM1220">
        <v>1</v>
      </c>
      <c r="AN1220">
        <v>4</v>
      </c>
      <c r="AO1220">
        <v>2</v>
      </c>
      <c r="AP1220">
        <v>2</v>
      </c>
      <c r="AQ1220">
        <v>0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 s="2">
        <v>0</v>
      </c>
      <c r="BD1220" s="2">
        <v>6</v>
      </c>
      <c r="BE1220" s="2">
        <v>0</v>
      </c>
      <c r="BF1220" s="2">
        <v>1</v>
      </c>
      <c r="BG1220" s="2">
        <v>4</v>
      </c>
      <c r="BH1220" s="2">
        <v>2</v>
      </c>
      <c r="BI1220" s="2">
        <v>2</v>
      </c>
      <c r="BJ1220" s="2">
        <v>0</v>
      </c>
      <c r="BK1220" s="2">
        <v>0</v>
      </c>
      <c r="BL1220" s="2">
        <v>0</v>
      </c>
      <c r="BM1220" s="2">
        <v>2</v>
      </c>
      <c r="BN1220" s="2">
        <v>0</v>
      </c>
      <c r="BO1220" s="2">
        <v>0</v>
      </c>
      <c r="BP1220" s="2">
        <v>0</v>
      </c>
      <c r="BQ1220" s="2">
        <v>0</v>
      </c>
      <c r="BR1220" s="2">
        <v>1</v>
      </c>
      <c r="BS1220" s="2">
        <v>0</v>
      </c>
      <c r="BT1220" s="2">
        <v>0</v>
      </c>
      <c r="BU1220" s="2">
        <v>0</v>
      </c>
      <c r="BV1220" s="2">
        <f t="shared" si="77"/>
        <v>18</v>
      </c>
      <c r="BW1220" s="16">
        <f t="shared" si="75"/>
        <v>0.94736842105263153</v>
      </c>
      <c r="BX1220" s="16">
        <f>COUNTIF($BC$6:BU1220, "=0") / COUNTIF($BC$6:BU1220, "&gt;-1")</f>
        <v>0.32401992635910765</v>
      </c>
      <c r="BY1220" s="18">
        <f>SUM($BC$6:BU1220) / $BY$4</f>
        <v>0.96160912968441414</v>
      </c>
      <c r="BZ1220" s="14">
        <f t="shared" si="76"/>
        <v>12</v>
      </c>
      <c r="CA1220" t="s">
        <v>5832</v>
      </c>
      <c r="CZ1220" t="s">
        <v>7573</v>
      </c>
      <c r="DA1220" t="s">
        <v>5904</v>
      </c>
      <c r="DB1220">
        <v>783.5</v>
      </c>
      <c r="DC1220" t="s">
        <v>19103</v>
      </c>
      <c r="DD1220" t="s">
        <v>19104</v>
      </c>
      <c r="DE1220" t="s">
        <v>19105</v>
      </c>
      <c r="DF1220" t="s">
        <v>19106</v>
      </c>
      <c r="DG1220" t="s">
        <v>19107</v>
      </c>
      <c r="DH1220" t="str">
        <f>"TSG101"</f>
        <v>TSG101</v>
      </c>
      <c r="DI1220" t="s">
        <v>13772</v>
      </c>
      <c r="DJ1220" t="s">
        <v>13777</v>
      </c>
      <c r="DK1220">
        <v>9606</v>
      </c>
      <c r="DL1220" s="34" t="str">
        <f>HYPERLINK("http://www.uniprot.org/uniprot/Q99816", "Q99816")</f>
        <v>Q99816</v>
      </c>
      <c r="DM1220" t="s">
        <v>19108</v>
      </c>
      <c r="DN1220" t="s">
        <v>19109</v>
      </c>
      <c r="DO1220" t="s">
        <v>19110</v>
      </c>
      <c r="DP1220" t="s">
        <v>13780</v>
      </c>
      <c r="DQ1220" t="s">
        <v>13772</v>
      </c>
      <c r="DR1220" t="s">
        <v>13772</v>
      </c>
      <c r="DS1220" t="s">
        <v>14245</v>
      </c>
      <c r="DT1220" t="s">
        <v>13772</v>
      </c>
      <c r="DU1220" t="s">
        <v>13772</v>
      </c>
      <c r="DV1220" t="s">
        <v>19111</v>
      </c>
      <c r="DW1220" t="s">
        <v>13812</v>
      </c>
      <c r="DX1220" t="s">
        <v>19112</v>
      </c>
      <c r="DY1220" t="s">
        <v>19113</v>
      </c>
      <c r="DZ1220" t="s">
        <v>19114</v>
      </c>
      <c r="EA1220" t="s">
        <v>13772</v>
      </c>
      <c r="EB1220" t="s">
        <v>17918</v>
      </c>
    </row>
    <row r="1221" spans="1:132" hidden="1">
      <c r="A1221">
        <v>582</v>
      </c>
      <c r="B1221">
        <v>1</v>
      </c>
      <c r="C1221" t="s">
        <v>1446</v>
      </c>
      <c r="D1221" t="s">
        <v>73</v>
      </c>
      <c r="E1221" t="s">
        <v>73</v>
      </c>
      <c r="F1221" t="s">
        <v>73</v>
      </c>
      <c r="G1221" t="s">
        <v>73</v>
      </c>
      <c r="H1221">
        <v>27.5</v>
      </c>
      <c r="I1221">
        <v>236</v>
      </c>
      <c r="J1221">
        <v>25839</v>
      </c>
      <c r="K1221" t="s">
        <v>1447</v>
      </c>
      <c r="L1221">
        <f t="shared" si="74"/>
        <v>18</v>
      </c>
      <c r="N1221">
        <v>18</v>
      </c>
      <c r="O1221">
        <v>18</v>
      </c>
      <c r="P1221">
        <v>1</v>
      </c>
      <c r="Q1221">
        <v>3</v>
      </c>
      <c r="R1221">
        <v>2</v>
      </c>
      <c r="S1221">
        <v>1</v>
      </c>
      <c r="T1221">
        <v>1</v>
      </c>
      <c r="U1221">
        <v>4</v>
      </c>
      <c r="V1221">
        <v>3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</v>
      </c>
      <c r="AK1221">
        <v>2</v>
      </c>
      <c r="AL1221">
        <v>1</v>
      </c>
      <c r="AM1221">
        <v>1</v>
      </c>
      <c r="AN1221">
        <v>4</v>
      </c>
      <c r="AO1221">
        <v>3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2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 s="2">
        <v>3</v>
      </c>
      <c r="BD1221" s="2">
        <v>2</v>
      </c>
      <c r="BE1221" s="2">
        <v>1</v>
      </c>
      <c r="BF1221" s="2">
        <v>1</v>
      </c>
      <c r="BG1221" s="2">
        <v>4</v>
      </c>
      <c r="BH1221" s="2">
        <v>3</v>
      </c>
      <c r="BI1221" s="2">
        <v>1</v>
      </c>
      <c r="BJ1221" s="2">
        <v>0</v>
      </c>
      <c r="BK1221" s="2">
        <v>0</v>
      </c>
      <c r="BL1221" s="2">
        <v>0</v>
      </c>
      <c r="BM1221" s="2">
        <v>1</v>
      </c>
      <c r="BN1221" s="2">
        <v>2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f t="shared" si="77"/>
        <v>18</v>
      </c>
      <c r="BW1221" s="16">
        <f t="shared" si="75"/>
        <v>0.94736842105263153</v>
      </c>
      <c r="BX1221" s="16">
        <f>COUNTIF($BC$6:BU1221, "=0") / COUNTIF($BC$6:BU1221, "&gt;-1")</f>
        <v>0.32418628808864264</v>
      </c>
      <c r="BY1221" s="18">
        <f>SUM($BC$6:BU1221) / $BY$4</f>
        <v>0.96168623514805074</v>
      </c>
      <c r="BZ1221" s="14">
        <f t="shared" si="76"/>
        <v>10</v>
      </c>
      <c r="CA1221" t="s">
        <v>5832</v>
      </c>
      <c r="CZ1221" t="s">
        <v>7712</v>
      </c>
      <c r="DA1221" t="s">
        <v>5904</v>
      </c>
      <c r="DB1221">
        <v>471.9</v>
      </c>
      <c r="DC1221" t="s">
        <v>19512</v>
      </c>
      <c r="DD1221" t="s">
        <v>19513</v>
      </c>
      <c r="DE1221" t="s">
        <v>19514</v>
      </c>
      <c r="DF1221" t="s">
        <v>19515</v>
      </c>
      <c r="DG1221" t="s">
        <v>19516</v>
      </c>
      <c r="DH1221" t="str">
        <f>"CD81"</f>
        <v>CD81</v>
      </c>
      <c r="DI1221" t="s">
        <v>13772</v>
      </c>
      <c r="DJ1221" t="s">
        <v>13777</v>
      </c>
      <c r="DK1221">
        <v>9606</v>
      </c>
      <c r="DL1221" s="34" t="str">
        <f>HYPERLINK("http://www.uniprot.org/uniprot/P60033", "P60033")</f>
        <v>P60033</v>
      </c>
      <c r="DM1221" t="s">
        <v>19517</v>
      </c>
      <c r="DN1221" t="s">
        <v>19518</v>
      </c>
      <c r="DO1221" t="s">
        <v>13792</v>
      </c>
      <c r="DP1221" t="s">
        <v>13772</v>
      </c>
      <c r="DQ1221" t="s">
        <v>13772</v>
      </c>
      <c r="DR1221" t="s">
        <v>13772</v>
      </c>
      <c r="DS1221" t="s">
        <v>13925</v>
      </c>
      <c r="DT1221" t="s">
        <v>13900</v>
      </c>
      <c r="DU1221" t="s">
        <v>18791</v>
      </c>
      <c r="DV1221" t="s">
        <v>14506</v>
      </c>
      <c r="DW1221" t="s">
        <v>13812</v>
      </c>
      <c r="DX1221" t="s">
        <v>19519</v>
      </c>
      <c r="DY1221" t="s">
        <v>19520</v>
      </c>
      <c r="DZ1221" t="s">
        <v>19521</v>
      </c>
      <c r="EA1221" t="s">
        <v>13772</v>
      </c>
      <c r="EB1221" t="s">
        <v>19522</v>
      </c>
    </row>
    <row r="1222" spans="1:132" hidden="1">
      <c r="A1222">
        <v>667</v>
      </c>
      <c r="B1222">
        <v>1</v>
      </c>
      <c r="C1222" t="s">
        <v>1644</v>
      </c>
      <c r="D1222" t="s">
        <v>73</v>
      </c>
      <c r="E1222" t="s">
        <v>73</v>
      </c>
      <c r="F1222" t="s">
        <v>73</v>
      </c>
      <c r="G1222" t="s">
        <v>73</v>
      </c>
      <c r="H1222">
        <v>8</v>
      </c>
      <c r="I1222">
        <v>413</v>
      </c>
      <c r="J1222">
        <v>44797</v>
      </c>
      <c r="K1222" t="s">
        <v>1645</v>
      </c>
      <c r="L1222">
        <f t="shared" ref="L1222:L1285" si="78">N1222</f>
        <v>18</v>
      </c>
      <c r="N1222">
        <v>18</v>
      </c>
      <c r="O1222">
        <v>18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4</v>
      </c>
      <c r="V1222">
        <v>0</v>
      </c>
      <c r="W1222">
        <v>4</v>
      </c>
      <c r="X1222">
        <v>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4</v>
      </c>
      <c r="AF1222">
        <v>3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4</v>
      </c>
      <c r="AO1222">
        <v>0</v>
      </c>
      <c r="AP1222">
        <v>4</v>
      </c>
      <c r="AQ1222">
        <v>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4</v>
      </c>
      <c r="AY1222">
        <v>3</v>
      </c>
      <c r="AZ1222">
        <v>0</v>
      </c>
      <c r="BA1222">
        <v>0</v>
      </c>
      <c r="BB122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4</v>
      </c>
      <c r="BH1222" s="2">
        <v>0</v>
      </c>
      <c r="BI1222" s="2">
        <v>4</v>
      </c>
      <c r="BJ1222" s="2">
        <v>2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4</v>
      </c>
      <c r="BR1222" s="2">
        <v>3</v>
      </c>
      <c r="BS1222" s="2">
        <v>0</v>
      </c>
      <c r="BT1222" s="2">
        <v>0</v>
      </c>
      <c r="BU1222" s="2">
        <v>1</v>
      </c>
      <c r="BV1222" s="2">
        <f t="shared" si="77"/>
        <v>18</v>
      </c>
      <c r="BW1222" s="16">
        <f t="shared" ref="BW1222:BW1285" si="79">AVERAGE(BC1222:BU1222)</f>
        <v>0.94736842105263153</v>
      </c>
      <c r="BX1222" s="16">
        <f>COUNTIF($BC$6:BU1222, "=0") / COUNTIF($BC$6:BU1222, "&gt;-1")</f>
        <v>0.32448211737231331</v>
      </c>
      <c r="BY1222" s="18">
        <f>SUM($BC$6:BU1222) / $BY$4</f>
        <v>0.96176334061168733</v>
      </c>
      <c r="BZ1222" s="14">
        <f t="shared" ref="BZ1222:BZ1285" si="80">19-COUNTIF(BC1222:BU1222, "&gt;0")</f>
        <v>13</v>
      </c>
      <c r="CA1222" t="s">
        <v>5832</v>
      </c>
      <c r="CZ1222" t="s">
        <v>7993</v>
      </c>
      <c r="DA1222" t="s">
        <v>5904</v>
      </c>
      <c r="DB1222">
        <v>281.2</v>
      </c>
      <c r="DC1222" t="s">
        <v>20362</v>
      </c>
      <c r="DD1222" t="s">
        <v>20363</v>
      </c>
      <c r="DE1222" t="s">
        <v>20364</v>
      </c>
      <c r="DF1222" t="s">
        <v>20365</v>
      </c>
      <c r="DG1222" t="s">
        <v>13772</v>
      </c>
      <c r="DH1222" t="str">
        <f>"JSRP1"</f>
        <v>JSRP1</v>
      </c>
      <c r="DI1222" t="s">
        <v>20366</v>
      </c>
      <c r="DJ1222" t="s">
        <v>13777</v>
      </c>
      <c r="DK1222">
        <v>9606</v>
      </c>
      <c r="DL1222" s="34" t="str">
        <f>HYPERLINK("http://www.uniprot.org/uniprot/Q96MG2", "Q96MG2")</f>
        <v>Q96MG2</v>
      </c>
      <c r="DM1222" t="s">
        <v>20367</v>
      </c>
      <c r="DN1222" t="s">
        <v>13772</v>
      </c>
      <c r="DO1222" t="s">
        <v>17648</v>
      </c>
      <c r="DP1222" t="s">
        <v>13793</v>
      </c>
      <c r="DQ1222" t="s">
        <v>13772</v>
      </c>
      <c r="DR1222" t="s">
        <v>13772</v>
      </c>
      <c r="DS1222" t="s">
        <v>13772</v>
      </c>
      <c r="DT1222" t="s">
        <v>13772</v>
      </c>
      <c r="DU1222" t="s">
        <v>13772</v>
      </c>
      <c r="DV1222" t="s">
        <v>13772</v>
      </c>
      <c r="DW1222" t="s">
        <v>13772</v>
      </c>
      <c r="DX1222" t="s">
        <v>20368</v>
      </c>
      <c r="DY1222" t="s">
        <v>20369</v>
      </c>
      <c r="DZ1222" t="s">
        <v>13772</v>
      </c>
      <c r="EA1222" t="s">
        <v>13772</v>
      </c>
      <c r="EB1222" t="s">
        <v>13772</v>
      </c>
    </row>
    <row r="1223" spans="1:132" hidden="1">
      <c r="A1223">
        <v>744</v>
      </c>
      <c r="B1223">
        <v>1</v>
      </c>
      <c r="C1223" t="s">
        <v>1828</v>
      </c>
      <c r="D1223" t="s">
        <v>73</v>
      </c>
      <c r="E1223" t="s">
        <v>73</v>
      </c>
      <c r="F1223" t="s">
        <v>73</v>
      </c>
      <c r="G1223" t="s">
        <v>73</v>
      </c>
      <c r="H1223">
        <v>31.4</v>
      </c>
      <c r="I1223">
        <v>312</v>
      </c>
      <c r="J1223">
        <v>34613</v>
      </c>
      <c r="K1223" t="s">
        <v>1829</v>
      </c>
      <c r="L1223">
        <f t="shared" si="78"/>
        <v>18</v>
      </c>
      <c r="N1223">
        <v>18</v>
      </c>
      <c r="O1223">
        <v>18</v>
      </c>
      <c r="P1223">
        <v>1</v>
      </c>
      <c r="Q1223">
        <v>0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2</v>
      </c>
      <c r="Y1223">
        <v>1</v>
      </c>
      <c r="Z1223">
        <v>0</v>
      </c>
      <c r="AA1223">
        <v>6</v>
      </c>
      <c r="AB1223">
        <v>3</v>
      </c>
      <c r="AC1223">
        <v>2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2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2</v>
      </c>
      <c r="AR1223">
        <v>1</v>
      </c>
      <c r="AS1223">
        <v>0</v>
      </c>
      <c r="AT1223">
        <v>6</v>
      </c>
      <c r="AU1223">
        <v>3</v>
      </c>
      <c r="AV1223">
        <v>2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 s="2">
        <v>0</v>
      </c>
      <c r="BD1223" s="2">
        <v>2</v>
      </c>
      <c r="BE1223" s="2">
        <v>0</v>
      </c>
      <c r="BF1223" s="2">
        <v>0</v>
      </c>
      <c r="BG1223" s="2">
        <v>0</v>
      </c>
      <c r="BH1223" s="2">
        <v>0</v>
      </c>
      <c r="BI1223" s="2">
        <v>1</v>
      </c>
      <c r="BJ1223" s="2">
        <v>2</v>
      </c>
      <c r="BK1223" s="2">
        <v>1</v>
      </c>
      <c r="BL1223" s="2">
        <v>0</v>
      </c>
      <c r="BM1223" s="2">
        <v>6</v>
      </c>
      <c r="BN1223" s="2">
        <v>3</v>
      </c>
      <c r="BO1223" s="2">
        <v>2</v>
      </c>
      <c r="BP1223" s="2">
        <v>0</v>
      </c>
      <c r="BQ1223" s="2">
        <v>0</v>
      </c>
      <c r="BR1223" s="2">
        <v>1</v>
      </c>
      <c r="BS1223" s="2">
        <v>0</v>
      </c>
      <c r="BT1223" s="2">
        <v>0</v>
      </c>
      <c r="BU1223" s="2">
        <v>0</v>
      </c>
      <c r="BV1223" s="2">
        <f t="shared" ref="BV1223:BV1286" si="81">SUM(BC1223:BU1223)</f>
        <v>18</v>
      </c>
      <c r="BW1223" s="16">
        <f t="shared" si="79"/>
        <v>0.94736842105263153</v>
      </c>
      <c r="BX1223" s="16">
        <f>COUNTIF($BC$6:BU1223, "=0") / COUNTIF($BC$6:BU1223, "&gt;-1")</f>
        <v>0.3246910379396768</v>
      </c>
      <c r="BY1223" s="18">
        <f>SUM($BC$6:BU1223) / $BY$4</f>
        <v>0.96184044607532393</v>
      </c>
      <c r="BZ1223" s="14">
        <f t="shared" si="80"/>
        <v>11</v>
      </c>
      <c r="CA1223" t="s">
        <v>5832</v>
      </c>
      <c r="CZ1223" t="s">
        <v>8245</v>
      </c>
      <c r="DA1223" t="s">
        <v>5904</v>
      </c>
      <c r="DB1223">
        <v>575.5</v>
      </c>
      <c r="DC1223" t="s">
        <v>21099</v>
      </c>
      <c r="DD1223" t="s">
        <v>21100</v>
      </c>
      <c r="DE1223" t="s">
        <v>21101</v>
      </c>
      <c r="DF1223" t="s">
        <v>21102</v>
      </c>
      <c r="DG1223" t="s">
        <v>21103</v>
      </c>
      <c r="DH1223" t="str">
        <f>"PDXK"</f>
        <v>PDXK</v>
      </c>
      <c r="DI1223" t="s">
        <v>21104</v>
      </c>
      <c r="DJ1223" t="s">
        <v>13777</v>
      </c>
      <c r="DK1223">
        <v>9606</v>
      </c>
      <c r="DL1223" s="34" t="str">
        <f>HYPERLINK("http://www.uniprot.org/uniprot/O00764", "O00764")</f>
        <v>O00764</v>
      </c>
      <c r="DM1223" t="s">
        <v>21105</v>
      </c>
      <c r="DN1223" t="s">
        <v>13772</v>
      </c>
      <c r="DO1223" t="s">
        <v>13899</v>
      </c>
      <c r="DP1223" t="s">
        <v>13841</v>
      </c>
      <c r="DQ1223" t="s">
        <v>13772</v>
      </c>
      <c r="DR1223" t="s">
        <v>13772</v>
      </c>
      <c r="DS1223" t="s">
        <v>13772</v>
      </c>
      <c r="DT1223" t="s">
        <v>21106</v>
      </c>
      <c r="DU1223" t="s">
        <v>14006</v>
      </c>
      <c r="DV1223" t="s">
        <v>13886</v>
      </c>
      <c r="DW1223" t="s">
        <v>13812</v>
      </c>
      <c r="DX1223" t="s">
        <v>21107</v>
      </c>
      <c r="DY1223" t="s">
        <v>21108</v>
      </c>
      <c r="DZ1223" t="s">
        <v>21109</v>
      </c>
      <c r="EA1223" t="s">
        <v>13772</v>
      </c>
      <c r="EB1223" t="s">
        <v>21110</v>
      </c>
    </row>
    <row r="1224" spans="1:132" hidden="1">
      <c r="A1224">
        <v>752</v>
      </c>
      <c r="B1224">
        <v>1</v>
      </c>
      <c r="C1224" t="s">
        <v>1847</v>
      </c>
      <c r="D1224" t="s">
        <v>1848</v>
      </c>
      <c r="E1224" t="s">
        <v>73</v>
      </c>
      <c r="F1224" t="s">
        <v>73</v>
      </c>
      <c r="G1224" t="s">
        <v>73</v>
      </c>
      <c r="H1224">
        <v>14</v>
      </c>
      <c r="I1224">
        <v>928</v>
      </c>
      <c r="J1224">
        <v>101535</v>
      </c>
      <c r="K1224" t="s">
        <v>1849</v>
      </c>
      <c r="L1224">
        <f t="shared" si="78"/>
        <v>18</v>
      </c>
      <c r="N1224">
        <v>18</v>
      </c>
      <c r="O1224">
        <v>18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9</v>
      </c>
      <c r="Z1224">
        <v>0</v>
      </c>
      <c r="AA1224">
        <v>5</v>
      </c>
      <c r="AB1224">
        <v>0</v>
      </c>
      <c r="AC1224">
        <v>2</v>
      </c>
      <c r="AD1224">
        <v>0</v>
      </c>
      <c r="AE1224">
        <v>0</v>
      </c>
      <c r="AF1224">
        <v>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9</v>
      </c>
      <c r="AS1224">
        <v>0</v>
      </c>
      <c r="AT1224">
        <v>5</v>
      </c>
      <c r="AU1224">
        <v>0</v>
      </c>
      <c r="AV1224">
        <v>2</v>
      </c>
      <c r="AW1224">
        <v>0</v>
      </c>
      <c r="AX1224">
        <v>0</v>
      </c>
      <c r="AY1224">
        <v>2</v>
      </c>
      <c r="AZ1224">
        <v>0</v>
      </c>
      <c r="BA1224">
        <v>0</v>
      </c>
      <c r="BB1224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9</v>
      </c>
      <c r="BL1224" s="2">
        <v>0</v>
      </c>
      <c r="BM1224" s="2">
        <v>5</v>
      </c>
      <c r="BN1224" s="2">
        <v>0</v>
      </c>
      <c r="BO1224" s="2">
        <v>2</v>
      </c>
      <c r="BP1224" s="2">
        <v>0</v>
      </c>
      <c r="BQ1224" s="2">
        <v>0</v>
      </c>
      <c r="BR1224" s="2">
        <v>2</v>
      </c>
      <c r="BS1224" s="2">
        <v>0</v>
      </c>
      <c r="BT1224" s="2">
        <v>0</v>
      </c>
      <c r="BU1224" s="2">
        <v>0</v>
      </c>
      <c r="BV1224" s="2">
        <f t="shared" si="81"/>
        <v>18</v>
      </c>
      <c r="BW1224" s="16">
        <f t="shared" si="79"/>
        <v>0.94736842105263153</v>
      </c>
      <c r="BX1224" s="16">
        <f>COUNTIF($BC$6:BU1224, "=0") / COUNTIF($BC$6:BU1224, "&gt;-1")</f>
        <v>0.32507231984802037</v>
      </c>
      <c r="BY1224" s="18">
        <f>SUM($BC$6:BU1224) / $BY$4</f>
        <v>0.96191755153896052</v>
      </c>
      <c r="BZ1224" s="14">
        <f t="shared" si="80"/>
        <v>15</v>
      </c>
      <c r="CA1224" t="s">
        <v>5832</v>
      </c>
      <c r="CZ1224" t="s">
        <v>8274</v>
      </c>
      <c r="DA1224" t="s">
        <v>5904</v>
      </c>
      <c r="DB1224">
        <v>1721.8</v>
      </c>
      <c r="DC1224" t="s">
        <v>21181</v>
      </c>
      <c r="DD1224" t="s">
        <v>21182</v>
      </c>
      <c r="DE1224" t="s">
        <v>21183</v>
      </c>
      <c r="DF1224" t="s">
        <v>21184</v>
      </c>
      <c r="DG1224" t="s">
        <v>21185</v>
      </c>
      <c r="DH1224" t="str">
        <f>"ADAMTS5"</f>
        <v>ADAMTS5</v>
      </c>
      <c r="DI1224" t="s">
        <v>21186</v>
      </c>
      <c r="DJ1224" t="s">
        <v>13777</v>
      </c>
      <c r="DK1224">
        <v>9606</v>
      </c>
      <c r="DL1224" s="34" t="str">
        <f>HYPERLINK("http://www.uniprot.org/uniprot/Q9UNA0", "Q9UNA0")</f>
        <v>Q9UNA0</v>
      </c>
      <c r="DM1224" t="s">
        <v>21187</v>
      </c>
      <c r="DN1224" t="s">
        <v>13772</v>
      </c>
      <c r="DO1224" t="s">
        <v>13869</v>
      </c>
      <c r="DP1224" t="s">
        <v>13793</v>
      </c>
      <c r="DQ1224" t="s">
        <v>13772</v>
      </c>
      <c r="DR1224" t="s">
        <v>13772</v>
      </c>
      <c r="DS1224" t="s">
        <v>14404</v>
      </c>
      <c r="DT1224" t="s">
        <v>13856</v>
      </c>
      <c r="DU1224" t="s">
        <v>15139</v>
      </c>
      <c r="DV1224" t="s">
        <v>18956</v>
      </c>
      <c r="DW1224" t="s">
        <v>13812</v>
      </c>
      <c r="DX1224" t="s">
        <v>21188</v>
      </c>
      <c r="DY1224" t="s">
        <v>21189</v>
      </c>
      <c r="DZ1224" t="s">
        <v>21190</v>
      </c>
      <c r="EA1224" t="s">
        <v>13772</v>
      </c>
      <c r="EB1224" t="s">
        <v>18968</v>
      </c>
    </row>
    <row r="1225" spans="1:132" hidden="1">
      <c r="A1225">
        <v>799</v>
      </c>
      <c r="B1225">
        <v>1</v>
      </c>
      <c r="C1225" t="s">
        <v>1960</v>
      </c>
      <c r="D1225" t="s">
        <v>1961</v>
      </c>
      <c r="E1225" t="s">
        <v>73</v>
      </c>
      <c r="F1225" t="s">
        <v>73</v>
      </c>
      <c r="G1225" t="s">
        <v>73</v>
      </c>
      <c r="H1225">
        <v>9.9</v>
      </c>
      <c r="I1225">
        <v>687</v>
      </c>
      <c r="J1225">
        <v>78490</v>
      </c>
      <c r="K1225" t="s">
        <v>1962</v>
      </c>
      <c r="L1225">
        <f t="shared" si="78"/>
        <v>18</v>
      </c>
      <c r="N1225">
        <v>18</v>
      </c>
      <c r="O1225">
        <v>18</v>
      </c>
      <c r="P1225">
        <v>1</v>
      </c>
      <c r="Q1225">
        <v>4</v>
      </c>
      <c r="R1225">
        <v>3</v>
      </c>
      <c r="S1225">
        <v>2</v>
      </c>
      <c r="T1225">
        <v>1</v>
      </c>
      <c r="U1225">
        <v>1</v>
      </c>
      <c r="V1225">
        <v>0</v>
      </c>
      <c r="W1225">
        <v>3</v>
      </c>
      <c r="X1225">
        <v>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4</v>
      </c>
      <c r="AK1225">
        <v>3</v>
      </c>
      <c r="AL1225">
        <v>2</v>
      </c>
      <c r="AM1225">
        <v>1</v>
      </c>
      <c r="AN1225">
        <v>1</v>
      </c>
      <c r="AO1225">
        <v>0</v>
      </c>
      <c r="AP1225">
        <v>3</v>
      </c>
      <c r="AQ1225">
        <v>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 s="2">
        <v>4</v>
      </c>
      <c r="BD1225" s="2">
        <v>3</v>
      </c>
      <c r="BE1225" s="2">
        <v>2</v>
      </c>
      <c r="BF1225" s="2">
        <v>1</v>
      </c>
      <c r="BG1225" s="2">
        <v>1</v>
      </c>
      <c r="BH1225" s="2">
        <v>0</v>
      </c>
      <c r="BI1225" s="2">
        <v>3</v>
      </c>
      <c r="BJ1225" s="2">
        <v>3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1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f t="shared" si="81"/>
        <v>18</v>
      </c>
      <c r="BW1225" s="16">
        <f t="shared" si="79"/>
        <v>0.94736842105263153</v>
      </c>
      <c r="BX1225" s="16">
        <f>COUNTIF($BC$6:BU1225, "=0") / COUNTIF($BC$6:BU1225, "&gt;-1")</f>
        <v>0.32528041415012943</v>
      </c>
      <c r="BY1225" s="18">
        <f>SUM($BC$6:BU1225) / $BY$4</f>
        <v>0.96199465700259712</v>
      </c>
      <c r="BZ1225" s="14">
        <f t="shared" si="80"/>
        <v>11</v>
      </c>
      <c r="CA1225" t="s">
        <v>5832</v>
      </c>
      <c r="CZ1225" t="s">
        <v>8436</v>
      </c>
      <c r="DA1225" t="s">
        <v>5904</v>
      </c>
      <c r="DB1225">
        <v>924.5</v>
      </c>
      <c r="DC1225" t="s">
        <v>21668</v>
      </c>
      <c r="DD1225" t="s">
        <v>21669</v>
      </c>
      <c r="DE1225" t="s">
        <v>21670</v>
      </c>
      <c r="DF1225" t="s">
        <v>21671</v>
      </c>
      <c r="DG1225" t="s">
        <v>21672</v>
      </c>
      <c r="DH1225" t="str">
        <f>"IL1RAP"</f>
        <v>IL1RAP</v>
      </c>
      <c r="DI1225" t="s">
        <v>21673</v>
      </c>
      <c r="DJ1225" t="s">
        <v>13777</v>
      </c>
      <c r="DK1225">
        <v>9606</v>
      </c>
      <c r="DL1225" s="34" t="str">
        <f>HYPERLINK("http://www.uniprot.org/uniprot/Q9NPH3", "Q9NPH3")</f>
        <v>Q9NPH3</v>
      </c>
      <c r="DM1225" t="s">
        <v>21674</v>
      </c>
      <c r="DN1225" t="s">
        <v>20696</v>
      </c>
      <c r="DO1225" t="s">
        <v>14336</v>
      </c>
      <c r="DP1225" t="s">
        <v>13780</v>
      </c>
      <c r="DQ1225" t="s">
        <v>13772</v>
      </c>
      <c r="DR1225" t="s">
        <v>13772</v>
      </c>
      <c r="DS1225" t="s">
        <v>13951</v>
      </c>
      <c r="DT1225" t="s">
        <v>13772</v>
      </c>
      <c r="DU1225" t="s">
        <v>13795</v>
      </c>
      <c r="DV1225" t="s">
        <v>13964</v>
      </c>
      <c r="DW1225" t="s">
        <v>13812</v>
      </c>
      <c r="DX1225" t="s">
        <v>21675</v>
      </c>
      <c r="DY1225" t="s">
        <v>21676</v>
      </c>
      <c r="DZ1225" t="s">
        <v>21677</v>
      </c>
      <c r="EA1225" t="s">
        <v>13772</v>
      </c>
      <c r="EB1225" t="s">
        <v>21678</v>
      </c>
    </row>
    <row r="1226" spans="1:132" hidden="1">
      <c r="A1226">
        <v>817</v>
      </c>
      <c r="B1226">
        <v>1</v>
      </c>
      <c r="C1226" t="s">
        <v>2005</v>
      </c>
      <c r="D1226" t="s">
        <v>73</v>
      </c>
      <c r="E1226" t="s">
        <v>73</v>
      </c>
      <c r="F1226" t="s">
        <v>73</v>
      </c>
      <c r="G1226" t="s">
        <v>73</v>
      </c>
      <c r="H1226">
        <v>10.1</v>
      </c>
      <c r="I1226">
        <v>874</v>
      </c>
      <c r="J1226">
        <v>97732</v>
      </c>
      <c r="K1226" t="s">
        <v>2006</v>
      </c>
      <c r="L1226">
        <f t="shared" si="78"/>
        <v>18</v>
      </c>
      <c r="N1226">
        <v>18</v>
      </c>
      <c r="O1226">
        <v>18</v>
      </c>
      <c r="P1226">
        <v>1</v>
      </c>
      <c r="Q1226">
        <v>2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2</v>
      </c>
      <c r="X1226">
        <v>3</v>
      </c>
      <c r="Y1226">
        <v>0</v>
      </c>
      <c r="Z1226">
        <v>0</v>
      </c>
      <c r="AA1226">
        <v>2</v>
      </c>
      <c r="AB1226">
        <v>2</v>
      </c>
      <c r="AC1226">
        <v>1</v>
      </c>
      <c r="AD1226">
        <v>0</v>
      </c>
      <c r="AE1226">
        <v>1</v>
      </c>
      <c r="AF1226">
        <v>4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2</v>
      </c>
      <c r="AQ1226">
        <v>3</v>
      </c>
      <c r="AR1226">
        <v>0</v>
      </c>
      <c r="AS1226">
        <v>0</v>
      </c>
      <c r="AT1226">
        <v>2</v>
      </c>
      <c r="AU1226">
        <v>2</v>
      </c>
      <c r="AV1226">
        <v>1</v>
      </c>
      <c r="AW1226">
        <v>0</v>
      </c>
      <c r="AX1226">
        <v>1</v>
      </c>
      <c r="AY1226">
        <v>4</v>
      </c>
      <c r="AZ1226">
        <v>0</v>
      </c>
      <c r="BA1226">
        <v>0</v>
      </c>
      <c r="BB1226">
        <v>0</v>
      </c>
      <c r="BC1226" s="2">
        <v>2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2</v>
      </c>
      <c r="BJ1226" s="2">
        <v>3</v>
      </c>
      <c r="BK1226" s="2">
        <v>0</v>
      </c>
      <c r="BL1226" s="2">
        <v>0</v>
      </c>
      <c r="BM1226" s="2">
        <v>2</v>
      </c>
      <c r="BN1226" s="2">
        <v>2</v>
      </c>
      <c r="BO1226" s="2">
        <v>1</v>
      </c>
      <c r="BP1226" s="2">
        <v>0</v>
      </c>
      <c r="BQ1226" s="2">
        <v>1</v>
      </c>
      <c r="BR1226" s="2">
        <v>4</v>
      </c>
      <c r="BS1226" s="2">
        <v>0</v>
      </c>
      <c r="BT1226" s="2">
        <v>0</v>
      </c>
      <c r="BU1226" s="2">
        <v>0</v>
      </c>
      <c r="BV1226" s="2">
        <f t="shared" si="81"/>
        <v>18</v>
      </c>
      <c r="BW1226" s="16">
        <f t="shared" si="79"/>
        <v>0.94736842105263153</v>
      </c>
      <c r="BX1226" s="16">
        <f>COUNTIF($BC$6:BU1226, "=0") / COUNTIF($BC$6:BU1226, "&gt;-1")</f>
        <v>0.32544506228716757</v>
      </c>
      <c r="BY1226" s="18">
        <f>SUM($BC$6:BU1226) / $BY$4</f>
        <v>0.96207176246623372</v>
      </c>
      <c r="BZ1226" s="14">
        <f t="shared" si="80"/>
        <v>10</v>
      </c>
      <c r="CA1226" t="s">
        <v>5832</v>
      </c>
      <c r="CZ1226" t="s">
        <v>8498</v>
      </c>
      <c r="DA1226" t="s">
        <v>5904</v>
      </c>
      <c r="DB1226">
        <v>1796.9</v>
      </c>
      <c r="DC1226" t="s">
        <v>21854</v>
      </c>
      <c r="DD1226" t="s">
        <v>21855</v>
      </c>
      <c r="DE1226" t="s">
        <v>21856</v>
      </c>
      <c r="DF1226" t="s">
        <v>21857</v>
      </c>
      <c r="DG1226" t="s">
        <v>21858</v>
      </c>
      <c r="DH1226" t="str">
        <f>"COPG1"</f>
        <v>COPG1</v>
      </c>
      <c r="DI1226" t="s">
        <v>21859</v>
      </c>
      <c r="DJ1226" t="s">
        <v>13777</v>
      </c>
      <c r="DK1226">
        <v>9606</v>
      </c>
      <c r="DL1226" s="34" t="str">
        <f>HYPERLINK("http://www.uniprot.org/uniprot/Q9Y678", "Q9Y678")</f>
        <v>Q9Y678</v>
      </c>
      <c r="DM1226" t="s">
        <v>21860</v>
      </c>
      <c r="DN1226" t="s">
        <v>15450</v>
      </c>
      <c r="DO1226" t="s">
        <v>16529</v>
      </c>
      <c r="DP1226" t="s">
        <v>13793</v>
      </c>
      <c r="DQ1226" t="s">
        <v>13772</v>
      </c>
      <c r="DR1226" t="s">
        <v>13772</v>
      </c>
      <c r="DS1226" t="s">
        <v>14096</v>
      </c>
      <c r="DT1226" t="s">
        <v>13772</v>
      </c>
      <c r="DU1226" t="s">
        <v>13772</v>
      </c>
      <c r="DV1226" t="s">
        <v>13782</v>
      </c>
      <c r="DW1226" t="s">
        <v>13812</v>
      </c>
      <c r="DX1226" t="s">
        <v>21861</v>
      </c>
      <c r="DY1226" t="s">
        <v>16531</v>
      </c>
      <c r="DZ1226" t="s">
        <v>16532</v>
      </c>
      <c r="EA1226" t="s">
        <v>13772</v>
      </c>
      <c r="EB1226" t="s">
        <v>16533</v>
      </c>
    </row>
    <row r="1227" spans="1:132" hidden="1">
      <c r="A1227">
        <v>837</v>
      </c>
      <c r="B1227">
        <v>1</v>
      </c>
      <c r="C1227" t="s">
        <v>2050</v>
      </c>
      <c r="D1227" t="s">
        <v>2051</v>
      </c>
      <c r="E1227" t="s">
        <v>73</v>
      </c>
      <c r="F1227" t="s">
        <v>73</v>
      </c>
      <c r="G1227" t="s">
        <v>73</v>
      </c>
      <c r="H1227">
        <v>7.2</v>
      </c>
      <c r="I1227">
        <v>1174</v>
      </c>
      <c r="J1227">
        <v>127323</v>
      </c>
      <c r="K1227" t="s">
        <v>2052</v>
      </c>
      <c r="L1227">
        <f t="shared" si="78"/>
        <v>18</v>
      </c>
      <c r="N1227">
        <v>18</v>
      </c>
      <c r="O1227">
        <v>18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2</v>
      </c>
      <c r="W1227">
        <v>1</v>
      </c>
      <c r="X1227">
        <v>0</v>
      </c>
      <c r="Y1227">
        <v>0</v>
      </c>
      <c r="Z1227">
        <v>1</v>
      </c>
      <c r="AA1227">
        <v>5</v>
      </c>
      <c r="AB1227">
        <v>4</v>
      </c>
      <c r="AC1227">
        <v>0</v>
      </c>
      <c r="AD1227">
        <v>0</v>
      </c>
      <c r="AE1227">
        <v>0</v>
      </c>
      <c r="AF1227">
        <v>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2</v>
      </c>
      <c r="AP1227">
        <v>1</v>
      </c>
      <c r="AQ1227">
        <v>0</v>
      </c>
      <c r="AR1227">
        <v>0</v>
      </c>
      <c r="AS1227">
        <v>1</v>
      </c>
      <c r="AT1227">
        <v>5</v>
      </c>
      <c r="AU1227">
        <v>4</v>
      </c>
      <c r="AV1227">
        <v>0</v>
      </c>
      <c r="AW1227">
        <v>0</v>
      </c>
      <c r="AX1227">
        <v>0</v>
      </c>
      <c r="AY1227">
        <v>3</v>
      </c>
      <c r="AZ1227">
        <v>0</v>
      </c>
      <c r="BA1227">
        <v>0</v>
      </c>
      <c r="BB1227">
        <v>0</v>
      </c>
      <c r="BC1227" s="2">
        <v>0</v>
      </c>
      <c r="BD1227" s="2">
        <v>0</v>
      </c>
      <c r="BE1227" s="2">
        <v>0</v>
      </c>
      <c r="BF1227" s="2">
        <v>1</v>
      </c>
      <c r="BG1227" s="2">
        <v>1</v>
      </c>
      <c r="BH1227" s="2">
        <v>2</v>
      </c>
      <c r="BI1227" s="2">
        <v>1</v>
      </c>
      <c r="BJ1227" s="2">
        <v>0</v>
      </c>
      <c r="BK1227" s="2">
        <v>0</v>
      </c>
      <c r="BL1227" s="2">
        <v>1</v>
      </c>
      <c r="BM1227" s="2">
        <v>5</v>
      </c>
      <c r="BN1227" s="2">
        <v>4</v>
      </c>
      <c r="BO1227" s="2">
        <v>0</v>
      </c>
      <c r="BP1227" s="2">
        <v>0</v>
      </c>
      <c r="BQ1227" s="2">
        <v>0</v>
      </c>
      <c r="BR1227" s="2">
        <v>3</v>
      </c>
      <c r="BS1227" s="2">
        <v>0</v>
      </c>
      <c r="BT1227" s="2">
        <v>0</v>
      </c>
      <c r="BU1227" s="2">
        <v>0</v>
      </c>
      <c r="BV1227" s="2">
        <f t="shared" si="81"/>
        <v>18</v>
      </c>
      <c r="BW1227" s="16">
        <f t="shared" si="79"/>
        <v>0.94736842105263153</v>
      </c>
      <c r="BX1227" s="16">
        <f>COUNTIF($BC$6:BU1227, "=0") / COUNTIF($BC$6:BU1227, "&gt;-1")</f>
        <v>0.32565251098285813</v>
      </c>
      <c r="BY1227" s="18">
        <f>SUM($BC$6:BU1227) / $BY$4</f>
        <v>0.96214886792987031</v>
      </c>
      <c r="BZ1227" s="14">
        <f t="shared" si="80"/>
        <v>11</v>
      </c>
      <c r="CA1227" t="s">
        <v>5832</v>
      </c>
      <c r="CZ1227" t="s">
        <v>8566</v>
      </c>
      <c r="DA1227" t="s">
        <v>5904</v>
      </c>
      <c r="DB1227">
        <v>1964.5</v>
      </c>
      <c r="DC1227" t="s">
        <v>22044</v>
      </c>
      <c r="DD1227" t="s">
        <v>13772</v>
      </c>
      <c r="DE1227" t="s">
        <v>22045</v>
      </c>
      <c r="DF1227" t="s">
        <v>22046</v>
      </c>
      <c r="DG1227" t="s">
        <v>22047</v>
      </c>
      <c r="DH1227" t="str">
        <f>"BOC"</f>
        <v>BOC</v>
      </c>
      <c r="DI1227" t="s">
        <v>13772</v>
      </c>
      <c r="DJ1227" t="s">
        <v>13777</v>
      </c>
      <c r="DK1227">
        <v>9606</v>
      </c>
      <c r="DL1227" s="34" t="str">
        <f>HYPERLINK("http://www.uniprot.org/uniprot/Q9BWV1", "Q9BWV1")</f>
        <v>Q9BWV1</v>
      </c>
      <c r="DM1227" t="s">
        <v>22048</v>
      </c>
      <c r="DN1227" t="s">
        <v>13949</v>
      </c>
      <c r="DO1227" t="s">
        <v>13792</v>
      </c>
      <c r="DP1227" t="s">
        <v>13780</v>
      </c>
      <c r="DQ1227" t="s">
        <v>13772</v>
      </c>
      <c r="DR1227" t="s">
        <v>13772</v>
      </c>
      <c r="DS1227" t="s">
        <v>13951</v>
      </c>
      <c r="DT1227" t="s">
        <v>13772</v>
      </c>
      <c r="DU1227" t="s">
        <v>13772</v>
      </c>
      <c r="DV1227" t="s">
        <v>13796</v>
      </c>
      <c r="DW1227" t="s">
        <v>13812</v>
      </c>
      <c r="DX1227" t="s">
        <v>22049</v>
      </c>
      <c r="DY1227" t="s">
        <v>22050</v>
      </c>
      <c r="DZ1227" t="s">
        <v>13772</v>
      </c>
      <c r="EA1227" t="s">
        <v>13772</v>
      </c>
      <c r="EB1227" t="s">
        <v>22051</v>
      </c>
    </row>
    <row r="1228" spans="1:132" hidden="1">
      <c r="A1228">
        <v>883</v>
      </c>
      <c r="B1228">
        <v>1</v>
      </c>
      <c r="C1228" t="s">
        <v>2157</v>
      </c>
      <c r="D1228" t="s">
        <v>2158</v>
      </c>
      <c r="E1228" t="s">
        <v>73</v>
      </c>
      <c r="F1228" t="s">
        <v>73</v>
      </c>
      <c r="G1228" t="s">
        <v>73</v>
      </c>
      <c r="H1228">
        <v>4.3</v>
      </c>
      <c r="I1228">
        <v>623</v>
      </c>
      <c r="J1228">
        <v>66654</v>
      </c>
      <c r="K1228" t="s">
        <v>2159</v>
      </c>
      <c r="L1228">
        <f t="shared" si="78"/>
        <v>18</v>
      </c>
      <c r="N1228">
        <v>18</v>
      </c>
      <c r="O1228">
        <v>18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2</v>
      </c>
      <c r="W1228">
        <v>0</v>
      </c>
      <c r="X1228">
        <v>1</v>
      </c>
      <c r="Y1228">
        <v>4</v>
      </c>
      <c r="Z1228">
        <v>0</v>
      </c>
      <c r="AA1228">
        <v>1</v>
      </c>
      <c r="AB1228">
        <v>2</v>
      </c>
      <c r="AC1228">
        <v>1</v>
      </c>
      <c r="AD1228">
        <v>0</v>
      </c>
      <c r="AE1228">
        <v>2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2</v>
      </c>
      <c r="AP1228">
        <v>0</v>
      </c>
      <c r="AQ1228">
        <v>1</v>
      </c>
      <c r="AR1228">
        <v>4</v>
      </c>
      <c r="AS1228">
        <v>0</v>
      </c>
      <c r="AT1228">
        <v>1</v>
      </c>
      <c r="AU1228">
        <v>2</v>
      </c>
      <c r="AV1228">
        <v>1</v>
      </c>
      <c r="AW1228">
        <v>0</v>
      </c>
      <c r="AX1228">
        <v>2</v>
      </c>
      <c r="AY1228">
        <v>1</v>
      </c>
      <c r="AZ1228">
        <v>0</v>
      </c>
      <c r="BA1228">
        <v>0</v>
      </c>
      <c r="BB1228">
        <v>1</v>
      </c>
      <c r="BC1228" s="2">
        <v>0</v>
      </c>
      <c r="BD1228" s="2">
        <v>1</v>
      </c>
      <c r="BE1228" s="2">
        <v>1</v>
      </c>
      <c r="BF1228" s="2">
        <v>0</v>
      </c>
      <c r="BG1228" s="2">
        <v>1</v>
      </c>
      <c r="BH1228" s="2">
        <v>2</v>
      </c>
      <c r="BI1228" s="2">
        <v>0</v>
      </c>
      <c r="BJ1228" s="2">
        <v>1</v>
      </c>
      <c r="BK1228" s="2">
        <v>4</v>
      </c>
      <c r="BL1228" s="2">
        <v>0</v>
      </c>
      <c r="BM1228" s="2">
        <v>1</v>
      </c>
      <c r="BN1228" s="2">
        <v>2</v>
      </c>
      <c r="BO1228" s="2">
        <v>1</v>
      </c>
      <c r="BP1228" s="2">
        <v>0</v>
      </c>
      <c r="BQ1228" s="2">
        <v>2</v>
      </c>
      <c r="BR1228" s="2">
        <v>1</v>
      </c>
      <c r="BS1228" s="2">
        <v>0</v>
      </c>
      <c r="BT1228" s="2">
        <v>0</v>
      </c>
      <c r="BU1228" s="2">
        <v>1</v>
      </c>
      <c r="BV1228" s="2">
        <f t="shared" si="81"/>
        <v>18</v>
      </c>
      <c r="BW1228" s="16">
        <f t="shared" si="79"/>
        <v>0.94736842105263153</v>
      </c>
      <c r="BX1228" s="16">
        <f>COUNTIF($BC$6:BU1228, "=0") / COUNTIF($BC$6:BU1228, "&gt;-1")</f>
        <v>0.32568748117226837</v>
      </c>
      <c r="BY1228" s="18">
        <f>SUM($BC$6:BU1228) / $BY$4</f>
        <v>0.96222597339350702</v>
      </c>
      <c r="BZ1228" s="14">
        <f t="shared" si="80"/>
        <v>7</v>
      </c>
      <c r="CA1228" t="s">
        <v>5832</v>
      </c>
      <c r="CZ1228" t="s">
        <v>8721</v>
      </c>
      <c r="DA1228" t="s">
        <v>5904</v>
      </c>
      <c r="DB1228">
        <v>1127.0999999999999</v>
      </c>
      <c r="DC1228" t="s">
        <v>22487</v>
      </c>
      <c r="DD1228" t="s">
        <v>22488</v>
      </c>
      <c r="DE1228" t="s">
        <v>22489</v>
      </c>
      <c r="DF1228" t="s">
        <v>22490</v>
      </c>
      <c r="DG1228" t="s">
        <v>22491</v>
      </c>
      <c r="DH1228" t="str">
        <f>"LPP"</f>
        <v>LPP</v>
      </c>
      <c r="DI1228" t="s">
        <v>13772</v>
      </c>
      <c r="DJ1228" t="s">
        <v>13777</v>
      </c>
      <c r="DK1228">
        <v>9606</v>
      </c>
      <c r="DL1228" s="34" t="str">
        <f>HYPERLINK("http://www.uniprot.org/uniprot/Q93052", "Q93052")</f>
        <v>Q93052</v>
      </c>
      <c r="DM1228" t="s">
        <v>22492</v>
      </c>
      <c r="DN1228" t="s">
        <v>13949</v>
      </c>
      <c r="DO1228" t="s">
        <v>22493</v>
      </c>
      <c r="DP1228" t="s">
        <v>13870</v>
      </c>
      <c r="DQ1228" t="s">
        <v>13772</v>
      </c>
      <c r="DR1228" t="s">
        <v>13772</v>
      </c>
      <c r="DS1228" t="s">
        <v>15529</v>
      </c>
      <c r="DT1228" t="s">
        <v>13856</v>
      </c>
      <c r="DU1228" t="s">
        <v>21754</v>
      </c>
      <c r="DV1228" t="s">
        <v>13991</v>
      </c>
      <c r="DW1228" t="s">
        <v>13772</v>
      </c>
      <c r="DX1228" t="s">
        <v>22494</v>
      </c>
      <c r="DY1228" t="s">
        <v>22495</v>
      </c>
      <c r="DZ1228" t="s">
        <v>14023</v>
      </c>
      <c r="EA1228" t="s">
        <v>13772</v>
      </c>
      <c r="EB1228" t="s">
        <v>13772</v>
      </c>
    </row>
    <row r="1229" spans="1:132" hidden="1">
      <c r="A1229">
        <v>924</v>
      </c>
      <c r="B1229">
        <v>1</v>
      </c>
      <c r="C1229" t="s">
        <v>2246</v>
      </c>
      <c r="D1229" t="s">
        <v>2247</v>
      </c>
      <c r="E1229" t="s">
        <v>73</v>
      </c>
      <c r="F1229" t="s">
        <v>73</v>
      </c>
      <c r="G1229" t="s">
        <v>73</v>
      </c>
      <c r="H1229">
        <v>7.7</v>
      </c>
      <c r="I1229">
        <v>413</v>
      </c>
      <c r="J1229">
        <v>44480</v>
      </c>
      <c r="K1229" t="s">
        <v>2248</v>
      </c>
      <c r="L1229">
        <f t="shared" si="78"/>
        <v>18</v>
      </c>
      <c r="N1229">
        <v>18</v>
      </c>
      <c r="O1229">
        <v>18</v>
      </c>
      <c r="P1229">
        <v>1</v>
      </c>
      <c r="Q1229">
        <v>0</v>
      </c>
      <c r="R1229">
        <v>3</v>
      </c>
      <c r="S1229">
        <v>3</v>
      </c>
      <c r="T1229">
        <v>5</v>
      </c>
      <c r="U1229">
        <v>3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3</v>
      </c>
      <c r="AL1229">
        <v>3</v>
      </c>
      <c r="AM1229">
        <v>5</v>
      </c>
      <c r="AN1229">
        <v>3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 s="2">
        <v>0</v>
      </c>
      <c r="BD1229" s="2">
        <v>3</v>
      </c>
      <c r="BE1229" s="2">
        <v>3</v>
      </c>
      <c r="BF1229" s="2">
        <v>5</v>
      </c>
      <c r="BG1229" s="2">
        <v>3</v>
      </c>
      <c r="BH1229" s="2">
        <v>1</v>
      </c>
      <c r="BI1229" s="2">
        <v>1</v>
      </c>
      <c r="BJ1229" s="2">
        <v>0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1</v>
      </c>
      <c r="BT1229" s="2">
        <v>0</v>
      </c>
      <c r="BU1229" s="2">
        <v>0</v>
      </c>
      <c r="BV1229" s="2">
        <f t="shared" si="81"/>
        <v>18</v>
      </c>
      <c r="BW1229" s="16">
        <f t="shared" si="79"/>
        <v>0.94736842105263153</v>
      </c>
      <c r="BX1229" s="16">
        <f>COUNTIF($BC$6:BU1229, "=0") / COUNTIF($BC$6:BU1229, "&gt;-1")</f>
        <v>0.32589439284485722</v>
      </c>
      <c r="BY1229" s="18">
        <f>SUM($BC$6:BU1229) / $BY$4</f>
        <v>0.96230307885714361</v>
      </c>
      <c r="BZ1229" s="14">
        <f t="shared" si="80"/>
        <v>11</v>
      </c>
      <c r="CA1229" t="s">
        <v>5832</v>
      </c>
      <c r="CZ1229" t="s">
        <v>8859</v>
      </c>
      <c r="DA1229" t="s">
        <v>5904</v>
      </c>
      <c r="DB1229">
        <v>617.1</v>
      </c>
      <c r="DC1229" t="s">
        <v>22887</v>
      </c>
      <c r="DD1229" t="s">
        <v>22888</v>
      </c>
      <c r="DE1229" t="s">
        <v>22889</v>
      </c>
      <c r="DF1229" t="s">
        <v>22890</v>
      </c>
      <c r="DG1229" t="s">
        <v>22891</v>
      </c>
      <c r="DH1229" t="str">
        <f>"LAMP1"</f>
        <v>LAMP1</v>
      </c>
      <c r="DI1229" t="s">
        <v>13772</v>
      </c>
      <c r="DJ1229" t="s">
        <v>13777</v>
      </c>
      <c r="DK1229">
        <v>9606</v>
      </c>
      <c r="DL1229" s="34" t="str">
        <f>HYPERLINK("http://www.uniprot.org/uniprot/P11279", "P11279")</f>
        <v>P11279</v>
      </c>
      <c r="DM1229" t="s">
        <v>22892</v>
      </c>
      <c r="DN1229" t="s">
        <v>14563</v>
      </c>
      <c r="DO1229" t="s">
        <v>22893</v>
      </c>
      <c r="DP1229" t="s">
        <v>13780</v>
      </c>
      <c r="DQ1229" t="s">
        <v>13772</v>
      </c>
      <c r="DR1229" t="s">
        <v>13772</v>
      </c>
      <c r="DS1229" t="s">
        <v>13855</v>
      </c>
      <c r="DT1229" t="s">
        <v>13772</v>
      </c>
      <c r="DU1229" t="s">
        <v>18791</v>
      </c>
      <c r="DV1229" t="s">
        <v>13796</v>
      </c>
      <c r="DW1229" t="s">
        <v>13772</v>
      </c>
      <c r="DX1229" t="s">
        <v>22894</v>
      </c>
      <c r="DY1229" t="s">
        <v>22895</v>
      </c>
      <c r="DZ1229" t="s">
        <v>22896</v>
      </c>
      <c r="EA1229" t="s">
        <v>13772</v>
      </c>
      <c r="EB1229" t="s">
        <v>13890</v>
      </c>
    </row>
    <row r="1230" spans="1:132" hidden="1">
      <c r="A1230">
        <v>1013</v>
      </c>
      <c r="B1230">
        <v>1</v>
      </c>
      <c r="C1230" t="s">
        <v>2449</v>
      </c>
      <c r="D1230" t="s">
        <v>73</v>
      </c>
      <c r="E1230" t="s">
        <v>73</v>
      </c>
      <c r="F1230" t="s">
        <v>73</v>
      </c>
      <c r="G1230" t="s">
        <v>73</v>
      </c>
      <c r="H1230">
        <v>11.7</v>
      </c>
      <c r="I1230">
        <v>325</v>
      </c>
      <c r="J1230">
        <v>36320</v>
      </c>
      <c r="K1230" t="s">
        <v>2450</v>
      </c>
      <c r="L1230">
        <f t="shared" si="78"/>
        <v>18</v>
      </c>
      <c r="N1230">
        <v>18</v>
      </c>
      <c r="O1230">
        <v>18</v>
      </c>
      <c r="P1230">
        <v>1</v>
      </c>
      <c r="Q1230">
        <v>0</v>
      </c>
      <c r="R1230">
        <v>5</v>
      </c>
      <c r="S1230">
        <v>1</v>
      </c>
      <c r="T1230">
        <v>0</v>
      </c>
      <c r="U1230">
        <v>1</v>
      </c>
      <c r="V1230">
        <v>2</v>
      </c>
      <c r="W1230">
        <v>4</v>
      </c>
      <c r="X1230">
        <v>2</v>
      </c>
      <c r="Y1230">
        <v>0</v>
      </c>
      <c r="Z1230">
        <v>0</v>
      </c>
      <c r="AA1230">
        <v>2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</v>
      </c>
      <c r="AL1230">
        <v>1</v>
      </c>
      <c r="AM1230">
        <v>0</v>
      </c>
      <c r="AN1230">
        <v>1</v>
      </c>
      <c r="AO1230">
        <v>2</v>
      </c>
      <c r="AP1230">
        <v>4</v>
      </c>
      <c r="AQ1230">
        <v>2</v>
      </c>
      <c r="AR1230">
        <v>0</v>
      </c>
      <c r="AS1230">
        <v>0</v>
      </c>
      <c r="AT1230">
        <v>2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 s="2">
        <v>0</v>
      </c>
      <c r="BD1230" s="2">
        <v>5</v>
      </c>
      <c r="BE1230" s="2">
        <v>1</v>
      </c>
      <c r="BF1230" s="2">
        <v>0</v>
      </c>
      <c r="BG1230" s="2">
        <v>1</v>
      </c>
      <c r="BH1230" s="2">
        <v>2</v>
      </c>
      <c r="BI1230" s="2">
        <v>4</v>
      </c>
      <c r="BJ1230" s="2">
        <v>2</v>
      </c>
      <c r="BK1230" s="2">
        <v>0</v>
      </c>
      <c r="BL1230" s="2">
        <v>0</v>
      </c>
      <c r="BM1230" s="2">
        <v>2</v>
      </c>
      <c r="BN1230" s="2">
        <v>0</v>
      </c>
      <c r="BO1230" s="2">
        <v>1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f t="shared" si="81"/>
        <v>18</v>
      </c>
      <c r="BW1230" s="16">
        <f t="shared" si="79"/>
        <v>0.94736842105263153</v>
      </c>
      <c r="BX1230" s="16">
        <f>COUNTIF($BC$6:BU1230, "=0") / COUNTIF($BC$6:BU1230, "&gt;-1")</f>
        <v>0.32610096670247046</v>
      </c>
      <c r="BY1230" s="18">
        <f>SUM($BC$6:BU1230) / $BY$4</f>
        <v>0.96238018432078021</v>
      </c>
      <c r="BZ1230" s="14">
        <f t="shared" si="80"/>
        <v>11</v>
      </c>
      <c r="CA1230" t="s">
        <v>5832</v>
      </c>
      <c r="CZ1230" t="s">
        <v>9149</v>
      </c>
      <c r="DA1230" t="s">
        <v>5904</v>
      </c>
      <c r="DB1230">
        <v>655.6</v>
      </c>
      <c r="DC1230" t="s">
        <v>23710</v>
      </c>
      <c r="DD1230" t="s">
        <v>23711</v>
      </c>
      <c r="DE1230" t="s">
        <v>23712</v>
      </c>
      <c r="DF1230" t="s">
        <v>23713</v>
      </c>
      <c r="DG1230" t="s">
        <v>23714</v>
      </c>
      <c r="DH1230" t="str">
        <f>"FRZB"</f>
        <v>FRZB</v>
      </c>
      <c r="DI1230" t="s">
        <v>23715</v>
      </c>
      <c r="DJ1230" t="s">
        <v>13777</v>
      </c>
      <c r="DK1230">
        <v>9606</v>
      </c>
      <c r="DL1230" s="34" t="str">
        <f>HYPERLINK("http://www.uniprot.org/uniprot/Q92765", "Q92765")</f>
        <v>Q92765</v>
      </c>
      <c r="DM1230" t="s">
        <v>23716</v>
      </c>
      <c r="DN1230" t="s">
        <v>17273</v>
      </c>
      <c r="DO1230" t="s">
        <v>14321</v>
      </c>
      <c r="DP1230" t="s">
        <v>13793</v>
      </c>
      <c r="DQ1230" t="s">
        <v>13772</v>
      </c>
      <c r="DR1230" t="s">
        <v>13807</v>
      </c>
      <c r="DS1230" t="s">
        <v>13808</v>
      </c>
      <c r="DT1230" t="s">
        <v>13772</v>
      </c>
      <c r="DU1230" t="s">
        <v>14727</v>
      </c>
      <c r="DV1230" t="s">
        <v>13796</v>
      </c>
      <c r="DW1230" t="s">
        <v>13772</v>
      </c>
      <c r="DX1230" t="s">
        <v>23717</v>
      </c>
      <c r="DY1230" t="s">
        <v>23718</v>
      </c>
      <c r="DZ1230" t="s">
        <v>17276</v>
      </c>
      <c r="EA1230" t="s">
        <v>13772</v>
      </c>
      <c r="EB1230" t="s">
        <v>13772</v>
      </c>
    </row>
    <row r="1231" spans="1:132" hidden="1">
      <c r="A1231">
        <v>1232</v>
      </c>
      <c r="B1231">
        <v>1</v>
      </c>
      <c r="C1231" t="s">
        <v>2958</v>
      </c>
      <c r="D1231" t="s">
        <v>73</v>
      </c>
      <c r="E1231" t="s">
        <v>73</v>
      </c>
      <c r="F1231" t="s">
        <v>73</v>
      </c>
      <c r="G1231" t="s">
        <v>73</v>
      </c>
      <c r="H1231">
        <v>30.6</v>
      </c>
      <c r="I1231">
        <v>373</v>
      </c>
      <c r="J1231">
        <v>41134</v>
      </c>
      <c r="K1231" t="s">
        <v>2959</v>
      </c>
      <c r="L1231">
        <f t="shared" si="78"/>
        <v>18</v>
      </c>
      <c r="N1231">
        <v>18</v>
      </c>
      <c r="O1231">
        <v>18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5</v>
      </c>
      <c r="V1231">
        <v>2</v>
      </c>
      <c r="W1231">
        <v>1</v>
      </c>
      <c r="X1231">
        <v>1</v>
      </c>
      <c r="Y1231">
        <v>3</v>
      </c>
      <c r="Z1231">
        <v>0</v>
      </c>
      <c r="AA1231">
        <v>2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5</v>
      </c>
      <c r="AO1231">
        <v>2</v>
      </c>
      <c r="AP1231">
        <v>1</v>
      </c>
      <c r="AQ1231">
        <v>1</v>
      </c>
      <c r="AR1231">
        <v>3</v>
      </c>
      <c r="AS1231">
        <v>0</v>
      </c>
      <c r="AT1231">
        <v>2</v>
      </c>
      <c r="AU1231">
        <v>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 s="2">
        <v>1</v>
      </c>
      <c r="BD1231" s="2">
        <v>1</v>
      </c>
      <c r="BE1231" s="2">
        <v>0</v>
      </c>
      <c r="BF1231" s="2">
        <v>0</v>
      </c>
      <c r="BG1231" s="2">
        <v>5</v>
      </c>
      <c r="BH1231" s="2">
        <v>2</v>
      </c>
      <c r="BI1231" s="2">
        <v>1</v>
      </c>
      <c r="BJ1231" s="2">
        <v>1</v>
      </c>
      <c r="BK1231" s="2">
        <v>3</v>
      </c>
      <c r="BL1231" s="2">
        <v>0</v>
      </c>
      <c r="BM1231" s="2">
        <v>2</v>
      </c>
      <c r="BN1231" s="2">
        <v>2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f t="shared" si="81"/>
        <v>18</v>
      </c>
      <c r="BW1231" s="16">
        <f t="shared" si="79"/>
        <v>0.94736842105263153</v>
      </c>
      <c r="BX1231" s="16">
        <f>COUNTIF($BC$6:BU1231, "=0") / COUNTIF($BC$6:BU1231, "&gt;-1")</f>
        <v>0.32626427406199021</v>
      </c>
      <c r="BY1231" s="18">
        <f>SUM($BC$6:BU1231) / $BY$4</f>
        <v>0.9624572897844168</v>
      </c>
      <c r="BZ1231" s="14">
        <f t="shared" si="80"/>
        <v>10</v>
      </c>
      <c r="CA1231" t="s">
        <v>5832</v>
      </c>
      <c r="CZ1231" t="s">
        <v>9836</v>
      </c>
      <c r="DA1231" t="s">
        <v>5904</v>
      </c>
      <c r="DB1231">
        <v>599.70000000000005</v>
      </c>
      <c r="DC1231" t="s">
        <v>25663</v>
      </c>
      <c r="DD1231" t="s">
        <v>25664</v>
      </c>
      <c r="DE1231" t="s">
        <v>25665</v>
      </c>
      <c r="DF1231" t="s">
        <v>25666</v>
      </c>
      <c r="DG1231" t="s">
        <v>25667</v>
      </c>
      <c r="DH1231" t="str">
        <f>"AKR7L"</f>
        <v>AKR7L</v>
      </c>
      <c r="DI1231" t="s">
        <v>25668</v>
      </c>
      <c r="DJ1231" t="s">
        <v>13777</v>
      </c>
      <c r="DK1231">
        <v>9606</v>
      </c>
      <c r="DL1231" s="34" t="str">
        <f>HYPERLINK("http://www.uniprot.org/uniprot/Q8NHP1", "Q8NHP1")</f>
        <v>Q8NHP1</v>
      </c>
      <c r="DM1231" t="s">
        <v>25669</v>
      </c>
      <c r="DN1231" t="s">
        <v>13772</v>
      </c>
      <c r="DO1231" t="s">
        <v>13772</v>
      </c>
      <c r="DP1231" t="s">
        <v>13780</v>
      </c>
      <c r="DQ1231" t="s">
        <v>13772</v>
      </c>
      <c r="DR1231" t="s">
        <v>13772</v>
      </c>
      <c r="DS1231" t="s">
        <v>13772</v>
      </c>
      <c r="DT1231" t="s">
        <v>15759</v>
      </c>
      <c r="DU1231" t="s">
        <v>13885</v>
      </c>
      <c r="DV1231" t="s">
        <v>13782</v>
      </c>
      <c r="DW1231" t="s">
        <v>13772</v>
      </c>
      <c r="DX1231" t="s">
        <v>25670</v>
      </c>
      <c r="DY1231" t="s">
        <v>15111</v>
      </c>
      <c r="DZ1231" t="s">
        <v>17436</v>
      </c>
      <c r="EA1231" t="s">
        <v>13772</v>
      </c>
      <c r="EB1231" t="s">
        <v>25671</v>
      </c>
    </row>
    <row r="1232" spans="1:132" hidden="1">
      <c r="A1232">
        <v>1290</v>
      </c>
      <c r="B1232">
        <v>1</v>
      </c>
      <c r="C1232" t="s">
        <v>3096</v>
      </c>
      <c r="D1232" t="s">
        <v>73</v>
      </c>
      <c r="E1232" t="s">
        <v>73</v>
      </c>
      <c r="F1232" t="s">
        <v>73</v>
      </c>
      <c r="G1232" t="s">
        <v>73</v>
      </c>
      <c r="H1232">
        <v>29.4</v>
      </c>
      <c r="I1232">
        <v>245</v>
      </c>
      <c r="J1232">
        <v>26877</v>
      </c>
      <c r="K1232" t="s">
        <v>3097</v>
      </c>
      <c r="L1232">
        <f t="shared" si="78"/>
        <v>18</v>
      </c>
      <c r="N1232">
        <v>18</v>
      </c>
      <c r="O1232">
        <v>18</v>
      </c>
      <c r="P1232">
        <v>1</v>
      </c>
      <c r="Q1232">
        <v>2</v>
      </c>
      <c r="R1232">
        <v>3</v>
      </c>
      <c r="S1232">
        <v>0</v>
      </c>
      <c r="T1232">
        <v>0</v>
      </c>
      <c r="U1232">
        <v>4</v>
      </c>
      <c r="V1232">
        <v>8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3</v>
      </c>
      <c r="AL1232">
        <v>0</v>
      </c>
      <c r="AM1232">
        <v>0</v>
      </c>
      <c r="AN1232">
        <v>4</v>
      </c>
      <c r="AO1232">
        <v>8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s="2">
        <v>2</v>
      </c>
      <c r="BD1232" s="2">
        <v>3</v>
      </c>
      <c r="BE1232" s="2">
        <v>0</v>
      </c>
      <c r="BF1232" s="2">
        <v>0</v>
      </c>
      <c r="BG1232" s="2">
        <v>4</v>
      </c>
      <c r="BH1232" s="2">
        <v>8</v>
      </c>
      <c r="BI1232" s="2">
        <v>0</v>
      </c>
      <c r="BJ1232" s="2">
        <v>0</v>
      </c>
      <c r="BK1232" s="2">
        <v>0</v>
      </c>
      <c r="BL1232" s="2">
        <v>0</v>
      </c>
      <c r="BM1232" s="2">
        <v>1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f t="shared" si="81"/>
        <v>18</v>
      </c>
      <c r="BW1232" s="16">
        <f t="shared" si="79"/>
        <v>0.94736842105263153</v>
      </c>
      <c r="BX1232" s="16">
        <f>COUNTIF($BC$6:BU1232, "=0") / COUNTIF($BC$6:BU1232, "&gt;-1")</f>
        <v>0.32659889332132286</v>
      </c>
      <c r="BY1232" s="18">
        <f>SUM($BC$6:BU1232) / $BY$4</f>
        <v>0.9625343952480534</v>
      </c>
      <c r="BZ1232" s="14">
        <f t="shared" si="80"/>
        <v>14</v>
      </c>
      <c r="CA1232" t="s">
        <v>5832</v>
      </c>
      <c r="CZ1232" t="s">
        <v>10038</v>
      </c>
      <c r="DA1232" t="s">
        <v>5904</v>
      </c>
      <c r="DB1232">
        <v>459.5</v>
      </c>
      <c r="DC1232" t="s">
        <v>26252</v>
      </c>
      <c r="DD1232" t="s">
        <v>26253</v>
      </c>
      <c r="DE1232" t="s">
        <v>26254</v>
      </c>
      <c r="DF1232" t="s">
        <v>26255</v>
      </c>
      <c r="DG1232" t="s">
        <v>26256</v>
      </c>
      <c r="DH1232" t="str">
        <f>"BDH2"</f>
        <v>BDH2</v>
      </c>
      <c r="DI1232" t="s">
        <v>26257</v>
      </c>
      <c r="DJ1232" t="s">
        <v>13777</v>
      </c>
      <c r="DK1232">
        <v>9606</v>
      </c>
      <c r="DL1232" s="34" t="str">
        <f>HYPERLINK("http://www.uniprot.org/uniprot/Q9BUT1", "Q9BUT1")</f>
        <v>Q9BUT1</v>
      </c>
      <c r="DM1232" t="s">
        <v>26258</v>
      </c>
      <c r="DN1232" t="s">
        <v>13772</v>
      </c>
      <c r="DO1232" t="s">
        <v>13899</v>
      </c>
      <c r="DP1232" t="s">
        <v>13780</v>
      </c>
      <c r="DQ1232" t="s">
        <v>13772</v>
      </c>
      <c r="DR1232" t="s">
        <v>13772</v>
      </c>
      <c r="DS1232" t="s">
        <v>13772</v>
      </c>
      <c r="DT1232" t="s">
        <v>14492</v>
      </c>
      <c r="DU1232" t="s">
        <v>13885</v>
      </c>
      <c r="DV1232" t="s">
        <v>13772</v>
      </c>
      <c r="DW1232" t="s">
        <v>13812</v>
      </c>
      <c r="DX1232" t="s">
        <v>26259</v>
      </c>
      <c r="DY1232" t="s">
        <v>14194</v>
      </c>
      <c r="DZ1232" t="s">
        <v>26260</v>
      </c>
      <c r="EA1232" t="s">
        <v>26261</v>
      </c>
      <c r="EB1232" t="s">
        <v>26262</v>
      </c>
    </row>
    <row r="1233" spans="1:132" hidden="1">
      <c r="A1233">
        <v>1327</v>
      </c>
      <c r="B1233">
        <v>1</v>
      </c>
      <c r="C1233" t="s">
        <v>3182</v>
      </c>
      <c r="D1233" t="s">
        <v>3183</v>
      </c>
      <c r="E1233" t="s">
        <v>73</v>
      </c>
      <c r="F1233" t="s">
        <v>73</v>
      </c>
      <c r="G1233" t="s">
        <v>73</v>
      </c>
      <c r="H1233">
        <v>15.6</v>
      </c>
      <c r="I1233">
        <v>711</v>
      </c>
      <c r="J1233">
        <v>74878</v>
      </c>
      <c r="K1233" t="s">
        <v>3184</v>
      </c>
      <c r="L1233">
        <f t="shared" si="78"/>
        <v>18</v>
      </c>
      <c r="N1233">
        <v>18</v>
      </c>
      <c r="O1233">
        <v>18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6</v>
      </c>
      <c r="Z1233">
        <v>0</v>
      </c>
      <c r="AA1233">
        <v>3</v>
      </c>
      <c r="AB1233">
        <v>3</v>
      </c>
      <c r="AC1233">
        <v>0</v>
      </c>
      <c r="AD1233">
        <v>0</v>
      </c>
      <c r="AE1233">
        <v>3</v>
      </c>
      <c r="AF1233">
        <v>2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6</v>
      </c>
      <c r="AS1233">
        <v>0</v>
      </c>
      <c r="AT1233">
        <v>3</v>
      </c>
      <c r="AU1233">
        <v>3</v>
      </c>
      <c r="AV1233">
        <v>0</v>
      </c>
      <c r="AW1233">
        <v>0</v>
      </c>
      <c r="AX1233">
        <v>3</v>
      </c>
      <c r="AY1233">
        <v>2</v>
      </c>
      <c r="AZ1233">
        <v>0</v>
      </c>
      <c r="BA1233">
        <v>0</v>
      </c>
      <c r="BB1233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6</v>
      </c>
      <c r="BL1233" s="2">
        <v>0</v>
      </c>
      <c r="BM1233" s="2">
        <v>3</v>
      </c>
      <c r="BN1233" s="2">
        <v>3</v>
      </c>
      <c r="BO1233" s="2">
        <v>0</v>
      </c>
      <c r="BP1233" s="2">
        <v>0</v>
      </c>
      <c r="BQ1233" s="2">
        <v>3</v>
      </c>
      <c r="BR1233" s="2">
        <v>2</v>
      </c>
      <c r="BS1233" s="2">
        <v>0</v>
      </c>
      <c r="BT1233" s="2">
        <v>0</v>
      </c>
      <c r="BU1233" s="2">
        <v>1</v>
      </c>
      <c r="BV1233" s="2">
        <f t="shared" si="81"/>
        <v>18</v>
      </c>
      <c r="BW1233" s="16">
        <f t="shared" si="79"/>
        <v>0.94736842105263153</v>
      </c>
      <c r="BX1233" s="16">
        <f>COUNTIF($BC$6:BU1233, "=0") / COUNTIF($BC$6:BU1233, "&gt;-1")</f>
        <v>0.3268901080061718</v>
      </c>
      <c r="BY1233" s="18">
        <f>SUM($BC$6:BU1233) / $BY$4</f>
        <v>0.96261150071168999</v>
      </c>
      <c r="BZ1233" s="14">
        <f t="shared" si="80"/>
        <v>13</v>
      </c>
      <c r="CA1233" t="s">
        <v>5832</v>
      </c>
      <c r="CZ1233" t="s">
        <v>10169</v>
      </c>
      <c r="DA1233" t="s">
        <v>5904</v>
      </c>
      <c r="DB1233">
        <v>1244.5999999999999</v>
      </c>
      <c r="DC1233" t="s">
        <v>26619</v>
      </c>
      <c r="DD1233" t="s">
        <v>26620</v>
      </c>
      <c r="DE1233" t="s">
        <v>26621</v>
      </c>
      <c r="DF1233" t="s">
        <v>26622</v>
      </c>
      <c r="DG1233" t="s">
        <v>26623</v>
      </c>
      <c r="DH1233" t="str">
        <f>"FUBP1"</f>
        <v>FUBP1</v>
      </c>
      <c r="DI1233" t="s">
        <v>13772</v>
      </c>
      <c r="DJ1233" t="s">
        <v>13777</v>
      </c>
      <c r="DK1233">
        <v>9606</v>
      </c>
      <c r="DL1233" s="34" t="str">
        <f>HYPERLINK("http://www.uniprot.org/uniprot/Q96AE4", "Q96AE4")</f>
        <v>Q96AE4</v>
      </c>
      <c r="DM1233" t="s">
        <v>26624</v>
      </c>
      <c r="DN1233" t="s">
        <v>14445</v>
      </c>
      <c r="DO1233" t="s">
        <v>14825</v>
      </c>
      <c r="DP1233" t="s">
        <v>13780</v>
      </c>
      <c r="DQ1233" t="s">
        <v>13772</v>
      </c>
      <c r="DR1233" t="s">
        <v>13772</v>
      </c>
      <c r="DS1233" t="s">
        <v>14096</v>
      </c>
      <c r="DT1233" t="s">
        <v>13772</v>
      </c>
      <c r="DU1233" t="s">
        <v>15871</v>
      </c>
      <c r="DV1233" t="s">
        <v>23880</v>
      </c>
      <c r="DW1233" t="s">
        <v>13812</v>
      </c>
      <c r="DX1233" t="s">
        <v>26625</v>
      </c>
      <c r="DY1233" t="s">
        <v>26626</v>
      </c>
      <c r="DZ1233" t="s">
        <v>26627</v>
      </c>
      <c r="EA1233" t="s">
        <v>13772</v>
      </c>
      <c r="EB1233" t="s">
        <v>13772</v>
      </c>
    </row>
    <row r="1234" spans="1:132" hidden="1">
      <c r="A1234">
        <v>1398</v>
      </c>
      <c r="B1234">
        <v>1</v>
      </c>
      <c r="C1234" t="s">
        <v>3339</v>
      </c>
      <c r="D1234" t="s">
        <v>73</v>
      </c>
      <c r="E1234" t="s">
        <v>73</v>
      </c>
      <c r="F1234" t="s">
        <v>73</v>
      </c>
      <c r="G1234" t="s">
        <v>73</v>
      </c>
      <c r="H1234">
        <v>20.5</v>
      </c>
      <c r="I1234">
        <v>556</v>
      </c>
      <c r="J1234">
        <v>60291</v>
      </c>
      <c r="K1234" t="s">
        <v>3340</v>
      </c>
      <c r="L1234">
        <f t="shared" si="78"/>
        <v>18</v>
      </c>
      <c r="N1234">
        <v>18</v>
      </c>
      <c r="O1234">
        <v>18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7</v>
      </c>
      <c r="Z1234">
        <v>0</v>
      </c>
      <c r="AA1234">
        <v>6</v>
      </c>
      <c r="AB1234">
        <v>2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7</v>
      </c>
      <c r="AS1234">
        <v>0</v>
      </c>
      <c r="AT1234">
        <v>6</v>
      </c>
      <c r="AU1234">
        <v>2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7</v>
      </c>
      <c r="BL1234" s="2">
        <v>0</v>
      </c>
      <c r="BM1234" s="2">
        <v>6</v>
      </c>
      <c r="BN1234" s="2">
        <v>2</v>
      </c>
      <c r="BO1234" s="2">
        <v>1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f t="shared" si="81"/>
        <v>18</v>
      </c>
      <c r="BW1234" s="16">
        <f t="shared" si="79"/>
        <v>0.94736842105263153</v>
      </c>
      <c r="BX1234" s="16">
        <f>COUNTIF($BC$6:BU1234, "=0") / COUNTIF($BC$6:BU1234, "&gt;-1")</f>
        <v>0.32718084878591924</v>
      </c>
      <c r="BY1234" s="18">
        <f>SUM($BC$6:BU1234) / $BY$4</f>
        <v>0.96268860617532659</v>
      </c>
      <c r="BZ1234" s="14">
        <f t="shared" si="80"/>
        <v>13</v>
      </c>
      <c r="CA1234" t="s">
        <v>5832</v>
      </c>
      <c r="CZ1234" t="s">
        <v>10404</v>
      </c>
      <c r="DA1234" t="s">
        <v>5904</v>
      </c>
      <c r="DB1234">
        <v>1112.0999999999999</v>
      </c>
      <c r="DC1234" t="s">
        <v>27274</v>
      </c>
      <c r="DD1234" t="s">
        <v>27275</v>
      </c>
      <c r="DE1234" t="s">
        <v>27276</v>
      </c>
      <c r="DF1234" t="s">
        <v>27277</v>
      </c>
      <c r="DG1234" t="s">
        <v>27278</v>
      </c>
      <c r="DH1234" t="str">
        <f>"TCP1"</f>
        <v>TCP1</v>
      </c>
      <c r="DI1234" t="s">
        <v>27279</v>
      </c>
      <c r="DJ1234" t="s">
        <v>13777</v>
      </c>
      <c r="DK1234">
        <v>9606</v>
      </c>
      <c r="DL1234" s="34" t="str">
        <f>HYPERLINK("http://www.uniprot.org/uniprot/P17987", "P17987")</f>
        <v>P17987</v>
      </c>
      <c r="DM1234" t="s">
        <v>27280</v>
      </c>
      <c r="DN1234" t="s">
        <v>13772</v>
      </c>
      <c r="DO1234" t="s">
        <v>13988</v>
      </c>
      <c r="DP1234" t="s">
        <v>13793</v>
      </c>
      <c r="DQ1234" t="s">
        <v>13772</v>
      </c>
      <c r="DR1234" t="s">
        <v>13772</v>
      </c>
      <c r="DS1234" t="s">
        <v>13772</v>
      </c>
      <c r="DT1234" t="s">
        <v>14005</v>
      </c>
      <c r="DU1234" t="s">
        <v>14477</v>
      </c>
      <c r="DV1234" t="s">
        <v>13886</v>
      </c>
      <c r="DW1234" t="s">
        <v>13772</v>
      </c>
      <c r="DX1234" t="s">
        <v>27281</v>
      </c>
      <c r="DY1234" t="s">
        <v>27282</v>
      </c>
      <c r="DZ1234" t="s">
        <v>27283</v>
      </c>
      <c r="EA1234" t="s">
        <v>13772</v>
      </c>
      <c r="EB1234" t="s">
        <v>27284</v>
      </c>
    </row>
    <row r="1235" spans="1:132" hidden="1">
      <c r="A1235">
        <v>1446</v>
      </c>
      <c r="B1235">
        <v>1</v>
      </c>
      <c r="C1235" t="s">
        <v>3444</v>
      </c>
      <c r="D1235" t="s">
        <v>73</v>
      </c>
      <c r="E1235" t="s">
        <v>73</v>
      </c>
      <c r="F1235" t="s">
        <v>73</v>
      </c>
      <c r="G1235" t="s">
        <v>73</v>
      </c>
      <c r="H1235">
        <v>24.1</v>
      </c>
      <c r="I1235">
        <v>170</v>
      </c>
      <c r="J1235">
        <v>19182</v>
      </c>
      <c r="K1235" t="s">
        <v>3445</v>
      </c>
      <c r="L1235">
        <f t="shared" si="78"/>
        <v>18</v>
      </c>
      <c r="N1235">
        <v>18</v>
      </c>
      <c r="O1235">
        <v>18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</v>
      </c>
      <c r="Z1235">
        <v>0</v>
      </c>
      <c r="AA1235">
        <v>2</v>
      </c>
      <c r="AB1235">
        <v>3</v>
      </c>
      <c r="AC1235">
        <v>2</v>
      </c>
      <c r="AD1235">
        <v>0</v>
      </c>
      <c r="AE1235">
        <v>2</v>
      </c>
      <c r="AF1235">
        <v>6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3</v>
      </c>
      <c r="AS1235">
        <v>0</v>
      </c>
      <c r="AT1235">
        <v>2</v>
      </c>
      <c r="AU1235">
        <v>3</v>
      </c>
      <c r="AV1235">
        <v>2</v>
      </c>
      <c r="AW1235">
        <v>0</v>
      </c>
      <c r="AX1235">
        <v>2</v>
      </c>
      <c r="AY1235">
        <v>6</v>
      </c>
      <c r="AZ1235">
        <v>0</v>
      </c>
      <c r="BA1235">
        <v>0</v>
      </c>
      <c r="BB1235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3</v>
      </c>
      <c r="BL1235" s="2">
        <v>0</v>
      </c>
      <c r="BM1235" s="2">
        <v>2</v>
      </c>
      <c r="BN1235" s="2">
        <v>3</v>
      </c>
      <c r="BO1235" s="2">
        <v>2</v>
      </c>
      <c r="BP1235" s="2">
        <v>0</v>
      </c>
      <c r="BQ1235" s="2">
        <v>2</v>
      </c>
      <c r="BR1235" s="2">
        <v>6</v>
      </c>
      <c r="BS1235" s="2">
        <v>0</v>
      </c>
      <c r="BT1235" s="2">
        <v>0</v>
      </c>
      <c r="BU1235" s="2">
        <v>0</v>
      </c>
      <c r="BV1235" s="2">
        <f t="shared" si="81"/>
        <v>18</v>
      </c>
      <c r="BW1235" s="16">
        <f t="shared" si="79"/>
        <v>0.94736842105263153</v>
      </c>
      <c r="BX1235" s="16">
        <f>COUNTIF($BC$6:BU1235, "=0") / COUNTIF($BC$6:BU1235, "&gt;-1")</f>
        <v>0.32747111681643132</v>
      </c>
      <c r="BY1235" s="18">
        <f>SUM($BC$6:BU1235) / $BY$4</f>
        <v>0.96276571163896318</v>
      </c>
      <c r="BZ1235" s="14">
        <f t="shared" si="80"/>
        <v>13</v>
      </c>
      <c r="CA1235" t="s">
        <v>5832</v>
      </c>
      <c r="CZ1235" t="s">
        <v>10551</v>
      </c>
      <c r="DA1235" t="s">
        <v>5904</v>
      </c>
      <c r="DB1235">
        <v>277.7</v>
      </c>
      <c r="DC1235" t="s">
        <v>27677</v>
      </c>
      <c r="DD1235" t="s">
        <v>27678</v>
      </c>
      <c r="DE1235" t="s">
        <v>27679</v>
      </c>
      <c r="DF1235" t="s">
        <v>27680</v>
      </c>
      <c r="DG1235" t="s">
        <v>27681</v>
      </c>
      <c r="DH1235" t="str">
        <f>"VIP"</f>
        <v>VIP</v>
      </c>
      <c r="DI1235" t="s">
        <v>13772</v>
      </c>
      <c r="DJ1235" t="s">
        <v>13777</v>
      </c>
      <c r="DK1235">
        <v>9606</v>
      </c>
      <c r="DL1235" s="34" t="str">
        <f>HYPERLINK("http://www.uniprot.org/uniprot/P01282", "P01282")</f>
        <v>P01282</v>
      </c>
      <c r="DM1235" t="s">
        <v>27682</v>
      </c>
      <c r="DN1235" t="s">
        <v>13772</v>
      </c>
      <c r="DO1235" t="s">
        <v>14321</v>
      </c>
      <c r="DP1235" t="s">
        <v>13841</v>
      </c>
      <c r="DQ1235" t="s">
        <v>13772</v>
      </c>
      <c r="DR1235" t="s">
        <v>13772</v>
      </c>
      <c r="DS1235" t="s">
        <v>13808</v>
      </c>
      <c r="DT1235" t="s">
        <v>13772</v>
      </c>
      <c r="DU1235" t="s">
        <v>14322</v>
      </c>
      <c r="DV1235" t="s">
        <v>16830</v>
      </c>
      <c r="DW1235" t="s">
        <v>13812</v>
      </c>
      <c r="DX1235" t="s">
        <v>27683</v>
      </c>
      <c r="DY1235" t="s">
        <v>27684</v>
      </c>
      <c r="DZ1235" t="s">
        <v>27685</v>
      </c>
      <c r="EA1235" t="s">
        <v>13772</v>
      </c>
      <c r="EB1235" t="s">
        <v>27686</v>
      </c>
    </row>
    <row r="1236" spans="1:132" hidden="1">
      <c r="A1236">
        <v>1450</v>
      </c>
      <c r="B1236">
        <v>1</v>
      </c>
      <c r="C1236" t="s">
        <v>3452</v>
      </c>
      <c r="D1236" t="s">
        <v>3453</v>
      </c>
      <c r="E1236" t="s">
        <v>73</v>
      </c>
      <c r="F1236" t="s">
        <v>73</v>
      </c>
      <c r="G1236" t="s">
        <v>73</v>
      </c>
      <c r="H1236">
        <v>17</v>
      </c>
      <c r="I1236">
        <v>159</v>
      </c>
      <c r="J1236">
        <v>17988</v>
      </c>
      <c r="K1236" t="s">
        <v>3454</v>
      </c>
      <c r="L1236">
        <f t="shared" si="78"/>
        <v>18</v>
      </c>
      <c r="N1236">
        <v>18</v>
      </c>
      <c r="O1236">
        <v>18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1</v>
      </c>
      <c r="X1236">
        <v>2</v>
      </c>
      <c r="Y1236">
        <v>0</v>
      </c>
      <c r="Z1236">
        <v>0</v>
      </c>
      <c r="AA1236">
        <v>1</v>
      </c>
      <c r="AB1236">
        <v>2</v>
      </c>
      <c r="AC1236">
        <v>1</v>
      </c>
      <c r="AD1236">
        <v>0</v>
      </c>
      <c r="AE1236">
        <v>2</v>
      </c>
      <c r="AF1236">
        <v>2</v>
      </c>
      <c r="AG1236">
        <v>2</v>
      </c>
      <c r="AH1236">
        <v>0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2</v>
      </c>
      <c r="AR1236">
        <v>0</v>
      </c>
      <c r="AS1236">
        <v>0</v>
      </c>
      <c r="AT1236">
        <v>1</v>
      </c>
      <c r="AU1236">
        <v>2</v>
      </c>
      <c r="AV1236">
        <v>1</v>
      </c>
      <c r="AW1236">
        <v>0</v>
      </c>
      <c r="AX1236">
        <v>2</v>
      </c>
      <c r="AY1236">
        <v>2</v>
      </c>
      <c r="AZ1236">
        <v>2</v>
      </c>
      <c r="BA1236">
        <v>0</v>
      </c>
      <c r="BB1236">
        <v>2</v>
      </c>
      <c r="BC1236" s="2">
        <v>1</v>
      </c>
      <c r="BD1236" s="2">
        <v>0</v>
      </c>
      <c r="BE1236" s="2">
        <v>0</v>
      </c>
      <c r="BF1236" s="2">
        <v>0</v>
      </c>
      <c r="BG1236" s="2">
        <v>1</v>
      </c>
      <c r="BH1236" s="2">
        <v>1</v>
      </c>
      <c r="BI1236" s="2">
        <v>1</v>
      </c>
      <c r="BJ1236" s="2">
        <v>2</v>
      </c>
      <c r="BK1236" s="2">
        <v>0</v>
      </c>
      <c r="BL1236" s="2">
        <v>0</v>
      </c>
      <c r="BM1236" s="2">
        <v>1</v>
      </c>
      <c r="BN1236" s="2">
        <v>2</v>
      </c>
      <c r="BO1236" s="2">
        <v>1</v>
      </c>
      <c r="BP1236" s="2">
        <v>0</v>
      </c>
      <c r="BQ1236" s="2">
        <v>2</v>
      </c>
      <c r="BR1236" s="2">
        <v>2</v>
      </c>
      <c r="BS1236" s="2">
        <v>2</v>
      </c>
      <c r="BT1236" s="2">
        <v>0</v>
      </c>
      <c r="BU1236" s="2">
        <v>2</v>
      </c>
      <c r="BV1236" s="2">
        <f t="shared" si="81"/>
        <v>18</v>
      </c>
      <c r="BW1236" s="16">
        <f t="shared" si="79"/>
        <v>0.94736842105263153</v>
      </c>
      <c r="BX1236" s="16">
        <f>COUNTIF($BC$6:BU1236, "=0") / COUNTIF($BC$6:BU1236, "&gt;-1")</f>
        <v>0.32750438240198382</v>
      </c>
      <c r="BY1236" s="18">
        <f>SUM($BC$6:BU1236) / $BY$4</f>
        <v>0.96284281710259989</v>
      </c>
      <c r="BZ1236" s="14">
        <f t="shared" si="80"/>
        <v>7</v>
      </c>
      <c r="CA1236" t="s">
        <v>5832</v>
      </c>
      <c r="CZ1236" t="s">
        <v>10565</v>
      </c>
      <c r="DA1236" t="s">
        <v>5904</v>
      </c>
      <c r="DB1236">
        <v>251.5</v>
      </c>
      <c r="DC1236" t="s">
        <v>27718</v>
      </c>
      <c r="DD1236" t="s">
        <v>27719</v>
      </c>
      <c r="DE1236" t="s">
        <v>27720</v>
      </c>
      <c r="DF1236" t="s">
        <v>27721</v>
      </c>
      <c r="DG1236" t="s">
        <v>27722</v>
      </c>
      <c r="DH1236" t="str">
        <f>"LY86"</f>
        <v>LY86</v>
      </c>
      <c r="DI1236" t="s">
        <v>27723</v>
      </c>
      <c r="DJ1236" t="s">
        <v>13777</v>
      </c>
      <c r="DK1236">
        <v>9606</v>
      </c>
      <c r="DL1236" s="34" t="str">
        <f>HYPERLINK("http://www.uniprot.org/uniprot/O95711", "O95711")</f>
        <v>O95711</v>
      </c>
      <c r="DM1236" t="s">
        <v>27724</v>
      </c>
      <c r="DN1236" t="s">
        <v>20696</v>
      </c>
      <c r="DO1236" t="s">
        <v>14321</v>
      </c>
      <c r="DP1236" t="s">
        <v>13793</v>
      </c>
      <c r="DQ1236" t="s">
        <v>13772</v>
      </c>
      <c r="DR1236" t="s">
        <v>13772</v>
      </c>
      <c r="DS1236" t="s">
        <v>13808</v>
      </c>
      <c r="DT1236" t="s">
        <v>13772</v>
      </c>
      <c r="DU1236" t="s">
        <v>13772</v>
      </c>
      <c r="DV1236" t="s">
        <v>13796</v>
      </c>
      <c r="DW1236" t="s">
        <v>13812</v>
      </c>
      <c r="DX1236" t="s">
        <v>27725</v>
      </c>
      <c r="DY1236" t="s">
        <v>14508</v>
      </c>
      <c r="DZ1236" t="s">
        <v>13772</v>
      </c>
      <c r="EA1236" t="s">
        <v>13772</v>
      </c>
      <c r="EB1236" t="s">
        <v>27726</v>
      </c>
    </row>
    <row r="1237" spans="1:132" hidden="1">
      <c r="A1237">
        <v>1501</v>
      </c>
      <c r="B1237">
        <v>1</v>
      </c>
      <c r="C1237" t="s">
        <v>3572</v>
      </c>
      <c r="D1237" t="s">
        <v>3573</v>
      </c>
      <c r="E1237" t="s">
        <v>73</v>
      </c>
      <c r="F1237" t="s">
        <v>73</v>
      </c>
      <c r="G1237" t="s">
        <v>73</v>
      </c>
      <c r="H1237">
        <v>19.2</v>
      </c>
      <c r="I1237">
        <v>665</v>
      </c>
      <c r="J1237">
        <v>73250</v>
      </c>
      <c r="K1237" t="s">
        <v>3574</v>
      </c>
      <c r="L1237">
        <f t="shared" si="78"/>
        <v>18</v>
      </c>
      <c r="N1237">
        <v>18</v>
      </c>
      <c r="O1237">
        <v>18</v>
      </c>
      <c r="P1237">
        <v>1</v>
      </c>
      <c r="Q1237">
        <v>1</v>
      </c>
      <c r="R1237">
        <v>3</v>
      </c>
      <c r="S1237">
        <v>0</v>
      </c>
      <c r="T1237">
        <v>0</v>
      </c>
      <c r="U1237">
        <v>2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4</v>
      </c>
      <c r="AB1237">
        <v>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0</v>
      </c>
      <c r="AM1237">
        <v>0</v>
      </c>
      <c r="AN1237">
        <v>2</v>
      </c>
      <c r="AO1237">
        <v>1</v>
      </c>
      <c r="AP1237">
        <v>0</v>
      </c>
      <c r="AQ1237">
        <v>2</v>
      </c>
      <c r="AR1237">
        <v>0</v>
      </c>
      <c r="AS1237">
        <v>0</v>
      </c>
      <c r="AT1237">
        <v>4</v>
      </c>
      <c r="AU1237">
        <v>5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 s="2">
        <v>1</v>
      </c>
      <c r="BD1237" s="2">
        <v>3</v>
      </c>
      <c r="BE1237" s="2">
        <v>0</v>
      </c>
      <c r="BF1237" s="2">
        <v>0</v>
      </c>
      <c r="BG1237" s="2">
        <v>2</v>
      </c>
      <c r="BH1237" s="2">
        <v>1</v>
      </c>
      <c r="BI1237" s="2">
        <v>0</v>
      </c>
      <c r="BJ1237" s="2">
        <v>2</v>
      </c>
      <c r="BK1237" s="2">
        <v>0</v>
      </c>
      <c r="BL1237" s="2">
        <v>0</v>
      </c>
      <c r="BM1237" s="2">
        <v>4</v>
      </c>
      <c r="BN1237" s="2">
        <v>5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f t="shared" si="81"/>
        <v>18</v>
      </c>
      <c r="BW1237" s="16">
        <f t="shared" si="79"/>
        <v>0.94736842105263153</v>
      </c>
      <c r="BX1237" s="16">
        <f>COUNTIF($BC$6:BU1237, "=0") / COUNTIF($BC$6:BU1237, "&gt;-1")</f>
        <v>0.32775119617224879</v>
      </c>
      <c r="BY1237" s="18">
        <f>SUM($BC$6:BU1237) / $BY$4</f>
        <v>0.96291992256623649</v>
      </c>
      <c r="BZ1237" s="14">
        <f t="shared" si="80"/>
        <v>12</v>
      </c>
      <c r="CA1237" t="s">
        <v>5832</v>
      </c>
      <c r="CZ1237" t="s">
        <v>10736</v>
      </c>
      <c r="DA1237" t="s">
        <v>5904</v>
      </c>
      <c r="DB1237">
        <v>1294.3</v>
      </c>
      <c r="DC1237" t="s">
        <v>28210</v>
      </c>
      <c r="DD1237" t="s">
        <v>28211</v>
      </c>
      <c r="DE1237" t="s">
        <v>28212</v>
      </c>
      <c r="DF1237" t="s">
        <v>28213</v>
      </c>
      <c r="DG1237" t="s">
        <v>28214</v>
      </c>
      <c r="DH1237" t="str">
        <f>"SDHA"</f>
        <v>SDHA</v>
      </c>
      <c r="DI1237" t="s">
        <v>28215</v>
      </c>
      <c r="DJ1237" t="s">
        <v>13777</v>
      </c>
      <c r="DK1237">
        <v>9606</v>
      </c>
      <c r="DL1237" s="34" t="str">
        <f>HYPERLINK("http://www.uniprot.org/uniprot/P31040", "P31040")</f>
        <v>P31040</v>
      </c>
      <c r="DM1237" t="s">
        <v>28216</v>
      </c>
      <c r="DN1237" t="s">
        <v>28217</v>
      </c>
      <c r="DO1237" t="s">
        <v>15507</v>
      </c>
      <c r="DP1237" t="s">
        <v>13780</v>
      </c>
      <c r="DQ1237" t="s">
        <v>13772</v>
      </c>
      <c r="DR1237" t="s">
        <v>28218</v>
      </c>
      <c r="DS1237" t="s">
        <v>14391</v>
      </c>
      <c r="DT1237" t="s">
        <v>15580</v>
      </c>
      <c r="DU1237" t="s">
        <v>13885</v>
      </c>
      <c r="DV1237" t="s">
        <v>13886</v>
      </c>
      <c r="DW1237" t="s">
        <v>13772</v>
      </c>
      <c r="DX1237" t="s">
        <v>28219</v>
      </c>
      <c r="DY1237" t="s">
        <v>28220</v>
      </c>
      <c r="DZ1237" t="s">
        <v>28221</v>
      </c>
      <c r="EA1237" t="s">
        <v>28222</v>
      </c>
      <c r="EB1237" t="s">
        <v>28223</v>
      </c>
    </row>
    <row r="1238" spans="1:132" hidden="1">
      <c r="A1238">
        <v>1617</v>
      </c>
      <c r="B1238">
        <v>1</v>
      </c>
      <c r="C1238" t="s">
        <v>3832</v>
      </c>
      <c r="D1238" t="s">
        <v>73</v>
      </c>
      <c r="E1238" t="s">
        <v>73</v>
      </c>
      <c r="F1238" t="s">
        <v>73</v>
      </c>
      <c r="G1238" t="s">
        <v>73</v>
      </c>
      <c r="H1238">
        <v>16.8</v>
      </c>
      <c r="I1238">
        <v>464</v>
      </c>
      <c r="J1238">
        <v>50904</v>
      </c>
      <c r="K1238" t="s">
        <v>3833</v>
      </c>
      <c r="L1238">
        <f t="shared" si="78"/>
        <v>18</v>
      </c>
      <c r="N1238">
        <v>18</v>
      </c>
      <c r="O1238">
        <v>18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2</v>
      </c>
      <c r="Z1238">
        <v>2</v>
      </c>
      <c r="AA1238">
        <v>0</v>
      </c>
      <c r="AB1238">
        <v>1</v>
      </c>
      <c r="AC1238">
        <v>2</v>
      </c>
      <c r="AD1238">
        <v>5</v>
      </c>
      <c r="AE1238">
        <v>1</v>
      </c>
      <c r="AF1238">
        <v>0</v>
      </c>
      <c r="AG1238">
        <v>2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2</v>
      </c>
      <c r="AS1238">
        <v>2</v>
      </c>
      <c r="AT1238">
        <v>0</v>
      </c>
      <c r="AU1238">
        <v>1</v>
      </c>
      <c r="AV1238">
        <v>2</v>
      </c>
      <c r="AW1238">
        <v>5</v>
      </c>
      <c r="AX1238">
        <v>1</v>
      </c>
      <c r="AY1238">
        <v>0</v>
      </c>
      <c r="AZ1238">
        <v>2</v>
      </c>
      <c r="BA1238">
        <v>0</v>
      </c>
      <c r="BB1238">
        <v>0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2</v>
      </c>
      <c r="BL1238" s="2">
        <v>2</v>
      </c>
      <c r="BM1238" s="2">
        <v>0</v>
      </c>
      <c r="BN1238" s="2">
        <v>1</v>
      </c>
      <c r="BO1238" s="2">
        <v>2</v>
      </c>
      <c r="BP1238" s="2">
        <v>5</v>
      </c>
      <c r="BQ1238" s="2">
        <v>1</v>
      </c>
      <c r="BR1238" s="2">
        <v>0</v>
      </c>
      <c r="BS1238" s="2">
        <v>2</v>
      </c>
      <c r="BT1238" s="2">
        <v>0</v>
      </c>
      <c r="BU1238" s="2">
        <v>0</v>
      </c>
      <c r="BV1238" s="2">
        <f t="shared" si="81"/>
        <v>18</v>
      </c>
      <c r="BW1238" s="16">
        <f t="shared" si="79"/>
        <v>0.94736842105263153</v>
      </c>
      <c r="BX1238" s="16">
        <f>COUNTIF($BC$6:BU1238, "=0") / COUNTIF($BC$6:BU1238, "&gt;-1")</f>
        <v>0.32786955222606395</v>
      </c>
      <c r="BY1238" s="18">
        <f>SUM($BC$6:BU1238) / $BY$4</f>
        <v>0.96299702802987308</v>
      </c>
      <c r="BZ1238" s="14">
        <f t="shared" si="80"/>
        <v>9</v>
      </c>
      <c r="CA1238" t="s">
        <v>5832</v>
      </c>
      <c r="CZ1238" t="s">
        <v>11136</v>
      </c>
      <c r="DA1238" t="s">
        <v>5904</v>
      </c>
      <c r="DB1238">
        <v>662.9</v>
      </c>
      <c r="DC1238" t="s">
        <v>29295</v>
      </c>
      <c r="DD1238" t="s">
        <v>29296</v>
      </c>
      <c r="DE1238" t="s">
        <v>29297</v>
      </c>
      <c r="DF1238" t="s">
        <v>29298</v>
      </c>
      <c r="DG1238" t="s">
        <v>29299</v>
      </c>
      <c r="DH1238" t="str">
        <f>"CFP"</f>
        <v>CFP</v>
      </c>
      <c r="DI1238" t="s">
        <v>29300</v>
      </c>
      <c r="DJ1238" t="s">
        <v>13777</v>
      </c>
      <c r="DK1238">
        <v>9606</v>
      </c>
      <c r="DL1238" s="34" t="str">
        <f>HYPERLINK("http://www.uniprot.org/uniprot/P27918", "P27918")</f>
        <v>P27918</v>
      </c>
      <c r="DM1238" t="s">
        <v>29301</v>
      </c>
      <c r="DN1238" t="s">
        <v>21849</v>
      </c>
      <c r="DO1238" t="s">
        <v>14321</v>
      </c>
      <c r="DP1238" t="s">
        <v>13793</v>
      </c>
      <c r="DQ1238" t="s">
        <v>13772</v>
      </c>
      <c r="DR1238" t="s">
        <v>13807</v>
      </c>
      <c r="DS1238" t="s">
        <v>14404</v>
      </c>
      <c r="DT1238" t="s">
        <v>13772</v>
      </c>
      <c r="DU1238" t="s">
        <v>13772</v>
      </c>
      <c r="DV1238" t="s">
        <v>13796</v>
      </c>
      <c r="DW1238" t="s">
        <v>13812</v>
      </c>
      <c r="DX1238" t="s">
        <v>29302</v>
      </c>
      <c r="DY1238" t="s">
        <v>29303</v>
      </c>
      <c r="DZ1238" t="s">
        <v>13772</v>
      </c>
      <c r="EA1238" t="s">
        <v>13772</v>
      </c>
      <c r="EB1238" t="s">
        <v>29304</v>
      </c>
    </row>
    <row r="1239" spans="1:132" hidden="1">
      <c r="A1239">
        <v>1660</v>
      </c>
      <c r="B1239">
        <v>1</v>
      </c>
      <c r="C1239" t="s">
        <v>3937</v>
      </c>
      <c r="D1239" t="s">
        <v>73</v>
      </c>
      <c r="E1239" t="s">
        <v>73</v>
      </c>
      <c r="F1239" t="s">
        <v>73</v>
      </c>
      <c r="G1239" t="s">
        <v>73</v>
      </c>
      <c r="H1239">
        <v>35.4</v>
      </c>
      <c r="I1239">
        <v>263</v>
      </c>
      <c r="J1239">
        <v>29597</v>
      </c>
      <c r="K1239" t="s">
        <v>3938</v>
      </c>
      <c r="L1239">
        <f t="shared" si="78"/>
        <v>18</v>
      </c>
      <c r="N1239">
        <v>18</v>
      </c>
      <c r="O1239">
        <v>18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2</v>
      </c>
      <c r="Z1239">
        <v>0</v>
      </c>
      <c r="AA1239">
        <v>6</v>
      </c>
      <c r="AB1239">
        <v>7</v>
      </c>
      <c r="AC1239">
        <v>2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2</v>
      </c>
      <c r="AS1239">
        <v>0</v>
      </c>
      <c r="AT1239">
        <v>6</v>
      </c>
      <c r="AU1239">
        <v>7</v>
      </c>
      <c r="AV1239">
        <v>2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2</v>
      </c>
      <c r="BL1239" s="2">
        <v>0</v>
      </c>
      <c r="BM1239" s="2">
        <v>6</v>
      </c>
      <c r="BN1239" s="2">
        <v>7</v>
      </c>
      <c r="BO1239" s="2">
        <v>2</v>
      </c>
      <c r="BP1239" s="2">
        <v>0</v>
      </c>
      <c r="BQ1239" s="2">
        <v>1</v>
      </c>
      <c r="BR1239" s="2">
        <v>0</v>
      </c>
      <c r="BS1239" s="2">
        <v>0</v>
      </c>
      <c r="BT1239" s="2">
        <v>0</v>
      </c>
      <c r="BU1239" s="2">
        <v>0</v>
      </c>
      <c r="BV1239" s="2">
        <f t="shared" si="81"/>
        <v>18</v>
      </c>
      <c r="BW1239" s="16">
        <f t="shared" si="79"/>
        <v>0.94736842105263153</v>
      </c>
      <c r="BX1239" s="16">
        <f>COUNTIF($BC$6:BU1239, "=0") / COUNTIF($BC$6:BU1239, "&gt;-1")</f>
        <v>0.32820097244732577</v>
      </c>
      <c r="BY1239" s="18">
        <f>SUM($BC$6:BU1239) / $BY$4</f>
        <v>0.96307413349350968</v>
      </c>
      <c r="BZ1239" s="14">
        <f t="shared" si="80"/>
        <v>14</v>
      </c>
      <c r="CA1239" t="s">
        <v>5832</v>
      </c>
      <c r="CZ1239" t="s">
        <v>11283</v>
      </c>
      <c r="DA1239" t="s">
        <v>5904</v>
      </c>
      <c r="DB1239">
        <v>537.70000000000005</v>
      </c>
      <c r="DC1239" t="s">
        <v>29730</v>
      </c>
      <c r="DD1239" t="s">
        <v>29731</v>
      </c>
      <c r="DE1239" t="s">
        <v>29732</v>
      </c>
      <c r="DF1239" t="s">
        <v>29733</v>
      </c>
      <c r="DG1239" t="s">
        <v>29734</v>
      </c>
      <c r="DH1239" t="str">
        <f>"RPS4X"</f>
        <v>RPS4X</v>
      </c>
      <c r="DI1239" t="s">
        <v>29735</v>
      </c>
      <c r="DJ1239" t="s">
        <v>13777</v>
      </c>
      <c r="DK1239">
        <v>9606</v>
      </c>
      <c r="DL1239" s="34" t="str">
        <f>HYPERLINK("http://www.uniprot.org/uniprot/P62701", "P62701")</f>
        <v>P62701</v>
      </c>
      <c r="DM1239" t="s">
        <v>27271</v>
      </c>
      <c r="DN1239" t="s">
        <v>13772</v>
      </c>
      <c r="DO1239" t="s">
        <v>13899</v>
      </c>
      <c r="DP1239" t="s">
        <v>13772</v>
      </c>
      <c r="DQ1239" t="s">
        <v>13772</v>
      </c>
      <c r="DR1239" t="s">
        <v>13772</v>
      </c>
      <c r="DS1239" t="s">
        <v>13772</v>
      </c>
      <c r="DT1239" t="s">
        <v>13772</v>
      </c>
      <c r="DU1239" t="s">
        <v>26065</v>
      </c>
      <c r="DV1239" t="s">
        <v>14312</v>
      </c>
      <c r="DW1239" t="s">
        <v>13812</v>
      </c>
      <c r="DX1239" t="s">
        <v>29736</v>
      </c>
      <c r="DY1239" t="s">
        <v>29737</v>
      </c>
      <c r="DZ1239" t="s">
        <v>29738</v>
      </c>
      <c r="EA1239" t="s">
        <v>13772</v>
      </c>
      <c r="EB1239" t="s">
        <v>17828</v>
      </c>
    </row>
    <row r="1240" spans="1:132" hidden="1">
      <c r="A1240">
        <v>1734</v>
      </c>
      <c r="B1240">
        <v>1</v>
      </c>
      <c r="C1240" t="s">
        <v>4101</v>
      </c>
      <c r="D1240" t="s">
        <v>73</v>
      </c>
      <c r="E1240" t="s">
        <v>73</v>
      </c>
      <c r="F1240" t="s">
        <v>73</v>
      </c>
      <c r="G1240" t="s">
        <v>73</v>
      </c>
      <c r="H1240">
        <v>14.3</v>
      </c>
      <c r="I1240">
        <v>545</v>
      </c>
      <c r="J1240">
        <v>60558</v>
      </c>
      <c r="K1240" t="s">
        <v>4102</v>
      </c>
      <c r="L1240">
        <f t="shared" si="78"/>
        <v>18</v>
      </c>
      <c r="N1240">
        <v>18</v>
      </c>
      <c r="O1240">
        <v>18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1</v>
      </c>
      <c r="Y1240">
        <v>3</v>
      </c>
      <c r="Z1240">
        <v>0</v>
      </c>
      <c r="AA1240">
        <v>6</v>
      </c>
      <c r="AB1240">
        <v>2</v>
      </c>
      <c r="AC1240">
        <v>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3</v>
      </c>
      <c r="AS1240">
        <v>0</v>
      </c>
      <c r="AT1240">
        <v>6</v>
      </c>
      <c r="AU1240">
        <v>2</v>
      </c>
      <c r="AV1240">
        <v>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 s="2">
        <v>1</v>
      </c>
      <c r="BD1240" s="2">
        <v>0</v>
      </c>
      <c r="BE1240" s="2">
        <v>0</v>
      </c>
      <c r="BF1240" s="2">
        <v>0</v>
      </c>
      <c r="BG1240" s="2">
        <v>1</v>
      </c>
      <c r="BH1240" s="2">
        <v>0</v>
      </c>
      <c r="BI1240" s="2">
        <v>1</v>
      </c>
      <c r="BJ1240" s="2">
        <v>1</v>
      </c>
      <c r="BK1240" s="2">
        <v>3</v>
      </c>
      <c r="BL1240" s="2">
        <v>0</v>
      </c>
      <c r="BM1240" s="2">
        <v>6</v>
      </c>
      <c r="BN1240" s="2">
        <v>2</v>
      </c>
      <c r="BO1240" s="2">
        <v>3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f t="shared" si="81"/>
        <v>18</v>
      </c>
      <c r="BW1240" s="16">
        <f t="shared" si="79"/>
        <v>0.94736842105263153</v>
      </c>
      <c r="BX1240" s="16">
        <f>COUNTIF($BC$6:BU1240, "=0") / COUNTIF($BC$6:BU1240, "&gt;-1")</f>
        <v>0.32840400596633285</v>
      </c>
      <c r="BY1240" s="18">
        <f>SUM($BC$6:BU1240) / $BY$4</f>
        <v>0.96315123895714627</v>
      </c>
      <c r="BZ1240" s="14">
        <f t="shared" si="80"/>
        <v>11</v>
      </c>
      <c r="CA1240" t="s">
        <v>5832</v>
      </c>
      <c r="CZ1240" t="s">
        <v>11528</v>
      </c>
      <c r="DA1240" t="s">
        <v>5904</v>
      </c>
      <c r="DB1240">
        <v>1101.3</v>
      </c>
      <c r="DC1240" t="s">
        <v>30424</v>
      </c>
      <c r="DD1240" t="s">
        <v>30425</v>
      </c>
      <c r="DE1240" t="s">
        <v>30426</v>
      </c>
      <c r="DF1240" t="s">
        <v>30427</v>
      </c>
      <c r="DG1240" t="s">
        <v>30428</v>
      </c>
      <c r="DH1240" t="str">
        <f>"CCT3"</f>
        <v>CCT3</v>
      </c>
      <c r="DI1240" t="s">
        <v>30429</v>
      </c>
      <c r="DJ1240" t="s">
        <v>13777</v>
      </c>
      <c r="DK1240">
        <v>9606</v>
      </c>
      <c r="DL1240" s="34" t="str">
        <f>HYPERLINK("http://www.uniprot.org/uniprot/P49368", "P49368")</f>
        <v>P49368</v>
      </c>
      <c r="DM1240" t="s">
        <v>30430</v>
      </c>
      <c r="DN1240" t="s">
        <v>13772</v>
      </c>
      <c r="DO1240" t="s">
        <v>13899</v>
      </c>
      <c r="DP1240" t="s">
        <v>13780</v>
      </c>
      <c r="DQ1240" t="s">
        <v>13772</v>
      </c>
      <c r="DR1240" t="s">
        <v>13772</v>
      </c>
      <c r="DS1240" t="s">
        <v>13772</v>
      </c>
      <c r="DT1240" t="s">
        <v>14005</v>
      </c>
      <c r="DU1240" t="s">
        <v>14477</v>
      </c>
      <c r="DV1240" t="s">
        <v>18756</v>
      </c>
      <c r="DW1240" t="s">
        <v>13772</v>
      </c>
      <c r="DX1240" t="s">
        <v>30431</v>
      </c>
      <c r="DY1240" t="s">
        <v>30432</v>
      </c>
      <c r="DZ1240" t="s">
        <v>30433</v>
      </c>
      <c r="EA1240" t="s">
        <v>13772</v>
      </c>
      <c r="EB1240" t="s">
        <v>28969</v>
      </c>
    </row>
    <row r="1241" spans="1:132" hidden="1">
      <c r="A1241">
        <v>1765</v>
      </c>
      <c r="B1241">
        <v>1</v>
      </c>
      <c r="C1241" t="s">
        <v>4175</v>
      </c>
      <c r="D1241" t="s">
        <v>4176</v>
      </c>
      <c r="E1241" t="s">
        <v>73</v>
      </c>
      <c r="F1241" t="s">
        <v>73</v>
      </c>
      <c r="G1241" t="s">
        <v>73</v>
      </c>
      <c r="H1241">
        <v>7.5</v>
      </c>
      <c r="I1241">
        <v>1508</v>
      </c>
      <c r="J1241">
        <v>169951</v>
      </c>
      <c r="K1241" t="s">
        <v>4177</v>
      </c>
      <c r="L1241">
        <f t="shared" si="78"/>
        <v>18</v>
      </c>
      <c r="N1241">
        <v>18</v>
      </c>
      <c r="O1241">
        <v>18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3</v>
      </c>
      <c r="AC1241">
        <v>1</v>
      </c>
      <c r="AD1241">
        <v>0</v>
      </c>
      <c r="AE1241">
        <v>3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8</v>
      </c>
      <c r="AU1241">
        <v>3</v>
      </c>
      <c r="AV1241">
        <v>1</v>
      </c>
      <c r="AW1241">
        <v>0</v>
      </c>
      <c r="AX1241">
        <v>3</v>
      </c>
      <c r="AY1241">
        <v>1</v>
      </c>
      <c r="AZ1241">
        <v>0</v>
      </c>
      <c r="BA1241">
        <v>0</v>
      </c>
      <c r="BB1241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2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8</v>
      </c>
      <c r="BN1241" s="2">
        <v>3</v>
      </c>
      <c r="BO1241" s="2">
        <v>1</v>
      </c>
      <c r="BP1241" s="2">
        <v>0</v>
      </c>
      <c r="BQ1241" s="2">
        <v>3</v>
      </c>
      <c r="BR1241" s="2">
        <v>1</v>
      </c>
      <c r="BS1241" s="2">
        <v>0</v>
      </c>
      <c r="BT1241" s="2">
        <v>0</v>
      </c>
      <c r="BU1241" s="2">
        <v>0</v>
      </c>
      <c r="BV1241" s="2">
        <f t="shared" si="81"/>
        <v>18</v>
      </c>
      <c r="BW1241" s="16">
        <f t="shared" si="79"/>
        <v>0.94736842105263153</v>
      </c>
      <c r="BX1241" s="16">
        <f>COUNTIF($BC$6:BU1241, "=0") / COUNTIF($BC$6:BU1241, "&gt;-1")</f>
        <v>0.32869187531936639</v>
      </c>
      <c r="BY1241" s="18">
        <f>SUM($BC$6:BU1241) / $BY$4</f>
        <v>0.96322834442078287</v>
      </c>
      <c r="BZ1241" s="14">
        <f t="shared" si="80"/>
        <v>13</v>
      </c>
      <c r="CA1241" t="s">
        <v>5832</v>
      </c>
      <c r="CZ1241" t="s">
        <v>11639</v>
      </c>
      <c r="DA1241" t="s">
        <v>5904</v>
      </c>
      <c r="DB1241">
        <v>2882.8</v>
      </c>
      <c r="DC1241" t="s">
        <v>30737</v>
      </c>
      <c r="DD1241" t="s">
        <v>30738</v>
      </c>
      <c r="DE1241" t="s">
        <v>30739</v>
      </c>
      <c r="DF1241" t="s">
        <v>30740</v>
      </c>
      <c r="DG1241" t="s">
        <v>30741</v>
      </c>
      <c r="DH1241" t="str">
        <f>"EPRS"</f>
        <v>EPRS</v>
      </c>
      <c r="DI1241" t="s">
        <v>30742</v>
      </c>
      <c r="DJ1241" t="s">
        <v>13777</v>
      </c>
      <c r="DK1241">
        <v>9606</v>
      </c>
      <c r="DL1241" s="34" t="str">
        <f>HYPERLINK("http://www.uniprot.org/uniprot/P07814", "P07814")</f>
        <v>P07814</v>
      </c>
      <c r="DM1241" t="s">
        <v>30743</v>
      </c>
      <c r="DN1241" t="s">
        <v>15188</v>
      </c>
      <c r="DO1241" t="s">
        <v>15896</v>
      </c>
      <c r="DP1241" t="s">
        <v>13793</v>
      </c>
      <c r="DQ1241" t="s">
        <v>13772</v>
      </c>
      <c r="DR1241" t="s">
        <v>30744</v>
      </c>
      <c r="DS1241" t="s">
        <v>14096</v>
      </c>
      <c r="DT1241" t="s">
        <v>21106</v>
      </c>
      <c r="DU1241" t="s">
        <v>30745</v>
      </c>
      <c r="DV1241" t="s">
        <v>14098</v>
      </c>
      <c r="DW1241" t="s">
        <v>13812</v>
      </c>
      <c r="DX1241" t="s">
        <v>30746</v>
      </c>
      <c r="DY1241" t="s">
        <v>30747</v>
      </c>
      <c r="DZ1241" t="s">
        <v>30748</v>
      </c>
      <c r="EA1241" t="s">
        <v>13772</v>
      </c>
      <c r="EB1241" t="s">
        <v>30749</v>
      </c>
    </row>
    <row r="1242" spans="1:132" hidden="1">
      <c r="A1242">
        <v>1816</v>
      </c>
      <c r="B1242">
        <v>1</v>
      </c>
      <c r="C1242" t="s">
        <v>4293</v>
      </c>
      <c r="D1242" t="s">
        <v>73</v>
      </c>
      <c r="E1242" t="s">
        <v>73</v>
      </c>
      <c r="F1242" t="s">
        <v>73</v>
      </c>
      <c r="G1242" t="s">
        <v>73</v>
      </c>
      <c r="H1242">
        <v>28.1</v>
      </c>
      <c r="I1242">
        <v>299</v>
      </c>
      <c r="J1242">
        <v>30869</v>
      </c>
      <c r="K1242" t="s">
        <v>4294</v>
      </c>
      <c r="L1242">
        <f t="shared" si="78"/>
        <v>18</v>
      </c>
      <c r="N1242">
        <v>18</v>
      </c>
      <c r="O1242">
        <v>18</v>
      </c>
      <c r="P1242">
        <v>1</v>
      </c>
      <c r="Q1242">
        <v>1</v>
      </c>
      <c r="R1242">
        <v>2</v>
      </c>
      <c r="S1242">
        <v>0</v>
      </c>
      <c r="T1242">
        <v>0</v>
      </c>
      <c r="U1242">
        <v>7</v>
      </c>
      <c r="V1242">
        <v>7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2</v>
      </c>
      <c r="AL1242">
        <v>0</v>
      </c>
      <c r="AM1242">
        <v>0</v>
      </c>
      <c r="AN1242">
        <v>7</v>
      </c>
      <c r="AO1242">
        <v>7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 s="2">
        <v>1</v>
      </c>
      <c r="BD1242" s="2">
        <v>2</v>
      </c>
      <c r="BE1242" s="2">
        <v>0</v>
      </c>
      <c r="BF1242" s="2">
        <v>0</v>
      </c>
      <c r="BG1242" s="2">
        <v>7</v>
      </c>
      <c r="BH1242" s="2">
        <v>7</v>
      </c>
      <c r="BI1242" s="2">
        <v>0</v>
      </c>
      <c r="BJ1242" s="2">
        <v>1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f t="shared" si="81"/>
        <v>18</v>
      </c>
      <c r="BW1242" s="16">
        <f t="shared" si="79"/>
        <v>0.94736842105263153</v>
      </c>
      <c r="BX1242" s="16">
        <f>COUNTIF($BC$6:BU1242, "=0") / COUNTIF($BC$6:BU1242, "&gt;-1")</f>
        <v>0.3290218270008084</v>
      </c>
      <c r="BY1242" s="18">
        <f>SUM($BC$6:BU1242) / $BY$4</f>
        <v>0.96330544988441946</v>
      </c>
      <c r="BZ1242" s="14">
        <f t="shared" si="80"/>
        <v>14</v>
      </c>
      <c r="CA1242" t="s">
        <v>5832</v>
      </c>
      <c r="CZ1242" t="s">
        <v>11809</v>
      </c>
      <c r="DA1242" t="s">
        <v>5904</v>
      </c>
      <c r="DB1242">
        <v>498.4</v>
      </c>
      <c r="DC1242" t="s">
        <v>31235</v>
      </c>
      <c r="DD1242" t="s">
        <v>31236</v>
      </c>
      <c r="DE1242" t="s">
        <v>31237</v>
      </c>
      <c r="DF1242" t="s">
        <v>31238</v>
      </c>
      <c r="DG1242" t="s">
        <v>31239</v>
      </c>
      <c r="DH1242" t="str">
        <f>"QPRT"</f>
        <v>QPRT</v>
      </c>
      <c r="DI1242" t="s">
        <v>13772</v>
      </c>
      <c r="DJ1242" t="s">
        <v>13777</v>
      </c>
      <c r="DK1242">
        <v>9606</v>
      </c>
      <c r="DL1242" s="34" t="str">
        <f>HYPERLINK("http://www.uniprot.org/uniprot/Q15274", "Q15274")</f>
        <v>Q15274</v>
      </c>
      <c r="DM1242" t="s">
        <v>31240</v>
      </c>
      <c r="DN1242" t="s">
        <v>29555</v>
      </c>
      <c r="DO1242" t="s">
        <v>13772</v>
      </c>
      <c r="DP1242" t="s">
        <v>13793</v>
      </c>
      <c r="DQ1242" t="s">
        <v>13772</v>
      </c>
      <c r="DR1242" t="s">
        <v>13772</v>
      </c>
      <c r="DS1242" t="s">
        <v>13772</v>
      </c>
      <c r="DT1242" t="s">
        <v>13772</v>
      </c>
      <c r="DU1242" t="s">
        <v>15995</v>
      </c>
      <c r="DV1242" t="s">
        <v>13772</v>
      </c>
      <c r="DW1242" t="s">
        <v>13812</v>
      </c>
      <c r="DX1242" t="s">
        <v>31241</v>
      </c>
      <c r="DY1242" t="s">
        <v>14194</v>
      </c>
      <c r="DZ1242" t="s">
        <v>31242</v>
      </c>
      <c r="EA1242" t="s">
        <v>31243</v>
      </c>
      <c r="EB1242" t="s">
        <v>31244</v>
      </c>
    </row>
    <row r="1243" spans="1:132" hidden="1">
      <c r="A1243">
        <v>1835</v>
      </c>
      <c r="B1243">
        <v>1</v>
      </c>
      <c r="C1243" t="s">
        <v>4337</v>
      </c>
      <c r="D1243" t="s">
        <v>73</v>
      </c>
      <c r="E1243" t="s">
        <v>73</v>
      </c>
      <c r="F1243" t="s">
        <v>73</v>
      </c>
      <c r="G1243" t="s">
        <v>73</v>
      </c>
      <c r="H1243">
        <v>38.799999999999997</v>
      </c>
      <c r="I1243">
        <v>152</v>
      </c>
      <c r="J1243">
        <v>17771</v>
      </c>
      <c r="K1243" t="s">
        <v>4338</v>
      </c>
      <c r="L1243">
        <f t="shared" si="78"/>
        <v>18</v>
      </c>
      <c r="N1243">
        <v>18</v>
      </c>
      <c r="O1243">
        <v>18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</v>
      </c>
      <c r="W1243">
        <v>2</v>
      </c>
      <c r="X1243">
        <v>0</v>
      </c>
      <c r="Y1243">
        <v>7</v>
      </c>
      <c r="Z1243">
        <v>0</v>
      </c>
      <c r="AA1243">
        <v>2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2</v>
      </c>
      <c r="AQ1243">
        <v>0</v>
      </c>
      <c r="AR1243">
        <v>7</v>
      </c>
      <c r="AS1243">
        <v>0</v>
      </c>
      <c r="AT1243">
        <v>2</v>
      </c>
      <c r="AU1243">
        <v>0</v>
      </c>
      <c r="AV1243">
        <v>1</v>
      </c>
      <c r="AW1243">
        <v>0</v>
      </c>
      <c r="AX1243">
        <v>3</v>
      </c>
      <c r="AY1243">
        <v>0</v>
      </c>
      <c r="AZ1243">
        <v>0</v>
      </c>
      <c r="BA1243">
        <v>0</v>
      </c>
      <c r="BB1243">
        <v>0</v>
      </c>
      <c r="BC1243" s="2">
        <v>0</v>
      </c>
      <c r="BD1243" s="2">
        <v>1</v>
      </c>
      <c r="BE1243" s="2">
        <v>0</v>
      </c>
      <c r="BF1243" s="2">
        <v>1</v>
      </c>
      <c r="BG1243" s="2">
        <v>1</v>
      </c>
      <c r="BH1243" s="2">
        <v>0</v>
      </c>
      <c r="BI1243" s="2">
        <v>2</v>
      </c>
      <c r="BJ1243" s="2">
        <v>0</v>
      </c>
      <c r="BK1243" s="2">
        <v>7</v>
      </c>
      <c r="BL1243" s="2">
        <v>0</v>
      </c>
      <c r="BM1243" s="2">
        <v>2</v>
      </c>
      <c r="BN1243" s="2">
        <v>0</v>
      </c>
      <c r="BO1243" s="2">
        <v>1</v>
      </c>
      <c r="BP1243" s="2">
        <v>0</v>
      </c>
      <c r="BQ1243" s="2">
        <v>3</v>
      </c>
      <c r="BR1243" s="2">
        <v>0</v>
      </c>
      <c r="BS1243" s="2">
        <v>0</v>
      </c>
      <c r="BT1243" s="2">
        <v>0</v>
      </c>
      <c r="BU1243" s="2">
        <v>0</v>
      </c>
      <c r="BV1243" s="2">
        <f t="shared" si="81"/>
        <v>18</v>
      </c>
      <c r="BW1243" s="16">
        <f t="shared" si="79"/>
        <v>0.94736842105263153</v>
      </c>
      <c r="BX1243" s="16">
        <f>COUNTIF($BC$6:BU1243, "=0") / COUNTIF($BC$6:BU1243, "&gt;-1")</f>
        <v>0.32922370546722218</v>
      </c>
      <c r="BY1243" s="18">
        <f>SUM($BC$6:BU1243) / $BY$4</f>
        <v>0.96338255534805606</v>
      </c>
      <c r="BZ1243" s="14">
        <f t="shared" si="80"/>
        <v>11</v>
      </c>
      <c r="CA1243" t="s">
        <v>5832</v>
      </c>
      <c r="CZ1243" t="s">
        <v>11875</v>
      </c>
      <c r="DA1243" t="s">
        <v>5904</v>
      </c>
      <c r="DB1243">
        <v>294.3</v>
      </c>
      <c r="DC1243" t="s">
        <v>31421</v>
      </c>
      <c r="DD1243" t="s">
        <v>31422</v>
      </c>
      <c r="DE1243" t="s">
        <v>31423</v>
      </c>
      <c r="DF1243" t="s">
        <v>31424</v>
      </c>
      <c r="DG1243" t="s">
        <v>31425</v>
      </c>
      <c r="DH1243" t="str">
        <f>"FTH1"</f>
        <v>FTH1</v>
      </c>
      <c r="DI1243" t="s">
        <v>31426</v>
      </c>
      <c r="DJ1243" t="s">
        <v>13777</v>
      </c>
      <c r="DK1243">
        <v>9606</v>
      </c>
      <c r="DL1243" s="34" t="str">
        <f>HYPERLINK("http://www.uniprot.org/uniprot/P02794", "P02794")</f>
        <v>P02794</v>
      </c>
      <c r="DM1243" t="s">
        <v>31427</v>
      </c>
      <c r="DN1243" t="s">
        <v>31428</v>
      </c>
      <c r="DO1243" t="s">
        <v>13772</v>
      </c>
      <c r="DP1243" t="s">
        <v>13772</v>
      </c>
      <c r="DQ1243" t="s">
        <v>13772</v>
      </c>
      <c r="DR1243" t="s">
        <v>13772</v>
      </c>
      <c r="DS1243" t="s">
        <v>13772</v>
      </c>
      <c r="DT1243" t="s">
        <v>17802</v>
      </c>
      <c r="DU1243" t="s">
        <v>13885</v>
      </c>
      <c r="DV1243" t="s">
        <v>13886</v>
      </c>
      <c r="DW1243" t="s">
        <v>13812</v>
      </c>
      <c r="DX1243" t="s">
        <v>31429</v>
      </c>
      <c r="DY1243" t="s">
        <v>31430</v>
      </c>
      <c r="DZ1243" t="s">
        <v>31431</v>
      </c>
      <c r="EA1243" t="s">
        <v>13772</v>
      </c>
      <c r="EB1243" t="s">
        <v>31432</v>
      </c>
    </row>
    <row r="1244" spans="1:132" hidden="1">
      <c r="A1244">
        <v>1870</v>
      </c>
      <c r="B1244">
        <v>1</v>
      </c>
      <c r="C1244" t="s">
        <v>4415</v>
      </c>
      <c r="D1244" t="s">
        <v>73</v>
      </c>
      <c r="E1244" t="s">
        <v>73</v>
      </c>
      <c r="F1244" t="s">
        <v>73</v>
      </c>
      <c r="G1244" t="s">
        <v>73</v>
      </c>
      <c r="H1244">
        <v>34.799999999999997</v>
      </c>
      <c r="I1244">
        <v>221</v>
      </c>
      <c r="J1244">
        <v>24037</v>
      </c>
      <c r="K1244" t="s">
        <v>4416</v>
      </c>
      <c r="L1244">
        <f t="shared" si="78"/>
        <v>18</v>
      </c>
      <c r="N1244">
        <v>18</v>
      </c>
      <c r="O1244">
        <v>18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2</v>
      </c>
      <c r="W1244">
        <v>7</v>
      </c>
      <c r="X1244">
        <v>5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2</v>
      </c>
      <c r="AP1244">
        <v>7</v>
      </c>
      <c r="AQ1244">
        <v>5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 s="2">
        <v>0</v>
      </c>
      <c r="BD1244" s="2">
        <v>1</v>
      </c>
      <c r="BE1244" s="2">
        <v>0</v>
      </c>
      <c r="BF1244" s="2">
        <v>1</v>
      </c>
      <c r="BG1244" s="2">
        <v>0</v>
      </c>
      <c r="BH1244" s="2">
        <v>2</v>
      </c>
      <c r="BI1244" s="2">
        <v>7</v>
      </c>
      <c r="BJ1244" s="2">
        <v>5</v>
      </c>
      <c r="BK1244" s="2">
        <v>0</v>
      </c>
      <c r="BL1244" s="2">
        <v>0</v>
      </c>
      <c r="BM1244" s="2">
        <v>1</v>
      </c>
      <c r="BN1244" s="2">
        <v>0</v>
      </c>
      <c r="BO1244" s="2">
        <v>0</v>
      </c>
      <c r="BP1244" s="2">
        <v>0</v>
      </c>
      <c r="BQ1244" s="2">
        <v>1</v>
      </c>
      <c r="BR1244" s="2">
        <v>0</v>
      </c>
      <c r="BS1244" s="2">
        <v>0</v>
      </c>
      <c r="BT1244" s="2">
        <v>0</v>
      </c>
      <c r="BU1244" s="2">
        <v>0</v>
      </c>
      <c r="BV1244" s="2">
        <f t="shared" si="81"/>
        <v>18</v>
      </c>
      <c r="BW1244" s="16">
        <f t="shared" si="79"/>
        <v>0.94736842105263153</v>
      </c>
      <c r="BX1244" s="16">
        <f>COUNTIF($BC$6:BU1244, "=0") / COUNTIF($BC$6:BU1244, "&gt;-1")</f>
        <v>0.32946773713945882</v>
      </c>
      <c r="BY1244" s="18">
        <f>SUM($BC$6:BU1244) / $BY$4</f>
        <v>0.96345966081169265</v>
      </c>
      <c r="BZ1244" s="14">
        <f t="shared" si="80"/>
        <v>12</v>
      </c>
      <c r="CA1244" t="s">
        <v>5832</v>
      </c>
      <c r="CZ1244" t="s">
        <v>11992</v>
      </c>
      <c r="DA1244" t="s">
        <v>5904</v>
      </c>
      <c r="DB1244">
        <v>364.8</v>
      </c>
      <c r="DC1244" t="s">
        <v>31747</v>
      </c>
      <c r="DD1244" t="s">
        <v>31748</v>
      </c>
      <c r="DE1244" t="s">
        <v>31749</v>
      </c>
      <c r="DF1244" t="s">
        <v>31750</v>
      </c>
      <c r="DG1244" t="s">
        <v>31751</v>
      </c>
      <c r="DH1244" t="str">
        <f>"CREG1"</f>
        <v>CREG1</v>
      </c>
      <c r="DI1244" t="s">
        <v>31752</v>
      </c>
      <c r="DJ1244" t="s">
        <v>13777</v>
      </c>
      <c r="DK1244">
        <v>9606</v>
      </c>
      <c r="DL1244" s="34" t="str">
        <f>HYPERLINK("http://www.uniprot.org/uniprot/O75629", "O75629")</f>
        <v>O75629</v>
      </c>
      <c r="DM1244" t="s">
        <v>31753</v>
      </c>
      <c r="DN1244" t="s">
        <v>23666</v>
      </c>
      <c r="DO1244" t="s">
        <v>14321</v>
      </c>
      <c r="DP1244" t="s">
        <v>13772</v>
      </c>
      <c r="DQ1244" t="s">
        <v>13772</v>
      </c>
      <c r="DR1244" t="s">
        <v>13772</v>
      </c>
      <c r="DS1244" t="s">
        <v>13808</v>
      </c>
      <c r="DT1244" t="s">
        <v>13772</v>
      </c>
      <c r="DU1244" t="s">
        <v>13772</v>
      </c>
      <c r="DV1244" t="s">
        <v>13858</v>
      </c>
      <c r="DW1244" t="s">
        <v>13812</v>
      </c>
      <c r="DX1244" t="s">
        <v>31754</v>
      </c>
      <c r="DY1244" t="s">
        <v>31755</v>
      </c>
      <c r="DZ1244" t="s">
        <v>31756</v>
      </c>
      <c r="EA1244" t="s">
        <v>13772</v>
      </c>
      <c r="EB1244" t="s">
        <v>13890</v>
      </c>
    </row>
    <row r="1245" spans="1:132" hidden="1">
      <c r="A1245">
        <v>1893</v>
      </c>
      <c r="B1245">
        <v>1</v>
      </c>
      <c r="C1245" t="s">
        <v>4467</v>
      </c>
      <c r="D1245" t="s">
        <v>73</v>
      </c>
      <c r="E1245" t="s">
        <v>73</v>
      </c>
      <c r="F1245" t="s">
        <v>73</v>
      </c>
      <c r="G1245" t="s">
        <v>73</v>
      </c>
      <c r="H1245">
        <v>41.6</v>
      </c>
      <c r="I1245">
        <v>101</v>
      </c>
      <c r="J1245">
        <v>11714</v>
      </c>
      <c r="K1245" t="s">
        <v>4468</v>
      </c>
      <c r="L1245">
        <f t="shared" si="78"/>
        <v>18</v>
      </c>
      <c r="N1245">
        <v>18</v>
      </c>
      <c r="O1245">
        <v>18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2</v>
      </c>
      <c r="Z1245">
        <v>0</v>
      </c>
      <c r="AA1245">
        <v>2</v>
      </c>
      <c r="AB1245">
        <v>3</v>
      </c>
      <c r="AC1245">
        <v>3</v>
      </c>
      <c r="AD1245">
        <v>1</v>
      </c>
      <c r="AE1245">
        <v>5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2</v>
      </c>
      <c r="AS1245">
        <v>0</v>
      </c>
      <c r="AT1245">
        <v>2</v>
      </c>
      <c r="AU1245">
        <v>3</v>
      </c>
      <c r="AV1245">
        <v>3</v>
      </c>
      <c r="AW1245">
        <v>1</v>
      </c>
      <c r="AX1245">
        <v>5</v>
      </c>
      <c r="AY1245">
        <v>0</v>
      </c>
      <c r="AZ1245">
        <v>0</v>
      </c>
      <c r="BA1245">
        <v>0</v>
      </c>
      <c r="BB1245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</v>
      </c>
      <c r="BK1245" s="2">
        <v>2</v>
      </c>
      <c r="BL1245" s="2">
        <v>0</v>
      </c>
      <c r="BM1245" s="2">
        <v>2</v>
      </c>
      <c r="BN1245" s="2">
        <v>3</v>
      </c>
      <c r="BO1245" s="2">
        <v>3</v>
      </c>
      <c r="BP1245" s="2">
        <v>1</v>
      </c>
      <c r="BQ1245" s="2">
        <v>5</v>
      </c>
      <c r="BR1245" s="2">
        <v>0</v>
      </c>
      <c r="BS1245" s="2">
        <v>0</v>
      </c>
      <c r="BT1245" s="2">
        <v>0</v>
      </c>
      <c r="BU1245" s="2">
        <v>1</v>
      </c>
      <c r="BV1245" s="2">
        <f t="shared" si="81"/>
        <v>18</v>
      </c>
      <c r="BW1245" s="16">
        <f t="shared" si="79"/>
        <v>0.94736842105263153</v>
      </c>
      <c r="BX1245" s="16">
        <f>COUNTIF($BC$6:BU1245, "=0") / COUNTIF($BC$6:BU1245, "&gt;-1")</f>
        <v>0.32966893039049239</v>
      </c>
      <c r="BY1245" s="18">
        <f>SUM($BC$6:BU1245) / $BY$4</f>
        <v>0.96353676627532936</v>
      </c>
      <c r="BZ1245" s="14">
        <f t="shared" si="80"/>
        <v>11</v>
      </c>
      <c r="CA1245" t="s">
        <v>5832</v>
      </c>
      <c r="CZ1245" t="s">
        <v>12068</v>
      </c>
      <c r="DA1245" t="s">
        <v>5904</v>
      </c>
      <c r="DB1245">
        <v>205.3</v>
      </c>
      <c r="DC1245" t="s">
        <v>31936</v>
      </c>
      <c r="DD1245" t="s">
        <v>31937</v>
      </c>
      <c r="DE1245" t="s">
        <v>31938</v>
      </c>
      <c r="DF1245" t="s">
        <v>31939</v>
      </c>
      <c r="DG1245" t="s">
        <v>31940</v>
      </c>
      <c r="DH1245" t="str">
        <f>"S100A4"</f>
        <v>S100A4</v>
      </c>
      <c r="DI1245" t="s">
        <v>31941</v>
      </c>
      <c r="DJ1245" t="s">
        <v>13777</v>
      </c>
      <c r="DK1245">
        <v>9606</v>
      </c>
      <c r="DL1245" s="34" t="str">
        <f>HYPERLINK("http://www.uniprot.org/uniprot/P26447", "P26447")</f>
        <v>P26447</v>
      </c>
      <c r="DM1245" t="s">
        <v>31942</v>
      </c>
      <c r="DN1245" t="s">
        <v>13772</v>
      </c>
      <c r="DO1245" t="s">
        <v>13772</v>
      </c>
      <c r="DP1245" t="s">
        <v>13772</v>
      </c>
      <c r="DQ1245" t="s">
        <v>13772</v>
      </c>
      <c r="DR1245" t="s">
        <v>13772</v>
      </c>
      <c r="DS1245" t="s">
        <v>14096</v>
      </c>
      <c r="DT1245" t="s">
        <v>13873</v>
      </c>
      <c r="DU1245" t="s">
        <v>13772</v>
      </c>
      <c r="DV1245" t="s">
        <v>14020</v>
      </c>
      <c r="DW1245" t="s">
        <v>13812</v>
      </c>
      <c r="DX1245" t="s">
        <v>31943</v>
      </c>
      <c r="DY1245" t="s">
        <v>31944</v>
      </c>
      <c r="DZ1245" t="s">
        <v>31945</v>
      </c>
      <c r="EA1245" t="s">
        <v>13772</v>
      </c>
      <c r="EB1245" t="s">
        <v>13772</v>
      </c>
    </row>
    <row r="1246" spans="1:132" hidden="1">
      <c r="A1246">
        <v>1917</v>
      </c>
      <c r="B1246">
        <v>1</v>
      </c>
      <c r="C1246" t="s">
        <v>4515</v>
      </c>
      <c r="D1246" t="s">
        <v>4516</v>
      </c>
      <c r="E1246" t="s">
        <v>73</v>
      </c>
      <c r="F1246" t="s">
        <v>73</v>
      </c>
      <c r="G1246" t="s">
        <v>73</v>
      </c>
      <c r="H1246">
        <v>13.4</v>
      </c>
      <c r="I1246">
        <v>1284</v>
      </c>
      <c r="J1246">
        <v>133921</v>
      </c>
      <c r="K1246" t="s">
        <v>4517</v>
      </c>
      <c r="L1246">
        <f t="shared" si="78"/>
        <v>18</v>
      </c>
      <c r="N1246">
        <v>18</v>
      </c>
      <c r="O1246">
        <v>18</v>
      </c>
      <c r="P1246">
        <v>1</v>
      </c>
      <c r="Q1246">
        <v>0</v>
      </c>
      <c r="R1246">
        <v>1</v>
      </c>
      <c r="S1246">
        <v>1</v>
      </c>
      <c r="T1246">
        <v>4</v>
      </c>
      <c r="U1246">
        <v>4</v>
      </c>
      <c r="V1246">
        <v>3</v>
      </c>
      <c r="W1246">
        <v>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4</v>
      </c>
      <c r="AN1246">
        <v>4</v>
      </c>
      <c r="AO1246">
        <v>3</v>
      </c>
      <c r="AP1246">
        <v>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 s="2">
        <v>0</v>
      </c>
      <c r="BD1246" s="2">
        <v>1</v>
      </c>
      <c r="BE1246" s="2">
        <v>1</v>
      </c>
      <c r="BF1246" s="2">
        <v>4</v>
      </c>
      <c r="BG1246" s="2">
        <v>4</v>
      </c>
      <c r="BH1246" s="2">
        <v>3</v>
      </c>
      <c r="BI1246" s="2">
        <v>5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f t="shared" si="81"/>
        <v>18</v>
      </c>
      <c r="BW1246" s="16">
        <f t="shared" si="79"/>
        <v>0.94736842105263153</v>
      </c>
      <c r="BX1246" s="16">
        <f>COUNTIF($BC$6:BU1246, "=0") / COUNTIF($BC$6:BU1246, "&gt;-1")</f>
        <v>0.32995462063700753</v>
      </c>
      <c r="BY1246" s="18">
        <f>SUM($BC$6:BU1246) / $BY$4</f>
        <v>0.96361387173896595</v>
      </c>
      <c r="BZ1246" s="14">
        <f t="shared" si="80"/>
        <v>13</v>
      </c>
      <c r="CA1246" t="s">
        <v>5832</v>
      </c>
      <c r="CZ1246" t="s">
        <v>12140</v>
      </c>
      <c r="DA1246" t="s">
        <v>5904</v>
      </c>
      <c r="DB1246">
        <v>2026.5</v>
      </c>
      <c r="DC1246" t="s">
        <v>32138</v>
      </c>
      <c r="DD1246" t="s">
        <v>32139</v>
      </c>
      <c r="DE1246" t="s">
        <v>32140</v>
      </c>
      <c r="DF1246" t="s">
        <v>32141</v>
      </c>
      <c r="DG1246" t="s">
        <v>32142</v>
      </c>
      <c r="DH1246" t="str">
        <f>"CRB2"</f>
        <v>CRB2</v>
      </c>
      <c r="DI1246" t="s">
        <v>13772</v>
      </c>
      <c r="DJ1246" t="s">
        <v>13777</v>
      </c>
      <c r="DK1246">
        <v>9606</v>
      </c>
      <c r="DL1246" s="34" t="str">
        <f>HYPERLINK("http://www.uniprot.org/uniprot/Q5IJ48", "Q5IJ48")</f>
        <v>Q5IJ48</v>
      </c>
      <c r="DM1246" t="s">
        <v>32143</v>
      </c>
      <c r="DN1246" t="s">
        <v>32144</v>
      </c>
      <c r="DO1246" t="s">
        <v>14336</v>
      </c>
      <c r="DP1246" t="s">
        <v>13780</v>
      </c>
      <c r="DQ1246" t="s">
        <v>13772</v>
      </c>
      <c r="DR1246" t="s">
        <v>13807</v>
      </c>
      <c r="DS1246" t="s">
        <v>13963</v>
      </c>
      <c r="DT1246" t="s">
        <v>14465</v>
      </c>
      <c r="DU1246" t="s">
        <v>14727</v>
      </c>
      <c r="DV1246" t="s">
        <v>13796</v>
      </c>
      <c r="DW1246" t="s">
        <v>13812</v>
      </c>
      <c r="DX1246" t="s">
        <v>32145</v>
      </c>
      <c r="DY1246" t="s">
        <v>32146</v>
      </c>
      <c r="DZ1246" t="s">
        <v>32147</v>
      </c>
      <c r="EA1246" t="s">
        <v>13772</v>
      </c>
      <c r="EB1246" t="s">
        <v>13772</v>
      </c>
    </row>
    <row r="1247" spans="1:132" hidden="1">
      <c r="A1247">
        <v>2006</v>
      </c>
      <c r="B1247">
        <v>1</v>
      </c>
      <c r="C1247" t="s">
        <v>4719</v>
      </c>
      <c r="D1247" t="s">
        <v>73</v>
      </c>
      <c r="E1247" t="s">
        <v>73</v>
      </c>
      <c r="F1247" t="s">
        <v>73</v>
      </c>
      <c r="G1247" t="s">
        <v>73</v>
      </c>
      <c r="H1247">
        <v>16.2</v>
      </c>
      <c r="I1247">
        <v>1001</v>
      </c>
      <c r="J1247">
        <v>109943</v>
      </c>
      <c r="K1247" t="s">
        <v>4720</v>
      </c>
      <c r="L1247">
        <f t="shared" si="78"/>
        <v>18</v>
      </c>
      <c r="N1247">
        <v>18</v>
      </c>
      <c r="O1247">
        <v>18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12</v>
      </c>
      <c r="W1247">
        <v>0</v>
      </c>
      <c r="X1247">
        <v>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12</v>
      </c>
      <c r="AP1247">
        <v>0</v>
      </c>
      <c r="AQ1247">
        <v>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 s="2">
        <v>0</v>
      </c>
      <c r="BD1247" s="2">
        <v>0</v>
      </c>
      <c r="BE1247" s="2">
        <v>1</v>
      </c>
      <c r="BF1247" s="2">
        <v>0</v>
      </c>
      <c r="BG1247" s="2">
        <v>1</v>
      </c>
      <c r="BH1247" s="2">
        <v>12</v>
      </c>
      <c r="BI1247" s="2">
        <v>0</v>
      </c>
      <c r="BJ1247" s="2">
        <v>4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f t="shared" si="81"/>
        <v>18</v>
      </c>
      <c r="BW1247" s="16">
        <f t="shared" si="79"/>
        <v>0.94736842105263153</v>
      </c>
      <c r="BX1247" s="16">
        <f>COUNTIF($BC$6:BU1247, "=0") / COUNTIF($BC$6:BU1247, "&gt;-1")</f>
        <v>0.33032460377998135</v>
      </c>
      <c r="BY1247" s="18">
        <f>SUM($BC$6:BU1247) / $BY$4</f>
        <v>0.96369097720260255</v>
      </c>
      <c r="BZ1247" s="14">
        <f t="shared" si="80"/>
        <v>15</v>
      </c>
      <c r="CA1247" t="s">
        <v>5832</v>
      </c>
      <c r="CZ1247" t="s">
        <v>12437</v>
      </c>
      <c r="DA1247" t="s">
        <v>5904</v>
      </c>
      <c r="DB1247">
        <v>1827.8</v>
      </c>
      <c r="DC1247" t="s">
        <v>32995</v>
      </c>
      <c r="DD1247" t="s">
        <v>32996</v>
      </c>
      <c r="DE1247" t="s">
        <v>32997</v>
      </c>
      <c r="DF1247" t="s">
        <v>32998</v>
      </c>
      <c r="DG1247" t="s">
        <v>32999</v>
      </c>
      <c r="DH1247" t="str">
        <f>"SLC12A3"</f>
        <v>SLC12A3</v>
      </c>
      <c r="DI1247" t="s">
        <v>33000</v>
      </c>
      <c r="DJ1247" t="s">
        <v>13777</v>
      </c>
      <c r="DK1247">
        <v>9606</v>
      </c>
      <c r="DL1247" s="34" t="str">
        <f>HYPERLINK("http://www.uniprot.org/uniprot/P55017", "P55017")</f>
        <v>P55017</v>
      </c>
      <c r="DM1247" t="s">
        <v>33001</v>
      </c>
      <c r="DN1247" t="s">
        <v>19486</v>
      </c>
      <c r="DO1247" t="s">
        <v>13792</v>
      </c>
      <c r="DP1247" t="s">
        <v>13780</v>
      </c>
      <c r="DQ1247" t="s">
        <v>13772</v>
      </c>
      <c r="DR1247" t="s">
        <v>13807</v>
      </c>
      <c r="DS1247" t="s">
        <v>13925</v>
      </c>
      <c r="DT1247" t="s">
        <v>33002</v>
      </c>
      <c r="DU1247" t="s">
        <v>13772</v>
      </c>
      <c r="DV1247" t="s">
        <v>16810</v>
      </c>
      <c r="DW1247" t="s">
        <v>13772</v>
      </c>
      <c r="DX1247" t="s">
        <v>33003</v>
      </c>
      <c r="DY1247" t="s">
        <v>33004</v>
      </c>
      <c r="DZ1247" t="s">
        <v>15244</v>
      </c>
      <c r="EA1247" t="s">
        <v>13772</v>
      </c>
      <c r="EB1247" t="s">
        <v>33005</v>
      </c>
    </row>
    <row r="1248" spans="1:132" hidden="1">
      <c r="A1248">
        <v>2146</v>
      </c>
      <c r="B1248">
        <v>1</v>
      </c>
      <c r="C1248" t="s">
        <v>5030</v>
      </c>
      <c r="D1248" t="s">
        <v>5031</v>
      </c>
      <c r="E1248" t="s">
        <v>73</v>
      </c>
      <c r="F1248" t="s">
        <v>73</v>
      </c>
      <c r="G1248" t="s">
        <v>73</v>
      </c>
      <c r="H1248">
        <v>10.4</v>
      </c>
      <c r="I1248">
        <v>498</v>
      </c>
      <c r="J1248">
        <v>55960</v>
      </c>
      <c r="K1248" t="s">
        <v>5032</v>
      </c>
      <c r="L1248">
        <f t="shared" si="78"/>
        <v>18</v>
      </c>
      <c r="N1248">
        <v>18</v>
      </c>
      <c r="O1248">
        <v>18</v>
      </c>
      <c r="P1248">
        <v>1</v>
      </c>
      <c r="Q1248">
        <v>2</v>
      </c>
      <c r="R1248">
        <v>3</v>
      </c>
      <c r="S1248">
        <v>2</v>
      </c>
      <c r="T1248">
        <v>1</v>
      </c>
      <c r="U1248">
        <v>2</v>
      </c>
      <c r="V1248">
        <v>3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3</v>
      </c>
      <c r="AL1248">
        <v>2</v>
      </c>
      <c r="AM1248">
        <v>1</v>
      </c>
      <c r="AN1248">
        <v>2</v>
      </c>
      <c r="AO1248">
        <v>3</v>
      </c>
      <c r="AP1248">
        <v>2</v>
      </c>
      <c r="AQ1248">
        <v>1</v>
      </c>
      <c r="AR1248">
        <v>0</v>
      </c>
      <c r="AS1248">
        <v>0</v>
      </c>
      <c r="AT1248">
        <v>0</v>
      </c>
      <c r="AU1248">
        <v>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 s="2">
        <v>2</v>
      </c>
      <c r="BD1248" s="2">
        <v>3</v>
      </c>
      <c r="BE1248" s="2">
        <v>2</v>
      </c>
      <c r="BF1248" s="2">
        <v>1</v>
      </c>
      <c r="BG1248" s="2">
        <v>2</v>
      </c>
      <c r="BH1248" s="2">
        <v>3</v>
      </c>
      <c r="BI1248" s="2">
        <v>2</v>
      </c>
      <c r="BJ1248" s="2">
        <v>1</v>
      </c>
      <c r="BK1248" s="2">
        <v>0</v>
      </c>
      <c r="BL1248" s="2">
        <v>0</v>
      </c>
      <c r="BM1248" s="2">
        <v>0</v>
      </c>
      <c r="BN1248" s="2">
        <v>2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f t="shared" si="81"/>
        <v>18</v>
      </c>
      <c r="BW1248" s="16">
        <f t="shared" si="79"/>
        <v>0.94736842105263153</v>
      </c>
      <c r="BX1248" s="16">
        <f>COUNTIF($BC$6:BU1248, "=0") / COUNTIF($BC$6:BU1248, "&gt;-1")</f>
        <v>0.33048227971376548</v>
      </c>
      <c r="BY1248" s="18">
        <f>SUM($BC$6:BU1248) / $BY$4</f>
        <v>0.96376808266623915</v>
      </c>
      <c r="BZ1248" s="14">
        <f t="shared" si="80"/>
        <v>10</v>
      </c>
      <c r="CA1248" t="s">
        <v>5832</v>
      </c>
      <c r="CZ1248" t="s">
        <v>12901</v>
      </c>
      <c r="DA1248" t="s">
        <v>5904</v>
      </c>
      <c r="DB1248">
        <v>657.9</v>
      </c>
      <c r="DC1248" t="s">
        <v>34286</v>
      </c>
      <c r="DD1248" t="s">
        <v>34287</v>
      </c>
      <c r="DE1248" t="s">
        <v>34288</v>
      </c>
      <c r="DF1248" t="s">
        <v>34289</v>
      </c>
      <c r="DG1248" t="s">
        <v>34290</v>
      </c>
      <c r="DH1248" t="str">
        <f>"ANGPT4"</f>
        <v>ANGPT4</v>
      </c>
      <c r="DI1248" t="s">
        <v>34291</v>
      </c>
      <c r="DJ1248" t="s">
        <v>13777</v>
      </c>
      <c r="DK1248">
        <v>9606</v>
      </c>
      <c r="DL1248" s="34" t="str">
        <f>HYPERLINK("http://www.uniprot.org/uniprot/Q9Y264", "Q9Y264")</f>
        <v>Q9Y264</v>
      </c>
      <c r="DM1248" t="s">
        <v>34292</v>
      </c>
      <c r="DN1248" t="s">
        <v>22082</v>
      </c>
      <c r="DO1248" t="s">
        <v>14321</v>
      </c>
      <c r="DP1248" t="s">
        <v>13780</v>
      </c>
      <c r="DQ1248" t="s">
        <v>13772</v>
      </c>
      <c r="DR1248" t="s">
        <v>13772</v>
      </c>
      <c r="DS1248" t="s">
        <v>16820</v>
      </c>
      <c r="DT1248" t="s">
        <v>13772</v>
      </c>
      <c r="DU1248" t="s">
        <v>13772</v>
      </c>
      <c r="DV1248" t="s">
        <v>13796</v>
      </c>
      <c r="DW1248" t="s">
        <v>13772</v>
      </c>
      <c r="DX1248" t="s">
        <v>34293</v>
      </c>
      <c r="DY1248" t="s">
        <v>22023</v>
      </c>
      <c r="DZ1248" t="s">
        <v>34294</v>
      </c>
      <c r="EA1248" t="s">
        <v>13772</v>
      </c>
      <c r="EB1248" t="s">
        <v>25981</v>
      </c>
    </row>
    <row r="1249" spans="1:132" hidden="1">
      <c r="A1249">
        <v>2293</v>
      </c>
      <c r="B1249">
        <v>1</v>
      </c>
      <c r="C1249" t="s">
        <v>5357</v>
      </c>
      <c r="D1249" t="s">
        <v>73</v>
      </c>
      <c r="E1249" t="s">
        <v>73</v>
      </c>
      <c r="F1249" t="s">
        <v>73</v>
      </c>
      <c r="G1249" t="s">
        <v>73</v>
      </c>
      <c r="H1249">
        <v>28.5</v>
      </c>
      <c r="I1249">
        <v>267</v>
      </c>
      <c r="J1249">
        <v>28691</v>
      </c>
      <c r="K1249" t="s">
        <v>5358</v>
      </c>
      <c r="L1249">
        <f t="shared" si="78"/>
        <v>18</v>
      </c>
      <c r="N1249">
        <v>18</v>
      </c>
      <c r="O1249">
        <v>18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5</v>
      </c>
      <c r="Y1249">
        <v>3</v>
      </c>
      <c r="Z1249">
        <v>0</v>
      </c>
      <c r="AA1249">
        <v>5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5</v>
      </c>
      <c r="AR1249">
        <v>3</v>
      </c>
      <c r="AS1249">
        <v>0</v>
      </c>
      <c r="AT1249">
        <v>5</v>
      </c>
      <c r="AU1249">
        <v>0</v>
      </c>
      <c r="AV1249">
        <v>0</v>
      </c>
      <c r="AW1249">
        <v>0</v>
      </c>
      <c r="AX1249">
        <v>2</v>
      </c>
      <c r="AY1249">
        <v>0</v>
      </c>
      <c r="AZ1249">
        <v>0</v>
      </c>
      <c r="BA1249">
        <v>0</v>
      </c>
      <c r="BB1249">
        <v>0</v>
      </c>
      <c r="BC1249" s="2">
        <v>0</v>
      </c>
      <c r="BD1249" s="2">
        <v>1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5</v>
      </c>
      <c r="BK1249" s="2">
        <v>3</v>
      </c>
      <c r="BL1249" s="2">
        <v>0</v>
      </c>
      <c r="BM1249" s="2">
        <v>5</v>
      </c>
      <c r="BN1249" s="2">
        <v>0</v>
      </c>
      <c r="BO1249" s="2">
        <v>0</v>
      </c>
      <c r="BP1249" s="2">
        <v>0</v>
      </c>
      <c r="BQ1249" s="2">
        <v>2</v>
      </c>
      <c r="BR1249" s="2">
        <v>0</v>
      </c>
      <c r="BS1249" s="2">
        <v>0</v>
      </c>
      <c r="BT1249" s="2">
        <v>0</v>
      </c>
      <c r="BU1249" s="2">
        <v>0</v>
      </c>
      <c r="BV1249" s="2">
        <f t="shared" si="81"/>
        <v>18</v>
      </c>
      <c r="BW1249" s="16">
        <f t="shared" si="79"/>
        <v>0.94736842105263153</v>
      </c>
      <c r="BX1249" s="16">
        <f>COUNTIF($BC$6:BU1249, "=0") / COUNTIF($BC$6:BU1249, "&gt;-1")</f>
        <v>0.33072431883567438</v>
      </c>
      <c r="BY1249" s="18">
        <f>SUM($BC$6:BU1249) / $BY$4</f>
        <v>0.96384518812987574</v>
      </c>
      <c r="BZ1249" s="14">
        <f t="shared" si="80"/>
        <v>12</v>
      </c>
      <c r="CA1249" t="s">
        <v>5832</v>
      </c>
      <c r="CZ1249" t="s">
        <v>13387</v>
      </c>
      <c r="DA1249" t="s">
        <v>5904</v>
      </c>
      <c r="DB1249">
        <v>439.1</v>
      </c>
      <c r="DC1249" t="s">
        <v>35664</v>
      </c>
      <c r="DD1249" t="s">
        <v>13772</v>
      </c>
      <c r="DE1249" t="s">
        <v>35665</v>
      </c>
      <c r="DF1249" t="s">
        <v>35666</v>
      </c>
      <c r="DG1249" t="s">
        <v>35667</v>
      </c>
      <c r="DH1249" t="str">
        <f>"SPR"</f>
        <v>SPR</v>
      </c>
      <c r="DI1249" t="s">
        <v>13772</v>
      </c>
      <c r="DJ1249" t="s">
        <v>13777</v>
      </c>
      <c r="DK1249">
        <v>9606</v>
      </c>
      <c r="DL1249" s="34" t="str">
        <f>HYPERLINK("http://www.uniprot.org/uniprot/P35270", "P35270")</f>
        <v>P35270</v>
      </c>
      <c r="DM1249" t="s">
        <v>35668</v>
      </c>
      <c r="DN1249" t="s">
        <v>13772</v>
      </c>
      <c r="DO1249" t="s">
        <v>13899</v>
      </c>
      <c r="DP1249" t="s">
        <v>13772</v>
      </c>
      <c r="DQ1249" t="s">
        <v>13772</v>
      </c>
      <c r="DR1249" t="s">
        <v>35669</v>
      </c>
      <c r="DS1249" t="s">
        <v>13772</v>
      </c>
      <c r="DT1249" t="s">
        <v>15759</v>
      </c>
      <c r="DU1249" t="s">
        <v>13885</v>
      </c>
      <c r="DV1249" t="s">
        <v>13886</v>
      </c>
      <c r="DW1249" t="s">
        <v>13812</v>
      </c>
      <c r="DX1249" t="s">
        <v>35670</v>
      </c>
      <c r="DY1249" t="s">
        <v>17678</v>
      </c>
      <c r="DZ1249" t="s">
        <v>35671</v>
      </c>
      <c r="EA1249" t="s">
        <v>13772</v>
      </c>
      <c r="EB1249" t="s">
        <v>35672</v>
      </c>
    </row>
    <row r="1250" spans="1:132" hidden="1">
      <c r="A1250">
        <v>1489</v>
      </c>
      <c r="B1250">
        <v>1</v>
      </c>
      <c r="C1250" t="s">
        <v>3543</v>
      </c>
      <c r="D1250" t="s">
        <v>73</v>
      </c>
      <c r="E1250" t="s">
        <v>73</v>
      </c>
      <c r="F1250" t="s">
        <v>3316</v>
      </c>
      <c r="G1250" t="s">
        <v>73</v>
      </c>
      <c r="H1250">
        <v>23</v>
      </c>
      <c r="I1250">
        <v>374</v>
      </c>
      <c r="J1250">
        <v>41477</v>
      </c>
      <c r="K1250" t="s">
        <v>3544</v>
      </c>
      <c r="L1250">
        <f t="shared" si="78"/>
        <v>39</v>
      </c>
      <c r="N1250">
        <v>39</v>
      </c>
      <c r="O1250">
        <v>2</v>
      </c>
      <c r="P1250">
        <v>5.0999999999999997E-2</v>
      </c>
      <c r="Q1250">
        <v>3</v>
      </c>
      <c r="R1250">
        <v>2</v>
      </c>
      <c r="S1250">
        <v>2</v>
      </c>
      <c r="T1250">
        <v>0</v>
      </c>
      <c r="U1250">
        <v>3</v>
      </c>
      <c r="V1250">
        <v>3</v>
      </c>
      <c r="W1250">
        <v>6</v>
      </c>
      <c r="X1250">
        <v>3</v>
      </c>
      <c r="Y1250">
        <v>0</v>
      </c>
      <c r="Z1250">
        <v>1</v>
      </c>
      <c r="AA1250">
        <v>4</v>
      </c>
      <c r="AB1250">
        <v>4</v>
      </c>
      <c r="AC1250">
        <v>2</v>
      </c>
      <c r="AD1250">
        <v>0</v>
      </c>
      <c r="AE1250">
        <v>2</v>
      </c>
      <c r="AF1250">
        <v>1</v>
      </c>
      <c r="AG1250">
        <v>1</v>
      </c>
      <c r="AH1250">
        <v>2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 s="2">
        <v>3</v>
      </c>
      <c r="BD1250" s="2">
        <v>0.7</v>
      </c>
      <c r="BE1250" s="2">
        <v>0.25</v>
      </c>
      <c r="BF1250" s="2">
        <v>0</v>
      </c>
      <c r="BG1250" s="2">
        <v>0.9</v>
      </c>
      <c r="BH1250" s="2">
        <v>1.5</v>
      </c>
      <c r="BI1250" s="2">
        <v>2</v>
      </c>
      <c r="BJ1250" s="2">
        <v>1</v>
      </c>
      <c r="BK1250" s="2">
        <v>0</v>
      </c>
      <c r="BL1250" s="2">
        <v>0.5</v>
      </c>
      <c r="BM1250" s="2">
        <v>1.5</v>
      </c>
      <c r="BN1250" s="2">
        <v>1.5</v>
      </c>
      <c r="BO1250" s="2">
        <v>1</v>
      </c>
      <c r="BP1250" s="2">
        <v>0</v>
      </c>
      <c r="BQ1250" s="2">
        <v>2</v>
      </c>
      <c r="BR1250" s="2">
        <v>0.5</v>
      </c>
      <c r="BS1250" s="2">
        <v>0.5</v>
      </c>
      <c r="BT1250" s="2">
        <v>1</v>
      </c>
      <c r="BU1250" s="2">
        <v>0</v>
      </c>
      <c r="BV1250" s="2">
        <f t="shared" si="81"/>
        <v>17.850000000000001</v>
      </c>
      <c r="BW1250" s="16">
        <f t="shared" si="79"/>
        <v>0.93947368421052635</v>
      </c>
      <c r="BX1250" s="16">
        <f>COUNTIF($BC$6:BU1250, "=0") / COUNTIF($BC$6:BU1250, "&gt;-1")</f>
        <v>0.33062777425491441</v>
      </c>
      <c r="BY1250" s="18">
        <f>SUM($BC$6:BU1250) / $BY$4</f>
        <v>0.96392165104798211</v>
      </c>
      <c r="BZ1250" s="14">
        <f t="shared" si="80"/>
        <v>4</v>
      </c>
      <c r="CA1250" t="s">
        <v>5832</v>
      </c>
      <c r="CZ1250" t="s">
        <v>10697</v>
      </c>
      <c r="DA1250" t="s">
        <v>5904</v>
      </c>
      <c r="DB1250">
        <v>397.9</v>
      </c>
      <c r="DC1250" t="s">
        <v>28104</v>
      </c>
      <c r="DD1250" t="s">
        <v>28105</v>
      </c>
      <c r="DE1250" t="s">
        <v>28106</v>
      </c>
      <c r="DF1250" t="s">
        <v>28107</v>
      </c>
      <c r="DG1250" t="s">
        <v>13772</v>
      </c>
      <c r="DH1250" t="str">
        <f>"HLA-G"</f>
        <v>HLA-G</v>
      </c>
      <c r="DI1250" t="s">
        <v>13772</v>
      </c>
      <c r="DJ1250" t="s">
        <v>13777</v>
      </c>
      <c r="DK1250">
        <v>9606</v>
      </c>
      <c r="DL1250" s="34" t="str">
        <f>HYPERLINK("http://www.uniprot.org/uniprot/P17693", "P17693")</f>
        <v>P17693</v>
      </c>
      <c r="DM1250" t="s">
        <v>28108</v>
      </c>
      <c r="DN1250" t="s">
        <v>13791</v>
      </c>
      <c r="DO1250" t="s">
        <v>28109</v>
      </c>
      <c r="DP1250" t="s">
        <v>13841</v>
      </c>
      <c r="DQ1250" t="s">
        <v>13772</v>
      </c>
      <c r="DR1250" t="s">
        <v>13772</v>
      </c>
      <c r="DS1250" t="s">
        <v>13855</v>
      </c>
      <c r="DT1250" t="s">
        <v>13772</v>
      </c>
      <c r="DU1250" t="s">
        <v>13772</v>
      </c>
      <c r="DV1250" t="s">
        <v>13796</v>
      </c>
      <c r="DW1250" t="s">
        <v>13812</v>
      </c>
      <c r="DX1250" t="s">
        <v>28110</v>
      </c>
      <c r="DY1250" t="s">
        <v>28111</v>
      </c>
      <c r="DZ1250" t="s">
        <v>28112</v>
      </c>
      <c r="EA1250" t="s">
        <v>13772</v>
      </c>
      <c r="EB1250" t="s">
        <v>20163</v>
      </c>
    </row>
    <row r="1251" spans="1:132" hidden="1">
      <c r="A1251">
        <v>1078</v>
      </c>
      <c r="B1251">
        <v>1</v>
      </c>
      <c r="C1251" t="s">
        <v>2591</v>
      </c>
      <c r="D1251" t="s">
        <v>2592</v>
      </c>
      <c r="E1251" t="s">
        <v>73</v>
      </c>
      <c r="F1251" t="s">
        <v>1920</v>
      </c>
      <c r="G1251" t="s">
        <v>73</v>
      </c>
      <c r="H1251">
        <v>54.1</v>
      </c>
      <c r="I1251">
        <v>181</v>
      </c>
      <c r="J1251">
        <v>20601</v>
      </c>
      <c r="K1251" t="s">
        <v>2593</v>
      </c>
      <c r="L1251">
        <f t="shared" si="78"/>
        <v>20</v>
      </c>
      <c r="N1251">
        <v>20</v>
      </c>
      <c r="O1251">
        <v>14</v>
      </c>
      <c r="P1251">
        <v>0.7</v>
      </c>
      <c r="Q1251">
        <v>0</v>
      </c>
      <c r="R1251">
        <v>2</v>
      </c>
      <c r="S1251">
        <v>0</v>
      </c>
      <c r="T1251">
        <v>0</v>
      </c>
      <c r="U1251">
        <v>2</v>
      </c>
      <c r="V1251">
        <v>1</v>
      </c>
      <c r="W1251">
        <v>1</v>
      </c>
      <c r="X1251">
        <v>0</v>
      </c>
      <c r="Y1251">
        <v>7</v>
      </c>
      <c r="Z1251">
        <v>0</v>
      </c>
      <c r="AA1251">
        <v>3</v>
      </c>
      <c r="AB1251">
        <v>2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2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5</v>
      </c>
      <c r="AS1251">
        <v>0</v>
      </c>
      <c r="AT1251">
        <v>1</v>
      </c>
      <c r="AU1251">
        <v>2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 s="2">
        <v>0</v>
      </c>
      <c r="BD1251" s="2">
        <v>2</v>
      </c>
      <c r="BE1251" s="2">
        <v>0</v>
      </c>
      <c r="BF1251" s="2">
        <v>0</v>
      </c>
      <c r="BG1251" s="2">
        <v>2</v>
      </c>
      <c r="BH1251" s="2">
        <v>1</v>
      </c>
      <c r="BI1251" s="2">
        <v>1</v>
      </c>
      <c r="BJ1251" s="2">
        <v>0</v>
      </c>
      <c r="BK1251" s="2">
        <v>6.6669999999999998</v>
      </c>
      <c r="BL1251" s="2">
        <v>0</v>
      </c>
      <c r="BM1251" s="2">
        <v>1.667</v>
      </c>
      <c r="BN1251" s="2">
        <v>2</v>
      </c>
      <c r="BO1251" s="2">
        <v>0</v>
      </c>
      <c r="BP1251" s="2">
        <v>0</v>
      </c>
      <c r="BQ1251" s="2">
        <v>1</v>
      </c>
      <c r="BR1251" s="2">
        <v>0</v>
      </c>
      <c r="BS1251" s="2">
        <v>0.5</v>
      </c>
      <c r="BT1251" s="2">
        <v>0</v>
      </c>
      <c r="BU1251" s="2">
        <v>0</v>
      </c>
      <c r="BV1251" s="2">
        <f t="shared" si="81"/>
        <v>17.834</v>
      </c>
      <c r="BW1251" s="16">
        <f t="shared" si="79"/>
        <v>0.93863157894736837</v>
      </c>
      <c r="BX1251" s="16">
        <f>COUNTIF($BC$6:BU1251, "=0") / COUNTIF($BC$6:BU1251, "&gt;-1")</f>
        <v>0.33078482723663089</v>
      </c>
      <c r="BY1251" s="18">
        <f>SUM($BC$6:BU1251) / $BY$4</f>
        <v>0.96399804542789835</v>
      </c>
      <c r="BZ1251" s="14">
        <f t="shared" si="80"/>
        <v>10</v>
      </c>
      <c r="CA1251" t="s">
        <v>5832</v>
      </c>
      <c r="CZ1251" t="s">
        <v>9323</v>
      </c>
      <c r="DA1251" t="s">
        <v>5904</v>
      </c>
      <c r="DB1251">
        <v>373.2</v>
      </c>
      <c r="DC1251" t="s">
        <v>24211</v>
      </c>
      <c r="DD1251" t="s">
        <v>13772</v>
      </c>
      <c r="DE1251" t="s">
        <v>24212</v>
      </c>
      <c r="DF1251" t="s">
        <v>24213</v>
      </c>
      <c r="DG1251" t="s">
        <v>24214</v>
      </c>
      <c r="DH1251" t="str">
        <f>"ARF3"</f>
        <v>ARF3</v>
      </c>
      <c r="DI1251" t="s">
        <v>13772</v>
      </c>
      <c r="DJ1251" t="s">
        <v>13777</v>
      </c>
      <c r="DK1251">
        <v>9606</v>
      </c>
      <c r="DL1251" s="34" t="str">
        <f>HYPERLINK("http://www.uniprot.org/uniprot/P61204", "P61204")</f>
        <v>P61204</v>
      </c>
      <c r="DM1251" t="s">
        <v>24215</v>
      </c>
      <c r="DN1251" t="s">
        <v>15450</v>
      </c>
      <c r="DO1251" t="s">
        <v>17355</v>
      </c>
      <c r="DP1251" t="s">
        <v>13841</v>
      </c>
      <c r="DQ1251" t="s">
        <v>13772</v>
      </c>
      <c r="DR1251" t="s">
        <v>13772</v>
      </c>
      <c r="DS1251" t="s">
        <v>13772</v>
      </c>
      <c r="DT1251" t="s">
        <v>14216</v>
      </c>
      <c r="DU1251" t="s">
        <v>13772</v>
      </c>
      <c r="DV1251" t="s">
        <v>15212</v>
      </c>
      <c r="DW1251" t="s">
        <v>13772</v>
      </c>
      <c r="DX1251" t="s">
        <v>24216</v>
      </c>
      <c r="DY1251" t="s">
        <v>24217</v>
      </c>
      <c r="DZ1251" t="s">
        <v>19932</v>
      </c>
      <c r="EA1251" t="s">
        <v>13772</v>
      </c>
      <c r="EB1251" t="s">
        <v>24218</v>
      </c>
    </row>
    <row r="1252" spans="1:132" hidden="1">
      <c r="A1252">
        <v>386</v>
      </c>
      <c r="B1252">
        <v>1</v>
      </c>
      <c r="C1252" t="s">
        <v>963</v>
      </c>
      <c r="D1252" t="s">
        <v>73</v>
      </c>
      <c r="E1252" t="s">
        <v>73</v>
      </c>
      <c r="F1252" t="s">
        <v>964</v>
      </c>
      <c r="G1252" t="s">
        <v>73</v>
      </c>
      <c r="H1252">
        <v>23</v>
      </c>
      <c r="I1252">
        <v>521</v>
      </c>
      <c r="J1252">
        <v>56705</v>
      </c>
      <c r="K1252" t="s">
        <v>965</v>
      </c>
      <c r="L1252">
        <f t="shared" si="78"/>
        <v>35</v>
      </c>
      <c r="N1252">
        <v>35</v>
      </c>
      <c r="O1252">
        <v>16</v>
      </c>
      <c r="P1252">
        <v>0.45700000000000002</v>
      </c>
      <c r="Q1252">
        <v>1</v>
      </c>
      <c r="R1252">
        <v>2</v>
      </c>
      <c r="S1252">
        <v>0</v>
      </c>
      <c r="T1252">
        <v>0</v>
      </c>
      <c r="U1252">
        <v>4</v>
      </c>
      <c r="V1252">
        <v>0</v>
      </c>
      <c r="W1252">
        <v>0</v>
      </c>
      <c r="X1252">
        <v>1</v>
      </c>
      <c r="Y1252">
        <v>6</v>
      </c>
      <c r="Z1252">
        <v>0</v>
      </c>
      <c r="AA1252">
        <v>6</v>
      </c>
      <c r="AB1252">
        <v>4</v>
      </c>
      <c r="AC1252">
        <v>6</v>
      </c>
      <c r="AD1252">
        <v>1</v>
      </c>
      <c r="AE1252">
        <v>2</v>
      </c>
      <c r="AF1252">
        <v>1</v>
      </c>
      <c r="AG1252">
        <v>1</v>
      </c>
      <c r="AH1252">
        <v>0</v>
      </c>
      <c r="AI1252">
        <v>0</v>
      </c>
      <c r="AJ1252">
        <v>1</v>
      </c>
      <c r="AK1252">
        <v>2</v>
      </c>
      <c r="AL1252">
        <v>0</v>
      </c>
      <c r="AM1252">
        <v>0</v>
      </c>
      <c r="AN1252">
        <v>3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2</v>
      </c>
      <c r="AU1252">
        <v>2</v>
      </c>
      <c r="AV1252">
        <v>3</v>
      </c>
      <c r="AW1252">
        <v>0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 s="2">
        <v>1</v>
      </c>
      <c r="BD1252" s="2">
        <v>2</v>
      </c>
      <c r="BE1252" s="2">
        <v>0</v>
      </c>
      <c r="BF1252" s="2">
        <v>0</v>
      </c>
      <c r="BG1252" s="2">
        <v>3.75</v>
      </c>
      <c r="BH1252" s="2">
        <v>0</v>
      </c>
      <c r="BI1252" s="2">
        <v>0</v>
      </c>
      <c r="BJ1252" s="2">
        <v>0</v>
      </c>
      <c r="BK1252" s="2">
        <v>1.135</v>
      </c>
      <c r="BL1252" s="2">
        <v>0</v>
      </c>
      <c r="BM1252" s="2">
        <v>2.3479999999999999</v>
      </c>
      <c r="BN1252" s="2">
        <v>2.1819999999999999</v>
      </c>
      <c r="BO1252" s="2">
        <v>3.3460000000000001</v>
      </c>
      <c r="BP1252" s="2">
        <v>0</v>
      </c>
      <c r="BQ1252" s="2">
        <v>1.071</v>
      </c>
      <c r="BR1252" s="2">
        <v>1</v>
      </c>
      <c r="BS1252" s="2">
        <v>0</v>
      </c>
      <c r="BT1252" s="2">
        <v>0</v>
      </c>
      <c r="BU1252" s="2">
        <v>0</v>
      </c>
      <c r="BV1252" s="2">
        <f t="shared" si="81"/>
        <v>17.832000000000001</v>
      </c>
      <c r="BW1252" s="16">
        <f t="shared" si="79"/>
        <v>0.93852631578947376</v>
      </c>
      <c r="BX1252" s="16">
        <f>COUNTIF($BC$6:BU1252, "=0") / COUNTIF($BC$6:BU1252, "&gt;-1")</f>
        <v>0.33094162832904234</v>
      </c>
      <c r="BY1252" s="18">
        <f>SUM($BC$6:BU1252) / $BY$4</f>
        <v>0.96407443124054104</v>
      </c>
      <c r="BZ1252" s="14">
        <f t="shared" si="80"/>
        <v>10</v>
      </c>
      <c r="CA1252" t="s">
        <v>5832</v>
      </c>
      <c r="CZ1252" t="s">
        <v>7039</v>
      </c>
      <c r="DA1252" t="s">
        <v>5904</v>
      </c>
      <c r="DB1252">
        <v>1025</v>
      </c>
      <c r="DC1252" t="s">
        <v>17461</v>
      </c>
      <c r="DD1252" t="s">
        <v>17462</v>
      </c>
      <c r="DE1252" t="s">
        <v>17463</v>
      </c>
      <c r="DF1252" t="s">
        <v>17464</v>
      </c>
      <c r="DG1252" t="s">
        <v>17465</v>
      </c>
      <c r="DH1252" t="str">
        <f>"ALDH2"</f>
        <v>ALDH2</v>
      </c>
      <c r="DI1252" t="s">
        <v>17466</v>
      </c>
      <c r="DJ1252" t="s">
        <v>13777</v>
      </c>
      <c r="DK1252">
        <v>9606</v>
      </c>
      <c r="DL1252" s="34" t="str">
        <f>HYPERLINK("http://www.uniprot.org/uniprot/P05091", "P05091")</f>
        <v>P05091</v>
      </c>
      <c r="DM1252" t="s">
        <v>17467</v>
      </c>
      <c r="DN1252" t="s">
        <v>13772</v>
      </c>
      <c r="DO1252" t="s">
        <v>14491</v>
      </c>
      <c r="DP1252" t="s">
        <v>13780</v>
      </c>
      <c r="DQ1252" t="s">
        <v>13772</v>
      </c>
      <c r="DR1252" t="s">
        <v>13772</v>
      </c>
      <c r="DS1252" t="s">
        <v>14391</v>
      </c>
      <c r="DT1252" t="s">
        <v>14492</v>
      </c>
      <c r="DU1252" t="s">
        <v>13885</v>
      </c>
      <c r="DV1252" t="s">
        <v>14020</v>
      </c>
      <c r="DW1252" t="s">
        <v>13812</v>
      </c>
      <c r="DX1252" t="s">
        <v>17468</v>
      </c>
      <c r="DY1252" t="s">
        <v>17469</v>
      </c>
      <c r="DZ1252" t="s">
        <v>17470</v>
      </c>
      <c r="EA1252" t="s">
        <v>17471</v>
      </c>
      <c r="EB1252" t="s">
        <v>17472</v>
      </c>
    </row>
    <row r="1253" spans="1:132" hidden="1">
      <c r="A1253">
        <v>2422</v>
      </c>
      <c r="B1253">
        <v>1</v>
      </c>
      <c r="C1253" t="s">
        <v>5659</v>
      </c>
      <c r="D1253" t="s">
        <v>73</v>
      </c>
      <c r="E1253" t="s">
        <v>5660</v>
      </c>
      <c r="F1253" t="s">
        <v>5661</v>
      </c>
      <c r="G1253" t="s">
        <v>73</v>
      </c>
      <c r="H1253">
        <v>23.6</v>
      </c>
      <c r="I1253">
        <v>406</v>
      </c>
      <c r="J1253">
        <v>46153</v>
      </c>
      <c r="K1253" t="s">
        <v>5662</v>
      </c>
      <c r="L1253">
        <f t="shared" si="78"/>
        <v>25</v>
      </c>
      <c r="N1253">
        <v>25</v>
      </c>
      <c r="O1253">
        <v>6</v>
      </c>
      <c r="P1253">
        <v>0.24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7</v>
      </c>
      <c r="Z1253">
        <v>0</v>
      </c>
      <c r="AA1253">
        <v>9</v>
      </c>
      <c r="AB1253">
        <v>4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2</v>
      </c>
      <c r="AS1253">
        <v>0</v>
      </c>
      <c r="AT1253">
        <v>2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1.2</v>
      </c>
      <c r="BJ1253" s="2">
        <v>1</v>
      </c>
      <c r="BK1253" s="2">
        <v>5</v>
      </c>
      <c r="BL1253" s="2">
        <v>0</v>
      </c>
      <c r="BM1253" s="2">
        <v>6.2</v>
      </c>
      <c r="BN1253" s="2">
        <v>2.4</v>
      </c>
      <c r="BO1253" s="2">
        <v>0.6</v>
      </c>
      <c r="BP1253" s="2">
        <v>0</v>
      </c>
      <c r="BQ1253" s="2">
        <v>1</v>
      </c>
      <c r="BR1253" s="2">
        <v>0</v>
      </c>
      <c r="BS1253" s="2">
        <v>0</v>
      </c>
      <c r="BT1253" s="2">
        <v>0</v>
      </c>
      <c r="BU1253" s="2">
        <v>0</v>
      </c>
      <c r="BV1253" s="2">
        <f t="shared" si="81"/>
        <v>17.400000000000002</v>
      </c>
      <c r="BW1253" s="16">
        <f t="shared" si="79"/>
        <v>0.9157894736842106</v>
      </c>
      <c r="BX1253" s="16">
        <f>COUNTIF($BC$6:BU1253, "=0") / COUNTIF($BC$6:BU1253, "&gt;-1")</f>
        <v>0.33118252361673417</v>
      </c>
      <c r="BY1253" s="18">
        <f>SUM($BC$6:BU1253) / $BY$4</f>
        <v>0.96414896652205651</v>
      </c>
      <c r="BZ1253" s="14">
        <f t="shared" si="80"/>
        <v>12</v>
      </c>
      <c r="CA1253" t="s">
        <v>5832</v>
      </c>
      <c r="CZ1253" t="s">
        <v>6060</v>
      </c>
      <c r="DA1253" t="s">
        <v>5904</v>
      </c>
      <c r="DB1253">
        <v>841.3</v>
      </c>
      <c r="DC1253" t="s">
        <v>14354</v>
      </c>
      <c r="DD1253" t="s">
        <v>14355</v>
      </c>
      <c r="DE1253" t="s">
        <v>14356</v>
      </c>
      <c r="DF1253" t="s">
        <v>14357</v>
      </c>
      <c r="DG1253" t="s">
        <v>14358</v>
      </c>
      <c r="DH1253" t="str">
        <f>"EIF4A1"</f>
        <v>EIF4A1</v>
      </c>
      <c r="DI1253" t="s">
        <v>14359</v>
      </c>
      <c r="DJ1253" t="s">
        <v>13777</v>
      </c>
      <c r="DK1253">
        <v>9606</v>
      </c>
      <c r="DL1253" s="34" t="str">
        <f>HYPERLINK("http://www.uniprot.org/uniprot/P60842", "P60842")</f>
        <v>P60842</v>
      </c>
      <c r="DM1253" t="s">
        <v>14360</v>
      </c>
      <c r="DN1253" t="s">
        <v>14361</v>
      </c>
      <c r="DO1253" t="s">
        <v>13772</v>
      </c>
      <c r="DP1253" t="s">
        <v>13841</v>
      </c>
      <c r="DQ1253" t="s">
        <v>13772</v>
      </c>
      <c r="DR1253" t="s">
        <v>13772</v>
      </c>
      <c r="DS1253" t="s">
        <v>13772</v>
      </c>
      <c r="DT1253" t="s">
        <v>14005</v>
      </c>
      <c r="DU1253" t="s">
        <v>14362</v>
      </c>
      <c r="DV1253" t="s">
        <v>13991</v>
      </c>
      <c r="DW1253" t="s">
        <v>13812</v>
      </c>
      <c r="DX1253" t="s">
        <v>14363</v>
      </c>
      <c r="DY1253" t="s">
        <v>14364</v>
      </c>
      <c r="DZ1253" t="s">
        <v>14365</v>
      </c>
      <c r="EA1253" t="s">
        <v>13772</v>
      </c>
      <c r="EB1253" t="s">
        <v>14366</v>
      </c>
    </row>
    <row r="1254" spans="1:132" hidden="1">
      <c r="A1254">
        <v>824</v>
      </c>
      <c r="B1254">
        <v>1</v>
      </c>
      <c r="C1254" t="s">
        <v>2017</v>
      </c>
      <c r="D1254" t="s">
        <v>73</v>
      </c>
      <c r="E1254" t="s">
        <v>73</v>
      </c>
      <c r="F1254" t="s">
        <v>2018</v>
      </c>
      <c r="G1254" t="s">
        <v>73</v>
      </c>
      <c r="H1254">
        <v>6.4</v>
      </c>
      <c r="I1254">
        <v>1016</v>
      </c>
      <c r="J1254">
        <v>108066</v>
      </c>
      <c r="K1254" t="s">
        <v>2019</v>
      </c>
      <c r="L1254">
        <f t="shared" si="78"/>
        <v>25</v>
      </c>
      <c r="N1254">
        <v>25</v>
      </c>
      <c r="O1254">
        <v>7</v>
      </c>
      <c r="P1254">
        <v>0.28000000000000003</v>
      </c>
      <c r="Q1254">
        <v>0</v>
      </c>
      <c r="R1254">
        <v>4</v>
      </c>
      <c r="S1254">
        <v>1</v>
      </c>
      <c r="T1254">
        <v>2</v>
      </c>
      <c r="U1254">
        <v>2</v>
      </c>
      <c r="V1254">
        <v>1</v>
      </c>
      <c r="W1254">
        <v>0</v>
      </c>
      <c r="X1254">
        <v>3</v>
      </c>
      <c r="Y1254">
        <v>0</v>
      </c>
      <c r="Z1254">
        <v>1</v>
      </c>
      <c r="AA1254">
        <v>2</v>
      </c>
      <c r="AB1254">
        <v>0</v>
      </c>
      <c r="AC1254">
        <v>1</v>
      </c>
      <c r="AD1254">
        <v>0</v>
      </c>
      <c r="AE1254">
        <v>3</v>
      </c>
      <c r="AF1254">
        <v>3</v>
      </c>
      <c r="AG1254">
        <v>0</v>
      </c>
      <c r="AH1254">
        <v>1</v>
      </c>
      <c r="AI1254">
        <v>1</v>
      </c>
      <c r="AJ1254">
        <v>0</v>
      </c>
      <c r="AK1254">
        <v>1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2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 s="2">
        <v>0</v>
      </c>
      <c r="BD1254" s="2">
        <v>2.5</v>
      </c>
      <c r="BE1254" s="2">
        <v>0</v>
      </c>
      <c r="BF1254" s="2">
        <v>1.333</v>
      </c>
      <c r="BG1254" s="2">
        <v>1.5</v>
      </c>
      <c r="BH1254" s="2">
        <v>0</v>
      </c>
      <c r="BI1254" s="2">
        <v>0</v>
      </c>
      <c r="BJ1254" s="2">
        <v>3</v>
      </c>
      <c r="BK1254" s="2">
        <v>0</v>
      </c>
      <c r="BL1254" s="2">
        <v>0.5</v>
      </c>
      <c r="BM1254" s="2">
        <v>1</v>
      </c>
      <c r="BN1254" s="2">
        <v>0</v>
      </c>
      <c r="BO1254" s="2">
        <v>0.5</v>
      </c>
      <c r="BP1254" s="2">
        <v>0</v>
      </c>
      <c r="BQ1254" s="2">
        <v>3</v>
      </c>
      <c r="BR1254" s="2">
        <v>3</v>
      </c>
      <c r="BS1254" s="2">
        <v>0</v>
      </c>
      <c r="BT1254" s="2">
        <v>0.5</v>
      </c>
      <c r="BU1254" s="2">
        <v>0.5</v>
      </c>
      <c r="BV1254" s="2">
        <f t="shared" si="81"/>
        <v>17.332999999999998</v>
      </c>
      <c r="BW1254" s="16">
        <f t="shared" si="79"/>
        <v>0.91226315789473678</v>
      </c>
      <c r="BX1254" s="16">
        <f>COUNTIF($BC$6:BU1254, "=0") / COUNTIF($BC$6:BU1254, "&gt;-1")</f>
        <v>0.33125447726602336</v>
      </c>
      <c r="BY1254" s="18">
        <f>SUM($BC$6:BU1254) / $BY$4</f>
        <v>0.9642232147999017</v>
      </c>
      <c r="BZ1254" s="14">
        <f t="shared" si="80"/>
        <v>8</v>
      </c>
      <c r="CA1254" t="s">
        <v>5832</v>
      </c>
      <c r="CZ1254" t="s">
        <v>8520</v>
      </c>
      <c r="DA1254" t="s">
        <v>5904</v>
      </c>
      <c r="DB1254">
        <v>1683.7</v>
      </c>
      <c r="DC1254" t="s">
        <v>21919</v>
      </c>
      <c r="DD1254" t="s">
        <v>13772</v>
      </c>
      <c r="DE1254" t="s">
        <v>21920</v>
      </c>
      <c r="DF1254" t="s">
        <v>21921</v>
      </c>
      <c r="DG1254" t="s">
        <v>21922</v>
      </c>
      <c r="DH1254" t="str">
        <f>"COL6A2"</f>
        <v>COL6A2</v>
      </c>
      <c r="DI1254" t="s">
        <v>13772</v>
      </c>
      <c r="DJ1254" t="s">
        <v>13777</v>
      </c>
      <c r="DK1254">
        <v>9606</v>
      </c>
      <c r="DL1254" s="34" t="str">
        <f>HYPERLINK("http://www.uniprot.org/uniprot/P12110", "P12110")</f>
        <v>P12110</v>
      </c>
      <c r="DM1254" t="s">
        <v>21923</v>
      </c>
      <c r="DN1254" t="s">
        <v>13949</v>
      </c>
      <c r="DO1254" t="s">
        <v>21924</v>
      </c>
      <c r="DP1254" t="s">
        <v>13780</v>
      </c>
      <c r="DQ1254" t="s">
        <v>13772</v>
      </c>
      <c r="DR1254" t="s">
        <v>21925</v>
      </c>
      <c r="DS1254" t="s">
        <v>13872</v>
      </c>
      <c r="DT1254" t="s">
        <v>13772</v>
      </c>
      <c r="DU1254" t="s">
        <v>13772</v>
      </c>
      <c r="DV1254" t="s">
        <v>21926</v>
      </c>
      <c r="DW1254" t="s">
        <v>13772</v>
      </c>
      <c r="DX1254" t="s">
        <v>21927</v>
      </c>
      <c r="DY1254" t="s">
        <v>21928</v>
      </c>
      <c r="DZ1254" t="s">
        <v>21929</v>
      </c>
      <c r="EA1254" t="s">
        <v>13772</v>
      </c>
      <c r="EB1254" t="s">
        <v>21930</v>
      </c>
    </row>
    <row r="1255" spans="1:132" hidden="1">
      <c r="A1255">
        <v>139</v>
      </c>
      <c r="B1255">
        <v>1</v>
      </c>
      <c r="C1255" t="s">
        <v>363</v>
      </c>
      <c r="D1255" t="s">
        <v>73</v>
      </c>
      <c r="E1255" t="s">
        <v>73</v>
      </c>
      <c r="F1255" t="s">
        <v>73</v>
      </c>
      <c r="G1255" t="s">
        <v>73</v>
      </c>
      <c r="H1255">
        <v>71.099999999999994</v>
      </c>
      <c r="I1255">
        <v>190</v>
      </c>
      <c r="J1255">
        <v>21926</v>
      </c>
      <c r="K1255" t="s">
        <v>364</v>
      </c>
      <c r="L1255">
        <f t="shared" si="78"/>
        <v>17</v>
      </c>
      <c r="N1255">
        <v>17</v>
      </c>
      <c r="O1255">
        <v>17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7</v>
      </c>
      <c r="AB1255">
        <v>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7</v>
      </c>
      <c r="AU1255">
        <v>9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1</v>
      </c>
      <c r="BL1255" s="2">
        <v>0</v>
      </c>
      <c r="BM1255" s="2">
        <v>7</v>
      </c>
      <c r="BN1255" s="2">
        <v>9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f t="shared" si="81"/>
        <v>17</v>
      </c>
      <c r="BW1255" s="16">
        <f t="shared" si="79"/>
        <v>0.89473684210526316</v>
      </c>
      <c r="BX1255" s="16">
        <f>COUNTIF($BC$6:BU1255, "=0") / COUNTIF($BC$6:BU1255, "&gt;-1")</f>
        <v>0.33166315789473683</v>
      </c>
      <c r="BY1255" s="18">
        <f>SUM($BC$6:BU1255) / $BY$4</f>
        <v>0.96429603662666963</v>
      </c>
      <c r="BZ1255" s="14">
        <f t="shared" si="80"/>
        <v>16</v>
      </c>
      <c r="CA1255" t="s">
        <v>5832</v>
      </c>
      <c r="CZ1255" t="s">
        <v>6176</v>
      </c>
      <c r="DA1255" t="s">
        <v>5904</v>
      </c>
      <c r="DB1255">
        <v>386.3</v>
      </c>
      <c r="DC1255" t="s">
        <v>14751</v>
      </c>
      <c r="DD1255" t="s">
        <v>14752</v>
      </c>
      <c r="DE1255" t="s">
        <v>14753</v>
      </c>
      <c r="DF1255" t="s">
        <v>14754</v>
      </c>
      <c r="DG1255" t="s">
        <v>14755</v>
      </c>
      <c r="DH1255" t="str">
        <f>"GPX2"</f>
        <v>GPX2</v>
      </c>
      <c r="DI1255" t="s">
        <v>13772</v>
      </c>
      <c r="DJ1255" t="s">
        <v>13777</v>
      </c>
      <c r="DK1255">
        <v>9606</v>
      </c>
      <c r="DL1255" s="34" t="str">
        <f>HYPERLINK("http://www.uniprot.org/uniprot/P18283", "P18283")</f>
        <v>P18283</v>
      </c>
      <c r="DM1255" t="s">
        <v>14756</v>
      </c>
      <c r="DN1255" t="s">
        <v>13772</v>
      </c>
      <c r="DO1255" t="s">
        <v>13899</v>
      </c>
      <c r="DP1255" t="s">
        <v>14757</v>
      </c>
      <c r="DQ1255" t="s">
        <v>13772</v>
      </c>
      <c r="DR1255" t="s">
        <v>13772</v>
      </c>
      <c r="DS1255" t="s">
        <v>13772</v>
      </c>
      <c r="DT1255" t="s">
        <v>13772</v>
      </c>
      <c r="DU1255" t="s">
        <v>13810</v>
      </c>
      <c r="DV1255" t="s">
        <v>13772</v>
      </c>
      <c r="DW1255" t="s">
        <v>13812</v>
      </c>
      <c r="DX1255" t="s">
        <v>14758</v>
      </c>
      <c r="DY1255" t="s">
        <v>14064</v>
      </c>
      <c r="DZ1255" t="s">
        <v>14759</v>
      </c>
      <c r="EA1255" t="s">
        <v>13772</v>
      </c>
      <c r="EB1255" t="s">
        <v>14760</v>
      </c>
    </row>
    <row r="1256" spans="1:132" hidden="1">
      <c r="A1256">
        <v>155</v>
      </c>
      <c r="B1256">
        <v>1</v>
      </c>
      <c r="C1256" t="s">
        <v>393</v>
      </c>
      <c r="D1256" t="s">
        <v>394</v>
      </c>
      <c r="E1256" t="s">
        <v>73</v>
      </c>
      <c r="F1256" t="s">
        <v>73</v>
      </c>
      <c r="G1256" t="s">
        <v>73</v>
      </c>
      <c r="H1256">
        <v>31</v>
      </c>
      <c r="I1256">
        <v>171</v>
      </c>
      <c r="J1256">
        <v>18837</v>
      </c>
      <c r="K1256" t="s">
        <v>395</v>
      </c>
      <c r="L1256">
        <f t="shared" si="78"/>
        <v>17</v>
      </c>
      <c r="N1256">
        <v>17</v>
      </c>
      <c r="O1256">
        <v>17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5</v>
      </c>
      <c r="AB1256">
        <v>4</v>
      </c>
      <c r="AC1256">
        <v>1</v>
      </c>
      <c r="AD1256">
        <v>0</v>
      </c>
      <c r="AE1256">
        <v>3</v>
      </c>
      <c r="AF1256">
        <v>2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5</v>
      </c>
      <c r="AU1256">
        <v>4</v>
      </c>
      <c r="AV1256">
        <v>1</v>
      </c>
      <c r="AW1256">
        <v>0</v>
      </c>
      <c r="AX1256">
        <v>3</v>
      </c>
      <c r="AY1256">
        <v>2</v>
      </c>
      <c r="AZ1256">
        <v>0</v>
      </c>
      <c r="BA1256">
        <v>0</v>
      </c>
      <c r="BB1256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1</v>
      </c>
      <c r="BL1256" s="2">
        <v>0</v>
      </c>
      <c r="BM1256" s="2">
        <v>5</v>
      </c>
      <c r="BN1256" s="2">
        <v>4</v>
      </c>
      <c r="BO1256" s="2">
        <v>1</v>
      </c>
      <c r="BP1256" s="2">
        <v>0</v>
      </c>
      <c r="BQ1256" s="2">
        <v>3</v>
      </c>
      <c r="BR1256" s="2">
        <v>2</v>
      </c>
      <c r="BS1256" s="2">
        <v>0</v>
      </c>
      <c r="BT1256" s="2">
        <v>0</v>
      </c>
      <c r="BU1256" s="2">
        <v>1</v>
      </c>
      <c r="BV1256" s="2">
        <f t="shared" si="81"/>
        <v>17</v>
      </c>
      <c r="BW1256" s="16">
        <f t="shared" si="79"/>
        <v>0.89473684210526316</v>
      </c>
      <c r="BX1256" s="16">
        <f>COUNTIF($BC$6:BU1256, "=0") / COUNTIF($BC$6:BU1256, "&gt;-1")</f>
        <v>0.33190289873364465</v>
      </c>
      <c r="BY1256" s="18">
        <f>SUM($BC$6:BU1256) / $BY$4</f>
        <v>0.96436885845343756</v>
      </c>
      <c r="BZ1256" s="14">
        <f t="shared" si="80"/>
        <v>12</v>
      </c>
      <c r="CA1256" t="s">
        <v>5832</v>
      </c>
      <c r="CZ1256" t="s">
        <v>6228</v>
      </c>
      <c r="DA1256" t="s">
        <v>5904</v>
      </c>
      <c r="DB1256">
        <v>196.4</v>
      </c>
      <c r="DC1256" t="s">
        <v>14926</v>
      </c>
      <c r="DD1256" t="s">
        <v>14927</v>
      </c>
      <c r="DE1256" t="s">
        <v>14928</v>
      </c>
      <c r="DF1256" t="s">
        <v>14929</v>
      </c>
      <c r="DG1256" t="s">
        <v>14930</v>
      </c>
      <c r="DH1256" t="str">
        <f>"ACYP1"</f>
        <v>ACYP1</v>
      </c>
      <c r="DI1256" t="s">
        <v>14931</v>
      </c>
      <c r="DJ1256" t="s">
        <v>13777</v>
      </c>
      <c r="DK1256">
        <v>9606</v>
      </c>
      <c r="DL1256" s="34" t="str">
        <f>HYPERLINK("http://www.uniprot.org/uniprot/P07311", "P07311")</f>
        <v>P07311</v>
      </c>
      <c r="DM1256" t="s">
        <v>14932</v>
      </c>
      <c r="DN1256" t="s">
        <v>13772</v>
      </c>
      <c r="DO1256" t="s">
        <v>13772</v>
      </c>
      <c r="DP1256" t="s">
        <v>13841</v>
      </c>
      <c r="DQ1256" t="s">
        <v>13772</v>
      </c>
      <c r="DR1256" t="s">
        <v>13772</v>
      </c>
      <c r="DS1256" t="s">
        <v>13772</v>
      </c>
      <c r="DT1256" t="s">
        <v>13772</v>
      </c>
      <c r="DU1256" t="s">
        <v>13857</v>
      </c>
      <c r="DV1256" t="s">
        <v>14020</v>
      </c>
      <c r="DW1256" t="s">
        <v>13812</v>
      </c>
      <c r="DX1256" t="s">
        <v>14933</v>
      </c>
      <c r="DY1256" t="s">
        <v>13772</v>
      </c>
      <c r="DZ1256" t="s">
        <v>14934</v>
      </c>
      <c r="EA1256" t="s">
        <v>13772</v>
      </c>
      <c r="EB1256" t="s">
        <v>13772</v>
      </c>
    </row>
    <row r="1257" spans="1:132" hidden="1">
      <c r="A1257">
        <v>251</v>
      </c>
      <c r="B1257">
        <v>1</v>
      </c>
      <c r="C1257" t="s">
        <v>637</v>
      </c>
      <c r="D1257" t="s">
        <v>638</v>
      </c>
      <c r="E1257" t="s">
        <v>73</v>
      </c>
      <c r="F1257" t="s">
        <v>73</v>
      </c>
      <c r="G1257" t="s">
        <v>73</v>
      </c>
      <c r="H1257">
        <v>25.3</v>
      </c>
      <c r="I1257">
        <v>340</v>
      </c>
      <c r="J1257">
        <v>36045</v>
      </c>
      <c r="K1257" t="s">
        <v>639</v>
      </c>
      <c r="L1257">
        <f t="shared" si="78"/>
        <v>17</v>
      </c>
      <c r="N1257">
        <v>17</v>
      </c>
      <c r="O1257">
        <v>17</v>
      </c>
      <c r="P1257">
        <v>1</v>
      </c>
      <c r="Q1257">
        <v>2</v>
      </c>
      <c r="R1257">
        <v>2</v>
      </c>
      <c r="S1257">
        <v>0</v>
      </c>
      <c r="T1257">
        <v>0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5</v>
      </c>
      <c r="AC1257">
        <v>2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2</v>
      </c>
      <c r="AK1257">
        <v>2</v>
      </c>
      <c r="AL1257">
        <v>0</v>
      </c>
      <c r="AM1257">
        <v>0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</v>
      </c>
      <c r="AU1257">
        <v>5</v>
      </c>
      <c r="AV1257">
        <v>2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 s="2">
        <v>2</v>
      </c>
      <c r="BD1257" s="2">
        <v>2</v>
      </c>
      <c r="BE1257" s="2">
        <v>0</v>
      </c>
      <c r="BF1257" s="2">
        <v>0</v>
      </c>
      <c r="BG1257" s="2">
        <v>2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3</v>
      </c>
      <c r="BN1257" s="2">
        <v>5</v>
      </c>
      <c r="BO1257" s="2">
        <v>2</v>
      </c>
      <c r="BP1257" s="2">
        <v>0</v>
      </c>
      <c r="BQ1257" s="2">
        <v>0</v>
      </c>
      <c r="BR1257" s="2">
        <v>1</v>
      </c>
      <c r="BS1257" s="2">
        <v>0</v>
      </c>
      <c r="BT1257" s="2">
        <v>0</v>
      </c>
      <c r="BU1257" s="2">
        <v>0</v>
      </c>
      <c r="BV1257" s="2">
        <f t="shared" si="81"/>
        <v>17</v>
      </c>
      <c r="BW1257" s="16">
        <f t="shared" si="79"/>
        <v>0.89473684210526316</v>
      </c>
      <c r="BX1257" s="16">
        <f>COUNTIF($BC$6:BU1257, "=0") / COUNTIF($BC$6:BU1257, "&gt;-1")</f>
        <v>0.33214225659996638</v>
      </c>
      <c r="BY1257" s="18">
        <f>SUM($BC$6:BU1257) / $BY$4</f>
        <v>0.96444168028020549</v>
      </c>
      <c r="BZ1257" s="14">
        <f t="shared" si="80"/>
        <v>12</v>
      </c>
      <c r="CA1257" t="s">
        <v>5832</v>
      </c>
      <c r="CZ1257" t="s">
        <v>6569</v>
      </c>
      <c r="DA1257" t="s">
        <v>5904</v>
      </c>
      <c r="DB1257">
        <v>621.29999999999995</v>
      </c>
      <c r="DC1257" t="s">
        <v>16036</v>
      </c>
      <c r="DD1257" t="s">
        <v>13772</v>
      </c>
      <c r="DE1257" t="s">
        <v>16037</v>
      </c>
      <c r="DF1257" t="s">
        <v>16038</v>
      </c>
      <c r="DG1257" t="s">
        <v>16039</v>
      </c>
      <c r="DH1257" t="str">
        <f>"ETFA"</f>
        <v>ETFA</v>
      </c>
      <c r="DI1257" t="s">
        <v>13772</v>
      </c>
      <c r="DJ1257" t="s">
        <v>13777</v>
      </c>
      <c r="DK1257">
        <v>9606</v>
      </c>
      <c r="DL1257" s="34" t="str">
        <f>HYPERLINK("http://www.uniprot.org/uniprot/P13804", "P13804")</f>
        <v>P13804</v>
      </c>
      <c r="DM1257" t="s">
        <v>16040</v>
      </c>
      <c r="DN1257" t="s">
        <v>16041</v>
      </c>
      <c r="DO1257" t="s">
        <v>14491</v>
      </c>
      <c r="DP1257" t="s">
        <v>13780</v>
      </c>
      <c r="DQ1257" t="s">
        <v>13772</v>
      </c>
      <c r="DR1257" t="s">
        <v>16042</v>
      </c>
      <c r="DS1257" t="s">
        <v>14391</v>
      </c>
      <c r="DT1257" t="s">
        <v>15580</v>
      </c>
      <c r="DU1257" t="s">
        <v>13772</v>
      </c>
      <c r="DV1257" t="s">
        <v>13886</v>
      </c>
      <c r="DW1257" t="s">
        <v>13812</v>
      </c>
      <c r="DX1257" t="s">
        <v>16043</v>
      </c>
      <c r="DY1257" t="s">
        <v>15582</v>
      </c>
      <c r="DZ1257" t="s">
        <v>16044</v>
      </c>
      <c r="EA1257" t="s">
        <v>13772</v>
      </c>
      <c r="EB1257" t="s">
        <v>16045</v>
      </c>
    </row>
    <row r="1258" spans="1:132" hidden="1">
      <c r="A1258">
        <v>360</v>
      </c>
      <c r="B1258">
        <v>1</v>
      </c>
      <c r="C1258" t="s">
        <v>899</v>
      </c>
      <c r="D1258" t="s">
        <v>900</v>
      </c>
      <c r="E1258" t="s">
        <v>73</v>
      </c>
      <c r="F1258" t="s">
        <v>73</v>
      </c>
      <c r="G1258" t="s">
        <v>73</v>
      </c>
      <c r="H1258">
        <v>32.4</v>
      </c>
      <c r="I1258">
        <v>188</v>
      </c>
      <c r="J1258">
        <v>21636</v>
      </c>
      <c r="K1258" t="s">
        <v>901</v>
      </c>
      <c r="L1258">
        <f t="shared" si="78"/>
        <v>17</v>
      </c>
      <c r="N1258">
        <v>17</v>
      </c>
      <c r="O1258">
        <v>17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2</v>
      </c>
      <c r="AB1258">
        <v>7</v>
      </c>
      <c r="AC1258">
        <v>2</v>
      </c>
      <c r="AD1258">
        <v>0</v>
      </c>
      <c r="AE1258">
        <v>2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2</v>
      </c>
      <c r="AU1258">
        <v>7</v>
      </c>
      <c r="AV1258">
        <v>2</v>
      </c>
      <c r="AW1258">
        <v>0</v>
      </c>
      <c r="AX1258">
        <v>2</v>
      </c>
      <c r="AY1258">
        <v>1</v>
      </c>
      <c r="AZ1258">
        <v>1</v>
      </c>
      <c r="BA1258">
        <v>0</v>
      </c>
      <c r="BB1258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1</v>
      </c>
      <c r="BI1258" s="2">
        <v>0</v>
      </c>
      <c r="BJ1258" s="2">
        <v>0</v>
      </c>
      <c r="BK1258" s="2">
        <v>1</v>
      </c>
      <c r="BL1258" s="2">
        <v>0</v>
      </c>
      <c r="BM1258" s="2">
        <v>2</v>
      </c>
      <c r="BN1258" s="2">
        <v>7</v>
      </c>
      <c r="BO1258" s="2">
        <v>2</v>
      </c>
      <c r="BP1258" s="2">
        <v>0</v>
      </c>
      <c r="BQ1258" s="2">
        <v>2</v>
      </c>
      <c r="BR1258" s="2">
        <v>1</v>
      </c>
      <c r="BS1258" s="2">
        <v>1</v>
      </c>
      <c r="BT1258" s="2">
        <v>0</v>
      </c>
      <c r="BU1258" s="2">
        <v>0</v>
      </c>
      <c r="BV1258" s="2">
        <f t="shared" si="81"/>
        <v>17</v>
      </c>
      <c r="BW1258" s="16">
        <f t="shared" si="79"/>
        <v>0.89473684210526316</v>
      </c>
      <c r="BX1258" s="16">
        <f>COUNTIF($BC$6:BU1258, "=0") / COUNTIF($BC$6:BU1258, "&gt;-1")</f>
        <v>0.33233922795816356</v>
      </c>
      <c r="BY1258" s="18">
        <f>SUM($BC$6:BU1258) / $BY$4</f>
        <v>0.96451450210697343</v>
      </c>
      <c r="BZ1258" s="14">
        <f t="shared" si="80"/>
        <v>11</v>
      </c>
      <c r="CA1258" t="s">
        <v>5832</v>
      </c>
      <c r="CZ1258" t="s">
        <v>6945</v>
      </c>
      <c r="DA1258" t="s">
        <v>5904</v>
      </c>
      <c r="DB1258">
        <v>372.1</v>
      </c>
      <c r="DC1258" t="s">
        <v>17178</v>
      </c>
      <c r="DD1258" t="s">
        <v>17179</v>
      </c>
      <c r="DE1258" t="s">
        <v>17180</v>
      </c>
      <c r="DF1258" t="s">
        <v>17181</v>
      </c>
      <c r="DG1258" t="s">
        <v>17182</v>
      </c>
      <c r="DH1258" t="str">
        <f>"RPL18"</f>
        <v>RPL18</v>
      </c>
      <c r="DI1258" t="s">
        <v>13772</v>
      </c>
      <c r="DJ1258" t="s">
        <v>13777</v>
      </c>
      <c r="DK1258">
        <v>9606</v>
      </c>
      <c r="DL1258" s="34" t="str">
        <f>HYPERLINK("http://www.uniprot.org/uniprot/Q07020", "Q07020")</f>
        <v>Q07020</v>
      </c>
      <c r="DM1258" t="s">
        <v>17183</v>
      </c>
      <c r="DN1258" t="s">
        <v>13772</v>
      </c>
      <c r="DO1258" t="s">
        <v>14265</v>
      </c>
      <c r="DP1258" t="s">
        <v>13841</v>
      </c>
      <c r="DQ1258" t="s">
        <v>13772</v>
      </c>
      <c r="DR1258" t="s">
        <v>13772</v>
      </c>
      <c r="DS1258" t="s">
        <v>13772</v>
      </c>
      <c r="DT1258" t="s">
        <v>13772</v>
      </c>
      <c r="DU1258" t="s">
        <v>13937</v>
      </c>
      <c r="DV1258" t="s">
        <v>13938</v>
      </c>
      <c r="DW1258" t="s">
        <v>13812</v>
      </c>
      <c r="DX1258" t="s">
        <v>17184</v>
      </c>
      <c r="DY1258" t="s">
        <v>17185</v>
      </c>
      <c r="DZ1258" t="s">
        <v>14268</v>
      </c>
      <c r="EA1258" t="s">
        <v>13772</v>
      </c>
      <c r="EB1258" t="s">
        <v>13942</v>
      </c>
    </row>
    <row r="1259" spans="1:132" hidden="1">
      <c r="A1259">
        <v>447</v>
      </c>
      <c r="B1259">
        <v>1</v>
      </c>
      <c r="C1259" t="s">
        <v>1119</v>
      </c>
      <c r="D1259" t="s">
        <v>73</v>
      </c>
      <c r="E1259" t="s">
        <v>73</v>
      </c>
      <c r="F1259" t="s">
        <v>73</v>
      </c>
      <c r="G1259" t="s">
        <v>73</v>
      </c>
      <c r="H1259">
        <v>27.7</v>
      </c>
      <c r="I1259">
        <v>253</v>
      </c>
      <c r="J1259">
        <v>27779</v>
      </c>
      <c r="K1259" t="s">
        <v>1120</v>
      </c>
      <c r="L1259">
        <f t="shared" si="78"/>
        <v>17</v>
      </c>
      <c r="N1259">
        <v>17</v>
      </c>
      <c r="O1259">
        <v>17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3</v>
      </c>
      <c r="Z1259">
        <v>0</v>
      </c>
      <c r="AA1259">
        <v>3</v>
      </c>
      <c r="AB1259">
        <v>1</v>
      </c>
      <c r="AC1259">
        <v>0</v>
      </c>
      <c r="AD1259">
        <v>0</v>
      </c>
      <c r="AE1259">
        <v>2</v>
      </c>
      <c r="AF1259">
        <v>4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0</v>
      </c>
      <c r="AR1259">
        <v>3</v>
      </c>
      <c r="AS1259">
        <v>0</v>
      </c>
      <c r="AT1259">
        <v>3</v>
      </c>
      <c r="AU1259">
        <v>1</v>
      </c>
      <c r="AV1259">
        <v>0</v>
      </c>
      <c r="AW1259">
        <v>0</v>
      </c>
      <c r="AX1259">
        <v>2</v>
      </c>
      <c r="AY1259">
        <v>4</v>
      </c>
      <c r="AZ1259">
        <v>0</v>
      </c>
      <c r="BA1259">
        <v>0</v>
      </c>
      <c r="BB1259">
        <v>0</v>
      </c>
      <c r="BC1259" s="2">
        <v>1</v>
      </c>
      <c r="BD1259" s="2">
        <v>0</v>
      </c>
      <c r="BE1259" s="2">
        <v>0</v>
      </c>
      <c r="BF1259" s="2">
        <v>0</v>
      </c>
      <c r="BG1259" s="2">
        <v>1</v>
      </c>
      <c r="BH1259" s="2">
        <v>1</v>
      </c>
      <c r="BI1259" s="2">
        <v>1</v>
      </c>
      <c r="BJ1259" s="2">
        <v>0</v>
      </c>
      <c r="BK1259" s="2">
        <v>3</v>
      </c>
      <c r="BL1259" s="2">
        <v>0</v>
      </c>
      <c r="BM1259" s="2">
        <v>3</v>
      </c>
      <c r="BN1259" s="2">
        <v>1</v>
      </c>
      <c r="BO1259" s="2">
        <v>0</v>
      </c>
      <c r="BP1259" s="2">
        <v>0</v>
      </c>
      <c r="BQ1259" s="2">
        <v>2</v>
      </c>
      <c r="BR1259" s="2">
        <v>4</v>
      </c>
      <c r="BS1259" s="2">
        <v>0</v>
      </c>
      <c r="BT1259" s="2">
        <v>0</v>
      </c>
      <c r="BU1259" s="2">
        <v>0</v>
      </c>
      <c r="BV1259" s="2">
        <f t="shared" si="81"/>
        <v>17</v>
      </c>
      <c r="BW1259" s="16">
        <f t="shared" si="79"/>
        <v>0.89473684210526316</v>
      </c>
      <c r="BX1259" s="16">
        <f>COUNTIF($BC$6:BU1259, "=0") / COUNTIF($BC$6:BU1259, "&gt;-1")</f>
        <v>0.33249391421136576</v>
      </c>
      <c r="BY1259" s="18">
        <f>SUM($BC$6:BU1259) / $BY$4</f>
        <v>0.96458732393374125</v>
      </c>
      <c r="BZ1259" s="14">
        <f t="shared" si="80"/>
        <v>10</v>
      </c>
      <c r="CA1259" t="s">
        <v>5832</v>
      </c>
      <c r="CZ1259" t="s">
        <v>7251</v>
      </c>
      <c r="DA1259" t="s">
        <v>5904</v>
      </c>
      <c r="DB1259">
        <v>418.7</v>
      </c>
      <c r="DC1259" t="s">
        <v>18133</v>
      </c>
      <c r="DD1259" t="s">
        <v>18134</v>
      </c>
      <c r="DE1259" t="s">
        <v>18135</v>
      </c>
      <c r="DF1259" t="s">
        <v>18136</v>
      </c>
      <c r="DG1259" t="s">
        <v>18137</v>
      </c>
      <c r="DH1259" t="str">
        <f>"PSMD9"</f>
        <v>PSMD9</v>
      </c>
      <c r="DI1259" t="s">
        <v>13772</v>
      </c>
      <c r="DJ1259" t="s">
        <v>13777</v>
      </c>
      <c r="DK1259">
        <v>9606</v>
      </c>
      <c r="DL1259" s="34" t="str">
        <f>HYPERLINK("http://www.uniprot.org/uniprot/O00233", "O00233")</f>
        <v>O00233</v>
      </c>
      <c r="DM1259" t="s">
        <v>18138</v>
      </c>
      <c r="DN1259" t="s">
        <v>13772</v>
      </c>
      <c r="DO1259" t="s">
        <v>13772</v>
      </c>
      <c r="DP1259" t="s">
        <v>13780</v>
      </c>
      <c r="DQ1259" t="s">
        <v>13772</v>
      </c>
      <c r="DR1259" t="s">
        <v>13772</v>
      </c>
      <c r="DS1259" t="s">
        <v>13772</v>
      </c>
      <c r="DT1259" t="s">
        <v>13772</v>
      </c>
      <c r="DU1259" t="s">
        <v>14477</v>
      </c>
      <c r="DV1259" t="s">
        <v>13782</v>
      </c>
      <c r="DW1259" t="s">
        <v>13772</v>
      </c>
      <c r="DX1259" t="s">
        <v>18139</v>
      </c>
      <c r="DY1259" t="s">
        <v>18140</v>
      </c>
      <c r="DZ1259" t="s">
        <v>18141</v>
      </c>
      <c r="EA1259" t="s">
        <v>13772</v>
      </c>
      <c r="EB1259" t="s">
        <v>14208</v>
      </c>
    </row>
    <row r="1260" spans="1:132" hidden="1">
      <c r="A1260">
        <v>493</v>
      </c>
      <c r="B1260">
        <v>1</v>
      </c>
      <c r="C1260" t="s">
        <v>1239</v>
      </c>
      <c r="D1260" t="s">
        <v>1240</v>
      </c>
      <c r="E1260" t="s">
        <v>73</v>
      </c>
      <c r="F1260" t="s">
        <v>73</v>
      </c>
      <c r="G1260" t="s">
        <v>73</v>
      </c>
      <c r="H1260">
        <v>22.3</v>
      </c>
      <c r="I1260">
        <v>430</v>
      </c>
      <c r="J1260">
        <v>49275</v>
      </c>
      <c r="K1260" t="s">
        <v>1241</v>
      </c>
      <c r="L1260">
        <f t="shared" si="78"/>
        <v>17</v>
      </c>
      <c r="N1260">
        <v>17</v>
      </c>
      <c r="O1260">
        <v>17</v>
      </c>
      <c r="P1260">
        <v>1</v>
      </c>
      <c r="Q1260">
        <v>1</v>
      </c>
      <c r="R1260">
        <v>4</v>
      </c>
      <c r="S1260">
        <v>0</v>
      </c>
      <c r="T1260">
        <v>1</v>
      </c>
      <c r="U1260">
        <v>5</v>
      </c>
      <c r="V1260">
        <v>0</v>
      </c>
      <c r="W1260">
        <v>2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2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4</v>
      </c>
      <c r="AL1260">
        <v>0</v>
      </c>
      <c r="AM1260">
        <v>1</v>
      </c>
      <c r="AN1260">
        <v>5</v>
      </c>
      <c r="AO1260">
        <v>0</v>
      </c>
      <c r="AP1260">
        <v>2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2</v>
      </c>
      <c r="AY1260">
        <v>1</v>
      </c>
      <c r="AZ1260">
        <v>0</v>
      </c>
      <c r="BA1260">
        <v>0</v>
      </c>
      <c r="BB1260">
        <v>0</v>
      </c>
      <c r="BC1260" s="2">
        <v>1</v>
      </c>
      <c r="BD1260" s="2">
        <v>4</v>
      </c>
      <c r="BE1260" s="2">
        <v>0</v>
      </c>
      <c r="BF1260" s="2">
        <v>1</v>
      </c>
      <c r="BG1260" s="2">
        <v>5</v>
      </c>
      <c r="BH1260" s="2">
        <v>0</v>
      </c>
      <c r="BI1260" s="2">
        <v>2</v>
      </c>
      <c r="BJ1260" s="2">
        <v>0</v>
      </c>
      <c r="BK1260" s="2">
        <v>0</v>
      </c>
      <c r="BL1260" s="2">
        <v>0</v>
      </c>
      <c r="BM1260" s="2">
        <v>1</v>
      </c>
      <c r="BN1260" s="2">
        <v>0</v>
      </c>
      <c r="BO1260" s="2">
        <v>0</v>
      </c>
      <c r="BP1260" s="2">
        <v>0</v>
      </c>
      <c r="BQ1260" s="2">
        <v>2</v>
      </c>
      <c r="BR1260" s="2">
        <v>1</v>
      </c>
      <c r="BS1260" s="2">
        <v>0</v>
      </c>
      <c r="BT1260" s="2">
        <v>0</v>
      </c>
      <c r="BU1260" s="2">
        <v>0</v>
      </c>
      <c r="BV1260" s="2">
        <f t="shared" si="81"/>
        <v>17</v>
      </c>
      <c r="BW1260" s="16">
        <f t="shared" si="79"/>
        <v>0.89473684210526316</v>
      </c>
      <c r="BX1260" s="16">
        <f>COUNTIF($BC$6:BU1260, "=0") / COUNTIF($BC$6:BU1260, "&gt;-1")</f>
        <v>0.3326902914657161</v>
      </c>
      <c r="BY1260" s="18">
        <f>SUM($BC$6:BU1260) / $BY$4</f>
        <v>0.96466014576050918</v>
      </c>
      <c r="BZ1260" s="14">
        <f t="shared" si="80"/>
        <v>11</v>
      </c>
      <c r="CA1260" t="s">
        <v>5832</v>
      </c>
      <c r="CZ1260" t="s">
        <v>7416</v>
      </c>
      <c r="DA1260" t="s">
        <v>5904</v>
      </c>
      <c r="DB1260">
        <v>836.6</v>
      </c>
      <c r="DC1260" t="s">
        <v>18617</v>
      </c>
      <c r="DD1260" t="s">
        <v>18618</v>
      </c>
      <c r="DE1260" t="s">
        <v>18619</v>
      </c>
      <c r="DF1260" t="s">
        <v>18620</v>
      </c>
      <c r="DG1260" t="s">
        <v>18621</v>
      </c>
      <c r="DH1260" t="str">
        <f>"PACSIN3"</f>
        <v>PACSIN3</v>
      </c>
      <c r="DI1260" t="s">
        <v>13772</v>
      </c>
      <c r="DJ1260" t="s">
        <v>13777</v>
      </c>
      <c r="DK1260">
        <v>9606</v>
      </c>
      <c r="DL1260" s="34" t="str">
        <f>HYPERLINK("http://www.uniprot.org/uniprot/Q9UKS6", "Q9UKS6")</f>
        <v>Q9UKS6</v>
      </c>
      <c r="DM1260" t="s">
        <v>18622</v>
      </c>
      <c r="DN1260" t="s">
        <v>13824</v>
      </c>
      <c r="DO1260" t="s">
        <v>18623</v>
      </c>
      <c r="DP1260" t="s">
        <v>13793</v>
      </c>
      <c r="DQ1260" t="s">
        <v>13772</v>
      </c>
      <c r="DR1260" t="s">
        <v>13772</v>
      </c>
      <c r="DS1260" t="s">
        <v>17173</v>
      </c>
      <c r="DT1260" t="s">
        <v>13900</v>
      </c>
      <c r="DU1260" t="s">
        <v>13772</v>
      </c>
      <c r="DV1260" t="s">
        <v>13782</v>
      </c>
      <c r="DW1260" t="s">
        <v>13772</v>
      </c>
      <c r="DX1260" t="s">
        <v>18624</v>
      </c>
      <c r="DY1260" t="s">
        <v>18625</v>
      </c>
      <c r="DZ1260" t="s">
        <v>18626</v>
      </c>
      <c r="EA1260" t="s">
        <v>13772</v>
      </c>
      <c r="EB1260" t="s">
        <v>18627</v>
      </c>
    </row>
    <row r="1261" spans="1:132" hidden="1">
      <c r="A1261">
        <v>529</v>
      </c>
      <c r="B1261">
        <v>1</v>
      </c>
      <c r="C1261" t="s">
        <v>1332</v>
      </c>
      <c r="D1261" t="s">
        <v>1333</v>
      </c>
      <c r="E1261" t="s">
        <v>73</v>
      </c>
      <c r="F1261" t="s">
        <v>73</v>
      </c>
      <c r="G1261" t="s">
        <v>73</v>
      </c>
      <c r="H1261">
        <v>17.7</v>
      </c>
      <c r="I1261">
        <v>757</v>
      </c>
      <c r="J1261">
        <v>84757</v>
      </c>
      <c r="K1261" t="s">
        <v>1334</v>
      </c>
      <c r="L1261">
        <f t="shared" si="78"/>
        <v>17</v>
      </c>
      <c r="N1261">
        <v>17</v>
      </c>
      <c r="O1261">
        <v>17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4</v>
      </c>
      <c r="Z1261">
        <v>0</v>
      </c>
      <c r="AA1261">
        <v>6</v>
      </c>
      <c r="AB1261">
        <v>1</v>
      </c>
      <c r="AC1261">
        <v>4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4</v>
      </c>
      <c r="AS1261">
        <v>0</v>
      </c>
      <c r="AT1261">
        <v>6</v>
      </c>
      <c r="AU1261">
        <v>1</v>
      </c>
      <c r="AV1261">
        <v>4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4</v>
      </c>
      <c r="BL1261" s="2">
        <v>0</v>
      </c>
      <c r="BM1261" s="2">
        <v>6</v>
      </c>
      <c r="BN1261" s="2">
        <v>1</v>
      </c>
      <c r="BO1261" s="2">
        <v>4</v>
      </c>
      <c r="BP1261" s="2">
        <v>1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f t="shared" si="81"/>
        <v>17</v>
      </c>
      <c r="BW1261" s="16">
        <f t="shared" si="79"/>
        <v>0.89473684210526316</v>
      </c>
      <c r="BX1261" s="16">
        <f>COUNTIF($BC$6:BU1261, "=0") / COUNTIF($BC$6:BU1261, "&gt;-1")</f>
        <v>0.33297016426416359</v>
      </c>
      <c r="BY1261" s="18">
        <f>SUM($BC$6:BU1261) / $BY$4</f>
        <v>0.96473296758727711</v>
      </c>
      <c r="BZ1261" s="14">
        <f t="shared" si="80"/>
        <v>13</v>
      </c>
      <c r="CA1261" t="s">
        <v>5832</v>
      </c>
      <c r="CZ1261" t="s">
        <v>7548</v>
      </c>
      <c r="DA1261" t="s">
        <v>5904</v>
      </c>
      <c r="DB1261">
        <v>1421</v>
      </c>
      <c r="DC1261" t="s">
        <v>19019</v>
      </c>
      <c r="DD1261" t="s">
        <v>19020</v>
      </c>
      <c r="DE1261" t="s">
        <v>19021</v>
      </c>
      <c r="DF1261" t="s">
        <v>19022</v>
      </c>
      <c r="DG1261" t="s">
        <v>19023</v>
      </c>
      <c r="DH1261" t="str">
        <f>"DPP3"</f>
        <v>DPP3</v>
      </c>
      <c r="DI1261" t="s">
        <v>13772</v>
      </c>
      <c r="DJ1261" t="s">
        <v>13777</v>
      </c>
      <c r="DK1261">
        <v>9606</v>
      </c>
      <c r="DL1261" s="34" t="str">
        <f>HYPERLINK("http://www.uniprot.org/uniprot/Q9NY33", "Q9NY33")</f>
        <v>Q9NY33</v>
      </c>
      <c r="DM1261" t="s">
        <v>19024</v>
      </c>
      <c r="DN1261" t="s">
        <v>13772</v>
      </c>
      <c r="DO1261" t="s">
        <v>13899</v>
      </c>
      <c r="DP1261" t="s">
        <v>13780</v>
      </c>
      <c r="DQ1261" t="s">
        <v>13772</v>
      </c>
      <c r="DR1261" t="s">
        <v>13772</v>
      </c>
      <c r="DS1261" t="s">
        <v>13772</v>
      </c>
      <c r="DT1261" t="s">
        <v>13856</v>
      </c>
      <c r="DU1261" t="s">
        <v>19025</v>
      </c>
      <c r="DV1261" t="s">
        <v>14020</v>
      </c>
      <c r="DW1261" t="s">
        <v>13812</v>
      </c>
      <c r="DX1261" t="s">
        <v>17126</v>
      </c>
      <c r="DY1261" t="s">
        <v>19026</v>
      </c>
      <c r="DZ1261" t="s">
        <v>19027</v>
      </c>
      <c r="EA1261" t="s">
        <v>13772</v>
      </c>
      <c r="EB1261" t="s">
        <v>13772</v>
      </c>
    </row>
    <row r="1262" spans="1:132" hidden="1">
      <c r="A1262">
        <v>617</v>
      </c>
      <c r="B1262">
        <v>1</v>
      </c>
      <c r="C1262" t="s">
        <v>1528</v>
      </c>
      <c r="D1262" t="s">
        <v>73</v>
      </c>
      <c r="E1262" t="s">
        <v>73</v>
      </c>
      <c r="F1262" t="s">
        <v>73</v>
      </c>
      <c r="G1262" t="s">
        <v>73</v>
      </c>
      <c r="H1262">
        <v>47.6</v>
      </c>
      <c r="I1262">
        <v>103</v>
      </c>
      <c r="J1262">
        <v>11389</v>
      </c>
      <c r="K1262" t="s">
        <v>1529</v>
      </c>
      <c r="L1262">
        <f t="shared" si="78"/>
        <v>17</v>
      </c>
      <c r="N1262">
        <v>17</v>
      </c>
      <c r="O1262">
        <v>17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2</v>
      </c>
      <c r="Z1262">
        <v>0</v>
      </c>
      <c r="AA1262">
        <v>6</v>
      </c>
      <c r="AB1262">
        <v>6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2</v>
      </c>
      <c r="AS1262">
        <v>0</v>
      </c>
      <c r="AT1262">
        <v>6</v>
      </c>
      <c r="AU1262">
        <v>6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1</v>
      </c>
      <c r="BK1262" s="2">
        <v>2</v>
      </c>
      <c r="BL1262" s="2">
        <v>0</v>
      </c>
      <c r="BM1262" s="2">
        <v>6</v>
      </c>
      <c r="BN1262" s="2">
        <v>6</v>
      </c>
      <c r="BO1262" s="2">
        <v>1</v>
      </c>
      <c r="BP1262" s="2">
        <v>0</v>
      </c>
      <c r="BQ1262" s="2">
        <v>1</v>
      </c>
      <c r="BR1262" s="2">
        <v>0</v>
      </c>
      <c r="BS1262" s="2">
        <v>0</v>
      </c>
      <c r="BT1262" s="2">
        <v>0</v>
      </c>
      <c r="BU1262" s="2">
        <v>0</v>
      </c>
      <c r="BV1262" s="2">
        <f t="shared" si="81"/>
        <v>17</v>
      </c>
      <c r="BW1262" s="16">
        <f t="shared" si="79"/>
        <v>0.89473684210526316</v>
      </c>
      <c r="BX1262" s="16">
        <f>COUNTIF($BC$6:BU1262, "=0") / COUNTIF($BC$6:BU1262, "&gt;-1")</f>
        <v>0.33324959175982916</v>
      </c>
      <c r="BY1262" s="18">
        <f>SUM($BC$6:BU1262) / $BY$4</f>
        <v>0.96480578941404505</v>
      </c>
      <c r="BZ1262" s="14">
        <f t="shared" si="80"/>
        <v>13</v>
      </c>
      <c r="CA1262" t="s">
        <v>5832</v>
      </c>
      <c r="CZ1262" t="s">
        <v>7831</v>
      </c>
      <c r="DA1262" t="s">
        <v>5904</v>
      </c>
      <c r="DB1262">
        <v>192.2</v>
      </c>
      <c r="DC1262" t="s">
        <v>19887</v>
      </c>
      <c r="DD1262" t="s">
        <v>19888</v>
      </c>
      <c r="DE1262" t="s">
        <v>19889</v>
      </c>
      <c r="DF1262" t="s">
        <v>19890</v>
      </c>
      <c r="DG1262" t="s">
        <v>19891</v>
      </c>
      <c r="DH1262" t="str">
        <f>"ATP5MG"</f>
        <v>ATP5MG</v>
      </c>
      <c r="DI1262" t="s">
        <v>19892</v>
      </c>
      <c r="DJ1262" t="s">
        <v>13777</v>
      </c>
      <c r="DK1262">
        <v>9606</v>
      </c>
      <c r="DL1262" s="34" t="str">
        <f>HYPERLINK("http://www.uniprot.org/uniprot/O75964", "O75964")</f>
        <v>O75964</v>
      </c>
      <c r="DM1262" t="s">
        <v>19893</v>
      </c>
      <c r="DN1262" t="s">
        <v>17568</v>
      </c>
      <c r="DO1262" t="s">
        <v>19894</v>
      </c>
      <c r="DP1262" t="s">
        <v>13772</v>
      </c>
      <c r="DQ1262" t="s">
        <v>13772</v>
      </c>
      <c r="DR1262" t="s">
        <v>13772</v>
      </c>
      <c r="DS1262" t="s">
        <v>13772</v>
      </c>
      <c r="DT1262" t="s">
        <v>13772</v>
      </c>
      <c r="DU1262" t="s">
        <v>13772</v>
      </c>
      <c r="DV1262" t="s">
        <v>14020</v>
      </c>
      <c r="DW1262" t="s">
        <v>13772</v>
      </c>
      <c r="DX1262" t="s">
        <v>19895</v>
      </c>
      <c r="DY1262" t="s">
        <v>19896</v>
      </c>
      <c r="DZ1262" t="s">
        <v>19897</v>
      </c>
      <c r="EA1262" t="s">
        <v>13772</v>
      </c>
      <c r="EB1262" t="s">
        <v>19898</v>
      </c>
    </row>
    <row r="1263" spans="1:132" hidden="1">
      <c r="A1263">
        <v>625</v>
      </c>
      <c r="B1263">
        <v>1</v>
      </c>
      <c r="C1263" t="s">
        <v>1547</v>
      </c>
      <c r="D1263" t="s">
        <v>73</v>
      </c>
      <c r="E1263" t="s">
        <v>73</v>
      </c>
      <c r="F1263" t="s">
        <v>73</v>
      </c>
      <c r="G1263" t="s">
        <v>73</v>
      </c>
      <c r="H1263">
        <v>34.200000000000003</v>
      </c>
      <c r="I1263">
        <v>263</v>
      </c>
      <c r="J1263">
        <v>29483</v>
      </c>
      <c r="K1263" t="s">
        <v>1548</v>
      </c>
      <c r="L1263">
        <f t="shared" si="78"/>
        <v>17</v>
      </c>
      <c r="N1263">
        <v>17</v>
      </c>
      <c r="O1263">
        <v>17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</v>
      </c>
      <c r="Z1263">
        <v>0</v>
      </c>
      <c r="AA1263">
        <v>8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4</v>
      </c>
      <c r="AS1263">
        <v>0</v>
      </c>
      <c r="AT1263">
        <v>8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3</v>
      </c>
      <c r="BA1263">
        <v>0</v>
      </c>
      <c r="BB1263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4</v>
      </c>
      <c r="BL1263" s="2">
        <v>0</v>
      </c>
      <c r="BM1263" s="2">
        <v>8</v>
      </c>
      <c r="BN1263" s="2">
        <v>1</v>
      </c>
      <c r="BO1263" s="2">
        <v>1</v>
      </c>
      <c r="BP1263" s="2">
        <v>0</v>
      </c>
      <c r="BQ1263" s="2">
        <v>0</v>
      </c>
      <c r="BR1263" s="2">
        <v>0</v>
      </c>
      <c r="BS1263" s="2">
        <v>3</v>
      </c>
      <c r="BT1263" s="2">
        <v>0</v>
      </c>
      <c r="BU1263" s="2">
        <v>0</v>
      </c>
      <c r="BV1263" s="2">
        <f t="shared" si="81"/>
        <v>17</v>
      </c>
      <c r="BW1263" s="16">
        <f t="shared" si="79"/>
        <v>0.89473684210526316</v>
      </c>
      <c r="BX1263" s="16">
        <f>COUNTIF($BC$6:BU1263, "=0") / COUNTIF($BC$6:BU1263, "&gt;-1")</f>
        <v>0.33357041251778091</v>
      </c>
      <c r="BY1263" s="18">
        <f>SUM($BC$6:BU1263) / $BY$4</f>
        <v>0.96487861124081298</v>
      </c>
      <c r="BZ1263" s="14">
        <f t="shared" si="80"/>
        <v>14</v>
      </c>
      <c r="CA1263" t="s">
        <v>5832</v>
      </c>
      <c r="CZ1263" t="s">
        <v>7853</v>
      </c>
      <c r="DA1263" t="s">
        <v>5904</v>
      </c>
      <c r="DB1263">
        <v>549.29999999999995</v>
      </c>
      <c r="DC1263" t="s">
        <v>19964</v>
      </c>
      <c r="DD1263" t="s">
        <v>19965</v>
      </c>
      <c r="DE1263" t="s">
        <v>19966</v>
      </c>
      <c r="DF1263" t="s">
        <v>19967</v>
      </c>
      <c r="DG1263" t="s">
        <v>19968</v>
      </c>
      <c r="DH1263" t="str">
        <f>"PSMA1"</f>
        <v>PSMA1</v>
      </c>
      <c r="DI1263" t="s">
        <v>19969</v>
      </c>
      <c r="DJ1263" t="s">
        <v>13777</v>
      </c>
      <c r="DK1263">
        <v>9606</v>
      </c>
      <c r="DL1263" s="34" t="str">
        <f>HYPERLINK("http://www.uniprot.org/uniprot/P25786", "P25786")</f>
        <v>P25786</v>
      </c>
      <c r="DM1263" t="s">
        <v>19970</v>
      </c>
      <c r="DN1263" t="s">
        <v>13791</v>
      </c>
      <c r="DO1263" t="s">
        <v>14204</v>
      </c>
      <c r="DP1263" t="s">
        <v>13780</v>
      </c>
      <c r="DQ1263" t="s">
        <v>13772</v>
      </c>
      <c r="DR1263" t="s">
        <v>13772</v>
      </c>
      <c r="DS1263" t="s">
        <v>13772</v>
      </c>
      <c r="DT1263" t="s">
        <v>13772</v>
      </c>
      <c r="DU1263" t="s">
        <v>14564</v>
      </c>
      <c r="DV1263" t="s">
        <v>16450</v>
      </c>
      <c r="DW1263" t="s">
        <v>13812</v>
      </c>
      <c r="DX1263" t="s">
        <v>19971</v>
      </c>
      <c r="DY1263" t="s">
        <v>19972</v>
      </c>
      <c r="DZ1263" t="s">
        <v>19973</v>
      </c>
      <c r="EA1263" t="s">
        <v>13772</v>
      </c>
      <c r="EB1263" t="s">
        <v>14208</v>
      </c>
    </row>
    <row r="1264" spans="1:132" hidden="1">
      <c r="A1264">
        <v>658</v>
      </c>
      <c r="B1264">
        <v>1</v>
      </c>
      <c r="C1264" t="s">
        <v>1625</v>
      </c>
      <c r="D1264" t="s">
        <v>1626</v>
      </c>
      <c r="E1264" t="s">
        <v>73</v>
      </c>
      <c r="F1264" t="s">
        <v>73</v>
      </c>
      <c r="G1264" t="s">
        <v>73</v>
      </c>
      <c r="H1264">
        <v>22.3</v>
      </c>
      <c r="I1264">
        <v>412</v>
      </c>
      <c r="J1264">
        <v>44680</v>
      </c>
      <c r="K1264" t="s">
        <v>1627</v>
      </c>
      <c r="L1264">
        <f t="shared" si="78"/>
        <v>17</v>
      </c>
      <c r="N1264">
        <v>17</v>
      </c>
      <c r="O1264">
        <v>17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2</v>
      </c>
      <c r="V1264">
        <v>0</v>
      </c>
      <c r="W1264">
        <v>0</v>
      </c>
      <c r="X1264">
        <v>0</v>
      </c>
      <c r="Y1264">
        <v>8</v>
      </c>
      <c r="Z1264">
        <v>0</v>
      </c>
      <c r="AA1264">
        <v>2</v>
      </c>
      <c r="AB1264">
        <v>1</v>
      </c>
      <c r="AC1264">
        <v>0</v>
      </c>
      <c r="AD1264">
        <v>0</v>
      </c>
      <c r="AE1264">
        <v>2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2</v>
      </c>
      <c r="AO1264">
        <v>0</v>
      </c>
      <c r="AP1264">
        <v>0</v>
      </c>
      <c r="AQ1264">
        <v>0</v>
      </c>
      <c r="AR1264">
        <v>8</v>
      </c>
      <c r="AS1264">
        <v>0</v>
      </c>
      <c r="AT1264">
        <v>2</v>
      </c>
      <c r="AU1264">
        <v>1</v>
      </c>
      <c r="AV1264">
        <v>0</v>
      </c>
      <c r="AW1264">
        <v>0</v>
      </c>
      <c r="AX1264">
        <v>2</v>
      </c>
      <c r="AY1264">
        <v>1</v>
      </c>
      <c r="AZ1264">
        <v>0</v>
      </c>
      <c r="BA1264">
        <v>0</v>
      </c>
      <c r="BB1264">
        <v>0</v>
      </c>
      <c r="BC1264" s="2">
        <v>0</v>
      </c>
      <c r="BD1264" s="2">
        <v>0</v>
      </c>
      <c r="BE1264" s="2">
        <v>0</v>
      </c>
      <c r="BF1264" s="2">
        <v>1</v>
      </c>
      <c r="BG1264" s="2">
        <v>2</v>
      </c>
      <c r="BH1264" s="2">
        <v>0</v>
      </c>
      <c r="BI1264" s="2">
        <v>0</v>
      </c>
      <c r="BJ1264" s="2">
        <v>0</v>
      </c>
      <c r="BK1264" s="2">
        <v>8</v>
      </c>
      <c r="BL1264" s="2">
        <v>0</v>
      </c>
      <c r="BM1264" s="2">
        <v>2</v>
      </c>
      <c r="BN1264" s="2">
        <v>1</v>
      </c>
      <c r="BO1264" s="2">
        <v>0</v>
      </c>
      <c r="BP1264" s="2">
        <v>0</v>
      </c>
      <c r="BQ1264" s="2">
        <v>2</v>
      </c>
      <c r="BR1264" s="2">
        <v>1</v>
      </c>
      <c r="BS1264" s="2">
        <v>0</v>
      </c>
      <c r="BT1264" s="2">
        <v>0</v>
      </c>
      <c r="BU1264" s="2">
        <v>0</v>
      </c>
      <c r="BV1264" s="2">
        <f t="shared" si="81"/>
        <v>17</v>
      </c>
      <c r="BW1264" s="16">
        <f t="shared" si="79"/>
        <v>0.89473684210526316</v>
      </c>
      <c r="BX1264" s="16">
        <f>COUNTIF($BC$6:BU1264, "=0") / COUNTIF($BC$6:BU1264, "&gt;-1")</f>
        <v>0.33380711508716193</v>
      </c>
      <c r="BY1264" s="18">
        <f>SUM($BC$6:BU1264) / $BY$4</f>
        <v>0.9649514330675808</v>
      </c>
      <c r="BZ1264" s="14">
        <f t="shared" si="80"/>
        <v>12</v>
      </c>
      <c r="CA1264" t="s">
        <v>5832</v>
      </c>
      <c r="CZ1264" t="s">
        <v>7960</v>
      </c>
      <c r="DA1264" t="s">
        <v>5904</v>
      </c>
      <c r="DB1264">
        <v>748</v>
      </c>
      <c r="DC1264" t="s">
        <v>20263</v>
      </c>
      <c r="DD1264" t="s">
        <v>20264</v>
      </c>
      <c r="DE1264" t="s">
        <v>20265</v>
      </c>
      <c r="DF1264" t="s">
        <v>20266</v>
      </c>
      <c r="DG1264" t="s">
        <v>20267</v>
      </c>
      <c r="DH1264" t="str">
        <f>"PSMD4"</f>
        <v>PSMD4</v>
      </c>
      <c r="DI1264" t="s">
        <v>20268</v>
      </c>
      <c r="DJ1264" t="s">
        <v>13777</v>
      </c>
      <c r="DK1264">
        <v>9606</v>
      </c>
      <c r="DL1264" s="34" t="str">
        <f>HYPERLINK("http://www.uniprot.org/uniprot/P55036", "P55036")</f>
        <v>P55036</v>
      </c>
      <c r="DM1264" t="s">
        <v>20269</v>
      </c>
      <c r="DN1264" t="s">
        <v>13772</v>
      </c>
      <c r="DO1264" t="s">
        <v>14145</v>
      </c>
      <c r="DP1264" t="s">
        <v>13841</v>
      </c>
      <c r="DQ1264" t="s">
        <v>13772</v>
      </c>
      <c r="DR1264" t="s">
        <v>13772</v>
      </c>
      <c r="DS1264" t="s">
        <v>14096</v>
      </c>
      <c r="DT1264" t="s">
        <v>13772</v>
      </c>
      <c r="DU1264" t="s">
        <v>13772</v>
      </c>
      <c r="DV1264" t="s">
        <v>13938</v>
      </c>
      <c r="DW1264" t="s">
        <v>13812</v>
      </c>
      <c r="DX1264" t="s">
        <v>20270</v>
      </c>
      <c r="DY1264" t="s">
        <v>20271</v>
      </c>
      <c r="DZ1264" t="s">
        <v>20272</v>
      </c>
      <c r="EA1264" t="s">
        <v>13772</v>
      </c>
      <c r="EB1264" t="s">
        <v>14208</v>
      </c>
    </row>
    <row r="1265" spans="1:132" hidden="1">
      <c r="A1265">
        <v>686</v>
      </c>
      <c r="B1265">
        <v>1</v>
      </c>
      <c r="C1265" t="s">
        <v>1690</v>
      </c>
      <c r="D1265" t="s">
        <v>73</v>
      </c>
      <c r="E1265" t="s">
        <v>73</v>
      </c>
      <c r="F1265" t="s">
        <v>73</v>
      </c>
      <c r="G1265" t="s">
        <v>73</v>
      </c>
      <c r="H1265">
        <v>21.6</v>
      </c>
      <c r="I1265">
        <v>204</v>
      </c>
      <c r="J1265">
        <v>24146</v>
      </c>
      <c r="K1265" t="s">
        <v>1691</v>
      </c>
      <c r="L1265">
        <f t="shared" si="78"/>
        <v>17</v>
      </c>
      <c r="N1265">
        <v>17</v>
      </c>
      <c r="O1265">
        <v>17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2</v>
      </c>
      <c r="Z1265">
        <v>0</v>
      </c>
      <c r="AA1265">
        <v>4</v>
      </c>
      <c r="AB1265">
        <v>5</v>
      </c>
      <c r="AC1265">
        <v>2</v>
      </c>
      <c r="AD1265">
        <v>0</v>
      </c>
      <c r="AE1265">
        <v>2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2</v>
      </c>
      <c r="AS1265">
        <v>0</v>
      </c>
      <c r="AT1265">
        <v>4</v>
      </c>
      <c r="AU1265">
        <v>5</v>
      </c>
      <c r="AV1265">
        <v>2</v>
      </c>
      <c r="AW1265">
        <v>0</v>
      </c>
      <c r="AX1265">
        <v>2</v>
      </c>
      <c r="AY1265">
        <v>1</v>
      </c>
      <c r="AZ1265">
        <v>0</v>
      </c>
      <c r="BA1265">
        <v>0</v>
      </c>
      <c r="BB1265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0</v>
      </c>
      <c r="BK1265" s="2">
        <v>2</v>
      </c>
      <c r="BL1265" s="2">
        <v>0</v>
      </c>
      <c r="BM1265" s="2">
        <v>4</v>
      </c>
      <c r="BN1265" s="2">
        <v>5</v>
      </c>
      <c r="BO1265" s="2">
        <v>2</v>
      </c>
      <c r="BP1265" s="2">
        <v>0</v>
      </c>
      <c r="BQ1265" s="2">
        <v>2</v>
      </c>
      <c r="BR1265" s="2">
        <v>1</v>
      </c>
      <c r="BS1265" s="2">
        <v>0</v>
      </c>
      <c r="BT1265" s="2">
        <v>0</v>
      </c>
      <c r="BU1265" s="2">
        <v>0</v>
      </c>
      <c r="BV1265" s="2">
        <f t="shared" si="81"/>
        <v>17</v>
      </c>
      <c r="BW1265" s="16">
        <f t="shared" si="79"/>
        <v>0.89473684210526316</v>
      </c>
      <c r="BX1265" s="16">
        <f>COUNTIF($BC$6:BU1265, "=0") / COUNTIF($BC$6:BU1265, "&gt;-1")</f>
        <v>0.33404344193817875</v>
      </c>
      <c r="BY1265" s="18">
        <f>SUM($BC$6:BU1265) / $BY$4</f>
        <v>0.96502425489434873</v>
      </c>
      <c r="BZ1265" s="14">
        <f t="shared" si="80"/>
        <v>12</v>
      </c>
      <c r="CA1265" t="s">
        <v>5832</v>
      </c>
      <c r="CZ1265" t="s">
        <v>8060</v>
      </c>
      <c r="DA1265" t="s">
        <v>5904</v>
      </c>
      <c r="DB1265">
        <v>417.2</v>
      </c>
      <c r="DC1265" t="s">
        <v>20558</v>
      </c>
      <c r="DD1265" t="s">
        <v>20559</v>
      </c>
      <c r="DE1265" t="s">
        <v>20560</v>
      </c>
      <c r="DF1265" t="s">
        <v>20561</v>
      </c>
      <c r="DG1265" t="s">
        <v>20562</v>
      </c>
      <c r="DH1265" t="str">
        <f>"RPL15"</f>
        <v>RPL15</v>
      </c>
      <c r="DI1265" t="s">
        <v>20563</v>
      </c>
      <c r="DJ1265" t="s">
        <v>13777</v>
      </c>
      <c r="DK1265">
        <v>9606</v>
      </c>
      <c r="DL1265" s="34" t="str">
        <f>HYPERLINK("http://www.uniprot.org/uniprot/P61313", "P61313")</f>
        <v>P61313</v>
      </c>
      <c r="DM1265" t="s">
        <v>20564</v>
      </c>
      <c r="DN1265" t="s">
        <v>13772</v>
      </c>
      <c r="DO1265" t="s">
        <v>13825</v>
      </c>
      <c r="DP1265" t="s">
        <v>13841</v>
      </c>
      <c r="DQ1265" t="s">
        <v>13772</v>
      </c>
      <c r="DR1265" t="s">
        <v>13936</v>
      </c>
      <c r="DS1265" t="s">
        <v>13772</v>
      </c>
      <c r="DT1265" t="s">
        <v>13772</v>
      </c>
      <c r="DU1265" t="s">
        <v>13937</v>
      </c>
      <c r="DV1265" t="s">
        <v>20565</v>
      </c>
      <c r="DW1265" t="s">
        <v>13812</v>
      </c>
      <c r="DX1265" t="s">
        <v>17184</v>
      </c>
      <c r="DY1265" t="s">
        <v>20566</v>
      </c>
      <c r="DZ1265" t="s">
        <v>20451</v>
      </c>
      <c r="EA1265" t="s">
        <v>13772</v>
      </c>
      <c r="EB1265" t="s">
        <v>13942</v>
      </c>
    </row>
    <row r="1266" spans="1:132" hidden="1">
      <c r="A1266">
        <v>715</v>
      </c>
      <c r="B1266">
        <v>1</v>
      </c>
      <c r="C1266" t="s">
        <v>1757</v>
      </c>
      <c r="D1266" t="s">
        <v>73</v>
      </c>
      <c r="E1266" t="s">
        <v>73</v>
      </c>
      <c r="F1266" t="s">
        <v>73</v>
      </c>
      <c r="G1266" t="s">
        <v>73</v>
      </c>
      <c r="H1266">
        <v>20.9</v>
      </c>
      <c r="I1266">
        <v>359</v>
      </c>
      <c r="J1266">
        <v>39240</v>
      </c>
      <c r="K1266" t="s">
        <v>1758</v>
      </c>
      <c r="L1266">
        <f t="shared" si="78"/>
        <v>17</v>
      </c>
      <c r="N1266">
        <v>17</v>
      </c>
      <c r="O1266">
        <v>17</v>
      </c>
      <c r="P1266">
        <v>1</v>
      </c>
      <c r="Q1266">
        <v>0</v>
      </c>
      <c r="R1266">
        <v>4</v>
      </c>
      <c r="S1266">
        <v>0</v>
      </c>
      <c r="T1266">
        <v>0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3</v>
      </c>
      <c r="AC1266">
        <v>0</v>
      </c>
      <c r="AD1266">
        <v>0</v>
      </c>
      <c r="AE1266">
        <v>3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4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</v>
      </c>
      <c r="AU1266">
        <v>3</v>
      </c>
      <c r="AV1266">
        <v>0</v>
      </c>
      <c r="AW1266">
        <v>0</v>
      </c>
      <c r="AX1266">
        <v>3</v>
      </c>
      <c r="AY1266">
        <v>2</v>
      </c>
      <c r="AZ1266">
        <v>0</v>
      </c>
      <c r="BA1266">
        <v>0</v>
      </c>
      <c r="BB1266">
        <v>0</v>
      </c>
      <c r="BC1266" s="2">
        <v>0</v>
      </c>
      <c r="BD1266" s="2">
        <v>4</v>
      </c>
      <c r="BE1266" s="2">
        <v>0</v>
      </c>
      <c r="BF1266" s="2">
        <v>0</v>
      </c>
      <c r="BG1266" s="2">
        <v>3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2</v>
      </c>
      <c r="BN1266" s="2">
        <v>3</v>
      </c>
      <c r="BO1266" s="2">
        <v>0</v>
      </c>
      <c r="BP1266" s="2">
        <v>0</v>
      </c>
      <c r="BQ1266" s="2">
        <v>3</v>
      </c>
      <c r="BR1266" s="2">
        <v>2</v>
      </c>
      <c r="BS1266" s="2">
        <v>0</v>
      </c>
      <c r="BT1266" s="2">
        <v>0</v>
      </c>
      <c r="BU1266" s="2">
        <v>0</v>
      </c>
      <c r="BV1266" s="2">
        <f t="shared" si="81"/>
        <v>17</v>
      </c>
      <c r="BW1266" s="16">
        <f t="shared" si="79"/>
        <v>0.89473684210526316</v>
      </c>
      <c r="BX1266" s="16">
        <f>COUNTIF($BC$6:BU1266, "=0") / COUNTIF($BC$6:BU1266, "&gt;-1")</f>
        <v>0.33432113193372009</v>
      </c>
      <c r="BY1266" s="18">
        <f>SUM($BC$6:BU1266) / $BY$4</f>
        <v>0.96509707672111666</v>
      </c>
      <c r="BZ1266" s="14">
        <f t="shared" si="80"/>
        <v>13</v>
      </c>
      <c r="CA1266" t="s">
        <v>5832</v>
      </c>
      <c r="CZ1266" t="s">
        <v>8149</v>
      </c>
      <c r="DA1266" t="s">
        <v>5904</v>
      </c>
      <c r="DB1266">
        <v>716.8</v>
      </c>
      <c r="DC1266" t="s">
        <v>20823</v>
      </c>
      <c r="DD1266" t="s">
        <v>13772</v>
      </c>
      <c r="DE1266" t="s">
        <v>20824</v>
      </c>
      <c r="DF1266" t="s">
        <v>20825</v>
      </c>
      <c r="DG1266" t="s">
        <v>20826</v>
      </c>
      <c r="DH1266" t="str">
        <f>"PDHB"</f>
        <v>PDHB</v>
      </c>
      <c r="DI1266" t="s">
        <v>20827</v>
      </c>
      <c r="DJ1266" t="s">
        <v>13777</v>
      </c>
      <c r="DK1266">
        <v>9606</v>
      </c>
      <c r="DL1266" s="34" t="str">
        <f>HYPERLINK("http://www.uniprot.org/uniprot/P11177", "P11177")</f>
        <v>P11177</v>
      </c>
      <c r="DM1266" t="s">
        <v>20828</v>
      </c>
      <c r="DN1266" t="s">
        <v>18569</v>
      </c>
      <c r="DO1266" t="s">
        <v>14491</v>
      </c>
      <c r="DP1266" t="s">
        <v>13780</v>
      </c>
      <c r="DQ1266" t="s">
        <v>13772</v>
      </c>
      <c r="DR1266" t="s">
        <v>13807</v>
      </c>
      <c r="DS1266" t="s">
        <v>14391</v>
      </c>
      <c r="DT1266" t="s">
        <v>20829</v>
      </c>
      <c r="DU1266" t="s">
        <v>13885</v>
      </c>
      <c r="DV1266" t="s">
        <v>13886</v>
      </c>
      <c r="DW1266" t="s">
        <v>13812</v>
      </c>
      <c r="DX1266" t="s">
        <v>20830</v>
      </c>
      <c r="DY1266" t="s">
        <v>20831</v>
      </c>
      <c r="DZ1266" t="s">
        <v>20832</v>
      </c>
      <c r="EA1266" t="s">
        <v>13772</v>
      </c>
      <c r="EB1266" t="s">
        <v>18574</v>
      </c>
    </row>
    <row r="1267" spans="1:132" hidden="1">
      <c r="A1267">
        <v>762</v>
      </c>
      <c r="B1267">
        <v>1</v>
      </c>
      <c r="C1267" t="s">
        <v>1873</v>
      </c>
      <c r="D1267" t="s">
        <v>1874</v>
      </c>
      <c r="E1267" t="s">
        <v>73</v>
      </c>
      <c r="F1267" t="s">
        <v>73</v>
      </c>
      <c r="G1267" t="s">
        <v>73</v>
      </c>
      <c r="H1267">
        <v>21.8</v>
      </c>
      <c r="I1267">
        <v>694</v>
      </c>
      <c r="J1267">
        <v>81180</v>
      </c>
      <c r="K1267" t="s">
        <v>1875</v>
      </c>
      <c r="L1267">
        <f t="shared" si="78"/>
        <v>17</v>
      </c>
      <c r="N1267">
        <v>17</v>
      </c>
      <c r="O1267">
        <v>17</v>
      </c>
      <c r="P1267">
        <v>1</v>
      </c>
      <c r="Q1267">
        <v>2</v>
      </c>
      <c r="R1267">
        <v>0</v>
      </c>
      <c r="S1267">
        <v>1</v>
      </c>
      <c r="T1267">
        <v>1</v>
      </c>
      <c r="U1267">
        <v>4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2</v>
      </c>
      <c r="AB1267">
        <v>2</v>
      </c>
      <c r="AC1267">
        <v>0</v>
      </c>
      <c r="AD1267">
        <v>0</v>
      </c>
      <c r="AE1267">
        <v>0</v>
      </c>
      <c r="AF1267">
        <v>4</v>
      </c>
      <c r="AG1267">
        <v>0</v>
      </c>
      <c r="AH1267">
        <v>0</v>
      </c>
      <c r="AI1267">
        <v>0</v>
      </c>
      <c r="AJ1267">
        <v>2</v>
      </c>
      <c r="AK1267">
        <v>0</v>
      </c>
      <c r="AL1267">
        <v>1</v>
      </c>
      <c r="AM1267">
        <v>1</v>
      </c>
      <c r="AN1267">
        <v>4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2</v>
      </c>
      <c r="AU1267">
        <v>2</v>
      </c>
      <c r="AV1267">
        <v>0</v>
      </c>
      <c r="AW1267">
        <v>0</v>
      </c>
      <c r="AX1267">
        <v>0</v>
      </c>
      <c r="AY1267">
        <v>4</v>
      </c>
      <c r="AZ1267">
        <v>0</v>
      </c>
      <c r="BA1267">
        <v>0</v>
      </c>
      <c r="BB1267">
        <v>0</v>
      </c>
      <c r="BC1267" s="2">
        <v>2</v>
      </c>
      <c r="BD1267" s="2">
        <v>0</v>
      </c>
      <c r="BE1267" s="2">
        <v>1</v>
      </c>
      <c r="BF1267" s="2">
        <v>1</v>
      </c>
      <c r="BG1267" s="2">
        <v>4</v>
      </c>
      <c r="BH1267" s="2">
        <v>0</v>
      </c>
      <c r="BI1267" s="2">
        <v>1</v>
      </c>
      <c r="BJ1267" s="2">
        <v>0</v>
      </c>
      <c r="BK1267" s="2">
        <v>0</v>
      </c>
      <c r="BL1267" s="2">
        <v>0</v>
      </c>
      <c r="BM1267" s="2">
        <v>2</v>
      </c>
      <c r="BN1267" s="2">
        <v>2</v>
      </c>
      <c r="BO1267" s="2">
        <v>0</v>
      </c>
      <c r="BP1267" s="2">
        <v>0</v>
      </c>
      <c r="BQ1267" s="2">
        <v>0</v>
      </c>
      <c r="BR1267" s="2">
        <v>4</v>
      </c>
      <c r="BS1267" s="2">
        <v>0</v>
      </c>
      <c r="BT1267" s="2">
        <v>0</v>
      </c>
      <c r="BU1267" s="2">
        <v>0</v>
      </c>
      <c r="BV1267" s="2">
        <f t="shared" si="81"/>
        <v>17</v>
      </c>
      <c r="BW1267" s="16">
        <f t="shared" si="79"/>
        <v>0.89473684210526316</v>
      </c>
      <c r="BX1267" s="16">
        <f>COUNTIF($BC$6:BU1267, "=0") / COUNTIF($BC$6:BU1267, "&gt;-1")</f>
        <v>0.33451497205771957</v>
      </c>
      <c r="BY1267" s="18">
        <f>SUM($BC$6:BU1267) / $BY$4</f>
        <v>0.9651698985478846</v>
      </c>
      <c r="BZ1267" s="14">
        <f t="shared" si="80"/>
        <v>11</v>
      </c>
      <c r="CA1267" t="s">
        <v>5832</v>
      </c>
      <c r="CZ1267" t="s">
        <v>8310</v>
      </c>
      <c r="DA1267" t="s">
        <v>5904</v>
      </c>
      <c r="DB1267">
        <v>1100.5</v>
      </c>
      <c r="DC1267" t="s">
        <v>21288</v>
      </c>
      <c r="DD1267" t="s">
        <v>21289</v>
      </c>
      <c r="DE1267" t="s">
        <v>21290</v>
      </c>
      <c r="DF1267" t="s">
        <v>21291</v>
      </c>
      <c r="DG1267" t="s">
        <v>13772</v>
      </c>
      <c r="DH1267" t="str">
        <f>"GOLIM4"</f>
        <v>GOLIM4</v>
      </c>
      <c r="DI1267" t="s">
        <v>21292</v>
      </c>
      <c r="DJ1267" t="s">
        <v>13777</v>
      </c>
      <c r="DK1267">
        <v>9606</v>
      </c>
      <c r="DL1267" s="34" t="str">
        <f>HYPERLINK("http://www.uniprot.org/uniprot/O00461", "O00461")</f>
        <v>O00461</v>
      </c>
      <c r="DM1267" t="s">
        <v>21293</v>
      </c>
      <c r="DN1267" t="s">
        <v>14192</v>
      </c>
      <c r="DO1267" t="s">
        <v>15095</v>
      </c>
      <c r="DP1267" t="s">
        <v>13793</v>
      </c>
      <c r="DQ1267" t="s">
        <v>13772</v>
      </c>
      <c r="DR1267" t="s">
        <v>13772</v>
      </c>
      <c r="DS1267" t="s">
        <v>14715</v>
      </c>
      <c r="DT1267" t="s">
        <v>13772</v>
      </c>
      <c r="DU1267" t="s">
        <v>13772</v>
      </c>
      <c r="DV1267" t="s">
        <v>21294</v>
      </c>
      <c r="DW1267" t="s">
        <v>13772</v>
      </c>
      <c r="DX1267" t="s">
        <v>13772</v>
      </c>
      <c r="DY1267" t="s">
        <v>21295</v>
      </c>
      <c r="DZ1267" t="s">
        <v>13772</v>
      </c>
      <c r="EA1267" t="s">
        <v>13772</v>
      </c>
      <c r="EB1267" t="s">
        <v>21296</v>
      </c>
    </row>
    <row r="1268" spans="1:132" hidden="1">
      <c r="A1268">
        <v>861</v>
      </c>
      <c r="B1268">
        <v>1</v>
      </c>
      <c r="C1268" t="s">
        <v>2110</v>
      </c>
      <c r="D1268" t="s">
        <v>73</v>
      </c>
      <c r="E1268" t="s">
        <v>73</v>
      </c>
      <c r="F1268" t="s">
        <v>73</v>
      </c>
      <c r="G1268" t="s">
        <v>73</v>
      </c>
      <c r="H1268">
        <v>3.2</v>
      </c>
      <c r="I1268">
        <v>2322</v>
      </c>
      <c r="J1268">
        <v>243484</v>
      </c>
      <c r="K1268" t="s">
        <v>2111</v>
      </c>
      <c r="L1268">
        <f t="shared" si="78"/>
        <v>17</v>
      </c>
      <c r="N1268">
        <v>17</v>
      </c>
      <c r="O1268">
        <v>17</v>
      </c>
      <c r="P1268">
        <v>1</v>
      </c>
      <c r="Q1268">
        <v>0</v>
      </c>
      <c r="R1268">
        <v>3</v>
      </c>
      <c r="S1268">
        <v>1</v>
      </c>
      <c r="T1268">
        <v>2</v>
      </c>
      <c r="U1268">
        <v>1</v>
      </c>
      <c r="V1268">
        <v>5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</v>
      </c>
      <c r="AG1268">
        <v>0</v>
      </c>
      <c r="AH1268">
        <v>0</v>
      </c>
      <c r="AI1268">
        <v>1</v>
      </c>
      <c r="AJ1268">
        <v>0</v>
      </c>
      <c r="AK1268">
        <v>3</v>
      </c>
      <c r="AL1268">
        <v>1</v>
      </c>
      <c r="AM1268">
        <v>2</v>
      </c>
      <c r="AN1268">
        <v>1</v>
      </c>
      <c r="AO1268">
        <v>5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3</v>
      </c>
      <c r="AZ1268">
        <v>0</v>
      </c>
      <c r="BA1268">
        <v>0</v>
      </c>
      <c r="BB1268">
        <v>1</v>
      </c>
      <c r="BC1268" s="2">
        <v>0</v>
      </c>
      <c r="BD1268" s="2">
        <v>3</v>
      </c>
      <c r="BE1268" s="2">
        <v>1</v>
      </c>
      <c r="BF1268" s="2">
        <v>2</v>
      </c>
      <c r="BG1268" s="2">
        <v>1</v>
      </c>
      <c r="BH1268" s="2">
        <v>5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3</v>
      </c>
      <c r="BS1268" s="2">
        <v>0</v>
      </c>
      <c r="BT1268" s="2">
        <v>0</v>
      </c>
      <c r="BU1268" s="2">
        <v>1</v>
      </c>
      <c r="BV1268" s="2">
        <f t="shared" si="81"/>
        <v>17</v>
      </c>
      <c r="BW1268" s="16">
        <f t="shared" si="79"/>
        <v>0.89473684210526316</v>
      </c>
      <c r="BX1268" s="16">
        <f>COUNTIF($BC$6:BU1268, "=0") / COUNTIF($BC$6:BU1268, "&gt;-1")</f>
        <v>0.33470850522982037</v>
      </c>
      <c r="BY1268" s="18">
        <f>SUM($BC$6:BU1268) / $BY$4</f>
        <v>0.96524272037465242</v>
      </c>
      <c r="BZ1268" s="14">
        <f t="shared" si="80"/>
        <v>11</v>
      </c>
      <c r="CA1268" t="s">
        <v>5832</v>
      </c>
      <c r="CZ1268" t="s">
        <v>8649</v>
      </c>
      <c r="DA1268" t="s">
        <v>5904</v>
      </c>
      <c r="DB1268">
        <v>4155.5</v>
      </c>
      <c r="DC1268" t="s">
        <v>22278</v>
      </c>
      <c r="DD1268" t="s">
        <v>13772</v>
      </c>
      <c r="DE1268" t="s">
        <v>22279</v>
      </c>
      <c r="DF1268" t="s">
        <v>22280</v>
      </c>
      <c r="DG1268" t="s">
        <v>22281</v>
      </c>
      <c r="DH1268" t="str">
        <f>"NOTCH3"</f>
        <v>NOTCH3</v>
      </c>
      <c r="DI1268" t="s">
        <v>13772</v>
      </c>
      <c r="DJ1268" t="s">
        <v>13777</v>
      </c>
      <c r="DK1268">
        <v>9606</v>
      </c>
      <c r="DL1268" s="34" t="str">
        <f>HYPERLINK("http://www.uniprot.org/uniprot/Q9UM47", "Q9UM47")</f>
        <v>Q9UM47</v>
      </c>
      <c r="DM1268" t="s">
        <v>22282</v>
      </c>
      <c r="DN1268" t="s">
        <v>22283</v>
      </c>
      <c r="DO1268" t="s">
        <v>18976</v>
      </c>
      <c r="DP1268" t="s">
        <v>13793</v>
      </c>
      <c r="DQ1268" t="s">
        <v>13772</v>
      </c>
      <c r="DR1268" t="s">
        <v>13807</v>
      </c>
      <c r="DS1268" t="s">
        <v>22284</v>
      </c>
      <c r="DT1268" t="s">
        <v>13772</v>
      </c>
      <c r="DU1268" t="s">
        <v>22285</v>
      </c>
      <c r="DV1268" t="s">
        <v>20926</v>
      </c>
      <c r="DW1268" t="s">
        <v>13812</v>
      </c>
      <c r="DX1268" t="s">
        <v>22286</v>
      </c>
      <c r="DY1268" t="s">
        <v>22287</v>
      </c>
      <c r="DZ1268" t="s">
        <v>22288</v>
      </c>
      <c r="EA1268" t="s">
        <v>13772</v>
      </c>
      <c r="EB1268" t="s">
        <v>22289</v>
      </c>
    </row>
    <row r="1269" spans="1:132" hidden="1">
      <c r="A1269">
        <v>862</v>
      </c>
      <c r="B1269">
        <v>1</v>
      </c>
      <c r="C1269" t="s">
        <v>2112</v>
      </c>
      <c r="D1269" t="s">
        <v>73</v>
      </c>
      <c r="E1269" t="s">
        <v>73</v>
      </c>
      <c r="F1269" t="s">
        <v>73</v>
      </c>
      <c r="G1269" t="s">
        <v>73</v>
      </c>
      <c r="H1269">
        <v>9.6</v>
      </c>
      <c r="I1269">
        <v>729</v>
      </c>
      <c r="J1269">
        <v>81741</v>
      </c>
      <c r="K1269" t="s">
        <v>2113</v>
      </c>
      <c r="L1269">
        <f t="shared" si="78"/>
        <v>17</v>
      </c>
      <c r="N1269">
        <v>17</v>
      </c>
      <c r="O1269">
        <v>17</v>
      </c>
      <c r="P1269">
        <v>1</v>
      </c>
      <c r="Q1269">
        <v>0</v>
      </c>
      <c r="R1269">
        <v>1</v>
      </c>
      <c r="S1269">
        <v>0</v>
      </c>
      <c r="T1269">
        <v>1</v>
      </c>
      <c r="U1269">
        <v>9</v>
      </c>
      <c r="V1269">
        <v>3</v>
      </c>
      <c r="W1269">
        <v>1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9</v>
      </c>
      <c r="AO1269">
        <v>3</v>
      </c>
      <c r="AP1269">
        <v>1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 s="2">
        <v>0</v>
      </c>
      <c r="BD1269" s="2">
        <v>1</v>
      </c>
      <c r="BE1269" s="2">
        <v>0</v>
      </c>
      <c r="BF1269" s="2">
        <v>1</v>
      </c>
      <c r="BG1269" s="2">
        <v>9</v>
      </c>
      <c r="BH1269" s="2">
        <v>3</v>
      </c>
      <c r="BI1269" s="2">
        <v>1</v>
      </c>
      <c r="BJ1269" s="2">
        <v>2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f t="shared" si="81"/>
        <v>17</v>
      </c>
      <c r="BW1269" s="16">
        <f t="shared" si="79"/>
        <v>0.89473684210526316</v>
      </c>
      <c r="BX1269" s="16">
        <f>COUNTIF($BC$6:BU1269, "=0") / COUNTIF($BC$6:BU1269, "&gt;-1")</f>
        <v>0.3349850099933378</v>
      </c>
      <c r="BY1269" s="18">
        <f>SUM($BC$6:BU1269) / $BY$4</f>
        <v>0.96531554220142035</v>
      </c>
      <c r="BZ1269" s="14">
        <f t="shared" si="80"/>
        <v>13</v>
      </c>
      <c r="CA1269" t="s">
        <v>5832</v>
      </c>
      <c r="CZ1269" t="s">
        <v>8652</v>
      </c>
      <c r="DA1269" t="s">
        <v>5904</v>
      </c>
      <c r="DB1269">
        <v>1306.2</v>
      </c>
      <c r="DC1269" t="s">
        <v>22290</v>
      </c>
      <c r="DD1269" t="s">
        <v>22291</v>
      </c>
      <c r="DE1269" t="s">
        <v>22292</v>
      </c>
      <c r="DF1269" t="s">
        <v>22293</v>
      </c>
      <c r="DG1269" t="s">
        <v>22294</v>
      </c>
      <c r="DH1269" t="str">
        <f>"SLC15A2"</f>
        <v>SLC15A2</v>
      </c>
      <c r="DI1269" t="s">
        <v>22295</v>
      </c>
      <c r="DJ1269" t="s">
        <v>13777</v>
      </c>
      <c r="DK1269">
        <v>9606</v>
      </c>
      <c r="DL1269" s="34" t="str">
        <f>HYPERLINK("http://www.uniprot.org/uniprot/Q16348", "Q16348")</f>
        <v>Q16348</v>
      </c>
      <c r="DM1269" t="s">
        <v>22296</v>
      </c>
      <c r="DN1269" t="s">
        <v>22297</v>
      </c>
      <c r="DO1269" t="s">
        <v>13792</v>
      </c>
      <c r="DP1269" t="s">
        <v>13780</v>
      </c>
      <c r="DQ1269" t="s">
        <v>13772</v>
      </c>
      <c r="DR1269" t="s">
        <v>13772</v>
      </c>
      <c r="DS1269" t="s">
        <v>13925</v>
      </c>
      <c r="DT1269" t="s">
        <v>13772</v>
      </c>
      <c r="DU1269" t="s">
        <v>13772</v>
      </c>
      <c r="DV1269" t="s">
        <v>13978</v>
      </c>
      <c r="DW1269" t="s">
        <v>13812</v>
      </c>
      <c r="DX1269" t="s">
        <v>22298</v>
      </c>
      <c r="DY1269" t="s">
        <v>22299</v>
      </c>
      <c r="DZ1269" t="s">
        <v>22300</v>
      </c>
      <c r="EA1269" t="s">
        <v>13772</v>
      </c>
      <c r="EB1269" t="s">
        <v>22301</v>
      </c>
    </row>
    <row r="1270" spans="1:132" hidden="1">
      <c r="A1270">
        <v>966</v>
      </c>
      <c r="B1270">
        <v>1</v>
      </c>
      <c r="C1270" t="s">
        <v>2346</v>
      </c>
      <c r="D1270" t="s">
        <v>73</v>
      </c>
      <c r="E1270" t="s">
        <v>73</v>
      </c>
      <c r="F1270" t="s">
        <v>73</v>
      </c>
      <c r="G1270" t="s">
        <v>73</v>
      </c>
      <c r="H1270">
        <v>58.8</v>
      </c>
      <c r="I1270">
        <v>85</v>
      </c>
      <c r="J1270">
        <v>9117</v>
      </c>
      <c r="K1270" t="s">
        <v>2347</v>
      </c>
      <c r="L1270">
        <f t="shared" si="78"/>
        <v>17</v>
      </c>
      <c r="N1270">
        <v>17</v>
      </c>
      <c r="O1270">
        <v>17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4</v>
      </c>
      <c r="AB1270">
        <v>1</v>
      </c>
      <c r="AC1270">
        <v>1</v>
      </c>
      <c r="AD1270">
        <v>1</v>
      </c>
      <c r="AE1270">
        <v>3</v>
      </c>
      <c r="AF1270">
        <v>1</v>
      </c>
      <c r="AG1270">
        <v>1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4</v>
      </c>
      <c r="AU1270">
        <v>1</v>
      </c>
      <c r="AV1270">
        <v>1</v>
      </c>
      <c r="AW1270">
        <v>1</v>
      </c>
      <c r="AX1270">
        <v>3</v>
      </c>
      <c r="AY1270">
        <v>1</v>
      </c>
      <c r="AZ1270">
        <v>1</v>
      </c>
      <c r="BA1270">
        <v>0</v>
      </c>
      <c r="BB1270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1</v>
      </c>
      <c r="BH1270" s="2">
        <v>0</v>
      </c>
      <c r="BI1270" s="2">
        <v>0</v>
      </c>
      <c r="BJ1270" s="2">
        <v>0</v>
      </c>
      <c r="BK1270" s="2">
        <v>1</v>
      </c>
      <c r="BL1270" s="2">
        <v>1</v>
      </c>
      <c r="BM1270" s="2">
        <v>4</v>
      </c>
      <c r="BN1270" s="2">
        <v>1</v>
      </c>
      <c r="BO1270" s="2">
        <v>1</v>
      </c>
      <c r="BP1270" s="2">
        <v>1</v>
      </c>
      <c r="BQ1270" s="2">
        <v>3</v>
      </c>
      <c r="BR1270" s="2">
        <v>1</v>
      </c>
      <c r="BS1270" s="2">
        <v>1</v>
      </c>
      <c r="BT1270" s="2">
        <v>0</v>
      </c>
      <c r="BU1270" s="2">
        <v>1</v>
      </c>
      <c r="BV1270" s="2">
        <f t="shared" si="81"/>
        <v>17</v>
      </c>
      <c r="BW1270" s="16">
        <f t="shared" si="79"/>
        <v>0.89473684210526316</v>
      </c>
      <c r="BX1270" s="16">
        <f>COUNTIF($BC$6:BU1270, "=0") / COUNTIF($BC$6:BU1270, "&gt;-1")</f>
        <v>0.33501144164759727</v>
      </c>
      <c r="BY1270" s="18">
        <f>SUM($BC$6:BU1270) / $BY$4</f>
        <v>0.96538836402818828</v>
      </c>
      <c r="BZ1270" s="14">
        <f t="shared" si="80"/>
        <v>7</v>
      </c>
      <c r="CA1270" t="s">
        <v>5832</v>
      </c>
      <c r="CZ1270" t="s">
        <v>9005</v>
      </c>
      <c r="DA1270" t="s">
        <v>5904</v>
      </c>
      <c r="DB1270">
        <v>173.7</v>
      </c>
      <c r="DC1270" t="s">
        <v>23298</v>
      </c>
      <c r="DD1270" t="s">
        <v>13772</v>
      </c>
      <c r="DE1270" t="s">
        <v>23299</v>
      </c>
      <c r="DF1270" t="s">
        <v>23300</v>
      </c>
      <c r="DG1270" t="s">
        <v>23301</v>
      </c>
      <c r="DH1270" t="str">
        <f>"UFM1"</f>
        <v>UFM1</v>
      </c>
      <c r="DI1270" t="s">
        <v>23302</v>
      </c>
      <c r="DJ1270" t="s">
        <v>13777</v>
      </c>
      <c r="DK1270">
        <v>9606</v>
      </c>
      <c r="DL1270" s="34" t="str">
        <f>HYPERLINK("http://www.uniprot.org/uniprot/P61960", "P61960")</f>
        <v>P61960</v>
      </c>
      <c r="DM1270" t="s">
        <v>23303</v>
      </c>
      <c r="DN1270" t="s">
        <v>14109</v>
      </c>
      <c r="DO1270" t="s">
        <v>13912</v>
      </c>
      <c r="DP1270" t="s">
        <v>13841</v>
      </c>
      <c r="DQ1270" t="s">
        <v>13772</v>
      </c>
      <c r="DR1270" t="s">
        <v>23304</v>
      </c>
      <c r="DS1270" t="s">
        <v>13772</v>
      </c>
      <c r="DT1270" t="s">
        <v>13772</v>
      </c>
      <c r="DU1270" t="s">
        <v>13772</v>
      </c>
      <c r="DV1270" t="s">
        <v>18592</v>
      </c>
      <c r="DW1270" t="s">
        <v>13812</v>
      </c>
      <c r="DX1270" t="s">
        <v>23305</v>
      </c>
      <c r="DY1270" t="s">
        <v>23306</v>
      </c>
      <c r="DZ1270" t="s">
        <v>13772</v>
      </c>
      <c r="EA1270" t="s">
        <v>13772</v>
      </c>
      <c r="EB1270" t="s">
        <v>13772</v>
      </c>
    </row>
    <row r="1271" spans="1:132" hidden="1">
      <c r="A1271">
        <v>1034</v>
      </c>
      <c r="B1271">
        <v>1</v>
      </c>
      <c r="C1271" t="s">
        <v>2502</v>
      </c>
      <c r="D1271" t="s">
        <v>73</v>
      </c>
      <c r="E1271" t="s">
        <v>73</v>
      </c>
      <c r="F1271" t="s">
        <v>73</v>
      </c>
      <c r="G1271" t="s">
        <v>73</v>
      </c>
      <c r="H1271">
        <v>25.6</v>
      </c>
      <c r="I1271">
        <v>215</v>
      </c>
      <c r="J1271">
        <v>23384</v>
      </c>
      <c r="K1271" t="s">
        <v>2503</v>
      </c>
      <c r="L1271">
        <f t="shared" si="78"/>
        <v>17</v>
      </c>
      <c r="N1271">
        <v>17</v>
      </c>
      <c r="O1271">
        <v>17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5</v>
      </c>
      <c r="Z1271">
        <v>0</v>
      </c>
      <c r="AA1271">
        <v>2</v>
      </c>
      <c r="AB1271">
        <v>3</v>
      </c>
      <c r="AC1271">
        <v>2</v>
      </c>
      <c r="AD1271">
        <v>0</v>
      </c>
      <c r="AE1271">
        <v>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5</v>
      </c>
      <c r="AS1271">
        <v>0</v>
      </c>
      <c r="AT1271">
        <v>2</v>
      </c>
      <c r="AU1271">
        <v>3</v>
      </c>
      <c r="AV1271">
        <v>2</v>
      </c>
      <c r="AW1271">
        <v>0</v>
      </c>
      <c r="AX1271">
        <v>3</v>
      </c>
      <c r="AY1271">
        <v>0</v>
      </c>
      <c r="AZ1271">
        <v>0</v>
      </c>
      <c r="BA1271">
        <v>0</v>
      </c>
      <c r="BB1271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0</v>
      </c>
      <c r="BJ1271" s="2">
        <v>1</v>
      </c>
      <c r="BK1271" s="2">
        <v>5</v>
      </c>
      <c r="BL1271" s="2">
        <v>0</v>
      </c>
      <c r="BM1271" s="2">
        <v>2</v>
      </c>
      <c r="BN1271" s="2">
        <v>3</v>
      </c>
      <c r="BO1271" s="2">
        <v>2</v>
      </c>
      <c r="BP1271" s="2">
        <v>0</v>
      </c>
      <c r="BQ1271" s="2">
        <v>3</v>
      </c>
      <c r="BR1271" s="2">
        <v>0</v>
      </c>
      <c r="BS1271" s="2">
        <v>0</v>
      </c>
      <c r="BT1271" s="2">
        <v>0</v>
      </c>
      <c r="BU1271" s="2">
        <v>0</v>
      </c>
      <c r="BV1271" s="2">
        <f t="shared" si="81"/>
        <v>17</v>
      </c>
      <c r="BW1271" s="16">
        <f t="shared" si="79"/>
        <v>0.89473684210526316</v>
      </c>
      <c r="BX1271" s="16">
        <f>COUNTIF($BC$6:BU1271, "=0") / COUNTIF($BC$6:BU1271, "&gt;-1")</f>
        <v>0.33524569718134201</v>
      </c>
      <c r="BY1271" s="18">
        <f>SUM($BC$6:BU1271) / $BY$4</f>
        <v>0.96546118585495622</v>
      </c>
      <c r="BZ1271" s="14">
        <f t="shared" si="80"/>
        <v>12</v>
      </c>
      <c r="CA1271" t="s">
        <v>5832</v>
      </c>
      <c r="CZ1271" t="s">
        <v>9227</v>
      </c>
      <c r="DA1271" t="s">
        <v>5904</v>
      </c>
      <c r="DB1271">
        <v>372.1</v>
      </c>
      <c r="DC1271" t="s">
        <v>23940</v>
      </c>
      <c r="DD1271" t="s">
        <v>23941</v>
      </c>
      <c r="DE1271" t="s">
        <v>23942</v>
      </c>
      <c r="DF1271" t="s">
        <v>23943</v>
      </c>
      <c r="DG1271" t="s">
        <v>13772</v>
      </c>
      <c r="DH1271" t="str">
        <f>"NACA4P"</f>
        <v>NACA4P</v>
      </c>
      <c r="DI1271" t="s">
        <v>13772</v>
      </c>
      <c r="DJ1271" t="s">
        <v>13777</v>
      </c>
      <c r="DK1271">
        <v>9606</v>
      </c>
      <c r="DL1271" s="34" t="str">
        <f>HYPERLINK("http://www.uniprot.org/uniprot/Q9BZK3", "Q9BZK3")</f>
        <v>Q9BZK3</v>
      </c>
      <c r="DM1271" t="s">
        <v>13991</v>
      </c>
      <c r="DN1271" t="s">
        <v>13772</v>
      </c>
      <c r="DO1271" t="s">
        <v>13772</v>
      </c>
      <c r="DP1271" t="s">
        <v>13772</v>
      </c>
      <c r="DQ1271" t="s">
        <v>13772</v>
      </c>
      <c r="DR1271" t="s">
        <v>13772</v>
      </c>
      <c r="DS1271" t="s">
        <v>13772</v>
      </c>
      <c r="DT1271" t="s">
        <v>13772</v>
      </c>
      <c r="DU1271" t="s">
        <v>13772</v>
      </c>
      <c r="DV1271" t="s">
        <v>13991</v>
      </c>
      <c r="DW1271" t="s">
        <v>13772</v>
      </c>
      <c r="DX1271" t="s">
        <v>13772</v>
      </c>
      <c r="DY1271" t="s">
        <v>23944</v>
      </c>
      <c r="DZ1271" t="s">
        <v>13772</v>
      </c>
      <c r="EA1271" t="s">
        <v>13772</v>
      </c>
      <c r="EB1271" t="s">
        <v>13772</v>
      </c>
    </row>
    <row r="1272" spans="1:132" hidden="1">
      <c r="A1272">
        <v>1081</v>
      </c>
      <c r="B1272">
        <v>1</v>
      </c>
      <c r="C1272" t="s">
        <v>2600</v>
      </c>
      <c r="D1272" t="s">
        <v>2601</v>
      </c>
      <c r="E1272" t="s">
        <v>73</v>
      </c>
      <c r="F1272" t="s">
        <v>73</v>
      </c>
      <c r="G1272" t="s">
        <v>73</v>
      </c>
      <c r="H1272">
        <v>7.2</v>
      </c>
      <c r="I1272">
        <v>558</v>
      </c>
      <c r="J1272">
        <v>62132</v>
      </c>
      <c r="K1272" t="s">
        <v>2602</v>
      </c>
      <c r="L1272">
        <f t="shared" si="78"/>
        <v>17</v>
      </c>
      <c r="N1272">
        <v>17</v>
      </c>
      <c r="O1272">
        <v>17</v>
      </c>
      <c r="P1272">
        <v>1</v>
      </c>
      <c r="Q1272">
        <v>1</v>
      </c>
      <c r="R1272">
        <v>3</v>
      </c>
      <c r="S1272">
        <v>2</v>
      </c>
      <c r="T1272">
        <v>3</v>
      </c>
      <c r="U1272">
        <v>4</v>
      </c>
      <c r="V1272">
        <v>2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3</v>
      </c>
      <c r="AL1272">
        <v>2</v>
      </c>
      <c r="AM1272">
        <v>3</v>
      </c>
      <c r="AN1272">
        <v>4</v>
      </c>
      <c r="AO1272">
        <v>2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s="2">
        <v>1</v>
      </c>
      <c r="BD1272" s="2">
        <v>3</v>
      </c>
      <c r="BE1272" s="2">
        <v>2</v>
      </c>
      <c r="BF1272" s="2">
        <v>3</v>
      </c>
      <c r="BG1272" s="2">
        <v>4</v>
      </c>
      <c r="BH1272" s="2">
        <v>2</v>
      </c>
      <c r="BI1272" s="2">
        <v>2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f t="shared" si="81"/>
        <v>17</v>
      </c>
      <c r="BW1272" s="16">
        <f t="shared" si="79"/>
        <v>0.89473684210526316</v>
      </c>
      <c r="BX1272" s="16">
        <f>COUNTIF($BC$6:BU1272, "=0") / COUNTIF($BC$6:BU1272, "&gt;-1")</f>
        <v>0.33547958293523866</v>
      </c>
      <c r="BY1272" s="18">
        <f>SUM($BC$6:BU1272) / $BY$4</f>
        <v>0.96553400768172415</v>
      </c>
      <c r="BZ1272" s="14">
        <f t="shared" si="80"/>
        <v>12</v>
      </c>
      <c r="CA1272" t="s">
        <v>5832</v>
      </c>
      <c r="CZ1272" t="s">
        <v>9335</v>
      </c>
      <c r="DA1272" t="s">
        <v>5904</v>
      </c>
      <c r="DB1272">
        <v>953</v>
      </c>
      <c r="DC1272" t="s">
        <v>24240</v>
      </c>
      <c r="DD1272" t="s">
        <v>24241</v>
      </c>
      <c r="DE1272" t="s">
        <v>24242</v>
      </c>
      <c r="DF1272" t="s">
        <v>24243</v>
      </c>
      <c r="DG1272" t="s">
        <v>24244</v>
      </c>
      <c r="DH1272" t="str">
        <f>"ACVRL1"</f>
        <v>ACVRL1</v>
      </c>
      <c r="DI1272" t="s">
        <v>24245</v>
      </c>
      <c r="DJ1272" t="s">
        <v>13777</v>
      </c>
      <c r="DK1272">
        <v>9606</v>
      </c>
      <c r="DL1272" s="34" t="str">
        <f>HYPERLINK("http://www.uniprot.org/uniprot/P37023", "P37023")</f>
        <v>P37023</v>
      </c>
      <c r="DM1272" t="s">
        <v>24246</v>
      </c>
      <c r="DN1272" t="s">
        <v>22082</v>
      </c>
      <c r="DO1272" t="s">
        <v>13792</v>
      </c>
      <c r="DP1272" t="s">
        <v>13793</v>
      </c>
      <c r="DQ1272" t="s">
        <v>13772</v>
      </c>
      <c r="DR1272" t="s">
        <v>13807</v>
      </c>
      <c r="DS1272" t="s">
        <v>13855</v>
      </c>
      <c r="DT1272" t="s">
        <v>23768</v>
      </c>
      <c r="DU1272" t="s">
        <v>23769</v>
      </c>
      <c r="DV1272" t="s">
        <v>13964</v>
      </c>
      <c r="DW1272" t="s">
        <v>13812</v>
      </c>
      <c r="DX1272" t="s">
        <v>24247</v>
      </c>
      <c r="DY1272" t="s">
        <v>24248</v>
      </c>
      <c r="DZ1272" t="s">
        <v>24249</v>
      </c>
      <c r="EA1272" t="s">
        <v>13772</v>
      </c>
      <c r="EB1272" t="s">
        <v>23773</v>
      </c>
    </row>
    <row r="1273" spans="1:132" hidden="1">
      <c r="A1273">
        <v>1097</v>
      </c>
      <c r="B1273">
        <v>1</v>
      </c>
      <c r="C1273" t="s">
        <v>2639</v>
      </c>
      <c r="D1273" t="s">
        <v>73</v>
      </c>
      <c r="E1273" t="s">
        <v>73</v>
      </c>
      <c r="F1273" t="s">
        <v>73</v>
      </c>
      <c r="G1273" t="s">
        <v>73</v>
      </c>
      <c r="H1273">
        <v>15.6</v>
      </c>
      <c r="I1273">
        <v>469</v>
      </c>
      <c r="J1273">
        <v>52013</v>
      </c>
      <c r="K1273" t="s">
        <v>2640</v>
      </c>
      <c r="L1273">
        <f t="shared" si="78"/>
        <v>17</v>
      </c>
      <c r="N1273">
        <v>17</v>
      </c>
      <c r="O1273">
        <v>17</v>
      </c>
      <c r="P1273">
        <v>1</v>
      </c>
      <c r="Q1273">
        <v>0</v>
      </c>
      <c r="R1273">
        <v>0</v>
      </c>
      <c r="S1273">
        <v>0</v>
      </c>
      <c r="T1273">
        <v>2</v>
      </c>
      <c r="U1273">
        <v>10</v>
      </c>
      <c r="V1273">
        <v>2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2</v>
      </c>
      <c r="AN1273">
        <v>10</v>
      </c>
      <c r="AO1273">
        <v>2</v>
      </c>
      <c r="AP1273">
        <v>1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 s="2">
        <v>0</v>
      </c>
      <c r="BD1273" s="2">
        <v>0</v>
      </c>
      <c r="BE1273" s="2">
        <v>0</v>
      </c>
      <c r="BF1273" s="2">
        <v>2</v>
      </c>
      <c r="BG1273" s="2">
        <v>10</v>
      </c>
      <c r="BH1273" s="2">
        <v>2</v>
      </c>
      <c r="BI1273" s="2">
        <v>1</v>
      </c>
      <c r="BJ1273" s="2">
        <v>1</v>
      </c>
      <c r="BK1273" s="2">
        <v>0</v>
      </c>
      <c r="BL1273" s="2">
        <v>0</v>
      </c>
      <c r="BM1273" s="2">
        <v>0</v>
      </c>
      <c r="BN1273" s="2">
        <v>1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f t="shared" si="81"/>
        <v>17</v>
      </c>
      <c r="BW1273" s="16">
        <f t="shared" si="79"/>
        <v>0.89473684210526316</v>
      </c>
      <c r="BX1273" s="16">
        <f>COUNTIF($BC$6:BU1273, "=0") / COUNTIF($BC$6:BU1273, "&gt;-1")</f>
        <v>0.33575460733853563</v>
      </c>
      <c r="BY1273" s="18">
        <f>SUM($BC$6:BU1273) / $BY$4</f>
        <v>0.96560682950849197</v>
      </c>
      <c r="BZ1273" s="14">
        <f t="shared" si="80"/>
        <v>13</v>
      </c>
      <c r="CA1273" t="s">
        <v>5832</v>
      </c>
      <c r="CZ1273" t="s">
        <v>9390</v>
      </c>
      <c r="DA1273" t="s">
        <v>5904</v>
      </c>
      <c r="DB1273">
        <v>943.3</v>
      </c>
      <c r="DC1273" t="s">
        <v>24408</v>
      </c>
      <c r="DD1273" t="s">
        <v>24409</v>
      </c>
      <c r="DE1273" t="s">
        <v>24410</v>
      </c>
      <c r="DF1273" t="s">
        <v>24411</v>
      </c>
      <c r="DG1273" t="s">
        <v>24412</v>
      </c>
      <c r="DH1273" t="str">
        <f>"SAMM50"</f>
        <v>SAMM50</v>
      </c>
      <c r="DI1273" t="s">
        <v>24413</v>
      </c>
      <c r="DJ1273" t="s">
        <v>13777</v>
      </c>
      <c r="DK1273">
        <v>9606</v>
      </c>
      <c r="DL1273" s="34" t="str">
        <f>HYPERLINK("http://www.uniprot.org/uniprot/Q9Y512", "Q9Y512")</f>
        <v>Q9Y512</v>
      </c>
      <c r="DM1273" t="s">
        <v>24414</v>
      </c>
      <c r="DN1273" t="s">
        <v>13772</v>
      </c>
      <c r="DO1273" t="s">
        <v>13884</v>
      </c>
      <c r="DP1273" t="s">
        <v>13793</v>
      </c>
      <c r="DQ1273" t="s">
        <v>13772</v>
      </c>
      <c r="DR1273" t="s">
        <v>13772</v>
      </c>
      <c r="DS1273" t="s">
        <v>24415</v>
      </c>
      <c r="DT1273" t="s">
        <v>13772</v>
      </c>
      <c r="DU1273" t="s">
        <v>13772</v>
      </c>
      <c r="DV1273" t="s">
        <v>17914</v>
      </c>
      <c r="DW1273" t="s">
        <v>13772</v>
      </c>
      <c r="DX1273" t="s">
        <v>24416</v>
      </c>
      <c r="DY1273" t="s">
        <v>24417</v>
      </c>
      <c r="DZ1273" t="s">
        <v>13772</v>
      </c>
      <c r="EA1273" t="s">
        <v>13772</v>
      </c>
      <c r="EB1273" t="s">
        <v>24418</v>
      </c>
    </row>
    <row r="1274" spans="1:132" hidden="1">
      <c r="A1274">
        <v>1101</v>
      </c>
      <c r="B1274">
        <v>1</v>
      </c>
      <c r="C1274" t="s">
        <v>2648</v>
      </c>
      <c r="D1274" t="s">
        <v>2649</v>
      </c>
      <c r="E1274" t="s">
        <v>73</v>
      </c>
      <c r="F1274" t="s">
        <v>73</v>
      </c>
      <c r="G1274" t="s">
        <v>73</v>
      </c>
      <c r="H1274">
        <v>3</v>
      </c>
      <c r="I1274">
        <v>707</v>
      </c>
      <c r="J1274">
        <v>80192</v>
      </c>
      <c r="K1274" t="s">
        <v>2650</v>
      </c>
      <c r="L1274">
        <f t="shared" si="78"/>
        <v>17</v>
      </c>
      <c r="N1274">
        <v>17</v>
      </c>
      <c r="O1274">
        <v>17</v>
      </c>
      <c r="P1274">
        <v>1</v>
      </c>
      <c r="Q1274">
        <v>1</v>
      </c>
      <c r="R1274">
        <v>4</v>
      </c>
      <c r="S1274">
        <v>3</v>
      </c>
      <c r="T1274">
        <v>3</v>
      </c>
      <c r="U1274">
        <v>4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4</v>
      </c>
      <c r="AL1274">
        <v>3</v>
      </c>
      <c r="AM1274">
        <v>3</v>
      </c>
      <c r="AN1274">
        <v>4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 s="2">
        <v>1</v>
      </c>
      <c r="BD1274" s="2">
        <v>4</v>
      </c>
      <c r="BE1274" s="2">
        <v>3</v>
      </c>
      <c r="BF1274" s="2">
        <v>3</v>
      </c>
      <c r="BG1274" s="2">
        <v>4</v>
      </c>
      <c r="BH1274" s="2">
        <v>1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f t="shared" si="81"/>
        <v>17</v>
      </c>
      <c r="BW1274" s="16">
        <f t="shared" si="79"/>
        <v>0.89473684210526316</v>
      </c>
      <c r="BX1274" s="16">
        <f>COUNTIF($BC$6:BU1274, "=0") / COUNTIF($BC$6:BU1274, "&gt;-1")</f>
        <v>0.33598772344573019</v>
      </c>
      <c r="BY1274" s="18">
        <f>SUM($BC$6:BU1274) / $BY$4</f>
        <v>0.9656796513352599</v>
      </c>
      <c r="BZ1274" s="14">
        <f t="shared" si="80"/>
        <v>12</v>
      </c>
      <c r="CA1274" t="s">
        <v>5832</v>
      </c>
      <c r="CZ1274" t="s">
        <v>9405</v>
      </c>
      <c r="DA1274" t="s">
        <v>5904</v>
      </c>
      <c r="DB1274">
        <v>1154</v>
      </c>
      <c r="DC1274" t="s">
        <v>24454</v>
      </c>
      <c r="DD1274" t="s">
        <v>24455</v>
      </c>
      <c r="DE1274" t="s">
        <v>24456</v>
      </c>
      <c r="DF1274" t="s">
        <v>24457</v>
      </c>
      <c r="DG1274" t="s">
        <v>24458</v>
      </c>
      <c r="DH1274" t="str">
        <f>"SCNN1A"</f>
        <v>SCNN1A</v>
      </c>
      <c r="DI1274" t="s">
        <v>24459</v>
      </c>
      <c r="DJ1274" t="s">
        <v>13777</v>
      </c>
      <c r="DK1274">
        <v>9606</v>
      </c>
      <c r="DL1274" s="34" t="str">
        <f>HYPERLINK("http://www.uniprot.org/uniprot/P37088", "P37088")</f>
        <v>P37088</v>
      </c>
      <c r="DM1274" t="s">
        <v>24460</v>
      </c>
      <c r="DN1274" t="s">
        <v>24461</v>
      </c>
      <c r="DO1274" t="s">
        <v>24462</v>
      </c>
      <c r="DP1274" t="s">
        <v>13780</v>
      </c>
      <c r="DQ1274" t="s">
        <v>13772</v>
      </c>
      <c r="DR1274" t="s">
        <v>13807</v>
      </c>
      <c r="DS1274" t="s">
        <v>13925</v>
      </c>
      <c r="DT1274" t="s">
        <v>13926</v>
      </c>
      <c r="DU1274" t="s">
        <v>24463</v>
      </c>
      <c r="DV1274" t="s">
        <v>14112</v>
      </c>
      <c r="DW1274" t="s">
        <v>13812</v>
      </c>
      <c r="DX1274" t="s">
        <v>24464</v>
      </c>
      <c r="DY1274" t="s">
        <v>24465</v>
      </c>
      <c r="DZ1274" t="s">
        <v>24466</v>
      </c>
      <c r="EA1274" t="s">
        <v>13772</v>
      </c>
      <c r="EB1274" t="s">
        <v>14293</v>
      </c>
    </row>
    <row r="1275" spans="1:132" hidden="1">
      <c r="A1275">
        <v>1105</v>
      </c>
      <c r="B1275">
        <v>1</v>
      </c>
      <c r="C1275" t="s">
        <v>2660</v>
      </c>
      <c r="D1275" t="s">
        <v>2661</v>
      </c>
      <c r="E1275" t="s">
        <v>73</v>
      </c>
      <c r="F1275" t="s">
        <v>73</v>
      </c>
      <c r="G1275" t="s">
        <v>73</v>
      </c>
      <c r="H1275">
        <v>26.5</v>
      </c>
      <c r="I1275">
        <v>298</v>
      </c>
      <c r="J1275">
        <v>32918</v>
      </c>
      <c r="K1275" t="s">
        <v>2662</v>
      </c>
      <c r="L1275">
        <f t="shared" si="78"/>
        <v>17</v>
      </c>
      <c r="N1275">
        <v>17</v>
      </c>
      <c r="O1275">
        <v>17</v>
      </c>
      <c r="P1275">
        <v>1</v>
      </c>
      <c r="Q1275">
        <v>1</v>
      </c>
      <c r="R1275">
        <v>3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4</v>
      </c>
      <c r="AB1275">
        <v>4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4</v>
      </c>
      <c r="AU1275">
        <v>4</v>
      </c>
      <c r="AV1275">
        <v>0</v>
      </c>
      <c r="AW1275">
        <v>0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 s="2">
        <v>1</v>
      </c>
      <c r="BD1275" s="2">
        <v>3</v>
      </c>
      <c r="BE1275" s="2">
        <v>0</v>
      </c>
      <c r="BF1275" s="2">
        <v>1</v>
      </c>
      <c r="BG1275" s="2">
        <v>0</v>
      </c>
      <c r="BH1275" s="2">
        <v>0</v>
      </c>
      <c r="BI1275" s="2">
        <v>0</v>
      </c>
      <c r="BJ1275" s="2">
        <v>1</v>
      </c>
      <c r="BK1275" s="2">
        <v>1</v>
      </c>
      <c r="BL1275" s="2">
        <v>0</v>
      </c>
      <c r="BM1275" s="2">
        <v>4</v>
      </c>
      <c r="BN1275" s="2">
        <v>4</v>
      </c>
      <c r="BO1275" s="2">
        <v>0</v>
      </c>
      <c r="BP1275" s="2">
        <v>0</v>
      </c>
      <c r="BQ1275" s="2">
        <v>1</v>
      </c>
      <c r="BR1275" s="2">
        <v>1</v>
      </c>
      <c r="BS1275" s="2">
        <v>0</v>
      </c>
      <c r="BT1275" s="2">
        <v>0</v>
      </c>
      <c r="BU1275" s="2">
        <v>0</v>
      </c>
      <c r="BV1275" s="2">
        <f t="shared" si="81"/>
        <v>17</v>
      </c>
      <c r="BW1275" s="16">
        <f t="shared" si="79"/>
        <v>0.89473684210526316</v>
      </c>
      <c r="BX1275" s="16">
        <f>COUNTIF($BC$6:BU1275, "=0") / COUNTIF($BC$6:BU1275, "&gt;-1")</f>
        <v>0.33613758806464983</v>
      </c>
      <c r="BY1275" s="18">
        <f>SUM($BC$6:BU1275) / $BY$4</f>
        <v>0.96575247316202784</v>
      </c>
      <c r="BZ1275" s="14">
        <f t="shared" si="80"/>
        <v>10</v>
      </c>
      <c r="CA1275" t="s">
        <v>5832</v>
      </c>
      <c r="CZ1275" t="s">
        <v>9422</v>
      </c>
      <c r="DA1275" t="s">
        <v>5904</v>
      </c>
      <c r="DB1275">
        <v>589</v>
      </c>
      <c r="DC1275" t="s">
        <v>24502</v>
      </c>
      <c r="DD1275" t="s">
        <v>24503</v>
      </c>
      <c r="DE1275" t="s">
        <v>24504</v>
      </c>
      <c r="DF1275" t="s">
        <v>24505</v>
      </c>
      <c r="DG1275" t="s">
        <v>24506</v>
      </c>
      <c r="DH1275" t="str">
        <f>"ATP5F1C"</f>
        <v>ATP5F1C</v>
      </c>
      <c r="DI1275" t="s">
        <v>13772</v>
      </c>
      <c r="DJ1275" t="s">
        <v>13777</v>
      </c>
      <c r="DK1275">
        <v>9606</v>
      </c>
      <c r="DL1275" s="34" t="str">
        <f>HYPERLINK("http://www.uniprot.org/uniprot/P36542", "P36542")</f>
        <v>P36542</v>
      </c>
      <c r="DM1275" t="s">
        <v>24507</v>
      </c>
      <c r="DN1275" t="s">
        <v>17568</v>
      </c>
      <c r="DO1275" t="s">
        <v>21311</v>
      </c>
      <c r="DP1275" t="s">
        <v>13841</v>
      </c>
      <c r="DQ1275" t="s">
        <v>13772</v>
      </c>
      <c r="DR1275" t="s">
        <v>13772</v>
      </c>
      <c r="DS1275" t="s">
        <v>14391</v>
      </c>
      <c r="DT1275" t="s">
        <v>13772</v>
      </c>
      <c r="DU1275" t="s">
        <v>13772</v>
      </c>
      <c r="DV1275" t="s">
        <v>13886</v>
      </c>
      <c r="DW1275" t="s">
        <v>13772</v>
      </c>
      <c r="DX1275" t="s">
        <v>24508</v>
      </c>
      <c r="DY1275" t="s">
        <v>24509</v>
      </c>
      <c r="DZ1275" t="s">
        <v>24510</v>
      </c>
      <c r="EA1275" t="s">
        <v>13772</v>
      </c>
      <c r="EB1275" t="s">
        <v>19898</v>
      </c>
    </row>
    <row r="1276" spans="1:132" hidden="1">
      <c r="A1276">
        <v>1173</v>
      </c>
      <c r="B1276">
        <v>1</v>
      </c>
      <c r="C1276" t="s">
        <v>2816</v>
      </c>
      <c r="D1276" t="s">
        <v>73</v>
      </c>
      <c r="E1276" t="s">
        <v>73</v>
      </c>
      <c r="F1276" t="s">
        <v>73</v>
      </c>
      <c r="G1276" t="s">
        <v>73</v>
      </c>
      <c r="H1276">
        <v>4.8</v>
      </c>
      <c r="I1276">
        <v>2813</v>
      </c>
      <c r="J1276">
        <v>310271</v>
      </c>
      <c r="K1276" t="s">
        <v>2817</v>
      </c>
      <c r="L1276">
        <f t="shared" si="78"/>
        <v>17</v>
      </c>
      <c r="N1276">
        <v>17</v>
      </c>
      <c r="O1276">
        <v>17</v>
      </c>
      <c r="P1276">
        <v>1</v>
      </c>
      <c r="Q1276">
        <v>0</v>
      </c>
      <c r="R1276">
        <v>2</v>
      </c>
      <c r="S1276">
        <v>0</v>
      </c>
      <c r="T1276">
        <v>2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4</v>
      </c>
      <c r="AE1276">
        <v>2</v>
      </c>
      <c r="AF1276">
        <v>2</v>
      </c>
      <c r="AG1276">
        <v>1</v>
      </c>
      <c r="AH1276">
        <v>0</v>
      </c>
      <c r="AI1276">
        <v>0</v>
      </c>
      <c r="AJ1276">
        <v>0</v>
      </c>
      <c r="AK1276">
        <v>2</v>
      </c>
      <c r="AL1276">
        <v>0</v>
      </c>
      <c r="AM1276">
        <v>2</v>
      </c>
      <c r="AN1276">
        <v>1</v>
      </c>
      <c r="AO1276">
        <v>0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4</v>
      </c>
      <c r="AX1276">
        <v>2</v>
      </c>
      <c r="AY1276">
        <v>2</v>
      </c>
      <c r="AZ1276">
        <v>1</v>
      </c>
      <c r="BA1276">
        <v>0</v>
      </c>
      <c r="BB1276">
        <v>0</v>
      </c>
      <c r="BC1276" s="2">
        <v>0</v>
      </c>
      <c r="BD1276" s="2">
        <v>2</v>
      </c>
      <c r="BE1276" s="2">
        <v>0</v>
      </c>
      <c r="BF1276" s="2">
        <v>2</v>
      </c>
      <c r="BG1276" s="2">
        <v>1</v>
      </c>
      <c r="BH1276" s="2">
        <v>0</v>
      </c>
      <c r="BI1276" s="2">
        <v>1</v>
      </c>
      <c r="BJ1276" s="2">
        <v>0</v>
      </c>
      <c r="BK1276" s="2">
        <v>0</v>
      </c>
      <c r="BL1276" s="2">
        <v>1</v>
      </c>
      <c r="BM1276" s="2">
        <v>1</v>
      </c>
      <c r="BN1276" s="2">
        <v>0</v>
      </c>
      <c r="BO1276" s="2">
        <v>0</v>
      </c>
      <c r="BP1276" s="2">
        <v>4</v>
      </c>
      <c r="BQ1276" s="2">
        <v>2</v>
      </c>
      <c r="BR1276" s="2">
        <v>2</v>
      </c>
      <c r="BS1276" s="2">
        <v>1</v>
      </c>
      <c r="BT1276" s="2">
        <v>0</v>
      </c>
      <c r="BU1276" s="2">
        <v>0</v>
      </c>
      <c r="BV1276" s="2">
        <f t="shared" si="81"/>
        <v>17</v>
      </c>
      <c r="BW1276" s="16">
        <f t="shared" si="79"/>
        <v>0.89473684210526316</v>
      </c>
      <c r="BX1276" s="16">
        <f>COUNTIF($BC$6:BU1276, "=0") / COUNTIF($BC$6:BU1276, "&gt;-1")</f>
        <v>0.33624580727980452</v>
      </c>
      <c r="BY1276" s="18">
        <f>SUM($BC$6:BU1276) / $BY$4</f>
        <v>0.96582529498879577</v>
      </c>
      <c r="BZ1276" s="14">
        <f t="shared" si="80"/>
        <v>9</v>
      </c>
      <c r="CA1276" t="s">
        <v>5832</v>
      </c>
      <c r="CZ1276" t="s">
        <v>9634</v>
      </c>
      <c r="DA1276" t="s">
        <v>5904</v>
      </c>
      <c r="DB1276">
        <v>4970.2</v>
      </c>
      <c r="DC1276" t="s">
        <v>25094</v>
      </c>
      <c r="DD1276" t="s">
        <v>25095</v>
      </c>
      <c r="DE1276" t="s">
        <v>25096</v>
      </c>
      <c r="DF1276" t="s">
        <v>25097</v>
      </c>
      <c r="DG1276" t="s">
        <v>25098</v>
      </c>
      <c r="DH1276" t="str">
        <f>"VWF"</f>
        <v>VWF</v>
      </c>
      <c r="DI1276" t="s">
        <v>25099</v>
      </c>
      <c r="DJ1276" t="s">
        <v>13777</v>
      </c>
      <c r="DK1276">
        <v>9606</v>
      </c>
      <c r="DL1276" s="34" t="str">
        <f>HYPERLINK("http://www.uniprot.org/uniprot/P04275", "P04275")</f>
        <v>P04275</v>
      </c>
      <c r="DM1276" t="s">
        <v>25100</v>
      </c>
      <c r="DN1276" t="s">
        <v>14156</v>
      </c>
      <c r="DO1276" t="s">
        <v>13869</v>
      </c>
      <c r="DP1276" t="s">
        <v>13780</v>
      </c>
      <c r="DQ1276" t="s">
        <v>13772</v>
      </c>
      <c r="DR1276" t="s">
        <v>25101</v>
      </c>
      <c r="DS1276" t="s">
        <v>14404</v>
      </c>
      <c r="DT1276" t="s">
        <v>13772</v>
      </c>
      <c r="DU1276" t="s">
        <v>13772</v>
      </c>
      <c r="DV1276" t="s">
        <v>14629</v>
      </c>
      <c r="DW1276" t="s">
        <v>13812</v>
      </c>
      <c r="DX1276" t="s">
        <v>25102</v>
      </c>
      <c r="DY1276" t="s">
        <v>25103</v>
      </c>
      <c r="DZ1276" t="s">
        <v>25104</v>
      </c>
      <c r="EA1276" t="s">
        <v>13772</v>
      </c>
      <c r="EB1276" t="s">
        <v>25105</v>
      </c>
    </row>
    <row r="1277" spans="1:132" hidden="1">
      <c r="A1277">
        <v>1196</v>
      </c>
      <c r="B1277">
        <v>1</v>
      </c>
      <c r="C1277" t="s">
        <v>2869</v>
      </c>
      <c r="D1277" t="s">
        <v>73</v>
      </c>
      <c r="E1277" t="s">
        <v>73</v>
      </c>
      <c r="F1277" t="s">
        <v>73</v>
      </c>
      <c r="G1277" t="s">
        <v>73</v>
      </c>
      <c r="H1277">
        <v>16.399999999999999</v>
      </c>
      <c r="I1277">
        <v>507</v>
      </c>
      <c r="J1277">
        <v>53552</v>
      </c>
      <c r="K1277" t="s">
        <v>2870</v>
      </c>
      <c r="L1277">
        <f t="shared" si="78"/>
        <v>17</v>
      </c>
      <c r="N1277">
        <v>17</v>
      </c>
      <c r="O1277">
        <v>17</v>
      </c>
      <c r="P1277">
        <v>1</v>
      </c>
      <c r="Q1277">
        <v>1</v>
      </c>
      <c r="R1277">
        <v>3</v>
      </c>
      <c r="S1277">
        <v>0</v>
      </c>
      <c r="T1277">
        <v>2</v>
      </c>
      <c r="U1277">
        <v>4</v>
      </c>
      <c r="V1277">
        <v>3</v>
      </c>
      <c r="W1277">
        <v>3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3</v>
      </c>
      <c r="AL1277">
        <v>0</v>
      </c>
      <c r="AM1277">
        <v>2</v>
      </c>
      <c r="AN1277">
        <v>4</v>
      </c>
      <c r="AO1277">
        <v>3</v>
      </c>
      <c r="AP1277">
        <v>3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 s="2">
        <v>1</v>
      </c>
      <c r="BD1277" s="2">
        <v>3</v>
      </c>
      <c r="BE1277" s="2">
        <v>0</v>
      </c>
      <c r="BF1277" s="2">
        <v>2</v>
      </c>
      <c r="BG1277" s="2">
        <v>4</v>
      </c>
      <c r="BH1277" s="2">
        <v>3</v>
      </c>
      <c r="BI1277" s="2">
        <v>3</v>
      </c>
      <c r="BJ1277" s="2">
        <v>1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f t="shared" si="81"/>
        <v>17</v>
      </c>
      <c r="BW1277" s="16">
        <f t="shared" si="79"/>
        <v>0.89473684210526316</v>
      </c>
      <c r="BX1277" s="16">
        <f>COUNTIF($BC$6:BU1277, "=0") / COUNTIF($BC$6:BU1277, "&gt;-1")</f>
        <v>0.33647798742138363</v>
      </c>
      <c r="BY1277" s="18">
        <f>SUM($BC$6:BU1277) / $BY$4</f>
        <v>0.96589811681556359</v>
      </c>
      <c r="BZ1277" s="14">
        <f t="shared" si="80"/>
        <v>12</v>
      </c>
      <c r="CA1277" t="s">
        <v>5832</v>
      </c>
      <c r="CZ1277" t="s">
        <v>9710</v>
      </c>
      <c r="DA1277" t="s">
        <v>5904</v>
      </c>
      <c r="DB1277">
        <v>877.5</v>
      </c>
      <c r="DC1277" t="s">
        <v>25314</v>
      </c>
      <c r="DD1277" t="s">
        <v>25315</v>
      </c>
      <c r="DE1277" t="s">
        <v>25316</v>
      </c>
      <c r="DF1277" t="s">
        <v>25317</v>
      </c>
      <c r="DG1277" t="s">
        <v>25318</v>
      </c>
      <c r="DH1277" t="str">
        <f>"ARSA"</f>
        <v>ARSA</v>
      </c>
      <c r="DI1277" t="s">
        <v>13772</v>
      </c>
      <c r="DJ1277" t="s">
        <v>13777</v>
      </c>
      <c r="DK1277">
        <v>9606</v>
      </c>
      <c r="DL1277" s="34" t="str">
        <f>HYPERLINK("http://www.uniprot.org/uniprot/P15289", "P15289")</f>
        <v>P15289</v>
      </c>
      <c r="DM1277" t="s">
        <v>25319</v>
      </c>
      <c r="DN1277" t="s">
        <v>13772</v>
      </c>
      <c r="DO1277" t="s">
        <v>25320</v>
      </c>
      <c r="DP1277" t="s">
        <v>13780</v>
      </c>
      <c r="DQ1277" t="s">
        <v>13772</v>
      </c>
      <c r="DR1277" t="s">
        <v>25321</v>
      </c>
      <c r="DS1277" t="s">
        <v>13808</v>
      </c>
      <c r="DT1277" t="s">
        <v>13873</v>
      </c>
      <c r="DU1277" t="s">
        <v>13857</v>
      </c>
      <c r="DV1277" t="s">
        <v>13796</v>
      </c>
      <c r="DW1277" t="s">
        <v>13812</v>
      </c>
      <c r="DX1277" t="s">
        <v>25322</v>
      </c>
      <c r="DY1277" t="s">
        <v>25323</v>
      </c>
      <c r="DZ1277" t="s">
        <v>25324</v>
      </c>
      <c r="EA1277" t="s">
        <v>13772</v>
      </c>
      <c r="EB1277" t="s">
        <v>25325</v>
      </c>
    </row>
    <row r="1278" spans="1:132" hidden="1">
      <c r="A1278">
        <v>1265</v>
      </c>
      <c r="B1278">
        <v>1</v>
      </c>
      <c r="C1278" t="s">
        <v>3032</v>
      </c>
      <c r="D1278" t="s">
        <v>3033</v>
      </c>
      <c r="E1278" t="s">
        <v>73</v>
      </c>
      <c r="F1278" t="s">
        <v>73</v>
      </c>
      <c r="G1278" t="s">
        <v>73</v>
      </c>
      <c r="H1278">
        <v>6.6</v>
      </c>
      <c r="I1278">
        <v>2859</v>
      </c>
      <c r="J1278">
        <v>318178</v>
      </c>
      <c r="K1278" t="s">
        <v>3034</v>
      </c>
      <c r="L1278">
        <f t="shared" si="78"/>
        <v>17</v>
      </c>
      <c r="N1278">
        <v>17</v>
      </c>
      <c r="O1278">
        <v>17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8</v>
      </c>
      <c r="AB1278">
        <v>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</v>
      </c>
      <c r="AU1278">
        <v>9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8</v>
      </c>
      <c r="BN1278" s="2">
        <v>9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f t="shared" si="81"/>
        <v>17</v>
      </c>
      <c r="BW1278" s="16">
        <f t="shared" si="79"/>
        <v>0.89473684210526316</v>
      </c>
      <c r="BX1278" s="16">
        <f>COUNTIF($BC$6:BU1278, "=0") / COUNTIF($BC$6:BU1278, "&gt;-1")</f>
        <v>0.33691652540620992</v>
      </c>
      <c r="BY1278" s="18">
        <f>SUM($BC$6:BU1278) / $BY$4</f>
        <v>0.96597093864233152</v>
      </c>
      <c r="BZ1278" s="14">
        <f t="shared" si="80"/>
        <v>17</v>
      </c>
      <c r="CA1278" t="s">
        <v>5832</v>
      </c>
      <c r="CZ1278" t="s">
        <v>9947</v>
      </c>
      <c r="DA1278" t="s">
        <v>5904</v>
      </c>
      <c r="DB1278">
        <v>5316.9</v>
      </c>
      <c r="DC1278" t="s">
        <v>25982</v>
      </c>
      <c r="DD1278" t="s">
        <v>25983</v>
      </c>
      <c r="DE1278" t="s">
        <v>25984</v>
      </c>
      <c r="DF1278" t="s">
        <v>25985</v>
      </c>
      <c r="DG1278" t="s">
        <v>25986</v>
      </c>
      <c r="DH1278" t="str">
        <f>"LRBA"</f>
        <v>LRBA</v>
      </c>
      <c r="DI1278" t="s">
        <v>25987</v>
      </c>
      <c r="DJ1278" t="s">
        <v>13777</v>
      </c>
      <c r="DK1278">
        <v>9606</v>
      </c>
      <c r="DL1278" s="34" t="str">
        <f>HYPERLINK("http://www.uniprot.org/uniprot/P50851", "P50851")</f>
        <v>P50851</v>
      </c>
      <c r="DM1278" t="s">
        <v>25988</v>
      </c>
      <c r="DN1278" t="s">
        <v>13772</v>
      </c>
      <c r="DO1278" t="s">
        <v>25989</v>
      </c>
      <c r="DP1278" t="s">
        <v>13780</v>
      </c>
      <c r="DQ1278" t="s">
        <v>13772</v>
      </c>
      <c r="DR1278" t="s">
        <v>13807</v>
      </c>
      <c r="DS1278" t="s">
        <v>25990</v>
      </c>
      <c r="DT1278" t="s">
        <v>13772</v>
      </c>
      <c r="DU1278" t="s">
        <v>13772</v>
      </c>
      <c r="DV1278" t="s">
        <v>13886</v>
      </c>
      <c r="DW1278" t="s">
        <v>13812</v>
      </c>
      <c r="DX1278" t="s">
        <v>13772</v>
      </c>
      <c r="DY1278" t="s">
        <v>25991</v>
      </c>
      <c r="DZ1278" t="s">
        <v>13772</v>
      </c>
      <c r="EA1278" t="s">
        <v>13772</v>
      </c>
      <c r="EB1278" t="s">
        <v>13772</v>
      </c>
    </row>
    <row r="1279" spans="1:132" hidden="1">
      <c r="A1279">
        <v>1274</v>
      </c>
      <c r="B1279">
        <v>1</v>
      </c>
      <c r="C1279" t="s">
        <v>3056</v>
      </c>
      <c r="D1279" t="s">
        <v>73</v>
      </c>
      <c r="E1279" t="s">
        <v>73</v>
      </c>
      <c r="F1279" t="s">
        <v>73</v>
      </c>
      <c r="G1279" t="s">
        <v>73</v>
      </c>
      <c r="H1279">
        <v>14.4</v>
      </c>
      <c r="I1279">
        <v>507</v>
      </c>
      <c r="J1279">
        <v>55040</v>
      </c>
      <c r="K1279" t="s">
        <v>3057</v>
      </c>
      <c r="L1279">
        <f t="shared" si="78"/>
        <v>17</v>
      </c>
      <c r="N1279">
        <v>17</v>
      </c>
      <c r="O1279">
        <v>17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4</v>
      </c>
      <c r="AB1279">
        <v>4</v>
      </c>
      <c r="AC1279">
        <v>1</v>
      </c>
      <c r="AD1279">
        <v>0</v>
      </c>
      <c r="AE1279">
        <v>1</v>
      </c>
      <c r="AF1279">
        <v>3</v>
      </c>
      <c r="AG1279">
        <v>0</v>
      </c>
      <c r="AH1279">
        <v>0</v>
      </c>
      <c r="AI1279">
        <v>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4</v>
      </c>
      <c r="AU1279">
        <v>4</v>
      </c>
      <c r="AV1279">
        <v>1</v>
      </c>
      <c r="AW1279">
        <v>0</v>
      </c>
      <c r="AX1279">
        <v>1</v>
      </c>
      <c r="AY1279">
        <v>3</v>
      </c>
      <c r="AZ1279">
        <v>0</v>
      </c>
      <c r="BA1279">
        <v>0</v>
      </c>
      <c r="BB1279">
        <v>3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1</v>
      </c>
      <c r="BL1279" s="2">
        <v>0</v>
      </c>
      <c r="BM1279" s="2">
        <v>4</v>
      </c>
      <c r="BN1279" s="2">
        <v>4</v>
      </c>
      <c r="BO1279" s="2">
        <v>1</v>
      </c>
      <c r="BP1279" s="2">
        <v>0</v>
      </c>
      <c r="BQ1279" s="2">
        <v>1</v>
      </c>
      <c r="BR1279" s="2">
        <v>3</v>
      </c>
      <c r="BS1279" s="2">
        <v>0</v>
      </c>
      <c r="BT1279" s="2">
        <v>0</v>
      </c>
      <c r="BU1279" s="2">
        <v>3</v>
      </c>
      <c r="BV1279" s="2">
        <f t="shared" si="81"/>
        <v>17</v>
      </c>
      <c r="BW1279" s="16">
        <f t="shared" si="79"/>
        <v>0.89473684210526316</v>
      </c>
      <c r="BX1279" s="16">
        <f>COUNTIF($BC$6:BU1279, "=0") / COUNTIF($BC$6:BU1279, "&gt;-1")</f>
        <v>0.33714781459142362</v>
      </c>
      <c r="BY1279" s="18">
        <f>SUM($BC$6:BU1279) / $BY$4</f>
        <v>0.96604376046909946</v>
      </c>
      <c r="BZ1279" s="14">
        <f t="shared" si="80"/>
        <v>12</v>
      </c>
      <c r="CA1279" t="s">
        <v>5832</v>
      </c>
      <c r="CZ1279" t="s">
        <v>9980</v>
      </c>
      <c r="DA1279" t="s">
        <v>5904</v>
      </c>
      <c r="DB1279">
        <v>792.3</v>
      </c>
      <c r="DC1279" t="s">
        <v>26079</v>
      </c>
      <c r="DD1279" t="s">
        <v>26080</v>
      </c>
      <c r="DE1279" t="s">
        <v>26081</v>
      </c>
      <c r="DF1279" t="s">
        <v>26082</v>
      </c>
      <c r="DG1279" t="s">
        <v>26083</v>
      </c>
      <c r="DH1279" t="str">
        <f>"ANTXR2"</f>
        <v>ANTXR2</v>
      </c>
      <c r="DI1279" t="s">
        <v>26084</v>
      </c>
      <c r="DJ1279" t="s">
        <v>13777</v>
      </c>
      <c r="DK1279">
        <v>9606</v>
      </c>
      <c r="DL1279" s="34" t="str">
        <f>HYPERLINK("http://www.uniprot.org/uniprot/P58335", "P58335")</f>
        <v>P58335</v>
      </c>
      <c r="DM1279" t="s">
        <v>26085</v>
      </c>
      <c r="DN1279" t="s">
        <v>13772</v>
      </c>
      <c r="DO1279" t="s">
        <v>26086</v>
      </c>
      <c r="DP1279" t="s">
        <v>13780</v>
      </c>
      <c r="DQ1279" t="s">
        <v>13772</v>
      </c>
      <c r="DR1279" t="s">
        <v>13807</v>
      </c>
      <c r="DS1279" t="s">
        <v>13855</v>
      </c>
      <c r="DT1279" t="s">
        <v>18390</v>
      </c>
      <c r="DU1279" t="s">
        <v>13795</v>
      </c>
      <c r="DV1279" t="s">
        <v>13964</v>
      </c>
      <c r="DW1279" t="s">
        <v>13812</v>
      </c>
      <c r="DX1279" t="s">
        <v>26087</v>
      </c>
      <c r="DY1279" t="s">
        <v>26088</v>
      </c>
      <c r="DZ1279" t="s">
        <v>26089</v>
      </c>
      <c r="EA1279" t="s">
        <v>13772</v>
      </c>
      <c r="EB1279" t="s">
        <v>26090</v>
      </c>
    </row>
    <row r="1280" spans="1:132" hidden="1">
      <c r="A1280">
        <v>1438</v>
      </c>
      <c r="B1280">
        <v>1</v>
      </c>
      <c r="C1280" t="s">
        <v>3426</v>
      </c>
      <c r="D1280" t="s">
        <v>73</v>
      </c>
      <c r="E1280" t="s">
        <v>73</v>
      </c>
      <c r="F1280" t="s">
        <v>73</v>
      </c>
      <c r="G1280" t="s">
        <v>73</v>
      </c>
      <c r="H1280">
        <v>27.1</v>
      </c>
      <c r="I1280">
        <v>487</v>
      </c>
      <c r="J1280">
        <v>53483</v>
      </c>
      <c r="K1280" t="s">
        <v>3427</v>
      </c>
      <c r="L1280">
        <f t="shared" si="78"/>
        <v>17</v>
      </c>
      <c r="N1280">
        <v>17</v>
      </c>
      <c r="O1280">
        <v>17</v>
      </c>
      <c r="P1280">
        <v>1</v>
      </c>
      <c r="Q1280">
        <v>0</v>
      </c>
      <c r="R1280">
        <v>3</v>
      </c>
      <c r="S1280">
        <v>0</v>
      </c>
      <c r="T1280">
        <v>0</v>
      </c>
      <c r="U1280">
        <v>6</v>
      </c>
      <c r="V1280">
        <v>3</v>
      </c>
      <c r="W1280">
        <v>3</v>
      </c>
      <c r="X1280">
        <v>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</v>
      </c>
      <c r="AL1280">
        <v>0</v>
      </c>
      <c r="AM1280">
        <v>0</v>
      </c>
      <c r="AN1280">
        <v>6</v>
      </c>
      <c r="AO1280">
        <v>3</v>
      </c>
      <c r="AP1280">
        <v>3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 s="2">
        <v>0</v>
      </c>
      <c r="BD1280" s="2">
        <v>3</v>
      </c>
      <c r="BE1280" s="2">
        <v>0</v>
      </c>
      <c r="BF1280" s="2">
        <v>0</v>
      </c>
      <c r="BG1280" s="2">
        <v>6</v>
      </c>
      <c r="BH1280" s="2">
        <v>3</v>
      </c>
      <c r="BI1280" s="2">
        <v>3</v>
      </c>
      <c r="BJ1280" s="2">
        <v>1</v>
      </c>
      <c r="BK1280" s="2">
        <v>0</v>
      </c>
      <c r="BL1280" s="2">
        <v>0</v>
      </c>
      <c r="BM1280" s="2">
        <v>0</v>
      </c>
      <c r="BN1280" s="2">
        <v>1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f t="shared" si="81"/>
        <v>17</v>
      </c>
      <c r="BW1280" s="16">
        <f t="shared" si="79"/>
        <v>0.89473684210526316</v>
      </c>
      <c r="BX1280" s="16">
        <f>COUNTIF($BC$6:BU1280, "=0") / COUNTIF($BC$6:BU1280, "&gt;-1")</f>
        <v>0.33742002063983489</v>
      </c>
      <c r="BY1280" s="18">
        <f>SUM($BC$6:BU1280) / $BY$4</f>
        <v>0.96611658229586739</v>
      </c>
      <c r="BZ1280" s="14">
        <f t="shared" si="80"/>
        <v>13</v>
      </c>
      <c r="CA1280" t="s">
        <v>5832</v>
      </c>
      <c r="CZ1280" t="s">
        <v>10525</v>
      </c>
      <c r="DA1280" t="s">
        <v>5904</v>
      </c>
      <c r="DB1280">
        <v>926</v>
      </c>
      <c r="DC1280" t="s">
        <v>27598</v>
      </c>
      <c r="DD1280" t="s">
        <v>27599</v>
      </c>
      <c r="DE1280" t="s">
        <v>27600</v>
      </c>
      <c r="DF1280" t="s">
        <v>27601</v>
      </c>
      <c r="DG1280" t="s">
        <v>27602</v>
      </c>
      <c r="DH1280" t="str">
        <f>"ALDH8A1"</f>
        <v>ALDH8A1</v>
      </c>
      <c r="DI1280" t="s">
        <v>27603</v>
      </c>
      <c r="DJ1280" t="s">
        <v>13777</v>
      </c>
      <c r="DK1280">
        <v>9606</v>
      </c>
      <c r="DL1280" s="34" t="str">
        <f>HYPERLINK("http://www.uniprot.org/uniprot/Q9H2A2", "Q9H2A2")</f>
        <v>Q9H2A2</v>
      </c>
      <c r="DM1280" t="s">
        <v>27604</v>
      </c>
      <c r="DN1280" t="s">
        <v>13772</v>
      </c>
      <c r="DO1280" t="s">
        <v>13899</v>
      </c>
      <c r="DP1280" t="s">
        <v>13780</v>
      </c>
      <c r="DQ1280" t="s">
        <v>13772</v>
      </c>
      <c r="DR1280" t="s">
        <v>13772</v>
      </c>
      <c r="DS1280" t="s">
        <v>13772</v>
      </c>
      <c r="DT1280" t="s">
        <v>14492</v>
      </c>
      <c r="DU1280" t="s">
        <v>13885</v>
      </c>
      <c r="DV1280" t="s">
        <v>13782</v>
      </c>
      <c r="DW1280" t="s">
        <v>13772</v>
      </c>
      <c r="DX1280" t="s">
        <v>27605</v>
      </c>
      <c r="DY1280" t="s">
        <v>15111</v>
      </c>
      <c r="DZ1280" t="s">
        <v>27606</v>
      </c>
      <c r="EA1280" t="s">
        <v>27607</v>
      </c>
      <c r="EB1280" t="s">
        <v>15690</v>
      </c>
    </row>
    <row r="1281" spans="1:132" hidden="1">
      <c r="A1281">
        <v>1518</v>
      </c>
      <c r="B1281">
        <v>1</v>
      </c>
      <c r="C1281" t="s">
        <v>3613</v>
      </c>
      <c r="D1281" t="s">
        <v>3614</v>
      </c>
      <c r="E1281" t="s">
        <v>73</v>
      </c>
      <c r="F1281" t="s">
        <v>73</v>
      </c>
      <c r="G1281" t="s">
        <v>73</v>
      </c>
      <c r="H1281">
        <v>6.5</v>
      </c>
      <c r="I1281">
        <v>1164</v>
      </c>
      <c r="J1281">
        <v>123425</v>
      </c>
      <c r="K1281" t="s">
        <v>3615</v>
      </c>
      <c r="L1281">
        <f t="shared" si="78"/>
        <v>17</v>
      </c>
      <c r="N1281">
        <v>17</v>
      </c>
      <c r="O1281">
        <v>17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2</v>
      </c>
      <c r="Z1281">
        <v>0</v>
      </c>
      <c r="AA1281">
        <v>1</v>
      </c>
      <c r="AB1281">
        <v>2</v>
      </c>
      <c r="AC1281">
        <v>1</v>
      </c>
      <c r="AD1281">
        <v>0</v>
      </c>
      <c r="AE1281">
        <v>5</v>
      </c>
      <c r="AF1281">
        <v>4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2</v>
      </c>
      <c r="AS1281">
        <v>0</v>
      </c>
      <c r="AT1281">
        <v>1</v>
      </c>
      <c r="AU1281">
        <v>2</v>
      </c>
      <c r="AV1281">
        <v>1</v>
      </c>
      <c r="AW1281">
        <v>0</v>
      </c>
      <c r="AX1281">
        <v>5</v>
      </c>
      <c r="AY1281">
        <v>4</v>
      </c>
      <c r="AZ1281">
        <v>0</v>
      </c>
      <c r="BA1281">
        <v>0</v>
      </c>
      <c r="BB1281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2</v>
      </c>
      <c r="BL1281" s="2">
        <v>0</v>
      </c>
      <c r="BM1281" s="2">
        <v>1</v>
      </c>
      <c r="BN1281" s="2">
        <v>2</v>
      </c>
      <c r="BO1281" s="2">
        <v>1</v>
      </c>
      <c r="BP1281" s="2">
        <v>0</v>
      </c>
      <c r="BQ1281" s="2">
        <v>5</v>
      </c>
      <c r="BR1281" s="2">
        <v>4</v>
      </c>
      <c r="BS1281" s="2">
        <v>0</v>
      </c>
      <c r="BT1281" s="2">
        <v>0</v>
      </c>
      <c r="BU1281" s="2">
        <v>0</v>
      </c>
      <c r="BV1281" s="2">
        <f t="shared" si="81"/>
        <v>17</v>
      </c>
      <c r="BW1281" s="16">
        <f t="shared" si="79"/>
        <v>0.89473684210526316</v>
      </c>
      <c r="BX1281" s="16">
        <f>COUNTIF($BC$6:BU1281, "=0") / COUNTIF($BC$6:BU1281, "&gt;-1")</f>
        <v>0.33760930539514933</v>
      </c>
      <c r="BY1281" s="18">
        <f>SUM($BC$6:BU1281) / $BY$4</f>
        <v>0.96618940412263532</v>
      </c>
      <c r="BZ1281" s="14">
        <f t="shared" si="80"/>
        <v>11</v>
      </c>
      <c r="CA1281" t="s">
        <v>5832</v>
      </c>
      <c r="CZ1281" t="s">
        <v>10796</v>
      </c>
      <c r="DA1281" t="s">
        <v>5904</v>
      </c>
      <c r="DB1281">
        <v>1420.6</v>
      </c>
      <c r="DC1281" t="s">
        <v>28365</v>
      </c>
      <c r="DD1281" t="s">
        <v>13772</v>
      </c>
      <c r="DE1281" t="s">
        <v>28366</v>
      </c>
      <c r="DF1281" t="s">
        <v>28367</v>
      </c>
      <c r="DG1281" t="s">
        <v>28368</v>
      </c>
      <c r="DH1281" t="str">
        <f>"SYNPO"</f>
        <v>SYNPO</v>
      </c>
      <c r="DI1281" t="s">
        <v>28369</v>
      </c>
      <c r="DJ1281" t="s">
        <v>13777</v>
      </c>
      <c r="DK1281">
        <v>9606</v>
      </c>
      <c r="DL1281" s="34" t="str">
        <f>HYPERLINK("http://www.uniprot.org/uniprot/Q8N3V7", "Q8N3V7")</f>
        <v>Q8N3V7</v>
      </c>
      <c r="DM1281" t="s">
        <v>28370</v>
      </c>
      <c r="DN1281" t="s">
        <v>13772</v>
      </c>
      <c r="DO1281" t="s">
        <v>28371</v>
      </c>
      <c r="DP1281" t="s">
        <v>13841</v>
      </c>
      <c r="DQ1281" t="s">
        <v>13772</v>
      </c>
      <c r="DR1281" t="s">
        <v>13772</v>
      </c>
      <c r="DS1281" t="s">
        <v>13772</v>
      </c>
      <c r="DT1281" t="s">
        <v>13772</v>
      </c>
      <c r="DU1281" t="s">
        <v>13990</v>
      </c>
      <c r="DV1281" t="s">
        <v>14182</v>
      </c>
      <c r="DW1281" t="s">
        <v>13772</v>
      </c>
      <c r="DX1281" t="s">
        <v>28372</v>
      </c>
      <c r="DY1281" t="s">
        <v>28373</v>
      </c>
      <c r="DZ1281" t="s">
        <v>20032</v>
      </c>
      <c r="EA1281" t="s">
        <v>13772</v>
      </c>
      <c r="EB1281" t="s">
        <v>13772</v>
      </c>
    </row>
    <row r="1282" spans="1:132" hidden="1">
      <c r="A1282">
        <v>1603</v>
      </c>
      <c r="B1282">
        <v>1</v>
      </c>
      <c r="C1282" t="s">
        <v>3799</v>
      </c>
      <c r="D1282" t="s">
        <v>73</v>
      </c>
      <c r="E1282" t="s">
        <v>73</v>
      </c>
      <c r="F1282" t="s">
        <v>73</v>
      </c>
      <c r="G1282" t="s">
        <v>73</v>
      </c>
      <c r="H1282">
        <v>13.5</v>
      </c>
      <c r="I1282">
        <v>333</v>
      </c>
      <c r="J1282">
        <v>37173</v>
      </c>
      <c r="K1282" t="s">
        <v>3800</v>
      </c>
      <c r="L1282">
        <f t="shared" si="78"/>
        <v>17</v>
      </c>
      <c r="N1282">
        <v>17</v>
      </c>
      <c r="O1282">
        <v>17</v>
      </c>
      <c r="P1282">
        <v>1</v>
      </c>
      <c r="Q1282">
        <v>2</v>
      </c>
      <c r="R1282">
        <v>0</v>
      </c>
      <c r="S1282">
        <v>1</v>
      </c>
      <c r="T1282">
        <v>2</v>
      </c>
      <c r="U1282">
        <v>2</v>
      </c>
      <c r="V1282">
        <v>2</v>
      </c>
      <c r="W1282">
        <v>3</v>
      </c>
      <c r="X1282">
        <v>1</v>
      </c>
      <c r="Y1282">
        <v>0</v>
      </c>
      <c r="Z1282">
        <v>0</v>
      </c>
      <c r="AA1282">
        <v>2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1</v>
      </c>
      <c r="AM1282">
        <v>2</v>
      </c>
      <c r="AN1282">
        <v>2</v>
      </c>
      <c r="AO1282">
        <v>2</v>
      </c>
      <c r="AP1282">
        <v>3</v>
      </c>
      <c r="AQ1282">
        <v>1</v>
      </c>
      <c r="AR1282">
        <v>0</v>
      </c>
      <c r="AS1282">
        <v>0</v>
      </c>
      <c r="AT1282">
        <v>2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 s="2">
        <v>2</v>
      </c>
      <c r="BD1282" s="2">
        <v>0</v>
      </c>
      <c r="BE1282" s="2">
        <v>1</v>
      </c>
      <c r="BF1282" s="2">
        <v>2</v>
      </c>
      <c r="BG1282" s="2">
        <v>2</v>
      </c>
      <c r="BH1282" s="2">
        <v>2</v>
      </c>
      <c r="BI1282" s="2">
        <v>3</v>
      </c>
      <c r="BJ1282" s="2">
        <v>1</v>
      </c>
      <c r="BK1282" s="2">
        <v>0</v>
      </c>
      <c r="BL1282" s="2">
        <v>0</v>
      </c>
      <c r="BM1282" s="2">
        <v>2</v>
      </c>
      <c r="BN1282" s="2">
        <v>0</v>
      </c>
      <c r="BO1282" s="2">
        <v>0</v>
      </c>
      <c r="BP1282" s="2">
        <v>0</v>
      </c>
      <c r="BQ1282" s="2">
        <v>1</v>
      </c>
      <c r="BR1282" s="2">
        <v>1</v>
      </c>
      <c r="BS1282" s="2">
        <v>0</v>
      </c>
      <c r="BT1282" s="2">
        <v>0</v>
      </c>
      <c r="BU1282" s="2">
        <v>0</v>
      </c>
      <c r="BV1282" s="2">
        <f t="shared" si="81"/>
        <v>17</v>
      </c>
      <c r="BW1282" s="16">
        <f t="shared" si="79"/>
        <v>0.89473684210526316</v>
      </c>
      <c r="BX1282" s="16">
        <f>COUNTIF($BC$6:BU1282, "=0") / COUNTIF($BC$6:BU1282, "&gt;-1")</f>
        <v>0.33771586366071799</v>
      </c>
      <c r="BY1282" s="18">
        <f>SUM($BC$6:BU1282) / $BY$4</f>
        <v>0.96626222594940314</v>
      </c>
      <c r="BZ1282" s="14">
        <f t="shared" si="80"/>
        <v>9</v>
      </c>
      <c r="CA1282" t="s">
        <v>5832</v>
      </c>
      <c r="CZ1282" t="s">
        <v>11085</v>
      </c>
      <c r="DA1282" t="s">
        <v>5904</v>
      </c>
      <c r="DB1282">
        <v>301.2</v>
      </c>
      <c r="DC1282" t="s">
        <v>29171</v>
      </c>
      <c r="DD1282" t="s">
        <v>29172</v>
      </c>
      <c r="DE1282" t="s">
        <v>29173</v>
      </c>
      <c r="DF1282" t="s">
        <v>29174</v>
      </c>
      <c r="DG1282" t="s">
        <v>29175</v>
      </c>
      <c r="DH1282" t="str">
        <f>"TIMD4"</f>
        <v>TIMD4</v>
      </c>
      <c r="DI1282" t="s">
        <v>29176</v>
      </c>
      <c r="DJ1282" t="s">
        <v>13777</v>
      </c>
      <c r="DK1282">
        <v>9606</v>
      </c>
      <c r="DL1282" s="34" t="str">
        <f>HYPERLINK("http://www.uniprot.org/uniprot/Q96H15", "Q96H15")</f>
        <v>Q96H15</v>
      </c>
      <c r="DM1282" t="s">
        <v>29177</v>
      </c>
      <c r="DN1282" t="s">
        <v>13772</v>
      </c>
      <c r="DO1282" t="s">
        <v>13825</v>
      </c>
      <c r="DP1282" t="s">
        <v>13780</v>
      </c>
      <c r="DQ1282" t="s">
        <v>13772</v>
      </c>
      <c r="DR1282" t="s">
        <v>13772</v>
      </c>
      <c r="DS1282" t="s">
        <v>13794</v>
      </c>
      <c r="DT1282" t="s">
        <v>13772</v>
      </c>
      <c r="DU1282" t="s">
        <v>13772</v>
      </c>
      <c r="DV1282" t="s">
        <v>13964</v>
      </c>
      <c r="DW1282" t="s">
        <v>13812</v>
      </c>
      <c r="DX1282" t="s">
        <v>13772</v>
      </c>
      <c r="DY1282" t="s">
        <v>15378</v>
      </c>
      <c r="DZ1282" t="s">
        <v>13772</v>
      </c>
      <c r="EA1282" t="s">
        <v>13772</v>
      </c>
      <c r="EB1282" t="s">
        <v>13772</v>
      </c>
    </row>
    <row r="1283" spans="1:132" hidden="1">
      <c r="A1283">
        <v>1635</v>
      </c>
      <c r="B1283">
        <v>1</v>
      </c>
      <c r="C1283" t="s">
        <v>3877</v>
      </c>
      <c r="D1283" t="s">
        <v>73</v>
      </c>
      <c r="E1283" t="s">
        <v>73</v>
      </c>
      <c r="F1283" t="s">
        <v>73</v>
      </c>
      <c r="G1283" t="s">
        <v>73</v>
      </c>
      <c r="H1283">
        <v>34.9</v>
      </c>
      <c r="I1283">
        <v>195</v>
      </c>
      <c r="J1283">
        <v>21682</v>
      </c>
      <c r="K1283" t="s">
        <v>3878</v>
      </c>
      <c r="L1283">
        <f t="shared" si="78"/>
        <v>17</v>
      </c>
      <c r="N1283">
        <v>17</v>
      </c>
      <c r="O1283">
        <v>17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2</v>
      </c>
      <c r="Z1283">
        <v>0</v>
      </c>
      <c r="AA1283">
        <v>0</v>
      </c>
      <c r="AB1283">
        <v>3</v>
      </c>
      <c r="AC1283">
        <v>0</v>
      </c>
      <c r="AD1283">
        <v>0</v>
      </c>
      <c r="AE1283">
        <v>0</v>
      </c>
      <c r="AF1283">
        <v>9</v>
      </c>
      <c r="AG1283">
        <v>0</v>
      </c>
      <c r="AH1283">
        <v>0</v>
      </c>
      <c r="AI1283">
        <v>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2</v>
      </c>
      <c r="AS1283">
        <v>0</v>
      </c>
      <c r="AT1283">
        <v>0</v>
      </c>
      <c r="AU1283">
        <v>3</v>
      </c>
      <c r="AV1283">
        <v>0</v>
      </c>
      <c r="AW1283">
        <v>0</v>
      </c>
      <c r="AX1283">
        <v>0</v>
      </c>
      <c r="AY1283">
        <v>9</v>
      </c>
      <c r="AZ1283">
        <v>0</v>
      </c>
      <c r="BA1283">
        <v>0</v>
      </c>
      <c r="BB1283">
        <v>2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2</v>
      </c>
      <c r="BL1283" s="2">
        <v>0</v>
      </c>
      <c r="BM1283" s="2">
        <v>0</v>
      </c>
      <c r="BN1283" s="2">
        <v>3</v>
      </c>
      <c r="BO1283" s="2">
        <v>0</v>
      </c>
      <c r="BP1283" s="2">
        <v>0</v>
      </c>
      <c r="BQ1283" s="2">
        <v>0</v>
      </c>
      <c r="BR1283" s="2">
        <v>9</v>
      </c>
      <c r="BS1283" s="2">
        <v>0</v>
      </c>
      <c r="BT1283" s="2">
        <v>0</v>
      </c>
      <c r="BU1283" s="2">
        <v>2</v>
      </c>
      <c r="BV1283" s="2">
        <f t="shared" si="81"/>
        <v>17</v>
      </c>
      <c r="BW1283" s="16">
        <f t="shared" si="79"/>
        <v>0.89473684210526316</v>
      </c>
      <c r="BX1283" s="16">
        <f>COUNTIF($BC$6:BU1283, "=0") / COUNTIF($BC$6:BU1283, "&gt;-1")</f>
        <v>0.3380281690140845</v>
      </c>
      <c r="BY1283" s="18">
        <f>SUM($BC$6:BU1283) / $BY$4</f>
        <v>0.96633504777617107</v>
      </c>
      <c r="BZ1283" s="14">
        <f t="shared" si="80"/>
        <v>14</v>
      </c>
      <c r="CA1283" t="s">
        <v>5832</v>
      </c>
      <c r="CZ1283" t="s">
        <v>11197</v>
      </c>
      <c r="DA1283" t="s">
        <v>5904</v>
      </c>
      <c r="DB1283">
        <v>352.1</v>
      </c>
      <c r="DC1283" t="s">
        <v>29472</v>
      </c>
      <c r="DD1283" t="s">
        <v>29473</v>
      </c>
      <c r="DE1283" t="s">
        <v>29474</v>
      </c>
      <c r="DF1283" t="s">
        <v>29475</v>
      </c>
      <c r="DG1283" t="s">
        <v>29476</v>
      </c>
      <c r="DH1283" t="str">
        <f>"PGRMC1 PGRMC"</f>
        <v>PGRMC1 PGRMC</v>
      </c>
      <c r="DI1283" t="s">
        <v>13772</v>
      </c>
      <c r="DJ1283" t="s">
        <v>13777</v>
      </c>
      <c r="DK1283">
        <v>9606</v>
      </c>
      <c r="DL1283" s="34" t="str">
        <f>HYPERLINK("http://www.uniprot.org/uniprot/O00264", "O00264")</f>
        <v>O00264</v>
      </c>
      <c r="DM1283" t="s">
        <v>29477</v>
      </c>
      <c r="DN1283" t="s">
        <v>13772</v>
      </c>
      <c r="DO1283" t="s">
        <v>25259</v>
      </c>
      <c r="DP1283" t="s">
        <v>13841</v>
      </c>
      <c r="DQ1283" t="s">
        <v>13772</v>
      </c>
      <c r="DR1283" t="s">
        <v>13772</v>
      </c>
      <c r="DS1283" t="s">
        <v>13925</v>
      </c>
      <c r="DT1283" t="s">
        <v>15731</v>
      </c>
      <c r="DU1283" t="s">
        <v>13795</v>
      </c>
      <c r="DV1283" t="s">
        <v>13782</v>
      </c>
      <c r="DW1283" t="s">
        <v>13812</v>
      </c>
      <c r="DX1283" t="s">
        <v>14651</v>
      </c>
      <c r="DY1283" t="s">
        <v>29478</v>
      </c>
      <c r="DZ1283" t="s">
        <v>29479</v>
      </c>
      <c r="EA1283" t="s">
        <v>13772</v>
      </c>
      <c r="EB1283" t="s">
        <v>13890</v>
      </c>
    </row>
    <row r="1284" spans="1:132" hidden="1">
      <c r="A1284">
        <v>1768</v>
      </c>
      <c r="B1284">
        <v>1</v>
      </c>
      <c r="C1284" t="s">
        <v>4184</v>
      </c>
      <c r="D1284" t="s">
        <v>4185</v>
      </c>
      <c r="E1284" t="s">
        <v>73</v>
      </c>
      <c r="F1284" t="s">
        <v>73</v>
      </c>
      <c r="G1284" t="s">
        <v>73</v>
      </c>
      <c r="H1284">
        <v>27.4</v>
      </c>
      <c r="I1284">
        <v>248</v>
      </c>
      <c r="J1284">
        <v>27266</v>
      </c>
      <c r="K1284" t="s">
        <v>4186</v>
      </c>
      <c r="L1284">
        <f t="shared" si="78"/>
        <v>17</v>
      </c>
      <c r="N1284">
        <v>17</v>
      </c>
      <c r="O1284">
        <v>17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8</v>
      </c>
      <c r="Z1284">
        <v>0</v>
      </c>
      <c r="AA1284">
        <v>2</v>
      </c>
      <c r="AB1284">
        <v>1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8</v>
      </c>
      <c r="AS1284">
        <v>0</v>
      </c>
      <c r="AT1284">
        <v>2</v>
      </c>
      <c r="AU1284">
        <v>1</v>
      </c>
      <c r="AV1284">
        <v>1</v>
      </c>
      <c r="AW1284">
        <v>0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0</v>
      </c>
      <c r="BJ1284" s="2">
        <v>1</v>
      </c>
      <c r="BK1284" s="2">
        <v>8</v>
      </c>
      <c r="BL1284" s="2">
        <v>0</v>
      </c>
      <c r="BM1284" s="2">
        <v>2</v>
      </c>
      <c r="BN1284" s="2">
        <v>1</v>
      </c>
      <c r="BO1284" s="2">
        <v>1</v>
      </c>
      <c r="BP1284" s="2">
        <v>0</v>
      </c>
      <c r="BQ1284" s="2">
        <v>1</v>
      </c>
      <c r="BR1284" s="2">
        <v>1</v>
      </c>
      <c r="BS1284" s="2">
        <v>0</v>
      </c>
      <c r="BT1284" s="2">
        <v>0</v>
      </c>
      <c r="BU1284" s="2">
        <v>0</v>
      </c>
      <c r="BV1284" s="2">
        <f t="shared" si="81"/>
        <v>17</v>
      </c>
      <c r="BW1284" s="16">
        <f t="shared" si="79"/>
        <v>0.89473684210526316</v>
      </c>
      <c r="BX1284" s="16">
        <f>COUNTIF($BC$6:BU1284, "=0") / COUNTIF($BC$6:BU1284, "&gt;-1")</f>
        <v>0.33817538372906464</v>
      </c>
      <c r="BY1284" s="18">
        <f>SUM($BC$6:BU1284) / $BY$4</f>
        <v>0.96640786960293901</v>
      </c>
      <c r="BZ1284" s="14">
        <f t="shared" si="80"/>
        <v>10</v>
      </c>
      <c r="CA1284" t="s">
        <v>5832</v>
      </c>
      <c r="CZ1284" t="s">
        <v>11650</v>
      </c>
      <c r="DA1284" t="s">
        <v>5904</v>
      </c>
      <c r="DB1284">
        <v>485</v>
      </c>
      <c r="DC1284" t="s">
        <v>30772</v>
      </c>
      <c r="DD1284" t="s">
        <v>30773</v>
      </c>
      <c r="DE1284" t="s">
        <v>30774</v>
      </c>
      <c r="DF1284" t="s">
        <v>30775</v>
      </c>
      <c r="DG1284" t="s">
        <v>30776</v>
      </c>
      <c r="DH1284" t="str">
        <f>"EIF4H"</f>
        <v>EIF4H</v>
      </c>
      <c r="DI1284" t="s">
        <v>30777</v>
      </c>
      <c r="DJ1284" t="s">
        <v>13777</v>
      </c>
      <c r="DK1284">
        <v>9606</v>
      </c>
      <c r="DL1284" s="34" t="str">
        <f>HYPERLINK("http://www.uniprot.org/uniprot/Q15056", "Q15056")</f>
        <v>Q15056</v>
      </c>
      <c r="DM1284" t="s">
        <v>30778</v>
      </c>
      <c r="DN1284" t="s">
        <v>14361</v>
      </c>
      <c r="DO1284" t="s">
        <v>13899</v>
      </c>
      <c r="DP1284" t="s">
        <v>13841</v>
      </c>
      <c r="DQ1284" t="s">
        <v>13772</v>
      </c>
      <c r="DR1284" t="s">
        <v>30779</v>
      </c>
      <c r="DS1284" t="s">
        <v>13772</v>
      </c>
      <c r="DT1284" t="s">
        <v>13772</v>
      </c>
      <c r="DU1284" t="s">
        <v>15189</v>
      </c>
      <c r="DV1284" t="s">
        <v>14098</v>
      </c>
      <c r="DW1284" t="s">
        <v>13772</v>
      </c>
      <c r="DX1284" t="s">
        <v>30780</v>
      </c>
      <c r="DY1284" t="s">
        <v>30781</v>
      </c>
      <c r="DZ1284" t="s">
        <v>30782</v>
      </c>
      <c r="EA1284" t="s">
        <v>13772</v>
      </c>
      <c r="EB1284" t="s">
        <v>30783</v>
      </c>
    </row>
    <row r="1285" spans="1:132" hidden="1">
      <c r="A1285">
        <v>1829</v>
      </c>
      <c r="B1285">
        <v>1</v>
      </c>
      <c r="C1285" t="s">
        <v>4324</v>
      </c>
      <c r="D1285" t="s">
        <v>73</v>
      </c>
      <c r="E1285" t="s">
        <v>73</v>
      </c>
      <c r="F1285" t="s">
        <v>73</v>
      </c>
      <c r="G1285" t="s">
        <v>73</v>
      </c>
      <c r="H1285">
        <v>25.5</v>
      </c>
      <c r="I1285">
        <v>455</v>
      </c>
      <c r="J1285">
        <v>49839</v>
      </c>
      <c r="K1285" t="s">
        <v>4325</v>
      </c>
      <c r="L1285">
        <f t="shared" si="78"/>
        <v>17</v>
      </c>
      <c r="N1285">
        <v>17</v>
      </c>
      <c r="O1285">
        <v>17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2</v>
      </c>
      <c r="W1285">
        <v>3</v>
      </c>
      <c r="X1285">
        <v>3</v>
      </c>
      <c r="Y1285">
        <v>1</v>
      </c>
      <c r="Z1285">
        <v>0</v>
      </c>
      <c r="AA1285">
        <v>4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2</v>
      </c>
      <c r="AP1285">
        <v>3</v>
      </c>
      <c r="AQ1285">
        <v>3</v>
      </c>
      <c r="AR1285">
        <v>1</v>
      </c>
      <c r="AS1285">
        <v>0</v>
      </c>
      <c r="AT1285">
        <v>4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 s="2">
        <v>0</v>
      </c>
      <c r="BD1285" s="2">
        <v>1</v>
      </c>
      <c r="BE1285" s="2">
        <v>0</v>
      </c>
      <c r="BF1285" s="2">
        <v>0</v>
      </c>
      <c r="BG1285" s="2">
        <v>1</v>
      </c>
      <c r="BH1285" s="2">
        <v>2</v>
      </c>
      <c r="BI1285" s="2">
        <v>3</v>
      </c>
      <c r="BJ1285" s="2">
        <v>3</v>
      </c>
      <c r="BK1285" s="2">
        <v>1</v>
      </c>
      <c r="BL1285" s="2">
        <v>0</v>
      </c>
      <c r="BM1285" s="2">
        <v>4</v>
      </c>
      <c r="BN1285" s="2">
        <v>1</v>
      </c>
      <c r="BO1285" s="2">
        <v>0</v>
      </c>
      <c r="BP1285" s="2">
        <v>0</v>
      </c>
      <c r="BQ1285" s="2">
        <v>0</v>
      </c>
      <c r="BR1285" s="2">
        <v>1</v>
      </c>
      <c r="BS1285" s="2">
        <v>0</v>
      </c>
      <c r="BT1285" s="2">
        <v>0</v>
      </c>
      <c r="BU1285" s="2">
        <v>0</v>
      </c>
      <c r="BV1285" s="2">
        <f t="shared" si="81"/>
        <v>17</v>
      </c>
      <c r="BW1285" s="16">
        <f t="shared" si="79"/>
        <v>0.89473684210526316</v>
      </c>
      <c r="BX1285" s="16">
        <f>COUNTIF($BC$6:BU1285, "=0") / COUNTIF($BC$6:BU1285, "&gt;-1")</f>
        <v>0.33832236842105262</v>
      </c>
      <c r="BY1285" s="18">
        <f>SUM($BC$6:BU1285) / $BY$4</f>
        <v>0.96648069142970694</v>
      </c>
      <c r="BZ1285" s="14">
        <f t="shared" si="80"/>
        <v>10</v>
      </c>
      <c r="CA1285" t="s">
        <v>5832</v>
      </c>
      <c r="CZ1285" t="s">
        <v>11856</v>
      </c>
      <c r="DA1285" t="s">
        <v>5904</v>
      </c>
      <c r="DB1285">
        <v>647.1</v>
      </c>
      <c r="DC1285" t="s">
        <v>31369</v>
      </c>
      <c r="DD1285" t="s">
        <v>31370</v>
      </c>
      <c r="DE1285" t="s">
        <v>31371</v>
      </c>
      <c r="DF1285" t="s">
        <v>31372</v>
      </c>
      <c r="DG1285" t="s">
        <v>13772</v>
      </c>
      <c r="DH1285" t="str">
        <f>"TOR1AIP2"</f>
        <v>TOR1AIP2</v>
      </c>
      <c r="DI1285" t="s">
        <v>31373</v>
      </c>
      <c r="DJ1285" t="s">
        <v>13777</v>
      </c>
      <c r="DK1285">
        <v>9606</v>
      </c>
      <c r="DL1285" s="34" t="str">
        <f>HYPERLINK("http://www.uniprot.org/uniprot/Q8NFQ8", "Q8NFQ8")</f>
        <v>Q8NFQ8</v>
      </c>
      <c r="DM1285" t="s">
        <v>31374</v>
      </c>
      <c r="DN1285" t="s">
        <v>13772</v>
      </c>
      <c r="DO1285" t="s">
        <v>20410</v>
      </c>
      <c r="DP1285" t="s">
        <v>13841</v>
      </c>
      <c r="DQ1285" t="s">
        <v>13772</v>
      </c>
      <c r="DR1285" t="s">
        <v>13772</v>
      </c>
      <c r="DS1285" t="s">
        <v>13925</v>
      </c>
      <c r="DT1285" t="s">
        <v>13772</v>
      </c>
      <c r="DU1285" t="s">
        <v>13772</v>
      </c>
      <c r="DV1285" t="s">
        <v>14182</v>
      </c>
      <c r="DW1285" t="s">
        <v>13812</v>
      </c>
      <c r="DX1285" t="s">
        <v>31375</v>
      </c>
      <c r="DY1285" t="s">
        <v>31376</v>
      </c>
      <c r="DZ1285" t="s">
        <v>31377</v>
      </c>
      <c r="EA1285" t="s">
        <v>13772</v>
      </c>
      <c r="EB1285" t="s">
        <v>13772</v>
      </c>
    </row>
    <row r="1286" spans="1:132" hidden="1">
      <c r="A1286">
        <v>1918</v>
      </c>
      <c r="B1286">
        <v>1</v>
      </c>
      <c r="C1286" t="s">
        <v>4518</v>
      </c>
      <c r="D1286" t="s">
        <v>4519</v>
      </c>
      <c r="E1286" t="s">
        <v>73</v>
      </c>
      <c r="F1286" t="s">
        <v>73</v>
      </c>
      <c r="G1286" t="s">
        <v>73</v>
      </c>
      <c r="H1286">
        <v>10.199999999999999</v>
      </c>
      <c r="I1286">
        <v>719</v>
      </c>
      <c r="J1286">
        <v>78045</v>
      </c>
      <c r="K1286" t="s">
        <v>4520</v>
      </c>
      <c r="L1286">
        <f t="shared" ref="L1286:L1349" si="82">N1286</f>
        <v>17</v>
      </c>
      <c r="N1286">
        <v>17</v>
      </c>
      <c r="O1286">
        <v>17</v>
      </c>
      <c r="P1286">
        <v>1</v>
      </c>
      <c r="Q1286">
        <v>0</v>
      </c>
      <c r="R1286">
        <v>2</v>
      </c>
      <c r="S1286">
        <v>2</v>
      </c>
      <c r="T1286">
        <v>2</v>
      </c>
      <c r="U1286">
        <v>3</v>
      </c>
      <c r="V1286">
        <v>4</v>
      </c>
      <c r="W1286">
        <v>2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2</v>
      </c>
      <c r="AM1286">
        <v>2</v>
      </c>
      <c r="AN1286">
        <v>3</v>
      </c>
      <c r="AO1286">
        <v>4</v>
      </c>
      <c r="AP1286">
        <v>2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 s="2">
        <v>0</v>
      </c>
      <c r="BD1286" s="2">
        <v>2</v>
      </c>
      <c r="BE1286" s="2">
        <v>2</v>
      </c>
      <c r="BF1286" s="2">
        <v>2</v>
      </c>
      <c r="BG1286" s="2">
        <v>3</v>
      </c>
      <c r="BH1286" s="2">
        <v>4</v>
      </c>
      <c r="BI1286" s="2">
        <v>2</v>
      </c>
      <c r="BJ1286" s="2">
        <v>1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f t="shared" si="81"/>
        <v>17</v>
      </c>
      <c r="BW1286" s="16">
        <f t="shared" ref="BW1286:BW1349" si="83">AVERAGE(BC1286:BU1286)</f>
        <v>0.89473684210526316</v>
      </c>
      <c r="BX1286" s="16">
        <f>COUNTIF($BC$6:BU1286, "=0") / COUNTIF($BC$6:BU1286, "&gt;-1")</f>
        <v>0.33851020995110725</v>
      </c>
      <c r="BY1286" s="18">
        <f>SUM($BC$6:BU1286) / $BY$4</f>
        <v>0.96655351325647487</v>
      </c>
      <c r="BZ1286" s="14">
        <f t="shared" ref="BZ1286:BZ1349" si="84">19-COUNTIF(BC1286:BU1286, "&gt;0")</f>
        <v>11</v>
      </c>
      <c r="CA1286" t="s">
        <v>5832</v>
      </c>
      <c r="CZ1286" t="s">
        <v>12144</v>
      </c>
      <c r="DA1286" t="s">
        <v>5904</v>
      </c>
      <c r="DB1286">
        <v>856.7</v>
      </c>
      <c r="DC1286" t="s">
        <v>32148</v>
      </c>
      <c r="DD1286" t="s">
        <v>32149</v>
      </c>
      <c r="DE1286" t="s">
        <v>32150</v>
      </c>
      <c r="DF1286" t="s">
        <v>32151</v>
      </c>
      <c r="DG1286" t="s">
        <v>32152</v>
      </c>
      <c r="DH1286" t="str">
        <f>"ENG"</f>
        <v>ENG</v>
      </c>
      <c r="DI1286" t="s">
        <v>32153</v>
      </c>
      <c r="DJ1286" t="s">
        <v>13777</v>
      </c>
      <c r="DK1286">
        <v>9606</v>
      </c>
      <c r="DL1286" s="34" t="str">
        <f>HYPERLINK("http://www.uniprot.org/uniprot/P17813", "P17813")</f>
        <v>P17813</v>
      </c>
      <c r="DM1286" t="s">
        <v>32154</v>
      </c>
      <c r="DN1286" t="s">
        <v>16808</v>
      </c>
      <c r="DO1286" t="s">
        <v>13792</v>
      </c>
      <c r="DP1286" t="s">
        <v>13780</v>
      </c>
      <c r="DQ1286" t="s">
        <v>13772</v>
      </c>
      <c r="DR1286" t="s">
        <v>13807</v>
      </c>
      <c r="DS1286" t="s">
        <v>13855</v>
      </c>
      <c r="DT1286" t="s">
        <v>13772</v>
      </c>
      <c r="DU1286" t="s">
        <v>13772</v>
      </c>
      <c r="DV1286" t="s">
        <v>13964</v>
      </c>
      <c r="DW1286" t="s">
        <v>13812</v>
      </c>
      <c r="DX1286" t="s">
        <v>32155</v>
      </c>
      <c r="DY1286" t="s">
        <v>32156</v>
      </c>
      <c r="DZ1286" t="s">
        <v>32157</v>
      </c>
      <c r="EA1286" t="s">
        <v>13772</v>
      </c>
      <c r="EB1286" t="s">
        <v>13772</v>
      </c>
    </row>
    <row r="1287" spans="1:132" hidden="1">
      <c r="A1287">
        <v>1896</v>
      </c>
      <c r="B1287">
        <v>1</v>
      </c>
      <c r="C1287" t="s">
        <v>4473</v>
      </c>
      <c r="D1287" t="s">
        <v>73</v>
      </c>
      <c r="E1287" t="s">
        <v>73</v>
      </c>
      <c r="F1287" t="s">
        <v>1480</v>
      </c>
      <c r="G1287" t="s">
        <v>73</v>
      </c>
      <c r="H1287">
        <v>79.8</v>
      </c>
      <c r="I1287">
        <v>129</v>
      </c>
      <c r="J1287">
        <v>14403</v>
      </c>
      <c r="K1287" t="s">
        <v>4474</v>
      </c>
      <c r="L1287">
        <f t="shared" si="82"/>
        <v>528</v>
      </c>
      <c r="N1287">
        <v>528</v>
      </c>
      <c r="O1287">
        <v>0</v>
      </c>
      <c r="P1287">
        <v>0</v>
      </c>
      <c r="Q1287">
        <v>40</v>
      </c>
      <c r="R1287">
        <v>0</v>
      </c>
      <c r="S1287">
        <v>2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169</v>
      </c>
      <c r="Z1287">
        <v>129</v>
      </c>
      <c r="AA1287">
        <v>61</v>
      </c>
      <c r="AB1287">
        <v>16</v>
      </c>
      <c r="AC1287">
        <v>18</v>
      </c>
      <c r="AD1287">
        <v>13</v>
      </c>
      <c r="AE1287">
        <v>19</v>
      </c>
      <c r="AF1287">
        <v>11</v>
      </c>
      <c r="AG1287">
        <v>14</v>
      </c>
      <c r="AH1287">
        <v>12</v>
      </c>
      <c r="AI1287">
        <v>23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 s="2">
        <v>2</v>
      </c>
      <c r="BD1287" s="2">
        <v>0</v>
      </c>
      <c r="BE1287" s="2">
        <v>0.33300000000000002</v>
      </c>
      <c r="BF1287" s="2">
        <v>0</v>
      </c>
      <c r="BG1287" s="2">
        <v>0</v>
      </c>
      <c r="BH1287" s="2">
        <v>0</v>
      </c>
      <c r="BI1287" s="2">
        <v>0.16700000000000001</v>
      </c>
      <c r="BJ1287" s="2">
        <v>0</v>
      </c>
      <c r="BK1287" s="2">
        <v>2</v>
      </c>
      <c r="BL1287" s="2">
        <v>1</v>
      </c>
      <c r="BM1287" s="2">
        <v>5.5</v>
      </c>
      <c r="BN1287" s="2">
        <v>0.5</v>
      </c>
      <c r="BO1287" s="2">
        <v>0.33300000000000002</v>
      </c>
      <c r="BP1287" s="2">
        <v>0.66700000000000004</v>
      </c>
      <c r="BQ1287" s="2">
        <v>0.66700000000000004</v>
      </c>
      <c r="BR1287" s="2">
        <v>1.083</v>
      </c>
      <c r="BS1287" s="2">
        <v>1.5</v>
      </c>
      <c r="BT1287" s="2">
        <v>0</v>
      </c>
      <c r="BU1287" s="2">
        <v>1</v>
      </c>
      <c r="BV1287" s="2">
        <f t="shared" ref="BV1287:BV1350" si="85">SUM(BC1287:BU1287)</f>
        <v>16.75</v>
      </c>
      <c r="BW1287" s="16">
        <f t="shared" si="83"/>
        <v>0.88157894736842102</v>
      </c>
      <c r="BX1287" s="16">
        <f>COUNTIF($BC$6:BU1287, "=0") / COUNTIF($BC$6:BU1287, "&gt;-1")</f>
        <v>0.33849248706790375</v>
      </c>
      <c r="BY1287" s="18">
        <f>SUM($BC$6:BU1287) / $BY$4</f>
        <v>0.9666252641740255</v>
      </c>
      <c r="BZ1287" s="14">
        <f t="shared" si="84"/>
        <v>6</v>
      </c>
      <c r="CA1287" t="s">
        <v>5832</v>
      </c>
      <c r="CZ1287" t="s">
        <v>7762</v>
      </c>
      <c r="DA1287" t="s">
        <v>5904</v>
      </c>
      <c r="DB1287">
        <v>185.7</v>
      </c>
      <c r="DC1287" t="s">
        <v>19672</v>
      </c>
      <c r="DD1287" t="s">
        <v>19673</v>
      </c>
      <c r="DE1287" t="s">
        <v>19674</v>
      </c>
      <c r="DF1287" t="s">
        <v>19675</v>
      </c>
      <c r="DG1287" t="s">
        <v>19676</v>
      </c>
      <c r="DH1287" t="str">
        <f>"SAA1"</f>
        <v>SAA1</v>
      </c>
      <c r="DI1287" t="s">
        <v>13772</v>
      </c>
      <c r="DJ1287" t="s">
        <v>13777</v>
      </c>
      <c r="DK1287">
        <v>9606</v>
      </c>
      <c r="DL1287" s="34" t="str">
        <f>HYPERLINK("http://www.uniprot.org/uniprot/P0DJI8", "P0DJI8")</f>
        <v>P0DJI8</v>
      </c>
      <c r="DM1287" t="s">
        <v>19677</v>
      </c>
      <c r="DN1287" t="s">
        <v>14374</v>
      </c>
      <c r="DO1287" t="s">
        <v>19678</v>
      </c>
      <c r="DP1287" t="s">
        <v>13793</v>
      </c>
      <c r="DQ1287" t="s">
        <v>13772</v>
      </c>
      <c r="DR1287" t="s">
        <v>19679</v>
      </c>
      <c r="DS1287" t="s">
        <v>13808</v>
      </c>
      <c r="DT1287" t="s">
        <v>13772</v>
      </c>
      <c r="DU1287" t="s">
        <v>14073</v>
      </c>
      <c r="DV1287" t="s">
        <v>17914</v>
      </c>
      <c r="DW1287" t="s">
        <v>13812</v>
      </c>
      <c r="DX1287" t="s">
        <v>19680</v>
      </c>
      <c r="DY1287" t="s">
        <v>19681</v>
      </c>
      <c r="DZ1287" t="s">
        <v>19682</v>
      </c>
      <c r="EA1287" t="s">
        <v>13772</v>
      </c>
      <c r="EB1287" t="s">
        <v>19683</v>
      </c>
    </row>
    <row r="1288" spans="1:132" hidden="1">
      <c r="A1288">
        <v>825</v>
      </c>
      <c r="B1288">
        <v>1</v>
      </c>
      <c r="C1288" t="s">
        <v>2020</v>
      </c>
      <c r="D1288" t="s">
        <v>73</v>
      </c>
      <c r="E1288" t="s">
        <v>73</v>
      </c>
      <c r="F1288" t="s">
        <v>2018</v>
      </c>
      <c r="G1288" t="s">
        <v>73</v>
      </c>
      <c r="H1288">
        <v>5.9</v>
      </c>
      <c r="I1288">
        <v>915</v>
      </c>
      <c r="J1288">
        <v>96842</v>
      </c>
      <c r="K1288" t="s">
        <v>2021</v>
      </c>
      <c r="L1288">
        <f t="shared" si="82"/>
        <v>27</v>
      </c>
      <c r="N1288">
        <v>27</v>
      </c>
      <c r="O1288">
        <v>9</v>
      </c>
      <c r="P1288">
        <v>0.33300000000000002</v>
      </c>
      <c r="Q1288">
        <v>0</v>
      </c>
      <c r="R1288">
        <v>4</v>
      </c>
      <c r="S1288">
        <v>2</v>
      </c>
      <c r="T1288">
        <v>3</v>
      </c>
      <c r="U1288">
        <v>2</v>
      </c>
      <c r="V1288">
        <v>3</v>
      </c>
      <c r="W1288">
        <v>2</v>
      </c>
      <c r="X1288">
        <v>1</v>
      </c>
      <c r="Y1288">
        <v>0</v>
      </c>
      <c r="Z1288">
        <v>1</v>
      </c>
      <c r="AA1288">
        <v>2</v>
      </c>
      <c r="AB1288">
        <v>0</v>
      </c>
      <c r="AC1288">
        <v>1</v>
      </c>
      <c r="AD1288">
        <v>0</v>
      </c>
      <c r="AE1288">
        <v>2</v>
      </c>
      <c r="AF1288">
        <v>2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2</v>
      </c>
      <c r="AN1288">
        <v>1</v>
      </c>
      <c r="AO1288">
        <v>2</v>
      </c>
      <c r="AP1288">
        <v>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 s="2">
        <v>0</v>
      </c>
      <c r="BD1288" s="2">
        <v>2.5</v>
      </c>
      <c r="BE1288" s="2">
        <v>2</v>
      </c>
      <c r="BF1288" s="2">
        <v>2.6669999999999998</v>
      </c>
      <c r="BG1288" s="2">
        <v>1.5</v>
      </c>
      <c r="BH1288" s="2">
        <v>3</v>
      </c>
      <c r="BI1288" s="2">
        <v>2</v>
      </c>
      <c r="BJ1288" s="2">
        <v>0</v>
      </c>
      <c r="BK1288" s="2">
        <v>0</v>
      </c>
      <c r="BL1288" s="2">
        <v>0.5</v>
      </c>
      <c r="BM1288" s="2">
        <v>1</v>
      </c>
      <c r="BN1288" s="2">
        <v>0</v>
      </c>
      <c r="BO1288" s="2">
        <v>0.5</v>
      </c>
      <c r="BP1288" s="2">
        <v>0</v>
      </c>
      <c r="BQ1288" s="2">
        <v>0</v>
      </c>
      <c r="BR1288" s="2">
        <v>0</v>
      </c>
      <c r="BS1288" s="2">
        <v>0</v>
      </c>
      <c r="BT1288" s="2">
        <v>0.5</v>
      </c>
      <c r="BU1288" s="2">
        <v>0.5</v>
      </c>
      <c r="BV1288" s="2">
        <f t="shared" si="85"/>
        <v>16.667000000000002</v>
      </c>
      <c r="BW1288" s="16">
        <f t="shared" si="83"/>
        <v>0.87721052631578955</v>
      </c>
      <c r="BX1288" s="16">
        <f>COUNTIF($BC$6:BU1288, "=0") / COUNTIF($BC$6:BU1288, "&gt;-1")</f>
        <v>0.33855683636214462</v>
      </c>
      <c r="BY1288" s="18">
        <f>SUM($BC$6:BU1288) / $BY$4</f>
        <v>0.96669665954971618</v>
      </c>
      <c r="BZ1288" s="14">
        <f t="shared" si="84"/>
        <v>8</v>
      </c>
      <c r="CA1288" t="s">
        <v>5832</v>
      </c>
      <c r="CZ1288" t="s">
        <v>8520</v>
      </c>
      <c r="DA1288" t="s">
        <v>5904</v>
      </c>
      <c r="DB1288">
        <v>1333.9</v>
      </c>
      <c r="DC1288" t="s">
        <v>21919</v>
      </c>
      <c r="DD1288" t="s">
        <v>13772</v>
      </c>
      <c r="DE1288" t="s">
        <v>21920</v>
      </c>
      <c r="DF1288" t="s">
        <v>21921</v>
      </c>
      <c r="DG1288" t="s">
        <v>21922</v>
      </c>
      <c r="DH1288" t="str">
        <f>"COL6A2"</f>
        <v>COL6A2</v>
      </c>
      <c r="DI1288" t="s">
        <v>13772</v>
      </c>
      <c r="DJ1288" t="s">
        <v>13777</v>
      </c>
      <c r="DK1288">
        <v>9606</v>
      </c>
      <c r="DL1288" s="34" t="str">
        <f>HYPERLINK("http://www.uniprot.org/uniprot/P12110", "P12110")</f>
        <v>P12110</v>
      </c>
      <c r="DM1288" t="s">
        <v>21923</v>
      </c>
      <c r="DN1288" t="s">
        <v>13949</v>
      </c>
      <c r="DO1288" t="s">
        <v>21924</v>
      </c>
      <c r="DP1288" t="s">
        <v>13780</v>
      </c>
      <c r="DQ1288" t="s">
        <v>13772</v>
      </c>
      <c r="DR1288" t="s">
        <v>21925</v>
      </c>
      <c r="DS1288" t="s">
        <v>13872</v>
      </c>
      <c r="DT1288" t="s">
        <v>13772</v>
      </c>
      <c r="DU1288" t="s">
        <v>13772</v>
      </c>
      <c r="DV1288" t="s">
        <v>21926</v>
      </c>
      <c r="DW1288" t="s">
        <v>13772</v>
      </c>
      <c r="DX1288" t="s">
        <v>21927</v>
      </c>
      <c r="DY1288" t="s">
        <v>21928</v>
      </c>
      <c r="DZ1288" t="s">
        <v>21929</v>
      </c>
      <c r="EA1288" t="s">
        <v>13772</v>
      </c>
      <c r="EB1288" t="s">
        <v>21930</v>
      </c>
    </row>
    <row r="1289" spans="1:132" hidden="1">
      <c r="A1289">
        <v>989</v>
      </c>
      <c r="B1289">
        <v>1</v>
      </c>
      <c r="C1289" t="s">
        <v>2400</v>
      </c>
      <c r="D1289" t="s">
        <v>73</v>
      </c>
      <c r="E1289" t="s">
        <v>73</v>
      </c>
      <c r="F1289" t="s">
        <v>1410</v>
      </c>
      <c r="G1289" t="s">
        <v>73</v>
      </c>
      <c r="H1289">
        <v>22.3</v>
      </c>
      <c r="I1289">
        <v>484</v>
      </c>
      <c r="J1289">
        <v>52899</v>
      </c>
      <c r="K1289" t="s">
        <v>2401</v>
      </c>
      <c r="L1289">
        <f t="shared" si="82"/>
        <v>19</v>
      </c>
      <c r="N1289">
        <v>19</v>
      </c>
      <c r="O1289">
        <v>10</v>
      </c>
      <c r="P1289">
        <v>0.52600000000000002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3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13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8</v>
      </c>
      <c r="BA1289">
        <v>0</v>
      </c>
      <c r="BB1289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0</v>
      </c>
      <c r="BJ1289" s="2">
        <v>0</v>
      </c>
      <c r="BK1289" s="2">
        <v>0.5</v>
      </c>
      <c r="BL1289" s="2">
        <v>0</v>
      </c>
      <c r="BM1289" s="2">
        <v>3</v>
      </c>
      <c r="BN1289" s="2">
        <v>0</v>
      </c>
      <c r="BO1289" s="2">
        <v>0</v>
      </c>
      <c r="BP1289" s="2">
        <v>0</v>
      </c>
      <c r="BQ1289" s="2">
        <v>0.5</v>
      </c>
      <c r="BR1289" s="2">
        <v>0</v>
      </c>
      <c r="BS1289" s="2">
        <v>11.635999999999999</v>
      </c>
      <c r="BT1289" s="2">
        <v>0</v>
      </c>
      <c r="BU1289" s="2">
        <v>0</v>
      </c>
      <c r="BV1289" s="2">
        <f t="shared" si="85"/>
        <v>16.635999999999999</v>
      </c>
      <c r="BW1289" s="16">
        <f t="shared" si="83"/>
        <v>0.87557894736842101</v>
      </c>
      <c r="BX1289" s="16">
        <f>COUNTIF($BC$6:BU1289, "=0") / COUNTIF($BC$6:BU1289, "&gt;-1")</f>
        <v>0.33886702738153796</v>
      </c>
      <c r="BY1289" s="18">
        <f>SUM($BC$6:BU1289) / $BY$4</f>
        <v>0.96676792213266383</v>
      </c>
      <c r="BZ1289" s="14">
        <f t="shared" si="84"/>
        <v>14</v>
      </c>
      <c r="CA1289" t="s">
        <v>5832</v>
      </c>
      <c r="CZ1289" t="s">
        <v>7654</v>
      </c>
      <c r="DA1289" t="s">
        <v>5904</v>
      </c>
      <c r="DB1289">
        <v>862.1</v>
      </c>
      <c r="DC1289" t="s">
        <v>19341</v>
      </c>
      <c r="DD1289" t="s">
        <v>13772</v>
      </c>
      <c r="DE1289" t="s">
        <v>19342</v>
      </c>
      <c r="DF1289" t="s">
        <v>19343</v>
      </c>
      <c r="DG1289" t="s">
        <v>19344</v>
      </c>
      <c r="DH1289" t="str">
        <f>"DNPEP"</f>
        <v>DNPEP</v>
      </c>
      <c r="DI1289" t="s">
        <v>19345</v>
      </c>
      <c r="DJ1289" t="s">
        <v>13777</v>
      </c>
      <c r="DK1289">
        <v>9606</v>
      </c>
      <c r="DL1289" s="34" t="str">
        <f>HYPERLINK("http://www.uniprot.org/uniprot/Q9ULA0", "Q9ULA0")</f>
        <v>Q9ULA0</v>
      </c>
      <c r="DM1289" t="s">
        <v>19346</v>
      </c>
      <c r="DN1289" t="s">
        <v>13772</v>
      </c>
      <c r="DO1289" t="s">
        <v>13899</v>
      </c>
      <c r="DP1289" t="s">
        <v>13772</v>
      </c>
      <c r="DQ1289" t="s">
        <v>13772</v>
      </c>
      <c r="DR1289" t="s">
        <v>13772</v>
      </c>
      <c r="DS1289" t="s">
        <v>13772</v>
      </c>
      <c r="DT1289" t="s">
        <v>13856</v>
      </c>
      <c r="DU1289" t="s">
        <v>19025</v>
      </c>
      <c r="DV1289" t="s">
        <v>13886</v>
      </c>
      <c r="DW1289" t="s">
        <v>13812</v>
      </c>
      <c r="DX1289" t="s">
        <v>19347</v>
      </c>
      <c r="DY1289" t="s">
        <v>19348</v>
      </c>
      <c r="DZ1289" t="s">
        <v>19349</v>
      </c>
      <c r="EA1289" t="s">
        <v>13772</v>
      </c>
      <c r="EB1289" t="s">
        <v>13772</v>
      </c>
    </row>
    <row r="1290" spans="1:132" hidden="1">
      <c r="A1290">
        <v>131</v>
      </c>
      <c r="B1290">
        <v>1</v>
      </c>
      <c r="C1290" t="s">
        <v>342</v>
      </c>
      <c r="D1290" t="s">
        <v>73</v>
      </c>
      <c r="E1290" t="s">
        <v>73</v>
      </c>
      <c r="F1290" t="s">
        <v>343</v>
      </c>
      <c r="G1290" t="s">
        <v>73</v>
      </c>
      <c r="H1290">
        <v>17.100000000000001</v>
      </c>
      <c r="I1290">
        <v>700</v>
      </c>
      <c r="J1290">
        <v>75367</v>
      </c>
      <c r="K1290" t="s">
        <v>344</v>
      </c>
      <c r="L1290">
        <f t="shared" si="82"/>
        <v>17</v>
      </c>
      <c r="N1290">
        <v>17</v>
      </c>
      <c r="O1290">
        <v>16</v>
      </c>
      <c r="P1290">
        <v>0.94099999999999995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>
        <v>0</v>
      </c>
      <c r="AA1290">
        <v>4</v>
      </c>
      <c r="AB1290">
        <v>4</v>
      </c>
      <c r="AC1290">
        <v>1</v>
      </c>
      <c r="AD1290">
        <v>0</v>
      </c>
      <c r="AE1290">
        <v>3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3</v>
      </c>
      <c r="AS1290">
        <v>0</v>
      </c>
      <c r="AT1290">
        <v>4</v>
      </c>
      <c r="AU1290">
        <v>4</v>
      </c>
      <c r="AV1290">
        <v>1</v>
      </c>
      <c r="AW1290">
        <v>0</v>
      </c>
      <c r="AX1290">
        <v>3</v>
      </c>
      <c r="AY1290">
        <v>1</v>
      </c>
      <c r="AZ1290">
        <v>0</v>
      </c>
      <c r="BA1290">
        <v>0</v>
      </c>
      <c r="BB1290">
        <v>0</v>
      </c>
      <c r="BC1290" s="2">
        <v>0</v>
      </c>
      <c r="BD1290" s="2">
        <v>0.5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3</v>
      </c>
      <c r="BL1290" s="2">
        <v>0</v>
      </c>
      <c r="BM1290" s="2">
        <v>4</v>
      </c>
      <c r="BN1290" s="2">
        <v>4</v>
      </c>
      <c r="BO1290" s="2">
        <v>1</v>
      </c>
      <c r="BP1290" s="2">
        <v>0</v>
      </c>
      <c r="BQ1290" s="2">
        <v>3</v>
      </c>
      <c r="BR1290" s="2">
        <v>1</v>
      </c>
      <c r="BS1290" s="2">
        <v>0</v>
      </c>
      <c r="BT1290" s="2">
        <v>0</v>
      </c>
      <c r="BU1290" s="2">
        <v>0</v>
      </c>
      <c r="BV1290" s="2">
        <f t="shared" si="85"/>
        <v>16.5</v>
      </c>
      <c r="BW1290" s="16">
        <f t="shared" si="83"/>
        <v>0.86842105263157898</v>
      </c>
      <c r="BX1290" s="16">
        <f>COUNTIF($BC$6:BU1290, "=0") / COUNTIF($BC$6:BU1290, "&gt;-1")</f>
        <v>0.33909481875895964</v>
      </c>
      <c r="BY1290" s="18">
        <f>SUM($BC$6:BU1290) / $BY$4</f>
        <v>0.96683860214099737</v>
      </c>
      <c r="BZ1290" s="14">
        <f t="shared" si="84"/>
        <v>12</v>
      </c>
      <c r="CA1290" t="s">
        <v>5832</v>
      </c>
      <c r="CZ1290" t="s">
        <v>6146</v>
      </c>
      <c r="DA1290" t="s">
        <v>5904</v>
      </c>
      <c r="DB1290">
        <v>1322.4</v>
      </c>
      <c r="DC1290" t="s">
        <v>14653</v>
      </c>
      <c r="DD1290" t="s">
        <v>14654</v>
      </c>
      <c r="DE1290" t="s">
        <v>14655</v>
      </c>
      <c r="DF1290" t="s">
        <v>14656</v>
      </c>
      <c r="DG1290" t="s">
        <v>14657</v>
      </c>
      <c r="DH1290" t="str">
        <f>"SFPQ"</f>
        <v>SFPQ</v>
      </c>
      <c r="DI1290" t="s">
        <v>14658</v>
      </c>
      <c r="DJ1290" t="s">
        <v>13777</v>
      </c>
      <c r="DK1290">
        <v>9606</v>
      </c>
      <c r="DL1290" s="34" t="str">
        <f>HYPERLINK("http://www.uniprot.org/uniprot/P23246", "P23246")</f>
        <v>P23246</v>
      </c>
      <c r="DM1290" t="s">
        <v>14659</v>
      </c>
      <c r="DN1290" t="s">
        <v>14660</v>
      </c>
      <c r="DO1290" t="s">
        <v>13912</v>
      </c>
      <c r="DP1290" t="s">
        <v>14661</v>
      </c>
      <c r="DQ1290" t="s">
        <v>13772</v>
      </c>
      <c r="DR1290" t="s">
        <v>13772</v>
      </c>
      <c r="DS1290" t="s">
        <v>14048</v>
      </c>
      <c r="DT1290" t="s">
        <v>13772</v>
      </c>
      <c r="DU1290" t="s">
        <v>14662</v>
      </c>
      <c r="DV1290" t="s">
        <v>14663</v>
      </c>
      <c r="DW1290" t="s">
        <v>13812</v>
      </c>
      <c r="DX1290" t="s">
        <v>14664</v>
      </c>
      <c r="DY1290" t="s">
        <v>14665</v>
      </c>
      <c r="DZ1290" t="s">
        <v>14666</v>
      </c>
      <c r="EA1290" t="s">
        <v>13772</v>
      </c>
      <c r="EB1290" t="s">
        <v>14667</v>
      </c>
    </row>
    <row r="1291" spans="1:132" hidden="1">
      <c r="A1291">
        <v>1663</v>
      </c>
      <c r="B1291">
        <v>1</v>
      </c>
      <c r="C1291" t="s">
        <v>3944</v>
      </c>
      <c r="D1291" t="s">
        <v>73</v>
      </c>
      <c r="E1291" t="s">
        <v>73</v>
      </c>
      <c r="F1291" t="s">
        <v>343</v>
      </c>
      <c r="G1291" t="s">
        <v>73</v>
      </c>
      <c r="H1291">
        <v>27.7</v>
      </c>
      <c r="I1291">
        <v>470</v>
      </c>
      <c r="J1291">
        <v>54103</v>
      </c>
      <c r="K1291" t="s">
        <v>3945</v>
      </c>
      <c r="L1291">
        <f t="shared" si="82"/>
        <v>17</v>
      </c>
      <c r="N1291">
        <v>17</v>
      </c>
      <c r="O1291">
        <v>16</v>
      </c>
      <c r="P1291">
        <v>0.94099999999999995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4</v>
      </c>
      <c r="AB1291">
        <v>2</v>
      </c>
      <c r="AC1291">
        <v>0</v>
      </c>
      <c r="AD1291">
        <v>0</v>
      </c>
      <c r="AE1291">
        <v>6</v>
      </c>
      <c r="AF1291">
        <v>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1</v>
      </c>
      <c r="AS1291">
        <v>0</v>
      </c>
      <c r="AT1291">
        <v>4</v>
      </c>
      <c r="AU1291">
        <v>2</v>
      </c>
      <c r="AV1291">
        <v>0</v>
      </c>
      <c r="AW1291">
        <v>0</v>
      </c>
      <c r="AX1291">
        <v>6</v>
      </c>
      <c r="AY1291">
        <v>2</v>
      </c>
      <c r="AZ1291">
        <v>0</v>
      </c>
      <c r="BA1291">
        <v>0</v>
      </c>
      <c r="BB1291">
        <v>0</v>
      </c>
      <c r="BC1291" s="2">
        <v>0</v>
      </c>
      <c r="BD1291" s="2">
        <v>0.5</v>
      </c>
      <c r="BE1291" s="2">
        <v>0</v>
      </c>
      <c r="BF1291" s="2">
        <v>0</v>
      </c>
      <c r="BG1291" s="2">
        <v>0</v>
      </c>
      <c r="BH1291" s="2">
        <v>1</v>
      </c>
      <c r="BI1291" s="2">
        <v>0</v>
      </c>
      <c r="BJ1291" s="2">
        <v>0</v>
      </c>
      <c r="BK1291" s="2">
        <v>1</v>
      </c>
      <c r="BL1291" s="2">
        <v>0</v>
      </c>
      <c r="BM1291" s="2">
        <v>4</v>
      </c>
      <c r="BN1291" s="2">
        <v>2</v>
      </c>
      <c r="BO1291" s="2">
        <v>0</v>
      </c>
      <c r="BP1291" s="2">
        <v>0</v>
      </c>
      <c r="BQ1291" s="2">
        <v>6</v>
      </c>
      <c r="BR1291" s="2">
        <v>2</v>
      </c>
      <c r="BS1291" s="2">
        <v>0</v>
      </c>
      <c r="BT1291" s="2">
        <v>0</v>
      </c>
      <c r="BU1291" s="2">
        <v>0</v>
      </c>
      <c r="BV1291" s="2">
        <f t="shared" si="85"/>
        <v>16.5</v>
      </c>
      <c r="BW1291" s="16">
        <f t="shared" si="83"/>
        <v>0.86842105263157898</v>
      </c>
      <c r="BX1291" s="16">
        <f>COUNTIF($BC$6:BU1291, "=0") / COUNTIF($BC$6:BU1291, "&gt;-1")</f>
        <v>0.33932225587296388</v>
      </c>
      <c r="BY1291" s="18">
        <f>SUM($BC$6:BU1291) / $BY$4</f>
        <v>0.96690928214933092</v>
      </c>
      <c r="BZ1291" s="14">
        <f t="shared" si="84"/>
        <v>12</v>
      </c>
      <c r="CA1291" t="s">
        <v>5832</v>
      </c>
      <c r="CZ1291" t="s">
        <v>11293</v>
      </c>
      <c r="DA1291" t="s">
        <v>5904</v>
      </c>
      <c r="DB1291">
        <v>954.1</v>
      </c>
      <c r="DC1291" t="s">
        <v>29749</v>
      </c>
      <c r="DD1291" t="s">
        <v>29750</v>
      </c>
      <c r="DE1291" t="s">
        <v>29751</v>
      </c>
      <c r="DF1291" t="s">
        <v>29752</v>
      </c>
      <c r="DG1291" t="s">
        <v>29753</v>
      </c>
      <c r="DH1291" t="str">
        <f>"NONO"</f>
        <v>NONO</v>
      </c>
      <c r="DI1291" t="s">
        <v>29754</v>
      </c>
      <c r="DJ1291" t="s">
        <v>13777</v>
      </c>
      <c r="DK1291">
        <v>9606</v>
      </c>
      <c r="DL1291" s="34" t="str">
        <f>HYPERLINK("http://www.uniprot.org/uniprot/Q15233", "Q15233")</f>
        <v>Q15233</v>
      </c>
      <c r="DM1291" t="s">
        <v>29755</v>
      </c>
      <c r="DN1291" t="s">
        <v>14660</v>
      </c>
      <c r="DO1291" t="s">
        <v>14825</v>
      </c>
      <c r="DP1291" t="s">
        <v>14661</v>
      </c>
      <c r="DQ1291" t="s">
        <v>13772</v>
      </c>
      <c r="DR1291" t="s">
        <v>17534</v>
      </c>
      <c r="DS1291" t="s">
        <v>14048</v>
      </c>
      <c r="DT1291" t="s">
        <v>13772</v>
      </c>
      <c r="DU1291" t="s">
        <v>14662</v>
      </c>
      <c r="DV1291" t="s">
        <v>14663</v>
      </c>
      <c r="DW1291" t="s">
        <v>13812</v>
      </c>
      <c r="DX1291" t="s">
        <v>29756</v>
      </c>
      <c r="DY1291" t="s">
        <v>29757</v>
      </c>
      <c r="DZ1291" t="s">
        <v>29758</v>
      </c>
      <c r="EA1291" t="s">
        <v>13772</v>
      </c>
      <c r="EB1291" t="s">
        <v>13772</v>
      </c>
    </row>
    <row r="1292" spans="1:132" hidden="1">
      <c r="A1292">
        <v>1508</v>
      </c>
      <c r="B1292">
        <v>1</v>
      </c>
      <c r="C1292" t="s">
        <v>3589</v>
      </c>
      <c r="D1292" t="s">
        <v>73</v>
      </c>
      <c r="E1292" t="s">
        <v>73</v>
      </c>
      <c r="F1292" t="s">
        <v>1464</v>
      </c>
      <c r="G1292" t="s">
        <v>73</v>
      </c>
      <c r="H1292">
        <v>37.5</v>
      </c>
      <c r="I1292">
        <v>184</v>
      </c>
      <c r="J1292">
        <v>20987</v>
      </c>
      <c r="K1292" t="s">
        <v>3590</v>
      </c>
      <c r="L1292">
        <f t="shared" si="82"/>
        <v>29</v>
      </c>
      <c r="N1292">
        <v>29</v>
      </c>
      <c r="O1292">
        <v>8</v>
      </c>
      <c r="P1292">
        <v>0.27600000000000002</v>
      </c>
      <c r="Q1292">
        <v>2</v>
      </c>
      <c r="R1292">
        <v>5</v>
      </c>
      <c r="S1292">
        <v>2</v>
      </c>
      <c r="T1292">
        <v>1</v>
      </c>
      <c r="U1292">
        <v>3</v>
      </c>
      <c r="V1292">
        <v>3</v>
      </c>
      <c r="W1292">
        <v>2</v>
      </c>
      <c r="X1292">
        <v>2</v>
      </c>
      <c r="Y1292">
        <v>1</v>
      </c>
      <c r="Z1292">
        <v>0</v>
      </c>
      <c r="AA1292">
        <v>3</v>
      </c>
      <c r="AB1292">
        <v>3</v>
      </c>
      <c r="AC1292">
        <v>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1</v>
      </c>
      <c r="AO1292">
        <v>0</v>
      </c>
      <c r="AP1292">
        <v>2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 s="2">
        <v>2</v>
      </c>
      <c r="BD1292" s="2">
        <v>3</v>
      </c>
      <c r="BE1292" s="2">
        <v>2</v>
      </c>
      <c r="BF1292" s="2">
        <v>0</v>
      </c>
      <c r="BG1292" s="2">
        <v>1.4</v>
      </c>
      <c r="BH1292" s="2">
        <v>1.2</v>
      </c>
      <c r="BI1292" s="2">
        <v>2</v>
      </c>
      <c r="BJ1292" s="2">
        <v>0.7</v>
      </c>
      <c r="BK1292" s="2">
        <v>0.5</v>
      </c>
      <c r="BL1292" s="2">
        <v>0</v>
      </c>
      <c r="BM1292" s="2">
        <v>2</v>
      </c>
      <c r="BN1292" s="2">
        <v>1.667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f t="shared" si="85"/>
        <v>16.466999999999999</v>
      </c>
      <c r="BW1292" s="16">
        <f t="shared" si="83"/>
        <v>0.86668421052631572</v>
      </c>
      <c r="BX1292" s="16">
        <f>COUNTIF($BC$6:BU1292, "=0") / COUNTIF($BC$6:BU1292, "&gt;-1")</f>
        <v>0.33942665521612891</v>
      </c>
      <c r="BY1292" s="18">
        <f>SUM($BC$6:BU1292) / $BY$4</f>
        <v>0.96697982079764788</v>
      </c>
      <c r="BZ1292" s="14">
        <f t="shared" si="84"/>
        <v>9</v>
      </c>
      <c r="CA1292" t="s">
        <v>5832</v>
      </c>
      <c r="CZ1292" t="s">
        <v>10758</v>
      </c>
      <c r="DA1292" t="s">
        <v>5904</v>
      </c>
      <c r="DB1292">
        <v>378.6</v>
      </c>
      <c r="DC1292" t="s">
        <v>28265</v>
      </c>
      <c r="DD1292" t="s">
        <v>28266</v>
      </c>
      <c r="DE1292" t="s">
        <v>28267</v>
      </c>
      <c r="DF1292" t="s">
        <v>28268</v>
      </c>
      <c r="DG1292" t="s">
        <v>28269</v>
      </c>
      <c r="DH1292" t="str">
        <f>"RAP1A"</f>
        <v>RAP1A</v>
      </c>
      <c r="DI1292" t="s">
        <v>28270</v>
      </c>
      <c r="DJ1292" t="s">
        <v>13777</v>
      </c>
      <c r="DK1292">
        <v>9606</v>
      </c>
      <c r="DL1292" s="34" t="str">
        <f>HYPERLINK("http://www.uniprot.org/uniprot/P62834", "P62834")</f>
        <v>P62834</v>
      </c>
      <c r="DM1292" t="s">
        <v>28271</v>
      </c>
      <c r="DN1292" t="s">
        <v>20100</v>
      </c>
      <c r="DO1292" t="s">
        <v>28272</v>
      </c>
      <c r="DP1292" t="s">
        <v>13772</v>
      </c>
      <c r="DQ1292" t="s">
        <v>13772</v>
      </c>
      <c r="DR1292" t="s">
        <v>14505</v>
      </c>
      <c r="DS1292" t="s">
        <v>13772</v>
      </c>
      <c r="DT1292" t="s">
        <v>14216</v>
      </c>
      <c r="DU1292" t="s">
        <v>13772</v>
      </c>
      <c r="DV1292" t="s">
        <v>17005</v>
      </c>
      <c r="DW1292" t="s">
        <v>13812</v>
      </c>
      <c r="DX1292" t="s">
        <v>28273</v>
      </c>
      <c r="DY1292" t="s">
        <v>28274</v>
      </c>
      <c r="DZ1292" t="s">
        <v>28275</v>
      </c>
      <c r="EA1292" t="s">
        <v>13772</v>
      </c>
      <c r="EB1292" t="s">
        <v>28276</v>
      </c>
    </row>
    <row r="1293" spans="1:132" hidden="1">
      <c r="A1293">
        <v>1512</v>
      </c>
      <c r="B1293">
        <v>1</v>
      </c>
      <c r="C1293" t="s">
        <v>3598</v>
      </c>
      <c r="D1293" t="s">
        <v>3599</v>
      </c>
      <c r="E1293" t="s">
        <v>73</v>
      </c>
      <c r="F1293" t="s">
        <v>3600</v>
      </c>
      <c r="G1293" t="s">
        <v>73</v>
      </c>
      <c r="H1293">
        <v>34.700000000000003</v>
      </c>
      <c r="I1293">
        <v>372</v>
      </c>
      <c r="J1293">
        <v>39617</v>
      </c>
      <c r="K1293" t="s">
        <v>3601</v>
      </c>
      <c r="L1293">
        <f t="shared" si="82"/>
        <v>20</v>
      </c>
      <c r="N1293">
        <v>20</v>
      </c>
      <c r="O1293">
        <v>15</v>
      </c>
      <c r="P1293">
        <v>0.75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>
        <v>0</v>
      </c>
      <c r="AA1293">
        <v>4</v>
      </c>
      <c r="AB1293">
        <v>6</v>
      </c>
      <c r="AC1293">
        <v>5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</v>
      </c>
      <c r="AS1293">
        <v>0</v>
      </c>
      <c r="AT1293">
        <v>4</v>
      </c>
      <c r="AU1293">
        <v>5</v>
      </c>
      <c r="AV1293">
        <v>3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 s="2">
        <v>0.33300000000000002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2.1429999999999998</v>
      </c>
      <c r="BL1293" s="2">
        <v>0</v>
      </c>
      <c r="BM1293" s="2">
        <v>4</v>
      </c>
      <c r="BN1293" s="2">
        <v>5.4550000000000001</v>
      </c>
      <c r="BO1293" s="2">
        <v>3.4</v>
      </c>
      <c r="BP1293" s="2">
        <v>0</v>
      </c>
      <c r="BQ1293" s="2">
        <v>0</v>
      </c>
      <c r="BR1293" s="2">
        <v>1</v>
      </c>
      <c r="BS1293" s="2">
        <v>0</v>
      </c>
      <c r="BT1293" s="2">
        <v>0</v>
      </c>
      <c r="BU1293" s="2">
        <v>0</v>
      </c>
      <c r="BV1293" s="2">
        <f t="shared" si="85"/>
        <v>16.331000000000003</v>
      </c>
      <c r="BW1293" s="16">
        <f t="shared" si="83"/>
        <v>0.8595263157894738</v>
      </c>
      <c r="BX1293" s="16">
        <f>COUNTIF($BC$6:BU1293, "=0") / COUNTIF($BC$6:BU1293, "&gt;-1")</f>
        <v>0.33969434455704478</v>
      </c>
      <c r="BY1293" s="18">
        <f>SUM($BC$6:BU1293) / $BY$4</f>
        <v>0.96704977687135063</v>
      </c>
      <c r="BZ1293" s="14">
        <f t="shared" si="84"/>
        <v>13</v>
      </c>
      <c r="CA1293" t="s">
        <v>5832</v>
      </c>
      <c r="CZ1293" t="s">
        <v>10774</v>
      </c>
      <c r="DA1293" t="s">
        <v>5904</v>
      </c>
      <c r="DB1293">
        <v>748</v>
      </c>
      <c r="DC1293" t="s">
        <v>28308</v>
      </c>
      <c r="DD1293" t="s">
        <v>28309</v>
      </c>
      <c r="DE1293" t="s">
        <v>28310</v>
      </c>
      <c r="DF1293" t="s">
        <v>28311</v>
      </c>
      <c r="DG1293" t="s">
        <v>28312</v>
      </c>
      <c r="DH1293" t="str">
        <f>"H2AFY"</f>
        <v>H2AFY</v>
      </c>
      <c r="DI1293" t="s">
        <v>28313</v>
      </c>
      <c r="DJ1293" t="s">
        <v>13777</v>
      </c>
      <c r="DK1293">
        <v>9606</v>
      </c>
      <c r="DL1293" s="34" t="str">
        <f>HYPERLINK("http://www.uniprot.org/uniprot/O75367", "O75367")</f>
        <v>O75367</v>
      </c>
      <c r="DM1293" t="s">
        <v>28314</v>
      </c>
      <c r="DN1293" t="s">
        <v>13772</v>
      </c>
      <c r="DO1293" t="s">
        <v>15870</v>
      </c>
      <c r="DP1293" t="s">
        <v>13841</v>
      </c>
      <c r="DQ1293" t="s">
        <v>13772</v>
      </c>
      <c r="DR1293" t="s">
        <v>13772</v>
      </c>
      <c r="DS1293" t="s">
        <v>13772</v>
      </c>
      <c r="DT1293" t="s">
        <v>13772</v>
      </c>
      <c r="DU1293" t="s">
        <v>27954</v>
      </c>
      <c r="DV1293" t="s">
        <v>14663</v>
      </c>
      <c r="DW1293" t="s">
        <v>13812</v>
      </c>
      <c r="DX1293" t="s">
        <v>28315</v>
      </c>
      <c r="DY1293" t="s">
        <v>28316</v>
      </c>
      <c r="DZ1293" t="s">
        <v>28317</v>
      </c>
      <c r="EA1293" t="s">
        <v>13772</v>
      </c>
      <c r="EB1293" t="s">
        <v>13772</v>
      </c>
    </row>
    <row r="1294" spans="1:132" hidden="1">
      <c r="A1294">
        <v>1999</v>
      </c>
      <c r="B1294">
        <v>1</v>
      </c>
      <c r="C1294" t="s">
        <v>4703</v>
      </c>
      <c r="D1294" t="s">
        <v>73</v>
      </c>
      <c r="E1294" t="s">
        <v>73</v>
      </c>
      <c r="F1294" t="s">
        <v>552</v>
      </c>
      <c r="G1294" t="s">
        <v>73</v>
      </c>
      <c r="H1294">
        <v>10.1</v>
      </c>
      <c r="I1294">
        <v>2026</v>
      </c>
      <c r="J1294">
        <v>231452</v>
      </c>
      <c r="K1294" t="s">
        <v>4704</v>
      </c>
      <c r="L1294">
        <f t="shared" si="82"/>
        <v>44</v>
      </c>
      <c r="N1294">
        <v>44</v>
      </c>
      <c r="O1294">
        <v>13</v>
      </c>
      <c r="P1294">
        <v>0.29499999999999998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4</v>
      </c>
      <c r="Z1294">
        <v>3</v>
      </c>
      <c r="AA1294">
        <v>9</v>
      </c>
      <c r="AB1294">
        <v>8</v>
      </c>
      <c r="AC1294">
        <v>7</v>
      </c>
      <c r="AD1294">
        <v>0</v>
      </c>
      <c r="AE1294">
        <v>1</v>
      </c>
      <c r="AF1294">
        <v>3</v>
      </c>
      <c r="AG1294">
        <v>2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3</v>
      </c>
      <c r="AU1294">
        <v>4</v>
      </c>
      <c r="AV1294">
        <v>2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 s="2">
        <v>0</v>
      </c>
      <c r="BD1294" s="2">
        <v>0</v>
      </c>
      <c r="BE1294" s="2">
        <v>0</v>
      </c>
      <c r="BF1294" s="2">
        <v>0.33300000000000002</v>
      </c>
      <c r="BG1294" s="2">
        <v>0</v>
      </c>
      <c r="BH1294" s="2">
        <v>1</v>
      </c>
      <c r="BI1294" s="2">
        <v>1</v>
      </c>
      <c r="BJ1294" s="2">
        <v>0</v>
      </c>
      <c r="BK1294" s="2">
        <v>0</v>
      </c>
      <c r="BL1294" s="2">
        <v>3</v>
      </c>
      <c r="BM1294" s="2">
        <v>3.2440000000000002</v>
      </c>
      <c r="BN1294" s="2">
        <v>4.1740000000000004</v>
      </c>
      <c r="BO1294" s="2">
        <v>2.1739999999999999</v>
      </c>
      <c r="BP1294" s="2">
        <v>0</v>
      </c>
      <c r="BQ1294" s="2">
        <v>0</v>
      </c>
      <c r="BR1294" s="2">
        <v>0</v>
      </c>
      <c r="BS1294" s="2">
        <v>1.333</v>
      </c>
      <c r="BT1294" s="2">
        <v>0</v>
      </c>
      <c r="BU1294" s="2">
        <v>0</v>
      </c>
      <c r="BV1294" s="2">
        <f t="shared" si="85"/>
        <v>16.257999999999999</v>
      </c>
      <c r="BW1294" s="16">
        <f t="shared" si="83"/>
        <v>0.85568421052631571</v>
      </c>
      <c r="BX1294" s="16">
        <f>COUNTIF($BC$6:BU1294, "=0") / COUNTIF($BC$6:BU1294, "&gt;-1")</f>
        <v>0.33987995590216813</v>
      </c>
      <c r="BY1294" s="18">
        <f>SUM($BC$6:BU1294) / $BY$4</f>
        <v>0.9671194202395621</v>
      </c>
      <c r="BZ1294" s="14">
        <f t="shared" si="84"/>
        <v>11</v>
      </c>
      <c r="CA1294" t="s">
        <v>5832</v>
      </c>
      <c r="CZ1294" t="s">
        <v>12412</v>
      </c>
      <c r="DA1294" t="s">
        <v>5904</v>
      </c>
      <c r="DB1294">
        <v>3308.1</v>
      </c>
      <c r="DC1294" t="s">
        <v>32928</v>
      </c>
      <c r="DD1294" t="s">
        <v>32929</v>
      </c>
      <c r="DE1294" t="s">
        <v>32930</v>
      </c>
      <c r="DF1294" t="s">
        <v>32931</v>
      </c>
      <c r="DG1294" t="s">
        <v>32932</v>
      </c>
      <c r="DH1294" t="str">
        <f>"MYH14"</f>
        <v>MYH14</v>
      </c>
      <c r="DI1294" t="s">
        <v>32933</v>
      </c>
      <c r="DJ1294" t="s">
        <v>13777</v>
      </c>
      <c r="DK1294">
        <v>9606</v>
      </c>
      <c r="DL1294" s="34" t="str">
        <f>HYPERLINK("http://www.uniprot.org/uniprot/Q7Z406", "Q7Z406")</f>
        <v>Q7Z406</v>
      </c>
      <c r="DM1294" t="s">
        <v>32934</v>
      </c>
      <c r="DN1294" t="s">
        <v>27132</v>
      </c>
      <c r="DO1294" t="s">
        <v>13772</v>
      </c>
      <c r="DP1294" t="s">
        <v>13780</v>
      </c>
      <c r="DQ1294" t="s">
        <v>13772</v>
      </c>
      <c r="DR1294" t="s">
        <v>32935</v>
      </c>
      <c r="DS1294" t="s">
        <v>14245</v>
      </c>
      <c r="DT1294" t="s">
        <v>14005</v>
      </c>
      <c r="DU1294" t="s">
        <v>14097</v>
      </c>
      <c r="DV1294" t="s">
        <v>13886</v>
      </c>
      <c r="DW1294" t="s">
        <v>13812</v>
      </c>
      <c r="DX1294" t="s">
        <v>32936</v>
      </c>
      <c r="DY1294" t="s">
        <v>32937</v>
      </c>
      <c r="DZ1294" t="s">
        <v>30996</v>
      </c>
      <c r="EA1294" t="s">
        <v>13772</v>
      </c>
      <c r="EB1294" t="s">
        <v>32938</v>
      </c>
    </row>
    <row r="1295" spans="1:132" hidden="1">
      <c r="A1295">
        <v>649</v>
      </c>
      <c r="B1295">
        <v>1</v>
      </c>
      <c r="C1295" t="s">
        <v>1605</v>
      </c>
      <c r="D1295" t="s">
        <v>73</v>
      </c>
      <c r="E1295" t="s">
        <v>73</v>
      </c>
      <c r="F1295" t="s">
        <v>1598</v>
      </c>
      <c r="G1295" t="s">
        <v>73</v>
      </c>
      <c r="H1295">
        <v>26.7</v>
      </c>
      <c r="I1295">
        <v>217</v>
      </c>
      <c r="J1295">
        <v>24541</v>
      </c>
      <c r="K1295" t="s">
        <v>1606</v>
      </c>
      <c r="L1295">
        <f t="shared" si="82"/>
        <v>40</v>
      </c>
      <c r="N1295">
        <v>40</v>
      </c>
      <c r="O1295">
        <v>2</v>
      </c>
      <c r="P1295">
        <v>0.05</v>
      </c>
      <c r="Q1295">
        <v>3</v>
      </c>
      <c r="R1295">
        <v>1</v>
      </c>
      <c r="S1295">
        <v>2</v>
      </c>
      <c r="T1295">
        <v>0</v>
      </c>
      <c r="U1295">
        <v>3</v>
      </c>
      <c r="V1295">
        <v>2</v>
      </c>
      <c r="W1295">
        <v>5</v>
      </c>
      <c r="X1295">
        <v>4</v>
      </c>
      <c r="Y1295">
        <v>1</v>
      </c>
      <c r="Z1295">
        <v>0</v>
      </c>
      <c r="AA1295">
        <v>1</v>
      </c>
      <c r="AB1295">
        <v>7</v>
      </c>
      <c r="AC1295">
        <v>1</v>
      </c>
      <c r="AD1295">
        <v>0</v>
      </c>
      <c r="AE1295">
        <v>0</v>
      </c>
      <c r="AF1295">
        <v>4</v>
      </c>
      <c r="AG1295">
        <v>3</v>
      </c>
      <c r="AH1295">
        <v>1</v>
      </c>
      <c r="AI1295">
        <v>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 s="2">
        <v>1.2</v>
      </c>
      <c r="BD1295" s="2">
        <v>0.2</v>
      </c>
      <c r="BE1295" s="2">
        <v>0.25</v>
      </c>
      <c r="BF1295" s="2">
        <v>0</v>
      </c>
      <c r="BG1295" s="2">
        <v>0.9</v>
      </c>
      <c r="BH1295" s="2">
        <v>1</v>
      </c>
      <c r="BI1295" s="2">
        <v>0.5</v>
      </c>
      <c r="BJ1295" s="2">
        <v>0.9</v>
      </c>
      <c r="BK1295" s="2">
        <v>0</v>
      </c>
      <c r="BL1295" s="2">
        <v>0</v>
      </c>
      <c r="BM1295" s="2">
        <v>0</v>
      </c>
      <c r="BN1295" s="2">
        <v>5.6669999999999998</v>
      </c>
      <c r="BO1295" s="2">
        <v>0.5</v>
      </c>
      <c r="BP1295" s="2">
        <v>0</v>
      </c>
      <c r="BQ1295" s="2">
        <v>0</v>
      </c>
      <c r="BR1295" s="2">
        <v>2</v>
      </c>
      <c r="BS1295" s="2">
        <v>0.9</v>
      </c>
      <c r="BT1295" s="2">
        <v>0.2</v>
      </c>
      <c r="BU1295" s="2">
        <v>2</v>
      </c>
      <c r="BV1295" s="2">
        <f t="shared" si="85"/>
        <v>16.216999999999999</v>
      </c>
      <c r="BW1295" s="16">
        <f t="shared" si="83"/>
        <v>0.85352631578947358</v>
      </c>
      <c r="BX1295" s="16">
        <f>COUNTIF($BC$6:BU1295, "=0") / COUNTIF($BC$6:BU1295, "&gt;-1")</f>
        <v>0.33986128110975111</v>
      </c>
      <c r="BY1295" s="18">
        <f>SUM($BC$6:BU1295) / $BY$4</f>
        <v>0.96718888797866187</v>
      </c>
      <c r="BZ1295" s="14">
        <f t="shared" si="84"/>
        <v>6</v>
      </c>
      <c r="CA1295" t="s">
        <v>5832</v>
      </c>
      <c r="CZ1295" t="s">
        <v>7930</v>
      </c>
      <c r="DA1295" t="s">
        <v>5896</v>
      </c>
      <c r="DB1295">
        <v>285.39999999999998</v>
      </c>
      <c r="DC1295" t="s">
        <v>20188</v>
      </c>
      <c r="DD1295" t="s">
        <v>20189</v>
      </c>
      <c r="DE1295" t="s">
        <v>20190</v>
      </c>
      <c r="DF1295" t="s">
        <v>20191</v>
      </c>
      <c r="DG1295" t="s">
        <v>20192</v>
      </c>
      <c r="DH1295" t="str">
        <f>"HLA-B"</f>
        <v>HLA-B</v>
      </c>
      <c r="DI1295" t="s">
        <v>20193</v>
      </c>
      <c r="DJ1295" t="s">
        <v>13777</v>
      </c>
      <c r="DK1295">
        <v>9606</v>
      </c>
      <c r="DL1295" s="34" t="str">
        <f>HYPERLINK("http://www.uniprot.org/uniprot/Q31612", "Q31612")</f>
        <v>Q31612</v>
      </c>
      <c r="DM1295" t="s">
        <v>20194</v>
      </c>
      <c r="DN1295" t="s">
        <v>13791</v>
      </c>
      <c r="DO1295" t="s">
        <v>20159</v>
      </c>
      <c r="DP1295" t="s">
        <v>13793</v>
      </c>
      <c r="DQ1295" t="s">
        <v>13772</v>
      </c>
      <c r="DR1295" t="s">
        <v>13772</v>
      </c>
      <c r="DS1295" t="s">
        <v>13855</v>
      </c>
      <c r="DT1295" t="s">
        <v>13772</v>
      </c>
      <c r="DU1295" t="s">
        <v>13772</v>
      </c>
      <c r="DV1295" t="s">
        <v>18697</v>
      </c>
      <c r="DW1295" t="s">
        <v>13772</v>
      </c>
      <c r="DX1295" t="s">
        <v>20160</v>
      </c>
      <c r="DY1295" t="s">
        <v>20161</v>
      </c>
      <c r="DZ1295" t="s">
        <v>20195</v>
      </c>
      <c r="EA1295" t="s">
        <v>13772</v>
      </c>
      <c r="EB1295" t="s">
        <v>20163</v>
      </c>
    </row>
    <row r="1296" spans="1:132" hidden="1">
      <c r="A1296">
        <v>203</v>
      </c>
      <c r="B1296">
        <v>1</v>
      </c>
      <c r="C1296" t="s">
        <v>511</v>
      </c>
      <c r="D1296" t="s">
        <v>512</v>
      </c>
      <c r="E1296" t="s">
        <v>73</v>
      </c>
      <c r="F1296" t="s">
        <v>73</v>
      </c>
      <c r="G1296" t="s">
        <v>73</v>
      </c>
      <c r="H1296">
        <v>16.8</v>
      </c>
      <c r="I1296">
        <v>531</v>
      </c>
      <c r="J1296">
        <v>58062</v>
      </c>
      <c r="K1296" t="s">
        <v>513</v>
      </c>
      <c r="L1296">
        <f t="shared" si="82"/>
        <v>16</v>
      </c>
      <c r="N1296">
        <v>16</v>
      </c>
      <c r="O1296">
        <v>16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6</v>
      </c>
      <c r="Z1296">
        <v>0</v>
      </c>
      <c r="AA1296">
        <v>5</v>
      </c>
      <c r="AB1296">
        <v>2</v>
      </c>
      <c r="AC1296">
        <v>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6</v>
      </c>
      <c r="AS1296">
        <v>0</v>
      </c>
      <c r="AT1296">
        <v>5</v>
      </c>
      <c r="AU1296">
        <v>2</v>
      </c>
      <c r="AV1296">
        <v>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0</v>
      </c>
      <c r="BJ1296" s="2">
        <v>0</v>
      </c>
      <c r="BK1296" s="2">
        <v>6</v>
      </c>
      <c r="BL1296" s="2">
        <v>0</v>
      </c>
      <c r="BM1296" s="2">
        <v>5</v>
      </c>
      <c r="BN1296" s="2">
        <v>2</v>
      </c>
      <c r="BO1296" s="2">
        <v>2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f t="shared" si="85"/>
        <v>16</v>
      </c>
      <c r="BW1296" s="16">
        <f t="shared" si="83"/>
        <v>0.84210526315789469</v>
      </c>
      <c r="BX1296" s="16">
        <f>COUNTIF($BC$6:BU1296, "=0") / COUNTIF($BC$6:BU1296, "&gt;-1")</f>
        <v>0.3401687798116515</v>
      </c>
      <c r="BY1296" s="18">
        <f>SUM($BC$6:BU1296) / $BY$4</f>
        <v>0.96725742616856103</v>
      </c>
      <c r="BZ1296" s="14">
        <f t="shared" si="84"/>
        <v>14</v>
      </c>
      <c r="CA1296" t="s">
        <v>5832</v>
      </c>
      <c r="CZ1296" t="s">
        <v>6396</v>
      </c>
      <c r="DA1296" t="s">
        <v>5904</v>
      </c>
      <c r="DB1296">
        <v>1065.5</v>
      </c>
      <c r="DC1296" t="s">
        <v>15489</v>
      </c>
      <c r="DD1296" t="s">
        <v>15490</v>
      </c>
      <c r="DE1296" t="s">
        <v>15491</v>
      </c>
      <c r="DF1296" t="s">
        <v>15492</v>
      </c>
      <c r="DG1296" t="s">
        <v>15493</v>
      </c>
      <c r="DH1296" t="str">
        <f>"CCT6A"</f>
        <v>CCT6A</v>
      </c>
      <c r="DI1296" t="s">
        <v>15494</v>
      </c>
      <c r="DJ1296" t="s">
        <v>13777</v>
      </c>
      <c r="DK1296">
        <v>9606</v>
      </c>
      <c r="DL1296" s="34" t="str">
        <f>HYPERLINK("http://www.uniprot.org/uniprot/P40227", "P40227")</f>
        <v>P40227</v>
      </c>
      <c r="DM1296" t="s">
        <v>15495</v>
      </c>
      <c r="DN1296" t="s">
        <v>13772</v>
      </c>
      <c r="DO1296" t="s">
        <v>13899</v>
      </c>
      <c r="DP1296" t="s">
        <v>13780</v>
      </c>
      <c r="DQ1296" t="s">
        <v>13772</v>
      </c>
      <c r="DR1296" t="s">
        <v>13772</v>
      </c>
      <c r="DS1296" t="s">
        <v>13772</v>
      </c>
      <c r="DT1296" t="s">
        <v>14005</v>
      </c>
      <c r="DU1296" t="s">
        <v>14477</v>
      </c>
      <c r="DV1296" t="s">
        <v>13991</v>
      </c>
      <c r="DW1296" t="s">
        <v>13772</v>
      </c>
      <c r="DX1296" t="s">
        <v>15496</v>
      </c>
      <c r="DY1296" t="s">
        <v>15497</v>
      </c>
      <c r="DZ1296" t="s">
        <v>15498</v>
      </c>
      <c r="EA1296" t="s">
        <v>13772</v>
      </c>
      <c r="EB1296" t="s">
        <v>15499</v>
      </c>
    </row>
    <row r="1297" spans="1:132" hidden="1">
      <c r="A1297">
        <v>252</v>
      </c>
      <c r="B1297">
        <v>1</v>
      </c>
      <c r="C1297" t="s">
        <v>640</v>
      </c>
      <c r="D1297" t="s">
        <v>641</v>
      </c>
      <c r="E1297" t="s">
        <v>73</v>
      </c>
      <c r="F1297" t="s">
        <v>73</v>
      </c>
      <c r="G1297" t="s">
        <v>73</v>
      </c>
      <c r="H1297">
        <v>12.5</v>
      </c>
      <c r="I1297">
        <v>240</v>
      </c>
      <c r="J1297">
        <v>26578</v>
      </c>
      <c r="K1297" t="s">
        <v>642</v>
      </c>
      <c r="L1297">
        <f t="shared" si="82"/>
        <v>16</v>
      </c>
      <c r="N1297">
        <v>16</v>
      </c>
      <c r="O1297">
        <v>16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4</v>
      </c>
      <c r="AB1297">
        <v>3</v>
      </c>
      <c r="AC1297">
        <v>2</v>
      </c>
      <c r="AD1297">
        <v>0</v>
      </c>
      <c r="AE1297">
        <v>3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</v>
      </c>
      <c r="AS1297">
        <v>0</v>
      </c>
      <c r="AT1297">
        <v>4</v>
      </c>
      <c r="AU1297">
        <v>3</v>
      </c>
      <c r="AV1297">
        <v>2</v>
      </c>
      <c r="AW1297">
        <v>0</v>
      </c>
      <c r="AX1297">
        <v>3</v>
      </c>
      <c r="AY1297">
        <v>1</v>
      </c>
      <c r="AZ1297">
        <v>0</v>
      </c>
      <c r="BA1297">
        <v>0</v>
      </c>
      <c r="BB1297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2</v>
      </c>
      <c r="BL1297" s="2">
        <v>0</v>
      </c>
      <c r="BM1297" s="2">
        <v>4</v>
      </c>
      <c r="BN1297" s="2">
        <v>3</v>
      </c>
      <c r="BO1297" s="2">
        <v>2</v>
      </c>
      <c r="BP1297" s="2">
        <v>0</v>
      </c>
      <c r="BQ1297" s="2">
        <v>3</v>
      </c>
      <c r="BR1297" s="2">
        <v>1</v>
      </c>
      <c r="BS1297" s="2">
        <v>0</v>
      </c>
      <c r="BT1297" s="2">
        <v>0</v>
      </c>
      <c r="BU1297" s="2">
        <v>1</v>
      </c>
      <c r="BV1297" s="2">
        <f t="shared" si="85"/>
        <v>16</v>
      </c>
      <c r="BW1297" s="16">
        <f t="shared" si="83"/>
        <v>0.84210526315789469</v>
      </c>
      <c r="BX1297" s="16">
        <f>COUNTIF($BC$6:BU1297, "=0") / COUNTIF($BC$6:BU1297, "&gt;-1")</f>
        <v>0.34039432947694315</v>
      </c>
      <c r="BY1297" s="18">
        <f>SUM($BC$6:BU1297) / $BY$4</f>
        <v>0.96732596435846019</v>
      </c>
      <c r="BZ1297" s="14">
        <f t="shared" si="84"/>
        <v>12</v>
      </c>
      <c r="CA1297" t="s">
        <v>5832</v>
      </c>
      <c r="CZ1297" t="s">
        <v>6573</v>
      </c>
      <c r="DA1297" t="s">
        <v>5904</v>
      </c>
      <c r="DB1297">
        <v>379.8</v>
      </c>
      <c r="DC1297" t="s">
        <v>16046</v>
      </c>
      <c r="DD1297" t="s">
        <v>16047</v>
      </c>
      <c r="DE1297" t="s">
        <v>16048</v>
      </c>
      <c r="DF1297" t="s">
        <v>16049</v>
      </c>
      <c r="DG1297" t="s">
        <v>16050</v>
      </c>
      <c r="DH1297" t="str">
        <f>"GREM1"</f>
        <v>GREM1</v>
      </c>
      <c r="DI1297" t="s">
        <v>16051</v>
      </c>
      <c r="DJ1297" t="s">
        <v>13777</v>
      </c>
      <c r="DK1297">
        <v>9606</v>
      </c>
      <c r="DL1297" s="34" t="str">
        <f>HYPERLINK("http://www.uniprot.org/uniprot/O60565", "O60565")</f>
        <v>O60565</v>
      </c>
      <c r="DM1297" t="s">
        <v>16052</v>
      </c>
      <c r="DN1297" t="s">
        <v>13772</v>
      </c>
      <c r="DO1297" t="s">
        <v>14321</v>
      </c>
      <c r="DP1297" t="s">
        <v>13841</v>
      </c>
      <c r="DQ1297" t="s">
        <v>13772</v>
      </c>
      <c r="DR1297" t="s">
        <v>13772</v>
      </c>
      <c r="DS1297" t="s">
        <v>13808</v>
      </c>
      <c r="DT1297" t="s">
        <v>13772</v>
      </c>
      <c r="DU1297" t="s">
        <v>14405</v>
      </c>
      <c r="DV1297" t="s">
        <v>13796</v>
      </c>
      <c r="DW1297" t="s">
        <v>13812</v>
      </c>
      <c r="DX1297" t="s">
        <v>16053</v>
      </c>
      <c r="DY1297" t="s">
        <v>16054</v>
      </c>
      <c r="DZ1297" t="s">
        <v>16055</v>
      </c>
      <c r="EA1297" t="s">
        <v>13772</v>
      </c>
      <c r="EB1297" t="s">
        <v>13772</v>
      </c>
    </row>
    <row r="1298" spans="1:132" hidden="1">
      <c r="A1298">
        <v>280</v>
      </c>
      <c r="B1298">
        <v>1</v>
      </c>
      <c r="C1298" t="s">
        <v>710</v>
      </c>
      <c r="D1298" t="s">
        <v>73</v>
      </c>
      <c r="E1298" t="s">
        <v>73</v>
      </c>
      <c r="F1298" t="s">
        <v>73</v>
      </c>
      <c r="G1298" t="s">
        <v>73</v>
      </c>
      <c r="H1298">
        <v>19.8</v>
      </c>
      <c r="I1298">
        <v>212</v>
      </c>
      <c r="J1298">
        <v>23716</v>
      </c>
      <c r="K1298" t="s">
        <v>711</v>
      </c>
      <c r="L1298">
        <f t="shared" si="82"/>
        <v>16</v>
      </c>
      <c r="N1298">
        <v>16</v>
      </c>
      <c r="O1298">
        <v>16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3</v>
      </c>
      <c r="AB1298">
        <v>2</v>
      </c>
      <c r="AC1298">
        <v>3</v>
      </c>
      <c r="AD1298">
        <v>0</v>
      </c>
      <c r="AE1298">
        <v>2</v>
      </c>
      <c r="AF1298">
        <v>2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3</v>
      </c>
      <c r="AU1298">
        <v>2</v>
      </c>
      <c r="AV1298">
        <v>3</v>
      </c>
      <c r="AW1298">
        <v>0</v>
      </c>
      <c r="AX1298">
        <v>2</v>
      </c>
      <c r="AY1298">
        <v>2</v>
      </c>
      <c r="AZ1298">
        <v>0</v>
      </c>
      <c r="BA1298">
        <v>0</v>
      </c>
      <c r="BB1298">
        <v>1</v>
      </c>
      <c r="BC1298" s="2">
        <v>0</v>
      </c>
      <c r="BD1298" s="2">
        <v>1</v>
      </c>
      <c r="BE1298" s="2">
        <v>0</v>
      </c>
      <c r="BF1298" s="2">
        <v>0</v>
      </c>
      <c r="BG1298" s="2">
        <v>1</v>
      </c>
      <c r="BH1298" s="2">
        <v>0</v>
      </c>
      <c r="BI1298" s="2">
        <v>0</v>
      </c>
      <c r="BJ1298" s="2">
        <v>0</v>
      </c>
      <c r="BK1298" s="2">
        <v>1</v>
      </c>
      <c r="BL1298" s="2">
        <v>0</v>
      </c>
      <c r="BM1298" s="2">
        <v>3</v>
      </c>
      <c r="BN1298" s="2">
        <v>2</v>
      </c>
      <c r="BO1298" s="2">
        <v>3</v>
      </c>
      <c r="BP1298" s="2">
        <v>0</v>
      </c>
      <c r="BQ1298" s="2">
        <v>2</v>
      </c>
      <c r="BR1298" s="2">
        <v>2</v>
      </c>
      <c r="BS1298" s="2">
        <v>0</v>
      </c>
      <c r="BT1298" s="2">
        <v>0</v>
      </c>
      <c r="BU1298" s="2">
        <v>1</v>
      </c>
      <c r="BV1298" s="2">
        <f t="shared" si="85"/>
        <v>16</v>
      </c>
      <c r="BW1298" s="16">
        <f t="shared" si="83"/>
        <v>0.84210526315789469</v>
      </c>
      <c r="BX1298" s="16">
        <f>COUNTIF($BC$6:BU1298, "=0") / COUNTIF($BC$6:BU1298, "&gt;-1")</f>
        <v>0.34053812024260188</v>
      </c>
      <c r="BY1298" s="18">
        <f>SUM($BC$6:BU1298) / $BY$4</f>
        <v>0.96739450254835946</v>
      </c>
      <c r="BZ1298" s="14">
        <f t="shared" si="84"/>
        <v>10</v>
      </c>
      <c r="CA1298" t="s">
        <v>5832</v>
      </c>
      <c r="CZ1298" t="s">
        <v>6669</v>
      </c>
      <c r="DA1298" t="s">
        <v>5904</v>
      </c>
      <c r="DB1298">
        <v>416.8</v>
      </c>
      <c r="DC1298" t="s">
        <v>16334</v>
      </c>
      <c r="DD1298" t="s">
        <v>16335</v>
      </c>
      <c r="DE1298" t="s">
        <v>16336</v>
      </c>
      <c r="DF1298" t="s">
        <v>16337</v>
      </c>
      <c r="DG1298" t="s">
        <v>16338</v>
      </c>
      <c r="DH1298" t="str">
        <f>"SCG5"</f>
        <v>SCG5</v>
      </c>
      <c r="DI1298" t="s">
        <v>16339</v>
      </c>
      <c r="DJ1298" t="s">
        <v>13777</v>
      </c>
      <c r="DK1298">
        <v>9606</v>
      </c>
      <c r="DL1298" s="34" t="str">
        <f>HYPERLINK("http://www.uniprot.org/uniprot/P05408", "P05408")</f>
        <v>P05408</v>
      </c>
      <c r="DM1298" t="s">
        <v>16340</v>
      </c>
      <c r="DN1298" t="s">
        <v>14192</v>
      </c>
      <c r="DO1298" t="s">
        <v>14321</v>
      </c>
      <c r="DP1298" t="s">
        <v>13841</v>
      </c>
      <c r="DQ1298" t="s">
        <v>13772</v>
      </c>
      <c r="DR1298" t="s">
        <v>13772</v>
      </c>
      <c r="DS1298" t="s">
        <v>13808</v>
      </c>
      <c r="DT1298" t="s">
        <v>13772</v>
      </c>
      <c r="DU1298" t="s">
        <v>16341</v>
      </c>
      <c r="DV1298" t="s">
        <v>16342</v>
      </c>
      <c r="DW1298" t="s">
        <v>13772</v>
      </c>
      <c r="DX1298" t="s">
        <v>16343</v>
      </c>
      <c r="DY1298" t="s">
        <v>16344</v>
      </c>
      <c r="DZ1298" t="s">
        <v>16345</v>
      </c>
      <c r="EA1298" t="s">
        <v>13772</v>
      </c>
      <c r="EB1298" t="s">
        <v>13772</v>
      </c>
    </row>
    <row r="1299" spans="1:132" hidden="1">
      <c r="A1299">
        <v>303</v>
      </c>
      <c r="B1299">
        <v>1</v>
      </c>
      <c r="C1299" t="s">
        <v>761</v>
      </c>
      <c r="D1299" t="s">
        <v>73</v>
      </c>
      <c r="E1299" t="s">
        <v>73</v>
      </c>
      <c r="F1299" t="s">
        <v>73</v>
      </c>
      <c r="G1299" t="s">
        <v>73</v>
      </c>
      <c r="H1299">
        <v>17.7</v>
      </c>
      <c r="I1299">
        <v>249</v>
      </c>
      <c r="J1299">
        <v>27730</v>
      </c>
      <c r="K1299" t="s">
        <v>762</v>
      </c>
      <c r="L1299">
        <f t="shared" si="82"/>
        <v>16</v>
      </c>
      <c r="N1299">
        <v>16</v>
      </c>
      <c r="O1299">
        <v>16</v>
      </c>
      <c r="P1299">
        <v>1</v>
      </c>
      <c r="Q1299">
        <v>0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0</v>
      </c>
      <c r="X1299">
        <v>3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0</v>
      </c>
      <c r="AQ1299">
        <v>3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 s="2">
        <v>0</v>
      </c>
      <c r="BD1299" s="2">
        <v>2</v>
      </c>
      <c r="BE1299" s="2">
        <v>2</v>
      </c>
      <c r="BF1299" s="2">
        <v>2</v>
      </c>
      <c r="BG1299" s="2">
        <v>2</v>
      </c>
      <c r="BH1299" s="2">
        <v>2</v>
      </c>
      <c r="BI1299" s="2">
        <v>0</v>
      </c>
      <c r="BJ1299" s="2">
        <v>3</v>
      </c>
      <c r="BK1299" s="2">
        <v>0</v>
      </c>
      <c r="BL1299" s="2">
        <v>0</v>
      </c>
      <c r="BM1299" s="2">
        <v>0</v>
      </c>
      <c r="BN1299" s="2">
        <v>1</v>
      </c>
      <c r="BO1299" s="2">
        <v>0</v>
      </c>
      <c r="BP1299" s="2">
        <v>0</v>
      </c>
      <c r="BQ1299" s="2">
        <v>1</v>
      </c>
      <c r="BR1299" s="2">
        <v>1</v>
      </c>
      <c r="BS1299" s="2">
        <v>0</v>
      </c>
      <c r="BT1299" s="2">
        <v>0</v>
      </c>
      <c r="BU1299" s="2">
        <v>0</v>
      </c>
      <c r="BV1299" s="2">
        <f t="shared" si="85"/>
        <v>16</v>
      </c>
      <c r="BW1299" s="16">
        <f t="shared" si="83"/>
        <v>0.84210526315789469</v>
      </c>
      <c r="BX1299" s="16">
        <f>COUNTIF($BC$6:BU1299, "=0") / COUNTIF($BC$6:BU1299, "&gt;-1")</f>
        <v>0.34068168876596439</v>
      </c>
      <c r="BY1299" s="18">
        <f>SUM($BC$6:BU1299) / $BY$4</f>
        <v>0.96746304073825862</v>
      </c>
      <c r="BZ1299" s="14">
        <f t="shared" si="84"/>
        <v>10</v>
      </c>
      <c r="CA1299" t="s">
        <v>5832</v>
      </c>
      <c r="CZ1299" t="s">
        <v>6740</v>
      </c>
      <c r="DA1299" t="s">
        <v>5904</v>
      </c>
      <c r="DB1299">
        <v>356.3</v>
      </c>
      <c r="DC1299" t="s">
        <v>16566</v>
      </c>
      <c r="DD1299" t="s">
        <v>16567</v>
      </c>
      <c r="DE1299" t="s">
        <v>16568</v>
      </c>
      <c r="DF1299" t="s">
        <v>16569</v>
      </c>
      <c r="DG1299" t="s">
        <v>16570</v>
      </c>
      <c r="DH1299" t="str">
        <f>"EPDR1"</f>
        <v>EPDR1</v>
      </c>
      <c r="DI1299" t="s">
        <v>16571</v>
      </c>
      <c r="DJ1299" t="s">
        <v>13777</v>
      </c>
      <c r="DK1299">
        <v>9606</v>
      </c>
      <c r="DL1299" s="34" t="str">
        <f>HYPERLINK("http://www.uniprot.org/uniprot/Q9UM22", "Q9UM22")</f>
        <v>Q9UM22</v>
      </c>
      <c r="DM1299" t="s">
        <v>16572</v>
      </c>
      <c r="DN1299" t="s">
        <v>13772</v>
      </c>
      <c r="DO1299" t="s">
        <v>14402</v>
      </c>
      <c r="DP1299" t="s">
        <v>13841</v>
      </c>
      <c r="DQ1299" t="s">
        <v>13772</v>
      </c>
      <c r="DR1299" t="s">
        <v>13772</v>
      </c>
      <c r="DS1299" t="s">
        <v>13808</v>
      </c>
      <c r="DT1299" t="s">
        <v>13900</v>
      </c>
      <c r="DU1299" t="s">
        <v>13772</v>
      </c>
      <c r="DV1299" t="s">
        <v>13796</v>
      </c>
      <c r="DW1299" t="s">
        <v>13812</v>
      </c>
      <c r="DX1299" t="s">
        <v>16573</v>
      </c>
      <c r="DY1299" t="s">
        <v>16574</v>
      </c>
      <c r="DZ1299" t="s">
        <v>16575</v>
      </c>
      <c r="EA1299" t="s">
        <v>13772</v>
      </c>
      <c r="EB1299" t="s">
        <v>13772</v>
      </c>
    </row>
    <row r="1300" spans="1:132" hidden="1">
      <c r="A1300">
        <v>343</v>
      </c>
      <c r="B1300">
        <v>1</v>
      </c>
      <c r="C1300" t="s">
        <v>861</v>
      </c>
      <c r="D1300" t="s">
        <v>73</v>
      </c>
      <c r="E1300" t="s">
        <v>73</v>
      </c>
      <c r="F1300" t="s">
        <v>73</v>
      </c>
      <c r="G1300" t="s">
        <v>73</v>
      </c>
      <c r="H1300">
        <v>19.399999999999999</v>
      </c>
      <c r="I1300">
        <v>206</v>
      </c>
      <c r="J1300">
        <v>23540</v>
      </c>
      <c r="K1300" t="s">
        <v>862</v>
      </c>
      <c r="L1300">
        <f t="shared" si="82"/>
        <v>16</v>
      </c>
      <c r="N1300">
        <v>16</v>
      </c>
      <c r="O1300">
        <v>14</v>
      </c>
      <c r="P1300">
        <v>0.875</v>
      </c>
      <c r="Q1300">
        <v>3</v>
      </c>
      <c r="R1300">
        <v>2</v>
      </c>
      <c r="S1300">
        <v>1</v>
      </c>
      <c r="T1300">
        <v>2</v>
      </c>
      <c r="U1300">
        <v>2</v>
      </c>
      <c r="V1300">
        <v>4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2</v>
      </c>
      <c r="AL1300">
        <v>1</v>
      </c>
      <c r="AM1300">
        <v>1</v>
      </c>
      <c r="AN1300">
        <v>2</v>
      </c>
      <c r="AO1300">
        <v>3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 s="2">
        <v>3</v>
      </c>
      <c r="BD1300" s="2">
        <v>2</v>
      </c>
      <c r="BE1300" s="2">
        <v>1</v>
      </c>
      <c r="BF1300" s="2">
        <v>2</v>
      </c>
      <c r="BG1300" s="2">
        <v>2</v>
      </c>
      <c r="BH1300" s="2">
        <v>4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1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f t="shared" si="85"/>
        <v>16</v>
      </c>
      <c r="BW1300" s="16">
        <f t="shared" si="83"/>
        <v>0.84210526315789469</v>
      </c>
      <c r="BX1300" s="16">
        <f>COUNTIF($BC$6:BU1300, "=0") / COUNTIF($BC$6:BU1300, "&gt;-1")</f>
        <v>0.34086567770778298</v>
      </c>
      <c r="BY1300" s="18">
        <f>SUM($BC$6:BU1300) / $BY$4</f>
        <v>0.96753157892815789</v>
      </c>
      <c r="BZ1300" s="14">
        <f t="shared" si="84"/>
        <v>11</v>
      </c>
      <c r="CA1300" t="s">
        <v>5832</v>
      </c>
      <c r="CZ1300" t="s">
        <v>6889</v>
      </c>
      <c r="DA1300" t="s">
        <v>5904</v>
      </c>
      <c r="DB1300">
        <v>419.5</v>
      </c>
      <c r="DC1300" t="s">
        <v>16998</v>
      </c>
      <c r="DD1300" t="s">
        <v>13772</v>
      </c>
      <c r="DE1300" t="s">
        <v>16999</v>
      </c>
      <c r="DF1300" t="s">
        <v>17000</v>
      </c>
      <c r="DG1300" t="s">
        <v>17001</v>
      </c>
      <c r="DH1300" t="str">
        <f>"RALA"</f>
        <v>RALA</v>
      </c>
      <c r="DI1300" t="s">
        <v>17002</v>
      </c>
      <c r="DJ1300" t="s">
        <v>13777</v>
      </c>
      <c r="DK1300">
        <v>9606</v>
      </c>
      <c r="DL1300" s="34" t="str">
        <f>HYPERLINK("http://www.uniprot.org/uniprot/P11233", "P11233")</f>
        <v>P11233</v>
      </c>
      <c r="DM1300" t="s">
        <v>17003</v>
      </c>
      <c r="DN1300" t="s">
        <v>17004</v>
      </c>
      <c r="DO1300" t="s">
        <v>13792</v>
      </c>
      <c r="DP1300" t="s">
        <v>13772</v>
      </c>
      <c r="DQ1300" t="s">
        <v>13772</v>
      </c>
      <c r="DR1300" t="s">
        <v>13772</v>
      </c>
      <c r="DS1300" t="s">
        <v>13772</v>
      </c>
      <c r="DT1300" t="s">
        <v>14216</v>
      </c>
      <c r="DU1300" t="s">
        <v>13772</v>
      </c>
      <c r="DV1300" t="s">
        <v>17005</v>
      </c>
      <c r="DW1300" t="s">
        <v>13812</v>
      </c>
      <c r="DX1300" t="s">
        <v>17006</v>
      </c>
      <c r="DY1300" t="s">
        <v>17007</v>
      </c>
      <c r="DZ1300" t="s">
        <v>17008</v>
      </c>
      <c r="EA1300" t="s">
        <v>13772</v>
      </c>
      <c r="EB1300" t="s">
        <v>17009</v>
      </c>
    </row>
    <row r="1301" spans="1:132" hidden="1">
      <c r="A1301">
        <v>344</v>
      </c>
      <c r="B1301">
        <v>1</v>
      </c>
      <c r="C1301" t="s">
        <v>863</v>
      </c>
      <c r="D1301" t="s">
        <v>864</v>
      </c>
      <c r="E1301" t="s">
        <v>73</v>
      </c>
      <c r="F1301" t="s">
        <v>73</v>
      </c>
      <c r="G1301" t="s">
        <v>73</v>
      </c>
      <c r="H1301">
        <v>15.7</v>
      </c>
      <c r="I1301">
        <v>745</v>
      </c>
      <c r="J1301">
        <v>85955</v>
      </c>
      <c r="K1301" t="s">
        <v>865</v>
      </c>
      <c r="L1301">
        <f t="shared" si="82"/>
        <v>16</v>
      </c>
      <c r="N1301">
        <v>16</v>
      </c>
      <c r="O1301">
        <v>16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3</v>
      </c>
      <c r="Z1301">
        <v>0</v>
      </c>
      <c r="AA1301">
        <v>3</v>
      </c>
      <c r="AB1301">
        <v>1</v>
      </c>
      <c r="AC1301">
        <v>0</v>
      </c>
      <c r="AD1301">
        <v>0</v>
      </c>
      <c r="AE1301">
        <v>4</v>
      </c>
      <c r="AF1301">
        <v>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3</v>
      </c>
      <c r="AS1301">
        <v>0</v>
      </c>
      <c r="AT1301">
        <v>3</v>
      </c>
      <c r="AU1301">
        <v>1</v>
      </c>
      <c r="AV1301">
        <v>0</v>
      </c>
      <c r="AW1301">
        <v>0</v>
      </c>
      <c r="AX1301">
        <v>4</v>
      </c>
      <c r="AY1301">
        <v>3</v>
      </c>
      <c r="AZ1301">
        <v>0</v>
      </c>
      <c r="BA1301">
        <v>0</v>
      </c>
      <c r="BB1301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0</v>
      </c>
      <c r="BJ1301" s="2">
        <v>1</v>
      </c>
      <c r="BK1301" s="2">
        <v>3</v>
      </c>
      <c r="BL1301" s="2">
        <v>0</v>
      </c>
      <c r="BM1301" s="2">
        <v>3</v>
      </c>
      <c r="BN1301" s="2">
        <v>1</v>
      </c>
      <c r="BO1301" s="2">
        <v>0</v>
      </c>
      <c r="BP1301" s="2">
        <v>0</v>
      </c>
      <c r="BQ1301" s="2">
        <v>4</v>
      </c>
      <c r="BR1301" s="2">
        <v>3</v>
      </c>
      <c r="BS1301" s="2">
        <v>0</v>
      </c>
      <c r="BT1301" s="2">
        <v>0</v>
      </c>
      <c r="BU1301" s="2">
        <v>0</v>
      </c>
      <c r="BV1301" s="2">
        <f t="shared" si="85"/>
        <v>16</v>
      </c>
      <c r="BW1301" s="16">
        <f t="shared" si="83"/>
        <v>0.84210526315789469</v>
      </c>
      <c r="BX1301" s="16">
        <f>COUNTIF($BC$6:BU1301, "=0") / COUNTIF($BC$6:BU1301, "&gt;-1")</f>
        <v>0.3410899935022742</v>
      </c>
      <c r="BY1301" s="18">
        <f>SUM($BC$6:BU1301) / $BY$4</f>
        <v>0.96760011711805705</v>
      </c>
      <c r="BZ1301" s="14">
        <f t="shared" si="84"/>
        <v>12</v>
      </c>
      <c r="CA1301" t="s">
        <v>5832</v>
      </c>
      <c r="CZ1301" t="s">
        <v>6894</v>
      </c>
      <c r="DA1301" t="s">
        <v>6054</v>
      </c>
      <c r="DB1301">
        <v>266.2</v>
      </c>
      <c r="DC1301" t="s">
        <v>17010</v>
      </c>
      <c r="DD1301" t="s">
        <v>13772</v>
      </c>
      <c r="DE1301" t="s">
        <v>17011</v>
      </c>
      <c r="DF1301" t="s">
        <v>17012</v>
      </c>
      <c r="DG1301" t="s">
        <v>17013</v>
      </c>
      <c r="DH1301" t="str">
        <f>"CALD1"</f>
        <v>CALD1</v>
      </c>
      <c r="DI1301" t="s">
        <v>17014</v>
      </c>
      <c r="DJ1301" t="s">
        <v>13777</v>
      </c>
      <c r="DK1301">
        <v>9606</v>
      </c>
      <c r="DL1301" s="34" t="str">
        <f>HYPERLINK("http://www.uniprot.org/uniprot/Q05682", "Q05682")</f>
        <v>Q05682</v>
      </c>
      <c r="DM1301" t="s">
        <v>17015</v>
      </c>
      <c r="DN1301" t="s">
        <v>13772</v>
      </c>
      <c r="DO1301" t="s">
        <v>13988</v>
      </c>
      <c r="DP1301" t="s">
        <v>13780</v>
      </c>
      <c r="DQ1301" t="s">
        <v>13772</v>
      </c>
      <c r="DR1301" t="s">
        <v>13772</v>
      </c>
      <c r="DS1301" t="s">
        <v>14096</v>
      </c>
      <c r="DT1301" t="s">
        <v>13772</v>
      </c>
      <c r="DU1301" t="s">
        <v>17016</v>
      </c>
      <c r="DV1301" t="s">
        <v>13938</v>
      </c>
      <c r="DW1301" t="s">
        <v>13772</v>
      </c>
      <c r="DX1301" t="s">
        <v>17017</v>
      </c>
      <c r="DY1301" t="s">
        <v>17018</v>
      </c>
      <c r="DZ1301" t="s">
        <v>17019</v>
      </c>
      <c r="EA1301" t="s">
        <v>13772</v>
      </c>
      <c r="EB1301" t="s">
        <v>17020</v>
      </c>
    </row>
    <row r="1302" spans="1:132" hidden="1">
      <c r="A1302">
        <v>379</v>
      </c>
      <c r="B1302">
        <v>1</v>
      </c>
      <c r="C1302" t="s">
        <v>947</v>
      </c>
      <c r="D1302" t="s">
        <v>73</v>
      </c>
      <c r="E1302" t="s">
        <v>73</v>
      </c>
      <c r="F1302" t="s">
        <v>73</v>
      </c>
      <c r="G1302" t="s">
        <v>73</v>
      </c>
      <c r="H1302">
        <v>7.7</v>
      </c>
      <c r="I1302">
        <v>467</v>
      </c>
      <c r="J1302">
        <v>53987</v>
      </c>
      <c r="K1302" t="s">
        <v>948</v>
      </c>
      <c r="L1302">
        <f t="shared" si="82"/>
        <v>16</v>
      </c>
      <c r="N1302">
        <v>16</v>
      </c>
      <c r="O1302">
        <v>16</v>
      </c>
      <c r="P1302">
        <v>1</v>
      </c>
      <c r="Q1302">
        <v>0</v>
      </c>
      <c r="R1302">
        <v>0</v>
      </c>
      <c r="S1302">
        <v>1</v>
      </c>
      <c r="T1302">
        <v>2</v>
      </c>
      <c r="U1302">
        <v>3</v>
      </c>
      <c r="V1302">
        <v>3</v>
      </c>
      <c r="W1302">
        <v>0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2</v>
      </c>
      <c r="AH1302">
        <v>0</v>
      </c>
      <c r="AI1302">
        <v>1</v>
      </c>
      <c r="AJ1302">
        <v>0</v>
      </c>
      <c r="AK1302">
        <v>0</v>
      </c>
      <c r="AL1302">
        <v>1</v>
      </c>
      <c r="AM1302">
        <v>2</v>
      </c>
      <c r="AN1302">
        <v>3</v>
      </c>
      <c r="AO1302">
        <v>3</v>
      </c>
      <c r="AP1302">
        <v>0</v>
      </c>
      <c r="AQ1302">
        <v>3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2</v>
      </c>
      <c r="BA1302">
        <v>0</v>
      </c>
      <c r="BB1302">
        <v>1</v>
      </c>
      <c r="BC1302" s="2">
        <v>0</v>
      </c>
      <c r="BD1302" s="2">
        <v>0</v>
      </c>
      <c r="BE1302" s="2">
        <v>1</v>
      </c>
      <c r="BF1302" s="2">
        <v>2</v>
      </c>
      <c r="BG1302" s="2">
        <v>3</v>
      </c>
      <c r="BH1302" s="2">
        <v>3</v>
      </c>
      <c r="BI1302" s="2">
        <v>0</v>
      </c>
      <c r="BJ1302" s="2">
        <v>3</v>
      </c>
      <c r="BK1302" s="2">
        <v>0</v>
      </c>
      <c r="BL1302" s="2">
        <v>0</v>
      </c>
      <c r="BM1302" s="2">
        <v>0</v>
      </c>
      <c r="BN1302" s="2">
        <v>0</v>
      </c>
      <c r="BO1302" s="2">
        <v>1</v>
      </c>
      <c r="BP1302" s="2">
        <v>0</v>
      </c>
      <c r="BQ1302" s="2">
        <v>0</v>
      </c>
      <c r="BR1302" s="2">
        <v>0</v>
      </c>
      <c r="BS1302" s="2">
        <v>2</v>
      </c>
      <c r="BT1302" s="2">
        <v>0</v>
      </c>
      <c r="BU1302" s="2">
        <v>1</v>
      </c>
      <c r="BV1302" s="2">
        <f t="shared" si="85"/>
        <v>16</v>
      </c>
      <c r="BW1302" s="16">
        <f t="shared" si="83"/>
        <v>0.84210526315789469</v>
      </c>
      <c r="BX1302" s="16">
        <f>COUNTIF($BC$6:BU1302, "=0") / COUNTIF($BC$6:BU1302, "&gt;-1")</f>
        <v>0.34127338392241202</v>
      </c>
      <c r="BY1302" s="18">
        <f>SUM($BC$6:BU1302) / $BY$4</f>
        <v>0.96766865530795632</v>
      </c>
      <c r="BZ1302" s="14">
        <f t="shared" si="84"/>
        <v>11</v>
      </c>
      <c r="CA1302" t="s">
        <v>5832</v>
      </c>
      <c r="CZ1302" t="s">
        <v>7015</v>
      </c>
      <c r="DA1302" t="s">
        <v>5904</v>
      </c>
      <c r="DB1302">
        <v>798.5</v>
      </c>
      <c r="DC1302" t="s">
        <v>17386</v>
      </c>
      <c r="DD1302" t="s">
        <v>17387</v>
      </c>
      <c r="DE1302" t="s">
        <v>17388</v>
      </c>
      <c r="DF1302" t="s">
        <v>17389</v>
      </c>
      <c r="DG1302" t="s">
        <v>17390</v>
      </c>
      <c r="DH1302" t="str">
        <f>"FUCA1"</f>
        <v>FUCA1</v>
      </c>
      <c r="DI1302" t="s">
        <v>13772</v>
      </c>
      <c r="DJ1302" t="s">
        <v>13777</v>
      </c>
      <c r="DK1302">
        <v>9606</v>
      </c>
      <c r="DL1302" s="34" t="str">
        <f>HYPERLINK("http://www.uniprot.org/uniprot/P04066", "P04066")</f>
        <v>P04066</v>
      </c>
      <c r="DM1302" t="s">
        <v>17391</v>
      </c>
      <c r="DN1302" t="s">
        <v>13772</v>
      </c>
      <c r="DO1302" t="s">
        <v>13806</v>
      </c>
      <c r="DP1302" t="s">
        <v>13793</v>
      </c>
      <c r="DQ1302" t="s">
        <v>13772</v>
      </c>
      <c r="DR1302" t="s">
        <v>13807</v>
      </c>
      <c r="DS1302" t="s">
        <v>13808</v>
      </c>
      <c r="DT1302" t="s">
        <v>13772</v>
      </c>
      <c r="DU1302" t="s">
        <v>15471</v>
      </c>
      <c r="DV1302" t="s">
        <v>13978</v>
      </c>
      <c r="DW1302" t="s">
        <v>13772</v>
      </c>
      <c r="DX1302" t="s">
        <v>17392</v>
      </c>
      <c r="DY1302" t="s">
        <v>17393</v>
      </c>
      <c r="DZ1302" t="s">
        <v>17394</v>
      </c>
      <c r="EA1302" t="s">
        <v>13772</v>
      </c>
      <c r="EB1302" t="s">
        <v>17395</v>
      </c>
    </row>
    <row r="1303" spans="1:132" hidden="1">
      <c r="A1303">
        <v>413</v>
      </c>
      <c r="B1303">
        <v>1</v>
      </c>
      <c r="C1303" t="s">
        <v>1035</v>
      </c>
      <c r="D1303" t="s">
        <v>73</v>
      </c>
      <c r="E1303" t="s">
        <v>73</v>
      </c>
      <c r="F1303" t="s">
        <v>73</v>
      </c>
      <c r="G1303" t="s">
        <v>73</v>
      </c>
      <c r="H1303">
        <v>28</v>
      </c>
      <c r="I1303">
        <v>518</v>
      </c>
      <c r="J1303">
        <v>58094</v>
      </c>
      <c r="K1303" t="s">
        <v>1036</v>
      </c>
      <c r="L1303">
        <f t="shared" si="82"/>
        <v>16</v>
      </c>
      <c r="N1303">
        <v>16</v>
      </c>
      <c r="O1303">
        <v>16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0</v>
      </c>
      <c r="AA1303">
        <v>7</v>
      </c>
      <c r="AB1303">
        <v>5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</v>
      </c>
      <c r="AS1303">
        <v>0</v>
      </c>
      <c r="AT1303">
        <v>7</v>
      </c>
      <c r="AU1303">
        <v>5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s="2">
        <v>0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2</v>
      </c>
      <c r="BL1303" s="2">
        <v>0</v>
      </c>
      <c r="BM1303" s="2">
        <v>7</v>
      </c>
      <c r="BN1303" s="2">
        <v>5</v>
      </c>
      <c r="BO1303" s="2">
        <v>1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f t="shared" si="85"/>
        <v>16</v>
      </c>
      <c r="BW1303" s="16">
        <f t="shared" si="83"/>
        <v>0.84210526315789469</v>
      </c>
      <c r="BX1303" s="16">
        <f>COUNTIF($BC$6:BU1303, "=0") / COUNTIF($BC$6:BU1303, "&gt;-1")</f>
        <v>0.34157813640418455</v>
      </c>
      <c r="BY1303" s="18">
        <f>SUM($BC$6:BU1303) / $BY$4</f>
        <v>0.96773719349785547</v>
      </c>
      <c r="BZ1303" s="14">
        <f t="shared" si="84"/>
        <v>14</v>
      </c>
      <c r="CA1303" t="s">
        <v>5832</v>
      </c>
      <c r="CZ1303" t="s">
        <v>7134</v>
      </c>
      <c r="DA1303" t="s">
        <v>5904</v>
      </c>
      <c r="DB1303">
        <v>950.7</v>
      </c>
      <c r="DC1303" t="s">
        <v>17759</v>
      </c>
      <c r="DD1303" t="s">
        <v>17760</v>
      </c>
      <c r="DE1303" t="s">
        <v>17761</v>
      </c>
      <c r="DF1303" t="s">
        <v>17762</v>
      </c>
      <c r="DG1303" t="s">
        <v>17763</v>
      </c>
      <c r="DH1303" t="str">
        <f>"LMAN1"</f>
        <v>LMAN1</v>
      </c>
      <c r="DI1303" t="s">
        <v>17764</v>
      </c>
      <c r="DJ1303" t="s">
        <v>13777</v>
      </c>
      <c r="DK1303">
        <v>9606</v>
      </c>
      <c r="DL1303" s="34" t="str">
        <f>HYPERLINK("http://www.uniprot.org/uniprot/P49257", "P49257")</f>
        <v>P49257</v>
      </c>
      <c r="DM1303" t="s">
        <v>17765</v>
      </c>
      <c r="DN1303" t="s">
        <v>15450</v>
      </c>
      <c r="DO1303" t="s">
        <v>17766</v>
      </c>
      <c r="DP1303" t="s">
        <v>13793</v>
      </c>
      <c r="DQ1303" t="s">
        <v>13772</v>
      </c>
      <c r="DR1303" t="s">
        <v>13772</v>
      </c>
      <c r="DS1303" t="s">
        <v>13855</v>
      </c>
      <c r="DT1303" t="s">
        <v>17767</v>
      </c>
      <c r="DU1303" t="s">
        <v>13772</v>
      </c>
      <c r="DV1303" t="s">
        <v>15554</v>
      </c>
      <c r="DW1303" t="s">
        <v>13812</v>
      </c>
      <c r="DX1303" t="s">
        <v>17768</v>
      </c>
      <c r="DY1303" t="s">
        <v>17769</v>
      </c>
      <c r="DZ1303" t="s">
        <v>17770</v>
      </c>
      <c r="EA1303" t="s">
        <v>13772</v>
      </c>
      <c r="EB1303" t="s">
        <v>17771</v>
      </c>
    </row>
    <row r="1304" spans="1:132" hidden="1">
      <c r="A1304">
        <v>439</v>
      </c>
      <c r="B1304">
        <v>1</v>
      </c>
      <c r="C1304" t="s">
        <v>1099</v>
      </c>
      <c r="D1304" t="s">
        <v>73</v>
      </c>
      <c r="E1304" t="s">
        <v>73</v>
      </c>
      <c r="F1304" t="s">
        <v>73</v>
      </c>
      <c r="G1304" t="s">
        <v>73</v>
      </c>
      <c r="H1304">
        <v>27.8</v>
      </c>
      <c r="I1304">
        <v>288</v>
      </c>
      <c r="J1304">
        <v>32565</v>
      </c>
      <c r="K1304" t="s">
        <v>1100</v>
      </c>
      <c r="L1304">
        <f t="shared" si="82"/>
        <v>16</v>
      </c>
      <c r="N1304">
        <v>16</v>
      </c>
      <c r="O1304">
        <v>16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6</v>
      </c>
      <c r="AB1304">
        <v>4</v>
      </c>
      <c r="AC1304">
        <v>1</v>
      </c>
      <c r="AD1304">
        <v>0</v>
      </c>
      <c r="AE1304">
        <v>2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6</v>
      </c>
      <c r="AU1304">
        <v>4</v>
      </c>
      <c r="AV1304">
        <v>1</v>
      </c>
      <c r="AW1304">
        <v>0</v>
      </c>
      <c r="AX1304">
        <v>2</v>
      </c>
      <c r="AY1304">
        <v>1</v>
      </c>
      <c r="AZ1304">
        <v>0</v>
      </c>
      <c r="BA1304">
        <v>0</v>
      </c>
      <c r="BB1304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1</v>
      </c>
      <c r="BL1304" s="2">
        <v>0</v>
      </c>
      <c r="BM1304" s="2">
        <v>6</v>
      </c>
      <c r="BN1304" s="2">
        <v>4</v>
      </c>
      <c r="BO1304" s="2">
        <v>1</v>
      </c>
      <c r="BP1304" s="2">
        <v>0</v>
      </c>
      <c r="BQ1304" s="2">
        <v>2</v>
      </c>
      <c r="BR1304" s="2">
        <v>1</v>
      </c>
      <c r="BS1304" s="2">
        <v>0</v>
      </c>
      <c r="BT1304" s="2">
        <v>0</v>
      </c>
      <c r="BU1304" s="2">
        <v>1</v>
      </c>
      <c r="BV1304" s="2">
        <f t="shared" si="85"/>
        <v>16</v>
      </c>
      <c r="BW1304" s="16">
        <f t="shared" si="83"/>
        <v>0.84210526315789469</v>
      </c>
      <c r="BX1304" s="16">
        <f>COUNTIF($BC$6:BU1304, "=0") / COUNTIF($BC$6:BU1304, "&gt;-1")</f>
        <v>0.34180138568129331</v>
      </c>
      <c r="BY1304" s="18">
        <f>SUM($BC$6:BU1304) / $BY$4</f>
        <v>0.96780573168775474</v>
      </c>
      <c r="BZ1304" s="14">
        <f t="shared" si="84"/>
        <v>12</v>
      </c>
      <c r="CA1304" t="s">
        <v>5832</v>
      </c>
      <c r="CZ1304" t="s">
        <v>7222</v>
      </c>
      <c r="DA1304" t="s">
        <v>5904</v>
      </c>
      <c r="DB1304">
        <v>513.79999999999995</v>
      </c>
      <c r="DC1304" t="s">
        <v>18049</v>
      </c>
      <c r="DD1304" t="s">
        <v>18050</v>
      </c>
      <c r="DE1304" t="s">
        <v>18051</v>
      </c>
      <c r="DF1304" t="s">
        <v>18052</v>
      </c>
      <c r="DG1304" t="s">
        <v>18053</v>
      </c>
      <c r="DH1304" t="str">
        <f>"RPL6"</f>
        <v>RPL6</v>
      </c>
      <c r="DI1304" t="s">
        <v>18054</v>
      </c>
      <c r="DJ1304" t="s">
        <v>13777</v>
      </c>
      <c r="DK1304">
        <v>9606</v>
      </c>
      <c r="DL1304" s="34" t="str">
        <f>HYPERLINK("http://www.uniprot.org/uniprot/Q02878", "Q02878")</f>
        <v>Q02878</v>
      </c>
      <c r="DM1304" t="s">
        <v>18055</v>
      </c>
      <c r="DN1304" t="s">
        <v>13772</v>
      </c>
      <c r="DO1304" t="s">
        <v>14265</v>
      </c>
      <c r="DP1304" t="s">
        <v>13793</v>
      </c>
      <c r="DQ1304" t="s">
        <v>13772</v>
      </c>
      <c r="DR1304" t="s">
        <v>13772</v>
      </c>
      <c r="DS1304" t="s">
        <v>13772</v>
      </c>
      <c r="DT1304" t="s">
        <v>13772</v>
      </c>
      <c r="DU1304" t="s">
        <v>13937</v>
      </c>
      <c r="DV1304" t="s">
        <v>13991</v>
      </c>
      <c r="DW1304" t="s">
        <v>13812</v>
      </c>
      <c r="DX1304" t="s">
        <v>18056</v>
      </c>
      <c r="DY1304" t="s">
        <v>18057</v>
      </c>
      <c r="DZ1304" t="s">
        <v>18058</v>
      </c>
      <c r="EA1304" t="s">
        <v>13772</v>
      </c>
      <c r="EB1304" t="s">
        <v>13942</v>
      </c>
    </row>
    <row r="1305" spans="1:132" hidden="1">
      <c r="A1305">
        <v>461</v>
      </c>
      <c r="B1305">
        <v>1</v>
      </c>
      <c r="C1305" t="s">
        <v>1154</v>
      </c>
      <c r="D1305" t="s">
        <v>73</v>
      </c>
      <c r="E1305" t="s">
        <v>73</v>
      </c>
      <c r="F1305" t="s">
        <v>73</v>
      </c>
      <c r="G1305" t="s">
        <v>73</v>
      </c>
      <c r="H1305">
        <v>24</v>
      </c>
      <c r="I1305">
        <v>317</v>
      </c>
      <c r="J1305">
        <v>34261</v>
      </c>
      <c r="K1305" t="s">
        <v>1155</v>
      </c>
      <c r="L1305">
        <f t="shared" si="82"/>
        <v>16</v>
      </c>
      <c r="N1305">
        <v>16</v>
      </c>
      <c r="O1305">
        <v>16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</v>
      </c>
      <c r="AB1305">
        <v>7</v>
      </c>
      <c r="AC1305">
        <v>1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5</v>
      </c>
      <c r="AU1305">
        <v>7</v>
      </c>
      <c r="AV1305">
        <v>1</v>
      </c>
      <c r="AW1305">
        <v>0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5</v>
      </c>
      <c r="BN1305" s="2">
        <v>7</v>
      </c>
      <c r="BO1305" s="2">
        <v>1</v>
      </c>
      <c r="BP1305" s="2">
        <v>0</v>
      </c>
      <c r="BQ1305" s="2">
        <v>1</v>
      </c>
      <c r="BR1305" s="2">
        <v>1</v>
      </c>
      <c r="BS1305" s="2">
        <v>0</v>
      </c>
      <c r="BT1305" s="2">
        <v>0</v>
      </c>
      <c r="BU1305" s="2">
        <v>0</v>
      </c>
      <c r="BV1305" s="2">
        <f t="shared" si="85"/>
        <v>16</v>
      </c>
      <c r="BW1305" s="16">
        <f t="shared" si="83"/>
        <v>0.84210526315789469</v>
      </c>
      <c r="BX1305" s="16">
        <f>COUNTIF($BC$6:BU1305, "=0") / COUNTIF($BC$6:BU1305, "&gt;-1")</f>
        <v>0.34206477732793522</v>
      </c>
      <c r="BY1305" s="18">
        <f>SUM($BC$6:BU1305) / $BY$4</f>
        <v>0.9678742698776539</v>
      </c>
      <c r="BZ1305" s="14">
        <f t="shared" si="84"/>
        <v>13</v>
      </c>
      <c r="CA1305" t="s">
        <v>5832</v>
      </c>
      <c r="CZ1305" t="s">
        <v>7300</v>
      </c>
      <c r="DA1305" t="s">
        <v>5904</v>
      </c>
      <c r="DB1305">
        <v>639</v>
      </c>
      <c r="DC1305" t="s">
        <v>18280</v>
      </c>
      <c r="DD1305" t="s">
        <v>18281</v>
      </c>
      <c r="DE1305" t="s">
        <v>18282</v>
      </c>
      <c r="DF1305" t="s">
        <v>18283</v>
      </c>
      <c r="DG1305" t="s">
        <v>18284</v>
      </c>
      <c r="DH1305" t="str">
        <f>"RPLP0"</f>
        <v>RPLP0</v>
      </c>
      <c r="DI1305" t="s">
        <v>13772</v>
      </c>
      <c r="DJ1305" t="s">
        <v>13777</v>
      </c>
      <c r="DK1305">
        <v>9606</v>
      </c>
      <c r="DL1305" s="34" t="str">
        <f>HYPERLINK("http://www.uniprot.org/uniprot/P05388", "P05388")</f>
        <v>P05388</v>
      </c>
      <c r="DM1305" t="s">
        <v>18285</v>
      </c>
      <c r="DN1305" t="s">
        <v>13772</v>
      </c>
      <c r="DO1305" t="s">
        <v>13912</v>
      </c>
      <c r="DP1305" t="s">
        <v>13841</v>
      </c>
      <c r="DQ1305" t="s">
        <v>13772</v>
      </c>
      <c r="DR1305" t="s">
        <v>13772</v>
      </c>
      <c r="DS1305" t="s">
        <v>13772</v>
      </c>
      <c r="DT1305" t="s">
        <v>13772</v>
      </c>
      <c r="DU1305" t="s">
        <v>13937</v>
      </c>
      <c r="DV1305" t="s">
        <v>13938</v>
      </c>
      <c r="DW1305" t="s">
        <v>13812</v>
      </c>
      <c r="DX1305" t="s">
        <v>18286</v>
      </c>
      <c r="DY1305" t="s">
        <v>18287</v>
      </c>
      <c r="DZ1305" t="s">
        <v>18288</v>
      </c>
      <c r="EA1305" t="s">
        <v>13772</v>
      </c>
      <c r="EB1305" t="s">
        <v>18289</v>
      </c>
    </row>
    <row r="1306" spans="1:132" hidden="1">
      <c r="A1306">
        <v>556</v>
      </c>
      <c r="B1306">
        <v>1</v>
      </c>
      <c r="C1306" t="s">
        <v>1386</v>
      </c>
      <c r="D1306" t="s">
        <v>1387</v>
      </c>
      <c r="E1306" t="s">
        <v>73</v>
      </c>
      <c r="F1306" t="s">
        <v>73</v>
      </c>
      <c r="G1306" t="s">
        <v>73</v>
      </c>
      <c r="H1306">
        <v>4.9000000000000004</v>
      </c>
      <c r="I1306">
        <v>1298</v>
      </c>
      <c r="J1306">
        <v>138618</v>
      </c>
      <c r="K1306" t="s">
        <v>1388</v>
      </c>
      <c r="L1306">
        <f t="shared" si="82"/>
        <v>16</v>
      </c>
      <c r="N1306">
        <v>16</v>
      </c>
      <c r="O1306">
        <v>16</v>
      </c>
      <c r="P1306">
        <v>1</v>
      </c>
      <c r="Q1306">
        <v>1</v>
      </c>
      <c r="R1306">
        <v>1</v>
      </c>
      <c r="S1306">
        <v>4</v>
      </c>
      <c r="T1306">
        <v>5</v>
      </c>
      <c r="U1306">
        <v>3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4</v>
      </c>
      <c r="AM1306">
        <v>5</v>
      </c>
      <c r="AN1306">
        <v>3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 s="2">
        <v>1</v>
      </c>
      <c r="BD1306" s="2">
        <v>1</v>
      </c>
      <c r="BE1306" s="2">
        <v>4</v>
      </c>
      <c r="BF1306" s="2">
        <v>5</v>
      </c>
      <c r="BG1306" s="2">
        <v>3</v>
      </c>
      <c r="BH1306" s="2">
        <v>1</v>
      </c>
      <c r="BI1306" s="2">
        <v>1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f t="shared" si="85"/>
        <v>16</v>
      </c>
      <c r="BW1306" s="16">
        <f t="shared" si="83"/>
        <v>0.84210526315789469</v>
      </c>
      <c r="BX1306" s="16">
        <f>COUNTIF($BC$6:BU1306, "=0") / COUNTIF($BC$6:BU1306, "&gt;-1")</f>
        <v>0.34228730935717466</v>
      </c>
      <c r="BY1306" s="18">
        <f>SUM($BC$6:BU1306) / $BY$4</f>
        <v>0.96794280806755306</v>
      </c>
      <c r="BZ1306" s="14">
        <f t="shared" si="84"/>
        <v>12</v>
      </c>
      <c r="CA1306" t="s">
        <v>5832</v>
      </c>
      <c r="CZ1306" t="s">
        <v>7621</v>
      </c>
      <c r="DA1306" t="s">
        <v>5904</v>
      </c>
      <c r="DB1306">
        <v>2372.4</v>
      </c>
      <c r="DC1306" t="s">
        <v>19251</v>
      </c>
      <c r="DD1306" t="s">
        <v>13772</v>
      </c>
      <c r="DE1306" t="s">
        <v>19252</v>
      </c>
      <c r="DF1306" t="s">
        <v>19253</v>
      </c>
      <c r="DG1306" t="s">
        <v>19254</v>
      </c>
      <c r="DH1306" t="str">
        <f>"LTBP3"</f>
        <v>LTBP3</v>
      </c>
      <c r="DI1306" t="s">
        <v>13772</v>
      </c>
      <c r="DJ1306" t="s">
        <v>13777</v>
      </c>
      <c r="DK1306">
        <v>9606</v>
      </c>
      <c r="DL1306" s="34" t="str">
        <f>HYPERLINK("http://www.uniprot.org/uniprot/Q9NS15", "Q9NS15")</f>
        <v>Q9NS15</v>
      </c>
      <c r="DM1306" t="s">
        <v>19255</v>
      </c>
      <c r="DN1306" t="s">
        <v>13772</v>
      </c>
      <c r="DO1306" t="s">
        <v>13869</v>
      </c>
      <c r="DP1306" t="s">
        <v>13841</v>
      </c>
      <c r="DQ1306" t="s">
        <v>13772</v>
      </c>
      <c r="DR1306" t="s">
        <v>19256</v>
      </c>
      <c r="DS1306" t="s">
        <v>14768</v>
      </c>
      <c r="DT1306" t="s">
        <v>13772</v>
      </c>
      <c r="DU1306" t="s">
        <v>16896</v>
      </c>
      <c r="DV1306" t="s">
        <v>13796</v>
      </c>
      <c r="DW1306" t="s">
        <v>13772</v>
      </c>
      <c r="DX1306" t="s">
        <v>19257</v>
      </c>
      <c r="DY1306" t="s">
        <v>19258</v>
      </c>
      <c r="DZ1306" t="s">
        <v>19259</v>
      </c>
      <c r="EA1306" t="s">
        <v>13772</v>
      </c>
      <c r="EB1306" t="s">
        <v>14774</v>
      </c>
    </row>
    <row r="1307" spans="1:132" hidden="1">
      <c r="A1307">
        <v>645</v>
      </c>
      <c r="B1307">
        <v>1</v>
      </c>
      <c r="C1307" t="s">
        <v>1594</v>
      </c>
      <c r="D1307" t="s">
        <v>73</v>
      </c>
      <c r="E1307" t="s">
        <v>73</v>
      </c>
      <c r="F1307" t="s">
        <v>1595</v>
      </c>
      <c r="G1307" t="s">
        <v>73</v>
      </c>
      <c r="H1307">
        <v>31.9</v>
      </c>
      <c r="I1307">
        <v>160</v>
      </c>
      <c r="J1307">
        <v>17792</v>
      </c>
      <c r="K1307" t="s">
        <v>1596</v>
      </c>
      <c r="L1307">
        <f t="shared" si="82"/>
        <v>46</v>
      </c>
      <c r="N1307">
        <v>46</v>
      </c>
      <c r="O1307">
        <v>0</v>
      </c>
      <c r="P1307">
        <v>0</v>
      </c>
      <c r="Q1307">
        <v>4</v>
      </c>
      <c r="R1307">
        <v>1</v>
      </c>
      <c r="S1307">
        <v>0</v>
      </c>
      <c r="T1307">
        <v>0</v>
      </c>
      <c r="U1307">
        <v>2</v>
      </c>
      <c r="V1307">
        <v>5</v>
      </c>
      <c r="W1307">
        <v>9</v>
      </c>
      <c r="X1307">
        <v>2</v>
      </c>
      <c r="Y1307">
        <v>0</v>
      </c>
      <c r="Z1307">
        <v>1</v>
      </c>
      <c r="AA1307">
        <v>5</v>
      </c>
      <c r="AB1307">
        <v>6</v>
      </c>
      <c r="AC1307">
        <v>3</v>
      </c>
      <c r="AD1307">
        <v>0</v>
      </c>
      <c r="AE1307">
        <v>1</v>
      </c>
      <c r="AF1307">
        <v>2</v>
      </c>
      <c r="AG1307">
        <v>3</v>
      </c>
      <c r="AH1307">
        <v>2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 s="2">
        <v>1</v>
      </c>
      <c r="BD1307" s="2">
        <v>0.5</v>
      </c>
      <c r="BE1307" s="2">
        <v>0</v>
      </c>
      <c r="BF1307" s="2">
        <v>0</v>
      </c>
      <c r="BG1307" s="2">
        <v>1</v>
      </c>
      <c r="BH1307" s="2">
        <v>2.5</v>
      </c>
      <c r="BI1307" s="2">
        <v>2</v>
      </c>
      <c r="BJ1307" s="2">
        <v>1</v>
      </c>
      <c r="BK1307" s="2">
        <v>0</v>
      </c>
      <c r="BL1307" s="2">
        <v>0.5</v>
      </c>
      <c r="BM1307" s="2">
        <v>1.5</v>
      </c>
      <c r="BN1307" s="2">
        <v>1.5</v>
      </c>
      <c r="BO1307" s="2">
        <v>1</v>
      </c>
      <c r="BP1307" s="2">
        <v>0</v>
      </c>
      <c r="BQ1307" s="2">
        <v>0</v>
      </c>
      <c r="BR1307" s="2">
        <v>1</v>
      </c>
      <c r="BS1307" s="2">
        <v>1.5</v>
      </c>
      <c r="BT1307" s="2">
        <v>1</v>
      </c>
      <c r="BU1307" s="2">
        <v>0</v>
      </c>
      <c r="BV1307" s="2">
        <f t="shared" si="85"/>
        <v>16</v>
      </c>
      <c r="BW1307" s="16">
        <f t="shared" si="83"/>
        <v>0.84210526315789469</v>
      </c>
      <c r="BX1307" s="16">
        <f>COUNTIF($BC$6:BU1307, "=0") / COUNTIF($BC$6:BU1307, "&gt;-1")</f>
        <v>0.34226695771687282</v>
      </c>
      <c r="BY1307" s="18">
        <f>SUM($BC$6:BU1307) / $BY$4</f>
        <v>0.96801134625745233</v>
      </c>
      <c r="BZ1307" s="14">
        <f t="shared" si="84"/>
        <v>6</v>
      </c>
      <c r="CA1307" t="s">
        <v>5832</v>
      </c>
      <c r="CZ1307" t="s">
        <v>7919</v>
      </c>
      <c r="DA1307" t="s">
        <v>5896</v>
      </c>
      <c r="DB1307">
        <v>209.9</v>
      </c>
      <c r="DC1307" t="s">
        <v>20152</v>
      </c>
      <c r="DD1307" t="s">
        <v>20153</v>
      </c>
      <c r="DE1307" t="s">
        <v>20154</v>
      </c>
      <c r="DF1307" t="s">
        <v>20155</v>
      </c>
      <c r="DG1307" t="s">
        <v>20156</v>
      </c>
      <c r="DH1307" t="str">
        <f>"HLA-A"</f>
        <v>HLA-A</v>
      </c>
      <c r="DI1307" t="s">
        <v>20157</v>
      </c>
      <c r="DJ1307" t="s">
        <v>13777</v>
      </c>
      <c r="DK1307">
        <v>9606</v>
      </c>
      <c r="DL1307" s="34" t="str">
        <f>HYPERLINK("http://www.uniprot.org/uniprot/P01891", "P01891")</f>
        <v>P01891</v>
      </c>
      <c r="DM1307" t="s">
        <v>20158</v>
      </c>
      <c r="DN1307" t="s">
        <v>13791</v>
      </c>
      <c r="DO1307" t="s">
        <v>20159</v>
      </c>
      <c r="DP1307" t="s">
        <v>13793</v>
      </c>
      <c r="DQ1307" t="s">
        <v>13772</v>
      </c>
      <c r="DR1307" t="s">
        <v>13772</v>
      </c>
      <c r="DS1307" t="s">
        <v>13855</v>
      </c>
      <c r="DT1307" t="s">
        <v>13772</v>
      </c>
      <c r="DU1307" t="s">
        <v>13772</v>
      </c>
      <c r="DV1307" t="s">
        <v>14640</v>
      </c>
      <c r="DW1307" t="s">
        <v>13812</v>
      </c>
      <c r="DX1307" t="s">
        <v>20160</v>
      </c>
      <c r="DY1307" t="s">
        <v>20161</v>
      </c>
      <c r="DZ1307" t="s">
        <v>20162</v>
      </c>
      <c r="EA1307" t="s">
        <v>13772</v>
      </c>
      <c r="EB1307" t="s">
        <v>20163</v>
      </c>
    </row>
    <row r="1308" spans="1:132" hidden="1">
      <c r="A1308">
        <v>785</v>
      </c>
      <c r="B1308">
        <v>1</v>
      </c>
      <c r="C1308" t="s">
        <v>1929</v>
      </c>
      <c r="D1308" t="s">
        <v>73</v>
      </c>
      <c r="E1308" t="s">
        <v>73</v>
      </c>
      <c r="F1308" t="s">
        <v>73</v>
      </c>
      <c r="G1308" t="s">
        <v>73</v>
      </c>
      <c r="H1308">
        <v>8.1</v>
      </c>
      <c r="I1308">
        <v>258</v>
      </c>
      <c r="J1308">
        <v>26679</v>
      </c>
      <c r="K1308" t="s">
        <v>1930</v>
      </c>
      <c r="L1308">
        <f t="shared" si="82"/>
        <v>16</v>
      </c>
      <c r="N1308">
        <v>16</v>
      </c>
      <c r="O1308">
        <v>16</v>
      </c>
      <c r="P1308">
        <v>1</v>
      </c>
      <c r="Q1308">
        <v>3</v>
      </c>
      <c r="R1308">
        <v>2</v>
      </c>
      <c r="S1308">
        <v>2</v>
      </c>
      <c r="T1308">
        <v>2</v>
      </c>
      <c r="U1308">
        <v>2</v>
      </c>
      <c r="V1308">
        <v>1</v>
      </c>
      <c r="W1308">
        <v>2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</v>
      </c>
      <c r="AK1308">
        <v>2</v>
      </c>
      <c r="AL1308">
        <v>2</v>
      </c>
      <c r="AM1308">
        <v>2</v>
      </c>
      <c r="AN1308">
        <v>2</v>
      </c>
      <c r="AO1308">
        <v>1</v>
      </c>
      <c r="AP1308">
        <v>2</v>
      </c>
      <c r="AQ1308">
        <v>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 s="2">
        <v>3</v>
      </c>
      <c r="BD1308" s="2">
        <v>2</v>
      </c>
      <c r="BE1308" s="2">
        <v>2</v>
      </c>
      <c r="BF1308" s="2">
        <v>2</v>
      </c>
      <c r="BG1308" s="2">
        <v>2</v>
      </c>
      <c r="BH1308" s="2">
        <v>1</v>
      </c>
      <c r="BI1308" s="2">
        <v>2</v>
      </c>
      <c r="BJ1308" s="2">
        <v>2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f t="shared" si="85"/>
        <v>16</v>
      </c>
      <c r="BW1308" s="16">
        <f t="shared" si="83"/>
        <v>0.84210526315789469</v>
      </c>
      <c r="BX1308" s="16">
        <f>COUNTIF($BC$6:BU1308, "=0") / COUNTIF($BC$6:BU1308, "&gt;-1")</f>
        <v>0.34244860039584762</v>
      </c>
      <c r="BY1308" s="18">
        <f>SUM($BC$6:BU1308) / $BY$4</f>
        <v>0.96807988444735149</v>
      </c>
      <c r="BZ1308" s="14">
        <f t="shared" si="84"/>
        <v>11</v>
      </c>
      <c r="CA1308" t="s">
        <v>5832</v>
      </c>
      <c r="CZ1308" t="s">
        <v>8389</v>
      </c>
      <c r="DA1308" t="s">
        <v>5904</v>
      </c>
      <c r="DB1308">
        <v>219.9</v>
      </c>
      <c r="DC1308" t="s">
        <v>21525</v>
      </c>
      <c r="DD1308" t="s">
        <v>21526</v>
      </c>
      <c r="DE1308" t="s">
        <v>21527</v>
      </c>
      <c r="DF1308" t="s">
        <v>21528</v>
      </c>
      <c r="DG1308" t="s">
        <v>21529</v>
      </c>
      <c r="DH1308" t="str">
        <f>"CD320"</f>
        <v>CD320</v>
      </c>
      <c r="DI1308" t="s">
        <v>21530</v>
      </c>
      <c r="DJ1308" t="s">
        <v>13777</v>
      </c>
      <c r="DK1308">
        <v>9606</v>
      </c>
      <c r="DL1308" s="34" t="str">
        <f>HYPERLINK("http://www.uniprot.org/uniprot/Q9NPF0", "Q9NPF0")</f>
        <v>Q9NPF0</v>
      </c>
      <c r="DM1308" t="s">
        <v>21531</v>
      </c>
      <c r="DN1308" t="s">
        <v>13772</v>
      </c>
      <c r="DO1308" t="s">
        <v>13792</v>
      </c>
      <c r="DP1308" t="s">
        <v>13780</v>
      </c>
      <c r="DQ1308" t="s">
        <v>13772</v>
      </c>
      <c r="DR1308" t="s">
        <v>13807</v>
      </c>
      <c r="DS1308" t="s">
        <v>13826</v>
      </c>
      <c r="DT1308" t="s">
        <v>13873</v>
      </c>
      <c r="DU1308" t="s">
        <v>15740</v>
      </c>
      <c r="DV1308" t="s">
        <v>13796</v>
      </c>
      <c r="DW1308" t="s">
        <v>13812</v>
      </c>
      <c r="DX1308" t="s">
        <v>21532</v>
      </c>
      <c r="DY1308" t="s">
        <v>21533</v>
      </c>
      <c r="DZ1308" t="s">
        <v>21534</v>
      </c>
      <c r="EA1308" t="s">
        <v>13772</v>
      </c>
      <c r="EB1308" t="s">
        <v>21535</v>
      </c>
    </row>
    <row r="1309" spans="1:132" hidden="1">
      <c r="A1309">
        <v>1023</v>
      </c>
      <c r="B1309">
        <v>1</v>
      </c>
      <c r="C1309" t="s">
        <v>2475</v>
      </c>
      <c r="D1309" t="s">
        <v>2476</v>
      </c>
      <c r="E1309" t="s">
        <v>73</v>
      </c>
      <c r="F1309" t="s">
        <v>73</v>
      </c>
      <c r="G1309" t="s">
        <v>73</v>
      </c>
      <c r="H1309">
        <v>9.1</v>
      </c>
      <c r="I1309">
        <v>891</v>
      </c>
      <c r="J1309">
        <v>98952</v>
      </c>
      <c r="K1309" t="s">
        <v>2477</v>
      </c>
      <c r="L1309">
        <f t="shared" si="82"/>
        <v>16</v>
      </c>
      <c r="N1309">
        <v>16</v>
      </c>
      <c r="O1309">
        <v>16</v>
      </c>
      <c r="P1309">
        <v>1</v>
      </c>
      <c r="Q1309">
        <v>0</v>
      </c>
      <c r="R1309">
        <v>2</v>
      </c>
      <c r="S1309">
        <v>0</v>
      </c>
      <c r="T1309">
        <v>0</v>
      </c>
      <c r="U1309">
        <v>3</v>
      </c>
      <c r="V1309">
        <v>2</v>
      </c>
      <c r="W1309">
        <v>0</v>
      </c>
      <c r="X1309">
        <v>0</v>
      </c>
      <c r="Y1309">
        <v>4</v>
      </c>
      <c r="Z1309">
        <v>0</v>
      </c>
      <c r="AA1309">
        <v>4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</v>
      </c>
      <c r="AL1309">
        <v>0</v>
      </c>
      <c r="AM1309">
        <v>0</v>
      </c>
      <c r="AN1309">
        <v>3</v>
      </c>
      <c r="AO1309">
        <v>2</v>
      </c>
      <c r="AP1309">
        <v>0</v>
      </c>
      <c r="AQ1309">
        <v>0</v>
      </c>
      <c r="AR1309">
        <v>4</v>
      </c>
      <c r="AS1309">
        <v>0</v>
      </c>
      <c r="AT1309">
        <v>4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 s="2">
        <v>0</v>
      </c>
      <c r="BD1309" s="2">
        <v>2</v>
      </c>
      <c r="BE1309" s="2">
        <v>0</v>
      </c>
      <c r="BF1309" s="2">
        <v>0</v>
      </c>
      <c r="BG1309" s="2">
        <v>3</v>
      </c>
      <c r="BH1309" s="2">
        <v>2</v>
      </c>
      <c r="BI1309" s="2">
        <v>0</v>
      </c>
      <c r="BJ1309" s="2">
        <v>0</v>
      </c>
      <c r="BK1309" s="2">
        <v>4</v>
      </c>
      <c r="BL1309" s="2">
        <v>0</v>
      </c>
      <c r="BM1309" s="2">
        <v>4</v>
      </c>
      <c r="BN1309" s="2">
        <v>1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f t="shared" si="85"/>
        <v>16</v>
      </c>
      <c r="BW1309" s="16">
        <f t="shared" si="83"/>
        <v>0.84210526315789469</v>
      </c>
      <c r="BX1309" s="16">
        <f>COUNTIF($BC$6:BU1309, "=0") / COUNTIF($BC$6:BU1309, "&gt;-1")</f>
        <v>0.34271068776235064</v>
      </c>
      <c r="BY1309" s="18">
        <f>SUM($BC$6:BU1309) / $BY$4</f>
        <v>0.96814842263725076</v>
      </c>
      <c r="BZ1309" s="14">
        <f t="shared" si="84"/>
        <v>13</v>
      </c>
      <c r="CA1309" t="s">
        <v>5832</v>
      </c>
      <c r="CZ1309" t="s">
        <v>9188</v>
      </c>
      <c r="DA1309" t="s">
        <v>5904</v>
      </c>
      <c r="DB1309">
        <v>1747.6</v>
      </c>
      <c r="DC1309" t="s">
        <v>23814</v>
      </c>
      <c r="DD1309" t="s">
        <v>23815</v>
      </c>
      <c r="DE1309" t="s">
        <v>23816</v>
      </c>
      <c r="DF1309" t="s">
        <v>23817</v>
      </c>
      <c r="DG1309" t="s">
        <v>23818</v>
      </c>
      <c r="DH1309" t="str">
        <f>"USP5"</f>
        <v>USP5</v>
      </c>
      <c r="DI1309" t="s">
        <v>23819</v>
      </c>
      <c r="DJ1309" t="s">
        <v>13777</v>
      </c>
      <c r="DK1309">
        <v>9606</v>
      </c>
      <c r="DL1309" s="34" t="str">
        <f>HYPERLINK("http://www.uniprot.org/uniprot/P45974", "P45974")</f>
        <v>P45974</v>
      </c>
      <c r="DM1309" t="s">
        <v>23820</v>
      </c>
      <c r="DN1309" t="s">
        <v>14109</v>
      </c>
      <c r="DO1309" t="s">
        <v>13772</v>
      </c>
      <c r="DP1309" t="s">
        <v>13841</v>
      </c>
      <c r="DQ1309" t="s">
        <v>13772</v>
      </c>
      <c r="DR1309" t="s">
        <v>13772</v>
      </c>
      <c r="DS1309" t="s">
        <v>17779</v>
      </c>
      <c r="DT1309" t="s">
        <v>13856</v>
      </c>
      <c r="DU1309" t="s">
        <v>14083</v>
      </c>
      <c r="DV1309" t="s">
        <v>15256</v>
      </c>
      <c r="DW1309" t="s">
        <v>13812</v>
      </c>
      <c r="DX1309" t="s">
        <v>23821</v>
      </c>
      <c r="DY1309" t="s">
        <v>23822</v>
      </c>
      <c r="DZ1309" t="s">
        <v>23823</v>
      </c>
      <c r="EA1309" t="s">
        <v>13772</v>
      </c>
      <c r="EB1309" t="s">
        <v>23824</v>
      </c>
    </row>
    <row r="1310" spans="1:132" hidden="1">
      <c r="A1310">
        <v>1091</v>
      </c>
      <c r="B1310">
        <v>1</v>
      </c>
      <c r="C1310" t="s">
        <v>2623</v>
      </c>
      <c r="D1310" t="s">
        <v>2624</v>
      </c>
      <c r="E1310" t="s">
        <v>73</v>
      </c>
      <c r="F1310" t="s">
        <v>73</v>
      </c>
      <c r="G1310" t="s">
        <v>73</v>
      </c>
      <c r="H1310">
        <v>12.3</v>
      </c>
      <c r="I1310">
        <v>555</v>
      </c>
      <c r="J1310">
        <v>61413</v>
      </c>
      <c r="K1310" t="s">
        <v>2625</v>
      </c>
      <c r="L1310">
        <f t="shared" si="82"/>
        <v>16</v>
      </c>
      <c r="N1310">
        <v>16</v>
      </c>
      <c r="O1310">
        <v>16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0</v>
      </c>
      <c r="X1310">
        <v>0</v>
      </c>
      <c r="Y1310">
        <v>3</v>
      </c>
      <c r="Z1310">
        <v>0</v>
      </c>
      <c r="AA1310">
        <v>2</v>
      </c>
      <c r="AB1310">
        <v>1</v>
      </c>
      <c r="AC1310">
        <v>1</v>
      </c>
      <c r="AD1310">
        <v>0</v>
      </c>
      <c r="AE1310">
        <v>3</v>
      </c>
      <c r="AF1310">
        <v>2</v>
      </c>
      <c r="AG1310">
        <v>0</v>
      </c>
      <c r="AH1310">
        <v>0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</v>
      </c>
      <c r="AP1310">
        <v>0</v>
      </c>
      <c r="AQ1310">
        <v>0</v>
      </c>
      <c r="AR1310">
        <v>3</v>
      </c>
      <c r="AS1310">
        <v>0</v>
      </c>
      <c r="AT1310">
        <v>2</v>
      </c>
      <c r="AU1310">
        <v>1</v>
      </c>
      <c r="AV1310">
        <v>1</v>
      </c>
      <c r="AW1310">
        <v>0</v>
      </c>
      <c r="AX1310">
        <v>3</v>
      </c>
      <c r="AY1310">
        <v>2</v>
      </c>
      <c r="AZ1310">
        <v>0</v>
      </c>
      <c r="BA1310">
        <v>0</v>
      </c>
      <c r="BB1310">
        <v>2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2</v>
      </c>
      <c r="BI1310" s="2">
        <v>0</v>
      </c>
      <c r="BJ1310" s="2">
        <v>0</v>
      </c>
      <c r="BK1310" s="2">
        <v>3</v>
      </c>
      <c r="BL1310" s="2">
        <v>0</v>
      </c>
      <c r="BM1310" s="2">
        <v>2</v>
      </c>
      <c r="BN1310" s="2">
        <v>1</v>
      </c>
      <c r="BO1310" s="2">
        <v>1</v>
      </c>
      <c r="BP1310" s="2">
        <v>0</v>
      </c>
      <c r="BQ1310" s="2">
        <v>3</v>
      </c>
      <c r="BR1310" s="2">
        <v>2</v>
      </c>
      <c r="BS1310" s="2">
        <v>0</v>
      </c>
      <c r="BT1310" s="2">
        <v>0</v>
      </c>
      <c r="BU1310" s="2">
        <v>2</v>
      </c>
      <c r="BV1310" s="2">
        <f t="shared" si="85"/>
        <v>16</v>
      </c>
      <c r="BW1310" s="16">
        <f t="shared" si="83"/>
        <v>0.84210526315789469</v>
      </c>
      <c r="BX1310" s="16">
        <f>COUNTIF($BC$6:BU1310, "=0") / COUNTIF($BC$6:BU1310, "&gt;-1")</f>
        <v>0.34289171203871749</v>
      </c>
      <c r="BY1310" s="18">
        <f>SUM($BC$6:BU1310) / $BY$4</f>
        <v>0.96821696082714992</v>
      </c>
      <c r="BZ1310" s="14">
        <f t="shared" si="84"/>
        <v>11</v>
      </c>
      <c r="CA1310" t="s">
        <v>5832</v>
      </c>
      <c r="CZ1310" t="s">
        <v>9371</v>
      </c>
      <c r="DA1310" t="s">
        <v>5904</v>
      </c>
      <c r="DB1310">
        <v>782.3</v>
      </c>
      <c r="DC1310" t="s">
        <v>24347</v>
      </c>
      <c r="DD1310" t="s">
        <v>24348</v>
      </c>
      <c r="DE1310" t="s">
        <v>24349</v>
      </c>
      <c r="DF1310" t="s">
        <v>24350</v>
      </c>
      <c r="DG1310" t="s">
        <v>24351</v>
      </c>
      <c r="DH1310" t="str">
        <f>"BIN2"</f>
        <v>BIN2</v>
      </c>
      <c r="DI1310" t="s">
        <v>24352</v>
      </c>
      <c r="DJ1310" t="s">
        <v>13777</v>
      </c>
      <c r="DK1310">
        <v>9606</v>
      </c>
      <c r="DL1310" s="34" t="str">
        <f>HYPERLINK("http://www.uniprot.org/uniprot/Q9UBW5", "Q9UBW5")</f>
        <v>Q9UBW5</v>
      </c>
      <c r="DM1310" t="s">
        <v>24353</v>
      </c>
      <c r="DN1310" t="s">
        <v>13772</v>
      </c>
      <c r="DO1310" t="s">
        <v>24354</v>
      </c>
      <c r="DP1310" t="s">
        <v>13780</v>
      </c>
      <c r="DQ1310" t="s">
        <v>13772</v>
      </c>
      <c r="DR1310" t="s">
        <v>13772</v>
      </c>
      <c r="DS1310" t="s">
        <v>14245</v>
      </c>
      <c r="DT1310" t="s">
        <v>13772</v>
      </c>
      <c r="DU1310" t="s">
        <v>13772</v>
      </c>
      <c r="DV1310" t="s">
        <v>13782</v>
      </c>
      <c r="DW1310" t="s">
        <v>13812</v>
      </c>
      <c r="DX1310" t="s">
        <v>24355</v>
      </c>
      <c r="DY1310" t="s">
        <v>24356</v>
      </c>
      <c r="DZ1310" t="s">
        <v>22515</v>
      </c>
      <c r="EA1310" t="s">
        <v>13772</v>
      </c>
      <c r="EB1310" t="s">
        <v>13890</v>
      </c>
    </row>
    <row r="1311" spans="1:132" hidden="1">
      <c r="A1311">
        <v>1209</v>
      </c>
      <c r="B1311">
        <v>1</v>
      </c>
      <c r="C1311" t="s">
        <v>2902</v>
      </c>
      <c r="D1311" t="s">
        <v>73</v>
      </c>
      <c r="E1311" t="s">
        <v>73</v>
      </c>
      <c r="F1311" t="s">
        <v>73</v>
      </c>
      <c r="G1311" t="s">
        <v>73</v>
      </c>
      <c r="H1311">
        <v>31.8</v>
      </c>
      <c r="I1311">
        <v>324</v>
      </c>
      <c r="J1311">
        <v>36793</v>
      </c>
      <c r="K1311" t="s">
        <v>2903</v>
      </c>
      <c r="L1311">
        <f t="shared" si="82"/>
        <v>16</v>
      </c>
      <c r="N1311">
        <v>16</v>
      </c>
      <c r="O1311">
        <v>16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1</v>
      </c>
      <c r="AA1311">
        <v>5</v>
      </c>
      <c r="AB1311">
        <v>1</v>
      </c>
      <c r="AC1311">
        <v>3</v>
      </c>
      <c r="AD1311">
        <v>0</v>
      </c>
      <c r="AE1311">
        <v>2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5</v>
      </c>
      <c r="AU1311">
        <v>1</v>
      </c>
      <c r="AV1311">
        <v>3</v>
      </c>
      <c r="AW1311">
        <v>0</v>
      </c>
      <c r="AX1311">
        <v>2</v>
      </c>
      <c r="AY1311">
        <v>2</v>
      </c>
      <c r="AZ1311">
        <v>0</v>
      </c>
      <c r="BA1311">
        <v>0</v>
      </c>
      <c r="BB1311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1</v>
      </c>
      <c r="BK1311" s="2">
        <v>1</v>
      </c>
      <c r="BL1311" s="2">
        <v>1</v>
      </c>
      <c r="BM1311" s="2">
        <v>5</v>
      </c>
      <c r="BN1311" s="2">
        <v>1</v>
      </c>
      <c r="BO1311" s="2">
        <v>3</v>
      </c>
      <c r="BP1311" s="2">
        <v>0</v>
      </c>
      <c r="BQ1311" s="2">
        <v>2</v>
      </c>
      <c r="BR1311" s="2">
        <v>2</v>
      </c>
      <c r="BS1311" s="2">
        <v>0</v>
      </c>
      <c r="BT1311" s="2">
        <v>0</v>
      </c>
      <c r="BU1311" s="2">
        <v>0</v>
      </c>
      <c r="BV1311" s="2">
        <f t="shared" si="85"/>
        <v>16</v>
      </c>
      <c r="BW1311" s="16">
        <f t="shared" si="83"/>
        <v>0.84210526315789469</v>
      </c>
      <c r="BX1311" s="16">
        <f>COUNTIF($BC$6:BU1311, "=0") / COUNTIF($BC$6:BU1311, "&gt;-1")</f>
        <v>0.3430724590956718</v>
      </c>
      <c r="BY1311" s="18">
        <f>SUM($BC$6:BU1311) / $BY$4</f>
        <v>0.96828549901704919</v>
      </c>
      <c r="BZ1311" s="14">
        <f t="shared" si="84"/>
        <v>11</v>
      </c>
      <c r="CA1311" t="s">
        <v>5832</v>
      </c>
      <c r="CZ1311" t="s">
        <v>9756</v>
      </c>
      <c r="DA1311" t="s">
        <v>5904</v>
      </c>
      <c r="DB1311">
        <v>649</v>
      </c>
      <c r="DC1311" t="s">
        <v>25444</v>
      </c>
      <c r="DD1311" t="s">
        <v>25445</v>
      </c>
      <c r="DE1311" t="s">
        <v>25446</v>
      </c>
      <c r="DF1311" t="s">
        <v>25447</v>
      </c>
      <c r="DG1311" t="s">
        <v>25448</v>
      </c>
      <c r="DH1311" t="str">
        <f>"FAM49B"</f>
        <v>FAM49B</v>
      </c>
      <c r="DI1311" t="s">
        <v>13772</v>
      </c>
      <c r="DJ1311" t="s">
        <v>13777</v>
      </c>
      <c r="DK1311">
        <v>9606</v>
      </c>
      <c r="DL1311" s="34" t="str">
        <f>HYPERLINK("http://www.uniprot.org/uniprot/Q9NUQ9", "Q9NUQ9")</f>
        <v>Q9NUQ9</v>
      </c>
      <c r="DM1311" t="s">
        <v>25449</v>
      </c>
      <c r="DN1311" t="s">
        <v>13772</v>
      </c>
      <c r="DO1311" t="s">
        <v>13825</v>
      </c>
      <c r="DP1311" t="s">
        <v>13780</v>
      </c>
      <c r="DQ1311" t="s">
        <v>13772</v>
      </c>
      <c r="DR1311" t="s">
        <v>13772</v>
      </c>
      <c r="DS1311" t="s">
        <v>13772</v>
      </c>
      <c r="DT1311" t="s">
        <v>13772</v>
      </c>
      <c r="DU1311" t="s">
        <v>13772</v>
      </c>
      <c r="DV1311" t="s">
        <v>15212</v>
      </c>
      <c r="DW1311" t="s">
        <v>13772</v>
      </c>
      <c r="DX1311" t="s">
        <v>25450</v>
      </c>
      <c r="DY1311" t="s">
        <v>25451</v>
      </c>
      <c r="DZ1311" t="s">
        <v>25452</v>
      </c>
      <c r="EA1311" t="s">
        <v>13772</v>
      </c>
      <c r="EB1311" t="s">
        <v>15665</v>
      </c>
    </row>
    <row r="1312" spans="1:132" hidden="1">
      <c r="A1312">
        <v>1220</v>
      </c>
      <c r="B1312">
        <v>1</v>
      </c>
      <c r="C1312" t="s">
        <v>2931</v>
      </c>
      <c r="D1312" t="s">
        <v>73</v>
      </c>
      <c r="E1312" t="s">
        <v>73</v>
      </c>
      <c r="F1312" t="s">
        <v>73</v>
      </c>
      <c r="G1312" t="s">
        <v>73</v>
      </c>
      <c r="H1312">
        <v>27.4</v>
      </c>
      <c r="I1312">
        <v>241</v>
      </c>
      <c r="J1312">
        <v>27767</v>
      </c>
      <c r="K1312" t="s">
        <v>2932</v>
      </c>
      <c r="L1312">
        <f t="shared" si="82"/>
        <v>16</v>
      </c>
      <c r="N1312">
        <v>16</v>
      </c>
      <c r="O1312">
        <v>16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6</v>
      </c>
      <c r="Y1312">
        <v>5</v>
      </c>
      <c r="Z1312">
        <v>0</v>
      </c>
      <c r="AA1312">
        <v>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6</v>
      </c>
      <c r="AR1312">
        <v>5</v>
      </c>
      <c r="AS1312">
        <v>0</v>
      </c>
      <c r="AT1312">
        <v>3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0</v>
      </c>
      <c r="BI1312" s="2">
        <v>0</v>
      </c>
      <c r="BJ1312" s="2">
        <v>6</v>
      </c>
      <c r="BK1312" s="2">
        <v>5</v>
      </c>
      <c r="BL1312" s="2">
        <v>0</v>
      </c>
      <c r="BM1312" s="2">
        <v>3</v>
      </c>
      <c r="BN1312" s="2">
        <v>1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f t="shared" si="85"/>
        <v>16</v>
      </c>
      <c r="BW1312" s="16">
        <f t="shared" si="83"/>
        <v>0.84210526315789469</v>
      </c>
      <c r="BX1312" s="16">
        <f>COUNTIF($BC$6:BU1312, "=0") / COUNTIF($BC$6:BU1312, "&gt;-1")</f>
        <v>0.3433737365602223</v>
      </c>
      <c r="BY1312" s="18">
        <f>SUM($BC$6:BU1312) / $BY$4</f>
        <v>0.96835403720694835</v>
      </c>
      <c r="BZ1312" s="14">
        <f t="shared" si="84"/>
        <v>14</v>
      </c>
      <c r="CA1312" t="s">
        <v>5832</v>
      </c>
      <c r="CZ1312" t="s">
        <v>9793</v>
      </c>
      <c r="DA1312" t="s">
        <v>5904</v>
      </c>
      <c r="DB1312">
        <v>426.4</v>
      </c>
      <c r="DC1312" t="s">
        <v>25547</v>
      </c>
      <c r="DD1312" t="s">
        <v>25548</v>
      </c>
      <c r="DE1312" t="s">
        <v>25549</v>
      </c>
      <c r="DF1312" t="s">
        <v>25550</v>
      </c>
      <c r="DG1312" t="s">
        <v>25551</v>
      </c>
      <c r="DH1312" t="str">
        <f>"GSTO1"</f>
        <v>GSTO1</v>
      </c>
      <c r="DI1312" t="s">
        <v>25552</v>
      </c>
      <c r="DJ1312" t="s">
        <v>13777</v>
      </c>
      <c r="DK1312">
        <v>9606</v>
      </c>
      <c r="DL1312" s="34" t="str">
        <f>HYPERLINK("http://www.uniprot.org/uniprot/P78417", "P78417")</f>
        <v>P78417</v>
      </c>
      <c r="DM1312" t="s">
        <v>25553</v>
      </c>
      <c r="DN1312" t="s">
        <v>13772</v>
      </c>
      <c r="DO1312" t="s">
        <v>13899</v>
      </c>
      <c r="DP1312" t="s">
        <v>13780</v>
      </c>
      <c r="DQ1312" t="s">
        <v>13772</v>
      </c>
      <c r="DR1312" t="s">
        <v>13772</v>
      </c>
      <c r="DS1312" t="s">
        <v>13772</v>
      </c>
      <c r="DT1312" t="s">
        <v>13772</v>
      </c>
      <c r="DU1312" t="s">
        <v>24946</v>
      </c>
      <c r="DV1312" t="s">
        <v>13886</v>
      </c>
      <c r="DW1312" t="s">
        <v>13812</v>
      </c>
      <c r="DX1312" t="s">
        <v>25554</v>
      </c>
      <c r="DY1312" t="s">
        <v>14194</v>
      </c>
      <c r="DZ1312" t="s">
        <v>25555</v>
      </c>
      <c r="EA1312" t="s">
        <v>13772</v>
      </c>
      <c r="EB1312" t="s">
        <v>25556</v>
      </c>
    </row>
    <row r="1313" spans="1:132" hidden="1">
      <c r="A1313">
        <v>1364</v>
      </c>
      <c r="B1313">
        <v>1</v>
      </c>
      <c r="C1313" t="s">
        <v>3261</v>
      </c>
      <c r="D1313" t="s">
        <v>73</v>
      </c>
      <c r="E1313" t="s">
        <v>73</v>
      </c>
      <c r="F1313" t="s">
        <v>73</v>
      </c>
      <c r="G1313" t="s">
        <v>73</v>
      </c>
      <c r="H1313">
        <v>2.1</v>
      </c>
      <c r="I1313">
        <v>1217</v>
      </c>
      <c r="J1313">
        <v>136828</v>
      </c>
      <c r="K1313" t="s">
        <v>3262</v>
      </c>
      <c r="L1313">
        <f t="shared" si="82"/>
        <v>16</v>
      </c>
      <c r="N1313">
        <v>16</v>
      </c>
      <c r="O1313">
        <v>16</v>
      </c>
      <c r="P1313">
        <v>1</v>
      </c>
      <c r="Q1313">
        <v>2</v>
      </c>
      <c r="R1313">
        <v>1</v>
      </c>
      <c r="S1313">
        <v>2</v>
      </c>
      <c r="T1313">
        <v>0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2</v>
      </c>
      <c r="AB1313">
        <v>0</v>
      </c>
      <c r="AC1313">
        <v>2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2</v>
      </c>
      <c r="AK1313">
        <v>1</v>
      </c>
      <c r="AL1313">
        <v>2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0</v>
      </c>
      <c r="AT1313">
        <v>2</v>
      </c>
      <c r="AU1313">
        <v>0</v>
      </c>
      <c r="AV1313">
        <v>2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 s="2">
        <v>2</v>
      </c>
      <c r="BD1313" s="2">
        <v>1</v>
      </c>
      <c r="BE1313" s="2">
        <v>2</v>
      </c>
      <c r="BF1313" s="2">
        <v>0</v>
      </c>
      <c r="BG1313" s="2">
        <v>1</v>
      </c>
      <c r="BH1313" s="2">
        <v>1</v>
      </c>
      <c r="BI1313" s="2">
        <v>1</v>
      </c>
      <c r="BJ1313" s="2">
        <v>0</v>
      </c>
      <c r="BK1313" s="2">
        <v>1</v>
      </c>
      <c r="BL1313" s="2">
        <v>0</v>
      </c>
      <c r="BM1313" s="2">
        <v>2</v>
      </c>
      <c r="BN1313" s="2">
        <v>0</v>
      </c>
      <c r="BO1313" s="2">
        <v>2</v>
      </c>
      <c r="BP1313" s="2">
        <v>0</v>
      </c>
      <c r="BQ1313" s="2">
        <v>0</v>
      </c>
      <c r="BR1313" s="2">
        <v>1</v>
      </c>
      <c r="BS1313" s="2">
        <v>1</v>
      </c>
      <c r="BT1313" s="2">
        <v>0</v>
      </c>
      <c r="BU1313" s="2">
        <v>1</v>
      </c>
      <c r="BV1313" s="2">
        <f t="shared" si="85"/>
        <v>16</v>
      </c>
      <c r="BW1313" s="16">
        <f t="shared" si="83"/>
        <v>0.84210526315789469</v>
      </c>
      <c r="BX1313" s="16">
        <f>COUNTIF($BC$6:BU1313, "=0") / COUNTIF($BC$6:BU1313, "&gt;-1")</f>
        <v>0.34339288588443584</v>
      </c>
      <c r="BY1313" s="18">
        <f>SUM($BC$6:BU1313) / $BY$4</f>
        <v>0.96842257539684751</v>
      </c>
      <c r="BZ1313" s="14">
        <f t="shared" si="84"/>
        <v>7</v>
      </c>
      <c r="CA1313" t="s">
        <v>5832</v>
      </c>
      <c r="CZ1313" t="s">
        <v>10291</v>
      </c>
      <c r="DA1313" t="s">
        <v>5904</v>
      </c>
      <c r="DB1313">
        <v>2023</v>
      </c>
      <c r="DC1313" t="s">
        <v>26975</v>
      </c>
      <c r="DD1313" t="s">
        <v>26976</v>
      </c>
      <c r="DE1313" t="s">
        <v>26977</v>
      </c>
      <c r="DF1313" t="s">
        <v>26978</v>
      </c>
      <c r="DG1313" t="s">
        <v>26979</v>
      </c>
      <c r="DH1313" t="str">
        <f>"MMRN1"</f>
        <v>MMRN1</v>
      </c>
      <c r="DI1313" t="s">
        <v>26980</v>
      </c>
      <c r="DJ1313" t="s">
        <v>13777</v>
      </c>
      <c r="DK1313">
        <v>9606</v>
      </c>
      <c r="DL1313" s="34" t="str">
        <f>HYPERLINK("http://www.uniprot.org/uniprot/Q13201", "Q13201")</f>
        <v>Q13201</v>
      </c>
      <c r="DM1313" t="s">
        <v>26981</v>
      </c>
      <c r="DN1313" t="s">
        <v>13772</v>
      </c>
      <c r="DO1313" t="s">
        <v>14321</v>
      </c>
      <c r="DP1313" t="s">
        <v>13780</v>
      </c>
      <c r="DQ1313" t="s">
        <v>13772</v>
      </c>
      <c r="DR1313" t="s">
        <v>13772</v>
      </c>
      <c r="DS1313" t="s">
        <v>26982</v>
      </c>
      <c r="DT1313" t="s">
        <v>13772</v>
      </c>
      <c r="DU1313" t="s">
        <v>13772</v>
      </c>
      <c r="DV1313" t="s">
        <v>13796</v>
      </c>
      <c r="DW1313" t="s">
        <v>13772</v>
      </c>
      <c r="DX1313" t="s">
        <v>26983</v>
      </c>
      <c r="DY1313" t="s">
        <v>26984</v>
      </c>
      <c r="DZ1313" t="s">
        <v>15899</v>
      </c>
      <c r="EA1313" t="s">
        <v>13772</v>
      </c>
      <c r="EB1313" t="s">
        <v>15665</v>
      </c>
    </row>
    <row r="1314" spans="1:132" hidden="1">
      <c r="A1314">
        <v>1458</v>
      </c>
      <c r="B1314">
        <v>1</v>
      </c>
      <c r="C1314" t="s">
        <v>3470</v>
      </c>
      <c r="D1314" t="s">
        <v>73</v>
      </c>
      <c r="E1314" t="s">
        <v>73</v>
      </c>
      <c r="F1314" t="s">
        <v>73</v>
      </c>
      <c r="G1314" t="s">
        <v>73</v>
      </c>
      <c r="H1314">
        <v>25.3</v>
      </c>
      <c r="I1314">
        <v>241</v>
      </c>
      <c r="J1314">
        <v>26441</v>
      </c>
      <c r="K1314" t="s">
        <v>3471</v>
      </c>
      <c r="L1314">
        <f t="shared" si="82"/>
        <v>16</v>
      </c>
      <c r="N1314">
        <v>16</v>
      </c>
      <c r="O1314">
        <v>16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4</v>
      </c>
      <c r="Z1314">
        <v>0</v>
      </c>
      <c r="AA1314">
        <v>3</v>
      </c>
      <c r="AB1314">
        <v>2</v>
      </c>
      <c r="AC1314">
        <v>2</v>
      </c>
      <c r="AD1314">
        <v>0</v>
      </c>
      <c r="AE1314">
        <v>0</v>
      </c>
      <c r="AF1314">
        <v>0</v>
      </c>
      <c r="AG1314">
        <v>4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4</v>
      </c>
      <c r="AS1314">
        <v>0</v>
      </c>
      <c r="AT1314">
        <v>3</v>
      </c>
      <c r="AU1314">
        <v>2</v>
      </c>
      <c r="AV1314">
        <v>2</v>
      </c>
      <c r="AW1314">
        <v>0</v>
      </c>
      <c r="AX1314">
        <v>0</v>
      </c>
      <c r="AY1314">
        <v>0</v>
      </c>
      <c r="AZ1314">
        <v>4</v>
      </c>
      <c r="BA1314">
        <v>0</v>
      </c>
      <c r="BB1314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1</v>
      </c>
      <c r="BH1314" s="2">
        <v>0</v>
      </c>
      <c r="BI1314" s="2">
        <v>0</v>
      </c>
      <c r="BJ1314" s="2">
        <v>0</v>
      </c>
      <c r="BK1314" s="2">
        <v>4</v>
      </c>
      <c r="BL1314" s="2">
        <v>0</v>
      </c>
      <c r="BM1314" s="2">
        <v>3</v>
      </c>
      <c r="BN1314" s="2">
        <v>2</v>
      </c>
      <c r="BO1314" s="2">
        <v>2</v>
      </c>
      <c r="BP1314" s="2">
        <v>0</v>
      </c>
      <c r="BQ1314" s="2">
        <v>0</v>
      </c>
      <c r="BR1314" s="2">
        <v>0</v>
      </c>
      <c r="BS1314" s="2">
        <v>4</v>
      </c>
      <c r="BT1314" s="2">
        <v>0</v>
      </c>
      <c r="BU1314" s="2">
        <v>0</v>
      </c>
      <c r="BV1314" s="2">
        <f t="shared" si="85"/>
        <v>16</v>
      </c>
      <c r="BW1314" s="16">
        <f t="shared" si="83"/>
        <v>0.84210526315789469</v>
      </c>
      <c r="BX1314" s="16">
        <f>COUNTIF($BC$6:BU1314, "=0") / COUNTIF($BC$6:BU1314, "&gt;-1")</f>
        <v>0.34365325077399383</v>
      </c>
      <c r="BY1314" s="18">
        <f>SUM($BC$6:BU1314) / $BY$4</f>
        <v>0.96849111358674678</v>
      </c>
      <c r="BZ1314" s="14">
        <f t="shared" si="84"/>
        <v>13</v>
      </c>
      <c r="CA1314" t="s">
        <v>5832</v>
      </c>
      <c r="CZ1314" t="s">
        <v>10591</v>
      </c>
      <c r="DA1314" t="s">
        <v>5904</v>
      </c>
      <c r="DB1314">
        <v>466.8</v>
      </c>
      <c r="DC1314" t="s">
        <v>27798</v>
      </c>
      <c r="DD1314" t="s">
        <v>27799</v>
      </c>
      <c r="DE1314" t="s">
        <v>27800</v>
      </c>
      <c r="DF1314" t="s">
        <v>27801</v>
      </c>
      <c r="DG1314" t="s">
        <v>27802</v>
      </c>
      <c r="DH1314" t="str">
        <f>"PSMB1"</f>
        <v>PSMB1</v>
      </c>
      <c r="DI1314" t="s">
        <v>27803</v>
      </c>
      <c r="DJ1314" t="s">
        <v>13777</v>
      </c>
      <c r="DK1314">
        <v>9606</v>
      </c>
      <c r="DL1314" s="34" t="str">
        <f>HYPERLINK("http://www.uniprot.org/uniprot/P20618", "P20618")</f>
        <v>P20618</v>
      </c>
      <c r="DM1314" t="s">
        <v>27804</v>
      </c>
      <c r="DN1314" t="s">
        <v>14563</v>
      </c>
      <c r="DO1314" t="s">
        <v>14204</v>
      </c>
      <c r="DP1314" t="s">
        <v>13793</v>
      </c>
      <c r="DQ1314" t="s">
        <v>13772</v>
      </c>
      <c r="DR1314" t="s">
        <v>13772</v>
      </c>
      <c r="DS1314" t="s">
        <v>13772</v>
      </c>
      <c r="DT1314" t="s">
        <v>13772</v>
      </c>
      <c r="DU1314" t="s">
        <v>14564</v>
      </c>
      <c r="DV1314" t="s">
        <v>14182</v>
      </c>
      <c r="DW1314" t="s">
        <v>13812</v>
      </c>
      <c r="DX1314" t="s">
        <v>27805</v>
      </c>
      <c r="DY1314" t="s">
        <v>27806</v>
      </c>
      <c r="DZ1314" t="s">
        <v>15932</v>
      </c>
      <c r="EA1314" t="s">
        <v>13772</v>
      </c>
      <c r="EB1314" t="s">
        <v>14149</v>
      </c>
    </row>
    <row r="1315" spans="1:132" hidden="1">
      <c r="A1315">
        <v>1493</v>
      </c>
      <c r="B1315">
        <v>1</v>
      </c>
      <c r="C1315" t="s">
        <v>3553</v>
      </c>
      <c r="D1315" t="s">
        <v>73</v>
      </c>
      <c r="E1315" t="s">
        <v>73</v>
      </c>
      <c r="F1315" t="s">
        <v>73</v>
      </c>
      <c r="G1315" t="s">
        <v>73</v>
      </c>
      <c r="H1315">
        <v>12.2</v>
      </c>
      <c r="I1315">
        <v>230</v>
      </c>
      <c r="J1315">
        <v>25608</v>
      </c>
      <c r="K1315" t="s">
        <v>3554</v>
      </c>
      <c r="L1315">
        <f t="shared" si="82"/>
        <v>16</v>
      </c>
      <c r="N1315">
        <v>16</v>
      </c>
      <c r="O1315">
        <v>16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4</v>
      </c>
      <c r="Z1315">
        <v>0</v>
      </c>
      <c r="AA1315">
        <v>2</v>
      </c>
      <c r="AB1315">
        <v>1</v>
      </c>
      <c r="AC1315">
        <v>1</v>
      </c>
      <c r="AD1315">
        <v>1</v>
      </c>
      <c r="AE1315">
        <v>1</v>
      </c>
      <c r="AF1315">
        <v>2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4</v>
      </c>
      <c r="AS1315">
        <v>0</v>
      </c>
      <c r="AT1315">
        <v>2</v>
      </c>
      <c r="AU1315">
        <v>1</v>
      </c>
      <c r="AV1315">
        <v>1</v>
      </c>
      <c r="AW1315">
        <v>1</v>
      </c>
      <c r="AX1315">
        <v>1</v>
      </c>
      <c r="AY1315">
        <v>2</v>
      </c>
      <c r="AZ1315">
        <v>1</v>
      </c>
      <c r="BA1315">
        <v>0</v>
      </c>
      <c r="BB1315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1</v>
      </c>
      <c r="BJ1315" s="2">
        <v>1</v>
      </c>
      <c r="BK1315" s="2">
        <v>4</v>
      </c>
      <c r="BL1315" s="2">
        <v>0</v>
      </c>
      <c r="BM1315" s="2">
        <v>2</v>
      </c>
      <c r="BN1315" s="2">
        <v>1</v>
      </c>
      <c r="BO1315" s="2">
        <v>1</v>
      </c>
      <c r="BP1315" s="2">
        <v>1</v>
      </c>
      <c r="BQ1315" s="2">
        <v>1</v>
      </c>
      <c r="BR1315" s="2">
        <v>2</v>
      </c>
      <c r="BS1315" s="2">
        <v>1</v>
      </c>
      <c r="BT1315" s="2">
        <v>0</v>
      </c>
      <c r="BU1315" s="2">
        <v>1</v>
      </c>
      <c r="BV1315" s="2">
        <f t="shared" si="85"/>
        <v>16</v>
      </c>
      <c r="BW1315" s="16">
        <f t="shared" si="83"/>
        <v>0.84210526315789469</v>
      </c>
      <c r="BX1315" s="16">
        <f>COUNTIF($BC$6:BU1315, "=0") / COUNTIF($BC$6:BU1315, "&gt;-1")</f>
        <v>0.34371233427079151</v>
      </c>
      <c r="BY1315" s="18">
        <f>SUM($BC$6:BU1315) / $BY$4</f>
        <v>0.96855965177664594</v>
      </c>
      <c r="BZ1315" s="14">
        <f t="shared" si="84"/>
        <v>8</v>
      </c>
      <c r="CA1315" t="s">
        <v>5832</v>
      </c>
      <c r="CZ1315" t="s">
        <v>10710</v>
      </c>
      <c r="DA1315" t="s">
        <v>5900</v>
      </c>
      <c r="DB1315">
        <v>220.3</v>
      </c>
      <c r="DC1315" t="s">
        <v>28147</v>
      </c>
      <c r="DD1315" t="s">
        <v>28148</v>
      </c>
      <c r="DE1315" t="s">
        <v>28149</v>
      </c>
      <c r="DF1315" t="s">
        <v>28150</v>
      </c>
      <c r="DG1315" t="s">
        <v>28151</v>
      </c>
      <c r="DH1315" t="str">
        <f>"SH3BGRL2"</f>
        <v>SH3BGRL2</v>
      </c>
      <c r="DI1315" t="s">
        <v>28152</v>
      </c>
      <c r="DJ1315" t="s">
        <v>13777</v>
      </c>
      <c r="DK1315">
        <v>9606</v>
      </c>
      <c r="DL1315" s="34" t="str">
        <f>HYPERLINK("http://www.uniprot.org/uniprot/Q9UJC5", "Q9UJC5")</f>
        <v>Q9UJC5</v>
      </c>
      <c r="DM1315" t="s">
        <v>28153</v>
      </c>
      <c r="DN1315" t="s">
        <v>13772</v>
      </c>
      <c r="DO1315" t="s">
        <v>14825</v>
      </c>
      <c r="DP1315" t="s">
        <v>13772</v>
      </c>
      <c r="DQ1315" t="s">
        <v>13772</v>
      </c>
      <c r="DR1315" t="s">
        <v>13772</v>
      </c>
      <c r="DS1315" t="s">
        <v>14871</v>
      </c>
      <c r="DT1315" t="s">
        <v>13772</v>
      </c>
      <c r="DU1315" t="s">
        <v>13772</v>
      </c>
      <c r="DV1315" t="s">
        <v>13772</v>
      </c>
      <c r="DW1315" t="s">
        <v>13812</v>
      </c>
      <c r="DX1315" t="s">
        <v>13772</v>
      </c>
      <c r="DY1315" t="s">
        <v>28154</v>
      </c>
      <c r="DZ1315" t="s">
        <v>28155</v>
      </c>
      <c r="EA1315" t="s">
        <v>13772</v>
      </c>
      <c r="EB1315" t="s">
        <v>13772</v>
      </c>
    </row>
    <row r="1316" spans="1:132" hidden="1">
      <c r="A1316">
        <v>1516</v>
      </c>
      <c r="B1316">
        <v>1</v>
      </c>
      <c r="C1316" t="s">
        <v>3609</v>
      </c>
      <c r="D1316" t="s">
        <v>73</v>
      </c>
      <c r="E1316" t="s">
        <v>73</v>
      </c>
      <c r="F1316" t="s">
        <v>515</v>
      </c>
      <c r="G1316" t="s">
        <v>73</v>
      </c>
      <c r="H1316">
        <v>29.8</v>
      </c>
      <c r="I1316">
        <v>419</v>
      </c>
      <c r="J1316">
        <v>47288</v>
      </c>
      <c r="K1316" t="s">
        <v>3610</v>
      </c>
      <c r="L1316">
        <f t="shared" si="82"/>
        <v>19</v>
      </c>
      <c r="N1316">
        <v>19</v>
      </c>
      <c r="O1316">
        <v>16</v>
      </c>
      <c r="P1316">
        <v>0.84199999999999997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7</v>
      </c>
      <c r="Z1316">
        <v>0</v>
      </c>
      <c r="AA1316">
        <v>5</v>
      </c>
      <c r="AB1316">
        <v>1</v>
      </c>
      <c r="AC1316">
        <v>0</v>
      </c>
      <c r="AD1316">
        <v>0</v>
      </c>
      <c r="AE1316">
        <v>2</v>
      </c>
      <c r="AF1316">
        <v>2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7</v>
      </c>
      <c r="AS1316">
        <v>0</v>
      </c>
      <c r="AT1316">
        <v>5</v>
      </c>
      <c r="AU1316">
        <v>0</v>
      </c>
      <c r="AV1316">
        <v>0</v>
      </c>
      <c r="AW1316">
        <v>0</v>
      </c>
      <c r="AX1316">
        <v>2</v>
      </c>
      <c r="AY1316">
        <v>2</v>
      </c>
      <c r="AZ1316">
        <v>0</v>
      </c>
      <c r="BA1316">
        <v>0</v>
      </c>
      <c r="BB1316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7</v>
      </c>
      <c r="BL1316" s="2">
        <v>0</v>
      </c>
      <c r="BM1316" s="2">
        <v>5</v>
      </c>
      <c r="BN1316" s="2">
        <v>0</v>
      </c>
      <c r="BO1316" s="2">
        <v>0</v>
      </c>
      <c r="BP1316" s="2">
        <v>0</v>
      </c>
      <c r="BQ1316" s="2">
        <v>2</v>
      </c>
      <c r="BR1316" s="2">
        <v>2</v>
      </c>
      <c r="BS1316" s="2">
        <v>0</v>
      </c>
      <c r="BT1316" s="2">
        <v>0</v>
      </c>
      <c r="BU1316" s="2">
        <v>0</v>
      </c>
      <c r="BV1316" s="2">
        <f t="shared" si="85"/>
        <v>16</v>
      </c>
      <c r="BW1316" s="16">
        <f t="shared" si="83"/>
        <v>0.84210526315789469</v>
      </c>
      <c r="BX1316" s="16">
        <f>COUNTIF($BC$6:BU1316, "=0") / COUNTIF($BC$6:BU1316, "&gt;-1")</f>
        <v>0.3440523505560239</v>
      </c>
      <c r="BY1316" s="18">
        <f>SUM($BC$6:BU1316) / $BY$4</f>
        <v>0.96862818996654521</v>
      </c>
      <c r="BZ1316" s="14">
        <f t="shared" si="84"/>
        <v>15</v>
      </c>
      <c r="CA1316" t="s">
        <v>5832</v>
      </c>
      <c r="CZ1316" t="s">
        <v>10788</v>
      </c>
      <c r="DA1316" t="s">
        <v>5904</v>
      </c>
      <c r="DB1316">
        <v>832</v>
      </c>
      <c r="DC1316" t="s">
        <v>28351</v>
      </c>
      <c r="DD1316" t="s">
        <v>28352</v>
      </c>
      <c r="DE1316" t="s">
        <v>28353</v>
      </c>
      <c r="DF1316" t="s">
        <v>28354</v>
      </c>
      <c r="DG1316" t="s">
        <v>28355</v>
      </c>
      <c r="DH1316" t="str">
        <f>"CKMT2"</f>
        <v>CKMT2</v>
      </c>
      <c r="DI1316" t="s">
        <v>13772</v>
      </c>
      <c r="DJ1316" t="s">
        <v>13777</v>
      </c>
      <c r="DK1316">
        <v>9606</v>
      </c>
      <c r="DL1316" s="34" t="str">
        <f>HYPERLINK("http://www.uniprot.org/uniprot/P17540", "P17540")</f>
        <v>P17540</v>
      </c>
      <c r="DM1316" t="s">
        <v>28356</v>
      </c>
      <c r="DN1316" t="s">
        <v>13772</v>
      </c>
      <c r="DO1316" t="s">
        <v>15507</v>
      </c>
      <c r="DP1316" t="s">
        <v>13772</v>
      </c>
      <c r="DQ1316" t="s">
        <v>13772</v>
      </c>
      <c r="DR1316" t="s">
        <v>13772</v>
      </c>
      <c r="DS1316" t="s">
        <v>14391</v>
      </c>
      <c r="DT1316" t="s">
        <v>14005</v>
      </c>
      <c r="DU1316" t="s">
        <v>14006</v>
      </c>
      <c r="DV1316" t="s">
        <v>13782</v>
      </c>
      <c r="DW1316" t="s">
        <v>13812</v>
      </c>
      <c r="DX1316" t="s">
        <v>28357</v>
      </c>
      <c r="DY1316" t="s">
        <v>15509</v>
      </c>
      <c r="DZ1316" t="s">
        <v>15510</v>
      </c>
      <c r="EA1316" t="s">
        <v>13772</v>
      </c>
      <c r="EB1316" t="s">
        <v>15511</v>
      </c>
    </row>
    <row r="1317" spans="1:132" hidden="1">
      <c r="A1317">
        <v>1560</v>
      </c>
      <c r="B1317">
        <v>1</v>
      </c>
      <c r="C1317" t="s">
        <v>3699</v>
      </c>
      <c r="D1317" t="s">
        <v>73</v>
      </c>
      <c r="E1317" t="s">
        <v>73</v>
      </c>
      <c r="F1317" t="s">
        <v>73</v>
      </c>
      <c r="G1317" t="s">
        <v>73</v>
      </c>
      <c r="H1317">
        <v>41.1</v>
      </c>
      <c r="I1317">
        <v>90</v>
      </c>
      <c r="J1317">
        <v>9710</v>
      </c>
      <c r="K1317" t="s">
        <v>3700</v>
      </c>
      <c r="L1317">
        <f t="shared" si="82"/>
        <v>16</v>
      </c>
      <c r="N1317">
        <v>16</v>
      </c>
      <c r="O1317">
        <v>16</v>
      </c>
      <c r="P1317">
        <v>1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2</v>
      </c>
      <c r="AB1317">
        <v>2</v>
      </c>
      <c r="AC1317">
        <v>2</v>
      </c>
      <c r="AD1317">
        <v>0</v>
      </c>
      <c r="AE1317">
        <v>1</v>
      </c>
      <c r="AF1317">
        <v>2</v>
      </c>
      <c r="AG1317">
        <v>2</v>
      </c>
      <c r="AH1317">
        <v>0</v>
      </c>
      <c r="AI1317">
        <v>2</v>
      </c>
      <c r="AJ1317">
        <v>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2</v>
      </c>
      <c r="AU1317">
        <v>2</v>
      </c>
      <c r="AV1317">
        <v>2</v>
      </c>
      <c r="AW1317">
        <v>0</v>
      </c>
      <c r="AX1317">
        <v>1</v>
      </c>
      <c r="AY1317">
        <v>2</v>
      </c>
      <c r="AZ1317">
        <v>2</v>
      </c>
      <c r="BA1317">
        <v>0</v>
      </c>
      <c r="BB1317">
        <v>2</v>
      </c>
      <c r="BC1317" s="2">
        <v>2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1</v>
      </c>
      <c r="BL1317" s="2">
        <v>0</v>
      </c>
      <c r="BM1317" s="2">
        <v>2</v>
      </c>
      <c r="BN1317" s="2">
        <v>2</v>
      </c>
      <c r="BO1317" s="2">
        <v>2</v>
      </c>
      <c r="BP1317" s="2">
        <v>0</v>
      </c>
      <c r="BQ1317" s="2">
        <v>1</v>
      </c>
      <c r="BR1317" s="2">
        <v>2</v>
      </c>
      <c r="BS1317" s="2">
        <v>2</v>
      </c>
      <c r="BT1317" s="2">
        <v>0</v>
      </c>
      <c r="BU1317" s="2">
        <v>2</v>
      </c>
      <c r="BV1317" s="2">
        <f t="shared" si="85"/>
        <v>16</v>
      </c>
      <c r="BW1317" s="16">
        <f t="shared" si="83"/>
        <v>0.84210526315789469</v>
      </c>
      <c r="BX1317" s="16">
        <f>COUNTIF($BC$6:BU1317, "=0") / COUNTIF($BC$6:BU1317, "&gt;-1")</f>
        <v>0.344191270860077</v>
      </c>
      <c r="BY1317" s="18">
        <f>SUM($BC$6:BU1317) / $BY$4</f>
        <v>0.96869672815644436</v>
      </c>
      <c r="BZ1317" s="14">
        <f t="shared" si="84"/>
        <v>10</v>
      </c>
      <c r="CA1317" t="s">
        <v>5832</v>
      </c>
      <c r="CZ1317" t="s">
        <v>10939</v>
      </c>
      <c r="DA1317" t="s">
        <v>5904</v>
      </c>
      <c r="DB1317">
        <v>137.1</v>
      </c>
      <c r="DC1317" t="s">
        <v>28767</v>
      </c>
      <c r="DD1317" t="s">
        <v>28768</v>
      </c>
      <c r="DE1317" t="s">
        <v>28769</v>
      </c>
      <c r="DF1317" t="s">
        <v>28770</v>
      </c>
      <c r="DG1317" t="s">
        <v>28771</v>
      </c>
      <c r="DH1317" t="str">
        <f>"SPINK7"</f>
        <v>SPINK7</v>
      </c>
      <c r="DI1317" t="s">
        <v>28772</v>
      </c>
      <c r="DJ1317" t="s">
        <v>13777</v>
      </c>
      <c r="DK1317">
        <v>9606</v>
      </c>
      <c r="DL1317" s="34" t="str">
        <f>HYPERLINK("http://www.uniprot.org/uniprot/P58062", "P58062")</f>
        <v>P58062</v>
      </c>
      <c r="DM1317" t="s">
        <v>28773</v>
      </c>
      <c r="DN1317" t="s">
        <v>13772</v>
      </c>
      <c r="DO1317" t="s">
        <v>14321</v>
      </c>
      <c r="DP1317" t="s">
        <v>13772</v>
      </c>
      <c r="DQ1317" t="s">
        <v>13772</v>
      </c>
      <c r="DR1317" t="s">
        <v>13772</v>
      </c>
      <c r="DS1317" t="s">
        <v>13808</v>
      </c>
      <c r="DT1317" t="s">
        <v>13772</v>
      </c>
      <c r="DU1317" t="s">
        <v>14375</v>
      </c>
      <c r="DV1317" t="s">
        <v>14506</v>
      </c>
      <c r="DW1317" t="s">
        <v>13812</v>
      </c>
      <c r="DX1317" t="s">
        <v>13772</v>
      </c>
      <c r="DY1317" t="s">
        <v>15346</v>
      </c>
      <c r="DZ1317" t="s">
        <v>16362</v>
      </c>
      <c r="EA1317" t="s">
        <v>13772</v>
      </c>
      <c r="EB1317" t="s">
        <v>13772</v>
      </c>
    </row>
    <row r="1318" spans="1:132" hidden="1">
      <c r="A1318">
        <v>1586</v>
      </c>
      <c r="B1318">
        <v>1</v>
      </c>
      <c r="C1318" t="s">
        <v>3758</v>
      </c>
      <c r="D1318" t="s">
        <v>73</v>
      </c>
      <c r="E1318" t="s">
        <v>73</v>
      </c>
      <c r="F1318" t="s">
        <v>73</v>
      </c>
      <c r="G1318" t="s">
        <v>73</v>
      </c>
      <c r="H1318">
        <v>56.5</v>
      </c>
      <c r="I1318">
        <v>108</v>
      </c>
      <c r="J1318">
        <v>12763</v>
      </c>
      <c r="K1318" t="s">
        <v>3759</v>
      </c>
      <c r="L1318">
        <f t="shared" si="82"/>
        <v>16</v>
      </c>
      <c r="N1318">
        <v>16</v>
      </c>
      <c r="O1318">
        <v>16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3</v>
      </c>
      <c r="Z1318">
        <v>0</v>
      </c>
      <c r="AA1318">
        <v>0</v>
      </c>
      <c r="AB1318">
        <v>3</v>
      </c>
      <c r="AC1318">
        <v>1</v>
      </c>
      <c r="AD1318">
        <v>1</v>
      </c>
      <c r="AE1318">
        <v>3</v>
      </c>
      <c r="AF1318">
        <v>3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3</v>
      </c>
      <c r="AS1318">
        <v>0</v>
      </c>
      <c r="AT1318">
        <v>0</v>
      </c>
      <c r="AU1318">
        <v>3</v>
      </c>
      <c r="AV1318">
        <v>1</v>
      </c>
      <c r="AW1318">
        <v>1</v>
      </c>
      <c r="AX1318">
        <v>3</v>
      </c>
      <c r="AY1318">
        <v>3</v>
      </c>
      <c r="AZ1318">
        <v>0</v>
      </c>
      <c r="BA1318">
        <v>0</v>
      </c>
      <c r="BB1318">
        <v>0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1</v>
      </c>
      <c r="BI1318" s="2">
        <v>0</v>
      </c>
      <c r="BJ1318" s="2">
        <v>0</v>
      </c>
      <c r="BK1318" s="2">
        <v>3</v>
      </c>
      <c r="BL1318" s="2">
        <v>0</v>
      </c>
      <c r="BM1318" s="2">
        <v>0</v>
      </c>
      <c r="BN1318" s="2">
        <v>3</v>
      </c>
      <c r="BO1318" s="2">
        <v>1</v>
      </c>
      <c r="BP1318" s="2">
        <v>1</v>
      </c>
      <c r="BQ1318" s="2">
        <v>3</v>
      </c>
      <c r="BR1318" s="2">
        <v>3</v>
      </c>
      <c r="BS1318" s="2">
        <v>0</v>
      </c>
      <c r="BT1318" s="2">
        <v>0</v>
      </c>
      <c r="BU1318" s="2">
        <v>0</v>
      </c>
      <c r="BV1318" s="2">
        <f t="shared" si="85"/>
        <v>16</v>
      </c>
      <c r="BW1318" s="16">
        <f t="shared" si="83"/>
        <v>0.84210526315789469</v>
      </c>
      <c r="BX1318" s="16">
        <f>COUNTIF($BC$6:BU1318, "=0") / COUNTIF($BC$6:BU1318, "&gt;-1")</f>
        <v>0.34437006453681807</v>
      </c>
      <c r="BY1318" s="18">
        <f>SUM($BC$6:BU1318) / $BY$4</f>
        <v>0.96876526634634363</v>
      </c>
      <c r="BZ1318" s="14">
        <f t="shared" si="84"/>
        <v>11</v>
      </c>
      <c r="CA1318" t="s">
        <v>5832</v>
      </c>
      <c r="CZ1318" t="s">
        <v>11027</v>
      </c>
      <c r="DA1318" t="s">
        <v>5904</v>
      </c>
      <c r="DB1318">
        <v>191.8</v>
      </c>
      <c r="DC1318" t="s">
        <v>29011</v>
      </c>
      <c r="DD1318" t="s">
        <v>29012</v>
      </c>
      <c r="DE1318" t="s">
        <v>29013</v>
      </c>
      <c r="DF1318" t="s">
        <v>29014</v>
      </c>
      <c r="DG1318" t="s">
        <v>29015</v>
      </c>
      <c r="DH1318" t="str">
        <f>"TBCA"</f>
        <v>TBCA</v>
      </c>
      <c r="DI1318" t="s">
        <v>13772</v>
      </c>
      <c r="DJ1318" t="s">
        <v>13777</v>
      </c>
      <c r="DK1318">
        <v>9606</v>
      </c>
      <c r="DL1318" s="34" t="str">
        <f>HYPERLINK("http://www.uniprot.org/uniprot/O75347", "O75347")</f>
        <v>O75347</v>
      </c>
      <c r="DM1318" t="s">
        <v>29016</v>
      </c>
      <c r="DN1318" t="s">
        <v>13772</v>
      </c>
      <c r="DO1318" t="s">
        <v>20183</v>
      </c>
      <c r="DP1318" t="s">
        <v>13841</v>
      </c>
      <c r="DQ1318" t="s">
        <v>13772</v>
      </c>
      <c r="DR1318" t="s">
        <v>13772</v>
      </c>
      <c r="DS1318" t="s">
        <v>13772</v>
      </c>
      <c r="DT1318" t="s">
        <v>13772</v>
      </c>
      <c r="DU1318" t="s">
        <v>14477</v>
      </c>
      <c r="DV1318" t="s">
        <v>14020</v>
      </c>
      <c r="DW1318" t="s">
        <v>13812</v>
      </c>
      <c r="DX1318" t="s">
        <v>29017</v>
      </c>
      <c r="DY1318" t="s">
        <v>29018</v>
      </c>
      <c r="DZ1318" t="s">
        <v>29019</v>
      </c>
      <c r="EA1318" t="s">
        <v>13772</v>
      </c>
      <c r="EB1318" t="s">
        <v>23351</v>
      </c>
    </row>
    <row r="1319" spans="1:132" hidden="1">
      <c r="A1319">
        <v>1590</v>
      </c>
      <c r="B1319">
        <v>1</v>
      </c>
      <c r="C1319" t="s">
        <v>3768</v>
      </c>
      <c r="D1319" t="s">
        <v>3769</v>
      </c>
      <c r="E1319" t="s">
        <v>73</v>
      </c>
      <c r="F1319" t="s">
        <v>73</v>
      </c>
      <c r="G1319" t="s">
        <v>73</v>
      </c>
      <c r="H1319">
        <v>14.7</v>
      </c>
      <c r="I1319">
        <v>430</v>
      </c>
      <c r="J1319">
        <v>47040</v>
      </c>
      <c r="K1319" t="s">
        <v>3770</v>
      </c>
      <c r="L1319">
        <f t="shared" si="82"/>
        <v>16</v>
      </c>
      <c r="N1319">
        <v>16</v>
      </c>
      <c r="O1319">
        <v>16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5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5</v>
      </c>
      <c r="AF1319">
        <v>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5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5</v>
      </c>
      <c r="AY1319">
        <v>3</v>
      </c>
      <c r="AZ1319">
        <v>0</v>
      </c>
      <c r="BA1319">
        <v>0</v>
      </c>
      <c r="BB1319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0</v>
      </c>
      <c r="BK1319" s="2">
        <v>5</v>
      </c>
      <c r="BL1319" s="2">
        <v>1</v>
      </c>
      <c r="BM1319" s="2">
        <v>1</v>
      </c>
      <c r="BN1319" s="2">
        <v>0</v>
      </c>
      <c r="BO1319" s="2">
        <v>0</v>
      </c>
      <c r="BP1319" s="2">
        <v>0</v>
      </c>
      <c r="BQ1319" s="2">
        <v>5</v>
      </c>
      <c r="BR1319" s="2">
        <v>3</v>
      </c>
      <c r="BS1319" s="2">
        <v>0</v>
      </c>
      <c r="BT1319" s="2">
        <v>0</v>
      </c>
      <c r="BU1319" s="2">
        <v>0</v>
      </c>
      <c r="BV1319" s="2">
        <f t="shared" si="85"/>
        <v>16</v>
      </c>
      <c r="BW1319" s="16">
        <f t="shared" si="83"/>
        <v>0.84210526315789469</v>
      </c>
      <c r="BX1319" s="16">
        <f>COUNTIF($BC$6:BU1319, "=0") / COUNTIF($BC$6:BU1319, "&gt;-1")</f>
        <v>0.3446286950252343</v>
      </c>
      <c r="BY1319" s="18">
        <f>SUM($BC$6:BU1319) / $BY$4</f>
        <v>0.96883380453624279</v>
      </c>
      <c r="BZ1319" s="14">
        <f t="shared" si="84"/>
        <v>13</v>
      </c>
      <c r="CA1319" t="s">
        <v>5832</v>
      </c>
      <c r="CZ1319" t="s">
        <v>11041</v>
      </c>
      <c r="DA1319" t="s">
        <v>5904</v>
      </c>
      <c r="DB1319">
        <v>798.1</v>
      </c>
      <c r="DC1319" t="s">
        <v>29051</v>
      </c>
      <c r="DD1319" t="s">
        <v>29052</v>
      </c>
      <c r="DE1319" t="s">
        <v>29053</v>
      </c>
      <c r="DF1319" t="s">
        <v>29054</v>
      </c>
      <c r="DG1319" t="s">
        <v>29055</v>
      </c>
      <c r="DH1319" t="str">
        <f>"PDLIM7"</f>
        <v>PDLIM7</v>
      </c>
      <c r="DI1319" t="s">
        <v>29056</v>
      </c>
      <c r="DJ1319" t="s">
        <v>13777</v>
      </c>
      <c r="DK1319">
        <v>9606</v>
      </c>
      <c r="DL1319" s="34" t="str">
        <f>HYPERLINK("http://www.uniprot.org/uniprot/Q9NR12", "Q9NR12")</f>
        <v>Q9NR12</v>
      </c>
      <c r="DM1319" t="s">
        <v>29057</v>
      </c>
      <c r="DN1319" t="s">
        <v>29058</v>
      </c>
      <c r="DO1319" t="s">
        <v>13988</v>
      </c>
      <c r="DP1319" t="s">
        <v>13780</v>
      </c>
      <c r="DQ1319" t="s">
        <v>13772</v>
      </c>
      <c r="DR1319" t="s">
        <v>13772</v>
      </c>
      <c r="DS1319" t="s">
        <v>15529</v>
      </c>
      <c r="DT1319" t="s">
        <v>13856</v>
      </c>
      <c r="DU1319" t="s">
        <v>14727</v>
      </c>
      <c r="DV1319" t="s">
        <v>14478</v>
      </c>
      <c r="DW1319" t="s">
        <v>13812</v>
      </c>
      <c r="DX1319" t="s">
        <v>29059</v>
      </c>
      <c r="DY1319" t="s">
        <v>29060</v>
      </c>
      <c r="DZ1319" t="s">
        <v>29061</v>
      </c>
      <c r="EA1319" t="s">
        <v>13772</v>
      </c>
      <c r="EB1319" t="s">
        <v>29062</v>
      </c>
    </row>
    <row r="1320" spans="1:132" hidden="1">
      <c r="A1320">
        <v>1699</v>
      </c>
      <c r="B1320">
        <v>1</v>
      </c>
      <c r="C1320" t="s">
        <v>4029</v>
      </c>
      <c r="D1320" t="s">
        <v>73</v>
      </c>
      <c r="E1320" t="s">
        <v>73</v>
      </c>
      <c r="F1320" t="s">
        <v>73</v>
      </c>
      <c r="G1320" t="s">
        <v>73</v>
      </c>
      <c r="H1320">
        <v>18</v>
      </c>
      <c r="I1320">
        <v>891</v>
      </c>
      <c r="J1320">
        <v>98271</v>
      </c>
      <c r="K1320" t="s">
        <v>4030</v>
      </c>
      <c r="L1320">
        <f t="shared" si="82"/>
        <v>16</v>
      </c>
      <c r="N1320">
        <v>16</v>
      </c>
      <c r="O1320">
        <v>16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8</v>
      </c>
      <c r="AB1320">
        <v>3</v>
      </c>
      <c r="AC1320">
        <v>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8</v>
      </c>
      <c r="AU1320">
        <v>3</v>
      </c>
      <c r="AV1320">
        <v>5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8</v>
      </c>
      <c r="BN1320" s="2">
        <v>3</v>
      </c>
      <c r="BO1320" s="2">
        <v>5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f t="shared" si="85"/>
        <v>16</v>
      </c>
      <c r="BW1320" s="16">
        <f t="shared" si="83"/>
        <v>0.84210526315789469</v>
      </c>
      <c r="BX1320" s="16">
        <f>COUNTIF($BC$6:BU1320, "=0") / COUNTIF($BC$6:BU1320, "&gt;-1")</f>
        <v>0.34500700420252151</v>
      </c>
      <c r="BY1320" s="18">
        <f>SUM($BC$6:BU1320) / $BY$4</f>
        <v>0.96890234272614206</v>
      </c>
      <c r="BZ1320" s="14">
        <f t="shared" si="84"/>
        <v>16</v>
      </c>
      <c r="CA1320" t="s">
        <v>5832</v>
      </c>
      <c r="CZ1320" t="s">
        <v>11416</v>
      </c>
      <c r="DA1320" t="s">
        <v>5904</v>
      </c>
      <c r="DB1320">
        <v>1537.3</v>
      </c>
      <c r="DC1320" t="s">
        <v>30099</v>
      </c>
      <c r="DD1320" t="s">
        <v>30100</v>
      </c>
      <c r="DE1320" t="s">
        <v>30101</v>
      </c>
      <c r="DF1320" t="s">
        <v>30102</v>
      </c>
      <c r="DG1320" t="s">
        <v>30103</v>
      </c>
      <c r="DH1320" t="str">
        <f>"MVP"</f>
        <v>MVP</v>
      </c>
      <c r="DI1320" t="s">
        <v>30104</v>
      </c>
      <c r="DJ1320" t="s">
        <v>13777</v>
      </c>
      <c r="DK1320">
        <v>9606</v>
      </c>
      <c r="DL1320" s="34" t="str">
        <f>HYPERLINK("http://www.uniprot.org/uniprot/Q14764", "Q14764")</f>
        <v>Q14764</v>
      </c>
      <c r="DM1320" t="s">
        <v>30105</v>
      </c>
      <c r="DN1320" t="s">
        <v>14094</v>
      </c>
      <c r="DO1320" t="s">
        <v>30106</v>
      </c>
      <c r="DP1320" t="s">
        <v>13793</v>
      </c>
      <c r="DQ1320" t="s">
        <v>13772</v>
      </c>
      <c r="DR1320" t="s">
        <v>13772</v>
      </c>
      <c r="DS1320" t="s">
        <v>14096</v>
      </c>
      <c r="DT1320" t="s">
        <v>13772</v>
      </c>
      <c r="DU1320" t="s">
        <v>30107</v>
      </c>
      <c r="DV1320" t="s">
        <v>13991</v>
      </c>
      <c r="DW1320" t="s">
        <v>13812</v>
      </c>
      <c r="DX1320" t="s">
        <v>30108</v>
      </c>
      <c r="DY1320" t="s">
        <v>30109</v>
      </c>
      <c r="DZ1320" t="s">
        <v>30110</v>
      </c>
      <c r="EA1320" t="s">
        <v>13772</v>
      </c>
      <c r="EB1320" t="s">
        <v>13890</v>
      </c>
    </row>
    <row r="1321" spans="1:132" hidden="1">
      <c r="A1321">
        <v>1839</v>
      </c>
      <c r="B1321">
        <v>1</v>
      </c>
      <c r="C1321" t="s">
        <v>4347</v>
      </c>
      <c r="D1321" t="s">
        <v>73</v>
      </c>
      <c r="E1321" t="s">
        <v>73</v>
      </c>
      <c r="F1321" t="s">
        <v>73</v>
      </c>
      <c r="G1321" t="s">
        <v>73</v>
      </c>
      <c r="H1321">
        <v>68.900000000000006</v>
      </c>
      <c r="I1321">
        <v>190</v>
      </c>
      <c r="J1321">
        <v>19904</v>
      </c>
      <c r="K1321" t="s">
        <v>4348</v>
      </c>
      <c r="L1321">
        <f t="shared" si="82"/>
        <v>16</v>
      </c>
      <c r="N1321">
        <v>16</v>
      </c>
      <c r="O1321">
        <v>16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11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11</v>
      </c>
      <c r="AS1321">
        <v>0</v>
      </c>
      <c r="AT1321">
        <v>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11</v>
      </c>
      <c r="BL1321" s="2">
        <v>0</v>
      </c>
      <c r="BM1321" s="2">
        <v>5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f t="shared" si="85"/>
        <v>16</v>
      </c>
      <c r="BW1321" s="16">
        <f t="shared" si="83"/>
        <v>0.84210526315789469</v>
      </c>
      <c r="BX1321" s="16">
        <f>COUNTIF($BC$6:BU1321, "=0") / COUNTIF($BC$6:BU1321, "&gt;-1")</f>
        <v>0.34542473204287316</v>
      </c>
      <c r="BY1321" s="18">
        <f>SUM($BC$6:BU1321) / $BY$4</f>
        <v>0.96897088091604122</v>
      </c>
      <c r="BZ1321" s="14">
        <f t="shared" si="84"/>
        <v>17</v>
      </c>
      <c r="CA1321" t="s">
        <v>5832</v>
      </c>
      <c r="CZ1321" t="s">
        <v>11890</v>
      </c>
      <c r="DA1321" t="s">
        <v>5904</v>
      </c>
      <c r="DB1321">
        <v>308.89999999999998</v>
      </c>
      <c r="DC1321" t="s">
        <v>31463</v>
      </c>
      <c r="DD1321" t="s">
        <v>31464</v>
      </c>
      <c r="DE1321" t="s">
        <v>31465</v>
      </c>
      <c r="DF1321" t="s">
        <v>31466</v>
      </c>
      <c r="DG1321" t="s">
        <v>31467</v>
      </c>
      <c r="DH1321" t="str">
        <f>"JPT2"</f>
        <v>JPT2</v>
      </c>
      <c r="DI1321" t="s">
        <v>13772</v>
      </c>
      <c r="DJ1321" t="s">
        <v>13777</v>
      </c>
      <c r="DK1321">
        <v>9606</v>
      </c>
      <c r="DL1321" s="34" t="str">
        <f>HYPERLINK("http://www.uniprot.org/uniprot/Q9H910", "Q9H910")</f>
        <v>Q9H910</v>
      </c>
      <c r="DM1321" t="s">
        <v>31468</v>
      </c>
      <c r="DN1321" t="s">
        <v>13772</v>
      </c>
      <c r="DO1321" t="s">
        <v>13912</v>
      </c>
      <c r="DP1321" t="s">
        <v>13841</v>
      </c>
      <c r="DQ1321" t="s">
        <v>13772</v>
      </c>
      <c r="DR1321" t="s">
        <v>13772</v>
      </c>
      <c r="DS1321" t="s">
        <v>13772</v>
      </c>
      <c r="DT1321" t="s">
        <v>13772</v>
      </c>
      <c r="DU1321" t="s">
        <v>13772</v>
      </c>
      <c r="DV1321" t="s">
        <v>13886</v>
      </c>
      <c r="DW1321" t="s">
        <v>13772</v>
      </c>
      <c r="DX1321" t="s">
        <v>13772</v>
      </c>
      <c r="DY1321" t="s">
        <v>31469</v>
      </c>
      <c r="DZ1321" t="s">
        <v>13772</v>
      </c>
      <c r="EA1321" t="s">
        <v>13772</v>
      </c>
      <c r="EB1321" t="s">
        <v>13772</v>
      </c>
    </row>
    <row r="1322" spans="1:132" hidden="1">
      <c r="A1322">
        <v>2014</v>
      </c>
      <c r="B1322">
        <v>1</v>
      </c>
      <c r="C1322" t="s">
        <v>4739</v>
      </c>
      <c r="D1322" t="s">
        <v>73</v>
      </c>
      <c r="E1322" t="s">
        <v>73</v>
      </c>
      <c r="F1322" t="s">
        <v>73</v>
      </c>
      <c r="G1322" t="s">
        <v>73</v>
      </c>
      <c r="H1322">
        <v>14.5</v>
      </c>
      <c r="I1322">
        <v>490</v>
      </c>
      <c r="J1322">
        <v>54706</v>
      </c>
      <c r="K1322" t="s">
        <v>4740</v>
      </c>
      <c r="L1322">
        <f t="shared" si="82"/>
        <v>16</v>
      </c>
      <c r="N1322">
        <v>16</v>
      </c>
      <c r="O1322">
        <v>16</v>
      </c>
      <c r="P1322">
        <v>1</v>
      </c>
      <c r="Q1322">
        <v>0</v>
      </c>
      <c r="R1322">
        <v>0</v>
      </c>
      <c r="S1322">
        <v>2</v>
      </c>
      <c r="T1322">
        <v>0</v>
      </c>
      <c r="U1322">
        <v>5</v>
      </c>
      <c r="V1322">
        <v>3</v>
      </c>
      <c r="W1322">
        <v>4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0</v>
      </c>
      <c r="AN1322">
        <v>5</v>
      </c>
      <c r="AO1322">
        <v>3</v>
      </c>
      <c r="AP1322">
        <v>4</v>
      </c>
      <c r="AQ1322">
        <v>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 s="2">
        <v>0</v>
      </c>
      <c r="BD1322" s="2">
        <v>0</v>
      </c>
      <c r="BE1322" s="2">
        <v>2</v>
      </c>
      <c r="BF1322" s="2">
        <v>0</v>
      </c>
      <c r="BG1322" s="2">
        <v>5</v>
      </c>
      <c r="BH1322" s="2">
        <v>3</v>
      </c>
      <c r="BI1322" s="2">
        <v>4</v>
      </c>
      <c r="BJ1322" s="2">
        <v>2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f t="shared" si="85"/>
        <v>16</v>
      </c>
      <c r="BW1322" s="16">
        <f t="shared" si="83"/>
        <v>0.84210526315789469</v>
      </c>
      <c r="BX1322" s="16">
        <f>COUNTIF($BC$6:BU1322, "=0") / COUNTIF($BC$6:BU1322, "&gt;-1")</f>
        <v>0.34572193581904648</v>
      </c>
      <c r="BY1322" s="18">
        <f>SUM($BC$6:BU1322) / $BY$4</f>
        <v>0.96903941910594038</v>
      </c>
      <c r="BZ1322" s="14">
        <f t="shared" si="84"/>
        <v>14</v>
      </c>
      <c r="CA1322" t="s">
        <v>5832</v>
      </c>
      <c r="CZ1322" t="s">
        <v>12465</v>
      </c>
      <c r="DA1322" t="s">
        <v>5904</v>
      </c>
      <c r="DB1322">
        <v>990.7</v>
      </c>
      <c r="DC1322" t="s">
        <v>33080</v>
      </c>
      <c r="DD1322" t="s">
        <v>33081</v>
      </c>
      <c r="DE1322" t="s">
        <v>33082</v>
      </c>
      <c r="DF1322" t="s">
        <v>33083</v>
      </c>
      <c r="DG1322" t="s">
        <v>33084</v>
      </c>
      <c r="DH1322" t="str">
        <f>"PLD3"</f>
        <v>PLD3</v>
      </c>
      <c r="DI1322" t="s">
        <v>13772</v>
      </c>
      <c r="DJ1322" t="s">
        <v>13777</v>
      </c>
      <c r="DK1322">
        <v>9606</v>
      </c>
      <c r="DL1322" s="34" t="str">
        <f>HYPERLINK("http://www.uniprot.org/uniprot/Q8IV08", "Q8IV08")</f>
        <v>Q8IV08</v>
      </c>
      <c r="DM1322" t="s">
        <v>33085</v>
      </c>
      <c r="DN1322" t="s">
        <v>17548</v>
      </c>
      <c r="DO1322" t="s">
        <v>14714</v>
      </c>
      <c r="DP1322" t="s">
        <v>13793</v>
      </c>
      <c r="DQ1322" t="s">
        <v>13772</v>
      </c>
      <c r="DR1322" t="s">
        <v>20674</v>
      </c>
      <c r="DS1322" t="s">
        <v>17249</v>
      </c>
      <c r="DT1322" t="s">
        <v>13772</v>
      </c>
      <c r="DU1322" t="s">
        <v>13857</v>
      </c>
      <c r="DV1322" t="s">
        <v>13858</v>
      </c>
      <c r="DW1322" t="s">
        <v>13772</v>
      </c>
      <c r="DX1322" t="s">
        <v>17549</v>
      </c>
      <c r="DY1322" t="s">
        <v>33086</v>
      </c>
      <c r="DZ1322" t="s">
        <v>33087</v>
      </c>
      <c r="EA1322" t="s">
        <v>13772</v>
      </c>
      <c r="EB1322" t="s">
        <v>33088</v>
      </c>
    </row>
    <row r="1323" spans="1:132" hidden="1">
      <c r="A1323">
        <v>2096</v>
      </c>
      <c r="B1323">
        <v>1</v>
      </c>
      <c r="C1323" t="s">
        <v>4921</v>
      </c>
      <c r="D1323" t="s">
        <v>73</v>
      </c>
      <c r="E1323" t="s">
        <v>73</v>
      </c>
      <c r="F1323" t="s">
        <v>73</v>
      </c>
      <c r="G1323" t="s">
        <v>73</v>
      </c>
      <c r="H1323">
        <v>35.6</v>
      </c>
      <c r="I1323">
        <v>295</v>
      </c>
      <c r="J1323">
        <v>33174</v>
      </c>
      <c r="K1323" t="s">
        <v>4922</v>
      </c>
      <c r="L1323">
        <f t="shared" si="82"/>
        <v>16</v>
      </c>
      <c r="N1323">
        <v>16</v>
      </c>
      <c r="O1323">
        <v>16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9</v>
      </c>
      <c r="AB1323">
        <v>0</v>
      </c>
      <c r="AC1323">
        <v>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9</v>
      </c>
      <c r="AU1323">
        <v>0</v>
      </c>
      <c r="AV1323">
        <v>6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1</v>
      </c>
      <c r="BL1323" s="2">
        <v>0</v>
      </c>
      <c r="BM1323" s="2">
        <v>9</v>
      </c>
      <c r="BN1323" s="2">
        <v>0</v>
      </c>
      <c r="BO1323" s="2">
        <v>6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f t="shared" si="85"/>
        <v>16</v>
      </c>
      <c r="BW1323" s="16">
        <f t="shared" si="83"/>
        <v>0.84210526315789469</v>
      </c>
      <c r="BX1323" s="16">
        <f>COUNTIF($BC$6:BU1323, "=0") / COUNTIF($BC$6:BU1323, "&gt;-1")</f>
        <v>0.34609855442856002</v>
      </c>
      <c r="BY1323" s="18">
        <f>SUM($BC$6:BU1323) / $BY$4</f>
        <v>0.96910795729583965</v>
      </c>
      <c r="BZ1323" s="14">
        <f t="shared" si="84"/>
        <v>16</v>
      </c>
      <c r="CA1323" t="s">
        <v>5832</v>
      </c>
      <c r="CZ1323" t="s">
        <v>12737</v>
      </c>
      <c r="DA1323" t="s">
        <v>5904</v>
      </c>
      <c r="DB1323">
        <v>593.20000000000005</v>
      </c>
      <c r="DC1323" t="s">
        <v>33833</v>
      </c>
      <c r="DD1323" t="s">
        <v>33834</v>
      </c>
      <c r="DE1323" t="s">
        <v>33835</v>
      </c>
      <c r="DF1323" t="s">
        <v>33836</v>
      </c>
      <c r="DG1323" t="s">
        <v>33837</v>
      </c>
      <c r="DH1323" t="str">
        <f>"NAPA"</f>
        <v>NAPA</v>
      </c>
      <c r="DI1323" t="s">
        <v>33838</v>
      </c>
      <c r="DJ1323" t="s">
        <v>13777</v>
      </c>
      <c r="DK1323">
        <v>9606</v>
      </c>
      <c r="DL1323" s="34" t="str">
        <f>HYPERLINK("http://www.uniprot.org/uniprot/P54920", "P54920")</f>
        <v>P54920</v>
      </c>
      <c r="DM1323" t="s">
        <v>33839</v>
      </c>
      <c r="DN1323" t="s">
        <v>15450</v>
      </c>
      <c r="DO1323" t="s">
        <v>13792</v>
      </c>
      <c r="DP1323" t="s">
        <v>13772</v>
      </c>
      <c r="DQ1323" t="s">
        <v>13772</v>
      </c>
      <c r="DR1323" t="s">
        <v>13772</v>
      </c>
      <c r="DS1323" t="s">
        <v>13772</v>
      </c>
      <c r="DT1323" t="s">
        <v>13772</v>
      </c>
      <c r="DU1323" t="s">
        <v>13772</v>
      </c>
      <c r="DV1323" t="s">
        <v>13886</v>
      </c>
      <c r="DW1323" t="s">
        <v>13772</v>
      </c>
      <c r="DX1323" t="s">
        <v>33840</v>
      </c>
      <c r="DY1323" t="s">
        <v>33841</v>
      </c>
      <c r="DZ1323" t="s">
        <v>33842</v>
      </c>
      <c r="EA1323" t="s">
        <v>13772</v>
      </c>
      <c r="EB1323" t="s">
        <v>33843</v>
      </c>
    </row>
    <row r="1324" spans="1:132" hidden="1">
      <c r="A1324">
        <v>2131</v>
      </c>
      <c r="B1324">
        <v>1</v>
      </c>
      <c r="C1324" t="s">
        <v>4997</v>
      </c>
      <c r="D1324" t="s">
        <v>73</v>
      </c>
      <c r="E1324" t="s">
        <v>73</v>
      </c>
      <c r="F1324" t="s">
        <v>73</v>
      </c>
      <c r="G1324" t="s">
        <v>73</v>
      </c>
      <c r="H1324">
        <v>27.6</v>
      </c>
      <c r="I1324">
        <v>539</v>
      </c>
      <c r="J1324">
        <v>58040</v>
      </c>
      <c r="K1324" t="s">
        <v>4998</v>
      </c>
      <c r="L1324">
        <f t="shared" si="82"/>
        <v>16</v>
      </c>
      <c r="N1324">
        <v>16</v>
      </c>
      <c r="O1324">
        <v>16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5</v>
      </c>
      <c r="Z1324">
        <v>0</v>
      </c>
      <c r="AA1324">
        <v>8</v>
      </c>
      <c r="AB1324">
        <v>1</v>
      </c>
      <c r="AC1324">
        <v>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5</v>
      </c>
      <c r="AS1324">
        <v>0</v>
      </c>
      <c r="AT1324">
        <v>8</v>
      </c>
      <c r="AU1324">
        <v>1</v>
      </c>
      <c r="AV1324">
        <v>2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5</v>
      </c>
      <c r="BL1324" s="2">
        <v>0</v>
      </c>
      <c r="BM1324" s="2">
        <v>8</v>
      </c>
      <c r="BN1324" s="2">
        <v>1</v>
      </c>
      <c r="BO1324" s="2">
        <v>2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f t="shared" si="85"/>
        <v>16</v>
      </c>
      <c r="BW1324" s="16">
        <f t="shared" si="83"/>
        <v>0.84210526315789469</v>
      </c>
      <c r="BX1324" s="16">
        <f>COUNTIF($BC$6:BU1324, "=0") / COUNTIF($BC$6:BU1324, "&gt;-1")</f>
        <v>0.34643469933362597</v>
      </c>
      <c r="BY1324" s="18">
        <f>SUM($BC$6:BU1324) / $BY$4</f>
        <v>0.96917649548573881</v>
      </c>
      <c r="BZ1324" s="14">
        <f t="shared" si="84"/>
        <v>15</v>
      </c>
      <c r="CA1324" t="s">
        <v>5832</v>
      </c>
      <c r="CZ1324" t="s">
        <v>12849</v>
      </c>
      <c r="DA1324" t="s">
        <v>5904</v>
      </c>
      <c r="DB1324">
        <v>1070.0999999999999</v>
      </c>
      <c r="DC1324" t="s">
        <v>34141</v>
      </c>
      <c r="DD1324" t="s">
        <v>34142</v>
      </c>
      <c r="DE1324" t="s">
        <v>34143</v>
      </c>
      <c r="DF1324" t="s">
        <v>34144</v>
      </c>
      <c r="DG1324" t="s">
        <v>34145</v>
      </c>
      <c r="DH1324" t="str">
        <f>"CCT4"</f>
        <v>CCT4</v>
      </c>
      <c r="DI1324" t="s">
        <v>34146</v>
      </c>
      <c r="DJ1324" t="s">
        <v>13777</v>
      </c>
      <c r="DK1324">
        <v>9606</v>
      </c>
      <c r="DL1324" s="34" t="str">
        <f>HYPERLINK("http://www.uniprot.org/uniprot/P50991", "P50991")</f>
        <v>P50991</v>
      </c>
      <c r="DM1324" t="s">
        <v>34147</v>
      </c>
      <c r="DN1324" t="s">
        <v>13772</v>
      </c>
      <c r="DO1324" t="s">
        <v>14870</v>
      </c>
      <c r="DP1324" t="s">
        <v>13780</v>
      </c>
      <c r="DQ1324" t="s">
        <v>13772</v>
      </c>
      <c r="DR1324" t="s">
        <v>13772</v>
      </c>
      <c r="DS1324" t="s">
        <v>13772</v>
      </c>
      <c r="DT1324" t="s">
        <v>14005</v>
      </c>
      <c r="DU1324" t="s">
        <v>14477</v>
      </c>
      <c r="DV1324" t="s">
        <v>14098</v>
      </c>
      <c r="DW1324" t="s">
        <v>13772</v>
      </c>
      <c r="DX1324" t="s">
        <v>34148</v>
      </c>
      <c r="DY1324" t="s">
        <v>34149</v>
      </c>
      <c r="DZ1324" t="s">
        <v>30433</v>
      </c>
      <c r="EA1324" t="s">
        <v>13772</v>
      </c>
      <c r="EB1324" t="s">
        <v>28969</v>
      </c>
    </row>
    <row r="1325" spans="1:132" hidden="1">
      <c r="A1325">
        <v>2135</v>
      </c>
      <c r="B1325">
        <v>1</v>
      </c>
      <c r="C1325" t="s">
        <v>5007</v>
      </c>
      <c r="D1325" t="s">
        <v>73</v>
      </c>
      <c r="E1325" t="s">
        <v>73</v>
      </c>
      <c r="F1325" t="s">
        <v>73</v>
      </c>
      <c r="G1325" t="s">
        <v>73</v>
      </c>
      <c r="H1325">
        <v>31.4</v>
      </c>
      <c r="I1325">
        <v>204</v>
      </c>
      <c r="J1325">
        <v>22403</v>
      </c>
      <c r="K1325" t="s">
        <v>5008</v>
      </c>
      <c r="L1325">
        <f t="shared" si="82"/>
        <v>16</v>
      </c>
      <c r="N1325">
        <v>16</v>
      </c>
      <c r="O1325">
        <v>16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2</v>
      </c>
      <c r="Y1325">
        <v>3</v>
      </c>
      <c r="Z1325">
        <v>0</v>
      </c>
      <c r="AA1325">
        <v>2</v>
      </c>
      <c r="AB1325">
        <v>1</v>
      </c>
      <c r="AC1325">
        <v>2</v>
      </c>
      <c r="AD1325">
        <v>0</v>
      </c>
      <c r="AE1325">
        <v>0</v>
      </c>
      <c r="AF1325">
        <v>3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1</v>
      </c>
      <c r="AQ1325">
        <v>2</v>
      </c>
      <c r="AR1325">
        <v>3</v>
      </c>
      <c r="AS1325">
        <v>0</v>
      </c>
      <c r="AT1325">
        <v>2</v>
      </c>
      <c r="AU1325">
        <v>1</v>
      </c>
      <c r="AV1325">
        <v>2</v>
      </c>
      <c r="AW1325">
        <v>0</v>
      </c>
      <c r="AX1325">
        <v>0</v>
      </c>
      <c r="AY1325">
        <v>3</v>
      </c>
      <c r="AZ1325">
        <v>0</v>
      </c>
      <c r="BA1325">
        <v>0</v>
      </c>
      <c r="BB1325">
        <v>1</v>
      </c>
      <c r="BC1325" s="2">
        <v>0</v>
      </c>
      <c r="BD1325" s="2">
        <v>0</v>
      </c>
      <c r="BE1325" s="2">
        <v>1</v>
      </c>
      <c r="BF1325" s="2">
        <v>0</v>
      </c>
      <c r="BG1325" s="2">
        <v>0</v>
      </c>
      <c r="BH1325" s="2">
        <v>0</v>
      </c>
      <c r="BI1325" s="2">
        <v>1</v>
      </c>
      <c r="BJ1325" s="2">
        <v>2</v>
      </c>
      <c r="BK1325" s="2">
        <v>3</v>
      </c>
      <c r="BL1325" s="2">
        <v>0</v>
      </c>
      <c r="BM1325" s="2">
        <v>2</v>
      </c>
      <c r="BN1325" s="2">
        <v>1</v>
      </c>
      <c r="BO1325" s="2">
        <v>2</v>
      </c>
      <c r="BP1325" s="2">
        <v>0</v>
      </c>
      <c r="BQ1325" s="2">
        <v>0</v>
      </c>
      <c r="BR1325" s="2">
        <v>3</v>
      </c>
      <c r="BS1325" s="2">
        <v>0</v>
      </c>
      <c r="BT1325" s="2">
        <v>0</v>
      </c>
      <c r="BU1325" s="2">
        <v>1</v>
      </c>
      <c r="BV1325" s="2">
        <f t="shared" si="85"/>
        <v>16</v>
      </c>
      <c r="BW1325" s="16">
        <f t="shared" si="83"/>
        <v>0.84210526315789469</v>
      </c>
      <c r="BX1325" s="16">
        <f>COUNTIF($BC$6:BU1325, "=0") / COUNTIF($BC$6:BU1325, "&gt;-1")</f>
        <v>0.34657097288676236</v>
      </c>
      <c r="BY1325" s="18">
        <f>SUM($BC$6:BU1325) / $BY$4</f>
        <v>0.96924503367563808</v>
      </c>
      <c r="BZ1325" s="14">
        <f t="shared" si="84"/>
        <v>10</v>
      </c>
      <c r="CA1325" t="s">
        <v>5832</v>
      </c>
      <c r="CZ1325" t="s">
        <v>12864</v>
      </c>
      <c r="DA1325" t="s">
        <v>5904</v>
      </c>
      <c r="DB1325">
        <v>247.3</v>
      </c>
      <c r="DC1325" t="s">
        <v>34180</v>
      </c>
      <c r="DD1325" t="s">
        <v>34181</v>
      </c>
      <c r="DE1325" t="s">
        <v>34182</v>
      </c>
      <c r="DF1325" t="s">
        <v>34183</v>
      </c>
      <c r="DG1325" t="s">
        <v>34184</v>
      </c>
      <c r="DH1325" t="str">
        <f>"EDN3"</f>
        <v>EDN3</v>
      </c>
      <c r="DI1325" t="s">
        <v>13772</v>
      </c>
      <c r="DJ1325" t="s">
        <v>13777</v>
      </c>
      <c r="DK1325">
        <v>9606</v>
      </c>
      <c r="DL1325" s="34" t="str">
        <f>HYPERLINK("http://www.uniprot.org/uniprot/P14138", "P14138")</f>
        <v>P14138</v>
      </c>
      <c r="DM1325" t="s">
        <v>34185</v>
      </c>
      <c r="DN1325" t="s">
        <v>13772</v>
      </c>
      <c r="DO1325" t="s">
        <v>14321</v>
      </c>
      <c r="DP1325" t="s">
        <v>13780</v>
      </c>
      <c r="DQ1325" t="s">
        <v>13772</v>
      </c>
      <c r="DR1325" t="s">
        <v>34186</v>
      </c>
      <c r="DS1325" t="s">
        <v>13808</v>
      </c>
      <c r="DT1325" t="s">
        <v>13772</v>
      </c>
      <c r="DU1325" t="s">
        <v>25774</v>
      </c>
      <c r="DV1325" t="s">
        <v>21731</v>
      </c>
      <c r="DW1325" t="s">
        <v>13812</v>
      </c>
      <c r="DX1325" t="s">
        <v>34187</v>
      </c>
      <c r="DY1325" t="s">
        <v>34128</v>
      </c>
      <c r="DZ1325" t="s">
        <v>34188</v>
      </c>
      <c r="EA1325" t="s">
        <v>13772</v>
      </c>
      <c r="EB1325" t="s">
        <v>27036</v>
      </c>
    </row>
    <row r="1326" spans="1:132" hidden="1">
      <c r="A1326">
        <v>2204</v>
      </c>
      <c r="B1326">
        <v>1</v>
      </c>
      <c r="C1326" t="s">
        <v>5153</v>
      </c>
      <c r="D1326" t="s">
        <v>73</v>
      </c>
      <c r="E1326" t="s">
        <v>73</v>
      </c>
      <c r="F1326" t="s">
        <v>73</v>
      </c>
      <c r="G1326" t="s">
        <v>73</v>
      </c>
      <c r="H1326">
        <v>30.4</v>
      </c>
      <c r="I1326">
        <v>329</v>
      </c>
      <c r="J1326">
        <v>27154</v>
      </c>
      <c r="K1326" t="s">
        <v>5154</v>
      </c>
      <c r="L1326">
        <f t="shared" si="82"/>
        <v>16</v>
      </c>
      <c r="N1326">
        <v>16</v>
      </c>
      <c r="O1326">
        <v>16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3</v>
      </c>
      <c r="AB1326">
        <v>1</v>
      </c>
      <c r="AC1326">
        <v>2</v>
      </c>
      <c r="AD1326">
        <v>0</v>
      </c>
      <c r="AE1326">
        <v>1</v>
      </c>
      <c r="AF1326">
        <v>3</v>
      </c>
      <c r="AG1326">
        <v>2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0</v>
      </c>
      <c r="AT1326">
        <v>3</v>
      </c>
      <c r="AU1326">
        <v>1</v>
      </c>
      <c r="AV1326">
        <v>2</v>
      </c>
      <c r="AW1326">
        <v>0</v>
      </c>
      <c r="AX1326">
        <v>1</v>
      </c>
      <c r="AY1326">
        <v>3</v>
      </c>
      <c r="AZ1326">
        <v>2</v>
      </c>
      <c r="BA1326">
        <v>0</v>
      </c>
      <c r="BB1326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2</v>
      </c>
      <c r="BL1326" s="2">
        <v>0</v>
      </c>
      <c r="BM1326" s="2">
        <v>3</v>
      </c>
      <c r="BN1326" s="2">
        <v>1</v>
      </c>
      <c r="BO1326" s="2">
        <v>2</v>
      </c>
      <c r="BP1326" s="2">
        <v>0</v>
      </c>
      <c r="BQ1326" s="2">
        <v>1</v>
      </c>
      <c r="BR1326" s="2">
        <v>3</v>
      </c>
      <c r="BS1326" s="2">
        <v>2</v>
      </c>
      <c r="BT1326" s="2">
        <v>0</v>
      </c>
      <c r="BU1326" s="2">
        <v>1</v>
      </c>
      <c r="BV1326" s="2">
        <f t="shared" si="85"/>
        <v>16</v>
      </c>
      <c r="BW1326" s="16">
        <f t="shared" si="83"/>
        <v>0.84210526315789469</v>
      </c>
      <c r="BX1326" s="16">
        <f>COUNTIF($BC$6:BU1326, "=0") / COUNTIF($BC$6:BU1326, "&gt;-1")</f>
        <v>0.34670704012112036</v>
      </c>
      <c r="BY1326" s="18">
        <f>SUM($BC$6:BU1326) / $BY$4</f>
        <v>0.96931357186553724</v>
      </c>
      <c r="BZ1326" s="14">
        <f t="shared" si="84"/>
        <v>10</v>
      </c>
      <c r="CA1326" t="s">
        <v>5832</v>
      </c>
      <c r="CZ1326" t="s">
        <v>8838</v>
      </c>
      <c r="DA1326" t="s">
        <v>6054</v>
      </c>
      <c r="DB1326">
        <v>28.9</v>
      </c>
      <c r="DC1326" t="s">
        <v>22824</v>
      </c>
      <c r="DD1326" t="s">
        <v>22825</v>
      </c>
      <c r="DE1326" t="s">
        <v>22826</v>
      </c>
      <c r="DF1326" t="s">
        <v>22827</v>
      </c>
      <c r="DG1326" t="s">
        <v>22828</v>
      </c>
      <c r="DH1326" t="str">
        <f>"FN1"</f>
        <v>FN1</v>
      </c>
      <c r="DI1326" t="s">
        <v>22829</v>
      </c>
      <c r="DJ1326" t="s">
        <v>13777</v>
      </c>
      <c r="DK1326">
        <v>9606</v>
      </c>
      <c r="DL1326" s="34" t="str">
        <f>HYPERLINK("http://www.uniprot.org/uniprot/P02751", "P02751")</f>
        <v>P02751</v>
      </c>
      <c r="DM1326" t="s">
        <v>22830</v>
      </c>
      <c r="DN1326" t="s">
        <v>22831</v>
      </c>
      <c r="DO1326" t="s">
        <v>13869</v>
      </c>
      <c r="DP1326" t="s">
        <v>13780</v>
      </c>
      <c r="DQ1326" t="s">
        <v>13772</v>
      </c>
      <c r="DR1326" t="s">
        <v>14517</v>
      </c>
      <c r="DS1326" t="s">
        <v>14404</v>
      </c>
      <c r="DT1326" t="s">
        <v>13772</v>
      </c>
      <c r="DU1326" t="s">
        <v>14073</v>
      </c>
      <c r="DV1326" t="s">
        <v>22832</v>
      </c>
      <c r="DW1326" t="s">
        <v>13812</v>
      </c>
      <c r="DX1326" t="s">
        <v>22833</v>
      </c>
      <c r="DY1326" t="s">
        <v>22834</v>
      </c>
      <c r="DZ1326" t="s">
        <v>22835</v>
      </c>
      <c r="EA1326" t="s">
        <v>13772</v>
      </c>
      <c r="EB1326" t="s">
        <v>22836</v>
      </c>
    </row>
    <row r="1327" spans="1:132" hidden="1">
      <c r="A1327">
        <v>2214</v>
      </c>
      <c r="B1327">
        <v>1</v>
      </c>
      <c r="C1327" t="s">
        <v>5178</v>
      </c>
      <c r="D1327" t="s">
        <v>73</v>
      </c>
      <c r="E1327" t="s">
        <v>73</v>
      </c>
      <c r="F1327" t="s">
        <v>73</v>
      </c>
      <c r="G1327" t="s">
        <v>73</v>
      </c>
      <c r="H1327">
        <v>16</v>
      </c>
      <c r="I1327">
        <v>362</v>
      </c>
      <c r="J1327">
        <v>41486</v>
      </c>
      <c r="K1327" t="s">
        <v>5179</v>
      </c>
      <c r="L1327">
        <f t="shared" si="82"/>
        <v>16</v>
      </c>
      <c r="N1327">
        <v>16</v>
      </c>
      <c r="O1327">
        <v>16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4</v>
      </c>
      <c r="AB1327">
        <v>0</v>
      </c>
      <c r="AC1327">
        <v>2</v>
      </c>
      <c r="AD1327">
        <v>0</v>
      </c>
      <c r="AE1327">
        <v>0</v>
      </c>
      <c r="AF1327">
        <v>5</v>
      </c>
      <c r="AG1327">
        <v>0</v>
      </c>
      <c r="AH1327">
        <v>0</v>
      </c>
      <c r="AI1327">
        <v>3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4</v>
      </c>
      <c r="AU1327">
        <v>0</v>
      </c>
      <c r="AV1327">
        <v>2</v>
      </c>
      <c r="AW1327">
        <v>0</v>
      </c>
      <c r="AX1327">
        <v>0</v>
      </c>
      <c r="AY1327">
        <v>5</v>
      </c>
      <c r="AZ1327">
        <v>0</v>
      </c>
      <c r="BA1327">
        <v>0</v>
      </c>
      <c r="BB1327">
        <v>3</v>
      </c>
      <c r="BC1327" s="2">
        <v>0</v>
      </c>
      <c r="BD1327" s="2">
        <v>0</v>
      </c>
      <c r="BE1327" s="2">
        <v>1</v>
      </c>
      <c r="BF1327" s="2">
        <v>0</v>
      </c>
      <c r="BG1327" s="2">
        <v>0</v>
      </c>
      <c r="BH1327" s="2">
        <v>0</v>
      </c>
      <c r="BI1327" s="2">
        <v>1</v>
      </c>
      <c r="BJ1327" s="2">
        <v>0</v>
      </c>
      <c r="BK1327" s="2">
        <v>0</v>
      </c>
      <c r="BL1327" s="2">
        <v>0</v>
      </c>
      <c r="BM1327" s="2">
        <v>4</v>
      </c>
      <c r="BN1327" s="2">
        <v>0</v>
      </c>
      <c r="BO1327" s="2">
        <v>2</v>
      </c>
      <c r="BP1327" s="2">
        <v>0</v>
      </c>
      <c r="BQ1327" s="2">
        <v>0</v>
      </c>
      <c r="BR1327" s="2">
        <v>5</v>
      </c>
      <c r="BS1327" s="2">
        <v>0</v>
      </c>
      <c r="BT1327" s="2">
        <v>0</v>
      </c>
      <c r="BU1327" s="2">
        <v>3</v>
      </c>
      <c r="BV1327" s="2">
        <f t="shared" si="85"/>
        <v>16</v>
      </c>
      <c r="BW1327" s="16">
        <f t="shared" si="83"/>
        <v>0.84210526315789469</v>
      </c>
      <c r="BX1327" s="16">
        <f>COUNTIF($BC$6:BU1327, "=0") / COUNTIF($BC$6:BU1327, "&gt;-1")</f>
        <v>0.3469623377657457</v>
      </c>
      <c r="BY1327" s="18">
        <f>SUM($BC$6:BU1327) / $BY$4</f>
        <v>0.96938211005543651</v>
      </c>
      <c r="BZ1327" s="14">
        <f t="shared" si="84"/>
        <v>13</v>
      </c>
      <c r="CA1327" t="s">
        <v>5832</v>
      </c>
      <c r="CZ1327" t="s">
        <v>13127</v>
      </c>
      <c r="DA1327" t="s">
        <v>5904</v>
      </c>
      <c r="DB1327">
        <v>618.6</v>
      </c>
      <c r="DC1327" t="s">
        <v>34918</v>
      </c>
      <c r="DD1327" t="s">
        <v>34919</v>
      </c>
      <c r="DE1327" t="s">
        <v>34920</v>
      </c>
      <c r="DF1327" t="s">
        <v>34921</v>
      </c>
      <c r="DG1327" t="s">
        <v>34922</v>
      </c>
      <c r="DH1327" t="str">
        <f>"QPCT"</f>
        <v>QPCT</v>
      </c>
      <c r="DI1327" t="s">
        <v>13772</v>
      </c>
      <c r="DJ1327" t="s">
        <v>13777</v>
      </c>
      <c r="DK1327">
        <v>9606</v>
      </c>
      <c r="DL1327" s="34" t="str">
        <f>HYPERLINK("http://www.uniprot.org/uniprot/Q16769", "Q16769")</f>
        <v>Q16769</v>
      </c>
      <c r="DM1327" t="s">
        <v>34923</v>
      </c>
      <c r="DN1327" t="s">
        <v>13772</v>
      </c>
      <c r="DO1327" t="s">
        <v>14321</v>
      </c>
      <c r="DP1327" t="s">
        <v>13780</v>
      </c>
      <c r="DQ1327" t="s">
        <v>13772</v>
      </c>
      <c r="DR1327" t="s">
        <v>13772</v>
      </c>
      <c r="DS1327" t="s">
        <v>13808</v>
      </c>
      <c r="DT1327" t="s">
        <v>13856</v>
      </c>
      <c r="DU1327" t="s">
        <v>15096</v>
      </c>
      <c r="DV1327" t="s">
        <v>13796</v>
      </c>
      <c r="DW1327" t="s">
        <v>13812</v>
      </c>
      <c r="DX1327" t="s">
        <v>34924</v>
      </c>
      <c r="DY1327" t="s">
        <v>34925</v>
      </c>
      <c r="DZ1327" t="s">
        <v>34926</v>
      </c>
      <c r="EA1327" t="s">
        <v>13772</v>
      </c>
      <c r="EB1327" t="s">
        <v>13890</v>
      </c>
    </row>
    <row r="1328" spans="1:132" hidden="1">
      <c r="A1328">
        <v>2228</v>
      </c>
      <c r="B1328">
        <v>1</v>
      </c>
      <c r="C1328" t="s">
        <v>5209</v>
      </c>
      <c r="D1328" t="s">
        <v>73</v>
      </c>
      <c r="E1328" t="s">
        <v>73</v>
      </c>
      <c r="F1328" t="s">
        <v>73</v>
      </c>
      <c r="G1328" t="s">
        <v>73</v>
      </c>
      <c r="H1328">
        <v>19.100000000000001</v>
      </c>
      <c r="I1328">
        <v>597</v>
      </c>
      <c r="J1328">
        <v>64338</v>
      </c>
      <c r="K1328" t="s">
        <v>5210</v>
      </c>
      <c r="L1328">
        <f t="shared" si="82"/>
        <v>16</v>
      </c>
      <c r="N1328">
        <v>16</v>
      </c>
      <c r="O1328">
        <v>16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2</v>
      </c>
      <c r="Z1328">
        <v>0</v>
      </c>
      <c r="AA1328">
        <v>3</v>
      </c>
      <c r="AB1328">
        <v>0</v>
      </c>
      <c r="AC1328">
        <v>2</v>
      </c>
      <c r="AD1328">
        <v>0</v>
      </c>
      <c r="AE1328">
        <v>4</v>
      </c>
      <c r="AF1328">
        <v>4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2</v>
      </c>
      <c r="AS1328">
        <v>0</v>
      </c>
      <c r="AT1328">
        <v>3</v>
      </c>
      <c r="AU1328">
        <v>0</v>
      </c>
      <c r="AV1328">
        <v>2</v>
      </c>
      <c r="AW1328">
        <v>0</v>
      </c>
      <c r="AX1328">
        <v>4</v>
      </c>
      <c r="AY1328">
        <v>4</v>
      </c>
      <c r="AZ1328">
        <v>0</v>
      </c>
      <c r="BA1328">
        <v>0</v>
      </c>
      <c r="BB1328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0</v>
      </c>
      <c r="BI1328" s="2">
        <v>0</v>
      </c>
      <c r="BJ1328" s="2">
        <v>0</v>
      </c>
      <c r="BK1328" s="2">
        <v>2</v>
      </c>
      <c r="BL1328" s="2">
        <v>0</v>
      </c>
      <c r="BM1328" s="2">
        <v>3</v>
      </c>
      <c r="BN1328" s="2">
        <v>0</v>
      </c>
      <c r="BO1328" s="2">
        <v>2</v>
      </c>
      <c r="BP1328" s="2">
        <v>0</v>
      </c>
      <c r="BQ1328" s="2">
        <v>4</v>
      </c>
      <c r="BR1328" s="2">
        <v>4</v>
      </c>
      <c r="BS1328" s="2">
        <v>0</v>
      </c>
      <c r="BT1328" s="2">
        <v>0</v>
      </c>
      <c r="BU1328" s="2">
        <v>0</v>
      </c>
      <c r="BV1328" s="2">
        <f t="shared" si="85"/>
        <v>16</v>
      </c>
      <c r="BW1328" s="16">
        <f t="shared" si="83"/>
        <v>0.84210526315789469</v>
      </c>
      <c r="BX1328" s="16">
        <f>COUNTIF($BC$6:BU1328, "=0") / COUNTIF($BC$6:BU1328, "&gt;-1")</f>
        <v>0.34721724947288857</v>
      </c>
      <c r="BY1328" s="18">
        <f>SUM($BC$6:BU1328) / $BY$4</f>
        <v>0.96945064824533567</v>
      </c>
      <c r="BZ1328" s="14">
        <f t="shared" si="84"/>
        <v>13</v>
      </c>
      <c r="CA1328" t="s">
        <v>5832</v>
      </c>
      <c r="CZ1328" t="s">
        <v>13169</v>
      </c>
      <c r="DA1328" t="s">
        <v>5904</v>
      </c>
      <c r="DB1328">
        <v>1030</v>
      </c>
      <c r="DC1328" t="s">
        <v>35030</v>
      </c>
      <c r="DD1328" t="s">
        <v>13772</v>
      </c>
      <c r="DE1328" t="s">
        <v>35031</v>
      </c>
      <c r="DF1328" t="s">
        <v>35032</v>
      </c>
      <c r="DG1328" t="s">
        <v>35033</v>
      </c>
      <c r="DH1328" t="str">
        <f>"MYLK2"</f>
        <v>MYLK2</v>
      </c>
      <c r="DI1328" t="s">
        <v>13772</v>
      </c>
      <c r="DJ1328" t="s">
        <v>13777</v>
      </c>
      <c r="DK1328">
        <v>9606</v>
      </c>
      <c r="DL1328" s="34" t="str">
        <f>HYPERLINK("http://www.uniprot.org/uniprot/Q9H1R3", "Q9H1R3")</f>
        <v>Q9H1R3</v>
      </c>
      <c r="DM1328" t="s">
        <v>35034</v>
      </c>
      <c r="DN1328" t="s">
        <v>13772</v>
      </c>
      <c r="DO1328" t="s">
        <v>13899</v>
      </c>
      <c r="DP1328" t="s">
        <v>13793</v>
      </c>
      <c r="DQ1328" t="s">
        <v>13772</v>
      </c>
      <c r="DR1328" t="s">
        <v>14848</v>
      </c>
      <c r="DS1328" t="s">
        <v>13772</v>
      </c>
      <c r="DT1328" t="s">
        <v>14005</v>
      </c>
      <c r="DU1328" t="s">
        <v>23547</v>
      </c>
      <c r="DV1328" t="s">
        <v>13886</v>
      </c>
      <c r="DW1328" t="s">
        <v>13812</v>
      </c>
      <c r="DX1328" t="s">
        <v>35035</v>
      </c>
      <c r="DY1328" t="s">
        <v>35036</v>
      </c>
      <c r="DZ1328" t="s">
        <v>35037</v>
      </c>
      <c r="EA1328" t="s">
        <v>13772</v>
      </c>
      <c r="EB1328" t="s">
        <v>13772</v>
      </c>
    </row>
    <row r="1329" spans="1:132" hidden="1">
      <c r="A1329">
        <v>2232</v>
      </c>
      <c r="B1329">
        <v>1</v>
      </c>
      <c r="C1329" t="s">
        <v>5220</v>
      </c>
      <c r="D1329" t="s">
        <v>73</v>
      </c>
      <c r="E1329" t="s">
        <v>73</v>
      </c>
      <c r="F1329" t="s">
        <v>73</v>
      </c>
      <c r="G1329" t="s">
        <v>73</v>
      </c>
      <c r="H1329">
        <v>42.6</v>
      </c>
      <c r="I1329">
        <v>122</v>
      </c>
      <c r="J1329">
        <v>13159</v>
      </c>
      <c r="K1329" t="s">
        <v>5221</v>
      </c>
      <c r="L1329">
        <f t="shared" si="82"/>
        <v>16</v>
      </c>
      <c r="N1329">
        <v>16</v>
      </c>
      <c r="O1329">
        <v>16</v>
      </c>
      <c r="P1329">
        <v>1</v>
      </c>
      <c r="Q1329">
        <v>3</v>
      </c>
      <c r="R1329">
        <v>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</v>
      </c>
      <c r="AB1329">
        <v>3</v>
      </c>
      <c r="AC1329">
        <v>0</v>
      </c>
      <c r="AD1329">
        <v>0</v>
      </c>
      <c r="AE1329">
        <v>0</v>
      </c>
      <c r="AF1329">
        <v>3</v>
      </c>
      <c r="AG1329">
        <v>0</v>
      </c>
      <c r="AH1329">
        <v>0</v>
      </c>
      <c r="AI1329">
        <v>1</v>
      </c>
      <c r="AJ1329">
        <v>3</v>
      </c>
      <c r="AK1329">
        <v>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4</v>
      </c>
      <c r="AU1329">
        <v>3</v>
      </c>
      <c r="AV1329">
        <v>0</v>
      </c>
      <c r="AW1329">
        <v>0</v>
      </c>
      <c r="AX1329">
        <v>0</v>
      </c>
      <c r="AY1329">
        <v>3</v>
      </c>
      <c r="AZ1329">
        <v>0</v>
      </c>
      <c r="BA1329">
        <v>0</v>
      </c>
      <c r="BB1329">
        <v>1</v>
      </c>
      <c r="BC1329" s="2">
        <v>3</v>
      </c>
      <c r="BD1329" s="2">
        <v>2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4</v>
      </c>
      <c r="BN1329" s="2">
        <v>3</v>
      </c>
      <c r="BO1329" s="2">
        <v>0</v>
      </c>
      <c r="BP1329" s="2">
        <v>0</v>
      </c>
      <c r="BQ1329" s="2">
        <v>0</v>
      </c>
      <c r="BR1329" s="2">
        <v>3</v>
      </c>
      <c r="BS1329" s="2">
        <v>0</v>
      </c>
      <c r="BT1329" s="2">
        <v>0</v>
      </c>
      <c r="BU1329" s="2">
        <v>1</v>
      </c>
      <c r="BV1329" s="2">
        <f t="shared" si="85"/>
        <v>16</v>
      </c>
      <c r="BW1329" s="16">
        <f t="shared" si="83"/>
        <v>0.84210526315789469</v>
      </c>
      <c r="BX1329" s="16">
        <f>COUNTIF($BC$6:BU1329, "=0") / COUNTIF($BC$6:BU1329, "&gt;-1")</f>
        <v>0.34747177611702973</v>
      </c>
      <c r="BY1329" s="18">
        <f>SUM($BC$6:BU1329) / $BY$4</f>
        <v>0.96951918643523494</v>
      </c>
      <c r="BZ1329" s="14">
        <f t="shared" si="84"/>
        <v>13</v>
      </c>
      <c r="CA1329" t="s">
        <v>5832</v>
      </c>
      <c r="CZ1329" t="s">
        <v>13183</v>
      </c>
      <c r="DA1329" t="s">
        <v>5904</v>
      </c>
      <c r="DB1329">
        <v>160.19999999999999</v>
      </c>
      <c r="DC1329" t="s">
        <v>35071</v>
      </c>
      <c r="DD1329" t="s">
        <v>35072</v>
      </c>
      <c r="DE1329" t="s">
        <v>35073</v>
      </c>
      <c r="DF1329" t="s">
        <v>35074</v>
      </c>
      <c r="DG1329" t="s">
        <v>35075</v>
      </c>
      <c r="DH1329" t="str">
        <f>"WFDC5"</f>
        <v>WFDC5</v>
      </c>
      <c r="DI1329" t="s">
        <v>35076</v>
      </c>
      <c r="DJ1329" t="s">
        <v>13777</v>
      </c>
      <c r="DK1329">
        <v>9606</v>
      </c>
      <c r="DL1329" s="34" t="str">
        <f>HYPERLINK("http://www.uniprot.org/uniprot/Q8TCV5", "Q8TCV5")</f>
        <v>Q8TCV5</v>
      </c>
      <c r="DM1329" t="s">
        <v>35077</v>
      </c>
      <c r="DN1329" t="s">
        <v>13772</v>
      </c>
      <c r="DO1329" t="s">
        <v>14321</v>
      </c>
      <c r="DP1329" t="s">
        <v>13780</v>
      </c>
      <c r="DQ1329" t="s">
        <v>13772</v>
      </c>
      <c r="DR1329" t="s">
        <v>13772</v>
      </c>
      <c r="DS1329" t="s">
        <v>14404</v>
      </c>
      <c r="DT1329" t="s">
        <v>13772</v>
      </c>
      <c r="DU1329" t="s">
        <v>14375</v>
      </c>
      <c r="DV1329" t="s">
        <v>14506</v>
      </c>
      <c r="DW1329" t="s">
        <v>13772</v>
      </c>
      <c r="DX1329" t="s">
        <v>13772</v>
      </c>
      <c r="DY1329" t="s">
        <v>15346</v>
      </c>
      <c r="DZ1329" t="s">
        <v>16362</v>
      </c>
      <c r="EA1329" t="s">
        <v>13772</v>
      </c>
      <c r="EB1329" t="s">
        <v>13772</v>
      </c>
    </row>
    <row r="1330" spans="1:132" hidden="1">
      <c r="A1330">
        <v>2256</v>
      </c>
      <c r="B1330">
        <v>1</v>
      </c>
      <c r="C1330" t="s">
        <v>5272</v>
      </c>
      <c r="D1330" t="s">
        <v>5273</v>
      </c>
      <c r="E1330" t="s">
        <v>73</v>
      </c>
      <c r="F1330" t="s">
        <v>73</v>
      </c>
      <c r="G1330" t="s">
        <v>73</v>
      </c>
      <c r="H1330">
        <v>13.9</v>
      </c>
      <c r="I1330">
        <v>1458</v>
      </c>
      <c r="J1330">
        <v>162657</v>
      </c>
      <c r="K1330" t="s">
        <v>5274</v>
      </c>
      <c r="L1330">
        <f t="shared" si="82"/>
        <v>16</v>
      </c>
      <c r="N1330">
        <v>16</v>
      </c>
      <c r="O1330">
        <v>16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16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16</v>
      </c>
      <c r="BA1330">
        <v>0</v>
      </c>
      <c r="BB1330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16</v>
      </c>
      <c r="BT1330" s="2">
        <v>0</v>
      </c>
      <c r="BU1330" s="2">
        <v>0</v>
      </c>
      <c r="BV1330" s="2">
        <f t="shared" si="85"/>
        <v>16</v>
      </c>
      <c r="BW1330" s="16">
        <f t="shared" si="83"/>
        <v>0.84210526315789469</v>
      </c>
      <c r="BX1330" s="16">
        <f>COUNTIF($BC$6:BU1330, "=0") / COUNTIF($BC$6:BU1330, "&gt;-1")</f>
        <v>0.3479245283018868</v>
      </c>
      <c r="BY1330" s="18">
        <f>SUM($BC$6:BU1330) / $BY$4</f>
        <v>0.9695877246251341</v>
      </c>
      <c r="BZ1330" s="14">
        <f t="shared" si="84"/>
        <v>18</v>
      </c>
      <c r="CA1330" t="s">
        <v>5832</v>
      </c>
      <c r="CZ1330" t="s">
        <v>13265</v>
      </c>
      <c r="DA1330" t="s">
        <v>5904</v>
      </c>
      <c r="DB1330">
        <v>2315.4</v>
      </c>
      <c r="DC1330" t="s">
        <v>35313</v>
      </c>
      <c r="DD1330" t="s">
        <v>35314</v>
      </c>
      <c r="DE1330" t="s">
        <v>35315</v>
      </c>
      <c r="DF1330" t="s">
        <v>35316</v>
      </c>
      <c r="DG1330" t="s">
        <v>35317</v>
      </c>
      <c r="DH1330" t="str">
        <f>"PLB1"</f>
        <v>PLB1</v>
      </c>
      <c r="DI1330" t="s">
        <v>35318</v>
      </c>
      <c r="DJ1330" t="s">
        <v>13777</v>
      </c>
      <c r="DK1330">
        <v>9606</v>
      </c>
      <c r="DL1330" s="34" t="str">
        <f>HYPERLINK("http://www.uniprot.org/uniprot/Q6P1J6", "Q6P1J6")</f>
        <v>Q6P1J6</v>
      </c>
      <c r="DM1330" t="s">
        <v>35319</v>
      </c>
      <c r="DN1330" t="s">
        <v>17548</v>
      </c>
      <c r="DO1330" t="s">
        <v>13792</v>
      </c>
      <c r="DP1330" t="s">
        <v>13780</v>
      </c>
      <c r="DQ1330" t="s">
        <v>13772</v>
      </c>
      <c r="DR1330" t="s">
        <v>13772</v>
      </c>
      <c r="DS1330" t="s">
        <v>13826</v>
      </c>
      <c r="DT1330" t="s">
        <v>13772</v>
      </c>
      <c r="DU1330" t="s">
        <v>13857</v>
      </c>
      <c r="DV1330" t="s">
        <v>13858</v>
      </c>
      <c r="DW1330" t="s">
        <v>13772</v>
      </c>
      <c r="DX1330" t="s">
        <v>35320</v>
      </c>
      <c r="DY1330" t="s">
        <v>35321</v>
      </c>
      <c r="DZ1330" t="s">
        <v>35322</v>
      </c>
      <c r="EA1330" t="s">
        <v>13772</v>
      </c>
      <c r="EB1330" t="s">
        <v>35323</v>
      </c>
    </row>
    <row r="1331" spans="1:132" hidden="1">
      <c r="A1331">
        <v>2298</v>
      </c>
      <c r="B1331">
        <v>1</v>
      </c>
      <c r="C1331" t="s">
        <v>5367</v>
      </c>
      <c r="D1331" t="s">
        <v>73</v>
      </c>
      <c r="E1331" t="s">
        <v>73</v>
      </c>
      <c r="F1331" t="s">
        <v>73</v>
      </c>
      <c r="G1331" t="s">
        <v>73</v>
      </c>
      <c r="H1331">
        <v>2.2999999999999998</v>
      </c>
      <c r="I1331">
        <v>7102</v>
      </c>
      <c r="J1331">
        <v>768685</v>
      </c>
      <c r="K1331" t="s">
        <v>5368</v>
      </c>
      <c r="L1331">
        <f t="shared" si="82"/>
        <v>16</v>
      </c>
      <c r="N1331">
        <v>16</v>
      </c>
      <c r="O1331">
        <v>16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2</v>
      </c>
      <c r="V1331">
        <v>0</v>
      </c>
      <c r="W1331">
        <v>3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2</v>
      </c>
      <c r="AO1331">
        <v>0</v>
      </c>
      <c r="AP1331">
        <v>3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6</v>
      </c>
      <c r="AY1331">
        <v>2</v>
      </c>
      <c r="AZ1331">
        <v>0</v>
      </c>
      <c r="BA1331">
        <v>0</v>
      </c>
      <c r="BB1331">
        <v>0</v>
      </c>
      <c r="BC1331" s="2">
        <v>0</v>
      </c>
      <c r="BD1331" s="2">
        <v>0</v>
      </c>
      <c r="BE1331" s="2">
        <v>0</v>
      </c>
      <c r="BF1331" s="2">
        <v>1</v>
      </c>
      <c r="BG1331" s="2">
        <v>2</v>
      </c>
      <c r="BH1331" s="2">
        <v>0</v>
      </c>
      <c r="BI1331" s="2">
        <v>3</v>
      </c>
      <c r="BJ1331" s="2">
        <v>1</v>
      </c>
      <c r="BK1331" s="2">
        <v>0</v>
      </c>
      <c r="BL1331" s="2">
        <v>0</v>
      </c>
      <c r="BM1331" s="2">
        <v>1</v>
      </c>
      <c r="BN1331" s="2">
        <v>0</v>
      </c>
      <c r="BO1331" s="2">
        <v>0</v>
      </c>
      <c r="BP1331" s="2">
        <v>0</v>
      </c>
      <c r="BQ1331" s="2">
        <v>6</v>
      </c>
      <c r="BR1331" s="2">
        <v>2</v>
      </c>
      <c r="BS1331" s="2">
        <v>0</v>
      </c>
      <c r="BT1331" s="2">
        <v>0</v>
      </c>
      <c r="BU1331" s="2">
        <v>0</v>
      </c>
      <c r="BV1331" s="2">
        <f t="shared" si="85"/>
        <v>16</v>
      </c>
      <c r="BW1331" s="16">
        <f t="shared" si="83"/>
        <v>0.84210526315789469</v>
      </c>
      <c r="BX1331" s="16">
        <f>COUNTIF($BC$6:BU1331, "=0") / COUNTIF($BC$6:BU1331, "&gt;-1")</f>
        <v>0.34813844566166546</v>
      </c>
      <c r="BY1331" s="18">
        <f>SUM($BC$6:BU1331) / $BY$4</f>
        <v>0.96965626281503325</v>
      </c>
      <c r="BZ1331" s="14">
        <f t="shared" si="84"/>
        <v>12</v>
      </c>
      <c r="CA1331" t="s">
        <v>5832</v>
      </c>
      <c r="CZ1331" t="s">
        <v>13399</v>
      </c>
      <c r="DA1331" t="s">
        <v>6054</v>
      </c>
      <c r="DB1331">
        <v>3556.5</v>
      </c>
      <c r="DC1331" t="s">
        <v>35700</v>
      </c>
      <c r="DD1331" t="s">
        <v>35701</v>
      </c>
      <c r="DE1331" t="s">
        <v>35702</v>
      </c>
      <c r="DF1331" t="s">
        <v>35703</v>
      </c>
      <c r="DG1331" t="s">
        <v>35704</v>
      </c>
      <c r="DH1331" t="str">
        <f>"OBSCN"</f>
        <v>OBSCN</v>
      </c>
      <c r="DI1331" t="s">
        <v>35705</v>
      </c>
      <c r="DJ1331" t="s">
        <v>13777</v>
      </c>
      <c r="DK1331">
        <v>9606</v>
      </c>
      <c r="DL1331" s="34" t="str">
        <f>HYPERLINK("http://www.uniprot.org/uniprot/Q5VST9", "Q5VST9")</f>
        <v>Q5VST9</v>
      </c>
      <c r="DM1331" t="s">
        <v>35706</v>
      </c>
      <c r="DN1331" t="s">
        <v>15591</v>
      </c>
      <c r="DO1331" t="s">
        <v>14968</v>
      </c>
      <c r="DP1331" t="s">
        <v>20333</v>
      </c>
      <c r="DQ1331" t="s">
        <v>13772</v>
      </c>
      <c r="DR1331" t="s">
        <v>13772</v>
      </c>
      <c r="DS1331" t="s">
        <v>35707</v>
      </c>
      <c r="DT1331" t="s">
        <v>35708</v>
      </c>
      <c r="DU1331" t="s">
        <v>35709</v>
      </c>
      <c r="DV1331" t="s">
        <v>15554</v>
      </c>
      <c r="DW1331" t="s">
        <v>13812</v>
      </c>
      <c r="DX1331" t="s">
        <v>35710</v>
      </c>
      <c r="DY1331" t="s">
        <v>35711</v>
      </c>
      <c r="DZ1331" t="s">
        <v>35712</v>
      </c>
      <c r="EA1331" t="s">
        <v>13772</v>
      </c>
      <c r="EB1331" t="s">
        <v>35713</v>
      </c>
    </row>
    <row r="1332" spans="1:132" hidden="1">
      <c r="A1332">
        <v>2369</v>
      </c>
      <c r="B1332">
        <v>1</v>
      </c>
      <c r="C1332" t="s">
        <v>5521</v>
      </c>
      <c r="D1332" t="s">
        <v>73</v>
      </c>
      <c r="E1332" t="s">
        <v>73</v>
      </c>
      <c r="F1332" t="s">
        <v>73</v>
      </c>
      <c r="G1332" t="s">
        <v>73</v>
      </c>
      <c r="H1332">
        <v>28.9</v>
      </c>
      <c r="I1332">
        <v>425</v>
      </c>
      <c r="J1332">
        <v>46848</v>
      </c>
      <c r="K1332" t="s">
        <v>5522</v>
      </c>
      <c r="L1332">
        <f t="shared" si="82"/>
        <v>16</v>
      </c>
      <c r="N1332">
        <v>16</v>
      </c>
      <c r="O1332">
        <v>16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10</v>
      </c>
      <c r="Y1332">
        <v>1</v>
      </c>
      <c r="Z1332">
        <v>0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10</v>
      </c>
      <c r="AR1332">
        <v>1</v>
      </c>
      <c r="AS1332">
        <v>0</v>
      </c>
      <c r="AT1332">
        <v>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 s="2">
        <v>0</v>
      </c>
      <c r="BD1332" s="2">
        <v>1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10</v>
      </c>
      <c r="BK1332" s="2">
        <v>1</v>
      </c>
      <c r="BL1332" s="2">
        <v>0</v>
      </c>
      <c r="BM1332" s="2">
        <v>2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f t="shared" si="85"/>
        <v>16</v>
      </c>
      <c r="BW1332" s="16">
        <f t="shared" si="83"/>
        <v>0.84210526315789469</v>
      </c>
      <c r="BX1332" s="16">
        <f>COUNTIF($BC$6:BU1332, "=0") / COUNTIF($BC$6:BU1332, "&gt;-1")</f>
        <v>0.34839170269305519</v>
      </c>
      <c r="BY1332" s="18">
        <f>SUM($BC$6:BU1332) / $BY$4</f>
        <v>0.96972480100493252</v>
      </c>
      <c r="BZ1332" s="14">
        <f t="shared" si="84"/>
        <v>13</v>
      </c>
      <c r="CA1332" t="s">
        <v>5832</v>
      </c>
      <c r="CZ1332" t="s">
        <v>13627</v>
      </c>
      <c r="DA1332" t="s">
        <v>5904</v>
      </c>
      <c r="DB1332">
        <v>731.5</v>
      </c>
      <c r="DC1332" t="s">
        <v>36324</v>
      </c>
      <c r="DD1332" t="s">
        <v>13772</v>
      </c>
      <c r="DE1332" t="s">
        <v>36325</v>
      </c>
      <c r="DF1332" t="s">
        <v>36326</v>
      </c>
      <c r="DG1332" t="s">
        <v>36327</v>
      </c>
      <c r="DH1332" t="str">
        <f>"SCRN2"</f>
        <v>SCRN2</v>
      </c>
      <c r="DI1332" t="s">
        <v>13772</v>
      </c>
      <c r="DJ1332" t="s">
        <v>13777</v>
      </c>
      <c r="DK1332">
        <v>9606</v>
      </c>
      <c r="DL1332" s="34" t="str">
        <f>HYPERLINK("http://www.uniprot.org/uniprot/Q96FV2", "Q96FV2")</f>
        <v>Q96FV2</v>
      </c>
      <c r="DM1332" t="s">
        <v>31504</v>
      </c>
      <c r="DN1332" t="s">
        <v>13772</v>
      </c>
      <c r="DO1332" t="s">
        <v>13772</v>
      </c>
      <c r="DP1332" t="s">
        <v>13780</v>
      </c>
      <c r="DQ1332" t="s">
        <v>13772</v>
      </c>
      <c r="DR1332" t="s">
        <v>13772</v>
      </c>
      <c r="DS1332" t="s">
        <v>13772</v>
      </c>
      <c r="DT1332" t="s">
        <v>13772</v>
      </c>
      <c r="DU1332" t="s">
        <v>13772</v>
      </c>
      <c r="DV1332" t="s">
        <v>13782</v>
      </c>
      <c r="DW1332" t="s">
        <v>13772</v>
      </c>
      <c r="DX1332" t="s">
        <v>33509</v>
      </c>
      <c r="DY1332" t="s">
        <v>15835</v>
      </c>
      <c r="DZ1332" t="s">
        <v>36328</v>
      </c>
      <c r="EA1332" t="s">
        <v>13772</v>
      </c>
      <c r="EB1332" t="s">
        <v>13772</v>
      </c>
    </row>
    <row r="1333" spans="1:132" hidden="1">
      <c r="A1333">
        <v>2390</v>
      </c>
      <c r="B1333">
        <v>1</v>
      </c>
      <c r="C1333" t="s">
        <v>5568</v>
      </c>
      <c r="D1333" t="s">
        <v>5569</v>
      </c>
      <c r="E1333" t="s">
        <v>73</v>
      </c>
      <c r="F1333" t="s">
        <v>73</v>
      </c>
      <c r="G1333" t="s">
        <v>73</v>
      </c>
      <c r="H1333">
        <v>22.4</v>
      </c>
      <c r="I1333">
        <v>557</v>
      </c>
      <c r="J1333">
        <v>59717</v>
      </c>
      <c r="K1333" t="s">
        <v>5570</v>
      </c>
      <c r="L1333">
        <f t="shared" si="82"/>
        <v>16</v>
      </c>
      <c r="N1333">
        <v>16</v>
      </c>
      <c r="O1333">
        <v>16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3</v>
      </c>
      <c r="Z1333">
        <v>1</v>
      </c>
      <c r="AA1333">
        <v>6</v>
      </c>
      <c r="AB1333">
        <v>1</v>
      </c>
      <c r="AC1333">
        <v>2</v>
      </c>
      <c r="AD1333">
        <v>0</v>
      </c>
      <c r="AE1333">
        <v>0</v>
      </c>
      <c r="AF1333">
        <v>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3</v>
      </c>
      <c r="AS1333">
        <v>1</v>
      </c>
      <c r="AT1333">
        <v>6</v>
      </c>
      <c r="AU1333">
        <v>1</v>
      </c>
      <c r="AV1333">
        <v>2</v>
      </c>
      <c r="AW1333">
        <v>0</v>
      </c>
      <c r="AX1333">
        <v>0</v>
      </c>
      <c r="AY1333">
        <v>2</v>
      </c>
      <c r="AZ1333">
        <v>0</v>
      </c>
      <c r="BA1333">
        <v>0</v>
      </c>
      <c r="BB1333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1</v>
      </c>
      <c r="BK1333" s="2">
        <v>3</v>
      </c>
      <c r="BL1333" s="2">
        <v>1</v>
      </c>
      <c r="BM1333" s="2">
        <v>6</v>
      </c>
      <c r="BN1333" s="2">
        <v>1</v>
      </c>
      <c r="BO1333" s="2">
        <v>2</v>
      </c>
      <c r="BP1333" s="2">
        <v>0</v>
      </c>
      <c r="BQ1333" s="2">
        <v>0</v>
      </c>
      <c r="BR1333" s="2">
        <v>2</v>
      </c>
      <c r="BS1333" s="2">
        <v>0</v>
      </c>
      <c r="BT1333" s="2">
        <v>0</v>
      </c>
      <c r="BU1333" s="2">
        <v>0</v>
      </c>
      <c r="BV1333" s="2">
        <f t="shared" si="85"/>
        <v>16</v>
      </c>
      <c r="BW1333" s="16">
        <f t="shared" si="83"/>
        <v>0.84210526315789469</v>
      </c>
      <c r="BX1333" s="16">
        <f>COUNTIF($BC$6:BU1333, "=0") / COUNTIF($BC$6:BU1333, "&gt;-1")</f>
        <v>0.34860494610019022</v>
      </c>
      <c r="BY1333" s="18">
        <f>SUM($BC$6:BU1333) / $BY$4</f>
        <v>0.96979333919483168</v>
      </c>
      <c r="BZ1333" s="14">
        <f t="shared" si="84"/>
        <v>12</v>
      </c>
      <c r="CA1333" t="s">
        <v>5832</v>
      </c>
      <c r="CZ1333" t="s">
        <v>13680</v>
      </c>
      <c r="DA1333" t="s">
        <v>5904</v>
      </c>
      <c r="DB1333">
        <v>1118.5999999999999</v>
      </c>
      <c r="DC1333" t="s">
        <v>36467</v>
      </c>
      <c r="DD1333" t="s">
        <v>36468</v>
      </c>
      <c r="DE1333" t="s">
        <v>36469</v>
      </c>
      <c r="DF1333" t="s">
        <v>36470</v>
      </c>
      <c r="DG1333" t="s">
        <v>36471</v>
      </c>
      <c r="DH1333" t="str">
        <f>"PUF60"</f>
        <v>PUF60</v>
      </c>
      <c r="DI1333" t="s">
        <v>36472</v>
      </c>
      <c r="DJ1333" t="s">
        <v>13777</v>
      </c>
      <c r="DK1333">
        <v>9606</v>
      </c>
      <c r="DL1333" s="34" t="str">
        <f>HYPERLINK("http://www.uniprot.org/uniprot/Q9UHX1", "Q9UHX1")</f>
        <v>Q9UHX1</v>
      </c>
      <c r="DM1333" t="s">
        <v>36473</v>
      </c>
      <c r="DN1333" t="s">
        <v>36474</v>
      </c>
      <c r="DO1333" t="s">
        <v>14825</v>
      </c>
      <c r="DP1333" t="s">
        <v>13841</v>
      </c>
      <c r="DQ1333" t="s">
        <v>13772</v>
      </c>
      <c r="DR1333" t="s">
        <v>13807</v>
      </c>
      <c r="DS1333" t="s">
        <v>14096</v>
      </c>
      <c r="DT1333" t="s">
        <v>13772</v>
      </c>
      <c r="DU1333" t="s">
        <v>36475</v>
      </c>
      <c r="DV1333" t="s">
        <v>13991</v>
      </c>
      <c r="DW1333" t="s">
        <v>13812</v>
      </c>
      <c r="DX1333" t="s">
        <v>36476</v>
      </c>
      <c r="DY1333" t="s">
        <v>36477</v>
      </c>
      <c r="DZ1333" t="s">
        <v>36478</v>
      </c>
      <c r="EA1333" t="s">
        <v>13772</v>
      </c>
      <c r="EB1333" t="s">
        <v>15157</v>
      </c>
    </row>
    <row r="1334" spans="1:132" hidden="1">
      <c r="A1334">
        <v>2405</v>
      </c>
      <c r="B1334">
        <v>1</v>
      </c>
      <c r="C1334" t="s">
        <v>5603</v>
      </c>
      <c r="D1334" t="s">
        <v>73</v>
      </c>
      <c r="E1334" t="s">
        <v>73</v>
      </c>
      <c r="F1334" t="s">
        <v>73</v>
      </c>
      <c r="G1334" t="s">
        <v>73</v>
      </c>
      <c r="H1334">
        <v>13.6</v>
      </c>
      <c r="I1334">
        <v>744</v>
      </c>
      <c r="J1334">
        <v>82791</v>
      </c>
      <c r="K1334" t="s">
        <v>5604</v>
      </c>
      <c r="L1334">
        <f t="shared" si="82"/>
        <v>16</v>
      </c>
      <c r="N1334">
        <v>16</v>
      </c>
      <c r="O1334">
        <v>16</v>
      </c>
      <c r="P1334">
        <v>1</v>
      </c>
      <c r="Q1334">
        <v>0</v>
      </c>
      <c r="R1334">
        <v>0</v>
      </c>
      <c r="S1334">
        <v>0</v>
      </c>
      <c r="T1334">
        <v>5</v>
      </c>
      <c r="U1334">
        <v>6</v>
      </c>
      <c r="V1334">
        <v>4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5</v>
      </c>
      <c r="AN1334">
        <v>6</v>
      </c>
      <c r="AO1334">
        <v>4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 s="2">
        <v>0</v>
      </c>
      <c r="BD1334" s="2">
        <v>0</v>
      </c>
      <c r="BE1334" s="2">
        <v>0</v>
      </c>
      <c r="BF1334" s="2">
        <v>5</v>
      </c>
      <c r="BG1334" s="2">
        <v>6</v>
      </c>
      <c r="BH1334" s="2">
        <v>4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f t="shared" si="85"/>
        <v>16</v>
      </c>
      <c r="BW1334" s="16">
        <f t="shared" si="83"/>
        <v>0.84210526315789469</v>
      </c>
      <c r="BX1334" s="16">
        <f>COUNTIF($BC$6:BU1334, "=0") / COUNTIF($BC$6:BU1334, "&gt;-1")</f>
        <v>0.34893667577521681</v>
      </c>
      <c r="BY1334" s="18">
        <f>SUM($BC$6:BU1334) / $BY$4</f>
        <v>0.96986187738473095</v>
      </c>
      <c r="BZ1334" s="14">
        <f t="shared" si="84"/>
        <v>15</v>
      </c>
      <c r="CA1334" t="s">
        <v>5832</v>
      </c>
      <c r="CZ1334" t="s">
        <v>13730</v>
      </c>
      <c r="DA1334" t="s">
        <v>5904</v>
      </c>
      <c r="DB1334">
        <v>1255.7</v>
      </c>
      <c r="DC1334" t="s">
        <v>36618</v>
      </c>
      <c r="DD1334" t="s">
        <v>36619</v>
      </c>
      <c r="DE1334" t="s">
        <v>36620</v>
      </c>
      <c r="DF1334" t="s">
        <v>36621</v>
      </c>
      <c r="DG1334" t="s">
        <v>13772</v>
      </c>
      <c r="DH1334" t="str">
        <f>"NAGLU"</f>
        <v>NAGLU</v>
      </c>
      <c r="DI1334" t="s">
        <v>36622</v>
      </c>
      <c r="DJ1334" t="s">
        <v>13777</v>
      </c>
      <c r="DK1334">
        <v>9606</v>
      </c>
      <c r="DL1334" s="34" t="str">
        <f>HYPERLINK("http://www.uniprot.org/uniprot/P54802", "P54802")</f>
        <v>P54802</v>
      </c>
      <c r="DM1334" t="s">
        <v>36623</v>
      </c>
      <c r="DN1334" t="s">
        <v>13772</v>
      </c>
      <c r="DO1334" t="s">
        <v>13806</v>
      </c>
      <c r="DP1334" t="s">
        <v>13793</v>
      </c>
      <c r="DQ1334" t="s">
        <v>13772</v>
      </c>
      <c r="DR1334" t="s">
        <v>36624</v>
      </c>
      <c r="DS1334" t="s">
        <v>13808</v>
      </c>
      <c r="DT1334" t="s">
        <v>13772</v>
      </c>
      <c r="DU1334" t="s">
        <v>15471</v>
      </c>
      <c r="DV1334" t="s">
        <v>13858</v>
      </c>
      <c r="DW1334" t="s">
        <v>13812</v>
      </c>
      <c r="DX1334" t="s">
        <v>36625</v>
      </c>
      <c r="DY1334" t="s">
        <v>36536</v>
      </c>
      <c r="DZ1334" t="s">
        <v>36626</v>
      </c>
      <c r="EA1334" t="s">
        <v>13772</v>
      </c>
      <c r="EB1334" t="s">
        <v>36627</v>
      </c>
    </row>
    <row r="1335" spans="1:132" hidden="1">
      <c r="A1335">
        <v>1604</v>
      </c>
      <c r="B1335">
        <v>1</v>
      </c>
      <c r="C1335" t="s">
        <v>3801</v>
      </c>
      <c r="D1335" t="s">
        <v>3802</v>
      </c>
      <c r="E1335" t="s">
        <v>73</v>
      </c>
      <c r="F1335" t="s">
        <v>2323</v>
      </c>
      <c r="G1335" t="s">
        <v>73</v>
      </c>
      <c r="H1335">
        <v>26.3</v>
      </c>
      <c r="I1335">
        <v>472</v>
      </c>
      <c r="J1335">
        <v>51202</v>
      </c>
      <c r="K1335" t="s">
        <v>3803</v>
      </c>
      <c r="L1335">
        <f t="shared" si="82"/>
        <v>31</v>
      </c>
      <c r="N1335">
        <v>31</v>
      </c>
      <c r="O1335">
        <v>3</v>
      </c>
      <c r="P1335">
        <v>9.7000000000000003E-2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6</v>
      </c>
      <c r="Z1335">
        <v>0</v>
      </c>
      <c r="AA1335">
        <v>8</v>
      </c>
      <c r="AB1335">
        <v>5</v>
      </c>
      <c r="AC1335">
        <v>2</v>
      </c>
      <c r="AD1335">
        <v>0</v>
      </c>
      <c r="AE1335">
        <v>3</v>
      </c>
      <c r="AF1335">
        <v>4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 s="2">
        <v>0</v>
      </c>
      <c r="BD1335" s="2">
        <v>0.33300000000000002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4.5</v>
      </c>
      <c r="BL1335" s="2">
        <v>0</v>
      </c>
      <c r="BM1335" s="2">
        <v>6.4</v>
      </c>
      <c r="BN1335" s="2">
        <v>2.75</v>
      </c>
      <c r="BO1335" s="2">
        <v>0</v>
      </c>
      <c r="BP1335" s="2">
        <v>0</v>
      </c>
      <c r="BQ1335" s="2">
        <v>1</v>
      </c>
      <c r="BR1335" s="2">
        <v>0.5</v>
      </c>
      <c r="BS1335" s="2">
        <v>0.5</v>
      </c>
      <c r="BT1335" s="2">
        <v>0</v>
      </c>
      <c r="BU1335" s="2">
        <v>0</v>
      </c>
      <c r="BV1335" s="2">
        <f t="shared" si="85"/>
        <v>15.983000000000001</v>
      </c>
      <c r="BW1335" s="16">
        <f t="shared" si="83"/>
        <v>0.84121052631578952</v>
      </c>
      <c r="BX1335" s="16">
        <f>COUNTIF($BC$6:BU1335, "=0") / COUNTIF($BC$6:BU1335, "&gt;-1")</f>
        <v>0.34914918876137713</v>
      </c>
      <c r="BY1335" s="18">
        <f>SUM($BC$6:BU1335) / $BY$4</f>
        <v>0.96993034275280343</v>
      </c>
      <c r="BZ1335" s="14">
        <f t="shared" si="84"/>
        <v>12</v>
      </c>
      <c r="CA1335" t="s">
        <v>5832</v>
      </c>
      <c r="CZ1335" t="s">
        <v>11089</v>
      </c>
      <c r="DA1335" t="s">
        <v>5904</v>
      </c>
      <c r="DB1335">
        <v>897.5</v>
      </c>
      <c r="DC1335" t="s">
        <v>29178</v>
      </c>
      <c r="DD1335" t="s">
        <v>13772</v>
      </c>
      <c r="DE1335" t="s">
        <v>29179</v>
      </c>
      <c r="DF1335" t="s">
        <v>29180</v>
      </c>
      <c r="DG1335" t="s">
        <v>29181</v>
      </c>
      <c r="DH1335" t="str">
        <f>"HNRNPH1"</f>
        <v>HNRNPH1</v>
      </c>
      <c r="DI1335" t="s">
        <v>29182</v>
      </c>
      <c r="DJ1335" t="s">
        <v>13777</v>
      </c>
      <c r="DK1335">
        <v>9606</v>
      </c>
      <c r="DL1335" s="34" t="str">
        <f>HYPERLINK("http://www.uniprot.org/uniprot/P31943", "P31943")</f>
        <v>P31943</v>
      </c>
      <c r="DM1335" t="s">
        <v>29183</v>
      </c>
      <c r="DN1335" t="s">
        <v>15152</v>
      </c>
      <c r="DO1335" t="s">
        <v>16088</v>
      </c>
      <c r="DP1335" t="s">
        <v>13772</v>
      </c>
      <c r="DQ1335" t="s">
        <v>13772</v>
      </c>
      <c r="DR1335" t="s">
        <v>13772</v>
      </c>
      <c r="DS1335" t="s">
        <v>14096</v>
      </c>
      <c r="DT1335" t="s">
        <v>13772</v>
      </c>
      <c r="DU1335" t="s">
        <v>16089</v>
      </c>
      <c r="DV1335" t="s">
        <v>14663</v>
      </c>
      <c r="DW1335" t="s">
        <v>13812</v>
      </c>
      <c r="DX1335" t="s">
        <v>29184</v>
      </c>
      <c r="DY1335" t="s">
        <v>29185</v>
      </c>
      <c r="DZ1335" t="s">
        <v>29186</v>
      </c>
      <c r="EA1335" t="s">
        <v>13772</v>
      </c>
      <c r="EB1335" t="s">
        <v>20948</v>
      </c>
    </row>
    <row r="1336" spans="1:132" hidden="1">
      <c r="A1336">
        <v>620</v>
      </c>
      <c r="B1336">
        <v>1</v>
      </c>
      <c r="C1336" t="s">
        <v>1535</v>
      </c>
      <c r="D1336" t="s">
        <v>73</v>
      </c>
      <c r="E1336" t="s">
        <v>73</v>
      </c>
      <c r="F1336" t="s">
        <v>474</v>
      </c>
      <c r="G1336" t="s">
        <v>73</v>
      </c>
      <c r="H1336">
        <v>52.7</v>
      </c>
      <c r="I1336">
        <v>201</v>
      </c>
      <c r="J1336">
        <v>22171</v>
      </c>
      <c r="K1336" t="s">
        <v>1536</v>
      </c>
      <c r="L1336">
        <f t="shared" si="82"/>
        <v>40</v>
      </c>
      <c r="N1336">
        <v>40</v>
      </c>
      <c r="O1336">
        <v>7</v>
      </c>
      <c r="P1336">
        <v>0.17499999999999999</v>
      </c>
      <c r="Q1336">
        <v>1</v>
      </c>
      <c r="R1336">
        <v>2</v>
      </c>
      <c r="S1336">
        <v>1</v>
      </c>
      <c r="T1336">
        <v>2</v>
      </c>
      <c r="U1336">
        <v>3</v>
      </c>
      <c r="V1336">
        <v>6</v>
      </c>
      <c r="W1336">
        <v>4</v>
      </c>
      <c r="X1336">
        <v>1</v>
      </c>
      <c r="Y1336">
        <v>2</v>
      </c>
      <c r="Z1336">
        <v>0</v>
      </c>
      <c r="AA1336">
        <v>6</v>
      </c>
      <c r="AB1336">
        <v>5</v>
      </c>
      <c r="AC1336">
        <v>3</v>
      </c>
      <c r="AD1336">
        <v>0</v>
      </c>
      <c r="AE1336">
        <v>1</v>
      </c>
      <c r="AF1336">
        <v>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2</v>
      </c>
      <c r="AU1336">
        <v>2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4</v>
      </c>
      <c r="BJ1336" s="2">
        <v>0</v>
      </c>
      <c r="BK1336" s="2">
        <v>1.333</v>
      </c>
      <c r="BL1336" s="2">
        <v>0</v>
      </c>
      <c r="BM1336" s="2">
        <v>4.6669999999999998</v>
      </c>
      <c r="BN1336" s="2">
        <v>3.4</v>
      </c>
      <c r="BO1336" s="2">
        <v>2</v>
      </c>
      <c r="BP1336" s="2">
        <v>0</v>
      </c>
      <c r="BQ1336" s="2">
        <v>0.16700000000000001</v>
      </c>
      <c r="BR1336" s="2">
        <v>0</v>
      </c>
      <c r="BS1336" s="2">
        <v>0</v>
      </c>
      <c r="BT1336" s="2">
        <v>0</v>
      </c>
      <c r="BU1336" s="2">
        <v>0</v>
      </c>
      <c r="BV1336" s="2">
        <f t="shared" si="85"/>
        <v>15.567</v>
      </c>
      <c r="BW1336" s="16">
        <f t="shared" si="83"/>
        <v>0.81931578947368422</v>
      </c>
      <c r="BX1336" s="16">
        <f>COUNTIF($BC$6:BU1336, "=0") / COUNTIF($BC$6:BU1336, "&gt;-1")</f>
        <v>0.34940092530349165</v>
      </c>
      <c r="BY1336" s="18">
        <f>SUM($BC$6:BU1336) / $BY$4</f>
        <v>0.96999702612793837</v>
      </c>
      <c r="BZ1336" s="14">
        <f t="shared" si="84"/>
        <v>13</v>
      </c>
      <c r="CA1336" t="s">
        <v>5832</v>
      </c>
      <c r="CZ1336" t="s">
        <v>7840</v>
      </c>
      <c r="DA1336" t="s">
        <v>5904</v>
      </c>
      <c r="DB1336">
        <v>417.2</v>
      </c>
      <c r="DC1336" t="s">
        <v>19923</v>
      </c>
      <c r="DD1336" t="s">
        <v>13772</v>
      </c>
      <c r="DE1336" t="s">
        <v>19924</v>
      </c>
      <c r="DF1336" t="s">
        <v>19925</v>
      </c>
      <c r="DG1336" t="s">
        <v>19926</v>
      </c>
      <c r="DH1336" t="str">
        <f>"RAB1B"</f>
        <v>RAB1B</v>
      </c>
      <c r="DI1336" t="s">
        <v>13772</v>
      </c>
      <c r="DJ1336" t="s">
        <v>13777</v>
      </c>
      <c r="DK1336">
        <v>9606</v>
      </c>
      <c r="DL1336" s="34" t="str">
        <f>HYPERLINK("http://www.uniprot.org/uniprot/Q9H0U4", "Q9H0U4")</f>
        <v>Q9H0U4</v>
      </c>
      <c r="DM1336" t="s">
        <v>19927</v>
      </c>
      <c r="DN1336" t="s">
        <v>19928</v>
      </c>
      <c r="DO1336" t="s">
        <v>15896</v>
      </c>
      <c r="DP1336" t="s">
        <v>13772</v>
      </c>
      <c r="DQ1336" t="s">
        <v>13772</v>
      </c>
      <c r="DR1336" t="s">
        <v>13772</v>
      </c>
      <c r="DS1336" t="s">
        <v>13772</v>
      </c>
      <c r="DT1336" t="s">
        <v>14216</v>
      </c>
      <c r="DU1336" t="s">
        <v>13772</v>
      </c>
      <c r="DV1336" t="s">
        <v>19929</v>
      </c>
      <c r="DW1336" t="s">
        <v>13812</v>
      </c>
      <c r="DX1336" t="s">
        <v>19930</v>
      </c>
      <c r="DY1336" t="s">
        <v>19931</v>
      </c>
      <c r="DZ1336" t="s">
        <v>19932</v>
      </c>
      <c r="EA1336" t="s">
        <v>13772</v>
      </c>
      <c r="EB1336" t="s">
        <v>19933</v>
      </c>
    </row>
    <row r="1337" spans="1:132" hidden="1">
      <c r="A1337">
        <v>835</v>
      </c>
      <c r="B1337">
        <v>1</v>
      </c>
      <c r="C1337" t="s">
        <v>2044</v>
      </c>
      <c r="D1337" t="s">
        <v>2045</v>
      </c>
      <c r="E1337" t="s">
        <v>73</v>
      </c>
      <c r="F1337" t="s">
        <v>2046</v>
      </c>
      <c r="G1337" t="s">
        <v>73</v>
      </c>
      <c r="H1337">
        <v>16.5</v>
      </c>
      <c r="I1337">
        <v>798</v>
      </c>
      <c r="J1337">
        <v>86720</v>
      </c>
      <c r="K1337" t="s">
        <v>2047</v>
      </c>
      <c r="L1337">
        <f t="shared" si="82"/>
        <v>18</v>
      </c>
      <c r="N1337">
        <v>18</v>
      </c>
      <c r="O1337">
        <v>9</v>
      </c>
      <c r="P1337">
        <v>0.5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3</v>
      </c>
      <c r="Z1337">
        <v>0</v>
      </c>
      <c r="AA1337">
        <v>7</v>
      </c>
      <c r="AB1337">
        <v>3</v>
      </c>
      <c r="AC1337">
        <v>1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</v>
      </c>
      <c r="AS1337">
        <v>0</v>
      </c>
      <c r="AT1337">
        <v>4</v>
      </c>
      <c r="AU1337">
        <v>2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0.5</v>
      </c>
      <c r="BI1337" s="2">
        <v>0.5</v>
      </c>
      <c r="BJ1337" s="2">
        <v>0</v>
      </c>
      <c r="BK1337" s="2">
        <v>3</v>
      </c>
      <c r="BL1337" s="2">
        <v>0</v>
      </c>
      <c r="BM1337" s="2">
        <v>6</v>
      </c>
      <c r="BN1337" s="2">
        <v>3</v>
      </c>
      <c r="BO1337" s="2">
        <v>0.5</v>
      </c>
      <c r="BP1337" s="2">
        <v>0</v>
      </c>
      <c r="BQ1337" s="2">
        <v>2</v>
      </c>
      <c r="BR1337" s="2">
        <v>0</v>
      </c>
      <c r="BS1337" s="2">
        <v>0</v>
      </c>
      <c r="BT1337" s="2">
        <v>0</v>
      </c>
      <c r="BU1337" s="2">
        <v>0</v>
      </c>
      <c r="BV1337" s="2">
        <f t="shared" si="85"/>
        <v>15.5</v>
      </c>
      <c r="BW1337" s="16">
        <f t="shared" si="83"/>
        <v>0.81578947368421051</v>
      </c>
      <c r="BX1337" s="16">
        <f>COUNTIF($BC$6:BU1337, "=0") / COUNTIF($BC$6:BU1337, "&gt;-1")</f>
        <v>0.34961277066540225</v>
      </c>
      <c r="BY1337" s="18">
        <f>SUM($BC$6:BU1337) / $BY$4</f>
        <v>0.97006342249940325</v>
      </c>
      <c r="BZ1337" s="14">
        <f t="shared" si="84"/>
        <v>12</v>
      </c>
      <c r="CA1337" t="s">
        <v>5832</v>
      </c>
      <c r="CZ1337" t="s">
        <v>8559</v>
      </c>
      <c r="DA1337" t="s">
        <v>5904</v>
      </c>
      <c r="DB1337">
        <v>1513.4</v>
      </c>
      <c r="DC1337" t="s">
        <v>22025</v>
      </c>
      <c r="DD1337" t="s">
        <v>22026</v>
      </c>
      <c r="DE1337" t="s">
        <v>22027</v>
      </c>
      <c r="DF1337" t="s">
        <v>22028</v>
      </c>
      <c r="DG1337" t="s">
        <v>22029</v>
      </c>
      <c r="DH1337" t="str">
        <f>"PFKL"</f>
        <v>PFKL</v>
      </c>
      <c r="DI1337" t="s">
        <v>13772</v>
      </c>
      <c r="DJ1337" t="s">
        <v>13777</v>
      </c>
      <c r="DK1337">
        <v>9606</v>
      </c>
      <c r="DL1337" s="34" t="str">
        <f>HYPERLINK("http://www.uniprot.org/uniprot/P17858", "P17858")</f>
        <v>P17858</v>
      </c>
      <c r="DM1337" t="s">
        <v>22030</v>
      </c>
      <c r="DN1337" t="s">
        <v>15772</v>
      </c>
      <c r="DO1337" t="s">
        <v>13899</v>
      </c>
      <c r="DP1337" t="s">
        <v>13780</v>
      </c>
      <c r="DQ1337" t="s">
        <v>13772</v>
      </c>
      <c r="DR1337" t="s">
        <v>13772</v>
      </c>
      <c r="DS1337" t="s">
        <v>13772</v>
      </c>
      <c r="DT1337" t="s">
        <v>17602</v>
      </c>
      <c r="DU1337" t="s">
        <v>15774</v>
      </c>
      <c r="DV1337" t="s">
        <v>14182</v>
      </c>
      <c r="DW1337" t="s">
        <v>13772</v>
      </c>
      <c r="DX1337" t="s">
        <v>22031</v>
      </c>
      <c r="DY1337" t="s">
        <v>22032</v>
      </c>
      <c r="DZ1337" t="s">
        <v>22033</v>
      </c>
      <c r="EA1337" t="s">
        <v>22034</v>
      </c>
      <c r="EB1337" t="s">
        <v>15780</v>
      </c>
    </row>
    <row r="1338" spans="1:132" hidden="1">
      <c r="A1338">
        <v>1952</v>
      </c>
      <c r="B1338">
        <v>1</v>
      </c>
      <c r="C1338" t="s">
        <v>4604</v>
      </c>
      <c r="D1338" t="s">
        <v>4605</v>
      </c>
      <c r="E1338" t="s">
        <v>73</v>
      </c>
      <c r="F1338" t="s">
        <v>4606</v>
      </c>
      <c r="G1338" t="s">
        <v>73</v>
      </c>
      <c r="H1338">
        <v>55.4</v>
      </c>
      <c r="I1338">
        <v>157</v>
      </c>
      <c r="J1338">
        <v>17058</v>
      </c>
      <c r="K1338" t="s">
        <v>4607</v>
      </c>
      <c r="L1338">
        <f t="shared" si="82"/>
        <v>26</v>
      </c>
      <c r="N1338">
        <v>26</v>
      </c>
      <c r="O1338">
        <v>6</v>
      </c>
      <c r="P1338">
        <v>0.23100000000000001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3</v>
      </c>
      <c r="Z1338">
        <v>0</v>
      </c>
      <c r="AA1338">
        <v>8</v>
      </c>
      <c r="AB1338">
        <v>1</v>
      </c>
      <c r="AC1338">
        <v>4</v>
      </c>
      <c r="AD1338">
        <v>1</v>
      </c>
      <c r="AE1338">
        <v>4</v>
      </c>
      <c r="AF1338">
        <v>4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</v>
      </c>
      <c r="AU1338">
        <v>0</v>
      </c>
      <c r="AV1338">
        <v>2</v>
      </c>
      <c r="AW1338">
        <v>0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6</v>
      </c>
      <c r="BN1338" s="2">
        <v>0</v>
      </c>
      <c r="BO1338" s="2">
        <v>4</v>
      </c>
      <c r="BP1338" s="2">
        <v>0.5</v>
      </c>
      <c r="BQ1338" s="2">
        <v>2</v>
      </c>
      <c r="BR1338" s="2">
        <v>2.5</v>
      </c>
      <c r="BS1338" s="2">
        <v>0</v>
      </c>
      <c r="BT1338" s="2">
        <v>0</v>
      </c>
      <c r="BU1338" s="2">
        <v>0.5</v>
      </c>
      <c r="BV1338" s="2">
        <f t="shared" si="85"/>
        <v>15.5</v>
      </c>
      <c r="BW1338" s="16">
        <f t="shared" si="83"/>
        <v>0.81578947368421051</v>
      </c>
      <c r="BX1338" s="16">
        <f>COUNTIF($BC$6:BU1338, "=0") / COUNTIF($BC$6:BU1338, "&gt;-1")</f>
        <v>0.3498637817349074</v>
      </c>
      <c r="BY1338" s="18">
        <f>SUM($BC$6:BU1338) / $BY$4</f>
        <v>0.97012981887086813</v>
      </c>
      <c r="BZ1338" s="14">
        <f t="shared" si="84"/>
        <v>13</v>
      </c>
      <c r="CA1338" t="s">
        <v>5832</v>
      </c>
      <c r="CZ1338" t="s">
        <v>10428</v>
      </c>
      <c r="DA1338" t="s">
        <v>5896</v>
      </c>
      <c r="DB1338">
        <v>251.9</v>
      </c>
      <c r="DC1338" t="s">
        <v>27343</v>
      </c>
      <c r="DD1338" t="s">
        <v>27344</v>
      </c>
      <c r="DE1338" t="s">
        <v>27345</v>
      </c>
      <c r="DF1338" t="s">
        <v>27346</v>
      </c>
      <c r="DG1338" t="s">
        <v>27347</v>
      </c>
      <c r="DH1338" t="str">
        <f>"HNRNPK"</f>
        <v>HNRNPK</v>
      </c>
      <c r="DI1338" t="s">
        <v>27348</v>
      </c>
      <c r="DJ1338" t="s">
        <v>13777</v>
      </c>
      <c r="DK1338">
        <v>9606</v>
      </c>
      <c r="DL1338" s="34" t="str">
        <f>HYPERLINK("http://www.uniprot.org/uniprot/P61978", "P61978")</f>
        <v>P61978</v>
      </c>
      <c r="DM1338" t="s">
        <v>27349</v>
      </c>
      <c r="DN1338" t="s">
        <v>27350</v>
      </c>
      <c r="DO1338" t="s">
        <v>27351</v>
      </c>
      <c r="DP1338" t="s">
        <v>13841</v>
      </c>
      <c r="DQ1338" t="s">
        <v>13772</v>
      </c>
      <c r="DR1338" t="s">
        <v>17534</v>
      </c>
      <c r="DS1338" t="s">
        <v>14096</v>
      </c>
      <c r="DT1338" t="s">
        <v>13772</v>
      </c>
      <c r="DU1338" t="s">
        <v>27352</v>
      </c>
      <c r="DV1338" t="s">
        <v>27353</v>
      </c>
      <c r="DW1338" t="s">
        <v>13812</v>
      </c>
      <c r="DX1338" t="s">
        <v>27354</v>
      </c>
      <c r="DY1338" t="s">
        <v>27355</v>
      </c>
      <c r="DZ1338" t="s">
        <v>27356</v>
      </c>
      <c r="EA1338" t="s">
        <v>13772</v>
      </c>
      <c r="EB1338" t="s">
        <v>16093</v>
      </c>
    </row>
    <row r="1339" spans="1:132" hidden="1">
      <c r="A1339">
        <v>78</v>
      </c>
      <c r="B1339">
        <v>1</v>
      </c>
      <c r="C1339" t="s">
        <v>216</v>
      </c>
      <c r="D1339" t="s">
        <v>73</v>
      </c>
      <c r="E1339" t="s">
        <v>73</v>
      </c>
      <c r="F1339" t="s">
        <v>73</v>
      </c>
      <c r="G1339" t="s">
        <v>73</v>
      </c>
      <c r="H1339">
        <v>12.2</v>
      </c>
      <c r="I1339">
        <v>213</v>
      </c>
      <c r="J1339">
        <v>23851</v>
      </c>
      <c r="K1339" t="s">
        <v>217</v>
      </c>
      <c r="L1339">
        <f t="shared" si="82"/>
        <v>15</v>
      </c>
      <c r="N1339">
        <v>15</v>
      </c>
      <c r="O1339">
        <v>15</v>
      </c>
      <c r="P1339">
        <v>1</v>
      </c>
      <c r="Q1339">
        <v>1</v>
      </c>
      <c r="R1339">
        <v>1</v>
      </c>
      <c r="S1339">
        <v>1</v>
      </c>
      <c r="T1339">
        <v>3</v>
      </c>
      <c r="U1339">
        <v>3</v>
      </c>
      <c r="V1339">
        <v>2</v>
      </c>
      <c r="W1339">
        <v>2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1</v>
      </c>
      <c r="AM1339">
        <v>3</v>
      </c>
      <c r="AN1339">
        <v>3</v>
      </c>
      <c r="AO1339">
        <v>2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 s="2">
        <v>1</v>
      </c>
      <c r="BD1339" s="2">
        <v>1</v>
      </c>
      <c r="BE1339" s="2">
        <v>1</v>
      </c>
      <c r="BF1339" s="2">
        <v>3</v>
      </c>
      <c r="BG1339" s="2">
        <v>3</v>
      </c>
      <c r="BH1339" s="2">
        <v>2</v>
      </c>
      <c r="BI1339" s="2">
        <v>2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1</v>
      </c>
      <c r="BS1339" s="2">
        <v>0</v>
      </c>
      <c r="BT1339" s="2">
        <v>0</v>
      </c>
      <c r="BU1339" s="2">
        <v>0</v>
      </c>
      <c r="BV1339" s="2">
        <f t="shared" si="85"/>
        <v>15</v>
      </c>
      <c r="BW1339" s="16">
        <f t="shared" si="83"/>
        <v>0.78947368421052633</v>
      </c>
      <c r="BX1339" s="16">
        <f>COUNTIF($BC$6:BU1339, "=0") / COUNTIF($BC$6:BU1339, "&gt;-1")</f>
        <v>0.3499960546042768</v>
      </c>
      <c r="BY1339" s="18">
        <f>SUM($BC$6:BU1339) / $BY$4</f>
        <v>0.97019407342389863</v>
      </c>
      <c r="BZ1339" s="14">
        <f t="shared" si="84"/>
        <v>10</v>
      </c>
      <c r="CA1339" t="s">
        <v>5832</v>
      </c>
      <c r="CZ1339" t="s">
        <v>5973</v>
      </c>
      <c r="DA1339" t="s">
        <v>5904</v>
      </c>
      <c r="DB1339">
        <v>359</v>
      </c>
      <c r="DC1339" t="s">
        <v>14067</v>
      </c>
      <c r="DD1339" t="s">
        <v>13772</v>
      </c>
      <c r="DE1339" t="s">
        <v>14068</v>
      </c>
      <c r="DF1339" t="s">
        <v>14069</v>
      </c>
      <c r="DG1339" t="s">
        <v>14070</v>
      </c>
      <c r="DH1339" t="str">
        <f>"SOST"</f>
        <v>SOST</v>
      </c>
      <c r="DI1339" t="s">
        <v>13772</v>
      </c>
      <c r="DJ1339" t="s">
        <v>13777</v>
      </c>
      <c r="DK1339">
        <v>9606</v>
      </c>
      <c r="DL1339" s="34" t="str">
        <f>HYPERLINK("http://www.uniprot.org/uniprot/Q9BQB4", "Q9BQB4")</f>
        <v>Q9BQB4</v>
      </c>
      <c r="DM1339" t="s">
        <v>14071</v>
      </c>
      <c r="DN1339" t="s">
        <v>14072</v>
      </c>
      <c r="DO1339" t="s">
        <v>13869</v>
      </c>
      <c r="DP1339" t="s">
        <v>13841</v>
      </c>
      <c r="DQ1339" t="s">
        <v>13772</v>
      </c>
      <c r="DR1339" t="s">
        <v>13807</v>
      </c>
      <c r="DS1339" t="s">
        <v>13808</v>
      </c>
      <c r="DT1339" t="s">
        <v>13772</v>
      </c>
      <c r="DU1339" t="s">
        <v>14073</v>
      </c>
      <c r="DV1339" t="s">
        <v>13796</v>
      </c>
      <c r="DW1339" t="s">
        <v>13812</v>
      </c>
      <c r="DX1339" t="s">
        <v>14074</v>
      </c>
      <c r="DY1339" t="s">
        <v>14075</v>
      </c>
      <c r="DZ1339" t="s">
        <v>14076</v>
      </c>
      <c r="EA1339" t="s">
        <v>13772</v>
      </c>
      <c r="EB1339" t="s">
        <v>14077</v>
      </c>
    </row>
    <row r="1340" spans="1:132" hidden="1">
      <c r="A1340">
        <v>82</v>
      </c>
      <c r="B1340">
        <v>1</v>
      </c>
      <c r="C1340" t="s">
        <v>227</v>
      </c>
      <c r="D1340" t="s">
        <v>73</v>
      </c>
      <c r="E1340" t="s">
        <v>73</v>
      </c>
      <c r="F1340" t="s">
        <v>73</v>
      </c>
      <c r="G1340" t="s">
        <v>73</v>
      </c>
      <c r="H1340">
        <v>38.6</v>
      </c>
      <c r="I1340">
        <v>140</v>
      </c>
      <c r="J1340">
        <v>14865</v>
      </c>
      <c r="K1340" t="s">
        <v>228</v>
      </c>
      <c r="L1340">
        <f t="shared" si="82"/>
        <v>15</v>
      </c>
      <c r="N1340">
        <v>15</v>
      </c>
      <c r="O1340">
        <v>15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4</v>
      </c>
      <c r="AB1340">
        <v>4</v>
      </c>
      <c r="AC1340">
        <v>3</v>
      </c>
      <c r="AD1340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4</v>
      </c>
      <c r="AU1340">
        <v>4</v>
      </c>
      <c r="AV1340">
        <v>3</v>
      </c>
      <c r="AW1340">
        <v>0</v>
      </c>
      <c r="AX1340">
        <v>2</v>
      </c>
      <c r="AY1340">
        <v>0</v>
      </c>
      <c r="AZ1340">
        <v>0</v>
      </c>
      <c r="BA1340">
        <v>0</v>
      </c>
      <c r="BB1340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1</v>
      </c>
      <c r="BL1340" s="2">
        <v>1</v>
      </c>
      <c r="BM1340" s="2">
        <v>4</v>
      </c>
      <c r="BN1340" s="2">
        <v>4</v>
      </c>
      <c r="BO1340" s="2">
        <v>3</v>
      </c>
      <c r="BP1340" s="2">
        <v>0</v>
      </c>
      <c r="BQ1340" s="2">
        <v>2</v>
      </c>
      <c r="BR1340" s="2">
        <v>0</v>
      </c>
      <c r="BS1340" s="2">
        <v>0</v>
      </c>
      <c r="BT1340" s="2">
        <v>0</v>
      </c>
      <c r="BU1340" s="2">
        <v>0</v>
      </c>
      <c r="BV1340" s="2">
        <f t="shared" si="85"/>
        <v>15</v>
      </c>
      <c r="BW1340" s="16">
        <f t="shared" si="83"/>
        <v>0.78947368421052633</v>
      </c>
      <c r="BX1340" s="16">
        <f>COUNTIF($BC$6:BU1340, "=0") / COUNTIF($BC$6:BU1340, "&gt;-1")</f>
        <v>0.35024640252316186</v>
      </c>
      <c r="BY1340" s="18">
        <f>SUM($BC$6:BU1340) / $BY$4</f>
        <v>0.97025832797692912</v>
      </c>
      <c r="BZ1340" s="14">
        <f t="shared" si="84"/>
        <v>13</v>
      </c>
      <c r="CA1340" t="s">
        <v>5832</v>
      </c>
      <c r="CZ1340" t="s">
        <v>5988</v>
      </c>
      <c r="DA1340" t="s">
        <v>5904</v>
      </c>
      <c r="DB1340">
        <v>280.39999999999998</v>
      </c>
      <c r="DC1340" t="s">
        <v>14117</v>
      </c>
      <c r="DD1340" t="s">
        <v>14118</v>
      </c>
      <c r="DE1340" t="s">
        <v>14119</v>
      </c>
      <c r="DF1340" t="s">
        <v>14120</v>
      </c>
      <c r="DG1340" t="s">
        <v>14121</v>
      </c>
      <c r="DH1340" t="str">
        <f>"RPL23"</f>
        <v>RPL23</v>
      </c>
      <c r="DI1340" t="s">
        <v>13772</v>
      </c>
      <c r="DJ1340" t="s">
        <v>13777</v>
      </c>
      <c r="DK1340">
        <v>9606</v>
      </c>
      <c r="DL1340" s="34" t="str">
        <f>HYPERLINK("http://www.uniprot.org/uniprot/P62829", "P62829")</f>
        <v>P62829</v>
      </c>
      <c r="DM1340" t="s">
        <v>14122</v>
      </c>
      <c r="DN1340" t="s">
        <v>13772</v>
      </c>
      <c r="DO1340" t="s">
        <v>13772</v>
      </c>
      <c r="DP1340" t="s">
        <v>13772</v>
      </c>
      <c r="DQ1340" t="s">
        <v>13772</v>
      </c>
      <c r="DR1340" t="s">
        <v>13772</v>
      </c>
      <c r="DS1340" t="s">
        <v>13772</v>
      </c>
      <c r="DT1340" t="s">
        <v>13772</v>
      </c>
      <c r="DU1340" t="s">
        <v>13937</v>
      </c>
      <c r="DV1340" t="s">
        <v>13782</v>
      </c>
      <c r="DW1340" t="s">
        <v>13812</v>
      </c>
      <c r="DX1340" t="s">
        <v>14123</v>
      </c>
      <c r="DY1340" t="s">
        <v>14124</v>
      </c>
      <c r="DZ1340" t="s">
        <v>14125</v>
      </c>
      <c r="EA1340" t="s">
        <v>13772</v>
      </c>
      <c r="EB1340" t="s">
        <v>13942</v>
      </c>
    </row>
    <row r="1341" spans="1:132" hidden="1">
      <c r="A1341">
        <v>138</v>
      </c>
      <c r="B1341">
        <v>1</v>
      </c>
      <c r="C1341" t="s">
        <v>361</v>
      </c>
      <c r="D1341" t="s">
        <v>73</v>
      </c>
      <c r="E1341" t="s">
        <v>73</v>
      </c>
      <c r="F1341" t="s">
        <v>73</v>
      </c>
      <c r="G1341" t="s">
        <v>73</v>
      </c>
      <c r="H1341">
        <v>20.5</v>
      </c>
      <c r="I1341">
        <v>458</v>
      </c>
      <c r="J1341">
        <v>47782</v>
      </c>
      <c r="K1341" t="s">
        <v>362</v>
      </c>
      <c r="L1341">
        <f t="shared" si="82"/>
        <v>15</v>
      </c>
      <c r="N1341">
        <v>15</v>
      </c>
      <c r="O1341">
        <v>15</v>
      </c>
      <c r="P1341">
        <v>1</v>
      </c>
      <c r="Q1341">
        <v>0</v>
      </c>
      <c r="R1341">
        <v>3</v>
      </c>
      <c r="S1341">
        <v>0</v>
      </c>
      <c r="T1341">
        <v>2</v>
      </c>
      <c r="U1341">
        <v>5</v>
      </c>
      <c r="V1341">
        <v>3</v>
      </c>
      <c r="W1341">
        <v>0</v>
      </c>
      <c r="X1341">
        <v>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</v>
      </c>
      <c r="AL1341">
        <v>0</v>
      </c>
      <c r="AM1341">
        <v>2</v>
      </c>
      <c r="AN1341">
        <v>5</v>
      </c>
      <c r="AO1341">
        <v>3</v>
      </c>
      <c r="AP1341">
        <v>0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 s="2">
        <v>0</v>
      </c>
      <c r="BD1341" s="2">
        <v>3</v>
      </c>
      <c r="BE1341" s="2">
        <v>0</v>
      </c>
      <c r="BF1341" s="2">
        <v>2</v>
      </c>
      <c r="BG1341" s="2">
        <v>5</v>
      </c>
      <c r="BH1341" s="2">
        <v>3</v>
      </c>
      <c r="BI1341" s="2">
        <v>0</v>
      </c>
      <c r="BJ1341" s="2">
        <v>2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f t="shared" si="85"/>
        <v>15</v>
      </c>
      <c r="BW1341" s="16">
        <f t="shared" si="83"/>
        <v>0.78947368421052633</v>
      </c>
      <c r="BX1341" s="16">
        <f>COUNTIF($BC$6:BU1341, "=0") / COUNTIF($BC$6:BU1341, "&gt;-1")</f>
        <v>0.35053577056413487</v>
      </c>
      <c r="BY1341" s="18">
        <f>SUM($BC$6:BU1341) / $BY$4</f>
        <v>0.97032258252995962</v>
      </c>
      <c r="BZ1341" s="14">
        <f t="shared" si="84"/>
        <v>14</v>
      </c>
      <c r="CA1341" t="s">
        <v>5832</v>
      </c>
      <c r="CZ1341" t="s">
        <v>6173</v>
      </c>
      <c r="DA1341" t="s">
        <v>5904</v>
      </c>
      <c r="DB1341">
        <v>561.20000000000005</v>
      </c>
      <c r="DC1341" t="s">
        <v>14740</v>
      </c>
      <c r="DD1341" t="s">
        <v>13772</v>
      </c>
      <c r="DE1341" t="s">
        <v>14741</v>
      </c>
      <c r="DF1341" t="s">
        <v>14742</v>
      </c>
      <c r="DG1341" t="s">
        <v>14743</v>
      </c>
      <c r="DH1341" t="str">
        <f>"AMN"</f>
        <v>AMN</v>
      </c>
      <c r="DI1341" t="s">
        <v>13772</v>
      </c>
      <c r="DJ1341" t="s">
        <v>13777</v>
      </c>
      <c r="DK1341">
        <v>9606</v>
      </c>
      <c r="DL1341" s="34" t="str">
        <f>HYPERLINK("http://www.uniprot.org/uniprot/Q9BXJ7", "Q9BXJ7")</f>
        <v>Q9BXJ7</v>
      </c>
      <c r="DM1341" t="s">
        <v>14744</v>
      </c>
      <c r="DN1341" t="s">
        <v>14347</v>
      </c>
      <c r="DO1341" t="s">
        <v>14745</v>
      </c>
      <c r="DP1341" t="s">
        <v>14746</v>
      </c>
      <c r="DQ1341" t="s">
        <v>13772</v>
      </c>
      <c r="DR1341" t="s">
        <v>13807</v>
      </c>
      <c r="DS1341" t="s">
        <v>13855</v>
      </c>
      <c r="DT1341" t="s">
        <v>13772</v>
      </c>
      <c r="DU1341" t="s">
        <v>14727</v>
      </c>
      <c r="DV1341" t="s">
        <v>13858</v>
      </c>
      <c r="DW1341" t="s">
        <v>13812</v>
      </c>
      <c r="DX1341" t="s">
        <v>14747</v>
      </c>
      <c r="DY1341" t="s">
        <v>14748</v>
      </c>
      <c r="DZ1341" t="s">
        <v>14749</v>
      </c>
      <c r="EA1341" t="s">
        <v>13772</v>
      </c>
      <c r="EB1341" t="s">
        <v>14750</v>
      </c>
    </row>
    <row r="1342" spans="1:132" hidden="1">
      <c r="A1342">
        <v>170</v>
      </c>
      <c r="B1342">
        <v>1</v>
      </c>
      <c r="C1342" t="s">
        <v>432</v>
      </c>
      <c r="D1342" t="s">
        <v>433</v>
      </c>
      <c r="E1342" t="s">
        <v>73</v>
      </c>
      <c r="F1342" t="s">
        <v>73</v>
      </c>
      <c r="G1342" t="s">
        <v>73</v>
      </c>
      <c r="H1342">
        <v>27.9</v>
      </c>
      <c r="I1342">
        <v>448</v>
      </c>
      <c r="J1342">
        <v>49227</v>
      </c>
      <c r="K1342" t="s">
        <v>434</v>
      </c>
      <c r="L1342">
        <f t="shared" si="82"/>
        <v>15</v>
      </c>
      <c r="N1342">
        <v>15</v>
      </c>
      <c r="O1342">
        <v>15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>
        <v>4</v>
      </c>
      <c r="Z1342">
        <v>0</v>
      </c>
      <c r="AA1342">
        <v>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</v>
      </c>
      <c r="AR1342">
        <v>4</v>
      </c>
      <c r="AS1342">
        <v>0</v>
      </c>
      <c r="AT1342">
        <v>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4</v>
      </c>
      <c r="BK1342" s="2">
        <v>4</v>
      </c>
      <c r="BL1342" s="2">
        <v>0</v>
      </c>
      <c r="BM1342" s="2">
        <v>7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f t="shared" si="85"/>
        <v>15</v>
      </c>
      <c r="BW1342" s="16">
        <f t="shared" si="83"/>
        <v>0.78947368421052633</v>
      </c>
      <c r="BX1342" s="16">
        <f>COUNTIF($BC$6:BU1342, "=0") / COUNTIF($BC$6:BU1342, "&gt;-1")</f>
        <v>0.35090343660197615</v>
      </c>
      <c r="BY1342" s="18">
        <f>SUM($BC$6:BU1342) / $BY$4</f>
        <v>0.97038683708299012</v>
      </c>
      <c r="BZ1342" s="14">
        <f t="shared" si="84"/>
        <v>16</v>
      </c>
      <c r="CA1342" t="s">
        <v>5832</v>
      </c>
      <c r="CZ1342" t="s">
        <v>6284</v>
      </c>
      <c r="DA1342" t="s">
        <v>5904</v>
      </c>
      <c r="DB1342">
        <v>778.9</v>
      </c>
      <c r="DC1342" t="s">
        <v>15102</v>
      </c>
      <c r="DD1342" t="s">
        <v>15103</v>
      </c>
      <c r="DE1342" t="s">
        <v>15104</v>
      </c>
      <c r="DF1342" t="s">
        <v>15105</v>
      </c>
      <c r="DG1342" t="s">
        <v>15106</v>
      </c>
      <c r="DH1342" t="str">
        <f>"MPI"</f>
        <v>MPI</v>
      </c>
      <c r="DI1342" t="s">
        <v>15107</v>
      </c>
      <c r="DJ1342" t="s">
        <v>13777</v>
      </c>
      <c r="DK1342">
        <v>9606</v>
      </c>
      <c r="DL1342" s="34" t="str">
        <f>HYPERLINK("http://www.uniprot.org/uniprot/P34949", "P34949")</f>
        <v>P34949</v>
      </c>
      <c r="DM1342" t="s">
        <v>15108</v>
      </c>
      <c r="DN1342" t="s">
        <v>13772</v>
      </c>
      <c r="DO1342" t="s">
        <v>13899</v>
      </c>
      <c r="DP1342" t="s">
        <v>13841</v>
      </c>
      <c r="DQ1342" t="s">
        <v>13772</v>
      </c>
      <c r="DR1342" t="s">
        <v>15109</v>
      </c>
      <c r="DS1342" t="s">
        <v>13772</v>
      </c>
      <c r="DT1342" t="s">
        <v>13856</v>
      </c>
      <c r="DU1342" t="s">
        <v>14910</v>
      </c>
      <c r="DV1342" t="s">
        <v>13886</v>
      </c>
      <c r="DW1342" t="s">
        <v>13772</v>
      </c>
      <c r="DX1342" t="s">
        <v>15110</v>
      </c>
      <c r="DY1342" t="s">
        <v>15111</v>
      </c>
      <c r="DZ1342" t="s">
        <v>15112</v>
      </c>
      <c r="EA1342" t="s">
        <v>15113</v>
      </c>
      <c r="EB1342" t="s">
        <v>15114</v>
      </c>
    </row>
    <row r="1343" spans="1:132" hidden="1">
      <c r="A1343">
        <v>364</v>
      </c>
      <c r="B1343">
        <v>1</v>
      </c>
      <c r="C1343" t="s">
        <v>910</v>
      </c>
      <c r="D1343" t="s">
        <v>73</v>
      </c>
      <c r="E1343" t="s">
        <v>73</v>
      </c>
      <c r="F1343" t="s">
        <v>73</v>
      </c>
      <c r="G1343" t="s">
        <v>73</v>
      </c>
      <c r="H1343">
        <v>11.1</v>
      </c>
      <c r="I1343">
        <v>434</v>
      </c>
      <c r="J1343">
        <v>50324</v>
      </c>
      <c r="K1343" t="s">
        <v>911</v>
      </c>
      <c r="L1343">
        <f t="shared" si="82"/>
        <v>15</v>
      </c>
      <c r="N1343">
        <v>15</v>
      </c>
      <c r="O1343">
        <v>15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2</v>
      </c>
      <c r="Z1343">
        <v>0</v>
      </c>
      <c r="AA1343">
        <v>2</v>
      </c>
      <c r="AB1343">
        <v>2</v>
      </c>
      <c r="AC1343">
        <v>1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2</v>
      </c>
      <c r="AS1343">
        <v>0</v>
      </c>
      <c r="AT1343">
        <v>2</v>
      </c>
      <c r="AU1343">
        <v>2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 s="2">
        <v>1</v>
      </c>
      <c r="BD1343" s="2">
        <v>0</v>
      </c>
      <c r="BE1343" s="2">
        <v>1</v>
      </c>
      <c r="BF1343" s="2">
        <v>1</v>
      </c>
      <c r="BG1343" s="2">
        <v>1</v>
      </c>
      <c r="BH1343" s="2">
        <v>1</v>
      </c>
      <c r="BI1343" s="2">
        <v>1</v>
      </c>
      <c r="BJ1343" s="2">
        <v>1</v>
      </c>
      <c r="BK1343" s="2">
        <v>2</v>
      </c>
      <c r="BL1343" s="2">
        <v>0</v>
      </c>
      <c r="BM1343" s="2">
        <v>2</v>
      </c>
      <c r="BN1343" s="2">
        <v>2</v>
      </c>
      <c r="BO1343" s="2">
        <v>1</v>
      </c>
      <c r="BP1343" s="2">
        <v>0</v>
      </c>
      <c r="BQ1343" s="2">
        <v>1</v>
      </c>
      <c r="BR1343" s="2">
        <v>0</v>
      </c>
      <c r="BS1343" s="2">
        <v>0</v>
      </c>
      <c r="BT1343" s="2">
        <v>0</v>
      </c>
      <c r="BU1343" s="2">
        <v>0</v>
      </c>
      <c r="BV1343" s="2">
        <f t="shared" si="85"/>
        <v>15</v>
      </c>
      <c r="BW1343" s="16">
        <f t="shared" si="83"/>
        <v>0.78947368421052633</v>
      </c>
      <c r="BX1343" s="16">
        <f>COUNTIF($BC$6:BU1343, "=0") / COUNTIF($BC$6:BU1343, "&gt;-1")</f>
        <v>0.35091652899063802</v>
      </c>
      <c r="BY1343" s="18">
        <f>SUM($BC$6:BU1343) / $BY$4</f>
        <v>0.97045109163602061</v>
      </c>
      <c r="BZ1343" s="14">
        <f t="shared" si="84"/>
        <v>7</v>
      </c>
      <c r="CA1343" t="s">
        <v>5832</v>
      </c>
      <c r="CZ1343" t="s">
        <v>6960</v>
      </c>
      <c r="DA1343" t="s">
        <v>5904</v>
      </c>
      <c r="DB1343">
        <v>895.2</v>
      </c>
      <c r="DC1343" t="s">
        <v>17219</v>
      </c>
      <c r="DD1343" t="s">
        <v>17220</v>
      </c>
      <c r="DE1343" t="s">
        <v>17221</v>
      </c>
      <c r="DF1343" t="s">
        <v>17222</v>
      </c>
      <c r="DG1343" t="s">
        <v>17223</v>
      </c>
      <c r="DH1343" t="str">
        <f>"SEPT7"</f>
        <v>SEPT7</v>
      </c>
      <c r="DI1343" t="s">
        <v>17224</v>
      </c>
      <c r="DJ1343" t="s">
        <v>13777</v>
      </c>
      <c r="DK1343">
        <v>9606</v>
      </c>
      <c r="DL1343" s="34" t="str">
        <f>HYPERLINK("http://www.uniprot.org/uniprot/Q16181", "Q16181")</f>
        <v>Q16181</v>
      </c>
      <c r="DM1343" t="s">
        <v>17225</v>
      </c>
      <c r="DN1343" t="s">
        <v>17226</v>
      </c>
      <c r="DO1343" t="s">
        <v>17227</v>
      </c>
      <c r="DP1343" t="s">
        <v>13841</v>
      </c>
      <c r="DQ1343" t="s">
        <v>13772</v>
      </c>
      <c r="DR1343" t="s">
        <v>13772</v>
      </c>
      <c r="DS1343" t="s">
        <v>14245</v>
      </c>
      <c r="DT1343" t="s">
        <v>14216</v>
      </c>
      <c r="DU1343" t="s">
        <v>13772</v>
      </c>
      <c r="DV1343" t="s">
        <v>13886</v>
      </c>
      <c r="DW1343" t="s">
        <v>13812</v>
      </c>
      <c r="DX1343" t="s">
        <v>17228</v>
      </c>
      <c r="DY1343" t="s">
        <v>17229</v>
      </c>
      <c r="DZ1343" t="s">
        <v>17230</v>
      </c>
      <c r="EA1343" t="s">
        <v>13772</v>
      </c>
      <c r="EB1343" t="s">
        <v>17231</v>
      </c>
    </row>
    <row r="1344" spans="1:132" hidden="1">
      <c r="A1344">
        <v>380</v>
      </c>
      <c r="B1344">
        <v>1</v>
      </c>
      <c r="C1344" t="s">
        <v>949</v>
      </c>
      <c r="D1344" t="s">
        <v>73</v>
      </c>
      <c r="E1344" t="s">
        <v>73</v>
      </c>
      <c r="F1344" t="s">
        <v>73</v>
      </c>
      <c r="G1344" t="s">
        <v>73</v>
      </c>
      <c r="H1344">
        <v>8</v>
      </c>
      <c r="I1344">
        <v>199</v>
      </c>
      <c r="J1344">
        <v>22116</v>
      </c>
      <c r="K1344" t="s">
        <v>950</v>
      </c>
      <c r="L1344">
        <f t="shared" si="82"/>
        <v>15</v>
      </c>
      <c r="N1344">
        <v>15</v>
      </c>
      <c r="O1344">
        <v>15</v>
      </c>
      <c r="P1344">
        <v>1</v>
      </c>
      <c r="Q1344">
        <v>1</v>
      </c>
      <c r="R1344">
        <v>4</v>
      </c>
      <c r="S1344">
        <v>2</v>
      </c>
      <c r="T1344">
        <v>4</v>
      </c>
      <c r="U1344">
        <v>2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4</v>
      </c>
      <c r="AL1344">
        <v>2</v>
      </c>
      <c r="AM1344">
        <v>4</v>
      </c>
      <c r="AN1344">
        <v>2</v>
      </c>
      <c r="AO1344">
        <v>1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 s="2">
        <v>1</v>
      </c>
      <c r="BD1344" s="2">
        <v>4</v>
      </c>
      <c r="BE1344" s="2">
        <v>2</v>
      </c>
      <c r="BF1344" s="2">
        <v>4</v>
      </c>
      <c r="BG1344" s="2">
        <v>2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f t="shared" si="85"/>
        <v>15</v>
      </c>
      <c r="BW1344" s="16">
        <f t="shared" si="83"/>
        <v>0.78947368421052633</v>
      </c>
      <c r="BX1344" s="16">
        <f>COUNTIF($BC$6:BU1344, "=0") / COUNTIF($BC$6:BU1344, "&gt;-1")</f>
        <v>0.35112613497897094</v>
      </c>
      <c r="BY1344" s="18">
        <f>SUM($BC$6:BU1344) / $BY$4</f>
        <v>0.97051534618905111</v>
      </c>
      <c r="BZ1344" s="14">
        <f t="shared" si="84"/>
        <v>12</v>
      </c>
      <c r="CA1344" t="s">
        <v>5832</v>
      </c>
      <c r="CZ1344" t="s">
        <v>7018</v>
      </c>
      <c r="DA1344" t="s">
        <v>5904</v>
      </c>
      <c r="DB1344">
        <v>397.9</v>
      </c>
      <c r="DC1344" t="s">
        <v>17396</v>
      </c>
      <c r="DD1344" t="s">
        <v>17397</v>
      </c>
      <c r="DE1344" t="s">
        <v>17398</v>
      </c>
      <c r="DF1344" t="s">
        <v>17399</v>
      </c>
      <c r="DG1344" t="s">
        <v>17400</v>
      </c>
      <c r="DH1344" t="str">
        <f>"CHMP1B"</f>
        <v>CHMP1B</v>
      </c>
      <c r="DI1344" t="s">
        <v>17401</v>
      </c>
      <c r="DJ1344" t="s">
        <v>13777</v>
      </c>
      <c r="DK1344">
        <v>9606</v>
      </c>
      <c r="DL1344" s="34" t="str">
        <f>HYPERLINK("http://www.uniprot.org/uniprot/Q7LBR1", "Q7LBR1")</f>
        <v>Q7LBR1</v>
      </c>
      <c r="DM1344" t="s">
        <v>17402</v>
      </c>
      <c r="DN1344" t="s">
        <v>16859</v>
      </c>
      <c r="DO1344" t="s">
        <v>17403</v>
      </c>
      <c r="DP1344" t="s">
        <v>13772</v>
      </c>
      <c r="DQ1344" t="s">
        <v>13772</v>
      </c>
      <c r="DR1344" t="s">
        <v>13772</v>
      </c>
      <c r="DS1344" t="s">
        <v>14245</v>
      </c>
      <c r="DT1344" t="s">
        <v>13772</v>
      </c>
      <c r="DU1344" t="s">
        <v>13772</v>
      </c>
      <c r="DV1344" t="s">
        <v>13772</v>
      </c>
      <c r="DW1344" t="s">
        <v>13812</v>
      </c>
      <c r="DX1344" t="s">
        <v>17404</v>
      </c>
      <c r="DY1344" t="s">
        <v>17405</v>
      </c>
      <c r="DZ1344" t="s">
        <v>17406</v>
      </c>
      <c r="EA1344" t="s">
        <v>13772</v>
      </c>
      <c r="EB1344" t="s">
        <v>13772</v>
      </c>
    </row>
    <row r="1345" spans="1:132" hidden="1">
      <c r="A1345">
        <v>410</v>
      </c>
      <c r="B1345">
        <v>1</v>
      </c>
      <c r="C1345" t="s">
        <v>1028</v>
      </c>
      <c r="D1345" t="s">
        <v>73</v>
      </c>
      <c r="E1345" t="s">
        <v>73</v>
      </c>
      <c r="F1345" t="s">
        <v>73</v>
      </c>
      <c r="G1345" t="s">
        <v>73</v>
      </c>
      <c r="H1345">
        <v>32.1</v>
      </c>
      <c r="I1345">
        <v>134</v>
      </c>
      <c r="J1345">
        <v>15359</v>
      </c>
      <c r="K1345" t="s">
        <v>1029</v>
      </c>
      <c r="L1345">
        <f t="shared" si="82"/>
        <v>15</v>
      </c>
      <c r="N1345">
        <v>15</v>
      </c>
      <c r="O1345">
        <v>15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5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5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5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5</v>
      </c>
      <c r="AZ1345">
        <v>0</v>
      </c>
      <c r="BA1345">
        <v>0</v>
      </c>
      <c r="BB1345">
        <v>0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1</v>
      </c>
      <c r="BJ1345" s="2">
        <v>5</v>
      </c>
      <c r="BK1345" s="2">
        <v>1</v>
      </c>
      <c r="BL1345" s="2">
        <v>0</v>
      </c>
      <c r="BM1345" s="2">
        <v>1</v>
      </c>
      <c r="BN1345" s="2">
        <v>0</v>
      </c>
      <c r="BO1345" s="2">
        <v>0</v>
      </c>
      <c r="BP1345" s="2">
        <v>0</v>
      </c>
      <c r="BQ1345" s="2">
        <v>1</v>
      </c>
      <c r="BR1345" s="2">
        <v>5</v>
      </c>
      <c r="BS1345" s="2">
        <v>0</v>
      </c>
      <c r="BT1345" s="2">
        <v>0</v>
      </c>
      <c r="BU1345" s="2">
        <v>0</v>
      </c>
      <c r="BV1345" s="2">
        <f t="shared" si="85"/>
        <v>15</v>
      </c>
      <c r="BW1345" s="16">
        <f t="shared" si="83"/>
        <v>0.78947368421052633</v>
      </c>
      <c r="BX1345" s="16">
        <f>COUNTIF($BC$6:BU1345, "=0") / COUNTIF($BC$6:BU1345, "&gt;-1")</f>
        <v>0.35133542812254515</v>
      </c>
      <c r="BY1345" s="18">
        <f>SUM($BC$6:BU1345) / $BY$4</f>
        <v>0.97057960074208161</v>
      </c>
      <c r="BZ1345" s="14">
        <f t="shared" si="84"/>
        <v>12</v>
      </c>
      <c r="CA1345" t="s">
        <v>5832</v>
      </c>
      <c r="CZ1345" t="s">
        <v>7123</v>
      </c>
      <c r="DA1345" t="s">
        <v>5904</v>
      </c>
      <c r="DB1345">
        <v>250</v>
      </c>
      <c r="DC1345" t="s">
        <v>17729</v>
      </c>
      <c r="DD1345" t="s">
        <v>17730</v>
      </c>
      <c r="DE1345" t="s">
        <v>17731</v>
      </c>
      <c r="DF1345" t="s">
        <v>17732</v>
      </c>
      <c r="DG1345" t="s">
        <v>17733</v>
      </c>
      <c r="DH1345" t="str">
        <f>"CYB5A"</f>
        <v>CYB5A</v>
      </c>
      <c r="DI1345" t="s">
        <v>17734</v>
      </c>
      <c r="DJ1345" t="s">
        <v>13777</v>
      </c>
      <c r="DK1345">
        <v>9606</v>
      </c>
      <c r="DL1345" s="34" t="str">
        <f>HYPERLINK("http://www.uniprot.org/uniprot/P00167", "P00167")</f>
        <v>P00167</v>
      </c>
      <c r="DM1345" t="s">
        <v>17735</v>
      </c>
      <c r="DN1345" t="s">
        <v>16041</v>
      </c>
      <c r="DO1345" t="s">
        <v>17736</v>
      </c>
      <c r="DP1345" t="s">
        <v>13841</v>
      </c>
      <c r="DQ1345" t="s">
        <v>13772</v>
      </c>
      <c r="DR1345" t="s">
        <v>13807</v>
      </c>
      <c r="DS1345" t="s">
        <v>13925</v>
      </c>
      <c r="DT1345" t="s">
        <v>16031</v>
      </c>
      <c r="DU1345" t="s">
        <v>13772</v>
      </c>
      <c r="DV1345" t="s">
        <v>14020</v>
      </c>
      <c r="DW1345" t="s">
        <v>13812</v>
      </c>
      <c r="DX1345" t="s">
        <v>17737</v>
      </c>
      <c r="DY1345" t="s">
        <v>17738</v>
      </c>
      <c r="DZ1345" t="s">
        <v>17739</v>
      </c>
      <c r="EA1345" t="s">
        <v>13772</v>
      </c>
      <c r="EB1345" t="s">
        <v>17740</v>
      </c>
    </row>
    <row r="1346" spans="1:132" hidden="1">
      <c r="A1346">
        <v>483</v>
      </c>
      <c r="B1346">
        <v>1</v>
      </c>
      <c r="C1346" t="s">
        <v>1213</v>
      </c>
      <c r="D1346" t="s">
        <v>73</v>
      </c>
      <c r="E1346" t="s">
        <v>73</v>
      </c>
      <c r="F1346" t="s">
        <v>73</v>
      </c>
      <c r="G1346" t="s">
        <v>73</v>
      </c>
      <c r="H1346">
        <v>30.8</v>
      </c>
      <c r="I1346">
        <v>104</v>
      </c>
      <c r="J1346">
        <v>12259</v>
      </c>
      <c r="K1346" t="s">
        <v>1214</v>
      </c>
      <c r="L1346">
        <f t="shared" si="82"/>
        <v>15</v>
      </c>
      <c r="N1346">
        <v>15</v>
      </c>
      <c r="O1346">
        <v>15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0</v>
      </c>
      <c r="AA1346">
        <v>4</v>
      </c>
      <c r="AB1346">
        <v>1</v>
      </c>
      <c r="AC1346">
        <v>3</v>
      </c>
      <c r="AD1346">
        <v>0</v>
      </c>
      <c r="AE1346">
        <v>2</v>
      </c>
      <c r="AF1346">
        <v>2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4</v>
      </c>
      <c r="AU1346">
        <v>1</v>
      </c>
      <c r="AV1346">
        <v>3</v>
      </c>
      <c r="AW1346">
        <v>0</v>
      </c>
      <c r="AX1346">
        <v>2</v>
      </c>
      <c r="AY1346">
        <v>2</v>
      </c>
      <c r="AZ1346">
        <v>0</v>
      </c>
      <c r="BA1346">
        <v>0</v>
      </c>
      <c r="BB1346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1</v>
      </c>
      <c r="BK1346" s="2">
        <v>1</v>
      </c>
      <c r="BL1346" s="2">
        <v>0</v>
      </c>
      <c r="BM1346" s="2">
        <v>4</v>
      </c>
      <c r="BN1346" s="2">
        <v>1</v>
      </c>
      <c r="BO1346" s="2">
        <v>3</v>
      </c>
      <c r="BP1346" s="2">
        <v>0</v>
      </c>
      <c r="BQ1346" s="2">
        <v>2</v>
      </c>
      <c r="BR1346" s="2">
        <v>2</v>
      </c>
      <c r="BS1346" s="2">
        <v>0</v>
      </c>
      <c r="BT1346" s="2">
        <v>0</v>
      </c>
      <c r="BU1346" s="2">
        <v>1</v>
      </c>
      <c r="BV1346" s="2">
        <f t="shared" si="85"/>
        <v>15</v>
      </c>
      <c r="BW1346" s="16">
        <f t="shared" si="83"/>
        <v>0.78947368421052633</v>
      </c>
      <c r="BX1346" s="16">
        <f>COUNTIF($BC$6:BU1346, "=0") / COUNTIF($BC$6:BU1346, "&gt;-1")</f>
        <v>0.35150516111307351</v>
      </c>
      <c r="BY1346" s="18">
        <f>SUM($BC$6:BU1346) / $BY$4</f>
        <v>0.9706438552951121</v>
      </c>
      <c r="BZ1346" s="14">
        <f t="shared" si="84"/>
        <v>11</v>
      </c>
      <c r="CA1346" t="s">
        <v>5832</v>
      </c>
      <c r="CZ1346" t="s">
        <v>7380</v>
      </c>
      <c r="DA1346" t="s">
        <v>5904</v>
      </c>
      <c r="DB1346">
        <v>221.1</v>
      </c>
      <c r="DC1346" t="s">
        <v>18517</v>
      </c>
      <c r="DD1346" t="s">
        <v>13772</v>
      </c>
      <c r="DE1346" t="s">
        <v>18518</v>
      </c>
      <c r="DF1346" t="s">
        <v>18519</v>
      </c>
      <c r="DG1346" t="s">
        <v>18520</v>
      </c>
      <c r="DH1346" t="str">
        <f>"ERH"</f>
        <v>ERH</v>
      </c>
      <c r="DI1346" t="s">
        <v>13772</v>
      </c>
      <c r="DJ1346" t="s">
        <v>13777</v>
      </c>
      <c r="DK1346">
        <v>9606</v>
      </c>
      <c r="DL1346" s="34" t="str">
        <f>HYPERLINK("http://www.uniprot.org/uniprot/P84090", "P84090")</f>
        <v>P84090</v>
      </c>
      <c r="DM1346" t="s">
        <v>18521</v>
      </c>
      <c r="DN1346" t="s">
        <v>18522</v>
      </c>
      <c r="DO1346" t="s">
        <v>13772</v>
      </c>
      <c r="DP1346" t="s">
        <v>13772</v>
      </c>
      <c r="DQ1346" t="s">
        <v>13772</v>
      </c>
      <c r="DR1346" t="s">
        <v>13772</v>
      </c>
      <c r="DS1346" t="s">
        <v>13772</v>
      </c>
      <c r="DT1346" t="s">
        <v>13772</v>
      </c>
      <c r="DU1346" t="s">
        <v>13772</v>
      </c>
      <c r="DV1346" t="s">
        <v>13991</v>
      </c>
      <c r="DW1346" t="s">
        <v>13812</v>
      </c>
      <c r="DX1346" t="s">
        <v>18523</v>
      </c>
      <c r="DY1346" t="s">
        <v>18524</v>
      </c>
      <c r="DZ1346" t="s">
        <v>18525</v>
      </c>
      <c r="EA1346" t="s">
        <v>13772</v>
      </c>
      <c r="EB1346" t="s">
        <v>13772</v>
      </c>
    </row>
    <row r="1347" spans="1:132" hidden="1">
      <c r="A1347">
        <v>536</v>
      </c>
      <c r="B1347">
        <v>1</v>
      </c>
      <c r="C1347" t="s">
        <v>1339</v>
      </c>
      <c r="D1347" t="s">
        <v>73</v>
      </c>
      <c r="E1347" t="s">
        <v>73</v>
      </c>
      <c r="F1347" t="s">
        <v>73</v>
      </c>
      <c r="G1347" t="s">
        <v>73</v>
      </c>
      <c r="H1347">
        <v>37.5</v>
      </c>
      <c r="I1347">
        <v>64</v>
      </c>
      <c r="J1347">
        <v>7294</v>
      </c>
      <c r="K1347" t="s">
        <v>1340</v>
      </c>
      <c r="L1347">
        <f t="shared" si="82"/>
        <v>15</v>
      </c>
      <c r="N1347">
        <v>15</v>
      </c>
      <c r="O1347">
        <v>15</v>
      </c>
      <c r="P1347">
        <v>1</v>
      </c>
      <c r="Q1347">
        <v>1</v>
      </c>
      <c r="R1347">
        <v>2</v>
      </c>
      <c r="S1347">
        <v>1</v>
      </c>
      <c r="T1347">
        <v>2</v>
      </c>
      <c r="U1347">
        <v>3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2</v>
      </c>
      <c r="AL1347">
        <v>1</v>
      </c>
      <c r="AM1347">
        <v>2</v>
      </c>
      <c r="AN1347">
        <v>3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 s="2">
        <v>1</v>
      </c>
      <c r="BD1347" s="2">
        <v>2</v>
      </c>
      <c r="BE1347" s="2">
        <v>1</v>
      </c>
      <c r="BF1347" s="2">
        <v>2</v>
      </c>
      <c r="BG1347" s="2">
        <v>3</v>
      </c>
      <c r="BH1347" s="2">
        <v>1</v>
      </c>
      <c r="BI1347" s="2">
        <v>1</v>
      </c>
      <c r="BJ1347" s="2">
        <v>1</v>
      </c>
      <c r="BK1347" s="2">
        <v>0</v>
      </c>
      <c r="BL1347" s="2">
        <v>0</v>
      </c>
      <c r="BM1347" s="2">
        <v>0</v>
      </c>
      <c r="BN1347" s="2">
        <v>1</v>
      </c>
      <c r="BO1347" s="2">
        <v>1</v>
      </c>
      <c r="BP1347" s="2">
        <v>0</v>
      </c>
      <c r="BQ1347" s="2">
        <v>1</v>
      </c>
      <c r="BR1347" s="2">
        <v>0</v>
      </c>
      <c r="BS1347" s="2">
        <v>0</v>
      </c>
      <c r="BT1347" s="2">
        <v>0</v>
      </c>
      <c r="BU1347" s="2">
        <v>0</v>
      </c>
      <c r="BV1347" s="2">
        <f t="shared" si="85"/>
        <v>15</v>
      </c>
      <c r="BW1347" s="16">
        <f t="shared" si="83"/>
        <v>0.78947368421052633</v>
      </c>
      <c r="BX1347" s="16">
        <f>COUNTIF($BC$6:BU1347, "=0") / COUNTIF($BC$6:BU1347, "&gt;-1")</f>
        <v>0.35155698486155779</v>
      </c>
      <c r="BY1347" s="18">
        <f>SUM($BC$6:BU1347) / $BY$4</f>
        <v>0.97070810984814271</v>
      </c>
      <c r="BZ1347" s="14">
        <f t="shared" si="84"/>
        <v>8</v>
      </c>
      <c r="CA1347" t="s">
        <v>5832</v>
      </c>
      <c r="CZ1347" t="s">
        <v>7557</v>
      </c>
      <c r="DA1347" t="s">
        <v>5904</v>
      </c>
      <c r="DB1347">
        <v>102.4</v>
      </c>
      <c r="DC1347" t="s">
        <v>19042</v>
      </c>
      <c r="DD1347" t="s">
        <v>19043</v>
      </c>
      <c r="DE1347" t="s">
        <v>19044</v>
      </c>
      <c r="DF1347" t="s">
        <v>19045</v>
      </c>
      <c r="DG1347" t="s">
        <v>19046</v>
      </c>
      <c r="DH1347" t="str">
        <f>"FXYD2"</f>
        <v>FXYD2</v>
      </c>
      <c r="DI1347" t="s">
        <v>19047</v>
      </c>
      <c r="DJ1347" t="s">
        <v>13777</v>
      </c>
      <c r="DK1347">
        <v>9606</v>
      </c>
      <c r="DL1347" s="34" t="str">
        <f>HYPERLINK("http://www.uniprot.org/uniprot/P54710", "P54710")</f>
        <v>P54710</v>
      </c>
      <c r="DM1347" t="s">
        <v>19048</v>
      </c>
      <c r="DN1347" t="s">
        <v>19049</v>
      </c>
      <c r="DO1347" t="s">
        <v>13825</v>
      </c>
      <c r="DP1347" t="s">
        <v>13841</v>
      </c>
      <c r="DQ1347" t="s">
        <v>13772</v>
      </c>
      <c r="DR1347" t="s">
        <v>19050</v>
      </c>
      <c r="DS1347" t="s">
        <v>13925</v>
      </c>
      <c r="DT1347" t="s">
        <v>19051</v>
      </c>
      <c r="DU1347" t="s">
        <v>13772</v>
      </c>
      <c r="DV1347" t="s">
        <v>13772</v>
      </c>
      <c r="DW1347" t="s">
        <v>13812</v>
      </c>
      <c r="DX1347" t="s">
        <v>19052</v>
      </c>
      <c r="DY1347" t="s">
        <v>19053</v>
      </c>
      <c r="DZ1347" t="s">
        <v>19054</v>
      </c>
      <c r="EA1347" t="s">
        <v>13772</v>
      </c>
      <c r="EB1347" t="s">
        <v>19055</v>
      </c>
    </row>
    <row r="1348" spans="1:132" hidden="1">
      <c r="A1348">
        <v>587</v>
      </c>
      <c r="B1348">
        <v>1</v>
      </c>
      <c r="C1348" t="s">
        <v>1456</v>
      </c>
      <c r="D1348" t="s">
        <v>73</v>
      </c>
      <c r="E1348" t="s">
        <v>73</v>
      </c>
      <c r="F1348" t="s">
        <v>73</v>
      </c>
      <c r="G1348" t="s">
        <v>73</v>
      </c>
      <c r="H1348">
        <v>14.2</v>
      </c>
      <c r="I1348">
        <v>415</v>
      </c>
      <c r="J1348">
        <v>47143</v>
      </c>
      <c r="K1348" t="s">
        <v>1457</v>
      </c>
      <c r="L1348">
        <f t="shared" si="82"/>
        <v>15</v>
      </c>
      <c r="N1348">
        <v>15</v>
      </c>
      <c r="O1348">
        <v>15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4</v>
      </c>
      <c r="V1348">
        <v>2</v>
      </c>
      <c r="W1348">
        <v>0</v>
      </c>
      <c r="X1348">
        <v>1</v>
      </c>
      <c r="Y1348">
        <v>0</v>
      </c>
      <c r="Z1348">
        <v>0</v>
      </c>
      <c r="AA1348">
        <v>2</v>
      </c>
      <c r="AB1348">
        <v>2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4</v>
      </c>
      <c r="AO1348">
        <v>2</v>
      </c>
      <c r="AP1348">
        <v>0</v>
      </c>
      <c r="AQ1348">
        <v>1</v>
      </c>
      <c r="AR1348">
        <v>0</v>
      </c>
      <c r="AS1348">
        <v>0</v>
      </c>
      <c r="AT1348">
        <v>2</v>
      </c>
      <c r="AU1348">
        <v>2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 s="2">
        <v>1</v>
      </c>
      <c r="BD1348" s="2">
        <v>1</v>
      </c>
      <c r="BE1348" s="2">
        <v>0</v>
      </c>
      <c r="BF1348" s="2">
        <v>0</v>
      </c>
      <c r="BG1348" s="2">
        <v>4</v>
      </c>
      <c r="BH1348" s="2">
        <v>2</v>
      </c>
      <c r="BI1348" s="2">
        <v>0</v>
      </c>
      <c r="BJ1348" s="2">
        <v>1</v>
      </c>
      <c r="BK1348" s="2">
        <v>0</v>
      </c>
      <c r="BL1348" s="2">
        <v>0</v>
      </c>
      <c r="BM1348" s="2">
        <v>2</v>
      </c>
      <c r="BN1348" s="2">
        <v>2</v>
      </c>
      <c r="BO1348" s="2">
        <v>0</v>
      </c>
      <c r="BP1348" s="2">
        <v>0</v>
      </c>
      <c r="BQ1348" s="2">
        <v>0</v>
      </c>
      <c r="BR1348" s="2">
        <v>1</v>
      </c>
      <c r="BS1348" s="2">
        <v>1</v>
      </c>
      <c r="BT1348" s="2">
        <v>0</v>
      </c>
      <c r="BU1348" s="2">
        <v>0</v>
      </c>
      <c r="BV1348" s="2">
        <f t="shared" si="85"/>
        <v>15</v>
      </c>
      <c r="BW1348" s="16">
        <f t="shared" si="83"/>
        <v>0.78947368421052633</v>
      </c>
      <c r="BX1348" s="16">
        <f>COUNTIF($BC$6:BU1348, "=0") / COUNTIF($BC$6:BU1348, "&gt;-1")</f>
        <v>0.35168711055374846</v>
      </c>
      <c r="BY1348" s="18">
        <f>SUM($BC$6:BU1348) / $BY$4</f>
        <v>0.9707723644011732</v>
      </c>
      <c r="BZ1348" s="14">
        <f t="shared" si="84"/>
        <v>10</v>
      </c>
      <c r="CA1348" t="s">
        <v>5832</v>
      </c>
      <c r="CZ1348" t="s">
        <v>7728</v>
      </c>
      <c r="DA1348" t="s">
        <v>5904</v>
      </c>
      <c r="DB1348">
        <v>847.4</v>
      </c>
      <c r="DC1348" t="s">
        <v>19563</v>
      </c>
      <c r="DD1348" t="s">
        <v>19564</v>
      </c>
      <c r="DE1348" t="s">
        <v>19565</v>
      </c>
      <c r="DF1348" t="s">
        <v>19566</v>
      </c>
      <c r="DG1348" t="s">
        <v>19567</v>
      </c>
      <c r="DH1348" t="str">
        <f>"B4GAT1"</f>
        <v>B4GAT1</v>
      </c>
      <c r="DI1348" t="s">
        <v>13772</v>
      </c>
      <c r="DJ1348" t="s">
        <v>13777</v>
      </c>
      <c r="DK1348">
        <v>9606</v>
      </c>
      <c r="DL1348" s="34" t="str">
        <f>HYPERLINK("http://www.uniprot.org/uniprot/O43505", "O43505")</f>
        <v>O43505</v>
      </c>
      <c r="DM1348" t="s">
        <v>19568</v>
      </c>
      <c r="DN1348" t="s">
        <v>13772</v>
      </c>
      <c r="DO1348" t="s">
        <v>18298</v>
      </c>
      <c r="DP1348" t="s">
        <v>13793</v>
      </c>
      <c r="DQ1348" t="s">
        <v>13772</v>
      </c>
      <c r="DR1348" t="s">
        <v>19569</v>
      </c>
      <c r="DS1348" t="s">
        <v>14417</v>
      </c>
      <c r="DT1348" t="s">
        <v>15674</v>
      </c>
      <c r="DU1348" t="s">
        <v>15995</v>
      </c>
      <c r="DV1348" t="s">
        <v>13858</v>
      </c>
      <c r="DW1348" t="s">
        <v>13772</v>
      </c>
      <c r="DX1348" t="s">
        <v>19570</v>
      </c>
      <c r="DY1348" t="s">
        <v>19571</v>
      </c>
      <c r="DZ1348" t="s">
        <v>19572</v>
      </c>
      <c r="EA1348" t="s">
        <v>19573</v>
      </c>
      <c r="EB1348" t="s">
        <v>19574</v>
      </c>
    </row>
    <row r="1349" spans="1:132" hidden="1">
      <c r="A1349">
        <v>591</v>
      </c>
      <c r="B1349">
        <v>1</v>
      </c>
      <c r="C1349" t="s">
        <v>1466</v>
      </c>
      <c r="D1349" t="s">
        <v>73</v>
      </c>
      <c r="E1349" t="s">
        <v>73</v>
      </c>
      <c r="F1349" t="s">
        <v>73</v>
      </c>
      <c r="G1349" t="s">
        <v>73</v>
      </c>
      <c r="H1349">
        <v>12.9</v>
      </c>
      <c r="I1349">
        <v>997</v>
      </c>
      <c r="J1349">
        <v>111512</v>
      </c>
      <c r="K1349" t="s">
        <v>1467</v>
      </c>
      <c r="L1349">
        <f t="shared" si="82"/>
        <v>15</v>
      </c>
      <c r="N1349">
        <v>15</v>
      </c>
      <c r="O1349">
        <v>15</v>
      </c>
      <c r="P1349">
        <v>1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4</v>
      </c>
      <c r="Z1349">
        <v>0</v>
      </c>
      <c r="AA1349">
        <v>0</v>
      </c>
      <c r="AB1349">
        <v>6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</v>
      </c>
      <c r="AS1349">
        <v>0</v>
      </c>
      <c r="AT1349">
        <v>0</v>
      </c>
      <c r="AU1349">
        <v>6</v>
      </c>
      <c r="AV1349">
        <v>1</v>
      </c>
      <c r="AW1349">
        <v>1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4</v>
      </c>
      <c r="BL1349" s="2">
        <v>0</v>
      </c>
      <c r="BM1349" s="2">
        <v>0</v>
      </c>
      <c r="BN1349" s="2">
        <v>6</v>
      </c>
      <c r="BO1349" s="2">
        <v>1</v>
      </c>
      <c r="BP1349" s="2">
        <v>1</v>
      </c>
      <c r="BQ1349" s="2">
        <v>0</v>
      </c>
      <c r="BR1349" s="2">
        <v>1</v>
      </c>
      <c r="BS1349" s="2">
        <v>0</v>
      </c>
      <c r="BT1349" s="2">
        <v>0</v>
      </c>
      <c r="BU1349" s="2">
        <v>0</v>
      </c>
      <c r="BV1349" s="2">
        <f t="shared" si="85"/>
        <v>15</v>
      </c>
      <c r="BW1349" s="16">
        <f t="shared" si="83"/>
        <v>0.78947368421052633</v>
      </c>
      <c r="BX1349" s="16">
        <f>COUNTIF($BC$6:BU1349, "=0") / COUNTIF($BC$6:BU1349, "&gt;-1")</f>
        <v>0.35189536340852129</v>
      </c>
      <c r="BY1349" s="18">
        <f>SUM($BC$6:BU1349) / $BY$4</f>
        <v>0.9708366189542037</v>
      </c>
      <c r="BZ1349" s="14">
        <f t="shared" si="84"/>
        <v>12</v>
      </c>
      <c r="CA1349" t="s">
        <v>5832</v>
      </c>
      <c r="CZ1349" t="s">
        <v>7743</v>
      </c>
      <c r="DA1349" t="s">
        <v>5904</v>
      </c>
      <c r="DB1349">
        <v>1819.3</v>
      </c>
      <c r="DC1349" t="s">
        <v>19610</v>
      </c>
      <c r="DD1349" t="s">
        <v>19611</v>
      </c>
      <c r="DE1349" t="s">
        <v>19612</v>
      </c>
      <c r="DF1349" t="s">
        <v>19613</v>
      </c>
      <c r="DG1349" t="s">
        <v>19614</v>
      </c>
      <c r="DH1349" t="str">
        <f>"HYOU1"</f>
        <v>HYOU1</v>
      </c>
      <c r="DI1349" t="s">
        <v>19615</v>
      </c>
      <c r="DJ1349" t="s">
        <v>13777</v>
      </c>
      <c r="DK1349">
        <v>9606</v>
      </c>
      <c r="DL1349" s="34" t="str">
        <f>HYPERLINK("http://www.uniprot.org/uniprot/Q9Y4L1", "Q9Y4L1")</f>
        <v>Q9Y4L1</v>
      </c>
      <c r="DM1349" t="s">
        <v>19616</v>
      </c>
      <c r="DN1349" t="s">
        <v>15280</v>
      </c>
      <c r="DO1349" t="s">
        <v>14908</v>
      </c>
      <c r="DP1349" t="s">
        <v>13841</v>
      </c>
      <c r="DQ1349" t="s">
        <v>13772</v>
      </c>
      <c r="DR1349" t="s">
        <v>13772</v>
      </c>
      <c r="DS1349" t="s">
        <v>13808</v>
      </c>
      <c r="DT1349" t="s">
        <v>14005</v>
      </c>
      <c r="DU1349" t="s">
        <v>14477</v>
      </c>
      <c r="DV1349" t="s">
        <v>14182</v>
      </c>
      <c r="DW1349" t="s">
        <v>13772</v>
      </c>
      <c r="DX1349" t="s">
        <v>19617</v>
      </c>
      <c r="DY1349" t="s">
        <v>19618</v>
      </c>
      <c r="DZ1349" t="s">
        <v>19619</v>
      </c>
      <c r="EA1349" t="s">
        <v>13772</v>
      </c>
      <c r="EB1349" t="s">
        <v>19620</v>
      </c>
    </row>
    <row r="1350" spans="1:132" hidden="1">
      <c r="A1350">
        <v>758</v>
      </c>
      <c r="B1350">
        <v>1</v>
      </c>
      <c r="C1350" t="s">
        <v>1863</v>
      </c>
      <c r="D1350" t="s">
        <v>73</v>
      </c>
      <c r="E1350" t="s">
        <v>73</v>
      </c>
      <c r="F1350" t="s">
        <v>73</v>
      </c>
      <c r="G1350" t="s">
        <v>73</v>
      </c>
      <c r="H1350">
        <v>20.5</v>
      </c>
      <c r="I1350">
        <v>161</v>
      </c>
      <c r="J1350">
        <v>18388</v>
      </c>
      <c r="K1350" t="s">
        <v>1864</v>
      </c>
      <c r="L1350">
        <f t="shared" ref="L1350:L1413" si="86">N1350</f>
        <v>15</v>
      </c>
      <c r="N1350">
        <v>15</v>
      </c>
      <c r="O1350">
        <v>15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2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7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2</v>
      </c>
      <c r="AR1350">
        <v>3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7</v>
      </c>
      <c r="AY1350">
        <v>2</v>
      </c>
      <c r="AZ1350">
        <v>0</v>
      </c>
      <c r="BA1350">
        <v>0</v>
      </c>
      <c r="BB1350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1</v>
      </c>
      <c r="BJ1350" s="2">
        <v>2</v>
      </c>
      <c r="BK1350" s="2">
        <v>3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7</v>
      </c>
      <c r="BR1350" s="2">
        <v>2</v>
      </c>
      <c r="BS1350" s="2">
        <v>0</v>
      </c>
      <c r="BT1350" s="2">
        <v>0</v>
      </c>
      <c r="BU1350" s="2">
        <v>0</v>
      </c>
      <c r="BV1350" s="2">
        <f t="shared" si="85"/>
        <v>15</v>
      </c>
      <c r="BW1350" s="16">
        <f t="shared" ref="BW1350:BW1413" si="87">AVERAGE(BC1350:BU1350)</f>
        <v>0.78947368421052633</v>
      </c>
      <c r="BX1350" s="16">
        <f>COUNTIF($BC$6:BU1350, "=0") / COUNTIF($BC$6:BU1350, "&gt;-1")</f>
        <v>0.35218156916454707</v>
      </c>
      <c r="BY1350" s="18">
        <f>SUM($BC$6:BU1350) / $BY$4</f>
        <v>0.9709008735072342</v>
      </c>
      <c r="BZ1350" s="14">
        <f t="shared" ref="BZ1350:BZ1413" si="88">19-COUNTIF(BC1350:BU1350, "&gt;0")</f>
        <v>14</v>
      </c>
      <c r="CA1350" t="s">
        <v>5832</v>
      </c>
      <c r="CZ1350" t="s">
        <v>8296</v>
      </c>
      <c r="DA1350" t="s">
        <v>5904</v>
      </c>
      <c r="DB1350">
        <v>317</v>
      </c>
      <c r="DC1350" t="s">
        <v>21244</v>
      </c>
      <c r="DD1350" t="s">
        <v>13772</v>
      </c>
      <c r="DE1350" t="s">
        <v>21245</v>
      </c>
      <c r="DF1350" t="s">
        <v>21246</v>
      </c>
      <c r="DG1350" t="s">
        <v>21247</v>
      </c>
      <c r="DH1350" t="str">
        <f>"TNNC1"</f>
        <v>TNNC1</v>
      </c>
      <c r="DI1350" t="s">
        <v>21248</v>
      </c>
      <c r="DJ1350" t="s">
        <v>13777</v>
      </c>
      <c r="DK1350">
        <v>9606</v>
      </c>
      <c r="DL1350" s="34" t="str">
        <f>HYPERLINK("http://www.uniprot.org/uniprot/P63316", "P63316")</f>
        <v>P63316</v>
      </c>
      <c r="DM1350" t="s">
        <v>21249</v>
      </c>
      <c r="DN1350" t="s">
        <v>13772</v>
      </c>
      <c r="DO1350" t="s">
        <v>13772</v>
      </c>
      <c r="DP1350" t="s">
        <v>13793</v>
      </c>
      <c r="DQ1350" t="s">
        <v>13772</v>
      </c>
      <c r="DR1350" t="s">
        <v>14848</v>
      </c>
      <c r="DS1350" t="s">
        <v>14096</v>
      </c>
      <c r="DT1350" t="s">
        <v>13873</v>
      </c>
      <c r="DU1350" t="s">
        <v>17512</v>
      </c>
      <c r="DV1350" t="s">
        <v>13886</v>
      </c>
      <c r="DW1350" t="s">
        <v>13812</v>
      </c>
      <c r="DX1350" t="s">
        <v>21250</v>
      </c>
      <c r="DY1350" t="s">
        <v>21251</v>
      </c>
      <c r="DZ1350" t="s">
        <v>21252</v>
      </c>
      <c r="EA1350" t="s">
        <v>13772</v>
      </c>
      <c r="EB1350" t="s">
        <v>15657</v>
      </c>
    </row>
    <row r="1351" spans="1:132" hidden="1">
      <c r="A1351">
        <v>776</v>
      </c>
      <c r="B1351">
        <v>1</v>
      </c>
      <c r="C1351" t="s">
        <v>1907</v>
      </c>
      <c r="D1351" t="s">
        <v>73</v>
      </c>
      <c r="E1351" t="s">
        <v>73</v>
      </c>
      <c r="F1351" t="s">
        <v>73</v>
      </c>
      <c r="G1351" t="s">
        <v>73</v>
      </c>
      <c r="H1351">
        <v>25.8</v>
      </c>
      <c r="I1351">
        <v>357</v>
      </c>
      <c r="J1351">
        <v>39301</v>
      </c>
      <c r="K1351" t="s">
        <v>1908</v>
      </c>
      <c r="L1351">
        <f t="shared" si="86"/>
        <v>15</v>
      </c>
      <c r="N1351">
        <v>15</v>
      </c>
      <c r="O1351">
        <v>15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4</v>
      </c>
      <c r="W1351">
        <v>4</v>
      </c>
      <c r="X1351">
        <v>2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1</v>
      </c>
      <c r="AO1351">
        <v>4</v>
      </c>
      <c r="AP1351">
        <v>4</v>
      </c>
      <c r="AQ1351">
        <v>2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 s="2">
        <v>1</v>
      </c>
      <c r="BD1351" s="2">
        <v>0</v>
      </c>
      <c r="BE1351" s="2">
        <v>0</v>
      </c>
      <c r="BF1351" s="2">
        <v>1</v>
      </c>
      <c r="BG1351" s="2">
        <v>1</v>
      </c>
      <c r="BH1351" s="2">
        <v>4</v>
      </c>
      <c r="BI1351" s="2">
        <v>4</v>
      </c>
      <c r="BJ1351" s="2">
        <v>2</v>
      </c>
      <c r="BK1351" s="2">
        <v>0</v>
      </c>
      <c r="BL1351" s="2">
        <v>0</v>
      </c>
      <c r="BM1351" s="2">
        <v>0</v>
      </c>
      <c r="BN1351" s="2">
        <v>1</v>
      </c>
      <c r="BO1351" s="2">
        <v>0</v>
      </c>
      <c r="BP1351" s="2">
        <v>0</v>
      </c>
      <c r="BQ1351" s="2">
        <v>0</v>
      </c>
      <c r="BR1351" s="2">
        <v>1</v>
      </c>
      <c r="BS1351" s="2">
        <v>0</v>
      </c>
      <c r="BT1351" s="2">
        <v>0</v>
      </c>
      <c r="BU1351" s="2">
        <v>0</v>
      </c>
      <c r="BV1351" s="2">
        <f t="shared" ref="BV1351:BV1414" si="89">SUM(BC1351:BU1351)</f>
        <v>15</v>
      </c>
      <c r="BW1351" s="16">
        <f t="shared" si="87"/>
        <v>0.78947368421052633</v>
      </c>
      <c r="BX1351" s="16">
        <f>COUNTIF($BC$6:BU1351, "=0") / COUNTIF($BC$6:BU1351, "&gt;-1")</f>
        <v>0.3523500430124345</v>
      </c>
      <c r="BY1351" s="18">
        <f>SUM($BC$6:BU1351) / $BY$4</f>
        <v>0.97096512806026469</v>
      </c>
      <c r="BZ1351" s="14">
        <f t="shared" si="88"/>
        <v>11</v>
      </c>
      <c r="CA1351" t="s">
        <v>5832</v>
      </c>
      <c r="CZ1351" t="s">
        <v>8358</v>
      </c>
      <c r="DA1351" t="s">
        <v>5904</v>
      </c>
      <c r="DB1351">
        <v>537.70000000000005</v>
      </c>
      <c r="DC1351" t="s">
        <v>21430</v>
      </c>
      <c r="DD1351" t="s">
        <v>21431</v>
      </c>
      <c r="DE1351" t="s">
        <v>21432</v>
      </c>
      <c r="DF1351" t="s">
        <v>21433</v>
      </c>
      <c r="DG1351" t="s">
        <v>21434</v>
      </c>
      <c r="DH1351" t="str">
        <f>"DNASE2"</f>
        <v>DNASE2</v>
      </c>
      <c r="DI1351" t="s">
        <v>21435</v>
      </c>
      <c r="DJ1351" t="s">
        <v>13777</v>
      </c>
      <c r="DK1351">
        <v>9606</v>
      </c>
      <c r="DL1351" s="34" t="str">
        <f>HYPERLINK("http://www.uniprot.org/uniprot/O00115", "O00115")</f>
        <v>O00115</v>
      </c>
      <c r="DM1351" t="s">
        <v>21436</v>
      </c>
      <c r="DN1351" t="s">
        <v>17109</v>
      </c>
      <c r="DO1351" t="s">
        <v>13806</v>
      </c>
      <c r="DP1351" t="s">
        <v>13780</v>
      </c>
      <c r="DQ1351" t="s">
        <v>13772</v>
      </c>
      <c r="DR1351" t="s">
        <v>13772</v>
      </c>
      <c r="DS1351" t="s">
        <v>13808</v>
      </c>
      <c r="DT1351" t="s">
        <v>13772</v>
      </c>
      <c r="DU1351" t="s">
        <v>21437</v>
      </c>
      <c r="DV1351" t="s">
        <v>13796</v>
      </c>
      <c r="DW1351" t="s">
        <v>13772</v>
      </c>
      <c r="DX1351" t="s">
        <v>21438</v>
      </c>
      <c r="DY1351" t="s">
        <v>21439</v>
      </c>
      <c r="DZ1351" t="s">
        <v>21440</v>
      </c>
      <c r="EA1351" t="s">
        <v>13772</v>
      </c>
      <c r="EB1351" t="s">
        <v>21441</v>
      </c>
    </row>
    <row r="1352" spans="1:132" hidden="1">
      <c r="A1352">
        <v>787</v>
      </c>
      <c r="B1352">
        <v>1</v>
      </c>
      <c r="C1352" t="s">
        <v>1934</v>
      </c>
      <c r="D1352" t="s">
        <v>73</v>
      </c>
      <c r="E1352" t="s">
        <v>73</v>
      </c>
      <c r="F1352" t="s">
        <v>73</v>
      </c>
      <c r="G1352" t="s">
        <v>73</v>
      </c>
      <c r="H1352">
        <v>33.299999999999997</v>
      </c>
      <c r="I1352">
        <v>162</v>
      </c>
      <c r="J1352">
        <v>17713</v>
      </c>
      <c r="K1352" t="s">
        <v>1935</v>
      </c>
      <c r="L1352">
        <f t="shared" si="86"/>
        <v>15</v>
      </c>
      <c r="N1352">
        <v>15</v>
      </c>
      <c r="O1352">
        <v>15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1</v>
      </c>
      <c r="W1352">
        <v>1</v>
      </c>
      <c r="X1352">
        <v>0</v>
      </c>
      <c r="Y1352">
        <v>3</v>
      </c>
      <c r="Z1352">
        <v>0</v>
      </c>
      <c r="AA1352">
        <v>1</v>
      </c>
      <c r="AB1352">
        <v>2</v>
      </c>
      <c r="AC1352">
        <v>0</v>
      </c>
      <c r="AD1352">
        <v>0</v>
      </c>
      <c r="AE1352">
        <v>2</v>
      </c>
      <c r="AF1352">
        <v>3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1</v>
      </c>
      <c r="AP1352">
        <v>1</v>
      </c>
      <c r="AQ1352">
        <v>0</v>
      </c>
      <c r="AR1352">
        <v>3</v>
      </c>
      <c r="AS1352">
        <v>0</v>
      </c>
      <c r="AT1352">
        <v>1</v>
      </c>
      <c r="AU1352">
        <v>2</v>
      </c>
      <c r="AV1352">
        <v>0</v>
      </c>
      <c r="AW1352">
        <v>0</v>
      </c>
      <c r="AX1352">
        <v>2</v>
      </c>
      <c r="AY1352">
        <v>3</v>
      </c>
      <c r="AZ1352">
        <v>0</v>
      </c>
      <c r="BA1352">
        <v>0</v>
      </c>
      <c r="BB135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2</v>
      </c>
      <c r="BH1352" s="2">
        <v>1</v>
      </c>
      <c r="BI1352" s="2">
        <v>1</v>
      </c>
      <c r="BJ1352" s="2">
        <v>0</v>
      </c>
      <c r="BK1352" s="2">
        <v>3</v>
      </c>
      <c r="BL1352" s="2">
        <v>0</v>
      </c>
      <c r="BM1352" s="2">
        <v>1</v>
      </c>
      <c r="BN1352" s="2">
        <v>2</v>
      </c>
      <c r="BO1352" s="2">
        <v>0</v>
      </c>
      <c r="BP1352" s="2">
        <v>0</v>
      </c>
      <c r="BQ1352" s="2">
        <v>2</v>
      </c>
      <c r="BR1352" s="2">
        <v>3</v>
      </c>
      <c r="BS1352" s="2">
        <v>0</v>
      </c>
      <c r="BT1352" s="2">
        <v>0</v>
      </c>
      <c r="BU1352" s="2">
        <v>0</v>
      </c>
      <c r="BV1352" s="2">
        <f t="shared" si="89"/>
        <v>15</v>
      </c>
      <c r="BW1352" s="16">
        <f t="shared" si="87"/>
        <v>0.78947368421052633</v>
      </c>
      <c r="BX1352" s="16">
        <f>COUNTIF($BC$6:BU1352, "=0") / COUNTIF($BC$6:BU1352, "&gt;-1")</f>
        <v>0.35251826671355446</v>
      </c>
      <c r="BY1352" s="18">
        <f>SUM($BC$6:BU1352) / $BY$4</f>
        <v>0.97102938261329519</v>
      </c>
      <c r="BZ1352" s="14">
        <f t="shared" si="88"/>
        <v>11</v>
      </c>
      <c r="CA1352" t="s">
        <v>5832</v>
      </c>
      <c r="CZ1352" t="s">
        <v>8396</v>
      </c>
      <c r="DA1352" t="s">
        <v>5904</v>
      </c>
      <c r="DB1352">
        <v>325.89999999999998</v>
      </c>
      <c r="DC1352" t="s">
        <v>21549</v>
      </c>
      <c r="DD1352" t="s">
        <v>21550</v>
      </c>
      <c r="DE1352" t="s">
        <v>21551</v>
      </c>
      <c r="DF1352" t="s">
        <v>21552</v>
      </c>
      <c r="DG1352" t="s">
        <v>21553</v>
      </c>
      <c r="DH1352" t="str">
        <f>"BTF3"</f>
        <v>BTF3</v>
      </c>
      <c r="DI1352" t="s">
        <v>21554</v>
      </c>
      <c r="DJ1352" t="s">
        <v>13777</v>
      </c>
      <c r="DK1352">
        <v>9606</v>
      </c>
      <c r="DL1352" s="34" t="str">
        <f>HYPERLINK("http://www.uniprot.org/uniprot/P20290", "P20290")</f>
        <v>P20290</v>
      </c>
      <c r="DM1352" t="s">
        <v>21555</v>
      </c>
      <c r="DN1352" t="s">
        <v>21556</v>
      </c>
      <c r="DO1352" t="s">
        <v>13912</v>
      </c>
      <c r="DP1352" t="s">
        <v>13841</v>
      </c>
      <c r="DQ1352" t="s">
        <v>13772</v>
      </c>
      <c r="DR1352" t="s">
        <v>13772</v>
      </c>
      <c r="DS1352" t="s">
        <v>13772</v>
      </c>
      <c r="DT1352" t="s">
        <v>13772</v>
      </c>
      <c r="DU1352" t="s">
        <v>14477</v>
      </c>
      <c r="DV1352" t="s">
        <v>14478</v>
      </c>
      <c r="DW1352" t="s">
        <v>13812</v>
      </c>
      <c r="DX1352" t="s">
        <v>21557</v>
      </c>
      <c r="DY1352" t="s">
        <v>21558</v>
      </c>
      <c r="DZ1352" t="s">
        <v>14235</v>
      </c>
      <c r="EA1352" t="s">
        <v>13772</v>
      </c>
      <c r="EB1352" t="s">
        <v>13772</v>
      </c>
    </row>
    <row r="1353" spans="1:132" hidden="1">
      <c r="A1353">
        <v>822</v>
      </c>
      <c r="B1353">
        <v>1</v>
      </c>
      <c r="C1353" t="s">
        <v>2011</v>
      </c>
      <c r="D1353" t="s">
        <v>2012</v>
      </c>
      <c r="E1353" t="s">
        <v>73</v>
      </c>
      <c r="F1353" t="s">
        <v>73</v>
      </c>
      <c r="G1353" t="s">
        <v>73</v>
      </c>
      <c r="H1353">
        <v>30.7</v>
      </c>
      <c r="I1353">
        <v>349</v>
      </c>
      <c r="J1353">
        <v>39541</v>
      </c>
      <c r="K1353" t="s">
        <v>2013</v>
      </c>
      <c r="L1353">
        <f t="shared" si="86"/>
        <v>15</v>
      </c>
      <c r="N1353">
        <v>15</v>
      </c>
      <c r="O1353">
        <v>15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</v>
      </c>
      <c r="Y1353">
        <v>0</v>
      </c>
      <c r="Z1353">
        <v>0</v>
      </c>
      <c r="AA1353">
        <v>3</v>
      </c>
      <c r="AB1353">
        <v>0</v>
      </c>
      <c r="AC1353">
        <v>8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</v>
      </c>
      <c r="AR1353">
        <v>0</v>
      </c>
      <c r="AS1353">
        <v>0</v>
      </c>
      <c r="AT1353">
        <v>3</v>
      </c>
      <c r="AU1353">
        <v>0</v>
      </c>
      <c r="AV1353">
        <v>8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3</v>
      </c>
      <c r="BK1353" s="2">
        <v>0</v>
      </c>
      <c r="BL1353" s="2">
        <v>0</v>
      </c>
      <c r="BM1353" s="2">
        <v>3</v>
      </c>
      <c r="BN1353" s="2">
        <v>0</v>
      </c>
      <c r="BO1353" s="2">
        <v>8</v>
      </c>
      <c r="BP1353" s="2">
        <v>0</v>
      </c>
      <c r="BQ1353" s="2">
        <v>0</v>
      </c>
      <c r="BR1353" s="2">
        <v>1</v>
      </c>
      <c r="BS1353" s="2">
        <v>0</v>
      </c>
      <c r="BT1353" s="2">
        <v>0</v>
      </c>
      <c r="BU1353" s="2">
        <v>0</v>
      </c>
      <c r="BV1353" s="2">
        <f t="shared" si="89"/>
        <v>15</v>
      </c>
      <c r="BW1353" s="16">
        <f t="shared" si="87"/>
        <v>0.78947368421052633</v>
      </c>
      <c r="BX1353" s="16">
        <f>COUNTIF($BC$6:BU1353, "=0") / COUNTIF($BC$6:BU1353, "&gt;-1")</f>
        <v>0.35284241761674218</v>
      </c>
      <c r="BY1353" s="18">
        <f>SUM($BC$6:BU1353) / $BY$4</f>
        <v>0.97109363716632568</v>
      </c>
      <c r="BZ1353" s="14">
        <f t="shared" si="88"/>
        <v>15</v>
      </c>
      <c r="CA1353" t="s">
        <v>5832</v>
      </c>
      <c r="CZ1353" t="s">
        <v>8513</v>
      </c>
      <c r="DA1353" t="s">
        <v>5904</v>
      </c>
      <c r="DB1353">
        <v>697.6</v>
      </c>
      <c r="DC1353" t="s">
        <v>21898</v>
      </c>
      <c r="DD1353" t="s">
        <v>21899</v>
      </c>
      <c r="DE1353" t="s">
        <v>21900</v>
      </c>
      <c r="DF1353" t="s">
        <v>21901</v>
      </c>
      <c r="DG1353" t="s">
        <v>21902</v>
      </c>
      <c r="DH1353" t="str">
        <f>"TWF2"</f>
        <v>TWF2</v>
      </c>
      <c r="DI1353" t="s">
        <v>21903</v>
      </c>
      <c r="DJ1353" t="s">
        <v>13777</v>
      </c>
      <c r="DK1353">
        <v>9606</v>
      </c>
      <c r="DL1353" s="34" t="str">
        <f>HYPERLINK("http://www.uniprot.org/uniprot/Q6IBS0", "Q6IBS0")</f>
        <v>Q6IBS0</v>
      </c>
      <c r="DM1353" t="s">
        <v>21904</v>
      </c>
      <c r="DN1353" t="s">
        <v>21905</v>
      </c>
      <c r="DO1353" t="s">
        <v>14870</v>
      </c>
      <c r="DP1353" t="s">
        <v>13793</v>
      </c>
      <c r="DQ1353" t="s">
        <v>13772</v>
      </c>
      <c r="DR1353" t="s">
        <v>13772</v>
      </c>
      <c r="DS1353" t="s">
        <v>14096</v>
      </c>
      <c r="DT1353" t="s">
        <v>13772</v>
      </c>
      <c r="DU1353" t="s">
        <v>13990</v>
      </c>
      <c r="DV1353" t="s">
        <v>13886</v>
      </c>
      <c r="DW1353" t="s">
        <v>13812</v>
      </c>
      <c r="DX1353" t="s">
        <v>21906</v>
      </c>
      <c r="DY1353" t="s">
        <v>21907</v>
      </c>
      <c r="DZ1353" t="s">
        <v>21908</v>
      </c>
      <c r="EA1353" t="s">
        <v>13772</v>
      </c>
      <c r="EB1353" t="s">
        <v>13772</v>
      </c>
    </row>
    <row r="1354" spans="1:132" hidden="1">
      <c r="A1354">
        <v>956</v>
      </c>
      <c r="B1354">
        <v>1</v>
      </c>
      <c r="C1354" t="s">
        <v>2325</v>
      </c>
      <c r="D1354" t="s">
        <v>73</v>
      </c>
      <c r="E1354" t="s">
        <v>73</v>
      </c>
      <c r="F1354" t="s">
        <v>73</v>
      </c>
      <c r="G1354" t="s">
        <v>73</v>
      </c>
      <c r="H1354">
        <v>42.7</v>
      </c>
      <c r="I1354">
        <v>225</v>
      </c>
      <c r="J1354">
        <v>24821</v>
      </c>
      <c r="K1354" t="s">
        <v>2326</v>
      </c>
      <c r="L1354">
        <f t="shared" si="86"/>
        <v>15</v>
      </c>
      <c r="N1354">
        <v>15</v>
      </c>
      <c r="O1354">
        <v>15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5</v>
      </c>
      <c r="Z1354">
        <v>0</v>
      </c>
      <c r="AA1354">
        <v>1</v>
      </c>
      <c r="AB1354">
        <v>4</v>
      </c>
      <c r="AC1354">
        <v>2</v>
      </c>
      <c r="AD1354">
        <v>0</v>
      </c>
      <c r="AE1354">
        <v>1</v>
      </c>
      <c r="AF1354">
        <v>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5</v>
      </c>
      <c r="AS1354">
        <v>0</v>
      </c>
      <c r="AT1354">
        <v>1</v>
      </c>
      <c r="AU1354">
        <v>4</v>
      </c>
      <c r="AV1354">
        <v>2</v>
      </c>
      <c r="AW1354">
        <v>0</v>
      </c>
      <c r="AX1354">
        <v>1</v>
      </c>
      <c r="AY1354">
        <v>2</v>
      </c>
      <c r="AZ1354">
        <v>0</v>
      </c>
      <c r="BA1354">
        <v>0</v>
      </c>
      <c r="BB1354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5</v>
      </c>
      <c r="BL1354" s="2">
        <v>0</v>
      </c>
      <c r="BM1354" s="2">
        <v>1</v>
      </c>
      <c r="BN1354" s="2">
        <v>4</v>
      </c>
      <c r="BO1354" s="2">
        <v>2</v>
      </c>
      <c r="BP1354" s="2">
        <v>0</v>
      </c>
      <c r="BQ1354" s="2">
        <v>1</v>
      </c>
      <c r="BR1354" s="2">
        <v>2</v>
      </c>
      <c r="BS1354" s="2">
        <v>0</v>
      </c>
      <c r="BT1354" s="2">
        <v>0</v>
      </c>
      <c r="BU1354" s="2">
        <v>0</v>
      </c>
      <c r="BV1354" s="2">
        <f t="shared" si="89"/>
        <v>15</v>
      </c>
      <c r="BW1354" s="16">
        <f t="shared" si="87"/>
        <v>0.78947368421052633</v>
      </c>
      <c r="BX1354" s="16">
        <f>COUNTIF($BC$6:BU1354, "=0") / COUNTIF($BC$6:BU1354, "&gt;-1")</f>
        <v>0.35308805743045529</v>
      </c>
      <c r="BY1354" s="18">
        <f>SUM($BC$6:BU1354) / $BY$4</f>
        <v>0.97115789171935618</v>
      </c>
      <c r="BZ1354" s="14">
        <f t="shared" si="88"/>
        <v>13</v>
      </c>
      <c r="CA1354" t="s">
        <v>5832</v>
      </c>
      <c r="CZ1354" t="s">
        <v>8973</v>
      </c>
      <c r="DA1354" t="s">
        <v>5904</v>
      </c>
      <c r="DB1354">
        <v>446</v>
      </c>
      <c r="DC1354" t="s">
        <v>23203</v>
      </c>
      <c r="DD1354" t="s">
        <v>13772</v>
      </c>
      <c r="DE1354" t="s">
        <v>23204</v>
      </c>
      <c r="DF1354" t="s">
        <v>23205</v>
      </c>
      <c r="DG1354" t="s">
        <v>23206</v>
      </c>
      <c r="DH1354" t="str">
        <f>"EEF1B2"</f>
        <v>EEF1B2</v>
      </c>
      <c r="DI1354" t="s">
        <v>23207</v>
      </c>
      <c r="DJ1354" t="s">
        <v>13777</v>
      </c>
      <c r="DK1354">
        <v>9606</v>
      </c>
      <c r="DL1354" s="34" t="str">
        <f>HYPERLINK("http://www.uniprot.org/uniprot/P24534", "P24534")</f>
        <v>P24534</v>
      </c>
      <c r="DM1354" t="s">
        <v>23208</v>
      </c>
      <c r="DN1354" t="s">
        <v>17925</v>
      </c>
      <c r="DO1354" t="s">
        <v>13772</v>
      </c>
      <c r="DP1354" t="s">
        <v>13772</v>
      </c>
      <c r="DQ1354" t="s">
        <v>13772</v>
      </c>
      <c r="DR1354" t="s">
        <v>13772</v>
      </c>
      <c r="DS1354" t="s">
        <v>13772</v>
      </c>
      <c r="DT1354" t="s">
        <v>13772</v>
      </c>
      <c r="DU1354" t="s">
        <v>19001</v>
      </c>
      <c r="DV1354" t="s">
        <v>13991</v>
      </c>
      <c r="DW1354" t="s">
        <v>13812</v>
      </c>
      <c r="DX1354" t="s">
        <v>23209</v>
      </c>
      <c r="DY1354" t="s">
        <v>23210</v>
      </c>
      <c r="DZ1354" t="s">
        <v>23211</v>
      </c>
      <c r="EA1354" t="s">
        <v>13772</v>
      </c>
      <c r="EB1354" t="s">
        <v>19005</v>
      </c>
    </row>
    <row r="1355" spans="1:132" hidden="1">
      <c r="A1355">
        <v>957</v>
      </c>
      <c r="B1355">
        <v>1</v>
      </c>
      <c r="C1355" t="s">
        <v>2327</v>
      </c>
      <c r="D1355" t="s">
        <v>73</v>
      </c>
      <c r="E1355" t="s">
        <v>73</v>
      </c>
      <c r="F1355" t="s">
        <v>73</v>
      </c>
      <c r="G1355" t="s">
        <v>73</v>
      </c>
      <c r="H1355">
        <v>16</v>
      </c>
      <c r="I1355">
        <v>618</v>
      </c>
      <c r="J1355">
        <v>70814</v>
      </c>
      <c r="K1355" t="s">
        <v>2328</v>
      </c>
      <c r="L1355">
        <f t="shared" si="86"/>
        <v>15</v>
      </c>
      <c r="N1355">
        <v>15</v>
      </c>
      <c r="O1355">
        <v>15</v>
      </c>
      <c r="P1355">
        <v>1</v>
      </c>
      <c r="Q1355">
        <v>1</v>
      </c>
      <c r="R1355">
        <v>0</v>
      </c>
      <c r="S1355">
        <v>1</v>
      </c>
      <c r="T1355">
        <v>2</v>
      </c>
      <c r="U1355">
        <v>0</v>
      </c>
      <c r="V1355">
        <v>0</v>
      </c>
      <c r="W1355">
        <v>3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5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2</v>
      </c>
      <c r="AN1355">
        <v>0</v>
      </c>
      <c r="AO1355">
        <v>0</v>
      </c>
      <c r="AP1355">
        <v>3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5</v>
      </c>
      <c r="AZ1355">
        <v>0</v>
      </c>
      <c r="BA1355">
        <v>0</v>
      </c>
      <c r="BB1355">
        <v>0</v>
      </c>
      <c r="BC1355" s="2">
        <v>1</v>
      </c>
      <c r="BD1355" s="2">
        <v>0</v>
      </c>
      <c r="BE1355" s="2">
        <v>1</v>
      </c>
      <c r="BF1355" s="2">
        <v>2</v>
      </c>
      <c r="BG1355" s="2">
        <v>0</v>
      </c>
      <c r="BH1355" s="2">
        <v>0</v>
      </c>
      <c r="BI1355" s="2">
        <v>3</v>
      </c>
      <c r="BJ1355" s="2">
        <v>1</v>
      </c>
      <c r="BK1355" s="2">
        <v>0</v>
      </c>
      <c r="BL1355" s="2">
        <v>0</v>
      </c>
      <c r="BM1355" s="2">
        <v>0</v>
      </c>
      <c r="BN1355" s="2">
        <v>1</v>
      </c>
      <c r="BO1355" s="2">
        <v>1</v>
      </c>
      <c r="BP1355" s="2">
        <v>0</v>
      </c>
      <c r="BQ1355" s="2">
        <v>0</v>
      </c>
      <c r="BR1355" s="2">
        <v>5</v>
      </c>
      <c r="BS1355" s="2">
        <v>0</v>
      </c>
      <c r="BT1355" s="2">
        <v>0</v>
      </c>
      <c r="BU1355" s="2">
        <v>0</v>
      </c>
      <c r="BV1355" s="2">
        <f t="shared" si="89"/>
        <v>15</v>
      </c>
      <c r="BW1355" s="16">
        <f t="shared" si="87"/>
        <v>0.78947368421052633</v>
      </c>
      <c r="BX1355" s="16">
        <f>COUNTIF($BC$6:BU1355, "=0") / COUNTIF($BC$6:BU1355, "&gt;-1")</f>
        <v>0.35325536062378166</v>
      </c>
      <c r="BY1355" s="18">
        <f>SUM($BC$6:BU1355) / $BY$4</f>
        <v>0.97122214627238668</v>
      </c>
      <c r="BZ1355" s="14">
        <f t="shared" si="88"/>
        <v>11</v>
      </c>
      <c r="CA1355" t="s">
        <v>5832</v>
      </c>
      <c r="CZ1355" t="s">
        <v>8977</v>
      </c>
      <c r="DA1355" t="s">
        <v>5904</v>
      </c>
      <c r="DB1355">
        <v>1124.8</v>
      </c>
      <c r="DC1355" t="s">
        <v>23212</v>
      </c>
      <c r="DD1355" t="s">
        <v>23213</v>
      </c>
      <c r="DE1355" t="s">
        <v>23214</v>
      </c>
      <c r="DF1355" t="s">
        <v>23215</v>
      </c>
      <c r="DG1355" t="s">
        <v>23216</v>
      </c>
      <c r="DH1355" t="str">
        <f>"SCG2"</f>
        <v>SCG2</v>
      </c>
      <c r="DI1355" t="s">
        <v>23217</v>
      </c>
      <c r="DJ1355" t="s">
        <v>13777</v>
      </c>
      <c r="DK1355">
        <v>9606</v>
      </c>
      <c r="DL1355" s="34" t="str">
        <f>HYPERLINK("http://www.uniprot.org/uniprot/P13521", "P13521")</f>
        <v>P13521</v>
      </c>
      <c r="DM1355" t="s">
        <v>23218</v>
      </c>
      <c r="DN1355" t="s">
        <v>13772</v>
      </c>
      <c r="DO1355" t="s">
        <v>14321</v>
      </c>
      <c r="DP1355" t="s">
        <v>13793</v>
      </c>
      <c r="DQ1355" t="s">
        <v>13772</v>
      </c>
      <c r="DR1355" t="s">
        <v>13772</v>
      </c>
      <c r="DS1355" t="s">
        <v>13808</v>
      </c>
      <c r="DT1355" t="s">
        <v>14465</v>
      </c>
      <c r="DU1355" t="s">
        <v>13772</v>
      </c>
      <c r="DV1355" t="s">
        <v>23219</v>
      </c>
      <c r="DW1355" t="s">
        <v>13772</v>
      </c>
      <c r="DX1355" t="s">
        <v>23220</v>
      </c>
      <c r="DY1355" t="s">
        <v>23221</v>
      </c>
      <c r="DZ1355" t="s">
        <v>23222</v>
      </c>
      <c r="EA1355" t="s">
        <v>13772</v>
      </c>
      <c r="EB1355" t="s">
        <v>17241</v>
      </c>
    </row>
    <row r="1356" spans="1:132" hidden="1">
      <c r="A1356">
        <v>1112</v>
      </c>
      <c r="B1356">
        <v>1</v>
      </c>
      <c r="C1356" t="s">
        <v>2674</v>
      </c>
      <c r="D1356" t="s">
        <v>2675</v>
      </c>
      <c r="E1356" t="s">
        <v>73</v>
      </c>
      <c r="F1356" t="s">
        <v>73</v>
      </c>
      <c r="G1356" t="s">
        <v>73</v>
      </c>
      <c r="H1356">
        <v>9.1999999999999993</v>
      </c>
      <c r="I1356">
        <v>1133</v>
      </c>
      <c r="J1356">
        <v>122294</v>
      </c>
      <c r="K1356" t="s">
        <v>2676</v>
      </c>
      <c r="L1356">
        <f t="shared" si="86"/>
        <v>15</v>
      </c>
      <c r="N1356">
        <v>15</v>
      </c>
      <c r="O1356">
        <v>15</v>
      </c>
      <c r="P1356">
        <v>1</v>
      </c>
      <c r="Q1356">
        <v>1</v>
      </c>
      <c r="R1356">
        <v>3</v>
      </c>
      <c r="S1356">
        <v>0</v>
      </c>
      <c r="T1356">
        <v>2</v>
      </c>
      <c r="U1356">
        <v>1</v>
      </c>
      <c r="V1356">
        <v>1</v>
      </c>
      <c r="W1356">
        <v>2</v>
      </c>
      <c r="X1356">
        <v>0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3</v>
      </c>
      <c r="AL1356">
        <v>0</v>
      </c>
      <c r="AM1356">
        <v>2</v>
      </c>
      <c r="AN1356">
        <v>1</v>
      </c>
      <c r="AO1356">
        <v>1</v>
      </c>
      <c r="AP1356">
        <v>2</v>
      </c>
      <c r="AQ1356">
        <v>0</v>
      </c>
      <c r="AR1356">
        <v>0</v>
      </c>
      <c r="AS1356">
        <v>0</v>
      </c>
      <c r="AT1356">
        <v>3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 s="2">
        <v>1</v>
      </c>
      <c r="BD1356" s="2">
        <v>3</v>
      </c>
      <c r="BE1356" s="2">
        <v>0</v>
      </c>
      <c r="BF1356" s="2">
        <v>2</v>
      </c>
      <c r="BG1356" s="2">
        <v>1</v>
      </c>
      <c r="BH1356" s="2">
        <v>1</v>
      </c>
      <c r="BI1356" s="2">
        <v>2</v>
      </c>
      <c r="BJ1356" s="2">
        <v>0</v>
      </c>
      <c r="BK1356" s="2">
        <v>0</v>
      </c>
      <c r="BL1356" s="2">
        <v>0</v>
      </c>
      <c r="BM1356" s="2">
        <v>3</v>
      </c>
      <c r="BN1356" s="2">
        <v>0</v>
      </c>
      <c r="BO1356" s="2">
        <v>0</v>
      </c>
      <c r="BP1356" s="2">
        <v>0</v>
      </c>
      <c r="BQ1356" s="2">
        <v>1</v>
      </c>
      <c r="BR1356" s="2">
        <v>1</v>
      </c>
      <c r="BS1356" s="2">
        <v>0</v>
      </c>
      <c r="BT1356" s="2">
        <v>0</v>
      </c>
      <c r="BU1356" s="2">
        <v>0</v>
      </c>
      <c r="BV1356" s="2">
        <f t="shared" si="89"/>
        <v>15</v>
      </c>
      <c r="BW1356" s="16">
        <f t="shared" si="87"/>
        <v>0.78947368421052633</v>
      </c>
      <c r="BX1356" s="16">
        <f>COUNTIF($BC$6:BU1356, "=0") / COUNTIF($BC$6:BU1356, "&gt;-1")</f>
        <v>0.35338345864661652</v>
      </c>
      <c r="BY1356" s="18">
        <f>SUM($BC$6:BU1356) / $BY$4</f>
        <v>0.97128640082541717</v>
      </c>
      <c r="BZ1356" s="14">
        <f t="shared" si="88"/>
        <v>10</v>
      </c>
      <c r="CA1356" t="s">
        <v>5832</v>
      </c>
      <c r="CZ1356" t="s">
        <v>9442</v>
      </c>
      <c r="DA1356" t="s">
        <v>5904</v>
      </c>
      <c r="DB1356">
        <v>1912.1</v>
      </c>
      <c r="DC1356" t="s">
        <v>24566</v>
      </c>
      <c r="DD1356" t="s">
        <v>24567</v>
      </c>
      <c r="DE1356" t="s">
        <v>24568</v>
      </c>
      <c r="DF1356" t="s">
        <v>24569</v>
      </c>
      <c r="DG1356" t="s">
        <v>24570</v>
      </c>
      <c r="DH1356" t="str">
        <f>"CD163"</f>
        <v>CD163</v>
      </c>
      <c r="DI1356" t="s">
        <v>24571</v>
      </c>
      <c r="DJ1356" t="s">
        <v>13777</v>
      </c>
      <c r="DK1356">
        <v>9606</v>
      </c>
      <c r="DL1356" s="34" t="str">
        <f>HYPERLINK("http://www.uniprot.org/uniprot/Q86VB7", "Q86VB7")</f>
        <v>Q86VB7</v>
      </c>
      <c r="DM1356" t="s">
        <v>24572</v>
      </c>
      <c r="DN1356" t="s">
        <v>24573</v>
      </c>
      <c r="DO1356" t="s">
        <v>14336</v>
      </c>
      <c r="DP1356" t="s">
        <v>13780</v>
      </c>
      <c r="DQ1356" t="s">
        <v>13772</v>
      </c>
      <c r="DR1356" t="s">
        <v>13772</v>
      </c>
      <c r="DS1356" t="s">
        <v>13826</v>
      </c>
      <c r="DT1356" t="s">
        <v>13772</v>
      </c>
      <c r="DU1356" t="s">
        <v>13772</v>
      </c>
      <c r="DV1356" t="s">
        <v>13964</v>
      </c>
      <c r="DW1356" t="s">
        <v>13772</v>
      </c>
      <c r="DX1356" t="s">
        <v>24574</v>
      </c>
      <c r="DY1356" t="s">
        <v>24575</v>
      </c>
      <c r="DZ1356" t="s">
        <v>24576</v>
      </c>
      <c r="EA1356" t="s">
        <v>13772</v>
      </c>
      <c r="EB1356" t="s">
        <v>19770</v>
      </c>
    </row>
    <row r="1357" spans="1:132" hidden="1">
      <c r="A1357">
        <v>1181</v>
      </c>
      <c r="B1357">
        <v>1</v>
      </c>
      <c r="C1357" t="s">
        <v>2836</v>
      </c>
      <c r="D1357" t="s">
        <v>73</v>
      </c>
      <c r="E1357" t="s">
        <v>73</v>
      </c>
      <c r="F1357" t="s">
        <v>73</v>
      </c>
      <c r="G1357" t="s">
        <v>73</v>
      </c>
      <c r="H1357">
        <v>23.2</v>
      </c>
      <c r="I1357">
        <v>469</v>
      </c>
      <c r="J1357">
        <v>52650</v>
      </c>
      <c r="K1357" t="s">
        <v>2837</v>
      </c>
      <c r="L1357">
        <f t="shared" si="86"/>
        <v>15</v>
      </c>
      <c r="N1357">
        <v>15</v>
      </c>
      <c r="O1357">
        <v>15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6</v>
      </c>
      <c r="Z1357">
        <v>0</v>
      </c>
      <c r="AA1357">
        <v>6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6</v>
      </c>
      <c r="AS1357">
        <v>0</v>
      </c>
      <c r="AT1357">
        <v>6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6</v>
      </c>
      <c r="BL1357" s="2">
        <v>0</v>
      </c>
      <c r="BM1357" s="2">
        <v>6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f t="shared" si="89"/>
        <v>15</v>
      </c>
      <c r="BW1357" s="16">
        <f t="shared" si="87"/>
        <v>0.78947368421052633</v>
      </c>
      <c r="BX1357" s="16">
        <f>COUNTIF($BC$6:BU1357, "=0") / COUNTIF($BC$6:BU1357, "&gt;-1")</f>
        <v>0.35366708190594831</v>
      </c>
      <c r="BY1357" s="18">
        <f>SUM($BC$6:BU1357) / $BY$4</f>
        <v>0.97135065537844778</v>
      </c>
      <c r="BZ1357" s="14">
        <f t="shared" si="88"/>
        <v>14</v>
      </c>
      <c r="CA1357" t="s">
        <v>5832</v>
      </c>
      <c r="CZ1357" t="s">
        <v>9663</v>
      </c>
      <c r="DA1357" t="s">
        <v>5904</v>
      </c>
      <c r="DB1357">
        <v>894</v>
      </c>
      <c r="DC1357" t="s">
        <v>25175</v>
      </c>
      <c r="DD1357" t="s">
        <v>13772</v>
      </c>
      <c r="DE1357" t="s">
        <v>25176</v>
      </c>
      <c r="DF1357" t="s">
        <v>25177</v>
      </c>
      <c r="DG1357" t="s">
        <v>25178</v>
      </c>
      <c r="DH1357" t="str">
        <f>"TTC38"</f>
        <v>TTC38</v>
      </c>
      <c r="DI1357" t="s">
        <v>13772</v>
      </c>
      <c r="DJ1357" t="s">
        <v>13777</v>
      </c>
      <c r="DK1357">
        <v>9606</v>
      </c>
      <c r="DL1357" s="34" t="str">
        <f>HYPERLINK("http://www.uniprot.org/uniprot/Q5R3I4", "Q5R3I4")</f>
        <v>Q5R3I4</v>
      </c>
      <c r="DM1357" t="s">
        <v>25179</v>
      </c>
      <c r="DN1357" t="s">
        <v>13772</v>
      </c>
      <c r="DO1357" t="s">
        <v>13772</v>
      </c>
      <c r="DP1357" t="s">
        <v>13793</v>
      </c>
      <c r="DQ1357" t="s">
        <v>13772</v>
      </c>
      <c r="DR1357" t="s">
        <v>13772</v>
      </c>
      <c r="DS1357" t="s">
        <v>19076</v>
      </c>
      <c r="DT1357" t="s">
        <v>13772</v>
      </c>
      <c r="DU1357" t="s">
        <v>13772</v>
      </c>
      <c r="DV1357" t="s">
        <v>13886</v>
      </c>
      <c r="DW1357" t="s">
        <v>13772</v>
      </c>
      <c r="DX1357" t="s">
        <v>13772</v>
      </c>
      <c r="DY1357" t="s">
        <v>15835</v>
      </c>
      <c r="DZ1357" t="s">
        <v>13772</v>
      </c>
      <c r="EA1357" t="s">
        <v>13772</v>
      </c>
      <c r="EB1357" t="s">
        <v>13772</v>
      </c>
    </row>
    <row r="1358" spans="1:132" hidden="1">
      <c r="A1358">
        <v>1241</v>
      </c>
      <c r="B1358">
        <v>1</v>
      </c>
      <c r="C1358" t="s">
        <v>2977</v>
      </c>
      <c r="D1358" t="s">
        <v>73</v>
      </c>
      <c r="E1358" t="s">
        <v>73</v>
      </c>
      <c r="F1358" t="s">
        <v>73</v>
      </c>
      <c r="G1358" t="s">
        <v>73</v>
      </c>
      <c r="H1358">
        <v>25.6</v>
      </c>
      <c r="I1358">
        <v>270</v>
      </c>
      <c r="J1358">
        <v>29319</v>
      </c>
      <c r="K1358" t="s">
        <v>2978</v>
      </c>
      <c r="L1358">
        <f t="shared" si="86"/>
        <v>15</v>
      </c>
      <c r="N1358">
        <v>15</v>
      </c>
      <c r="O1358">
        <v>15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4</v>
      </c>
      <c r="Y1358">
        <v>3</v>
      </c>
      <c r="Z1358">
        <v>0</v>
      </c>
      <c r="AA1358">
        <v>3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4</v>
      </c>
      <c r="AR1358">
        <v>3</v>
      </c>
      <c r="AS1358">
        <v>0</v>
      </c>
      <c r="AT1358">
        <v>3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1</v>
      </c>
      <c r="BA1358">
        <v>0</v>
      </c>
      <c r="BB1358">
        <v>0</v>
      </c>
      <c r="BC1358" s="2">
        <v>1</v>
      </c>
      <c r="BD1358" s="2">
        <v>0</v>
      </c>
      <c r="BE1358" s="2">
        <v>0</v>
      </c>
      <c r="BF1358" s="2">
        <v>0</v>
      </c>
      <c r="BG1358" s="2">
        <v>1</v>
      </c>
      <c r="BH1358" s="2">
        <v>0</v>
      </c>
      <c r="BI1358" s="2">
        <v>1</v>
      </c>
      <c r="BJ1358" s="2">
        <v>4</v>
      </c>
      <c r="BK1358" s="2">
        <v>3</v>
      </c>
      <c r="BL1358" s="2">
        <v>0</v>
      </c>
      <c r="BM1358" s="2">
        <v>3</v>
      </c>
      <c r="BN1358" s="2">
        <v>0</v>
      </c>
      <c r="BO1358" s="2">
        <v>0</v>
      </c>
      <c r="BP1358" s="2">
        <v>0</v>
      </c>
      <c r="BQ1358" s="2">
        <v>1</v>
      </c>
      <c r="BR1358" s="2">
        <v>0</v>
      </c>
      <c r="BS1358" s="2">
        <v>1</v>
      </c>
      <c r="BT1358" s="2">
        <v>0</v>
      </c>
      <c r="BU1358" s="2">
        <v>0</v>
      </c>
      <c r="BV1358" s="2">
        <f t="shared" si="89"/>
        <v>15</v>
      </c>
      <c r="BW1358" s="16">
        <f t="shared" si="87"/>
        <v>0.78947368421052633</v>
      </c>
      <c r="BX1358" s="16">
        <f>COUNTIF($BC$6:BU1358, "=0") / COUNTIF($BC$6:BU1358, "&gt;-1")</f>
        <v>0.35383358618275179</v>
      </c>
      <c r="BY1358" s="18">
        <f>SUM($BC$6:BU1358) / $BY$4</f>
        <v>0.97141490993147828</v>
      </c>
      <c r="BZ1358" s="14">
        <f t="shared" si="88"/>
        <v>11</v>
      </c>
      <c r="CA1358" t="s">
        <v>5832</v>
      </c>
      <c r="CZ1358" t="s">
        <v>9867</v>
      </c>
      <c r="DA1358" t="s">
        <v>5904</v>
      </c>
      <c r="DB1358">
        <v>459.9</v>
      </c>
      <c r="DC1358" t="s">
        <v>25759</v>
      </c>
      <c r="DD1358" t="s">
        <v>13772</v>
      </c>
      <c r="DE1358" t="s">
        <v>25760</v>
      </c>
      <c r="DF1358" t="s">
        <v>25761</v>
      </c>
      <c r="DG1358" t="s">
        <v>25762</v>
      </c>
      <c r="DH1358" t="str">
        <f>"LHPP"</f>
        <v>LHPP</v>
      </c>
      <c r="DI1358" t="s">
        <v>13772</v>
      </c>
      <c r="DJ1358" t="s">
        <v>13777</v>
      </c>
      <c r="DK1358">
        <v>9606</v>
      </c>
      <c r="DL1358" s="34" t="str">
        <f>HYPERLINK("http://www.uniprot.org/uniprot/Q9H008", "Q9H008")</f>
        <v>Q9H008</v>
      </c>
      <c r="DM1358" t="s">
        <v>25763</v>
      </c>
      <c r="DN1358" t="s">
        <v>13772</v>
      </c>
      <c r="DO1358" t="s">
        <v>13912</v>
      </c>
      <c r="DP1358" t="s">
        <v>13780</v>
      </c>
      <c r="DQ1358" t="s">
        <v>13772</v>
      </c>
      <c r="DR1358" t="s">
        <v>13772</v>
      </c>
      <c r="DS1358" t="s">
        <v>13772</v>
      </c>
      <c r="DT1358" t="s">
        <v>14784</v>
      </c>
      <c r="DU1358" t="s">
        <v>13857</v>
      </c>
      <c r="DV1358" t="s">
        <v>13772</v>
      </c>
      <c r="DW1358" t="s">
        <v>13812</v>
      </c>
      <c r="DX1358" t="s">
        <v>25764</v>
      </c>
      <c r="DY1358" t="s">
        <v>25765</v>
      </c>
      <c r="DZ1358" t="s">
        <v>25766</v>
      </c>
      <c r="EA1358" t="s">
        <v>13772</v>
      </c>
      <c r="EB1358" t="s">
        <v>23284</v>
      </c>
    </row>
    <row r="1359" spans="1:132" hidden="1">
      <c r="A1359">
        <v>1281</v>
      </c>
      <c r="B1359">
        <v>1</v>
      </c>
      <c r="C1359" t="s">
        <v>3073</v>
      </c>
      <c r="D1359" t="s">
        <v>3074</v>
      </c>
      <c r="E1359" t="s">
        <v>73</v>
      </c>
      <c r="F1359" t="s">
        <v>73</v>
      </c>
      <c r="G1359" t="s">
        <v>73</v>
      </c>
      <c r="H1359">
        <v>10</v>
      </c>
      <c r="I1359">
        <v>260</v>
      </c>
      <c r="J1359">
        <v>28803</v>
      </c>
      <c r="K1359" t="s">
        <v>3075</v>
      </c>
      <c r="L1359">
        <f t="shared" si="86"/>
        <v>15</v>
      </c>
      <c r="N1359">
        <v>15</v>
      </c>
      <c r="O1359">
        <v>15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4</v>
      </c>
      <c r="V1359">
        <v>3</v>
      </c>
      <c r="W1359">
        <v>1</v>
      </c>
      <c r="X1359">
        <v>3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</v>
      </c>
      <c r="AO1359">
        <v>3</v>
      </c>
      <c r="AP1359">
        <v>1</v>
      </c>
      <c r="AQ1359">
        <v>3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4</v>
      </c>
      <c r="BH1359" s="2">
        <v>3</v>
      </c>
      <c r="BI1359" s="2">
        <v>1</v>
      </c>
      <c r="BJ1359" s="2">
        <v>3</v>
      </c>
      <c r="BK1359" s="2">
        <v>0</v>
      </c>
      <c r="BL1359" s="2">
        <v>0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1</v>
      </c>
      <c r="BS1359" s="2">
        <v>1</v>
      </c>
      <c r="BT1359" s="2">
        <v>1</v>
      </c>
      <c r="BU1359" s="2">
        <v>0</v>
      </c>
      <c r="BV1359" s="2">
        <f t="shared" si="89"/>
        <v>15</v>
      </c>
      <c r="BW1359" s="16">
        <f t="shared" si="87"/>
        <v>0.78947368421052633</v>
      </c>
      <c r="BX1359" s="16">
        <f>COUNTIF($BC$6:BU1359, "=0") / COUNTIF($BC$6:BU1359, "&gt;-1")</f>
        <v>0.35399984451527639</v>
      </c>
      <c r="BY1359" s="18">
        <f>SUM($BC$6:BU1359) / $BY$4</f>
        <v>0.97147916448450877</v>
      </c>
      <c r="BZ1359" s="14">
        <f t="shared" si="88"/>
        <v>11</v>
      </c>
      <c r="CA1359" t="s">
        <v>5832</v>
      </c>
      <c r="CZ1359" t="s">
        <v>10007</v>
      </c>
      <c r="DA1359" t="s">
        <v>5904</v>
      </c>
      <c r="DB1359">
        <v>521.20000000000005</v>
      </c>
      <c r="DC1359" t="s">
        <v>26157</v>
      </c>
      <c r="DD1359" t="s">
        <v>26158</v>
      </c>
      <c r="DE1359" t="s">
        <v>26159</v>
      </c>
      <c r="DF1359" t="s">
        <v>26160</v>
      </c>
      <c r="DG1359" t="s">
        <v>26161</v>
      </c>
      <c r="DH1359" t="str">
        <f>"ENOPH1"</f>
        <v>ENOPH1</v>
      </c>
      <c r="DI1359" t="s">
        <v>13772</v>
      </c>
      <c r="DJ1359" t="s">
        <v>13777</v>
      </c>
      <c r="DK1359">
        <v>9606</v>
      </c>
      <c r="DL1359" s="34" t="str">
        <f>HYPERLINK("http://www.uniprot.org/uniprot/Q9UHY7", "Q9UHY7")</f>
        <v>Q9UHY7</v>
      </c>
      <c r="DM1359" t="s">
        <v>26162</v>
      </c>
      <c r="DN1359" t="s">
        <v>22574</v>
      </c>
      <c r="DO1359" t="s">
        <v>13912</v>
      </c>
      <c r="DP1359" t="s">
        <v>13841</v>
      </c>
      <c r="DQ1359" t="s">
        <v>13772</v>
      </c>
      <c r="DR1359" t="s">
        <v>13772</v>
      </c>
      <c r="DS1359" t="s">
        <v>13772</v>
      </c>
      <c r="DT1359" t="s">
        <v>14784</v>
      </c>
      <c r="DU1359" t="s">
        <v>13857</v>
      </c>
      <c r="DV1359" t="s">
        <v>13772</v>
      </c>
      <c r="DW1359" t="s">
        <v>13812</v>
      </c>
      <c r="DX1359" t="s">
        <v>22576</v>
      </c>
      <c r="DY1359" t="s">
        <v>26163</v>
      </c>
      <c r="DZ1359" t="s">
        <v>26164</v>
      </c>
      <c r="EA1359" t="s">
        <v>26165</v>
      </c>
      <c r="EB1359" t="s">
        <v>22580</v>
      </c>
    </row>
    <row r="1360" spans="1:132" hidden="1">
      <c r="A1360">
        <v>1323</v>
      </c>
      <c r="B1360">
        <v>1</v>
      </c>
      <c r="C1360" t="s">
        <v>3173</v>
      </c>
      <c r="D1360" t="s">
        <v>73</v>
      </c>
      <c r="E1360" t="s">
        <v>73</v>
      </c>
      <c r="F1360" t="s">
        <v>73</v>
      </c>
      <c r="G1360" t="s">
        <v>73</v>
      </c>
      <c r="H1360">
        <v>25.2</v>
      </c>
      <c r="I1360">
        <v>560</v>
      </c>
      <c r="J1360">
        <v>63468</v>
      </c>
      <c r="K1360" t="s">
        <v>3174</v>
      </c>
      <c r="L1360">
        <f t="shared" si="86"/>
        <v>15</v>
      </c>
      <c r="N1360">
        <v>15</v>
      </c>
      <c r="O1360">
        <v>15</v>
      </c>
      <c r="P1360">
        <v>1</v>
      </c>
      <c r="Q1360">
        <v>1</v>
      </c>
      <c r="R1360">
        <v>4</v>
      </c>
      <c r="S1360">
        <v>0</v>
      </c>
      <c r="T1360">
        <v>2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4</v>
      </c>
      <c r="AL1360">
        <v>0</v>
      </c>
      <c r="AM1360">
        <v>2</v>
      </c>
      <c r="AN1360">
        <v>2</v>
      </c>
      <c r="AO1360">
        <v>0</v>
      </c>
      <c r="AP1360">
        <v>0</v>
      </c>
      <c r="AQ1360">
        <v>0</v>
      </c>
      <c r="AR1360">
        <v>0</v>
      </c>
      <c r="AS1360">
        <v>3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 s="2">
        <v>1</v>
      </c>
      <c r="BD1360" s="2">
        <v>4</v>
      </c>
      <c r="BE1360" s="2">
        <v>0</v>
      </c>
      <c r="BF1360" s="2">
        <v>2</v>
      </c>
      <c r="BG1360" s="2">
        <v>2</v>
      </c>
      <c r="BH1360" s="2">
        <v>0</v>
      </c>
      <c r="BI1360" s="2">
        <v>0</v>
      </c>
      <c r="BJ1360" s="2">
        <v>0</v>
      </c>
      <c r="BK1360" s="2">
        <v>0</v>
      </c>
      <c r="BL1360" s="2">
        <v>3</v>
      </c>
      <c r="BM1360" s="2">
        <v>0</v>
      </c>
      <c r="BN1360" s="2">
        <v>0</v>
      </c>
      <c r="BO1360" s="2">
        <v>1</v>
      </c>
      <c r="BP1360" s="2">
        <v>1</v>
      </c>
      <c r="BQ1360" s="2">
        <v>0</v>
      </c>
      <c r="BR1360" s="2">
        <v>0</v>
      </c>
      <c r="BS1360" s="2">
        <v>0</v>
      </c>
      <c r="BT1360" s="2">
        <v>1</v>
      </c>
      <c r="BU1360" s="2">
        <v>0</v>
      </c>
      <c r="BV1360" s="2">
        <f t="shared" si="89"/>
        <v>15</v>
      </c>
      <c r="BW1360" s="16">
        <f t="shared" si="87"/>
        <v>0.78947368421052633</v>
      </c>
      <c r="BX1360" s="16">
        <f>COUNTIF($BC$6:BU1360, "=0") / COUNTIF($BC$6:BU1360, "&gt;-1")</f>
        <v>0.35416585744804818</v>
      </c>
      <c r="BY1360" s="18">
        <f>SUM($BC$6:BU1360) / $BY$4</f>
        <v>0.97154341903753927</v>
      </c>
      <c r="BZ1360" s="14">
        <f t="shared" si="88"/>
        <v>11</v>
      </c>
      <c r="CA1360" t="s">
        <v>5832</v>
      </c>
      <c r="CZ1360" t="s">
        <v>10155</v>
      </c>
      <c r="DA1360" t="s">
        <v>5904</v>
      </c>
      <c r="DB1360">
        <v>961.4</v>
      </c>
      <c r="DC1360" t="s">
        <v>26572</v>
      </c>
      <c r="DD1360" t="s">
        <v>26573</v>
      </c>
      <c r="DE1360" t="s">
        <v>26574</v>
      </c>
      <c r="DF1360" t="s">
        <v>26575</v>
      </c>
      <c r="DG1360" t="s">
        <v>26576</v>
      </c>
      <c r="DH1360" t="str">
        <f>"PLAT"</f>
        <v>PLAT</v>
      </c>
      <c r="DI1360" t="s">
        <v>13772</v>
      </c>
      <c r="DJ1360" t="s">
        <v>13777</v>
      </c>
      <c r="DK1360">
        <v>9606</v>
      </c>
      <c r="DL1360" s="34" t="str">
        <f>HYPERLINK("http://www.uniprot.org/uniprot/P00750", "P00750")</f>
        <v>P00750</v>
      </c>
      <c r="DM1360" t="s">
        <v>26577</v>
      </c>
      <c r="DN1360" t="s">
        <v>26578</v>
      </c>
      <c r="DO1360" t="s">
        <v>14321</v>
      </c>
      <c r="DP1360" t="s">
        <v>13780</v>
      </c>
      <c r="DQ1360" t="s">
        <v>13772</v>
      </c>
      <c r="DR1360" t="s">
        <v>13772</v>
      </c>
      <c r="DS1360" t="s">
        <v>23928</v>
      </c>
      <c r="DT1360" t="s">
        <v>13772</v>
      </c>
      <c r="DU1360" t="s">
        <v>15176</v>
      </c>
      <c r="DV1360" t="s">
        <v>18956</v>
      </c>
      <c r="DW1360" t="s">
        <v>14324</v>
      </c>
      <c r="DX1360" t="s">
        <v>26579</v>
      </c>
      <c r="DY1360" t="s">
        <v>26580</v>
      </c>
      <c r="DZ1360" t="s">
        <v>26581</v>
      </c>
      <c r="EA1360" t="s">
        <v>13772</v>
      </c>
      <c r="EB1360" t="s">
        <v>26582</v>
      </c>
    </row>
    <row r="1361" spans="1:132" hidden="1">
      <c r="A1361">
        <v>1324</v>
      </c>
      <c r="B1361">
        <v>1</v>
      </c>
      <c r="C1361" t="s">
        <v>3175</v>
      </c>
      <c r="D1361" t="s">
        <v>3176</v>
      </c>
      <c r="E1361" t="s">
        <v>73</v>
      </c>
      <c r="F1361" t="s">
        <v>73</v>
      </c>
      <c r="G1361" t="s">
        <v>73</v>
      </c>
      <c r="H1361">
        <v>37</v>
      </c>
      <c r="I1361">
        <v>200</v>
      </c>
      <c r="J1361">
        <v>22406</v>
      </c>
      <c r="K1361" t="s">
        <v>3177</v>
      </c>
      <c r="L1361">
        <f t="shared" si="86"/>
        <v>15</v>
      </c>
      <c r="N1361">
        <v>15</v>
      </c>
      <c r="O1361">
        <v>15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>
        <v>4</v>
      </c>
      <c r="AB1361">
        <v>2</v>
      </c>
      <c r="AC1361">
        <v>2</v>
      </c>
      <c r="AD1361">
        <v>0</v>
      </c>
      <c r="AE1361">
        <v>2</v>
      </c>
      <c r="AF1361">
        <v>3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</v>
      </c>
      <c r="AS1361">
        <v>0</v>
      </c>
      <c r="AT1361">
        <v>4</v>
      </c>
      <c r="AU1361">
        <v>2</v>
      </c>
      <c r="AV1361">
        <v>2</v>
      </c>
      <c r="AW1361">
        <v>0</v>
      </c>
      <c r="AX1361">
        <v>2</v>
      </c>
      <c r="AY1361">
        <v>3</v>
      </c>
      <c r="AZ1361">
        <v>0</v>
      </c>
      <c r="BA1361">
        <v>0</v>
      </c>
      <c r="BB1361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2</v>
      </c>
      <c r="BL1361" s="2">
        <v>0</v>
      </c>
      <c r="BM1361" s="2">
        <v>4</v>
      </c>
      <c r="BN1361" s="2">
        <v>2</v>
      </c>
      <c r="BO1361" s="2">
        <v>2</v>
      </c>
      <c r="BP1361" s="2">
        <v>0</v>
      </c>
      <c r="BQ1361" s="2">
        <v>2</v>
      </c>
      <c r="BR1361" s="2">
        <v>3</v>
      </c>
      <c r="BS1361" s="2">
        <v>0</v>
      </c>
      <c r="BT1361" s="2">
        <v>0</v>
      </c>
      <c r="BU1361" s="2">
        <v>0</v>
      </c>
      <c r="BV1361" s="2">
        <f t="shared" si="89"/>
        <v>15</v>
      </c>
      <c r="BW1361" s="16">
        <f t="shared" si="87"/>
        <v>0.78947368421052633</v>
      </c>
      <c r="BX1361" s="16">
        <f>COUNTIF($BC$6:BU1361, "=0") / COUNTIF($BC$6:BU1361, "&gt;-1")</f>
        <v>0.35440925322154943</v>
      </c>
      <c r="BY1361" s="18">
        <f>SUM($BC$6:BU1361) / $BY$4</f>
        <v>0.97160767359056976</v>
      </c>
      <c r="BZ1361" s="14">
        <f t="shared" si="88"/>
        <v>13</v>
      </c>
      <c r="CA1361" t="s">
        <v>5832</v>
      </c>
      <c r="CZ1361" t="s">
        <v>10159</v>
      </c>
      <c r="DA1361" t="s">
        <v>5904</v>
      </c>
      <c r="DB1361">
        <v>414.8</v>
      </c>
      <c r="DC1361" t="s">
        <v>26583</v>
      </c>
      <c r="DD1361" t="s">
        <v>26584</v>
      </c>
      <c r="DE1361" t="s">
        <v>26585</v>
      </c>
      <c r="DF1361" t="s">
        <v>26586</v>
      </c>
      <c r="DG1361" t="s">
        <v>26587</v>
      </c>
      <c r="DH1361" t="str">
        <f>"UBE2K"</f>
        <v>UBE2K</v>
      </c>
      <c r="DI1361" t="s">
        <v>26588</v>
      </c>
      <c r="DJ1361" t="s">
        <v>13777</v>
      </c>
      <c r="DK1361">
        <v>9606</v>
      </c>
      <c r="DL1361" s="34" t="str">
        <f>HYPERLINK("http://www.uniprot.org/uniprot/P61086", "P61086")</f>
        <v>P61086</v>
      </c>
      <c r="DM1361" t="s">
        <v>26589</v>
      </c>
      <c r="DN1361" t="s">
        <v>14109</v>
      </c>
      <c r="DO1361" t="s">
        <v>13899</v>
      </c>
      <c r="DP1361" t="s">
        <v>13841</v>
      </c>
      <c r="DQ1361" t="s">
        <v>13772</v>
      </c>
      <c r="DR1361" t="s">
        <v>13772</v>
      </c>
      <c r="DS1361" t="s">
        <v>13772</v>
      </c>
      <c r="DT1361" t="s">
        <v>14005</v>
      </c>
      <c r="DU1361" t="s">
        <v>14111</v>
      </c>
      <c r="DV1361" t="s">
        <v>13991</v>
      </c>
      <c r="DW1361" t="s">
        <v>13812</v>
      </c>
      <c r="DX1361" t="s">
        <v>26590</v>
      </c>
      <c r="DY1361" t="s">
        <v>26591</v>
      </c>
      <c r="DZ1361" t="s">
        <v>26592</v>
      </c>
      <c r="EA1361" t="s">
        <v>14116</v>
      </c>
      <c r="EB1361" t="s">
        <v>26593</v>
      </c>
    </row>
    <row r="1362" spans="1:132" hidden="1">
      <c r="A1362">
        <v>1439</v>
      </c>
      <c r="B1362">
        <v>1</v>
      </c>
      <c r="C1362" t="s">
        <v>3428</v>
      </c>
      <c r="D1362" t="s">
        <v>73</v>
      </c>
      <c r="E1362" t="s">
        <v>73</v>
      </c>
      <c r="F1362" t="s">
        <v>73</v>
      </c>
      <c r="G1362" t="s">
        <v>73</v>
      </c>
      <c r="H1362">
        <v>51.8</v>
      </c>
      <c r="I1362">
        <v>112</v>
      </c>
      <c r="J1362">
        <v>12007</v>
      </c>
      <c r="K1362" t="s">
        <v>3429</v>
      </c>
      <c r="L1362">
        <f t="shared" si="86"/>
        <v>15</v>
      </c>
      <c r="N1362">
        <v>15</v>
      </c>
      <c r="O1362">
        <v>15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5</v>
      </c>
      <c r="AF1362">
        <v>1</v>
      </c>
      <c r="AG1362">
        <v>5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5</v>
      </c>
      <c r="AY1362">
        <v>1</v>
      </c>
      <c r="AZ1362">
        <v>5</v>
      </c>
      <c r="BA1362">
        <v>0</v>
      </c>
      <c r="BB1362">
        <v>0</v>
      </c>
      <c r="BC1362" s="2">
        <v>0</v>
      </c>
      <c r="BD1362" s="2">
        <v>0</v>
      </c>
      <c r="BE1362" s="2">
        <v>0</v>
      </c>
      <c r="BF1362" s="2">
        <v>1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1</v>
      </c>
      <c r="BM1362" s="2">
        <v>1</v>
      </c>
      <c r="BN1362" s="2">
        <v>1</v>
      </c>
      <c r="BO1362" s="2">
        <v>0</v>
      </c>
      <c r="BP1362" s="2">
        <v>0</v>
      </c>
      <c r="BQ1362" s="2">
        <v>5</v>
      </c>
      <c r="BR1362" s="2">
        <v>1</v>
      </c>
      <c r="BS1362" s="2">
        <v>5</v>
      </c>
      <c r="BT1362" s="2">
        <v>0</v>
      </c>
      <c r="BU1362" s="2">
        <v>0</v>
      </c>
      <c r="BV1362" s="2">
        <f t="shared" si="89"/>
        <v>15</v>
      </c>
      <c r="BW1362" s="16">
        <f t="shared" si="87"/>
        <v>0.78947368421052633</v>
      </c>
      <c r="BX1362" s="16">
        <f>COUNTIF($BC$6:BU1362, "=0") / COUNTIF($BC$6:BU1362, "&gt;-1")</f>
        <v>0.35461350502268935</v>
      </c>
      <c r="BY1362" s="18">
        <f>SUM($BC$6:BU1362) / $BY$4</f>
        <v>0.97167192814360026</v>
      </c>
      <c r="BZ1362" s="14">
        <f t="shared" si="88"/>
        <v>12</v>
      </c>
      <c r="CA1362" t="s">
        <v>5832</v>
      </c>
      <c r="CZ1362" t="s">
        <v>10528</v>
      </c>
      <c r="DA1362" t="s">
        <v>5904</v>
      </c>
      <c r="DB1362">
        <v>195.7</v>
      </c>
      <c r="DC1362" t="s">
        <v>27608</v>
      </c>
      <c r="DD1362" t="s">
        <v>13772</v>
      </c>
      <c r="DE1362" t="s">
        <v>27609</v>
      </c>
      <c r="DF1362" t="s">
        <v>27610</v>
      </c>
      <c r="DG1362" t="s">
        <v>27611</v>
      </c>
      <c r="DH1362" t="str">
        <f>"CLPS"</f>
        <v>CLPS</v>
      </c>
      <c r="DI1362" t="s">
        <v>13772</v>
      </c>
      <c r="DJ1362" t="s">
        <v>13777</v>
      </c>
      <c r="DK1362">
        <v>9606</v>
      </c>
      <c r="DL1362" s="34" t="str">
        <f>HYPERLINK("http://www.uniprot.org/uniprot/P04118", "P04118")</f>
        <v>P04118</v>
      </c>
      <c r="DM1362" t="s">
        <v>27612</v>
      </c>
      <c r="DN1362" t="s">
        <v>27613</v>
      </c>
      <c r="DO1362" t="s">
        <v>14321</v>
      </c>
      <c r="DP1362" t="s">
        <v>13793</v>
      </c>
      <c r="DQ1362" t="s">
        <v>13772</v>
      </c>
      <c r="DR1362" t="s">
        <v>27614</v>
      </c>
      <c r="DS1362" t="s">
        <v>13808</v>
      </c>
      <c r="DT1362" t="s">
        <v>13772</v>
      </c>
      <c r="DU1362" t="s">
        <v>13772</v>
      </c>
      <c r="DV1362" t="s">
        <v>14506</v>
      </c>
      <c r="DW1362" t="s">
        <v>13772</v>
      </c>
      <c r="DX1362" t="s">
        <v>27615</v>
      </c>
      <c r="DY1362" t="s">
        <v>15346</v>
      </c>
      <c r="DZ1362" t="s">
        <v>27616</v>
      </c>
      <c r="EA1362" t="s">
        <v>13772</v>
      </c>
      <c r="EB1362" t="s">
        <v>25375</v>
      </c>
    </row>
    <row r="1363" spans="1:132" hidden="1">
      <c r="A1363">
        <v>1515</v>
      </c>
      <c r="B1363">
        <v>1</v>
      </c>
      <c r="C1363" t="s">
        <v>3607</v>
      </c>
      <c r="D1363" t="s">
        <v>73</v>
      </c>
      <c r="E1363" t="s">
        <v>73</v>
      </c>
      <c r="F1363" t="s">
        <v>73</v>
      </c>
      <c r="G1363" t="s">
        <v>73</v>
      </c>
      <c r="H1363">
        <v>15.3</v>
      </c>
      <c r="I1363">
        <v>737</v>
      </c>
      <c r="J1363">
        <v>79898</v>
      </c>
      <c r="K1363" t="s">
        <v>3608</v>
      </c>
      <c r="L1363">
        <f t="shared" si="86"/>
        <v>15</v>
      </c>
      <c r="N1363">
        <v>15</v>
      </c>
      <c r="O1363">
        <v>15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7</v>
      </c>
      <c r="AC1363">
        <v>1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</v>
      </c>
      <c r="AU1363">
        <v>7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5</v>
      </c>
      <c r="BN1363" s="2">
        <v>7</v>
      </c>
      <c r="BO1363" s="2">
        <v>1</v>
      </c>
      <c r="BP1363" s="2">
        <v>0</v>
      </c>
      <c r="BQ1363" s="2">
        <v>1</v>
      </c>
      <c r="BR1363" s="2">
        <v>0</v>
      </c>
      <c r="BS1363" s="2">
        <v>0</v>
      </c>
      <c r="BT1363" s="2">
        <v>0</v>
      </c>
      <c r="BU1363" s="2">
        <v>0</v>
      </c>
      <c r="BV1363" s="2">
        <f t="shared" si="89"/>
        <v>15</v>
      </c>
      <c r="BW1363" s="16">
        <f t="shared" si="87"/>
        <v>0.78947368421052633</v>
      </c>
      <c r="BX1363" s="16">
        <f>COUNTIF($BC$6:BU1363, "=0") / COUNTIF($BC$6:BU1363, "&gt;-1")</f>
        <v>0.35489496938221843</v>
      </c>
      <c r="BY1363" s="18">
        <f>SUM($BC$6:BU1363) / $BY$4</f>
        <v>0.97173618269663076</v>
      </c>
      <c r="BZ1363" s="14">
        <f t="shared" si="88"/>
        <v>14</v>
      </c>
      <c r="CA1363" t="s">
        <v>5832</v>
      </c>
      <c r="CZ1363" t="s">
        <v>10784</v>
      </c>
      <c r="DA1363" t="s">
        <v>5904</v>
      </c>
      <c r="DB1363">
        <v>1322</v>
      </c>
      <c r="DC1363" t="s">
        <v>28339</v>
      </c>
      <c r="DD1363" t="s">
        <v>28340</v>
      </c>
      <c r="DE1363" t="s">
        <v>28341</v>
      </c>
      <c r="DF1363" t="s">
        <v>28342</v>
      </c>
      <c r="DG1363" t="s">
        <v>28343</v>
      </c>
      <c r="DH1363" t="str">
        <f>"HSD17B4"</f>
        <v>HSD17B4</v>
      </c>
      <c r="DI1363" t="s">
        <v>28344</v>
      </c>
      <c r="DJ1363" t="s">
        <v>13777</v>
      </c>
      <c r="DK1363">
        <v>9606</v>
      </c>
      <c r="DL1363" s="34" t="str">
        <f>HYPERLINK("http://www.uniprot.org/uniprot/P51659", "P51659")</f>
        <v>P51659</v>
      </c>
      <c r="DM1363" t="s">
        <v>28345</v>
      </c>
      <c r="DN1363" t="s">
        <v>14430</v>
      </c>
      <c r="DO1363" t="s">
        <v>16689</v>
      </c>
      <c r="DP1363" t="s">
        <v>13780</v>
      </c>
      <c r="DQ1363" t="s">
        <v>13772</v>
      </c>
      <c r="DR1363" t="s">
        <v>26462</v>
      </c>
      <c r="DS1363" t="s">
        <v>13772</v>
      </c>
      <c r="DT1363" t="s">
        <v>14492</v>
      </c>
      <c r="DU1363" t="s">
        <v>28346</v>
      </c>
      <c r="DV1363" t="s">
        <v>13886</v>
      </c>
      <c r="DW1363" t="s">
        <v>13812</v>
      </c>
      <c r="DX1363" t="s">
        <v>28347</v>
      </c>
      <c r="DY1363" t="s">
        <v>28348</v>
      </c>
      <c r="DZ1363" t="s">
        <v>28349</v>
      </c>
      <c r="EA1363" t="s">
        <v>17197</v>
      </c>
      <c r="EB1363" t="s">
        <v>28350</v>
      </c>
    </row>
    <row r="1364" spans="1:132" hidden="1">
      <c r="A1364">
        <v>1597</v>
      </c>
      <c r="B1364">
        <v>1</v>
      </c>
      <c r="C1364" t="s">
        <v>3785</v>
      </c>
      <c r="D1364" t="s">
        <v>73</v>
      </c>
      <c r="E1364" t="s">
        <v>73</v>
      </c>
      <c r="F1364" t="s">
        <v>73</v>
      </c>
      <c r="G1364" t="s">
        <v>73</v>
      </c>
      <c r="H1364">
        <v>22.1</v>
      </c>
      <c r="I1364">
        <v>298</v>
      </c>
      <c r="J1364">
        <v>32268</v>
      </c>
      <c r="K1364" t="s">
        <v>3786</v>
      </c>
      <c r="L1364">
        <f t="shared" si="86"/>
        <v>15</v>
      </c>
      <c r="N1364">
        <v>15</v>
      </c>
      <c r="O1364">
        <v>15</v>
      </c>
      <c r="P1364">
        <v>1</v>
      </c>
      <c r="Q1364">
        <v>0</v>
      </c>
      <c r="R1364">
        <v>2</v>
      </c>
      <c r="S1364">
        <v>0</v>
      </c>
      <c r="T1364">
        <v>0</v>
      </c>
      <c r="U1364">
        <v>1</v>
      </c>
      <c r="V1364">
        <v>3</v>
      </c>
      <c r="W1364">
        <v>0</v>
      </c>
      <c r="X1364">
        <v>1</v>
      </c>
      <c r="Y1364">
        <v>1</v>
      </c>
      <c r="Z1364">
        <v>0</v>
      </c>
      <c r="AA1364">
        <v>3</v>
      </c>
      <c r="AB1364">
        <v>1</v>
      </c>
      <c r="AC1364">
        <v>2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L1364">
        <v>0</v>
      </c>
      <c r="AM1364">
        <v>0</v>
      </c>
      <c r="AN1364">
        <v>1</v>
      </c>
      <c r="AO1364">
        <v>3</v>
      </c>
      <c r="AP1364">
        <v>0</v>
      </c>
      <c r="AQ1364">
        <v>1</v>
      </c>
      <c r="AR1364">
        <v>1</v>
      </c>
      <c r="AS1364">
        <v>0</v>
      </c>
      <c r="AT1364">
        <v>3</v>
      </c>
      <c r="AU1364">
        <v>1</v>
      </c>
      <c r="AV1364">
        <v>2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 s="2">
        <v>0</v>
      </c>
      <c r="BD1364" s="2">
        <v>2</v>
      </c>
      <c r="BE1364" s="2">
        <v>0</v>
      </c>
      <c r="BF1364" s="2">
        <v>0</v>
      </c>
      <c r="BG1364" s="2">
        <v>1</v>
      </c>
      <c r="BH1364" s="2">
        <v>3</v>
      </c>
      <c r="BI1364" s="2">
        <v>0</v>
      </c>
      <c r="BJ1364" s="2">
        <v>1</v>
      </c>
      <c r="BK1364" s="2">
        <v>1</v>
      </c>
      <c r="BL1364" s="2">
        <v>0</v>
      </c>
      <c r="BM1364" s="2">
        <v>3</v>
      </c>
      <c r="BN1364" s="2">
        <v>1</v>
      </c>
      <c r="BO1364" s="2">
        <v>2</v>
      </c>
      <c r="BP1364" s="2">
        <v>0</v>
      </c>
      <c r="BQ1364" s="2">
        <v>1</v>
      </c>
      <c r="BR1364" s="2">
        <v>0</v>
      </c>
      <c r="BS1364" s="2">
        <v>0</v>
      </c>
      <c r="BT1364" s="2">
        <v>0</v>
      </c>
      <c r="BU1364" s="2">
        <v>0</v>
      </c>
      <c r="BV1364" s="2">
        <f t="shared" si="89"/>
        <v>15</v>
      </c>
      <c r="BW1364" s="16">
        <f t="shared" si="87"/>
        <v>0.78947368421052633</v>
      </c>
      <c r="BX1364" s="16">
        <f>COUNTIF($BC$6:BU1364, "=0") / COUNTIF($BC$6:BU1364, "&gt;-1")</f>
        <v>0.35502110685101274</v>
      </c>
      <c r="BY1364" s="18">
        <f>SUM($BC$6:BU1364) / $BY$4</f>
        <v>0.97180043724966125</v>
      </c>
      <c r="BZ1364" s="14">
        <f t="shared" si="88"/>
        <v>10</v>
      </c>
      <c r="CA1364" t="s">
        <v>5832</v>
      </c>
      <c r="CZ1364" t="s">
        <v>11063</v>
      </c>
      <c r="DA1364" t="s">
        <v>5904</v>
      </c>
      <c r="DB1364">
        <v>591.29999999999995</v>
      </c>
      <c r="DC1364" t="s">
        <v>29110</v>
      </c>
      <c r="DD1364" t="s">
        <v>13772</v>
      </c>
      <c r="DE1364" t="s">
        <v>29111</v>
      </c>
      <c r="DF1364" t="s">
        <v>29112</v>
      </c>
      <c r="DG1364" t="s">
        <v>29113</v>
      </c>
      <c r="DH1364" t="str">
        <f>"ISOC1"</f>
        <v>ISOC1</v>
      </c>
      <c r="DI1364" t="s">
        <v>13772</v>
      </c>
      <c r="DJ1364" t="s">
        <v>13777</v>
      </c>
      <c r="DK1364">
        <v>9606</v>
      </c>
      <c r="DL1364" s="34" t="str">
        <f>HYPERLINK("http://www.uniprot.org/uniprot/Q96CN7", "Q96CN7")</f>
        <v>Q96CN7</v>
      </c>
      <c r="DM1364" t="s">
        <v>13782</v>
      </c>
      <c r="DN1364" t="s">
        <v>13772</v>
      </c>
      <c r="DO1364" t="s">
        <v>13772</v>
      </c>
      <c r="DP1364" t="s">
        <v>13772</v>
      </c>
      <c r="DQ1364" t="s">
        <v>13772</v>
      </c>
      <c r="DR1364" t="s">
        <v>13772</v>
      </c>
      <c r="DS1364" t="s">
        <v>13772</v>
      </c>
      <c r="DT1364" t="s">
        <v>13772</v>
      </c>
      <c r="DU1364" t="s">
        <v>13772</v>
      </c>
      <c r="DV1364" t="s">
        <v>13782</v>
      </c>
      <c r="DW1364" t="s">
        <v>13772</v>
      </c>
      <c r="DX1364" t="s">
        <v>13772</v>
      </c>
      <c r="DY1364" t="s">
        <v>29114</v>
      </c>
      <c r="DZ1364" t="s">
        <v>29115</v>
      </c>
      <c r="EA1364" t="s">
        <v>13772</v>
      </c>
      <c r="EB1364" t="s">
        <v>13772</v>
      </c>
    </row>
    <row r="1365" spans="1:132" hidden="1">
      <c r="A1365">
        <v>1656</v>
      </c>
      <c r="B1365">
        <v>1</v>
      </c>
      <c r="C1365" t="s">
        <v>3928</v>
      </c>
      <c r="D1365" t="s">
        <v>73</v>
      </c>
      <c r="E1365" t="s">
        <v>73</v>
      </c>
      <c r="F1365" t="s">
        <v>73</v>
      </c>
      <c r="G1365" t="s">
        <v>73</v>
      </c>
      <c r="H1365">
        <v>33.9</v>
      </c>
      <c r="I1365">
        <v>218</v>
      </c>
      <c r="J1365">
        <v>24442</v>
      </c>
      <c r="K1365" t="s">
        <v>3929</v>
      </c>
      <c r="L1365">
        <f t="shared" si="86"/>
        <v>15</v>
      </c>
      <c r="N1365">
        <v>15</v>
      </c>
      <c r="O1365">
        <v>15</v>
      </c>
      <c r="P1365">
        <v>1</v>
      </c>
      <c r="Q1365">
        <v>0</v>
      </c>
      <c r="R1365">
        <v>2</v>
      </c>
      <c r="S1365">
        <v>0</v>
      </c>
      <c r="T1365">
        <v>0</v>
      </c>
      <c r="U1365">
        <v>0</v>
      </c>
      <c r="V1365">
        <v>2</v>
      </c>
      <c r="W1365">
        <v>0</v>
      </c>
      <c r="X1365">
        <v>1</v>
      </c>
      <c r="Y1365">
        <v>4</v>
      </c>
      <c r="Z1365">
        <v>0</v>
      </c>
      <c r="AA1365">
        <v>3</v>
      </c>
      <c r="AB1365">
        <v>0</v>
      </c>
      <c r="AC1365">
        <v>1</v>
      </c>
      <c r="AD1365">
        <v>0</v>
      </c>
      <c r="AE1365">
        <v>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0</v>
      </c>
      <c r="AN1365">
        <v>0</v>
      </c>
      <c r="AO1365">
        <v>2</v>
      </c>
      <c r="AP1365">
        <v>0</v>
      </c>
      <c r="AQ1365">
        <v>1</v>
      </c>
      <c r="AR1365">
        <v>4</v>
      </c>
      <c r="AS1365">
        <v>0</v>
      </c>
      <c r="AT1365">
        <v>3</v>
      </c>
      <c r="AU1365">
        <v>0</v>
      </c>
      <c r="AV1365">
        <v>1</v>
      </c>
      <c r="AW1365">
        <v>0</v>
      </c>
      <c r="AX1365">
        <v>2</v>
      </c>
      <c r="AY1365">
        <v>0</v>
      </c>
      <c r="AZ1365">
        <v>0</v>
      </c>
      <c r="BA1365">
        <v>0</v>
      </c>
      <c r="BB1365">
        <v>0</v>
      </c>
      <c r="BC1365" s="2">
        <v>0</v>
      </c>
      <c r="BD1365" s="2">
        <v>2</v>
      </c>
      <c r="BE1365" s="2">
        <v>0</v>
      </c>
      <c r="BF1365" s="2">
        <v>0</v>
      </c>
      <c r="BG1365" s="2">
        <v>0</v>
      </c>
      <c r="BH1365" s="2">
        <v>2</v>
      </c>
      <c r="BI1365" s="2">
        <v>0</v>
      </c>
      <c r="BJ1365" s="2">
        <v>1</v>
      </c>
      <c r="BK1365" s="2">
        <v>4</v>
      </c>
      <c r="BL1365" s="2">
        <v>0</v>
      </c>
      <c r="BM1365" s="2">
        <v>3</v>
      </c>
      <c r="BN1365" s="2">
        <v>0</v>
      </c>
      <c r="BO1365" s="2">
        <v>1</v>
      </c>
      <c r="BP1365" s="2">
        <v>0</v>
      </c>
      <c r="BQ1365" s="2">
        <v>2</v>
      </c>
      <c r="BR1365" s="2">
        <v>0</v>
      </c>
      <c r="BS1365" s="2">
        <v>0</v>
      </c>
      <c r="BT1365" s="2">
        <v>0</v>
      </c>
      <c r="BU1365" s="2">
        <v>0</v>
      </c>
      <c r="BV1365" s="2">
        <f t="shared" si="89"/>
        <v>15</v>
      </c>
      <c r="BW1365" s="16">
        <f t="shared" si="87"/>
        <v>0.78947368421052633</v>
      </c>
      <c r="BX1365" s="16">
        <f>COUNTIF($BC$6:BU1365, "=0") / COUNTIF($BC$6:BU1365, "&gt;-1")</f>
        <v>0.35522445820433435</v>
      </c>
      <c r="BY1365" s="18">
        <f>SUM($BC$6:BU1365) / $BY$4</f>
        <v>0.97186469180269175</v>
      </c>
      <c r="BZ1365" s="14">
        <f t="shared" si="88"/>
        <v>12</v>
      </c>
      <c r="CA1365" t="s">
        <v>5832</v>
      </c>
      <c r="CZ1365" t="s">
        <v>11270</v>
      </c>
      <c r="DA1365" t="s">
        <v>5904</v>
      </c>
      <c r="DB1365">
        <v>431.4</v>
      </c>
      <c r="DC1365" t="s">
        <v>29686</v>
      </c>
      <c r="DD1365" t="s">
        <v>13772</v>
      </c>
      <c r="DE1365" t="s">
        <v>29687</v>
      </c>
      <c r="DF1365" t="s">
        <v>29688</v>
      </c>
      <c r="DG1365" t="s">
        <v>29689</v>
      </c>
      <c r="DH1365" t="str">
        <f>"HPRT1"</f>
        <v>HPRT1</v>
      </c>
      <c r="DI1365" t="s">
        <v>29690</v>
      </c>
      <c r="DJ1365" t="s">
        <v>13777</v>
      </c>
      <c r="DK1365">
        <v>9606</v>
      </c>
      <c r="DL1365" s="34" t="str">
        <f>HYPERLINK("http://www.uniprot.org/uniprot/P00492", "P00492")</f>
        <v>P00492</v>
      </c>
      <c r="DM1365" t="s">
        <v>29691</v>
      </c>
      <c r="DN1365" t="s">
        <v>25364</v>
      </c>
      <c r="DO1365" t="s">
        <v>13899</v>
      </c>
      <c r="DP1365" t="s">
        <v>13772</v>
      </c>
      <c r="DQ1365" t="s">
        <v>13772</v>
      </c>
      <c r="DR1365" t="s">
        <v>29692</v>
      </c>
      <c r="DS1365" t="s">
        <v>13772</v>
      </c>
      <c r="DT1365" t="s">
        <v>14062</v>
      </c>
      <c r="DU1365" t="s">
        <v>15995</v>
      </c>
      <c r="DV1365" t="s">
        <v>13991</v>
      </c>
      <c r="DW1365" t="s">
        <v>13812</v>
      </c>
      <c r="DX1365" t="s">
        <v>29693</v>
      </c>
      <c r="DY1365" t="s">
        <v>14194</v>
      </c>
      <c r="DZ1365" t="s">
        <v>29694</v>
      </c>
      <c r="EA1365" t="s">
        <v>29695</v>
      </c>
      <c r="EB1365" t="s">
        <v>16304</v>
      </c>
    </row>
    <row r="1366" spans="1:132" hidden="1">
      <c r="A1366">
        <v>1745</v>
      </c>
      <c r="B1366">
        <v>1</v>
      </c>
      <c r="C1366" t="s">
        <v>4127</v>
      </c>
      <c r="D1366" t="s">
        <v>73</v>
      </c>
      <c r="E1366" t="s">
        <v>73</v>
      </c>
      <c r="F1366" t="s">
        <v>73</v>
      </c>
      <c r="G1366" t="s">
        <v>73</v>
      </c>
      <c r="H1366">
        <v>22.6</v>
      </c>
      <c r="I1366">
        <v>305</v>
      </c>
      <c r="J1366">
        <v>33883</v>
      </c>
      <c r="K1366" t="s">
        <v>4128</v>
      </c>
      <c r="L1366">
        <f t="shared" si="86"/>
        <v>15</v>
      </c>
      <c r="N1366">
        <v>15</v>
      </c>
      <c r="O1366">
        <v>15</v>
      </c>
      <c r="P1366">
        <v>1</v>
      </c>
      <c r="Q1366">
        <v>1</v>
      </c>
      <c r="R1366">
        <v>3</v>
      </c>
      <c r="S1366">
        <v>3</v>
      </c>
      <c r="T1366">
        <v>1</v>
      </c>
      <c r="U1366">
        <v>3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1</v>
      </c>
      <c r="AK1366">
        <v>3</v>
      </c>
      <c r="AL1366">
        <v>3</v>
      </c>
      <c r="AM1366">
        <v>1</v>
      </c>
      <c r="AN1366">
        <v>3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</v>
      </c>
      <c r="BC1366" s="2">
        <v>1</v>
      </c>
      <c r="BD1366" s="2">
        <v>3</v>
      </c>
      <c r="BE1366" s="2">
        <v>3</v>
      </c>
      <c r="BF1366" s="2">
        <v>1</v>
      </c>
      <c r="BG1366" s="2">
        <v>3</v>
      </c>
      <c r="BH1366" s="2">
        <v>1</v>
      </c>
      <c r="BI1366" s="2">
        <v>0</v>
      </c>
      <c r="BJ1366" s="2">
        <v>0</v>
      </c>
      <c r="BK1366" s="2">
        <v>0</v>
      </c>
      <c r="BL1366" s="2">
        <v>1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2</v>
      </c>
      <c r="BV1366" s="2">
        <f t="shared" si="89"/>
        <v>15</v>
      </c>
      <c r="BW1366" s="16">
        <f t="shared" si="87"/>
        <v>0.78947368421052633</v>
      </c>
      <c r="BX1366" s="16">
        <f>COUNTIF($BC$6:BU1366, "=0") / COUNTIF($BC$6:BU1366, "&gt;-1")</f>
        <v>0.35538883947561778</v>
      </c>
      <c r="BY1366" s="18">
        <f>SUM($BC$6:BU1366) / $BY$4</f>
        <v>0.97192894635572236</v>
      </c>
      <c r="BZ1366" s="14">
        <f t="shared" si="88"/>
        <v>11</v>
      </c>
      <c r="CA1366" t="s">
        <v>5832</v>
      </c>
      <c r="CZ1366" t="s">
        <v>11567</v>
      </c>
      <c r="DA1366" t="s">
        <v>5904</v>
      </c>
      <c r="DB1366">
        <v>481.5</v>
      </c>
      <c r="DC1366" t="s">
        <v>30526</v>
      </c>
      <c r="DD1366" t="s">
        <v>30527</v>
      </c>
      <c r="DE1366" t="s">
        <v>30528</v>
      </c>
      <c r="DF1366" t="s">
        <v>30529</v>
      </c>
      <c r="DG1366" t="s">
        <v>30530</v>
      </c>
      <c r="DH1366" t="str">
        <f>"GNPTG"</f>
        <v>GNPTG</v>
      </c>
      <c r="DI1366" t="s">
        <v>30531</v>
      </c>
      <c r="DJ1366" t="s">
        <v>13777</v>
      </c>
      <c r="DK1366">
        <v>9606</v>
      </c>
      <c r="DL1366" s="34" t="str">
        <f>HYPERLINK("http://www.uniprot.org/uniprot/Q9UJJ9", "Q9UJJ9")</f>
        <v>Q9UJJ9</v>
      </c>
      <c r="DM1366" t="s">
        <v>30532</v>
      </c>
      <c r="DN1366" t="s">
        <v>13772</v>
      </c>
      <c r="DO1366" t="s">
        <v>30533</v>
      </c>
      <c r="DP1366" t="s">
        <v>13793</v>
      </c>
      <c r="DQ1366" t="s">
        <v>13772</v>
      </c>
      <c r="DR1366" t="s">
        <v>30534</v>
      </c>
      <c r="DS1366" t="s">
        <v>13808</v>
      </c>
      <c r="DT1366" t="s">
        <v>13772</v>
      </c>
      <c r="DU1366" t="s">
        <v>13772</v>
      </c>
      <c r="DV1366" t="s">
        <v>13796</v>
      </c>
      <c r="DW1366" t="s">
        <v>13772</v>
      </c>
      <c r="DX1366" t="s">
        <v>30535</v>
      </c>
      <c r="DY1366" t="s">
        <v>30536</v>
      </c>
      <c r="DZ1366" t="s">
        <v>30537</v>
      </c>
      <c r="EA1366" t="s">
        <v>13772</v>
      </c>
      <c r="EB1366" t="s">
        <v>13772</v>
      </c>
    </row>
    <row r="1367" spans="1:132" hidden="1">
      <c r="A1367">
        <v>1769</v>
      </c>
      <c r="B1367">
        <v>1</v>
      </c>
      <c r="C1367" t="s">
        <v>4187</v>
      </c>
      <c r="D1367" t="s">
        <v>73</v>
      </c>
      <c r="E1367" t="s">
        <v>73</v>
      </c>
      <c r="F1367" t="s">
        <v>73</v>
      </c>
      <c r="G1367" t="s">
        <v>73</v>
      </c>
      <c r="H1367">
        <v>19.399999999999999</v>
      </c>
      <c r="I1367">
        <v>346</v>
      </c>
      <c r="J1367">
        <v>41157</v>
      </c>
      <c r="K1367" t="s">
        <v>4188</v>
      </c>
      <c r="L1367">
        <f t="shared" si="86"/>
        <v>15</v>
      </c>
      <c r="N1367">
        <v>15</v>
      </c>
      <c r="O1367">
        <v>15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12</v>
      </c>
      <c r="Z1367">
        <v>0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12</v>
      </c>
      <c r="AS1367">
        <v>0</v>
      </c>
      <c r="AT1367">
        <v>2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12</v>
      </c>
      <c r="BL1367" s="2">
        <v>0</v>
      </c>
      <c r="BM1367" s="2">
        <v>2</v>
      </c>
      <c r="BN1367" s="2">
        <v>0</v>
      </c>
      <c r="BO1367" s="2">
        <v>0</v>
      </c>
      <c r="BP1367" s="2">
        <v>0</v>
      </c>
      <c r="BQ1367" s="2">
        <v>0</v>
      </c>
      <c r="BR1367" s="2">
        <v>1</v>
      </c>
      <c r="BS1367" s="2">
        <v>0</v>
      </c>
      <c r="BT1367" s="2">
        <v>0</v>
      </c>
      <c r="BU1367" s="2">
        <v>0</v>
      </c>
      <c r="BV1367" s="2">
        <f t="shared" si="89"/>
        <v>15</v>
      </c>
      <c r="BW1367" s="16">
        <f t="shared" si="87"/>
        <v>0.78947368421052633</v>
      </c>
      <c r="BX1367" s="16">
        <f>COUNTIF($BC$6:BU1367, "=0") / COUNTIF($BC$6:BU1367, "&gt;-1")</f>
        <v>0.35574619367802768</v>
      </c>
      <c r="BY1367" s="18">
        <f>SUM($BC$6:BU1367) / $BY$4</f>
        <v>0.97199320090875285</v>
      </c>
      <c r="BZ1367" s="14">
        <f t="shared" si="88"/>
        <v>16</v>
      </c>
      <c r="CA1367" t="s">
        <v>5832</v>
      </c>
      <c r="CZ1367" t="s">
        <v>11653</v>
      </c>
      <c r="DA1367" t="s">
        <v>6054</v>
      </c>
      <c r="DB1367">
        <v>102.1</v>
      </c>
      <c r="DC1367" t="s">
        <v>30784</v>
      </c>
      <c r="DD1367" t="s">
        <v>13772</v>
      </c>
      <c r="DE1367" t="s">
        <v>30785</v>
      </c>
      <c r="DF1367" t="s">
        <v>30786</v>
      </c>
      <c r="DG1367" t="s">
        <v>30787</v>
      </c>
      <c r="DH1367" t="str">
        <f>"IVL"</f>
        <v>IVL</v>
      </c>
      <c r="DI1367" t="s">
        <v>13772</v>
      </c>
      <c r="DJ1367" t="s">
        <v>13777</v>
      </c>
      <c r="DK1367">
        <v>9606</v>
      </c>
      <c r="DL1367" s="34" t="str">
        <f>HYPERLINK("http://www.uniprot.org/uniprot/P07476", "P07476")</f>
        <v>P07476</v>
      </c>
      <c r="DM1367" t="s">
        <v>30788</v>
      </c>
      <c r="DN1367" t="s">
        <v>16018</v>
      </c>
      <c r="DO1367" t="s">
        <v>13899</v>
      </c>
      <c r="DP1367" t="s">
        <v>13793</v>
      </c>
      <c r="DQ1367" t="s">
        <v>13772</v>
      </c>
      <c r="DR1367" t="s">
        <v>13772</v>
      </c>
      <c r="DS1367" t="s">
        <v>14096</v>
      </c>
      <c r="DT1367" t="s">
        <v>13772</v>
      </c>
      <c r="DU1367" t="s">
        <v>13772</v>
      </c>
      <c r="DV1367" t="s">
        <v>30789</v>
      </c>
      <c r="DW1367" t="s">
        <v>13812</v>
      </c>
      <c r="DX1367" t="s">
        <v>30790</v>
      </c>
      <c r="DY1367" t="s">
        <v>30791</v>
      </c>
      <c r="DZ1367" t="s">
        <v>13772</v>
      </c>
      <c r="EA1367" t="s">
        <v>13772</v>
      </c>
      <c r="EB1367" t="s">
        <v>16024</v>
      </c>
    </row>
    <row r="1368" spans="1:132" hidden="1">
      <c r="A1368">
        <v>1876</v>
      </c>
      <c r="B1368">
        <v>1</v>
      </c>
      <c r="C1368" t="s">
        <v>4429</v>
      </c>
      <c r="D1368" t="s">
        <v>4430</v>
      </c>
      <c r="E1368" t="s">
        <v>73</v>
      </c>
      <c r="F1368" t="s">
        <v>73</v>
      </c>
      <c r="G1368" t="s">
        <v>73</v>
      </c>
      <c r="H1368">
        <v>8.1999999999999993</v>
      </c>
      <c r="I1368">
        <v>340</v>
      </c>
      <c r="J1368">
        <v>37782</v>
      </c>
      <c r="K1368" t="s">
        <v>4431</v>
      </c>
      <c r="L1368">
        <f t="shared" si="86"/>
        <v>15</v>
      </c>
      <c r="N1368">
        <v>15</v>
      </c>
      <c r="O1368">
        <v>15</v>
      </c>
      <c r="P1368">
        <v>1</v>
      </c>
      <c r="Q1368">
        <v>0</v>
      </c>
      <c r="R1368">
        <v>2</v>
      </c>
      <c r="S1368">
        <v>2</v>
      </c>
      <c r="T1368">
        <v>2</v>
      </c>
      <c r="U1368">
        <v>4</v>
      </c>
      <c r="V1368">
        <v>3</v>
      </c>
      <c r="W1368">
        <v>0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</v>
      </c>
      <c r="AL1368">
        <v>2</v>
      </c>
      <c r="AM1368">
        <v>2</v>
      </c>
      <c r="AN1368">
        <v>4</v>
      </c>
      <c r="AO1368">
        <v>3</v>
      </c>
      <c r="AP1368">
        <v>0</v>
      </c>
      <c r="AQ1368">
        <v>2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 s="2">
        <v>0</v>
      </c>
      <c r="BD1368" s="2">
        <v>2</v>
      </c>
      <c r="BE1368" s="2">
        <v>2</v>
      </c>
      <c r="BF1368" s="2">
        <v>2</v>
      </c>
      <c r="BG1368" s="2">
        <v>4</v>
      </c>
      <c r="BH1368" s="2">
        <v>3</v>
      </c>
      <c r="BI1368" s="2">
        <v>0</v>
      </c>
      <c r="BJ1368" s="2">
        <v>2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f t="shared" si="89"/>
        <v>15</v>
      </c>
      <c r="BW1368" s="16">
        <f t="shared" si="87"/>
        <v>0.78947368421052633</v>
      </c>
      <c r="BX1368" s="16">
        <f>COUNTIF($BC$6:BU1368, "=0") / COUNTIF($BC$6:BU1368, "&gt;-1")</f>
        <v>0.35598717998223733</v>
      </c>
      <c r="BY1368" s="18">
        <f>SUM($BC$6:BU1368) / $BY$4</f>
        <v>0.97205745546178335</v>
      </c>
      <c r="BZ1368" s="14">
        <f t="shared" si="88"/>
        <v>13</v>
      </c>
      <c r="CA1368" t="s">
        <v>5832</v>
      </c>
      <c r="CZ1368" t="s">
        <v>12010</v>
      </c>
      <c r="DA1368" t="s">
        <v>5904</v>
      </c>
      <c r="DB1368">
        <v>458.4</v>
      </c>
      <c r="DC1368" t="s">
        <v>31794</v>
      </c>
      <c r="DD1368" t="s">
        <v>31795</v>
      </c>
      <c r="DE1368" t="s">
        <v>31796</v>
      </c>
      <c r="DF1368" t="s">
        <v>31797</v>
      </c>
      <c r="DG1368" t="s">
        <v>31798</v>
      </c>
      <c r="DH1368" t="str">
        <f>"CD84"</f>
        <v>CD84</v>
      </c>
      <c r="DI1368" t="s">
        <v>31799</v>
      </c>
      <c r="DJ1368" t="s">
        <v>13777</v>
      </c>
      <c r="DK1368">
        <v>9606</v>
      </c>
      <c r="DL1368" s="34" t="str">
        <f>HYPERLINK("http://www.uniprot.org/uniprot/Q9UIB8", "Q9UIB8")</f>
        <v>Q9UIB8</v>
      </c>
      <c r="DM1368" t="s">
        <v>31800</v>
      </c>
      <c r="DN1368" t="s">
        <v>31801</v>
      </c>
      <c r="DO1368" t="s">
        <v>13792</v>
      </c>
      <c r="DP1368" t="s">
        <v>13841</v>
      </c>
      <c r="DQ1368" t="s">
        <v>13772</v>
      </c>
      <c r="DR1368" t="s">
        <v>13772</v>
      </c>
      <c r="DS1368" t="s">
        <v>13951</v>
      </c>
      <c r="DT1368" t="s">
        <v>13772</v>
      </c>
      <c r="DU1368" t="s">
        <v>13795</v>
      </c>
      <c r="DV1368" t="s">
        <v>13964</v>
      </c>
      <c r="DW1368" t="s">
        <v>13812</v>
      </c>
      <c r="DX1368" t="s">
        <v>31802</v>
      </c>
      <c r="DY1368" t="s">
        <v>30524</v>
      </c>
      <c r="DZ1368" t="s">
        <v>16148</v>
      </c>
      <c r="EA1368" t="s">
        <v>13772</v>
      </c>
      <c r="EB1368" t="s">
        <v>19461</v>
      </c>
    </row>
    <row r="1369" spans="1:132" hidden="1">
      <c r="A1369">
        <v>1950</v>
      </c>
      <c r="B1369">
        <v>1</v>
      </c>
      <c r="C1369" t="s">
        <v>4598</v>
      </c>
      <c r="D1369" t="s">
        <v>4599</v>
      </c>
      <c r="E1369" t="s">
        <v>73</v>
      </c>
      <c r="F1369" t="s">
        <v>73</v>
      </c>
      <c r="G1369" t="s">
        <v>73</v>
      </c>
      <c r="H1369">
        <v>12.4</v>
      </c>
      <c r="I1369">
        <v>1334</v>
      </c>
      <c r="J1369">
        <v>145379</v>
      </c>
      <c r="K1369" t="s">
        <v>4600</v>
      </c>
      <c r="L1369">
        <f t="shared" si="86"/>
        <v>15</v>
      </c>
      <c r="N1369">
        <v>15</v>
      </c>
      <c r="O1369">
        <v>15</v>
      </c>
      <c r="P1369">
        <v>1</v>
      </c>
      <c r="Q1369">
        <v>0</v>
      </c>
      <c r="R1369">
        <v>3</v>
      </c>
      <c r="S1369">
        <v>0</v>
      </c>
      <c r="T1369">
        <v>2</v>
      </c>
      <c r="U1369">
        <v>5</v>
      </c>
      <c r="V1369">
        <v>4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</v>
      </c>
      <c r="AL1369">
        <v>0</v>
      </c>
      <c r="AM1369">
        <v>2</v>
      </c>
      <c r="AN1369">
        <v>5</v>
      </c>
      <c r="AO1369">
        <v>4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 s="2">
        <v>0</v>
      </c>
      <c r="BD1369" s="2">
        <v>3</v>
      </c>
      <c r="BE1369" s="2">
        <v>0</v>
      </c>
      <c r="BF1369" s="2">
        <v>2</v>
      </c>
      <c r="BG1369" s="2">
        <v>5</v>
      </c>
      <c r="BH1369" s="2">
        <v>4</v>
      </c>
      <c r="BI1369" s="2">
        <v>0</v>
      </c>
      <c r="BJ1369" s="2">
        <v>1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f t="shared" si="89"/>
        <v>15</v>
      </c>
      <c r="BW1369" s="16">
        <f t="shared" si="87"/>
        <v>0.78947368421052633</v>
      </c>
      <c r="BX1369" s="16">
        <f>COUNTIF($BC$6:BU1369, "=0") / COUNTIF($BC$6:BU1369, "&gt;-1")</f>
        <v>0.3562663991356691</v>
      </c>
      <c r="BY1369" s="18">
        <f>SUM($BC$6:BU1369) / $BY$4</f>
        <v>0.97212171001481384</v>
      </c>
      <c r="BZ1369" s="14">
        <f t="shared" si="88"/>
        <v>14</v>
      </c>
      <c r="CA1369" t="s">
        <v>5832</v>
      </c>
      <c r="CZ1369" t="s">
        <v>12257</v>
      </c>
      <c r="DA1369" t="s">
        <v>5904</v>
      </c>
      <c r="DB1369">
        <v>1342.8</v>
      </c>
      <c r="DC1369" t="s">
        <v>32484</v>
      </c>
      <c r="DD1369" t="s">
        <v>32485</v>
      </c>
      <c r="DE1369" t="s">
        <v>32486</v>
      </c>
      <c r="DF1369" t="s">
        <v>32487</v>
      </c>
      <c r="DG1369" t="s">
        <v>32488</v>
      </c>
      <c r="DH1369" t="str">
        <f>"AKAP2"</f>
        <v>AKAP2</v>
      </c>
      <c r="DI1369" t="s">
        <v>32489</v>
      </c>
      <c r="DJ1369" t="s">
        <v>13777</v>
      </c>
      <c r="DK1369">
        <v>9606</v>
      </c>
      <c r="DL1369" s="34" t="str">
        <f>HYPERLINK("http://www.uniprot.org/uniprot/Q9Y2D5", "Q9Y2D5")</f>
        <v>Q9Y2D5</v>
      </c>
      <c r="DM1369" t="s">
        <v>32490</v>
      </c>
      <c r="DN1369" t="s">
        <v>13772</v>
      </c>
      <c r="DO1369" t="s">
        <v>13772</v>
      </c>
      <c r="DP1369" t="s">
        <v>13780</v>
      </c>
      <c r="DQ1369" t="s">
        <v>13772</v>
      </c>
      <c r="DR1369" t="s">
        <v>13772</v>
      </c>
      <c r="DS1369" t="s">
        <v>14245</v>
      </c>
      <c r="DT1369" t="s">
        <v>13772</v>
      </c>
      <c r="DU1369" t="s">
        <v>13772</v>
      </c>
      <c r="DV1369" t="s">
        <v>13938</v>
      </c>
      <c r="DW1369" t="s">
        <v>13772</v>
      </c>
      <c r="DX1369" t="s">
        <v>13772</v>
      </c>
      <c r="DY1369" t="s">
        <v>13772</v>
      </c>
      <c r="DZ1369" t="s">
        <v>13772</v>
      </c>
      <c r="EA1369" t="s">
        <v>13772</v>
      </c>
      <c r="EB1369" t="s">
        <v>13772</v>
      </c>
    </row>
    <row r="1370" spans="1:132" hidden="1">
      <c r="A1370">
        <v>1953</v>
      </c>
      <c r="B1370">
        <v>1</v>
      </c>
      <c r="C1370" t="s">
        <v>4608</v>
      </c>
      <c r="D1370" t="s">
        <v>73</v>
      </c>
      <c r="E1370" t="s">
        <v>73</v>
      </c>
      <c r="F1370" t="s">
        <v>73</v>
      </c>
      <c r="G1370" t="s">
        <v>73</v>
      </c>
      <c r="H1370">
        <v>39.1</v>
      </c>
      <c r="I1370">
        <v>266</v>
      </c>
      <c r="J1370">
        <v>29995</v>
      </c>
      <c r="K1370" t="s">
        <v>4609</v>
      </c>
      <c r="L1370">
        <f t="shared" si="86"/>
        <v>15</v>
      </c>
      <c r="N1370">
        <v>15</v>
      </c>
      <c r="O1370">
        <v>15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>
        <v>0</v>
      </c>
      <c r="AA1370">
        <v>2</v>
      </c>
      <c r="AB1370">
        <v>6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5</v>
      </c>
      <c r="AS1370">
        <v>0</v>
      </c>
      <c r="AT1370">
        <v>2</v>
      </c>
      <c r="AU1370">
        <v>6</v>
      </c>
      <c r="AV1370">
        <v>1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5</v>
      </c>
      <c r="BL1370" s="2">
        <v>0</v>
      </c>
      <c r="BM1370" s="2">
        <v>2</v>
      </c>
      <c r="BN1370" s="2">
        <v>6</v>
      </c>
      <c r="BO1370" s="2">
        <v>1</v>
      </c>
      <c r="BP1370" s="2">
        <v>0</v>
      </c>
      <c r="BQ1370" s="2">
        <v>0</v>
      </c>
      <c r="BR1370" s="2">
        <v>1</v>
      </c>
      <c r="BS1370" s="2">
        <v>0</v>
      </c>
      <c r="BT1370" s="2">
        <v>0</v>
      </c>
      <c r="BU1370" s="2">
        <v>0</v>
      </c>
      <c r="BV1370" s="2">
        <f t="shared" si="89"/>
        <v>15</v>
      </c>
      <c r="BW1370" s="16">
        <f t="shared" si="87"/>
        <v>0.78947368421052633</v>
      </c>
      <c r="BX1370" s="16">
        <f>COUNTIF($BC$6:BU1370, "=0") / COUNTIF($BC$6:BU1370, "&gt;-1")</f>
        <v>0.35654520917678811</v>
      </c>
      <c r="BY1370" s="18">
        <f>SUM($BC$6:BU1370) / $BY$4</f>
        <v>0.97218596456784434</v>
      </c>
      <c r="BZ1370" s="14">
        <f t="shared" si="88"/>
        <v>14</v>
      </c>
      <c r="CA1370" t="s">
        <v>5832</v>
      </c>
      <c r="CZ1370" t="s">
        <v>12266</v>
      </c>
      <c r="DA1370" t="s">
        <v>5904</v>
      </c>
      <c r="DB1370">
        <v>535</v>
      </c>
      <c r="DC1370" t="s">
        <v>32499</v>
      </c>
      <c r="DD1370" t="s">
        <v>32500</v>
      </c>
      <c r="DE1370" t="s">
        <v>32501</v>
      </c>
      <c r="DF1370" t="s">
        <v>32502</v>
      </c>
      <c r="DG1370" t="s">
        <v>32503</v>
      </c>
      <c r="DH1370" t="str">
        <f>"RPL7A"</f>
        <v>RPL7A</v>
      </c>
      <c r="DI1370" t="s">
        <v>32504</v>
      </c>
      <c r="DJ1370" t="s">
        <v>13777</v>
      </c>
      <c r="DK1370">
        <v>9606</v>
      </c>
      <c r="DL1370" s="34" t="str">
        <f>HYPERLINK("http://www.uniprot.org/uniprot/P62424", "P62424")</f>
        <v>P62424</v>
      </c>
      <c r="DM1370" t="s">
        <v>32505</v>
      </c>
      <c r="DN1370" t="s">
        <v>13772</v>
      </c>
      <c r="DO1370" t="s">
        <v>13772</v>
      </c>
      <c r="DP1370" t="s">
        <v>32506</v>
      </c>
      <c r="DQ1370" t="s">
        <v>13772</v>
      </c>
      <c r="DR1370" t="s">
        <v>13772</v>
      </c>
      <c r="DS1370" t="s">
        <v>13772</v>
      </c>
      <c r="DT1370" t="s">
        <v>13772</v>
      </c>
      <c r="DU1370" t="s">
        <v>13937</v>
      </c>
      <c r="DV1370" t="s">
        <v>14312</v>
      </c>
      <c r="DW1370" t="s">
        <v>13812</v>
      </c>
      <c r="DX1370" t="s">
        <v>32507</v>
      </c>
      <c r="DY1370" t="s">
        <v>32508</v>
      </c>
      <c r="DZ1370" t="s">
        <v>20451</v>
      </c>
      <c r="EA1370" t="s">
        <v>13772</v>
      </c>
      <c r="EB1370" t="s">
        <v>13942</v>
      </c>
    </row>
    <row r="1371" spans="1:132" hidden="1">
      <c r="A1371">
        <v>1979</v>
      </c>
      <c r="B1371">
        <v>1</v>
      </c>
      <c r="C1371" t="s">
        <v>4660</v>
      </c>
      <c r="D1371" t="s">
        <v>73</v>
      </c>
      <c r="E1371" t="s">
        <v>73</v>
      </c>
      <c r="F1371" t="s">
        <v>73</v>
      </c>
      <c r="G1371" t="s">
        <v>73</v>
      </c>
      <c r="H1371">
        <v>20.399999999999999</v>
      </c>
      <c r="I1371">
        <v>323</v>
      </c>
      <c r="J1371">
        <v>35749</v>
      </c>
      <c r="K1371" t="s">
        <v>4661</v>
      </c>
      <c r="L1371">
        <f t="shared" si="86"/>
        <v>15</v>
      </c>
      <c r="N1371">
        <v>15</v>
      </c>
      <c r="O1371">
        <v>15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2</v>
      </c>
      <c r="Z1371">
        <v>0</v>
      </c>
      <c r="AA1371">
        <v>2</v>
      </c>
      <c r="AB1371">
        <v>4</v>
      </c>
      <c r="AC1371">
        <v>2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2</v>
      </c>
      <c r="AS1371">
        <v>0</v>
      </c>
      <c r="AT1371">
        <v>2</v>
      </c>
      <c r="AU1371">
        <v>4</v>
      </c>
      <c r="AV1371">
        <v>2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 s="2">
        <v>0</v>
      </c>
      <c r="BD1371" s="2">
        <v>1</v>
      </c>
      <c r="BE1371" s="2">
        <v>1</v>
      </c>
      <c r="BF1371" s="2">
        <v>1</v>
      </c>
      <c r="BG1371" s="2">
        <v>1</v>
      </c>
      <c r="BH1371" s="2">
        <v>0</v>
      </c>
      <c r="BI1371" s="2">
        <v>0</v>
      </c>
      <c r="BJ1371" s="2">
        <v>0</v>
      </c>
      <c r="BK1371" s="2">
        <v>2</v>
      </c>
      <c r="BL1371" s="2">
        <v>0</v>
      </c>
      <c r="BM1371" s="2">
        <v>2</v>
      </c>
      <c r="BN1371" s="2">
        <v>4</v>
      </c>
      <c r="BO1371" s="2">
        <v>2</v>
      </c>
      <c r="BP1371" s="2">
        <v>1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f t="shared" si="89"/>
        <v>15</v>
      </c>
      <c r="BW1371" s="16">
        <f t="shared" si="87"/>
        <v>0.78947368421052633</v>
      </c>
      <c r="BX1371" s="16">
        <f>COUNTIF($BC$6:BU1371, "=0") / COUNTIF($BC$6:BU1371, "&gt;-1")</f>
        <v>0.3566694921784696</v>
      </c>
      <c r="BY1371" s="18">
        <f>SUM($BC$6:BU1371) / $BY$4</f>
        <v>0.97225021912087484</v>
      </c>
      <c r="BZ1371" s="14">
        <f t="shared" si="88"/>
        <v>10</v>
      </c>
      <c r="CA1371" t="s">
        <v>5832</v>
      </c>
      <c r="CZ1371" t="s">
        <v>12352</v>
      </c>
      <c r="DA1371" t="s">
        <v>5904</v>
      </c>
      <c r="DB1371">
        <v>500.7</v>
      </c>
      <c r="DC1371" t="s">
        <v>32758</v>
      </c>
      <c r="DD1371" t="s">
        <v>32759</v>
      </c>
      <c r="DE1371" t="s">
        <v>32760</v>
      </c>
      <c r="DF1371" t="s">
        <v>32761</v>
      </c>
      <c r="DG1371" t="s">
        <v>32762</v>
      </c>
      <c r="DH1371" t="str">
        <f>"TACSTD2"</f>
        <v>TACSTD2</v>
      </c>
      <c r="DI1371" t="s">
        <v>32763</v>
      </c>
      <c r="DJ1371" t="s">
        <v>13777</v>
      </c>
      <c r="DK1371">
        <v>9606</v>
      </c>
      <c r="DL1371" s="34" t="str">
        <f>HYPERLINK("http://www.uniprot.org/uniprot/P09758", "P09758")</f>
        <v>P09758</v>
      </c>
      <c r="DM1371" t="s">
        <v>32764</v>
      </c>
      <c r="DN1371" t="s">
        <v>15757</v>
      </c>
      <c r="DO1371" t="s">
        <v>32765</v>
      </c>
      <c r="DP1371" t="s">
        <v>13793</v>
      </c>
      <c r="DQ1371" t="s">
        <v>13772</v>
      </c>
      <c r="DR1371" t="s">
        <v>32766</v>
      </c>
      <c r="DS1371" t="s">
        <v>13855</v>
      </c>
      <c r="DT1371" t="s">
        <v>13772</v>
      </c>
      <c r="DU1371" t="s">
        <v>32767</v>
      </c>
      <c r="DV1371" t="s">
        <v>13796</v>
      </c>
      <c r="DW1371" t="s">
        <v>13812</v>
      </c>
      <c r="DX1371" t="s">
        <v>32768</v>
      </c>
      <c r="DY1371" t="s">
        <v>32769</v>
      </c>
      <c r="DZ1371" t="s">
        <v>32770</v>
      </c>
      <c r="EA1371" t="s">
        <v>13772</v>
      </c>
      <c r="EB1371" t="s">
        <v>13772</v>
      </c>
    </row>
    <row r="1372" spans="1:132" hidden="1">
      <c r="A1372">
        <v>1984</v>
      </c>
      <c r="B1372">
        <v>1</v>
      </c>
      <c r="C1372" t="s">
        <v>4671</v>
      </c>
      <c r="D1372" t="s">
        <v>73</v>
      </c>
      <c r="E1372" t="s">
        <v>73</v>
      </c>
      <c r="F1372" t="s">
        <v>73</v>
      </c>
      <c r="G1372" t="s">
        <v>73</v>
      </c>
      <c r="H1372">
        <v>28.6</v>
      </c>
      <c r="I1372">
        <v>283</v>
      </c>
      <c r="J1372">
        <v>31243</v>
      </c>
      <c r="K1372" t="s">
        <v>4672</v>
      </c>
      <c r="L1372">
        <f t="shared" si="86"/>
        <v>15</v>
      </c>
      <c r="N1372">
        <v>15</v>
      </c>
      <c r="O1372">
        <v>15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</v>
      </c>
      <c r="W1372">
        <v>0</v>
      </c>
      <c r="X1372">
        <v>1</v>
      </c>
      <c r="Y1372">
        <v>4</v>
      </c>
      <c r="Z1372">
        <v>0</v>
      </c>
      <c r="AA1372">
        <v>5</v>
      </c>
      <c r="AB1372">
        <v>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</v>
      </c>
      <c r="AP1372">
        <v>0</v>
      </c>
      <c r="AQ1372">
        <v>1</v>
      </c>
      <c r="AR1372">
        <v>4</v>
      </c>
      <c r="AS1372">
        <v>0</v>
      </c>
      <c r="AT1372">
        <v>5</v>
      </c>
      <c r="AU1372">
        <v>2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3</v>
      </c>
      <c r="BI1372" s="2">
        <v>0</v>
      </c>
      <c r="BJ1372" s="2">
        <v>1</v>
      </c>
      <c r="BK1372" s="2">
        <v>4</v>
      </c>
      <c r="BL1372" s="2">
        <v>0</v>
      </c>
      <c r="BM1372" s="2">
        <v>5</v>
      </c>
      <c r="BN1372" s="2">
        <v>2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f t="shared" si="89"/>
        <v>15</v>
      </c>
      <c r="BW1372" s="16">
        <f t="shared" si="87"/>
        <v>0.78947368421052633</v>
      </c>
      <c r="BX1372" s="16">
        <f>COUNTIF($BC$6:BU1372, "=0") / COUNTIF($BC$6:BU1372, "&gt;-1")</f>
        <v>0.35694759943017751</v>
      </c>
      <c r="BY1372" s="18">
        <f>SUM($BC$6:BU1372) / $BY$4</f>
        <v>0.97231447367390533</v>
      </c>
      <c r="BZ1372" s="14">
        <f t="shared" si="88"/>
        <v>14</v>
      </c>
      <c r="CA1372" t="s">
        <v>5832</v>
      </c>
      <c r="CZ1372" t="s">
        <v>12367</v>
      </c>
      <c r="DA1372" t="s">
        <v>5904</v>
      </c>
      <c r="DB1372">
        <v>575.1</v>
      </c>
      <c r="DC1372" t="s">
        <v>32808</v>
      </c>
      <c r="DD1372" t="s">
        <v>32809</v>
      </c>
      <c r="DE1372" t="s">
        <v>32810</v>
      </c>
      <c r="DF1372" t="s">
        <v>32811</v>
      </c>
      <c r="DG1372" t="s">
        <v>32812</v>
      </c>
      <c r="DH1372" t="str">
        <f>"MTAP"</f>
        <v>MTAP</v>
      </c>
      <c r="DI1372" t="s">
        <v>32813</v>
      </c>
      <c r="DJ1372" t="s">
        <v>13777</v>
      </c>
      <c r="DK1372">
        <v>9606</v>
      </c>
      <c r="DL1372" s="34" t="str">
        <f>HYPERLINK("http://www.uniprot.org/uniprot/Q13126", "Q13126")</f>
        <v>Q13126</v>
      </c>
      <c r="DM1372" t="s">
        <v>32814</v>
      </c>
      <c r="DN1372" t="s">
        <v>25364</v>
      </c>
      <c r="DO1372" t="s">
        <v>13912</v>
      </c>
      <c r="DP1372" t="s">
        <v>13780</v>
      </c>
      <c r="DQ1372" t="s">
        <v>13772</v>
      </c>
      <c r="DR1372" t="s">
        <v>13772</v>
      </c>
      <c r="DS1372" t="s">
        <v>13772</v>
      </c>
      <c r="DT1372" t="s">
        <v>13772</v>
      </c>
      <c r="DU1372" t="s">
        <v>15995</v>
      </c>
      <c r="DV1372" t="s">
        <v>14020</v>
      </c>
      <c r="DW1372" t="s">
        <v>13812</v>
      </c>
      <c r="DX1372" t="s">
        <v>32815</v>
      </c>
      <c r="DY1372" t="s">
        <v>14085</v>
      </c>
      <c r="DZ1372" t="s">
        <v>32816</v>
      </c>
      <c r="EA1372" t="s">
        <v>32817</v>
      </c>
      <c r="EB1372" t="s">
        <v>32818</v>
      </c>
    </row>
    <row r="1373" spans="1:132" hidden="1">
      <c r="A1373">
        <v>2025</v>
      </c>
      <c r="B1373">
        <v>1</v>
      </c>
      <c r="C1373" t="s">
        <v>4759</v>
      </c>
      <c r="D1373" t="s">
        <v>73</v>
      </c>
      <c r="E1373" t="s">
        <v>73</v>
      </c>
      <c r="F1373" t="s">
        <v>73</v>
      </c>
      <c r="G1373" t="s">
        <v>73</v>
      </c>
      <c r="H1373">
        <v>17.2</v>
      </c>
      <c r="I1373">
        <v>244</v>
      </c>
      <c r="J1373">
        <v>27458</v>
      </c>
      <c r="K1373" t="s">
        <v>4760</v>
      </c>
      <c r="L1373">
        <f t="shared" si="86"/>
        <v>15</v>
      </c>
      <c r="N1373">
        <v>15</v>
      </c>
      <c r="O1373">
        <v>15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5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2</v>
      </c>
      <c r="AF1373">
        <v>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5</v>
      </c>
      <c r="AS1373">
        <v>0</v>
      </c>
      <c r="AT1373">
        <v>1</v>
      </c>
      <c r="AU1373">
        <v>1</v>
      </c>
      <c r="AV1373">
        <v>1</v>
      </c>
      <c r="AW1373">
        <v>0</v>
      </c>
      <c r="AX1373">
        <v>2</v>
      </c>
      <c r="AY1373">
        <v>4</v>
      </c>
      <c r="AZ1373">
        <v>0</v>
      </c>
      <c r="BA1373">
        <v>0</v>
      </c>
      <c r="BB1373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1</v>
      </c>
      <c r="BK1373" s="2">
        <v>5</v>
      </c>
      <c r="BL1373" s="2">
        <v>0</v>
      </c>
      <c r="BM1373" s="2">
        <v>1</v>
      </c>
      <c r="BN1373" s="2">
        <v>1</v>
      </c>
      <c r="BO1373" s="2">
        <v>1</v>
      </c>
      <c r="BP1373" s="2">
        <v>0</v>
      </c>
      <c r="BQ1373" s="2">
        <v>2</v>
      </c>
      <c r="BR1373" s="2">
        <v>4</v>
      </c>
      <c r="BS1373" s="2">
        <v>0</v>
      </c>
      <c r="BT1373" s="2">
        <v>0</v>
      </c>
      <c r="BU1373" s="2">
        <v>0</v>
      </c>
      <c r="BV1373" s="2">
        <f t="shared" si="89"/>
        <v>15</v>
      </c>
      <c r="BW1373" s="16">
        <f t="shared" si="87"/>
        <v>0.78947368421052633</v>
      </c>
      <c r="BX1373" s="16">
        <f>COUNTIF($BC$6:BU1373, "=0") / COUNTIF($BC$6:BU1373, "&gt;-1")</f>
        <v>0.35714835333948908</v>
      </c>
      <c r="BY1373" s="18">
        <f>SUM($BC$6:BU1373) / $BY$4</f>
        <v>0.97237872822693583</v>
      </c>
      <c r="BZ1373" s="14">
        <f t="shared" si="88"/>
        <v>12</v>
      </c>
      <c r="CA1373" t="s">
        <v>5832</v>
      </c>
      <c r="CZ1373" t="s">
        <v>12497</v>
      </c>
      <c r="DA1373" t="s">
        <v>5904</v>
      </c>
      <c r="DB1373">
        <v>441.4</v>
      </c>
      <c r="DC1373" t="s">
        <v>33158</v>
      </c>
      <c r="DD1373" t="s">
        <v>33159</v>
      </c>
      <c r="DE1373" t="s">
        <v>33160</v>
      </c>
      <c r="DF1373" t="s">
        <v>33161</v>
      </c>
      <c r="DG1373" t="s">
        <v>33162</v>
      </c>
      <c r="DH1373" t="str">
        <f>"TBCB"</f>
        <v>TBCB</v>
      </c>
      <c r="DI1373" t="s">
        <v>33163</v>
      </c>
      <c r="DJ1373" t="s">
        <v>13777</v>
      </c>
      <c r="DK1373">
        <v>9606</v>
      </c>
      <c r="DL1373" s="34" t="str">
        <f>HYPERLINK("http://www.uniprot.org/uniprot/Q99426", "Q99426")</f>
        <v>Q99426</v>
      </c>
      <c r="DM1373" t="s">
        <v>33164</v>
      </c>
      <c r="DN1373" t="s">
        <v>14726</v>
      </c>
      <c r="DO1373" t="s">
        <v>20183</v>
      </c>
      <c r="DP1373" t="s">
        <v>13841</v>
      </c>
      <c r="DQ1373" t="s">
        <v>13772</v>
      </c>
      <c r="DR1373" t="s">
        <v>13772</v>
      </c>
      <c r="DS1373" t="s">
        <v>13772</v>
      </c>
      <c r="DT1373" t="s">
        <v>13772</v>
      </c>
      <c r="DU1373" t="s">
        <v>33165</v>
      </c>
      <c r="DV1373" t="s">
        <v>19111</v>
      </c>
      <c r="DW1373" t="s">
        <v>13772</v>
      </c>
      <c r="DX1373" t="s">
        <v>33166</v>
      </c>
      <c r="DY1373" t="s">
        <v>33167</v>
      </c>
      <c r="DZ1373" t="s">
        <v>13772</v>
      </c>
      <c r="EA1373" t="s">
        <v>13772</v>
      </c>
      <c r="EB1373" t="s">
        <v>23351</v>
      </c>
    </row>
    <row r="1374" spans="1:132" hidden="1">
      <c r="A1374">
        <v>2040</v>
      </c>
      <c r="B1374">
        <v>1</v>
      </c>
      <c r="C1374" t="s">
        <v>4793</v>
      </c>
      <c r="D1374" t="s">
        <v>4794</v>
      </c>
      <c r="E1374" t="s">
        <v>73</v>
      </c>
      <c r="F1374" t="s">
        <v>73</v>
      </c>
      <c r="G1374" t="s">
        <v>73</v>
      </c>
      <c r="H1374">
        <v>9.1</v>
      </c>
      <c r="I1374">
        <v>1527</v>
      </c>
      <c r="J1374">
        <v>160402</v>
      </c>
      <c r="K1374" t="s">
        <v>4795</v>
      </c>
      <c r="L1374">
        <f t="shared" si="86"/>
        <v>15</v>
      </c>
      <c r="N1374">
        <v>15</v>
      </c>
      <c r="O1374">
        <v>15</v>
      </c>
      <c r="P1374">
        <v>1</v>
      </c>
      <c r="Q1374">
        <v>0</v>
      </c>
      <c r="R1374">
        <v>0</v>
      </c>
      <c r="S1374">
        <v>2</v>
      </c>
      <c r="T1374">
        <v>0</v>
      </c>
      <c r="U1374">
        <v>4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2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3</v>
      </c>
      <c r="AJ1374">
        <v>0</v>
      </c>
      <c r="AK1374">
        <v>0</v>
      </c>
      <c r="AL1374">
        <v>2</v>
      </c>
      <c r="AM1374">
        <v>0</v>
      </c>
      <c r="AN1374">
        <v>4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2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3</v>
      </c>
      <c r="BC1374" s="2">
        <v>0</v>
      </c>
      <c r="BD1374" s="2">
        <v>0</v>
      </c>
      <c r="BE1374" s="2">
        <v>2</v>
      </c>
      <c r="BF1374" s="2">
        <v>0</v>
      </c>
      <c r="BG1374" s="2">
        <v>4</v>
      </c>
      <c r="BH1374" s="2">
        <v>0</v>
      </c>
      <c r="BI1374" s="2">
        <v>1</v>
      </c>
      <c r="BJ1374" s="2">
        <v>0</v>
      </c>
      <c r="BK1374" s="2">
        <v>1</v>
      </c>
      <c r="BL1374" s="2">
        <v>0</v>
      </c>
      <c r="BM1374" s="2">
        <v>0</v>
      </c>
      <c r="BN1374" s="2">
        <v>2</v>
      </c>
      <c r="BO1374" s="2">
        <v>0</v>
      </c>
      <c r="BP1374" s="2">
        <v>0</v>
      </c>
      <c r="BQ1374" s="2">
        <v>0</v>
      </c>
      <c r="BR1374" s="2">
        <v>1</v>
      </c>
      <c r="BS1374" s="2">
        <v>1</v>
      </c>
      <c r="BT1374" s="2">
        <v>0</v>
      </c>
      <c r="BU1374" s="2">
        <v>3</v>
      </c>
      <c r="BV1374" s="2">
        <f t="shared" si="89"/>
        <v>15</v>
      </c>
      <c r="BW1374" s="16">
        <f t="shared" si="87"/>
        <v>0.78947368421052633</v>
      </c>
      <c r="BX1374" s="16">
        <f>COUNTIF($BC$6:BU1374, "=0") / COUNTIF($BC$6:BU1374, "&gt;-1")</f>
        <v>0.35731036869016952</v>
      </c>
      <c r="BY1374" s="18">
        <f>SUM($BC$6:BU1374) / $BY$4</f>
        <v>0.97244298277996633</v>
      </c>
      <c r="BZ1374" s="14">
        <f t="shared" si="88"/>
        <v>11</v>
      </c>
      <c r="CA1374" t="s">
        <v>5832</v>
      </c>
      <c r="CZ1374" t="s">
        <v>12550</v>
      </c>
      <c r="DA1374" t="s">
        <v>5904</v>
      </c>
      <c r="DB1374">
        <v>1632.5</v>
      </c>
      <c r="DC1374" t="s">
        <v>33303</v>
      </c>
      <c r="DD1374" t="s">
        <v>33304</v>
      </c>
      <c r="DE1374" t="s">
        <v>33305</v>
      </c>
      <c r="DF1374" t="s">
        <v>33306</v>
      </c>
      <c r="DG1374" t="s">
        <v>33307</v>
      </c>
      <c r="DH1374" t="str">
        <f>"SSC5D"</f>
        <v>SSC5D</v>
      </c>
      <c r="DI1374" t="s">
        <v>13772</v>
      </c>
      <c r="DJ1374" t="s">
        <v>13777</v>
      </c>
      <c r="DK1374">
        <v>9606</v>
      </c>
      <c r="DL1374" s="34" t="str">
        <f>HYPERLINK("http://www.uniprot.org/uniprot/A1L4H1", "A1L4H1")</f>
        <v>A1L4H1</v>
      </c>
      <c r="DM1374" t="s">
        <v>33308</v>
      </c>
      <c r="DN1374" t="s">
        <v>22793</v>
      </c>
      <c r="DO1374" t="s">
        <v>16449</v>
      </c>
      <c r="DP1374" t="s">
        <v>13841</v>
      </c>
      <c r="DQ1374" t="s">
        <v>13772</v>
      </c>
      <c r="DR1374" t="s">
        <v>13772</v>
      </c>
      <c r="DS1374" t="s">
        <v>14404</v>
      </c>
      <c r="DT1374" t="s">
        <v>13772</v>
      </c>
      <c r="DU1374" t="s">
        <v>15919</v>
      </c>
      <c r="DV1374" t="s">
        <v>13796</v>
      </c>
      <c r="DW1374" t="s">
        <v>13772</v>
      </c>
      <c r="DX1374" t="s">
        <v>33309</v>
      </c>
      <c r="DY1374" t="s">
        <v>33310</v>
      </c>
      <c r="DZ1374" t="s">
        <v>33311</v>
      </c>
      <c r="EA1374" t="s">
        <v>13772</v>
      </c>
      <c r="EB1374" t="s">
        <v>33312</v>
      </c>
    </row>
    <row r="1375" spans="1:132" hidden="1">
      <c r="A1375">
        <v>2247</v>
      </c>
      <c r="B1375">
        <v>1</v>
      </c>
      <c r="C1375" t="s">
        <v>5255</v>
      </c>
      <c r="D1375" t="s">
        <v>73</v>
      </c>
      <c r="E1375" t="s">
        <v>73</v>
      </c>
      <c r="F1375" t="s">
        <v>73</v>
      </c>
      <c r="G1375" t="s">
        <v>73</v>
      </c>
      <c r="H1375">
        <v>16.600000000000001</v>
      </c>
      <c r="I1375">
        <v>547</v>
      </c>
      <c r="J1375">
        <v>59420</v>
      </c>
      <c r="K1375" t="s">
        <v>5256</v>
      </c>
      <c r="L1375">
        <f t="shared" si="86"/>
        <v>15</v>
      </c>
      <c r="N1375">
        <v>15</v>
      </c>
      <c r="O1375">
        <v>15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3</v>
      </c>
      <c r="AB1375">
        <v>4</v>
      </c>
      <c r="AC1375">
        <v>1</v>
      </c>
      <c r="AD1375">
        <v>0</v>
      </c>
      <c r="AE1375">
        <v>3</v>
      </c>
      <c r="AF1375">
        <v>2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3</v>
      </c>
      <c r="AU1375">
        <v>4</v>
      </c>
      <c r="AV1375">
        <v>1</v>
      </c>
      <c r="AW1375">
        <v>0</v>
      </c>
      <c r="AX1375">
        <v>3</v>
      </c>
      <c r="AY1375">
        <v>2</v>
      </c>
      <c r="AZ1375">
        <v>0</v>
      </c>
      <c r="BA1375">
        <v>0</v>
      </c>
      <c r="BB1375">
        <v>0</v>
      </c>
      <c r="BC1375" s="2">
        <v>0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1</v>
      </c>
      <c r="BL1375" s="2">
        <v>0</v>
      </c>
      <c r="BM1375" s="2">
        <v>3</v>
      </c>
      <c r="BN1375" s="2">
        <v>4</v>
      </c>
      <c r="BO1375" s="2">
        <v>1</v>
      </c>
      <c r="BP1375" s="2">
        <v>0</v>
      </c>
      <c r="BQ1375" s="2">
        <v>3</v>
      </c>
      <c r="BR1375" s="2">
        <v>2</v>
      </c>
      <c r="BS1375" s="2">
        <v>0</v>
      </c>
      <c r="BT1375" s="2">
        <v>0</v>
      </c>
      <c r="BU1375" s="2">
        <v>0</v>
      </c>
      <c r="BV1375" s="2">
        <f t="shared" si="89"/>
        <v>15</v>
      </c>
      <c r="BW1375" s="16">
        <f t="shared" si="87"/>
        <v>0.78947368421052633</v>
      </c>
      <c r="BX1375" s="16">
        <f>COUNTIF($BC$6:BU1375, "=0") / COUNTIF($BC$6:BU1375, "&gt;-1")</f>
        <v>0.35751056473300036</v>
      </c>
      <c r="BY1375" s="18">
        <f>SUM($BC$6:BU1375) / $BY$4</f>
        <v>0.97250723733299682</v>
      </c>
      <c r="BZ1375" s="14">
        <f t="shared" si="88"/>
        <v>12</v>
      </c>
      <c r="CA1375" t="s">
        <v>5832</v>
      </c>
      <c r="CZ1375" t="s">
        <v>13234</v>
      </c>
      <c r="DA1375" t="s">
        <v>5904</v>
      </c>
      <c r="DB1375">
        <v>975.7</v>
      </c>
      <c r="DC1375" t="s">
        <v>35223</v>
      </c>
      <c r="DD1375" t="s">
        <v>35224</v>
      </c>
      <c r="DE1375" t="s">
        <v>35225</v>
      </c>
      <c r="DF1375" t="s">
        <v>35226</v>
      </c>
      <c r="DG1375" t="s">
        <v>35227</v>
      </c>
      <c r="DH1375" t="str">
        <f>"SCP2"</f>
        <v>SCP2</v>
      </c>
      <c r="DI1375" t="s">
        <v>13772</v>
      </c>
      <c r="DJ1375" t="s">
        <v>13777</v>
      </c>
      <c r="DK1375">
        <v>9606</v>
      </c>
      <c r="DL1375" s="34" t="str">
        <f>HYPERLINK("http://www.uniprot.org/uniprot/P22307", "P22307")</f>
        <v>P22307</v>
      </c>
      <c r="DM1375" t="s">
        <v>35228</v>
      </c>
      <c r="DN1375" t="s">
        <v>13898</v>
      </c>
      <c r="DO1375" t="s">
        <v>19226</v>
      </c>
      <c r="DP1375" t="s">
        <v>14942</v>
      </c>
      <c r="DQ1375" t="s">
        <v>13772</v>
      </c>
      <c r="DR1375" t="s">
        <v>13772</v>
      </c>
      <c r="DS1375" t="s">
        <v>13772</v>
      </c>
      <c r="DT1375" t="s">
        <v>13900</v>
      </c>
      <c r="DU1375" t="s">
        <v>15096</v>
      </c>
      <c r="DV1375" t="s">
        <v>13886</v>
      </c>
      <c r="DW1375" t="s">
        <v>13812</v>
      </c>
      <c r="DX1375" t="s">
        <v>35229</v>
      </c>
      <c r="DY1375" t="s">
        <v>35230</v>
      </c>
      <c r="DZ1375" t="s">
        <v>35231</v>
      </c>
      <c r="EA1375" t="s">
        <v>13772</v>
      </c>
      <c r="EB1375" t="s">
        <v>35232</v>
      </c>
    </row>
    <row r="1376" spans="1:132" hidden="1">
      <c r="A1376">
        <v>2278</v>
      </c>
      <c r="B1376">
        <v>1</v>
      </c>
      <c r="C1376" t="s">
        <v>5321</v>
      </c>
      <c r="D1376" t="s">
        <v>73</v>
      </c>
      <c r="E1376" t="s">
        <v>73</v>
      </c>
      <c r="F1376" t="s">
        <v>73</v>
      </c>
      <c r="G1376" t="s">
        <v>73</v>
      </c>
      <c r="H1376">
        <v>6.1</v>
      </c>
      <c r="I1376">
        <v>879</v>
      </c>
      <c r="J1376">
        <v>98376</v>
      </c>
      <c r="K1376" t="s">
        <v>5322</v>
      </c>
      <c r="L1376">
        <f t="shared" si="86"/>
        <v>15</v>
      </c>
      <c r="N1376">
        <v>15</v>
      </c>
      <c r="O1376">
        <v>15</v>
      </c>
      <c r="P1376">
        <v>1</v>
      </c>
      <c r="Q1376">
        <v>0</v>
      </c>
      <c r="R1376">
        <v>2</v>
      </c>
      <c r="S1376">
        <v>0</v>
      </c>
      <c r="T1376">
        <v>2</v>
      </c>
      <c r="U1376">
        <v>3</v>
      </c>
      <c r="V1376">
        <v>4</v>
      </c>
      <c r="W1376">
        <v>1</v>
      </c>
      <c r="X1376">
        <v>2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2</v>
      </c>
      <c r="AL1376">
        <v>0</v>
      </c>
      <c r="AM1376">
        <v>2</v>
      </c>
      <c r="AN1376">
        <v>3</v>
      </c>
      <c r="AO1376">
        <v>4</v>
      </c>
      <c r="AP1376">
        <v>1</v>
      </c>
      <c r="AQ1376">
        <v>2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 s="2">
        <v>0</v>
      </c>
      <c r="BD1376" s="2">
        <v>2</v>
      </c>
      <c r="BE1376" s="2">
        <v>0</v>
      </c>
      <c r="BF1376" s="2">
        <v>2</v>
      </c>
      <c r="BG1376" s="2">
        <v>3</v>
      </c>
      <c r="BH1376" s="2">
        <v>4</v>
      </c>
      <c r="BI1376" s="2">
        <v>1</v>
      </c>
      <c r="BJ1376" s="2">
        <v>2</v>
      </c>
      <c r="BK1376" s="2">
        <v>0</v>
      </c>
      <c r="BL1376" s="2">
        <v>0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f t="shared" si="89"/>
        <v>15</v>
      </c>
      <c r="BW1376" s="16">
        <f t="shared" si="87"/>
        <v>0.78947368421052633</v>
      </c>
      <c r="BX1376" s="16">
        <f>COUNTIF($BC$6:BU1376, "=0") / COUNTIF($BC$6:BU1376, "&gt;-1")</f>
        <v>0.35771046873200507</v>
      </c>
      <c r="BY1376" s="18">
        <f>SUM($BC$6:BU1376) / $BY$4</f>
        <v>0.97257149188602743</v>
      </c>
      <c r="BZ1376" s="14">
        <f t="shared" si="88"/>
        <v>12</v>
      </c>
      <c r="CA1376" t="s">
        <v>5832</v>
      </c>
      <c r="CZ1376" t="s">
        <v>13335</v>
      </c>
      <c r="DA1376" t="s">
        <v>5904</v>
      </c>
      <c r="DB1376">
        <v>1622.8</v>
      </c>
      <c r="DC1376" t="s">
        <v>35508</v>
      </c>
      <c r="DD1376" t="s">
        <v>35509</v>
      </c>
      <c r="DE1376" t="s">
        <v>35510</v>
      </c>
      <c r="DF1376" t="s">
        <v>35511</v>
      </c>
      <c r="DG1376" t="s">
        <v>35512</v>
      </c>
      <c r="DH1376" t="str">
        <f>"PTGFRN"</f>
        <v>PTGFRN</v>
      </c>
      <c r="DI1376" t="s">
        <v>35513</v>
      </c>
      <c r="DJ1376" t="s">
        <v>13777</v>
      </c>
      <c r="DK1376">
        <v>9606</v>
      </c>
      <c r="DL1376" s="34" t="str">
        <f>HYPERLINK("http://www.uniprot.org/uniprot/Q9P2B2", "Q9P2B2")</f>
        <v>Q9P2B2</v>
      </c>
      <c r="DM1376" t="s">
        <v>35514</v>
      </c>
      <c r="DN1376" t="s">
        <v>13772</v>
      </c>
      <c r="DO1376" t="s">
        <v>17766</v>
      </c>
      <c r="DP1376" t="s">
        <v>13793</v>
      </c>
      <c r="DQ1376" t="s">
        <v>13772</v>
      </c>
      <c r="DR1376" t="s">
        <v>13772</v>
      </c>
      <c r="DS1376" t="s">
        <v>13951</v>
      </c>
      <c r="DT1376" t="s">
        <v>13772</v>
      </c>
      <c r="DU1376" t="s">
        <v>13772</v>
      </c>
      <c r="DV1376" t="s">
        <v>13964</v>
      </c>
      <c r="DW1376" t="s">
        <v>13772</v>
      </c>
      <c r="DX1376" t="s">
        <v>35515</v>
      </c>
      <c r="DY1376" t="s">
        <v>35516</v>
      </c>
      <c r="DZ1376" t="s">
        <v>13772</v>
      </c>
      <c r="EA1376" t="s">
        <v>13772</v>
      </c>
      <c r="EB1376" t="s">
        <v>13772</v>
      </c>
    </row>
    <row r="1377" spans="1:132" hidden="1">
      <c r="A1377">
        <v>2301</v>
      </c>
      <c r="B1377">
        <v>1</v>
      </c>
      <c r="C1377" t="s">
        <v>5374</v>
      </c>
      <c r="D1377" t="s">
        <v>73</v>
      </c>
      <c r="E1377" t="s">
        <v>73</v>
      </c>
      <c r="F1377" t="s">
        <v>73</v>
      </c>
      <c r="G1377" t="s">
        <v>73</v>
      </c>
      <c r="H1377">
        <v>27.9</v>
      </c>
      <c r="I1377">
        <v>154</v>
      </c>
      <c r="J1377">
        <v>16021</v>
      </c>
      <c r="K1377" t="s">
        <v>5375</v>
      </c>
      <c r="L1377">
        <f t="shared" si="86"/>
        <v>15</v>
      </c>
      <c r="N1377">
        <v>15</v>
      </c>
      <c r="O1377">
        <v>15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7</v>
      </c>
      <c r="AB1377">
        <v>0</v>
      </c>
      <c r="AC1377">
        <v>2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4</v>
      </c>
      <c r="AS1377">
        <v>0</v>
      </c>
      <c r="AT1377">
        <v>7</v>
      </c>
      <c r="AU1377">
        <v>0</v>
      </c>
      <c r="AV1377">
        <v>2</v>
      </c>
      <c r="AW1377">
        <v>0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4</v>
      </c>
      <c r="BL1377" s="2">
        <v>0</v>
      </c>
      <c r="BM1377" s="2">
        <v>7</v>
      </c>
      <c r="BN1377" s="2">
        <v>0</v>
      </c>
      <c r="BO1377" s="2">
        <v>2</v>
      </c>
      <c r="BP1377" s="2">
        <v>0</v>
      </c>
      <c r="BQ1377" s="2">
        <v>1</v>
      </c>
      <c r="BR1377" s="2">
        <v>1</v>
      </c>
      <c r="BS1377" s="2">
        <v>0</v>
      </c>
      <c r="BT1377" s="2">
        <v>0</v>
      </c>
      <c r="BU1377" s="2">
        <v>0</v>
      </c>
      <c r="BV1377" s="2">
        <f t="shared" si="89"/>
        <v>15</v>
      </c>
      <c r="BW1377" s="16">
        <f t="shared" si="87"/>
        <v>0.78947368421052633</v>
      </c>
      <c r="BX1377" s="16">
        <f>COUNTIF($BC$6:BU1377, "=0") / COUNTIF($BC$6:BU1377, "&gt;-1")</f>
        <v>0.35798680374405401</v>
      </c>
      <c r="BY1377" s="18">
        <f>SUM($BC$6:BU1377) / $BY$4</f>
        <v>0.97263574643905792</v>
      </c>
      <c r="BZ1377" s="14">
        <f t="shared" si="88"/>
        <v>14</v>
      </c>
      <c r="CA1377" t="s">
        <v>5832</v>
      </c>
      <c r="CZ1377" t="s">
        <v>13410</v>
      </c>
      <c r="DA1377" t="s">
        <v>5904</v>
      </c>
      <c r="DB1377">
        <v>241.5</v>
      </c>
      <c r="DC1377" t="s">
        <v>35732</v>
      </c>
      <c r="DD1377" t="s">
        <v>35733</v>
      </c>
      <c r="DE1377" t="s">
        <v>35734</v>
      </c>
      <c r="DF1377" t="s">
        <v>35735</v>
      </c>
      <c r="DG1377" t="s">
        <v>35736</v>
      </c>
      <c r="DH1377" t="str">
        <f>"JPT1"</f>
        <v>JPT1</v>
      </c>
      <c r="DI1377" t="s">
        <v>13772</v>
      </c>
      <c r="DJ1377" t="s">
        <v>13777</v>
      </c>
      <c r="DK1377">
        <v>9606</v>
      </c>
      <c r="DL1377" s="34" t="str">
        <f>HYPERLINK("http://www.uniprot.org/uniprot/Q9UK76", "Q9UK76")</f>
        <v>Q9UK76</v>
      </c>
      <c r="DM1377" t="s">
        <v>31468</v>
      </c>
      <c r="DN1377" t="s">
        <v>13772</v>
      </c>
      <c r="DO1377" t="s">
        <v>13912</v>
      </c>
      <c r="DP1377" t="s">
        <v>13841</v>
      </c>
      <c r="DQ1377" t="s">
        <v>13772</v>
      </c>
      <c r="DR1377" t="s">
        <v>13772</v>
      </c>
      <c r="DS1377" t="s">
        <v>13772</v>
      </c>
      <c r="DT1377" t="s">
        <v>13772</v>
      </c>
      <c r="DU1377" t="s">
        <v>13772</v>
      </c>
      <c r="DV1377" t="s">
        <v>13886</v>
      </c>
      <c r="DW1377" t="s">
        <v>13772</v>
      </c>
      <c r="DX1377" t="s">
        <v>13772</v>
      </c>
      <c r="DY1377" t="s">
        <v>35737</v>
      </c>
      <c r="DZ1377" t="s">
        <v>13772</v>
      </c>
      <c r="EA1377" t="s">
        <v>13772</v>
      </c>
      <c r="EB1377" t="s">
        <v>13772</v>
      </c>
    </row>
    <row r="1378" spans="1:132" hidden="1">
      <c r="A1378">
        <v>651</v>
      </c>
      <c r="B1378">
        <v>1</v>
      </c>
      <c r="C1378" t="s">
        <v>1609</v>
      </c>
      <c r="D1378" t="s">
        <v>73</v>
      </c>
      <c r="E1378" t="s">
        <v>73</v>
      </c>
      <c r="F1378" t="s">
        <v>1598</v>
      </c>
      <c r="G1378" t="s">
        <v>73</v>
      </c>
      <c r="H1378">
        <v>16.899999999999999</v>
      </c>
      <c r="I1378">
        <v>302</v>
      </c>
      <c r="J1378">
        <v>33145</v>
      </c>
      <c r="K1378" t="s">
        <v>1610</v>
      </c>
      <c r="L1378">
        <f t="shared" si="86"/>
        <v>27</v>
      </c>
      <c r="N1378">
        <v>27</v>
      </c>
      <c r="O1378">
        <v>9</v>
      </c>
      <c r="P1378">
        <v>0.33300000000000002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6</v>
      </c>
      <c r="X1378">
        <v>4</v>
      </c>
      <c r="Y1378">
        <v>0</v>
      </c>
      <c r="Z1378">
        <v>0</v>
      </c>
      <c r="AA1378">
        <v>2</v>
      </c>
      <c r="AB1378">
        <v>3</v>
      </c>
      <c r="AC1378">
        <v>1</v>
      </c>
      <c r="AD1378">
        <v>0</v>
      </c>
      <c r="AE1378">
        <v>3</v>
      </c>
      <c r="AF1378">
        <v>1</v>
      </c>
      <c r="AG1378">
        <v>2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2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3</v>
      </c>
      <c r="AY1378">
        <v>1</v>
      </c>
      <c r="AZ1378">
        <v>0</v>
      </c>
      <c r="BA1378">
        <v>0</v>
      </c>
      <c r="BB1378">
        <v>0</v>
      </c>
      <c r="BC1378" s="2">
        <v>0.2</v>
      </c>
      <c r="BD1378" s="2">
        <v>0</v>
      </c>
      <c r="BE1378" s="2">
        <v>0.25</v>
      </c>
      <c r="BF1378" s="2">
        <v>0</v>
      </c>
      <c r="BG1378" s="2">
        <v>1</v>
      </c>
      <c r="BH1378" s="2">
        <v>0</v>
      </c>
      <c r="BI1378" s="2">
        <v>5</v>
      </c>
      <c r="BJ1378" s="2">
        <v>0.9</v>
      </c>
      <c r="BK1378" s="2">
        <v>0</v>
      </c>
      <c r="BL1378" s="2">
        <v>0</v>
      </c>
      <c r="BM1378" s="2">
        <v>2</v>
      </c>
      <c r="BN1378" s="2">
        <v>0</v>
      </c>
      <c r="BO1378" s="2">
        <v>1</v>
      </c>
      <c r="BP1378" s="2">
        <v>0</v>
      </c>
      <c r="BQ1378" s="2">
        <v>3</v>
      </c>
      <c r="BR1378" s="2">
        <v>1</v>
      </c>
      <c r="BS1378" s="2">
        <v>0.4</v>
      </c>
      <c r="BT1378" s="2">
        <v>0.2</v>
      </c>
      <c r="BU1378" s="2">
        <v>0</v>
      </c>
      <c r="BV1378" s="2">
        <f t="shared" si="89"/>
        <v>14.950000000000001</v>
      </c>
      <c r="BW1378" s="16">
        <f t="shared" si="87"/>
        <v>0.7868421052631579</v>
      </c>
      <c r="BX1378" s="16">
        <f>COUNTIF($BC$6:BU1378, "=0") / COUNTIF($BC$6:BU1378, "&gt;-1")</f>
        <v>0.35803273661210566</v>
      </c>
      <c r="BY1378" s="18">
        <f>SUM($BC$6:BU1378) / $BY$4</f>
        <v>0.97269978681024505</v>
      </c>
      <c r="BZ1378" s="14">
        <f t="shared" si="88"/>
        <v>8</v>
      </c>
      <c r="CA1378" t="s">
        <v>5832</v>
      </c>
      <c r="CZ1378" t="s">
        <v>7934</v>
      </c>
      <c r="DA1378" t="s">
        <v>5896</v>
      </c>
      <c r="DB1378">
        <v>308.89999999999998</v>
      </c>
      <c r="DC1378" t="s">
        <v>20196</v>
      </c>
      <c r="DD1378" t="s">
        <v>20197</v>
      </c>
      <c r="DE1378" t="s">
        <v>20198</v>
      </c>
      <c r="DF1378" t="s">
        <v>20199</v>
      </c>
      <c r="DG1378" t="s">
        <v>20200</v>
      </c>
      <c r="DH1378" t="str">
        <f>"HLA-C"</f>
        <v>HLA-C</v>
      </c>
      <c r="DI1378" t="s">
        <v>20201</v>
      </c>
      <c r="DJ1378" t="s">
        <v>13777</v>
      </c>
      <c r="DK1378">
        <v>9606</v>
      </c>
      <c r="DL1378" s="34" t="str">
        <f>HYPERLINK("http://www.uniprot.org/uniprot/Q95604", "Q95604")</f>
        <v>Q95604</v>
      </c>
      <c r="DM1378" t="s">
        <v>20194</v>
      </c>
      <c r="DN1378" t="s">
        <v>13791</v>
      </c>
      <c r="DO1378" t="s">
        <v>20159</v>
      </c>
      <c r="DP1378" t="s">
        <v>13793</v>
      </c>
      <c r="DQ1378" t="s">
        <v>13772</v>
      </c>
      <c r="DR1378" t="s">
        <v>13772</v>
      </c>
      <c r="DS1378" t="s">
        <v>13855</v>
      </c>
      <c r="DT1378" t="s">
        <v>13772</v>
      </c>
      <c r="DU1378" t="s">
        <v>13772</v>
      </c>
      <c r="DV1378" t="s">
        <v>18697</v>
      </c>
      <c r="DW1378" t="s">
        <v>13772</v>
      </c>
      <c r="DX1378" t="s">
        <v>20160</v>
      </c>
      <c r="DY1378" t="s">
        <v>20161</v>
      </c>
      <c r="DZ1378" t="s">
        <v>20195</v>
      </c>
      <c r="EA1378" t="s">
        <v>13772</v>
      </c>
      <c r="EB1378" t="s">
        <v>20163</v>
      </c>
    </row>
    <row r="1379" spans="1:132" hidden="1">
      <c r="A1379">
        <v>2319</v>
      </c>
      <c r="B1379">
        <v>1</v>
      </c>
      <c r="C1379" t="s">
        <v>5411</v>
      </c>
      <c r="D1379" t="s">
        <v>73</v>
      </c>
      <c r="E1379" t="s">
        <v>73</v>
      </c>
      <c r="F1379" t="s">
        <v>835</v>
      </c>
      <c r="G1379" t="s">
        <v>73</v>
      </c>
      <c r="H1379">
        <v>25.5</v>
      </c>
      <c r="I1379">
        <v>377</v>
      </c>
      <c r="J1379">
        <v>44001</v>
      </c>
      <c r="K1379" t="s">
        <v>5412</v>
      </c>
      <c r="L1379">
        <f t="shared" si="86"/>
        <v>22</v>
      </c>
      <c r="N1379">
        <v>22</v>
      </c>
      <c r="O1379">
        <v>14</v>
      </c>
      <c r="P1379">
        <v>0.63600000000000001</v>
      </c>
      <c r="Q1379">
        <v>0</v>
      </c>
      <c r="R1379">
        <v>2</v>
      </c>
      <c r="S1379">
        <v>0</v>
      </c>
      <c r="T1379">
        <v>1</v>
      </c>
      <c r="U1379">
        <v>5</v>
      </c>
      <c r="V1379">
        <v>4</v>
      </c>
      <c r="W1379">
        <v>3</v>
      </c>
      <c r="X1379">
        <v>0</v>
      </c>
      <c r="Y1379">
        <v>0</v>
      </c>
      <c r="Z1379">
        <v>1</v>
      </c>
      <c r="AA1379">
        <v>1</v>
      </c>
      <c r="AB1379">
        <v>2</v>
      </c>
      <c r="AC1379">
        <v>1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2</v>
      </c>
      <c r="AL1379">
        <v>0</v>
      </c>
      <c r="AM1379">
        <v>0</v>
      </c>
      <c r="AN1379">
        <v>5</v>
      </c>
      <c r="AO1379">
        <v>4</v>
      </c>
      <c r="AP1379">
        <v>2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 s="2">
        <v>0</v>
      </c>
      <c r="BD1379" s="2">
        <v>2</v>
      </c>
      <c r="BE1379" s="2">
        <v>0</v>
      </c>
      <c r="BF1379" s="2">
        <v>0</v>
      </c>
      <c r="BG1379" s="2">
        <v>5</v>
      </c>
      <c r="BH1379" s="2">
        <v>4</v>
      </c>
      <c r="BI1379" s="2">
        <v>2.222</v>
      </c>
      <c r="BJ1379" s="2">
        <v>0</v>
      </c>
      <c r="BK1379" s="2">
        <v>0</v>
      </c>
      <c r="BL1379" s="2">
        <v>0.2</v>
      </c>
      <c r="BM1379" s="2">
        <v>0</v>
      </c>
      <c r="BN1379" s="2">
        <v>1.125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f t="shared" si="89"/>
        <v>14.546999999999999</v>
      </c>
      <c r="BW1379" s="16">
        <f t="shared" si="87"/>
        <v>0.76563157894736833</v>
      </c>
      <c r="BX1379" s="16">
        <f>COUNTIF($BC$6:BU1379, "=0") / COUNTIF($BC$6:BU1379, "&gt;-1")</f>
        <v>0.35827012947215198</v>
      </c>
      <c r="BY1379" s="18">
        <f>SUM($BC$6:BU1379) / $BY$4</f>
        <v>0.97276210087577408</v>
      </c>
      <c r="BZ1379" s="14">
        <f t="shared" si="88"/>
        <v>13</v>
      </c>
      <c r="CA1379" t="s">
        <v>5832</v>
      </c>
      <c r="CZ1379" t="s">
        <v>13457</v>
      </c>
      <c r="DA1379" t="s">
        <v>5904</v>
      </c>
      <c r="DB1379">
        <v>766.9</v>
      </c>
      <c r="DC1379" t="s">
        <v>35866</v>
      </c>
      <c r="DD1379" t="s">
        <v>13772</v>
      </c>
      <c r="DE1379" t="s">
        <v>35867</v>
      </c>
      <c r="DF1379" t="s">
        <v>35868</v>
      </c>
      <c r="DG1379" t="s">
        <v>35869</v>
      </c>
      <c r="DH1379" t="str">
        <f>"GNA13"</f>
        <v>GNA13</v>
      </c>
      <c r="DI1379" t="s">
        <v>13772</v>
      </c>
      <c r="DJ1379" t="s">
        <v>13777</v>
      </c>
      <c r="DK1379">
        <v>9606</v>
      </c>
      <c r="DL1379" s="34" t="str">
        <f>HYPERLINK("http://www.uniprot.org/uniprot/Q14344", "Q14344")</f>
        <v>Q14344</v>
      </c>
      <c r="DM1379" t="s">
        <v>35870</v>
      </c>
      <c r="DN1379" t="s">
        <v>13772</v>
      </c>
      <c r="DO1379" t="s">
        <v>14968</v>
      </c>
      <c r="DP1379" t="s">
        <v>13780</v>
      </c>
      <c r="DQ1379" t="s">
        <v>13772</v>
      </c>
      <c r="DR1379" t="s">
        <v>13772</v>
      </c>
      <c r="DS1379" t="s">
        <v>13772</v>
      </c>
      <c r="DT1379" t="s">
        <v>16882</v>
      </c>
      <c r="DU1379" t="s">
        <v>16883</v>
      </c>
      <c r="DV1379" t="s">
        <v>16020</v>
      </c>
      <c r="DW1379" t="s">
        <v>13772</v>
      </c>
      <c r="DX1379" t="s">
        <v>35871</v>
      </c>
      <c r="DY1379" t="s">
        <v>35872</v>
      </c>
      <c r="DZ1379" t="s">
        <v>35873</v>
      </c>
      <c r="EA1379" t="s">
        <v>13772</v>
      </c>
      <c r="EB1379" t="s">
        <v>35874</v>
      </c>
    </row>
    <row r="1380" spans="1:132" hidden="1">
      <c r="A1380">
        <v>1587</v>
      </c>
      <c r="B1380">
        <v>1</v>
      </c>
      <c r="C1380" t="s">
        <v>3760</v>
      </c>
      <c r="D1380" t="s">
        <v>73</v>
      </c>
      <c r="E1380" t="s">
        <v>73</v>
      </c>
      <c r="F1380" t="s">
        <v>3761</v>
      </c>
      <c r="G1380" t="s">
        <v>73</v>
      </c>
      <c r="H1380">
        <v>21.1</v>
      </c>
      <c r="I1380">
        <v>905</v>
      </c>
      <c r="J1380">
        <v>100051</v>
      </c>
      <c r="K1380" t="s">
        <v>3762</v>
      </c>
      <c r="L1380">
        <f t="shared" si="86"/>
        <v>15</v>
      </c>
      <c r="N1380">
        <v>15</v>
      </c>
      <c r="O1380">
        <v>12</v>
      </c>
      <c r="P1380">
        <v>0.8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7</v>
      </c>
      <c r="AB1380">
        <v>7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5</v>
      </c>
      <c r="AU1380">
        <v>6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6.6669999999999998</v>
      </c>
      <c r="BN1380" s="2">
        <v>6.8570000000000002</v>
      </c>
      <c r="BO1380" s="2">
        <v>0</v>
      </c>
      <c r="BP1380" s="2">
        <v>0</v>
      </c>
      <c r="BQ1380" s="2">
        <v>0</v>
      </c>
      <c r="BR1380" s="2">
        <v>1</v>
      </c>
      <c r="BS1380" s="2">
        <v>0</v>
      </c>
      <c r="BT1380" s="2">
        <v>0</v>
      </c>
      <c r="BU1380" s="2">
        <v>0</v>
      </c>
      <c r="BV1380" s="2">
        <f t="shared" si="89"/>
        <v>14.524000000000001</v>
      </c>
      <c r="BW1380" s="16">
        <f t="shared" si="87"/>
        <v>0.764421052631579</v>
      </c>
      <c r="BX1380" s="16">
        <f>COUNTIF($BC$6:BU1380, "=0") / COUNTIF($BC$6:BU1380, "&gt;-1")</f>
        <v>0.35862200956937801</v>
      </c>
      <c r="BY1380" s="18">
        <f>SUM($BC$6:BU1380) / $BY$4</f>
        <v>0.97282431641765499</v>
      </c>
      <c r="BZ1380" s="14">
        <f t="shared" si="88"/>
        <v>16</v>
      </c>
      <c r="CA1380" t="s">
        <v>5832</v>
      </c>
      <c r="CZ1380" t="s">
        <v>11031</v>
      </c>
      <c r="DA1380" t="s">
        <v>5904</v>
      </c>
      <c r="DB1380">
        <v>1842</v>
      </c>
      <c r="DC1380" t="s">
        <v>29020</v>
      </c>
      <c r="DD1380" t="s">
        <v>29021</v>
      </c>
      <c r="DE1380" t="s">
        <v>29022</v>
      </c>
      <c r="DF1380" t="s">
        <v>29023</v>
      </c>
      <c r="DG1380" t="s">
        <v>29024</v>
      </c>
      <c r="DH1380" t="str">
        <f>"CTNNA1"</f>
        <v>CTNNA1</v>
      </c>
      <c r="DI1380" t="s">
        <v>13772</v>
      </c>
      <c r="DJ1380" t="s">
        <v>13777</v>
      </c>
      <c r="DK1380">
        <v>9606</v>
      </c>
      <c r="DL1380" s="34" t="str">
        <f>HYPERLINK("http://www.uniprot.org/uniprot/P35221", "P35221")</f>
        <v>P35221</v>
      </c>
      <c r="DM1380" t="s">
        <v>29025</v>
      </c>
      <c r="DN1380" t="s">
        <v>13949</v>
      </c>
      <c r="DO1380" t="s">
        <v>17480</v>
      </c>
      <c r="DP1380" t="s">
        <v>13780</v>
      </c>
      <c r="DQ1380" t="s">
        <v>13772</v>
      </c>
      <c r="DR1380" t="s">
        <v>13772</v>
      </c>
      <c r="DS1380" t="s">
        <v>13772</v>
      </c>
      <c r="DT1380" t="s">
        <v>13772</v>
      </c>
      <c r="DU1380" t="s">
        <v>13772</v>
      </c>
      <c r="DV1380" t="s">
        <v>13991</v>
      </c>
      <c r="DW1380" t="s">
        <v>13812</v>
      </c>
      <c r="DX1380" t="s">
        <v>29026</v>
      </c>
      <c r="DY1380" t="s">
        <v>29027</v>
      </c>
      <c r="DZ1380" t="s">
        <v>29028</v>
      </c>
      <c r="EA1380" t="s">
        <v>13772</v>
      </c>
      <c r="EB1380" t="s">
        <v>29029</v>
      </c>
    </row>
    <row r="1381" spans="1:132" hidden="1">
      <c r="A1381">
        <v>1348</v>
      </c>
      <c r="B1381">
        <v>1</v>
      </c>
      <c r="C1381" t="s">
        <v>3225</v>
      </c>
      <c r="D1381" t="s">
        <v>73</v>
      </c>
      <c r="E1381" t="s">
        <v>73</v>
      </c>
      <c r="F1381" t="s">
        <v>3226</v>
      </c>
      <c r="G1381" t="s">
        <v>73</v>
      </c>
      <c r="H1381">
        <v>17.399999999999999</v>
      </c>
      <c r="I1381">
        <v>495</v>
      </c>
      <c r="J1381">
        <v>53833</v>
      </c>
      <c r="K1381" t="s">
        <v>3227</v>
      </c>
      <c r="L1381">
        <f t="shared" si="86"/>
        <v>19</v>
      </c>
      <c r="N1381">
        <v>19</v>
      </c>
      <c r="O1381">
        <v>6</v>
      </c>
      <c r="P1381">
        <v>0.316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3</v>
      </c>
      <c r="AB1381">
        <v>2</v>
      </c>
      <c r="AC1381">
        <v>0</v>
      </c>
      <c r="AD1381">
        <v>0</v>
      </c>
      <c r="AE1381">
        <v>2</v>
      </c>
      <c r="AF1381">
        <v>4</v>
      </c>
      <c r="AG1381">
        <v>3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1</v>
      </c>
      <c r="AZ1381">
        <v>0</v>
      </c>
      <c r="BA1381">
        <v>1</v>
      </c>
      <c r="BB1381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1</v>
      </c>
      <c r="BK1381" s="2">
        <v>0</v>
      </c>
      <c r="BL1381" s="2">
        <v>0</v>
      </c>
      <c r="BM1381" s="2">
        <v>2</v>
      </c>
      <c r="BN1381" s="2">
        <v>1</v>
      </c>
      <c r="BO1381" s="2">
        <v>0</v>
      </c>
      <c r="BP1381" s="2">
        <v>0</v>
      </c>
      <c r="BQ1381" s="2">
        <v>2</v>
      </c>
      <c r="BR1381" s="2">
        <v>4</v>
      </c>
      <c r="BS1381" s="2">
        <v>1.5</v>
      </c>
      <c r="BT1381" s="2">
        <v>1</v>
      </c>
      <c r="BU1381" s="2">
        <v>2</v>
      </c>
      <c r="BV1381" s="2">
        <f t="shared" si="89"/>
        <v>14.5</v>
      </c>
      <c r="BW1381" s="16">
        <f t="shared" si="87"/>
        <v>0.76315789473684215</v>
      </c>
      <c r="BX1381" s="16">
        <f>COUNTIF($BC$6:BU1381, "=0") / COUNTIF($BC$6:BU1381, "&gt;-1")</f>
        <v>0.35878212974296203</v>
      </c>
      <c r="BY1381" s="18">
        <f>SUM($BC$6:BU1381) / $BY$4</f>
        <v>0.9728864291522511</v>
      </c>
      <c r="BZ1381" s="14">
        <f t="shared" si="88"/>
        <v>11</v>
      </c>
      <c r="CA1381" t="s">
        <v>5832</v>
      </c>
      <c r="CZ1381" t="s">
        <v>10239</v>
      </c>
      <c r="DA1381" t="s">
        <v>5904</v>
      </c>
      <c r="DB1381">
        <v>894.4</v>
      </c>
      <c r="DC1381" t="s">
        <v>26815</v>
      </c>
      <c r="DD1381" t="s">
        <v>26816</v>
      </c>
      <c r="DE1381" t="s">
        <v>26817</v>
      </c>
      <c r="DF1381" t="s">
        <v>26818</v>
      </c>
      <c r="DG1381" t="s">
        <v>26819</v>
      </c>
      <c r="DH1381" t="str">
        <f>"SCARA5"</f>
        <v>SCARA5</v>
      </c>
      <c r="DI1381" t="s">
        <v>13772</v>
      </c>
      <c r="DJ1381" t="s">
        <v>13777</v>
      </c>
      <c r="DK1381">
        <v>9606</v>
      </c>
      <c r="DL1381" s="34" t="str">
        <f>HYPERLINK("http://www.uniprot.org/uniprot/Q6ZMJ2", "Q6ZMJ2")</f>
        <v>Q6ZMJ2</v>
      </c>
      <c r="DM1381" t="s">
        <v>26820</v>
      </c>
      <c r="DN1381" t="s">
        <v>20925</v>
      </c>
      <c r="DO1381" t="s">
        <v>13792</v>
      </c>
      <c r="DP1381" t="s">
        <v>13780</v>
      </c>
      <c r="DQ1381" t="s">
        <v>13772</v>
      </c>
      <c r="DR1381" t="s">
        <v>13772</v>
      </c>
      <c r="DS1381" t="s">
        <v>14715</v>
      </c>
      <c r="DT1381" t="s">
        <v>26821</v>
      </c>
      <c r="DU1381" t="s">
        <v>13795</v>
      </c>
      <c r="DV1381" t="s">
        <v>13796</v>
      </c>
      <c r="DW1381" t="s">
        <v>13772</v>
      </c>
      <c r="DX1381" t="s">
        <v>26822</v>
      </c>
      <c r="DY1381" t="s">
        <v>26823</v>
      </c>
      <c r="DZ1381" t="s">
        <v>26824</v>
      </c>
      <c r="EA1381" t="s">
        <v>13772</v>
      </c>
      <c r="EB1381" t="s">
        <v>22798</v>
      </c>
    </row>
    <row r="1382" spans="1:132" hidden="1">
      <c r="A1382">
        <v>2129</v>
      </c>
      <c r="B1382">
        <v>1</v>
      </c>
      <c r="C1382" t="s">
        <v>4993</v>
      </c>
      <c r="D1382" t="s">
        <v>73</v>
      </c>
      <c r="E1382" t="s">
        <v>73</v>
      </c>
      <c r="F1382" t="s">
        <v>1480</v>
      </c>
      <c r="G1382" t="s">
        <v>73</v>
      </c>
      <c r="H1382">
        <v>81.2</v>
      </c>
      <c r="I1382">
        <v>96</v>
      </c>
      <c r="J1382">
        <v>10867</v>
      </c>
      <c r="K1382" t="s">
        <v>1481</v>
      </c>
      <c r="L1382">
        <f t="shared" si="86"/>
        <v>526</v>
      </c>
      <c r="N1382">
        <v>526</v>
      </c>
      <c r="O1382">
        <v>0</v>
      </c>
      <c r="P1382">
        <v>0</v>
      </c>
      <c r="Q1382">
        <v>41</v>
      </c>
      <c r="R1382">
        <v>0</v>
      </c>
      <c r="S1382">
        <v>2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159</v>
      </c>
      <c r="Z1382">
        <v>127</v>
      </c>
      <c r="AA1382">
        <v>72</v>
      </c>
      <c r="AB1382">
        <v>16</v>
      </c>
      <c r="AC1382">
        <v>18</v>
      </c>
      <c r="AD1382">
        <v>13</v>
      </c>
      <c r="AE1382">
        <v>20</v>
      </c>
      <c r="AF1382">
        <v>14</v>
      </c>
      <c r="AG1382">
        <v>13</v>
      </c>
      <c r="AH1382">
        <v>4</v>
      </c>
      <c r="AI1382">
        <v>26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 s="2">
        <v>1</v>
      </c>
      <c r="BD1382" s="2">
        <v>0</v>
      </c>
      <c r="BE1382" s="2">
        <v>0.33300000000000002</v>
      </c>
      <c r="BF1382" s="2">
        <v>0</v>
      </c>
      <c r="BG1382" s="2">
        <v>0</v>
      </c>
      <c r="BH1382" s="2">
        <v>0</v>
      </c>
      <c r="BI1382" s="2">
        <v>0.16700000000000001</v>
      </c>
      <c r="BJ1382" s="2">
        <v>0</v>
      </c>
      <c r="BK1382" s="2">
        <v>2</v>
      </c>
      <c r="BL1382" s="2">
        <v>1</v>
      </c>
      <c r="BM1382" s="2">
        <v>4.5</v>
      </c>
      <c r="BN1382" s="2">
        <v>0</v>
      </c>
      <c r="BO1382" s="2">
        <v>0.33300000000000002</v>
      </c>
      <c r="BP1382" s="2">
        <v>0.66700000000000004</v>
      </c>
      <c r="BQ1382" s="2">
        <v>0.66700000000000004</v>
      </c>
      <c r="BR1382" s="2">
        <v>1.083</v>
      </c>
      <c r="BS1382" s="2">
        <v>1.5</v>
      </c>
      <c r="BT1382" s="2">
        <v>0</v>
      </c>
      <c r="BU1382" s="2">
        <v>1</v>
      </c>
      <c r="BV1382" s="2">
        <f t="shared" si="89"/>
        <v>14.25</v>
      </c>
      <c r="BW1382" s="16">
        <f t="shared" si="87"/>
        <v>0.75</v>
      </c>
      <c r="BX1382" s="16">
        <f>COUNTIF($BC$6:BU1382, "=0") / COUNTIF($BC$6:BU1382, "&gt;-1")</f>
        <v>0.35878912968696253</v>
      </c>
      <c r="BY1382" s="18">
        <f>SUM($BC$6:BU1382) / $BY$4</f>
        <v>0.97294747097763012</v>
      </c>
      <c r="BZ1382" s="14">
        <f t="shared" si="88"/>
        <v>7</v>
      </c>
      <c r="CA1382" t="s">
        <v>5832</v>
      </c>
      <c r="CZ1382" t="s">
        <v>7762</v>
      </c>
      <c r="DA1382" t="s">
        <v>5904</v>
      </c>
      <c r="DB1382">
        <v>149.1</v>
      </c>
      <c r="DC1382" t="s">
        <v>19672</v>
      </c>
      <c r="DD1382" t="s">
        <v>19673</v>
      </c>
      <c r="DE1382" t="s">
        <v>19674</v>
      </c>
      <c r="DF1382" t="s">
        <v>19675</v>
      </c>
      <c r="DG1382" t="s">
        <v>19676</v>
      </c>
      <c r="DH1382" t="str">
        <f>"SAA1"</f>
        <v>SAA1</v>
      </c>
      <c r="DI1382" t="s">
        <v>13772</v>
      </c>
      <c r="DJ1382" t="s">
        <v>13777</v>
      </c>
      <c r="DK1382">
        <v>9606</v>
      </c>
      <c r="DL1382" s="34" t="str">
        <f>HYPERLINK("http://www.uniprot.org/uniprot/P0DJI8", "P0DJI8")</f>
        <v>P0DJI8</v>
      </c>
      <c r="DM1382" t="s">
        <v>19677</v>
      </c>
      <c r="DN1382" t="s">
        <v>14374</v>
      </c>
      <c r="DO1382" t="s">
        <v>19678</v>
      </c>
      <c r="DP1382" t="s">
        <v>13793</v>
      </c>
      <c r="DQ1382" t="s">
        <v>13772</v>
      </c>
      <c r="DR1382" t="s">
        <v>19679</v>
      </c>
      <c r="DS1382" t="s">
        <v>13808</v>
      </c>
      <c r="DT1382" t="s">
        <v>13772</v>
      </c>
      <c r="DU1382" t="s">
        <v>14073</v>
      </c>
      <c r="DV1382" t="s">
        <v>17914</v>
      </c>
      <c r="DW1382" t="s">
        <v>13812</v>
      </c>
      <c r="DX1382" t="s">
        <v>19680</v>
      </c>
      <c r="DY1382" t="s">
        <v>19681</v>
      </c>
      <c r="DZ1382" t="s">
        <v>19682</v>
      </c>
      <c r="EA1382" t="s">
        <v>13772</v>
      </c>
      <c r="EB1382" t="s">
        <v>19683</v>
      </c>
    </row>
    <row r="1383" spans="1:132" hidden="1">
      <c r="A1383">
        <v>93</v>
      </c>
      <c r="B1383">
        <v>1</v>
      </c>
      <c r="C1383" t="s">
        <v>255</v>
      </c>
      <c r="D1383" t="s">
        <v>73</v>
      </c>
      <c r="E1383" t="s">
        <v>73</v>
      </c>
      <c r="F1383" t="s">
        <v>73</v>
      </c>
      <c r="G1383" t="s">
        <v>73</v>
      </c>
      <c r="H1383">
        <v>12.5</v>
      </c>
      <c r="I1383">
        <v>256</v>
      </c>
      <c r="J1383">
        <v>26913</v>
      </c>
      <c r="K1383" t="s">
        <v>256</v>
      </c>
      <c r="L1383">
        <f t="shared" si="86"/>
        <v>14</v>
      </c>
      <c r="N1383">
        <v>14</v>
      </c>
      <c r="O1383">
        <v>14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2</v>
      </c>
      <c r="Y1383">
        <v>0</v>
      </c>
      <c r="Z1383">
        <v>0</v>
      </c>
      <c r="AA1383">
        <v>3</v>
      </c>
      <c r="AB1383">
        <v>1</v>
      </c>
      <c r="AC1383">
        <v>0</v>
      </c>
      <c r="AD1383">
        <v>0</v>
      </c>
      <c r="AE1383">
        <v>3</v>
      </c>
      <c r="AF1383">
        <v>2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2</v>
      </c>
      <c r="AR1383">
        <v>0</v>
      </c>
      <c r="AS1383">
        <v>0</v>
      </c>
      <c r="AT1383">
        <v>3</v>
      </c>
      <c r="AU1383">
        <v>1</v>
      </c>
      <c r="AV1383">
        <v>0</v>
      </c>
      <c r="AW1383">
        <v>0</v>
      </c>
      <c r="AX1383">
        <v>3</v>
      </c>
      <c r="AY1383">
        <v>2</v>
      </c>
      <c r="AZ1383">
        <v>0</v>
      </c>
      <c r="BA1383">
        <v>0</v>
      </c>
      <c r="BB1383">
        <v>0</v>
      </c>
      <c r="BC1383" s="2">
        <v>0</v>
      </c>
      <c r="BD1383" s="2">
        <v>1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2</v>
      </c>
      <c r="BK1383" s="2">
        <v>0</v>
      </c>
      <c r="BL1383" s="2">
        <v>0</v>
      </c>
      <c r="BM1383" s="2">
        <v>3</v>
      </c>
      <c r="BN1383" s="2">
        <v>1</v>
      </c>
      <c r="BO1383" s="2">
        <v>0</v>
      </c>
      <c r="BP1383" s="2">
        <v>0</v>
      </c>
      <c r="BQ1383" s="2">
        <v>3</v>
      </c>
      <c r="BR1383" s="2">
        <v>2</v>
      </c>
      <c r="BS1383" s="2">
        <v>0</v>
      </c>
      <c r="BT1383" s="2">
        <v>0</v>
      </c>
      <c r="BU1383" s="2">
        <v>0</v>
      </c>
      <c r="BV1383" s="2">
        <f t="shared" si="89"/>
        <v>14</v>
      </c>
      <c r="BW1383" s="16">
        <f t="shared" si="87"/>
        <v>0.73684210526315785</v>
      </c>
      <c r="BX1383" s="16">
        <f>COUNTIF($BC$6:BU1383, "=0") / COUNTIF($BC$6:BU1383, "&gt;-1")</f>
        <v>0.3589488961882209</v>
      </c>
      <c r="BY1383" s="18">
        <f>SUM($BC$6:BU1383) / $BY$4</f>
        <v>0.97300744189379196</v>
      </c>
      <c r="BZ1383" s="14">
        <f t="shared" si="88"/>
        <v>11</v>
      </c>
      <c r="CA1383" t="s">
        <v>5832</v>
      </c>
      <c r="CZ1383" t="s">
        <v>6019</v>
      </c>
      <c r="DA1383" t="s">
        <v>5904</v>
      </c>
      <c r="DB1383">
        <v>484.6</v>
      </c>
      <c r="DC1383" t="s">
        <v>14222</v>
      </c>
      <c r="DD1383" t="s">
        <v>14223</v>
      </c>
      <c r="DE1383" t="s">
        <v>14224</v>
      </c>
      <c r="DF1383" t="s">
        <v>14225</v>
      </c>
      <c r="DG1383" t="s">
        <v>14226</v>
      </c>
      <c r="DH1383" t="str">
        <f>"ALYREF"</f>
        <v>ALYREF</v>
      </c>
      <c r="DI1383" t="s">
        <v>14227</v>
      </c>
      <c r="DJ1383" t="s">
        <v>13777</v>
      </c>
      <c r="DK1383">
        <v>9606</v>
      </c>
      <c r="DL1383" s="34" t="str">
        <f>HYPERLINK("http://www.uniprot.org/uniprot/Q86V81", "Q86V81")</f>
        <v>Q86V81</v>
      </c>
      <c r="DM1383" t="s">
        <v>14228</v>
      </c>
      <c r="DN1383" t="s">
        <v>14229</v>
      </c>
      <c r="DO1383" t="s">
        <v>14230</v>
      </c>
      <c r="DP1383" t="s">
        <v>13772</v>
      </c>
      <c r="DQ1383" t="s">
        <v>13772</v>
      </c>
      <c r="DR1383" t="s">
        <v>13772</v>
      </c>
      <c r="DS1383" t="s">
        <v>13772</v>
      </c>
      <c r="DT1383" t="s">
        <v>13772</v>
      </c>
      <c r="DU1383" t="s">
        <v>14231</v>
      </c>
      <c r="DV1383" t="s">
        <v>14232</v>
      </c>
      <c r="DW1383" t="s">
        <v>13812</v>
      </c>
      <c r="DX1383" t="s">
        <v>14233</v>
      </c>
      <c r="DY1383" t="s">
        <v>14234</v>
      </c>
      <c r="DZ1383" t="s">
        <v>14235</v>
      </c>
      <c r="EA1383" t="s">
        <v>13772</v>
      </c>
      <c r="EB1383" t="s">
        <v>14236</v>
      </c>
    </row>
    <row r="1384" spans="1:132" hidden="1">
      <c r="A1384">
        <v>198</v>
      </c>
      <c r="B1384">
        <v>1</v>
      </c>
      <c r="C1384" t="s">
        <v>500</v>
      </c>
      <c r="D1384" t="s">
        <v>73</v>
      </c>
      <c r="E1384" t="s">
        <v>73</v>
      </c>
      <c r="F1384" t="s">
        <v>73</v>
      </c>
      <c r="G1384" t="s">
        <v>73</v>
      </c>
      <c r="H1384">
        <v>17</v>
      </c>
      <c r="I1384">
        <v>465</v>
      </c>
      <c r="J1384">
        <v>51990</v>
      </c>
      <c r="K1384" t="s">
        <v>501</v>
      </c>
      <c r="L1384">
        <f t="shared" si="86"/>
        <v>14</v>
      </c>
      <c r="N1384">
        <v>14</v>
      </c>
      <c r="O1384">
        <v>14</v>
      </c>
      <c r="P1384">
        <v>1</v>
      </c>
      <c r="Q1384">
        <v>0</v>
      </c>
      <c r="R1384">
        <v>0</v>
      </c>
      <c r="S1384">
        <v>0</v>
      </c>
      <c r="T1384">
        <v>2</v>
      </c>
      <c r="U1384">
        <v>1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2</v>
      </c>
      <c r="AB1384">
        <v>1</v>
      </c>
      <c r="AC1384">
        <v>2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2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2</v>
      </c>
      <c r="AU1384">
        <v>1</v>
      </c>
      <c r="AV1384">
        <v>2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 s="2">
        <v>0</v>
      </c>
      <c r="BD1384" s="2">
        <v>0</v>
      </c>
      <c r="BE1384" s="2">
        <v>0</v>
      </c>
      <c r="BF1384" s="2">
        <v>2</v>
      </c>
      <c r="BG1384" s="2">
        <v>1</v>
      </c>
      <c r="BH1384" s="2">
        <v>0</v>
      </c>
      <c r="BI1384" s="2">
        <v>1</v>
      </c>
      <c r="BJ1384" s="2">
        <v>1</v>
      </c>
      <c r="BK1384" s="2">
        <v>1</v>
      </c>
      <c r="BL1384" s="2">
        <v>1</v>
      </c>
      <c r="BM1384" s="2">
        <v>2</v>
      </c>
      <c r="BN1384" s="2">
        <v>1</v>
      </c>
      <c r="BO1384" s="2">
        <v>2</v>
      </c>
      <c r="BP1384" s="2">
        <v>1</v>
      </c>
      <c r="BQ1384" s="2">
        <v>0</v>
      </c>
      <c r="BR1384" s="2">
        <v>0</v>
      </c>
      <c r="BS1384" s="2">
        <v>0</v>
      </c>
      <c r="BT1384" s="2">
        <v>1</v>
      </c>
      <c r="BU1384" s="2">
        <v>0</v>
      </c>
      <c r="BV1384" s="2">
        <f t="shared" si="89"/>
        <v>14</v>
      </c>
      <c r="BW1384" s="16">
        <f t="shared" si="87"/>
        <v>0.73684210526315785</v>
      </c>
      <c r="BX1384" s="16">
        <f>COUNTIF($BC$6:BU1384, "=0") / COUNTIF($BC$6:BU1384, "&gt;-1")</f>
        <v>0.35899393152933096</v>
      </c>
      <c r="BY1384" s="18">
        <f>SUM($BC$6:BU1384) / $BY$4</f>
        <v>0.97306741280995379</v>
      </c>
      <c r="BZ1384" s="14">
        <f t="shared" si="88"/>
        <v>8</v>
      </c>
      <c r="CA1384" t="s">
        <v>5832</v>
      </c>
      <c r="CZ1384" t="s">
        <v>6380</v>
      </c>
      <c r="DA1384" t="s">
        <v>5904</v>
      </c>
      <c r="DB1384">
        <v>867.1</v>
      </c>
      <c r="DC1384" t="s">
        <v>15433</v>
      </c>
      <c r="DD1384" t="s">
        <v>15434</v>
      </c>
      <c r="DE1384" t="s">
        <v>15435</v>
      </c>
      <c r="DF1384" t="s">
        <v>15436</v>
      </c>
      <c r="DG1384" t="s">
        <v>15437</v>
      </c>
      <c r="DH1384" t="str">
        <f>"TINAGL1"</f>
        <v>TINAGL1</v>
      </c>
      <c r="DI1384" t="s">
        <v>15438</v>
      </c>
      <c r="DJ1384" t="s">
        <v>13777</v>
      </c>
      <c r="DK1384">
        <v>9606</v>
      </c>
      <c r="DL1384" s="34" t="str">
        <f>HYPERLINK("http://www.uniprot.org/uniprot/Q9GZM7", "Q9GZM7")</f>
        <v>Q9GZM7</v>
      </c>
      <c r="DM1384" t="s">
        <v>15439</v>
      </c>
      <c r="DN1384" t="s">
        <v>13772</v>
      </c>
      <c r="DO1384" t="s">
        <v>14321</v>
      </c>
      <c r="DP1384" t="s">
        <v>13780</v>
      </c>
      <c r="DQ1384" t="s">
        <v>13772</v>
      </c>
      <c r="DR1384" t="s">
        <v>13772</v>
      </c>
      <c r="DS1384" t="s">
        <v>13808</v>
      </c>
      <c r="DT1384" t="s">
        <v>13772</v>
      </c>
      <c r="DU1384" t="s">
        <v>13772</v>
      </c>
      <c r="DV1384" t="s">
        <v>13796</v>
      </c>
      <c r="DW1384" t="s">
        <v>13772</v>
      </c>
      <c r="DX1384" t="s">
        <v>15440</v>
      </c>
      <c r="DY1384" t="s">
        <v>15441</v>
      </c>
      <c r="DZ1384" t="s">
        <v>15442</v>
      </c>
      <c r="EA1384" t="s">
        <v>13772</v>
      </c>
      <c r="EB1384" t="s">
        <v>13772</v>
      </c>
    </row>
    <row r="1385" spans="1:132" hidden="1">
      <c r="A1385">
        <v>260</v>
      </c>
      <c r="B1385">
        <v>1</v>
      </c>
      <c r="C1385" t="s">
        <v>661</v>
      </c>
      <c r="D1385" t="s">
        <v>73</v>
      </c>
      <c r="E1385" t="s">
        <v>73</v>
      </c>
      <c r="F1385" t="s">
        <v>73</v>
      </c>
      <c r="G1385" t="s">
        <v>73</v>
      </c>
      <c r="H1385">
        <v>22.9</v>
      </c>
      <c r="I1385">
        <v>450</v>
      </c>
      <c r="J1385">
        <v>49991</v>
      </c>
      <c r="K1385" t="s">
        <v>662</v>
      </c>
      <c r="L1385">
        <f t="shared" si="86"/>
        <v>14</v>
      </c>
      <c r="N1385">
        <v>14</v>
      </c>
      <c r="O1385">
        <v>14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5</v>
      </c>
      <c r="AB1385">
        <v>7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5</v>
      </c>
      <c r="AU1385">
        <v>7</v>
      </c>
      <c r="AV1385">
        <v>2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5</v>
      </c>
      <c r="BN1385" s="2">
        <v>7</v>
      </c>
      <c r="BO1385" s="2">
        <v>2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f t="shared" si="89"/>
        <v>14</v>
      </c>
      <c r="BW1385" s="16">
        <f t="shared" si="87"/>
        <v>0.73684210526315785</v>
      </c>
      <c r="BX1385" s="16">
        <f>COUNTIF($BC$6:BU1385, "=0") / COUNTIF($BC$6:BU1385, "&gt;-1")</f>
        <v>0.35934401220442408</v>
      </c>
      <c r="BY1385" s="18">
        <f>SUM($BC$6:BU1385) / $BY$4</f>
        <v>0.97312738372611551</v>
      </c>
      <c r="BZ1385" s="14">
        <f t="shared" si="88"/>
        <v>16</v>
      </c>
      <c r="CA1385" t="s">
        <v>5832</v>
      </c>
      <c r="CZ1385" t="s">
        <v>6600</v>
      </c>
      <c r="DA1385" t="s">
        <v>5904</v>
      </c>
      <c r="DB1385">
        <v>863.2</v>
      </c>
      <c r="DC1385" t="s">
        <v>16117</v>
      </c>
      <c r="DD1385" t="s">
        <v>16118</v>
      </c>
      <c r="DE1385" t="s">
        <v>16119</v>
      </c>
      <c r="DF1385" t="s">
        <v>16120</v>
      </c>
      <c r="DG1385" t="s">
        <v>16121</v>
      </c>
      <c r="DH1385" t="str">
        <f>"SQOR"</f>
        <v>SQOR</v>
      </c>
      <c r="DI1385" t="s">
        <v>13772</v>
      </c>
      <c r="DJ1385" t="s">
        <v>13777</v>
      </c>
      <c r="DK1385">
        <v>9606</v>
      </c>
      <c r="DL1385" s="34" t="str">
        <f>HYPERLINK("http://www.uniprot.org/uniprot/Q9Y6N5", "Q9Y6N5")</f>
        <v>Q9Y6N5</v>
      </c>
      <c r="DM1385" t="s">
        <v>16122</v>
      </c>
      <c r="DN1385" t="s">
        <v>13772</v>
      </c>
      <c r="DO1385" t="s">
        <v>14491</v>
      </c>
      <c r="DP1385" t="s">
        <v>13793</v>
      </c>
      <c r="DQ1385" t="s">
        <v>13772</v>
      </c>
      <c r="DR1385" t="s">
        <v>13772</v>
      </c>
      <c r="DS1385" t="s">
        <v>14391</v>
      </c>
      <c r="DT1385" t="s">
        <v>15580</v>
      </c>
      <c r="DU1385" t="s">
        <v>13885</v>
      </c>
      <c r="DV1385" t="s">
        <v>16123</v>
      </c>
      <c r="DW1385" t="s">
        <v>13812</v>
      </c>
      <c r="DX1385" t="s">
        <v>16124</v>
      </c>
      <c r="DY1385" t="s">
        <v>16125</v>
      </c>
      <c r="DZ1385" t="s">
        <v>16126</v>
      </c>
      <c r="EA1385" t="s">
        <v>13772</v>
      </c>
      <c r="EB1385" t="s">
        <v>16127</v>
      </c>
    </row>
    <row r="1386" spans="1:132" hidden="1">
      <c r="A1386">
        <v>263</v>
      </c>
      <c r="B1386">
        <v>1</v>
      </c>
      <c r="C1386" t="s">
        <v>667</v>
      </c>
      <c r="D1386" t="s">
        <v>73</v>
      </c>
      <c r="E1386" t="s">
        <v>73</v>
      </c>
      <c r="F1386" t="s">
        <v>73</v>
      </c>
      <c r="G1386" t="s">
        <v>73</v>
      </c>
      <c r="H1386">
        <v>16.7</v>
      </c>
      <c r="I1386">
        <v>515</v>
      </c>
      <c r="J1386">
        <v>55045</v>
      </c>
      <c r="K1386" t="s">
        <v>668</v>
      </c>
      <c r="L1386">
        <f t="shared" si="86"/>
        <v>14</v>
      </c>
      <c r="N1386">
        <v>14</v>
      </c>
      <c r="O1386">
        <v>14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4</v>
      </c>
      <c r="Y1386">
        <v>3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4</v>
      </c>
      <c r="AR1386">
        <v>3</v>
      </c>
      <c r="AS1386">
        <v>0</v>
      </c>
      <c r="AT1386">
        <v>3</v>
      </c>
      <c r="AU1386">
        <v>0</v>
      </c>
      <c r="AV1386">
        <v>0</v>
      </c>
      <c r="AW1386">
        <v>0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1</v>
      </c>
      <c r="BH1386" s="2">
        <v>0</v>
      </c>
      <c r="BI1386" s="2">
        <v>1</v>
      </c>
      <c r="BJ1386" s="2">
        <v>4</v>
      </c>
      <c r="BK1386" s="2">
        <v>3</v>
      </c>
      <c r="BL1386" s="2">
        <v>0</v>
      </c>
      <c r="BM1386" s="2">
        <v>3</v>
      </c>
      <c r="BN1386" s="2">
        <v>0</v>
      </c>
      <c r="BO1386" s="2">
        <v>0</v>
      </c>
      <c r="BP1386" s="2">
        <v>0</v>
      </c>
      <c r="BQ1386" s="2">
        <v>1</v>
      </c>
      <c r="BR1386" s="2">
        <v>1</v>
      </c>
      <c r="BS1386" s="2">
        <v>0</v>
      </c>
      <c r="BT1386" s="2">
        <v>0</v>
      </c>
      <c r="BU1386" s="2">
        <v>0</v>
      </c>
      <c r="BV1386" s="2">
        <f t="shared" si="89"/>
        <v>14</v>
      </c>
      <c r="BW1386" s="16">
        <f t="shared" si="87"/>
        <v>0.73684210526315785</v>
      </c>
      <c r="BX1386" s="16">
        <f>COUNTIF($BC$6:BU1386, "=0") / COUNTIF($BC$6:BU1386, "&gt;-1")</f>
        <v>0.35954114104958268</v>
      </c>
      <c r="BY1386" s="18">
        <f>SUM($BC$6:BU1386) / $BY$4</f>
        <v>0.97318735464227735</v>
      </c>
      <c r="BZ1386" s="14">
        <f t="shared" si="88"/>
        <v>12</v>
      </c>
      <c r="CA1386" t="s">
        <v>5832</v>
      </c>
      <c r="CZ1386" t="s">
        <v>6610</v>
      </c>
      <c r="DA1386" t="s">
        <v>5904</v>
      </c>
      <c r="DB1386">
        <v>782.7</v>
      </c>
      <c r="DC1386" t="s">
        <v>16150</v>
      </c>
      <c r="DD1386" t="s">
        <v>16151</v>
      </c>
      <c r="DE1386" t="s">
        <v>16152</v>
      </c>
      <c r="DF1386" t="s">
        <v>16153</v>
      </c>
      <c r="DG1386" t="s">
        <v>16154</v>
      </c>
      <c r="DH1386" t="str">
        <f>"PLIN1"</f>
        <v>PLIN1</v>
      </c>
      <c r="DI1386" t="s">
        <v>16155</v>
      </c>
      <c r="DJ1386" t="s">
        <v>13777</v>
      </c>
      <c r="DK1386">
        <v>9606</v>
      </c>
      <c r="DL1386" s="34" t="str">
        <f>HYPERLINK("http://www.uniprot.org/uniprot/O60240", "O60240")</f>
        <v>O60240</v>
      </c>
      <c r="DM1386" t="s">
        <v>16156</v>
      </c>
      <c r="DN1386" t="s">
        <v>13854</v>
      </c>
      <c r="DO1386" t="s">
        <v>16157</v>
      </c>
      <c r="DP1386" t="s">
        <v>13793</v>
      </c>
      <c r="DQ1386" t="s">
        <v>13772</v>
      </c>
      <c r="DR1386" t="s">
        <v>13772</v>
      </c>
      <c r="DS1386" t="s">
        <v>13772</v>
      </c>
      <c r="DT1386" t="s">
        <v>13772</v>
      </c>
      <c r="DU1386" t="s">
        <v>13772</v>
      </c>
      <c r="DV1386" t="s">
        <v>13782</v>
      </c>
      <c r="DW1386" t="s">
        <v>13772</v>
      </c>
      <c r="DX1386" t="s">
        <v>16158</v>
      </c>
      <c r="DY1386" t="s">
        <v>16159</v>
      </c>
      <c r="DZ1386" t="s">
        <v>16160</v>
      </c>
      <c r="EA1386" t="s">
        <v>13772</v>
      </c>
      <c r="EB1386" t="s">
        <v>16161</v>
      </c>
    </row>
    <row r="1387" spans="1:132" hidden="1">
      <c r="A1387">
        <v>458</v>
      </c>
      <c r="B1387">
        <v>1</v>
      </c>
      <c r="C1387" t="s">
        <v>1148</v>
      </c>
      <c r="D1387" t="s">
        <v>73</v>
      </c>
      <c r="E1387" t="s">
        <v>73</v>
      </c>
      <c r="F1387" t="s">
        <v>73</v>
      </c>
      <c r="G1387" t="s">
        <v>73</v>
      </c>
      <c r="H1387">
        <v>12.2</v>
      </c>
      <c r="I1387">
        <v>294</v>
      </c>
      <c r="J1387">
        <v>32568</v>
      </c>
      <c r="K1387" t="s">
        <v>1149</v>
      </c>
      <c r="L1387">
        <f t="shared" si="86"/>
        <v>14</v>
      </c>
      <c r="N1387">
        <v>14</v>
      </c>
      <c r="O1387">
        <v>14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2</v>
      </c>
      <c r="Z1387">
        <v>0</v>
      </c>
      <c r="AA1387">
        <v>3</v>
      </c>
      <c r="AB1387">
        <v>4</v>
      </c>
      <c r="AC1387">
        <v>2</v>
      </c>
      <c r="AD1387">
        <v>0</v>
      </c>
      <c r="AE1387">
        <v>2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2</v>
      </c>
      <c r="AS1387">
        <v>0</v>
      </c>
      <c r="AT1387">
        <v>3</v>
      </c>
      <c r="AU1387">
        <v>4</v>
      </c>
      <c r="AV1387">
        <v>2</v>
      </c>
      <c r="AW1387">
        <v>0</v>
      </c>
      <c r="AX1387">
        <v>2</v>
      </c>
      <c r="AY1387">
        <v>1</v>
      </c>
      <c r="AZ1387">
        <v>0</v>
      </c>
      <c r="BA1387">
        <v>0</v>
      </c>
      <c r="BB1387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2</v>
      </c>
      <c r="BL1387" s="2">
        <v>0</v>
      </c>
      <c r="BM1387" s="2">
        <v>3</v>
      </c>
      <c r="BN1387" s="2">
        <v>4</v>
      </c>
      <c r="BO1387" s="2">
        <v>2</v>
      </c>
      <c r="BP1387" s="2">
        <v>0</v>
      </c>
      <c r="BQ1387" s="2">
        <v>2</v>
      </c>
      <c r="BR1387" s="2">
        <v>1</v>
      </c>
      <c r="BS1387" s="2">
        <v>0</v>
      </c>
      <c r="BT1387" s="2">
        <v>0</v>
      </c>
      <c r="BU1387" s="2">
        <v>0</v>
      </c>
      <c r="BV1387" s="2">
        <f t="shared" si="89"/>
        <v>14</v>
      </c>
      <c r="BW1387" s="16">
        <f t="shared" si="87"/>
        <v>0.73684210526315785</v>
      </c>
      <c r="BX1387" s="16">
        <f>COUNTIF($BC$6:BU1387, "=0") / COUNTIF($BC$6:BU1387, "&gt;-1")</f>
        <v>0.35977606824586794</v>
      </c>
      <c r="BY1387" s="18">
        <f>SUM($BC$6:BU1387) / $BY$4</f>
        <v>0.97324732555843918</v>
      </c>
      <c r="BZ1387" s="14">
        <f t="shared" si="88"/>
        <v>13</v>
      </c>
      <c r="CA1387" t="s">
        <v>5832</v>
      </c>
      <c r="CZ1387" t="s">
        <v>7291</v>
      </c>
      <c r="DA1387" t="s">
        <v>5904</v>
      </c>
      <c r="DB1387">
        <v>571.20000000000005</v>
      </c>
      <c r="DC1387" t="s">
        <v>18251</v>
      </c>
      <c r="DD1387" t="s">
        <v>13772</v>
      </c>
      <c r="DE1387" t="s">
        <v>18252</v>
      </c>
      <c r="DF1387" t="s">
        <v>18253</v>
      </c>
      <c r="DG1387" t="s">
        <v>13772</v>
      </c>
      <c r="DH1387" t="str">
        <f>"MLEC"</f>
        <v>MLEC</v>
      </c>
      <c r="DI1387" t="s">
        <v>18254</v>
      </c>
      <c r="DJ1387" t="s">
        <v>13777</v>
      </c>
      <c r="DK1387">
        <v>9606</v>
      </c>
      <c r="DL1387" s="34" t="str">
        <f>HYPERLINK("http://www.uniprot.org/uniprot/Q14165", "Q14165")</f>
        <v>Q14165</v>
      </c>
      <c r="DM1387" t="s">
        <v>18255</v>
      </c>
      <c r="DN1387" t="s">
        <v>18256</v>
      </c>
      <c r="DO1387" t="s">
        <v>14714</v>
      </c>
      <c r="DP1387" t="s">
        <v>13772</v>
      </c>
      <c r="DQ1387" t="s">
        <v>13772</v>
      </c>
      <c r="DR1387" t="s">
        <v>13772</v>
      </c>
      <c r="DS1387" t="s">
        <v>13855</v>
      </c>
      <c r="DT1387" t="s">
        <v>13772</v>
      </c>
      <c r="DU1387" t="s">
        <v>13772</v>
      </c>
      <c r="DV1387" t="s">
        <v>13858</v>
      </c>
      <c r="DW1387" t="s">
        <v>13772</v>
      </c>
      <c r="DX1387" t="s">
        <v>18257</v>
      </c>
      <c r="DY1387" t="s">
        <v>18258</v>
      </c>
      <c r="DZ1387" t="s">
        <v>18259</v>
      </c>
      <c r="EA1387" t="s">
        <v>13772</v>
      </c>
      <c r="EB1387" t="s">
        <v>18260</v>
      </c>
    </row>
    <row r="1388" spans="1:132" hidden="1">
      <c r="A1388">
        <v>460</v>
      </c>
      <c r="B1388">
        <v>1</v>
      </c>
      <c r="C1388" t="s">
        <v>1152</v>
      </c>
      <c r="D1388" t="s">
        <v>73</v>
      </c>
      <c r="E1388" t="s">
        <v>73</v>
      </c>
      <c r="F1388" t="s">
        <v>73</v>
      </c>
      <c r="G1388" t="s">
        <v>73</v>
      </c>
      <c r="H1388">
        <v>19.899999999999999</v>
      </c>
      <c r="I1388">
        <v>261</v>
      </c>
      <c r="J1388">
        <v>29101</v>
      </c>
      <c r="K1388" t="s">
        <v>1153</v>
      </c>
      <c r="L1388">
        <f t="shared" si="86"/>
        <v>14</v>
      </c>
      <c r="N1388">
        <v>14</v>
      </c>
      <c r="O1388">
        <v>14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4</v>
      </c>
      <c r="Z1388">
        <v>0</v>
      </c>
      <c r="AA1388">
        <v>2</v>
      </c>
      <c r="AB1388">
        <v>2</v>
      </c>
      <c r="AC1388">
        <v>3</v>
      </c>
      <c r="AD1388">
        <v>0</v>
      </c>
      <c r="AE1388">
        <v>2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4</v>
      </c>
      <c r="AS1388">
        <v>0</v>
      </c>
      <c r="AT1388">
        <v>2</v>
      </c>
      <c r="AU1388">
        <v>2</v>
      </c>
      <c r="AV1388">
        <v>3</v>
      </c>
      <c r="AW1388">
        <v>0</v>
      </c>
      <c r="AX1388">
        <v>2</v>
      </c>
      <c r="AY1388">
        <v>1</v>
      </c>
      <c r="AZ1388">
        <v>0</v>
      </c>
      <c r="BA1388">
        <v>0</v>
      </c>
      <c r="BB1388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4</v>
      </c>
      <c r="BL1388" s="2">
        <v>0</v>
      </c>
      <c r="BM1388" s="2">
        <v>2</v>
      </c>
      <c r="BN1388" s="2">
        <v>2</v>
      </c>
      <c r="BO1388" s="2">
        <v>3</v>
      </c>
      <c r="BP1388" s="2">
        <v>0</v>
      </c>
      <c r="BQ1388" s="2">
        <v>2</v>
      </c>
      <c r="BR1388" s="2">
        <v>1</v>
      </c>
      <c r="BS1388" s="2">
        <v>0</v>
      </c>
      <c r="BT1388" s="2">
        <v>0</v>
      </c>
      <c r="BU1388" s="2">
        <v>0</v>
      </c>
      <c r="BV1388" s="2">
        <f t="shared" si="89"/>
        <v>14</v>
      </c>
      <c r="BW1388" s="16">
        <f t="shared" si="87"/>
        <v>0.73684210526315785</v>
      </c>
      <c r="BX1388" s="16">
        <f>COUNTIF($BC$6:BU1388, "=0") / COUNTIF($BC$6:BU1388, "&gt;-1")</f>
        <v>0.36001065570651142</v>
      </c>
      <c r="BY1388" s="18">
        <f>SUM($BC$6:BU1388) / $BY$4</f>
        <v>0.97330729647460101</v>
      </c>
      <c r="BZ1388" s="14">
        <f t="shared" si="88"/>
        <v>13</v>
      </c>
      <c r="CA1388" t="s">
        <v>5832</v>
      </c>
      <c r="CZ1388" t="s">
        <v>7297</v>
      </c>
      <c r="DA1388" t="s">
        <v>5904</v>
      </c>
      <c r="DB1388">
        <v>469.9</v>
      </c>
      <c r="DC1388" t="s">
        <v>18270</v>
      </c>
      <c r="DD1388" t="s">
        <v>18271</v>
      </c>
      <c r="DE1388" t="s">
        <v>18272</v>
      </c>
      <c r="DF1388" t="s">
        <v>18273</v>
      </c>
      <c r="DG1388" t="s">
        <v>18274</v>
      </c>
      <c r="DH1388" t="str">
        <f>"ERP29"</f>
        <v>ERP29</v>
      </c>
      <c r="DI1388" t="s">
        <v>18275</v>
      </c>
      <c r="DJ1388" t="s">
        <v>13777</v>
      </c>
      <c r="DK1388">
        <v>9606</v>
      </c>
      <c r="DL1388" s="34" t="str">
        <f>HYPERLINK("http://www.uniprot.org/uniprot/P30040", "P30040")</f>
        <v>P30040</v>
      </c>
      <c r="DM1388" t="s">
        <v>18276</v>
      </c>
      <c r="DN1388" t="s">
        <v>13772</v>
      </c>
      <c r="DO1388" t="s">
        <v>14908</v>
      </c>
      <c r="DP1388" t="s">
        <v>13841</v>
      </c>
      <c r="DQ1388" t="s">
        <v>13772</v>
      </c>
      <c r="DR1388" t="s">
        <v>13772</v>
      </c>
      <c r="DS1388" t="s">
        <v>13808</v>
      </c>
      <c r="DT1388" t="s">
        <v>13772</v>
      </c>
      <c r="DU1388" t="s">
        <v>13772</v>
      </c>
      <c r="DV1388" t="s">
        <v>13782</v>
      </c>
      <c r="DW1388" t="s">
        <v>13812</v>
      </c>
      <c r="DX1388" t="s">
        <v>18277</v>
      </c>
      <c r="DY1388" t="s">
        <v>18278</v>
      </c>
      <c r="DZ1388" t="s">
        <v>18279</v>
      </c>
      <c r="EA1388" t="s">
        <v>13772</v>
      </c>
      <c r="EB1388" t="s">
        <v>13772</v>
      </c>
    </row>
    <row r="1389" spans="1:132" hidden="1">
      <c r="A1389">
        <v>478</v>
      </c>
      <c r="B1389">
        <v>1</v>
      </c>
      <c r="C1389" t="s">
        <v>1201</v>
      </c>
      <c r="D1389" t="s">
        <v>73</v>
      </c>
      <c r="E1389" t="s">
        <v>73</v>
      </c>
      <c r="F1389" t="s">
        <v>73</v>
      </c>
      <c r="G1389" t="s">
        <v>73</v>
      </c>
      <c r="H1389">
        <v>24.7</v>
      </c>
      <c r="I1389">
        <v>231</v>
      </c>
      <c r="J1389">
        <v>24736</v>
      </c>
      <c r="K1389" t="s">
        <v>1202</v>
      </c>
      <c r="L1389">
        <f t="shared" si="86"/>
        <v>14</v>
      </c>
      <c r="N1389">
        <v>14</v>
      </c>
      <c r="O1389">
        <v>14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5</v>
      </c>
      <c r="Z1389">
        <v>0</v>
      </c>
      <c r="AA1389">
        <v>3</v>
      </c>
      <c r="AB1389">
        <v>2</v>
      </c>
      <c r="AC1389">
        <v>2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5</v>
      </c>
      <c r="AS1389">
        <v>0</v>
      </c>
      <c r="AT1389">
        <v>3</v>
      </c>
      <c r="AU1389">
        <v>2</v>
      </c>
      <c r="AV1389">
        <v>2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5</v>
      </c>
      <c r="BL1389" s="2">
        <v>0</v>
      </c>
      <c r="BM1389" s="2">
        <v>3</v>
      </c>
      <c r="BN1389" s="2">
        <v>2</v>
      </c>
      <c r="BO1389" s="2">
        <v>2</v>
      </c>
      <c r="BP1389" s="2">
        <v>0</v>
      </c>
      <c r="BQ1389" s="2">
        <v>1</v>
      </c>
      <c r="BR1389" s="2">
        <v>0</v>
      </c>
      <c r="BS1389" s="2">
        <v>0</v>
      </c>
      <c r="BT1389" s="2">
        <v>0</v>
      </c>
      <c r="BU1389" s="2">
        <v>0</v>
      </c>
      <c r="BV1389" s="2">
        <f t="shared" si="89"/>
        <v>14</v>
      </c>
      <c r="BW1389" s="16">
        <f t="shared" si="87"/>
        <v>0.73684210526315785</v>
      </c>
      <c r="BX1389" s="16">
        <f>COUNTIF($BC$6:BU1389, "=0") / COUNTIF($BC$6:BU1389, "&gt;-1")</f>
        <v>0.36024490416793431</v>
      </c>
      <c r="BY1389" s="18">
        <f>SUM($BC$6:BU1389) / $BY$4</f>
        <v>0.97336726739076274</v>
      </c>
      <c r="BZ1389" s="14">
        <f t="shared" si="88"/>
        <v>13</v>
      </c>
      <c r="CA1389" t="s">
        <v>5832</v>
      </c>
      <c r="CZ1389" t="s">
        <v>7362</v>
      </c>
      <c r="DA1389" t="s">
        <v>5904</v>
      </c>
      <c r="DB1389">
        <v>473.8</v>
      </c>
      <c r="DC1389" t="s">
        <v>18468</v>
      </c>
      <c r="DD1389" t="s">
        <v>18469</v>
      </c>
      <c r="DE1389" t="s">
        <v>18470</v>
      </c>
      <c r="DF1389" t="s">
        <v>18471</v>
      </c>
      <c r="DG1389" t="s">
        <v>18472</v>
      </c>
      <c r="DH1389" t="str">
        <f>"LYPLA2"</f>
        <v>LYPLA2</v>
      </c>
      <c r="DI1389" t="s">
        <v>18473</v>
      </c>
      <c r="DJ1389" t="s">
        <v>13777</v>
      </c>
      <c r="DK1389">
        <v>9606</v>
      </c>
      <c r="DL1389" s="34" t="str">
        <f>HYPERLINK("http://www.uniprot.org/uniprot/O95372", "O95372")</f>
        <v>O95372</v>
      </c>
      <c r="DM1389" t="s">
        <v>18474</v>
      </c>
      <c r="DN1389" t="s">
        <v>14430</v>
      </c>
      <c r="DO1389" t="s">
        <v>13899</v>
      </c>
      <c r="DP1389" t="s">
        <v>13772</v>
      </c>
      <c r="DQ1389" t="s">
        <v>13772</v>
      </c>
      <c r="DR1389" t="s">
        <v>13772</v>
      </c>
      <c r="DS1389" t="s">
        <v>13772</v>
      </c>
      <c r="DT1389" t="s">
        <v>13772</v>
      </c>
      <c r="DU1389" t="s">
        <v>13857</v>
      </c>
      <c r="DV1389" t="s">
        <v>16020</v>
      </c>
      <c r="DW1389" t="s">
        <v>13812</v>
      </c>
      <c r="DX1389" t="s">
        <v>18475</v>
      </c>
      <c r="DY1389" t="s">
        <v>18476</v>
      </c>
      <c r="DZ1389" t="s">
        <v>18477</v>
      </c>
      <c r="EA1389" t="s">
        <v>13772</v>
      </c>
      <c r="EB1389" t="s">
        <v>18478</v>
      </c>
    </row>
    <row r="1390" spans="1:132" hidden="1">
      <c r="A1390">
        <v>564</v>
      </c>
      <c r="B1390">
        <v>1</v>
      </c>
      <c r="C1390" t="s">
        <v>1406</v>
      </c>
      <c r="D1390" t="s">
        <v>1407</v>
      </c>
      <c r="E1390" t="s">
        <v>73</v>
      </c>
      <c r="F1390" t="s">
        <v>73</v>
      </c>
      <c r="G1390" t="s">
        <v>73</v>
      </c>
      <c r="H1390">
        <v>11.9</v>
      </c>
      <c r="I1390">
        <v>1027</v>
      </c>
      <c r="J1390">
        <v>110226</v>
      </c>
      <c r="K1390" t="s">
        <v>1408</v>
      </c>
      <c r="L1390">
        <f t="shared" si="86"/>
        <v>14</v>
      </c>
      <c r="N1390">
        <v>14</v>
      </c>
      <c r="O1390">
        <v>14</v>
      </c>
      <c r="P1390">
        <v>1</v>
      </c>
      <c r="Q1390">
        <v>0</v>
      </c>
      <c r="R1390">
        <v>3</v>
      </c>
      <c r="S1390">
        <v>2</v>
      </c>
      <c r="T1390">
        <v>0</v>
      </c>
      <c r="U1390">
        <v>2</v>
      </c>
      <c r="V1390">
        <v>2</v>
      </c>
      <c r="W1390">
        <v>4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</v>
      </c>
      <c r="AL1390">
        <v>2</v>
      </c>
      <c r="AM1390">
        <v>0</v>
      </c>
      <c r="AN1390">
        <v>2</v>
      </c>
      <c r="AO1390">
        <v>2</v>
      </c>
      <c r="AP1390">
        <v>4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 s="2">
        <v>0</v>
      </c>
      <c r="BD1390" s="2">
        <v>3</v>
      </c>
      <c r="BE1390" s="2">
        <v>2</v>
      </c>
      <c r="BF1390" s="2">
        <v>0</v>
      </c>
      <c r="BG1390" s="2">
        <v>2</v>
      </c>
      <c r="BH1390" s="2">
        <v>2</v>
      </c>
      <c r="BI1390" s="2">
        <v>4</v>
      </c>
      <c r="BJ1390" s="2">
        <v>1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f t="shared" si="89"/>
        <v>14</v>
      </c>
      <c r="BW1390" s="16">
        <f t="shared" si="87"/>
        <v>0.73684210526315785</v>
      </c>
      <c r="BX1390" s="16">
        <f>COUNTIF($BC$6:BU1390, "=0") / COUNTIF($BC$6:BU1390, "&gt;-1")</f>
        <v>0.36047881436443091</v>
      </c>
      <c r="BY1390" s="18">
        <f>SUM($BC$6:BU1390) / $BY$4</f>
        <v>0.97342723830692457</v>
      </c>
      <c r="BZ1390" s="14">
        <f t="shared" si="88"/>
        <v>13</v>
      </c>
      <c r="CA1390" t="s">
        <v>5832</v>
      </c>
      <c r="CZ1390" t="s">
        <v>7651</v>
      </c>
      <c r="DA1390" t="s">
        <v>5904</v>
      </c>
      <c r="DB1390">
        <v>1779.6</v>
      </c>
      <c r="DC1390" t="s">
        <v>19332</v>
      </c>
      <c r="DD1390" t="s">
        <v>19333</v>
      </c>
      <c r="DE1390" t="s">
        <v>19334</v>
      </c>
      <c r="DF1390" t="s">
        <v>19335</v>
      </c>
      <c r="DG1390" t="s">
        <v>19336</v>
      </c>
      <c r="DH1390" t="str">
        <f>"TMEM132A"</f>
        <v>TMEM132A</v>
      </c>
      <c r="DI1390" t="s">
        <v>19337</v>
      </c>
      <c r="DJ1390" t="s">
        <v>13777</v>
      </c>
      <c r="DK1390">
        <v>9606</v>
      </c>
      <c r="DL1390" s="34" t="str">
        <f>HYPERLINK("http://www.uniprot.org/uniprot/Q24JP5", "Q24JP5")</f>
        <v>Q24JP5</v>
      </c>
      <c r="DM1390" t="s">
        <v>19338</v>
      </c>
      <c r="DN1390" t="s">
        <v>13772</v>
      </c>
      <c r="DO1390" t="s">
        <v>17766</v>
      </c>
      <c r="DP1390" t="s">
        <v>13780</v>
      </c>
      <c r="DQ1390" t="s">
        <v>13772</v>
      </c>
      <c r="DR1390" t="s">
        <v>13772</v>
      </c>
      <c r="DS1390" t="s">
        <v>13855</v>
      </c>
      <c r="DT1390" t="s">
        <v>13772</v>
      </c>
      <c r="DU1390" t="s">
        <v>13772</v>
      </c>
      <c r="DV1390" t="s">
        <v>13978</v>
      </c>
      <c r="DW1390" t="s">
        <v>13772</v>
      </c>
      <c r="DX1390" t="s">
        <v>19339</v>
      </c>
      <c r="DY1390" t="s">
        <v>19340</v>
      </c>
      <c r="DZ1390" t="s">
        <v>13772</v>
      </c>
      <c r="EA1390" t="s">
        <v>13772</v>
      </c>
      <c r="EB1390" t="s">
        <v>17241</v>
      </c>
    </row>
    <row r="1391" spans="1:132" hidden="1">
      <c r="A1391">
        <v>631</v>
      </c>
      <c r="B1391">
        <v>1</v>
      </c>
      <c r="C1391" t="s">
        <v>1561</v>
      </c>
      <c r="D1391" t="s">
        <v>1562</v>
      </c>
      <c r="E1391" t="s">
        <v>73</v>
      </c>
      <c r="F1391" t="s">
        <v>73</v>
      </c>
      <c r="G1391" t="s">
        <v>73</v>
      </c>
      <c r="H1391">
        <v>22.2</v>
      </c>
      <c r="I1391">
        <v>162</v>
      </c>
      <c r="J1391">
        <v>17617</v>
      </c>
      <c r="K1391" t="s">
        <v>1563</v>
      </c>
      <c r="L1391">
        <f t="shared" si="86"/>
        <v>14</v>
      </c>
      <c r="N1391">
        <v>14</v>
      </c>
      <c r="O1391">
        <v>14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5</v>
      </c>
      <c r="AB1391">
        <v>1</v>
      </c>
      <c r="AC1391">
        <v>1</v>
      </c>
      <c r="AD1391">
        <v>0</v>
      </c>
      <c r="AE1391">
        <v>3</v>
      </c>
      <c r="AF1391">
        <v>2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5</v>
      </c>
      <c r="AU1391">
        <v>1</v>
      </c>
      <c r="AV1391">
        <v>1</v>
      </c>
      <c r="AW1391">
        <v>0</v>
      </c>
      <c r="AX1391">
        <v>3</v>
      </c>
      <c r="AY1391">
        <v>2</v>
      </c>
      <c r="AZ1391">
        <v>0</v>
      </c>
      <c r="BA1391">
        <v>0</v>
      </c>
      <c r="BB1391">
        <v>0</v>
      </c>
      <c r="BC1391" s="2">
        <v>0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1</v>
      </c>
      <c r="BL1391" s="2">
        <v>0</v>
      </c>
      <c r="BM1391" s="2">
        <v>5</v>
      </c>
      <c r="BN1391" s="2">
        <v>1</v>
      </c>
      <c r="BO1391" s="2">
        <v>1</v>
      </c>
      <c r="BP1391" s="2">
        <v>0</v>
      </c>
      <c r="BQ1391" s="2">
        <v>3</v>
      </c>
      <c r="BR1391" s="2">
        <v>2</v>
      </c>
      <c r="BS1391" s="2">
        <v>0</v>
      </c>
      <c r="BT1391" s="2">
        <v>0</v>
      </c>
      <c r="BU1391" s="2">
        <v>0</v>
      </c>
      <c r="BV1391" s="2">
        <f t="shared" si="89"/>
        <v>14</v>
      </c>
      <c r="BW1391" s="16">
        <f t="shared" si="87"/>
        <v>0.73684210526315785</v>
      </c>
      <c r="BX1391" s="16">
        <f>COUNTIF($BC$6:BU1391, "=0") / COUNTIF($BC$6:BU1391, "&gt;-1")</f>
        <v>0.36067441330599226</v>
      </c>
      <c r="BY1391" s="18">
        <f>SUM($BC$6:BU1391) / $BY$4</f>
        <v>0.9734872092230864</v>
      </c>
      <c r="BZ1391" s="14">
        <f t="shared" si="88"/>
        <v>12</v>
      </c>
      <c r="CA1391" t="s">
        <v>5832</v>
      </c>
      <c r="CZ1391" t="s">
        <v>7872</v>
      </c>
      <c r="DA1391" t="s">
        <v>5904</v>
      </c>
      <c r="DB1391">
        <v>277.3</v>
      </c>
      <c r="DC1391" t="s">
        <v>20014</v>
      </c>
      <c r="DD1391" t="s">
        <v>20015</v>
      </c>
      <c r="DE1391" t="s">
        <v>20016</v>
      </c>
      <c r="DF1391" t="s">
        <v>20017</v>
      </c>
      <c r="DG1391" t="s">
        <v>20018</v>
      </c>
      <c r="DH1391" t="str">
        <f>"FKBP2"</f>
        <v>FKBP2</v>
      </c>
      <c r="DI1391" t="s">
        <v>20019</v>
      </c>
      <c r="DJ1391" t="s">
        <v>13777</v>
      </c>
      <c r="DK1391">
        <v>9606</v>
      </c>
      <c r="DL1391" s="34" t="str">
        <f>HYPERLINK("http://www.uniprot.org/uniprot/P26885", "P26885")</f>
        <v>P26885</v>
      </c>
      <c r="DM1391" t="s">
        <v>20020</v>
      </c>
      <c r="DN1391" t="s">
        <v>13772</v>
      </c>
      <c r="DO1391" t="s">
        <v>14714</v>
      </c>
      <c r="DP1391" t="s">
        <v>13793</v>
      </c>
      <c r="DQ1391" t="s">
        <v>13772</v>
      </c>
      <c r="DR1391" t="s">
        <v>13772</v>
      </c>
      <c r="DS1391" t="s">
        <v>13808</v>
      </c>
      <c r="DT1391" t="s">
        <v>13772</v>
      </c>
      <c r="DU1391" t="s">
        <v>15050</v>
      </c>
      <c r="DV1391" t="s">
        <v>13772</v>
      </c>
      <c r="DW1391" t="s">
        <v>13812</v>
      </c>
      <c r="DX1391" t="s">
        <v>13772</v>
      </c>
      <c r="DY1391" t="s">
        <v>20021</v>
      </c>
      <c r="DZ1391" t="s">
        <v>20022</v>
      </c>
      <c r="EA1391" t="s">
        <v>13772</v>
      </c>
      <c r="EB1391" t="s">
        <v>13772</v>
      </c>
    </row>
    <row r="1392" spans="1:132" hidden="1">
      <c r="A1392">
        <v>659</v>
      </c>
      <c r="B1392">
        <v>1</v>
      </c>
      <c r="C1392" t="s">
        <v>1628</v>
      </c>
      <c r="D1392" t="s">
        <v>73</v>
      </c>
      <c r="E1392" t="s">
        <v>73</v>
      </c>
      <c r="F1392" t="s">
        <v>73</v>
      </c>
      <c r="G1392" t="s">
        <v>73</v>
      </c>
      <c r="H1392">
        <v>12</v>
      </c>
      <c r="I1392">
        <v>1034</v>
      </c>
      <c r="J1392">
        <v>115007</v>
      </c>
      <c r="K1392" t="s">
        <v>1629</v>
      </c>
      <c r="L1392">
        <f t="shared" si="86"/>
        <v>14</v>
      </c>
      <c r="N1392">
        <v>14</v>
      </c>
      <c r="O1392">
        <v>14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</v>
      </c>
      <c r="AG1392">
        <v>12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2</v>
      </c>
      <c r="AZ1392">
        <v>12</v>
      </c>
      <c r="BA1392">
        <v>0</v>
      </c>
      <c r="BB139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2</v>
      </c>
      <c r="BS1392" s="2">
        <v>12</v>
      </c>
      <c r="BT1392" s="2">
        <v>0</v>
      </c>
      <c r="BU1392" s="2">
        <v>0</v>
      </c>
      <c r="BV1392" s="2">
        <f t="shared" si="89"/>
        <v>14</v>
      </c>
      <c r="BW1392" s="16">
        <f t="shared" si="87"/>
        <v>0.73684210526315785</v>
      </c>
      <c r="BX1392" s="16">
        <f>COUNTIF($BC$6:BU1392, "=0") / COUNTIF($BC$6:BU1392, "&gt;-1")</f>
        <v>0.36105946192084393</v>
      </c>
      <c r="BY1392" s="18">
        <f>SUM($BC$6:BU1392) / $BY$4</f>
        <v>0.97354718013924824</v>
      </c>
      <c r="BZ1392" s="14">
        <f t="shared" si="88"/>
        <v>17</v>
      </c>
      <c r="CA1392" t="s">
        <v>5832</v>
      </c>
      <c r="CZ1392" t="s">
        <v>7963</v>
      </c>
      <c r="DA1392" t="s">
        <v>5904</v>
      </c>
      <c r="DB1392">
        <v>1812.3</v>
      </c>
      <c r="DC1392" t="s">
        <v>20273</v>
      </c>
      <c r="DD1392" t="s">
        <v>20274</v>
      </c>
      <c r="DE1392" t="s">
        <v>20275</v>
      </c>
      <c r="DF1392" t="s">
        <v>20276</v>
      </c>
      <c r="DG1392" t="s">
        <v>20277</v>
      </c>
      <c r="DH1392" t="str">
        <f>"TMPRSS15"</f>
        <v>TMPRSS15</v>
      </c>
      <c r="DI1392" t="s">
        <v>20278</v>
      </c>
      <c r="DJ1392" t="s">
        <v>13777</v>
      </c>
      <c r="DK1392">
        <v>9606</v>
      </c>
      <c r="DL1392" s="34" t="str">
        <f>HYPERLINK("http://www.uniprot.org/uniprot/P98073", "P98073")</f>
        <v>P98073</v>
      </c>
      <c r="DM1392" t="s">
        <v>20279</v>
      </c>
      <c r="DN1392" t="s">
        <v>13772</v>
      </c>
      <c r="DO1392" t="s">
        <v>13825</v>
      </c>
      <c r="DP1392" t="s">
        <v>13793</v>
      </c>
      <c r="DQ1392" t="s">
        <v>13772</v>
      </c>
      <c r="DR1392" t="s">
        <v>13772</v>
      </c>
      <c r="DS1392" t="s">
        <v>17249</v>
      </c>
      <c r="DT1392" t="s">
        <v>13772</v>
      </c>
      <c r="DU1392" t="s">
        <v>15176</v>
      </c>
      <c r="DV1392" t="s">
        <v>20280</v>
      </c>
      <c r="DW1392" t="s">
        <v>13812</v>
      </c>
      <c r="DX1392" t="s">
        <v>13772</v>
      </c>
      <c r="DY1392" t="s">
        <v>20281</v>
      </c>
      <c r="DZ1392" t="s">
        <v>20282</v>
      </c>
      <c r="EA1392" t="s">
        <v>13772</v>
      </c>
      <c r="EB1392" t="s">
        <v>13772</v>
      </c>
    </row>
    <row r="1393" spans="1:132" hidden="1">
      <c r="A1393">
        <v>664</v>
      </c>
      <c r="B1393">
        <v>1</v>
      </c>
      <c r="C1393" t="s">
        <v>1637</v>
      </c>
      <c r="D1393" t="s">
        <v>1638</v>
      </c>
      <c r="E1393" t="s">
        <v>73</v>
      </c>
      <c r="F1393" t="s">
        <v>73</v>
      </c>
      <c r="G1393" t="s">
        <v>73</v>
      </c>
      <c r="H1393">
        <v>17.8</v>
      </c>
      <c r="I1393">
        <v>404</v>
      </c>
      <c r="J1393">
        <v>43655</v>
      </c>
      <c r="K1393" t="s">
        <v>1639</v>
      </c>
      <c r="L1393">
        <f t="shared" si="86"/>
        <v>14</v>
      </c>
      <c r="N1393">
        <v>14</v>
      </c>
      <c r="O1393">
        <v>14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3</v>
      </c>
      <c r="V1393">
        <v>1</v>
      </c>
      <c r="W1393">
        <v>0</v>
      </c>
      <c r="X1393">
        <v>1</v>
      </c>
      <c r="Y1393">
        <v>4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3</v>
      </c>
      <c r="AO1393">
        <v>1</v>
      </c>
      <c r="AP1393">
        <v>0</v>
      </c>
      <c r="AQ1393">
        <v>1</v>
      </c>
      <c r="AR1393">
        <v>4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2</v>
      </c>
      <c r="AZ1393">
        <v>0</v>
      </c>
      <c r="BA1393">
        <v>0</v>
      </c>
      <c r="BB1393">
        <v>0</v>
      </c>
      <c r="BC1393" s="2">
        <v>0</v>
      </c>
      <c r="BD1393" s="2">
        <v>0</v>
      </c>
      <c r="BE1393" s="2">
        <v>0</v>
      </c>
      <c r="BF1393" s="2">
        <v>1</v>
      </c>
      <c r="BG1393" s="2">
        <v>3</v>
      </c>
      <c r="BH1393" s="2">
        <v>1</v>
      </c>
      <c r="BI1393" s="2">
        <v>0</v>
      </c>
      <c r="BJ1393" s="2">
        <v>1</v>
      </c>
      <c r="BK1393" s="2">
        <v>4</v>
      </c>
      <c r="BL1393" s="2">
        <v>0</v>
      </c>
      <c r="BM1393" s="2">
        <v>1</v>
      </c>
      <c r="BN1393" s="2">
        <v>1</v>
      </c>
      <c r="BO1393" s="2">
        <v>0</v>
      </c>
      <c r="BP1393" s="2">
        <v>0</v>
      </c>
      <c r="BQ1393" s="2">
        <v>0</v>
      </c>
      <c r="BR1393" s="2">
        <v>2</v>
      </c>
      <c r="BS1393" s="2">
        <v>0</v>
      </c>
      <c r="BT1393" s="2">
        <v>0</v>
      </c>
      <c r="BU1393" s="2">
        <v>0</v>
      </c>
      <c r="BV1393" s="2">
        <f t="shared" si="89"/>
        <v>14</v>
      </c>
      <c r="BW1393" s="16">
        <f t="shared" si="87"/>
        <v>0.73684210526315785</v>
      </c>
      <c r="BX1393" s="16">
        <f>COUNTIF($BC$6:BU1393, "=0") / COUNTIF($BC$6:BU1393, "&gt;-1")</f>
        <v>0.36121644168057032</v>
      </c>
      <c r="BY1393" s="18">
        <f>SUM($BC$6:BU1393) / $BY$4</f>
        <v>0.97360715105540996</v>
      </c>
      <c r="BZ1393" s="14">
        <f t="shared" si="88"/>
        <v>11</v>
      </c>
      <c r="CA1393" t="s">
        <v>5832</v>
      </c>
      <c r="CZ1393" t="s">
        <v>7984</v>
      </c>
      <c r="DA1393" t="s">
        <v>5904</v>
      </c>
      <c r="DB1393">
        <v>584.70000000000005</v>
      </c>
      <c r="DC1393" t="s">
        <v>20327</v>
      </c>
      <c r="DD1393" t="s">
        <v>20328</v>
      </c>
      <c r="DE1393" t="s">
        <v>20329</v>
      </c>
      <c r="DF1393" t="s">
        <v>20330</v>
      </c>
      <c r="DG1393" t="s">
        <v>20331</v>
      </c>
      <c r="DH1393" t="str">
        <f>"TFG"</f>
        <v>TFG</v>
      </c>
      <c r="DI1393" t="s">
        <v>13772</v>
      </c>
      <c r="DJ1393" t="s">
        <v>13777</v>
      </c>
      <c r="DK1393">
        <v>9606</v>
      </c>
      <c r="DL1393" s="34" t="str">
        <f>HYPERLINK("http://www.uniprot.org/uniprot/Q92734", "Q92734")</f>
        <v>Q92734</v>
      </c>
      <c r="DM1393" t="s">
        <v>20332</v>
      </c>
      <c r="DN1393" t="s">
        <v>18834</v>
      </c>
      <c r="DO1393" t="s">
        <v>14908</v>
      </c>
      <c r="DP1393" t="s">
        <v>20333</v>
      </c>
      <c r="DQ1393" t="s">
        <v>13772</v>
      </c>
      <c r="DR1393" t="s">
        <v>20334</v>
      </c>
      <c r="DS1393" t="s">
        <v>14245</v>
      </c>
      <c r="DT1393" t="s">
        <v>13772</v>
      </c>
      <c r="DU1393" t="s">
        <v>13772</v>
      </c>
      <c r="DV1393" t="s">
        <v>14098</v>
      </c>
      <c r="DW1393" t="s">
        <v>13772</v>
      </c>
      <c r="DX1393" t="s">
        <v>20335</v>
      </c>
      <c r="DY1393" t="s">
        <v>20336</v>
      </c>
      <c r="DZ1393" t="s">
        <v>16148</v>
      </c>
      <c r="EA1393" t="s">
        <v>13772</v>
      </c>
      <c r="EB1393" t="s">
        <v>20337</v>
      </c>
    </row>
    <row r="1394" spans="1:132" hidden="1">
      <c r="A1394">
        <v>728</v>
      </c>
      <c r="B1394">
        <v>1</v>
      </c>
      <c r="C1394" t="s">
        <v>1784</v>
      </c>
      <c r="D1394" t="s">
        <v>73</v>
      </c>
      <c r="E1394" t="s">
        <v>73</v>
      </c>
      <c r="F1394" t="s">
        <v>73</v>
      </c>
      <c r="G1394" t="s">
        <v>73</v>
      </c>
      <c r="H1394">
        <v>46.6</v>
      </c>
      <c r="I1394">
        <v>189</v>
      </c>
      <c r="J1394">
        <v>21107</v>
      </c>
      <c r="K1394" t="s">
        <v>1785</v>
      </c>
      <c r="L1394">
        <f t="shared" si="86"/>
        <v>14</v>
      </c>
      <c r="N1394">
        <v>14</v>
      </c>
      <c r="O1394">
        <v>14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7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2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7</v>
      </c>
      <c r="AS1394">
        <v>0</v>
      </c>
      <c r="AT1394">
        <v>2</v>
      </c>
      <c r="AU1394">
        <v>0</v>
      </c>
      <c r="AV1394">
        <v>0</v>
      </c>
      <c r="AW1394">
        <v>0</v>
      </c>
      <c r="AX1394">
        <v>2</v>
      </c>
      <c r="AY1394">
        <v>0</v>
      </c>
      <c r="AZ1394">
        <v>0</v>
      </c>
      <c r="BA1394">
        <v>0</v>
      </c>
      <c r="BB1394">
        <v>0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1</v>
      </c>
      <c r="BJ1394" s="2">
        <v>1</v>
      </c>
      <c r="BK1394" s="2">
        <v>7</v>
      </c>
      <c r="BL1394" s="2">
        <v>0</v>
      </c>
      <c r="BM1394" s="2">
        <v>2</v>
      </c>
      <c r="BN1394" s="2">
        <v>0</v>
      </c>
      <c r="BO1394" s="2">
        <v>0</v>
      </c>
      <c r="BP1394" s="2">
        <v>0</v>
      </c>
      <c r="BQ1394" s="2">
        <v>2</v>
      </c>
      <c r="BR1394" s="2">
        <v>0</v>
      </c>
      <c r="BS1394" s="2">
        <v>0</v>
      </c>
      <c r="BT1394" s="2">
        <v>0</v>
      </c>
      <c r="BU1394" s="2">
        <v>0</v>
      </c>
      <c r="BV1394" s="2">
        <f t="shared" si="89"/>
        <v>14</v>
      </c>
      <c r="BW1394" s="16">
        <f t="shared" si="87"/>
        <v>0.73684210526315785</v>
      </c>
      <c r="BX1394" s="16">
        <f>COUNTIF($BC$6:BU1394, "=0") / COUNTIF($BC$6:BU1394, "&gt;-1")</f>
        <v>0.3614489788185366</v>
      </c>
      <c r="BY1394" s="18">
        <f>SUM($BC$6:BU1394) / $BY$4</f>
        <v>0.97366712197157179</v>
      </c>
      <c r="BZ1394" s="14">
        <f t="shared" si="88"/>
        <v>13</v>
      </c>
      <c r="CA1394" t="s">
        <v>5832</v>
      </c>
      <c r="CZ1394" t="s">
        <v>8187</v>
      </c>
      <c r="DA1394" t="s">
        <v>5904</v>
      </c>
      <c r="DB1394">
        <v>342</v>
      </c>
      <c r="DC1394" t="s">
        <v>20931</v>
      </c>
      <c r="DD1394" t="s">
        <v>20932</v>
      </c>
      <c r="DE1394" t="s">
        <v>20933</v>
      </c>
      <c r="DF1394" t="s">
        <v>20934</v>
      </c>
      <c r="DG1394" t="s">
        <v>20935</v>
      </c>
      <c r="DH1394" t="str">
        <f>"CAPS"</f>
        <v>CAPS</v>
      </c>
      <c r="DI1394" t="s">
        <v>13772</v>
      </c>
      <c r="DJ1394" t="s">
        <v>13777</v>
      </c>
      <c r="DK1394">
        <v>9606</v>
      </c>
      <c r="DL1394" s="34" t="str">
        <f>HYPERLINK("http://www.uniprot.org/uniprot/Q13938", "Q13938")</f>
        <v>Q13938</v>
      </c>
      <c r="DM1394" t="s">
        <v>20936</v>
      </c>
      <c r="DN1394" t="s">
        <v>13772</v>
      </c>
      <c r="DO1394" t="s">
        <v>13899</v>
      </c>
      <c r="DP1394" t="s">
        <v>13780</v>
      </c>
      <c r="DQ1394" t="s">
        <v>13772</v>
      </c>
      <c r="DR1394" t="s">
        <v>13772</v>
      </c>
      <c r="DS1394" t="s">
        <v>14096</v>
      </c>
      <c r="DT1394" t="s">
        <v>13873</v>
      </c>
      <c r="DU1394" t="s">
        <v>13772</v>
      </c>
      <c r="DV1394" t="s">
        <v>13782</v>
      </c>
      <c r="DW1394" t="s">
        <v>13812</v>
      </c>
      <c r="DX1394" t="s">
        <v>20937</v>
      </c>
      <c r="DY1394" t="s">
        <v>20938</v>
      </c>
      <c r="DZ1394" t="s">
        <v>15899</v>
      </c>
      <c r="EA1394" t="s">
        <v>13772</v>
      </c>
      <c r="EB1394" t="s">
        <v>13772</v>
      </c>
    </row>
    <row r="1395" spans="1:132" hidden="1">
      <c r="A1395">
        <v>764</v>
      </c>
      <c r="B1395">
        <v>1</v>
      </c>
      <c r="C1395" t="s">
        <v>1878</v>
      </c>
      <c r="D1395" t="s">
        <v>73</v>
      </c>
      <c r="E1395" t="s">
        <v>73</v>
      </c>
      <c r="F1395" t="s">
        <v>73</v>
      </c>
      <c r="G1395" t="s">
        <v>73</v>
      </c>
      <c r="H1395">
        <v>28.8</v>
      </c>
      <c r="I1395">
        <v>219</v>
      </c>
      <c r="J1395">
        <v>22773</v>
      </c>
      <c r="K1395" t="s">
        <v>1879</v>
      </c>
      <c r="L1395">
        <f t="shared" si="86"/>
        <v>14</v>
      </c>
      <c r="N1395">
        <v>14</v>
      </c>
      <c r="O1395">
        <v>14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2</v>
      </c>
      <c r="Z1395">
        <v>0</v>
      </c>
      <c r="AA1395">
        <v>2</v>
      </c>
      <c r="AB1395">
        <v>3</v>
      </c>
      <c r="AC1395">
        <v>2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</v>
      </c>
      <c r="AR1395">
        <v>2</v>
      </c>
      <c r="AS1395">
        <v>0</v>
      </c>
      <c r="AT1395">
        <v>2</v>
      </c>
      <c r="AU1395">
        <v>3</v>
      </c>
      <c r="AV1395">
        <v>2</v>
      </c>
      <c r="AW1395">
        <v>0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 s="2">
        <v>0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2</v>
      </c>
      <c r="BK1395" s="2">
        <v>2</v>
      </c>
      <c r="BL1395" s="2">
        <v>0</v>
      </c>
      <c r="BM1395" s="2">
        <v>2</v>
      </c>
      <c r="BN1395" s="2">
        <v>3</v>
      </c>
      <c r="BO1395" s="2">
        <v>2</v>
      </c>
      <c r="BP1395" s="2">
        <v>0</v>
      </c>
      <c r="BQ1395" s="2">
        <v>1</v>
      </c>
      <c r="BR1395" s="2">
        <v>1</v>
      </c>
      <c r="BS1395" s="2">
        <v>0</v>
      </c>
      <c r="BT1395" s="2">
        <v>0</v>
      </c>
      <c r="BU1395" s="2">
        <v>0</v>
      </c>
      <c r="BV1395" s="2">
        <f t="shared" si="89"/>
        <v>14</v>
      </c>
      <c r="BW1395" s="16">
        <f t="shared" si="87"/>
        <v>0.73684210526315785</v>
      </c>
      <c r="BX1395" s="16">
        <f>COUNTIF($BC$6:BU1395, "=0") / COUNTIF($BC$6:BU1395, "&gt;-1")</f>
        <v>0.36160545248012116</v>
      </c>
      <c r="BY1395" s="18">
        <f>SUM($BC$6:BU1395) / $BY$4</f>
        <v>0.97372709288773363</v>
      </c>
      <c r="BZ1395" s="14">
        <f t="shared" si="88"/>
        <v>11</v>
      </c>
      <c r="CA1395" t="s">
        <v>5832</v>
      </c>
      <c r="CZ1395" t="s">
        <v>8316</v>
      </c>
      <c r="DA1395" t="s">
        <v>5904</v>
      </c>
      <c r="DB1395">
        <v>275.39999999999998</v>
      </c>
      <c r="DC1395" t="s">
        <v>21305</v>
      </c>
      <c r="DD1395" t="s">
        <v>21306</v>
      </c>
      <c r="DE1395" t="s">
        <v>21307</v>
      </c>
      <c r="DF1395" t="s">
        <v>21308</v>
      </c>
      <c r="DG1395" t="s">
        <v>21309</v>
      </c>
      <c r="DH1395" t="str">
        <f>"ATP5F1D"</f>
        <v>ATP5F1D</v>
      </c>
      <c r="DI1395" t="s">
        <v>13772</v>
      </c>
      <c r="DJ1395" t="s">
        <v>13777</v>
      </c>
      <c r="DK1395">
        <v>9606</v>
      </c>
      <c r="DL1395" s="34" t="str">
        <f>HYPERLINK("http://www.uniprot.org/uniprot/P30049", "P30049")</f>
        <v>P30049</v>
      </c>
      <c r="DM1395" t="s">
        <v>21310</v>
      </c>
      <c r="DN1395" t="s">
        <v>17568</v>
      </c>
      <c r="DO1395" t="s">
        <v>21311</v>
      </c>
      <c r="DP1395" t="s">
        <v>13772</v>
      </c>
      <c r="DQ1395" t="s">
        <v>13772</v>
      </c>
      <c r="DR1395" t="s">
        <v>14390</v>
      </c>
      <c r="DS1395" t="s">
        <v>14391</v>
      </c>
      <c r="DT1395" t="s">
        <v>13772</v>
      </c>
      <c r="DU1395" t="s">
        <v>13772</v>
      </c>
      <c r="DV1395" t="s">
        <v>14020</v>
      </c>
      <c r="DW1395" t="s">
        <v>13772</v>
      </c>
      <c r="DX1395" t="s">
        <v>21312</v>
      </c>
      <c r="DY1395" t="s">
        <v>21313</v>
      </c>
      <c r="DZ1395" t="s">
        <v>21314</v>
      </c>
      <c r="EA1395" t="s">
        <v>13772</v>
      </c>
      <c r="EB1395" t="s">
        <v>19898</v>
      </c>
    </row>
    <row r="1396" spans="1:132" hidden="1">
      <c r="A1396">
        <v>801</v>
      </c>
      <c r="B1396">
        <v>1</v>
      </c>
      <c r="C1396" t="s">
        <v>1965</v>
      </c>
      <c r="D1396" t="s">
        <v>1966</v>
      </c>
      <c r="E1396" t="s">
        <v>73</v>
      </c>
      <c r="F1396" t="s">
        <v>73</v>
      </c>
      <c r="G1396" t="s">
        <v>73</v>
      </c>
      <c r="H1396">
        <v>14.1</v>
      </c>
      <c r="I1396">
        <v>361</v>
      </c>
      <c r="J1396">
        <v>39809</v>
      </c>
      <c r="K1396" t="s">
        <v>1967</v>
      </c>
      <c r="L1396">
        <f t="shared" si="86"/>
        <v>14</v>
      </c>
      <c r="N1396">
        <v>14</v>
      </c>
      <c r="O1396">
        <v>14</v>
      </c>
      <c r="P1396">
        <v>1</v>
      </c>
      <c r="Q1396">
        <v>1</v>
      </c>
      <c r="R1396">
        <v>1</v>
      </c>
      <c r="S1396">
        <v>3</v>
      </c>
      <c r="T1396">
        <v>3</v>
      </c>
      <c r="U1396">
        <v>1</v>
      </c>
      <c r="V1396">
        <v>1</v>
      </c>
      <c r="W1396">
        <v>1</v>
      </c>
      <c r="X1396">
        <v>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3</v>
      </c>
      <c r="AM1396">
        <v>3</v>
      </c>
      <c r="AN1396">
        <v>1</v>
      </c>
      <c r="AO1396">
        <v>1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 s="2">
        <v>1</v>
      </c>
      <c r="BD1396" s="2">
        <v>1</v>
      </c>
      <c r="BE1396" s="2">
        <v>3</v>
      </c>
      <c r="BF1396" s="2">
        <v>3</v>
      </c>
      <c r="BG1396" s="2">
        <v>1</v>
      </c>
      <c r="BH1396" s="2">
        <v>1</v>
      </c>
      <c r="BI1396" s="2">
        <v>1</v>
      </c>
      <c r="BJ1396" s="2">
        <v>3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f t="shared" si="89"/>
        <v>14</v>
      </c>
      <c r="BW1396" s="16">
        <f t="shared" si="87"/>
        <v>0.73684210526315785</v>
      </c>
      <c r="BX1396" s="16">
        <f>COUNTIF($BC$6:BU1396, "=0") / COUNTIF($BC$6:BU1396, "&gt;-1")</f>
        <v>0.36176170116160278</v>
      </c>
      <c r="BY1396" s="18">
        <f>SUM($BC$6:BU1396) / $BY$4</f>
        <v>0.97378706380389546</v>
      </c>
      <c r="BZ1396" s="14">
        <f t="shared" si="88"/>
        <v>11</v>
      </c>
      <c r="CA1396" t="s">
        <v>5832</v>
      </c>
      <c r="CZ1396" t="s">
        <v>8443</v>
      </c>
      <c r="DA1396" t="s">
        <v>5904</v>
      </c>
      <c r="DB1396">
        <v>672.9</v>
      </c>
      <c r="DC1396" t="s">
        <v>21689</v>
      </c>
      <c r="DD1396" t="s">
        <v>21690</v>
      </c>
      <c r="DE1396" t="s">
        <v>21691</v>
      </c>
      <c r="DF1396" t="s">
        <v>21692</v>
      </c>
      <c r="DG1396" t="s">
        <v>21693</v>
      </c>
      <c r="DH1396" t="str">
        <f>"LSAMP"</f>
        <v>LSAMP</v>
      </c>
      <c r="DI1396" t="s">
        <v>21694</v>
      </c>
      <c r="DJ1396" t="s">
        <v>13777</v>
      </c>
      <c r="DK1396">
        <v>9606</v>
      </c>
      <c r="DL1396" s="34" t="str">
        <f>HYPERLINK("http://www.uniprot.org/uniprot/Q13449", "Q13449")</f>
        <v>Q13449</v>
      </c>
      <c r="DM1396" t="s">
        <v>21695</v>
      </c>
      <c r="DN1396" t="s">
        <v>13949</v>
      </c>
      <c r="DO1396" t="s">
        <v>13792</v>
      </c>
      <c r="DP1396" t="s">
        <v>13772</v>
      </c>
      <c r="DQ1396" t="s">
        <v>13772</v>
      </c>
      <c r="DR1396" t="s">
        <v>13772</v>
      </c>
      <c r="DS1396" t="s">
        <v>16182</v>
      </c>
      <c r="DT1396" t="s">
        <v>13772</v>
      </c>
      <c r="DU1396" t="s">
        <v>13772</v>
      </c>
      <c r="DV1396" t="s">
        <v>16276</v>
      </c>
      <c r="DW1396" t="s">
        <v>13772</v>
      </c>
      <c r="DX1396" t="s">
        <v>21696</v>
      </c>
      <c r="DY1396" t="s">
        <v>21697</v>
      </c>
      <c r="DZ1396" t="s">
        <v>13772</v>
      </c>
      <c r="EA1396" t="s">
        <v>13772</v>
      </c>
      <c r="EB1396" t="s">
        <v>16280</v>
      </c>
    </row>
    <row r="1397" spans="1:132" hidden="1">
      <c r="A1397">
        <v>885</v>
      </c>
      <c r="B1397">
        <v>1</v>
      </c>
      <c r="C1397" t="s">
        <v>2163</v>
      </c>
      <c r="D1397" t="s">
        <v>2164</v>
      </c>
      <c r="E1397" t="s">
        <v>73</v>
      </c>
      <c r="F1397" t="s">
        <v>73</v>
      </c>
      <c r="G1397" t="s">
        <v>73</v>
      </c>
      <c r="H1397">
        <v>6.9</v>
      </c>
      <c r="I1397">
        <v>2079</v>
      </c>
      <c r="J1397">
        <v>236419</v>
      </c>
      <c r="K1397" t="s">
        <v>2165</v>
      </c>
      <c r="L1397">
        <f t="shared" si="86"/>
        <v>14</v>
      </c>
      <c r="N1397">
        <v>14</v>
      </c>
      <c r="O1397">
        <v>14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3</v>
      </c>
      <c r="AC1397">
        <v>3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6</v>
      </c>
      <c r="AU1397">
        <v>3</v>
      </c>
      <c r="AV1397">
        <v>3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1</v>
      </c>
      <c r="BI1397" s="2">
        <v>0</v>
      </c>
      <c r="BJ1397" s="2">
        <v>0</v>
      </c>
      <c r="BK1397" s="2">
        <v>0</v>
      </c>
      <c r="BL1397" s="2">
        <v>0</v>
      </c>
      <c r="BM1397" s="2">
        <v>6</v>
      </c>
      <c r="BN1397" s="2">
        <v>3</v>
      </c>
      <c r="BO1397" s="2">
        <v>3</v>
      </c>
      <c r="BP1397" s="2">
        <v>0</v>
      </c>
      <c r="BQ1397" s="2">
        <v>1</v>
      </c>
      <c r="BR1397" s="2">
        <v>0</v>
      </c>
      <c r="BS1397" s="2">
        <v>0</v>
      </c>
      <c r="BT1397" s="2">
        <v>0</v>
      </c>
      <c r="BU1397" s="2">
        <v>0</v>
      </c>
      <c r="BV1397" s="2">
        <f t="shared" si="89"/>
        <v>14</v>
      </c>
      <c r="BW1397" s="16">
        <f t="shared" si="87"/>
        <v>0.73684210526315785</v>
      </c>
      <c r="BX1397" s="16">
        <f>COUNTIF($BC$6:BU1397, "=0") / COUNTIF($BC$6:BU1397, "&gt;-1")</f>
        <v>0.36203115547489412</v>
      </c>
      <c r="BY1397" s="18">
        <f>SUM($BC$6:BU1397) / $BY$4</f>
        <v>0.97384703472005718</v>
      </c>
      <c r="BZ1397" s="14">
        <f t="shared" si="88"/>
        <v>14</v>
      </c>
      <c r="CA1397" t="s">
        <v>5832</v>
      </c>
      <c r="CZ1397" t="s">
        <v>8730</v>
      </c>
      <c r="DA1397" t="s">
        <v>5904</v>
      </c>
      <c r="DB1397">
        <v>3903.6</v>
      </c>
      <c r="DC1397" t="s">
        <v>22505</v>
      </c>
      <c r="DD1397" t="s">
        <v>22506</v>
      </c>
      <c r="DE1397" t="s">
        <v>22507</v>
      </c>
      <c r="DF1397" t="s">
        <v>22508</v>
      </c>
      <c r="DG1397" t="s">
        <v>22509</v>
      </c>
      <c r="DH1397" t="str">
        <f>"MYOF"</f>
        <v>MYOF</v>
      </c>
      <c r="DI1397" t="s">
        <v>22510</v>
      </c>
      <c r="DJ1397" t="s">
        <v>13777</v>
      </c>
      <c r="DK1397">
        <v>9606</v>
      </c>
      <c r="DL1397" s="34" t="str">
        <f>HYPERLINK("http://www.uniprot.org/uniprot/Q9NZM1", "Q9NZM1")</f>
        <v>Q9NZM1</v>
      </c>
      <c r="DM1397" t="s">
        <v>22511</v>
      </c>
      <c r="DN1397" t="s">
        <v>13772</v>
      </c>
      <c r="DO1397" t="s">
        <v>22512</v>
      </c>
      <c r="DP1397" t="s">
        <v>13780</v>
      </c>
      <c r="DQ1397" t="s">
        <v>13772</v>
      </c>
      <c r="DR1397" t="s">
        <v>13772</v>
      </c>
      <c r="DS1397" t="s">
        <v>17249</v>
      </c>
      <c r="DT1397" t="s">
        <v>13772</v>
      </c>
      <c r="DU1397" t="s">
        <v>13772</v>
      </c>
      <c r="DV1397" t="s">
        <v>13886</v>
      </c>
      <c r="DW1397" t="s">
        <v>13812</v>
      </c>
      <c r="DX1397" t="s">
        <v>22513</v>
      </c>
      <c r="DY1397" t="s">
        <v>22514</v>
      </c>
      <c r="DZ1397" t="s">
        <v>22515</v>
      </c>
      <c r="EA1397" t="s">
        <v>13772</v>
      </c>
      <c r="EB1397" t="s">
        <v>13772</v>
      </c>
    </row>
    <row r="1398" spans="1:132" hidden="1">
      <c r="A1398">
        <v>889</v>
      </c>
      <c r="B1398">
        <v>1</v>
      </c>
      <c r="C1398" t="s">
        <v>2174</v>
      </c>
      <c r="D1398" t="s">
        <v>73</v>
      </c>
      <c r="E1398" t="s">
        <v>73</v>
      </c>
      <c r="F1398" t="s">
        <v>73</v>
      </c>
      <c r="G1398" t="s">
        <v>73</v>
      </c>
      <c r="H1398">
        <v>31.4</v>
      </c>
      <c r="I1398">
        <v>277</v>
      </c>
      <c r="J1398">
        <v>30693</v>
      </c>
      <c r="K1398" t="s">
        <v>2175</v>
      </c>
      <c r="L1398">
        <f t="shared" si="86"/>
        <v>14</v>
      </c>
      <c r="N1398">
        <v>14</v>
      </c>
      <c r="O1398">
        <v>14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3</v>
      </c>
      <c r="Z1398">
        <v>0</v>
      </c>
      <c r="AA1398">
        <v>4</v>
      </c>
      <c r="AB1398">
        <v>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3</v>
      </c>
      <c r="AS1398">
        <v>0</v>
      </c>
      <c r="AT1398">
        <v>4</v>
      </c>
      <c r="AU1398">
        <v>6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0</v>
      </c>
      <c r="BJ1398" s="2">
        <v>0</v>
      </c>
      <c r="BK1398" s="2">
        <v>3</v>
      </c>
      <c r="BL1398" s="2">
        <v>0</v>
      </c>
      <c r="BM1398" s="2">
        <v>4</v>
      </c>
      <c r="BN1398" s="2">
        <v>6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f t="shared" si="89"/>
        <v>14</v>
      </c>
      <c r="BW1398" s="16">
        <f t="shared" si="87"/>
        <v>0.73684210526315785</v>
      </c>
      <c r="BX1398" s="16">
        <f>COUNTIF($BC$6:BU1398, "=0") / COUNTIF($BC$6:BU1398, "&gt;-1")</f>
        <v>0.36233800581856651</v>
      </c>
      <c r="BY1398" s="18">
        <f>SUM($BC$6:BU1398) / $BY$4</f>
        <v>0.97390700563621901</v>
      </c>
      <c r="BZ1398" s="14">
        <f t="shared" si="88"/>
        <v>15</v>
      </c>
      <c r="CA1398" t="s">
        <v>5832</v>
      </c>
      <c r="CZ1398" t="s">
        <v>8744</v>
      </c>
      <c r="DA1398" t="s">
        <v>5904</v>
      </c>
      <c r="DB1398">
        <v>488.4</v>
      </c>
      <c r="DC1398" t="s">
        <v>22548</v>
      </c>
      <c r="DD1398" t="s">
        <v>22549</v>
      </c>
      <c r="DE1398" t="s">
        <v>22550</v>
      </c>
      <c r="DF1398" t="s">
        <v>22551</v>
      </c>
      <c r="DG1398" t="s">
        <v>22552</v>
      </c>
      <c r="DH1398" t="str">
        <f>"CBR3"</f>
        <v>CBR3</v>
      </c>
      <c r="DI1398" t="s">
        <v>13772</v>
      </c>
      <c r="DJ1398" t="s">
        <v>13777</v>
      </c>
      <c r="DK1398">
        <v>9606</v>
      </c>
      <c r="DL1398" s="34" t="str">
        <f>HYPERLINK("http://www.uniprot.org/uniprot/O75828", "O75828")</f>
        <v>O75828</v>
      </c>
      <c r="DM1398" t="s">
        <v>17048</v>
      </c>
      <c r="DN1398" t="s">
        <v>13772</v>
      </c>
      <c r="DO1398" t="s">
        <v>13899</v>
      </c>
      <c r="DP1398" t="s">
        <v>13793</v>
      </c>
      <c r="DQ1398" t="s">
        <v>13772</v>
      </c>
      <c r="DR1398" t="s">
        <v>13772</v>
      </c>
      <c r="DS1398" t="s">
        <v>13772</v>
      </c>
      <c r="DT1398" t="s">
        <v>15759</v>
      </c>
      <c r="DU1398" t="s">
        <v>13885</v>
      </c>
      <c r="DV1398" t="s">
        <v>13886</v>
      </c>
      <c r="DW1398" t="s">
        <v>13812</v>
      </c>
      <c r="DX1398" t="s">
        <v>22553</v>
      </c>
      <c r="DY1398" t="s">
        <v>22554</v>
      </c>
      <c r="DZ1398" t="s">
        <v>22555</v>
      </c>
      <c r="EA1398" t="s">
        <v>13772</v>
      </c>
      <c r="EB1398" t="s">
        <v>22556</v>
      </c>
    </row>
    <row r="1399" spans="1:132" hidden="1">
      <c r="A1399">
        <v>930</v>
      </c>
      <c r="B1399">
        <v>1</v>
      </c>
      <c r="C1399" t="s">
        <v>2262</v>
      </c>
      <c r="D1399" t="s">
        <v>2263</v>
      </c>
      <c r="E1399" t="s">
        <v>73</v>
      </c>
      <c r="F1399" t="s">
        <v>73</v>
      </c>
      <c r="G1399" t="s">
        <v>73</v>
      </c>
      <c r="H1399">
        <v>11.5</v>
      </c>
      <c r="I1399">
        <v>899</v>
      </c>
      <c r="J1399">
        <v>97787</v>
      </c>
      <c r="K1399" t="s">
        <v>2264</v>
      </c>
      <c r="L1399">
        <f t="shared" si="86"/>
        <v>14</v>
      </c>
      <c r="N1399">
        <v>14</v>
      </c>
      <c r="O1399">
        <v>14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7</v>
      </c>
      <c r="Z1399">
        <v>0</v>
      </c>
      <c r="AA1399">
        <v>2</v>
      </c>
      <c r="AB1399">
        <v>0</v>
      </c>
      <c r="AC1399">
        <v>2</v>
      </c>
      <c r="AD1399">
        <v>0</v>
      </c>
      <c r="AE1399">
        <v>1</v>
      </c>
      <c r="AF1399">
        <v>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7</v>
      </c>
      <c r="AS1399">
        <v>0</v>
      </c>
      <c r="AT1399">
        <v>2</v>
      </c>
      <c r="AU1399">
        <v>0</v>
      </c>
      <c r="AV1399">
        <v>2</v>
      </c>
      <c r="AW1399">
        <v>0</v>
      </c>
      <c r="AX1399">
        <v>1</v>
      </c>
      <c r="AY1399">
        <v>2</v>
      </c>
      <c r="AZ1399">
        <v>0</v>
      </c>
      <c r="BA1399">
        <v>0</v>
      </c>
      <c r="BB1399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7</v>
      </c>
      <c r="BL1399" s="2">
        <v>0</v>
      </c>
      <c r="BM1399" s="2">
        <v>2</v>
      </c>
      <c r="BN1399" s="2">
        <v>0</v>
      </c>
      <c r="BO1399" s="2">
        <v>2</v>
      </c>
      <c r="BP1399" s="2">
        <v>0</v>
      </c>
      <c r="BQ1399" s="2">
        <v>1</v>
      </c>
      <c r="BR1399" s="2">
        <v>2</v>
      </c>
      <c r="BS1399" s="2">
        <v>0</v>
      </c>
      <c r="BT1399" s="2">
        <v>0</v>
      </c>
      <c r="BU1399" s="2">
        <v>0</v>
      </c>
      <c r="BV1399" s="2">
        <f t="shared" si="89"/>
        <v>14</v>
      </c>
      <c r="BW1399" s="16">
        <f t="shared" si="87"/>
        <v>0.73684210526315785</v>
      </c>
      <c r="BX1399" s="16">
        <f>COUNTIF($BC$6:BU1399, "=0") / COUNTIF($BC$6:BU1399, "&gt;-1")</f>
        <v>0.36260666012232878</v>
      </c>
      <c r="BY1399" s="18">
        <f>SUM($BC$6:BU1399) / $BY$4</f>
        <v>0.97396697655238085</v>
      </c>
      <c r="BZ1399" s="14">
        <f t="shared" si="88"/>
        <v>14</v>
      </c>
      <c r="CA1399" t="s">
        <v>5832</v>
      </c>
      <c r="CZ1399" t="s">
        <v>8882</v>
      </c>
      <c r="DA1399" t="s">
        <v>6054</v>
      </c>
      <c r="DB1399">
        <v>323.89999999999998</v>
      </c>
      <c r="DC1399" t="s">
        <v>22947</v>
      </c>
      <c r="DD1399" t="s">
        <v>22948</v>
      </c>
      <c r="DE1399" t="s">
        <v>22949</v>
      </c>
      <c r="DF1399" t="s">
        <v>22950</v>
      </c>
      <c r="DG1399" t="s">
        <v>22951</v>
      </c>
      <c r="DH1399" t="str">
        <f>"LRRFIP1"</f>
        <v>LRRFIP1</v>
      </c>
      <c r="DI1399" t="s">
        <v>22952</v>
      </c>
      <c r="DJ1399" t="s">
        <v>13777</v>
      </c>
      <c r="DK1399">
        <v>9606</v>
      </c>
      <c r="DL1399" s="34" t="str">
        <f>HYPERLINK("http://www.uniprot.org/uniprot/Q32MZ4", "Q32MZ4")</f>
        <v>Q32MZ4</v>
      </c>
      <c r="DM1399" t="s">
        <v>22953</v>
      </c>
      <c r="DN1399" t="s">
        <v>14445</v>
      </c>
      <c r="DO1399" t="s">
        <v>13912</v>
      </c>
      <c r="DP1399" t="s">
        <v>13780</v>
      </c>
      <c r="DQ1399" t="s">
        <v>13772</v>
      </c>
      <c r="DR1399" t="s">
        <v>13772</v>
      </c>
      <c r="DS1399" t="s">
        <v>14245</v>
      </c>
      <c r="DT1399" t="s">
        <v>13772</v>
      </c>
      <c r="DU1399" t="s">
        <v>22954</v>
      </c>
      <c r="DV1399" t="s">
        <v>13991</v>
      </c>
      <c r="DW1399" t="s">
        <v>13812</v>
      </c>
      <c r="DX1399" t="s">
        <v>22955</v>
      </c>
      <c r="DY1399" t="s">
        <v>22956</v>
      </c>
      <c r="DZ1399" t="s">
        <v>22957</v>
      </c>
      <c r="EA1399" t="s">
        <v>13772</v>
      </c>
      <c r="EB1399" t="s">
        <v>22958</v>
      </c>
    </row>
    <row r="1400" spans="1:132" hidden="1">
      <c r="A1400">
        <v>1079</v>
      </c>
      <c r="B1400">
        <v>1</v>
      </c>
      <c r="C1400" t="s">
        <v>2594</v>
      </c>
      <c r="D1400" t="s">
        <v>2595</v>
      </c>
      <c r="E1400" t="s">
        <v>73</v>
      </c>
      <c r="F1400" t="s">
        <v>73</v>
      </c>
      <c r="G1400" t="s">
        <v>73</v>
      </c>
      <c r="H1400">
        <v>6.6</v>
      </c>
      <c r="I1400">
        <v>1100</v>
      </c>
      <c r="J1400">
        <v>122130</v>
      </c>
      <c r="K1400" t="s">
        <v>2596</v>
      </c>
      <c r="L1400">
        <f t="shared" si="86"/>
        <v>14</v>
      </c>
      <c r="N1400">
        <v>14</v>
      </c>
      <c r="O1400">
        <v>14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2</v>
      </c>
      <c r="W1400">
        <v>0</v>
      </c>
      <c r="X1400">
        <v>0</v>
      </c>
      <c r="Y1400">
        <v>1</v>
      </c>
      <c r="Z1400">
        <v>0</v>
      </c>
      <c r="AA1400">
        <v>3</v>
      </c>
      <c r="AB1400">
        <v>1</v>
      </c>
      <c r="AC1400">
        <v>1</v>
      </c>
      <c r="AD1400">
        <v>0</v>
      </c>
      <c r="AE1400">
        <v>1</v>
      </c>
      <c r="AF1400">
        <v>2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</v>
      </c>
      <c r="AO1400">
        <v>2</v>
      </c>
      <c r="AP1400">
        <v>0</v>
      </c>
      <c r="AQ1400">
        <v>0</v>
      </c>
      <c r="AR1400">
        <v>1</v>
      </c>
      <c r="AS1400">
        <v>0</v>
      </c>
      <c r="AT1400">
        <v>3</v>
      </c>
      <c r="AU1400">
        <v>1</v>
      </c>
      <c r="AV1400">
        <v>1</v>
      </c>
      <c r="AW1400">
        <v>0</v>
      </c>
      <c r="AX1400">
        <v>1</v>
      </c>
      <c r="AY1400">
        <v>2</v>
      </c>
      <c r="AZ1400">
        <v>1</v>
      </c>
      <c r="BA1400">
        <v>0</v>
      </c>
      <c r="BB1400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2</v>
      </c>
      <c r="BH1400" s="2">
        <v>2</v>
      </c>
      <c r="BI1400" s="2">
        <v>0</v>
      </c>
      <c r="BJ1400" s="2">
        <v>0</v>
      </c>
      <c r="BK1400" s="2">
        <v>1</v>
      </c>
      <c r="BL1400" s="2">
        <v>0</v>
      </c>
      <c r="BM1400" s="2">
        <v>3</v>
      </c>
      <c r="BN1400" s="2">
        <v>1</v>
      </c>
      <c r="BO1400" s="2">
        <v>1</v>
      </c>
      <c r="BP1400" s="2">
        <v>0</v>
      </c>
      <c r="BQ1400" s="2">
        <v>1</v>
      </c>
      <c r="BR1400" s="2">
        <v>2</v>
      </c>
      <c r="BS1400" s="2">
        <v>1</v>
      </c>
      <c r="BT1400" s="2">
        <v>0</v>
      </c>
      <c r="BU1400" s="2">
        <v>0</v>
      </c>
      <c r="BV1400" s="2">
        <f t="shared" si="89"/>
        <v>14</v>
      </c>
      <c r="BW1400" s="16">
        <f t="shared" si="87"/>
        <v>0.73684210526315785</v>
      </c>
      <c r="BX1400" s="16">
        <f>COUNTIF($BC$6:BU1400, "=0") / COUNTIF($BC$6:BU1400, "&gt;-1")</f>
        <v>0.36272401433691759</v>
      </c>
      <c r="BY1400" s="18">
        <f>SUM($BC$6:BU1400) / $BY$4</f>
        <v>0.97402694746854268</v>
      </c>
      <c r="BZ1400" s="14">
        <f t="shared" si="88"/>
        <v>10</v>
      </c>
      <c r="CA1400" t="s">
        <v>5832</v>
      </c>
      <c r="CZ1400" t="s">
        <v>9327</v>
      </c>
      <c r="DA1400" t="s">
        <v>5904</v>
      </c>
      <c r="DB1400">
        <v>1922.9</v>
      </c>
      <c r="DC1400" t="s">
        <v>24219</v>
      </c>
      <c r="DD1400" t="s">
        <v>24220</v>
      </c>
      <c r="DE1400" t="s">
        <v>24221</v>
      </c>
      <c r="DF1400" t="s">
        <v>24222</v>
      </c>
      <c r="DG1400" t="s">
        <v>24223</v>
      </c>
      <c r="DH1400" t="str">
        <f>"ESYT1"</f>
        <v>ESYT1</v>
      </c>
      <c r="DI1400" t="s">
        <v>13772</v>
      </c>
      <c r="DJ1400" t="s">
        <v>13777</v>
      </c>
      <c r="DK1400">
        <v>9606</v>
      </c>
      <c r="DL1400" s="34" t="str">
        <f>HYPERLINK("http://www.uniprot.org/uniprot/Q9BSJ8", "Q9BSJ8")</f>
        <v>Q9BSJ8</v>
      </c>
      <c r="DM1400" t="s">
        <v>24224</v>
      </c>
      <c r="DN1400" t="s">
        <v>13898</v>
      </c>
      <c r="DO1400" t="s">
        <v>24225</v>
      </c>
      <c r="DP1400" t="s">
        <v>13780</v>
      </c>
      <c r="DQ1400" t="s">
        <v>13772</v>
      </c>
      <c r="DR1400" t="s">
        <v>13772</v>
      </c>
      <c r="DS1400" t="s">
        <v>24226</v>
      </c>
      <c r="DT1400" t="s">
        <v>24227</v>
      </c>
      <c r="DU1400" t="s">
        <v>13772</v>
      </c>
      <c r="DV1400" t="s">
        <v>13886</v>
      </c>
      <c r="DW1400" t="s">
        <v>13772</v>
      </c>
      <c r="DX1400" t="s">
        <v>24228</v>
      </c>
      <c r="DY1400" t="s">
        <v>24229</v>
      </c>
      <c r="DZ1400" t="s">
        <v>24230</v>
      </c>
      <c r="EA1400" t="s">
        <v>13772</v>
      </c>
      <c r="EB1400" t="s">
        <v>13862</v>
      </c>
    </row>
    <row r="1401" spans="1:132" hidden="1">
      <c r="A1401">
        <v>1124</v>
      </c>
      <c r="B1401">
        <v>1</v>
      </c>
      <c r="C1401" t="s">
        <v>2704</v>
      </c>
      <c r="D1401" t="s">
        <v>2705</v>
      </c>
      <c r="E1401" t="s">
        <v>73</v>
      </c>
      <c r="F1401" t="s">
        <v>73</v>
      </c>
      <c r="G1401" t="s">
        <v>73</v>
      </c>
      <c r="H1401">
        <v>30.3</v>
      </c>
      <c r="I1401">
        <v>195</v>
      </c>
      <c r="J1401">
        <v>22149</v>
      </c>
      <c r="K1401" t="s">
        <v>2706</v>
      </c>
      <c r="L1401">
        <f t="shared" si="86"/>
        <v>14</v>
      </c>
      <c r="N1401">
        <v>14</v>
      </c>
      <c r="O1401">
        <v>14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2</v>
      </c>
      <c r="AB1401">
        <v>1</v>
      </c>
      <c r="AC1401">
        <v>1</v>
      </c>
      <c r="AD1401">
        <v>0</v>
      </c>
      <c r="AE1401">
        <v>2</v>
      </c>
      <c r="AF1401">
        <v>5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3</v>
      </c>
      <c r="AS1401">
        <v>0</v>
      </c>
      <c r="AT1401">
        <v>2</v>
      </c>
      <c r="AU1401">
        <v>1</v>
      </c>
      <c r="AV1401">
        <v>1</v>
      </c>
      <c r="AW1401">
        <v>0</v>
      </c>
      <c r="AX1401">
        <v>2</v>
      </c>
      <c r="AY1401">
        <v>5</v>
      </c>
      <c r="AZ1401">
        <v>0</v>
      </c>
      <c r="BA1401">
        <v>0</v>
      </c>
      <c r="BB1401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3</v>
      </c>
      <c r="BL1401" s="2">
        <v>0</v>
      </c>
      <c r="BM1401" s="2">
        <v>2</v>
      </c>
      <c r="BN1401" s="2">
        <v>1</v>
      </c>
      <c r="BO1401" s="2">
        <v>1</v>
      </c>
      <c r="BP1401" s="2">
        <v>0</v>
      </c>
      <c r="BQ1401" s="2">
        <v>2</v>
      </c>
      <c r="BR1401" s="2">
        <v>5</v>
      </c>
      <c r="BS1401" s="2">
        <v>0</v>
      </c>
      <c r="BT1401" s="2">
        <v>0</v>
      </c>
      <c r="BU1401" s="2">
        <v>0</v>
      </c>
      <c r="BV1401" s="2">
        <f t="shared" si="89"/>
        <v>14</v>
      </c>
      <c r="BW1401" s="16">
        <f t="shared" si="87"/>
        <v>0.73684210526315785</v>
      </c>
      <c r="BX1401" s="16">
        <f>COUNTIF($BC$6:BU1401, "=0") / COUNTIF($BC$6:BU1401, "&gt;-1")</f>
        <v>0.36295430553461017</v>
      </c>
      <c r="BY1401" s="18">
        <f>SUM($BC$6:BU1401) / $BY$4</f>
        <v>0.9740869183847044</v>
      </c>
      <c r="BZ1401" s="14">
        <f t="shared" si="88"/>
        <v>13</v>
      </c>
      <c r="CA1401" t="s">
        <v>5832</v>
      </c>
      <c r="CZ1401" t="s">
        <v>9481</v>
      </c>
      <c r="DA1401" t="s">
        <v>5904</v>
      </c>
      <c r="DB1401">
        <v>344.7</v>
      </c>
      <c r="DC1401" t="s">
        <v>13772</v>
      </c>
      <c r="DD1401" t="s">
        <v>13772</v>
      </c>
      <c r="DE1401" t="s">
        <v>13772</v>
      </c>
      <c r="DF1401" t="s">
        <v>13772</v>
      </c>
      <c r="DG1401" t="s">
        <v>13772</v>
      </c>
      <c r="DH1401" t="s">
        <v>13772</v>
      </c>
      <c r="DI1401" t="s">
        <v>13772</v>
      </c>
      <c r="DJ1401" t="s">
        <v>13772</v>
      </c>
      <c r="DK1401" t="s">
        <v>13772</v>
      </c>
      <c r="DL1401" s="34" t="s">
        <v>13772</v>
      </c>
      <c r="DM1401" t="s">
        <v>13772</v>
      </c>
      <c r="DN1401" t="s">
        <v>13772</v>
      </c>
      <c r="DO1401" t="s">
        <v>13772</v>
      </c>
      <c r="DP1401" t="s">
        <v>13772</v>
      </c>
      <c r="DQ1401" t="s">
        <v>13772</v>
      </c>
      <c r="DR1401" t="s">
        <v>13772</v>
      </c>
      <c r="DS1401" t="s">
        <v>13772</v>
      </c>
      <c r="DT1401" t="s">
        <v>13772</v>
      </c>
      <c r="DU1401" t="s">
        <v>13772</v>
      </c>
      <c r="DV1401" t="s">
        <v>13772</v>
      </c>
      <c r="DW1401" t="s">
        <v>13772</v>
      </c>
      <c r="DX1401" t="s">
        <v>13772</v>
      </c>
      <c r="DY1401" t="s">
        <v>13772</v>
      </c>
      <c r="DZ1401" t="s">
        <v>13772</v>
      </c>
      <c r="EA1401" t="s">
        <v>13772</v>
      </c>
      <c r="EB1401" t="s">
        <v>13772</v>
      </c>
    </row>
    <row r="1402" spans="1:132" hidden="1">
      <c r="A1402">
        <v>1162</v>
      </c>
      <c r="B1402">
        <v>1</v>
      </c>
      <c r="C1402" t="s">
        <v>2791</v>
      </c>
      <c r="D1402" t="s">
        <v>73</v>
      </c>
      <c r="E1402" t="s">
        <v>73</v>
      </c>
      <c r="F1402" t="s">
        <v>73</v>
      </c>
      <c r="G1402" t="s">
        <v>73</v>
      </c>
      <c r="H1402">
        <v>21.1</v>
      </c>
      <c r="I1402">
        <v>327</v>
      </c>
      <c r="J1402">
        <v>36711</v>
      </c>
      <c r="K1402" t="s">
        <v>2792</v>
      </c>
      <c r="L1402">
        <f t="shared" si="86"/>
        <v>14</v>
      </c>
      <c r="N1402">
        <v>14</v>
      </c>
      <c r="O1402">
        <v>14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9</v>
      </c>
      <c r="Y1402">
        <v>0</v>
      </c>
      <c r="Z1402">
        <v>0</v>
      </c>
      <c r="AA1402">
        <v>3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9</v>
      </c>
      <c r="AR1402">
        <v>0</v>
      </c>
      <c r="AS1402">
        <v>0</v>
      </c>
      <c r="AT1402">
        <v>3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9</v>
      </c>
      <c r="BK1402" s="2">
        <v>0</v>
      </c>
      <c r="BL1402" s="2">
        <v>0</v>
      </c>
      <c r="BM1402" s="2">
        <v>3</v>
      </c>
      <c r="BN1402" s="2">
        <v>1</v>
      </c>
      <c r="BO1402" s="2">
        <v>0</v>
      </c>
      <c r="BP1402" s="2">
        <v>0</v>
      </c>
      <c r="BQ1402" s="2">
        <v>0</v>
      </c>
      <c r="BR1402" s="2">
        <v>1</v>
      </c>
      <c r="BS1402" s="2">
        <v>0</v>
      </c>
      <c r="BT1402" s="2">
        <v>0</v>
      </c>
      <c r="BU1402" s="2">
        <v>0</v>
      </c>
      <c r="BV1402" s="2">
        <f t="shared" si="89"/>
        <v>14</v>
      </c>
      <c r="BW1402" s="16">
        <f t="shared" si="87"/>
        <v>0.73684210526315785</v>
      </c>
      <c r="BX1402" s="16">
        <f>COUNTIF($BC$6:BU1402, "=0") / COUNTIF($BC$6:BU1402, "&gt;-1")</f>
        <v>0.36325961647138605</v>
      </c>
      <c r="BY1402" s="18">
        <f>SUM($BC$6:BU1402) / $BY$4</f>
        <v>0.97414688930086624</v>
      </c>
      <c r="BZ1402" s="14">
        <f t="shared" si="88"/>
        <v>15</v>
      </c>
      <c r="CA1402" t="s">
        <v>5832</v>
      </c>
      <c r="CZ1402" t="s">
        <v>9594</v>
      </c>
      <c r="DA1402" t="s">
        <v>5904</v>
      </c>
      <c r="DB1402">
        <v>634.79999999999995</v>
      </c>
      <c r="DC1402" t="s">
        <v>24984</v>
      </c>
      <c r="DD1402" t="s">
        <v>24985</v>
      </c>
      <c r="DE1402" t="s">
        <v>24986</v>
      </c>
      <c r="DF1402" t="s">
        <v>24987</v>
      </c>
      <c r="DG1402" t="s">
        <v>24988</v>
      </c>
      <c r="DH1402" t="str">
        <f>"ANXA8"</f>
        <v>ANXA8</v>
      </c>
      <c r="DI1402" t="s">
        <v>24989</v>
      </c>
      <c r="DJ1402" t="s">
        <v>13777</v>
      </c>
      <c r="DK1402">
        <v>9606</v>
      </c>
      <c r="DL1402" s="34" t="str">
        <f>HYPERLINK("http://www.uniprot.org/uniprot/P13928", "P13928")</f>
        <v>P13928</v>
      </c>
      <c r="DM1402" t="s">
        <v>24990</v>
      </c>
      <c r="DN1402" t="s">
        <v>16755</v>
      </c>
      <c r="DO1402" t="s">
        <v>13772</v>
      </c>
      <c r="DP1402" t="s">
        <v>13780</v>
      </c>
      <c r="DQ1402" t="s">
        <v>13772</v>
      </c>
      <c r="DR1402" t="s">
        <v>13772</v>
      </c>
      <c r="DS1402" t="s">
        <v>15322</v>
      </c>
      <c r="DT1402" t="s">
        <v>24991</v>
      </c>
      <c r="DU1402" t="s">
        <v>13772</v>
      </c>
      <c r="DV1402" t="s">
        <v>13772</v>
      </c>
      <c r="DW1402" t="s">
        <v>13812</v>
      </c>
      <c r="DX1402" t="s">
        <v>24992</v>
      </c>
      <c r="DY1402" t="s">
        <v>24993</v>
      </c>
      <c r="DZ1402" t="s">
        <v>24994</v>
      </c>
      <c r="EA1402" t="s">
        <v>13772</v>
      </c>
      <c r="EB1402" t="s">
        <v>13772</v>
      </c>
    </row>
    <row r="1403" spans="1:132" hidden="1">
      <c r="A1403">
        <v>1227</v>
      </c>
      <c r="B1403">
        <v>1</v>
      </c>
      <c r="C1403" t="s">
        <v>2948</v>
      </c>
      <c r="D1403" t="s">
        <v>73</v>
      </c>
      <c r="E1403" t="s">
        <v>73</v>
      </c>
      <c r="F1403" t="s">
        <v>73</v>
      </c>
      <c r="G1403" t="s">
        <v>73</v>
      </c>
      <c r="H1403">
        <v>11.8</v>
      </c>
      <c r="I1403">
        <v>399</v>
      </c>
      <c r="J1403">
        <v>45064</v>
      </c>
      <c r="K1403" t="s">
        <v>2949</v>
      </c>
      <c r="L1403">
        <f t="shared" si="86"/>
        <v>14</v>
      </c>
      <c r="N1403">
        <v>14</v>
      </c>
      <c r="O1403">
        <v>14</v>
      </c>
      <c r="P1403">
        <v>1</v>
      </c>
      <c r="Q1403">
        <v>2</v>
      </c>
      <c r="R1403">
        <v>0</v>
      </c>
      <c r="S1403">
        <v>0</v>
      </c>
      <c r="T1403">
        <v>3</v>
      </c>
      <c r="U1403">
        <v>3</v>
      </c>
      <c r="V1403">
        <v>2</v>
      </c>
      <c r="W1403">
        <v>1</v>
      </c>
      <c r="X1403">
        <v>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2</v>
      </c>
      <c r="AK1403">
        <v>0</v>
      </c>
      <c r="AL1403">
        <v>0</v>
      </c>
      <c r="AM1403">
        <v>3</v>
      </c>
      <c r="AN1403">
        <v>3</v>
      </c>
      <c r="AO1403">
        <v>2</v>
      </c>
      <c r="AP1403">
        <v>1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 s="2">
        <v>2</v>
      </c>
      <c r="BD1403" s="2">
        <v>0</v>
      </c>
      <c r="BE1403" s="2">
        <v>0</v>
      </c>
      <c r="BF1403" s="2">
        <v>3</v>
      </c>
      <c r="BG1403" s="2">
        <v>3</v>
      </c>
      <c r="BH1403" s="2">
        <v>2</v>
      </c>
      <c r="BI1403" s="2">
        <v>1</v>
      </c>
      <c r="BJ1403" s="2">
        <v>2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1</v>
      </c>
      <c r="BR1403" s="2">
        <v>0</v>
      </c>
      <c r="BS1403" s="2">
        <v>0</v>
      </c>
      <c r="BT1403" s="2">
        <v>0</v>
      </c>
      <c r="BU1403" s="2">
        <v>0</v>
      </c>
      <c r="BV1403" s="2">
        <f t="shared" si="89"/>
        <v>14</v>
      </c>
      <c r="BW1403" s="16">
        <f t="shared" si="87"/>
        <v>0.73684210526315785</v>
      </c>
      <c r="BX1403" s="16">
        <f>COUNTIF($BC$6:BU1403, "=0") / COUNTIF($BC$6:BU1403, "&gt;-1")</f>
        <v>0.36345154732324375</v>
      </c>
      <c r="BY1403" s="18">
        <f>SUM($BC$6:BU1403) / $BY$4</f>
        <v>0.97420686021702807</v>
      </c>
      <c r="BZ1403" s="14">
        <f t="shared" si="88"/>
        <v>12</v>
      </c>
      <c r="CA1403" t="s">
        <v>5832</v>
      </c>
      <c r="CZ1403" t="s">
        <v>9817</v>
      </c>
      <c r="DA1403" t="s">
        <v>5904</v>
      </c>
      <c r="DB1403">
        <v>687.2</v>
      </c>
      <c r="DC1403" t="s">
        <v>25617</v>
      </c>
      <c r="DD1403" t="s">
        <v>25618</v>
      </c>
      <c r="DE1403" t="s">
        <v>25619</v>
      </c>
      <c r="DF1403" t="s">
        <v>25620</v>
      </c>
      <c r="DG1403" t="s">
        <v>25621</v>
      </c>
      <c r="DH1403" t="str">
        <f>"LIPA"</f>
        <v>LIPA</v>
      </c>
      <c r="DI1403" t="s">
        <v>13772</v>
      </c>
      <c r="DJ1403" t="s">
        <v>13777</v>
      </c>
      <c r="DK1403">
        <v>9606</v>
      </c>
      <c r="DL1403" s="34" t="str">
        <f>HYPERLINK("http://www.uniprot.org/uniprot/P38571", "P38571")</f>
        <v>P38571</v>
      </c>
      <c r="DM1403" t="s">
        <v>25622</v>
      </c>
      <c r="DN1403" t="s">
        <v>17548</v>
      </c>
      <c r="DO1403" t="s">
        <v>13806</v>
      </c>
      <c r="DP1403" t="s">
        <v>13780</v>
      </c>
      <c r="DQ1403" t="s">
        <v>13772</v>
      </c>
      <c r="DR1403" t="s">
        <v>13807</v>
      </c>
      <c r="DS1403" t="s">
        <v>13808</v>
      </c>
      <c r="DT1403" t="s">
        <v>13772</v>
      </c>
      <c r="DU1403" t="s">
        <v>13857</v>
      </c>
      <c r="DV1403" t="s">
        <v>13858</v>
      </c>
      <c r="DW1403" t="s">
        <v>13772</v>
      </c>
      <c r="DX1403" t="s">
        <v>25623</v>
      </c>
      <c r="DY1403" t="s">
        <v>25624</v>
      </c>
      <c r="DZ1403" t="s">
        <v>25625</v>
      </c>
      <c r="EA1403" t="s">
        <v>13772</v>
      </c>
      <c r="EB1403" t="s">
        <v>25626</v>
      </c>
    </row>
    <row r="1404" spans="1:132" hidden="1">
      <c r="A1404">
        <v>1231</v>
      </c>
      <c r="B1404">
        <v>1</v>
      </c>
      <c r="C1404" t="s">
        <v>2955</v>
      </c>
      <c r="D1404" t="s">
        <v>2956</v>
      </c>
      <c r="E1404" t="s">
        <v>73</v>
      </c>
      <c r="F1404" t="s">
        <v>73</v>
      </c>
      <c r="G1404" t="s">
        <v>73</v>
      </c>
      <c r="H1404">
        <v>15</v>
      </c>
      <c r="I1404">
        <v>346</v>
      </c>
      <c r="J1404">
        <v>36926</v>
      </c>
      <c r="K1404" t="s">
        <v>2957</v>
      </c>
      <c r="L1404">
        <f t="shared" si="86"/>
        <v>14</v>
      </c>
      <c r="N1404">
        <v>14</v>
      </c>
      <c r="O1404">
        <v>14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</v>
      </c>
      <c r="Z1404">
        <v>0</v>
      </c>
      <c r="AA1404">
        <v>2</v>
      </c>
      <c r="AB1404">
        <v>5</v>
      </c>
      <c r="AC1404">
        <v>2</v>
      </c>
      <c r="AD1404">
        <v>0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2</v>
      </c>
      <c r="AS1404">
        <v>0</v>
      </c>
      <c r="AT1404">
        <v>2</v>
      </c>
      <c r="AU1404">
        <v>5</v>
      </c>
      <c r="AV1404">
        <v>2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2</v>
      </c>
      <c r="BL1404" s="2">
        <v>0</v>
      </c>
      <c r="BM1404" s="2">
        <v>2</v>
      </c>
      <c r="BN1404" s="2">
        <v>5</v>
      </c>
      <c r="BO1404" s="2">
        <v>2</v>
      </c>
      <c r="BP1404" s="2">
        <v>0</v>
      </c>
      <c r="BQ1404" s="2">
        <v>1</v>
      </c>
      <c r="BR1404" s="2">
        <v>1</v>
      </c>
      <c r="BS1404" s="2">
        <v>1</v>
      </c>
      <c r="BT1404" s="2">
        <v>0</v>
      </c>
      <c r="BU1404" s="2">
        <v>0</v>
      </c>
      <c r="BV1404" s="2">
        <f t="shared" si="89"/>
        <v>14</v>
      </c>
      <c r="BW1404" s="16">
        <f t="shared" si="87"/>
        <v>0.73684210526315785</v>
      </c>
      <c r="BX1404" s="16">
        <f>COUNTIF($BC$6:BU1404, "=0") / COUNTIF($BC$6:BU1404, "&gt;-1")</f>
        <v>0.3636432037921824</v>
      </c>
      <c r="BY1404" s="18">
        <f>SUM($BC$6:BU1404) / $BY$4</f>
        <v>0.9742668311331899</v>
      </c>
      <c r="BZ1404" s="14">
        <f t="shared" si="88"/>
        <v>12</v>
      </c>
      <c r="CA1404" t="s">
        <v>5832</v>
      </c>
      <c r="CZ1404" t="s">
        <v>9833</v>
      </c>
      <c r="DA1404" t="s">
        <v>5904</v>
      </c>
      <c r="DB1404">
        <v>678.3</v>
      </c>
      <c r="DC1404" t="s">
        <v>25653</v>
      </c>
      <c r="DD1404" t="s">
        <v>25654</v>
      </c>
      <c r="DE1404" t="s">
        <v>25655</v>
      </c>
      <c r="DF1404" t="s">
        <v>25656</v>
      </c>
      <c r="DG1404" t="s">
        <v>25657</v>
      </c>
      <c r="DH1404" t="str">
        <f>"HNRNPH3"</f>
        <v>HNRNPH3</v>
      </c>
      <c r="DI1404" t="s">
        <v>25658</v>
      </c>
      <c r="DJ1404" t="s">
        <v>13777</v>
      </c>
      <c r="DK1404">
        <v>9606</v>
      </c>
      <c r="DL1404" s="34" t="str">
        <f>HYPERLINK("http://www.uniprot.org/uniprot/P31942", "P31942")</f>
        <v>P31942</v>
      </c>
      <c r="DM1404" t="s">
        <v>25659</v>
      </c>
      <c r="DN1404" t="s">
        <v>25660</v>
      </c>
      <c r="DO1404" t="s">
        <v>14825</v>
      </c>
      <c r="DP1404" t="s">
        <v>13780</v>
      </c>
      <c r="DQ1404" t="s">
        <v>13772</v>
      </c>
      <c r="DR1404" t="s">
        <v>13772</v>
      </c>
      <c r="DS1404" t="s">
        <v>14096</v>
      </c>
      <c r="DT1404" t="s">
        <v>13772</v>
      </c>
      <c r="DU1404" t="s">
        <v>16089</v>
      </c>
      <c r="DV1404" t="s">
        <v>14663</v>
      </c>
      <c r="DW1404" t="s">
        <v>13772</v>
      </c>
      <c r="DX1404" t="s">
        <v>25661</v>
      </c>
      <c r="DY1404" t="s">
        <v>25662</v>
      </c>
      <c r="DZ1404" t="s">
        <v>14235</v>
      </c>
      <c r="EA1404" t="s">
        <v>13772</v>
      </c>
      <c r="EB1404" t="s">
        <v>13772</v>
      </c>
    </row>
    <row r="1405" spans="1:132" hidden="1">
      <c r="A1405">
        <v>1286</v>
      </c>
      <c r="B1405">
        <v>1</v>
      </c>
      <c r="C1405" t="s">
        <v>3086</v>
      </c>
      <c r="D1405" t="s">
        <v>3087</v>
      </c>
      <c r="E1405" t="s">
        <v>73</v>
      </c>
      <c r="F1405" t="s">
        <v>73</v>
      </c>
      <c r="G1405" t="s">
        <v>73</v>
      </c>
      <c r="H1405">
        <v>2.7</v>
      </c>
      <c r="I1405">
        <v>986</v>
      </c>
      <c r="J1405">
        <v>111453</v>
      </c>
      <c r="K1405" t="s">
        <v>3088</v>
      </c>
      <c r="L1405">
        <f t="shared" si="86"/>
        <v>14</v>
      </c>
      <c r="N1405">
        <v>14</v>
      </c>
      <c r="O1405">
        <v>14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2</v>
      </c>
      <c r="AA1405">
        <v>3</v>
      </c>
      <c r="AB1405">
        <v>1</v>
      </c>
      <c r="AC1405">
        <v>2</v>
      </c>
      <c r="AD1405">
        <v>0</v>
      </c>
      <c r="AE1405">
        <v>1</v>
      </c>
      <c r="AF1405">
        <v>2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</v>
      </c>
      <c r="AS1405">
        <v>2</v>
      </c>
      <c r="AT1405">
        <v>3</v>
      </c>
      <c r="AU1405">
        <v>1</v>
      </c>
      <c r="AV1405">
        <v>2</v>
      </c>
      <c r="AW1405">
        <v>0</v>
      </c>
      <c r="AX1405">
        <v>1</v>
      </c>
      <c r="AY1405">
        <v>2</v>
      </c>
      <c r="AZ1405">
        <v>0</v>
      </c>
      <c r="BA1405">
        <v>0</v>
      </c>
      <c r="BB1405">
        <v>0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2</v>
      </c>
      <c r="BL1405" s="2">
        <v>2</v>
      </c>
      <c r="BM1405" s="2">
        <v>3</v>
      </c>
      <c r="BN1405" s="2">
        <v>1</v>
      </c>
      <c r="BO1405" s="2">
        <v>2</v>
      </c>
      <c r="BP1405" s="2">
        <v>0</v>
      </c>
      <c r="BQ1405" s="2">
        <v>1</v>
      </c>
      <c r="BR1405" s="2">
        <v>2</v>
      </c>
      <c r="BS1405" s="2">
        <v>0</v>
      </c>
      <c r="BT1405" s="2">
        <v>0</v>
      </c>
      <c r="BU1405" s="2">
        <v>0</v>
      </c>
      <c r="BV1405" s="2">
        <f t="shared" si="89"/>
        <v>14</v>
      </c>
      <c r="BW1405" s="16">
        <f t="shared" si="87"/>
        <v>0.73684210526315785</v>
      </c>
      <c r="BX1405" s="16">
        <f>COUNTIF($BC$6:BU1405, "=0") / COUNTIF($BC$6:BU1405, "&gt;-1")</f>
        <v>0.36379699248120301</v>
      </c>
      <c r="BY1405" s="18">
        <f>SUM($BC$6:BU1405) / $BY$4</f>
        <v>0.97432680204935174</v>
      </c>
      <c r="BZ1405" s="14">
        <f t="shared" si="88"/>
        <v>11</v>
      </c>
      <c r="CA1405" t="s">
        <v>5832</v>
      </c>
      <c r="CZ1405" t="s">
        <v>10025</v>
      </c>
      <c r="DA1405" t="s">
        <v>5904</v>
      </c>
      <c r="DB1405">
        <v>1976.8</v>
      </c>
      <c r="DC1405" t="s">
        <v>26206</v>
      </c>
      <c r="DD1405" t="s">
        <v>26207</v>
      </c>
      <c r="DE1405" t="s">
        <v>26208</v>
      </c>
      <c r="DF1405" t="s">
        <v>26209</v>
      </c>
      <c r="DG1405" t="s">
        <v>26210</v>
      </c>
      <c r="DH1405" t="str">
        <f>"BMP1"</f>
        <v>BMP1</v>
      </c>
      <c r="DI1405" t="s">
        <v>26211</v>
      </c>
      <c r="DJ1405" t="s">
        <v>13777</v>
      </c>
      <c r="DK1405">
        <v>9606</v>
      </c>
      <c r="DL1405" s="34" t="str">
        <f>HYPERLINK("http://www.uniprot.org/uniprot/P13497", "P13497")</f>
        <v>P13497</v>
      </c>
      <c r="DM1405" t="s">
        <v>26212</v>
      </c>
      <c r="DN1405" t="s">
        <v>24530</v>
      </c>
      <c r="DO1405" t="s">
        <v>23617</v>
      </c>
      <c r="DP1405" t="s">
        <v>13780</v>
      </c>
      <c r="DQ1405" t="s">
        <v>13772</v>
      </c>
      <c r="DR1405" t="s">
        <v>22058</v>
      </c>
      <c r="DS1405" t="s">
        <v>14768</v>
      </c>
      <c r="DT1405" t="s">
        <v>14628</v>
      </c>
      <c r="DU1405" t="s">
        <v>26213</v>
      </c>
      <c r="DV1405" t="s">
        <v>26214</v>
      </c>
      <c r="DW1405" t="s">
        <v>13812</v>
      </c>
      <c r="DX1405" t="s">
        <v>26215</v>
      </c>
      <c r="DY1405" t="s">
        <v>26216</v>
      </c>
      <c r="DZ1405" t="s">
        <v>26217</v>
      </c>
      <c r="EA1405" t="s">
        <v>13772</v>
      </c>
      <c r="EB1405" t="s">
        <v>26218</v>
      </c>
    </row>
    <row r="1406" spans="1:132" hidden="1">
      <c r="A1406">
        <v>1305</v>
      </c>
      <c r="B1406">
        <v>1</v>
      </c>
      <c r="C1406" t="s">
        <v>3129</v>
      </c>
      <c r="D1406" t="s">
        <v>3130</v>
      </c>
      <c r="E1406" t="s">
        <v>73</v>
      </c>
      <c r="F1406" t="s">
        <v>73</v>
      </c>
      <c r="G1406" t="s">
        <v>73</v>
      </c>
      <c r="H1406">
        <v>20</v>
      </c>
      <c r="I1406">
        <v>470</v>
      </c>
      <c r="J1406">
        <v>53187</v>
      </c>
      <c r="K1406" t="s">
        <v>3131</v>
      </c>
      <c r="L1406">
        <f t="shared" si="86"/>
        <v>14</v>
      </c>
      <c r="N1406">
        <v>14</v>
      </c>
      <c r="O1406">
        <v>14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>
        <v>0</v>
      </c>
      <c r="AA1406">
        <v>4</v>
      </c>
      <c r="AB1406">
        <v>3</v>
      </c>
      <c r="AC1406">
        <v>0</v>
      </c>
      <c r="AD1406">
        <v>0</v>
      </c>
      <c r="AE1406">
        <v>0</v>
      </c>
      <c r="AF1406">
        <v>4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</v>
      </c>
      <c r="AS1406">
        <v>0</v>
      </c>
      <c r="AT1406">
        <v>4</v>
      </c>
      <c r="AU1406">
        <v>3</v>
      </c>
      <c r="AV1406">
        <v>0</v>
      </c>
      <c r="AW1406">
        <v>0</v>
      </c>
      <c r="AX1406">
        <v>0</v>
      </c>
      <c r="AY1406">
        <v>4</v>
      </c>
      <c r="AZ1406">
        <v>0</v>
      </c>
      <c r="BA1406">
        <v>0</v>
      </c>
      <c r="BB1406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3</v>
      </c>
      <c r="BL1406" s="2">
        <v>0</v>
      </c>
      <c r="BM1406" s="2">
        <v>4</v>
      </c>
      <c r="BN1406" s="2">
        <v>3</v>
      </c>
      <c r="BO1406" s="2">
        <v>0</v>
      </c>
      <c r="BP1406" s="2">
        <v>0</v>
      </c>
      <c r="BQ1406" s="2">
        <v>0</v>
      </c>
      <c r="BR1406" s="2">
        <v>4</v>
      </c>
      <c r="BS1406" s="2">
        <v>0</v>
      </c>
      <c r="BT1406" s="2">
        <v>0</v>
      </c>
      <c r="BU1406" s="2">
        <v>0</v>
      </c>
      <c r="BV1406" s="2">
        <f t="shared" si="89"/>
        <v>14</v>
      </c>
      <c r="BW1406" s="16">
        <f t="shared" si="87"/>
        <v>0.73684210526315785</v>
      </c>
      <c r="BX1406" s="16">
        <f>COUNTIF($BC$6:BU1406, "=0") / COUNTIF($BC$6:BU1406, "&gt;-1")</f>
        <v>0.36410083023404333</v>
      </c>
      <c r="BY1406" s="18">
        <f>SUM($BC$6:BU1406) / $BY$4</f>
        <v>0.97438677296551346</v>
      </c>
      <c r="BZ1406" s="14">
        <f t="shared" si="88"/>
        <v>15</v>
      </c>
      <c r="CA1406" t="s">
        <v>5832</v>
      </c>
      <c r="CZ1406" t="s">
        <v>10094</v>
      </c>
      <c r="DA1406" t="s">
        <v>5904</v>
      </c>
      <c r="DB1406">
        <v>765.8</v>
      </c>
      <c r="DC1406" t="s">
        <v>26408</v>
      </c>
      <c r="DD1406" t="s">
        <v>26409</v>
      </c>
      <c r="DE1406" t="s">
        <v>26410</v>
      </c>
      <c r="DF1406" t="s">
        <v>26411</v>
      </c>
      <c r="DG1406" t="s">
        <v>26412</v>
      </c>
      <c r="DH1406" t="str">
        <f>"ADAMDEC1"</f>
        <v>ADAMDEC1</v>
      </c>
      <c r="DI1406" t="s">
        <v>13772</v>
      </c>
      <c r="DJ1406" t="s">
        <v>13777</v>
      </c>
      <c r="DK1406">
        <v>9606</v>
      </c>
      <c r="DL1406" s="34" t="str">
        <f>HYPERLINK("http://www.uniprot.org/uniprot/O15204", "O15204")</f>
        <v>O15204</v>
      </c>
      <c r="DM1406" t="s">
        <v>26413</v>
      </c>
      <c r="DN1406" t="s">
        <v>13772</v>
      </c>
      <c r="DO1406" t="s">
        <v>14321</v>
      </c>
      <c r="DP1406" t="s">
        <v>13780</v>
      </c>
      <c r="DQ1406" t="s">
        <v>13772</v>
      </c>
      <c r="DR1406" t="s">
        <v>13772</v>
      </c>
      <c r="DS1406" t="s">
        <v>13808</v>
      </c>
      <c r="DT1406" t="s">
        <v>13856</v>
      </c>
      <c r="DU1406" t="s">
        <v>15139</v>
      </c>
      <c r="DV1406" t="s">
        <v>15472</v>
      </c>
      <c r="DW1406" t="s">
        <v>13772</v>
      </c>
      <c r="DX1406" t="s">
        <v>26414</v>
      </c>
      <c r="DY1406" t="s">
        <v>18966</v>
      </c>
      <c r="DZ1406" t="s">
        <v>26415</v>
      </c>
      <c r="EA1406" t="s">
        <v>13772</v>
      </c>
      <c r="EB1406" t="s">
        <v>13772</v>
      </c>
    </row>
    <row r="1407" spans="1:132" hidden="1">
      <c r="A1407">
        <v>1451</v>
      </c>
      <c r="B1407">
        <v>1</v>
      </c>
      <c r="C1407" t="s">
        <v>3455</v>
      </c>
      <c r="D1407" t="s">
        <v>73</v>
      </c>
      <c r="E1407" t="s">
        <v>73</v>
      </c>
      <c r="F1407" t="s">
        <v>73</v>
      </c>
      <c r="G1407" t="s">
        <v>73</v>
      </c>
      <c r="H1407">
        <v>21.4</v>
      </c>
      <c r="I1407">
        <v>383</v>
      </c>
      <c r="J1407">
        <v>40522</v>
      </c>
      <c r="K1407" t="s">
        <v>3456</v>
      </c>
      <c r="L1407">
        <f t="shared" si="86"/>
        <v>14</v>
      </c>
      <c r="N1407">
        <v>14</v>
      </c>
      <c r="O1407">
        <v>14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2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2</v>
      </c>
      <c r="AB1407">
        <v>1</v>
      </c>
      <c r="AC1407">
        <v>0</v>
      </c>
      <c r="AD1407">
        <v>0</v>
      </c>
      <c r="AE1407">
        <v>3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2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2</v>
      </c>
      <c r="AU1407">
        <v>1</v>
      </c>
      <c r="AV1407">
        <v>0</v>
      </c>
      <c r="AW1407">
        <v>0</v>
      </c>
      <c r="AX1407">
        <v>3</v>
      </c>
      <c r="AY1407">
        <v>1</v>
      </c>
      <c r="AZ1407">
        <v>0</v>
      </c>
      <c r="BA1407">
        <v>0</v>
      </c>
      <c r="BB1407">
        <v>0</v>
      </c>
      <c r="BC1407" s="2">
        <v>1</v>
      </c>
      <c r="BD1407" s="2">
        <v>1</v>
      </c>
      <c r="BE1407" s="2">
        <v>1</v>
      </c>
      <c r="BF1407" s="2">
        <v>1</v>
      </c>
      <c r="BG1407" s="2">
        <v>2</v>
      </c>
      <c r="BH1407" s="2">
        <v>0</v>
      </c>
      <c r="BI1407" s="2">
        <v>1</v>
      </c>
      <c r="BJ1407" s="2">
        <v>0</v>
      </c>
      <c r="BK1407" s="2">
        <v>0</v>
      </c>
      <c r="BL1407" s="2">
        <v>0</v>
      </c>
      <c r="BM1407" s="2">
        <v>2</v>
      </c>
      <c r="BN1407" s="2">
        <v>1</v>
      </c>
      <c r="BO1407" s="2">
        <v>0</v>
      </c>
      <c r="BP1407" s="2">
        <v>0</v>
      </c>
      <c r="BQ1407" s="2">
        <v>3</v>
      </c>
      <c r="BR1407" s="2">
        <v>1</v>
      </c>
      <c r="BS1407" s="2">
        <v>0</v>
      </c>
      <c r="BT1407" s="2">
        <v>0</v>
      </c>
      <c r="BU1407" s="2">
        <v>0</v>
      </c>
      <c r="BV1407" s="2">
        <f t="shared" si="89"/>
        <v>14</v>
      </c>
      <c r="BW1407" s="16">
        <f t="shared" si="87"/>
        <v>0.73684210526315785</v>
      </c>
      <c r="BX1407" s="16">
        <f>COUNTIF($BC$6:BU1407, "=0") / COUNTIF($BC$6:BU1407, "&gt;-1")</f>
        <v>0.36417899241684809</v>
      </c>
      <c r="BY1407" s="18">
        <f>SUM($BC$6:BU1407) / $BY$4</f>
        <v>0.97444674388167529</v>
      </c>
      <c r="BZ1407" s="14">
        <f t="shared" si="88"/>
        <v>9</v>
      </c>
      <c r="CA1407" t="s">
        <v>5832</v>
      </c>
      <c r="CZ1407" t="s">
        <v>10568</v>
      </c>
      <c r="DA1407" t="s">
        <v>5904</v>
      </c>
      <c r="DB1407">
        <v>678.7</v>
      </c>
      <c r="DC1407" t="s">
        <v>27727</v>
      </c>
      <c r="DD1407" t="s">
        <v>27728</v>
      </c>
      <c r="DE1407" t="s">
        <v>27729</v>
      </c>
      <c r="DF1407" t="s">
        <v>27730</v>
      </c>
      <c r="DG1407" t="s">
        <v>27731</v>
      </c>
      <c r="DH1407" t="str">
        <f>"DLK2"</f>
        <v>DLK2</v>
      </c>
      <c r="DI1407" t="s">
        <v>27732</v>
      </c>
      <c r="DJ1407" t="s">
        <v>13777</v>
      </c>
      <c r="DK1407">
        <v>9606</v>
      </c>
      <c r="DL1407" s="34" t="str">
        <f>HYPERLINK("http://www.uniprot.org/uniprot/Q6UY11", "Q6UY11")</f>
        <v>Q6UY11</v>
      </c>
      <c r="DM1407" t="s">
        <v>27733</v>
      </c>
      <c r="DN1407" t="s">
        <v>13772</v>
      </c>
      <c r="DO1407" t="s">
        <v>13825</v>
      </c>
      <c r="DP1407" t="s">
        <v>13780</v>
      </c>
      <c r="DQ1407" t="s">
        <v>13772</v>
      </c>
      <c r="DR1407" t="s">
        <v>13772</v>
      </c>
      <c r="DS1407" t="s">
        <v>13963</v>
      </c>
      <c r="DT1407" t="s">
        <v>14465</v>
      </c>
      <c r="DU1407" t="s">
        <v>13772</v>
      </c>
      <c r="DV1407" t="s">
        <v>13796</v>
      </c>
      <c r="DW1407" t="s">
        <v>13772</v>
      </c>
      <c r="DX1407" t="s">
        <v>27734</v>
      </c>
      <c r="DY1407" t="s">
        <v>13798</v>
      </c>
      <c r="DZ1407" t="s">
        <v>27735</v>
      </c>
      <c r="EA1407" t="s">
        <v>13772</v>
      </c>
      <c r="EB1407" t="s">
        <v>13772</v>
      </c>
    </row>
    <row r="1408" spans="1:132" hidden="1">
      <c r="A1408">
        <v>1474</v>
      </c>
      <c r="B1408">
        <v>1</v>
      </c>
      <c r="C1408" t="s">
        <v>3507</v>
      </c>
      <c r="D1408" t="s">
        <v>3508</v>
      </c>
      <c r="E1408" t="s">
        <v>73</v>
      </c>
      <c r="F1408" t="s">
        <v>73</v>
      </c>
      <c r="G1408" t="s">
        <v>73</v>
      </c>
      <c r="H1408">
        <v>9</v>
      </c>
      <c r="I1408">
        <v>1092</v>
      </c>
      <c r="J1408">
        <v>121327</v>
      </c>
      <c r="K1408" t="s">
        <v>3509</v>
      </c>
      <c r="L1408">
        <f t="shared" si="86"/>
        <v>14</v>
      </c>
      <c r="N1408">
        <v>14</v>
      </c>
      <c r="O1408">
        <v>14</v>
      </c>
      <c r="P1408">
        <v>1</v>
      </c>
      <c r="Q1408">
        <v>1</v>
      </c>
      <c r="R1408">
        <v>2</v>
      </c>
      <c r="S1408">
        <v>1</v>
      </c>
      <c r="T1408">
        <v>1</v>
      </c>
      <c r="U1408">
        <v>1</v>
      </c>
      <c r="V1408">
        <v>6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1</v>
      </c>
      <c r="AM1408">
        <v>1</v>
      </c>
      <c r="AN1408">
        <v>1</v>
      </c>
      <c r="AO1408">
        <v>6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 s="2">
        <v>1</v>
      </c>
      <c r="BD1408" s="2">
        <v>2</v>
      </c>
      <c r="BE1408" s="2">
        <v>1</v>
      </c>
      <c r="BF1408" s="2">
        <v>1</v>
      </c>
      <c r="BG1408" s="2">
        <v>1</v>
      </c>
      <c r="BH1408" s="2">
        <v>6</v>
      </c>
      <c r="BI1408" s="2">
        <v>0</v>
      </c>
      <c r="BJ1408" s="2">
        <v>1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1</v>
      </c>
      <c r="BS1408" s="2">
        <v>0</v>
      </c>
      <c r="BT1408" s="2">
        <v>0</v>
      </c>
      <c r="BU1408" s="2">
        <v>0</v>
      </c>
      <c r="BV1408" s="2">
        <f t="shared" si="89"/>
        <v>14</v>
      </c>
      <c r="BW1408" s="16">
        <f t="shared" si="87"/>
        <v>0.73684210526315785</v>
      </c>
      <c r="BX1408" s="16">
        <f>COUNTIF($BC$6:BU1408, "=0") / COUNTIF($BC$6:BU1408, "&gt;-1")</f>
        <v>0.36433207037551113</v>
      </c>
      <c r="BY1408" s="18">
        <f>SUM($BC$6:BU1408) / $BY$4</f>
        <v>0.97450671479783713</v>
      </c>
      <c r="BZ1408" s="14">
        <f t="shared" si="88"/>
        <v>11</v>
      </c>
      <c r="CA1408" t="s">
        <v>5832</v>
      </c>
      <c r="CZ1408" t="s">
        <v>10644</v>
      </c>
      <c r="DA1408" t="s">
        <v>5904</v>
      </c>
      <c r="DB1408">
        <v>2058.5</v>
      </c>
      <c r="DC1408" t="s">
        <v>27958</v>
      </c>
      <c r="DD1408" t="s">
        <v>27959</v>
      </c>
      <c r="DE1408" t="s">
        <v>27960</v>
      </c>
      <c r="DF1408" t="s">
        <v>27961</v>
      </c>
      <c r="DG1408" t="s">
        <v>27962</v>
      </c>
      <c r="DH1408" t="str">
        <f>"PTK7"</f>
        <v>PTK7</v>
      </c>
      <c r="DI1408" t="s">
        <v>27963</v>
      </c>
      <c r="DJ1408" t="s">
        <v>13777</v>
      </c>
      <c r="DK1408">
        <v>9606</v>
      </c>
      <c r="DL1408" s="34" t="str">
        <f>HYPERLINK("http://www.uniprot.org/uniprot/Q13308", "Q13308")</f>
        <v>Q13308</v>
      </c>
      <c r="DM1408" t="s">
        <v>27964</v>
      </c>
      <c r="DN1408" t="s">
        <v>20775</v>
      </c>
      <c r="DO1408" t="s">
        <v>27965</v>
      </c>
      <c r="DP1408" t="s">
        <v>13780</v>
      </c>
      <c r="DQ1408" t="s">
        <v>13772</v>
      </c>
      <c r="DR1408" t="s">
        <v>13772</v>
      </c>
      <c r="DS1408" t="s">
        <v>13951</v>
      </c>
      <c r="DT1408" t="s">
        <v>13772</v>
      </c>
      <c r="DU1408" t="s">
        <v>13795</v>
      </c>
      <c r="DV1408" t="s">
        <v>13964</v>
      </c>
      <c r="DW1408" t="s">
        <v>13772</v>
      </c>
      <c r="DX1408" t="s">
        <v>27966</v>
      </c>
      <c r="DY1408" t="s">
        <v>27967</v>
      </c>
      <c r="DZ1408" t="s">
        <v>27968</v>
      </c>
      <c r="EA1408" t="s">
        <v>13772</v>
      </c>
      <c r="EB1408" t="s">
        <v>13772</v>
      </c>
    </row>
    <row r="1409" spans="1:132" hidden="1">
      <c r="A1409">
        <v>1570</v>
      </c>
      <c r="B1409">
        <v>1</v>
      </c>
      <c r="C1409" t="s">
        <v>3722</v>
      </c>
      <c r="D1409" t="s">
        <v>73</v>
      </c>
      <c r="E1409" t="s">
        <v>73</v>
      </c>
      <c r="F1409" t="s">
        <v>73</v>
      </c>
      <c r="G1409" t="s">
        <v>73</v>
      </c>
      <c r="H1409">
        <v>20.3</v>
      </c>
      <c r="I1409">
        <v>831</v>
      </c>
      <c r="J1409">
        <v>92091</v>
      </c>
      <c r="K1409" t="s">
        <v>3723</v>
      </c>
      <c r="L1409">
        <f t="shared" si="86"/>
        <v>14</v>
      </c>
      <c r="N1409">
        <v>14</v>
      </c>
      <c r="O1409">
        <v>14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13</v>
      </c>
      <c r="BA1409">
        <v>0</v>
      </c>
      <c r="BB1409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1</v>
      </c>
      <c r="BS1409" s="2">
        <v>13</v>
      </c>
      <c r="BT1409" s="2">
        <v>0</v>
      </c>
      <c r="BU1409" s="2">
        <v>0</v>
      </c>
      <c r="BV1409" s="2">
        <f t="shared" si="89"/>
        <v>14</v>
      </c>
      <c r="BW1409" s="16">
        <f t="shared" si="87"/>
        <v>0.73684210526315785</v>
      </c>
      <c r="BX1409" s="16">
        <f>COUNTIF($BC$6:BU1409, "=0") / COUNTIF($BC$6:BU1409, "&gt;-1")</f>
        <v>0.36470985155195679</v>
      </c>
      <c r="BY1409" s="18">
        <f>SUM($BC$6:BU1409) / $BY$4</f>
        <v>0.97456668571399896</v>
      </c>
      <c r="BZ1409" s="14">
        <f t="shared" si="88"/>
        <v>17</v>
      </c>
      <c r="CA1409" t="s">
        <v>5832</v>
      </c>
      <c r="CZ1409" t="s">
        <v>10973</v>
      </c>
      <c r="DA1409" t="s">
        <v>5904</v>
      </c>
      <c r="DB1409">
        <v>1376.7</v>
      </c>
      <c r="DC1409" t="s">
        <v>28860</v>
      </c>
      <c r="DD1409" t="s">
        <v>28861</v>
      </c>
      <c r="DE1409" t="s">
        <v>28862</v>
      </c>
      <c r="DF1409" t="s">
        <v>28863</v>
      </c>
      <c r="DG1409" t="s">
        <v>28864</v>
      </c>
      <c r="DH1409" t="str">
        <f>"CDH17"</f>
        <v>CDH17</v>
      </c>
      <c r="DI1409" t="s">
        <v>13772</v>
      </c>
      <c r="DJ1409" t="s">
        <v>13777</v>
      </c>
      <c r="DK1409">
        <v>9606</v>
      </c>
      <c r="DL1409" s="34" t="str">
        <f>HYPERLINK("http://www.uniprot.org/uniprot/Q12864", "Q12864")</f>
        <v>Q12864</v>
      </c>
      <c r="DM1409" t="s">
        <v>28865</v>
      </c>
      <c r="DN1409" t="s">
        <v>28866</v>
      </c>
      <c r="DO1409" t="s">
        <v>13792</v>
      </c>
      <c r="DP1409" t="s">
        <v>13793</v>
      </c>
      <c r="DQ1409" t="s">
        <v>13772</v>
      </c>
      <c r="DR1409" t="s">
        <v>13772</v>
      </c>
      <c r="DS1409" t="s">
        <v>13826</v>
      </c>
      <c r="DT1409" t="s">
        <v>13873</v>
      </c>
      <c r="DU1409" t="s">
        <v>13772</v>
      </c>
      <c r="DV1409" t="s">
        <v>13858</v>
      </c>
      <c r="DW1409" t="s">
        <v>13772</v>
      </c>
      <c r="DX1409" t="s">
        <v>28867</v>
      </c>
      <c r="DY1409" t="s">
        <v>28868</v>
      </c>
      <c r="DZ1409" t="s">
        <v>28869</v>
      </c>
      <c r="EA1409" t="s">
        <v>13772</v>
      </c>
      <c r="EB1409" t="s">
        <v>15361</v>
      </c>
    </row>
    <row r="1410" spans="1:132" hidden="1">
      <c r="A1410">
        <v>1686</v>
      </c>
      <c r="B1410">
        <v>1</v>
      </c>
      <c r="C1410" t="s">
        <v>3999</v>
      </c>
      <c r="D1410" t="s">
        <v>73</v>
      </c>
      <c r="E1410" t="s">
        <v>73</v>
      </c>
      <c r="F1410" t="s">
        <v>73</v>
      </c>
      <c r="G1410" t="s">
        <v>73</v>
      </c>
      <c r="H1410">
        <v>23.2</v>
      </c>
      <c r="I1410">
        <v>246</v>
      </c>
      <c r="J1410">
        <v>28087</v>
      </c>
      <c r="K1410" t="s">
        <v>4000</v>
      </c>
      <c r="L1410">
        <f t="shared" si="86"/>
        <v>14</v>
      </c>
      <c r="N1410">
        <v>14</v>
      </c>
      <c r="O1410">
        <v>14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3</v>
      </c>
      <c r="AB1410">
        <v>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3</v>
      </c>
      <c r="AU1410">
        <v>9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0</v>
      </c>
      <c r="BJ1410" s="2">
        <v>1</v>
      </c>
      <c r="BK1410" s="2">
        <v>0</v>
      </c>
      <c r="BL1410" s="2">
        <v>0</v>
      </c>
      <c r="BM1410" s="2">
        <v>3</v>
      </c>
      <c r="BN1410" s="2">
        <v>9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f t="shared" si="89"/>
        <v>14</v>
      </c>
      <c r="BW1410" s="16">
        <f t="shared" si="87"/>
        <v>0.73684210526315785</v>
      </c>
      <c r="BX1410" s="16">
        <f>COUNTIF($BC$6:BU1410, "=0") / COUNTIF($BC$6:BU1410, "&gt;-1")</f>
        <v>0.36501217456452517</v>
      </c>
      <c r="BY1410" s="18">
        <f>SUM($BC$6:BU1410) / $BY$4</f>
        <v>0.97462665663016068</v>
      </c>
      <c r="BZ1410" s="14">
        <f t="shared" si="88"/>
        <v>15</v>
      </c>
      <c r="CA1410" t="s">
        <v>5832</v>
      </c>
      <c r="CZ1410" t="s">
        <v>11374</v>
      </c>
      <c r="DA1410" t="s">
        <v>5904</v>
      </c>
      <c r="DB1410">
        <v>399.8</v>
      </c>
      <c r="DC1410" t="s">
        <v>29977</v>
      </c>
      <c r="DD1410" t="s">
        <v>29978</v>
      </c>
      <c r="DE1410" t="s">
        <v>29979</v>
      </c>
      <c r="DF1410" t="s">
        <v>29980</v>
      </c>
      <c r="DG1410" t="s">
        <v>29981</v>
      </c>
      <c r="DH1410" t="str">
        <f>"BCAP31"</f>
        <v>BCAP31</v>
      </c>
      <c r="DI1410" t="s">
        <v>29982</v>
      </c>
      <c r="DJ1410" t="s">
        <v>13777</v>
      </c>
      <c r="DK1410">
        <v>9606</v>
      </c>
      <c r="DL1410" s="34" t="str">
        <f>HYPERLINK("http://www.uniprot.org/uniprot/P51572", "P51572")</f>
        <v>P51572</v>
      </c>
      <c r="DM1410" t="s">
        <v>29983</v>
      </c>
      <c r="DN1410" t="s">
        <v>29984</v>
      </c>
      <c r="DO1410" t="s">
        <v>14714</v>
      </c>
      <c r="DP1410" t="s">
        <v>13841</v>
      </c>
      <c r="DQ1410" t="s">
        <v>13772</v>
      </c>
      <c r="DR1410" t="s">
        <v>29985</v>
      </c>
      <c r="DS1410" t="s">
        <v>15628</v>
      </c>
      <c r="DT1410" t="s">
        <v>13772</v>
      </c>
      <c r="DU1410" t="s">
        <v>13772</v>
      </c>
      <c r="DV1410" t="s">
        <v>13772</v>
      </c>
      <c r="DW1410" t="s">
        <v>13812</v>
      </c>
      <c r="DX1410" t="s">
        <v>29986</v>
      </c>
      <c r="DY1410" t="s">
        <v>29987</v>
      </c>
      <c r="DZ1410" t="s">
        <v>29988</v>
      </c>
      <c r="EA1410" t="s">
        <v>13772</v>
      </c>
      <c r="EB1410" t="s">
        <v>29989</v>
      </c>
    </row>
    <row r="1411" spans="1:132" hidden="1">
      <c r="A1411">
        <v>1719</v>
      </c>
      <c r="B1411">
        <v>1</v>
      </c>
      <c r="C1411" t="s">
        <v>4066</v>
      </c>
      <c r="D1411" t="s">
        <v>4067</v>
      </c>
      <c r="E1411" t="s">
        <v>73</v>
      </c>
      <c r="F1411" t="s">
        <v>73</v>
      </c>
      <c r="G1411" t="s">
        <v>73</v>
      </c>
      <c r="H1411">
        <v>13.2</v>
      </c>
      <c r="I1411">
        <v>529</v>
      </c>
      <c r="J1411">
        <v>59122</v>
      </c>
      <c r="K1411" t="s">
        <v>4068</v>
      </c>
      <c r="L1411">
        <f t="shared" si="86"/>
        <v>14</v>
      </c>
      <c r="N1411">
        <v>14</v>
      </c>
      <c r="O1411">
        <v>14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4</v>
      </c>
      <c r="AB1411">
        <v>0</v>
      </c>
      <c r="AC1411">
        <v>3</v>
      </c>
      <c r="AD1411">
        <v>0</v>
      </c>
      <c r="AE1411">
        <v>3</v>
      </c>
      <c r="AF1411">
        <v>3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4</v>
      </c>
      <c r="AU1411">
        <v>0</v>
      </c>
      <c r="AV1411">
        <v>3</v>
      </c>
      <c r="AW1411">
        <v>0</v>
      </c>
      <c r="AX1411">
        <v>3</v>
      </c>
      <c r="AY1411">
        <v>3</v>
      </c>
      <c r="AZ1411">
        <v>0</v>
      </c>
      <c r="BA1411">
        <v>0</v>
      </c>
      <c r="BB1411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1</v>
      </c>
      <c r="BL1411" s="2">
        <v>0</v>
      </c>
      <c r="BM1411" s="2">
        <v>4</v>
      </c>
      <c r="BN1411" s="2">
        <v>0</v>
      </c>
      <c r="BO1411" s="2">
        <v>3</v>
      </c>
      <c r="BP1411" s="2">
        <v>0</v>
      </c>
      <c r="BQ1411" s="2">
        <v>3</v>
      </c>
      <c r="BR1411" s="2">
        <v>3</v>
      </c>
      <c r="BS1411" s="2">
        <v>0</v>
      </c>
      <c r="BT1411" s="2">
        <v>0</v>
      </c>
      <c r="BU1411" s="2">
        <v>0</v>
      </c>
      <c r="BV1411" s="2">
        <f t="shared" si="89"/>
        <v>14</v>
      </c>
      <c r="BW1411" s="16">
        <f t="shared" si="87"/>
        <v>0.73684210526315785</v>
      </c>
      <c r="BX1411" s="16">
        <f>COUNTIF($BC$6:BU1411, "=0") / COUNTIF($BC$6:BU1411, "&gt;-1")</f>
        <v>0.3652766339746949</v>
      </c>
      <c r="BY1411" s="18">
        <f>SUM($BC$6:BU1411) / $BY$4</f>
        <v>0.97468662754632251</v>
      </c>
      <c r="BZ1411" s="14">
        <f t="shared" si="88"/>
        <v>14</v>
      </c>
      <c r="CA1411" t="s">
        <v>5832</v>
      </c>
      <c r="CZ1411" t="s">
        <v>11478</v>
      </c>
      <c r="DA1411" t="s">
        <v>5904</v>
      </c>
      <c r="DB1411">
        <v>800.4</v>
      </c>
      <c r="DC1411" t="s">
        <v>30268</v>
      </c>
      <c r="DD1411" t="s">
        <v>30269</v>
      </c>
      <c r="DE1411" t="s">
        <v>30270</v>
      </c>
      <c r="DF1411" t="s">
        <v>30271</v>
      </c>
      <c r="DG1411" t="s">
        <v>30272</v>
      </c>
      <c r="DH1411" t="str">
        <f>"NCF2"</f>
        <v>NCF2</v>
      </c>
      <c r="DI1411" t="s">
        <v>30273</v>
      </c>
      <c r="DJ1411" t="s">
        <v>13777</v>
      </c>
      <c r="DK1411">
        <v>9606</v>
      </c>
      <c r="DL1411" s="34" t="str">
        <f>HYPERLINK("http://www.uniprot.org/uniprot/P19878", "P19878")</f>
        <v>P19878</v>
      </c>
      <c r="DM1411" t="s">
        <v>30274</v>
      </c>
      <c r="DN1411" t="s">
        <v>13772</v>
      </c>
      <c r="DO1411" t="s">
        <v>13899</v>
      </c>
      <c r="DP1411" t="s">
        <v>13780</v>
      </c>
      <c r="DQ1411" t="s">
        <v>13772</v>
      </c>
      <c r="DR1411" t="s">
        <v>29343</v>
      </c>
      <c r="DS1411" t="s">
        <v>30275</v>
      </c>
      <c r="DT1411" t="s">
        <v>13772</v>
      </c>
      <c r="DU1411" t="s">
        <v>13772</v>
      </c>
      <c r="DV1411" t="s">
        <v>13782</v>
      </c>
      <c r="DW1411" t="s">
        <v>13812</v>
      </c>
      <c r="DX1411" t="s">
        <v>30276</v>
      </c>
      <c r="DY1411" t="s">
        <v>30277</v>
      </c>
      <c r="DZ1411" t="s">
        <v>30278</v>
      </c>
      <c r="EA1411" t="s">
        <v>13772</v>
      </c>
      <c r="EB1411" t="s">
        <v>30041</v>
      </c>
    </row>
    <row r="1412" spans="1:132" hidden="1">
      <c r="A1412">
        <v>2044</v>
      </c>
      <c r="B1412">
        <v>1</v>
      </c>
      <c r="C1412" t="s">
        <v>4804</v>
      </c>
      <c r="D1412" t="s">
        <v>4805</v>
      </c>
      <c r="E1412" t="s">
        <v>73</v>
      </c>
      <c r="F1412" t="s">
        <v>73</v>
      </c>
      <c r="G1412" t="s">
        <v>73</v>
      </c>
      <c r="H1412">
        <v>13.7</v>
      </c>
      <c r="I1412">
        <v>270</v>
      </c>
      <c r="J1412">
        <v>28981</v>
      </c>
      <c r="K1412" t="s">
        <v>4806</v>
      </c>
      <c r="L1412">
        <f t="shared" si="86"/>
        <v>14</v>
      </c>
      <c r="N1412">
        <v>14</v>
      </c>
      <c r="O1412">
        <v>14</v>
      </c>
      <c r="P1412">
        <v>1</v>
      </c>
      <c r="Q1412">
        <v>1</v>
      </c>
      <c r="R1412">
        <v>2</v>
      </c>
      <c r="S1412">
        <v>1</v>
      </c>
      <c r="T1412">
        <v>2</v>
      </c>
      <c r="U1412">
        <v>1</v>
      </c>
      <c r="V1412">
        <v>1</v>
      </c>
      <c r="W1412">
        <v>2</v>
      </c>
      <c r="X1412">
        <v>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2</v>
      </c>
      <c r="AL1412">
        <v>1</v>
      </c>
      <c r="AM1412">
        <v>2</v>
      </c>
      <c r="AN1412">
        <v>1</v>
      </c>
      <c r="AO1412">
        <v>1</v>
      </c>
      <c r="AP1412">
        <v>2</v>
      </c>
      <c r="AQ1412">
        <v>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 s="2">
        <v>1</v>
      </c>
      <c r="BD1412" s="2">
        <v>2</v>
      </c>
      <c r="BE1412" s="2">
        <v>1</v>
      </c>
      <c r="BF1412" s="2">
        <v>2</v>
      </c>
      <c r="BG1412" s="2">
        <v>1</v>
      </c>
      <c r="BH1412" s="2">
        <v>1</v>
      </c>
      <c r="BI1412" s="2">
        <v>2</v>
      </c>
      <c r="BJ1412" s="2">
        <v>2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1</v>
      </c>
      <c r="BR1412" s="2">
        <v>1</v>
      </c>
      <c r="BS1412" s="2">
        <v>0</v>
      </c>
      <c r="BT1412" s="2">
        <v>0</v>
      </c>
      <c r="BU1412" s="2">
        <v>0</v>
      </c>
      <c r="BV1412" s="2">
        <f t="shared" si="89"/>
        <v>14</v>
      </c>
      <c r="BW1412" s="16">
        <f t="shared" si="87"/>
        <v>0.73684210526315785</v>
      </c>
      <c r="BX1412" s="16">
        <f>COUNTIF($BC$6:BU1412, "=0") / COUNTIF($BC$6:BU1412, "&gt;-1")</f>
        <v>0.36535368271424828</v>
      </c>
      <c r="BY1412" s="18">
        <f>SUM($BC$6:BU1412) / $BY$4</f>
        <v>0.97474659846248435</v>
      </c>
      <c r="BZ1412" s="14">
        <f t="shared" si="88"/>
        <v>9</v>
      </c>
      <c r="CA1412" t="s">
        <v>5832</v>
      </c>
      <c r="CZ1412" t="s">
        <v>12565</v>
      </c>
      <c r="DA1412" t="s">
        <v>5904</v>
      </c>
      <c r="DB1412">
        <v>321.2</v>
      </c>
      <c r="DC1412" t="s">
        <v>33346</v>
      </c>
      <c r="DD1412" t="s">
        <v>33347</v>
      </c>
      <c r="DE1412" t="s">
        <v>33348</v>
      </c>
      <c r="DF1412" t="s">
        <v>33349</v>
      </c>
      <c r="DG1412" t="s">
        <v>33350</v>
      </c>
      <c r="DH1412" t="str">
        <f>"OSCAR"</f>
        <v>OSCAR</v>
      </c>
      <c r="DI1412" t="s">
        <v>13772</v>
      </c>
      <c r="DJ1412" t="s">
        <v>13777</v>
      </c>
      <c r="DK1412">
        <v>9606</v>
      </c>
      <c r="DL1412" s="34" t="str">
        <f>HYPERLINK("http://www.uniprot.org/uniprot/Q8IYS5", "Q8IYS5")</f>
        <v>Q8IYS5</v>
      </c>
      <c r="DM1412" t="s">
        <v>33351</v>
      </c>
      <c r="DN1412" t="s">
        <v>13772</v>
      </c>
      <c r="DO1412" t="s">
        <v>14336</v>
      </c>
      <c r="DP1412" t="s">
        <v>13780</v>
      </c>
      <c r="DQ1412" t="s">
        <v>13772</v>
      </c>
      <c r="DR1412" t="s">
        <v>13772</v>
      </c>
      <c r="DS1412" t="s">
        <v>13951</v>
      </c>
      <c r="DT1412" t="s">
        <v>13772</v>
      </c>
      <c r="DU1412" t="s">
        <v>13795</v>
      </c>
      <c r="DV1412" t="s">
        <v>13796</v>
      </c>
      <c r="DW1412" t="s">
        <v>13812</v>
      </c>
      <c r="DX1412" t="s">
        <v>33352</v>
      </c>
      <c r="DY1412" t="s">
        <v>33353</v>
      </c>
      <c r="DZ1412" t="s">
        <v>33354</v>
      </c>
      <c r="EA1412" t="s">
        <v>13772</v>
      </c>
      <c r="EB1412" t="s">
        <v>33355</v>
      </c>
    </row>
    <row r="1413" spans="1:132" hidden="1">
      <c r="A1413">
        <v>2068</v>
      </c>
      <c r="B1413">
        <v>1</v>
      </c>
      <c r="C1413" t="s">
        <v>4860</v>
      </c>
      <c r="D1413" t="s">
        <v>73</v>
      </c>
      <c r="E1413" t="s">
        <v>73</v>
      </c>
      <c r="F1413" t="s">
        <v>73</v>
      </c>
      <c r="G1413" t="s">
        <v>73</v>
      </c>
      <c r="H1413">
        <v>33.9</v>
      </c>
      <c r="I1413">
        <v>274</v>
      </c>
      <c r="J1413">
        <v>29559</v>
      </c>
      <c r="K1413" t="s">
        <v>4861</v>
      </c>
      <c r="L1413">
        <f t="shared" si="86"/>
        <v>14</v>
      </c>
      <c r="N1413">
        <v>14</v>
      </c>
      <c r="O1413">
        <v>14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3</v>
      </c>
      <c r="Z1413">
        <v>0</v>
      </c>
      <c r="AA1413">
        <v>2</v>
      </c>
      <c r="AB1413">
        <v>1</v>
      </c>
      <c r="AC1413">
        <v>1</v>
      </c>
      <c r="AD1413">
        <v>0</v>
      </c>
      <c r="AE1413">
        <v>0</v>
      </c>
      <c r="AF1413">
        <v>5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3</v>
      </c>
      <c r="AS1413">
        <v>0</v>
      </c>
      <c r="AT1413">
        <v>2</v>
      </c>
      <c r="AU1413">
        <v>1</v>
      </c>
      <c r="AV1413">
        <v>1</v>
      </c>
      <c r="AW1413">
        <v>0</v>
      </c>
      <c r="AX1413">
        <v>0</v>
      </c>
      <c r="AY1413">
        <v>5</v>
      </c>
      <c r="AZ1413">
        <v>1</v>
      </c>
      <c r="BA1413">
        <v>0</v>
      </c>
      <c r="BB1413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</v>
      </c>
      <c r="BH1413" s="2">
        <v>0</v>
      </c>
      <c r="BI1413" s="2">
        <v>0</v>
      </c>
      <c r="BJ1413" s="2">
        <v>0</v>
      </c>
      <c r="BK1413" s="2">
        <v>3</v>
      </c>
      <c r="BL1413" s="2">
        <v>0</v>
      </c>
      <c r="BM1413" s="2">
        <v>2</v>
      </c>
      <c r="BN1413" s="2">
        <v>1</v>
      </c>
      <c r="BO1413" s="2">
        <v>1</v>
      </c>
      <c r="BP1413" s="2">
        <v>0</v>
      </c>
      <c r="BQ1413" s="2">
        <v>0</v>
      </c>
      <c r="BR1413" s="2">
        <v>5</v>
      </c>
      <c r="BS1413" s="2">
        <v>1</v>
      </c>
      <c r="BT1413" s="2">
        <v>0</v>
      </c>
      <c r="BU1413" s="2">
        <v>0</v>
      </c>
      <c r="BV1413" s="2">
        <f t="shared" si="89"/>
        <v>14</v>
      </c>
      <c r="BW1413" s="16">
        <f t="shared" si="87"/>
        <v>0.73684210526315785</v>
      </c>
      <c r="BX1413" s="16">
        <f>COUNTIF($BC$6:BU1413, "=0") / COUNTIF($BC$6:BU1413, "&gt;-1")</f>
        <v>0.36554276315789475</v>
      </c>
      <c r="BY1413" s="18">
        <f>SUM($BC$6:BU1413) / $BY$4</f>
        <v>0.97480656937864618</v>
      </c>
      <c r="BZ1413" s="14">
        <f t="shared" si="88"/>
        <v>12</v>
      </c>
      <c r="CA1413" t="s">
        <v>5832</v>
      </c>
      <c r="CZ1413" t="s">
        <v>12645</v>
      </c>
      <c r="DA1413" t="s">
        <v>5904</v>
      </c>
      <c r="DB1413">
        <v>513.5</v>
      </c>
      <c r="DC1413" t="s">
        <v>33575</v>
      </c>
      <c r="DD1413" t="s">
        <v>33576</v>
      </c>
      <c r="DE1413" t="s">
        <v>33577</v>
      </c>
      <c r="DF1413" t="s">
        <v>33578</v>
      </c>
      <c r="DG1413" t="s">
        <v>33579</v>
      </c>
      <c r="DH1413" t="str">
        <f>"UQCRFS1"</f>
        <v>UQCRFS1</v>
      </c>
      <c r="DI1413" t="s">
        <v>13772</v>
      </c>
      <c r="DJ1413" t="s">
        <v>13777</v>
      </c>
      <c r="DK1413">
        <v>9606</v>
      </c>
      <c r="DL1413" s="34" t="str">
        <f>HYPERLINK("http://www.uniprot.org/uniprot/P47985", "P47985")</f>
        <v>P47985</v>
      </c>
      <c r="DM1413" t="s">
        <v>33580</v>
      </c>
      <c r="DN1413" t="s">
        <v>21478</v>
      </c>
      <c r="DO1413" t="s">
        <v>15507</v>
      </c>
      <c r="DP1413" t="s">
        <v>13793</v>
      </c>
      <c r="DQ1413" t="s">
        <v>13772</v>
      </c>
      <c r="DR1413" t="s">
        <v>13772</v>
      </c>
      <c r="DS1413" t="s">
        <v>27043</v>
      </c>
      <c r="DT1413" t="s">
        <v>24796</v>
      </c>
      <c r="DU1413" t="s">
        <v>16605</v>
      </c>
      <c r="DV1413" t="s">
        <v>14506</v>
      </c>
      <c r="DW1413" t="s">
        <v>13812</v>
      </c>
      <c r="DX1413" t="s">
        <v>33581</v>
      </c>
      <c r="DY1413" t="s">
        <v>33582</v>
      </c>
      <c r="DZ1413" t="s">
        <v>33583</v>
      </c>
      <c r="EA1413" t="s">
        <v>13772</v>
      </c>
      <c r="EB1413" t="s">
        <v>16045</v>
      </c>
    </row>
    <row r="1414" spans="1:132" hidden="1">
      <c r="A1414">
        <v>2165</v>
      </c>
      <c r="B1414">
        <v>1</v>
      </c>
      <c r="C1414" t="s">
        <v>5072</v>
      </c>
      <c r="D1414" t="s">
        <v>73</v>
      </c>
      <c r="E1414" t="s">
        <v>73</v>
      </c>
      <c r="F1414" t="s">
        <v>73</v>
      </c>
      <c r="G1414" t="s">
        <v>73</v>
      </c>
      <c r="H1414">
        <v>15.6</v>
      </c>
      <c r="I1414">
        <v>243</v>
      </c>
      <c r="J1414">
        <v>27119</v>
      </c>
      <c r="K1414" t="s">
        <v>5073</v>
      </c>
      <c r="L1414">
        <f t="shared" ref="L1414:L1477" si="90">N1414</f>
        <v>14</v>
      </c>
      <c r="N1414">
        <v>14</v>
      </c>
      <c r="O1414">
        <v>14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6</v>
      </c>
      <c r="AF1414">
        <v>4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6</v>
      </c>
      <c r="AY1414">
        <v>4</v>
      </c>
      <c r="AZ1414">
        <v>0</v>
      </c>
      <c r="BA1414">
        <v>0</v>
      </c>
      <c r="BB1414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1</v>
      </c>
      <c r="BL1414" s="2">
        <v>0</v>
      </c>
      <c r="BM1414" s="2">
        <v>1</v>
      </c>
      <c r="BN1414" s="2">
        <v>0</v>
      </c>
      <c r="BO1414" s="2">
        <v>1</v>
      </c>
      <c r="BP1414" s="2">
        <v>0</v>
      </c>
      <c r="BQ1414" s="2">
        <v>6</v>
      </c>
      <c r="BR1414" s="2">
        <v>4</v>
      </c>
      <c r="BS1414" s="2">
        <v>0</v>
      </c>
      <c r="BT1414" s="2">
        <v>0</v>
      </c>
      <c r="BU1414" s="2">
        <v>0</v>
      </c>
      <c r="BV1414" s="2">
        <f t="shared" si="89"/>
        <v>14</v>
      </c>
      <c r="BW1414" s="16">
        <f t="shared" ref="BW1414:BW1477" si="91">AVERAGE(BC1414:BU1414)</f>
        <v>0.73684210526315785</v>
      </c>
      <c r="BX1414" s="16">
        <f>COUNTIF($BC$6:BU1414, "=0") / COUNTIF($BC$6:BU1414, "&gt;-1")</f>
        <v>0.36576892906503305</v>
      </c>
      <c r="BY1414" s="18">
        <f>SUM($BC$6:BU1414) / $BY$4</f>
        <v>0.9748665402948079</v>
      </c>
      <c r="BZ1414" s="14">
        <f t="shared" ref="BZ1414:BZ1477" si="92">19-COUNTIF(BC1414:BU1414, "&gt;0")</f>
        <v>13</v>
      </c>
      <c r="CA1414" t="s">
        <v>5832</v>
      </c>
      <c r="CZ1414" t="s">
        <v>12965</v>
      </c>
      <c r="DA1414" t="s">
        <v>5904</v>
      </c>
      <c r="DB1414">
        <v>454.9</v>
      </c>
      <c r="DC1414" t="s">
        <v>34452</v>
      </c>
      <c r="DD1414" t="s">
        <v>13772</v>
      </c>
      <c r="DE1414" t="s">
        <v>34453</v>
      </c>
      <c r="DF1414" t="s">
        <v>34454</v>
      </c>
      <c r="DG1414" t="s">
        <v>34455</v>
      </c>
      <c r="DH1414" t="str">
        <f>"VAPB"</f>
        <v>VAPB</v>
      </c>
      <c r="DI1414" t="s">
        <v>13772</v>
      </c>
      <c r="DJ1414" t="s">
        <v>13777</v>
      </c>
      <c r="DK1414">
        <v>9606</v>
      </c>
      <c r="DL1414" s="34" t="str">
        <f>HYPERLINK("http://www.uniprot.org/uniprot/O95292", "O95292")</f>
        <v>O95292</v>
      </c>
      <c r="DM1414" t="s">
        <v>34456</v>
      </c>
      <c r="DN1414" t="s">
        <v>34457</v>
      </c>
      <c r="DO1414" t="s">
        <v>14714</v>
      </c>
      <c r="DP1414" t="s">
        <v>13841</v>
      </c>
      <c r="DQ1414" t="s">
        <v>13772</v>
      </c>
      <c r="DR1414" t="s">
        <v>13989</v>
      </c>
      <c r="DS1414" t="s">
        <v>15628</v>
      </c>
      <c r="DT1414" t="s">
        <v>13772</v>
      </c>
      <c r="DU1414" t="s">
        <v>13772</v>
      </c>
      <c r="DV1414" t="s">
        <v>13991</v>
      </c>
      <c r="DW1414" t="s">
        <v>13812</v>
      </c>
      <c r="DX1414" t="s">
        <v>34458</v>
      </c>
      <c r="DY1414" t="s">
        <v>34459</v>
      </c>
      <c r="DZ1414" t="s">
        <v>34460</v>
      </c>
      <c r="EA1414" t="s">
        <v>13772</v>
      </c>
      <c r="EB1414" t="s">
        <v>34461</v>
      </c>
    </row>
    <row r="1415" spans="1:132" hidden="1">
      <c r="A1415">
        <v>2253</v>
      </c>
      <c r="B1415">
        <v>1</v>
      </c>
      <c r="C1415" t="s">
        <v>5266</v>
      </c>
      <c r="D1415" t="s">
        <v>73</v>
      </c>
      <c r="E1415" t="s">
        <v>73</v>
      </c>
      <c r="F1415" t="s">
        <v>73</v>
      </c>
      <c r="G1415" t="s">
        <v>73</v>
      </c>
      <c r="H1415">
        <v>23.4</v>
      </c>
      <c r="I1415">
        <v>286</v>
      </c>
      <c r="J1415">
        <v>32277</v>
      </c>
      <c r="K1415" t="s">
        <v>5267</v>
      </c>
      <c r="L1415">
        <f t="shared" si="90"/>
        <v>14</v>
      </c>
      <c r="N1415">
        <v>14</v>
      </c>
      <c r="O1415">
        <v>14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3</v>
      </c>
      <c r="V1415">
        <v>3</v>
      </c>
      <c r="W1415">
        <v>0</v>
      </c>
      <c r="X1415">
        <v>3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3</v>
      </c>
      <c r="AO1415">
        <v>3</v>
      </c>
      <c r="AP1415">
        <v>0</v>
      </c>
      <c r="AQ1415">
        <v>3</v>
      </c>
      <c r="AR1415">
        <v>0</v>
      </c>
      <c r="AS1415">
        <v>0</v>
      </c>
      <c r="AT1415">
        <v>2</v>
      </c>
      <c r="AU1415">
        <v>0</v>
      </c>
      <c r="AV1415">
        <v>0</v>
      </c>
      <c r="AW1415">
        <v>0</v>
      </c>
      <c r="AX1415">
        <v>0</v>
      </c>
      <c r="AY1415">
        <v>2</v>
      </c>
      <c r="AZ1415">
        <v>0</v>
      </c>
      <c r="BA1415">
        <v>0</v>
      </c>
      <c r="BB1415">
        <v>0</v>
      </c>
      <c r="BC1415" s="2">
        <v>0</v>
      </c>
      <c r="BD1415" s="2">
        <v>1</v>
      </c>
      <c r="BE1415" s="2">
        <v>0</v>
      </c>
      <c r="BF1415" s="2">
        <v>0</v>
      </c>
      <c r="BG1415" s="2">
        <v>3</v>
      </c>
      <c r="BH1415" s="2">
        <v>3</v>
      </c>
      <c r="BI1415" s="2">
        <v>0</v>
      </c>
      <c r="BJ1415" s="2">
        <v>3</v>
      </c>
      <c r="BK1415" s="2">
        <v>0</v>
      </c>
      <c r="BL1415" s="2">
        <v>0</v>
      </c>
      <c r="BM1415" s="2">
        <v>2</v>
      </c>
      <c r="BN1415" s="2">
        <v>0</v>
      </c>
      <c r="BO1415" s="2">
        <v>0</v>
      </c>
      <c r="BP1415" s="2">
        <v>0</v>
      </c>
      <c r="BQ1415" s="2">
        <v>0</v>
      </c>
      <c r="BR1415" s="2">
        <v>2</v>
      </c>
      <c r="BS1415" s="2">
        <v>0</v>
      </c>
      <c r="BT1415" s="2">
        <v>0</v>
      </c>
      <c r="BU1415" s="2">
        <v>0</v>
      </c>
      <c r="BV1415" s="2">
        <f t="shared" ref="BV1415:BV1478" si="93">SUM(BC1415:BU1415)</f>
        <v>14</v>
      </c>
      <c r="BW1415" s="16">
        <f t="shared" si="91"/>
        <v>0.73684210526315785</v>
      </c>
      <c r="BX1415" s="16">
        <f>COUNTIF($BC$6:BU1415, "=0") / COUNTIF($BC$6:BU1415, "&gt;-1")</f>
        <v>0.36599477416946624</v>
      </c>
      <c r="BY1415" s="18">
        <f>SUM($BC$6:BU1415) / $BY$4</f>
        <v>0.97492651121096974</v>
      </c>
      <c r="BZ1415" s="14">
        <f t="shared" si="92"/>
        <v>13</v>
      </c>
      <c r="CA1415" t="s">
        <v>5832</v>
      </c>
      <c r="CZ1415" t="s">
        <v>13254</v>
      </c>
      <c r="DA1415" t="s">
        <v>5904</v>
      </c>
      <c r="DB1415">
        <v>502.3</v>
      </c>
      <c r="DC1415" t="s">
        <v>35283</v>
      </c>
      <c r="DD1415" t="s">
        <v>35284</v>
      </c>
      <c r="DE1415" t="s">
        <v>35285</v>
      </c>
      <c r="DF1415" t="s">
        <v>35286</v>
      </c>
      <c r="DG1415" t="s">
        <v>35287</v>
      </c>
      <c r="DH1415" t="str">
        <f>"HAAO"</f>
        <v>HAAO</v>
      </c>
      <c r="DI1415" t="s">
        <v>13772</v>
      </c>
      <c r="DJ1415" t="s">
        <v>13777</v>
      </c>
      <c r="DK1415">
        <v>9606</v>
      </c>
      <c r="DL1415" s="34" t="str">
        <f>HYPERLINK("http://www.uniprot.org/uniprot/P46952", "P46952")</f>
        <v>P46952</v>
      </c>
      <c r="DM1415" t="s">
        <v>35288</v>
      </c>
      <c r="DN1415" t="s">
        <v>29555</v>
      </c>
      <c r="DO1415" t="s">
        <v>13899</v>
      </c>
      <c r="DP1415" t="s">
        <v>13780</v>
      </c>
      <c r="DQ1415" t="s">
        <v>13772</v>
      </c>
      <c r="DR1415" t="s">
        <v>13807</v>
      </c>
      <c r="DS1415" t="s">
        <v>13772</v>
      </c>
      <c r="DT1415" t="s">
        <v>17802</v>
      </c>
      <c r="DU1415" t="s">
        <v>14433</v>
      </c>
      <c r="DV1415" t="s">
        <v>13772</v>
      </c>
      <c r="DW1415" t="s">
        <v>13812</v>
      </c>
      <c r="DX1415" t="s">
        <v>35289</v>
      </c>
      <c r="DY1415" t="s">
        <v>14064</v>
      </c>
      <c r="DZ1415" t="s">
        <v>35290</v>
      </c>
      <c r="EA1415" t="s">
        <v>35291</v>
      </c>
      <c r="EB1415" t="s">
        <v>13917</v>
      </c>
    </row>
    <row r="1416" spans="1:132" hidden="1">
      <c r="A1416">
        <v>2266</v>
      </c>
      <c r="B1416">
        <v>1</v>
      </c>
      <c r="C1416" t="s">
        <v>5294</v>
      </c>
      <c r="D1416" t="s">
        <v>5295</v>
      </c>
      <c r="E1416" t="s">
        <v>73</v>
      </c>
      <c r="F1416" t="s">
        <v>73</v>
      </c>
      <c r="G1416" t="s">
        <v>73</v>
      </c>
      <c r="H1416">
        <v>11.5</v>
      </c>
      <c r="I1416">
        <v>757</v>
      </c>
      <c r="J1416">
        <v>80925</v>
      </c>
      <c r="K1416" t="s">
        <v>5296</v>
      </c>
      <c r="L1416">
        <f t="shared" si="90"/>
        <v>14</v>
      </c>
      <c r="N1416">
        <v>14</v>
      </c>
      <c r="O1416">
        <v>14</v>
      </c>
      <c r="P1416">
        <v>1</v>
      </c>
      <c r="Q1416">
        <v>1</v>
      </c>
      <c r="R1416">
        <v>5</v>
      </c>
      <c r="S1416">
        <v>1</v>
      </c>
      <c r="T1416">
        <v>1</v>
      </c>
      <c r="U1416">
        <v>2</v>
      </c>
      <c r="V1416">
        <v>3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5</v>
      </c>
      <c r="AL1416">
        <v>1</v>
      </c>
      <c r="AM1416">
        <v>1</v>
      </c>
      <c r="AN1416">
        <v>2</v>
      </c>
      <c r="AO1416">
        <v>3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 s="2">
        <v>1</v>
      </c>
      <c r="BD1416" s="2">
        <v>5</v>
      </c>
      <c r="BE1416" s="2">
        <v>1</v>
      </c>
      <c r="BF1416" s="2">
        <v>1</v>
      </c>
      <c r="BG1416" s="2">
        <v>2</v>
      </c>
      <c r="BH1416" s="2">
        <v>3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f t="shared" si="93"/>
        <v>14</v>
      </c>
      <c r="BW1416" s="16">
        <f t="shared" si="91"/>
        <v>0.73684210526315785</v>
      </c>
      <c r="BX1416" s="16">
        <f>COUNTIF($BC$6:BU1416, "=0") / COUNTIF($BC$6:BU1416, "&gt;-1")</f>
        <v>0.36618299824685741</v>
      </c>
      <c r="BY1416" s="18">
        <f>SUM($BC$6:BU1416) / $BY$4</f>
        <v>0.97498648212713157</v>
      </c>
      <c r="BZ1416" s="14">
        <f t="shared" si="92"/>
        <v>12</v>
      </c>
      <c r="CA1416" t="s">
        <v>5832</v>
      </c>
      <c r="CZ1416" t="s">
        <v>13300</v>
      </c>
      <c r="DA1416" t="s">
        <v>5904</v>
      </c>
      <c r="DB1416">
        <v>956.8</v>
      </c>
      <c r="DC1416" t="s">
        <v>35407</v>
      </c>
      <c r="DD1416" t="s">
        <v>35408</v>
      </c>
      <c r="DE1416" t="s">
        <v>35409</v>
      </c>
      <c r="DF1416" t="s">
        <v>35410</v>
      </c>
      <c r="DG1416" t="s">
        <v>35411</v>
      </c>
      <c r="DH1416" t="str">
        <f>"LRRN4"</f>
        <v>LRRN4</v>
      </c>
      <c r="DI1416" t="s">
        <v>35412</v>
      </c>
      <c r="DJ1416" t="s">
        <v>13777</v>
      </c>
      <c r="DK1416">
        <v>9606</v>
      </c>
      <c r="DL1416" s="34" t="str">
        <f>HYPERLINK("http://www.uniprot.org/uniprot/Q8WUT4", "Q8WUT4")</f>
        <v>Q8WUT4</v>
      </c>
      <c r="DM1416" t="s">
        <v>35413</v>
      </c>
      <c r="DN1416" t="s">
        <v>13772</v>
      </c>
      <c r="DO1416" t="s">
        <v>13825</v>
      </c>
      <c r="DP1416" t="s">
        <v>13793</v>
      </c>
      <c r="DQ1416" t="s">
        <v>13772</v>
      </c>
      <c r="DR1416" t="s">
        <v>13772</v>
      </c>
      <c r="DS1416" t="s">
        <v>14158</v>
      </c>
      <c r="DT1416" t="s">
        <v>13772</v>
      </c>
      <c r="DU1416" t="s">
        <v>13772</v>
      </c>
      <c r="DV1416" t="s">
        <v>13858</v>
      </c>
      <c r="DW1416" t="s">
        <v>13772</v>
      </c>
      <c r="DX1416" t="s">
        <v>35414</v>
      </c>
      <c r="DY1416" t="s">
        <v>22534</v>
      </c>
      <c r="DZ1416" t="s">
        <v>13772</v>
      </c>
      <c r="EA1416" t="s">
        <v>13772</v>
      </c>
      <c r="EB1416" t="s">
        <v>13772</v>
      </c>
    </row>
    <row r="1417" spans="1:132" hidden="1">
      <c r="A1417">
        <v>2350</v>
      </c>
      <c r="B1417">
        <v>1</v>
      </c>
      <c r="C1417" t="s">
        <v>5483</v>
      </c>
      <c r="D1417" t="s">
        <v>73</v>
      </c>
      <c r="E1417" t="s">
        <v>73</v>
      </c>
      <c r="F1417" t="s">
        <v>73</v>
      </c>
      <c r="G1417" t="s">
        <v>73</v>
      </c>
      <c r="H1417">
        <v>6.9</v>
      </c>
      <c r="I1417">
        <v>1379</v>
      </c>
      <c r="J1417">
        <v>153121</v>
      </c>
      <c r="K1417" t="s">
        <v>5484</v>
      </c>
      <c r="L1417">
        <f t="shared" si="90"/>
        <v>14</v>
      </c>
      <c r="N1417">
        <v>14</v>
      </c>
      <c r="O1417">
        <v>14</v>
      </c>
      <c r="P1417">
        <v>1</v>
      </c>
      <c r="Q1417">
        <v>2</v>
      </c>
      <c r="R1417">
        <v>5</v>
      </c>
      <c r="S1417">
        <v>0</v>
      </c>
      <c r="T1417">
        <v>2</v>
      </c>
      <c r="U1417">
        <v>1</v>
      </c>
      <c r="V1417">
        <v>1</v>
      </c>
      <c r="W1417">
        <v>2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</v>
      </c>
      <c r="AK1417">
        <v>5</v>
      </c>
      <c r="AL1417">
        <v>0</v>
      </c>
      <c r="AM1417">
        <v>2</v>
      </c>
      <c r="AN1417">
        <v>1</v>
      </c>
      <c r="AO1417">
        <v>1</v>
      </c>
      <c r="AP1417">
        <v>2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 s="2">
        <v>2</v>
      </c>
      <c r="BD1417" s="2">
        <v>5</v>
      </c>
      <c r="BE1417" s="2">
        <v>0</v>
      </c>
      <c r="BF1417" s="2">
        <v>2</v>
      </c>
      <c r="BG1417" s="2">
        <v>1</v>
      </c>
      <c r="BH1417" s="2">
        <v>1</v>
      </c>
      <c r="BI1417" s="2">
        <v>2</v>
      </c>
      <c r="BJ1417" s="2">
        <v>1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f t="shared" si="93"/>
        <v>14</v>
      </c>
      <c r="BW1417" s="16">
        <f t="shared" si="91"/>
        <v>0.73684210526315785</v>
      </c>
      <c r="BX1417" s="16">
        <f>COUNTIF($BC$6:BU1417, "=0") / COUNTIF($BC$6:BU1417, "&gt;-1")</f>
        <v>0.36637095571790668</v>
      </c>
      <c r="BY1417" s="18">
        <f>SUM($BC$6:BU1417) / $BY$4</f>
        <v>0.9750464530432934</v>
      </c>
      <c r="BZ1417" s="14">
        <f t="shared" si="92"/>
        <v>12</v>
      </c>
      <c r="CA1417" t="s">
        <v>5832</v>
      </c>
      <c r="CZ1417" t="s">
        <v>13563</v>
      </c>
      <c r="DA1417" t="s">
        <v>5904</v>
      </c>
      <c r="DB1417">
        <v>2587</v>
      </c>
      <c r="DC1417" t="s">
        <v>36150</v>
      </c>
      <c r="DD1417" t="s">
        <v>36151</v>
      </c>
      <c r="DE1417" t="s">
        <v>36152</v>
      </c>
      <c r="DF1417" t="s">
        <v>36153</v>
      </c>
      <c r="DG1417" t="s">
        <v>36154</v>
      </c>
      <c r="DH1417" t="str">
        <f>"CPD"</f>
        <v>CPD</v>
      </c>
      <c r="DI1417" t="s">
        <v>13772</v>
      </c>
      <c r="DJ1417" t="s">
        <v>13777</v>
      </c>
      <c r="DK1417">
        <v>9606</v>
      </c>
      <c r="DL1417" s="34" t="str">
        <f>HYPERLINK("http://www.uniprot.org/uniprot/O75976", "O75976")</f>
        <v>O75976</v>
      </c>
      <c r="DM1417" t="s">
        <v>36155</v>
      </c>
      <c r="DN1417" t="s">
        <v>13772</v>
      </c>
      <c r="DO1417" t="s">
        <v>13792</v>
      </c>
      <c r="DP1417" t="s">
        <v>13780</v>
      </c>
      <c r="DQ1417" t="s">
        <v>13772</v>
      </c>
      <c r="DR1417" t="s">
        <v>13772</v>
      </c>
      <c r="DS1417" t="s">
        <v>13826</v>
      </c>
      <c r="DT1417" t="s">
        <v>13856</v>
      </c>
      <c r="DU1417" t="s">
        <v>16539</v>
      </c>
      <c r="DV1417" t="s">
        <v>36156</v>
      </c>
      <c r="DW1417" t="s">
        <v>13812</v>
      </c>
      <c r="DX1417" t="s">
        <v>25410</v>
      </c>
      <c r="DY1417" t="s">
        <v>36157</v>
      </c>
      <c r="DZ1417" t="s">
        <v>36158</v>
      </c>
      <c r="EA1417" t="s">
        <v>13772</v>
      </c>
      <c r="EB1417" t="s">
        <v>15924</v>
      </c>
    </row>
    <row r="1418" spans="1:132" hidden="1">
      <c r="A1418">
        <v>2362</v>
      </c>
      <c r="B1418">
        <v>1</v>
      </c>
      <c r="C1418" t="s">
        <v>5504</v>
      </c>
      <c r="D1418" t="s">
        <v>73</v>
      </c>
      <c r="E1418" t="s">
        <v>73</v>
      </c>
      <c r="F1418" t="s">
        <v>73</v>
      </c>
      <c r="G1418" t="s">
        <v>73</v>
      </c>
      <c r="H1418">
        <v>11.8</v>
      </c>
      <c r="I1418">
        <v>221</v>
      </c>
      <c r="J1418">
        <v>25476</v>
      </c>
      <c r="K1418" t="s">
        <v>5505</v>
      </c>
      <c r="L1418">
        <f t="shared" si="90"/>
        <v>14</v>
      </c>
      <c r="N1418">
        <v>14</v>
      </c>
      <c r="O1418">
        <v>14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3</v>
      </c>
      <c r="AB1418">
        <v>2</v>
      </c>
      <c r="AC1418">
        <v>2</v>
      </c>
      <c r="AD1418">
        <v>0</v>
      </c>
      <c r="AE1418">
        <v>4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3</v>
      </c>
      <c r="AU1418">
        <v>2</v>
      </c>
      <c r="AV1418">
        <v>2</v>
      </c>
      <c r="AW1418">
        <v>0</v>
      </c>
      <c r="AX1418">
        <v>4</v>
      </c>
      <c r="AY1418">
        <v>1</v>
      </c>
      <c r="AZ1418">
        <v>0</v>
      </c>
      <c r="BA1418">
        <v>0</v>
      </c>
      <c r="BB1418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1</v>
      </c>
      <c r="BJ1418" s="2">
        <v>0</v>
      </c>
      <c r="BK1418" s="2">
        <v>1</v>
      </c>
      <c r="BL1418" s="2">
        <v>0</v>
      </c>
      <c r="BM1418" s="2">
        <v>3</v>
      </c>
      <c r="BN1418" s="2">
        <v>2</v>
      </c>
      <c r="BO1418" s="2">
        <v>2</v>
      </c>
      <c r="BP1418" s="2">
        <v>0</v>
      </c>
      <c r="BQ1418" s="2">
        <v>4</v>
      </c>
      <c r="BR1418" s="2">
        <v>1</v>
      </c>
      <c r="BS1418" s="2">
        <v>0</v>
      </c>
      <c r="BT1418" s="2">
        <v>0</v>
      </c>
      <c r="BU1418" s="2">
        <v>0</v>
      </c>
      <c r="BV1418" s="2">
        <f t="shared" si="93"/>
        <v>14</v>
      </c>
      <c r="BW1418" s="16">
        <f t="shared" si="91"/>
        <v>0.73684210526315785</v>
      </c>
      <c r="BX1418" s="16">
        <f>COUNTIF($BC$6:BU1418, "=0") / COUNTIF($BC$6:BU1418, "&gt;-1")</f>
        <v>0.36655864714865721</v>
      </c>
      <c r="BY1418" s="18">
        <f>SUM($BC$6:BU1418) / $BY$4</f>
        <v>0.97510642395945513</v>
      </c>
      <c r="BZ1418" s="14">
        <f t="shared" si="92"/>
        <v>12</v>
      </c>
      <c r="CA1418" t="s">
        <v>5832</v>
      </c>
      <c r="CZ1418" t="s">
        <v>13601</v>
      </c>
      <c r="DA1418" t="s">
        <v>5904</v>
      </c>
      <c r="DB1418">
        <v>402.5</v>
      </c>
      <c r="DC1418" t="s">
        <v>36256</v>
      </c>
      <c r="DD1418" t="s">
        <v>36257</v>
      </c>
      <c r="DE1418" t="s">
        <v>36258</v>
      </c>
      <c r="DF1418" t="s">
        <v>36259</v>
      </c>
      <c r="DG1418" t="s">
        <v>36260</v>
      </c>
      <c r="DH1418" t="str">
        <f>"SRSF2"</f>
        <v>SRSF2</v>
      </c>
      <c r="DI1418" t="s">
        <v>36261</v>
      </c>
      <c r="DJ1418" t="s">
        <v>13777</v>
      </c>
      <c r="DK1418">
        <v>9606</v>
      </c>
      <c r="DL1418" s="34" t="str">
        <f>HYPERLINK("http://www.uniprot.org/uniprot/Q01130", "Q01130")</f>
        <v>Q01130</v>
      </c>
      <c r="DM1418" t="s">
        <v>36262</v>
      </c>
      <c r="DN1418" t="s">
        <v>15152</v>
      </c>
      <c r="DO1418" t="s">
        <v>14825</v>
      </c>
      <c r="DP1418" t="s">
        <v>13841</v>
      </c>
      <c r="DQ1418" t="s">
        <v>13772</v>
      </c>
      <c r="DR1418" t="s">
        <v>13772</v>
      </c>
      <c r="DS1418" t="s">
        <v>13772</v>
      </c>
      <c r="DT1418" t="s">
        <v>13772</v>
      </c>
      <c r="DU1418" t="s">
        <v>14826</v>
      </c>
      <c r="DV1418" t="s">
        <v>13886</v>
      </c>
      <c r="DW1418" t="s">
        <v>13812</v>
      </c>
      <c r="DX1418" t="s">
        <v>36263</v>
      </c>
      <c r="DY1418" t="s">
        <v>36264</v>
      </c>
      <c r="DZ1418" t="s">
        <v>36265</v>
      </c>
      <c r="EA1418" t="s">
        <v>13772</v>
      </c>
      <c r="EB1418" t="s">
        <v>34937</v>
      </c>
    </row>
    <row r="1419" spans="1:132" hidden="1">
      <c r="A1419">
        <v>1497</v>
      </c>
      <c r="B1419">
        <v>1</v>
      </c>
      <c r="C1419" t="s">
        <v>3561</v>
      </c>
      <c r="D1419" t="s">
        <v>73</v>
      </c>
      <c r="E1419" t="s">
        <v>73</v>
      </c>
      <c r="F1419" t="s">
        <v>3562</v>
      </c>
      <c r="G1419" t="s">
        <v>73</v>
      </c>
      <c r="H1419">
        <v>70.3</v>
      </c>
      <c r="I1419">
        <v>175</v>
      </c>
      <c r="J1419">
        <v>18975</v>
      </c>
      <c r="K1419" t="s">
        <v>3563</v>
      </c>
      <c r="L1419">
        <f t="shared" si="90"/>
        <v>55</v>
      </c>
      <c r="N1419">
        <v>55</v>
      </c>
      <c r="O1419">
        <v>3</v>
      </c>
      <c r="P1419">
        <v>5.5E-2</v>
      </c>
      <c r="Q1419">
        <v>0</v>
      </c>
      <c r="R1419">
        <v>3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2</v>
      </c>
      <c r="Y1419">
        <v>6</v>
      </c>
      <c r="Z1419">
        <v>0</v>
      </c>
      <c r="AA1419">
        <v>15</v>
      </c>
      <c r="AB1419">
        <v>12</v>
      </c>
      <c r="AC1419">
        <v>6</v>
      </c>
      <c r="AD1419">
        <v>1</v>
      </c>
      <c r="AE1419">
        <v>1</v>
      </c>
      <c r="AF1419">
        <v>4</v>
      </c>
      <c r="AG1419">
        <v>2</v>
      </c>
      <c r="AH1419">
        <v>0</v>
      </c>
      <c r="AI1419">
        <v>2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 s="2">
        <v>0</v>
      </c>
      <c r="BD1419" s="2">
        <v>0.32100000000000001</v>
      </c>
      <c r="BE1419" s="2">
        <v>0</v>
      </c>
      <c r="BF1419" s="2">
        <v>0</v>
      </c>
      <c r="BG1419" s="2">
        <v>0.107</v>
      </c>
      <c r="BH1419" s="2">
        <v>0</v>
      </c>
      <c r="BI1419" s="2">
        <v>0</v>
      </c>
      <c r="BJ1419" s="2">
        <v>0.86099999999999999</v>
      </c>
      <c r="BK1419" s="2">
        <v>0.65100000000000002</v>
      </c>
      <c r="BL1419" s="2">
        <v>0</v>
      </c>
      <c r="BM1419" s="2">
        <v>3.1589999999999998</v>
      </c>
      <c r="BN1419" s="2">
        <v>4.7619999999999996</v>
      </c>
      <c r="BO1419" s="2">
        <v>2.1869999999999998</v>
      </c>
      <c r="BP1419" s="2">
        <v>0.107</v>
      </c>
      <c r="BQ1419" s="2">
        <v>0.107</v>
      </c>
      <c r="BR1419" s="2">
        <v>1.079</v>
      </c>
      <c r="BS1419" s="2">
        <v>0.214</v>
      </c>
      <c r="BT1419" s="2">
        <v>0</v>
      </c>
      <c r="BU1419" s="2">
        <v>0.214</v>
      </c>
      <c r="BV1419" s="2">
        <f t="shared" si="93"/>
        <v>13.769</v>
      </c>
      <c r="BW1419" s="16">
        <f t="shared" si="91"/>
        <v>0.72468421052631582</v>
      </c>
      <c r="BX1419" s="16">
        <f>COUNTIF($BC$6:BU1419, "=0") / COUNTIF($BC$6:BU1419, "&gt;-1")</f>
        <v>0.36655996426710341</v>
      </c>
      <c r="BY1419" s="18">
        <f>SUM($BC$6:BU1419) / $BY$4</f>
        <v>0.97516540535550034</v>
      </c>
      <c r="BZ1419" s="14">
        <f t="shared" si="92"/>
        <v>7</v>
      </c>
      <c r="CA1419" t="s">
        <v>5832</v>
      </c>
      <c r="CZ1419" t="s">
        <v>7927</v>
      </c>
      <c r="DA1419" t="s">
        <v>5896</v>
      </c>
      <c r="DB1419">
        <v>334.7</v>
      </c>
      <c r="DC1419" t="s">
        <v>20176</v>
      </c>
      <c r="DD1419" t="s">
        <v>20177</v>
      </c>
      <c r="DE1419" t="s">
        <v>20178</v>
      </c>
      <c r="DF1419" t="s">
        <v>20179</v>
      </c>
      <c r="DG1419" t="s">
        <v>20180</v>
      </c>
      <c r="DH1419" t="str">
        <f>"TUBB"</f>
        <v>TUBB</v>
      </c>
      <c r="DI1419" t="s">
        <v>20181</v>
      </c>
      <c r="DJ1419" t="s">
        <v>13777</v>
      </c>
      <c r="DK1419">
        <v>9606</v>
      </c>
      <c r="DL1419" s="34" t="str">
        <f>HYPERLINK("http://www.uniprot.org/uniprot/P07437", "P07437")</f>
        <v>P07437</v>
      </c>
      <c r="DM1419" t="s">
        <v>20182</v>
      </c>
      <c r="DN1419" t="s">
        <v>13772</v>
      </c>
      <c r="DO1419" t="s">
        <v>20183</v>
      </c>
      <c r="DP1419" t="s">
        <v>13772</v>
      </c>
      <c r="DQ1419" t="s">
        <v>13772</v>
      </c>
      <c r="DR1419" t="s">
        <v>13807</v>
      </c>
      <c r="DS1419" t="s">
        <v>13772</v>
      </c>
      <c r="DT1419" t="s">
        <v>14216</v>
      </c>
      <c r="DU1419" t="s">
        <v>13772</v>
      </c>
      <c r="DV1419" t="s">
        <v>14663</v>
      </c>
      <c r="DW1419" t="s">
        <v>13812</v>
      </c>
      <c r="DX1419" t="s">
        <v>20184</v>
      </c>
      <c r="DY1419" t="s">
        <v>20185</v>
      </c>
      <c r="DZ1419" t="s">
        <v>20186</v>
      </c>
      <c r="EA1419" t="s">
        <v>13772</v>
      </c>
      <c r="EB1419" t="s">
        <v>20187</v>
      </c>
    </row>
    <row r="1420" spans="1:132" hidden="1">
      <c r="A1420">
        <v>1695</v>
      </c>
      <c r="B1420">
        <v>1</v>
      </c>
      <c r="C1420" t="s">
        <v>4018</v>
      </c>
      <c r="D1420" t="s">
        <v>4019</v>
      </c>
      <c r="E1420" t="s">
        <v>73</v>
      </c>
      <c r="F1420" t="s">
        <v>4020</v>
      </c>
      <c r="G1420" t="s">
        <v>73</v>
      </c>
      <c r="H1420">
        <v>17.399999999999999</v>
      </c>
      <c r="I1420">
        <v>580</v>
      </c>
      <c r="J1420">
        <v>65900</v>
      </c>
      <c r="K1420" t="s">
        <v>4021</v>
      </c>
      <c r="L1420">
        <f t="shared" si="90"/>
        <v>14</v>
      </c>
      <c r="N1420">
        <v>14</v>
      </c>
      <c r="O1420">
        <v>13</v>
      </c>
      <c r="P1420">
        <v>0.92900000000000005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11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1</v>
      </c>
      <c r="BL1420" s="2">
        <v>10.714</v>
      </c>
      <c r="BM1420" s="2">
        <v>0</v>
      </c>
      <c r="BN1420" s="2">
        <v>0</v>
      </c>
      <c r="BO1420" s="2">
        <v>1</v>
      </c>
      <c r="BP1420" s="2">
        <v>0</v>
      </c>
      <c r="BQ1420" s="2">
        <v>1</v>
      </c>
      <c r="BR1420" s="2">
        <v>0</v>
      </c>
      <c r="BS1420" s="2">
        <v>0</v>
      </c>
      <c r="BT1420" s="2">
        <v>0</v>
      </c>
      <c r="BU1420" s="2">
        <v>0</v>
      </c>
      <c r="BV1420" s="2">
        <f t="shared" si="93"/>
        <v>13.714</v>
      </c>
      <c r="BW1420" s="16">
        <f t="shared" si="91"/>
        <v>0.72178947368421054</v>
      </c>
      <c r="BX1420" s="16">
        <f>COUNTIF($BC$6:BU1420, "=0") / COUNTIF($BC$6:BU1420, "&gt;-1")</f>
        <v>0.366858843221127</v>
      </c>
      <c r="BY1420" s="18">
        <f>SUM($BC$6:BU1420) / $BY$4</f>
        <v>0.97522415115151773</v>
      </c>
      <c r="BZ1420" s="14">
        <f t="shared" si="92"/>
        <v>15</v>
      </c>
      <c r="CA1420" t="s">
        <v>5832</v>
      </c>
      <c r="CZ1420" t="s">
        <v>11403</v>
      </c>
      <c r="DA1420" t="s">
        <v>5904</v>
      </c>
      <c r="DB1420">
        <v>784.6</v>
      </c>
      <c r="DC1420" t="s">
        <v>30061</v>
      </c>
      <c r="DD1420" t="s">
        <v>13772</v>
      </c>
      <c r="DE1420" t="s">
        <v>30062</v>
      </c>
      <c r="DF1420" t="s">
        <v>30063</v>
      </c>
      <c r="DG1420" t="s">
        <v>30064</v>
      </c>
      <c r="DH1420" t="str">
        <f>"CFHR5"</f>
        <v>CFHR5</v>
      </c>
      <c r="DI1420" t="s">
        <v>30065</v>
      </c>
      <c r="DJ1420" t="s">
        <v>13777</v>
      </c>
      <c r="DK1420">
        <v>9606</v>
      </c>
      <c r="DL1420" s="34" t="str">
        <f>HYPERLINK("http://www.uniprot.org/uniprot/Q9BXR6", "Q9BXR6")</f>
        <v>Q9BXR6</v>
      </c>
      <c r="DM1420" t="s">
        <v>30066</v>
      </c>
      <c r="DN1420" t="s">
        <v>13772</v>
      </c>
      <c r="DO1420" t="s">
        <v>14321</v>
      </c>
      <c r="DP1420" t="s">
        <v>13793</v>
      </c>
      <c r="DQ1420" t="s">
        <v>13772</v>
      </c>
      <c r="DR1420" t="s">
        <v>28021</v>
      </c>
      <c r="DS1420" t="s">
        <v>28012</v>
      </c>
      <c r="DT1420" t="s">
        <v>13772</v>
      </c>
      <c r="DU1420" t="s">
        <v>13772</v>
      </c>
      <c r="DV1420" t="s">
        <v>13796</v>
      </c>
      <c r="DW1420" t="s">
        <v>13772</v>
      </c>
      <c r="DX1420" t="s">
        <v>30067</v>
      </c>
      <c r="DY1420" t="s">
        <v>30068</v>
      </c>
      <c r="DZ1420" t="s">
        <v>30069</v>
      </c>
      <c r="EA1420" t="s">
        <v>13772</v>
      </c>
      <c r="EB1420" t="s">
        <v>22277</v>
      </c>
    </row>
    <row r="1421" spans="1:132" hidden="1">
      <c r="A1421">
        <v>2272</v>
      </c>
      <c r="B1421">
        <v>1</v>
      </c>
      <c r="C1421" t="s">
        <v>5308</v>
      </c>
      <c r="D1421" t="s">
        <v>73</v>
      </c>
      <c r="E1421" t="s">
        <v>73</v>
      </c>
      <c r="F1421" t="s">
        <v>5309</v>
      </c>
      <c r="G1421" t="s">
        <v>73</v>
      </c>
      <c r="H1421">
        <v>35.299999999999997</v>
      </c>
      <c r="I1421">
        <v>303</v>
      </c>
      <c r="J1421">
        <v>33745</v>
      </c>
      <c r="K1421" t="s">
        <v>5310</v>
      </c>
      <c r="L1421">
        <f t="shared" si="90"/>
        <v>39</v>
      </c>
      <c r="N1421">
        <v>39</v>
      </c>
      <c r="O1421">
        <v>5</v>
      </c>
      <c r="P1421">
        <v>0.128</v>
      </c>
      <c r="Q1421">
        <v>1</v>
      </c>
      <c r="R1421">
        <v>2</v>
      </c>
      <c r="S1421">
        <v>2</v>
      </c>
      <c r="T1421">
        <v>2</v>
      </c>
      <c r="U1421">
        <v>2</v>
      </c>
      <c r="V1421">
        <v>1</v>
      </c>
      <c r="W1421">
        <v>1</v>
      </c>
      <c r="X1421">
        <v>2</v>
      </c>
      <c r="Y1421">
        <v>7</v>
      </c>
      <c r="Z1421">
        <v>2</v>
      </c>
      <c r="AA1421">
        <v>4</v>
      </c>
      <c r="AB1421">
        <v>4</v>
      </c>
      <c r="AC1421">
        <v>3</v>
      </c>
      <c r="AD1421">
        <v>2</v>
      </c>
      <c r="AE1421">
        <v>1</v>
      </c>
      <c r="AF1421">
        <v>1</v>
      </c>
      <c r="AG1421">
        <v>2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3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 s="2">
        <v>0.122</v>
      </c>
      <c r="BD1421" s="2">
        <v>0.95499999999999996</v>
      </c>
      <c r="BE1421" s="2">
        <v>0.95499999999999996</v>
      </c>
      <c r="BF1421" s="2">
        <v>0.24399999999999999</v>
      </c>
      <c r="BG1421" s="2">
        <v>0.95499999999999996</v>
      </c>
      <c r="BH1421" s="2">
        <v>0.122</v>
      </c>
      <c r="BI1421" s="2">
        <v>0.122</v>
      </c>
      <c r="BJ1421" s="2">
        <v>0.24399999999999999</v>
      </c>
      <c r="BK1421" s="2">
        <v>4.1989999999999998</v>
      </c>
      <c r="BL1421" s="2">
        <v>0.24399999999999999</v>
      </c>
      <c r="BM1421" s="2">
        <v>2.077</v>
      </c>
      <c r="BN1421" s="2">
        <v>1.1990000000000001</v>
      </c>
      <c r="BO1421" s="2">
        <v>1.244</v>
      </c>
      <c r="BP1421" s="2">
        <v>0.24399999999999999</v>
      </c>
      <c r="BQ1421" s="2">
        <v>0.122</v>
      </c>
      <c r="BR1421" s="2">
        <v>0.122</v>
      </c>
      <c r="BS1421" s="2">
        <v>0.24399999999999999</v>
      </c>
      <c r="BT1421" s="2">
        <v>0</v>
      </c>
      <c r="BU1421" s="2">
        <v>0</v>
      </c>
      <c r="BV1421" s="2">
        <f t="shared" si="93"/>
        <v>13.413999999999998</v>
      </c>
      <c r="BW1421" s="16">
        <f t="shared" si="91"/>
        <v>0.70599999999999985</v>
      </c>
      <c r="BX1421" s="16">
        <f>COUNTIF($BC$6:BU1421, "=0") / COUNTIF($BC$6:BU1421, "&gt;-1")</f>
        <v>0.36667410050550103</v>
      </c>
      <c r="BY1421" s="18">
        <f>SUM($BC$6:BU1421) / $BY$4</f>
        <v>0.97528161185647444</v>
      </c>
      <c r="BZ1421" s="14">
        <f t="shared" si="92"/>
        <v>2</v>
      </c>
      <c r="CA1421" t="s">
        <v>5832</v>
      </c>
      <c r="CZ1421" t="s">
        <v>9508</v>
      </c>
      <c r="DA1421" t="s">
        <v>5896</v>
      </c>
      <c r="DB1421">
        <v>389</v>
      </c>
      <c r="DC1421" t="s">
        <v>24726</v>
      </c>
      <c r="DD1421" t="s">
        <v>24727</v>
      </c>
      <c r="DE1421" t="s">
        <v>24728</v>
      </c>
      <c r="DF1421" t="s">
        <v>24729</v>
      </c>
      <c r="DG1421" t="s">
        <v>13772</v>
      </c>
      <c r="DH1421" t="str">
        <f>"TUBA1C"</f>
        <v>TUBA1C</v>
      </c>
      <c r="DI1421" t="s">
        <v>24730</v>
      </c>
      <c r="DJ1421" t="s">
        <v>13777</v>
      </c>
      <c r="DK1421">
        <v>9606</v>
      </c>
      <c r="DL1421" s="34" t="str">
        <f>HYPERLINK("http://www.uniprot.org/uniprot/Q9BQE3", "Q9BQE3")</f>
        <v>Q9BQE3</v>
      </c>
      <c r="DM1421" t="s">
        <v>24731</v>
      </c>
      <c r="DN1421" t="s">
        <v>13772</v>
      </c>
      <c r="DO1421" t="s">
        <v>20183</v>
      </c>
      <c r="DP1421" t="s">
        <v>13772</v>
      </c>
      <c r="DQ1421" t="s">
        <v>13772</v>
      </c>
      <c r="DR1421" t="s">
        <v>13772</v>
      </c>
      <c r="DS1421" t="s">
        <v>13772</v>
      </c>
      <c r="DT1421" t="s">
        <v>14216</v>
      </c>
      <c r="DU1421" t="s">
        <v>13772</v>
      </c>
      <c r="DV1421" t="s">
        <v>23698</v>
      </c>
      <c r="DW1421" t="s">
        <v>13772</v>
      </c>
      <c r="DX1421" t="s">
        <v>24732</v>
      </c>
      <c r="DY1421" t="s">
        <v>24733</v>
      </c>
      <c r="DZ1421" t="s">
        <v>24734</v>
      </c>
      <c r="EA1421" t="s">
        <v>13772</v>
      </c>
      <c r="EB1421" t="s">
        <v>24735</v>
      </c>
    </row>
    <row r="1422" spans="1:132" hidden="1">
      <c r="A1422">
        <v>2321</v>
      </c>
      <c r="B1422">
        <v>1</v>
      </c>
      <c r="C1422" t="s">
        <v>5416</v>
      </c>
      <c r="D1422" t="s">
        <v>5417</v>
      </c>
      <c r="E1422" t="s">
        <v>73</v>
      </c>
      <c r="F1422" t="s">
        <v>1084</v>
      </c>
      <c r="G1422" t="s">
        <v>73</v>
      </c>
      <c r="H1422">
        <v>10.8</v>
      </c>
      <c r="I1422">
        <v>951</v>
      </c>
      <c r="J1422">
        <v>105691</v>
      </c>
      <c r="K1422" t="s">
        <v>5418</v>
      </c>
      <c r="L1422">
        <f t="shared" si="90"/>
        <v>20</v>
      </c>
      <c r="N1422">
        <v>20</v>
      </c>
      <c r="O1422">
        <v>9</v>
      </c>
      <c r="P1422">
        <v>0.45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2</v>
      </c>
      <c r="Z1422">
        <v>0</v>
      </c>
      <c r="AA1422">
        <v>5</v>
      </c>
      <c r="AB1422">
        <v>7</v>
      </c>
      <c r="AC1422">
        <v>1</v>
      </c>
      <c r="AD1422">
        <v>0</v>
      </c>
      <c r="AE1422">
        <v>0</v>
      </c>
      <c r="AF1422">
        <v>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4</v>
      </c>
      <c r="AU1422">
        <v>2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0.5</v>
      </c>
      <c r="BJ1422" s="2">
        <v>1</v>
      </c>
      <c r="BK1422" s="2">
        <v>1</v>
      </c>
      <c r="BL1422" s="2">
        <v>0</v>
      </c>
      <c r="BM1422" s="2">
        <v>4.3330000000000002</v>
      </c>
      <c r="BN1422" s="2">
        <v>4.5</v>
      </c>
      <c r="BO1422" s="2">
        <v>1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f t="shared" si="93"/>
        <v>13.333</v>
      </c>
      <c r="BW1422" s="16">
        <f t="shared" si="91"/>
        <v>0.70173684210526321</v>
      </c>
      <c r="BX1422" s="16">
        <f>COUNTIF($BC$6:BU1422, "=0") / COUNTIF($BC$6:BU1422, "&gt;-1")</f>
        <v>0.36686104817442333</v>
      </c>
      <c r="BY1422" s="18">
        <f>SUM($BC$6:BU1422) / $BY$4</f>
        <v>0.97533872558684487</v>
      </c>
      <c r="BZ1422" s="14">
        <f t="shared" si="92"/>
        <v>12</v>
      </c>
      <c r="CA1422" t="s">
        <v>5832</v>
      </c>
      <c r="CZ1422" t="s">
        <v>13465</v>
      </c>
      <c r="DA1422" t="s">
        <v>5904</v>
      </c>
      <c r="DB1422">
        <v>1919.4</v>
      </c>
      <c r="DC1422" t="s">
        <v>35885</v>
      </c>
      <c r="DD1422" t="s">
        <v>35886</v>
      </c>
      <c r="DE1422" t="s">
        <v>35887</v>
      </c>
      <c r="DF1422" t="s">
        <v>35888</v>
      </c>
      <c r="DG1422" t="s">
        <v>35889</v>
      </c>
      <c r="DH1422" t="str">
        <f>"AP2B1"</f>
        <v>AP2B1</v>
      </c>
      <c r="DI1422" t="s">
        <v>35890</v>
      </c>
      <c r="DJ1422" t="s">
        <v>13777</v>
      </c>
      <c r="DK1422">
        <v>9606</v>
      </c>
      <c r="DL1422" s="34" t="str">
        <f>HYPERLINK("http://www.uniprot.org/uniprot/P63010", "P63010")</f>
        <v>P63010</v>
      </c>
      <c r="DM1422" t="s">
        <v>35891</v>
      </c>
      <c r="DN1422" t="s">
        <v>19177</v>
      </c>
      <c r="DO1422" t="s">
        <v>19178</v>
      </c>
      <c r="DP1422" t="s">
        <v>13841</v>
      </c>
      <c r="DQ1422" t="s">
        <v>13772</v>
      </c>
      <c r="DR1422" t="s">
        <v>13772</v>
      </c>
      <c r="DS1422" t="s">
        <v>13772</v>
      </c>
      <c r="DT1422" t="s">
        <v>13772</v>
      </c>
      <c r="DU1422" t="s">
        <v>13772</v>
      </c>
      <c r="DV1422" t="s">
        <v>13886</v>
      </c>
      <c r="DW1422" t="s">
        <v>13812</v>
      </c>
      <c r="DX1422" t="s">
        <v>35892</v>
      </c>
      <c r="DY1422" t="s">
        <v>35893</v>
      </c>
      <c r="DZ1422" t="s">
        <v>35894</v>
      </c>
      <c r="EA1422" t="s">
        <v>13772</v>
      </c>
      <c r="EB1422" t="s">
        <v>35895</v>
      </c>
    </row>
    <row r="1423" spans="1:132" hidden="1">
      <c r="A1423">
        <v>100</v>
      </c>
      <c r="B1423">
        <v>1</v>
      </c>
      <c r="C1423" t="s">
        <v>271</v>
      </c>
      <c r="D1423" t="s">
        <v>272</v>
      </c>
      <c r="E1423" t="s">
        <v>73</v>
      </c>
      <c r="F1423" t="s">
        <v>73</v>
      </c>
      <c r="G1423" t="s">
        <v>73</v>
      </c>
      <c r="H1423">
        <v>7.1</v>
      </c>
      <c r="I1423">
        <v>534</v>
      </c>
      <c r="J1423">
        <v>58930</v>
      </c>
      <c r="K1423" t="s">
        <v>273</v>
      </c>
      <c r="L1423">
        <f t="shared" si="90"/>
        <v>13</v>
      </c>
      <c r="N1423">
        <v>13</v>
      </c>
      <c r="O1423">
        <v>13</v>
      </c>
      <c r="P1423">
        <v>1</v>
      </c>
      <c r="Q1423">
        <v>2</v>
      </c>
      <c r="R1423">
        <v>0</v>
      </c>
      <c r="S1423">
        <v>0</v>
      </c>
      <c r="T1423">
        <v>1</v>
      </c>
      <c r="U1423">
        <v>5</v>
      </c>
      <c r="V1423">
        <v>2</v>
      </c>
      <c r="W1423">
        <v>2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0</v>
      </c>
      <c r="AM1423">
        <v>1</v>
      </c>
      <c r="AN1423">
        <v>5</v>
      </c>
      <c r="AO1423">
        <v>2</v>
      </c>
      <c r="AP1423">
        <v>2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 s="2">
        <v>2</v>
      </c>
      <c r="BD1423" s="2">
        <v>0</v>
      </c>
      <c r="BE1423" s="2">
        <v>0</v>
      </c>
      <c r="BF1423" s="2">
        <v>1</v>
      </c>
      <c r="BG1423" s="2">
        <v>5</v>
      </c>
      <c r="BH1423" s="2">
        <v>2</v>
      </c>
      <c r="BI1423" s="2">
        <v>2</v>
      </c>
      <c r="BJ1423" s="2">
        <v>1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f t="shared" si="93"/>
        <v>13</v>
      </c>
      <c r="BW1423" s="16">
        <f t="shared" si="91"/>
        <v>0.68421052631578949</v>
      </c>
      <c r="BX1423" s="16">
        <f>COUNTIF($BC$6:BU1423, "=0") / COUNTIF($BC$6:BU1423, "&gt;-1")</f>
        <v>0.36708484893474874</v>
      </c>
      <c r="BY1423" s="18">
        <f>SUM($BC$6:BU1423) / $BY$4</f>
        <v>0.97539441286613793</v>
      </c>
      <c r="BZ1423" s="14">
        <f t="shared" si="92"/>
        <v>13</v>
      </c>
      <c r="CA1423" t="s">
        <v>5832</v>
      </c>
      <c r="CZ1423" t="s">
        <v>6037</v>
      </c>
      <c r="DA1423" t="s">
        <v>5904</v>
      </c>
      <c r="DB1423">
        <v>897.9</v>
      </c>
      <c r="DC1423" t="s">
        <v>14282</v>
      </c>
      <c r="DD1423" t="s">
        <v>13772</v>
      </c>
      <c r="DE1423" t="s">
        <v>14283</v>
      </c>
      <c r="DF1423" t="s">
        <v>14284</v>
      </c>
      <c r="DG1423" t="s">
        <v>14285</v>
      </c>
      <c r="DH1423" t="str">
        <f>"TTYH2"</f>
        <v>TTYH2</v>
      </c>
      <c r="DI1423" t="s">
        <v>14286</v>
      </c>
      <c r="DJ1423" t="s">
        <v>13777</v>
      </c>
      <c r="DK1423">
        <v>9606</v>
      </c>
      <c r="DL1423" s="34" t="str">
        <f>HYPERLINK("http://www.uniprot.org/uniprot/Q9BSA4", "Q9BSA4")</f>
        <v>Q9BSA4</v>
      </c>
      <c r="DM1423" t="s">
        <v>14287</v>
      </c>
      <c r="DN1423" t="s">
        <v>14288</v>
      </c>
      <c r="DO1423" t="s">
        <v>13792</v>
      </c>
      <c r="DP1423" t="s">
        <v>13780</v>
      </c>
      <c r="DQ1423" t="s">
        <v>13772</v>
      </c>
      <c r="DR1423" t="s">
        <v>13772</v>
      </c>
      <c r="DS1423" t="s">
        <v>13925</v>
      </c>
      <c r="DT1423" t="s">
        <v>14289</v>
      </c>
      <c r="DU1423" t="s">
        <v>14290</v>
      </c>
      <c r="DV1423" t="s">
        <v>13978</v>
      </c>
      <c r="DW1423" t="s">
        <v>13772</v>
      </c>
      <c r="DX1423" t="s">
        <v>13772</v>
      </c>
      <c r="DY1423" t="s">
        <v>14291</v>
      </c>
      <c r="DZ1423" t="s">
        <v>14292</v>
      </c>
      <c r="EA1423" t="s">
        <v>13772</v>
      </c>
      <c r="EB1423" t="s">
        <v>14293</v>
      </c>
    </row>
    <row r="1424" spans="1:132" hidden="1">
      <c r="A1424">
        <v>133</v>
      </c>
      <c r="B1424">
        <v>1</v>
      </c>
      <c r="C1424" t="s">
        <v>348</v>
      </c>
      <c r="D1424" t="s">
        <v>349</v>
      </c>
      <c r="E1424" t="s">
        <v>73</v>
      </c>
      <c r="F1424" t="s">
        <v>73</v>
      </c>
      <c r="G1424" t="s">
        <v>73</v>
      </c>
      <c r="H1424">
        <v>11.1</v>
      </c>
      <c r="I1424">
        <v>423</v>
      </c>
      <c r="J1424">
        <v>47421</v>
      </c>
      <c r="K1424" t="s">
        <v>350</v>
      </c>
      <c r="L1424">
        <f t="shared" si="90"/>
        <v>13</v>
      </c>
      <c r="N1424">
        <v>13</v>
      </c>
      <c r="O1424">
        <v>13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2</v>
      </c>
      <c r="AE1424">
        <v>2</v>
      </c>
      <c r="AF1424">
        <v>3</v>
      </c>
      <c r="AG1424">
        <v>1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1</v>
      </c>
      <c r="AU1424">
        <v>0</v>
      </c>
      <c r="AV1424">
        <v>0</v>
      </c>
      <c r="AW1424">
        <v>2</v>
      </c>
      <c r="AX1424">
        <v>2</v>
      </c>
      <c r="AY1424">
        <v>3</v>
      </c>
      <c r="AZ1424">
        <v>1</v>
      </c>
      <c r="BA1424">
        <v>1</v>
      </c>
      <c r="BB1424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</v>
      </c>
      <c r="BJ1424" s="2">
        <v>0</v>
      </c>
      <c r="BK1424" s="2">
        <v>0</v>
      </c>
      <c r="BL1424" s="2">
        <v>1</v>
      </c>
      <c r="BM1424" s="2">
        <v>1</v>
      </c>
      <c r="BN1424" s="2">
        <v>0</v>
      </c>
      <c r="BO1424" s="2">
        <v>0</v>
      </c>
      <c r="BP1424" s="2">
        <v>2</v>
      </c>
      <c r="BQ1424" s="2">
        <v>2</v>
      </c>
      <c r="BR1424" s="2">
        <v>3</v>
      </c>
      <c r="BS1424" s="2">
        <v>1</v>
      </c>
      <c r="BT1424" s="2">
        <v>1</v>
      </c>
      <c r="BU1424" s="2">
        <v>1</v>
      </c>
      <c r="BV1424" s="2">
        <f t="shared" si="93"/>
        <v>13</v>
      </c>
      <c r="BW1424" s="16">
        <f t="shared" si="91"/>
        <v>0.68421052631578949</v>
      </c>
      <c r="BX1424" s="16">
        <f>COUNTIF($BC$6:BU1424, "=0") / COUNTIF($BC$6:BU1424, "&gt;-1")</f>
        <v>0.36719706242350059</v>
      </c>
      <c r="BY1424" s="18">
        <f>SUM($BC$6:BU1424) / $BY$4</f>
        <v>0.9754501001454311</v>
      </c>
      <c r="BZ1424" s="14">
        <f t="shared" si="92"/>
        <v>10</v>
      </c>
      <c r="CA1424" t="s">
        <v>5832</v>
      </c>
      <c r="CZ1424" t="s">
        <v>6154</v>
      </c>
      <c r="DA1424" t="s">
        <v>5904</v>
      </c>
      <c r="DB1424">
        <v>609.79999999999995</v>
      </c>
      <c r="DC1424" t="s">
        <v>14683</v>
      </c>
      <c r="DD1424" t="s">
        <v>14684</v>
      </c>
      <c r="DE1424" t="s">
        <v>14685</v>
      </c>
      <c r="DF1424" t="s">
        <v>14686</v>
      </c>
      <c r="DG1424" t="s">
        <v>14687</v>
      </c>
      <c r="DH1424" t="str">
        <f>"SERPINA5"</f>
        <v>SERPINA5</v>
      </c>
      <c r="DI1424" t="s">
        <v>14688</v>
      </c>
      <c r="DJ1424" t="s">
        <v>13777</v>
      </c>
      <c r="DK1424">
        <v>9606</v>
      </c>
      <c r="DL1424" s="34" t="str">
        <f>HYPERLINK("http://www.uniprot.org/uniprot/P05154", "P05154")</f>
        <v>P05154</v>
      </c>
      <c r="DM1424" t="s">
        <v>14689</v>
      </c>
      <c r="DN1424" t="s">
        <v>14690</v>
      </c>
      <c r="DO1424" t="s">
        <v>14321</v>
      </c>
      <c r="DP1424" t="s">
        <v>13793</v>
      </c>
      <c r="DQ1424" t="s">
        <v>13772</v>
      </c>
      <c r="DR1424" t="s">
        <v>13772</v>
      </c>
      <c r="DS1424" t="s">
        <v>13808</v>
      </c>
      <c r="DT1424" t="s">
        <v>13772</v>
      </c>
      <c r="DU1424" t="s">
        <v>14691</v>
      </c>
      <c r="DV1424" t="s">
        <v>13858</v>
      </c>
      <c r="DW1424" t="s">
        <v>13812</v>
      </c>
      <c r="DX1424" t="s">
        <v>14692</v>
      </c>
      <c r="DY1424" t="s">
        <v>14693</v>
      </c>
      <c r="DZ1424" t="s">
        <v>14694</v>
      </c>
      <c r="EA1424" t="s">
        <v>13772</v>
      </c>
      <c r="EB1424" t="s">
        <v>14695</v>
      </c>
    </row>
    <row r="1425" spans="1:132" hidden="1">
      <c r="A1425">
        <v>213</v>
      </c>
      <c r="B1425">
        <v>1</v>
      </c>
      <c r="C1425" t="s">
        <v>538</v>
      </c>
      <c r="D1425" t="s">
        <v>539</v>
      </c>
      <c r="E1425" t="s">
        <v>73</v>
      </c>
      <c r="F1425" t="s">
        <v>73</v>
      </c>
      <c r="G1425" t="s">
        <v>73</v>
      </c>
      <c r="H1425">
        <v>9.5</v>
      </c>
      <c r="I1425">
        <v>398</v>
      </c>
      <c r="J1425">
        <v>44494</v>
      </c>
      <c r="K1425" t="s">
        <v>540</v>
      </c>
      <c r="L1425">
        <f t="shared" si="90"/>
        <v>13</v>
      </c>
      <c r="N1425">
        <v>13</v>
      </c>
      <c r="O1425">
        <v>13</v>
      </c>
      <c r="P1425">
        <v>1</v>
      </c>
      <c r="Q1425">
        <v>1</v>
      </c>
      <c r="R1425">
        <v>2</v>
      </c>
      <c r="S1425">
        <v>2</v>
      </c>
      <c r="T1425">
        <v>3</v>
      </c>
      <c r="U1425">
        <v>3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2</v>
      </c>
      <c r="AL1425">
        <v>2</v>
      </c>
      <c r="AM1425">
        <v>3</v>
      </c>
      <c r="AN1425">
        <v>3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s="2">
        <v>1</v>
      </c>
      <c r="BD1425" s="2">
        <v>2</v>
      </c>
      <c r="BE1425" s="2">
        <v>2</v>
      </c>
      <c r="BF1425" s="2">
        <v>3</v>
      </c>
      <c r="BG1425" s="2">
        <v>3</v>
      </c>
      <c r="BH1425" s="2">
        <v>1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f t="shared" si="93"/>
        <v>13</v>
      </c>
      <c r="BW1425" s="16">
        <f t="shared" si="91"/>
        <v>0.68421052631578949</v>
      </c>
      <c r="BX1425" s="16">
        <f>COUNTIF($BC$6:BU1425, "=0") / COUNTIF($BC$6:BU1425, "&gt;-1")</f>
        <v>0.36738324684951817</v>
      </c>
      <c r="BY1425" s="18">
        <f>SUM($BC$6:BU1425) / $BY$4</f>
        <v>0.97550578742472416</v>
      </c>
      <c r="BZ1425" s="14">
        <f t="shared" si="92"/>
        <v>12</v>
      </c>
      <c r="CA1425" t="s">
        <v>5832</v>
      </c>
      <c r="CZ1425" t="s">
        <v>6433</v>
      </c>
      <c r="DA1425" t="s">
        <v>5904</v>
      </c>
      <c r="DB1425">
        <v>816.2</v>
      </c>
      <c r="DC1425" t="s">
        <v>15596</v>
      </c>
      <c r="DD1425" t="s">
        <v>15597</v>
      </c>
      <c r="DE1425" t="s">
        <v>15598</v>
      </c>
      <c r="DF1425" t="s">
        <v>15599</v>
      </c>
      <c r="DG1425" t="s">
        <v>15600</v>
      </c>
      <c r="DH1425" t="str">
        <f>"NPTN"</f>
        <v>NPTN</v>
      </c>
      <c r="DI1425" t="s">
        <v>15601</v>
      </c>
      <c r="DJ1425" t="s">
        <v>13777</v>
      </c>
      <c r="DK1425">
        <v>9606</v>
      </c>
      <c r="DL1425" s="34" t="str">
        <f>HYPERLINK("http://www.uniprot.org/uniprot/Q9Y639", "Q9Y639")</f>
        <v>Q9Y639</v>
      </c>
      <c r="DM1425" t="s">
        <v>15602</v>
      </c>
      <c r="DN1425" t="s">
        <v>15603</v>
      </c>
      <c r="DO1425" t="s">
        <v>13792</v>
      </c>
      <c r="DP1425" t="s">
        <v>13841</v>
      </c>
      <c r="DQ1425" t="s">
        <v>13772</v>
      </c>
      <c r="DR1425" t="s">
        <v>13772</v>
      </c>
      <c r="DS1425" t="s">
        <v>13951</v>
      </c>
      <c r="DT1425" t="s">
        <v>13772</v>
      </c>
      <c r="DU1425" t="s">
        <v>13772</v>
      </c>
      <c r="DV1425" t="s">
        <v>13796</v>
      </c>
      <c r="DW1425" t="s">
        <v>13812</v>
      </c>
      <c r="DX1425" t="s">
        <v>15604</v>
      </c>
      <c r="DY1425" t="s">
        <v>15605</v>
      </c>
      <c r="DZ1425" t="s">
        <v>15606</v>
      </c>
      <c r="EA1425" t="s">
        <v>13772</v>
      </c>
      <c r="EB1425" t="s">
        <v>15607</v>
      </c>
    </row>
    <row r="1426" spans="1:132" hidden="1">
      <c r="A1426">
        <v>238</v>
      </c>
      <c r="B1426">
        <v>1</v>
      </c>
      <c r="C1426" t="s">
        <v>607</v>
      </c>
      <c r="D1426" t="s">
        <v>73</v>
      </c>
      <c r="E1426" t="s">
        <v>73</v>
      </c>
      <c r="F1426" t="s">
        <v>73</v>
      </c>
      <c r="G1426" t="s">
        <v>73</v>
      </c>
      <c r="H1426">
        <v>14.1</v>
      </c>
      <c r="I1426">
        <v>383</v>
      </c>
      <c r="J1426">
        <v>41338</v>
      </c>
      <c r="K1426" t="s">
        <v>608</v>
      </c>
      <c r="L1426">
        <f t="shared" si="90"/>
        <v>13</v>
      </c>
      <c r="N1426">
        <v>13</v>
      </c>
      <c r="O1426">
        <v>13</v>
      </c>
      <c r="P1426">
        <v>1</v>
      </c>
      <c r="Q1426">
        <v>0</v>
      </c>
      <c r="R1426">
        <v>2</v>
      </c>
      <c r="S1426">
        <v>2</v>
      </c>
      <c r="T1426">
        <v>3</v>
      </c>
      <c r="U1426">
        <v>2</v>
      </c>
      <c r="V1426">
        <v>3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</v>
      </c>
      <c r="AL1426">
        <v>2</v>
      </c>
      <c r="AM1426">
        <v>3</v>
      </c>
      <c r="AN1426">
        <v>2</v>
      </c>
      <c r="AO1426">
        <v>3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 s="2">
        <v>0</v>
      </c>
      <c r="BD1426" s="2">
        <v>2</v>
      </c>
      <c r="BE1426" s="2">
        <v>2</v>
      </c>
      <c r="BF1426" s="2">
        <v>3</v>
      </c>
      <c r="BG1426" s="2">
        <v>2</v>
      </c>
      <c r="BH1426" s="2">
        <v>3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f t="shared" si="93"/>
        <v>13</v>
      </c>
      <c r="BW1426" s="16">
        <f t="shared" si="91"/>
        <v>0.68421052631578949</v>
      </c>
      <c r="BX1426" s="16">
        <f>COUNTIF($BC$6:BU1426, "=0") / COUNTIF($BC$6:BU1426, "&gt;-1")</f>
        <v>0.36760620763731988</v>
      </c>
      <c r="BY1426" s="18">
        <f>SUM($BC$6:BU1426) / $BY$4</f>
        <v>0.97556147470401722</v>
      </c>
      <c r="BZ1426" s="14">
        <f t="shared" si="92"/>
        <v>13</v>
      </c>
      <c r="CA1426" t="s">
        <v>5832</v>
      </c>
      <c r="CZ1426" t="s">
        <v>6523</v>
      </c>
      <c r="DA1426" t="s">
        <v>5904</v>
      </c>
      <c r="DB1426">
        <v>670.6</v>
      </c>
      <c r="DC1426" t="s">
        <v>15889</v>
      </c>
      <c r="DD1426" t="s">
        <v>15890</v>
      </c>
      <c r="DE1426" t="s">
        <v>15891</v>
      </c>
      <c r="DF1426" t="s">
        <v>15892</v>
      </c>
      <c r="DG1426" t="s">
        <v>15893</v>
      </c>
      <c r="DH1426" t="str">
        <f>"DLK1"</f>
        <v>DLK1</v>
      </c>
      <c r="DI1426" t="s">
        <v>15894</v>
      </c>
      <c r="DJ1426" t="s">
        <v>13777</v>
      </c>
      <c r="DK1426">
        <v>9606</v>
      </c>
      <c r="DL1426" s="34" t="str">
        <f>HYPERLINK("http://www.uniprot.org/uniprot/P80370", "P80370")</f>
        <v>P80370</v>
      </c>
      <c r="DM1426" t="s">
        <v>15895</v>
      </c>
      <c r="DN1426" t="s">
        <v>13772</v>
      </c>
      <c r="DO1426" t="s">
        <v>15896</v>
      </c>
      <c r="DP1426" t="s">
        <v>13780</v>
      </c>
      <c r="DQ1426" t="s">
        <v>13772</v>
      </c>
      <c r="DR1426" t="s">
        <v>13772</v>
      </c>
      <c r="DS1426" t="s">
        <v>13963</v>
      </c>
      <c r="DT1426" t="s">
        <v>13772</v>
      </c>
      <c r="DU1426" t="s">
        <v>13772</v>
      </c>
      <c r="DV1426" t="s">
        <v>13796</v>
      </c>
      <c r="DW1426" t="s">
        <v>13772</v>
      </c>
      <c r="DX1426" t="s">
        <v>15897</v>
      </c>
      <c r="DY1426" t="s">
        <v>15898</v>
      </c>
      <c r="DZ1426" t="s">
        <v>15899</v>
      </c>
      <c r="EA1426" t="s">
        <v>13772</v>
      </c>
      <c r="EB1426" t="s">
        <v>15900</v>
      </c>
    </row>
    <row r="1427" spans="1:132" hidden="1">
      <c r="A1427">
        <v>239</v>
      </c>
      <c r="B1427">
        <v>1</v>
      </c>
      <c r="C1427" t="s">
        <v>609</v>
      </c>
      <c r="D1427" t="s">
        <v>610</v>
      </c>
      <c r="E1427" t="s">
        <v>73</v>
      </c>
      <c r="F1427" t="s">
        <v>73</v>
      </c>
      <c r="G1427" t="s">
        <v>73</v>
      </c>
      <c r="H1427">
        <v>21.7</v>
      </c>
      <c r="I1427">
        <v>351</v>
      </c>
      <c r="J1427">
        <v>38280</v>
      </c>
      <c r="K1427" t="s">
        <v>611</v>
      </c>
      <c r="L1427">
        <f t="shared" si="90"/>
        <v>13</v>
      </c>
      <c r="N1427">
        <v>13</v>
      </c>
      <c r="O1427">
        <v>13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1</v>
      </c>
      <c r="Z1427">
        <v>0</v>
      </c>
      <c r="AA1427">
        <v>6</v>
      </c>
      <c r="AB1427">
        <v>0</v>
      </c>
      <c r="AC1427">
        <v>2</v>
      </c>
      <c r="AD1427">
        <v>0</v>
      </c>
      <c r="AE1427">
        <v>2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2</v>
      </c>
      <c r="AR1427">
        <v>1</v>
      </c>
      <c r="AS1427">
        <v>0</v>
      </c>
      <c r="AT1427">
        <v>6</v>
      </c>
      <c r="AU1427">
        <v>0</v>
      </c>
      <c r="AV1427">
        <v>2</v>
      </c>
      <c r="AW1427">
        <v>0</v>
      </c>
      <c r="AX1427">
        <v>2</v>
      </c>
      <c r="AY1427">
        <v>0</v>
      </c>
      <c r="AZ1427">
        <v>0</v>
      </c>
      <c r="BA1427">
        <v>0</v>
      </c>
      <c r="BB1427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2</v>
      </c>
      <c r="BK1427" s="2">
        <v>1</v>
      </c>
      <c r="BL1427" s="2">
        <v>0</v>
      </c>
      <c r="BM1427" s="2">
        <v>6</v>
      </c>
      <c r="BN1427" s="2">
        <v>0</v>
      </c>
      <c r="BO1427" s="2">
        <v>2</v>
      </c>
      <c r="BP1427" s="2">
        <v>0</v>
      </c>
      <c r="BQ1427" s="2">
        <v>2</v>
      </c>
      <c r="BR1427" s="2">
        <v>0</v>
      </c>
      <c r="BS1427" s="2">
        <v>0</v>
      </c>
      <c r="BT1427" s="2">
        <v>0</v>
      </c>
      <c r="BU1427" s="2">
        <v>0</v>
      </c>
      <c r="BV1427" s="2">
        <f t="shared" si="93"/>
        <v>13</v>
      </c>
      <c r="BW1427" s="16">
        <f t="shared" si="91"/>
        <v>0.68421052631578949</v>
      </c>
      <c r="BX1427" s="16">
        <f>COUNTIF($BC$6:BU1427, "=0") / COUNTIF($BC$6:BU1427, "&gt;-1")</f>
        <v>0.3678658671996447</v>
      </c>
      <c r="BY1427" s="18">
        <f>SUM($BC$6:BU1427) / $BY$4</f>
        <v>0.97561716198331039</v>
      </c>
      <c r="BZ1427" s="14">
        <f t="shared" si="92"/>
        <v>14</v>
      </c>
      <c r="CA1427" t="s">
        <v>5832</v>
      </c>
      <c r="CZ1427" t="s">
        <v>6528</v>
      </c>
      <c r="DA1427" t="s">
        <v>5904</v>
      </c>
      <c r="DB1427">
        <v>666</v>
      </c>
      <c r="DC1427" t="s">
        <v>15901</v>
      </c>
      <c r="DD1427" t="s">
        <v>15902</v>
      </c>
      <c r="DE1427" t="s">
        <v>15903</v>
      </c>
      <c r="DF1427" t="s">
        <v>15904</v>
      </c>
      <c r="DG1427" t="s">
        <v>15905</v>
      </c>
      <c r="DH1427" t="str">
        <f>"PTGR2"</f>
        <v>PTGR2</v>
      </c>
      <c r="DI1427" t="s">
        <v>15906</v>
      </c>
      <c r="DJ1427" t="s">
        <v>13777</v>
      </c>
      <c r="DK1427">
        <v>9606</v>
      </c>
      <c r="DL1427" s="34" t="str">
        <f>HYPERLINK("http://www.uniprot.org/uniprot/Q8N8N7", "Q8N8N7")</f>
        <v>Q8N8N7</v>
      </c>
      <c r="DM1427" t="s">
        <v>15907</v>
      </c>
      <c r="DN1427" t="s">
        <v>13772</v>
      </c>
      <c r="DO1427" t="s">
        <v>13899</v>
      </c>
      <c r="DP1427" t="s">
        <v>13841</v>
      </c>
      <c r="DQ1427" t="s">
        <v>13772</v>
      </c>
      <c r="DR1427" t="s">
        <v>13772</v>
      </c>
      <c r="DS1427" t="s">
        <v>13772</v>
      </c>
      <c r="DT1427" t="s">
        <v>15759</v>
      </c>
      <c r="DU1427" t="s">
        <v>13885</v>
      </c>
      <c r="DV1427" t="s">
        <v>13772</v>
      </c>
      <c r="DW1427" t="s">
        <v>13812</v>
      </c>
      <c r="DX1427" t="s">
        <v>15908</v>
      </c>
      <c r="DY1427" t="s">
        <v>14579</v>
      </c>
      <c r="DZ1427" t="s">
        <v>15909</v>
      </c>
      <c r="EA1427" t="s">
        <v>13772</v>
      </c>
      <c r="EB1427" t="s">
        <v>15910</v>
      </c>
    </row>
    <row r="1428" spans="1:132" hidden="1">
      <c r="A1428">
        <v>244</v>
      </c>
      <c r="B1428">
        <v>1</v>
      </c>
      <c r="C1428" t="s">
        <v>621</v>
      </c>
      <c r="D1428" t="s">
        <v>73</v>
      </c>
      <c r="E1428" t="s">
        <v>73</v>
      </c>
      <c r="F1428" t="s">
        <v>73</v>
      </c>
      <c r="G1428" t="s">
        <v>73</v>
      </c>
      <c r="H1428">
        <v>32.200000000000003</v>
      </c>
      <c r="I1428">
        <v>261</v>
      </c>
      <c r="J1428">
        <v>29441</v>
      </c>
      <c r="K1428" t="s">
        <v>622</v>
      </c>
      <c r="L1428">
        <f t="shared" si="90"/>
        <v>13</v>
      </c>
      <c r="N1428">
        <v>13</v>
      </c>
      <c r="O1428">
        <v>13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>
        <v>0</v>
      </c>
      <c r="AA1428">
        <v>4</v>
      </c>
      <c r="AB1428">
        <v>3</v>
      </c>
      <c r="AC1428">
        <v>2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</v>
      </c>
      <c r="AS1428">
        <v>0</v>
      </c>
      <c r="AT1428">
        <v>4</v>
      </c>
      <c r="AU1428">
        <v>3</v>
      </c>
      <c r="AV1428">
        <v>2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3</v>
      </c>
      <c r="BL1428" s="2">
        <v>0</v>
      </c>
      <c r="BM1428" s="2">
        <v>4</v>
      </c>
      <c r="BN1428" s="2">
        <v>3</v>
      </c>
      <c r="BO1428" s="2">
        <v>2</v>
      </c>
      <c r="BP1428" s="2">
        <v>0</v>
      </c>
      <c r="BQ1428" s="2">
        <v>0</v>
      </c>
      <c r="BR1428" s="2">
        <v>0</v>
      </c>
      <c r="BS1428" s="2">
        <v>1</v>
      </c>
      <c r="BT1428" s="2">
        <v>0</v>
      </c>
      <c r="BU1428" s="2">
        <v>0</v>
      </c>
      <c r="BV1428" s="2">
        <f t="shared" si="93"/>
        <v>13</v>
      </c>
      <c r="BW1428" s="16">
        <f t="shared" si="91"/>
        <v>0.68421052631578949</v>
      </c>
      <c r="BX1428" s="16">
        <f>COUNTIF($BC$6:BU1428, "=0") / COUNTIF($BC$6:BU1428, "&gt;-1")</f>
        <v>0.36812516181529015</v>
      </c>
      <c r="BY1428" s="18">
        <f>SUM($BC$6:BU1428) / $BY$4</f>
        <v>0.97567284926260345</v>
      </c>
      <c r="BZ1428" s="14">
        <f t="shared" si="92"/>
        <v>14</v>
      </c>
      <c r="CA1428" t="s">
        <v>5832</v>
      </c>
      <c r="CZ1428" t="s">
        <v>6544</v>
      </c>
      <c r="DA1428" t="s">
        <v>5904</v>
      </c>
      <c r="DB1428">
        <v>536.20000000000005</v>
      </c>
      <c r="DC1428" t="s">
        <v>15955</v>
      </c>
      <c r="DD1428" t="s">
        <v>15956</v>
      </c>
      <c r="DE1428" t="s">
        <v>15957</v>
      </c>
      <c r="DF1428" t="s">
        <v>15958</v>
      </c>
      <c r="DG1428" t="s">
        <v>15959</v>
      </c>
      <c r="DH1428" t="str">
        <f>"PSMA4"</f>
        <v>PSMA4</v>
      </c>
      <c r="DI1428" t="s">
        <v>15960</v>
      </c>
      <c r="DJ1428" t="s">
        <v>13777</v>
      </c>
      <c r="DK1428">
        <v>9606</v>
      </c>
      <c r="DL1428" s="34" t="str">
        <f>HYPERLINK("http://www.uniprot.org/uniprot/P25789", "P25789")</f>
        <v>P25789</v>
      </c>
      <c r="DM1428" t="s">
        <v>15961</v>
      </c>
      <c r="DN1428" t="s">
        <v>14563</v>
      </c>
      <c r="DO1428" t="s">
        <v>14204</v>
      </c>
      <c r="DP1428" t="s">
        <v>13841</v>
      </c>
      <c r="DQ1428" t="s">
        <v>13772</v>
      </c>
      <c r="DR1428" t="s">
        <v>13772</v>
      </c>
      <c r="DS1428" t="s">
        <v>13772</v>
      </c>
      <c r="DT1428" t="s">
        <v>13772</v>
      </c>
      <c r="DU1428" t="s">
        <v>14564</v>
      </c>
      <c r="DV1428" t="s">
        <v>13886</v>
      </c>
      <c r="DW1428" t="s">
        <v>13812</v>
      </c>
      <c r="DX1428" t="s">
        <v>15962</v>
      </c>
      <c r="DY1428" t="s">
        <v>15963</v>
      </c>
      <c r="DZ1428" t="s">
        <v>15932</v>
      </c>
      <c r="EA1428" t="s">
        <v>13772</v>
      </c>
      <c r="EB1428" t="s">
        <v>14208</v>
      </c>
    </row>
    <row r="1429" spans="1:132" hidden="1">
      <c r="A1429">
        <v>278</v>
      </c>
      <c r="B1429">
        <v>1</v>
      </c>
      <c r="C1429" t="s">
        <v>704</v>
      </c>
      <c r="D1429" t="s">
        <v>705</v>
      </c>
      <c r="E1429" t="s">
        <v>73</v>
      </c>
      <c r="F1429" t="s">
        <v>73</v>
      </c>
      <c r="G1429" t="s">
        <v>73</v>
      </c>
      <c r="H1429">
        <v>14.6</v>
      </c>
      <c r="I1429">
        <v>164</v>
      </c>
      <c r="J1429">
        <v>18674</v>
      </c>
      <c r="K1429" t="s">
        <v>706</v>
      </c>
      <c r="L1429">
        <f t="shared" si="90"/>
        <v>13</v>
      </c>
      <c r="N1429">
        <v>13</v>
      </c>
      <c r="O1429">
        <v>13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2</v>
      </c>
      <c r="V1429">
        <v>0</v>
      </c>
      <c r="W1429">
        <v>1</v>
      </c>
      <c r="X1429">
        <v>4</v>
      </c>
      <c r="Y1429">
        <v>0</v>
      </c>
      <c r="Z1429">
        <v>0</v>
      </c>
      <c r="AA1429">
        <v>1</v>
      </c>
      <c r="AB1429">
        <v>0</v>
      </c>
      <c r="AC1429">
        <v>2</v>
      </c>
      <c r="AD1429">
        <v>0</v>
      </c>
      <c r="AE1429">
        <v>1</v>
      </c>
      <c r="AF1429">
        <v>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</v>
      </c>
      <c r="AO1429">
        <v>0</v>
      </c>
      <c r="AP1429">
        <v>1</v>
      </c>
      <c r="AQ1429">
        <v>4</v>
      </c>
      <c r="AR1429">
        <v>0</v>
      </c>
      <c r="AS1429">
        <v>0</v>
      </c>
      <c r="AT1429">
        <v>1</v>
      </c>
      <c r="AU1429">
        <v>0</v>
      </c>
      <c r="AV1429">
        <v>2</v>
      </c>
      <c r="AW1429">
        <v>0</v>
      </c>
      <c r="AX1429">
        <v>1</v>
      </c>
      <c r="AY1429">
        <v>2</v>
      </c>
      <c r="AZ1429">
        <v>0</v>
      </c>
      <c r="BA1429">
        <v>0</v>
      </c>
      <c r="BB1429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2</v>
      </c>
      <c r="BH1429" s="2">
        <v>0</v>
      </c>
      <c r="BI1429" s="2">
        <v>1</v>
      </c>
      <c r="BJ1429" s="2">
        <v>4</v>
      </c>
      <c r="BK1429" s="2">
        <v>0</v>
      </c>
      <c r="BL1429" s="2">
        <v>0</v>
      </c>
      <c r="BM1429" s="2">
        <v>1</v>
      </c>
      <c r="BN1429" s="2">
        <v>0</v>
      </c>
      <c r="BO1429" s="2">
        <v>2</v>
      </c>
      <c r="BP1429" s="2">
        <v>0</v>
      </c>
      <c r="BQ1429" s="2">
        <v>1</v>
      </c>
      <c r="BR1429" s="2">
        <v>2</v>
      </c>
      <c r="BS1429" s="2">
        <v>0</v>
      </c>
      <c r="BT1429" s="2">
        <v>0</v>
      </c>
      <c r="BU1429" s="2">
        <v>0</v>
      </c>
      <c r="BV1429" s="2">
        <f t="shared" si="93"/>
        <v>13</v>
      </c>
      <c r="BW1429" s="16">
        <f t="shared" si="91"/>
        <v>0.68421052631578949</v>
      </c>
      <c r="BX1429" s="16">
        <f>COUNTIF($BC$6:BU1429, "=0") / COUNTIF($BC$6:BU1429, "&gt;-1")</f>
        <v>0.36831017149615614</v>
      </c>
      <c r="BY1429" s="18">
        <f>SUM($BC$6:BU1429) / $BY$4</f>
        <v>0.97572853654189662</v>
      </c>
      <c r="BZ1429" s="14">
        <f t="shared" si="92"/>
        <v>12</v>
      </c>
      <c r="CA1429" t="s">
        <v>5832</v>
      </c>
      <c r="CZ1429" t="s">
        <v>6662</v>
      </c>
      <c r="DA1429" t="s">
        <v>5904</v>
      </c>
      <c r="DB1429">
        <v>303.10000000000002</v>
      </c>
      <c r="DC1429" t="s">
        <v>16315</v>
      </c>
      <c r="DD1429" t="s">
        <v>13772</v>
      </c>
      <c r="DE1429" t="s">
        <v>16316</v>
      </c>
      <c r="DF1429" t="s">
        <v>16317</v>
      </c>
      <c r="DG1429" t="s">
        <v>16318</v>
      </c>
      <c r="DH1429" t="str">
        <f>"MDP1"</f>
        <v>MDP1</v>
      </c>
      <c r="DI1429" t="s">
        <v>13772</v>
      </c>
      <c r="DJ1429" t="s">
        <v>13777</v>
      </c>
      <c r="DK1429">
        <v>9606</v>
      </c>
      <c r="DL1429" s="34" t="str">
        <f>HYPERLINK("http://www.uniprot.org/uniprot/Q86V88", "Q86V88")</f>
        <v>Q86V88</v>
      </c>
      <c r="DM1429" t="s">
        <v>16319</v>
      </c>
      <c r="DN1429" t="s">
        <v>13772</v>
      </c>
      <c r="DO1429" t="s">
        <v>13772</v>
      </c>
      <c r="DP1429" t="s">
        <v>13841</v>
      </c>
      <c r="DQ1429" t="s">
        <v>13772</v>
      </c>
      <c r="DR1429" t="s">
        <v>13772</v>
      </c>
      <c r="DS1429" t="s">
        <v>13772</v>
      </c>
      <c r="DT1429" t="s">
        <v>14784</v>
      </c>
      <c r="DU1429" t="s">
        <v>16320</v>
      </c>
      <c r="DV1429" t="s">
        <v>13772</v>
      </c>
      <c r="DW1429" t="s">
        <v>13812</v>
      </c>
      <c r="DX1429" t="s">
        <v>16321</v>
      </c>
      <c r="DY1429" t="s">
        <v>13772</v>
      </c>
      <c r="DZ1429" t="s">
        <v>16322</v>
      </c>
      <c r="EA1429" t="s">
        <v>13772</v>
      </c>
      <c r="EB1429" t="s">
        <v>13772</v>
      </c>
    </row>
    <row r="1430" spans="1:132" hidden="1">
      <c r="A1430">
        <v>363</v>
      </c>
      <c r="B1430">
        <v>1</v>
      </c>
      <c r="C1430" t="s">
        <v>907</v>
      </c>
      <c r="D1430" t="s">
        <v>908</v>
      </c>
      <c r="E1430" t="s">
        <v>73</v>
      </c>
      <c r="F1430" t="s">
        <v>73</v>
      </c>
      <c r="G1430" t="s">
        <v>73</v>
      </c>
      <c r="H1430">
        <v>3.8</v>
      </c>
      <c r="I1430">
        <v>1148</v>
      </c>
      <c r="J1430">
        <v>119276</v>
      </c>
      <c r="K1430" t="s">
        <v>909</v>
      </c>
      <c r="L1430">
        <f t="shared" si="90"/>
        <v>13</v>
      </c>
      <c r="N1430">
        <v>13</v>
      </c>
      <c r="O1430">
        <v>13</v>
      </c>
      <c r="P1430">
        <v>1</v>
      </c>
      <c r="Q1430">
        <v>0</v>
      </c>
      <c r="R1430">
        <v>4</v>
      </c>
      <c r="S1430">
        <v>2</v>
      </c>
      <c r="T1430">
        <v>1</v>
      </c>
      <c r="U1430">
        <v>1</v>
      </c>
      <c r="V1430">
        <v>0</v>
      </c>
      <c r="W1430">
        <v>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4</v>
      </c>
      <c r="AL1430">
        <v>2</v>
      </c>
      <c r="AM1430">
        <v>1</v>
      </c>
      <c r="AN1430">
        <v>1</v>
      </c>
      <c r="AO1430">
        <v>0</v>
      </c>
      <c r="AP1430">
        <v>4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 s="2">
        <v>0</v>
      </c>
      <c r="BD1430" s="2">
        <v>4</v>
      </c>
      <c r="BE1430" s="2">
        <v>2</v>
      </c>
      <c r="BF1430" s="2">
        <v>1</v>
      </c>
      <c r="BG1430" s="2">
        <v>1</v>
      </c>
      <c r="BH1430" s="2">
        <v>0</v>
      </c>
      <c r="BI1430" s="2">
        <v>4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1</v>
      </c>
      <c r="BS1430" s="2">
        <v>0</v>
      </c>
      <c r="BT1430" s="2">
        <v>0</v>
      </c>
      <c r="BU1430" s="2">
        <v>0</v>
      </c>
      <c r="BV1430" s="2">
        <f t="shared" si="93"/>
        <v>13</v>
      </c>
      <c r="BW1430" s="16">
        <f t="shared" si="91"/>
        <v>0.68421052631578949</v>
      </c>
      <c r="BX1430" s="16">
        <f>COUNTIF($BC$6:BU1430, "=0") / COUNTIF($BC$6:BU1430, "&gt;-1")</f>
        <v>0.36853185595567867</v>
      </c>
      <c r="BY1430" s="18">
        <f>SUM($BC$6:BU1430) / $BY$4</f>
        <v>0.97578422382118968</v>
      </c>
      <c r="BZ1430" s="14">
        <f t="shared" si="92"/>
        <v>13</v>
      </c>
      <c r="CA1430" t="s">
        <v>5832</v>
      </c>
      <c r="CZ1430" t="s">
        <v>6957</v>
      </c>
      <c r="DA1430" t="s">
        <v>5904</v>
      </c>
      <c r="DB1430">
        <v>1657.5</v>
      </c>
      <c r="DC1430" t="s">
        <v>17210</v>
      </c>
      <c r="DD1430" t="s">
        <v>13772</v>
      </c>
      <c r="DE1430" t="s">
        <v>17211</v>
      </c>
      <c r="DF1430" t="s">
        <v>17212</v>
      </c>
      <c r="DG1430" t="s">
        <v>17213</v>
      </c>
      <c r="DH1430" t="str">
        <f>"COL28A1"</f>
        <v>COL28A1</v>
      </c>
      <c r="DI1430" t="s">
        <v>17214</v>
      </c>
      <c r="DJ1430" t="s">
        <v>13777</v>
      </c>
      <c r="DK1430">
        <v>9606</v>
      </c>
      <c r="DL1430" s="34" t="str">
        <f>HYPERLINK("http://www.uniprot.org/uniprot/Q2UY09", "Q2UY09")</f>
        <v>Q2UY09</v>
      </c>
      <c r="DM1430" t="s">
        <v>17215</v>
      </c>
      <c r="DN1430" t="s">
        <v>13949</v>
      </c>
      <c r="DO1430" t="s">
        <v>15002</v>
      </c>
      <c r="DP1430" t="s">
        <v>13780</v>
      </c>
      <c r="DQ1430" t="s">
        <v>13772</v>
      </c>
      <c r="DR1430" t="s">
        <v>13772</v>
      </c>
      <c r="DS1430" t="s">
        <v>13872</v>
      </c>
      <c r="DT1430" t="s">
        <v>13772</v>
      </c>
      <c r="DU1430" t="s">
        <v>14375</v>
      </c>
      <c r="DV1430" t="s">
        <v>14506</v>
      </c>
      <c r="DW1430" t="s">
        <v>13772</v>
      </c>
      <c r="DX1430" t="s">
        <v>17216</v>
      </c>
      <c r="DY1430" t="s">
        <v>17217</v>
      </c>
      <c r="DZ1430" t="s">
        <v>16758</v>
      </c>
      <c r="EA1430" t="s">
        <v>13772</v>
      </c>
      <c r="EB1430" t="s">
        <v>17218</v>
      </c>
    </row>
    <row r="1431" spans="1:132" hidden="1">
      <c r="A1431">
        <v>389</v>
      </c>
      <c r="B1431">
        <v>1</v>
      </c>
      <c r="C1431" t="s">
        <v>972</v>
      </c>
      <c r="D1431" t="s">
        <v>973</v>
      </c>
      <c r="E1431" t="s">
        <v>73</v>
      </c>
      <c r="F1431" t="s">
        <v>73</v>
      </c>
      <c r="G1431" t="s">
        <v>73</v>
      </c>
      <c r="H1431">
        <v>15</v>
      </c>
      <c r="I1431">
        <v>294</v>
      </c>
      <c r="J1431">
        <v>32671</v>
      </c>
      <c r="K1431" t="s">
        <v>974</v>
      </c>
      <c r="L1431">
        <f t="shared" si="90"/>
        <v>13</v>
      </c>
      <c r="N1431">
        <v>13</v>
      </c>
      <c r="O1431">
        <v>13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4</v>
      </c>
      <c r="AF1431">
        <v>3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4</v>
      </c>
      <c r="AY1431">
        <v>3</v>
      </c>
      <c r="AZ1431">
        <v>0</v>
      </c>
      <c r="BA1431">
        <v>0</v>
      </c>
      <c r="BB1431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3</v>
      </c>
      <c r="BL1431" s="2">
        <v>0</v>
      </c>
      <c r="BM1431" s="2">
        <v>1</v>
      </c>
      <c r="BN1431" s="2">
        <v>0</v>
      </c>
      <c r="BO1431" s="2">
        <v>1</v>
      </c>
      <c r="BP1431" s="2">
        <v>0</v>
      </c>
      <c r="BQ1431" s="2">
        <v>4</v>
      </c>
      <c r="BR1431" s="2">
        <v>3</v>
      </c>
      <c r="BS1431" s="2">
        <v>0</v>
      </c>
      <c r="BT1431" s="2">
        <v>0</v>
      </c>
      <c r="BU1431" s="2">
        <v>1</v>
      </c>
      <c r="BV1431" s="2">
        <f t="shared" si="93"/>
        <v>13</v>
      </c>
      <c r="BW1431" s="16">
        <f t="shared" si="91"/>
        <v>0.68421052631578949</v>
      </c>
      <c r="BX1431" s="16">
        <f>COUNTIF($BC$6:BU1431, "=0") / COUNTIF($BC$6:BU1431, "&gt;-1")</f>
        <v>0.36875322949730566</v>
      </c>
      <c r="BY1431" s="18">
        <f>SUM($BC$6:BU1431) / $BY$4</f>
        <v>0.97583991110048285</v>
      </c>
      <c r="BZ1431" s="14">
        <f t="shared" si="92"/>
        <v>13</v>
      </c>
      <c r="CA1431" t="s">
        <v>5832</v>
      </c>
      <c r="CZ1431" t="s">
        <v>7051</v>
      </c>
      <c r="DA1431" t="s">
        <v>5904</v>
      </c>
      <c r="DB1431">
        <v>485.3</v>
      </c>
      <c r="DC1431" t="s">
        <v>17494</v>
      </c>
      <c r="DD1431" t="s">
        <v>17495</v>
      </c>
      <c r="DE1431" t="s">
        <v>17496</v>
      </c>
      <c r="DF1431" t="s">
        <v>17497</v>
      </c>
      <c r="DG1431" t="s">
        <v>17498</v>
      </c>
      <c r="DH1431" t="str">
        <f>"VAPA"</f>
        <v>VAPA</v>
      </c>
      <c r="DI1431" t="s">
        <v>17499</v>
      </c>
      <c r="DJ1431" t="s">
        <v>13777</v>
      </c>
      <c r="DK1431">
        <v>9606</v>
      </c>
      <c r="DL1431" s="34" t="str">
        <f>HYPERLINK("http://www.uniprot.org/uniprot/Q9P0L0", "Q9P0L0")</f>
        <v>Q9P0L0</v>
      </c>
      <c r="DM1431" t="s">
        <v>17500</v>
      </c>
      <c r="DN1431" t="s">
        <v>13772</v>
      </c>
      <c r="DO1431" t="s">
        <v>17501</v>
      </c>
      <c r="DP1431" t="s">
        <v>13780</v>
      </c>
      <c r="DQ1431" t="s">
        <v>13772</v>
      </c>
      <c r="DR1431" t="s">
        <v>13772</v>
      </c>
      <c r="DS1431" t="s">
        <v>15628</v>
      </c>
      <c r="DT1431" t="s">
        <v>13772</v>
      </c>
      <c r="DU1431" t="s">
        <v>13772</v>
      </c>
      <c r="DV1431" t="s">
        <v>13886</v>
      </c>
      <c r="DW1431" t="s">
        <v>13812</v>
      </c>
      <c r="DX1431" t="s">
        <v>17502</v>
      </c>
      <c r="DY1431" t="s">
        <v>17503</v>
      </c>
      <c r="DZ1431" t="s">
        <v>17504</v>
      </c>
      <c r="EA1431" t="s">
        <v>13772</v>
      </c>
      <c r="EB1431" t="s">
        <v>17505</v>
      </c>
    </row>
    <row r="1432" spans="1:132" hidden="1">
      <c r="A1432">
        <v>406</v>
      </c>
      <c r="B1432">
        <v>1</v>
      </c>
      <c r="C1432" t="s">
        <v>1018</v>
      </c>
      <c r="D1432" t="s">
        <v>73</v>
      </c>
      <c r="E1432" t="s">
        <v>73</v>
      </c>
      <c r="F1432" t="s">
        <v>1019</v>
      </c>
      <c r="G1432" t="s">
        <v>73</v>
      </c>
      <c r="H1432">
        <v>50</v>
      </c>
      <c r="I1432">
        <v>132</v>
      </c>
      <c r="J1432">
        <v>14869</v>
      </c>
      <c r="K1432" t="s">
        <v>1020</v>
      </c>
      <c r="L1432">
        <f t="shared" si="90"/>
        <v>20</v>
      </c>
      <c r="N1432">
        <v>20</v>
      </c>
      <c r="O1432">
        <v>13</v>
      </c>
      <c r="P1432">
        <v>0.65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3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5</v>
      </c>
      <c r="AG1432">
        <v>4</v>
      </c>
      <c r="AH1432">
        <v>1</v>
      </c>
      <c r="AI1432">
        <v>2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5</v>
      </c>
      <c r="AZ1432">
        <v>4</v>
      </c>
      <c r="BA1432">
        <v>0</v>
      </c>
      <c r="BB1432">
        <v>2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1</v>
      </c>
      <c r="BL1432" s="2">
        <v>0</v>
      </c>
      <c r="BM1432" s="2">
        <v>1</v>
      </c>
      <c r="BN1432" s="2">
        <v>0</v>
      </c>
      <c r="BO1432" s="2">
        <v>0</v>
      </c>
      <c r="BP1432" s="2">
        <v>0</v>
      </c>
      <c r="BQ1432" s="2">
        <v>0</v>
      </c>
      <c r="BR1432" s="2">
        <v>5</v>
      </c>
      <c r="BS1432" s="2">
        <v>4</v>
      </c>
      <c r="BT1432" s="2">
        <v>0</v>
      </c>
      <c r="BU1432" s="2">
        <v>2</v>
      </c>
      <c r="BV1432" s="2">
        <f t="shared" si="93"/>
        <v>13</v>
      </c>
      <c r="BW1432" s="16">
        <f t="shared" si="91"/>
        <v>0.68421052631578949</v>
      </c>
      <c r="BX1432" s="16">
        <f>COUNTIF($BC$6:BU1432, "=0") / COUNTIF($BC$6:BU1432, "&gt;-1")</f>
        <v>0.36901117545089074</v>
      </c>
      <c r="BY1432" s="18">
        <f>SUM($BC$6:BU1432) / $BY$4</f>
        <v>0.97589559837977591</v>
      </c>
      <c r="BZ1432" s="14">
        <f t="shared" si="92"/>
        <v>14</v>
      </c>
      <c r="CA1432" t="s">
        <v>5832</v>
      </c>
      <c r="CZ1432" t="s">
        <v>7111</v>
      </c>
      <c r="DA1432" t="s">
        <v>5904</v>
      </c>
      <c r="DB1432">
        <v>209.5</v>
      </c>
      <c r="DC1432" t="s">
        <v>17689</v>
      </c>
      <c r="DD1432" t="s">
        <v>17690</v>
      </c>
      <c r="DE1432" t="s">
        <v>17691</v>
      </c>
      <c r="DF1432" t="s">
        <v>17692</v>
      </c>
      <c r="DG1432" t="s">
        <v>13772</v>
      </c>
      <c r="DH1432" t="str">
        <f>"FABP9"</f>
        <v>FABP9</v>
      </c>
      <c r="DI1432" t="s">
        <v>13772</v>
      </c>
      <c r="DJ1432" t="s">
        <v>13777</v>
      </c>
      <c r="DK1432">
        <v>9606</v>
      </c>
      <c r="DL1432" s="34" t="str">
        <f>HYPERLINK("http://www.uniprot.org/uniprot/Q0Z7S8", "Q0Z7S8")</f>
        <v>Q0Z7S8</v>
      </c>
      <c r="DM1432" t="s">
        <v>17693</v>
      </c>
      <c r="DN1432" t="s">
        <v>14192</v>
      </c>
      <c r="DO1432" t="s">
        <v>13899</v>
      </c>
      <c r="DP1432" t="s">
        <v>13772</v>
      </c>
      <c r="DQ1432" t="s">
        <v>13772</v>
      </c>
      <c r="DR1432" t="s">
        <v>13772</v>
      </c>
      <c r="DS1432" t="s">
        <v>13772</v>
      </c>
      <c r="DT1432" t="s">
        <v>13900</v>
      </c>
      <c r="DU1432" t="s">
        <v>13772</v>
      </c>
      <c r="DV1432" t="s">
        <v>13782</v>
      </c>
      <c r="DW1432" t="s">
        <v>13812</v>
      </c>
      <c r="DX1432" t="s">
        <v>17694</v>
      </c>
      <c r="DY1432" t="s">
        <v>17695</v>
      </c>
      <c r="DZ1432" t="s">
        <v>16160</v>
      </c>
      <c r="EA1432" t="s">
        <v>13772</v>
      </c>
      <c r="EB1432" t="s">
        <v>17696</v>
      </c>
    </row>
    <row r="1433" spans="1:132" hidden="1">
      <c r="A1433">
        <v>443</v>
      </c>
      <c r="B1433">
        <v>1</v>
      </c>
      <c r="C1433" t="s">
        <v>1109</v>
      </c>
      <c r="D1433" t="s">
        <v>1110</v>
      </c>
      <c r="E1433" t="s">
        <v>73</v>
      </c>
      <c r="F1433" t="s">
        <v>73</v>
      </c>
      <c r="G1433" t="s">
        <v>73</v>
      </c>
      <c r="H1433">
        <v>25.3</v>
      </c>
      <c r="I1433">
        <v>233</v>
      </c>
      <c r="J1433">
        <v>26412</v>
      </c>
      <c r="K1433" t="s">
        <v>1111</v>
      </c>
      <c r="L1433">
        <f t="shared" si="90"/>
        <v>13</v>
      </c>
      <c r="N1433">
        <v>13</v>
      </c>
      <c r="O1433">
        <v>13</v>
      </c>
      <c r="P1433">
        <v>1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3</v>
      </c>
      <c r="Z1433">
        <v>0</v>
      </c>
      <c r="AA1433">
        <v>4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3</v>
      </c>
      <c r="AS1433">
        <v>0</v>
      </c>
      <c r="AT1433">
        <v>4</v>
      </c>
      <c r="AU1433">
        <v>2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 s="2">
        <v>0</v>
      </c>
      <c r="BD1433" s="2">
        <v>2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3</v>
      </c>
      <c r="BL1433" s="2">
        <v>0</v>
      </c>
      <c r="BM1433" s="2">
        <v>4</v>
      </c>
      <c r="BN1433" s="2">
        <v>2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f t="shared" si="93"/>
        <v>13</v>
      </c>
      <c r="BW1433" s="16">
        <f t="shared" si="91"/>
        <v>0.68421052631578949</v>
      </c>
      <c r="BX1433" s="16">
        <f>COUNTIF($BC$6:BU1433, "=0") / COUNTIF($BC$6:BU1433, "&gt;-1")</f>
        <v>0.36923190328763084</v>
      </c>
      <c r="BY1433" s="18">
        <f>SUM($BC$6:BU1433) / $BY$4</f>
        <v>0.97595128565906897</v>
      </c>
      <c r="BZ1433" s="14">
        <f t="shared" si="92"/>
        <v>13</v>
      </c>
      <c r="CA1433" t="s">
        <v>5832</v>
      </c>
      <c r="CZ1433" t="s">
        <v>7237</v>
      </c>
      <c r="DA1433" t="s">
        <v>5904</v>
      </c>
      <c r="DB1433">
        <v>424.9</v>
      </c>
      <c r="DC1433" t="s">
        <v>18089</v>
      </c>
      <c r="DD1433" t="s">
        <v>18090</v>
      </c>
      <c r="DE1433" t="s">
        <v>18091</v>
      </c>
      <c r="DF1433" t="s">
        <v>18092</v>
      </c>
      <c r="DG1433" t="s">
        <v>18093</v>
      </c>
      <c r="DH1433" t="str">
        <f>"RAN"</f>
        <v>RAN</v>
      </c>
      <c r="DI1433" t="s">
        <v>18094</v>
      </c>
      <c r="DJ1433" t="s">
        <v>13777</v>
      </c>
      <c r="DK1433">
        <v>9606</v>
      </c>
      <c r="DL1433" s="34" t="str">
        <f>HYPERLINK("http://www.uniprot.org/uniprot/P62826", "P62826")</f>
        <v>P62826</v>
      </c>
      <c r="DM1433" t="s">
        <v>18095</v>
      </c>
      <c r="DN1433" t="s">
        <v>18096</v>
      </c>
      <c r="DO1433" t="s">
        <v>13912</v>
      </c>
      <c r="DP1433" t="s">
        <v>13772</v>
      </c>
      <c r="DQ1433" t="s">
        <v>13772</v>
      </c>
      <c r="DR1433" t="s">
        <v>13772</v>
      </c>
      <c r="DS1433" t="s">
        <v>13772</v>
      </c>
      <c r="DT1433" t="s">
        <v>16882</v>
      </c>
      <c r="DU1433" t="s">
        <v>13772</v>
      </c>
      <c r="DV1433" t="s">
        <v>13991</v>
      </c>
      <c r="DW1433" t="s">
        <v>13812</v>
      </c>
      <c r="DX1433" t="s">
        <v>18097</v>
      </c>
      <c r="DY1433" t="s">
        <v>18098</v>
      </c>
      <c r="DZ1433" t="s">
        <v>18099</v>
      </c>
      <c r="EA1433" t="s">
        <v>13772</v>
      </c>
      <c r="EB1433" t="s">
        <v>18100</v>
      </c>
    </row>
    <row r="1434" spans="1:132" hidden="1">
      <c r="A1434">
        <v>470</v>
      </c>
      <c r="B1434">
        <v>1</v>
      </c>
      <c r="C1434" t="s">
        <v>1179</v>
      </c>
      <c r="D1434" t="s">
        <v>1180</v>
      </c>
      <c r="E1434" t="s">
        <v>73</v>
      </c>
      <c r="F1434" t="s">
        <v>73</v>
      </c>
      <c r="G1434" t="s">
        <v>73</v>
      </c>
      <c r="H1434">
        <v>3.7</v>
      </c>
      <c r="I1434">
        <v>807</v>
      </c>
      <c r="J1434">
        <v>90881</v>
      </c>
      <c r="K1434" t="s">
        <v>1181</v>
      </c>
      <c r="L1434">
        <f t="shared" si="90"/>
        <v>13</v>
      </c>
      <c r="N1434">
        <v>13</v>
      </c>
      <c r="O1434">
        <v>13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>
        <v>0</v>
      </c>
      <c r="AA1434">
        <v>3</v>
      </c>
      <c r="AB1434">
        <v>0</v>
      </c>
      <c r="AC1434">
        <v>1</v>
      </c>
      <c r="AD1434">
        <v>0</v>
      </c>
      <c r="AE1434">
        <v>3</v>
      </c>
      <c r="AF1434">
        <v>1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3</v>
      </c>
      <c r="AS1434">
        <v>0</v>
      </c>
      <c r="AT1434">
        <v>3</v>
      </c>
      <c r="AU1434">
        <v>0</v>
      </c>
      <c r="AV1434">
        <v>1</v>
      </c>
      <c r="AW1434">
        <v>0</v>
      </c>
      <c r="AX1434">
        <v>3</v>
      </c>
      <c r="AY1434">
        <v>1</v>
      </c>
      <c r="AZ1434">
        <v>0</v>
      </c>
      <c r="BA1434">
        <v>0</v>
      </c>
      <c r="BB1434">
        <v>2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3</v>
      </c>
      <c r="BL1434" s="2">
        <v>0</v>
      </c>
      <c r="BM1434" s="2">
        <v>3</v>
      </c>
      <c r="BN1434" s="2">
        <v>0</v>
      </c>
      <c r="BO1434" s="2">
        <v>1</v>
      </c>
      <c r="BP1434" s="2">
        <v>0</v>
      </c>
      <c r="BQ1434" s="2">
        <v>3</v>
      </c>
      <c r="BR1434" s="2">
        <v>1</v>
      </c>
      <c r="BS1434" s="2">
        <v>0</v>
      </c>
      <c r="BT1434" s="2">
        <v>0</v>
      </c>
      <c r="BU1434" s="2">
        <v>2</v>
      </c>
      <c r="BV1434" s="2">
        <f t="shared" si="93"/>
        <v>13</v>
      </c>
      <c r="BW1434" s="16">
        <f t="shared" si="91"/>
        <v>0.68421052631578949</v>
      </c>
      <c r="BX1434" s="16">
        <f>COUNTIF($BC$6:BU1434, "=0") / COUNTIF($BC$6:BU1434, "&gt;-1")</f>
        <v>0.36945232219807744</v>
      </c>
      <c r="BY1434" s="18">
        <f>SUM($BC$6:BU1434) / $BY$4</f>
        <v>0.97600697293836214</v>
      </c>
      <c r="BZ1434" s="14">
        <f t="shared" si="92"/>
        <v>13</v>
      </c>
      <c r="CA1434" t="s">
        <v>5832</v>
      </c>
      <c r="CZ1434" t="s">
        <v>7335</v>
      </c>
      <c r="DA1434" t="s">
        <v>5904</v>
      </c>
      <c r="DB1434">
        <v>1640.5</v>
      </c>
      <c r="DC1434" t="s">
        <v>18383</v>
      </c>
      <c r="DD1434" t="s">
        <v>18384</v>
      </c>
      <c r="DE1434" t="s">
        <v>18385</v>
      </c>
      <c r="DF1434" t="s">
        <v>18386</v>
      </c>
      <c r="DG1434" t="s">
        <v>18387</v>
      </c>
      <c r="DH1434" t="str">
        <f>"SPON1"</f>
        <v>SPON1</v>
      </c>
      <c r="DI1434" t="s">
        <v>18388</v>
      </c>
      <c r="DJ1434" t="s">
        <v>13777</v>
      </c>
      <c r="DK1434">
        <v>9606</v>
      </c>
      <c r="DL1434" s="34" t="str">
        <f>HYPERLINK("http://www.uniprot.org/uniprot/Q9HCB6", "Q9HCB6")</f>
        <v>Q9HCB6</v>
      </c>
      <c r="DM1434" t="s">
        <v>18389</v>
      </c>
      <c r="DN1434" t="s">
        <v>13949</v>
      </c>
      <c r="DO1434" t="s">
        <v>13869</v>
      </c>
      <c r="DP1434" t="s">
        <v>13772</v>
      </c>
      <c r="DQ1434" t="s">
        <v>13772</v>
      </c>
      <c r="DR1434" t="s">
        <v>13772</v>
      </c>
      <c r="DS1434" t="s">
        <v>14404</v>
      </c>
      <c r="DT1434" t="s">
        <v>18390</v>
      </c>
      <c r="DU1434" t="s">
        <v>13772</v>
      </c>
      <c r="DV1434" t="s">
        <v>13796</v>
      </c>
      <c r="DW1434" t="s">
        <v>13812</v>
      </c>
      <c r="DX1434" t="s">
        <v>18391</v>
      </c>
      <c r="DY1434" t="s">
        <v>18392</v>
      </c>
      <c r="DZ1434" t="s">
        <v>18393</v>
      </c>
      <c r="EA1434" t="s">
        <v>13772</v>
      </c>
      <c r="EB1434" t="s">
        <v>18394</v>
      </c>
    </row>
    <row r="1435" spans="1:132" hidden="1">
      <c r="A1435">
        <v>528</v>
      </c>
      <c r="B1435">
        <v>1</v>
      </c>
      <c r="C1435" t="s">
        <v>1329</v>
      </c>
      <c r="D1435" t="s">
        <v>1330</v>
      </c>
      <c r="E1435" t="s">
        <v>73</v>
      </c>
      <c r="F1435" t="s">
        <v>73</v>
      </c>
      <c r="G1435" t="s">
        <v>73</v>
      </c>
      <c r="H1435">
        <v>21.9</v>
      </c>
      <c r="I1435">
        <v>310</v>
      </c>
      <c r="J1435">
        <v>34923</v>
      </c>
      <c r="K1435" t="s">
        <v>1331</v>
      </c>
      <c r="L1435">
        <f t="shared" si="90"/>
        <v>13</v>
      </c>
      <c r="N1435">
        <v>13</v>
      </c>
      <c r="O1435">
        <v>13</v>
      </c>
      <c r="P1435">
        <v>1</v>
      </c>
      <c r="Q1435">
        <v>0</v>
      </c>
      <c r="R1435">
        <v>0</v>
      </c>
      <c r="S1435">
        <v>2</v>
      </c>
      <c r="T1435">
        <v>1</v>
      </c>
      <c r="U1435">
        <v>1</v>
      </c>
      <c r="V1435">
        <v>3</v>
      </c>
      <c r="W1435">
        <v>4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</v>
      </c>
      <c r="AM1435">
        <v>1</v>
      </c>
      <c r="AN1435">
        <v>1</v>
      </c>
      <c r="AO1435">
        <v>3</v>
      </c>
      <c r="AP1435">
        <v>4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 s="2">
        <v>0</v>
      </c>
      <c r="BD1435" s="2">
        <v>0</v>
      </c>
      <c r="BE1435" s="2">
        <v>2</v>
      </c>
      <c r="BF1435" s="2">
        <v>1</v>
      </c>
      <c r="BG1435" s="2">
        <v>1</v>
      </c>
      <c r="BH1435" s="2">
        <v>3</v>
      </c>
      <c r="BI1435" s="2">
        <v>4</v>
      </c>
      <c r="BJ1435" s="2">
        <v>1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1</v>
      </c>
      <c r="BS1435" s="2">
        <v>0</v>
      </c>
      <c r="BT1435" s="2">
        <v>0</v>
      </c>
      <c r="BU1435" s="2">
        <v>0</v>
      </c>
      <c r="BV1435" s="2">
        <f t="shared" si="93"/>
        <v>13</v>
      </c>
      <c r="BW1435" s="16">
        <f t="shared" si="91"/>
        <v>0.68421052631578949</v>
      </c>
      <c r="BX1435" s="16">
        <f>COUNTIF($BC$6:BU1435, "=0") / COUNTIF($BC$6:BU1435, "&gt;-1")</f>
        <v>0.36963562753036439</v>
      </c>
      <c r="BY1435" s="18">
        <f>SUM($BC$6:BU1435) / $BY$4</f>
        <v>0.9760626602176552</v>
      </c>
      <c r="BZ1435" s="14">
        <f t="shared" si="92"/>
        <v>12</v>
      </c>
      <c r="CA1435" t="s">
        <v>5832</v>
      </c>
      <c r="CZ1435" t="s">
        <v>7544</v>
      </c>
      <c r="DA1435" t="s">
        <v>5904</v>
      </c>
      <c r="DB1435">
        <v>570.9</v>
      </c>
      <c r="DC1435" t="s">
        <v>19006</v>
      </c>
      <c r="DD1435" t="s">
        <v>19007</v>
      </c>
      <c r="DE1435" t="s">
        <v>19008</v>
      </c>
      <c r="DF1435" t="s">
        <v>19009</v>
      </c>
      <c r="DG1435" t="s">
        <v>19010</v>
      </c>
      <c r="DH1435" t="str">
        <f>"JAM3"</f>
        <v>JAM3</v>
      </c>
      <c r="DI1435" t="s">
        <v>13772</v>
      </c>
      <c r="DJ1435" t="s">
        <v>13777</v>
      </c>
      <c r="DK1435">
        <v>9606</v>
      </c>
      <c r="DL1435" s="34" t="str">
        <f>HYPERLINK("http://www.uniprot.org/uniprot/Q9BX67", "Q9BX67")</f>
        <v>Q9BX67</v>
      </c>
      <c r="DM1435" t="s">
        <v>19011</v>
      </c>
      <c r="DN1435" t="s">
        <v>19012</v>
      </c>
      <c r="DO1435" t="s">
        <v>19013</v>
      </c>
      <c r="DP1435" t="s">
        <v>13841</v>
      </c>
      <c r="DQ1435" t="s">
        <v>13772</v>
      </c>
      <c r="DR1435" t="s">
        <v>13807</v>
      </c>
      <c r="DS1435" t="s">
        <v>13794</v>
      </c>
      <c r="DT1435" t="s">
        <v>13772</v>
      </c>
      <c r="DU1435" t="s">
        <v>13772</v>
      </c>
      <c r="DV1435" t="s">
        <v>19014</v>
      </c>
      <c r="DW1435" t="s">
        <v>13772</v>
      </c>
      <c r="DX1435" t="s">
        <v>19015</v>
      </c>
      <c r="DY1435" t="s">
        <v>19016</v>
      </c>
      <c r="DZ1435" t="s">
        <v>19017</v>
      </c>
      <c r="EA1435" t="s">
        <v>13772</v>
      </c>
      <c r="EB1435" t="s">
        <v>19018</v>
      </c>
    </row>
    <row r="1436" spans="1:132" hidden="1">
      <c r="A1436">
        <v>598</v>
      </c>
      <c r="B1436">
        <v>1</v>
      </c>
      <c r="C1436" t="s">
        <v>1482</v>
      </c>
      <c r="D1436" t="s">
        <v>73</v>
      </c>
      <c r="E1436" t="s">
        <v>73</v>
      </c>
      <c r="F1436" t="s">
        <v>73</v>
      </c>
      <c r="G1436" t="s">
        <v>73</v>
      </c>
      <c r="H1436">
        <v>14.5</v>
      </c>
      <c r="I1436">
        <v>495</v>
      </c>
      <c r="J1436">
        <v>53143</v>
      </c>
      <c r="K1436" t="s">
        <v>1483</v>
      </c>
      <c r="L1436">
        <f t="shared" si="90"/>
        <v>13</v>
      </c>
      <c r="N1436">
        <v>13</v>
      </c>
      <c r="O1436">
        <v>13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2</v>
      </c>
      <c r="Y1436">
        <v>0</v>
      </c>
      <c r="Z1436">
        <v>0</v>
      </c>
      <c r="AA1436">
        <v>3</v>
      </c>
      <c r="AB1436">
        <v>0</v>
      </c>
      <c r="AC1436">
        <v>0</v>
      </c>
      <c r="AD1436">
        <v>0</v>
      </c>
      <c r="AE1436">
        <v>6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2</v>
      </c>
      <c r="AR1436">
        <v>0</v>
      </c>
      <c r="AS1436">
        <v>0</v>
      </c>
      <c r="AT1436">
        <v>3</v>
      </c>
      <c r="AU1436">
        <v>0</v>
      </c>
      <c r="AV1436">
        <v>0</v>
      </c>
      <c r="AW1436">
        <v>0</v>
      </c>
      <c r="AX1436">
        <v>6</v>
      </c>
      <c r="AY1436">
        <v>1</v>
      </c>
      <c r="AZ1436">
        <v>0</v>
      </c>
      <c r="BA1436">
        <v>0</v>
      </c>
      <c r="BB1436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1</v>
      </c>
      <c r="BH1436" s="2">
        <v>0</v>
      </c>
      <c r="BI1436" s="2">
        <v>0</v>
      </c>
      <c r="BJ1436" s="2">
        <v>2</v>
      </c>
      <c r="BK1436" s="2">
        <v>0</v>
      </c>
      <c r="BL1436" s="2">
        <v>0</v>
      </c>
      <c r="BM1436" s="2">
        <v>3</v>
      </c>
      <c r="BN1436" s="2">
        <v>0</v>
      </c>
      <c r="BO1436" s="2">
        <v>0</v>
      </c>
      <c r="BP1436" s="2">
        <v>0</v>
      </c>
      <c r="BQ1436" s="2">
        <v>6</v>
      </c>
      <c r="BR1436" s="2">
        <v>1</v>
      </c>
      <c r="BS1436" s="2">
        <v>0</v>
      </c>
      <c r="BT1436" s="2">
        <v>0</v>
      </c>
      <c r="BU1436" s="2">
        <v>0</v>
      </c>
      <c r="BV1436" s="2">
        <f t="shared" si="93"/>
        <v>13</v>
      </c>
      <c r="BW1436" s="16">
        <f t="shared" si="91"/>
        <v>0.68421052631578949</v>
      </c>
      <c r="BX1436" s="16">
        <f>COUNTIF($BC$6:BU1436, "=0") / COUNTIF($BC$6:BU1436, "&gt;-1")</f>
        <v>0.36989223583066683</v>
      </c>
      <c r="BY1436" s="18">
        <f>SUM($BC$6:BU1436) / $BY$4</f>
        <v>0.97611834749694837</v>
      </c>
      <c r="BZ1436" s="14">
        <f t="shared" si="92"/>
        <v>14</v>
      </c>
      <c r="CA1436" t="s">
        <v>5832</v>
      </c>
      <c r="CZ1436" t="s">
        <v>7765</v>
      </c>
      <c r="DA1436" t="s">
        <v>5904</v>
      </c>
      <c r="DB1436">
        <v>592.4</v>
      </c>
      <c r="DC1436" t="s">
        <v>19684</v>
      </c>
      <c r="DD1436" t="s">
        <v>13772</v>
      </c>
      <c r="DE1436" t="s">
        <v>19685</v>
      </c>
      <c r="DF1436" t="s">
        <v>19686</v>
      </c>
      <c r="DG1436" t="s">
        <v>19687</v>
      </c>
      <c r="DH1436" t="str">
        <f>"SMTNL1"</f>
        <v>SMTNL1</v>
      </c>
      <c r="DI1436" t="s">
        <v>13772</v>
      </c>
      <c r="DJ1436" t="s">
        <v>13777</v>
      </c>
      <c r="DK1436">
        <v>9606</v>
      </c>
      <c r="DL1436" s="34" t="str">
        <f>HYPERLINK("http://www.uniprot.org/uniprot/A8MU46", "A8MU46")</f>
        <v>A8MU46</v>
      </c>
      <c r="DM1436" t="s">
        <v>19688</v>
      </c>
      <c r="DN1436" t="s">
        <v>13772</v>
      </c>
      <c r="DO1436" t="s">
        <v>13912</v>
      </c>
      <c r="DP1436" t="s">
        <v>13772</v>
      </c>
      <c r="DQ1436" t="s">
        <v>13772</v>
      </c>
      <c r="DR1436" t="s">
        <v>13772</v>
      </c>
      <c r="DS1436" t="s">
        <v>14245</v>
      </c>
      <c r="DT1436" t="s">
        <v>13772</v>
      </c>
      <c r="DU1436" t="s">
        <v>19689</v>
      </c>
      <c r="DV1436" t="s">
        <v>13782</v>
      </c>
      <c r="DW1436" t="s">
        <v>13772</v>
      </c>
      <c r="DX1436" t="s">
        <v>19690</v>
      </c>
      <c r="DY1436" t="s">
        <v>19691</v>
      </c>
      <c r="DZ1436" t="s">
        <v>19692</v>
      </c>
      <c r="EA1436" t="s">
        <v>13772</v>
      </c>
      <c r="EB1436" t="s">
        <v>13772</v>
      </c>
    </row>
    <row r="1437" spans="1:132" hidden="1">
      <c r="A1437">
        <v>698</v>
      </c>
      <c r="B1437">
        <v>1</v>
      </c>
      <c r="C1437" t="s">
        <v>1718</v>
      </c>
      <c r="D1437" t="s">
        <v>73</v>
      </c>
      <c r="E1437" t="s">
        <v>73</v>
      </c>
      <c r="F1437" t="s">
        <v>73</v>
      </c>
      <c r="G1437" t="s">
        <v>73</v>
      </c>
      <c r="H1437">
        <v>26.5</v>
      </c>
      <c r="I1437">
        <v>426</v>
      </c>
      <c r="J1437">
        <v>44232</v>
      </c>
      <c r="K1437" t="s">
        <v>1719</v>
      </c>
      <c r="L1437">
        <f t="shared" si="90"/>
        <v>13</v>
      </c>
      <c r="N1437">
        <v>13</v>
      </c>
      <c r="O1437">
        <v>13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2</v>
      </c>
      <c r="Z1437">
        <v>0</v>
      </c>
      <c r="AA1437">
        <v>4</v>
      </c>
      <c r="AB1437">
        <v>5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2</v>
      </c>
      <c r="AS1437">
        <v>0</v>
      </c>
      <c r="AT1437">
        <v>4</v>
      </c>
      <c r="AU1437">
        <v>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 s="2">
        <v>0</v>
      </c>
      <c r="BD1437" s="2">
        <v>1</v>
      </c>
      <c r="BE1437" s="2">
        <v>0</v>
      </c>
      <c r="BF1437" s="2">
        <v>0</v>
      </c>
      <c r="BG1437" s="2">
        <v>1</v>
      </c>
      <c r="BH1437" s="2">
        <v>0</v>
      </c>
      <c r="BI1437" s="2">
        <v>0</v>
      </c>
      <c r="BJ1437" s="2">
        <v>0</v>
      </c>
      <c r="BK1437" s="2">
        <v>2</v>
      </c>
      <c r="BL1437" s="2">
        <v>0</v>
      </c>
      <c r="BM1437" s="2">
        <v>4</v>
      </c>
      <c r="BN1437" s="2">
        <v>5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f t="shared" si="93"/>
        <v>13</v>
      </c>
      <c r="BW1437" s="16">
        <f t="shared" si="91"/>
        <v>0.68421052631578949</v>
      </c>
      <c r="BX1437" s="16">
        <f>COUNTIF($BC$6:BU1437, "=0") / COUNTIF($BC$6:BU1437, "&gt;-1")</f>
        <v>0.37014848573948839</v>
      </c>
      <c r="BY1437" s="18">
        <f>SUM($BC$6:BU1437) / $BY$4</f>
        <v>0.97617403477624143</v>
      </c>
      <c r="BZ1437" s="14">
        <f t="shared" si="92"/>
        <v>14</v>
      </c>
      <c r="CA1437" t="s">
        <v>5832</v>
      </c>
      <c r="CZ1437" t="s">
        <v>8099</v>
      </c>
      <c r="DA1437" t="s">
        <v>5904</v>
      </c>
      <c r="DB1437">
        <v>790</v>
      </c>
      <c r="DC1437" t="s">
        <v>20680</v>
      </c>
      <c r="DD1437" t="s">
        <v>20681</v>
      </c>
      <c r="DE1437" t="s">
        <v>20682</v>
      </c>
      <c r="DF1437" t="s">
        <v>20683</v>
      </c>
      <c r="DG1437" t="s">
        <v>20684</v>
      </c>
      <c r="DH1437" t="str">
        <f>"ACAA1"</f>
        <v>ACAA1</v>
      </c>
      <c r="DI1437" t="s">
        <v>20685</v>
      </c>
      <c r="DJ1437" t="s">
        <v>13777</v>
      </c>
      <c r="DK1437">
        <v>9606</v>
      </c>
      <c r="DL1437" s="34" t="str">
        <f>HYPERLINK("http://www.uniprot.org/uniprot/P09110", "P09110")</f>
        <v>P09110</v>
      </c>
      <c r="DM1437" t="s">
        <v>20686</v>
      </c>
      <c r="DN1437" t="s">
        <v>14430</v>
      </c>
      <c r="DO1437" t="s">
        <v>16689</v>
      </c>
      <c r="DP1437" t="s">
        <v>13780</v>
      </c>
      <c r="DQ1437" t="s">
        <v>13772</v>
      </c>
      <c r="DR1437" t="s">
        <v>13772</v>
      </c>
      <c r="DS1437" t="s">
        <v>14391</v>
      </c>
      <c r="DT1437" t="s">
        <v>13772</v>
      </c>
      <c r="DU1437" t="s">
        <v>15096</v>
      </c>
      <c r="DV1437" t="s">
        <v>13782</v>
      </c>
      <c r="DW1437" t="s">
        <v>13812</v>
      </c>
      <c r="DX1437" t="s">
        <v>20687</v>
      </c>
      <c r="DY1437" t="s">
        <v>20688</v>
      </c>
      <c r="DZ1437" t="s">
        <v>20689</v>
      </c>
      <c r="EA1437" t="s">
        <v>18150</v>
      </c>
      <c r="EB1437" t="s">
        <v>20690</v>
      </c>
    </row>
    <row r="1438" spans="1:132" hidden="1">
      <c r="A1438">
        <v>755</v>
      </c>
      <c r="B1438">
        <v>1</v>
      </c>
      <c r="C1438" t="s">
        <v>1855</v>
      </c>
      <c r="D1438" t="s">
        <v>73</v>
      </c>
      <c r="E1438" t="s">
        <v>73</v>
      </c>
      <c r="F1438" t="s">
        <v>73</v>
      </c>
      <c r="G1438" t="s">
        <v>73</v>
      </c>
      <c r="H1438">
        <v>18.3</v>
      </c>
      <c r="I1438">
        <v>1218</v>
      </c>
      <c r="J1438">
        <v>121653</v>
      </c>
      <c r="K1438" t="s">
        <v>1856</v>
      </c>
      <c r="L1438">
        <f t="shared" si="90"/>
        <v>13</v>
      </c>
      <c r="N1438">
        <v>13</v>
      </c>
      <c r="O1438">
        <v>13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5</v>
      </c>
      <c r="AB1438">
        <v>1</v>
      </c>
      <c r="AC1438">
        <v>1</v>
      </c>
      <c r="AD1438">
        <v>0</v>
      </c>
      <c r="AE1438">
        <v>4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5</v>
      </c>
      <c r="AU1438">
        <v>1</v>
      </c>
      <c r="AV1438">
        <v>1</v>
      </c>
      <c r="AW1438">
        <v>0</v>
      </c>
      <c r="AX1438">
        <v>4</v>
      </c>
      <c r="AY1438">
        <v>1</v>
      </c>
      <c r="AZ1438">
        <v>0</v>
      </c>
      <c r="BA1438">
        <v>0</v>
      </c>
      <c r="BB1438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1</v>
      </c>
      <c r="BL1438" s="2">
        <v>0</v>
      </c>
      <c r="BM1438" s="2">
        <v>5</v>
      </c>
      <c r="BN1438" s="2">
        <v>1</v>
      </c>
      <c r="BO1438" s="2">
        <v>1</v>
      </c>
      <c r="BP1438" s="2">
        <v>0</v>
      </c>
      <c r="BQ1438" s="2">
        <v>4</v>
      </c>
      <c r="BR1438" s="2">
        <v>1</v>
      </c>
      <c r="BS1438" s="2">
        <v>0</v>
      </c>
      <c r="BT1438" s="2">
        <v>0</v>
      </c>
      <c r="BU1438" s="2">
        <v>0</v>
      </c>
      <c r="BV1438" s="2">
        <f t="shared" si="93"/>
        <v>13</v>
      </c>
      <c r="BW1438" s="16">
        <f t="shared" si="91"/>
        <v>0.68421052631578949</v>
      </c>
      <c r="BX1438" s="16">
        <f>COUNTIF($BC$6:BU1438, "=0") / COUNTIF($BC$6:BU1438, "&gt;-1")</f>
        <v>0.37036764975942998</v>
      </c>
      <c r="BY1438" s="18">
        <f>SUM($BC$6:BU1438) / $BY$4</f>
        <v>0.9762297220555346</v>
      </c>
      <c r="BZ1438" s="14">
        <f t="shared" si="92"/>
        <v>13</v>
      </c>
      <c r="CA1438" t="s">
        <v>5832</v>
      </c>
      <c r="CZ1438" t="s">
        <v>8285</v>
      </c>
      <c r="DA1438" t="s">
        <v>5904</v>
      </c>
      <c r="DB1438">
        <v>1519.6</v>
      </c>
      <c r="DC1438" t="s">
        <v>21211</v>
      </c>
      <c r="DD1438" t="s">
        <v>21212</v>
      </c>
      <c r="DE1438" t="s">
        <v>21213</v>
      </c>
      <c r="DF1438" t="s">
        <v>21214</v>
      </c>
      <c r="DG1438" t="s">
        <v>21215</v>
      </c>
      <c r="DH1438" t="str">
        <f>"PLIN4"</f>
        <v>PLIN4</v>
      </c>
      <c r="DI1438" t="s">
        <v>21216</v>
      </c>
      <c r="DJ1438" t="s">
        <v>13777</v>
      </c>
      <c r="DK1438">
        <v>9606</v>
      </c>
      <c r="DL1438" s="34" t="str">
        <f>HYPERLINK("http://www.uniprot.org/uniprot/Q96Q06", "Q96Q06")</f>
        <v>Q96Q06</v>
      </c>
      <c r="DM1438" t="s">
        <v>21217</v>
      </c>
      <c r="DN1438" t="s">
        <v>13772</v>
      </c>
      <c r="DO1438" t="s">
        <v>14431</v>
      </c>
      <c r="DP1438" t="s">
        <v>13780</v>
      </c>
      <c r="DQ1438" t="s">
        <v>13772</v>
      </c>
      <c r="DR1438" t="s">
        <v>13772</v>
      </c>
      <c r="DS1438" t="s">
        <v>14096</v>
      </c>
      <c r="DT1438" t="s">
        <v>13772</v>
      </c>
      <c r="DU1438" t="s">
        <v>13772</v>
      </c>
      <c r="DV1438" t="s">
        <v>13782</v>
      </c>
      <c r="DW1438" t="s">
        <v>13772</v>
      </c>
      <c r="DX1438" t="s">
        <v>13772</v>
      </c>
      <c r="DY1438" t="s">
        <v>21218</v>
      </c>
      <c r="DZ1438" t="s">
        <v>13772</v>
      </c>
      <c r="EA1438" t="s">
        <v>13772</v>
      </c>
      <c r="EB1438" t="s">
        <v>13772</v>
      </c>
    </row>
    <row r="1439" spans="1:132" hidden="1">
      <c r="A1439">
        <v>877</v>
      </c>
      <c r="B1439">
        <v>1</v>
      </c>
      <c r="C1439" t="s">
        <v>2141</v>
      </c>
      <c r="D1439" t="s">
        <v>73</v>
      </c>
      <c r="E1439" t="s">
        <v>73</v>
      </c>
      <c r="F1439" t="s">
        <v>73</v>
      </c>
      <c r="G1439" t="s">
        <v>73</v>
      </c>
      <c r="H1439">
        <v>19.2</v>
      </c>
      <c r="I1439">
        <v>537</v>
      </c>
      <c r="J1439">
        <v>60351</v>
      </c>
      <c r="K1439" t="s">
        <v>2142</v>
      </c>
      <c r="L1439">
        <f t="shared" si="90"/>
        <v>13</v>
      </c>
      <c r="N1439">
        <v>13</v>
      </c>
      <c r="O1439">
        <v>13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2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3</v>
      </c>
      <c r="AC1439">
        <v>1</v>
      </c>
      <c r="AD1439">
        <v>0</v>
      </c>
      <c r="AE1439">
        <v>1</v>
      </c>
      <c r="AF1439">
        <v>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2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1</v>
      </c>
      <c r="AU1439">
        <v>3</v>
      </c>
      <c r="AV1439">
        <v>1</v>
      </c>
      <c r="AW1439">
        <v>0</v>
      </c>
      <c r="AX1439">
        <v>1</v>
      </c>
      <c r="AY1439">
        <v>3</v>
      </c>
      <c r="AZ1439">
        <v>0</v>
      </c>
      <c r="BA1439">
        <v>0</v>
      </c>
      <c r="BB1439">
        <v>0</v>
      </c>
      <c r="BC1439" s="2">
        <v>0</v>
      </c>
      <c r="BD1439" s="2">
        <v>0</v>
      </c>
      <c r="BE1439" s="2">
        <v>0</v>
      </c>
      <c r="BF1439" s="2">
        <v>1</v>
      </c>
      <c r="BG1439" s="2">
        <v>2</v>
      </c>
      <c r="BH1439" s="2">
        <v>0</v>
      </c>
      <c r="BI1439" s="2">
        <v>0</v>
      </c>
      <c r="BJ1439" s="2">
        <v>0</v>
      </c>
      <c r="BK1439" s="2">
        <v>1</v>
      </c>
      <c r="BL1439" s="2">
        <v>0</v>
      </c>
      <c r="BM1439" s="2">
        <v>1</v>
      </c>
      <c r="BN1439" s="2">
        <v>3</v>
      </c>
      <c r="BO1439" s="2">
        <v>1</v>
      </c>
      <c r="BP1439" s="2">
        <v>0</v>
      </c>
      <c r="BQ1439" s="2">
        <v>1</v>
      </c>
      <c r="BR1439" s="2">
        <v>3</v>
      </c>
      <c r="BS1439" s="2">
        <v>0</v>
      </c>
      <c r="BT1439" s="2">
        <v>0</v>
      </c>
      <c r="BU1439" s="2">
        <v>0</v>
      </c>
      <c r="BV1439" s="2">
        <f t="shared" si="93"/>
        <v>13</v>
      </c>
      <c r="BW1439" s="16">
        <f t="shared" si="91"/>
        <v>0.68421052631578949</v>
      </c>
      <c r="BX1439" s="16">
        <f>COUNTIF($BC$6:BU1439, "=0") / COUNTIF($BC$6:BU1439, "&gt;-1")</f>
        <v>0.37051310284078398</v>
      </c>
      <c r="BY1439" s="18">
        <f>SUM($BC$6:BU1439) / $BY$4</f>
        <v>0.97628540933482766</v>
      </c>
      <c r="BZ1439" s="14">
        <f t="shared" si="92"/>
        <v>11</v>
      </c>
      <c r="CA1439" t="s">
        <v>5832</v>
      </c>
      <c r="CZ1439" t="s">
        <v>8697</v>
      </c>
      <c r="DA1439" t="s">
        <v>5904</v>
      </c>
      <c r="DB1439">
        <v>867.5</v>
      </c>
      <c r="DC1439" t="s">
        <v>22417</v>
      </c>
      <c r="DD1439" t="s">
        <v>22418</v>
      </c>
      <c r="DE1439" t="s">
        <v>22419</v>
      </c>
      <c r="DF1439" t="s">
        <v>22420</v>
      </c>
      <c r="DG1439" t="s">
        <v>22421</v>
      </c>
      <c r="DH1439" t="str">
        <f>"PRKCSH"</f>
        <v>PRKCSH</v>
      </c>
      <c r="DI1439" t="s">
        <v>13772</v>
      </c>
      <c r="DJ1439" t="s">
        <v>13777</v>
      </c>
      <c r="DK1439">
        <v>9606</v>
      </c>
      <c r="DL1439" s="34" t="str">
        <f>HYPERLINK("http://www.uniprot.org/uniprot/P14314", "P14314")</f>
        <v>P14314</v>
      </c>
      <c r="DM1439" t="s">
        <v>22422</v>
      </c>
      <c r="DN1439" t="s">
        <v>13772</v>
      </c>
      <c r="DO1439" t="s">
        <v>14908</v>
      </c>
      <c r="DP1439" t="s">
        <v>13780</v>
      </c>
      <c r="DQ1439" t="s">
        <v>13772</v>
      </c>
      <c r="DR1439" t="s">
        <v>13807</v>
      </c>
      <c r="DS1439" t="s">
        <v>14404</v>
      </c>
      <c r="DT1439" t="s">
        <v>13873</v>
      </c>
      <c r="DU1439" t="s">
        <v>13772</v>
      </c>
      <c r="DV1439" t="s">
        <v>13964</v>
      </c>
      <c r="DW1439" t="s">
        <v>13772</v>
      </c>
      <c r="DX1439" t="s">
        <v>22423</v>
      </c>
      <c r="DY1439" t="s">
        <v>22424</v>
      </c>
      <c r="DZ1439" t="s">
        <v>22425</v>
      </c>
      <c r="EA1439" t="s">
        <v>18665</v>
      </c>
      <c r="EB1439" t="s">
        <v>22426</v>
      </c>
    </row>
    <row r="1440" spans="1:132" hidden="1">
      <c r="A1440">
        <v>1153</v>
      </c>
      <c r="B1440">
        <v>1</v>
      </c>
      <c r="C1440" t="s">
        <v>2774</v>
      </c>
      <c r="D1440" t="s">
        <v>73</v>
      </c>
      <c r="E1440" t="s">
        <v>73</v>
      </c>
      <c r="F1440" t="s">
        <v>73</v>
      </c>
      <c r="G1440" t="s">
        <v>73</v>
      </c>
      <c r="H1440">
        <v>25.6</v>
      </c>
      <c r="I1440">
        <v>301</v>
      </c>
      <c r="J1440">
        <v>34129</v>
      </c>
      <c r="K1440" t="s">
        <v>2775</v>
      </c>
      <c r="L1440">
        <f t="shared" si="90"/>
        <v>13</v>
      </c>
      <c r="N1440">
        <v>13</v>
      </c>
      <c r="O1440">
        <v>13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10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</v>
      </c>
      <c r="AU1440">
        <v>10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 s="2">
        <v>0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2</v>
      </c>
      <c r="BN1440" s="2">
        <v>10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f t="shared" si="93"/>
        <v>13</v>
      </c>
      <c r="BW1440" s="16">
        <f t="shared" si="91"/>
        <v>0.68421052631578949</v>
      </c>
      <c r="BX1440" s="16">
        <f>COUNTIF($BC$6:BU1440, "=0") / COUNTIF($BC$6:BU1440, "&gt;-1")</f>
        <v>0.3708417384925729</v>
      </c>
      <c r="BY1440" s="18">
        <f>SUM($BC$6:BU1440) / $BY$4</f>
        <v>0.97634109661412072</v>
      </c>
      <c r="BZ1440" s="14">
        <f t="shared" si="92"/>
        <v>16</v>
      </c>
      <c r="CA1440" t="s">
        <v>5832</v>
      </c>
      <c r="CZ1440" t="s">
        <v>9564</v>
      </c>
      <c r="DA1440" t="s">
        <v>5904</v>
      </c>
      <c r="DB1440">
        <v>589.70000000000005</v>
      </c>
      <c r="DC1440" t="s">
        <v>24900</v>
      </c>
      <c r="DD1440" t="s">
        <v>24901</v>
      </c>
      <c r="DE1440" t="s">
        <v>24902</v>
      </c>
      <c r="DF1440" t="s">
        <v>24903</v>
      </c>
      <c r="DG1440" t="s">
        <v>24904</v>
      </c>
      <c r="DH1440" t="str">
        <f>"CYB5R3"</f>
        <v>CYB5R3</v>
      </c>
      <c r="DI1440" t="s">
        <v>24905</v>
      </c>
      <c r="DJ1440" t="s">
        <v>13777</v>
      </c>
      <c r="DK1440">
        <v>9606</v>
      </c>
      <c r="DL1440" s="34" t="str">
        <f>HYPERLINK("http://www.uniprot.org/uniprot/P00387", "P00387")</f>
        <v>P00387</v>
      </c>
      <c r="DM1440" t="s">
        <v>24906</v>
      </c>
      <c r="DN1440" t="s">
        <v>24907</v>
      </c>
      <c r="DO1440" t="s">
        <v>24908</v>
      </c>
      <c r="DP1440" t="s">
        <v>14942</v>
      </c>
      <c r="DQ1440" t="s">
        <v>13772</v>
      </c>
      <c r="DR1440" t="s">
        <v>13807</v>
      </c>
      <c r="DS1440" t="s">
        <v>13772</v>
      </c>
      <c r="DT1440" t="s">
        <v>17159</v>
      </c>
      <c r="DU1440" t="s">
        <v>13885</v>
      </c>
      <c r="DV1440" t="s">
        <v>24909</v>
      </c>
      <c r="DW1440" t="s">
        <v>13812</v>
      </c>
      <c r="DX1440" t="s">
        <v>24910</v>
      </c>
      <c r="DY1440" t="s">
        <v>24911</v>
      </c>
      <c r="DZ1440" t="s">
        <v>24912</v>
      </c>
      <c r="EA1440" t="s">
        <v>13772</v>
      </c>
      <c r="EB1440" t="s">
        <v>24913</v>
      </c>
    </row>
    <row r="1441" spans="1:132" hidden="1">
      <c r="A1441">
        <v>1156</v>
      </c>
      <c r="B1441">
        <v>1</v>
      </c>
      <c r="C1441" t="s">
        <v>2778</v>
      </c>
      <c r="D1441" t="s">
        <v>73</v>
      </c>
      <c r="E1441" t="s">
        <v>73</v>
      </c>
      <c r="F1441" t="s">
        <v>73</v>
      </c>
      <c r="G1441" t="s">
        <v>73</v>
      </c>
      <c r="H1441">
        <v>9</v>
      </c>
      <c r="I1441">
        <v>255</v>
      </c>
      <c r="J1441">
        <v>26687</v>
      </c>
      <c r="K1441" t="s">
        <v>2779</v>
      </c>
      <c r="L1441">
        <f t="shared" si="90"/>
        <v>13</v>
      </c>
      <c r="N1441">
        <v>13</v>
      </c>
      <c r="O1441">
        <v>13</v>
      </c>
      <c r="P1441">
        <v>1</v>
      </c>
      <c r="Q1441">
        <v>1</v>
      </c>
      <c r="R1441">
        <v>2</v>
      </c>
      <c r="S1441">
        <v>1</v>
      </c>
      <c r="T1441">
        <v>1</v>
      </c>
      <c r="U1441">
        <v>2</v>
      </c>
      <c r="V1441">
        <v>2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2</v>
      </c>
      <c r="AL1441">
        <v>1</v>
      </c>
      <c r="AM1441">
        <v>1</v>
      </c>
      <c r="AN1441">
        <v>2</v>
      </c>
      <c r="AO1441">
        <v>2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 s="2">
        <v>1</v>
      </c>
      <c r="BD1441" s="2">
        <v>2</v>
      </c>
      <c r="BE1441" s="2">
        <v>1</v>
      </c>
      <c r="BF1441" s="2">
        <v>1</v>
      </c>
      <c r="BG1441" s="2">
        <v>2</v>
      </c>
      <c r="BH1441" s="2">
        <v>2</v>
      </c>
      <c r="BI1441" s="2">
        <v>1</v>
      </c>
      <c r="BJ1441" s="2">
        <v>1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1</v>
      </c>
      <c r="BS1441" s="2">
        <v>0</v>
      </c>
      <c r="BT1441" s="2">
        <v>0</v>
      </c>
      <c r="BU1441" s="2">
        <v>1</v>
      </c>
      <c r="BV1441" s="2">
        <f t="shared" si="93"/>
        <v>13</v>
      </c>
      <c r="BW1441" s="16">
        <f t="shared" si="91"/>
        <v>0.68421052631578949</v>
      </c>
      <c r="BX1441" s="16">
        <f>COUNTIF($BC$6:BU1441, "=0") / COUNTIF($BC$6:BU1441, "&gt;-1")</f>
        <v>0.37091335581293067</v>
      </c>
      <c r="BY1441" s="18">
        <f>SUM($BC$6:BU1441) / $BY$4</f>
        <v>0.97639678389341389</v>
      </c>
      <c r="BZ1441" s="14">
        <f t="shared" si="92"/>
        <v>9</v>
      </c>
      <c r="CA1441" t="s">
        <v>5832</v>
      </c>
      <c r="CZ1441" t="s">
        <v>9571</v>
      </c>
      <c r="DA1441" t="s">
        <v>5904</v>
      </c>
      <c r="DB1441">
        <v>519.6</v>
      </c>
      <c r="DC1441" t="s">
        <v>24921</v>
      </c>
      <c r="DD1441" t="s">
        <v>24922</v>
      </c>
      <c r="DE1441" t="s">
        <v>24923</v>
      </c>
      <c r="DF1441" t="s">
        <v>24924</v>
      </c>
      <c r="DG1441" t="s">
        <v>24925</v>
      </c>
      <c r="DH1441" t="str">
        <f>"C1QL3"</f>
        <v>C1QL3</v>
      </c>
      <c r="DI1441" t="s">
        <v>24926</v>
      </c>
      <c r="DJ1441" t="s">
        <v>13777</v>
      </c>
      <c r="DK1441">
        <v>9606</v>
      </c>
      <c r="DL1441" s="34" t="str">
        <f>HYPERLINK("http://www.uniprot.org/uniprot/Q5VWW1", "Q5VWW1")</f>
        <v>Q5VWW1</v>
      </c>
      <c r="DM1441" t="s">
        <v>24927</v>
      </c>
      <c r="DN1441" t="s">
        <v>13772</v>
      </c>
      <c r="DO1441" t="s">
        <v>14321</v>
      </c>
      <c r="DP1441" t="s">
        <v>13841</v>
      </c>
      <c r="DQ1441" t="s">
        <v>13772</v>
      </c>
      <c r="DR1441" t="s">
        <v>13772</v>
      </c>
      <c r="DS1441" t="s">
        <v>19034</v>
      </c>
      <c r="DT1441" t="s">
        <v>13772</v>
      </c>
      <c r="DU1441" t="s">
        <v>13772</v>
      </c>
      <c r="DV1441" t="s">
        <v>13772</v>
      </c>
      <c r="DW1441" t="s">
        <v>13772</v>
      </c>
      <c r="DX1441" t="s">
        <v>24928</v>
      </c>
      <c r="DY1441" t="s">
        <v>24929</v>
      </c>
      <c r="DZ1441" t="s">
        <v>16148</v>
      </c>
      <c r="EA1441" t="s">
        <v>13772</v>
      </c>
      <c r="EB1441" t="s">
        <v>13772</v>
      </c>
    </row>
    <row r="1442" spans="1:132" hidden="1">
      <c r="A1442">
        <v>1194</v>
      </c>
      <c r="B1442">
        <v>1</v>
      </c>
      <c r="C1442" t="s">
        <v>2865</v>
      </c>
      <c r="D1442" t="s">
        <v>73</v>
      </c>
      <c r="E1442" t="s">
        <v>73</v>
      </c>
      <c r="F1442" t="s">
        <v>73</v>
      </c>
      <c r="G1442" t="s">
        <v>73</v>
      </c>
      <c r="H1442">
        <v>13.7</v>
      </c>
      <c r="I1442">
        <v>271</v>
      </c>
      <c r="J1442">
        <v>28909</v>
      </c>
      <c r="K1442" t="s">
        <v>2866</v>
      </c>
      <c r="L1442">
        <f t="shared" si="90"/>
        <v>13</v>
      </c>
      <c r="N1442">
        <v>13</v>
      </c>
      <c r="O1442">
        <v>13</v>
      </c>
      <c r="P1442">
        <v>1</v>
      </c>
      <c r="Q1442">
        <v>1</v>
      </c>
      <c r="R1442">
        <v>3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2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3</v>
      </c>
      <c r="AL1442">
        <v>0</v>
      </c>
      <c r="AM1442">
        <v>2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1</v>
      </c>
      <c r="AU1442">
        <v>0</v>
      </c>
      <c r="AV1442">
        <v>0</v>
      </c>
      <c r="AW1442">
        <v>2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 s="2">
        <v>1</v>
      </c>
      <c r="BD1442" s="2">
        <v>3</v>
      </c>
      <c r="BE1442" s="2">
        <v>0</v>
      </c>
      <c r="BF1442" s="2">
        <v>2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1</v>
      </c>
      <c r="BN1442" s="2">
        <v>0</v>
      </c>
      <c r="BO1442" s="2">
        <v>0</v>
      </c>
      <c r="BP1442" s="2">
        <v>2</v>
      </c>
      <c r="BQ1442" s="2">
        <v>1</v>
      </c>
      <c r="BR1442" s="2">
        <v>1</v>
      </c>
      <c r="BS1442" s="2">
        <v>0</v>
      </c>
      <c r="BT1442" s="2">
        <v>0</v>
      </c>
      <c r="BU1442" s="2">
        <v>0</v>
      </c>
      <c r="BV1442" s="2">
        <f t="shared" si="93"/>
        <v>13</v>
      </c>
      <c r="BW1442" s="16">
        <f t="shared" si="91"/>
        <v>0.68421052631578949</v>
      </c>
      <c r="BX1442" s="16">
        <f>COUNTIF($BC$6:BU1442, "=0") / COUNTIF($BC$6:BU1442, "&gt;-1")</f>
        <v>0.37102149946892282</v>
      </c>
      <c r="BY1442" s="18">
        <f>SUM($BC$6:BU1442) / $BY$4</f>
        <v>0.97645247117270695</v>
      </c>
      <c r="BZ1442" s="14">
        <f t="shared" si="92"/>
        <v>10</v>
      </c>
      <c r="CA1442" t="s">
        <v>5832</v>
      </c>
      <c r="CZ1442" t="s">
        <v>9703</v>
      </c>
      <c r="DA1442" t="s">
        <v>5904</v>
      </c>
      <c r="DB1442">
        <v>522.70000000000005</v>
      </c>
      <c r="DC1442" t="s">
        <v>25295</v>
      </c>
      <c r="DD1442" t="s">
        <v>25296</v>
      </c>
      <c r="DE1442" t="s">
        <v>25297</v>
      </c>
      <c r="DF1442" t="s">
        <v>25298</v>
      </c>
      <c r="DG1442" t="s">
        <v>25299</v>
      </c>
      <c r="DH1442" t="str">
        <f>"AQP2"</f>
        <v>AQP2</v>
      </c>
      <c r="DI1442" t="s">
        <v>13772</v>
      </c>
      <c r="DJ1442" t="s">
        <v>13777</v>
      </c>
      <c r="DK1442">
        <v>9606</v>
      </c>
      <c r="DL1442" s="34" t="str">
        <f>HYPERLINK("http://www.uniprot.org/uniprot/P41181", "P41181")</f>
        <v>P41181</v>
      </c>
      <c r="DM1442" t="s">
        <v>25300</v>
      </c>
      <c r="DN1442" t="s">
        <v>14192</v>
      </c>
      <c r="DO1442" t="s">
        <v>25301</v>
      </c>
      <c r="DP1442" t="s">
        <v>13793</v>
      </c>
      <c r="DQ1442" t="s">
        <v>13772</v>
      </c>
      <c r="DR1442" t="s">
        <v>25302</v>
      </c>
      <c r="DS1442" t="s">
        <v>16604</v>
      </c>
      <c r="DT1442" t="s">
        <v>13772</v>
      </c>
      <c r="DU1442" t="s">
        <v>13772</v>
      </c>
      <c r="DV1442" t="s">
        <v>13978</v>
      </c>
      <c r="DW1442" t="s">
        <v>13812</v>
      </c>
      <c r="DX1442" t="s">
        <v>25303</v>
      </c>
      <c r="DY1442" t="s">
        <v>25304</v>
      </c>
      <c r="DZ1442" t="s">
        <v>25305</v>
      </c>
      <c r="EA1442" t="s">
        <v>13772</v>
      </c>
      <c r="EB1442" t="s">
        <v>25306</v>
      </c>
    </row>
    <row r="1443" spans="1:132" hidden="1">
      <c r="A1443">
        <v>1283</v>
      </c>
      <c r="B1443">
        <v>1</v>
      </c>
      <c r="C1443" t="s">
        <v>3078</v>
      </c>
      <c r="D1443" t="s">
        <v>3079</v>
      </c>
      <c r="E1443" t="s">
        <v>73</v>
      </c>
      <c r="F1443" t="s">
        <v>73</v>
      </c>
      <c r="G1443" t="s">
        <v>73</v>
      </c>
      <c r="H1443">
        <v>9.6</v>
      </c>
      <c r="I1443">
        <v>251</v>
      </c>
      <c r="J1443">
        <v>27744</v>
      </c>
      <c r="K1443" t="s">
        <v>3080</v>
      </c>
      <c r="L1443">
        <f t="shared" si="90"/>
        <v>13</v>
      </c>
      <c r="N1443">
        <v>13</v>
      </c>
      <c r="O1443">
        <v>13</v>
      </c>
      <c r="P1443">
        <v>1</v>
      </c>
      <c r="Q1443">
        <v>0</v>
      </c>
      <c r="R1443">
        <v>1</v>
      </c>
      <c r="S1443">
        <v>2</v>
      </c>
      <c r="T1443">
        <v>1</v>
      </c>
      <c r="U1443">
        <v>3</v>
      </c>
      <c r="V1443">
        <v>2</v>
      </c>
      <c r="W1443">
        <v>2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2</v>
      </c>
      <c r="AM1443">
        <v>1</v>
      </c>
      <c r="AN1443">
        <v>3</v>
      </c>
      <c r="AO1443">
        <v>2</v>
      </c>
      <c r="AP1443">
        <v>2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 s="2">
        <v>0</v>
      </c>
      <c r="BD1443" s="2">
        <v>1</v>
      </c>
      <c r="BE1443" s="2">
        <v>2</v>
      </c>
      <c r="BF1443" s="2">
        <v>1</v>
      </c>
      <c r="BG1443" s="2">
        <v>3</v>
      </c>
      <c r="BH1443" s="2">
        <v>2</v>
      </c>
      <c r="BI1443" s="2">
        <v>2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f t="shared" si="93"/>
        <v>13</v>
      </c>
      <c r="BW1443" s="16">
        <f t="shared" si="91"/>
        <v>0.68421052631578949</v>
      </c>
      <c r="BX1443" s="16">
        <f>COUNTIF($BC$6:BU1443, "=0") / COUNTIF($BC$6:BU1443, "&gt;-1")</f>
        <v>0.37116609325818023</v>
      </c>
      <c r="BY1443" s="18">
        <f>SUM($BC$6:BU1443) / $BY$4</f>
        <v>0.97650815845200012</v>
      </c>
      <c r="BZ1443" s="14">
        <f t="shared" si="92"/>
        <v>11</v>
      </c>
      <c r="CA1443" t="s">
        <v>5832</v>
      </c>
      <c r="CZ1443" t="s">
        <v>10014</v>
      </c>
      <c r="DA1443" t="s">
        <v>5904</v>
      </c>
      <c r="DB1443">
        <v>214.2</v>
      </c>
      <c r="DC1443" t="s">
        <v>26176</v>
      </c>
      <c r="DD1443" t="s">
        <v>26177</v>
      </c>
      <c r="DE1443" t="s">
        <v>26178</v>
      </c>
      <c r="DF1443" t="s">
        <v>26179</v>
      </c>
      <c r="DG1443" t="s">
        <v>26180</v>
      </c>
      <c r="DH1443" t="str">
        <f>"CD58"</f>
        <v>CD58</v>
      </c>
      <c r="DI1443" t="s">
        <v>26181</v>
      </c>
      <c r="DJ1443" t="s">
        <v>13777</v>
      </c>
      <c r="DK1443">
        <v>9606</v>
      </c>
      <c r="DL1443" s="34" t="str">
        <f>HYPERLINK("http://www.uniprot.org/uniprot/P19256", "P19256")</f>
        <v>P19256</v>
      </c>
      <c r="DM1443" t="s">
        <v>26182</v>
      </c>
      <c r="DN1443" t="s">
        <v>13772</v>
      </c>
      <c r="DO1443" t="s">
        <v>13792</v>
      </c>
      <c r="DP1443" t="s">
        <v>13780</v>
      </c>
      <c r="DQ1443" t="s">
        <v>13772</v>
      </c>
      <c r="DR1443" t="s">
        <v>13772</v>
      </c>
      <c r="DS1443" t="s">
        <v>13794</v>
      </c>
      <c r="DT1443" t="s">
        <v>13772</v>
      </c>
      <c r="DU1443" t="s">
        <v>13772</v>
      </c>
      <c r="DV1443" t="s">
        <v>13796</v>
      </c>
      <c r="DW1443" t="s">
        <v>13812</v>
      </c>
      <c r="DX1443" t="s">
        <v>26183</v>
      </c>
      <c r="DY1443" t="s">
        <v>26184</v>
      </c>
      <c r="DZ1443" t="s">
        <v>14749</v>
      </c>
      <c r="EA1443" t="s">
        <v>13772</v>
      </c>
      <c r="EB1443" t="s">
        <v>26185</v>
      </c>
    </row>
    <row r="1444" spans="1:132" hidden="1">
      <c r="A1444">
        <v>1304</v>
      </c>
      <c r="B1444">
        <v>1</v>
      </c>
      <c r="C1444" t="s">
        <v>3126</v>
      </c>
      <c r="D1444" t="s">
        <v>3127</v>
      </c>
      <c r="E1444" t="s">
        <v>73</v>
      </c>
      <c r="F1444" t="s">
        <v>73</v>
      </c>
      <c r="G1444" t="s">
        <v>73</v>
      </c>
      <c r="H1444">
        <v>3.8</v>
      </c>
      <c r="I1444">
        <v>952</v>
      </c>
      <c r="J1444">
        <v>105840</v>
      </c>
      <c r="K1444" t="s">
        <v>3128</v>
      </c>
      <c r="L1444">
        <f t="shared" si="90"/>
        <v>13</v>
      </c>
      <c r="N1444">
        <v>13</v>
      </c>
      <c r="O1444">
        <v>13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2</v>
      </c>
      <c r="W1444">
        <v>2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2</v>
      </c>
      <c r="AP1444">
        <v>2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 s="2">
        <v>1</v>
      </c>
      <c r="BD1444" s="2">
        <v>1</v>
      </c>
      <c r="BE1444" s="2">
        <v>1</v>
      </c>
      <c r="BF1444" s="2">
        <v>1</v>
      </c>
      <c r="BG1444" s="2">
        <v>1</v>
      </c>
      <c r="BH1444" s="2">
        <v>2</v>
      </c>
      <c r="BI1444" s="2">
        <v>2</v>
      </c>
      <c r="BJ1444" s="2">
        <v>0</v>
      </c>
      <c r="BK1444" s="2">
        <v>0</v>
      </c>
      <c r="BL1444" s="2">
        <v>0</v>
      </c>
      <c r="BM1444" s="2">
        <v>1</v>
      </c>
      <c r="BN1444" s="2">
        <v>1</v>
      </c>
      <c r="BO1444" s="2">
        <v>1</v>
      </c>
      <c r="BP1444" s="2">
        <v>0</v>
      </c>
      <c r="BQ1444" s="2">
        <v>0</v>
      </c>
      <c r="BR1444" s="2">
        <v>1</v>
      </c>
      <c r="BS1444" s="2">
        <v>0</v>
      </c>
      <c r="BT1444" s="2">
        <v>0</v>
      </c>
      <c r="BU1444" s="2">
        <v>0</v>
      </c>
      <c r="BV1444" s="2">
        <f t="shared" si="93"/>
        <v>13</v>
      </c>
      <c r="BW1444" s="16">
        <f t="shared" si="91"/>
        <v>0.68421052631578949</v>
      </c>
      <c r="BX1444" s="16">
        <f>COUNTIF($BC$6:BU1444, "=0") / COUNTIF($BC$6:BU1444, "&gt;-1")</f>
        <v>0.37120076076222525</v>
      </c>
      <c r="BY1444" s="18">
        <f>SUM($BC$6:BU1444) / $BY$4</f>
        <v>0.97656384573129318</v>
      </c>
      <c r="BZ1444" s="14">
        <f t="shared" si="92"/>
        <v>8</v>
      </c>
      <c r="CA1444" t="s">
        <v>5832</v>
      </c>
      <c r="CZ1444" t="s">
        <v>10090</v>
      </c>
      <c r="DA1444" t="s">
        <v>5904</v>
      </c>
      <c r="DB1444">
        <v>1713</v>
      </c>
      <c r="DC1444" t="s">
        <v>26397</v>
      </c>
      <c r="DD1444" t="s">
        <v>26398</v>
      </c>
      <c r="DE1444" t="s">
        <v>26399</v>
      </c>
      <c r="DF1444" t="s">
        <v>26400</v>
      </c>
      <c r="DG1444" t="s">
        <v>26401</v>
      </c>
      <c r="DH1444" t="str">
        <f>"CLSTN1"</f>
        <v>CLSTN1</v>
      </c>
      <c r="DI1444" t="s">
        <v>26402</v>
      </c>
      <c r="DJ1444" t="s">
        <v>13777</v>
      </c>
      <c r="DK1444">
        <v>9606</v>
      </c>
      <c r="DL1444" s="34" t="str">
        <f>HYPERLINK("http://www.uniprot.org/uniprot/O94985", "O94985")</f>
        <v>O94985</v>
      </c>
      <c r="DM1444" t="s">
        <v>26403</v>
      </c>
      <c r="DN1444" t="s">
        <v>13949</v>
      </c>
      <c r="DO1444" t="s">
        <v>26404</v>
      </c>
      <c r="DP1444" t="s">
        <v>13780</v>
      </c>
      <c r="DQ1444" t="s">
        <v>13772</v>
      </c>
      <c r="DR1444" t="s">
        <v>13772</v>
      </c>
      <c r="DS1444" t="s">
        <v>13826</v>
      </c>
      <c r="DT1444" t="s">
        <v>14465</v>
      </c>
      <c r="DU1444" t="s">
        <v>13772</v>
      </c>
      <c r="DV1444" t="s">
        <v>13858</v>
      </c>
      <c r="DW1444" t="s">
        <v>13772</v>
      </c>
      <c r="DX1444" t="s">
        <v>26405</v>
      </c>
      <c r="DY1444" t="s">
        <v>26406</v>
      </c>
      <c r="DZ1444" t="s">
        <v>26407</v>
      </c>
      <c r="EA1444" t="s">
        <v>13772</v>
      </c>
      <c r="EB1444" t="s">
        <v>13772</v>
      </c>
    </row>
    <row r="1445" spans="1:132" hidden="1">
      <c r="A1445">
        <v>1392</v>
      </c>
      <c r="B1445">
        <v>1</v>
      </c>
      <c r="C1445" t="s">
        <v>3325</v>
      </c>
      <c r="D1445" t="s">
        <v>73</v>
      </c>
      <c r="E1445" t="s">
        <v>73</v>
      </c>
      <c r="F1445" t="s">
        <v>73</v>
      </c>
      <c r="G1445" t="s">
        <v>73</v>
      </c>
      <c r="H1445">
        <v>34.9</v>
      </c>
      <c r="I1445">
        <v>166</v>
      </c>
      <c r="J1445">
        <v>17841</v>
      </c>
      <c r="K1445" t="s">
        <v>3326</v>
      </c>
      <c r="L1445">
        <f t="shared" si="90"/>
        <v>13</v>
      </c>
      <c r="N1445">
        <v>13</v>
      </c>
      <c r="O1445">
        <v>13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1</v>
      </c>
      <c r="W1445">
        <v>3</v>
      </c>
      <c r="X1445">
        <v>2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6</v>
      </c>
      <c r="AO1445">
        <v>1</v>
      </c>
      <c r="AP1445">
        <v>3</v>
      </c>
      <c r="AQ1445">
        <v>2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6</v>
      </c>
      <c r="BH1445" s="2">
        <v>1</v>
      </c>
      <c r="BI1445" s="2">
        <v>3</v>
      </c>
      <c r="BJ1445" s="2">
        <v>2</v>
      </c>
      <c r="BK1445" s="2">
        <v>0</v>
      </c>
      <c r="BL1445" s="2">
        <v>0</v>
      </c>
      <c r="BM1445" s="2">
        <v>1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f t="shared" si="93"/>
        <v>13</v>
      </c>
      <c r="BW1445" s="16">
        <f t="shared" si="91"/>
        <v>0.68421052631578949</v>
      </c>
      <c r="BX1445" s="16">
        <f>COUNTIF($BC$6:BU1445, "=0") / COUNTIF($BC$6:BU1445, "&gt;-1")</f>
        <v>0.37145467836257312</v>
      </c>
      <c r="BY1445" s="18">
        <f>SUM($BC$6:BU1445) / $BY$4</f>
        <v>0.97661953301058635</v>
      </c>
      <c r="BZ1445" s="14">
        <f t="shared" si="92"/>
        <v>14</v>
      </c>
      <c r="CA1445" t="s">
        <v>5832</v>
      </c>
      <c r="CZ1445" t="s">
        <v>10386</v>
      </c>
      <c r="DA1445" t="s">
        <v>5904</v>
      </c>
      <c r="DB1445">
        <v>280.8</v>
      </c>
      <c r="DC1445" t="s">
        <v>27224</v>
      </c>
      <c r="DD1445" t="s">
        <v>27225</v>
      </c>
      <c r="DE1445" t="s">
        <v>27226</v>
      </c>
      <c r="DF1445" t="s">
        <v>27227</v>
      </c>
      <c r="DG1445" t="s">
        <v>27228</v>
      </c>
      <c r="DH1445" t="str">
        <f>"DNPH1"</f>
        <v>DNPH1</v>
      </c>
      <c r="DI1445" t="s">
        <v>13772</v>
      </c>
      <c r="DJ1445" t="s">
        <v>13777</v>
      </c>
      <c r="DK1445">
        <v>9606</v>
      </c>
      <c r="DL1445" s="34" t="str">
        <f>HYPERLINK("http://www.uniprot.org/uniprot/O43598", "O43598")</f>
        <v>O43598</v>
      </c>
      <c r="DM1445" t="s">
        <v>27229</v>
      </c>
      <c r="DN1445" t="s">
        <v>14061</v>
      </c>
      <c r="DO1445" t="s">
        <v>13912</v>
      </c>
      <c r="DP1445" t="s">
        <v>13841</v>
      </c>
      <c r="DQ1445" t="s">
        <v>13772</v>
      </c>
      <c r="DR1445" t="s">
        <v>13772</v>
      </c>
      <c r="DS1445" t="s">
        <v>13772</v>
      </c>
      <c r="DT1445" t="s">
        <v>13772</v>
      </c>
      <c r="DU1445" t="s">
        <v>15471</v>
      </c>
      <c r="DV1445" t="s">
        <v>13886</v>
      </c>
      <c r="DW1445" t="s">
        <v>13812</v>
      </c>
      <c r="DX1445" t="s">
        <v>27230</v>
      </c>
      <c r="DY1445" t="s">
        <v>14135</v>
      </c>
      <c r="DZ1445" t="s">
        <v>27231</v>
      </c>
      <c r="EA1445" t="s">
        <v>13772</v>
      </c>
      <c r="EB1445" t="s">
        <v>27232</v>
      </c>
    </row>
    <row r="1446" spans="1:132" hidden="1">
      <c r="A1446">
        <v>1404</v>
      </c>
      <c r="B1446">
        <v>1</v>
      </c>
      <c r="C1446" t="s">
        <v>3352</v>
      </c>
      <c r="D1446" t="s">
        <v>3353</v>
      </c>
      <c r="E1446" t="s">
        <v>73</v>
      </c>
      <c r="F1446" t="s">
        <v>73</v>
      </c>
      <c r="G1446" t="s">
        <v>73</v>
      </c>
      <c r="H1446">
        <v>17.100000000000001</v>
      </c>
      <c r="I1446">
        <v>251</v>
      </c>
      <c r="J1446">
        <v>28463</v>
      </c>
      <c r="K1446" t="s">
        <v>3354</v>
      </c>
      <c r="L1446">
        <f t="shared" si="90"/>
        <v>13</v>
      </c>
      <c r="N1446">
        <v>13</v>
      </c>
      <c r="O1446">
        <v>13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>
        <v>0</v>
      </c>
      <c r="AA1446">
        <v>5</v>
      </c>
      <c r="AB1446">
        <v>2</v>
      </c>
      <c r="AC1446">
        <v>1</v>
      </c>
      <c r="AD1446">
        <v>0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</v>
      </c>
      <c r="AS1446">
        <v>0</v>
      </c>
      <c r="AT1446">
        <v>5</v>
      </c>
      <c r="AU1446">
        <v>2</v>
      </c>
      <c r="AV1446">
        <v>1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3</v>
      </c>
      <c r="BL1446" s="2">
        <v>0</v>
      </c>
      <c r="BM1446" s="2">
        <v>5</v>
      </c>
      <c r="BN1446" s="2">
        <v>2</v>
      </c>
      <c r="BO1446" s="2">
        <v>1</v>
      </c>
      <c r="BP1446" s="2">
        <v>0</v>
      </c>
      <c r="BQ1446" s="2">
        <v>0</v>
      </c>
      <c r="BR1446" s="2">
        <v>2</v>
      </c>
      <c r="BS1446" s="2">
        <v>0</v>
      </c>
      <c r="BT1446" s="2">
        <v>0</v>
      </c>
      <c r="BU1446" s="2">
        <v>0</v>
      </c>
      <c r="BV1446" s="2">
        <f t="shared" si="93"/>
        <v>13</v>
      </c>
      <c r="BW1446" s="16">
        <f t="shared" si="91"/>
        <v>0.68421052631578949</v>
      </c>
      <c r="BX1446" s="16">
        <f>COUNTIF($BC$6:BU1446, "=0") / COUNTIF($BC$6:BU1446, "&gt;-1")</f>
        <v>0.3717082435443223</v>
      </c>
      <c r="BY1446" s="18">
        <f>SUM($BC$6:BU1446) / $BY$4</f>
        <v>0.97667522028987941</v>
      </c>
      <c r="BZ1446" s="14">
        <f t="shared" si="92"/>
        <v>14</v>
      </c>
      <c r="CA1446" t="s">
        <v>5832</v>
      </c>
      <c r="CZ1446" t="s">
        <v>10425</v>
      </c>
      <c r="DA1446" t="s">
        <v>5904</v>
      </c>
      <c r="DB1446">
        <v>439.5</v>
      </c>
      <c r="DC1446" t="s">
        <v>27335</v>
      </c>
      <c r="DD1446" t="s">
        <v>27336</v>
      </c>
      <c r="DE1446" t="s">
        <v>27337</v>
      </c>
      <c r="DF1446" t="s">
        <v>27338</v>
      </c>
      <c r="DG1446" t="s">
        <v>27339</v>
      </c>
      <c r="DH1446" t="str">
        <f>"RPL10A"</f>
        <v>RPL10A</v>
      </c>
      <c r="DI1446" t="s">
        <v>27340</v>
      </c>
      <c r="DJ1446" t="s">
        <v>13777</v>
      </c>
      <c r="DK1446">
        <v>9606</v>
      </c>
      <c r="DL1446" s="34" t="str">
        <f>HYPERLINK("http://www.uniprot.org/uniprot/P62906", "P62906")</f>
        <v>P62906</v>
      </c>
      <c r="DM1446" t="s">
        <v>27341</v>
      </c>
      <c r="DN1446" t="s">
        <v>13772</v>
      </c>
      <c r="DO1446" t="s">
        <v>13772</v>
      </c>
      <c r="DP1446" t="s">
        <v>13793</v>
      </c>
      <c r="DQ1446" t="s">
        <v>13772</v>
      </c>
      <c r="DR1446" t="s">
        <v>13772</v>
      </c>
      <c r="DS1446" t="s">
        <v>13772</v>
      </c>
      <c r="DT1446" t="s">
        <v>13772</v>
      </c>
      <c r="DU1446" t="s">
        <v>13937</v>
      </c>
      <c r="DV1446" t="s">
        <v>13991</v>
      </c>
      <c r="DW1446" t="s">
        <v>13812</v>
      </c>
      <c r="DX1446" t="s">
        <v>27342</v>
      </c>
      <c r="DY1446" t="s">
        <v>15076</v>
      </c>
      <c r="DZ1446" t="s">
        <v>14268</v>
      </c>
      <c r="EA1446" t="s">
        <v>13772</v>
      </c>
      <c r="EB1446" t="s">
        <v>13942</v>
      </c>
    </row>
    <row r="1447" spans="1:132" hidden="1">
      <c r="A1447">
        <v>1533</v>
      </c>
      <c r="B1447">
        <v>1</v>
      </c>
      <c r="C1447" t="s">
        <v>3640</v>
      </c>
      <c r="D1447" t="s">
        <v>3641</v>
      </c>
      <c r="E1447" t="s">
        <v>73</v>
      </c>
      <c r="F1447" t="s">
        <v>73</v>
      </c>
      <c r="G1447" t="s">
        <v>73</v>
      </c>
      <c r="H1447">
        <v>11.4</v>
      </c>
      <c r="I1447">
        <v>643</v>
      </c>
      <c r="J1447">
        <v>70283</v>
      </c>
      <c r="K1447" t="s">
        <v>3642</v>
      </c>
      <c r="L1447">
        <f t="shared" si="90"/>
        <v>13</v>
      </c>
      <c r="N1447">
        <v>13</v>
      </c>
      <c r="O1447">
        <v>13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4</v>
      </c>
      <c r="Z1447">
        <v>0</v>
      </c>
      <c r="AA1447">
        <v>2</v>
      </c>
      <c r="AB1447">
        <v>2</v>
      </c>
      <c r="AC1447">
        <v>3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4</v>
      </c>
      <c r="AS1447">
        <v>0</v>
      </c>
      <c r="AT1447">
        <v>2</v>
      </c>
      <c r="AU1447">
        <v>2</v>
      </c>
      <c r="AV1447">
        <v>3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4</v>
      </c>
      <c r="BL1447" s="2">
        <v>0</v>
      </c>
      <c r="BM1447" s="2">
        <v>2</v>
      </c>
      <c r="BN1447" s="2">
        <v>2</v>
      </c>
      <c r="BO1447" s="2">
        <v>3</v>
      </c>
      <c r="BP1447" s="2">
        <v>0</v>
      </c>
      <c r="BQ1447" s="2">
        <v>1</v>
      </c>
      <c r="BR1447" s="2">
        <v>0</v>
      </c>
      <c r="BS1447" s="2">
        <v>0</v>
      </c>
      <c r="BT1447" s="2">
        <v>0</v>
      </c>
      <c r="BU1447" s="2">
        <v>1</v>
      </c>
      <c r="BV1447" s="2">
        <f t="shared" si="93"/>
        <v>13</v>
      </c>
      <c r="BW1447" s="16">
        <f t="shared" si="91"/>
        <v>0.68421052631578949</v>
      </c>
      <c r="BX1447" s="16">
        <f>COUNTIF($BC$6:BU1447, "=0") / COUNTIF($BC$6:BU1447, "&gt;-1")</f>
        <v>0.37192495802613329</v>
      </c>
      <c r="BY1447" s="18">
        <f>SUM($BC$6:BU1447) / $BY$4</f>
        <v>0.97673090756917247</v>
      </c>
      <c r="BZ1447" s="14">
        <f t="shared" si="92"/>
        <v>13</v>
      </c>
      <c r="CA1447" t="s">
        <v>5832</v>
      </c>
      <c r="CZ1447" t="s">
        <v>10845</v>
      </c>
      <c r="DA1447" t="s">
        <v>5904</v>
      </c>
      <c r="DB1447">
        <v>1251.0999999999999</v>
      </c>
      <c r="DC1447" t="s">
        <v>28500</v>
      </c>
      <c r="DD1447" t="s">
        <v>28501</v>
      </c>
      <c r="DE1447" t="s">
        <v>28502</v>
      </c>
      <c r="DF1447" t="s">
        <v>28503</v>
      </c>
      <c r="DG1447" t="s">
        <v>28504</v>
      </c>
      <c r="DH1447" t="str">
        <f>"CLINT1"</f>
        <v>CLINT1</v>
      </c>
      <c r="DI1447" t="s">
        <v>28505</v>
      </c>
      <c r="DJ1447" t="s">
        <v>13777</v>
      </c>
      <c r="DK1447">
        <v>9606</v>
      </c>
      <c r="DL1447" s="34" t="str">
        <f>HYPERLINK("http://www.uniprot.org/uniprot/Q14677", "Q14677")</f>
        <v>Q14677</v>
      </c>
      <c r="DM1447" t="s">
        <v>28506</v>
      </c>
      <c r="DN1447" t="s">
        <v>13824</v>
      </c>
      <c r="DO1447" t="s">
        <v>28507</v>
      </c>
      <c r="DP1447" t="s">
        <v>13841</v>
      </c>
      <c r="DQ1447" t="s">
        <v>13772</v>
      </c>
      <c r="DR1447" t="s">
        <v>13772</v>
      </c>
      <c r="DS1447" t="s">
        <v>13772</v>
      </c>
      <c r="DT1447" t="s">
        <v>13900</v>
      </c>
      <c r="DU1447" t="s">
        <v>13772</v>
      </c>
      <c r="DV1447" t="s">
        <v>13782</v>
      </c>
      <c r="DW1447" t="s">
        <v>13812</v>
      </c>
      <c r="DX1447" t="s">
        <v>28508</v>
      </c>
      <c r="DY1447" t="s">
        <v>28509</v>
      </c>
      <c r="DZ1447" t="s">
        <v>28510</v>
      </c>
      <c r="EA1447" t="s">
        <v>13772</v>
      </c>
      <c r="EB1447" t="s">
        <v>15924</v>
      </c>
    </row>
    <row r="1448" spans="1:132" hidden="1">
      <c r="A1448">
        <v>1547</v>
      </c>
      <c r="B1448">
        <v>1</v>
      </c>
      <c r="C1448" t="s">
        <v>3669</v>
      </c>
      <c r="D1448" t="s">
        <v>3670</v>
      </c>
      <c r="E1448" t="s">
        <v>73</v>
      </c>
      <c r="F1448" t="s">
        <v>73</v>
      </c>
      <c r="G1448" t="s">
        <v>73</v>
      </c>
      <c r="H1448">
        <v>30.6</v>
      </c>
      <c r="I1448">
        <v>294</v>
      </c>
      <c r="J1448">
        <v>32633</v>
      </c>
      <c r="K1448" t="s">
        <v>3671</v>
      </c>
      <c r="L1448">
        <f t="shared" si="90"/>
        <v>13</v>
      </c>
      <c r="N1448">
        <v>13</v>
      </c>
      <c r="O1448">
        <v>13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2</v>
      </c>
      <c r="V1448">
        <v>0</v>
      </c>
      <c r="W1448">
        <v>0</v>
      </c>
      <c r="X1448">
        <v>0</v>
      </c>
      <c r="Y1448">
        <v>4</v>
      </c>
      <c r="Z1448">
        <v>0</v>
      </c>
      <c r="AA1448">
        <v>1</v>
      </c>
      <c r="AB1448">
        <v>2</v>
      </c>
      <c r="AC1448">
        <v>3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</v>
      </c>
      <c r="AO1448">
        <v>0</v>
      </c>
      <c r="AP1448">
        <v>0</v>
      </c>
      <c r="AQ1448">
        <v>0</v>
      </c>
      <c r="AR1448">
        <v>4</v>
      </c>
      <c r="AS1448">
        <v>0</v>
      </c>
      <c r="AT1448">
        <v>1</v>
      </c>
      <c r="AU1448">
        <v>2</v>
      </c>
      <c r="AV1448">
        <v>3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2</v>
      </c>
      <c r="BH1448" s="2">
        <v>0</v>
      </c>
      <c r="BI1448" s="2">
        <v>0</v>
      </c>
      <c r="BJ1448" s="2">
        <v>0</v>
      </c>
      <c r="BK1448" s="2">
        <v>4</v>
      </c>
      <c r="BL1448" s="2">
        <v>0</v>
      </c>
      <c r="BM1448" s="2">
        <v>1</v>
      </c>
      <c r="BN1448" s="2">
        <v>2</v>
      </c>
      <c r="BO1448" s="2">
        <v>3</v>
      </c>
      <c r="BP1448" s="2">
        <v>0</v>
      </c>
      <c r="BQ1448" s="2">
        <v>0</v>
      </c>
      <c r="BR1448" s="2">
        <v>1</v>
      </c>
      <c r="BS1448" s="2">
        <v>0</v>
      </c>
      <c r="BT1448" s="2">
        <v>0</v>
      </c>
      <c r="BU1448" s="2">
        <v>0</v>
      </c>
      <c r="BV1448" s="2">
        <f t="shared" si="93"/>
        <v>13</v>
      </c>
      <c r="BW1448" s="16">
        <f t="shared" si="91"/>
        <v>0.68421052631578949</v>
      </c>
      <c r="BX1448" s="16">
        <f>COUNTIF($BC$6:BU1448, "=0") / COUNTIF($BC$6:BU1448, "&gt;-1")</f>
        <v>0.37214137214137216</v>
      </c>
      <c r="BY1448" s="18">
        <f>SUM($BC$6:BU1448) / $BY$4</f>
        <v>0.97678659484846564</v>
      </c>
      <c r="BZ1448" s="14">
        <f t="shared" si="92"/>
        <v>13</v>
      </c>
      <c r="CA1448" t="s">
        <v>5832</v>
      </c>
      <c r="CZ1448" t="s">
        <v>10892</v>
      </c>
      <c r="DA1448" t="s">
        <v>5904</v>
      </c>
      <c r="DB1448">
        <v>581.29999999999995</v>
      </c>
      <c r="DC1448" t="s">
        <v>28630</v>
      </c>
      <c r="DD1448" t="s">
        <v>28631</v>
      </c>
      <c r="DE1448" t="s">
        <v>28632</v>
      </c>
      <c r="DF1448" t="s">
        <v>28633</v>
      </c>
      <c r="DG1448" t="s">
        <v>28634</v>
      </c>
      <c r="DH1448" t="str">
        <f>"NPM1"</f>
        <v>NPM1</v>
      </c>
      <c r="DI1448" t="s">
        <v>28635</v>
      </c>
      <c r="DJ1448" t="s">
        <v>13777</v>
      </c>
      <c r="DK1448">
        <v>9606</v>
      </c>
      <c r="DL1448" s="34" t="str">
        <f>HYPERLINK("http://www.uniprot.org/uniprot/P06748", "P06748")</f>
        <v>P06748</v>
      </c>
      <c r="DM1448" t="s">
        <v>28636</v>
      </c>
      <c r="DN1448" t="s">
        <v>14563</v>
      </c>
      <c r="DO1448" t="s">
        <v>15843</v>
      </c>
      <c r="DP1448" t="s">
        <v>14661</v>
      </c>
      <c r="DQ1448" t="s">
        <v>13772</v>
      </c>
      <c r="DR1448" t="s">
        <v>14244</v>
      </c>
      <c r="DS1448" t="s">
        <v>13772</v>
      </c>
      <c r="DT1448" t="s">
        <v>13772</v>
      </c>
      <c r="DU1448" t="s">
        <v>14231</v>
      </c>
      <c r="DV1448" t="s">
        <v>28637</v>
      </c>
      <c r="DW1448" t="s">
        <v>13812</v>
      </c>
      <c r="DX1448" t="s">
        <v>28638</v>
      </c>
      <c r="DY1448" t="s">
        <v>28639</v>
      </c>
      <c r="DZ1448" t="s">
        <v>28640</v>
      </c>
      <c r="EA1448" t="s">
        <v>13772</v>
      </c>
      <c r="EB1448" t="s">
        <v>28641</v>
      </c>
    </row>
    <row r="1449" spans="1:132" hidden="1">
      <c r="A1449">
        <v>1568</v>
      </c>
      <c r="B1449">
        <v>1</v>
      </c>
      <c r="C1449" t="s">
        <v>3718</v>
      </c>
      <c r="D1449" t="s">
        <v>73</v>
      </c>
      <c r="E1449" t="s">
        <v>73</v>
      </c>
      <c r="F1449" t="s">
        <v>73</v>
      </c>
      <c r="G1449" t="s">
        <v>73</v>
      </c>
      <c r="H1449">
        <v>9</v>
      </c>
      <c r="I1449">
        <v>862</v>
      </c>
      <c r="J1449">
        <v>94233</v>
      </c>
      <c r="K1449" t="s">
        <v>3719</v>
      </c>
      <c r="L1449">
        <f t="shared" si="90"/>
        <v>13</v>
      </c>
      <c r="N1449">
        <v>13</v>
      </c>
      <c r="O1449">
        <v>13</v>
      </c>
      <c r="P1449">
        <v>1</v>
      </c>
      <c r="Q1449">
        <v>1</v>
      </c>
      <c r="R1449">
        <v>2</v>
      </c>
      <c r="S1449">
        <v>0</v>
      </c>
      <c r="T1449">
        <v>1</v>
      </c>
      <c r="U1449">
        <v>3</v>
      </c>
      <c r="V1449">
        <v>1</v>
      </c>
      <c r="W1449">
        <v>2</v>
      </c>
      <c r="X1449">
        <v>2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3</v>
      </c>
      <c r="AO1449">
        <v>1</v>
      </c>
      <c r="AP1449">
        <v>2</v>
      </c>
      <c r="AQ1449">
        <v>2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 s="2">
        <v>1</v>
      </c>
      <c r="BD1449" s="2">
        <v>2</v>
      </c>
      <c r="BE1449" s="2">
        <v>0</v>
      </c>
      <c r="BF1449" s="2">
        <v>1</v>
      </c>
      <c r="BG1449" s="2">
        <v>3</v>
      </c>
      <c r="BH1449" s="2">
        <v>1</v>
      </c>
      <c r="BI1449" s="2">
        <v>2</v>
      </c>
      <c r="BJ1449" s="2">
        <v>2</v>
      </c>
      <c r="BK1449" s="2">
        <v>0</v>
      </c>
      <c r="BL1449" s="2">
        <v>0</v>
      </c>
      <c r="BM1449" s="2">
        <v>0</v>
      </c>
      <c r="BN1449" s="2">
        <v>1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f t="shared" si="93"/>
        <v>13</v>
      </c>
      <c r="BW1449" s="16">
        <f t="shared" si="91"/>
        <v>0.68421052631578949</v>
      </c>
      <c r="BX1449" s="16">
        <f>COUNTIF($BC$6:BU1449, "=0") / COUNTIF($BC$6:BU1449, "&gt;-1")</f>
        <v>0.37228458959031929</v>
      </c>
      <c r="BY1449" s="18">
        <f>SUM($BC$6:BU1449) / $BY$4</f>
        <v>0.9768422821277587</v>
      </c>
      <c r="BZ1449" s="14">
        <f t="shared" si="92"/>
        <v>11</v>
      </c>
      <c r="CA1449" t="s">
        <v>5832</v>
      </c>
      <c r="CZ1449" t="s">
        <v>10967</v>
      </c>
      <c r="DA1449" t="s">
        <v>5904</v>
      </c>
      <c r="DB1449">
        <v>1435.2</v>
      </c>
      <c r="DC1449" t="s">
        <v>28847</v>
      </c>
      <c r="DD1449" t="s">
        <v>28848</v>
      </c>
      <c r="DE1449" t="s">
        <v>28849</v>
      </c>
      <c r="DF1449" t="s">
        <v>28850</v>
      </c>
      <c r="DG1449" t="s">
        <v>28851</v>
      </c>
      <c r="DH1449" t="str">
        <f>"PCDHGC3"</f>
        <v>PCDHGC3</v>
      </c>
      <c r="DI1449" t="s">
        <v>28852</v>
      </c>
      <c r="DJ1449" t="s">
        <v>13777</v>
      </c>
      <c r="DK1449">
        <v>9606</v>
      </c>
      <c r="DL1449" s="34" t="str">
        <f>HYPERLINK("http://www.uniprot.org/uniprot/Q9UN70", "Q9UN70")</f>
        <v>Q9UN70</v>
      </c>
      <c r="DM1449" t="s">
        <v>28844</v>
      </c>
      <c r="DN1449" t="s">
        <v>13949</v>
      </c>
      <c r="DO1449" t="s">
        <v>13792</v>
      </c>
      <c r="DP1449" t="s">
        <v>13841</v>
      </c>
      <c r="DQ1449" t="s">
        <v>13772</v>
      </c>
      <c r="DR1449" t="s">
        <v>13772</v>
      </c>
      <c r="DS1449" t="s">
        <v>13826</v>
      </c>
      <c r="DT1449" t="s">
        <v>14465</v>
      </c>
      <c r="DU1449" t="s">
        <v>13772</v>
      </c>
      <c r="DV1449" t="s">
        <v>13858</v>
      </c>
      <c r="DW1449" t="s">
        <v>13772</v>
      </c>
      <c r="DX1449" t="s">
        <v>28853</v>
      </c>
      <c r="DY1449" t="s">
        <v>19469</v>
      </c>
      <c r="DZ1449" t="s">
        <v>15899</v>
      </c>
      <c r="EA1449" t="s">
        <v>13772</v>
      </c>
      <c r="EB1449" t="s">
        <v>13772</v>
      </c>
    </row>
    <row r="1450" spans="1:132" hidden="1">
      <c r="A1450">
        <v>1637</v>
      </c>
      <c r="B1450">
        <v>1</v>
      </c>
      <c r="C1450" t="s">
        <v>3881</v>
      </c>
      <c r="D1450" t="s">
        <v>73</v>
      </c>
      <c r="E1450" t="s">
        <v>73</v>
      </c>
      <c r="F1450" t="s">
        <v>73</v>
      </c>
      <c r="G1450" t="s">
        <v>73</v>
      </c>
      <c r="H1450">
        <v>47.7</v>
      </c>
      <c r="I1450">
        <v>86</v>
      </c>
      <c r="J1450">
        <v>9348</v>
      </c>
      <c r="K1450" t="s">
        <v>3882</v>
      </c>
      <c r="L1450">
        <f t="shared" si="90"/>
        <v>13</v>
      </c>
      <c r="N1450">
        <v>13</v>
      </c>
      <c r="O1450">
        <v>13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4</v>
      </c>
      <c r="Z1450">
        <v>0</v>
      </c>
      <c r="AA1450">
        <v>3</v>
      </c>
      <c r="AB1450">
        <v>0</v>
      </c>
      <c r="AC1450">
        <v>2</v>
      </c>
      <c r="AD1450">
        <v>0</v>
      </c>
      <c r="AE1450">
        <v>2</v>
      </c>
      <c r="AF1450">
        <v>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4</v>
      </c>
      <c r="AS1450">
        <v>0</v>
      </c>
      <c r="AT1450">
        <v>3</v>
      </c>
      <c r="AU1450">
        <v>0</v>
      </c>
      <c r="AV1450">
        <v>2</v>
      </c>
      <c r="AW1450">
        <v>0</v>
      </c>
      <c r="AX1450">
        <v>2</v>
      </c>
      <c r="AY1450">
        <v>2</v>
      </c>
      <c r="AZ1450">
        <v>0</v>
      </c>
      <c r="BA1450">
        <v>0</v>
      </c>
      <c r="BB1450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4</v>
      </c>
      <c r="BL1450" s="2">
        <v>0</v>
      </c>
      <c r="BM1450" s="2">
        <v>3</v>
      </c>
      <c r="BN1450" s="2">
        <v>0</v>
      </c>
      <c r="BO1450" s="2">
        <v>2</v>
      </c>
      <c r="BP1450" s="2">
        <v>0</v>
      </c>
      <c r="BQ1450" s="2">
        <v>2</v>
      </c>
      <c r="BR1450" s="2">
        <v>2</v>
      </c>
      <c r="BS1450" s="2">
        <v>0</v>
      </c>
      <c r="BT1450" s="2">
        <v>0</v>
      </c>
      <c r="BU1450" s="2">
        <v>0</v>
      </c>
      <c r="BV1450" s="2">
        <f t="shared" si="93"/>
        <v>13</v>
      </c>
      <c r="BW1450" s="16">
        <f t="shared" si="91"/>
        <v>0.68421052631578949</v>
      </c>
      <c r="BX1450" s="16">
        <f>COUNTIF($BC$6:BU1450, "=0") / COUNTIF($BC$6:BU1450, "&gt;-1")</f>
        <v>0.3725368785285012</v>
      </c>
      <c r="BY1450" s="18">
        <f>SUM($BC$6:BU1450) / $BY$4</f>
        <v>0.97689796940705187</v>
      </c>
      <c r="BZ1450" s="14">
        <f t="shared" si="92"/>
        <v>14</v>
      </c>
      <c r="CA1450" t="s">
        <v>5832</v>
      </c>
      <c r="CZ1450" t="s">
        <v>11204</v>
      </c>
      <c r="DA1450" t="s">
        <v>5904</v>
      </c>
      <c r="DB1450">
        <v>166.4</v>
      </c>
      <c r="DC1450" t="s">
        <v>29490</v>
      </c>
      <c r="DD1450" t="s">
        <v>29491</v>
      </c>
      <c r="DE1450" t="s">
        <v>29492</v>
      </c>
      <c r="DF1450" t="s">
        <v>29493</v>
      </c>
      <c r="DG1450" t="s">
        <v>29494</v>
      </c>
      <c r="DH1450" t="str">
        <f>"SMPX"</f>
        <v>SMPX</v>
      </c>
      <c r="DI1450" t="s">
        <v>29495</v>
      </c>
      <c r="DJ1450" t="s">
        <v>13777</v>
      </c>
      <c r="DK1450">
        <v>9606</v>
      </c>
      <c r="DL1450" s="34" t="str">
        <f>HYPERLINK("http://www.uniprot.org/uniprot/Q9UHP9", "Q9UHP9")</f>
        <v>Q9UHP9</v>
      </c>
      <c r="DM1450" t="s">
        <v>18603</v>
      </c>
      <c r="DN1450" t="s">
        <v>13772</v>
      </c>
      <c r="DO1450" t="s">
        <v>13772</v>
      </c>
      <c r="DP1450" t="s">
        <v>13772</v>
      </c>
      <c r="DQ1450" t="s">
        <v>13772</v>
      </c>
      <c r="DR1450" t="s">
        <v>18603</v>
      </c>
      <c r="DS1450" t="s">
        <v>13772</v>
      </c>
      <c r="DT1450" t="s">
        <v>13772</v>
      </c>
      <c r="DU1450" t="s">
        <v>13772</v>
      </c>
      <c r="DV1450" t="s">
        <v>13772</v>
      </c>
      <c r="DW1450" t="s">
        <v>13772</v>
      </c>
      <c r="DX1450" t="s">
        <v>29496</v>
      </c>
      <c r="DY1450" t="s">
        <v>29497</v>
      </c>
      <c r="DZ1450" t="s">
        <v>13772</v>
      </c>
      <c r="EA1450" t="s">
        <v>13772</v>
      </c>
      <c r="EB1450" t="s">
        <v>13772</v>
      </c>
    </row>
    <row r="1451" spans="1:132" hidden="1">
      <c r="A1451">
        <v>1726</v>
      </c>
      <c r="B1451">
        <v>1</v>
      </c>
      <c r="C1451" t="s">
        <v>4083</v>
      </c>
      <c r="D1451" t="s">
        <v>73</v>
      </c>
      <c r="E1451" t="s">
        <v>73</v>
      </c>
      <c r="F1451" t="s">
        <v>73</v>
      </c>
      <c r="G1451" t="s">
        <v>73</v>
      </c>
      <c r="H1451">
        <v>20.399999999999999</v>
      </c>
      <c r="I1451">
        <v>441</v>
      </c>
      <c r="J1451">
        <v>48777</v>
      </c>
      <c r="K1451" t="s">
        <v>4084</v>
      </c>
      <c r="L1451">
        <f t="shared" si="90"/>
        <v>13</v>
      </c>
      <c r="N1451">
        <v>13</v>
      </c>
      <c r="O1451">
        <v>13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6</v>
      </c>
      <c r="V1451">
        <v>2</v>
      </c>
      <c r="W1451">
        <v>1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L1451">
        <v>0</v>
      </c>
      <c r="AM1451">
        <v>0</v>
      </c>
      <c r="AN1451">
        <v>6</v>
      </c>
      <c r="AO1451">
        <v>2</v>
      </c>
      <c r="AP1451">
        <v>1</v>
      </c>
      <c r="AQ1451">
        <v>2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 s="2">
        <v>0</v>
      </c>
      <c r="BD1451" s="2">
        <v>2</v>
      </c>
      <c r="BE1451" s="2">
        <v>0</v>
      </c>
      <c r="BF1451" s="2">
        <v>0</v>
      </c>
      <c r="BG1451" s="2">
        <v>6</v>
      </c>
      <c r="BH1451" s="2">
        <v>2</v>
      </c>
      <c r="BI1451" s="2">
        <v>1</v>
      </c>
      <c r="BJ1451" s="2">
        <v>2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f t="shared" si="93"/>
        <v>13</v>
      </c>
      <c r="BW1451" s="16">
        <f t="shared" si="91"/>
        <v>0.68421052631578949</v>
      </c>
      <c r="BX1451" s="16">
        <f>COUNTIF($BC$6:BU1451, "=0") / COUNTIF($BC$6:BU1451, "&gt;-1")</f>
        <v>0.37278881851932738</v>
      </c>
      <c r="BY1451" s="18">
        <f>SUM($BC$6:BU1451) / $BY$4</f>
        <v>0.97695365668634493</v>
      </c>
      <c r="BZ1451" s="14">
        <f t="shared" si="92"/>
        <v>14</v>
      </c>
      <c r="CA1451" t="s">
        <v>5832</v>
      </c>
      <c r="CZ1451" t="s">
        <v>11503</v>
      </c>
      <c r="DA1451" t="s">
        <v>5904</v>
      </c>
      <c r="DB1451">
        <v>837</v>
      </c>
      <c r="DC1451" t="s">
        <v>30337</v>
      </c>
      <c r="DD1451" t="s">
        <v>30338</v>
      </c>
      <c r="DE1451" t="s">
        <v>30339</v>
      </c>
      <c r="DF1451" t="s">
        <v>30340</v>
      </c>
      <c r="DG1451" t="s">
        <v>30341</v>
      </c>
      <c r="DH1451" t="str">
        <f>"ASL"</f>
        <v>ASL</v>
      </c>
      <c r="DI1451" t="s">
        <v>13772</v>
      </c>
      <c r="DJ1451" t="s">
        <v>13777</v>
      </c>
      <c r="DK1451">
        <v>9606</v>
      </c>
      <c r="DL1451" s="34" t="str">
        <f>HYPERLINK("http://www.uniprot.org/uniprot/P04424", "P04424")</f>
        <v>P04424</v>
      </c>
      <c r="DM1451" t="s">
        <v>30342</v>
      </c>
      <c r="DN1451" t="s">
        <v>30343</v>
      </c>
      <c r="DO1451" t="s">
        <v>13772</v>
      </c>
      <c r="DP1451" t="s">
        <v>13780</v>
      </c>
      <c r="DQ1451" t="s">
        <v>13772</v>
      </c>
      <c r="DR1451" t="s">
        <v>13807</v>
      </c>
      <c r="DS1451" t="s">
        <v>13772</v>
      </c>
      <c r="DT1451" t="s">
        <v>13772</v>
      </c>
      <c r="DU1451" t="s">
        <v>15788</v>
      </c>
      <c r="DV1451" t="s">
        <v>14020</v>
      </c>
      <c r="DW1451" t="s">
        <v>13812</v>
      </c>
      <c r="DX1451" t="s">
        <v>30344</v>
      </c>
      <c r="DY1451" t="s">
        <v>14194</v>
      </c>
      <c r="DZ1451" t="s">
        <v>30345</v>
      </c>
      <c r="EA1451" t="s">
        <v>30346</v>
      </c>
      <c r="EB1451" t="s">
        <v>30347</v>
      </c>
    </row>
    <row r="1452" spans="1:132" hidden="1">
      <c r="A1452">
        <v>1746</v>
      </c>
      <c r="B1452">
        <v>1</v>
      </c>
      <c r="C1452" t="s">
        <v>4129</v>
      </c>
      <c r="D1452" t="s">
        <v>4130</v>
      </c>
      <c r="E1452" t="s">
        <v>73</v>
      </c>
      <c r="F1452" t="s">
        <v>73</v>
      </c>
      <c r="G1452" t="s">
        <v>73</v>
      </c>
      <c r="H1452">
        <v>14.3</v>
      </c>
      <c r="I1452">
        <v>329</v>
      </c>
      <c r="J1452">
        <v>36387</v>
      </c>
      <c r="K1452" t="s">
        <v>4131</v>
      </c>
      <c r="L1452">
        <f t="shared" si="90"/>
        <v>13</v>
      </c>
      <c r="N1452">
        <v>13</v>
      </c>
      <c r="O1452">
        <v>13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5</v>
      </c>
      <c r="Z1452">
        <v>0</v>
      </c>
      <c r="AA1452">
        <v>4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5</v>
      </c>
      <c r="AS1452">
        <v>0</v>
      </c>
      <c r="AT1452">
        <v>4</v>
      </c>
      <c r="AU1452">
        <v>0</v>
      </c>
      <c r="AV1452">
        <v>0</v>
      </c>
      <c r="AW1452">
        <v>0</v>
      </c>
      <c r="AX1452">
        <v>2</v>
      </c>
      <c r="AY1452">
        <v>0</v>
      </c>
      <c r="AZ1452">
        <v>0</v>
      </c>
      <c r="BA1452">
        <v>0</v>
      </c>
      <c r="BB145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0</v>
      </c>
      <c r="BJ1452" s="2">
        <v>0</v>
      </c>
      <c r="BK1452" s="2">
        <v>5</v>
      </c>
      <c r="BL1452" s="2">
        <v>0</v>
      </c>
      <c r="BM1452" s="2">
        <v>4</v>
      </c>
      <c r="BN1452" s="2">
        <v>0</v>
      </c>
      <c r="BO1452" s="2">
        <v>0</v>
      </c>
      <c r="BP1452" s="2">
        <v>0</v>
      </c>
      <c r="BQ1452" s="2">
        <v>2</v>
      </c>
      <c r="BR1452" s="2">
        <v>0</v>
      </c>
      <c r="BS1452" s="2">
        <v>0</v>
      </c>
      <c r="BT1452" s="2">
        <v>0</v>
      </c>
      <c r="BU1452" s="2">
        <v>1</v>
      </c>
      <c r="BV1452" s="2">
        <f t="shared" si="93"/>
        <v>13</v>
      </c>
      <c r="BW1452" s="16">
        <f t="shared" si="91"/>
        <v>0.68421052631578949</v>
      </c>
      <c r="BX1452" s="16">
        <f>COUNTIF($BC$6:BU1452, "=0") / COUNTIF($BC$6:BU1452, "&gt;-1")</f>
        <v>0.37304041028625468</v>
      </c>
      <c r="BY1452" s="18">
        <f>SUM($BC$6:BU1452) / $BY$4</f>
        <v>0.97700934396563799</v>
      </c>
      <c r="BZ1452" s="14">
        <f t="shared" si="92"/>
        <v>14</v>
      </c>
      <c r="CA1452" t="s">
        <v>5832</v>
      </c>
      <c r="CZ1452" t="s">
        <v>11571</v>
      </c>
      <c r="DA1452" t="s">
        <v>5904</v>
      </c>
      <c r="DB1452">
        <v>682.2</v>
      </c>
      <c r="DC1452" t="s">
        <v>30538</v>
      </c>
      <c r="DD1452" t="s">
        <v>30539</v>
      </c>
      <c r="DE1452" t="s">
        <v>30540</v>
      </c>
      <c r="DF1452" t="s">
        <v>30541</v>
      </c>
      <c r="DG1452" t="s">
        <v>30542</v>
      </c>
      <c r="DH1452" t="str">
        <f>"CNN3"</f>
        <v>CNN3</v>
      </c>
      <c r="DI1452" t="s">
        <v>13772</v>
      </c>
      <c r="DJ1452" t="s">
        <v>13777</v>
      </c>
      <c r="DK1452">
        <v>9606</v>
      </c>
      <c r="DL1452" s="34" t="str">
        <f>HYPERLINK("http://www.uniprot.org/uniprot/Q15417", "Q15417")</f>
        <v>Q15417</v>
      </c>
      <c r="DM1452" t="s">
        <v>30543</v>
      </c>
      <c r="DN1452" t="s">
        <v>13772</v>
      </c>
      <c r="DO1452" t="s">
        <v>13772</v>
      </c>
      <c r="DP1452" t="s">
        <v>13841</v>
      </c>
      <c r="DQ1452" t="s">
        <v>13772</v>
      </c>
      <c r="DR1452" t="s">
        <v>13772</v>
      </c>
      <c r="DS1452" t="s">
        <v>14096</v>
      </c>
      <c r="DT1452" t="s">
        <v>13772</v>
      </c>
      <c r="DU1452" t="s">
        <v>15941</v>
      </c>
      <c r="DV1452" t="s">
        <v>14098</v>
      </c>
      <c r="DW1452" t="s">
        <v>13772</v>
      </c>
      <c r="DX1452" t="s">
        <v>30544</v>
      </c>
      <c r="DY1452" t="s">
        <v>30545</v>
      </c>
      <c r="DZ1452" t="s">
        <v>30546</v>
      </c>
      <c r="EA1452" t="s">
        <v>13772</v>
      </c>
      <c r="EB1452" t="s">
        <v>13772</v>
      </c>
    </row>
    <row r="1453" spans="1:132" hidden="1">
      <c r="A1453">
        <v>1844</v>
      </c>
      <c r="B1453">
        <v>1</v>
      </c>
      <c r="C1453" t="s">
        <v>4358</v>
      </c>
      <c r="D1453" t="s">
        <v>73</v>
      </c>
      <c r="E1453" t="s">
        <v>73</v>
      </c>
      <c r="F1453" t="s">
        <v>73</v>
      </c>
      <c r="G1453" t="s">
        <v>73</v>
      </c>
      <c r="H1453">
        <v>8.6999999999999993</v>
      </c>
      <c r="I1453">
        <v>585</v>
      </c>
      <c r="J1453">
        <v>66428</v>
      </c>
      <c r="K1453" t="s">
        <v>4359</v>
      </c>
      <c r="L1453">
        <f t="shared" si="90"/>
        <v>13</v>
      </c>
      <c r="N1453">
        <v>13</v>
      </c>
      <c r="O1453">
        <v>13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2</v>
      </c>
      <c r="Z1453">
        <v>0</v>
      </c>
      <c r="AA1453">
        <v>0</v>
      </c>
      <c r="AB1453">
        <v>2</v>
      </c>
      <c r="AC1453">
        <v>2</v>
      </c>
      <c r="AD1453">
        <v>0</v>
      </c>
      <c r="AE1453">
        <v>1</v>
      </c>
      <c r="AF1453">
        <v>2</v>
      </c>
      <c r="AG1453">
        <v>0</v>
      </c>
      <c r="AH1453">
        <v>1</v>
      </c>
      <c r="AI1453">
        <v>2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2</v>
      </c>
      <c r="AS1453">
        <v>0</v>
      </c>
      <c r="AT1453">
        <v>0</v>
      </c>
      <c r="AU1453">
        <v>2</v>
      </c>
      <c r="AV1453">
        <v>2</v>
      </c>
      <c r="AW1453">
        <v>0</v>
      </c>
      <c r="AX1453">
        <v>1</v>
      </c>
      <c r="AY1453">
        <v>2</v>
      </c>
      <c r="AZ1453">
        <v>0</v>
      </c>
      <c r="BA1453">
        <v>1</v>
      </c>
      <c r="BB1453">
        <v>2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0</v>
      </c>
      <c r="BJ1453" s="2">
        <v>0</v>
      </c>
      <c r="BK1453" s="2">
        <v>2</v>
      </c>
      <c r="BL1453" s="2">
        <v>0</v>
      </c>
      <c r="BM1453" s="2">
        <v>0</v>
      </c>
      <c r="BN1453" s="2">
        <v>2</v>
      </c>
      <c r="BO1453" s="2">
        <v>2</v>
      </c>
      <c r="BP1453" s="2">
        <v>0</v>
      </c>
      <c r="BQ1453" s="2">
        <v>1</v>
      </c>
      <c r="BR1453" s="2">
        <v>2</v>
      </c>
      <c r="BS1453" s="2">
        <v>0</v>
      </c>
      <c r="BT1453" s="2">
        <v>1</v>
      </c>
      <c r="BU1453" s="2">
        <v>2</v>
      </c>
      <c r="BV1453" s="2">
        <f t="shared" si="93"/>
        <v>13</v>
      </c>
      <c r="BW1453" s="16">
        <f t="shared" si="91"/>
        <v>0.68421052631578949</v>
      </c>
      <c r="BX1453" s="16">
        <f>COUNTIF($BC$6:BU1453, "=0") / COUNTIF($BC$6:BU1453, "&gt;-1")</f>
        <v>0.37318261122419311</v>
      </c>
      <c r="BY1453" s="18">
        <f>SUM($BC$6:BU1453) / $BY$4</f>
        <v>0.97706503124493116</v>
      </c>
      <c r="BZ1453" s="14">
        <f t="shared" si="92"/>
        <v>11</v>
      </c>
      <c r="CA1453" t="s">
        <v>5832</v>
      </c>
      <c r="CZ1453" t="s">
        <v>11906</v>
      </c>
      <c r="DA1453" t="s">
        <v>5904</v>
      </c>
      <c r="DB1453">
        <v>1052</v>
      </c>
      <c r="DC1453" t="s">
        <v>31507</v>
      </c>
      <c r="DD1453" t="s">
        <v>31508</v>
      </c>
      <c r="DE1453" t="s">
        <v>31509</v>
      </c>
      <c r="DF1453" t="s">
        <v>31510</v>
      </c>
      <c r="DG1453" t="s">
        <v>31511</v>
      </c>
      <c r="DH1453" t="str">
        <f>"FAM20C"</f>
        <v>FAM20C</v>
      </c>
      <c r="DI1453" t="s">
        <v>13772</v>
      </c>
      <c r="DJ1453" t="s">
        <v>13777</v>
      </c>
      <c r="DK1453">
        <v>9606</v>
      </c>
      <c r="DL1453" s="34" t="str">
        <f>HYPERLINK("http://www.uniprot.org/uniprot/Q8IXL6", "Q8IXL6")</f>
        <v>Q8IXL6</v>
      </c>
      <c r="DM1453" t="s">
        <v>31512</v>
      </c>
      <c r="DN1453" t="s">
        <v>16274</v>
      </c>
      <c r="DO1453" t="s">
        <v>30533</v>
      </c>
      <c r="DP1453" t="s">
        <v>13841</v>
      </c>
      <c r="DQ1453" t="s">
        <v>13772</v>
      </c>
      <c r="DR1453" t="s">
        <v>13807</v>
      </c>
      <c r="DS1453" t="s">
        <v>13808</v>
      </c>
      <c r="DT1453" t="s">
        <v>31513</v>
      </c>
      <c r="DU1453" t="s">
        <v>20891</v>
      </c>
      <c r="DV1453" t="s">
        <v>13964</v>
      </c>
      <c r="DW1453" t="s">
        <v>13812</v>
      </c>
      <c r="DX1453" t="s">
        <v>31514</v>
      </c>
      <c r="DY1453" t="s">
        <v>31515</v>
      </c>
      <c r="DZ1453" t="s">
        <v>31516</v>
      </c>
      <c r="EA1453" t="s">
        <v>13772</v>
      </c>
      <c r="EB1453" t="s">
        <v>17241</v>
      </c>
    </row>
    <row r="1454" spans="1:132" hidden="1">
      <c r="A1454">
        <v>2027</v>
      </c>
      <c r="B1454">
        <v>1</v>
      </c>
      <c r="C1454" t="s">
        <v>4763</v>
      </c>
      <c r="D1454" t="s">
        <v>73</v>
      </c>
      <c r="E1454" t="s">
        <v>73</v>
      </c>
      <c r="F1454" t="s">
        <v>73</v>
      </c>
      <c r="G1454" t="s">
        <v>73</v>
      </c>
      <c r="H1454">
        <v>64</v>
      </c>
      <c r="I1454">
        <v>86</v>
      </c>
      <c r="J1454">
        <v>10156</v>
      </c>
      <c r="K1454" t="s">
        <v>4764</v>
      </c>
      <c r="L1454">
        <f t="shared" si="90"/>
        <v>13</v>
      </c>
      <c r="N1454">
        <v>13</v>
      </c>
      <c r="O1454">
        <v>13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2</v>
      </c>
      <c r="V1454">
        <v>1</v>
      </c>
      <c r="W1454">
        <v>0</v>
      </c>
      <c r="X1454">
        <v>0</v>
      </c>
      <c r="Y1454">
        <v>4</v>
      </c>
      <c r="Z1454">
        <v>0</v>
      </c>
      <c r="AA1454">
        <v>1</v>
      </c>
      <c r="AB1454">
        <v>2</v>
      </c>
      <c r="AC1454">
        <v>0</v>
      </c>
      <c r="AD1454">
        <v>0</v>
      </c>
      <c r="AE1454">
        <v>0</v>
      </c>
      <c r="AF1454">
        <v>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  <c r="AO1454">
        <v>1</v>
      </c>
      <c r="AP1454">
        <v>0</v>
      </c>
      <c r="AQ1454">
        <v>0</v>
      </c>
      <c r="AR1454">
        <v>4</v>
      </c>
      <c r="AS1454">
        <v>0</v>
      </c>
      <c r="AT1454">
        <v>1</v>
      </c>
      <c r="AU1454">
        <v>2</v>
      </c>
      <c r="AV1454">
        <v>0</v>
      </c>
      <c r="AW1454">
        <v>0</v>
      </c>
      <c r="AX1454">
        <v>0</v>
      </c>
      <c r="AY1454">
        <v>3</v>
      </c>
      <c r="AZ1454">
        <v>0</v>
      </c>
      <c r="BA1454">
        <v>0</v>
      </c>
      <c r="BB1454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2</v>
      </c>
      <c r="BH1454" s="2">
        <v>1</v>
      </c>
      <c r="BI1454" s="2">
        <v>0</v>
      </c>
      <c r="BJ1454" s="2">
        <v>0</v>
      </c>
      <c r="BK1454" s="2">
        <v>4</v>
      </c>
      <c r="BL1454" s="2">
        <v>0</v>
      </c>
      <c r="BM1454" s="2">
        <v>1</v>
      </c>
      <c r="BN1454" s="2">
        <v>2</v>
      </c>
      <c r="BO1454" s="2">
        <v>0</v>
      </c>
      <c r="BP1454" s="2">
        <v>0</v>
      </c>
      <c r="BQ1454" s="2">
        <v>0</v>
      </c>
      <c r="BR1454" s="2">
        <v>3</v>
      </c>
      <c r="BS1454" s="2">
        <v>0</v>
      </c>
      <c r="BT1454" s="2">
        <v>0</v>
      </c>
      <c r="BU1454" s="2">
        <v>0</v>
      </c>
      <c r="BV1454" s="2">
        <f t="shared" si="93"/>
        <v>13</v>
      </c>
      <c r="BW1454" s="16">
        <f t="shared" si="91"/>
        <v>0.68421052631578949</v>
      </c>
      <c r="BX1454" s="16">
        <f>COUNTIF($BC$6:BU1454, "=0") / COUNTIF($BC$6:BU1454, "&gt;-1")</f>
        <v>0.37339726126911482</v>
      </c>
      <c r="BY1454" s="18">
        <f>SUM($BC$6:BU1454) / $BY$4</f>
        <v>0.97712071852422422</v>
      </c>
      <c r="BZ1454" s="14">
        <f t="shared" si="92"/>
        <v>13</v>
      </c>
      <c r="CA1454" t="s">
        <v>5832</v>
      </c>
      <c r="CZ1454" t="s">
        <v>12504</v>
      </c>
      <c r="DA1454" t="s">
        <v>5904</v>
      </c>
      <c r="DB1454">
        <v>168.7</v>
      </c>
      <c r="DC1454" t="s">
        <v>33177</v>
      </c>
      <c r="DD1454" t="s">
        <v>33178</v>
      </c>
      <c r="DE1454" t="s">
        <v>33179</v>
      </c>
      <c r="DF1454" t="s">
        <v>33180</v>
      </c>
      <c r="DG1454" t="s">
        <v>33181</v>
      </c>
      <c r="DH1454" t="str">
        <f>"COX6B1"</f>
        <v>COX6B1</v>
      </c>
      <c r="DI1454" t="s">
        <v>33182</v>
      </c>
      <c r="DJ1454" t="s">
        <v>13777</v>
      </c>
      <c r="DK1454">
        <v>9606</v>
      </c>
      <c r="DL1454" s="34" t="str">
        <f>HYPERLINK("http://www.uniprot.org/uniprot/P14854", "P14854")</f>
        <v>P14854</v>
      </c>
      <c r="DM1454" t="s">
        <v>33183</v>
      </c>
      <c r="DN1454" t="s">
        <v>13772</v>
      </c>
      <c r="DO1454" t="s">
        <v>14491</v>
      </c>
      <c r="DP1454" t="s">
        <v>13772</v>
      </c>
      <c r="DQ1454" t="s">
        <v>13772</v>
      </c>
      <c r="DR1454" t="s">
        <v>14390</v>
      </c>
      <c r="DS1454" t="s">
        <v>13772</v>
      </c>
      <c r="DT1454" t="s">
        <v>13772</v>
      </c>
      <c r="DU1454" t="s">
        <v>13772</v>
      </c>
      <c r="DV1454" t="s">
        <v>16929</v>
      </c>
      <c r="DW1454" t="s">
        <v>13812</v>
      </c>
      <c r="DX1454" t="s">
        <v>33184</v>
      </c>
      <c r="DY1454" t="s">
        <v>33185</v>
      </c>
      <c r="DZ1454" t="s">
        <v>33186</v>
      </c>
      <c r="EA1454" t="s">
        <v>13772</v>
      </c>
      <c r="EB1454" t="s">
        <v>16035</v>
      </c>
    </row>
    <row r="1455" spans="1:132" hidden="1">
      <c r="A1455">
        <v>2032</v>
      </c>
      <c r="B1455">
        <v>1</v>
      </c>
      <c r="C1455" t="s">
        <v>4774</v>
      </c>
      <c r="D1455" t="s">
        <v>4775</v>
      </c>
      <c r="E1455" t="s">
        <v>73</v>
      </c>
      <c r="F1455" t="s">
        <v>73</v>
      </c>
      <c r="G1455" t="s">
        <v>73</v>
      </c>
      <c r="H1455">
        <v>44.8</v>
      </c>
      <c r="I1455">
        <v>96</v>
      </c>
      <c r="J1455">
        <v>10832</v>
      </c>
      <c r="K1455" t="s">
        <v>4776</v>
      </c>
      <c r="L1455">
        <f t="shared" si="90"/>
        <v>13</v>
      </c>
      <c r="N1455">
        <v>13</v>
      </c>
      <c r="O1455">
        <v>13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2</v>
      </c>
      <c r="Z1455">
        <v>0</v>
      </c>
      <c r="AA1455">
        <v>2</v>
      </c>
      <c r="AB1455">
        <v>4</v>
      </c>
      <c r="AC1455">
        <v>2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2</v>
      </c>
      <c r="AS1455">
        <v>0</v>
      </c>
      <c r="AT1455">
        <v>2</v>
      </c>
      <c r="AU1455">
        <v>4</v>
      </c>
      <c r="AV1455">
        <v>2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2</v>
      </c>
      <c r="BL1455" s="2">
        <v>0</v>
      </c>
      <c r="BM1455" s="2">
        <v>2</v>
      </c>
      <c r="BN1455" s="2">
        <v>4</v>
      </c>
      <c r="BO1455" s="2">
        <v>2</v>
      </c>
      <c r="BP1455" s="2">
        <v>0</v>
      </c>
      <c r="BQ1455" s="2">
        <v>1</v>
      </c>
      <c r="BR1455" s="2">
        <v>0</v>
      </c>
      <c r="BS1455" s="2">
        <v>0</v>
      </c>
      <c r="BT1455" s="2">
        <v>0</v>
      </c>
      <c r="BU1455" s="2">
        <v>0</v>
      </c>
      <c r="BV1455" s="2">
        <f t="shared" si="93"/>
        <v>13</v>
      </c>
      <c r="BW1455" s="16">
        <f t="shared" si="91"/>
        <v>0.68421052631578949</v>
      </c>
      <c r="BX1455" s="16">
        <f>COUNTIF($BC$6:BU1455, "=0") / COUNTIF($BC$6:BU1455, "&gt;-1")</f>
        <v>0.37357531760435569</v>
      </c>
      <c r="BY1455" s="18">
        <f>SUM($BC$6:BU1455) / $BY$4</f>
        <v>0.97717640580351739</v>
      </c>
      <c r="BZ1455" s="14">
        <f t="shared" si="92"/>
        <v>12</v>
      </c>
      <c r="CA1455" t="s">
        <v>5832</v>
      </c>
      <c r="CZ1455" t="s">
        <v>12521</v>
      </c>
      <c r="DA1455" t="s">
        <v>5904</v>
      </c>
      <c r="DB1455">
        <v>200.3</v>
      </c>
      <c r="DC1455" t="s">
        <v>33225</v>
      </c>
      <c r="DD1455" t="s">
        <v>33226</v>
      </c>
      <c r="DE1455" t="s">
        <v>33227</v>
      </c>
      <c r="DF1455" t="s">
        <v>33228</v>
      </c>
      <c r="DG1455" t="s">
        <v>33229</v>
      </c>
      <c r="DH1455" t="str">
        <f>"ELOC"</f>
        <v>ELOC</v>
      </c>
      <c r="DI1455" t="s">
        <v>13772</v>
      </c>
      <c r="DJ1455" t="s">
        <v>13777</v>
      </c>
      <c r="DK1455">
        <v>9606</v>
      </c>
      <c r="DL1455" s="34" t="str">
        <f>HYPERLINK("http://www.uniprot.org/uniprot/Q15369", "Q15369")</f>
        <v>Q15369</v>
      </c>
      <c r="DM1455" t="s">
        <v>33230</v>
      </c>
      <c r="DN1455" t="s">
        <v>33231</v>
      </c>
      <c r="DO1455" t="s">
        <v>14825</v>
      </c>
      <c r="DP1455" t="s">
        <v>13841</v>
      </c>
      <c r="DQ1455" t="s">
        <v>13772</v>
      </c>
      <c r="DR1455" t="s">
        <v>13772</v>
      </c>
      <c r="DS1455" t="s">
        <v>13772</v>
      </c>
      <c r="DT1455" t="s">
        <v>13772</v>
      </c>
      <c r="DU1455" t="s">
        <v>13772</v>
      </c>
      <c r="DV1455" t="s">
        <v>13772</v>
      </c>
      <c r="DW1455" t="s">
        <v>13812</v>
      </c>
      <c r="DX1455" t="s">
        <v>33232</v>
      </c>
      <c r="DY1455" t="s">
        <v>33233</v>
      </c>
      <c r="DZ1455" t="s">
        <v>13772</v>
      </c>
      <c r="EA1455" t="s">
        <v>13772</v>
      </c>
      <c r="EB1455" t="s">
        <v>30089</v>
      </c>
    </row>
    <row r="1456" spans="1:132" hidden="1">
      <c r="A1456">
        <v>2115</v>
      </c>
      <c r="B1456">
        <v>1</v>
      </c>
      <c r="C1456" t="s">
        <v>4964</v>
      </c>
      <c r="D1456" t="s">
        <v>73</v>
      </c>
      <c r="E1456" t="s">
        <v>73</v>
      </c>
      <c r="F1456" t="s">
        <v>73</v>
      </c>
      <c r="G1456" t="s">
        <v>73</v>
      </c>
      <c r="H1456">
        <v>31.8</v>
      </c>
      <c r="I1456">
        <v>255</v>
      </c>
      <c r="J1456">
        <v>27783</v>
      </c>
      <c r="K1456" t="s">
        <v>4965</v>
      </c>
      <c r="L1456">
        <f t="shared" si="90"/>
        <v>13</v>
      </c>
      <c r="N1456">
        <v>13</v>
      </c>
      <c r="O1456">
        <v>13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4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4</v>
      </c>
      <c r="AU1456">
        <v>4</v>
      </c>
      <c r="AV1456">
        <v>0</v>
      </c>
      <c r="AW1456">
        <v>0</v>
      </c>
      <c r="AX1456">
        <v>0</v>
      </c>
      <c r="AY1456">
        <v>2</v>
      </c>
      <c r="AZ1456">
        <v>0</v>
      </c>
      <c r="BA1456">
        <v>0</v>
      </c>
      <c r="BB1456">
        <v>0</v>
      </c>
      <c r="BC1456" s="2">
        <v>0</v>
      </c>
      <c r="BD1456" s="2">
        <v>1</v>
      </c>
      <c r="BE1456" s="2">
        <v>0</v>
      </c>
      <c r="BF1456" s="2">
        <v>0</v>
      </c>
      <c r="BG1456" s="2">
        <v>2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4</v>
      </c>
      <c r="BN1456" s="2">
        <v>4</v>
      </c>
      <c r="BO1456" s="2">
        <v>0</v>
      </c>
      <c r="BP1456" s="2">
        <v>0</v>
      </c>
      <c r="BQ1456" s="2">
        <v>0</v>
      </c>
      <c r="BR1456" s="2">
        <v>2</v>
      </c>
      <c r="BS1456" s="2">
        <v>0</v>
      </c>
      <c r="BT1456" s="2">
        <v>0</v>
      </c>
      <c r="BU1456" s="2">
        <v>0</v>
      </c>
      <c r="BV1456" s="2">
        <f t="shared" si="93"/>
        <v>13</v>
      </c>
      <c r="BW1456" s="16">
        <f t="shared" si="91"/>
        <v>0.68421052631578949</v>
      </c>
      <c r="BX1456" s="16">
        <f>COUNTIF($BC$6:BU1456, "=0") / COUNTIF($BC$6:BU1456, "&gt;-1")</f>
        <v>0.37382567376401032</v>
      </c>
      <c r="BY1456" s="18">
        <f>SUM($BC$6:BU1456) / $BY$4</f>
        <v>0.97723209308281045</v>
      </c>
      <c r="BZ1456" s="14">
        <f t="shared" si="92"/>
        <v>14</v>
      </c>
      <c r="CA1456" t="s">
        <v>5832</v>
      </c>
      <c r="CZ1456" t="s">
        <v>12797</v>
      </c>
      <c r="DA1456" t="s">
        <v>5904</v>
      </c>
      <c r="DB1456">
        <v>489.6</v>
      </c>
      <c r="DC1456" t="s">
        <v>34004</v>
      </c>
      <c r="DD1456" t="s">
        <v>13772</v>
      </c>
      <c r="DE1456" t="s">
        <v>34005</v>
      </c>
      <c r="DF1456" t="s">
        <v>34006</v>
      </c>
      <c r="DG1456" t="s">
        <v>34007</v>
      </c>
      <c r="DH1456" t="str">
        <f>"ETFB"</f>
        <v>ETFB</v>
      </c>
      <c r="DI1456" t="s">
        <v>13772</v>
      </c>
      <c r="DJ1456" t="s">
        <v>13777</v>
      </c>
      <c r="DK1456">
        <v>9606</v>
      </c>
      <c r="DL1456" s="34" t="str">
        <f>HYPERLINK("http://www.uniprot.org/uniprot/P38117", "P38117")</f>
        <v>P38117</v>
      </c>
      <c r="DM1456" t="s">
        <v>34008</v>
      </c>
      <c r="DN1456" t="s">
        <v>16041</v>
      </c>
      <c r="DO1456" t="s">
        <v>14491</v>
      </c>
      <c r="DP1456" t="s">
        <v>13780</v>
      </c>
      <c r="DQ1456" t="s">
        <v>13772</v>
      </c>
      <c r="DR1456" t="s">
        <v>16042</v>
      </c>
      <c r="DS1456" t="s">
        <v>13772</v>
      </c>
      <c r="DT1456" t="s">
        <v>13772</v>
      </c>
      <c r="DU1456" t="s">
        <v>13772</v>
      </c>
      <c r="DV1456" t="s">
        <v>14098</v>
      </c>
      <c r="DW1456" t="s">
        <v>13812</v>
      </c>
      <c r="DX1456" t="s">
        <v>16043</v>
      </c>
      <c r="DY1456" t="s">
        <v>15582</v>
      </c>
      <c r="DZ1456" t="s">
        <v>34009</v>
      </c>
      <c r="EA1456" t="s">
        <v>13772</v>
      </c>
      <c r="EB1456" t="s">
        <v>34010</v>
      </c>
    </row>
    <row r="1457" spans="1:132" hidden="1">
      <c r="A1457">
        <v>2130</v>
      </c>
      <c r="B1457">
        <v>1</v>
      </c>
      <c r="C1457" t="s">
        <v>4994</v>
      </c>
      <c r="D1457" t="s">
        <v>4995</v>
      </c>
      <c r="E1457" t="s">
        <v>73</v>
      </c>
      <c r="F1457" t="s">
        <v>73</v>
      </c>
      <c r="G1457" t="s">
        <v>73</v>
      </c>
      <c r="H1457">
        <v>6.7</v>
      </c>
      <c r="I1457">
        <v>1014</v>
      </c>
      <c r="J1457">
        <v>106424</v>
      </c>
      <c r="K1457" t="s">
        <v>4996</v>
      </c>
      <c r="L1457">
        <f t="shared" si="90"/>
        <v>13</v>
      </c>
      <c r="N1457">
        <v>13</v>
      </c>
      <c r="O1457">
        <v>13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2</v>
      </c>
      <c r="W1457">
        <v>0</v>
      </c>
      <c r="X1457">
        <v>0</v>
      </c>
      <c r="Y1457">
        <v>3</v>
      </c>
      <c r="Z1457">
        <v>0</v>
      </c>
      <c r="AA1457">
        <v>2</v>
      </c>
      <c r="AB1457">
        <v>1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2</v>
      </c>
      <c r="AP1457">
        <v>0</v>
      </c>
      <c r="AQ1457">
        <v>0</v>
      </c>
      <c r="AR1457">
        <v>3</v>
      </c>
      <c r="AS1457">
        <v>0</v>
      </c>
      <c r="AT1457">
        <v>2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 s="2">
        <v>0</v>
      </c>
      <c r="BD1457" s="2">
        <v>1</v>
      </c>
      <c r="BE1457" s="2">
        <v>0</v>
      </c>
      <c r="BF1457" s="2">
        <v>0</v>
      </c>
      <c r="BG1457" s="2">
        <v>0</v>
      </c>
      <c r="BH1457" s="2">
        <v>2</v>
      </c>
      <c r="BI1457" s="2">
        <v>0</v>
      </c>
      <c r="BJ1457" s="2">
        <v>0</v>
      </c>
      <c r="BK1457" s="2">
        <v>3</v>
      </c>
      <c r="BL1457" s="2">
        <v>0</v>
      </c>
      <c r="BM1457" s="2">
        <v>2</v>
      </c>
      <c r="BN1457" s="2">
        <v>1</v>
      </c>
      <c r="BO1457" s="2">
        <v>1</v>
      </c>
      <c r="BP1457" s="2">
        <v>0</v>
      </c>
      <c r="BQ1457" s="2">
        <v>0</v>
      </c>
      <c r="BR1457" s="2">
        <v>1</v>
      </c>
      <c r="BS1457" s="2">
        <v>1</v>
      </c>
      <c r="BT1457" s="2">
        <v>0</v>
      </c>
      <c r="BU1457" s="2">
        <v>1</v>
      </c>
      <c r="BV1457" s="2">
        <f t="shared" si="93"/>
        <v>13</v>
      </c>
      <c r="BW1457" s="16">
        <f t="shared" si="91"/>
        <v>0.68421052631578949</v>
      </c>
      <c r="BX1457" s="16">
        <f>COUNTIF($BC$6:BU1457, "=0") / COUNTIF($BC$6:BU1457, "&gt;-1")</f>
        <v>0.37393069450485716</v>
      </c>
      <c r="BY1457" s="18">
        <f>SUM($BC$6:BU1457) / $BY$4</f>
        <v>0.97728778036210362</v>
      </c>
      <c r="BZ1457" s="14">
        <f t="shared" si="92"/>
        <v>10</v>
      </c>
      <c r="CA1457" t="s">
        <v>5832</v>
      </c>
      <c r="CZ1457" t="s">
        <v>12846</v>
      </c>
      <c r="DA1457" t="s">
        <v>5904</v>
      </c>
      <c r="DB1457">
        <v>1649</v>
      </c>
      <c r="DC1457" t="s">
        <v>34131</v>
      </c>
      <c r="DD1457" t="s">
        <v>34132</v>
      </c>
      <c r="DE1457" t="s">
        <v>34133</v>
      </c>
      <c r="DF1457" t="s">
        <v>34134</v>
      </c>
      <c r="DG1457" t="s">
        <v>34135</v>
      </c>
      <c r="DH1457" t="str">
        <f>"EMILIN1"</f>
        <v>EMILIN1</v>
      </c>
      <c r="DI1457" t="s">
        <v>34136</v>
      </c>
      <c r="DJ1457" t="s">
        <v>13777</v>
      </c>
      <c r="DK1457">
        <v>9606</v>
      </c>
      <c r="DL1457" s="34" t="str">
        <f>HYPERLINK("http://www.uniprot.org/uniprot/Q9Y6C2", "Q9Y6C2")</f>
        <v>Q9Y6C2</v>
      </c>
      <c r="DM1457" t="s">
        <v>34137</v>
      </c>
      <c r="DN1457" t="s">
        <v>13949</v>
      </c>
      <c r="DO1457" t="s">
        <v>13869</v>
      </c>
      <c r="DP1457" t="s">
        <v>13780</v>
      </c>
      <c r="DQ1457" t="s">
        <v>13772</v>
      </c>
      <c r="DR1457" t="s">
        <v>13772</v>
      </c>
      <c r="DS1457" t="s">
        <v>18198</v>
      </c>
      <c r="DT1457" t="s">
        <v>13772</v>
      </c>
      <c r="DU1457" t="s">
        <v>13772</v>
      </c>
      <c r="DV1457" t="s">
        <v>13796</v>
      </c>
      <c r="DW1457" t="s">
        <v>13812</v>
      </c>
      <c r="DX1457" t="s">
        <v>34138</v>
      </c>
      <c r="DY1457" t="s">
        <v>34139</v>
      </c>
      <c r="DZ1457" t="s">
        <v>34140</v>
      </c>
      <c r="EA1457" t="s">
        <v>13772</v>
      </c>
      <c r="EB1457" t="s">
        <v>14774</v>
      </c>
    </row>
    <row r="1458" spans="1:132" hidden="1">
      <c r="A1458">
        <v>2286</v>
      </c>
      <c r="B1458">
        <v>1</v>
      </c>
      <c r="C1458" t="s">
        <v>5341</v>
      </c>
      <c r="D1458" t="s">
        <v>73</v>
      </c>
      <c r="E1458" t="s">
        <v>73</v>
      </c>
      <c r="F1458" t="s">
        <v>73</v>
      </c>
      <c r="G1458" t="s">
        <v>73</v>
      </c>
      <c r="H1458">
        <v>22</v>
      </c>
      <c r="I1458">
        <v>364</v>
      </c>
      <c r="J1458">
        <v>40332</v>
      </c>
      <c r="K1458" t="s">
        <v>5342</v>
      </c>
      <c r="L1458">
        <f t="shared" si="90"/>
        <v>13</v>
      </c>
      <c r="N1458">
        <v>13</v>
      </c>
      <c r="O1458">
        <v>13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</v>
      </c>
      <c r="Y1458">
        <v>0</v>
      </c>
      <c r="Z1458">
        <v>3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2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</v>
      </c>
      <c r="AR1458">
        <v>0</v>
      </c>
      <c r="AS1458">
        <v>3</v>
      </c>
      <c r="AT1458">
        <v>0</v>
      </c>
      <c r="AU1458">
        <v>0</v>
      </c>
      <c r="AV1458">
        <v>0</v>
      </c>
      <c r="AW1458">
        <v>2</v>
      </c>
      <c r="AX1458">
        <v>0</v>
      </c>
      <c r="AY1458">
        <v>2</v>
      </c>
      <c r="AZ1458">
        <v>0</v>
      </c>
      <c r="BA1458">
        <v>0</v>
      </c>
      <c r="BB1458">
        <v>0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5</v>
      </c>
      <c r="BK1458" s="2">
        <v>0</v>
      </c>
      <c r="BL1458" s="2">
        <v>3</v>
      </c>
      <c r="BM1458" s="2">
        <v>0</v>
      </c>
      <c r="BN1458" s="2">
        <v>0</v>
      </c>
      <c r="BO1458" s="2">
        <v>0</v>
      </c>
      <c r="BP1458" s="2">
        <v>2</v>
      </c>
      <c r="BQ1458" s="2">
        <v>0</v>
      </c>
      <c r="BR1458" s="2">
        <v>2</v>
      </c>
      <c r="BS1458" s="2">
        <v>0</v>
      </c>
      <c r="BT1458" s="2">
        <v>0</v>
      </c>
      <c r="BU1458" s="2">
        <v>0</v>
      </c>
      <c r="BV1458" s="2">
        <f t="shared" si="93"/>
        <v>13</v>
      </c>
      <c r="BW1458" s="16">
        <f t="shared" si="91"/>
        <v>0.68421052631578949</v>
      </c>
      <c r="BX1458" s="16">
        <f>COUNTIF($BC$6:BU1458, "=0") / COUNTIF($BC$6:BU1458, "&gt;-1")</f>
        <v>0.37418046147716161</v>
      </c>
      <c r="BY1458" s="18">
        <f>SUM($BC$6:BU1458) / $BY$4</f>
        <v>0.97734346764139668</v>
      </c>
      <c r="BZ1458" s="14">
        <f t="shared" si="92"/>
        <v>14</v>
      </c>
      <c r="CA1458" t="s">
        <v>5832</v>
      </c>
      <c r="CZ1458" t="s">
        <v>13363</v>
      </c>
      <c r="DA1458" t="s">
        <v>5904</v>
      </c>
      <c r="DB1458">
        <v>487.3</v>
      </c>
      <c r="DC1458" t="s">
        <v>35586</v>
      </c>
      <c r="DD1458" t="s">
        <v>35587</v>
      </c>
      <c r="DE1458" t="s">
        <v>35588</v>
      </c>
      <c r="DF1458" t="s">
        <v>35589</v>
      </c>
      <c r="DG1458" t="s">
        <v>35590</v>
      </c>
      <c r="DH1458" t="str">
        <f>"SFTPB"</f>
        <v>SFTPB</v>
      </c>
      <c r="DI1458" t="s">
        <v>35591</v>
      </c>
      <c r="DJ1458" t="s">
        <v>13777</v>
      </c>
      <c r="DK1458">
        <v>9606</v>
      </c>
      <c r="DL1458" s="34" t="str">
        <f>HYPERLINK("http://www.uniprot.org/uniprot/P07988", "P07988")</f>
        <v>P07988</v>
      </c>
      <c r="DM1458" t="s">
        <v>35592</v>
      </c>
      <c r="DN1458" t="s">
        <v>35593</v>
      </c>
      <c r="DO1458" t="s">
        <v>35594</v>
      </c>
      <c r="DP1458" t="s">
        <v>13793</v>
      </c>
      <c r="DQ1458" t="s">
        <v>13772</v>
      </c>
      <c r="DR1458" t="s">
        <v>13807</v>
      </c>
      <c r="DS1458" t="s">
        <v>14404</v>
      </c>
      <c r="DT1458" t="s">
        <v>13772</v>
      </c>
      <c r="DU1458" t="s">
        <v>13772</v>
      </c>
      <c r="DV1458" t="s">
        <v>13796</v>
      </c>
      <c r="DW1458" t="s">
        <v>13812</v>
      </c>
      <c r="DX1458" t="s">
        <v>35595</v>
      </c>
      <c r="DY1458" t="s">
        <v>35596</v>
      </c>
      <c r="DZ1458" t="s">
        <v>13772</v>
      </c>
      <c r="EA1458" t="s">
        <v>13772</v>
      </c>
      <c r="EB1458" t="s">
        <v>35597</v>
      </c>
    </row>
    <row r="1459" spans="1:132" hidden="1">
      <c r="A1459">
        <v>2396</v>
      </c>
      <c r="B1459">
        <v>1</v>
      </c>
      <c r="C1459" t="s">
        <v>5584</v>
      </c>
      <c r="D1459" t="s">
        <v>73</v>
      </c>
      <c r="E1459" t="s">
        <v>73</v>
      </c>
      <c r="F1459" t="s">
        <v>73</v>
      </c>
      <c r="G1459" t="s">
        <v>73</v>
      </c>
      <c r="H1459">
        <v>11.1</v>
      </c>
      <c r="I1459">
        <v>505</v>
      </c>
      <c r="J1459">
        <v>57385</v>
      </c>
      <c r="K1459" t="s">
        <v>5585</v>
      </c>
      <c r="L1459">
        <f t="shared" si="90"/>
        <v>13</v>
      </c>
      <c r="N1459">
        <v>13</v>
      </c>
      <c r="O1459">
        <v>13</v>
      </c>
      <c r="P1459">
        <v>1</v>
      </c>
      <c r="Q1459">
        <v>0</v>
      </c>
      <c r="R1459">
        <v>2</v>
      </c>
      <c r="S1459">
        <v>1</v>
      </c>
      <c r="T1459">
        <v>5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</v>
      </c>
      <c r="AG1459">
        <v>0</v>
      </c>
      <c r="AH1459">
        <v>0</v>
      </c>
      <c r="AI1459">
        <v>0</v>
      </c>
      <c r="AJ1459">
        <v>0</v>
      </c>
      <c r="AK1459">
        <v>2</v>
      </c>
      <c r="AL1459">
        <v>1</v>
      </c>
      <c r="AM1459">
        <v>5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2</v>
      </c>
      <c r="AZ1459">
        <v>0</v>
      </c>
      <c r="BA1459">
        <v>0</v>
      </c>
      <c r="BB1459">
        <v>0</v>
      </c>
      <c r="BC1459" s="2">
        <v>0</v>
      </c>
      <c r="BD1459" s="2">
        <v>2</v>
      </c>
      <c r="BE1459" s="2">
        <v>1</v>
      </c>
      <c r="BF1459" s="2">
        <v>5</v>
      </c>
      <c r="BG1459" s="2">
        <v>1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2</v>
      </c>
      <c r="BS1459" s="2">
        <v>0</v>
      </c>
      <c r="BT1459" s="2">
        <v>0</v>
      </c>
      <c r="BU1459" s="2">
        <v>0</v>
      </c>
      <c r="BV1459" s="2">
        <f t="shared" si="93"/>
        <v>13</v>
      </c>
      <c r="BW1459" s="16">
        <f t="shared" si="91"/>
        <v>0.68421052631578949</v>
      </c>
      <c r="BX1459" s="16">
        <f>COUNTIF($BC$6:BU1459, "=0") / COUNTIF($BC$6:BU1459, "&gt;-1")</f>
        <v>0.37435748932165352</v>
      </c>
      <c r="BY1459" s="18">
        <f>SUM($BC$6:BU1459) / $BY$4</f>
        <v>0.97739915492068974</v>
      </c>
      <c r="BZ1459" s="14">
        <f t="shared" si="92"/>
        <v>12</v>
      </c>
      <c r="CA1459" t="s">
        <v>5832</v>
      </c>
      <c r="CZ1459" t="s">
        <v>13701</v>
      </c>
      <c r="DA1459" t="s">
        <v>5904</v>
      </c>
      <c r="DB1459">
        <v>930.6</v>
      </c>
      <c r="DC1459" t="s">
        <v>36528</v>
      </c>
      <c r="DD1459" t="s">
        <v>36529</v>
      </c>
      <c r="DE1459" t="s">
        <v>36530</v>
      </c>
      <c r="DF1459" t="s">
        <v>36531</v>
      </c>
      <c r="DG1459" t="s">
        <v>36532</v>
      </c>
      <c r="DH1459" t="str">
        <f>"SGSH"</f>
        <v>SGSH</v>
      </c>
      <c r="DI1459" t="s">
        <v>36533</v>
      </c>
      <c r="DJ1459" t="s">
        <v>13777</v>
      </c>
      <c r="DK1459">
        <v>9606</v>
      </c>
      <c r="DL1459" s="34" t="str">
        <f>HYPERLINK("http://www.uniprot.org/uniprot/P51688", "P51688")</f>
        <v>P51688</v>
      </c>
      <c r="DM1459" t="s">
        <v>36534</v>
      </c>
      <c r="DN1459" t="s">
        <v>13772</v>
      </c>
      <c r="DO1459" t="s">
        <v>13806</v>
      </c>
      <c r="DP1459" t="s">
        <v>13793</v>
      </c>
      <c r="DQ1459" t="s">
        <v>13772</v>
      </c>
      <c r="DR1459" t="s">
        <v>21982</v>
      </c>
      <c r="DS1459" t="s">
        <v>13808</v>
      </c>
      <c r="DT1459" t="s">
        <v>13873</v>
      </c>
      <c r="DU1459" t="s">
        <v>13857</v>
      </c>
      <c r="DV1459" t="s">
        <v>13796</v>
      </c>
      <c r="DW1459" t="s">
        <v>13812</v>
      </c>
      <c r="DX1459" t="s">
        <v>36535</v>
      </c>
      <c r="DY1459" t="s">
        <v>36536</v>
      </c>
      <c r="DZ1459" t="s">
        <v>36537</v>
      </c>
      <c r="EA1459" t="s">
        <v>13772</v>
      </c>
      <c r="EB1459" t="s">
        <v>36538</v>
      </c>
    </row>
    <row r="1460" spans="1:132" hidden="1">
      <c r="A1460">
        <v>2399</v>
      </c>
      <c r="B1460">
        <v>1</v>
      </c>
      <c r="C1460" t="s">
        <v>5590</v>
      </c>
      <c r="D1460" t="s">
        <v>73</v>
      </c>
      <c r="E1460" t="s">
        <v>73</v>
      </c>
      <c r="F1460" t="s">
        <v>73</v>
      </c>
      <c r="G1460" t="s">
        <v>73</v>
      </c>
      <c r="H1460">
        <v>26.9</v>
      </c>
      <c r="I1460">
        <v>108</v>
      </c>
      <c r="J1460">
        <v>12163</v>
      </c>
      <c r="K1460" t="s">
        <v>5591</v>
      </c>
      <c r="L1460">
        <f t="shared" si="90"/>
        <v>13</v>
      </c>
      <c r="N1460">
        <v>13</v>
      </c>
      <c r="O1460">
        <v>13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3</v>
      </c>
      <c r="Z1460">
        <v>0</v>
      </c>
      <c r="AA1460">
        <v>1</v>
      </c>
      <c r="AB1460">
        <v>0</v>
      </c>
      <c r="AC1460">
        <v>2</v>
      </c>
      <c r="AD1460">
        <v>1</v>
      </c>
      <c r="AE1460">
        <v>1</v>
      </c>
      <c r="AF1460">
        <v>1</v>
      </c>
      <c r="AG1460">
        <v>0</v>
      </c>
      <c r="AH1460">
        <v>1</v>
      </c>
      <c r="AI1460">
        <v>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3</v>
      </c>
      <c r="AS1460">
        <v>0</v>
      </c>
      <c r="AT1460">
        <v>1</v>
      </c>
      <c r="AU1460">
        <v>0</v>
      </c>
      <c r="AV1460">
        <v>2</v>
      </c>
      <c r="AW1460">
        <v>1</v>
      </c>
      <c r="AX1460">
        <v>1</v>
      </c>
      <c r="AY1460">
        <v>1</v>
      </c>
      <c r="AZ1460">
        <v>0</v>
      </c>
      <c r="BA1460">
        <v>1</v>
      </c>
      <c r="BB1460">
        <v>2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3</v>
      </c>
      <c r="BL1460" s="2">
        <v>0</v>
      </c>
      <c r="BM1460" s="2">
        <v>1</v>
      </c>
      <c r="BN1460" s="2">
        <v>0</v>
      </c>
      <c r="BO1460" s="2">
        <v>2</v>
      </c>
      <c r="BP1460" s="2">
        <v>1</v>
      </c>
      <c r="BQ1460" s="2">
        <v>1</v>
      </c>
      <c r="BR1460" s="2">
        <v>1</v>
      </c>
      <c r="BS1460" s="2">
        <v>0</v>
      </c>
      <c r="BT1460" s="2">
        <v>1</v>
      </c>
      <c r="BU1460" s="2">
        <v>2</v>
      </c>
      <c r="BV1460" s="2">
        <f t="shared" si="93"/>
        <v>13</v>
      </c>
      <c r="BW1460" s="16">
        <f t="shared" si="91"/>
        <v>0.68421052631578949</v>
      </c>
      <c r="BX1460" s="16">
        <f>COUNTIF($BC$6:BU1460, "=0") / COUNTIF($BC$6:BU1460, "&gt;-1")</f>
        <v>0.3744619280159161</v>
      </c>
      <c r="BY1460" s="18">
        <f>SUM($BC$6:BU1460) / $BY$4</f>
        <v>0.97745484219998291</v>
      </c>
      <c r="BZ1460" s="14">
        <f t="shared" si="92"/>
        <v>10</v>
      </c>
      <c r="CA1460" t="s">
        <v>5832</v>
      </c>
      <c r="CZ1460" t="s">
        <v>13710</v>
      </c>
      <c r="DA1460" t="s">
        <v>5904</v>
      </c>
      <c r="DB1460">
        <v>141</v>
      </c>
      <c r="DC1460" t="s">
        <v>36559</v>
      </c>
      <c r="DD1460" t="s">
        <v>36560</v>
      </c>
      <c r="DE1460" t="s">
        <v>36561</v>
      </c>
      <c r="DF1460" t="s">
        <v>36562</v>
      </c>
      <c r="DG1460" t="s">
        <v>36563</v>
      </c>
      <c r="DH1460" t="str">
        <f>"CCL16"</f>
        <v>CCL16</v>
      </c>
      <c r="DI1460" t="s">
        <v>36564</v>
      </c>
      <c r="DJ1460" t="s">
        <v>13777</v>
      </c>
      <c r="DK1460">
        <v>9606</v>
      </c>
      <c r="DL1460" s="34" t="str">
        <f>HYPERLINK("http://www.uniprot.org/uniprot/O15467", "O15467")</f>
        <v>O15467</v>
      </c>
      <c r="DM1460" t="s">
        <v>36565</v>
      </c>
      <c r="DN1460" t="s">
        <v>26480</v>
      </c>
      <c r="DO1460" t="s">
        <v>14321</v>
      </c>
      <c r="DP1460" t="s">
        <v>13772</v>
      </c>
      <c r="DQ1460" t="s">
        <v>13772</v>
      </c>
      <c r="DR1460" t="s">
        <v>13772</v>
      </c>
      <c r="DS1460" t="s">
        <v>13808</v>
      </c>
      <c r="DT1460" t="s">
        <v>13772</v>
      </c>
      <c r="DU1460" t="s">
        <v>14405</v>
      </c>
      <c r="DV1460" t="s">
        <v>14506</v>
      </c>
      <c r="DW1460" t="s">
        <v>13812</v>
      </c>
      <c r="DX1460" t="s">
        <v>36566</v>
      </c>
      <c r="DY1460" t="s">
        <v>22023</v>
      </c>
      <c r="DZ1460" t="s">
        <v>36567</v>
      </c>
      <c r="EA1460" t="s">
        <v>13772</v>
      </c>
      <c r="EB1460" t="s">
        <v>35943</v>
      </c>
    </row>
    <row r="1461" spans="1:132" hidden="1">
      <c r="A1461">
        <v>650</v>
      </c>
      <c r="B1461">
        <v>1</v>
      </c>
      <c r="C1461" t="s">
        <v>1607</v>
      </c>
      <c r="D1461" t="s">
        <v>73</v>
      </c>
      <c r="E1461" t="s">
        <v>73</v>
      </c>
      <c r="F1461" t="s">
        <v>1598</v>
      </c>
      <c r="G1461" t="s">
        <v>73</v>
      </c>
      <c r="H1461">
        <v>17.5</v>
      </c>
      <c r="I1461">
        <v>303</v>
      </c>
      <c r="J1461">
        <v>32992</v>
      </c>
      <c r="K1461" t="s">
        <v>1608</v>
      </c>
      <c r="L1461">
        <f t="shared" si="90"/>
        <v>26</v>
      </c>
      <c r="N1461">
        <v>26</v>
      </c>
      <c r="O1461">
        <v>4</v>
      </c>
      <c r="P1461">
        <v>0.154</v>
      </c>
      <c r="Q1461">
        <v>1</v>
      </c>
      <c r="R1461">
        <v>1</v>
      </c>
      <c r="S1461">
        <v>2</v>
      </c>
      <c r="T1461">
        <v>0</v>
      </c>
      <c r="U1461">
        <v>2</v>
      </c>
      <c r="V1461">
        <v>2</v>
      </c>
      <c r="W1461">
        <v>4</v>
      </c>
      <c r="X1461">
        <v>3</v>
      </c>
      <c r="Y1461">
        <v>0</v>
      </c>
      <c r="Z1461">
        <v>0</v>
      </c>
      <c r="AA1461">
        <v>1</v>
      </c>
      <c r="AB1461">
        <v>4</v>
      </c>
      <c r="AC1461">
        <v>0</v>
      </c>
      <c r="AD1461">
        <v>0</v>
      </c>
      <c r="AE1461">
        <v>0</v>
      </c>
      <c r="AF1461">
        <v>0</v>
      </c>
      <c r="AG1461">
        <v>4</v>
      </c>
      <c r="AH1461">
        <v>1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 s="2">
        <v>0.2</v>
      </c>
      <c r="BD1461" s="2">
        <v>0.2</v>
      </c>
      <c r="BE1461" s="2">
        <v>2</v>
      </c>
      <c r="BF1461" s="2">
        <v>0</v>
      </c>
      <c r="BG1461" s="2">
        <v>0.4</v>
      </c>
      <c r="BH1461" s="2">
        <v>2</v>
      </c>
      <c r="BI1461" s="2">
        <v>2.5</v>
      </c>
      <c r="BJ1461" s="2">
        <v>0.9</v>
      </c>
      <c r="BK1461" s="2">
        <v>0</v>
      </c>
      <c r="BL1461" s="2">
        <v>0</v>
      </c>
      <c r="BM1461" s="2">
        <v>0.5</v>
      </c>
      <c r="BN1461" s="2">
        <v>2.6669999999999998</v>
      </c>
      <c r="BO1461" s="2">
        <v>0</v>
      </c>
      <c r="BP1461" s="2">
        <v>0</v>
      </c>
      <c r="BQ1461" s="2">
        <v>0</v>
      </c>
      <c r="BR1461" s="2">
        <v>0</v>
      </c>
      <c r="BS1461" s="2">
        <v>1.4</v>
      </c>
      <c r="BT1461" s="2">
        <v>0.2</v>
      </c>
      <c r="BU1461" s="2">
        <v>0</v>
      </c>
      <c r="BV1461" s="2">
        <f t="shared" si="93"/>
        <v>12.966999999999999</v>
      </c>
      <c r="BW1461" s="16">
        <f t="shared" si="91"/>
        <v>0.68247368421052623</v>
      </c>
      <c r="BX1461" s="16">
        <f>COUNTIF($BC$6:BU1461, "=0") / COUNTIF($BC$6:BU1461, "&gt;-1")</f>
        <v>0.37449392712550605</v>
      </c>
      <c r="BY1461" s="18">
        <f>SUM($BC$6:BU1461) / $BY$4</f>
        <v>0.97751038811925939</v>
      </c>
      <c r="BZ1461" s="14">
        <f t="shared" si="92"/>
        <v>8</v>
      </c>
      <c r="CA1461" t="s">
        <v>5832</v>
      </c>
      <c r="CZ1461" t="s">
        <v>7930</v>
      </c>
      <c r="DA1461" t="s">
        <v>5904</v>
      </c>
      <c r="DB1461">
        <v>308.5</v>
      </c>
      <c r="DC1461" t="s">
        <v>20188</v>
      </c>
      <c r="DD1461" t="s">
        <v>20189</v>
      </c>
      <c r="DE1461" t="s">
        <v>20190</v>
      </c>
      <c r="DF1461" t="s">
        <v>20191</v>
      </c>
      <c r="DG1461" t="s">
        <v>20192</v>
      </c>
      <c r="DH1461" t="str">
        <f>"HLA-B"</f>
        <v>HLA-B</v>
      </c>
      <c r="DI1461" t="s">
        <v>20193</v>
      </c>
      <c r="DJ1461" t="s">
        <v>13777</v>
      </c>
      <c r="DK1461">
        <v>9606</v>
      </c>
      <c r="DL1461" s="34" t="str">
        <f>HYPERLINK("http://www.uniprot.org/uniprot/Q31612", "Q31612")</f>
        <v>Q31612</v>
      </c>
      <c r="DM1461" t="s">
        <v>20194</v>
      </c>
      <c r="DN1461" t="s">
        <v>13791</v>
      </c>
      <c r="DO1461" t="s">
        <v>20159</v>
      </c>
      <c r="DP1461" t="s">
        <v>13793</v>
      </c>
      <c r="DQ1461" t="s">
        <v>13772</v>
      </c>
      <c r="DR1461" t="s">
        <v>13772</v>
      </c>
      <c r="DS1461" t="s">
        <v>13855</v>
      </c>
      <c r="DT1461" t="s">
        <v>13772</v>
      </c>
      <c r="DU1461" t="s">
        <v>13772</v>
      </c>
      <c r="DV1461" t="s">
        <v>18697</v>
      </c>
      <c r="DW1461" t="s">
        <v>13772</v>
      </c>
      <c r="DX1461" t="s">
        <v>20160</v>
      </c>
      <c r="DY1461" t="s">
        <v>20161</v>
      </c>
      <c r="DZ1461" t="s">
        <v>20195</v>
      </c>
      <c r="EA1461" t="s">
        <v>13772</v>
      </c>
      <c r="EB1461" t="s">
        <v>20163</v>
      </c>
    </row>
    <row r="1462" spans="1:132" hidden="1">
      <c r="A1462">
        <v>1662</v>
      </c>
      <c r="B1462">
        <v>1</v>
      </c>
      <c r="C1462" t="s">
        <v>3942</v>
      </c>
      <c r="D1462" t="s">
        <v>73</v>
      </c>
      <c r="E1462" t="s">
        <v>73</v>
      </c>
      <c r="F1462" t="s">
        <v>2316</v>
      </c>
      <c r="G1462" t="s">
        <v>73</v>
      </c>
      <c r="H1462">
        <v>39.700000000000003</v>
      </c>
      <c r="I1462">
        <v>320</v>
      </c>
      <c r="J1462">
        <v>33439</v>
      </c>
      <c r="K1462" t="s">
        <v>3943</v>
      </c>
      <c r="L1462">
        <f t="shared" si="90"/>
        <v>53</v>
      </c>
      <c r="N1462">
        <v>53</v>
      </c>
      <c r="O1462">
        <v>0</v>
      </c>
      <c r="P1462">
        <v>0</v>
      </c>
      <c r="Q1462">
        <v>1</v>
      </c>
      <c r="R1462">
        <v>4</v>
      </c>
      <c r="S1462">
        <v>1</v>
      </c>
      <c r="T1462">
        <v>1</v>
      </c>
      <c r="U1462">
        <v>0</v>
      </c>
      <c r="V1462">
        <v>0</v>
      </c>
      <c r="W1462">
        <v>2</v>
      </c>
      <c r="X1462">
        <v>2</v>
      </c>
      <c r="Y1462">
        <v>9</v>
      </c>
      <c r="Z1462">
        <v>0</v>
      </c>
      <c r="AA1462">
        <v>9</v>
      </c>
      <c r="AB1462">
        <v>10</v>
      </c>
      <c r="AC1462">
        <v>4</v>
      </c>
      <c r="AD1462">
        <v>0</v>
      </c>
      <c r="AE1462">
        <v>3</v>
      </c>
      <c r="AF1462">
        <v>5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 s="2">
        <v>0.25</v>
      </c>
      <c r="BD1462" s="2">
        <v>2</v>
      </c>
      <c r="BE1462" s="2">
        <v>0.25</v>
      </c>
      <c r="BF1462" s="2">
        <v>0.25</v>
      </c>
      <c r="BG1462" s="2">
        <v>0</v>
      </c>
      <c r="BH1462" s="2">
        <v>0</v>
      </c>
      <c r="BI1462" s="2">
        <v>0.45</v>
      </c>
      <c r="BJ1462" s="2">
        <v>0.45</v>
      </c>
      <c r="BK1462" s="2">
        <v>1.583</v>
      </c>
      <c r="BL1462" s="2">
        <v>0</v>
      </c>
      <c r="BM1462" s="2">
        <v>1.7</v>
      </c>
      <c r="BN1462" s="2">
        <v>2.1</v>
      </c>
      <c r="BO1462" s="2">
        <v>0.58299999999999996</v>
      </c>
      <c r="BP1462" s="2">
        <v>0</v>
      </c>
      <c r="BQ1462" s="2">
        <v>0.83299999999999996</v>
      </c>
      <c r="BR1462" s="2">
        <v>1.367</v>
      </c>
      <c r="BS1462" s="2">
        <v>0</v>
      </c>
      <c r="BT1462" s="2">
        <v>1</v>
      </c>
      <c r="BU1462" s="2">
        <v>0</v>
      </c>
      <c r="BV1462" s="2">
        <f t="shared" si="93"/>
        <v>12.816000000000003</v>
      </c>
      <c r="BW1462" s="16">
        <f t="shared" si="91"/>
        <v>0.67452631578947386</v>
      </c>
      <c r="BX1462" s="16">
        <f>COUNTIF($BC$6:BU1462, "=0") / COUNTIF($BC$6:BU1462, "&gt;-1")</f>
        <v>0.37445363580536789</v>
      </c>
      <c r="BY1462" s="18">
        <f>SUM($BC$6:BU1462) / $BY$4</f>
        <v>0.97756528720936897</v>
      </c>
      <c r="BZ1462" s="14">
        <f t="shared" si="92"/>
        <v>6</v>
      </c>
      <c r="CA1462" t="s">
        <v>5832</v>
      </c>
      <c r="CZ1462" t="s">
        <v>7232</v>
      </c>
      <c r="DA1462" t="s">
        <v>5904</v>
      </c>
      <c r="DB1462">
        <v>465.7</v>
      </c>
      <c r="DC1462" t="s">
        <v>18079</v>
      </c>
      <c r="DD1462" t="s">
        <v>18080</v>
      </c>
      <c r="DE1462" t="s">
        <v>18081</v>
      </c>
      <c r="DF1462" t="s">
        <v>18082</v>
      </c>
      <c r="DG1462" t="s">
        <v>18083</v>
      </c>
      <c r="DH1462" t="str">
        <f>"HNRNPA1L2"</f>
        <v>HNRNPA1L2</v>
      </c>
      <c r="DI1462" t="s">
        <v>18084</v>
      </c>
      <c r="DJ1462" t="s">
        <v>13777</v>
      </c>
      <c r="DK1462">
        <v>9606</v>
      </c>
      <c r="DL1462" s="34" t="str">
        <f>HYPERLINK("http://www.uniprot.org/uniprot/Q32P51", "Q32P51")</f>
        <v>Q32P51</v>
      </c>
      <c r="DM1462" t="s">
        <v>18085</v>
      </c>
      <c r="DN1462" t="s">
        <v>16723</v>
      </c>
      <c r="DO1462" t="s">
        <v>14230</v>
      </c>
      <c r="DP1462" t="s">
        <v>13793</v>
      </c>
      <c r="DQ1462" t="s">
        <v>13772</v>
      </c>
      <c r="DR1462" t="s">
        <v>13772</v>
      </c>
      <c r="DS1462" t="s">
        <v>14096</v>
      </c>
      <c r="DT1462" t="s">
        <v>13772</v>
      </c>
      <c r="DU1462" t="s">
        <v>16089</v>
      </c>
      <c r="DV1462" t="s">
        <v>14098</v>
      </c>
      <c r="DW1462" t="s">
        <v>13772</v>
      </c>
      <c r="DX1462" t="s">
        <v>18086</v>
      </c>
      <c r="DY1462" t="s">
        <v>18087</v>
      </c>
      <c r="DZ1462" t="s">
        <v>18088</v>
      </c>
      <c r="EA1462" t="s">
        <v>13772</v>
      </c>
      <c r="EB1462" t="s">
        <v>13772</v>
      </c>
    </row>
    <row r="1463" spans="1:132" hidden="1">
      <c r="A1463">
        <v>1036</v>
      </c>
      <c r="B1463">
        <v>1</v>
      </c>
      <c r="C1463" t="s">
        <v>2507</v>
      </c>
      <c r="D1463" t="s">
        <v>73</v>
      </c>
      <c r="E1463" t="s">
        <v>73</v>
      </c>
      <c r="F1463" t="s">
        <v>2508</v>
      </c>
      <c r="G1463" t="s">
        <v>73</v>
      </c>
      <c r="H1463">
        <v>36.700000000000003</v>
      </c>
      <c r="I1463">
        <v>215</v>
      </c>
      <c r="J1463">
        <v>23707</v>
      </c>
      <c r="K1463" t="s">
        <v>2509</v>
      </c>
      <c r="L1463">
        <f t="shared" si="90"/>
        <v>23</v>
      </c>
      <c r="N1463">
        <v>23</v>
      </c>
      <c r="O1463">
        <v>6</v>
      </c>
      <c r="P1463">
        <v>0.26100000000000001</v>
      </c>
      <c r="Q1463">
        <v>0</v>
      </c>
      <c r="R1463">
        <v>3</v>
      </c>
      <c r="S1463">
        <v>1</v>
      </c>
      <c r="T1463">
        <v>0</v>
      </c>
      <c r="U1463">
        <v>2</v>
      </c>
      <c r="V1463">
        <v>2</v>
      </c>
      <c r="W1463">
        <v>1</v>
      </c>
      <c r="X1463">
        <v>1</v>
      </c>
      <c r="Y1463">
        <v>5</v>
      </c>
      <c r="Z1463">
        <v>0</v>
      </c>
      <c r="AA1463">
        <v>2</v>
      </c>
      <c r="AB1463">
        <v>2</v>
      </c>
      <c r="AC1463">
        <v>2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3</v>
      </c>
      <c r="AS1463">
        <v>0</v>
      </c>
      <c r="AT1463">
        <v>1</v>
      </c>
      <c r="AU1463">
        <v>0</v>
      </c>
      <c r="AV1463">
        <v>2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 s="2">
        <v>0</v>
      </c>
      <c r="BD1463" s="2">
        <v>1.2</v>
      </c>
      <c r="BE1463" s="2">
        <v>0.4</v>
      </c>
      <c r="BF1463" s="2">
        <v>0</v>
      </c>
      <c r="BG1463" s="2">
        <v>0.8</v>
      </c>
      <c r="BH1463" s="2">
        <v>0.8</v>
      </c>
      <c r="BI1463" s="2">
        <v>0.4</v>
      </c>
      <c r="BJ1463" s="2">
        <v>0.4</v>
      </c>
      <c r="BK1463" s="2">
        <v>3.8</v>
      </c>
      <c r="BL1463" s="2">
        <v>0</v>
      </c>
      <c r="BM1463" s="2">
        <v>1.4</v>
      </c>
      <c r="BN1463" s="2">
        <v>0.8</v>
      </c>
      <c r="BO1463" s="2">
        <v>2</v>
      </c>
      <c r="BP1463" s="2">
        <v>0</v>
      </c>
      <c r="BQ1463" s="2">
        <v>0.4</v>
      </c>
      <c r="BR1463" s="2">
        <v>0.4</v>
      </c>
      <c r="BS1463" s="2">
        <v>0</v>
      </c>
      <c r="BT1463" s="2">
        <v>0</v>
      </c>
      <c r="BU1463" s="2">
        <v>0</v>
      </c>
      <c r="BV1463" s="2">
        <f t="shared" si="93"/>
        <v>12.8</v>
      </c>
      <c r="BW1463" s="16">
        <f t="shared" si="91"/>
        <v>0.67368421052631577</v>
      </c>
      <c r="BX1463" s="16">
        <f>COUNTIF($BC$6:BU1463, "=0") / COUNTIF($BC$6:BU1463, "&gt;-1")</f>
        <v>0.37444949823117463</v>
      </c>
      <c r="BY1463" s="18">
        <f>SUM($BC$6:BU1463) / $BY$4</f>
        <v>0.97762011776128799</v>
      </c>
      <c r="BZ1463" s="14">
        <f t="shared" si="92"/>
        <v>7</v>
      </c>
      <c r="CA1463" t="s">
        <v>5832</v>
      </c>
      <c r="CZ1463" t="s">
        <v>9235</v>
      </c>
      <c r="DA1463" t="s">
        <v>5904</v>
      </c>
      <c r="DB1463">
        <v>450.7</v>
      </c>
      <c r="DC1463" t="s">
        <v>23956</v>
      </c>
      <c r="DD1463" t="s">
        <v>13772</v>
      </c>
      <c r="DE1463" t="s">
        <v>23957</v>
      </c>
      <c r="DF1463" t="s">
        <v>23958</v>
      </c>
      <c r="DG1463" t="s">
        <v>23959</v>
      </c>
      <c r="DH1463" t="str">
        <f>"RAB5B"</f>
        <v>RAB5B</v>
      </c>
      <c r="DI1463" t="s">
        <v>13772</v>
      </c>
      <c r="DJ1463" t="s">
        <v>13777</v>
      </c>
      <c r="DK1463">
        <v>9606</v>
      </c>
      <c r="DL1463" s="34" t="str">
        <f>HYPERLINK("http://www.uniprot.org/uniprot/P61020", "P61020")</f>
        <v>P61020</v>
      </c>
      <c r="DM1463" t="s">
        <v>23960</v>
      </c>
      <c r="DN1463" t="s">
        <v>14347</v>
      </c>
      <c r="DO1463" t="s">
        <v>14348</v>
      </c>
      <c r="DP1463" t="s">
        <v>13841</v>
      </c>
      <c r="DQ1463" t="s">
        <v>13772</v>
      </c>
      <c r="DR1463" t="s">
        <v>13772</v>
      </c>
      <c r="DS1463" t="s">
        <v>13772</v>
      </c>
      <c r="DT1463" t="s">
        <v>14216</v>
      </c>
      <c r="DU1463" t="s">
        <v>13772</v>
      </c>
      <c r="DV1463" t="s">
        <v>23961</v>
      </c>
      <c r="DW1463" t="s">
        <v>13812</v>
      </c>
      <c r="DX1463" t="s">
        <v>23962</v>
      </c>
      <c r="DY1463" t="s">
        <v>23963</v>
      </c>
      <c r="DZ1463" t="s">
        <v>23964</v>
      </c>
      <c r="EA1463" t="s">
        <v>13772</v>
      </c>
      <c r="EB1463" t="s">
        <v>23965</v>
      </c>
    </row>
    <row r="1464" spans="1:132" hidden="1">
      <c r="A1464">
        <v>2243</v>
      </c>
      <c r="B1464">
        <v>1</v>
      </c>
      <c r="C1464" t="s">
        <v>5246</v>
      </c>
      <c r="D1464" t="s">
        <v>5247</v>
      </c>
      <c r="E1464" t="s">
        <v>73</v>
      </c>
      <c r="F1464" t="s">
        <v>595</v>
      </c>
      <c r="G1464" t="s">
        <v>73</v>
      </c>
      <c r="H1464">
        <v>33</v>
      </c>
      <c r="I1464">
        <v>191</v>
      </c>
      <c r="J1464">
        <v>21317</v>
      </c>
      <c r="K1464" t="s">
        <v>5248</v>
      </c>
      <c r="L1464">
        <f t="shared" si="90"/>
        <v>17</v>
      </c>
      <c r="N1464">
        <v>17</v>
      </c>
      <c r="O1464">
        <v>12</v>
      </c>
      <c r="P1464">
        <v>0.70599999999999996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9</v>
      </c>
      <c r="Z1464">
        <v>0</v>
      </c>
      <c r="AA1464">
        <v>4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5</v>
      </c>
      <c r="AS1464">
        <v>0</v>
      </c>
      <c r="AT1464">
        <v>3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 s="2">
        <v>0</v>
      </c>
      <c r="BD1464" s="2">
        <v>1</v>
      </c>
      <c r="BE1464" s="2">
        <v>0</v>
      </c>
      <c r="BF1464" s="2">
        <v>0</v>
      </c>
      <c r="BG1464" s="2">
        <v>0</v>
      </c>
      <c r="BH1464" s="2">
        <v>1</v>
      </c>
      <c r="BI1464" s="2">
        <v>0</v>
      </c>
      <c r="BJ1464" s="2">
        <v>0</v>
      </c>
      <c r="BK1464" s="2">
        <v>5.6059999999999999</v>
      </c>
      <c r="BL1464" s="2">
        <v>0</v>
      </c>
      <c r="BM1464" s="2">
        <v>3.1880000000000002</v>
      </c>
      <c r="BN1464" s="2">
        <v>0</v>
      </c>
      <c r="BO1464" s="2">
        <v>0</v>
      </c>
      <c r="BP1464" s="2">
        <v>0</v>
      </c>
      <c r="BQ1464" s="2">
        <v>1</v>
      </c>
      <c r="BR1464" s="2">
        <v>0</v>
      </c>
      <c r="BS1464" s="2">
        <v>0</v>
      </c>
      <c r="BT1464" s="2">
        <v>0</v>
      </c>
      <c r="BU1464" s="2">
        <v>1</v>
      </c>
      <c r="BV1464" s="2">
        <f t="shared" si="93"/>
        <v>12.794</v>
      </c>
      <c r="BW1464" s="16">
        <f t="shared" si="91"/>
        <v>0.67336842105263162</v>
      </c>
      <c r="BX1464" s="16">
        <f>COUNTIF($BC$6:BU1464, "=0") / COUNTIF($BC$6:BU1464, "&gt;-1")</f>
        <v>0.37466180873705857</v>
      </c>
      <c r="BY1464" s="18">
        <f>SUM($BC$6:BU1464) / $BY$4</f>
        <v>0.97767492261138611</v>
      </c>
      <c r="BZ1464" s="14">
        <f t="shared" si="92"/>
        <v>13</v>
      </c>
      <c r="CA1464" t="s">
        <v>5832</v>
      </c>
      <c r="CZ1464" t="s">
        <v>13221</v>
      </c>
      <c r="DA1464" t="s">
        <v>5904</v>
      </c>
      <c r="DB1464">
        <v>334.7</v>
      </c>
      <c r="DC1464" t="s">
        <v>35179</v>
      </c>
      <c r="DD1464" t="s">
        <v>35180</v>
      </c>
      <c r="DE1464" t="s">
        <v>35181</v>
      </c>
      <c r="DF1464" t="s">
        <v>35182</v>
      </c>
      <c r="DG1464" t="s">
        <v>35183</v>
      </c>
      <c r="DH1464" t="str">
        <f>"DSTN"</f>
        <v>DSTN</v>
      </c>
      <c r="DI1464" t="s">
        <v>35184</v>
      </c>
      <c r="DJ1464" t="s">
        <v>13777</v>
      </c>
      <c r="DK1464">
        <v>9606</v>
      </c>
      <c r="DL1464" s="34" t="str">
        <f>HYPERLINK("http://www.uniprot.org/uniprot/P60981", "P60981")</f>
        <v>P60981</v>
      </c>
      <c r="DM1464" t="s">
        <v>35185</v>
      </c>
      <c r="DN1464" t="s">
        <v>13772</v>
      </c>
      <c r="DO1464" t="s">
        <v>13772</v>
      </c>
      <c r="DP1464" t="s">
        <v>13780</v>
      </c>
      <c r="DQ1464" t="s">
        <v>13772</v>
      </c>
      <c r="DR1464" t="s">
        <v>13772</v>
      </c>
      <c r="DS1464" t="s">
        <v>13772</v>
      </c>
      <c r="DT1464" t="s">
        <v>13772</v>
      </c>
      <c r="DU1464" t="s">
        <v>13990</v>
      </c>
      <c r="DV1464" t="s">
        <v>19111</v>
      </c>
      <c r="DW1464" t="s">
        <v>13772</v>
      </c>
      <c r="DX1464" t="s">
        <v>35186</v>
      </c>
      <c r="DY1464" t="s">
        <v>35187</v>
      </c>
      <c r="DZ1464" t="s">
        <v>15847</v>
      </c>
      <c r="EA1464" t="s">
        <v>13772</v>
      </c>
      <c r="EB1464" t="s">
        <v>13772</v>
      </c>
    </row>
    <row r="1465" spans="1:132" hidden="1">
      <c r="A1465">
        <v>2159</v>
      </c>
      <c r="B1465">
        <v>1</v>
      </c>
      <c r="C1465" t="s">
        <v>5061</v>
      </c>
      <c r="D1465" t="s">
        <v>5062</v>
      </c>
      <c r="E1465" t="s">
        <v>73</v>
      </c>
      <c r="F1465" t="s">
        <v>5063</v>
      </c>
      <c r="G1465" t="s">
        <v>73</v>
      </c>
      <c r="H1465">
        <v>15.7</v>
      </c>
      <c r="I1465">
        <v>510</v>
      </c>
      <c r="J1465">
        <v>55353</v>
      </c>
      <c r="K1465" t="s">
        <v>5064</v>
      </c>
      <c r="L1465">
        <f t="shared" si="90"/>
        <v>15</v>
      </c>
      <c r="N1465">
        <v>15</v>
      </c>
      <c r="O1465">
        <v>7</v>
      </c>
      <c r="P1465">
        <v>0.46700000000000003</v>
      </c>
      <c r="Q1465">
        <v>2</v>
      </c>
      <c r="R1465">
        <v>1</v>
      </c>
      <c r="S1465">
        <v>1</v>
      </c>
      <c r="T1465">
        <v>4</v>
      </c>
      <c r="U1465">
        <v>3</v>
      </c>
      <c r="V1465">
        <v>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3</v>
      </c>
      <c r="AN1465">
        <v>2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 s="2">
        <v>2</v>
      </c>
      <c r="BD1465" s="2">
        <v>0</v>
      </c>
      <c r="BE1465" s="2">
        <v>0.5</v>
      </c>
      <c r="BF1465" s="2">
        <v>3.75</v>
      </c>
      <c r="BG1465" s="2">
        <v>3</v>
      </c>
      <c r="BH1465" s="2">
        <v>3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0.5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f t="shared" si="93"/>
        <v>12.75</v>
      </c>
      <c r="BW1465" s="16">
        <f t="shared" si="91"/>
        <v>0.67105263157894735</v>
      </c>
      <c r="BX1465" s="16">
        <f>COUNTIF($BC$6:BU1465, "=0") / COUNTIF($BC$6:BU1465, "&gt;-1")</f>
        <v>0.37487382840663303</v>
      </c>
      <c r="BY1465" s="18">
        <f>SUM($BC$6:BU1465) / $BY$4</f>
        <v>0.97772953898146209</v>
      </c>
      <c r="BZ1465" s="14">
        <f t="shared" si="92"/>
        <v>13</v>
      </c>
      <c r="CA1465" t="s">
        <v>5832</v>
      </c>
      <c r="CZ1465" t="s">
        <v>12948</v>
      </c>
      <c r="DA1465" t="s">
        <v>5904</v>
      </c>
      <c r="DB1465">
        <v>717.2</v>
      </c>
      <c r="DC1465" t="s">
        <v>34407</v>
      </c>
      <c r="DD1465" t="s">
        <v>34408</v>
      </c>
      <c r="DE1465" t="s">
        <v>34409</v>
      </c>
      <c r="DF1465" t="s">
        <v>34410</v>
      </c>
      <c r="DG1465" t="s">
        <v>34411</v>
      </c>
      <c r="DH1465" t="str">
        <f>"SIRPA"</f>
        <v>SIRPA</v>
      </c>
      <c r="DI1465" t="s">
        <v>34412</v>
      </c>
      <c r="DJ1465" t="s">
        <v>13777</v>
      </c>
      <c r="DK1465">
        <v>9606</v>
      </c>
      <c r="DL1465" s="34" t="str">
        <f>HYPERLINK("http://www.uniprot.org/uniprot/P78324", "P78324")</f>
        <v>P78324</v>
      </c>
      <c r="DM1465" t="s">
        <v>34413</v>
      </c>
      <c r="DN1465" t="s">
        <v>13772</v>
      </c>
      <c r="DO1465" t="s">
        <v>13825</v>
      </c>
      <c r="DP1465" t="s">
        <v>13780</v>
      </c>
      <c r="DQ1465" t="s">
        <v>13772</v>
      </c>
      <c r="DR1465" t="s">
        <v>13772</v>
      </c>
      <c r="DS1465" t="s">
        <v>34414</v>
      </c>
      <c r="DT1465" t="s">
        <v>13772</v>
      </c>
      <c r="DU1465" t="s">
        <v>13772</v>
      </c>
      <c r="DV1465" t="s">
        <v>13964</v>
      </c>
      <c r="DW1465" t="s">
        <v>13812</v>
      </c>
      <c r="DX1465" t="s">
        <v>34415</v>
      </c>
      <c r="DY1465" t="s">
        <v>34416</v>
      </c>
      <c r="DZ1465" t="s">
        <v>34417</v>
      </c>
      <c r="EA1465" t="s">
        <v>13772</v>
      </c>
      <c r="EB1465" t="s">
        <v>34418</v>
      </c>
    </row>
    <row r="1466" spans="1:132" hidden="1">
      <c r="A1466">
        <v>1159</v>
      </c>
      <c r="B1466">
        <v>1</v>
      </c>
      <c r="C1466" t="s">
        <v>2783</v>
      </c>
      <c r="D1466" t="s">
        <v>73</v>
      </c>
      <c r="E1466" t="s">
        <v>73</v>
      </c>
      <c r="F1466" t="s">
        <v>253</v>
      </c>
      <c r="G1466" t="s">
        <v>73</v>
      </c>
      <c r="H1466">
        <v>42.7</v>
      </c>
      <c r="I1466">
        <v>192</v>
      </c>
      <c r="J1466">
        <v>21452</v>
      </c>
      <c r="K1466" t="s">
        <v>2784</v>
      </c>
      <c r="L1466">
        <f t="shared" si="90"/>
        <v>32</v>
      </c>
      <c r="N1466">
        <v>32</v>
      </c>
      <c r="O1466">
        <v>7</v>
      </c>
      <c r="P1466">
        <v>0.219</v>
      </c>
      <c r="Q1466">
        <v>0</v>
      </c>
      <c r="R1466">
        <v>1</v>
      </c>
      <c r="S1466">
        <v>1</v>
      </c>
      <c r="T1466">
        <v>1</v>
      </c>
      <c r="U1466">
        <v>3</v>
      </c>
      <c r="V1466">
        <v>2</v>
      </c>
      <c r="W1466">
        <v>2</v>
      </c>
      <c r="X1466">
        <v>1</v>
      </c>
      <c r="Y1466">
        <v>3</v>
      </c>
      <c r="Z1466">
        <v>1</v>
      </c>
      <c r="AA1466">
        <v>3</v>
      </c>
      <c r="AB1466">
        <v>1</v>
      </c>
      <c r="AC1466">
        <v>8</v>
      </c>
      <c r="AD1466">
        <v>1</v>
      </c>
      <c r="AE1466">
        <v>0</v>
      </c>
      <c r="AF1466">
        <v>2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0</v>
      </c>
      <c r="AV1466">
        <v>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0.33300000000000002</v>
      </c>
      <c r="BK1466" s="2">
        <v>1.667</v>
      </c>
      <c r="BL1466" s="2">
        <v>1</v>
      </c>
      <c r="BM1466" s="2">
        <v>0.5</v>
      </c>
      <c r="BN1466" s="2">
        <v>0</v>
      </c>
      <c r="BO1466" s="2">
        <v>7.625</v>
      </c>
      <c r="BP1466" s="2">
        <v>0.33300000000000002</v>
      </c>
      <c r="BQ1466" s="2">
        <v>0</v>
      </c>
      <c r="BR1466" s="2">
        <v>0.5</v>
      </c>
      <c r="BS1466" s="2">
        <v>0.33300000000000002</v>
      </c>
      <c r="BT1466" s="2">
        <v>0</v>
      </c>
      <c r="BU1466" s="2">
        <v>0.33300000000000002</v>
      </c>
      <c r="BV1466" s="2">
        <f t="shared" si="93"/>
        <v>12.624000000000001</v>
      </c>
      <c r="BW1466" s="16">
        <f t="shared" si="91"/>
        <v>0.66442105263157902</v>
      </c>
      <c r="BX1466" s="16">
        <f>COUNTIF($BC$6:BU1466, "=0") / COUNTIF($BC$6:BU1466, "&gt;-1")</f>
        <v>0.3749774847797111</v>
      </c>
      <c r="BY1466" s="18">
        <f>SUM($BC$6:BU1466) / $BY$4</f>
        <v>0.97778361561329274</v>
      </c>
      <c r="BZ1466" s="14">
        <f t="shared" si="92"/>
        <v>10</v>
      </c>
      <c r="CA1466" t="s">
        <v>5832</v>
      </c>
      <c r="CZ1466" t="s">
        <v>9582</v>
      </c>
      <c r="DA1466" t="s">
        <v>5904</v>
      </c>
      <c r="DB1466">
        <v>390.6</v>
      </c>
      <c r="DC1466" t="s">
        <v>24952</v>
      </c>
      <c r="DD1466" t="s">
        <v>24953</v>
      </c>
      <c r="DE1466" t="s">
        <v>24954</v>
      </c>
      <c r="DF1466" t="s">
        <v>24955</v>
      </c>
      <c r="DG1466" t="s">
        <v>24956</v>
      </c>
      <c r="DH1466" t="str">
        <f>"RAC2"</f>
        <v>RAC2</v>
      </c>
      <c r="DI1466" t="s">
        <v>13772</v>
      </c>
      <c r="DJ1466" t="s">
        <v>13777</v>
      </c>
      <c r="DK1466">
        <v>9606</v>
      </c>
      <c r="DL1466" s="34" t="str">
        <f>HYPERLINK("http://www.uniprot.org/uniprot/P15153", "P15153")</f>
        <v>P15153</v>
      </c>
      <c r="DM1466" t="s">
        <v>24957</v>
      </c>
      <c r="DN1466" t="s">
        <v>13772</v>
      </c>
      <c r="DO1466" t="s">
        <v>13899</v>
      </c>
      <c r="DP1466" t="s">
        <v>13793</v>
      </c>
      <c r="DQ1466" t="s">
        <v>13772</v>
      </c>
      <c r="DR1466" t="s">
        <v>13807</v>
      </c>
      <c r="DS1466" t="s">
        <v>13772</v>
      </c>
      <c r="DT1466" t="s">
        <v>14216</v>
      </c>
      <c r="DU1466" t="s">
        <v>13772</v>
      </c>
      <c r="DV1466" t="s">
        <v>24958</v>
      </c>
      <c r="DW1466" t="s">
        <v>13812</v>
      </c>
      <c r="DX1466" t="s">
        <v>24959</v>
      </c>
      <c r="DY1466" t="s">
        <v>24960</v>
      </c>
      <c r="DZ1466" t="s">
        <v>24961</v>
      </c>
      <c r="EA1466" t="s">
        <v>13772</v>
      </c>
      <c r="EB1466" t="s">
        <v>24962</v>
      </c>
    </row>
    <row r="1467" spans="1:132" hidden="1">
      <c r="A1467">
        <v>1554</v>
      </c>
      <c r="B1467">
        <v>1</v>
      </c>
      <c r="C1467" t="s">
        <v>3684</v>
      </c>
      <c r="D1467" t="s">
        <v>73</v>
      </c>
      <c r="E1467" t="s">
        <v>73</v>
      </c>
      <c r="F1467" t="s">
        <v>3685</v>
      </c>
      <c r="G1467" t="s">
        <v>73</v>
      </c>
      <c r="H1467">
        <v>17</v>
      </c>
      <c r="I1467">
        <v>636</v>
      </c>
      <c r="J1467">
        <v>70640</v>
      </c>
      <c r="K1467" t="s">
        <v>3686</v>
      </c>
      <c r="L1467">
        <f t="shared" si="90"/>
        <v>13</v>
      </c>
      <c r="N1467">
        <v>13</v>
      </c>
      <c r="O1467">
        <v>8</v>
      </c>
      <c r="P1467">
        <v>0.61499999999999999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6</v>
      </c>
      <c r="Z1467">
        <v>0</v>
      </c>
      <c r="AA1467">
        <v>3</v>
      </c>
      <c r="AB1467">
        <v>2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4</v>
      </c>
      <c r="AS1467">
        <v>0</v>
      </c>
      <c r="AT1467">
        <v>2</v>
      </c>
      <c r="AU1467">
        <v>1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5.6</v>
      </c>
      <c r="BL1467" s="2">
        <v>0</v>
      </c>
      <c r="BM1467" s="2">
        <v>3</v>
      </c>
      <c r="BN1467" s="2">
        <v>2</v>
      </c>
      <c r="BO1467" s="2">
        <v>0.5</v>
      </c>
      <c r="BP1467" s="2">
        <v>0</v>
      </c>
      <c r="BQ1467" s="2">
        <v>0</v>
      </c>
      <c r="BR1467" s="2">
        <v>1</v>
      </c>
      <c r="BS1467" s="2">
        <v>0</v>
      </c>
      <c r="BT1467" s="2">
        <v>0</v>
      </c>
      <c r="BU1467" s="2">
        <v>0</v>
      </c>
      <c r="BV1467" s="2">
        <f t="shared" si="93"/>
        <v>12.1</v>
      </c>
      <c r="BW1467" s="16">
        <f t="shared" si="91"/>
        <v>0.63684210526315788</v>
      </c>
      <c r="BX1467" s="16">
        <f>COUNTIF($BC$6:BU1467, "=0") / COUNTIF($BC$6:BU1467, "&gt;-1")</f>
        <v>0.37522499820001443</v>
      </c>
      <c r="BY1467" s="18">
        <f>SUM($BC$6:BU1467) / $BY$4</f>
        <v>0.977835447619404</v>
      </c>
      <c r="BZ1467" s="14">
        <f t="shared" si="92"/>
        <v>14</v>
      </c>
      <c r="CA1467" t="s">
        <v>5832</v>
      </c>
      <c r="CZ1467" t="s">
        <v>10918</v>
      </c>
      <c r="DA1467" t="s">
        <v>5904</v>
      </c>
      <c r="DB1467">
        <v>1318.1</v>
      </c>
      <c r="DC1467" t="s">
        <v>28703</v>
      </c>
      <c r="DD1467" t="s">
        <v>13772</v>
      </c>
      <c r="DE1467" t="s">
        <v>28704</v>
      </c>
      <c r="DF1467" t="s">
        <v>28705</v>
      </c>
      <c r="DG1467" t="s">
        <v>28706</v>
      </c>
      <c r="DH1467" t="str">
        <f>"PABPC1"</f>
        <v>PABPC1</v>
      </c>
      <c r="DI1467" t="s">
        <v>28707</v>
      </c>
      <c r="DJ1467" t="s">
        <v>13777</v>
      </c>
      <c r="DK1467">
        <v>9606</v>
      </c>
      <c r="DL1467" s="34" t="str">
        <f>HYPERLINK("http://www.uniprot.org/uniprot/P11940", "P11940")</f>
        <v>P11940</v>
      </c>
      <c r="DM1467" t="s">
        <v>28708</v>
      </c>
      <c r="DN1467" t="s">
        <v>28709</v>
      </c>
      <c r="DO1467" t="s">
        <v>14230</v>
      </c>
      <c r="DP1467" t="s">
        <v>13841</v>
      </c>
      <c r="DQ1467" t="s">
        <v>13772</v>
      </c>
      <c r="DR1467" t="s">
        <v>13772</v>
      </c>
      <c r="DS1467" t="s">
        <v>14096</v>
      </c>
      <c r="DT1467" t="s">
        <v>13772</v>
      </c>
      <c r="DU1467" t="s">
        <v>14826</v>
      </c>
      <c r="DV1467" t="s">
        <v>14098</v>
      </c>
      <c r="DW1467" t="s">
        <v>13812</v>
      </c>
      <c r="DX1467" t="s">
        <v>28710</v>
      </c>
      <c r="DY1467" t="s">
        <v>28711</v>
      </c>
      <c r="DZ1467" t="s">
        <v>28712</v>
      </c>
      <c r="EA1467" t="s">
        <v>13772</v>
      </c>
      <c r="EB1467" t="s">
        <v>28713</v>
      </c>
    </row>
    <row r="1468" spans="1:132" hidden="1">
      <c r="A1468">
        <v>442</v>
      </c>
      <c r="B1468">
        <v>1</v>
      </c>
      <c r="C1468" t="s">
        <v>1105</v>
      </c>
      <c r="D1468" t="s">
        <v>1106</v>
      </c>
      <c r="E1468" t="s">
        <v>73</v>
      </c>
      <c r="F1468" t="s">
        <v>1107</v>
      </c>
      <c r="G1468" t="s">
        <v>73</v>
      </c>
      <c r="H1468">
        <v>43.1</v>
      </c>
      <c r="I1468">
        <v>320</v>
      </c>
      <c r="J1468">
        <v>33971</v>
      </c>
      <c r="K1468" t="s">
        <v>1108</v>
      </c>
      <c r="L1468">
        <f t="shared" si="90"/>
        <v>42</v>
      </c>
      <c r="N1468">
        <v>42</v>
      </c>
      <c r="O1468">
        <v>0</v>
      </c>
      <c r="P1468">
        <v>0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2</v>
      </c>
      <c r="X1468">
        <v>2</v>
      </c>
      <c r="Y1468">
        <v>6</v>
      </c>
      <c r="Z1468">
        <v>0</v>
      </c>
      <c r="AA1468">
        <v>9</v>
      </c>
      <c r="AB1468">
        <v>7</v>
      </c>
      <c r="AC1468">
        <v>3</v>
      </c>
      <c r="AD1468">
        <v>0</v>
      </c>
      <c r="AE1468">
        <v>3</v>
      </c>
      <c r="AF1468">
        <v>6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 s="2">
        <v>0.25</v>
      </c>
      <c r="BD1468" s="2">
        <v>0.5</v>
      </c>
      <c r="BE1468" s="2">
        <v>0.25</v>
      </c>
      <c r="BF1468" s="2">
        <v>0.25</v>
      </c>
      <c r="BG1468" s="2">
        <v>0</v>
      </c>
      <c r="BH1468" s="2">
        <v>0</v>
      </c>
      <c r="BI1468" s="2">
        <v>0.45</v>
      </c>
      <c r="BJ1468" s="2">
        <v>0.45</v>
      </c>
      <c r="BK1468" s="2">
        <v>1.75</v>
      </c>
      <c r="BL1468" s="2">
        <v>0</v>
      </c>
      <c r="BM1468" s="2">
        <v>2.7</v>
      </c>
      <c r="BN1468" s="2">
        <v>1.6830000000000001</v>
      </c>
      <c r="BO1468" s="2">
        <v>0.91700000000000004</v>
      </c>
      <c r="BP1468" s="2">
        <v>0</v>
      </c>
      <c r="BQ1468" s="2">
        <v>1.167</v>
      </c>
      <c r="BR1468" s="2">
        <v>1.7</v>
      </c>
      <c r="BS1468" s="2">
        <v>0</v>
      </c>
      <c r="BT1468" s="2">
        <v>0</v>
      </c>
      <c r="BU1468" s="2">
        <v>0</v>
      </c>
      <c r="BV1468" s="2">
        <f t="shared" si="93"/>
        <v>12.066999999999998</v>
      </c>
      <c r="BW1468" s="16">
        <f t="shared" si="91"/>
        <v>0.63510526315789462</v>
      </c>
      <c r="BX1468" s="16">
        <f>COUNTIF($BC$6:BU1468, "=0") / COUNTIF($BC$6:BU1468, "&gt;-1")</f>
        <v>0.3752203475195165</v>
      </c>
      <c r="BY1468" s="18">
        <f>SUM($BC$6:BU1468) / $BY$4</f>
        <v>0.97788713826549867</v>
      </c>
      <c r="BZ1468" s="14">
        <f t="shared" si="92"/>
        <v>7</v>
      </c>
      <c r="CA1468" t="s">
        <v>5832</v>
      </c>
      <c r="CZ1468" t="s">
        <v>7232</v>
      </c>
      <c r="DA1468" t="s">
        <v>5904</v>
      </c>
      <c r="DB1468">
        <v>486.9</v>
      </c>
      <c r="DC1468" t="s">
        <v>18079</v>
      </c>
      <c r="DD1468" t="s">
        <v>18080</v>
      </c>
      <c r="DE1468" t="s">
        <v>18081</v>
      </c>
      <c r="DF1468" t="s">
        <v>18082</v>
      </c>
      <c r="DG1468" t="s">
        <v>18083</v>
      </c>
      <c r="DH1468" t="str">
        <f>"HNRNPA1L2"</f>
        <v>HNRNPA1L2</v>
      </c>
      <c r="DI1468" t="s">
        <v>18084</v>
      </c>
      <c r="DJ1468" t="s">
        <v>13777</v>
      </c>
      <c r="DK1468">
        <v>9606</v>
      </c>
      <c r="DL1468" s="34" t="str">
        <f>HYPERLINK("http://www.uniprot.org/uniprot/Q32P51", "Q32P51")</f>
        <v>Q32P51</v>
      </c>
      <c r="DM1468" t="s">
        <v>18085</v>
      </c>
      <c r="DN1468" t="s">
        <v>16723</v>
      </c>
      <c r="DO1468" t="s">
        <v>14230</v>
      </c>
      <c r="DP1468" t="s">
        <v>13793</v>
      </c>
      <c r="DQ1468" t="s">
        <v>13772</v>
      </c>
      <c r="DR1468" t="s">
        <v>13772</v>
      </c>
      <c r="DS1468" t="s">
        <v>14096</v>
      </c>
      <c r="DT1468" t="s">
        <v>13772</v>
      </c>
      <c r="DU1468" t="s">
        <v>16089</v>
      </c>
      <c r="DV1468" t="s">
        <v>14098</v>
      </c>
      <c r="DW1468" t="s">
        <v>13772</v>
      </c>
      <c r="DX1468" t="s">
        <v>18086</v>
      </c>
      <c r="DY1468" t="s">
        <v>18087</v>
      </c>
      <c r="DZ1468" t="s">
        <v>18088</v>
      </c>
      <c r="EA1468" t="s">
        <v>13772</v>
      </c>
      <c r="EB1468" t="s">
        <v>13772</v>
      </c>
    </row>
    <row r="1469" spans="1:132" hidden="1">
      <c r="A1469">
        <v>789</v>
      </c>
      <c r="B1469">
        <v>1</v>
      </c>
      <c r="C1469" t="s">
        <v>1938</v>
      </c>
      <c r="D1469" t="s">
        <v>73</v>
      </c>
      <c r="E1469" t="s">
        <v>73</v>
      </c>
      <c r="F1469" t="s">
        <v>1163</v>
      </c>
      <c r="G1469" t="s">
        <v>73</v>
      </c>
      <c r="H1469">
        <v>27.2</v>
      </c>
      <c r="I1469">
        <v>593</v>
      </c>
      <c r="J1469">
        <v>61490</v>
      </c>
      <c r="K1469" t="s">
        <v>1939</v>
      </c>
      <c r="L1469">
        <f t="shared" si="90"/>
        <v>14</v>
      </c>
      <c r="N1469">
        <v>14</v>
      </c>
      <c r="O1469">
        <v>12</v>
      </c>
      <c r="P1469">
        <v>0.85699999999999998</v>
      </c>
      <c r="Q1469">
        <v>1</v>
      </c>
      <c r="R1469">
        <v>2</v>
      </c>
      <c r="S1469">
        <v>0</v>
      </c>
      <c r="T1469">
        <v>0</v>
      </c>
      <c r="U1469">
        <v>0</v>
      </c>
      <c r="V1469">
        <v>6</v>
      </c>
      <c r="W1469">
        <v>0</v>
      </c>
      <c r="X1469">
        <v>2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2</v>
      </c>
      <c r="AL1469">
        <v>0</v>
      </c>
      <c r="AM1469">
        <v>0</v>
      </c>
      <c r="AN1469">
        <v>0</v>
      </c>
      <c r="AO1469">
        <v>6</v>
      </c>
      <c r="AP1469">
        <v>0</v>
      </c>
      <c r="AQ1469">
        <v>1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 s="2">
        <v>1</v>
      </c>
      <c r="BD1469" s="2">
        <v>2</v>
      </c>
      <c r="BE1469" s="2">
        <v>0</v>
      </c>
      <c r="BF1469" s="2">
        <v>0</v>
      </c>
      <c r="BG1469" s="2">
        <v>0</v>
      </c>
      <c r="BH1469" s="2">
        <v>6</v>
      </c>
      <c r="BI1469" s="2">
        <v>0</v>
      </c>
      <c r="BJ1469" s="2">
        <v>1.0289999999999999</v>
      </c>
      <c r="BK1469" s="2">
        <v>1</v>
      </c>
      <c r="BL1469" s="2">
        <v>1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f t="shared" si="93"/>
        <v>12.029</v>
      </c>
      <c r="BW1469" s="16">
        <f t="shared" si="91"/>
        <v>0.63310526315789473</v>
      </c>
      <c r="BX1469" s="16">
        <f>COUNTIF($BC$6:BU1469, "=0") / COUNTIF($BC$6:BU1469, "&gt;-1")</f>
        <v>0.37543140638481448</v>
      </c>
      <c r="BY1469" s="18">
        <f>SUM($BC$6:BU1469) / $BY$4</f>
        <v>0.97793866613339231</v>
      </c>
      <c r="BZ1469" s="14">
        <f t="shared" si="92"/>
        <v>13</v>
      </c>
      <c r="CA1469" t="s">
        <v>5832</v>
      </c>
      <c r="CZ1469" t="s">
        <v>8402</v>
      </c>
      <c r="DA1469" t="s">
        <v>5904</v>
      </c>
      <c r="DB1469">
        <v>622.5</v>
      </c>
      <c r="DC1469" t="s">
        <v>21568</v>
      </c>
      <c r="DD1469" t="s">
        <v>21569</v>
      </c>
      <c r="DE1469" t="s">
        <v>21570</v>
      </c>
      <c r="DF1469" t="s">
        <v>21571</v>
      </c>
      <c r="DG1469" t="s">
        <v>21572</v>
      </c>
      <c r="DH1469" t="str">
        <f>"CLIC6"</f>
        <v>CLIC6</v>
      </c>
      <c r="DI1469" t="s">
        <v>21573</v>
      </c>
      <c r="DJ1469" t="s">
        <v>13777</v>
      </c>
      <c r="DK1469">
        <v>9606</v>
      </c>
      <c r="DL1469" s="34" t="str">
        <f>HYPERLINK("http://www.uniprot.org/uniprot/Q96NY7", "Q96NY7")</f>
        <v>Q96NY7</v>
      </c>
      <c r="DM1469" t="s">
        <v>21574</v>
      </c>
      <c r="DN1469" t="s">
        <v>14288</v>
      </c>
      <c r="DO1469" t="s">
        <v>18623</v>
      </c>
      <c r="DP1469" t="s">
        <v>13780</v>
      </c>
      <c r="DQ1469" t="s">
        <v>13772</v>
      </c>
      <c r="DR1469" t="s">
        <v>13772</v>
      </c>
      <c r="DS1469" t="s">
        <v>16604</v>
      </c>
      <c r="DT1469" t="s">
        <v>18321</v>
      </c>
      <c r="DU1469" t="s">
        <v>18322</v>
      </c>
      <c r="DV1469" t="s">
        <v>13782</v>
      </c>
      <c r="DW1469" t="s">
        <v>13772</v>
      </c>
      <c r="DX1469" t="s">
        <v>21575</v>
      </c>
      <c r="DY1469" t="s">
        <v>21576</v>
      </c>
      <c r="DZ1469" t="s">
        <v>21577</v>
      </c>
      <c r="EA1469" t="s">
        <v>13772</v>
      </c>
      <c r="EB1469" t="s">
        <v>13772</v>
      </c>
    </row>
    <row r="1470" spans="1:132" hidden="1">
      <c r="A1470">
        <v>57</v>
      </c>
      <c r="B1470">
        <v>1</v>
      </c>
      <c r="C1470" t="s">
        <v>164</v>
      </c>
      <c r="D1470" t="s">
        <v>73</v>
      </c>
      <c r="E1470" t="s">
        <v>73</v>
      </c>
      <c r="F1470" t="s">
        <v>165</v>
      </c>
      <c r="G1470" t="s">
        <v>73</v>
      </c>
      <c r="H1470">
        <v>30.1</v>
      </c>
      <c r="I1470">
        <v>183</v>
      </c>
      <c r="J1470">
        <v>20722</v>
      </c>
      <c r="K1470" t="s">
        <v>166</v>
      </c>
      <c r="L1470">
        <f t="shared" si="90"/>
        <v>13</v>
      </c>
      <c r="N1470">
        <v>13</v>
      </c>
      <c r="O1470">
        <v>8</v>
      </c>
      <c r="P1470">
        <v>0.61499999999999999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5</v>
      </c>
      <c r="AC1470">
        <v>1</v>
      </c>
      <c r="AD1470">
        <v>0</v>
      </c>
      <c r="AE1470">
        <v>0</v>
      </c>
      <c r="AF1470">
        <v>3</v>
      </c>
      <c r="AG1470">
        <v>2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2</v>
      </c>
      <c r="AV1470">
        <v>1</v>
      </c>
      <c r="AW1470">
        <v>0</v>
      </c>
      <c r="AX1470">
        <v>0</v>
      </c>
      <c r="AY1470">
        <v>2</v>
      </c>
      <c r="AZ1470">
        <v>2</v>
      </c>
      <c r="BA1470">
        <v>0</v>
      </c>
      <c r="BB1470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2</v>
      </c>
      <c r="BN1470" s="2">
        <v>4</v>
      </c>
      <c r="BO1470" s="2">
        <v>1</v>
      </c>
      <c r="BP1470" s="2">
        <v>0</v>
      </c>
      <c r="BQ1470" s="2">
        <v>0</v>
      </c>
      <c r="BR1470" s="2">
        <v>3</v>
      </c>
      <c r="BS1470" s="2">
        <v>2</v>
      </c>
      <c r="BT1470" s="2">
        <v>0</v>
      </c>
      <c r="BU1470" s="2">
        <v>0</v>
      </c>
      <c r="BV1470" s="2">
        <f t="shared" si="93"/>
        <v>12</v>
      </c>
      <c r="BW1470" s="16">
        <f t="shared" si="91"/>
        <v>0.63157894736842102</v>
      </c>
      <c r="BX1470" s="16">
        <f>COUNTIF($BC$6:BU1470, "=0") / COUNTIF($BC$6:BU1470, "&gt;-1")</f>
        <v>0.37567810310759836</v>
      </c>
      <c r="BY1470" s="18">
        <f>SUM($BC$6:BU1470) / $BY$4</f>
        <v>0.97799006977581671</v>
      </c>
      <c r="BZ1470" s="14">
        <f t="shared" si="92"/>
        <v>14</v>
      </c>
      <c r="CA1470" t="s">
        <v>5832</v>
      </c>
      <c r="CZ1470" t="s">
        <v>5901</v>
      </c>
      <c r="DA1470" t="s">
        <v>5904</v>
      </c>
      <c r="DB1470">
        <v>153.30000000000001</v>
      </c>
      <c r="DC1470" t="s">
        <v>13786</v>
      </c>
      <c r="DD1470" t="s">
        <v>13787</v>
      </c>
      <c r="DE1470" t="s">
        <v>13788</v>
      </c>
      <c r="DF1470" t="s">
        <v>13789</v>
      </c>
      <c r="DG1470" t="s">
        <v>13772</v>
      </c>
      <c r="DH1470" t="str">
        <f>"CD300LD"</f>
        <v>CD300LD</v>
      </c>
      <c r="DI1470" t="s">
        <v>13772</v>
      </c>
      <c r="DJ1470" t="s">
        <v>13777</v>
      </c>
      <c r="DK1470">
        <v>9606</v>
      </c>
      <c r="DL1470" s="34" t="str">
        <f>HYPERLINK("http://www.uniprot.org/uniprot/Q6UXZ3", "Q6UXZ3")</f>
        <v>Q6UXZ3</v>
      </c>
      <c r="DM1470" t="s">
        <v>13790</v>
      </c>
      <c r="DN1470" t="s">
        <v>13791</v>
      </c>
      <c r="DO1470" t="s">
        <v>13792</v>
      </c>
      <c r="DP1470" t="s">
        <v>13793</v>
      </c>
      <c r="DQ1470" t="s">
        <v>13772</v>
      </c>
      <c r="DR1470" t="s">
        <v>13772</v>
      </c>
      <c r="DS1470" t="s">
        <v>13794</v>
      </c>
      <c r="DT1470" t="s">
        <v>13772</v>
      </c>
      <c r="DU1470" t="s">
        <v>13795</v>
      </c>
      <c r="DV1470" t="s">
        <v>13796</v>
      </c>
      <c r="DW1470" t="s">
        <v>13772</v>
      </c>
      <c r="DX1470" t="s">
        <v>13797</v>
      </c>
      <c r="DY1470" t="s">
        <v>13798</v>
      </c>
      <c r="DZ1470" t="s">
        <v>13772</v>
      </c>
      <c r="EA1470" t="s">
        <v>13772</v>
      </c>
      <c r="EB1470" t="s">
        <v>13799</v>
      </c>
    </row>
    <row r="1471" spans="1:132" hidden="1">
      <c r="A1471">
        <v>61</v>
      </c>
      <c r="B1471">
        <v>1</v>
      </c>
      <c r="C1471" t="s">
        <v>176</v>
      </c>
      <c r="D1471" t="s">
        <v>73</v>
      </c>
      <c r="E1471" t="s">
        <v>73</v>
      </c>
      <c r="F1471" t="s">
        <v>73</v>
      </c>
      <c r="G1471" t="s">
        <v>73</v>
      </c>
      <c r="H1471">
        <v>31.1</v>
      </c>
      <c r="I1471">
        <v>457</v>
      </c>
      <c r="J1471">
        <v>50967</v>
      </c>
      <c r="K1471" t="s">
        <v>177</v>
      </c>
      <c r="L1471">
        <f t="shared" si="90"/>
        <v>12</v>
      </c>
      <c r="N1471">
        <v>12</v>
      </c>
      <c r="O1471">
        <v>12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12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12</v>
      </c>
      <c r="BA1471">
        <v>0</v>
      </c>
      <c r="BB1471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12</v>
      </c>
      <c r="BT1471" s="2">
        <v>0</v>
      </c>
      <c r="BU1471" s="2">
        <v>0</v>
      </c>
      <c r="BV1471" s="2">
        <f t="shared" si="93"/>
        <v>12</v>
      </c>
      <c r="BW1471" s="16">
        <f t="shared" si="91"/>
        <v>0.63157894736842102</v>
      </c>
      <c r="BX1471" s="16">
        <f>COUNTIF($BC$6:BU1471, "=0") / COUNTIF($BC$6:BU1471, "&gt;-1")</f>
        <v>0.37606806921806563</v>
      </c>
      <c r="BY1471" s="18">
        <f>SUM($BC$6:BU1471) / $BY$4</f>
        <v>0.9780414734182411</v>
      </c>
      <c r="BZ1471" s="14">
        <f t="shared" si="92"/>
        <v>18</v>
      </c>
      <c r="CA1471" t="s">
        <v>5832</v>
      </c>
      <c r="CZ1471" t="s">
        <v>5917</v>
      </c>
      <c r="DA1471" t="s">
        <v>5904</v>
      </c>
      <c r="DB1471">
        <v>747.7</v>
      </c>
      <c r="DC1471" t="s">
        <v>13848</v>
      </c>
      <c r="DD1471" t="s">
        <v>13849</v>
      </c>
      <c r="DE1471" t="s">
        <v>13850</v>
      </c>
      <c r="DF1471" t="s">
        <v>13851</v>
      </c>
      <c r="DG1471" t="s">
        <v>13852</v>
      </c>
      <c r="DH1471" t="str">
        <f>"ENPP7"</f>
        <v>ENPP7</v>
      </c>
      <c r="DI1471" t="s">
        <v>13772</v>
      </c>
      <c r="DJ1471" t="s">
        <v>13777</v>
      </c>
      <c r="DK1471">
        <v>9606</v>
      </c>
      <c r="DL1471" s="34" t="str">
        <f>HYPERLINK("http://www.uniprot.org/uniprot/Q6UWV6", "Q6UWV6")</f>
        <v>Q6UWV6</v>
      </c>
      <c r="DM1471" t="s">
        <v>13853</v>
      </c>
      <c r="DN1471" t="s">
        <v>13854</v>
      </c>
      <c r="DO1471" t="s">
        <v>13792</v>
      </c>
      <c r="DP1471" t="s">
        <v>13793</v>
      </c>
      <c r="DQ1471" t="s">
        <v>13772</v>
      </c>
      <c r="DR1471" t="s">
        <v>13772</v>
      </c>
      <c r="DS1471" t="s">
        <v>13855</v>
      </c>
      <c r="DT1471" t="s">
        <v>13856</v>
      </c>
      <c r="DU1471" t="s">
        <v>13857</v>
      </c>
      <c r="DV1471" t="s">
        <v>13858</v>
      </c>
      <c r="DW1471" t="s">
        <v>13812</v>
      </c>
      <c r="DX1471" t="s">
        <v>13859</v>
      </c>
      <c r="DY1471" t="s">
        <v>13860</v>
      </c>
      <c r="DZ1471" t="s">
        <v>13861</v>
      </c>
      <c r="EA1471" t="s">
        <v>13772</v>
      </c>
      <c r="EB1471" t="s">
        <v>13862</v>
      </c>
    </row>
    <row r="1472" spans="1:132" hidden="1">
      <c r="A1472">
        <v>80</v>
      </c>
      <c r="B1472">
        <v>1</v>
      </c>
      <c r="C1472" t="s">
        <v>220</v>
      </c>
      <c r="D1472" t="s">
        <v>221</v>
      </c>
      <c r="E1472" t="s">
        <v>73</v>
      </c>
      <c r="F1472" t="s">
        <v>222</v>
      </c>
      <c r="G1472" t="s">
        <v>73</v>
      </c>
      <c r="H1472">
        <v>11.5</v>
      </c>
      <c r="I1472">
        <v>1063</v>
      </c>
      <c r="J1472">
        <v>121893</v>
      </c>
      <c r="K1472" t="s">
        <v>223</v>
      </c>
      <c r="L1472">
        <f t="shared" si="90"/>
        <v>13</v>
      </c>
      <c r="N1472">
        <v>13</v>
      </c>
      <c r="O1472">
        <v>10</v>
      </c>
      <c r="P1472">
        <v>0.76900000000000002</v>
      </c>
      <c r="Q1472">
        <v>1</v>
      </c>
      <c r="R1472">
        <v>0</v>
      </c>
      <c r="S1472">
        <v>0</v>
      </c>
      <c r="T1472">
        <v>1</v>
      </c>
      <c r="U1472">
        <v>3</v>
      </c>
      <c r="V1472">
        <v>2</v>
      </c>
      <c r="W1472">
        <v>1</v>
      </c>
      <c r="X1472">
        <v>0</v>
      </c>
      <c r="Y1472">
        <v>1</v>
      </c>
      <c r="Z1472">
        <v>0</v>
      </c>
      <c r="AA1472">
        <v>2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2</v>
      </c>
      <c r="AO1472">
        <v>2</v>
      </c>
      <c r="AP1472">
        <v>0</v>
      </c>
      <c r="AQ1472">
        <v>0</v>
      </c>
      <c r="AR1472">
        <v>1</v>
      </c>
      <c r="AS1472">
        <v>0</v>
      </c>
      <c r="AT1472">
        <v>2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 s="2">
        <v>1</v>
      </c>
      <c r="BD1472" s="2">
        <v>0</v>
      </c>
      <c r="BE1472" s="2">
        <v>0</v>
      </c>
      <c r="BF1472" s="2">
        <v>0.5</v>
      </c>
      <c r="BG1472" s="2">
        <v>3</v>
      </c>
      <c r="BH1472" s="2">
        <v>2</v>
      </c>
      <c r="BI1472" s="2">
        <v>0.5</v>
      </c>
      <c r="BJ1472" s="2">
        <v>0</v>
      </c>
      <c r="BK1472" s="2">
        <v>1</v>
      </c>
      <c r="BL1472" s="2">
        <v>0</v>
      </c>
      <c r="BM1472" s="2">
        <v>2</v>
      </c>
      <c r="BN1472" s="2">
        <v>1</v>
      </c>
      <c r="BO1472" s="2">
        <v>0</v>
      </c>
      <c r="BP1472" s="2">
        <v>0</v>
      </c>
      <c r="BQ1472" s="2">
        <v>0</v>
      </c>
      <c r="BR1472" s="2">
        <v>1</v>
      </c>
      <c r="BS1472" s="2">
        <v>0</v>
      </c>
      <c r="BT1472" s="2">
        <v>0</v>
      </c>
      <c r="BU1472" s="2">
        <v>0</v>
      </c>
      <c r="BV1472" s="2">
        <f t="shared" si="93"/>
        <v>12</v>
      </c>
      <c r="BW1472" s="16">
        <f t="shared" si="91"/>
        <v>0.63157894736842102</v>
      </c>
      <c r="BX1472" s="16">
        <f>COUNTIF($BC$6:BU1472, "=0") / COUNTIF($BC$6:BU1472, "&gt;-1")</f>
        <v>0.37617048756861476</v>
      </c>
      <c r="BY1472" s="18">
        <f>SUM($BC$6:BU1472) / $BY$4</f>
        <v>0.9780928770606655</v>
      </c>
      <c r="BZ1472" s="14">
        <f t="shared" si="92"/>
        <v>10</v>
      </c>
      <c r="CA1472" t="s">
        <v>5832</v>
      </c>
      <c r="CZ1472" t="s">
        <v>5980</v>
      </c>
      <c r="DA1472" t="s">
        <v>5904</v>
      </c>
      <c r="DB1472">
        <v>2157.1</v>
      </c>
      <c r="DC1472" t="s">
        <v>14088</v>
      </c>
      <c r="DD1472" t="s">
        <v>14089</v>
      </c>
      <c r="DE1472" t="s">
        <v>14090</v>
      </c>
      <c r="DF1472" t="s">
        <v>14091</v>
      </c>
      <c r="DG1472" t="s">
        <v>14092</v>
      </c>
      <c r="DH1472" t="str">
        <f>"MYO1C"</f>
        <v>MYO1C</v>
      </c>
      <c r="DI1472" t="s">
        <v>13772</v>
      </c>
      <c r="DJ1472" t="s">
        <v>13777</v>
      </c>
      <c r="DK1472">
        <v>9606</v>
      </c>
      <c r="DL1472" s="34" t="str">
        <f>HYPERLINK("http://www.uniprot.org/uniprot/O00159", "O00159")</f>
        <v>O00159</v>
      </c>
      <c r="DM1472" t="s">
        <v>14093</v>
      </c>
      <c r="DN1472" t="s">
        <v>14094</v>
      </c>
      <c r="DO1472" t="s">
        <v>14095</v>
      </c>
      <c r="DP1472" t="s">
        <v>13780</v>
      </c>
      <c r="DQ1472" t="s">
        <v>13772</v>
      </c>
      <c r="DR1472" t="s">
        <v>13772</v>
      </c>
      <c r="DS1472" t="s">
        <v>14096</v>
      </c>
      <c r="DT1472" t="s">
        <v>14005</v>
      </c>
      <c r="DU1472" t="s">
        <v>14097</v>
      </c>
      <c r="DV1472" t="s">
        <v>14098</v>
      </c>
      <c r="DW1472" t="s">
        <v>13812</v>
      </c>
      <c r="DX1472" t="s">
        <v>14099</v>
      </c>
      <c r="DY1472" t="s">
        <v>14100</v>
      </c>
      <c r="DZ1472" t="s">
        <v>14101</v>
      </c>
      <c r="EA1472" t="s">
        <v>13772</v>
      </c>
      <c r="EB1472" t="s">
        <v>14102</v>
      </c>
    </row>
    <row r="1473" spans="1:132" hidden="1">
      <c r="A1473">
        <v>104</v>
      </c>
      <c r="B1473">
        <v>1</v>
      </c>
      <c r="C1473" t="s">
        <v>278</v>
      </c>
      <c r="D1473" t="s">
        <v>73</v>
      </c>
      <c r="E1473" t="s">
        <v>73</v>
      </c>
      <c r="F1473" t="s">
        <v>73</v>
      </c>
      <c r="G1473" t="s">
        <v>73</v>
      </c>
      <c r="H1473">
        <v>25.3</v>
      </c>
      <c r="I1473">
        <v>95</v>
      </c>
      <c r="J1473">
        <v>10697</v>
      </c>
      <c r="K1473" t="s">
        <v>279</v>
      </c>
      <c r="L1473">
        <f t="shared" si="90"/>
        <v>12</v>
      </c>
      <c r="N1473">
        <v>12</v>
      </c>
      <c r="O1473">
        <v>12</v>
      </c>
      <c r="P1473">
        <v>1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2</v>
      </c>
      <c r="W1473">
        <v>1</v>
      </c>
      <c r="X1473">
        <v>1</v>
      </c>
      <c r="Y1473">
        <v>2</v>
      </c>
      <c r="Z1473">
        <v>0</v>
      </c>
      <c r="AA1473">
        <v>0</v>
      </c>
      <c r="AB1473">
        <v>3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2</v>
      </c>
      <c r="AP1473">
        <v>1</v>
      </c>
      <c r="AQ1473">
        <v>1</v>
      </c>
      <c r="AR1473">
        <v>2</v>
      </c>
      <c r="AS1473">
        <v>0</v>
      </c>
      <c r="AT1473">
        <v>0</v>
      </c>
      <c r="AU1473">
        <v>3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 s="2">
        <v>0</v>
      </c>
      <c r="BD1473" s="2">
        <v>1</v>
      </c>
      <c r="BE1473" s="2">
        <v>0</v>
      </c>
      <c r="BF1473" s="2">
        <v>1</v>
      </c>
      <c r="BG1473" s="2">
        <v>0</v>
      </c>
      <c r="BH1473" s="2">
        <v>2</v>
      </c>
      <c r="BI1473" s="2">
        <v>1</v>
      </c>
      <c r="BJ1473" s="2">
        <v>1</v>
      </c>
      <c r="BK1473" s="2">
        <v>2</v>
      </c>
      <c r="BL1473" s="2">
        <v>0</v>
      </c>
      <c r="BM1473" s="2">
        <v>0</v>
      </c>
      <c r="BN1473" s="2">
        <v>3</v>
      </c>
      <c r="BO1473" s="2">
        <v>0</v>
      </c>
      <c r="BP1473" s="2">
        <v>0</v>
      </c>
      <c r="BQ1473" s="2">
        <v>1</v>
      </c>
      <c r="BR1473" s="2">
        <v>0</v>
      </c>
      <c r="BS1473" s="2">
        <v>0</v>
      </c>
      <c r="BT1473" s="2">
        <v>0</v>
      </c>
      <c r="BU1473" s="2">
        <v>0</v>
      </c>
      <c r="BV1473" s="2">
        <f t="shared" si="93"/>
        <v>12</v>
      </c>
      <c r="BW1473" s="16">
        <f t="shared" si="91"/>
        <v>0.63157894736842102</v>
      </c>
      <c r="BX1473" s="16">
        <f>COUNTIF($BC$6:BU1473, "=0") / COUNTIF($BC$6:BU1473, "&gt;-1")</f>
        <v>0.37630861895884127</v>
      </c>
      <c r="BY1473" s="18">
        <f>SUM($BC$6:BU1473) / $BY$4</f>
        <v>0.9781442807030899</v>
      </c>
      <c r="BZ1473" s="14">
        <f t="shared" si="92"/>
        <v>11</v>
      </c>
      <c r="CA1473" t="s">
        <v>5832</v>
      </c>
      <c r="CZ1473" t="s">
        <v>6047</v>
      </c>
      <c r="DA1473" t="s">
        <v>5904</v>
      </c>
      <c r="DB1473">
        <v>131</v>
      </c>
      <c r="DC1473" t="s">
        <v>14315</v>
      </c>
      <c r="DD1473" t="s">
        <v>14316</v>
      </c>
      <c r="DE1473" t="s">
        <v>14317</v>
      </c>
      <c r="DF1473" t="s">
        <v>14318</v>
      </c>
      <c r="DG1473" t="s">
        <v>13772</v>
      </c>
      <c r="DH1473" t="str">
        <f>"PPY"</f>
        <v>PPY</v>
      </c>
      <c r="DI1473" t="s">
        <v>14319</v>
      </c>
      <c r="DJ1473" t="s">
        <v>13777</v>
      </c>
      <c r="DK1473">
        <v>9606</v>
      </c>
      <c r="DL1473" s="34" t="str">
        <f>HYPERLINK("http://www.uniprot.org/uniprot/P01298", "P01298")</f>
        <v>P01298</v>
      </c>
      <c r="DM1473" t="s">
        <v>14320</v>
      </c>
      <c r="DN1473" t="s">
        <v>13772</v>
      </c>
      <c r="DO1473" t="s">
        <v>14321</v>
      </c>
      <c r="DP1473" t="s">
        <v>13780</v>
      </c>
      <c r="DQ1473" t="s">
        <v>13772</v>
      </c>
      <c r="DR1473" t="s">
        <v>13772</v>
      </c>
      <c r="DS1473" t="s">
        <v>13808</v>
      </c>
      <c r="DT1473" t="s">
        <v>13772</v>
      </c>
      <c r="DU1473" t="s">
        <v>14322</v>
      </c>
      <c r="DV1473" t="s">
        <v>14323</v>
      </c>
      <c r="DW1473" t="s">
        <v>14324</v>
      </c>
      <c r="DX1473" t="s">
        <v>14325</v>
      </c>
      <c r="DY1473" t="s">
        <v>14326</v>
      </c>
      <c r="DZ1473" t="s">
        <v>14327</v>
      </c>
      <c r="EA1473" t="s">
        <v>13772</v>
      </c>
      <c r="EB1473" t="s">
        <v>14328</v>
      </c>
    </row>
    <row r="1474" spans="1:132" hidden="1">
      <c r="A1474">
        <v>156</v>
      </c>
      <c r="B1474">
        <v>1</v>
      </c>
      <c r="C1474" t="s">
        <v>396</v>
      </c>
      <c r="D1474" t="s">
        <v>397</v>
      </c>
      <c r="E1474" t="s">
        <v>73</v>
      </c>
      <c r="F1474" t="s">
        <v>73</v>
      </c>
      <c r="G1474" t="s">
        <v>73</v>
      </c>
      <c r="H1474">
        <v>5.8</v>
      </c>
      <c r="I1474">
        <v>1517</v>
      </c>
      <c r="J1474">
        <v>161382</v>
      </c>
      <c r="K1474" t="s">
        <v>398</v>
      </c>
      <c r="L1474">
        <f t="shared" si="90"/>
        <v>12</v>
      </c>
      <c r="N1474">
        <v>12</v>
      </c>
      <c r="O1474">
        <v>12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3</v>
      </c>
      <c r="AB1474">
        <v>1</v>
      </c>
      <c r="AC1474">
        <v>1</v>
      </c>
      <c r="AD1474">
        <v>0</v>
      </c>
      <c r="AE1474">
        <v>1</v>
      </c>
      <c r="AF1474">
        <v>4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1</v>
      </c>
      <c r="AS1474">
        <v>0</v>
      </c>
      <c r="AT1474">
        <v>3</v>
      </c>
      <c r="AU1474">
        <v>1</v>
      </c>
      <c r="AV1474">
        <v>1</v>
      </c>
      <c r="AW1474">
        <v>0</v>
      </c>
      <c r="AX1474">
        <v>1</v>
      </c>
      <c r="AY1474">
        <v>4</v>
      </c>
      <c r="AZ1474">
        <v>0</v>
      </c>
      <c r="BA1474">
        <v>0</v>
      </c>
      <c r="BB1474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</v>
      </c>
      <c r="BI1474" s="2">
        <v>0</v>
      </c>
      <c r="BJ1474" s="2">
        <v>0</v>
      </c>
      <c r="BK1474" s="2">
        <v>1</v>
      </c>
      <c r="BL1474" s="2">
        <v>0</v>
      </c>
      <c r="BM1474" s="2">
        <v>3</v>
      </c>
      <c r="BN1474" s="2">
        <v>1</v>
      </c>
      <c r="BO1474" s="2">
        <v>1</v>
      </c>
      <c r="BP1474" s="2">
        <v>0</v>
      </c>
      <c r="BQ1474" s="2">
        <v>1</v>
      </c>
      <c r="BR1474" s="2">
        <v>4</v>
      </c>
      <c r="BS1474" s="2">
        <v>0</v>
      </c>
      <c r="BT1474" s="2">
        <v>0</v>
      </c>
      <c r="BU1474" s="2">
        <v>0</v>
      </c>
      <c r="BV1474" s="2">
        <f t="shared" si="93"/>
        <v>12</v>
      </c>
      <c r="BW1474" s="16">
        <f t="shared" si="91"/>
        <v>0.63157894736842102</v>
      </c>
      <c r="BX1474" s="16">
        <f>COUNTIF($BC$6:BU1474, "=0") / COUNTIF($BC$6:BU1474, "&gt;-1")</f>
        <v>0.37648239045537601</v>
      </c>
      <c r="BY1474" s="18">
        <f>SUM($BC$6:BU1474) / $BY$4</f>
        <v>0.97819568434551429</v>
      </c>
      <c r="BZ1474" s="14">
        <f t="shared" si="92"/>
        <v>12</v>
      </c>
      <c r="CA1474" t="s">
        <v>5832</v>
      </c>
      <c r="CZ1474" t="s">
        <v>6232</v>
      </c>
      <c r="DA1474" t="s">
        <v>5904</v>
      </c>
      <c r="DB1474">
        <v>1575.8</v>
      </c>
      <c r="DC1474" t="s">
        <v>14935</v>
      </c>
      <c r="DD1474" t="s">
        <v>14936</v>
      </c>
      <c r="DE1474" t="s">
        <v>14937</v>
      </c>
      <c r="DF1474" t="s">
        <v>14938</v>
      </c>
      <c r="DG1474" t="s">
        <v>14939</v>
      </c>
      <c r="DH1474" t="str">
        <f>"IL16"</f>
        <v>IL16</v>
      </c>
      <c r="DI1474" t="s">
        <v>13772</v>
      </c>
      <c r="DJ1474" t="s">
        <v>13777</v>
      </c>
      <c r="DK1474">
        <v>9606</v>
      </c>
      <c r="DL1474" s="34" t="str">
        <f>HYPERLINK("http://www.uniprot.org/uniprot/Q14005", "Q14005")</f>
        <v>Q14005</v>
      </c>
      <c r="DM1474" t="s">
        <v>14940</v>
      </c>
      <c r="DN1474" t="s">
        <v>14941</v>
      </c>
      <c r="DO1474" t="s">
        <v>14276</v>
      </c>
      <c r="DP1474" t="s">
        <v>14942</v>
      </c>
      <c r="DQ1474" t="s">
        <v>13772</v>
      </c>
      <c r="DR1474" t="s">
        <v>13772</v>
      </c>
      <c r="DS1474" t="s">
        <v>14096</v>
      </c>
      <c r="DT1474" t="s">
        <v>13772</v>
      </c>
      <c r="DU1474" t="s">
        <v>14405</v>
      </c>
      <c r="DV1474" t="s">
        <v>13782</v>
      </c>
      <c r="DW1474" t="s">
        <v>13812</v>
      </c>
      <c r="DX1474" t="s">
        <v>14943</v>
      </c>
      <c r="DY1474" t="s">
        <v>14944</v>
      </c>
      <c r="DZ1474" t="s">
        <v>14945</v>
      </c>
      <c r="EA1474" t="s">
        <v>13772</v>
      </c>
      <c r="EB1474" t="s">
        <v>14946</v>
      </c>
    </row>
    <row r="1475" spans="1:132" hidden="1">
      <c r="A1475">
        <v>172</v>
      </c>
      <c r="B1475">
        <v>1</v>
      </c>
      <c r="C1475" t="s">
        <v>437</v>
      </c>
      <c r="D1475" t="s">
        <v>438</v>
      </c>
      <c r="E1475" t="s">
        <v>73</v>
      </c>
      <c r="F1475" t="s">
        <v>73</v>
      </c>
      <c r="G1475" t="s">
        <v>73</v>
      </c>
      <c r="H1475">
        <v>11.1</v>
      </c>
      <c r="I1475">
        <v>868</v>
      </c>
      <c r="J1475">
        <v>95849</v>
      </c>
      <c r="K1475" t="s">
        <v>439</v>
      </c>
      <c r="L1475">
        <f t="shared" si="90"/>
        <v>12</v>
      </c>
      <c r="N1475">
        <v>12</v>
      </c>
      <c r="O1475">
        <v>12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>
        <v>0</v>
      </c>
      <c r="AA1475">
        <v>5</v>
      </c>
      <c r="AB1475">
        <v>1</v>
      </c>
      <c r="AC1475">
        <v>2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</v>
      </c>
      <c r="AS1475">
        <v>0</v>
      </c>
      <c r="AT1475">
        <v>5</v>
      </c>
      <c r="AU1475">
        <v>1</v>
      </c>
      <c r="AV1475">
        <v>2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2</v>
      </c>
      <c r="BL1475" s="2">
        <v>0</v>
      </c>
      <c r="BM1475" s="2">
        <v>5</v>
      </c>
      <c r="BN1475" s="2">
        <v>1</v>
      </c>
      <c r="BO1475" s="2">
        <v>2</v>
      </c>
      <c r="BP1475" s="2">
        <v>0</v>
      </c>
      <c r="BQ1475" s="2">
        <v>0</v>
      </c>
      <c r="BR1475" s="2">
        <v>1</v>
      </c>
      <c r="BS1475" s="2">
        <v>0</v>
      </c>
      <c r="BT1475" s="2">
        <v>0</v>
      </c>
      <c r="BU1475" s="2">
        <v>0</v>
      </c>
      <c r="BV1475" s="2">
        <f t="shared" si="93"/>
        <v>12</v>
      </c>
      <c r="BW1475" s="16">
        <f t="shared" si="91"/>
        <v>0.63157894736842102</v>
      </c>
      <c r="BX1475" s="16">
        <f>COUNTIF($BC$6:BU1475, "=0") / COUNTIF($BC$6:BU1475, "&gt;-1")</f>
        <v>0.37669172932330824</v>
      </c>
      <c r="BY1475" s="18">
        <f>SUM($BC$6:BU1475) / $BY$4</f>
        <v>0.9782470879879388</v>
      </c>
      <c r="BZ1475" s="14">
        <f t="shared" si="92"/>
        <v>13</v>
      </c>
      <c r="CA1475" t="s">
        <v>5832</v>
      </c>
      <c r="CZ1475" t="s">
        <v>6291</v>
      </c>
      <c r="DA1475" t="s">
        <v>5904</v>
      </c>
      <c r="DB1475">
        <v>1401.7</v>
      </c>
      <c r="DC1475" t="s">
        <v>15128</v>
      </c>
      <c r="DD1475" t="s">
        <v>15129</v>
      </c>
      <c r="DE1475" t="s">
        <v>15130</v>
      </c>
      <c r="DF1475" t="s">
        <v>15131</v>
      </c>
      <c r="DG1475" t="s">
        <v>15132</v>
      </c>
      <c r="DH1475" t="str">
        <f>"ADAM10"</f>
        <v>ADAM10</v>
      </c>
      <c r="DI1475" t="s">
        <v>15133</v>
      </c>
      <c r="DJ1475" t="s">
        <v>13777</v>
      </c>
      <c r="DK1475">
        <v>9606</v>
      </c>
      <c r="DL1475" s="34" t="str">
        <f>HYPERLINK("http://www.uniprot.org/uniprot/O14672", "O14672")</f>
        <v>O14672</v>
      </c>
      <c r="DM1475" t="s">
        <v>15134</v>
      </c>
      <c r="DN1475" t="s">
        <v>15135</v>
      </c>
      <c r="DO1475" t="s">
        <v>15136</v>
      </c>
      <c r="DP1475" t="s">
        <v>13780</v>
      </c>
      <c r="DQ1475" t="s">
        <v>13772</v>
      </c>
      <c r="DR1475" t="s">
        <v>15137</v>
      </c>
      <c r="DS1475" t="s">
        <v>15138</v>
      </c>
      <c r="DT1475" t="s">
        <v>13856</v>
      </c>
      <c r="DU1475" t="s">
        <v>15139</v>
      </c>
      <c r="DV1475" t="s">
        <v>15140</v>
      </c>
      <c r="DW1475" t="s">
        <v>13812</v>
      </c>
      <c r="DX1475" t="s">
        <v>15141</v>
      </c>
      <c r="DY1475" t="s">
        <v>15142</v>
      </c>
      <c r="DZ1475" t="s">
        <v>15143</v>
      </c>
      <c r="EA1475" t="s">
        <v>13772</v>
      </c>
      <c r="EB1475" t="s">
        <v>15144</v>
      </c>
    </row>
    <row r="1476" spans="1:132" hidden="1">
      <c r="A1476">
        <v>206</v>
      </c>
      <c r="B1476">
        <v>1</v>
      </c>
      <c r="C1476" t="s">
        <v>519</v>
      </c>
      <c r="D1476" t="s">
        <v>520</v>
      </c>
      <c r="E1476" t="s">
        <v>73</v>
      </c>
      <c r="F1476" t="s">
        <v>322</v>
      </c>
      <c r="G1476" t="s">
        <v>73</v>
      </c>
      <c r="H1476">
        <v>43.2</v>
      </c>
      <c r="I1476">
        <v>222</v>
      </c>
      <c r="J1476">
        <v>23761</v>
      </c>
      <c r="K1476" t="s">
        <v>521</v>
      </c>
      <c r="L1476">
        <f t="shared" si="90"/>
        <v>13</v>
      </c>
      <c r="N1476">
        <v>13</v>
      </c>
      <c r="O1476">
        <v>12</v>
      </c>
      <c r="P1476">
        <v>0.92300000000000004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4</v>
      </c>
      <c r="AB1476">
        <v>1</v>
      </c>
      <c r="AC1476">
        <v>0</v>
      </c>
      <c r="AD1476">
        <v>0</v>
      </c>
      <c r="AE1476">
        <v>4</v>
      </c>
      <c r="AF1476">
        <v>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</v>
      </c>
      <c r="AS1476">
        <v>0</v>
      </c>
      <c r="AT1476">
        <v>4</v>
      </c>
      <c r="AU1476">
        <v>0</v>
      </c>
      <c r="AV1476">
        <v>0</v>
      </c>
      <c r="AW1476">
        <v>0</v>
      </c>
      <c r="AX1476">
        <v>4</v>
      </c>
      <c r="AY1476">
        <v>2</v>
      </c>
      <c r="AZ1476">
        <v>0</v>
      </c>
      <c r="BA1476">
        <v>0</v>
      </c>
      <c r="BB1476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2</v>
      </c>
      <c r="BL1476" s="2">
        <v>0</v>
      </c>
      <c r="BM1476" s="2">
        <v>4</v>
      </c>
      <c r="BN1476" s="2">
        <v>0</v>
      </c>
      <c r="BO1476" s="2">
        <v>0</v>
      </c>
      <c r="BP1476" s="2">
        <v>0</v>
      </c>
      <c r="BQ1476" s="2">
        <v>4</v>
      </c>
      <c r="BR1476" s="2">
        <v>2</v>
      </c>
      <c r="BS1476" s="2">
        <v>0</v>
      </c>
      <c r="BT1476" s="2">
        <v>0</v>
      </c>
      <c r="BU1476" s="2">
        <v>0</v>
      </c>
      <c r="BV1476" s="2">
        <f t="shared" si="93"/>
        <v>12</v>
      </c>
      <c r="BW1476" s="16">
        <f t="shared" si="91"/>
        <v>0.63157894736842102</v>
      </c>
      <c r="BX1476" s="16">
        <f>COUNTIF($BC$6:BU1476, "=0") / COUNTIF($BC$6:BU1476, "&gt;-1")</f>
        <v>0.37697234248094746</v>
      </c>
      <c r="BY1476" s="18">
        <f>SUM($BC$6:BU1476) / $BY$4</f>
        <v>0.9782984916303632</v>
      </c>
      <c r="BZ1476" s="14">
        <f t="shared" si="92"/>
        <v>15</v>
      </c>
      <c r="CA1476" t="s">
        <v>5832</v>
      </c>
      <c r="CZ1476" t="s">
        <v>6407</v>
      </c>
      <c r="DA1476" t="s">
        <v>5904</v>
      </c>
      <c r="DB1476">
        <v>379.4</v>
      </c>
      <c r="DC1476" t="s">
        <v>15522</v>
      </c>
      <c r="DD1476" t="s">
        <v>15523</v>
      </c>
      <c r="DE1476" t="s">
        <v>15524</v>
      </c>
      <c r="DF1476" t="s">
        <v>15525</v>
      </c>
      <c r="DG1476" t="s">
        <v>15526</v>
      </c>
      <c r="DH1476" t="str">
        <f>"CRIP2"</f>
        <v>CRIP2</v>
      </c>
      <c r="DI1476" t="s">
        <v>15527</v>
      </c>
      <c r="DJ1476" t="s">
        <v>13777</v>
      </c>
      <c r="DK1476">
        <v>9606</v>
      </c>
      <c r="DL1476" s="34" t="str">
        <f>HYPERLINK("http://www.uniprot.org/uniprot/P52943", "P52943")</f>
        <v>P52943</v>
      </c>
      <c r="DM1476" t="s">
        <v>15528</v>
      </c>
      <c r="DN1476" t="s">
        <v>13772</v>
      </c>
      <c r="DO1476" t="s">
        <v>13772</v>
      </c>
      <c r="DP1476" t="s">
        <v>13841</v>
      </c>
      <c r="DQ1476" t="s">
        <v>13772</v>
      </c>
      <c r="DR1476" t="s">
        <v>13772</v>
      </c>
      <c r="DS1476" t="s">
        <v>15529</v>
      </c>
      <c r="DT1476" t="s">
        <v>13856</v>
      </c>
      <c r="DU1476" t="s">
        <v>13772</v>
      </c>
      <c r="DV1476" t="s">
        <v>13886</v>
      </c>
      <c r="DW1476" t="s">
        <v>13812</v>
      </c>
      <c r="DX1476" t="s">
        <v>15530</v>
      </c>
      <c r="DY1476" t="s">
        <v>15531</v>
      </c>
      <c r="DZ1476" t="s">
        <v>15532</v>
      </c>
      <c r="EA1476" t="s">
        <v>13772</v>
      </c>
      <c r="EB1476" t="s">
        <v>13772</v>
      </c>
    </row>
    <row r="1477" spans="1:132" hidden="1">
      <c r="A1477">
        <v>221</v>
      </c>
      <c r="B1477">
        <v>1</v>
      </c>
      <c r="C1477" t="s">
        <v>561</v>
      </c>
      <c r="D1477" t="s">
        <v>562</v>
      </c>
      <c r="E1477" t="s">
        <v>73</v>
      </c>
      <c r="F1477" t="s">
        <v>73</v>
      </c>
      <c r="G1477" t="s">
        <v>73</v>
      </c>
      <c r="H1477">
        <v>27.4</v>
      </c>
      <c r="I1477">
        <v>190</v>
      </c>
      <c r="J1477">
        <v>20868</v>
      </c>
      <c r="K1477" t="s">
        <v>563</v>
      </c>
      <c r="L1477">
        <f t="shared" si="90"/>
        <v>12</v>
      </c>
      <c r="N1477">
        <v>12</v>
      </c>
      <c r="O1477">
        <v>12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0</v>
      </c>
      <c r="W1477">
        <v>2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1</v>
      </c>
      <c r="AD1477">
        <v>0</v>
      </c>
      <c r="AE1477">
        <v>1</v>
      </c>
      <c r="AF1477">
        <v>3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2</v>
      </c>
      <c r="AO1477">
        <v>0</v>
      </c>
      <c r="AP1477">
        <v>2</v>
      </c>
      <c r="AQ1477">
        <v>0</v>
      </c>
      <c r="AR1477">
        <v>0</v>
      </c>
      <c r="AS1477">
        <v>0</v>
      </c>
      <c r="AT1477">
        <v>1</v>
      </c>
      <c r="AU1477">
        <v>1</v>
      </c>
      <c r="AV1477">
        <v>1</v>
      </c>
      <c r="AW1477">
        <v>0</v>
      </c>
      <c r="AX1477">
        <v>1</v>
      </c>
      <c r="AY1477">
        <v>3</v>
      </c>
      <c r="AZ1477">
        <v>1</v>
      </c>
      <c r="BA1477">
        <v>0</v>
      </c>
      <c r="BB1477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2</v>
      </c>
      <c r="BH1477" s="2">
        <v>0</v>
      </c>
      <c r="BI1477" s="2">
        <v>2</v>
      </c>
      <c r="BJ1477" s="2">
        <v>0</v>
      </c>
      <c r="BK1477" s="2">
        <v>0</v>
      </c>
      <c r="BL1477" s="2">
        <v>0</v>
      </c>
      <c r="BM1477" s="2">
        <v>1</v>
      </c>
      <c r="BN1477" s="2">
        <v>1</v>
      </c>
      <c r="BO1477" s="2">
        <v>1</v>
      </c>
      <c r="BP1477" s="2">
        <v>0</v>
      </c>
      <c r="BQ1477" s="2">
        <v>1</v>
      </c>
      <c r="BR1477" s="2">
        <v>3</v>
      </c>
      <c r="BS1477" s="2">
        <v>1</v>
      </c>
      <c r="BT1477" s="2">
        <v>0</v>
      </c>
      <c r="BU1477" s="2">
        <v>0</v>
      </c>
      <c r="BV1477" s="2">
        <f t="shared" si="93"/>
        <v>12</v>
      </c>
      <c r="BW1477" s="16">
        <f t="shared" si="91"/>
        <v>0.63157894736842102</v>
      </c>
      <c r="BX1477" s="16">
        <f>COUNTIF($BC$6:BU1477, "=0") / COUNTIF($BC$6:BU1477, "&gt;-1")</f>
        <v>0.37710955377574373</v>
      </c>
      <c r="BY1477" s="18">
        <f>SUM($BC$6:BU1477) / $BY$4</f>
        <v>0.9783498952727876</v>
      </c>
      <c r="BZ1477" s="14">
        <f t="shared" si="92"/>
        <v>11</v>
      </c>
      <c r="CA1477" t="s">
        <v>5832</v>
      </c>
      <c r="CZ1477" t="s">
        <v>6460</v>
      </c>
      <c r="DA1477" t="s">
        <v>5904</v>
      </c>
      <c r="DB1477">
        <v>257.7</v>
      </c>
      <c r="DC1477" t="s">
        <v>15691</v>
      </c>
      <c r="DD1477" t="s">
        <v>15692</v>
      </c>
      <c r="DE1477" t="s">
        <v>15693</v>
      </c>
      <c r="DF1477" t="s">
        <v>15694</v>
      </c>
      <c r="DG1477" t="s">
        <v>15695</v>
      </c>
      <c r="DH1477" t="str">
        <f>"CD160"</f>
        <v>CD160</v>
      </c>
      <c r="DI1477" t="s">
        <v>13772</v>
      </c>
      <c r="DJ1477" t="s">
        <v>13777</v>
      </c>
      <c r="DK1477">
        <v>9606</v>
      </c>
      <c r="DL1477" s="34" t="str">
        <f>HYPERLINK("http://www.uniprot.org/uniprot/O95971", "O95971")</f>
        <v>O95971</v>
      </c>
      <c r="DM1477" t="s">
        <v>15696</v>
      </c>
      <c r="DN1477" t="s">
        <v>15697</v>
      </c>
      <c r="DO1477" t="s">
        <v>14336</v>
      </c>
      <c r="DP1477" t="s">
        <v>13780</v>
      </c>
      <c r="DQ1477" t="s">
        <v>13772</v>
      </c>
      <c r="DR1477" t="s">
        <v>13772</v>
      </c>
      <c r="DS1477" t="s">
        <v>15698</v>
      </c>
      <c r="DT1477" t="s">
        <v>13772</v>
      </c>
      <c r="DU1477" t="s">
        <v>13795</v>
      </c>
      <c r="DV1477" t="s">
        <v>15699</v>
      </c>
      <c r="DW1477" t="s">
        <v>13772</v>
      </c>
      <c r="DX1477" t="s">
        <v>15700</v>
      </c>
      <c r="DY1477" t="s">
        <v>15701</v>
      </c>
      <c r="DZ1477" t="s">
        <v>15702</v>
      </c>
      <c r="EA1477" t="s">
        <v>13772</v>
      </c>
      <c r="EB1477" t="s">
        <v>13799</v>
      </c>
    </row>
    <row r="1478" spans="1:132" hidden="1">
      <c r="A1478">
        <v>402</v>
      </c>
      <c r="B1478">
        <v>1</v>
      </c>
      <c r="C1478" t="s">
        <v>1007</v>
      </c>
      <c r="D1478" t="s">
        <v>73</v>
      </c>
      <c r="E1478" t="s">
        <v>73</v>
      </c>
      <c r="F1478" t="s">
        <v>1008</v>
      </c>
      <c r="G1478" t="s">
        <v>73</v>
      </c>
      <c r="H1478">
        <v>8.9</v>
      </c>
      <c r="I1478">
        <v>997</v>
      </c>
      <c r="J1478">
        <v>109610</v>
      </c>
      <c r="K1478" t="s">
        <v>1009</v>
      </c>
      <c r="L1478">
        <f t="shared" ref="L1478:L1541" si="94">N1478</f>
        <v>15</v>
      </c>
      <c r="N1478">
        <v>15</v>
      </c>
      <c r="O1478">
        <v>4</v>
      </c>
      <c r="P1478">
        <v>0.26700000000000002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</v>
      </c>
      <c r="AB1478">
        <v>6</v>
      </c>
      <c r="AC1478">
        <v>0</v>
      </c>
      <c r="AD1478">
        <v>0</v>
      </c>
      <c r="AE1478">
        <v>4</v>
      </c>
      <c r="AF1478">
        <v>3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3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0.5</v>
      </c>
      <c r="BN1478" s="2">
        <v>6</v>
      </c>
      <c r="BO1478" s="2">
        <v>0</v>
      </c>
      <c r="BP1478" s="2">
        <v>0</v>
      </c>
      <c r="BQ1478" s="2">
        <v>4</v>
      </c>
      <c r="BR1478" s="2">
        <v>1.5</v>
      </c>
      <c r="BS1478" s="2">
        <v>0</v>
      </c>
      <c r="BT1478" s="2">
        <v>0</v>
      </c>
      <c r="BU1478" s="2">
        <v>0</v>
      </c>
      <c r="BV1478" s="2">
        <f t="shared" si="93"/>
        <v>12</v>
      </c>
      <c r="BW1478" s="16">
        <f t="shared" ref="BW1478:BW1541" si="95">AVERAGE(BC1478:BU1478)</f>
        <v>0.63157894736842102</v>
      </c>
      <c r="BX1478" s="16">
        <f>COUNTIF($BC$6:BU1478, "=0") / COUNTIF($BC$6:BU1478, "&gt;-1")</f>
        <v>0.37738950226891055</v>
      </c>
      <c r="BY1478" s="18">
        <f>SUM($BC$6:BU1478) / $BY$4</f>
        <v>0.97840129891521199</v>
      </c>
      <c r="BZ1478" s="14">
        <f t="shared" ref="BZ1478:BZ1541" si="96">19-COUNTIF(BC1478:BU1478, "&gt;0")</f>
        <v>15</v>
      </c>
      <c r="CA1478" t="s">
        <v>5832</v>
      </c>
      <c r="CZ1478" t="s">
        <v>7097</v>
      </c>
      <c r="DA1478" t="s">
        <v>5904</v>
      </c>
      <c r="DB1478">
        <v>2030.4</v>
      </c>
      <c r="DC1478" t="s">
        <v>17641</v>
      </c>
      <c r="DD1478" t="s">
        <v>17642</v>
      </c>
      <c r="DE1478" t="s">
        <v>17643</v>
      </c>
      <c r="DF1478" t="s">
        <v>17644</v>
      </c>
      <c r="DG1478" t="s">
        <v>17645</v>
      </c>
      <c r="DH1478" t="str">
        <f>"ATP2A2"</f>
        <v>ATP2A2</v>
      </c>
      <c r="DI1478" t="s">
        <v>17646</v>
      </c>
      <c r="DJ1478" t="s">
        <v>13777</v>
      </c>
      <c r="DK1478">
        <v>9606</v>
      </c>
      <c r="DL1478" s="34" t="str">
        <f>HYPERLINK("http://www.uniprot.org/uniprot/P16615", "P16615")</f>
        <v>P16615</v>
      </c>
      <c r="DM1478" t="s">
        <v>17647</v>
      </c>
      <c r="DN1478" t="s">
        <v>16775</v>
      </c>
      <c r="DO1478" t="s">
        <v>17648</v>
      </c>
      <c r="DP1478" t="s">
        <v>13841</v>
      </c>
      <c r="DQ1478" t="s">
        <v>13772</v>
      </c>
      <c r="DR1478" t="s">
        <v>17649</v>
      </c>
      <c r="DS1478" t="s">
        <v>13925</v>
      </c>
      <c r="DT1478" t="s">
        <v>17650</v>
      </c>
      <c r="DU1478" t="s">
        <v>16605</v>
      </c>
      <c r="DV1478" t="s">
        <v>17651</v>
      </c>
      <c r="DW1478" t="s">
        <v>13772</v>
      </c>
      <c r="DX1478" t="s">
        <v>17652</v>
      </c>
      <c r="DY1478" t="s">
        <v>17653</v>
      </c>
      <c r="DZ1478" t="s">
        <v>17654</v>
      </c>
      <c r="EA1478" t="s">
        <v>13772</v>
      </c>
      <c r="EB1478" t="s">
        <v>17655</v>
      </c>
    </row>
    <row r="1479" spans="1:132" hidden="1">
      <c r="A1479">
        <v>419</v>
      </c>
      <c r="B1479">
        <v>1</v>
      </c>
      <c r="C1479" t="s">
        <v>1050</v>
      </c>
      <c r="D1479" t="s">
        <v>73</v>
      </c>
      <c r="E1479" t="s">
        <v>73</v>
      </c>
      <c r="F1479" t="s">
        <v>73</v>
      </c>
      <c r="G1479" t="s">
        <v>73</v>
      </c>
      <c r="H1479">
        <v>23.7</v>
      </c>
      <c r="I1479">
        <v>384</v>
      </c>
      <c r="J1479">
        <v>43148</v>
      </c>
      <c r="K1479" t="s">
        <v>1051</v>
      </c>
      <c r="L1479">
        <f t="shared" si="94"/>
        <v>12</v>
      </c>
      <c r="N1479">
        <v>12</v>
      </c>
      <c r="O1479">
        <v>12</v>
      </c>
      <c r="P1479">
        <v>1</v>
      </c>
      <c r="Q1479">
        <v>0</v>
      </c>
      <c r="R1479">
        <v>2</v>
      </c>
      <c r="S1479">
        <v>0</v>
      </c>
      <c r="T1479">
        <v>0</v>
      </c>
      <c r="U1479">
        <v>5</v>
      </c>
      <c r="V1479">
        <v>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0</v>
      </c>
      <c r="AN1479">
        <v>5</v>
      </c>
      <c r="AO1479">
        <v>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 s="2">
        <v>0</v>
      </c>
      <c r="BD1479" s="2">
        <v>2</v>
      </c>
      <c r="BE1479" s="2">
        <v>0</v>
      </c>
      <c r="BF1479" s="2">
        <v>0</v>
      </c>
      <c r="BG1479" s="2">
        <v>5</v>
      </c>
      <c r="BH1479" s="2">
        <v>5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f t="shared" ref="BV1479:BV1542" si="97">SUM(BC1479:BU1479)</f>
        <v>12</v>
      </c>
      <c r="BW1479" s="16">
        <f t="shared" si="95"/>
        <v>0.63157894736842102</v>
      </c>
      <c r="BX1479" s="16">
        <f>COUNTIF($BC$6:BU1479, "=0") / COUNTIF($BC$6:BU1479, "&gt;-1")</f>
        <v>0.37770477754766835</v>
      </c>
      <c r="BY1479" s="18">
        <f>SUM($BC$6:BU1479) / $BY$4</f>
        <v>0.97845270255763639</v>
      </c>
      <c r="BZ1479" s="14">
        <f t="shared" si="96"/>
        <v>16</v>
      </c>
      <c r="CA1479" t="s">
        <v>5832</v>
      </c>
      <c r="CZ1479" t="s">
        <v>7155</v>
      </c>
      <c r="DA1479" t="s">
        <v>5904</v>
      </c>
      <c r="DB1479">
        <v>736.5</v>
      </c>
      <c r="DC1479" t="s">
        <v>17829</v>
      </c>
      <c r="DD1479" t="s">
        <v>17830</v>
      </c>
      <c r="DE1479" t="s">
        <v>17831</v>
      </c>
      <c r="DF1479" t="s">
        <v>17832</v>
      </c>
      <c r="DG1479" t="s">
        <v>17833</v>
      </c>
      <c r="DH1479" t="str">
        <f>"UPB1"</f>
        <v>UPB1</v>
      </c>
      <c r="DI1479" t="s">
        <v>17834</v>
      </c>
      <c r="DJ1479" t="s">
        <v>13777</v>
      </c>
      <c r="DK1479">
        <v>9606</v>
      </c>
      <c r="DL1479" s="34" t="str">
        <f>HYPERLINK("http://www.uniprot.org/uniprot/Q9UBR1", "Q9UBR1")</f>
        <v>Q9UBR1</v>
      </c>
      <c r="DM1479" t="s">
        <v>17835</v>
      </c>
      <c r="DN1479" t="s">
        <v>13772</v>
      </c>
      <c r="DO1479" t="s">
        <v>13899</v>
      </c>
      <c r="DP1479" t="s">
        <v>13793</v>
      </c>
      <c r="DQ1479" t="s">
        <v>13772</v>
      </c>
      <c r="DR1479" t="s">
        <v>13807</v>
      </c>
      <c r="DS1479" t="s">
        <v>13772</v>
      </c>
      <c r="DT1479" t="s">
        <v>13772</v>
      </c>
      <c r="DU1479" t="s">
        <v>13857</v>
      </c>
      <c r="DV1479" t="s">
        <v>13782</v>
      </c>
      <c r="DW1479" t="s">
        <v>13812</v>
      </c>
      <c r="DX1479" t="s">
        <v>17836</v>
      </c>
      <c r="DY1479" t="s">
        <v>15111</v>
      </c>
      <c r="DZ1479" t="s">
        <v>17837</v>
      </c>
      <c r="EA1479" t="s">
        <v>17838</v>
      </c>
      <c r="EB1479" t="s">
        <v>17839</v>
      </c>
    </row>
    <row r="1480" spans="1:132" hidden="1">
      <c r="A1480">
        <v>462</v>
      </c>
      <c r="B1480">
        <v>1</v>
      </c>
      <c r="C1480" t="s">
        <v>1156</v>
      </c>
      <c r="D1480" t="s">
        <v>1157</v>
      </c>
      <c r="E1480" t="s">
        <v>73</v>
      </c>
      <c r="F1480" t="s">
        <v>73</v>
      </c>
      <c r="G1480" t="s">
        <v>73</v>
      </c>
      <c r="H1480">
        <v>11</v>
      </c>
      <c r="I1480">
        <v>463</v>
      </c>
      <c r="J1480">
        <v>53037</v>
      </c>
      <c r="K1480" t="s">
        <v>1158</v>
      </c>
      <c r="L1480">
        <f t="shared" si="94"/>
        <v>12</v>
      </c>
      <c r="N1480">
        <v>12</v>
      </c>
      <c r="O1480">
        <v>12</v>
      </c>
      <c r="P1480">
        <v>1</v>
      </c>
      <c r="Q1480">
        <v>1</v>
      </c>
      <c r="R1480">
        <v>2</v>
      </c>
      <c r="S1480">
        <v>1</v>
      </c>
      <c r="T1480">
        <v>5</v>
      </c>
      <c r="U1480">
        <v>2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1</v>
      </c>
      <c r="AM1480">
        <v>5</v>
      </c>
      <c r="AN1480">
        <v>2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 s="2">
        <v>1</v>
      </c>
      <c r="BD1480" s="2">
        <v>2</v>
      </c>
      <c r="BE1480" s="2">
        <v>1</v>
      </c>
      <c r="BF1480" s="2">
        <v>5</v>
      </c>
      <c r="BG1480" s="2">
        <v>2</v>
      </c>
      <c r="BH1480" s="2">
        <v>1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f t="shared" si="97"/>
        <v>12</v>
      </c>
      <c r="BW1480" s="16">
        <f t="shared" si="95"/>
        <v>0.63157894736842102</v>
      </c>
      <c r="BX1480" s="16">
        <f>COUNTIF($BC$6:BU1480, "=0") / COUNTIF($BC$6:BU1480, "&gt;-1")</f>
        <v>0.37791257805530776</v>
      </c>
      <c r="BY1480" s="18">
        <f>SUM($BC$6:BU1480) / $BY$4</f>
        <v>0.97850410620006079</v>
      </c>
      <c r="BZ1480" s="14">
        <f t="shared" si="96"/>
        <v>13</v>
      </c>
      <c r="CA1480" t="s">
        <v>5832</v>
      </c>
      <c r="CZ1480" t="s">
        <v>7304</v>
      </c>
      <c r="DA1480" t="s">
        <v>5904</v>
      </c>
      <c r="DB1480">
        <v>769.2</v>
      </c>
      <c r="DC1480" t="s">
        <v>18290</v>
      </c>
      <c r="DD1480" t="s">
        <v>18291</v>
      </c>
      <c r="DE1480" t="s">
        <v>18292</v>
      </c>
      <c r="DF1480" t="s">
        <v>18293</v>
      </c>
      <c r="DG1480" t="s">
        <v>18294</v>
      </c>
      <c r="DH1480" t="str">
        <f>"GAL3ST1"</f>
        <v>GAL3ST1</v>
      </c>
      <c r="DI1480" t="s">
        <v>18295</v>
      </c>
      <c r="DJ1480" t="s">
        <v>13777</v>
      </c>
      <c r="DK1480">
        <v>9606</v>
      </c>
      <c r="DL1480" s="34" t="str">
        <f>HYPERLINK("http://www.uniprot.org/uniprot/Q99999", "Q99999")</f>
        <v>Q99999</v>
      </c>
      <c r="DM1480" t="s">
        <v>18296</v>
      </c>
      <c r="DN1480" t="s">
        <v>18297</v>
      </c>
      <c r="DO1480" t="s">
        <v>18298</v>
      </c>
      <c r="DP1480" t="s">
        <v>13793</v>
      </c>
      <c r="DQ1480" t="s">
        <v>13772</v>
      </c>
      <c r="DR1480" t="s">
        <v>13772</v>
      </c>
      <c r="DS1480" t="s">
        <v>14417</v>
      </c>
      <c r="DT1480" t="s">
        <v>13772</v>
      </c>
      <c r="DU1480" t="s">
        <v>14111</v>
      </c>
      <c r="DV1480" t="s">
        <v>13858</v>
      </c>
      <c r="DW1480" t="s">
        <v>13772</v>
      </c>
      <c r="DX1480" t="s">
        <v>18299</v>
      </c>
      <c r="DY1480" t="s">
        <v>18300</v>
      </c>
      <c r="DZ1480" t="s">
        <v>18301</v>
      </c>
      <c r="EA1480" t="s">
        <v>18302</v>
      </c>
      <c r="EB1480" t="s">
        <v>13772</v>
      </c>
    </row>
    <row r="1481" spans="1:132" hidden="1">
      <c r="A1481">
        <v>489</v>
      </c>
      <c r="B1481">
        <v>1</v>
      </c>
      <c r="C1481" t="s">
        <v>1229</v>
      </c>
      <c r="D1481" t="s">
        <v>73</v>
      </c>
      <c r="E1481" t="s">
        <v>73</v>
      </c>
      <c r="F1481" t="s">
        <v>73</v>
      </c>
      <c r="G1481" t="s">
        <v>73</v>
      </c>
      <c r="H1481">
        <v>40.4</v>
      </c>
      <c r="I1481">
        <v>193</v>
      </c>
      <c r="J1481">
        <v>22113</v>
      </c>
      <c r="K1481" t="s">
        <v>1230</v>
      </c>
      <c r="L1481">
        <f t="shared" si="94"/>
        <v>12</v>
      </c>
      <c r="N1481">
        <v>12</v>
      </c>
      <c r="O1481">
        <v>12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9</v>
      </c>
      <c r="Z1481">
        <v>0</v>
      </c>
      <c r="AA1481">
        <v>2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9</v>
      </c>
      <c r="AS1481">
        <v>0</v>
      </c>
      <c r="AT1481">
        <v>2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9</v>
      </c>
      <c r="BL1481" s="2">
        <v>0</v>
      </c>
      <c r="BM1481" s="2">
        <v>2</v>
      </c>
      <c r="BN1481" s="2">
        <v>0</v>
      </c>
      <c r="BO1481" s="2">
        <v>1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f t="shared" si="97"/>
        <v>12</v>
      </c>
      <c r="BW1481" s="16">
        <f t="shared" si="95"/>
        <v>0.63157894736842102</v>
      </c>
      <c r="BX1481" s="16">
        <f>COUNTIF($BC$6:BU1481, "=0") / COUNTIF($BC$6:BU1481, "&gt;-1")</f>
        <v>0.37822707174440168</v>
      </c>
      <c r="BY1481" s="18">
        <f>SUM($BC$6:BU1481) / $BY$4</f>
        <v>0.97855550984248518</v>
      </c>
      <c r="BZ1481" s="14">
        <f t="shared" si="96"/>
        <v>16</v>
      </c>
      <c r="CA1481" t="s">
        <v>5832</v>
      </c>
      <c r="CZ1481" t="s">
        <v>7400</v>
      </c>
      <c r="DA1481" t="s">
        <v>5904</v>
      </c>
      <c r="DB1481">
        <v>316.2</v>
      </c>
      <c r="DC1481" t="s">
        <v>18575</v>
      </c>
      <c r="DD1481" t="s">
        <v>18576</v>
      </c>
      <c r="DE1481" t="s">
        <v>18577</v>
      </c>
      <c r="DF1481" t="s">
        <v>18578</v>
      </c>
      <c r="DG1481" t="s">
        <v>18579</v>
      </c>
      <c r="DH1481" t="str">
        <f>"IL18 IL1F4"</f>
        <v>IL18 IL1F4</v>
      </c>
      <c r="DI1481" t="s">
        <v>13772</v>
      </c>
      <c r="DJ1481" t="s">
        <v>13777</v>
      </c>
      <c r="DK1481">
        <v>9606</v>
      </c>
      <c r="DL1481" s="34" t="str">
        <f>HYPERLINK("http://www.uniprot.org/uniprot/Q14116", "Q14116")</f>
        <v>Q14116</v>
      </c>
      <c r="DM1481" t="s">
        <v>18580</v>
      </c>
      <c r="DN1481" t="s">
        <v>17346</v>
      </c>
      <c r="DO1481" t="s">
        <v>14321</v>
      </c>
      <c r="DP1481" t="s">
        <v>13841</v>
      </c>
      <c r="DQ1481" t="s">
        <v>13772</v>
      </c>
      <c r="DR1481" t="s">
        <v>13772</v>
      </c>
      <c r="DS1481" t="s">
        <v>13772</v>
      </c>
      <c r="DT1481" t="s">
        <v>13772</v>
      </c>
      <c r="DU1481" t="s">
        <v>14405</v>
      </c>
      <c r="DV1481" t="s">
        <v>13772</v>
      </c>
      <c r="DW1481" t="s">
        <v>13812</v>
      </c>
      <c r="DX1481" t="s">
        <v>18581</v>
      </c>
      <c r="DY1481" t="s">
        <v>18582</v>
      </c>
      <c r="DZ1481" t="s">
        <v>18583</v>
      </c>
      <c r="EA1481" t="s">
        <v>13772</v>
      </c>
      <c r="EB1481" t="s">
        <v>18584</v>
      </c>
    </row>
    <row r="1482" spans="1:132" hidden="1">
      <c r="A1482">
        <v>496</v>
      </c>
      <c r="B1482">
        <v>1</v>
      </c>
      <c r="C1482" t="s">
        <v>1248</v>
      </c>
      <c r="D1482" t="s">
        <v>1249</v>
      </c>
      <c r="E1482" t="s">
        <v>73</v>
      </c>
      <c r="F1482" t="s">
        <v>73</v>
      </c>
      <c r="G1482" t="s">
        <v>73</v>
      </c>
      <c r="H1482">
        <v>10.9</v>
      </c>
      <c r="I1482">
        <v>944</v>
      </c>
      <c r="J1482">
        <v>106332</v>
      </c>
      <c r="K1482" t="s">
        <v>1250</v>
      </c>
      <c r="L1482">
        <f t="shared" si="94"/>
        <v>12</v>
      </c>
      <c r="N1482">
        <v>12</v>
      </c>
      <c r="O1482">
        <v>12</v>
      </c>
      <c r="P1482">
        <v>1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4</v>
      </c>
      <c r="AC1482">
        <v>2</v>
      </c>
      <c r="AD1482">
        <v>1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4</v>
      </c>
      <c r="AV1482">
        <v>2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1</v>
      </c>
      <c r="BN1482" s="2">
        <v>4</v>
      </c>
      <c r="BO1482" s="2">
        <v>2</v>
      </c>
      <c r="BP1482" s="2">
        <v>1</v>
      </c>
      <c r="BQ1482" s="2">
        <v>1</v>
      </c>
      <c r="BR1482" s="2">
        <v>1</v>
      </c>
      <c r="BS1482" s="2">
        <v>0</v>
      </c>
      <c r="BT1482" s="2">
        <v>0</v>
      </c>
      <c r="BU1482" s="2">
        <v>0</v>
      </c>
      <c r="BV1482" s="2">
        <f t="shared" si="97"/>
        <v>12</v>
      </c>
      <c r="BW1482" s="16">
        <f t="shared" si="95"/>
        <v>0.63157894736842102</v>
      </c>
      <c r="BX1482" s="16">
        <f>COUNTIF($BC$6:BU1482, "=0") / COUNTIF($BC$6:BU1482, "&gt;-1")</f>
        <v>0.37836296903395933</v>
      </c>
      <c r="BY1482" s="18">
        <f>SUM($BC$6:BU1482) / $BY$4</f>
        <v>0.97860691348490958</v>
      </c>
      <c r="BZ1482" s="14">
        <f t="shared" si="96"/>
        <v>11</v>
      </c>
      <c r="CA1482" t="s">
        <v>5832</v>
      </c>
      <c r="CZ1482" t="s">
        <v>7429</v>
      </c>
      <c r="DA1482" t="s">
        <v>5904</v>
      </c>
      <c r="DB1482">
        <v>1823.1</v>
      </c>
      <c r="DC1482" t="s">
        <v>18655</v>
      </c>
      <c r="DD1482" t="s">
        <v>18656</v>
      </c>
      <c r="DE1482" t="s">
        <v>18657</v>
      </c>
      <c r="DF1482" t="s">
        <v>18658</v>
      </c>
      <c r="DG1482" t="s">
        <v>18659</v>
      </c>
      <c r="DH1482" t="str">
        <f>"GANAB"</f>
        <v>GANAB</v>
      </c>
      <c r="DI1482" t="s">
        <v>13772</v>
      </c>
      <c r="DJ1482" t="s">
        <v>13777</v>
      </c>
      <c r="DK1482">
        <v>9606</v>
      </c>
      <c r="DL1482" s="34" t="str">
        <f>HYPERLINK("http://www.uniprot.org/uniprot/Q14697", "Q14697")</f>
        <v>Q14697</v>
      </c>
      <c r="DM1482" t="s">
        <v>18660</v>
      </c>
      <c r="DN1482" t="s">
        <v>13772</v>
      </c>
      <c r="DO1482" t="s">
        <v>18661</v>
      </c>
      <c r="DP1482" t="s">
        <v>13780</v>
      </c>
      <c r="DQ1482" t="s">
        <v>13772</v>
      </c>
      <c r="DR1482" t="s">
        <v>13807</v>
      </c>
      <c r="DS1482" t="s">
        <v>13808</v>
      </c>
      <c r="DT1482" t="s">
        <v>13772</v>
      </c>
      <c r="DU1482" t="s">
        <v>15471</v>
      </c>
      <c r="DV1482" t="s">
        <v>13964</v>
      </c>
      <c r="DW1482" t="s">
        <v>13772</v>
      </c>
      <c r="DX1482" t="s">
        <v>18662</v>
      </c>
      <c r="DY1482" t="s">
        <v>18663</v>
      </c>
      <c r="DZ1482" t="s">
        <v>18664</v>
      </c>
      <c r="EA1482" t="s">
        <v>18665</v>
      </c>
      <c r="EB1482" t="s">
        <v>18666</v>
      </c>
    </row>
    <row r="1483" spans="1:132" hidden="1">
      <c r="A1483">
        <v>523</v>
      </c>
      <c r="B1483">
        <v>1</v>
      </c>
      <c r="C1483" t="s">
        <v>1318</v>
      </c>
      <c r="D1483" t="s">
        <v>73</v>
      </c>
      <c r="E1483" t="s">
        <v>73</v>
      </c>
      <c r="F1483" t="s">
        <v>73</v>
      </c>
      <c r="G1483" t="s">
        <v>73</v>
      </c>
      <c r="H1483">
        <v>8.8000000000000007</v>
      </c>
      <c r="I1483">
        <v>950</v>
      </c>
      <c r="J1483">
        <v>103210</v>
      </c>
      <c r="K1483" t="s">
        <v>1319</v>
      </c>
      <c r="L1483">
        <f t="shared" si="94"/>
        <v>12</v>
      </c>
      <c r="N1483">
        <v>12</v>
      </c>
      <c r="O1483">
        <v>12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>
        <v>0</v>
      </c>
      <c r="AA1483">
        <v>2</v>
      </c>
      <c r="AB1483">
        <v>3</v>
      </c>
      <c r="AC1483">
        <v>0</v>
      </c>
      <c r="AD1483">
        <v>0</v>
      </c>
      <c r="AE1483">
        <v>1</v>
      </c>
      <c r="AF1483">
        <v>2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</v>
      </c>
      <c r="AS1483">
        <v>0</v>
      </c>
      <c r="AT1483">
        <v>2</v>
      </c>
      <c r="AU1483">
        <v>3</v>
      </c>
      <c r="AV1483">
        <v>0</v>
      </c>
      <c r="AW1483">
        <v>0</v>
      </c>
      <c r="AX1483">
        <v>1</v>
      </c>
      <c r="AY1483">
        <v>2</v>
      </c>
      <c r="AZ1483">
        <v>0</v>
      </c>
      <c r="BA1483">
        <v>1</v>
      </c>
      <c r="BB1483">
        <v>0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2</v>
      </c>
      <c r="BL1483" s="2">
        <v>0</v>
      </c>
      <c r="BM1483" s="2">
        <v>2</v>
      </c>
      <c r="BN1483" s="2">
        <v>3</v>
      </c>
      <c r="BO1483" s="2">
        <v>0</v>
      </c>
      <c r="BP1483" s="2">
        <v>0</v>
      </c>
      <c r="BQ1483" s="2">
        <v>1</v>
      </c>
      <c r="BR1483" s="2">
        <v>2</v>
      </c>
      <c r="BS1483" s="2">
        <v>0</v>
      </c>
      <c r="BT1483" s="2">
        <v>1</v>
      </c>
      <c r="BU1483" s="2">
        <v>0</v>
      </c>
      <c r="BV1483" s="2">
        <f t="shared" si="97"/>
        <v>12</v>
      </c>
      <c r="BW1483" s="16">
        <f t="shared" si="95"/>
        <v>0.63157894736842102</v>
      </c>
      <c r="BX1483" s="16">
        <f>COUNTIF($BC$6:BU1483, "=0") / COUNTIF($BC$6:BU1483, "&gt;-1")</f>
        <v>0.37853429242931413</v>
      </c>
      <c r="BY1483" s="18">
        <f>SUM($BC$6:BU1483) / $BY$4</f>
        <v>0.97865831712733398</v>
      </c>
      <c r="BZ1483" s="14">
        <f t="shared" si="96"/>
        <v>12</v>
      </c>
      <c r="CA1483" t="s">
        <v>5832</v>
      </c>
      <c r="CZ1483" t="s">
        <v>7528</v>
      </c>
      <c r="DA1483" t="s">
        <v>5904</v>
      </c>
      <c r="DB1483">
        <v>1811.2</v>
      </c>
      <c r="DC1483" t="s">
        <v>18951</v>
      </c>
      <c r="DD1483" t="s">
        <v>13772</v>
      </c>
      <c r="DE1483" t="s">
        <v>18952</v>
      </c>
      <c r="DF1483" t="s">
        <v>18953</v>
      </c>
      <c r="DG1483" t="s">
        <v>18954</v>
      </c>
      <c r="DH1483" t="str">
        <f>"ADAMTS15"</f>
        <v>ADAMTS15</v>
      </c>
      <c r="DI1483" t="s">
        <v>13772</v>
      </c>
      <c r="DJ1483" t="s">
        <v>13777</v>
      </c>
      <c r="DK1483">
        <v>9606</v>
      </c>
      <c r="DL1483" s="34" t="str">
        <f>HYPERLINK("http://www.uniprot.org/uniprot/Q8TE58", "Q8TE58")</f>
        <v>Q8TE58</v>
      </c>
      <c r="DM1483" t="s">
        <v>18955</v>
      </c>
      <c r="DN1483" t="s">
        <v>13772</v>
      </c>
      <c r="DO1483" t="s">
        <v>13869</v>
      </c>
      <c r="DP1483" t="s">
        <v>13793</v>
      </c>
      <c r="DQ1483" t="s">
        <v>13772</v>
      </c>
      <c r="DR1483" t="s">
        <v>13772</v>
      </c>
      <c r="DS1483" t="s">
        <v>14404</v>
      </c>
      <c r="DT1483" t="s">
        <v>13856</v>
      </c>
      <c r="DU1483" t="s">
        <v>15139</v>
      </c>
      <c r="DV1483" t="s">
        <v>18956</v>
      </c>
      <c r="DW1483" t="s">
        <v>13772</v>
      </c>
      <c r="DX1483" t="s">
        <v>13772</v>
      </c>
      <c r="DY1483" t="s">
        <v>16054</v>
      </c>
      <c r="DZ1483" t="s">
        <v>18957</v>
      </c>
      <c r="EA1483" t="s">
        <v>13772</v>
      </c>
      <c r="EB1483" t="s">
        <v>18394</v>
      </c>
    </row>
    <row r="1484" spans="1:132" hidden="1">
      <c r="A1484">
        <v>569</v>
      </c>
      <c r="B1484">
        <v>1</v>
      </c>
      <c r="C1484" t="s">
        <v>1418</v>
      </c>
      <c r="D1484" t="s">
        <v>73</v>
      </c>
      <c r="E1484" t="s">
        <v>73</v>
      </c>
      <c r="F1484" t="s">
        <v>73</v>
      </c>
      <c r="G1484" t="s">
        <v>73</v>
      </c>
      <c r="H1484">
        <v>23.4</v>
      </c>
      <c r="I1484">
        <v>261</v>
      </c>
      <c r="J1484">
        <v>27432</v>
      </c>
      <c r="K1484" t="s">
        <v>1419</v>
      </c>
      <c r="L1484">
        <f t="shared" si="94"/>
        <v>12</v>
      </c>
      <c r="N1484">
        <v>12</v>
      </c>
      <c r="O1484">
        <v>12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3</v>
      </c>
      <c r="Z1484">
        <v>0</v>
      </c>
      <c r="AA1484">
        <v>3</v>
      </c>
      <c r="AB1484">
        <v>0</v>
      </c>
      <c r="AC1484">
        <v>0</v>
      </c>
      <c r="AD1484">
        <v>0</v>
      </c>
      <c r="AE1484">
        <v>2</v>
      </c>
      <c r="AF1484">
        <v>3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3</v>
      </c>
      <c r="AS1484">
        <v>0</v>
      </c>
      <c r="AT1484">
        <v>3</v>
      </c>
      <c r="AU1484">
        <v>0</v>
      </c>
      <c r="AV1484">
        <v>0</v>
      </c>
      <c r="AW1484">
        <v>0</v>
      </c>
      <c r="AX1484">
        <v>2</v>
      </c>
      <c r="AY1484">
        <v>3</v>
      </c>
      <c r="AZ1484">
        <v>0</v>
      </c>
      <c r="BA1484">
        <v>0</v>
      </c>
      <c r="BB1484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3</v>
      </c>
      <c r="BL1484" s="2">
        <v>0</v>
      </c>
      <c r="BM1484" s="2">
        <v>3</v>
      </c>
      <c r="BN1484" s="2">
        <v>0</v>
      </c>
      <c r="BO1484" s="2">
        <v>0</v>
      </c>
      <c r="BP1484" s="2">
        <v>0</v>
      </c>
      <c r="BQ1484" s="2">
        <v>2</v>
      </c>
      <c r="BR1484" s="2">
        <v>3</v>
      </c>
      <c r="BS1484" s="2">
        <v>0</v>
      </c>
      <c r="BT1484" s="2">
        <v>0</v>
      </c>
      <c r="BU1484" s="2">
        <v>0</v>
      </c>
      <c r="BV1484" s="2">
        <f t="shared" si="97"/>
        <v>12</v>
      </c>
      <c r="BW1484" s="16">
        <f t="shared" si="95"/>
        <v>0.63157894736842102</v>
      </c>
      <c r="BX1484" s="16">
        <f>COUNTIF($BC$6:BU1484, "=0") / COUNTIF($BC$6:BU1484, "&gt;-1")</f>
        <v>0.37877655599444859</v>
      </c>
      <c r="BY1484" s="18">
        <f>SUM($BC$6:BU1484) / $BY$4</f>
        <v>0.97870972076975837</v>
      </c>
      <c r="BZ1484" s="14">
        <f t="shared" si="96"/>
        <v>14</v>
      </c>
      <c r="CA1484" t="s">
        <v>5832</v>
      </c>
      <c r="CZ1484" t="s">
        <v>7669</v>
      </c>
      <c r="DA1484" t="s">
        <v>5904</v>
      </c>
      <c r="DB1484">
        <v>404.8</v>
      </c>
      <c r="DC1484" t="s">
        <v>19380</v>
      </c>
      <c r="DD1484" t="s">
        <v>19381</v>
      </c>
      <c r="DE1484" t="s">
        <v>19382</v>
      </c>
      <c r="DF1484" t="s">
        <v>19383</v>
      </c>
      <c r="DG1484" t="s">
        <v>13772</v>
      </c>
      <c r="DH1484" t="str">
        <f>"CAVIN3 SRBC"</f>
        <v>CAVIN3 SRBC</v>
      </c>
      <c r="DI1484" t="s">
        <v>13772</v>
      </c>
      <c r="DJ1484" t="s">
        <v>13777</v>
      </c>
      <c r="DK1484">
        <v>9606</v>
      </c>
      <c r="DL1484" s="34" t="str">
        <f>HYPERLINK("http://www.uniprot.org/uniprot/Q969G5", "Q969G5")</f>
        <v>Q969G5</v>
      </c>
      <c r="DM1484" t="s">
        <v>19384</v>
      </c>
      <c r="DN1484" t="s">
        <v>19385</v>
      </c>
      <c r="DO1484" t="s">
        <v>15896</v>
      </c>
      <c r="DP1484" t="s">
        <v>13793</v>
      </c>
      <c r="DQ1484" t="s">
        <v>13772</v>
      </c>
      <c r="DR1484" t="s">
        <v>14505</v>
      </c>
      <c r="DS1484" t="s">
        <v>13772</v>
      </c>
      <c r="DT1484" t="s">
        <v>13772</v>
      </c>
      <c r="DU1484" t="s">
        <v>13772</v>
      </c>
      <c r="DV1484" t="s">
        <v>13938</v>
      </c>
      <c r="DW1484" t="s">
        <v>13772</v>
      </c>
      <c r="DX1484" t="s">
        <v>19386</v>
      </c>
      <c r="DY1484" t="s">
        <v>19387</v>
      </c>
      <c r="DZ1484" t="s">
        <v>19388</v>
      </c>
      <c r="EA1484" t="s">
        <v>13772</v>
      </c>
      <c r="EB1484" t="s">
        <v>13772</v>
      </c>
    </row>
    <row r="1485" spans="1:132" hidden="1">
      <c r="A1485">
        <v>571</v>
      </c>
      <c r="B1485">
        <v>1</v>
      </c>
      <c r="C1485" t="s">
        <v>1422</v>
      </c>
      <c r="D1485" t="s">
        <v>73</v>
      </c>
      <c r="E1485" t="s">
        <v>73</v>
      </c>
      <c r="F1485" t="s">
        <v>73</v>
      </c>
      <c r="G1485" t="s">
        <v>73</v>
      </c>
      <c r="H1485">
        <v>8.1</v>
      </c>
      <c r="I1485">
        <v>556</v>
      </c>
      <c r="J1485">
        <v>60936</v>
      </c>
      <c r="K1485" t="s">
        <v>1423</v>
      </c>
      <c r="L1485">
        <f t="shared" si="94"/>
        <v>12</v>
      </c>
      <c r="N1485">
        <v>12</v>
      </c>
      <c r="O1485">
        <v>12</v>
      </c>
      <c r="P1485">
        <v>1</v>
      </c>
      <c r="Q1485">
        <v>0</v>
      </c>
      <c r="R1485">
        <v>2</v>
      </c>
      <c r="S1485">
        <v>0</v>
      </c>
      <c r="T1485">
        <v>2</v>
      </c>
      <c r="U1485">
        <v>3</v>
      </c>
      <c r="V1485">
        <v>4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2</v>
      </c>
      <c r="AN1485">
        <v>3</v>
      </c>
      <c r="AO1485">
        <v>4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 s="2">
        <v>0</v>
      </c>
      <c r="BD1485" s="2">
        <v>2</v>
      </c>
      <c r="BE1485" s="2">
        <v>0</v>
      </c>
      <c r="BF1485" s="2">
        <v>2</v>
      </c>
      <c r="BG1485" s="2">
        <v>3</v>
      </c>
      <c r="BH1485" s="2">
        <v>4</v>
      </c>
      <c r="BI1485" s="2">
        <v>0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f t="shared" si="97"/>
        <v>12</v>
      </c>
      <c r="BW1485" s="16">
        <f t="shared" si="95"/>
        <v>0.63157894736842102</v>
      </c>
      <c r="BX1485" s="16">
        <f>COUNTIF($BC$6:BU1485, "=0") / COUNTIF($BC$6:BU1485, "&gt;-1")</f>
        <v>0.37901849217638689</v>
      </c>
      <c r="BY1485" s="18">
        <f>SUM($BC$6:BU1485) / $BY$4</f>
        <v>0.97876112441218277</v>
      </c>
      <c r="BZ1485" s="14">
        <f t="shared" si="96"/>
        <v>14</v>
      </c>
      <c r="CA1485" t="s">
        <v>5832</v>
      </c>
      <c r="CZ1485" t="s">
        <v>7675</v>
      </c>
      <c r="DA1485" t="s">
        <v>5904</v>
      </c>
      <c r="DB1485">
        <v>818.5</v>
      </c>
      <c r="DC1485" t="s">
        <v>19400</v>
      </c>
      <c r="DD1485" t="s">
        <v>19401</v>
      </c>
      <c r="DE1485" t="s">
        <v>19402</v>
      </c>
      <c r="DF1485" t="s">
        <v>19403</v>
      </c>
      <c r="DG1485" t="s">
        <v>19404</v>
      </c>
      <c r="DH1485" t="str">
        <f>"SLC22A11"</f>
        <v>SLC22A11</v>
      </c>
      <c r="DI1485" t="s">
        <v>19405</v>
      </c>
      <c r="DJ1485" t="s">
        <v>13777</v>
      </c>
      <c r="DK1485">
        <v>9606</v>
      </c>
      <c r="DL1485" s="34" t="str">
        <f>HYPERLINK("http://www.uniprot.org/uniprot/Q9NSA0", "Q9NSA0")</f>
        <v>Q9NSA0</v>
      </c>
      <c r="DM1485" t="s">
        <v>19406</v>
      </c>
      <c r="DN1485" t="s">
        <v>14288</v>
      </c>
      <c r="DO1485" t="s">
        <v>13792</v>
      </c>
      <c r="DP1485" t="s">
        <v>13780</v>
      </c>
      <c r="DQ1485" t="s">
        <v>13772</v>
      </c>
      <c r="DR1485" t="s">
        <v>13772</v>
      </c>
      <c r="DS1485" t="s">
        <v>13925</v>
      </c>
      <c r="DT1485" t="s">
        <v>13772</v>
      </c>
      <c r="DU1485" t="s">
        <v>13772</v>
      </c>
      <c r="DV1485" t="s">
        <v>13858</v>
      </c>
      <c r="DW1485" t="s">
        <v>13772</v>
      </c>
      <c r="DX1485" t="s">
        <v>19407</v>
      </c>
      <c r="DY1485" t="s">
        <v>19408</v>
      </c>
      <c r="DZ1485" t="s">
        <v>19409</v>
      </c>
      <c r="EA1485" t="s">
        <v>13772</v>
      </c>
      <c r="EB1485" t="s">
        <v>19410</v>
      </c>
    </row>
    <row r="1486" spans="1:132" hidden="1">
      <c r="A1486">
        <v>616</v>
      </c>
      <c r="B1486">
        <v>1</v>
      </c>
      <c r="C1486" t="s">
        <v>1526</v>
      </c>
      <c r="D1486" t="s">
        <v>73</v>
      </c>
      <c r="E1486" t="s">
        <v>73</v>
      </c>
      <c r="F1486" t="s">
        <v>73</v>
      </c>
      <c r="G1486" t="s">
        <v>73</v>
      </c>
      <c r="H1486">
        <v>10.5</v>
      </c>
      <c r="I1486">
        <v>533</v>
      </c>
      <c r="J1486">
        <v>58563</v>
      </c>
      <c r="K1486" t="s">
        <v>1527</v>
      </c>
      <c r="L1486">
        <f t="shared" si="94"/>
        <v>12</v>
      </c>
      <c r="N1486">
        <v>12</v>
      </c>
      <c r="O1486">
        <v>12</v>
      </c>
      <c r="P1486">
        <v>1</v>
      </c>
      <c r="Q1486">
        <v>1</v>
      </c>
      <c r="R1486">
        <v>2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1</v>
      </c>
      <c r="AK1486">
        <v>2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2</v>
      </c>
      <c r="BA1486">
        <v>0</v>
      </c>
      <c r="BB1486">
        <v>0</v>
      </c>
      <c r="BC1486" s="2">
        <v>1</v>
      </c>
      <c r="BD1486" s="2">
        <v>2</v>
      </c>
      <c r="BE1486" s="2">
        <v>1</v>
      </c>
      <c r="BF1486" s="2">
        <v>1</v>
      </c>
      <c r="BG1486" s="2">
        <v>1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1</v>
      </c>
      <c r="BO1486" s="2">
        <v>1</v>
      </c>
      <c r="BP1486" s="2">
        <v>0</v>
      </c>
      <c r="BQ1486" s="2">
        <v>0</v>
      </c>
      <c r="BR1486" s="2">
        <v>0</v>
      </c>
      <c r="BS1486" s="2">
        <v>2</v>
      </c>
      <c r="BT1486" s="2">
        <v>0</v>
      </c>
      <c r="BU1486" s="2">
        <v>0</v>
      </c>
      <c r="BV1486" s="2">
        <f t="shared" si="97"/>
        <v>12</v>
      </c>
      <c r="BW1486" s="16">
        <f t="shared" si="95"/>
        <v>0.63157894736842102</v>
      </c>
      <c r="BX1486" s="16">
        <f>COUNTIF($BC$6:BU1486, "=0") / COUNTIF($BC$6:BU1486, "&gt;-1")</f>
        <v>0.37908241231031664</v>
      </c>
      <c r="BY1486" s="18">
        <f>SUM($BC$6:BU1486) / $BY$4</f>
        <v>0.97881252805460717</v>
      </c>
      <c r="BZ1486" s="14">
        <f t="shared" si="96"/>
        <v>9</v>
      </c>
      <c r="CA1486" t="s">
        <v>5832</v>
      </c>
      <c r="CZ1486" t="s">
        <v>7827</v>
      </c>
      <c r="DA1486" t="s">
        <v>5904</v>
      </c>
      <c r="DB1486">
        <v>815.1</v>
      </c>
      <c r="DC1486" t="s">
        <v>19874</v>
      </c>
      <c r="DD1486" t="s">
        <v>19875</v>
      </c>
      <c r="DE1486" t="s">
        <v>19876</v>
      </c>
      <c r="DF1486" t="s">
        <v>19877</v>
      </c>
      <c r="DG1486" t="s">
        <v>19878</v>
      </c>
      <c r="DH1486" t="str">
        <f>"SLC3A2"</f>
        <v>SLC3A2</v>
      </c>
      <c r="DI1486" t="s">
        <v>19879</v>
      </c>
      <c r="DJ1486" t="s">
        <v>13777</v>
      </c>
      <c r="DK1486">
        <v>9606</v>
      </c>
      <c r="DL1486" s="34" t="str">
        <f>HYPERLINK("http://www.uniprot.org/uniprot/P08195", "P08195")</f>
        <v>P08195</v>
      </c>
      <c r="DM1486" t="s">
        <v>19880</v>
      </c>
      <c r="DN1486" t="s">
        <v>19881</v>
      </c>
      <c r="DO1486" t="s">
        <v>13792</v>
      </c>
      <c r="DP1486" t="s">
        <v>13841</v>
      </c>
      <c r="DQ1486" t="s">
        <v>13772</v>
      </c>
      <c r="DR1486" t="s">
        <v>13772</v>
      </c>
      <c r="DS1486" t="s">
        <v>14417</v>
      </c>
      <c r="DT1486" t="s">
        <v>13772</v>
      </c>
      <c r="DU1486" t="s">
        <v>13772</v>
      </c>
      <c r="DV1486" t="s">
        <v>19882</v>
      </c>
      <c r="DW1486" t="s">
        <v>13812</v>
      </c>
      <c r="DX1486" t="s">
        <v>19883</v>
      </c>
      <c r="DY1486" t="s">
        <v>19884</v>
      </c>
      <c r="DZ1486" t="s">
        <v>19885</v>
      </c>
      <c r="EA1486" t="s">
        <v>13772</v>
      </c>
      <c r="EB1486" t="s">
        <v>19886</v>
      </c>
    </row>
    <row r="1487" spans="1:132" hidden="1">
      <c r="A1487">
        <v>2439</v>
      </c>
      <c r="B1487">
        <v>1</v>
      </c>
      <c r="C1487" t="s">
        <v>5721</v>
      </c>
      <c r="D1487" t="s">
        <v>73</v>
      </c>
      <c r="E1487" t="s">
        <v>5722</v>
      </c>
      <c r="F1487" t="s">
        <v>73</v>
      </c>
      <c r="G1487" t="s">
        <v>73</v>
      </c>
      <c r="H1487">
        <v>28.1</v>
      </c>
      <c r="I1487">
        <v>285</v>
      </c>
      <c r="J1487">
        <v>32097</v>
      </c>
      <c r="K1487" t="s">
        <v>5723</v>
      </c>
      <c r="L1487">
        <f t="shared" si="94"/>
        <v>12</v>
      </c>
      <c r="N1487">
        <v>12</v>
      </c>
      <c r="O1487">
        <v>12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3</v>
      </c>
      <c r="AB1487">
        <v>2</v>
      </c>
      <c r="AC1487">
        <v>2</v>
      </c>
      <c r="AD1487">
        <v>0</v>
      </c>
      <c r="AE1487">
        <v>3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3</v>
      </c>
      <c r="AU1487">
        <v>2</v>
      </c>
      <c r="AV1487">
        <v>2</v>
      </c>
      <c r="AW1487">
        <v>0</v>
      </c>
      <c r="AX1487">
        <v>3</v>
      </c>
      <c r="AY1487">
        <v>0</v>
      </c>
      <c r="AZ1487">
        <v>0</v>
      </c>
      <c r="BA1487">
        <v>0</v>
      </c>
      <c r="BB1487">
        <v>0</v>
      </c>
      <c r="BC1487" s="2">
        <v>0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1</v>
      </c>
      <c r="BL1487" s="2">
        <v>0</v>
      </c>
      <c r="BM1487" s="2">
        <v>3</v>
      </c>
      <c r="BN1487" s="2">
        <v>2</v>
      </c>
      <c r="BO1487" s="2">
        <v>2</v>
      </c>
      <c r="BP1487" s="2">
        <v>0</v>
      </c>
      <c r="BQ1487" s="2">
        <v>3</v>
      </c>
      <c r="BR1487" s="2">
        <v>0</v>
      </c>
      <c r="BS1487" s="2">
        <v>0</v>
      </c>
      <c r="BT1487" s="2">
        <v>0</v>
      </c>
      <c r="BU1487" s="2">
        <v>0</v>
      </c>
      <c r="BV1487" s="2">
        <f t="shared" si="97"/>
        <v>12</v>
      </c>
      <c r="BW1487" s="16">
        <f t="shared" si="95"/>
        <v>0.63157894736842102</v>
      </c>
      <c r="BX1487" s="16">
        <f>COUNTIF($BC$6:BU1487, "=0") / COUNTIF($BC$6:BU1487, "&gt;-1")</f>
        <v>0.37928830172597483</v>
      </c>
      <c r="BY1487" s="18">
        <f>SUM($BC$6:BU1487) / $BY$4</f>
        <v>0.97886393169703168</v>
      </c>
      <c r="BZ1487" s="14">
        <f t="shared" si="96"/>
        <v>13</v>
      </c>
      <c r="CA1487" t="s">
        <v>5832</v>
      </c>
      <c r="CZ1487" t="s">
        <v>7975</v>
      </c>
      <c r="DA1487" t="s">
        <v>5904</v>
      </c>
      <c r="DB1487">
        <v>565.1</v>
      </c>
      <c r="DC1487" t="s">
        <v>20305</v>
      </c>
      <c r="DD1487" t="s">
        <v>20306</v>
      </c>
      <c r="DE1487" t="s">
        <v>20307</v>
      </c>
      <c r="DF1487" t="s">
        <v>20308</v>
      </c>
      <c r="DG1487" t="s">
        <v>20309</v>
      </c>
      <c r="DH1487" t="str">
        <f>"RPSA LAMR1"</f>
        <v>RPSA LAMR1</v>
      </c>
      <c r="DI1487" t="s">
        <v>13772</v>
      </c>
      <c r="DJ1487" t="s">
        <v>13777</v>
      </c>
      <c r="DK1487">
        <v>9606</v>
      </c>
      <c r="DL1487" s="34" t="str">
        <f>HYPERLINK("http://www.uniprot.org/uniprot/P08865", "P08865")</f>
        <v>P08865</v>
      </c>
      <c r="DM1487" t="s">
        <v>20310</v>
      </c>
      <c r="DN1487" t="s">
        <v>14563</v>
      </c>
      <c r="DO1487" t="s">
        <v>14968</v>
      </c>
      <c r="DP1487" t="s">
        <v>13793</v>
      </c>
      <c r="DQ1487" t="s">
        <v>13772</v>
      </c>
      <c r="DR1487" t="s">
        <v>13807</v>
      </c>
      <c r="DS1487" t="s">
        <v>14096</v>
      </c>
      <c r="DT1487" t="s">
        <v>13772</v>
      </c>
      <c r="DU1487" t="s">
        <v>20311</v>
      </c>
      <c r="DV1487" t="s">
        <v>13991</v>
      </c>
      <c r="DW1487" t="s">
        <v>13812</v>
      </c>
      <c r="DX1487" t="s">
        <v>20312</v>
      </c>
      <c r="DY1487" t="s">
        <v>20313</v>
      </c>
      <c r="DZ1487" t="s">
        <v>20314</v>
      </c>
      <c r="EA1487" t="s">
        <v>13772</v>
      </c>
      <c r="EB1487" t="s">
        <v>17828</v>
      </c>
    </row>
    <row r="1488" spans="1:132" hidden="1">
      <c r="A1488">
        <v>687</v>
      </c>
      <c r="B1488">
        <v>1</v>
      </c>
      <c r="C1488" t="s">
        <v>1692</v>
      </c>
      <c r="D1488" t="s">
        <v>73</v>
      </c>
      <c r="E1488" t="s">
        <v>73</v>
      </c>
      <c r="F1488" t="s">
        <v>73</v>
      </c>
      <c r="G1488" t="s">
        <v>73</v>
      </c>
      <c r="H1488">
        <v>41</v>
      </c>
      <c r="I1488">
        <v>205</v>
      </c>
      <c r="J1488">
        <v>22780</v>
      </c>
      <c r="K1488" t="s">
        <v>1693</v>
      </c>
      <c r="L1488">
        <f t="shared" si="94"/>
        <v>12</v>
      </c>
      <c r="N1488">
        <v>12</v>
      </c>
      <c r="O1488">
        <v>12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7</v>
      </c>
      <c r="Z1488">
        <v>0</v>
      </c>
      <c r="AA1488">
        <v>3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7</v>
      </c>
      <c r="AS1488">
        <v>0</v>
      </c>
      <c r="AT1488">
        <v>3</v>
      </c>
      <c r="AU1488">
        <v>0</v>
      </c>
      <c r="AV1488">
        <v>0</v>
      </c>
      <c r="AW1488">
        <v>0</v>
      </c>
      <c r="AX1488">
        <v>2</v>
      </c>
      <c r="AY1488">
        <v>0</v>
      </c>
      <c r="AZ1488">
        <v>0</v>
      </c>
      <c r="BA1488">
        <v>0</v>
      </c>
      <c r="BB1488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7</v>
      </c>
      <c r="BL1488" s="2">
        <v>0</v>
      </c>
      <c r="BM1488" s="2">
        <v>3</v>
      </c>
      <c r="BN1488" s="2">
        <v>0</v>
      </c>
      <c r="BO1488" s="2">
        <v>0</v>
      </c>
      <c r="BP1488" s="2">
        <v>0</v>
      </c>
      <c r="BQ1488" s="2">
        <v>2</v>
      </c>
      <c r="BR1488" s="2">
        <v>0</v>
      </c>
      <c r="BS1488" s="2">
        <v>0</v>
      </c>
      <c r="BT1488" s="2">
        <v>0</v>
      </c>
      <c r="BU1488" s="2">
        <v>0</v>
      </c>
      <c r="BV1488" s="2">
        <f t="shared" si="97"/>
        <v>12</v>
      </c>
      <c r="BW1488" s="16">
        <f t="shared" si="95"/>
        <v>0.63157894736842102</v>
      </c>
      <c r="BX1488" s="16">
        <f>COUNTIF($BC$6:BU1488, "=0") / COUNTIF($BC$6:BU1488, "&gt;-1")</f>
        <v>0.37960038329133688</v>
      </c>
      <c r="BY1488" s="18">
        <f>SUM($BC$6:BU1488) / $BY$4</f>
        <v>0.97891533533945607</v>
      </c>
      <c r="BZ1488" s="14">
        <f t="shared" si="96"/>
        <v>16</v>
      </c>
      <c r="CA1488" t="s">
        <v>5832</v>
      </c>
      <c r="CZ1488" t="s">
        <v>8063</v>
      </c>
      <c r="DA1488" t="s">
        <v>5904</v>
      </c>
      <c r="DB1488">
        <v>345.5</v>
      </c>
      <c r="DC1488" t="s">
        <v>20567</v>
      </c>
      <c r="DD1488" t="s">
        <v>13772</v>
      </c>
      <c r="DE1488" t="s">
        <v>20568</v>
      </c>
      <c r="DF1488" t="s">
        <v>20569</v>
      </c>
      <c r="DG1488" t="s">
        <v>13772</v>
      </c>
      <c r="DH1488" t="str">
        <f>"PPP1R2"</f>
        <v>PPP1R2</v>
      </c>
      <c r="DI1488" t="s">
        <v>20570</v>
      </c>
      <c r="DJ1488" t="s">
        <v>13777</v>
      </c>
      <c r="DK1488">
        <v>9606</v>
      </c>
      <c r="DL1488" s="34" t="str">
        <f>HYPERLINK("http://www.uniprot.org/uniprot/P41236", "P41236")</f>
        <v>P41236</v>
      </c>
      <c r="DM1488" t="s">
        <v>20571</v>
      </c>
      <c r="DN1488" t="s">
        <v>16229</v>
      </c>
      <c r="DO1488" t="s">
        <v>13772</v>
      </c>
      <c r="DP1488" t="s">
        <v>13772</v>
      </c>
      <c r="DQ1488" t="s">
        <v>13772</v>
      </c>
      <c r="DR1488" t="s">
        <v>13772</v>
      </c>
      <c r="DS1488" t="s">
        <v>13772</v>
      </c>
      <c r="DT1488" t="s">
        <v>13772</v>
      </c>
      <c r="DU1488" t="s">
        <v>20572</v>
      </c>
      <c r="DV1488" t="s">
        <v>13886</v>
      </c>
      <c r="DW1488" t="s">
        <v>13772</v>
      </c>
      <c r="DX1488" t="s">
        <v>20573</v>
      </c>
      <c r="DY1488" t="s">
        <v>13772</v>
      </c>
      <c r="DZ1488" t="s">
        <v>20574</v>
      </c>
      <c r="EA1488" t="s">
        <v>13772</v>
      </c>
      <c r="EB1488" t="s">
        <v>13772</v>
      </c>
    </row>
    <row r="1489" spans="1:132" hidden="1">
      <c r="A1489">
        <v>706</v>
      </c>
      <c r="B1489">
        <v>1</v>
      </c>
      <c r="C1489" t="s">
        <v>1740</v>
      </c>
      <c r="D1489" t="s">
        <v>1741</v>
      </c>
      <c r="E1489" t="s">
        <v>73</v>
      </c>
      <c r="F1489" t="s">
        <v>73</v>
      </c>
      <c r="G1489" t="s">
        <v>73</v>
      </c>
      <c r="H1489">
        <v>8.3000000000000007</v>
      </c>
      <c r="I1489">
        <v>900</v>
      </c>
      <c r="J1489">
        <v>95843</v>
      </c>
      <c r="K1489" t="s">
        <v>1742</v>
      </c>
      <c r="L1489">
        <f t="shared" si="94"/>
        <v>12</v>
      </c>
      <c r="N1489">
        <v>12</v>
      </c>
      <c r="O1489">
        <v>12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0</v>
      </c>
      <c r="AA1489">
        <v>3</v>
      </c>
      <c r="AB1489">
        <v>2</v>
      </c>
      <c r="AC1489">
        <v>1</v>
      </c>
      <c r="AD1489">
        <v>0</v>
      </c>
      <c r="AE1489">
        <v>2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</v>
      </c>
      <c r="AS1489">
        <v>0</v>
      </c>
      <c r="AT1489">
        <v>3</v>
      </c>
      <c r="AU1489">
        <v>2</v>
      </c>
      <c r="AV1489">
        <v>1</v>
      </c>
      <c r="AW1489">
        <v>0</v>
      </c>
      <c r="AX1489">
        <v>2</v>
      </c>
      <c r="AY1489">
        <v>2</v>
      </c>
      <c r="AZ1489">
        <v>0</v>
      </c>
      <c r="BA1489">
        <v>0</v>
      </c>
      <c r="BB1489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2</v>
      </c>
      <c r="BL1489" s="2">
        <v>0</v>
      </c>
      <c r="BM1489" s="2">
        <v>3</v>
      </c>
      <c r="BN1489" s="2">
        <v>2</v>
      </c>
      <c r="BO1489" s="2">
        <v>1</v>
      </c>
      <c r="BP1489" s="2">
        <v>0</v>
      </c>
      <c r="BQ1489" s="2">
        <v>2</v>
      </c>
      <c r="BR1489" s="2">
        <v>2</v>
      </c>
      <c r="BS1489" s="2">
        <v>0</v>
      </c>
      <c r="BT1489" s="2">
        <v>0</v>
      </c>
      <c r="BU1489" s="2">
        <v>0</v>
      </c>
      <c r="BV1489" s="2">
        <f t="shared" si="97"/>
        <v>12</v>
      </c>
      <c r="BW1489" s="16">
        <f t="shared" si="95"/>
        <v>0.63157894736842102</v>
      </c>
      <c r="BX1489" s="16">
        <f>COUNTIF($BC$6:BU1489, "=0") / COUNTIF($BC$6:BU1489, "&gt;-1")</f>
        <v>0.37980564619094909</v>
      </c>
      <c r="BY1489" s="18">
        <f>SUM($BC$6:BU1489) / $BY$4</f>
        <v>0.97896673898188047</v>
      </c>
      <c r="BZ1489" s="14">
        <f t="shared" si="96"/>
        <v>13</v>
      </c>
      <c r="CA1489" t="s">
        <v>5832</v>
      </c>
      <c r="CZ1489" t="s">
        <v>8129</v>
      </c>
      <c r="DA1489" t="s">
        <v>5904</v>
      </c>
      <c r="DB1489">
        <v>1764.2</v>
      </c>
      <c r="DC1489" t="s">
        <v>20756</v>
      </c>
      <c r="DD1489" t="s">
        <v>20757</v>
      </c>
      <c r="DE1489" t="s">
        <v>20758</v>
      </c>
      <c r="DF1489" t="s">
        <v>20759</v>
      </c>
      <c r="DG1489" t="s">
        <v>20760</v>
      </c>
      <c r="DH1489" t="str">
        <f>"ILF3"</f>
        <v>ILF3</v>
      </c>
      <c r="DI1489" t="s">
        <v>20761</v>
      </c>
      <c r="DJ1489" t="s">
        <v>13777</v>
      </c>
      <c r="DK1489">
        <v>9606</v>
      </c>
      <c r="DL1489" s="34" t="str">
        <f>HYPERLINK("http://www.uniprot.org/uniprot/Q12906", "Q12906")</f>
        <v>Q12906</v>
      </c>
      <c r="DM1489" t="s">
        <v>20762</v>
      </c>
      <c r="DN1489" t="s">
        <v>20763</v>
      </c>
      <c r="DO1489" t="s">
        <v>13912</v>
      </c>
      <c r="DP1489" t="s">
        <v>13780</v>
      </c>
      <c r="DQ1489" t="s">
        <v>13772</v>
      </c>
      <c r="DR1489" t="s">
        <v>13772</v>
      </c>
      <c r="DS1489" t="s">
        <v>14096</v>
      </c>
      <c r="DT1489" t="s">
        <v>13772</v>
      </c>
      <c r="DU1489" t="s">
        <v>20764</v>
      </c>
      <c r="DV1489" t="s">
        <v>14663</v>
      </c>
      <c r="DW1489" t="s">
        <v>13812</v>
      </c>
      <c r="DX1489" t="s">
        <v>20765</v>
      </c>
      <c r="DY1489" t="s">
        <v>20766</v>
      </c>
      <c r="DZ1489" t="s">
        <v>20767</v>
      </c>
      <c r="EA1489" t="s">
        <v>13772</v>
      </c>
      <c r="EB1489" t="s">
        <v>13772</v>
      </c>
    </row>
    <row r="1490" spans="1:132" hidden="1">
      <c r="A1490">
        <v>797</v>
      </c>
      <c r="B1490">
        <v>1</v>
      </c>
      <c r="C1490" t="s">
        <v>1956</v>
      </c>
      <c r="D1490" t="s">
        <v>73</v>
      </c>
      <c r="E1490" t="s">
        <v>73</v>
      </c>
      <c r="F1490" t="s">
        <v>73</v>
      </c>
      <c r="G1490" t="s">
        <v>73</v>
      </c>
      <c r="H1490">
        <v>27.3</v>
      </c>
      <c r="I1490">
        <v>242</v>
      </c>
      <c r="J1490">
        <v>27539</v>
      </c>
      <c r="K1490" t="s">
        <v>1957</v>
      </c>
      <c r="L1490">
        <f t="shared" si="94"/>
        <v>12</v>
      </c>
      <c r="N1490">
        <v>12</v>
      </c>
      <c r="O1490">
        <v>12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4</v>
      </c>
      <c r="AB1490">
        <v>0</v>
      </c>
      <c r="AC1490">
        <v>1</v>
      </c>
      <c r="AD1490">
        <v>0</v>
      </c>
      <c r="AE1490">
        <v>3</v>
      </c>
      <c r="AF1490">
        <v>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4</v>
      </c>
      <c r="AU1490">
        <v>0</v>
      </c>
      <c r="AV1490">
        <v>1</v>
      </c>
      <c r="AW1490">
        <v>0</v>
      </c>
      <c r="AX1490">
        <v>3</v>
      </c>
      <c r="AY1490">
        <v>4</v>
      </c>
      <c r="AZ1490">
        <v>0</v>
      </c>
      <c r="BA1490">
        <v>0</v>
      </c>
      <c r="BB1490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4</v>
      </c>
      <c r="BN1490" s="2">
        <v>0</v>
      </c>
      <c r="BO1490" s="2">
        <v>1</v>
      </c>
      <c r="BP1490" s="2">
        <v>0</v>
      </c>
      <c r="BQ1490" s="2">
        <v>3</v>
      </c>
      <c r="BR1490" s="2">
        <v>4</v>
      </c>
      <c r="BS1490" s="2">
        <v>0</v>
      </c>
      <c r="BT1490" s="2">
        <v>0</v>
      </c>
      <c r="BU1490" s="2">
        <v>0</v>
      </c>
      <c r="BV1490" s="2">
        <f t="shared" si="97"/>
        <v>12</v>
      </c>
      <c r="BW1490" s="16">
        <f t="shared" si="95"/>
        <v>0.63157894736842102</v>
      </c>
      <c r="BX1490" s="16">
        <f>COUNTIF($BC$6:BU1490, "=0") / COUNTIF($BC$6:BU1490, "&gt;-1")</f>
        <v>0.38008151692362219</v>
      </c>
      <c r="BY1490" s="18">
        <f>SUM($BC$6:BU1490) / $BY$4</f>
        <v>0.97901814262430487</v>
      </c>
      <c r="BZ1490" s="14">
        <f t="shared" si="96"/>
        <v>15</v>
      </c>
      <c r="CA1490" t="s">
        <v>5832</v>
      </c>
      <c r="CZ1490" t="s">
        <v>8429</v>
      </c>
      <c r="DA1490" t="s">
        <v>5904</v>
      </c>
      <c r="DB1490">
        <v>426</v>
      </c>
      <c r="DC1490" t="s">
        <v>21651</v>
      </c>
      <c r="DD1490" t="s">
        <v>13772</v>
      </c>
      <c r="DE1490" t="s">
        <v>21652</v>
      </c>
      <c r="DF1490" t="s">
        <v>21653</v>
      </c>
      <c r="DG1490" t="s">
        <v>21654</v>
      </c>
      <c r="DH1490" t="str">
        <f>"CASP14"</f>
        <v>CASP14</v>
      </c>
      <c r="DI1490" t="s">
        <v>13772</v>
      </c>
      <c r="DJ1490" t="s">
        <v>13777</v>
      </c>
      <c r="DK1490">
        <v>9606</v>
      </c>
      <c r="DL1490" s="34" t="str">
        <f>HYPERLINK("http://www.uniprot.org/uniprot/P31944", "P31944")</f>
        <v>P31944</v>
      </c>
      <c r="DM1490" t="s">
        <v>21655</v>
      </c>
      <c r="DN1490" t="s">
        <v>15591</v>
      </c>
      <c r="DO1490" t="s">
        <v>13912</v>
      </c>
      <c r="DP1490" t="s">
        <v>13772</v>
      </c>
      <c r="DQ1490" t="s">
        <v>13772</v>
      </c>
      <c r="DR1490" t="s">
        <v>21656</v>
      </c>
      <c r="DS1490" t="s">
        <v>13772</v>
      </c>
      <c r="DT1490" t="s">
        <v>13772</v>
      </c>
      <c r="DU1490" t="s">
        <v>14083</v>
      </c>
      <c r="DV1490" t="s">
        <v>16101</v>
      </c>
      <c r="DW1490" t="s">
        <v>13772</v>
      </c>
      <c r="DX1490" t="s">
        <v>21657</v>
      </c>
      <c r="DY1490" t="s">
        <v>21658</v>
      </c>
      <c r="DZ1490" t="s">
        <v>21659</v>
      </c>
      <c r="EA1490" t="s">
        <v>13772</v>
      </c>
      <c r="EB1490" t="s">
        <v>16024</v>
      </c>
    </row>
    <row r="1491" spans="1:132" hidden="1">
      <c r="A1491">
        <v>852</v>
      </c>
      <c r="B1491">
        <v>1</v>
      </c>
      <c r="C1491" t="s">
        <v>2090</v>
      </c>
      <c r="D1491" t="s">
        <v>73</v>
      </c>
      <c r="E1491" t="s">
        <v>73</v>
      </c>
      <c r="F1491" t="s">
        <v>73</v>
      </c>
      <c r="G1491" t="s">
        <v>73</v>
      </c>
      <c r="H1491">
        <v>11</v>
      </c>
      <c r="I1491">
        <v>607</v>
      </c>
      <c r="J1491">
        <v>68528</v>
      </c>
      <c r="K1491" t="s">
        <v>2091</v>
      </c>
      <c r="L1491">
        <f t="shared" si="94"/>
        <v>12</v>
      </c>
      <c r="N1491">
        <v>12</v>
      </c>
      <c r="O1491">
        <v>12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8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8</v>
      </c>
      <c r="AV1491">
        <v>2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1</v>
      </c>
      <c r="BL1491" s="2">
        <v>0</v>
      </c>
      <c r="BM1491" s="2">
        <v>1</v>
      </c>
      <c r="BN1491" s="2">
        <v>8</v>
      </c>
      <c r="BO1491" s="2">
        <v>2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f t="shared" si="97"/>
        <v>12</v>
      </c>
      <c r="BW1491" s="16">
        <f t="shared" si="95"/>
        <v>0.63157894736842102</v>
      </c>
      <c r="BX1491" s="16">
        <f>COUNTIF($BC$6:BU1491, "=0") / COUNTIF($BC$6:BU1491, "&gt;-1")</f>
        <v>0.38035701636324998</v>
      </c>
      <c r="BY1491" s="18">
        <f>SUM($BC$6:BU1491) / $BY$4</f>
        <v>0.97906954626672926</v>
      </c>
      <c r="BZ1491" s="14">
        <f t="shared" si="96"/>
        <v>15</v>
      </c>
      <c r="CA1491" t="s">
        <v>5832</v>
      </c>
      <c r="CZ1491" t="s">
        <v>8620</v>
      </c>
      <c r="DA1491" t="s">
        <v>5904</v>
      </c>
      <c r="DB1491">
        <v>1211.4000000000001</v>
      </c>
      <c r="DC1491" t="s">
        <v>22185</v>
      </c>
      <c r="DD1491" t="s">
        <v>22186</v>
      </c>
      <c r="DE1491" t="s">
        <v>22187</v>
      </c>
      <c r="DF1491" t="s">
        <v>22188</v>
      </c>
      <c r="DG1491" t="s">
        <v>22189</v>
      </c>
      <c r="DH1491" t="str">
        <f>"RPN1"</f>
        <v>RPN1</v>
      </c>
      <c r="DI1491" t="s">
        <v>13772</v>
      </c>
      <c r="DJ1491" t="s">
        <v>13777</v>
      </c>
      <c r="DK1491">
        <v>9606</v>
      </c>
      <c r="DL1491" s="34" t="str">
        <f>HYPERLINK("http://www.uniprot.org/uniprot/P04843", "P04843")</f>
        <v>P04843</v>
      </c>
      <c r="DM1491" t="s">
        <v>22190</v>
      </c>
      <c r="DN1491" t="s">
        <v>13772</v>
      </c>
      <c r="DO1491" t="s">
        <v>14714</v>
      </c>
      <c r="DP1491" t="s">
        <v>13772</v>
      </c>
      <c r="DQ1491" t="s">
        <v>13772</v>
      </c>
      <c r="DR1491" t="s">
        <v>13772</v>
      </c>
      <c r="DS1491" t="s">
        <v>13855</v>
      </c>
      <c r="DT1491" t="s">
        <v>13772</v>
      </c>
      <c r="DU1491" t="s">
        <v>13772</v>
      </c>
      <c r="DV1491" t="s">
        <v>22191</v>
      </c>
      <c r="DW1491" t="s">
        <v>13772</v>
      </c>
      <c r="DX1491" t="s">
        <v>22192</v>
      </c>
      <c r="DY1491" t="s">
        <v>22193</v>
      </c>
      <c r="DZ1491" t="s">
        <v>22194</v>
      </c>
      <c r="EA1491" t="s">
        <v>22195</v>
      </c>
      <c r="EB1491" t="s">
        <v>22196</v>
      </c>
    </row>
    <row r="1492" spans="1:132" hidden="1">
      <c r="A1492">
        <v>870</v>
      </c>
      <c r="B1492">
        <v>1</v>
      </c>
      <c r="C1492" t="s">
        <v>2126</v>
      </c>
      <c r="D1492" t="s">
        <v>73</v>
      </c>
      <c r="E1492" t="s">
        <v>73</v>
      </c>
      <c r="F1492" t="s">
        <v>73</v>
      </c>
      <c r="G1492" t="s">
        <v>73</v>
      </c>
      <c r="H1492">
        <v>19.5</v>
      </c>
      <c r="I1492">
        <v>380</v>
      </c>
      <c r="J1492">
        <v>44693</v>
      </c>
      <c r="K1492" t="s">
        <v>2127</v>
      </c>
      <c r="L1492">
        <f t="shared" si="94"/>
        <v>12</v>
      </c>
      <c r="N1492">
        <v>12</v>
      </c>
      <c r="O1492">
        <v>12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5</v>
      </c>
      <c r="AB1492">
        <v>2</v>
      </c>
      <c r="AC1492">
        <v>1</v>
      </c>
      <c r="AD1492">
        <v>0</v>
      </c>
      <c r="AE1492">
        <v>2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5</v>
      </c>
      <c r="AU1492">
        <v>2</v>
      </c>
      <c r="AV1492">
        <v>1</v>
      </c>
      <c r="AW1492">
        <v>0</v>
      </c>
      <c r="AX1492">
        <v>2</v>
      </c>
      <c r="AY1492">
        <v>1</v>
      </c>
      <c r="AZ1492">
        <v>0</v>
      </c>
      <c r="BA1492">
        <v>0</v>
      </c>
      <c r="BB149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1</v>
      </c>
      <c r="BL1492" s="2">
        <v>0</v>
      </c>
      <c r="BM1492" s="2">
        <v>5</v>
      </c>
      <c r="BN1492" s="2">
        <v>2</v>
      </c>
      <c r="BO1492" s="2">
        <v>1</v>
      </c>
      <c r="BP1492" s="2">
        <v>0</v>
      </c>
      <c r="BQ1492" s="2">
        <v>2</v>
      </c>
      <c r="BR1492" s="2">
        <v>1</v>
      </c>
      <c r="BS1492" s="2">
        <v>0</v>
      </c>
      <c r="BT1492" s="2">
        <v>0</v>
      </c>
      <c r="BU1492" s="2">
        <v>0</v>
      </c>
      <c r="BV1492" s="2">
        <f t="shared" si="97"/>
        <v>12</v>
      </c>
      <c r="BW1492" s="16">
        <f t="shared" si="95"/>
        <v>0.63157894736842102</v>
      </c>
      <c r="BX1492" s="16">
        <f>COUNTIF($BC$6:BU1492, "=0") / COUNTIF($BC$6:BU1492, "&gt;-1")</f>
        <v>0.38056135631614341</v>
      </c>
      <c r="BY1492" s="18">
        <f>SUM($BC$6:BU1492) / $BY$4</f>
        <v>0.97912094990915366</v>
      </c>
      <c r="BZ1492" s="14">
        <f t="shared" si="96"/>
        <v>13</v>
      </c>
      <c r="CA1492" t="s">
        <v>5832</v>
      </c>
      <c r="CZ1492" t="s">
        <v>8676</v>
      </c>
      <c r="DA1492" t="s">
        <v>5904</v>
      </c>
      <c r="DB1492">
        <v>745.7</v>
      </c>
      <c r="DC1492" t="s">
        <v>22356</v>
      </c>
      <c r="DD1492" t="s">
        <v>22357</v>
      </c>
      <c r="DE1492" t="s">
        <v>22358</v>
      </c>
      <c r="DF1492" t="s">
        <v>22359</v>
      </c>
      <c r="DG1492" t="s">
        <v>22360</v>
      </c>
      <c r="DH1492" t="str">
        <f>"CDC37"</f>
        <v>CDC37</v>
      </c>
      <c r="DI1492" t="s">
        <v>22361</v>
      </c>
      <c r="DJ1492" t="s">
        <v>13777</v>
      </c>
      <c r="DK1492">
        <v>9606</v>
      </c>
      <c r="DL1492" s="34" t="str">
        <f>HYPERLINK("http://www.uniprot.org/uniprot/Q16543", "Q16543")</f>
        <v>Q16543</v>
      </c>
      <c r="DM1492" t="s">
        <v>22362</v>
      </c>
      <c r="DN1492" t="s">
        <v>13772</v>
      </c>
      <c r="DO1492" t="s">
        <v>13899</v>
      </c>
      <c r="DP1492" t="s">
        <v>13793</v>
      </c>
      <c r="DQ1492" t="s">
        <v>13772</v>
      </c>
      <c r="DR1492" t="s">
        <v>13772</v>
      </c>
      <c r="DS1492" t="s">
        <v>13772</v>
      </c>
      <c r="DT1492" t="s">
        <v>13772</v>
      </c>
      <c r="DU1492" t="s">
        <v>14477</v>
      </c>
      <c r="DV1492" t="s">
        <v>19111</v>
      </c>
      <c r="DW1492" t="s">
        <v>13812</v>
      </c>
      <c r="DX1492" t="s">
        <v>22363</v>
      </c>
      <c r="DY1492" t="s">
        <v>22364</v>
      </c>
      <c r="DZ1492" t="s">
        <v>22365</v>
      </c>
      <c r="EA1492" t="s">
        <v>13772</v>
      </c>
      <c r="EB1492" t="s">
        <v>22366</v>
      </c>
    </row>
    <row r="1493" spans="1:132" hidden="1">
      <c r="A1493">
        <v>932</v>
      </c>
      <c r="B1493">
        <v>1</v>
      </c>
      <c r="C1493" t="s">
        <v>2268</v>
      </c>
      <c r="D1493" t="s">
        <v>73</v>
      </c>
      <c r="E1493" t="s">
        <v>73</v>
      </c>
      <c r="F1493" t="s">
        <v>73</v>
      </c>
      <c r="G1493" t="s">
        <v>73</v>
      </c>
      <c r="H1493">
        <v>11.3</v>
      </c>
      <c r="I1493">
        <v>750</v>
      </c>
      <c r="J1493">
        <v>87353</v>
      </c>
      <c r="K1493" t="s">
        <v>2269</v>
      </c>
      <c r="L1493">
        <f t="shared" si="94"/>
        <v>12</v>
      </c>
      <c r="N1493">
        <v>12</v>
      </c>
      <c r="O1493">
        <v>12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5</v>
      </c>
      <c r="AB1493">
        <v>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3</v>
      </c>
      <c r="AS1493">
        <v>0</v>
      </c>
      <c r="AT1493">
        <v>5</v>
      </c>
      <c r="AU1493">
        <v>4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3</v>
      </c>
      <c r="BL1493" s="2">
        <v>0</v>
      </c>
      <c r="BM1493" s="2">
        <v>5</v>
      </c>
      <c r="BN1493" s="2">
        <v>4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f t="shared" si="97"/>
        <v>12</v>
      </c>
      <c r="BW1493" s="16">
        <f t="shared" si="95"/>
        <v>0.63157894736842102</v>
      </c>
      <c r="BX1493" s="16">
        <f>COUNTIF($BC$6:BU1493, "=0") / COUNTIF($BC$6:BU1493, "&gt;-1")</f>
        <v>0.38087153367289189</v>
      </c>
      <c r="BY1493" s="18">
        <f>SUM($BC$6:BU1493) / $BY$4</f>
        <v>0.97917235355157806</v>
      </c>
      <c r="BZ1493" s="14">
        <f t="shared" si="96"/>
        <v>16</v>
      </c>
      <c r="CA1493" t="s">
        <v>5832</v>
      </c>
      <c r="CZ1493" t="s">
        <v>8891</v>
      </c>
      <c r="DA1493" t="s">
        <v>5904</v>
      </c>
      <c r="DB1493">
        <v>1513.4</v>
      </c>
      <c r="DC1493" t="s">
        <v>22968</v>
      </c>
      <c r="DD1493" t="s">
        <v>22969</v>
      </c>
      <c r="DE1493" t="s">
        <v>22970</v>
      </c>
      <c r="DF1493" t="s">
        <v>22971</v>
      </c>
      <c r="DG1493" t="s">
        <v>22972</v>
      </c>
      <c r="DH1493" t="str">
        <f>"STAT1"</f>
        <v>STAT1</v>
      </c>
      <c r="DI1493" t="s">
        <v>13772</v>
      </c>
      <c r="DJ1493" t="s">
        <v>13777</v>
      </c>
      <c r="DK1493">
        <v>9606</v>
      </c>
      <c r="DL1493" s="34" t="str">
        <f>HYPERLINK("http://www.uniprot.org/uniprot/P42224", "P42224")</f>
        <v>P42224</v>
      </c>
      <c r="DM1493" t="s">
        <v>22973</v>
      </c>
      <c r="DN1493" t="s">
        <v>22974</v>
      </c>
      <c r="DO1493" t="s">
        <v>13912</v>
      </c>
      <c r="DP1493" t="s">
        <v>13780</v>
      </c>
      <c r="DQ1493" t="s">
        <v>13772</v>
      </c>
      <c r="DR1493" t="s">
        <v>13807</v>
      </c>
      <c r="DS1493" t="s">
        <v>22975</v>
      </c>
      <c r="DT1493" t="s">
        <v>13772</v>
      </c>
      <c r="DU1493" t="s">
        <v>21227</v>
      </c>
      <c r="DV1493" t="s">
        <v>20675</v>
      </c>
      <c r="DW1493" t="s">
        <v>13812</v>
      </c>
      <c r="DX1493" t="s">
        <v>22976</v>
      </c>
      <c r="DY1493" t="s">
        <v>22977</v>
      </c>
      <c r="DZ1493" t="s">
        <v>22978</v>
      </c>
      <c r="EA1493" t="s">
        <v>13772</v>
      </c>
      <c r="EB1493" t="s">
        <v>22979</v>
      </c>
    </row>
    <row r="1494" spans="1:132" hidden="1">
      <c r="A1494">
        <v>935</v>
      </c>
      <c r="B1494">
        <v>1</v>
      </c>
      <c r="C1494" t="s">
        <v>2274</v>
      </c>
      <c r="D1494" t="s">
        <v>73</v>
      </c>
      <c r="E1494" t="s">
        <v>73</v>
      </c>
      <c r="F1494" t="s">
        <v>73</v>
      </c>
      <c r="G1494" t="s">
        <v>73</v>
      </c>
      <c r="H1494">
        <v>15.8</v>
      </c>
      <c r="I1494">
        <v>341</v>
      </c>
      <c r="J1494">
        <v>39871</v>
      </c>
      <c r="K1494" t="s">
        <v>2275</v>
      </c>
      <c r="L1494">
        <f t="shared" si="94"/>
        <v>12</v>
      </c>
      <c r="N1494">
        <v>12</v>
      </c>
      <c r="O1494">
        <v>12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2</v>
      </c>
      <c r="W1494">
        <v>1</v>
      </c>
      <c r="X1494">
        <v>0</v>
      </c>
      <c r="Y1494">
        <v>2</v>
      </c>
      <c r="Z1494">
        <v>0</v>
      </c>
      <c r="AA1494">
        <v>3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2</v>
      </c>
      <c r="AP1494">
        <v>1</v>
      </c>
      <c r="AQ1494">
        <v>0</v>
      </c>
      <c r="AR1494">
        <v>2</v>
      </c>
      <c r="AS1494">
        <v>0</v>
      </c>
      <c r="AT1494">
        <v>3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 s="2">
        <v>0</v>
      </c>
      <c r="BD1494" s="2">
        <v>1</v>
      </c>
      <c r="BE1494" s="2">
        <v>0</v>
      </c>
      <c r="BF1494" s="2">
        <v>0</v>
      </c>
      <c r="BG1494" s="2">
        <v>1</v>
      </c>
      <c r="BH1494" s="2">
        <v>2</v>
      </c>
      <c r="BI1494" s="2">
        <v>1</v>
      </c>
      <c r="BJ1494" s="2">
        <v>0</v>
      </c>
      <c r="BK1494" s="2">
        <v>2</v>
      </c>
      <c r="BL1494" s="2">
        <v>0</v>
      </c>
      <c r="BM1494" s="2">
        <v>3</v>
      </c>
      <c r="BN1494" s="2">
        <v>0</v>
      </c>
      <c r="BO1494" s="2">
        <v>1</v>
      </c>
      <c r="BP1494" s="2">
        <v>0</v>
      </c>
      <c r="BQ1494" s="2">
        <v>1</v>
      </c>
      <c r="BR1494" s="2">
        <v>0</v>
      </c>
      <c r="BS1494" s="2">
        <v>0</v>
      </c>
      <c r="BT1494" s="2">
        <v>0</v>
      </c>
      <c r="BU1494" s="2">
        <v>0</v>
      </c>
      <c r="BV1494" s="2">
        <f t="shared" si="97"/>
        <v>12</v>
      </c>
      <c r="BW1494" s="16">
        <f t="shared" si="95"/>
        <v>0.63157894736842102</v>
      </c>
      <c r="BX1494" s="16">
        <f>COUNTIF($BC$6:BU1494, "=0") / COUNTIF($BC$6:BU1494, "&gt;-1")</f>
        <v>0.38100455975398534</v>
      </c>
      <c r="BY1494" s="18">
        <f>SUM($BC$6:BU1494) / $BY$4</f>
        <v>0.97922375719400245</v>
      </c>
      <c r="BZ1494" s="14">
        <f t="shared" si="96"/>
        <v>11</v>
      </c>
      <c r="CA1494" t="s">
        <v>5832</v>
      </c>
      <c r="CZ1494" t="s">
        <v>8902</v>
      </c>
      <c r="DA1494" t="s">
        <v>5904</v>
      </c>
      <c r="DB1494">
        <v>698</v>
      </c>
      <c r="DC1494" t="s">
        <v>23001</v>
      </c>
      <c r="DD1494" t="s">
        <v>23002</v>
      </c>
      <c r="DE1494" t="s">
        <v>23003</v>
      </c>
      <c r="DF1494" t="s">
        <v>23004</v>
      </c>
      <c r="DG1494" t="s">
        <v>23005</v>
      </c>
      <c r="DH1494" t="str">
        <f>"CAB39"</f>
        <v>CAB39</v>
      </c>
      <c r="DI1494" t="s">
        <v>23006</v>
      </c>
      <c r="DJ1494" t="s">
        <v>13777</v>
      </c>
      <c r="DK1494">
        <v>9606</v>
      </c>
      <c r="DL1494" s="34" t="str">
        <f>HYPERLINK("http://www.uniprot.org/uniprot/Q9Y376", "Q9Y376")</f>
        <v>Q9Y376</v>
      </c>
      <c r="DM1494" t="s">
        <v>23007</v>
      </c>
      <c r="DN1494" t="s">
        <v>13772</v>
      </c>
      <c r="DO1494" t="s">
        <v>13899</v>
      </c>
      <c r="DP1494" t="s">
        <v>13772</v>
      </c>
      <c r="DQ1494" t="s">
        <v>13772</v>
      </c>
      <c r="DR1494" t="s">
        <v>13772</v>
      </c>
      <c r="DS1494" t="s">
        <v>13772</v>
      </c>
      <c r="DT1494" t="s">
        <v>13772</v>
      </c>
      <c r="DU1494" t="s">
        <v>13772</v>
      </c>
      <c r="DV1494" t="s">
        <v>13772</v>
      </c>
      <c r="DW1494" t="s">
        <v>13812</v>
      </c>
      <c r="DX1494" t="s">
        <v>23008</v>
      </c>
      <c r="DY1494" t="s">
        <v>23009</v>
      </c>
      <c r="DZ1494" t="s">
        <v>23010</v>
      </c>
      <c r="EA1494" t="s">
        <v>13772</v>
      </c>
      <c r="EB1494" t="s">
        <v>23011</v>
      </c>
    </row>
    <row r="1495" spans="1:132" hidden="1">
      <c r="A1495">
        <v>936</v>
      </c>
      <c r="B1495">
        <v>1</v>
      </c>
      <c r="C1495" t="s">
        <v>2276</v>
      </c>
      <c r="D1495" t="s">
        <v>73</v>
      </c>
      <c r="E1495" t="s">
        <v>73</v>
      </c>
      <c r="F1495" t="s">
        <v>73</v>
      </c>
      <c r="G1495" t="s">
        <v>73</v>
      </c>
      <c r="H1495">
        <v>7.2</v>
      </c>
      <c r="I1495">
        <v>598</v>
      </c>
      <c r="J1495">
        <v>65363</v>
      </c>
      <c r="K1495" t="s">
        <v>2277</v>
      </c>
      <c r="L1495">
        <f t="shared" si="94"/>
        <v>12</v>
      </c>
      <c r="N1495">
        <v>12</v>
      </c>
      <c r="O1495">
        <v>12</v>
      </c>
      <c r="P1495">
        <v>1</v>
      </c>
      <c r="Q1495">
        <v>1</v>
      </c>
      <c r="R1495">
        <v>2</v>
      </c>
      <c r="S1495">
        <v>2</v>
      </c>
      <c r="T1495">
        <v>0</v>
      </c>
      <c r="U1495">
        <v>2</v>
      </c>
      <c r="V1495">
        <v>2</v>
      </c>
      <c r="W1495">
        <v>0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2</v>
      </c>
      <c r="AL1495">
        <v>2</v>
      </c>
      <c r="AM1495">
        <v>0</v>
      </c>
      <c r="AN1495">
        <v>2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2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 s="2">
        <v>1</v>
      </c>
      <c r="BD1495" s="2">
        <v>2</v>
      </c>
      <c r="BE1495" s="2">
        <v>2</v>
      </c>
      <c r="BF1495" s="2">
        <v>0</v>
      </c>
      <c r="BG1495" s="2">
        <v>2</v>
      </c>
      <c r="BH1495" s="2">
        <v>2</v>
      </c>
      <c r="BI1495" s="2">
        <v>0</v>
      </c>
      <c r="BJ1495" s="2">
        <v>0</v>
      </c>
      <c r="BK1495" s="2">
        <v>0</v>
      </c>
      <c r="BL1495" s="2">
        <v>0</v>
      </c>
      <c r="BM1495" s="2">
        <v>2</v>
      </c>
      <c r="BN1495" s="2">
        <v>0</v>
      </c>
      <c r="BO1495" s="2">
        <v>0</v>
      </c>
      <c r="BP1495" s="2">
        <v>0</v>
      </c>
      <c r="BQ1495" s="2">
        <v>1</v>
      </c>
      <c r="BR1495" s="2">
        <v>0</v>
      </c>
      <c r="BS1495" s="2">
        <v>0</v>
      </c>
      <c r="BT1495" s="2">
        <v>0</v>
      </c>
      <c r="BU1495" s="2">
        <v>0</v>
      </c>
      <c r="BV1495" s="2">
        <f t="shared" si="97"/>
        <v>12</v>
      </c>
      <c r="BW1495" s="16">
        <f t="shared" si="95"/>
        <v>0.63157894736842102</v>
      </c>
      <c r="BX1495" s="16">
        <f>COUNTIF($BC$6:BU1495, "=0") / COUNTIF($BC$6:BU1495, "&gt;-1")</f>
        <v>0.38117273048392797</v>
      </c>
      <c r="BY1495" s="18">
        <f>SUM($BC$6:BU1495) / $BY$4</f>
        <v>0.97927516083642685</v>
      </c>
      <c r="BZ1495" s="14">
        <f t="shared" si="96"/>
        <v>12</v>
      </c>
      <c r="CA1495" t="s">
        <v>5832</v>
      </c>
      <c r="CZ1495" t="s">
        <v>8905</v>
      </c>
      <c r="DA1495" t="s">
        <v>5904</v>
      </c>
      <c r="DB1495">
        <v>847.8</v>
      </c>
      <c r="DC1495" t="s">
        <v>23012</v>
      </c>
      <c r="DD1495" t="s">
        <v>13772</v>
      </c>
      <c r="DE1495" t="s">
        <v>23013</v>
      </c>
      <c r="DF1495" t="s">
        <v>23014</v>
      </c>
      <c r="DG1495" t="s">
        <v>23015</v>
      </c>
      <c r="DH1495" t="str">
        <f>"GPC1"</f>
        <v>GPC1</v>
      </c>
      <c r="DI1495" t="s">
        <v>13772</v>
      </c>
      <c r="DJ1495" t="s">
        <v>13777</v>
      </c>
      <c r="DK1495">
        <v>9606</v>
      </c>
      <c r="DL1495" s="34" t="str">
        <f>HYPERLINK("http://www.uniprot.org/uniprot/P35052", "P35052")</f>
        <v>P35052</v>
      </c>
      <c r="DM1495" t="s">
        <v>23016</v>
      </c>
      <c r="DN1495" t="s">
        <v>13772</v>
      </c>
      <c r="DO1495" t="s">
        <v>23017</v>
      </c>
      <c r="DP1495" t="s">
        <v>13780</v>
      </c>
      <c r="DQ1495" t="s">
        <v>13772</v>
      </c>
      <c r="DR1495" t="s">
        <v>13772</v>
      </c>
      <c r="DS1495" t="s">
        <v>13808</v>
      </c>
      <c r="DT1495" t="s">
        <v>23018</v>
      </c>
      <c r="DU1495" t="s">
        <v>13772</v>
      </c>
      <c r="DV1495" t="s">
        <v>23019</v>
      </c>
      <c r="DW1495" t="s">
        <v>13812</v>
      </c>
      <c r="DX1495" t="s">
        <v>23020</v>
      </c>
      <c r="DY1495" t="s">
        <v>23021</v>
      </c>
      <c r="DZ1495" t="s">
        <v>23022</v>
      </c>
      <c r="EA1495" t="s">
        <v>13772</v>
      </c>
      <c r="EB1495" t="s">
        <v>23023</v>
      </c>
    </row>
    <row r="1496" spans="1:132" hidden="1">
      <c r="A1496">
        <v>1014</v>
      </c>
      <c r="B1496">
        <v>1</v>
      </c>
      <c r="C1496" t="s">
        <v>2451</v>
      </c>
      <c r="D1496" t="s">
        <v>2452</v>
      </c>
      <c r="E1496" t="s">
        <v>73</v>
      </c>
      <c r="F1496" t="s">
        <v>73</v>
      </c>
      <c r="G1496" t="s">
        <v>73</v>
      </c>
      <c r="H1496">
        <v>6.8</v>
      </c>
      <c r="I1496">
        <v>1047</v>
      </c>
      <c r="J1496">
        <v>105871</v>
      </c>
      <c r="K1496" t="s">
        <v>2453</v>
      </c>
      <c r="L1496">
        <f t="shared" si="94"/>
        <v>12</v>
      </c>
      <c r="N1496">
        <v>12</v>
      </c>
      <c r="O1496">
        <v>12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5</v>
      </c>
      <c r="Z1496">
        <v>0</v>
      </c>
      <c r="AA1496">
        <v>2</v>
      </c>
      <c r="AB1496">
        <v>3</v>
      </c>
      <c r="AC1496">
        <v>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5</v>
      </c>
      <c r="AS1496">
        <v>0</v>
      </c>
      <c r="AT1496">
        <v>2</v>
      </c>
      <c r="AU1496">
        <v>3</v>
      </c>
      <c r="AV1496">
        <v>2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5</v>
      </c>
      <c r="BL1496" s="2">
        <v>0</v>
      </c>
      <c r="BM1496" s="2">
        <v>2</v>
      </c>
      <c r="BN1496" s="2">
        <v>3</v>
      </c>
      <c r="BO1496" s="2">
        <v>2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f t="shared" si="97"/>
        <v>12</v>
      </c>
      <c r="BW1496" s="16">
        <f t="shared" si="95"/>
        <v>0.63157894736842102</v>
      </c>
      <c r="BX1496" s="16">
        <f>COUNTIF($BC$6:BU1496, "=0") / COUNTIF($BC$6:BU1496, "&gt;-1")</f>
        <v>0.38144657418193373</v>
      </c>
      <c r="BY1496" s="18">
        <f>SUM($BC$6:BU1496) / $BY$4</f>
        <v>0.97932656447885125</v>
      </c>
      <c r="BZ1496" s="14">
        <f t="shared" si="96"/>
        <v>15</v>
      </c>
      <c r="CA1496" t="s">
        <v>5832</v>
      </c>
      <c r="CZ1496" t="s">
        <v>9153</v>
      </c>
      <c r="DA1496" t="s">
        <v>5904</v>
      </c>
      <c r="DB1496">
        <v>1427.5</v>
      </c>
      <c r="DC1496" t="s">
        <v>23719</v>
      </c>
      <c r="DD1496" t="s">
        <v>23720</v>
      </c>
      <c r="DE1496" t="s">
        <v>23721</v>
      </c>
      <c r="DF1496" t="s">
        <v>23722</v>
      </c>
      <c r="DG1496" t="s">
        <v>23723</v>
      </c>
      <c r="DH1496" t="str">
        <f>"TSC22D1"</f>
        <v>TSC22D1</v>
      </c>
      <c r="DI1496" t="s">
        <v>23724</v>
      </c>
      <c r="DJ1496" t="s">
        <v>13777</v>
      </c>
      <c r="DK1496">
        <v>9606</v>
      </c>
      <c r="DL1496" s="34" t="str">
        <f>HYPERLINK("http://www.uniprot.org/uniprot/Q15714", "Q15714")</f>
        <v>Q15714</v>
      </c>
      <c r="DM1496" t="s">
        <v>23725</v>
      </c>
      <c r="DN1496" t="s">
        <v>14445</v>
      </c>
      <c r="DO1496" t="s">
        <v>13912</v>
      </c>
      <c r="DP1496" t="s">
        <v>13780</v>
      </c>
      <c r="DQ1496" t="s">
        <v>13772</v>
      </c>
      <c r="DR1496" t="s">
        <v>13772</v>
      </c>
      <c r="DS1496" t="s">
        <v>13772</v>
      </c>
      <c r="DT1496" t="s">
        <v>13772</v>
      </c>
      <c r="DU1496" t="s">
        <v>14615</v>
      </c>
      <c r="DV1496" t="s">
        <v>13782</v>
      </c>
      <c r="DW1496" t="s">
        <v>13772</v>
      </c>
      <c r="DX1496" t="s">
        <v>23726</v>
      </c>
      <c r="DY1496" t="s">
        <v>23727</v>
      </c>
      <c r="DZ1496" t="s">
        <v>23728</v>
      </c>
      <c r="EA1496" t="s">
        <v>13772</v>
      </c>
      <c r="EB1496" t="s">
        <v>13772</v>
      </c>
    </row>
    <row r="1497" spans="1:132" hidden="1">
      <c r="A1497">
        <v>1065</v>
      </c>
      <c r="B1497">
        <v>1</v>
      </c>
      <c r="C1497" t="s">
        <v>2558</v>
      </c>
      <c r="D1497" t="s">
        <v>2559</v>
      </c>
      <c r="E1497" t="s">
        <v>73</v>
      </c>
      <c r="F1497" t="s">
        <v>73</v>
      </c>
      <c r="G1497" t="s">
        <v>73</v>
      </c>
      <c r="H1497">
        <v>5.4</v>
      </c>
      <c r="I1497">
        <v>1230</v>
      </c>
      <c r="J1497">
        <v>136374</v>
      </c>
      <c r="K1497" t="s">
        <v>2560</v>
      </c>
      <c r="L1497">
        <f t="shared" si="94"/>
        <v>12</v>
      </c>
      <c r="N1497">
        <v>12</v>
      </c>
      <c r="O1497">
        <v>12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0</v>
      </c>
      <c r="AA1497">
        <v>6</v>
      </c>
      <c r="AB1497">
        <v>3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</v>
      </c>
      <c r="AS1497">
        <v>0</v>
      </c>
      <c r="AT1497">
        <v>6</v>
      </c>
      <c r="AU1497">
        <v>3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2</v>
      </c>
      <c r="BL1497" s="2">
        <v>0</v>
      </c>
      <c r="BM1497" s="2">
        <v>6</v>
      </c>
      <c r="BN1497" s="2">
        <v>3</v>
      </c>
      <c r="BO1497" s="2">
        <v>1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f t="shared" si="97"/>
        <v>12</v>
      </c>
      <c r="BW1497" s="16">
        <f t="shared" si="95"/>
        <v>0.63157894736842102</v>
      </c>
      <c r="BX1497" s="16">
        <f>COUNTIF($BC$6:BU1497, "=0") / COUNTIF($BC$6:BU1497, "&gt;-1")</f>
        <v>0.38172005079723437</v>
      </c>
      <c r="BY1497" s="18">
        <f>SUM($BC$6:BU1497) / $BY$4</f>
        <v>0.97937796812127564</v>
      </c>
      <c r="BZ1497" s="14">
        <f t="shared" si="96"/>
        <v>15</v>
      </c>
      <c r="CA1497" t="s">
        <v>5832</v>
      </c>
      <c r="CZ1497" t="s">
        <v>9275</v>
      </c>
      <c r="DA1497" t="s">
        <v>5904</v>
      </c>
      <c r="DB1497">
        <v>2516.5</v>
      </c>
      <c r="DC1497" t="s">
        <v>24079</v>
      </c>
      <c r="DD1497" t="s">
        <v>24080</v>
      </c>
      <c r="DE1497" t="s">
        <v>24081</v>
      </c>
      <c r="DF1497" t="s">
        <v>24082</v>
      </c>
      <c r="DG1497" t="s">
        <v>24083</v>
      </c>
      <c r="DH1497" t="str">
        <f>"CAND1"</f>
        <v>CAND1</v>
      </c>
      <c r="DI1497" t="s">
        <v>24084</v>
      </c>
      <c r="DJ1497" t="s">
        <v>13777</v>
      </c>
      <c r="DK1497">
        <v>9606</v>
      </c>
      <c r="DL1497" s="34" t="str">
        <f>HYPERLINK("http://www.uniprot.org/uniprot/Q86VP6", "Q86VP6")</f>
        <v>Q86VP6</v>
      </c>
      <c r="DM1497" t="s">
        <v>24085</v>
      </c>
      <c r="DN1497" t="s">
        <v>14109</v>
      </c>
      <c r="DO1497" t="s">
        <v>13912</v>
      </c>
      <c r="DP1497" t="s">
        <v>13780</v>
      </c>
      <c r="DQ1497" t="s">
        <v>13772</v>
      </c>
      <c r="DR1497" t="s">
        <v>13772</v>
      </c>
      <c r="DS1497" t="s">
        <v>14096</v>
      </c>
      <c r="DT1497" t="s">
        <v>13772</v>
      </c>
      <c r="DU1497" t="s">
        <v>13772</v>
      </c>
      <c r="DV1497" t="s">
        <v>13886</v>
      </c>
      <c r="DW1497" t="s">
        <v>13812</v>
      </c>
      <c r="DX1497" t="s">
        <v>24086</v>
      </c>
      <c r="DY1497" t="s">
        <v>24087</v>
      </c>
      <c r="DZ1497" t="s">
        <v>24088</v>
      </c>
      <c r="EA1497" t="s">
        <v>13772</v>
      </c>
      <c r="EB1497" t="s">
        <v>24089</v>
      </c>
    </row>
    <row r="1498" spans="1:132" hidden="1">
      <c r="A1498">
        <v>1071</v>
      </c>
      <c r="B1498">
        <v>1</v>
      </c>
      <c r="C1498" t="s">
        <v>2574</v>
      </c>
      <c r="D1498" t="s">
        <v>2575</v>
      </c>
      <c r="E1498" t="s">
        <v>73</v>
      </c>
      <c r="F1498" t="s">
        <v>73</v>
      </c>
      <c r="G1498" t="s">
        <v>73</v>
      </c>
      <c r="H1498">
        <v>30.7</v>
      </c>
      <c r="I1498">
        <v>362</v>
      </c>
      <c r="J1498">
        <v>40664</v>
      </c>
      <c r="K1498" t="s">
        <v>2576</v>
      </c>
      <c r="L1498">
        <f t="shared" si="94"/>
        <v>12</v>
      </c>
      <c r="N1498">
        <v>12</v>
      </c>
      <c r="O1498">
        <v>12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12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f t="shared" si="97"/>
        <v>12</v>
      </c>
      <c r="BW1498" s="16">
        <f t="shared" si="95"/>
        <v>0.63157894736842102</v>
      </c>
      <c r="BX1498" s="16">
        <f>COUNTIF($BC$6:BU1498, "=0") / COUNTIF($BC$6:BU1498, "&gt;-1")</f>
        <v>0.38209891775654808</v>
      </c>
      <c r="BY1498" s="18">
        <f>SUM($BC$6:BU1498) / $BY$4</f>
        <v>0.97942937176370004</v>
      </c>
      <c r="BZ1498" s="14">
        <f t="shared" si="96"/>
        <v>18</v>
      </c>
      <c r="CA1498" t="s">
        <v>5832</v>
      </c>
      <c r="CZ1498" t="s">
        <v>9297</v>
      </c>
      <c r="DA1498" t="s">
        <v>5904</v>
      </c>
      <c r="DB1498">
        <v>569.29999999999995</v>
      </c>
      <c r="DC1498" t="s">
        <v>24138</v>
      </c>
      <c r="DD1498" t="s">
        <v>24139</v>
      </c>
      <c r="DE1498" t="s">
        <v>24140</v>
      </c>
      <c r="DF1498" t="s">
        <v>24141</v>
      </c>
      <c r="DG1498" t="s">
        <v>24142</v>
      </c>
      <c r="DH1498" t="str">
        <f>"TST"</f>
        <v>TST</v>
      </c>
      <c r="DI1498" t="s">
        <v>13772</v>
      </c>
      <c r="DJ1498" t="s">
        <v>13777</v>
      </c>
      <c r="DK1498">
        <v>9606</v>
      </c>
      <c r="DL1498" s="34" t="str">
        <f>HYPERLINK("http://www.uniprot.org/uniprot/Q16762", "Q16762")</f>
        <v>Q16762</v>
      </c>
      <c r="DM1498" t="s">
        <v>24143</v>
      </c>
      <c r="DN1498" t="s">
        <v>13772</v>
      </c>
      <c r="DO1498" t="s">
        <v>14491</v>
      </c>
      <c r="DP1498" t="s">
        <v>13793</v>
      </c>
      <c r="DQ1498" t="s">
        <v>13772</v>
      </c>
      <c r="DR1498" t="s">
        <v>13772</v>
      </c>
      <c r="DS1498" t="s">
        <v>14096</v>
      </c>
      <c r="DT1498" t="s">
        <v>13772</v>
      </c>
      <c r="DU1498" t="s">
        <v>24144</v>
      </c>
      <c r="DV1498" t="s">
        <v>14182</v>
      </c>
      <c r="DW1498" t="s">
        <v>13772</v>
      </c>
      <c r="DX1498" t="s">
        <v>24145</v>
      </c>
      <c r="DY1498" t="s">
        <v>24146</v>
      </c>
      <c r="DZ1498" t="s">
        <v>24147</v>
      </c>
      <c r="EA1498" t="s">
        <v>13772</v>
      </c>
      <c r="EB1498" t="s">
        <v>24148</v>
      </c>
    </row>
    <row r="1499" spans="1:132" hidden="1">
      <c r="A1499">
        <v>1103</v>
      </c>
      <c r="B1499">
        <v>1</v>
      </c>
      <c r="C1499" t="s">
        <v>2654</v>
      </c>
      <c r="D1499" t="s">
        <v>73</v>
      </c>
      <c r="E1499" t="s">
        <v>73</v>
      </c>
      <c r="F1499" t="s">
        <v>73</v>
      </c>
      <c r="G1499" t="s">
        <v>73</v>
      </c>
      <c r="H1499">
        <v>24.1</v>
      </c>
      <c r="I1499">
        <v>299</v>
      </c>
      <c r="J1499">
        <v>33315</v>
      </c>
      <c r="K1499" t="s">
        <v>2655</v>
      </c>
      <c r="L1499">
        <f t="shared" si="94"/>
        <v>12</v>
      </c>
      <c r="N1499">
        <v>12</v>
      </c>
      <c r="O1499">
        <v>12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5</v>
      </c>
      <c r="AB1499">
        <v>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5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1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5</v>
      </c>
      <c r="BN1499" s="2">
        <v>6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f t="shared" si="97"/>
        <v>12</v>
      </c>
      <c r="BW1499" s="16">
        <f t="shared" si="95"/>
        <v>0.63157894736842102</v>
      </c>
      <c r="BX1499" s="16">
        <f>COUNTIF($BC$6:BU1499, "=0") / COUNTIF($BC$6:BU1499, "&gt;-1")</f>
        <v>0.38240682026351019</v>
      </c>
      <c r="BY1499" s="18">
        <f>SUM($BC$6:BU1499) / $BY$4</f>
        <v>0.97948077540612455</v>
      </c>
      <c r="BZ1499" s="14">
        <f t="shared" si="96"/>
        <v>16</v>
      </c>
      <c r="CA1499" t="s">
        <v>5832</v>
      </c>
      <c r="CZ1499" t="s">
        <v>9413</v>
      </c>
      <c r="DA1499" t="s">
        <v>5904</v>
      </c>
      <c r="DB1499">
        <v>601.70000000000005</v>
      </c>
      <c r="DC1499" t="s">
        <v>24477</v>
      </c>
      <c r="DD1499" t="s">
        <v>24478</v>
      </c>
      <c r="DE1499" t="s">
        <v>24479</v>
      </c>
      <c r="DF1499" t="s">
        <v>24480</v>
      </c>
      <c r="DG1499" t="s">
        <v>24481</v>
      </c>
      <c r="DH1499" t="str">
        <f>"PHB2"</f>
        <v>PHB2</v>
      </c>
      <c r="DI1499" t="s">
        <v>13772</v>
      </c>
      <c r="DJ1499" t="s">
        <v>13777</v>
      </c>
      <c r="DK1499">
        <v>9606</v>
      </c>
      <c r="DL1499" s="34" t="str">
        <f>HYPERLINK("http://www.uniprot.org/uniprot/Q99623", "Q99623")</f>
        <v>Q99623</v>
      </c>
      <c r="DM1499" t="s">
        <v>24482</v>
      </c>
      <c r="DN1499" t="s">
        <v>14445</v>
      </c>
      <c r="DO1499" t="s">
        <v>24483</v>
      </c>
      <c r="DP1499" t="s">
        <v>13841</v>
      </c>
      <c r="DQ1499" t="s">
        <v>13772</v>
      </c>
      <c r="DR1499" t="s">
        <v>13772</v>
      </c>
      <c r="DS1499" t="s">
        <v>14245</v>
      </c>
      <c r="DT1499" t="s">
        <v>13772</v>
      </c>
      <c r="DU1499" t="s">
        <v>24484</v>
      </c>
      <c r="DV1499" t="s">
        <v>13886</v>
      </c>
      <c r="DW1499" t="s">
        <v>13772</v>
      </c>
      <c r="DX1499" t="s">
        <v>24485</v>
      </c>
      <c r="DY1499" t="s">
        <v>24486</v>
      </c>
      <c r="DZ1499" t="s">
        <v>24487</v>
      </c>
      <c r="EA1499" t="s">
        <v>13772</v>
      </c>
      <c r="EB1499" t="s">
        <v>24488</v>
      </c>
    </row>
    <row r="1500" spans="1:132" hidden="1">
      <c r="A1500">
        <v>1222</v>
      </c>
      <c r="B1500">
        <v>1</v>
      </c>
      <c r="C1500" t="s">
        <v>2935</v>
      </c>
      <c r="D1500" t="s">
        <v>2936</v>
      </c>
      <c r="E1500" t="s">
        <v>73</v>
      </c>
      <c r="F1500" t="s">
        <v>73</v>
      </c>
      <c r="G1500" t="s">
        <v>73</v>
      </c>
      <c r="H1500">
        <v>10.199999999999999</v>
      </c>
      <c r="I1500">
        <v>666</v>
      </c>
      <c r="J1500">
        <v>74560</v>
      </c>
      <c r="K1500" t="s">
        <v>2937</v>
      </c>
      <c r="L1500">
        <f t="shared" si="94"/>
        <v>12</v>
      </c>
      <c r="N1500">
        <v>12</v>
      </c>
      <c r="O1500">
        <v>12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4</v>
      </c>
      <c r="W1500">
        <v>0</v>
      </c>
      <c r="X1500">
        <v>0</v>
      </c>
      <c r="Y1500">
        <v>0</v>
      </c>
      <c r="Z1500">
        <v>0</v>
      </c>
      <c r="AA1500">
        <v>2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4</v>
      </c>
      <c r="AP1500">
        <v>0</v>
      </c>
      <c r="AQ1500">
        <v>0</v>
      </c>
      <c r="AR1500">
        <v>0</v>
      </c>
      <c r="AS1500">
        <v>0</v>
      </c>
      <c r="AT1500">
        <v>2</v>
      </c>
      <c r="AU1500">
        <v>3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 s="2">
        <v>0</v>
      </c>
      <c r="BD1500" s="2">
        <v>1</v>
      </c>
      <c r="BE1500" s="2">
        <v>0</v>
      </c>
      <c r="BF1500" s="2">
        <v>0</v>
      </c>
      <c r="BG1500" s="2">
        <v>1</v>
      </c>
      <c r="BH1500" s="2">
        <v>4</v>
      </c>
      <c r="BI1500" s="2">
        <v>0</v>
      </c>
      <c r="BJ1500" s="2">
        <v>0</v>
      </c>
      <c r="BK1500" s="2">
        <v>0</v>
      </c>
      <c r="BL1500" s="2">
        <v>0</v>
      </c>
      <c r="BM1500" s="2">
        <v>2</v>
      </c>
      <c r="BN1500" s="2">
        <v>3</v>
      </c>
      <c r="BO1500" s="2">
        <v>0</v>
      </c>
      <c r="BP1500" s="2">
        <v>0</v>
      </c>
      <c r="BQ1500" s="2">
        <v>0</v>
      </c>
      <c r="BR1500" s="2">
        <v>0</v>
      </c>
      <c r="BS1500" s="2">
        <v>1</v>
      </c>
      <c r="BT1500" s="2">
        <v>0</v>
      </c>
      <c r="BU1500" s="2">
        <v>0</v>
      </c>
      <c r="BV1500" s="2">
        <f t="shared" si="97"/>
        <v>12</v>
      </c>
      <c r="BW1500" s="16">
        <f t="shared" si="95"/>
        <v>0.63157894736842102</v>
      </c>
      <c r="BX1500" s="16">
        <f>COUNTIF($BC$6:BU1500, "=0") / COUNTIF($BC$6:BU1500, "&gt;-1")</f>
        <v>0.38260869565217392</v>
      </c>
      <c r="BY1500" s="18">
        <f>SUM($BC$6:BU1500) / $BY$4</f>
        <v>0.97953217904854895</v>
      </c>
      <c r="BZ1500" s="14">
        <f t="shared" si="96"/>
        <v>13</v>
      </c>
      <c r="CA1500" t="s">
        <v>5832</v>
      </c>
      <c r="CZ1500" t="s">
        <v>9800</v>
      </c>
      <c r="DA1500" t="s">
        <v>5904</v>
      </c>
      <c r="DB1500">
        <v>1272.7</v>
      </c>
      <c r="DC1500" t="s">
        <v>25569</v>
      </c>
      <c r="DD1500" t="s">
        <v>25570</v>
      </c>
      <c r="DE1500" t="s">
        <v>25571</v>
      </c>
      <c r="DF1500" t="s">
        <v>25572</v>
      </c>
      <c r="DG1500" t="s">
        <v>25573</v>
      </c>
      <c r="DH1500" t="str">
        <f>"XPNPEP1"</f>
        <v>XPNPEP1</v>
      </c>
      <c r="DI1500" t="s">
        <v>13772</v>
      </c>
      <c r="DJ1500" t="s">
        <v>13777</v>
      </c>
      <c r="DK1500">
        <v>9606</v>
      </c>
      <c r="DL1500" s="34" t="str">
        <f>HYPERLINK("http://www.uniprot.org/uniprot/Q9NQW7", "Q9NQW7")</f>
        <v>Q9NQW7</v>
      </c>
      <c r="DM1500" t="s">
        <v>25574</v>
      </c>
      <c r="DN1500" t="s">
        <v>13772</v>
      </c>
      <c r="DO1500" t="s">
        <v>13899</v>
      </c>
      <c r="DP1500" t="s">
        <v>13841</v>
      </c>
      <c r="DQ1500" t="s">
        <v>13772</v>
      </c>
      <c r="DR1500" t="s">
        <v>13772</v>
      </c>
      <c r="DS1500" t="s">
        <v>13772</v>
      </c>
      <c r="DT1500" t="s">
        <v>15674</v>
      </c>
      <c r="DU1500" t="s">
        <v>19025</v>
      </c>
      <c r="DV1500" t="s">
        <v>14020</v>
      </c>
      <c r="DW1500" t="s">
        <v>13812</v>
      </c>
      <c r="DX1500" t="s">
        <v>25575</v>
      </c>
      <c r="DY1500" t="s">
        <v>14194</v>
      </c>
      <c r="DZ1500" t="s">
        <v>25576</v>
      </c>
      <c r="EA1500" t="s">
        <v>13772</v>
      </c>
      <c r="EB1500" t="s">
        <v>13772</v>
      </c>
    </row>
    <row r="1501" spans="1:132" hidden="1">
      <c r="A1501">
        <v>1263</v>
      </c>
      <c r="B1501">
        <v>1</v>
      </c>
      <c r="C1501" t="s">
        <v>3026</v>
      </c>
      <c r="D1501" t="s">
        <v>3027</v>
      </c>
      <c r="E1501" t="s">
        <v>73</v>
      </c>
      <c r="F1501" t="s">
        <v>73</v>
      </c>
      <c r="G1501" t="s">
        <v>73</v>
      </c>
      <c r="H1501">
        <v>10.9</v>
      </c>
      <c r="I1501">
        <v>690</v>
      </c>
      <c r="J1501">
        <v>77034</v>
      </c>
      <c r="K1501" t="s">
        <v>3028</v>
      </c>
      <c r="L1501">
        <f t="shared" si="94"/>
        <v>12</v>
      </c>
      <c r="N1501">
        <v>12</v>
      </c>
      <c r="O1501">
        <v>12</v>
      </c>
      <c r="P1501">
        <v>1</v>
      </c>
      <c r="Q1501">
        <v>1</v>
      </c>
      <c r="R1501">
        <v>6</v>
      </c>
      <c r="S1501">
        <v>1</v>
      </c>
      <c r="T1501">
        <v>0</v>
      </c>
      <c r="U1501">
        <v>1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6</v>
      </c>
      <c r="AL1501">
        <v>1</v>
      </c>
      <c r="AM1501">
        <v>0</v>
      </c>
      <c r="AN1501">
        <v>1</v>
      </c>
      <c r="AO1501">
        <v>2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 s="2">
        <v>1</v>
      </c>
      <c r="BD1501" s="2">
        <v>6</v>
      </c>
      <c r="BE1501" s="2">
        <v>1</v>
      </c>
      <c r="BF1501" s="2">
        <v>0</v>
      </c>
      <c r="BG1501" s="2">
        <v>1</v>
      </c>
      <c r="BH1501" s="2">
        <v>2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f t="shared" si="97"/>
        <v>12</v>
      </c>
      <c r="BW1501" s="16">
        <f t="shared" si="95"/>
        <v>0.63157894736842102</v>
      </c>
      <c r="BX1501" s="16">
        <f>COUNTIF($BC$6:BU1501, "=0") / COUNTIF($BC$6:BU1501, "&gt;-1")</f>
        <v>0.38281030115395442</v>
      </c>
      <c r="BY1501" s="18">
        <f>SUM($BC$6:BU1501) / $BY$4</f>
        <v>0.97958358269097334</v>
      </c>
      <c r="BZ1501" s="14">
        <f t="shared" si="96"/>
        <v>13</v>
      </c>
      <c r="CA1501" t="s">
        <v>5832</v>
      </c>
      <c r="CZ1501" t="s">
        <v>9939</v>
      </c>
      <c r="DA1501" t="s">
        <v>5904</v>
      </c>
      <c r="DB1501">
        <v>1060.0999999999999</v>
      </c>
      <c r="DC1501" t="s">
        <v>25964</v>
      </c>
      <c r="DD1501" t="s">
        <v>13772</v>
      </c>
      <c r="DE1501" t="s">
        <v>25965</v>
      </c>
      <c r="DF1501" t="s">
        <v>25966</v>
      </c>
      <c r="DG1501" t="s">
        <v>25967</v>
      </c>
      <c r="DH1501" t="str">
        <f>"IDUA"</f>
        <v>IDUA</v>
      </c>
      <c r="DI1501" t="s">
        <v>13772</v>
      </c>
      <c r="DJ1501" t="s">
        <v>13777</v>
      </c>
      <c r="DK1501">
        <v>9606</v>
      </c>
      <c r="DL1501" s="34" t="str">
        <f>HYPERLINK("http://www.uniprot.org/uniprot/P35475", "P35475")</f>
        <v>P35475</v>
      </c>
      <c r="DM1501" t="s">
        <v>25968</v>
      </c>
      <c r="DN1501" t="s">
        <v>13772</v>
      </c>
      <c r="DO1501" t="s">
        <v>13806</v>
      </c>
      <c r="DP1501" t="s">
        <v>13780</v>
      </c>
      <c r="DQ1501" t="s">
        <v>13772</v>
      </c>
      <c r="DR1501" t="s">
        <v>21982</v>
      </c>
      <c r="DS1501" t="s">
        <v>13808</v>
      </c>
      <c r="DT1501" t="s">
        <v>13772</v>
      </c>
      <c r="DU1501" t="s">
        <v>15471</v>
      </c>
      <c r="DV1501" t="s">
        <v>13796</v>
      </c>
      <c r="DW1501" t="s">
        <v>13812</v>
      </c>
      <c r="DX1501" t="s">
        <v>25969</v>
      </c>
      <c r="DY1501" t="s">
        <v>25970</v>
      </c>
      <c r="DZ1501" t="s">
        <v>25971</v>
      </c>
      <c r="EA1501" t="s">
        <v>13772</v>
      </c>
      <c r="EB1501" t="s">
        <v>25972</v>
      </c>
    </row>
    <row r="1502" spans="1:132" hidden="1">
      <c r="A1502">
        <v>1355</v>
      </c>
      <c r="B1502">
        <v>1</v>
      </c>
      <c r="C1502" t="s">
        <v>3238</v>
      </c>
      <c r="D1502" t="s">
        <v>3239</v>
      </c>
      <c r="E1502" t="s">
        <v>73</v>
      </c>
      <c r="F1502" t="s">
        <v>73</v>
      </c>
      <c r="G1502" t="s">
        <v>73</v>
      </c>
      <c r="H1502">
        <v>4.2</v>
      </c>
      <c r="I1502">
        <v>1201</v>
      </c>
      <c r="J1502">
        <v>134822</v>
      </c>
      <c r="K1502" t="s">
        <v>3240</v>
      </c>
      <c r="L1502">
        <f t="shared" si="94"/>
        <v>12</v>
      </c>
      <c r="N1502">
        <v>12</v>
      </c>
      <c r="O1502">
        <v>12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3</v>
      </c>
      <c r="AC1502">
        <v>0</v>
      </c>
      <c r="AD1502">
        <v>0</v>
      </c>
      <c r="AE1502">
        <v>1</v>
      </c>
      <c r="AF1502">
        <v>2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3</v>
      </c>
      <c r="AV1502">
        <v>0</v>
      </c>
      <c r="AW1502">
        <v>0</v>
      </c>
      <c r="AX1502">
        <v>1</v>
      </c>
      <c r="AY1502">
        <v>2</v>
      </c>
      <c r="AZ1502">
        <v>1</v>
      </c>
      <c r="BA1502">
        <v>0</v>
      </c>
      <c r="BB150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1</v>
      </c>
      <c r="BK1502" s="2">
        <v>0</v>
      </c>
      <c r="BL1502" s="2">
        <v>0</v>
      </c>
      <c r="BM1502" s="2">
        <v>1</v>
      </c>
      <c r="BN1502" s="2">
        <v>3</v>
      </c>
      <c r="BO1502" s="2">
        <v>0</v>
      </c>
      <c r="BP1502" s="2">
        <v>0</v>
      </c>
      <c r="BQ1502" s="2">
        <v>1</v>
      </c>
      <c r="BR1502" s="2">
        <v>2</v>
      </c>
      <c r="BS1502" s="2">
        <v>1</v>
      </c>
      <c r="BT1502" s="2">
        <v>0</v>
      </c>
      <c r="BU1502" s="2">
        <v>1</v>
      </c>
      <c r="BV1502" s="2">
        <f t="shared" si="97"/>
        <v>12</v>
      </c>
      <c r="BW1502" s="16">
        <f t="shared" si="95"/>
        <v>0.63157894736842102</v>
      </c>
      <c r="BX1502" s="16">
        <f>COUNTIF($BC$6:BU1502, "=0") / COUNTIF($BC$6:BU1502, "&gt;-1")</f>
        <v>0.38290616320360016</v>
      </c>
      <c r="BY1502" s="18">
        <f>SUM($BC$6:BU1502) / $BY$4</f>
        <v>0.97963498633339774</v>
      </c>
      <c r="BZ1502" s="14">
        <f t="shared" si="96"/>
        <v>10</v>
      </c>
      <c r="CA1502" t="s">
        <v>5832</v>
      </c>
      <c r="CZ1502" t="s">
        <v>10260</v>
      </c>
      <c r="DA1502" t="s">
        <v>5904</v>
      </c>
      <c r="DB1502">
        <v>2259.1999999999998</v>
      </c>
      <c r="DC1502" t="s">
        <v>26881</v>
      </c>
      <c r="DD1502" t="s">
        <v>26882</v>
      </c>
      <c r="DE1502" t="s">
        <v>26883</v>
      </c>
      <c r="DF1502" t="s">
        <v>26884</v>
      </c>
      <c r="DG1502" t="s">
        <v>26885</v>
      </c>
      <c r="DH1502" t="str">
        <f>"ADAMTS3"</f>
        <v>ADAMTS3</v>
      </c>
      <c r="DI1502" t="s">
        <v>26886</v>
      </c>
      <c r="DJ1502" t="s">
        <v>13777</v>
      </c>
      <c r="DK1502">
        <v>9606</v>
      </c>
      <c r="DL1502" s="34" t="str">
        <f>HYPERLINK("http://www.uniprot.org/uniprot/O15072", "O15072")</f>
        <v>O15072</v>
      </c>
      <c r="DM1502" t="s">
        <v>26887</v>
      </c>
      <c r="DN1502" t="s">
        <v>13772</v>
      </c>
      <c r="DO1502" t="s">
        <v>13869</v>
      </c>
      <c r="DP1502" t="s">
        <v>13793</v>
      </c>
      <c r="DQ1502" t="s">
        <v>13772</v>
      </c>
      <c r="DR1502" t="s">
        <v>13807</v>
      </c>
      <c r="DS1502" t="s">
        <v>14404</v>
      </c>
      <c r="DT1502" t="s">
        <v>13856</v>
      </c>
      <c r="DU1502" t="s">
        <v>18965</v>
      </c>
      <c r="DV1502" t="s">
        <v>18956</v>
      </c>
      <c r="DW1502" t="s">
        <v>13772</v>
      </c>
      <c r="DX1502" t="s">
        <v>26888</v>
      </c>
      <c r="DY1502" t="s">
        <v>26889</v>
      </c>
      <c r="DZ1502" t="s">
        <v>26890</v>
      </c>
      <c r="EA1502" t="s">
        <v>13772</v>
      </c>
      <c r="EB1502" t="s">
        <v>26891</v>
      </c>
    </row>
    <row r="1503" spans="1:132" hidden="1">
      <c r="A1503">
        <v>1376</v>
      </c>
      <c r="B1503">
        <v>1</v>
      </c>
      <c r="C1503" t="s">
        <v>3291</v>
      </c>
      <c r="D1503" t="s">
        <v>3292</v>
      </c>
      <c r="E1503" t="s">
        <v>73</v>
      </c>
      <c r="F1503" t="s">
        <v>73</v>
      </c>
      <c r="G1503" t="s">
        <v>73</v>
      </c>
      <c r="H1503">
        <v>20.5</v>
      </c>
      <c r="I1503">
        <v>639</v>
      </c>
      <c r="J1503">
        <v>71355</v>
      </c>
      <c r="K1503" t="s">
        <v>3293</v>
      </c>
      <c r="L1503">
        <f t="shared" si="94"/>
        <v>12</v>
      </c>
      <c r="N1503">
        <v>12</v>
      </c>
      <c r="O1503">
        <v>12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2</v>
      </c>
      <c r="V1503">
        <v>0</v>
      </c>
      <c r="W1503">
        <v>0</v>
      </c>
      <c r="X1503">
        <v>0</v>
      </c>
      <c r="Y1503">
        <v>5</v>
      </c>
      <c r="Z1503">
        <v>0</v>
      </c>
      <c r="AA1503">
        <v>1</v>
      </c>
      <c r="AB1503">
        <v>1</v>
      </c>
      <c r="AC1503">
        <v>1</v>
      </c>
      <c r="AD1503">
        <v>0</v>
      </c>
      <c r="AE1503">
        <v>0</v>
      </c>
      <c r="AF1503">
        <v>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2</v>
      </c>
      <c r="AO1503">
        <v>0</v>
      </c>
      <c r="AP1503">
        <v>0</v>
      </c>
      <c r="AQ1503">
        <v>0</v>
      </c>
      <c r="AR1503">
        <v>5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2</v>
      </c>
      <c r="AZ1503">
        <v>0</v>
      </c>
      <c r="BA1503">
        <v>0</v>
      </c>
      <c r="BB1503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2</v>
      </c>
      <c r="BH1503" s="2">
        <v>0</v>
      </c>
      <c r="BI1503" s="2">
        <v>0</v>
      </c>
      <c r="BJ1503" s="2">
        <v>0</v>
      </c>
      <c r="BK1503" s="2">
        <v>5</v>
      </c>
      <c r="BL1503" s="2">
        <v>0</v>
      </c>
      <c r="BM1503" s="2">
        <v>1</v>
      </c>
      <c r="BN1503" s="2">
        <v>1</v>
      </c>
      <c r="BO1503" s="2">
        <v>1</v>
      </c>
      <c r="BP1503" s="2">
        <v>0</v>
      </c>
      <c r="BQ1503" s="2">
        <v>0</v>
      </c>
      <c r="BR1503" s="2">
        <v>2</v>
      </c>
      <c r="BS1503" s="2">
        <v>0</v>
      </c>
      <c r="BT1503" s="2">
        <v>0</v>
      </c>
      <c r="BU1503" s="2">
        <v>0</v>
      </c>
      <c r="BV1503" s="2">
        <f t="shared" si="97"/>
        <v>12</v>
      </c>
      <c r="BW1503" s="16">
        <f t="shared" si="95"/>
        <v>0.63157894736842102</v>
      </c>
      <c r="BX1503" s="16">
        <f>COUNTIF($BC$6:BU1503, "=0") / COUNTIF($BC$6:BU1503, "&gt;-1")</f>
        <v>0.38310730096268708</v>
      </c>
      <c r="BY1503" s="18">
        <f>SUM($BC$6:BU1503) / $BY$4</f>
        <v>0.97968638997582214</v>
      </c>
      <c r="BZ1503" s="14">
        <f t="shared" si="96"/>
        <v>13</v>
      </c>
      <c r="CA1503" t="s">
        <v>5832</v>
      </c>
      <c r="CZ1503" t="s">
        <v>10333</v>
      </c>
      <c r="DA1503" t="s">
        <v>5904</v>
      </c>
      <c r="DB1503">
        <v>1070.0999999999999</v>
      </c>
      <c r="DC1503" t="s">
        <v>27078</v>
      </c>
      <c r="DD1503" t="s">
        <v>27079</v>
      </c>
      <c r="DE1503" t="s">
        <v>27080</v>
      </c>
      <c r="DF1503" t="s">
        <v>27081</v>
      </c>
      <c r="DG1503" t="s">
        <v>27082</v>
      </c>
      <c r="DH1503" t="str">
        <f>"CD2AP"</f>
        <v>CD2AP</v>
      </c>
      <c r="DI1503" t="s">
        <v>13772</v>
      </c>
      <c r="DJ1503" t="s">
        <v>13777</v>
      </c>
      <c r="DK1503">
        <v>9606</v>
      </c>
      <c r="DL1503" s="34" t="str">
        <f>HYPERLINK("http://www.uniprot.org/uniprot/Q9Y5K6", "Q9Y5K6")</f>
        <v>Q9Y5K6</v>
      </c>
      <c r="DM1503" t="s">
        <v>27083</v>
      </c>
      <c r="DN1503" t="s">
        <v>14600</v>
      </c>
      <c r="DO1503" t="s">
        <v>26192</v>
      </c>
      <c r="DP1503" t="s">
        <v>13793</v>
      </c>
      <c r="DQ1503" t="s">
        <v>13772</v>
      </c>
      <c r="DR1503" t="s">
        <v>13772</v>
      </c>
      <c r="DS1503" t="s">
        <v>27084</v>
      </c>
      <c r="DT1503" t="s">
        <v>13772</v>
      </c>
      <c r="DU1503" t="s">
        <v>13772</v>
      </c>
      <c r="DV1503" t="s">
        <v>13938</v>
      </c>
      <c r="DW1503" t="s">
        <v>13812</v>
      </c>
      <c r="DX1503" t="s">
        <v>27085</v>
      </c>
      <c r="DY1503" t="s">
        <v>27086</v>
      </c>
      <c r="DZ1503" t="s">
        <v>27087</v>
      </c>
      <c r="EA1503" t="s">
        <v>13772</v>
      </c>
      <c r="EB1503" t="s">
        <v>27088</v>
      </c>
    </row>
    <row r="1504" spans="1:132" hidden="1">
      <c r="A1504">
        <v>1520</v>
      </c>
      <c r="B1504">
        <v>1</v>
      </c>
      <c r="C1504" t="s">
        <v>3618</v>
      </c>
      <c r="D1504" t="s">
        <v>3619</v>
      </c>
      <c r="E1504" t="s">
        <v>73</v>
      </c>
      <c r="F1504" t="s">
        <v>73</v>
      </c>
      <c r="G1504" t="s">
        <v>73</v>
      </c>
      <c r="H1504">
        <v>6.2</v>
      </c>
      <c r="I1504">
        <v>624</v>
      </c>
      <c r="J1504">
        <v>68917</v>
      </c>
      <c r="K1504" t="s">
        <v>3620</v>
      </c>
      <c r="L1504">
        <f t="shared" si="94"/>
        <v>12</v>
      </c>
      <c r="N1504">
        <v>12</v>
      </c>
      <c r="O1504">
        <v>12</v>
      </c>
      <c r="P1504">
        <v>1</v>
      </c>
      <c r="Q1504">
        <v>0</v>
      </c>
      <c r="R1504">
        <v>2</v>
      </c>
      <c r="S1504">
        <v>1</v>
      </c>
      <c r="T1504">
        <v>0</v>
      </c>
      <c r="U1504">
        <v>0</v>
      </c>
      <c r="V1504">
        <v>1</v>
      </c>
      <c r="W1504">
        <v>3</v>
      </c>
      <c r="X1504">
        <v>2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2</v>
      </c>
      <c r="AL1504">
        <v>1</v>
      </c>
      <c r="AM1504">
        <v>0</v>
      </c>
      <c r="AN1504">
        <v>0</v>
      </c>
      <c r="AO1504">
        <v>1</v>
      </c>
      <c r="AP1504">
        <v>3</v>
      </c>
      <c r="AQ1504">
        <v>2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1</v>
      </c>
      <c r="BB1504">
        <v>0</v>
      </c>
      <c r="BC1504" s="2">
        <v>0</v>
      </c>
      <c r="BD1504" s="2">
        <v>2</v>
      </c>
      <c r="BE1504" s="2">
        <v>1</v>
      </c>
      <c r="BF1504" s="2">
        <v>0</v>
      </c>
      <c r="BG1504" s="2">
        <v>0</v>
      </c>
      <c r="BH1504" s="2">
        <v>1</v>
      </c>
      <c r="BI1504" s="2">
        <v>3</v>
      </c>
      <c r="BJ1504" s="2">
        <v>2</v>
      </c>
      <c r="BK1504" s="2">
        <v>0</v>
      </c>
      <c r="BL1504" s="2">
        <v>0</v>
      </c>
      <c r="BM1504" s="2">
        <v>0</v>
      </c>
      <c r="BN1504" s="2">
        <v>1</v>
      </c>
      <c r="BO1504" s="2">
        <v>0</v>
      </c>
      <c r="BP1504" s="2">
        <v>0</v>
      </c>
      <c r="BQ1504" s="2">
        <v>0</v>
      </c>
      <c r="BR1504" s="2">
        <v>1</v>
      </c>
      <c r="BS1504" s="2">
        <v>0</v>
      </c>
      <c r="BT1504" s="2">
        <v>1</v>
      </c>
      <c r="BU1504" s="2">
        <v>0</v>
      </c>
      <c r="BV1504" s="2">
        <f t="shared" si="97"/>
        <v>12</v>
      </c>
      <c r="BW1504" s="16">
        <f t="shared" si="95"/>
        <v>0.63157894736842102</v>
      </c>
      <c r="BX1504" s="16">
        <f>COUNTIF($BC$6:BU1504, "=0") / COUNTIF($BC$6:BU1504, "&gt;-1")</f>
        <v>0.38323794810575473</v>
      </c>
      <c r="BY1504" s="18">
        <f>SUM($BC$6:BU1504) / $BY$4</f>
        <v>0.97973779361824653</v>
      </c>
      <c r="BZ1504" s="14">
        <f t="shared" si="96"/>
        <v>11</v>
      </c>
      <c r="CA1504" t="s">
        <v>5832</v>
      </c>
      <c r="CZ1504" t="s">
        <v>10803</v>
      </c>
      <c r="DA1504" t="s">
        <v>5904</v>
      </c>
      <c r="DB1504">
        <v>1087.8</v>
      </c>
      <c r="DC1504" t="s">
        <v>28382</v>
      </c>
      <c r="DD1504" t="s">
        <v>28383</v>
      </c>
      <c r="DE1504" t="s">
        <v>28384</v>
      </c>
      <c r="DF1504" t="s">
        <v>28385</v>
      </c>
      <c r="DG1504" t="s">
        <v>28386</v>
      </c>
      <c r="DH1504" t="str">
        <f>"SNX18"</f>
        <v>SNX18</v>
      </c>
      <c r="DI1504" t="s">
        <v>28387</v>
      </c>
      <c r="DJ1504" t="s">
        <v>13777</v>
      </c>
      <c r="DK1504">
        <v>9606</v>
      </c>
      <c r="DL1504" s="34" t="str">
        <f>HYPERLINK("http://www.uniprot.org/uniprot/Q96RF0", "Q96RF0")</f>
        <v>Q96RF0</v>
      </c>
      <c r="DM1504" t="s">
        <v>28388</v>
      </c>
      <c r="DN1504" t="s">
        <v>28389</v>
      </c>
      <c r="DO1504" t="s">
        <v>14895</v>
      </c>
      <c r="DP1504" t="s">
        <v>13780</v>
      </c>
      <c r="DQ1504" t="s">
        <v>13772</v>
      </c>
      <c r="DR1504" t="s">
        <v>13772</v>
      </c>
      <c r="DS1504" t="s">
        <v>18604</v>
      </c>
      <c r="DT1504" t="s">
        <v>13900</v>
      </c>
      <c r="DU1504" t="s">
        <v>13772</v>
      </c>
      <c r="DV1504" t="s">
        <v>13772</v>
      </c>
      <c r="DW1504" t="s">
        <v>13772</v>
      </c>
      <c r="DX1504" t="s">
        <v>28390</v>
      </c>
      <c r="DY1504" t="s">
        <v>28391</v>
      </c>
      <c r="DZ1504" t="s">
        <v>28392</v>
      </c>
      <c r="EA1504" t="s">
        <v>13772</v>
      </c>
      <c r="EB1504" t="s">
        <v>18627</v>
      </c>
    </row>
    <row r="1505" spans="1:132" hidden="1">
      <c r="A1505">
        <v>1559</v>
      </c>
      <c r="B1505">
        <v>1</v>
      </c>
      <c r="C1505" t="s">
        <v>3696</v>
      </c>
      <c r="D1505" t="s">
        <v>3697</v>
      </c>
      <c r="E1505" t="s">
        <v>73</v>
      </c>
      <c r="F1505" t="s">
        <v>73</v>
      </c>
      <c r="G1505" t="s">
        <v>73</v>
      </c>
      <c r="H1505">
        <v>10.5</v>
      </c>
      <c r="I1505">
        <v>687</v>
      </c>
      <c r="J1505">
        <v>74015</v>
      </c>
      <c r="K1505" t="s">
        <v>3698</v>
      </c>
      <c r="L1505">
        <f t="shared" si="94"/>
        <v>12</v>
      </c>
      <c r="N1505">
        <v>12</v>
      </c>
      <c r="O1505">
        <v>12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3</v>
      </c>
      <c r="Z1505">
        <v>0</v>
      </c>
      <c r="AA1505">
        <v>5</v>
      </c>
      <c r="AB1505">
        <v>3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3</v>
      </c>
      <c r="AS1505">
        <v>0</v>
      </c>
      <c r="AT1505">
        <v>5</v>
      </c>
      <c r="AU1505">
        <v>3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3</v>
      </c>
      <c r="BL1505" s="2">
        <v>0</v>
      </c>
      <c r="BM1505" s="2">
        <v>5</v>
      </c>
      <c r="BN1505" s="2">
        <v>3</v>
      </c>
      <c r="BO1505" s="2">
        <v>0</v>
      </c>
      <c r="BP1505" s="2">
        <v>0</v>
      </c>
      <c r="BQ1505" s="2">
        <v>1</v>
      </c>
      <c r="BR1505" s="2">
        <v>0</v>
      </c>
      <c r="BS1505" s="2">
        <v>0</v>
      </c>
      <c r="BT1505" s="2">
        <v>0</v>
      </c>
      <c r="BU1505" s="2">
        <v>0</v>
      </c>
      <c r="BV1505" s="2">
        <f t="shared" si="97"/>
        <v>12</v>
      </c>
      <c r="BW1505" s="16">
        <f t="shared" si="95"/>
        <v>0.63157894736842102</v>
      </c>
      <c r="BX1505" s="16">
        <f>COUNTIF($BC$6:BU1505, "=0") / COUNTIF($BC$6:BU1505, "&gt;-1")</f>
        <v>0.38350877192982458</v>
      </c>
      <c r="BY1505" s="18">
        <f>SUM($BC$6:BU1505) / $BY$4</f>
        <v>0.97978919726067093</v>
      </c>
      <c r="BZ1505" s="14">
        <f t="shared" si="96"/>
        <v>15</v>
      </c>
      <c r="CA1505" t="s">
        <v>5832</v>
      </c>
      <c r="CZ1505" t="s">
        <v>10936</v>
      </c>
      <c r="DA1505" t="s">
        <v>5904</v>
      </c>
      <c r="DB1505">
        <v>1154.4000000000001</v>
      </c>
      <c r="DC1505" t="s">
        <v>28756</v>
      </c>
      <c r="DD1505" t="s">
        <v>28757</v>
      </c>
      <c r="DE1505" t="s">
        <v>28758</v>
      </c>
      <c r="DF1505" t="s">
        <v>28759</v>
      </c>
      <c r="DG1505" t="s">
        <v>28760</v>
      </c>
      <c r="DH1505" t="str">
        <f>"DPYSL3"</f>
        <v>DPYSL3</v>
      </c>
      <c r="DI1505" t="s">
        <v>28761</v>
      </c>
      <c r="DJ1505" t="s">
        <v>13777</v>
      </c>
      <c r="DK1505">
        <v>9606</v>
      </c>
      <c r="DL1505" s="34" t="str">
        <f>HYPERLINK("http://www.uniprot.org/uniprot/Q14195", "Q14195")</f>
        <v>Q14195</v>
      </c>
      <c r="DM1505" t="s">
        <v>28762</v>
      </c>
      <c r="DN1505" t="s">
        <v>13772</v>
      </c>
      <c r="DO1505" t="s">
        <v>15370</v>
      </c>
      <c r="DP1505" t="s">
        <v>13780</v>
      </c>
      <c r="DQ1505" t="s">
        <v>13772</v>
      </c>
      <c r="DR1505" t="s">
        <v>13772</v>
      </c>
      <c r="DS1505" t="s">
        <v>13772</v>
      </c>
      <c r="DT1505" t="s">
        <v>13772</v>
      </c>
      <c r="DU1505" t="s">
        <v>13772</v>
      </c>
      <c r="DV1505" t="s">
        <v>13782</v>
      </c>
      <c r="DW1505" t="s">
        <v>13812</v>
      </c>
      <c r="DX1505" t="s">
        <v>28763</v>
      </c>
      <c r="DY1505" t="s">
        <v>28764</v>
      </c>
      <c r="DZ1505" t="s">
        <v>28765</v>
      </c>
      <c r="EA1505" t="s">
        <v>13772</v>
      </c>
      <c r="EB1505" t="s">
        <v>28766</v>
      </c>
    </row>
    <row r="1506" spans="1:132" hidden="1">
      <c r="A1506">
        <v>1562</v>
      </c>
      <c r="B1506">
        <v>1</v>
      </c>
      <c r="C1506" t="s">
        <v>3703</v>
      </c>
      <c r="D1506" t="s">
        <v>73</v>
      </c>
      <c r="E1506" t="s">
        <v>73</v>
      </c>
      <c r="F1506" t="s">
        <v>73</v>
      </c>
      <c r="G1506" t="s">
        <v>73</v>
      </c>
      <c r="H1506">
        <v>33</v>
      </c>
      <c r="I1506">
        <v>309</v>
      </c>
      <c r="J1506">
        <v>35594</v>
      </c>
      <c r="K1506" t="s">
        <v>3704</v>
      </c>
      <c r="L1506">
        <f t="shared" si="94"/>
        <v>12</v>
      </c>
      <c r="N1506">
        <v>12</v>
      </c>
      <c r="O1506">
        <v>12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4</v>
      </c>
      <c r="Y1506">
        <v>2</v>
      </c>
      <c r="Z1506">
        <v>0</v>
      </c>
      <c r="AA1506">
        <v>4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4</v>
      </c>
      <c r="AR1506">
        <v>2</v>
      </c>
      <c r="AS1506">
        <v>0</v>
      </c>
      <c r="AT1506">
        <v>4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</v>
      </c>
      <c r="BI1506" s="2">
        <v>0</v>
      </c>
      <c r="BJ1506" s="2">
        <v>4</v>
      </c>
      <c r="BK1506" s="2">
        <v>2</v>
      </c>
      <c r="BL1506" s="2">
        <v>0</v>
      </c>
      <c r="BM1506" s="2">
        <v>4</v>
      </c>
      <c r="BN1506" s="2">
        <v>0</v>
      </c>
      <c r="BO1506" s="2">
        <v>0</v>
      </c>
      <c r="BP1506" s="2">
        <v>0</v>
      </c>
      <c r="BQ1506" s="2">
        <v>0</v>
      </c>
      <c r="BR1506" s="2">
        <v>1</v>
      </c>
      <c r="BS1506" s="2">
        <v>0</v>
      </c>
      <c r="BT1506" s="2">
        <v>0</v>
      </c>
      <c r="BU1506" s="2">
        <v>0</v>
      </c>
      <c r="BV1506" s="2">
        <f t="shared" si="97"/>
        <v>12</v>
      </c>
      <c r="BW1506" s="16">
        <f t="shared" si="95"/>
        <v>0.63157894736842102</v>
      </c>
      <c r="BX1506" s="16">
        <f>COUNTIF($BC$6:BU1506, "=0") / COUNTIF($BC$6:BU1506, "&gt;-1")</f>
        <v>0.38374417055296467</v>
      </c>
      <c r="BY1506" s="18">
        <f>SUM($BC$6:BU1506) / $BY$4</f>
        <v>0.97984060090309533</v>
      </c>
      <c r="BZ1506" s="14">
        <f t="shared" si="96"/>
        <v>14</v>
      </c>
      <c r="CA1506" t="s">
        <v>5832</v>
      </c>
      <c r="CZ1506" t="s">
        <v>10945</v>
      </c>
      <c r="DA1506" t="s">
        <v>5904</v>
      </c>
      <c r="DB1506">
        <v>649.4</v>
      </c>
      <c r="DC1506" t="s">
        <v>28786</v>
      </c>
      <c r="DD1506" t="s">
        <v>28787</v>
      </c>
      <c r="DE1506" t="s">
        <v>28788</v>
      </c>
      <c r="DF1506" t="s">
        <v>28789</v>
      </c>
      <c r="DG1506" t="s">
        <v>28790</v>
      </c>
      <c r="DH1506" t="str">
        <f>"PPP2CA"</f>
        <v>PPP2CA</v>
      </c>
      <c r="DI1506" t="s">
        <v>13772</v>
      </c>
      <c r="DJ1506" t="s">
        <v>13777</v>
      </c>
      <c r="DK1506">
        <v>9606</v>
      </c>
      <c r="DL1506" s="34" t="str">
        <f>HYPERLINK("http://www.uniprot.org/uniprot/P67775", "P67775")</f>
        <v>P67775</v>
      </c>
      <c r="DM1506" t="s">
        <v>28791</v>
      </c>
      <c r="DN1506" t="s">
        <v>28792</v>
      </c>
      <c r="DO1506" t="s">
        <v>28793</v>
      </c>
      <c r="DP1506" t="s">
        <v>13780</v>
      </c>
      <c r="DQ1506" t="s">
        <v>13772</v>
      </c>
      <c r="DR1506" t="s">
        <v>13772</v>
      </c>
      <c r="DS1506" t="s">
        <v>13772</v>
      </c>
      <c r="DT1506" t="s">
        <v>15674</v>
      </c>
      <c r="DU1506" t="s">
        <v>16320</v>
      </c>
      <c r="DV1506" t="s">
        <v>17083</v>
      </c>
      <c r="DW1506" t="s">
        <v>13812</v>
      </c>
      <c r="DX1506" t="s">
        <v>28794</v>
      </c>
      <c r="DY1506" t="s">
        <v>28795</v>
      </c>
      <c r="DZ1506" t="s">
        <v>28796</v>
      </c>
      <c r="EA1506" t="s">
        <v>13772</v>
      </c>
      <c r="EB1506" t="s">
        <v>28797</v>
      </c>
    </row>
    <row r="1507" spans="1:132" hidden="1">
      <c r="A1507">
        <v>1697</v>
      </c>
      <c r="B1507">
        <v>1</v>
      </c>
      <c r="C1507" t="s">
        <v>4024</v>
      </c>
      <c r="D1507" t="s">
        <v>73</v>
      </c>
      <c r="E1507" t="s">
        <v>73</v>
      </c>
      <c r="F1507" t="s">
        <v>73</v>
      </c>
      <c r="G1507" t="s">
        <v>73</v>
      </c>
      <c r="H1507">
        <v>63.6</v>
      </c>
      <c r="I1507">
        <v>118</v>
      </c>
      <c r="J1507">
        <v>13170</v>
      </c>
      <c r="K1507" t="s">
        <v>4025</v>
      </c>
      <c r="L1507">
        <f t="shared" si="94"/>
        <v>12</v>
      </c>
      <c r="N1507">
        <v>12</v>
      </c>
      <c r="O1507">
        <v>12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</v>
      </c>
      <c r="Y1507">
        <v>4</v>
      </c>
      <c r="Z1507">
        <v>0</v>
      </c>
      <c r="AA1507">
        <v>2</v>
      </c>
      <c r="AB1507">
        <v>0</v>
      </c>
      <c r="AC1507">
        <v>0</v>
      </c>
      <c r="AD1507">
        <v>0</v>
      </c>
      <c r="AE1507">
        <v>2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</v>
      </c>
      <c r="AR1507">
        <v>4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2</v>
      </c>
      <c r="AY1507">
        <v>1</v>
      </c>
      <c r="AZ1507">
        <v>0</v>
      </c>
      <c r="BA1507">
        <v>0</v>
      </c>
      <c r="BB1507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3</v>
      </c>
      <c r="BK1507" s="2">
        <v>4</v>
      </c>
      <c r="BL1507" s="2">
        <v>0</v>
      </c>
      <c r="BM1507" s="2">
        <v>2</v>
      </c>
      <c r="BN1507" s="2">
        <v>0</v>
      </c>
      <c r="BO1507" s="2">
        <v>0</v>
      </c>
      <c r="BP1507" s="2">
        <v>0</v>
      </c>
      <c r="BQ1507" s="2">
        <v>2</v>
      </c>
      <c r="BR1507" s="2">
        <v>1</v>
      </c>
      <c r="BS1507" s="2">
        <v>0</v>
      </c>
      <c r="BT1507" s="2">
        <v>0</v>
      </c>
      <c r="BU1507" s="2">
        <v>0</v>
      </c>
      <c r="BV1507" s="2">
        <f t="shared" si="97"/>
        <v>12</v>
      </c>
      <c r="BW1507" s="16">
        <f t="shared" si="95"/>
        <v>0.63157894736842102</v>
      </c>
      <c r="BX1507" s="16">
        <f>COUNTIF($BC$6:BU1507, "=0") / COUNTIF($BC$6:BU1507, "&gt;-1")</f>
        <v>0.38397925572920316</v>
      </c>
      <c r="BY1507" s="18">
        <f>SUM($BC$6:BU1507) / $BY$4</f>
        <v>0.97989200454551972</v>
      </c>
      <c r="BZ1507" s="14">
        <f t="shared" si="96"/>
        <v>14</v>
      </c>
      <c r="CA1507" t="s">
        <v>5832</v>
      </c>
      <c r="CZ1507" t="s">
        <v>11409</v>
      </c>
      <c r="DA1507" t="s">
        <v>5904</v>
      </c>
      <c r="DB1507">
        <v>235</v>
      </c>
      <c r="DC1507" t="s">
        <v>30079</v>
      </c>
      <c r="DD1507" t="s">
        <v>30080</v>
      </c>
      <c r="DE1507" t="s">
        <v>30081</v>
      </c>
      <c r="DF1507" t="s">
        <v>30082</v>
      </c>
      <c r="DG1507" t="s">
        <v>30083</v>
      </c>
      <c r="DH1507" t="str">
        <f>"ELOB"</f>
        <v>ELOB</v>
      </c>
      <c r="DI1507" t="s">
        <v>30084</v>
      </c>
      <c r="DJ1507" t="s">
        <v>13777</v>
      </c>
      <c r="DK1507">
        <v>9606</v>
      </c>
      <c r="DL1507" s="34" t="str">
        <f>HYPERLINK("http://www.uniprot.org/uniprot/Q15370", "Q15370")</f>
        <v>Q15370</v>
      </c>
      <c r="DM1507" t="s">
        <v>30085</v>
      </c>
      <c r="DN1507" t="s">
        <v>17636</v>
      </c>
      <c r="DO1507" t="s">
        <v>14825</v>
      </c>
      <c r="DP1507" t="s">
        <v>13841</v>
      </c>
      <c r="DQ1507" t="s">
        <v>13772</v>
      </c>
      <c r="DR1507" t="s">
        <v>13772</v>
      </c>
      <c r="DS1507" t="s">
        <v>13772</v>
      </c>
      <c r="DT1507" t="s">
        <v>13772</v>
      </c>
      <c r="DU1507" t="s">
        <v>13772</v>
      </c>
      <c r="DV1507" t="s">
        <v>13886</v>
      </c>
      <c r="DW1507" t="s">
        <v>13812</v>
      </c>
      <c r="DX1507" t="s">
        <v>30086</v>
      </c>
      <c r="DY1507" t="s">
        <v>30087</v>
      </c>
      <c r="DZ1507" t="s">
        <v>30088</v>
      </c>
      <c r="EA1507" t="s">
        <v>14116</v>
      </c>
      <c r="EB1507" t="s">
        <v>30089</v>
      </c>
    </row>
    <row r="1508" spans="1:132" hidden="1">
      <c r="A1508">
        <v>1716</v>
      </c>
      <c r="B1508">
        <v>1</v>
      </c>
      <c r="C1508" t="s">
        <v>4060</v>
      </c>
      <c r="D1508" t="s">
        <v>73</v>
      </c>
      <c r="E1508" t="s">
        <v>73</v>
      </c>
      <c r="F1508" t="s">
        <v>73</v>
      </c>
      <c r="G1508" t="s">
        <v>73</v>
      </c>
      <c r="H1508">
        <v>20</v>
      </c>
      <c r="I1508">
        <v>421</v>
      </c>
      <c r="J1508">
        <v>46504</v>
      </c>
      <c r="K1508" t="s">
        <v>4061</v>
      </c>
      <c r="L1508">
        <f t="shared" si="94"/>
        <v>12</v>
      </c>
      <c r="N1508">
        <v>12</v>
      </c>
      <c r="O1508">
        <v>12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3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5</v>
      </c>
      <c r="AC1508">
        <v>0</v>
      </c>
      <c r="AD1508">
        <v>0</v>
      </c>
      <c r="AE1508">
        <v>0</v>
      </c>
      <c r="AF1508">
        <v>0</v>
      </c>
      <c r="AG1508">
        <v>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5</v>
      </c>
      <c r="AV1508">
        <v>0</v>
      </c>
      <c r="AW1508">
        <v>0</v>
      </c>
      <c r="AX1508">
        <v>0</v>
      </c>
      <c r="AY1508">
        <v>0</v>
      </c>
      <c r="AZ1508">
        <v>2</v>
      </c>
      <c r="BA1508">
        <v>0</v>
      </c>
      <c r="BB1508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3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1</v>
      </c>
      <c r="BN1508" s="2">
        <v>5</v>
      </c>
      <c r="BO1508" s="2">
        <v>0</v>
      </c>
      <c r="BP1508" s="2">
        <v>0</v>
      </c>
      <c r="BQ1508" s="2">
        <v>0</v>
      </c>
      <c r="BR1508" s="2">
        <v>0</v>
      </c>
      <c r="BS1508" s="2">
        <v>2</v>
      </c>
      <c r="BT1508" s="2">
        <v>0</v>
      </c>
      <c r="BU1508" s="2">
        <v>0</v>
      </c>
      <c r="BV1508" s="2">
        <f t="shared" si="97"/>
        <v>12</v>
      </c>
      <c r="BW1508" s="16">
        <f t="shared" si="95"/>
        <v>0.63157894736842102</v>
      </c>
      <c r="BX1508" s="16">
        <f>COUNTIF($BC$6:BU1508, "=0") / COUNTIF($BC$6:BU1508, "&gt;-1")</f>
        <v>0.38421402808418254</v>
      </c>
      <c r="BY1508" s="18">
        <f>SUM($BC$6:BU1508) / $BY$4</f>
        <v>0.97994340818794412</v>
      </c>
      <c r="BZ1508" s="14">
        <f t="shared" si="96"/>
        <v>14</v>
      </c>
      <c r="CA1508" t="s">
        <v>5832</v>
      </c>
      <c r="CZ1508" t="s">
        <v>11467</v>
      </c>
      <c r="DA1508" t="s">
        <v>5904</v>
      </c>
      <c r="DB1508">
        <v>798.5</v>
      </c>
      <c r="DC1508" t="s">
        <v>30238</v>
      </c>
      <c r="DD1508" t="s">
        <v>13772</v>
      </c>
      <c r="DE1508" t="s">
        <v>30239</v>
      </c>
      <c r="DF1508" t="s">
        <v>30240</v>
      </c>
      <c r="DG1508" t="s">
        <v>30241</v>
      </c>
      <c r="DH1508" t="str">
        <f>"ACADM"</f>
        <v>ACADM</v>
      </c>
      <c r="DI1508" t="s">
        <v>13772</v>
      </c>
      <c r="DJ1508" t="s">
        <v>13777</v>
      </c>
      <c r="DK1508">
        <v>9606</v>
      </c>
      <c r="DL1508" s="34" t="str">
        <f>HYPERLINK("http://www.uniprot.org/uniprot/P11310", "P11310")</f>
        <v>P11310</v>
      </c>
      <c r="DM1508" t="s">
        <v>30242</v>
      </c>
      <c r="DN1508" t="s">
        <v>14430</v>
      </c>
      <c r="DO1508" t="s">
        <v>14491</v>
      </c>
      <c r="DP1508" t="s">
        <v>13780</v>
      </c>
      <c r="DQ1508" t="s">
        <v>13772</v>
      </c>
      <c r="DR1508" t="s">
        <v>13807</v>
      </c>
      <c r="DS1508" t="s">
        <v>14391</v>
      </c>
      <c r="DT1508" t="s">
        <v>15580</v>
      </c>
      <c r="DU1508" t="s">
        <v>13885</v>
      </c>
      <c r="DV1508" t="s">
        <v>13886</v>
      </c>
      <c r="DW1508" t="s">
        <v>13812</v>
      </c>
      <c r="DX1508" t="s">
        <v>30243</v>
      </c>
      <c r="DY1508" t="s">
        <v>30244</v>
      </c>
      <c r="DZ1508" t="s">
        <v>30245</v>
      </c>
      <c r="EA1508" t="s">
        <v>30246</v>
      </c>
      <c r="EB1508" t="s">
        <v>30247</v>
      </c>
    </row>
    <row r="1509" spans="1:132" hidden="1">
      <c r="A1509">
        <v>1742</v>
      </c>
      <c r="B1509">
        <v>1</v>
      </c>
      <c r="C1509" t="s">
        <v>4118</v>
      </c>
      <c r="D1509" t="s">
        <v>4119</v>
      </c>
      <c r="E1509" t="s">
        <v>73</v>
      </c>
      <c r="F1509" t="s">
        <v>73</v>
      </c>
      <c r="G1509" t="s">
        <v>73</v>
      </c>
      <c r="H1509">
        <v>21.8</v>
      </c>
      <c r="I1509">
        <v>243</v>
      </c>
      <c r="J1509">
        <v>27259</v>
      </c>
      <c r="K1509" t="s">
        <v>4120</v>
      </c>
      <c r="L1509">
        <f t="shared" si="94"/>
        <v>12</v>
      </c>
      <c r="N1509">
        <v>12</v>
      </c>
      <c r="O1509">
        <v>12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2</v>
      </c>
      <c r="Z1509">
        <v>0</v>
      </c>
      <c r="AA1509">
        <v>2</v>
      </c>
      <c r="AB1509">
        <v>0</v>
      </c>
      <c r="AC1509">
        <v>1</v>
      </c>
      <c r="AD1509">
        <v>0</v>
      </c>
      <c r="AE1509">
        <v>1</v>
      </c>
      <c r="AF1509">
        <v>3</v>
      </c>
      <c r="AG1509">
        <v>0</v>
      </c>
      <c r="AH1509">
        <v>0</v>
      </c>
      <c r="AI1509">
        <v>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2</v>
      </c>
      <c r="AS1509">
        <v>0</v>
      </c>
      <c r="AT1509">
        <v>2</v>
      </c>
      <c r="AU1509">
        <v>0</v>
      </c>
      <c r="AV1509">
        <v>1</v>
      </c>
      <c r="AW1509">
        <v>0</v>
      </c>
      <c r="AX1509">
        <v>1</v>
      </c>
      <c r="AY1509">
        <v>3</v>
      </c>
      <c r="AZ1509">
        <v>0</v>
      </c>
      <c r="BA1509">
        <v>0</v>
      </c>
      <c r="BB1509">
        <v>2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2</v>
      </c>
      <c r="BL1509" s="2">
        <v>0</v>
      </c>
      <c r="BM1509" s="2">
        <v>2</v>
      </c>
      <c r="BN1509" s="2">
        <v>0</v>
      </c>
      <c r="BO1509" s="2">
        <v>1</v>
      </c>
      <c r="BP1509" s="2">
        <v>0</v>
      </c>
      <c r="BQ1509" s="2">
        <v>1</v>
      </c>
      <c r="BR1509" s="2">
        <v>3</v>
      </c>
      <c r="BS1509" s="2">
        <v>0</v>
      </c>
      <c r="BT1509" s="2">
        <v>0</v>
      </c>
      <c r="BU1509" s="2">
        <v>2</v>
      </c>
      <c r="BV1509" s="2">
        <f t="shared" si="97"/>
        <v>12</v>
      </c>
      <c r="BW1509" s="16">
        <f t="shared" si="95"/>
        <v>0.63157894736842102</v>
      </c>
      <c r="BX1509" s="16">
        <f>COUNTIF($BC$6:BU1509, "=0") / COUNTIF($BC$6:BU1509, "&gt;-1")</f>
        <v>0.38437849944008956</v>
      </c>
      <c r="BY1509" s="18">
        <f>SUM($BC$6:BU1509) / $BY$4</f>
        <v>0.97999481183036852</v>
      </c>
      <c r="BZ1509" s="14">
        <f t="shared" si="96"/>
        <v>12</v>
      </c>
      <c r="CA1509" t="s">
        <v>5832</v>
      </c>
      <c r="CZ1509" t="s">
        <v>11555</v>
      </c>
      <c r="DA1509" t="s">
        <v>5904</v>
      </c>
      <c r="DB1509">
        <v>451.4</v>
      </c>
      <c r="DC1509" t="s">
        <v>30497</v>
      </c>
      <c r="DD1509" t="s">
        <v>30498</v>
      </c>
      <c r="DE1509" t="s">
        <v>30499</v>
      </c>
      <c r="DF1509" t="s">
        <v>30500</v>
      </c>
      <c r="DG1509" t="s">
        <v>30501</v>
      </c>
      <c r="DH1509" t="str">
        <f>"NUCKS1"</f>
        <v>NUCKS1</v>
      </c>
      <c r="DI1509" t="s">
        <v>30502</v>
      </c>
      <c r="DJ1509" t="s">
        <v>13777</v>
      </c>
      <c r="DK1509">
        <v>9606</v>
      </c>
      <c r="DL1509" s="34" t="str">
        <f>HYPERLINK("http://www.uniprot.org/uniprot/Q9H1E3", "Q9H1E3")</f>
        <v>Q9H1E3</v>
      </c>
      <c r="DM1509" t="s">
        <v>30503</v>
      </c>
      <c r="DN1509" t="s">
        <v>13772</v>
      </c>
      <c r="DO1509" t="s">
        <v>14825</v>
      </c>
      <c r="DP1509" t="s">
        <v>13780</v>
      </c>
      <c r="DQ1509" t="s">
        <v>13772</v>
      </c>
      <c r="DR1509" t="s">
        <v>13772</v>
      </c>
      <c r="DS1509" t="s">
        <v>13772</v>
      </c>
      <c r="DT1509" t="s">
        <v>13772</v>
      </c>
      <c r="DU1509" t="s">
        <v>13772</v>
      </c>
      <c r="DV1509" t="s">
        <v>13782</v>
      </c>
      <c r="DW1509" t="s">
        <v>13772</v>
      </c>
      <c r="DX1509" t="s">
        <v>30504</v>
      </c>
      <c r="DY1509" t="s">
        <v>30505</v>
      </c>
      <c r="DZ1509" t="s">
        <v>30506</v>
      </c>
      <c r="EA1509" t="s">
        <v>13772</v>
      </c>
      <c r="EB1509" t="s">
        <v>13772</v>
      </c>
    </row>
    <row r="1510" spans="1:132" hidden="1">
      <c r="A1510">
        <v>1796</v>
      </c>
      <c r="B1510">
        <v>1</v>
      </c>
      <c r="C1510" t="s">
        <v>4247</v>
      </c>
      <c r="D1510" t="s">
        <v>73</v>
      </c>
      <c r="E1510" t="s">
        <v>73</v>
      </c>
      <c r="F1510" t="s">
        <v>73</v>
      </c>
      <c r="G1510" t="s">
        <v>73</v>
      </c>
      <c r="H1510">
        <v>4.5</v>
      </c>
      <c r="I1510">
        <v>649</v>
      </c>
      <c r="J1510">
        <v>73992</v>
      </c>
      <c r="K1510" t="s">
        <v>4248</v>
      </c>
      <c r="L1510">
        <f t="shared" si="94"/>
        <v>12</v>
      </c>
      <c r="N1510">
        <v>12</v>
      </c>
      <c r="O1510">
        <v>12</v>
      </c>
      <c r="P1510">
        <v>1</v>
      </c>
      <c r="Q1510">
        <v>0</v>
      </c>
      <c r="R1510">
        <v>1</v>
      </c>
      <c r="S1510">
        <v>3</v>
      </c>
      <c r="T1510">
        <v>3</v>
      </c>
      <c r="U1510">
        <v>1</v>
      </c>
      <c r="V1510">
        <v>1</v>
      </c>
      <c r="W1510">
        <v>1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3</v>
      </c>
      <c r="AM1510">
        <v>3</v>
      </c>
      <c r="AN1510">
        <v>1</v>
      </c>
      <c r="AO1510">
        <v>1</v>
      </c>
      <c r="AP1510">
        <v>1</v>
      </c>
      <c r="AQ1510">
        <v>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s="2">
        <v>0</v>
      </c>
      <c r="BD1510" s="2">
        <v>1</v>
      </c>
      <c r="BE1510" s="2">
        <v>3</v>
      </c>
      <c r="BF1510" s="2">
        <v>3</v>
      </c>
      <c r="BG1510" s="2">
        <v>1</v>
      </c>
      <c r="BH1510" s="2">
        <v>1</v>
      </c>
      <c r="BI1510" s="2">
        <v>1</v>
      </c>
      <c r="BJ1510" s="2">
        <v>2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f t="shared" si="97"/>
        <v>12</v>
      </c>
      <c r="BW1510" s="16">
        <f t="shared" si="95"/>
        <v>0.63157894736842102</v>
      </c>
      <c r="BX1510" s="16">
        <f>COUNTIF($BC$6:BU1510, "=0") / COUNTIF($BC$6:BU1510, "&gt;-1")</f>
        <v>0.38454275222941076</v>
      </c>
      <c r="BY1510" s="18">
        <f>SUM($BC$6:BU1510) / $BY$4</f>
        <v>0.98004621547279291</v>
      </c>
      <c r="BZ1510" s="14">
        <f t="shared" si="96"/>
        <v>12</v>
      </c>
      <c r="CA1510" t="s">
        <v>5832</v>
      </c>
      <c r="CZ1510" t="s">
        <v>11738</v>
      </c>
      <c r="DA1510" t="s">
        <v>5904</v>
      </c>
      <c r="DB1510">
        <v>1199.5</v>
      </c>
      <c r="DC1510" t="s">
        <v>31039</v>
      </c>
      <c r="DD1510" t="s">
        <v>31040</v>
      </c>
      <c r="DE1510" t="s">
        <v>31041</v>
      </c>
      <c r="DF1510" t="s">
        <v>31042</v>
      </c>
      <c r="DG1510" t="s">
        <v>31043</v>
      </c>
      <c r="DH1510" t="str">
        <f>"SCNN1G"</f>
        <v>SCNN1G</v>
      </c>
      <c r="DI1510" t="s">
        <v>13772</v>
      </c>
      <c r="DJ1510" t="s">
        <v>13777</v>
      </c>
      <c r="DK1510">
        <v>9606</v>
      </c>
      <c r="DL1510" s="34" t="str">
        <f>HYPERLINK("http://www.uniprot.org/uniprot/P51170", "P51170")</f>
        <v>P51170</v>
      </c>
      <c r="DM1510" t="s">
        <v>31044</v>
      </c>
      <c r="DN1510" t="s">
        <v>24461</v>
      </c>
      <c r="DO1510" t="s">
        <v>13792</v>
      </c>
      <c r="DP1510" t="s">
        <v>13793</v>
      </c>
      <c r="DQ1510" t="s">
        <v>13772</v>
      </c>
      <c r="DR1510" t="s">
        <v>13807</v>
      </c>
      <c r="DS1510" t="s">
        <v>13925</v>
      </c>
      <c r="DT1510" t="s">
        <v>13926</v>
      </c>
      <c r="DU1510" t="s">
        <v>24463</v>
      </c>
      <c r="DV1510" t="s">
        <v>16810</v>
      </c>
      <c r="DW1510" t="s">
        <v>13812</v>
      </c>
      <c r="DX1510" t="s">
        <v>31045</v>
      </c>
      <c r="DY1510" t="s">
        <v>31046</v>
      </c>
      <c r="DZ1510" t="s">
        <v>31047</v>
      </c>
      <c r="EA1510" t="s">
        <v>13772</v>
      </c>
      <c r="EB1510" t="s">
        <v>14293</v>
      </c>
    </row>
    <row r="1511" spans="1:132" hidden="1">
      <c r="A1511">
        <v>1856</v>
      </c>
      <c r="B1511">
        <v>1</v>
      </c>
      <c r="C1511" t="s">
        <v>4387</v>
      </c>
      <c r="D1511" t="s">
        <v>73</v>
      </c>
      <c r="E1511" t="s">
        <v>73</v>
      </c>
      <c r="F1511" t="s">
        <v>73</v>
      </c>
      <c r="G1511" t="s">
        <v>73</v>
      </c>
      <c r="H1511">
        <v>18.100000000000001</v>
      </c>
      <c r="I1511">
        <v>493</v>
      </c>
      <c r="J1511">
        <v>54716</v>
      </c>
      <c r="K1511" t="s">
        <v>4388</v>
      </c>
      <c r="L1511">
        <f t="shared" si="94"/>
        <v>12</v>
      </c>
      <c r="N1511">
        <v>12</v>
      </c>
      <c r="O1511">
        <v>12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3</v>
      </c>
      <c r="Y1511">
        <v>4</v>
      </c>
      <c r="Z1511">
        <v>0</v>
      </c>
      <c r="AA1511">
        <v>4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</v>
      </c>
      <c r="AR1511">
        <v>4</v>
      </c>
      <c r="AS1511">
        <v>0</v>
      </c>
      <c r="AT1511">
        <v>4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3</v>
      </c>
      <c r="BK1511" s="2">
        <v>4</v>
      </c>
      <c r="BL1511" s="2">
        <v>0</v>
      </c>
      <c r="BM1511" s="2">
        <v>4</v>
      </c>
      <c r="BN1511" s="2">
        <v>0</v>
      </c>
      <c r="BO1511" s="2">
        <v>1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f t="shared" si="97"/>
        <v>12</v>
      </c>
      <c r="BW1511" s="16">
        <f t="shared" si="95"/>
        <v>0.63157894736842102</v>
      </c>
      <c r="BX1511" s="16">
        <f>COUNTIF($BC$6:BU1511, "=0") / COUNTIF($BC$6:BU1511, "&gt;-1")</f>
        <v>0.38481163067030127</v>
      </c>
      <c r="BY1511" s="18">
        <f>SUM($BC$6:BU1511) / $BY$4</f>
        <v>0.98009761911521742</v>
      </c>
      <c r="BZ1511" s="14">
        <f t="shared" si="96"/>
        <v>15</v>
      </c>
      <c r="CA1511" t="s">
        <v>5832</v>
      </c>
      <c r="CZ1511" t="s">
        <v>11949</v>
      </c>
      <c r="DA1511" t="s">
        <v>5904</v>
      </c>
      <c r="DB1511">
        <v>1013.8</v>
      </c>
      <c r="DC1511" t="s">
        <v>31636</v>
      </c>
      <c r="DD1511" t="s">
        <v>31637</v>
      </c>
      <c r="DE1511" t="s">
        <v>31638</v>
      </c>
      <c r="DF1511" t="s">
        <v>31639</v>
      </c>
      <c r="DG1511" t="s">
        <v>31640</v>
      </c>
      <c r="DH1511" t="str">
        <f>"FSCN1"</f>
        <v>FSCN1</v>
      </c>
      <c r="DI1511" t="s">
        <v>31641</v>
      </c>
      <c r="DJ1511" t="s">
        <v>13777</v>
      </c>
      <c r="DK1511">
        <v>9606</v>
      </c>
      <c r="DL1511" s="34" t="str">
        <f>HYPERLINK("http://www.uniprot.org/uniprot/Q16658", "Q16658")</f>
        <v>Q16658</v>
      </c>
      <c r="DM1511" t="s">
        <v>31642</v>
      </c>
      <c r="DN1511" t="s">
        <v>13772</v>
      </c>
      <c r="DO1511" t="s">
        <v>26192</v>
      </c>
      <c r="DP1511" t="s">
        <v>13772</v>
      </c>
      <c r="DQ1511" t="s">
        <v>13772</v>
      </c>
      <c r="DR1511" t="s">
        <v>13772</v>
      </c>
      <c r="DS1511" t="s">
        <v>13772</v>
      </c>
      <c r="DT1511" t="s">
        <v>13772</v>
      </c>
      <c r="DU1511" t="s">
        <v>13990</v>
      </c>
      <c r="DV1511" t="s">
        <v>13991</v>
      </c>
      <c r="DW1511" t="s">
        <v>13812</v>
      </c>
      <c r="DX1511" t="s">
        <v>31643</v>
      </c>
      <c r="DY1511" t="s">
        <v>31644</v>
      </c>
      <c r="DZ1511" t="s">
        <v>31645</v>
      </c>
      <c r="EA1511" t="s">
        <v>13772</v>
      </c>
      <c r="EB1511" t="s">
        <v>30620</v>
      </c>
    </row>
    <row r="1512" spans="1:132" hidden="1">
      <c r="A1512">
        <v>1857</v>
      </c>
      <c r="B1512">
        <v>1</v>
      </c>
      <c r="C1512" t="s">
        <v>4389</v>
      </c>
      <c r="D1512" t="s">
        <v>73</v>
      </c>
      <c r="E1512" t="s">
        <v>73</v>
      </c>
      <c r="F1512" t="s">
        <v>73</v>
      </c>
      <c r="G1512" t="s">
        <v>73</v>
      </c>
      <c r="H1512">
        <v>59.8</v>
      </c>
      <c r="I1512">
        <v>122</v>
      </c>
      <c r="J1512">
        <v>13081</v>
      </c>
      <c r="K1512" t="s">
        <v>4390</v>
      </c>
      <c r="L1512">
        <f t="shared" si="94"/>
        <v>12</v>
      </c>
      <c r="N1512">
        <v>12</v>
      </c>
      <c r="O1512">
        <v>12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7</v>
      </c>
      <c r="Y1512">
        <v>0</v>
      </c>
      <c r="Z1512">
        <v>0</v>
      </c>
      <c r="AA1512">
        <v>3</v>
      </c>
      <c r="AB1512">
        <v>0</v>
      </c>
      <c r="AC1512">
        <v>0</v>
      </c>
      <c r="AD1512">
        <v>0</v>
      </c>
      <c r="AE1512">
        <v>0</v>
      </c>
      <c r="AF1512">
        <v>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7</v>
      </c>
      <c r="AR1512">
        <v>0</v>
      </c>
      <c r="AS1512">
        <v>0</v>
      </c>
      <c r="AT1512">
        <v>3</v>
      </c>
      <c r="AU1512">
        <v>0</v>
      </c>
      <c r="AV1512">
        <v>0</v>
      </c>
      <c r="AW1512">
        <v>0</v>
      </c>
      <c r="AX1512">
        <v>0</v>
      </c>
      <c r="AY1512">
        <v>2</v>
      </c>
      <c r="AZ1512">
        <v>0</v>
      </c>
      <c r="BA1512">
        <v>0</v>
      </c>
      <c r="BB151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7</v>
      </c>
      <c r="BK1512" s="2">
        <v>0</v>
      </c>
      <c r="BL1512" s="2">
        <v>0</v>
      </c>
      <c r="BM1512" s="2">
        <v>3</v>
      </c>
      <c r="BN1512" s="2">
        <v>0</v>
      </c>
      <c r="BO1512" s="2">
        <v>0</v>
      </c>
      <c r="BP1512" s="2">
        <v>0</v>
      </c>
      <c r="BQ1512" s="2">
        <v>0</v>
      </c>
      <c r="BR1512" s="2">
        <v>2</v>
      </c>
      <c r="BS1512" s="2">
        <v>0</v>
      </c>
      <c r="BT1512" s="2">
        <v>0</v>
      </c>
      <c r="BU1512" s="2">
        <v>0</v>
      </c>
      <c r="BV1512" s="2">
        <f t="shared" si="97"/>
        <v>12</v>
      </c>
      <c r="BW1512" s="16">
        <f t="shared" si="95"/>
        <v>0.63157894736842102</v>
      </c>
      <c r="BX1512" s="16">
        <f>COUNTIF($BC$6:BU1512, "=0") / COUNTIF($BC$6:BU1512, "&gt;-1")</f>
        <v>0.38511507700904551</v>
      </c>
      <c r="BY1512" s="18">
        <f>SUM($BC$6:BU1512) / $BY$4</f>
        <v>0.98014902275764182</v>
      </c>
      <c r="BZ1512" s="14">
        <f t="shared" si="96"/>
        <v>16</v>
      </c>
      <c r="CA1512" t="s">
        <v>5832</v>
      </c>
      <c r="CZ1512" t="s">
        <v>11953</v>
      </c>
      <c r="DA1512" t="s">
        <v>5904</v>
      </c>
      <c r="DB1512">
        <v>219.2</v>
      </c>
      <c r="DC1512" t="s">
        <v>31646</v>
      </c>
      <c r="DD1512" t="s">
        <v>13772</v>
      </c>
      <c r="DE1512" t="s">
        <v>31647</v>
      </c>
      <c r="DF1512" t="s">
        <v>31648</v>
      </c>
      <c r="DG1512" t="s">
        <v>31649</v>
      </c>
      <c r="DH1512" t="str">
        <f>"PSMG3"</f>
        <v>PSMG3</v>
      </c>
      <c r="DI1512" t="s">
        <v>31650</v>
      </c>
      <c r="DJ1512" t="s">
        <v>13777</v>
      </c>
      <c r="DK1512">
        <v>9606</v>
      </c>
      <c r="DL1512" s="34" t="str">
        <f>HYPERLINK("http://www.uniprot.org/uniprot/Q9BT73", "Q9BT73")</f>
        <v>Q9BT73</v>
      </c>
      <c r="DM1512" t="s">
        <v>31651</v>
      </c>
      <c r="DN1512" t="s">
        <v>13772</v>
      </c>
      <c r="DO1512" t="s">
        <v>13772</v>
      </c>
      <c r="DP1512" t="s">
        <v>13772</v>
      </c>
      <c r="DQ1512" t="s">
        <v>13772</v>
      </c>
      <c r="DR1512" t="s">
        <v>13772</v>
      </c>
      <c r="DS1512" t="s">
        <v>13772</v>
      </c>
      <c r="DT1512" t="s">
        <v>13772</v>
      </c>
      <c r="DU1512" t="s">
        <v>14477</v>
      </c>
      <c r="DV1512" t="s">
        <v>14020</v>
      </c>
      <c r="DW1512" t="s">
        <v>13812</v>
      </c>
      <c r="DX1512" t="s">
        <v>13772</v>
      </c>
      <c r="DY1512" t="s">
        <v>13772</v>
      </c>
      <c r="DZ1512" t="s">
        <v>13772</v>
      </c>
      <c r="EA1512" t="s">
        <v>13772</v>
      </c>
      <c r="EB1512" t="s">
        <v>13772</v>
      </c>
    </row>
    <row r="1513" spans="1:132" hidden="1">
      <c r="A1513">
        <v>1971</v>
      </c>
      <c r="B1513">
        <v>1</v>
      </c>
      <c r="C1513" t="s">
        <v>4644</v>
      </c>
      <c r="D1513" t="s">
        <v>73</v>
      </c>
      <c r="E1513" t="s">
        <v>73</v>
      </c>
      <c r="F1513" t="s">
        <v>73</v>
      </c>
      <c r="G1513" t="s">
        <v>73</v>
      </c>
      <c r="H1513">
        <v>17</v>
      </c>
      <c r="I1513">
        <v>371</v>
      </c>
      <c r="J1513">
        <v>40530</v>
      </c>
      <c r="K1513" t="s">
        <v>4645</v>
      </c>
      <c r="L1513">
        <f t="shared" si="94"/>
        <v>12</v>
      </c>
      <c r="N1513">
        <v>12</v>
      </c>
      <c r="O1513">
        <v>12</v>
      </c>
      <c r="P1513">
        <v>1</v>
      </c>
      <c r="Q1513">
        <v>1</v>
      </c>
      <c r="R1513">
        <v>1</v>
      </c>
      <c r="S1513">
        <v>2</v>
      </c>
      <c r="T1513">
        <v>1</v>
      </c>
      <c r="U1513">
        <v>2</v>
      </c>
      <c r="V1513">
        <v>2</v>
      </c>
      <c r="W1513">
        <v>2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2</v>
      </c>
      <c r="AM1513">
        <v>1</v>
      </c>
      <c r="AN1513">
        <v>2</v>
      </c>
      <c r="AO1513">
        <v>2</v>
      </c>
      <c r="AP1513">
        <v>2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 s="2">
        <v>1</v>
      </c>
      <c r="BD1513" s="2">
        <v>1</v>
      </c>
      <c r="BE1513" s="2">
        <v>2</v>
      </c>
      <c r="BF1513" s="2">
        <v>1</v>
      </c>
      <c r="BG1513" s="2">
        <v>2</v>
      </c>
      <c r="BH1513" s="2">
        <v>2</v>
      </c>
      <c r="BI1513" s="2">
        <v>2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f t="shared" si="97"/>
        <v>12</v>
      </c>
      <c r="BW1513" s="16">
        <f t="shared" si="95"/>
        <v>0.63157894736842102</v>
      </c>
      <c r="BX1513" s="16">
        <f>COUNTIF($BC$6:BU1513, "=0") / COUNTIF($BC$6:BU1513, "&gt;-1")</f>
        <v>0.38524361301130811</v>
      </c>
      <c r="BY1513" s="18">
        <f>SUM($BC$6:BU1513) / $BY$4</f>
        <v>0.98020042640006622</v>
      </c>
      <c r="BZ1513" s="14">
        <f t="shared" si="96"/>
        <v>11</v>
      </c>
      <c r="CA1513" t="s">
        <v>5832</v>
      </c>
      <c r="CZ1513" t="s">
        <v>12327</v>
      </c>
      <c r="DA1513" t="s">
        <v>5904</v>
      </c>
      <c r="DB1513">
        <v>746.1</v>
      </c>
      <c r="DC1513" t="s">
        <v>32671</v>
      </c>
      <c r="DD1513" t="s">
        <v>13772</v>
      </c>
      <c r="DE1513" t="s">
        <v>32672</v>
      </c>
      <c r="DF1513" t="s">
        <v>32673</v>
      </c>
      <c r="DG1513" t="s">
        <v>32674</v>
      </c>
      <c r="DH1513" t="str">
        <f>"CNTFR"</f>
        <v>CNTFR</v>
      </c>
      <c r="DI1513" t="s">
        <v>13772</v>
      </c>
      <c r="DJ1513" t="s">
        <v>13777</v>
      </c>
      <c r="DK1513">
        <v>9606</v>
      </c>
      <c r="DL1513" s="34" t="str">
        <f>HYPERLINK("http://www.uniprot.org/uniprot/P26992", "P26992")</f>
        <v>P26992</v>
      </c>
      <c r="DM1513" t="s">
        <v>32675</v>
      </c>
      <c r="DN1513" t="s">
        <v>13772</v>
      </c>
      <c r="DO1513" t="s">
        <v>13792</v>
      </c>
      <c r="DP1513" t="s">
        <v>13772</v>
      </c>
      <c r="DQ1513" t="s">
        <v>13772</v>
      </c>
      <c r="DR1513" t="s">
        <v>13772</v>
      </c>
      <c r="DS1513" t="s">
        <v>16182</v>
      </c>
      <c r="DT1513" t="s">
        <v>13772</v>
      </c>
      <c r="DU1513" t="s">
        <v>13795</v>
      </c>
      <c r="DV1513" t="s">
        <v>15699</v>
      </c>
      <c r="DW1513" t="s">
        <v>13812</v>
      </c>
      <c r="DX1513" t="s">
        <v>32676</v>
      </c>
      <c r="DY1513" t="s">
        <v>32677</v>
      </c>
      <c r="DZ1513" t="s">
        <v>32678</v>
      </c>
      <c r="EA1513" t="s">
        <v>13772</v>
      </c>
      <c r="EB1513" t="s">
        <v>32679</v>
      </c>
    </row>
    <row r="1514" spans="1:132" hidden="1">
      <c r="A1514">
        <v>2011</v>
      </c>
      <c r="B1514">
        <v>1</v>
      </c>
      <c r="C1514" t="s">
        <v>4731</v>
      </c>
      <c r="D1514" t="s">
        <v>73</v>
      </c>
      <c r="E1514" t="s">
        <v>73</v>
      </c>
      <c r="F1514" t="s">
        <v>73</v>
      </c>
      <c r="G1514" t="s">
        <v>73</v>
      </c>
      <c r="H1514">
        <v>9.1999999999999993</v>
      </c>
      <c r="I1514">
        <v>687</v>
      </c>
      <c r="J1514">
        <v>76948</v>
      </c>
      <c r="K1514" t="s">
        <v>4732</v>
      </c>
      <c r="L1514">
        <f t="shared" si="94"/>
        <v>12</v>
      </c>
      <c r="N1514">
        <v>12</v>
      </c>
      <c r="O1514">
        <v>12</v>
      </c>
      <c r="P1514">
        <v>1</v>
      </c>
      <c r="Q1514">
        <v>1</v>
      </c>
      <c r="R1514">
        <v>2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3</v>
      </c>
      <c r="AG1514">
        <v>0</v>
      </c>
      <c r="AH1514">
        <v>0</v>
      </c>
      <c r="AI1514">
        <v>1</v>
      </c>
      <c r="AJ1514">
        <v>1</v>
      </c>
      <c r="AK1514">
        <v>2</v>
      </c>
      <c r="AL1514">
        <v>1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3</v>
      </c>
      <c r="AZ1514">
        <v>0</v>
      </c>
      <c r="BA1514">
        <v>0</v>
      </c>
      <c r="BB1514">
        <v>1</v>
      </c>
      <c r="BC1514" s="2">
        <v>1</v>
      </c>
      <c r="BD1514" s="2">
        <v>2</v>
      </c>
      <c r="BE1514" s="2">
        <v>1</v>
      </c>
      <c r="BF1514" s="2">
        <v>1</v>
      </c>
      <c r="BG1514" s="2">
        <v>1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0</v>
      </c>
      <c r="BQ1514" s="2">
        <v>0</v>
      </c>
      <c r="BR1514" s="2">
        <v>3</v>
      </c>
      <c r="BS1514" s="2">
        <v>0</v>
      </c>
      <c r="BT1514" s="2">
        <v>0</v>
      </c>
      <c r="BU1514" s="2">
        <v>1</v>
      </c>
      <c r="BV1514" s="2">
        <f t="shared" si="97"/>
        <v>12</v>
      </c>
      <c r="BW1514" s="16">
        <f t="shared" si="95"/>
        <v>0.63157894736842102</v>
      </c>
      <c r="BX1514" s="16">
        <f>COUNTIF($BC$6:BU1514, "=0") / COUNTIF($BC$6:BU1514, "&gt;-1")</f>
        <v>0.38533710020578282</v>
      </c>
      <c r="BY1514" s="18">
        <f>SUM($BC$6:BU1514) / $BY$4</f>
        <v>0.98025183004249061</v>
      </c>
      <c r="BZ1514" s="14">
        <f t="shared" si="96"/>
        <v>10</v>
      </c>
      <c r="CA1514" t="s">
        <v>5832</v>
      </c>
      <c r="CZ1514" t="s">
        <v>12453</v>
      </c>
      <c r="DA1514" t="s">
        <v>5904</v>
      </c>
      <c r="DB1514">
        <v>1134.4000000000001</v>
      </c>
      <c r="DC1514" t="s">
        <v>33049</v>
      </c>
      <c r="DD1514" t="s">
        <v>33050</v>
      </c>
      <c r="DE1514" t="s">
        <v>33051</v>
      </c>
      <c r="DF1514" t="s">
        <v>33052</v>
      </c>
      <c r="DG1514" t="s">
        <v>33053</v>
      </c>
      <c r="DH1514" t="str">
        <f>"ADGRG1"</f>
        <v>ADGRG1</v>
      </c>
      <c r="DI1514" t="s">
        <v>13772</v>
      </c>
      <c r="DJ1514" t="s">
        <v>13777</v>
      </c>
      <c r="DK1514">
        <v>9606</v>
      </c>
      <c r="DL1514" s="34" t="str">
        <f>HYPERLINK("http://www.uniprot.org/uniprot/Q9Y653", "Q9Y653")</f>
        <v>Q9Y653</v>
      </c>
      <c r="DM1514" t="s">
        <v>33054</v>
      </c>
      <c r="DN1514" t="s">
        <v>21880</v>
      </c>
      <c r="DO1514" t="s">
        <v>14336</v>
      </c>
      <c r="DP1514" t="s">
        <v>13780</v>
      </c>
      <c r="DQ1514" t="s">
        <v>13772</v>
      </c>
      <c r="DR1514" t="s">
        <v>13807</v>
      </c>
      <c r="DS1514" t="s">
        <v>13855</v>
      </c>
      <c r="DT1514" t="s">
        <v>13772</v>
      </c>
      <c r="DU1514" t="s">
        <v>33055</v>
      </c>
      <c r="DV1514" t="s">
        <v>14112</v>
      </c>
      <c r="DW1514" t="s">
        <v>13772</v>
      </c>
      <c r="DX1514" t="s">
        <v>33056</v>
      </c>
      <c r="DY1514" t="s">
        <v>33057</v>
      </c>
      <c r="DZ1514" t="s">
        <v>33058</v>
      </c>
      <c r="EA1514" t="s">
        <v>13772</v>
      </c>
      <c r="EB1514" t="s">
        <v>13772</v>
      </c>
    </row>
    <row r="1515" spans="1:132" hidden="1">
      <c r="A1515">
        <v>2041</v>
      </c>
      <c r="B1515">
        <v>1</v>
      </c>
      <c r="C1515" t="s">
        <v>4796</v>
      </c>
      <c r="D1515" t="s">
        <v>4797</v>
      </c>
      <c r="E1515" t="s">
        <v>73</v>
      </c>
      <c r="F1515" t="s">
        <v>73</v>
      </c>
      <c r="G1515" t="s">
        <v>73</v>
      </c>
      <c r="H1515">
        <v>14.6</v>
      </c>
      <c r="I1515">
        <v>590</v>
      </c>
      <c r="J1515">
        <v>65461</v>
      </c>
      <c r="K1515" t="s">
        <v>4798</v>
      </c>
      <c r="L1515">
        <f t="shared" si="94"/>
        <v>12</v>
      </c>
      <c r="N1515">
        <v>12</v>
      </c>
      <c r="O1515">
        <v>11</v>
      </c>
      <c r="P1515">
        <v>0.91700000000000004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2</v>
      </c>
      <c r="W1515">
        <v>1</v>
      </c>
      <c r="X1515">
        <v>1</v>
      </c>
      <c r="Y1515">
        <v>3</v>
      </c>
      <c r="Z1515">
        <v>0</v>
      </c>
      <c r="AA1515">
        <v>3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2</v>
      </c>
      <c r="AP1515">
        <v>1</v>
      </c>
      <c r="AQ1515">
        <v>1</v>
      </c>
      <c r="AR1515">
        <v>3</v>
      </c>
      <c r="AS1515">
        <v>0</v>
      </c>
      <c r="AT1515">
        <v>2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1</v>
      </c>
      <c r="BH1515" s="2">
        <v>2</v>
      </c>
      <c r="BI1515" s="2">
        <v>1</v>
      </c>
      <c r="BJ1515" s="2">
        <v>1</v>
      </c>
      <c r="BK1515" s="2">
        <v>3</v>
      </c>
      <c r="BL1515" s="2">
        <v>0</v>
      </c>
      <c r="BM1515" s="2">
        <v>3</v>
      </c>
      <c r="BN1515" s="2">
        <v>0</v>
      </c>
      <c r="BO1515" s="2">
        <v>0</v>
      </c>
      <c r="BP1515" s="2">
        <v>0</v>
      </c>
      <c r="BQ1515" s="2">
        <v>0</v>
      </c>
      <c r="BR1515" s="2">
        <v>1</v>
      </c>
      <c r="BS1515" s="2">
        <v>0</v>
      </c>
      <c r="BT1515" s="2">
        <v>0</v>
      </c>
      <c r="BU1515" s="2">
        <v>0</v>
      </c>
      <c r="BV1515" s="2">
        <f t="shared" si="97"/>
        <v>12</v>
      </c>
      <c r="BW1515" s="16">
        <f t="shared" si="95"/>
        <v>0.63157894736842102</v>
      </c>
      <c r="BX1515" s="16">
        <f>COUNTIF($BC$6:BU1515, "=0") / COUNTIF($BC$6:BU1515, "&gt;-1")</f>
        <v>0.38550017427675148</v>
      </c>
      <c r="BY1515" s="18">
        <f>SUM($BC$6:BU1515) / $BY$4</f>
        <v>0.98030323368491501</v>
      </c>
      <c r="BZ1515" s="14">
        <f t="shared" si="96"/>
        <v>12</v>
      </c>
      <c r="CA1515" t="s">
        <v>5832</v>
      </c>
      <c r="CZ1515" t="s">
        <v>12554</v>
      </c>
      <c r="DA1515" t="s">
        <v>5904</v>
      </c>
      <c r="DB1515">
        <v>1194.5</v>
      </c>
      <c r="DC1515" t="s">
        <v>33313</v>
      </c>
      <c r="DD1515" t="s">
        <v>33314</v>
      </c>
      <c r="DE1515" t="s">
        <v>33315</v>
      </c>
      <c r="DF1515" t="s">
        <v>33316</v>
      </c>
      <c r="DG1515" t="s">
        <v>33317</v>
      </c>
      <c r="DH1515" t="str">
        <f>"PPP2R1A"</f>
        <v>PPP2R1A</v>
      </c>
      <c r="DI1515" t="s">
        <v>13772</v>
      </c>
      <c r="DJ1515" t="s">
        <v>13777</v>
      </c>
      <c r="DK1515">
        <v>9606</v>
      </c>
      <c r="DL1515" s="34" t="str">
        <f>HYPERLINK("http://www.uniprot.org/uniprot/P30153", "P30153")</f>
        <v>P30153</v>
      </c>
      <c r="DM1515" t="s">
        <v>33318</v>
      </c>
      <c r="DN1515" t="s">
        <v>33319</v>
      </c>
      <c r="DO1515" t="s">
        <v>33320</v>
      </c>
      <c r="DP1515" t="s">
        <v>13772</v>
      </c>
      <c r="DQ1515" t="s">
        <v>13772</v>
      </c>
      <c r="DR1515" t="s">
        <v>17801</v>
      </c>
      <c r="DS1515" t="s">
        <v>14096</v>
      </c>
      <c r="DT1515" t="s">
        <v>13772</v>
      </c>
      <c r="DU1515" t="s">
        <v>13772</v>
      </c>
      <c r="DV1515" t="s">
        <v>14020</v>
      </c>
      <c r="DW1515" t="s">
        <v>13812</v>
      </c>
      <c r="DX1515" t="s">
        <v>33321</v>
      </c>
      <c r="DY1515" t="s">
        <v>33322</v>
      </c>
      <c r="DZ1515" t="s">
        <v>33323</v>
      </c>
      <c r="EA1515" t="s">
        <v>13772</v>
      </c>
      <c r="EB1515" t="s">
        <v>33324</v>
      </c>
    </row>
    <row r="1516" spans="1:132" hidden="1">
      <c r="A1516">
        <v>2077</v>
      </c>
      <c r="B1516">
        <v>1</v>
      </c>
      <c r="C1516" t="s">
        <v>4882</v>
      </c>
      <c r="D1516" t="s">
        <v>73</v>
      </c>
      <c r="E1516" t="s">
        <v>73</v>
      </c>
      <c r="F1516" t="s">
        <v>73</v>
      </c>
      <c r="G1516" t="s">
        <v>73</v>
      </c>
      <c r="H1516">
        <v>10.5</v>
      </c>
      <c r="I1516">
        <v>440</v>
      </c>
      <c r="J1516">
        <v>49784</v>
      </c>
      <c r="K1516" t="s">
        <v>4883</v>
      </c>
      <c r="L1516">
        <f t="shared" si="94"/>
        <v>12</v>
      </c>
      <c r="N1516">
        <v>12</v>
      </c>
      <c r="O1516">
        <v>12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2</v>
      </c>
      <c r="Y1516">
        <v>0</v>
      </c>
      <c r="Z1516">
        <v>2</v>
      </c>
      <c r="AA1516">
        <v>0</v>
      </c>
      <c r="AB1516">
        <v>1</v>
      </c>
      <c r="AC1516">
        <v>0</v>
      </c>
      <c r="AD1516">
        <v>3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2</v>
      </c>
      <c r="AR1516">
        <v>0</v>
      </c>
      <c r="AS1516">
        <v>2</v>
      </c>
      <c r="AT1516">
        <v>0</v>
      </c>
      <c r="AU1516">
        <v>1</v>
      </c>
      <c r="AV1516">
        <v>0</v>
      </c>
      <c r="AW1516">
        <v>3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 s="2">
        <v>1</v>
      </c>
      <c r="BD1516" s="2">
        <v>0</v>
      </c>
      <c r="BE1516" s="2">
        <v>0</v>
      </c>
      <c r="BF1516" s="2">
        <v>0</v>
      </c>
      <c r="BG1516" s="2">
        <v>0</v>
      </c>
      <c r="BH1516" s="2">
        <v>1</v>
      </c>
      <c r="BI1516" s="2">
        <v>1</v>
      </c>
      <c r="BJ1516" s="2">
        <v>2</v>
      </c>
      <c r="BK1516" s="2">
        <v>0</v>
      </c>
      <c r="BL1516" s="2">
        <v>2</v>
      </c>
      <c r="BM1516" s="2">
        <v>0</v>
      </c>
      <c r="BN1516" s="2">
        <v>1</v>
      </c>
      <c r="BO1516" s="2">
        <v>0</v>
      </c>
      <c r="BP1516" s="2">
        <v>3</v>
      </c>
      <c r="BQ1516" s="2">
        <v>1</v>
      </c>
      <c r="BR1516" s="2">
        <v>0</v>
      </c>
      <c r="BS1516" s="2">
        <v>0</v>
      </c>
      <c r="BT1516" s="2">
        <v>0</v>
      </c>
      <c r="BU1516" s="2">
        <v>0</v>
      </c>
      <c r="BV1516" s="2">
        <f t="shared" si="97"/>
        <v>12</v>
      </c>
      <c r="BW1516" s="16">
        <f t="shared" si="95"/>
        <v>0.63157894736842102</v>
      </c>
      <c r="BX1516" s="16">
        <f>COUNTIF($BC$6:BU1516, "=0") / COUNTIF($BC$6:BU1516, "&gt;-1")</f>
        <v>0.38562820021596017</v>
      </c>
      <c r="BY1516" s="18">
        <f>SUM($BC$6:BU1516) / $BY$4</f>
        <v>0.98035463732733941</v>
      </c>
      <c r="BZ1516" s="14">
        <f t="shared" si="96"/>
        <v>11</v>
      </c>
      <c r="CA1516" t="s">
        <v>5832</v>
      </c>
      <c r="CZ1516" t="s">
        <v>12677</v>
      </c>
      <c r="DA1516" t="s">
        <v>5904</v>
      </c>
      <c r="DB1516">
        <v>803.5</v>
      </c>
      <c r="DC1516" t="s">
        <v>33667</v>
      </c>
      <c r="DD1516" t="s">
        <v>33668</v>
      </c>
      <c r="DE1516" t="s">
        <v>33669</v>
      </c>
      <c r="DF1516" t="s">
        <v>33670</v>
      </c>
      <c r="DG1516" t="s">
        <v>33671</v>
      </c>
      <c r="DH1516" t="str">
        <f>"LCAT"</f>
        <v>LCAT</v>
      </c>
      <c r="DI1516" t="s">
        <v>13772</v>
      </c>
      <c r="DJ1516" t="s">
        <v>13777</v>
      </c>
      <c r="DK1516">
        <v>9606</v>
      </c>
      <c r="DL1516" s="34" t="str">
        <f>HYPERLINK("http://www.uniprot.org/uniprot/P04180", "P04180")</f>
        <v>P04180</v>
      </c>
      <c r="DM1516" t="s">
        <v>33672</v>
      </c>
      <c r="DN1516" t="s">
        <v>24693</v>
      </c>
      <c r="DO1516" t="s">
        <v>14321</v>
      </c>
      <c r="DP1516" t="s">
        <v>13793</v>
      </c>
      <c r="DQ1516" t="s">
        <v>13772</v>
      </c>
      <c r="DR1516" t="s">
        <v>33673</v>
      </c>
      <c r="DS1516" t="s">
        <v>13808</v>
      </c>
      <c r="DT1516" t="s">
        <v>13772</v>
      </c>
      <c r="DU1516" t="s">
        <v>15096</v>
      </c>
      <c r="DV1516" t="s">
        <v>13796</v>
      </c>
      <c r="DW1516" t="s">
        <v>13812</v>
      </c>
      <c r="DX1516" t="s">
        <v>33674</v>
      </c>
      <c r="DY1516" t="s">
        <v>33675</v>
      </c>
      <c r="DZ1516" t="s">
        <v>33676</v>
      </c>
      <c r="EA1516" t="s">
        <v>13772</v>
      </c>
      <c r="EB1516" t="s">
        <v>33677</v>
      </c>
    </row>
    <row r="1517" spans="1:132" hidden="1">
      <c r="A1517">
        <v>2085</v>
      </c>
      <c r="B1517">
        <v>1</v>
      </c>
      <c r="C1517" t="s">
        <v>4899</v>
      </c>
      <c r="D1517" t="s">
        <v>4900</v>
      </c>
      <c r="E1517" t="s">
        <v>73</v>
      </c>
      <c r="F1517" t="s">
        <v>73</v>
      </c>
      <c r="G1517" t="s">
        <v>73</v>
      </c>
      <c r="H1517">
        <v>45</v>
      </c>
      <c r="I1517">
        <v>160</v>
      </c>
      <c r="J1517">
        <v>18128</v>
      </c>
      <c r="K1517" t="s">
        <v>4901</v>
      </c>
      <c r="L1517">
        <f t="shared" si="94"/>
        <v>12</v>
      </c>
      <c r="N1517">
        <v>12</v>
      </c>
      <c r="O1517">
        <v>12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2</v>
      </c>
      <c r="X1517">
        <v>6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2</v>
      </c>
      <c r="AQ1517">
        <v>6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  <c r="BI1517" s="2">
        <v>2</v>
      </c>
      <c r="BJ1517" s="2">
        <v>6</v>
      </c>
      <c r="BK1517" s="2">
        <v>0</v>
      </c>
      <c r="BL1517" s="2">
        <v>0</v>
      </c>
      <c r="BM1517" s="2">
        <v>1</v>
      </c>
      <c r="BN1517" s="2">
        <v>0</v>
      </c>
      <c r="BO1517" s="2">
        <v>0</v>
      </c>
      <c r="BP1517" s="2">
        <v>0</v>
      </c>
      <c r="BQ1517" s="2">
        <v>0</v>
      </c>
      <c r="BR1517" s="2">
        <v>1</v>
      </c>
      <c r="BS1517" s="2">
        <v>0</v>
      </c>
      <c r="BT1517" s="2">
        <v>1</v>
      </c>
      <c r="BU1517" s="2">
        <v>0</v>
      </c>
      <c r="BV1517" s="2">
        <f t="shared" si="97"/>
        <v>12</v>
      </c>
      <c r="BW1517" s="16">
        <f t="shared" si="95"/>
        <v>0.63157894736842102</v>
      </c>
      <c r="BX1517" s="16">
        <f>COUNTIF($BC$6:BU1517, "=0") / COUNTIF($BC$6:BU1517, "&gt;-1")</f>
        <v>0.38582567529935952</v>
      </c>
      <c r="BY1517" s="18">
        <f>SUM($BC$6:BU1517) / $BY$4</f>
        <v>0.9804060409697638</v>
      </c>
      <c r="BZ1517" s="14">
        <f t="shared" si="96"/>
        <v>13</v>
      </c>
      <c r="CA1517" t="s">
        <v>5832</v>
      </c>
      <c r="CZ1517" t="s">
        <v>12704</v>
      </c>
      <c r="DA1517" t="s">
        <v>5904</v>
      </c>
      <c r="DB1517">
        <v>323.2</v>
      </c>
      <c r="DC1517" t="s">
        <v>33750</v>
      </c>
      <c r="DD1517" t="s">
        <v>33751</v>
      </c>
      <c r="DE1517" t="s">
        <v>33752</v>
      </c>
      <c r="DF1517" t="s">
        <v>33753</v>
      </c>
      <c r="DG1517" t="s">
        <v>13772</v>
      </c>
      <c r="DH1517" t="str">
        <f>"CZIB"</f>
        <v>CZIB</v>
      </c>
      <c r="DI1517" t="s">
        <v>13772</v>
      </c>
      <c r="DJ1517" t="s">
        <v>13777</v>
      </c>
      <c r="DK1517">
        <v>9606</v>
      </c>
      <c r="DL1517" s="34" t="str">
        <f>HYPERLINK("http://www.uniprot.org/uniprot/Q9NWV4", "Q9NWV4")</f>
        <v>Q9NWV4</v>
      </c>
      <c r="DM1517" t="s">
        <v>33754</v>
      </c>
      <c r="DN1517" t="s">
        <v>13772</v>
      </c>
      <c r="DO1517" t="s">
        <v>13772</v>
      </c>
      <c r="DP1517" t="s">
        <v>13772</v>
      </c>
      <c r="DQ1517" t="s">
        <v>13772</v>
      </c>
      <c r="DR1517" t="s">
        <v>13772</v>
      </c>
      <c r="DS1517" t="s">
        <v>13772</v>
      </c>
      <c r="DT1517" t="s">
        <v>13856</v>
      </c>
      <c r="DU1517" t="s">
        <v>13772</v>
      </c>
      <c r="DV1517" t="s">
        <v>13782</v>
      </c>
      <c r="DW1517" t="s">
        <v>13812</v>
      </c>
      <c r="DX1517" t="s">
        <v>13772</v>
      </c>
      <c r="DY1517" t="s">
        <v>13772</v>
      </c>
      <c r="DZ1517" t="s">
        <v>15532</v>
      </c>
      <c r="EA1517" t="s">
        <v>13772</v>
      </c>
      <c r="EB1517" t="s">
        <v>13772</v>
      </c>
    </row>
    <row r="1518" spans="1:132" hidden="1">
      <c r="A1518">
        <v>2128</v>
      </c>
      <c r="B1518">
        <v>1</v>
      </c>
      <c r="C1518" t="s">
        <v>4991</v>
      </c>
      <c r="D1518" t="s">
        <v>73</v>
      </c>
      <c r="E1518" t="s">
        <v>73</v>
      </c>
      <c r="F1518" t="s">
        <v>73</v>
      </c>
      <c r="G1518" t="s">
        <v>73</v>
      </c>
      <c r="H1518">
        <v>27.3</v>
      </c>
      <c r="I1518">
        <v>209</v>
      </c>
      <c r="J1518">
        <v>22615</v>
      </c>
      <c r="K1518" t="s">
        <v>4992</v>
      </c>
      <c r="L1518">
        <f t="shared" si="94"/>
        <v>12</v>
      </c>
      <c r="N1518">
        <v>12</v>
      </c>
      <c r="O1518">
        <v>12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3</v>
      </c>
      <c r="Z1518">
        <v>0</v>
      </c>
      <c r="AA1518">
        <v>1</v>
      </c>
      <c r="AB1518">
        <v>0</v>
      </c>
      <c r="AC1518">
        <v>2</v>
      </c>
      <c r="AD1518">
        <v>0</v>
      </c>
      <c r="AE1518">
        <v>0</v>
      </c>
      <c r="AF1518">
        <v>6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3</v>
      </c>
      <c r="AS1518">
        <v>0</v>
      </c>
      <c r="AT1518">
        <v>1</v>
      </c>
      <c r="AU1518">
        <v>0</v>
      </c>
      <c r="AV1518">
        <v>2</v>
      </c>
      <c r="AW1518">
        <v>0</v>
      </c>
      <c r="AX1518">
        <v>0</v>
      </c>
      <c r="AY1518">
        <v>6</v>
      </c>
      <c r="AZ1518">
        <v>0</v>
      </c>
      <c r="BA1518">
        <v>0</v>
      </c>
      <c r="BB1518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3</v>
      </c>
      <c r="BL1518" s="2">
        <v>0</v>
      </c>
      <c r="BM1518" s="2">
        <v>1</v>
      </c>
      <c r="BN1518" s="2">
        <v>0</v>
      </c>
      <c r="BO1518" s="2">
        <v>2</v>
      </c>
      <c r="BP1518" s="2">
        <v>0</v>
      </c>
      <c r="BQ1518" s="2">
        <v>0</v>
      </c>
      <c r="BR1518" s="2">
        <v>6</v>
      </c>
      <c r="BS1518" s="2">
        <v>0</v>
      </c>
      <c r="BT1518" s="2">
        <v>0</v>
      </c>
      <c r="BU1518" s="2">
        <v>0</v>
      </c>
      <c r="BV1518" s="2">
        <f t="shared" si="97"/>
        <v>12</v>
      </c>
      <c r="BW1518" s="16">
        <f t="shared" si="95"/>
        <v>0.63157894736842102</v>
      </c>
      <c r="BX1518" s="16">
        <f>COUNTIF($BC$6:BU1518, "=0") / COUNTIF($BC$6:BU1518, "&gt;-1")</f>
        <v>0.38609246182210316</v>
      </c>
      <c r="BY1518" s="18">
        <f>SUM($BC$6:BU1518) / $BY$4</f>
        <v>0.9804574446121882</v>
      </c>
      <c r="BZ1518" s="14">
        <f t="shared" si="96"/>
        <v>15</v>
      </c>
      <c r="CA1518" t="s">
        <v>5832</v>
      </c>
      <c r="CZ1518" t="s">
        <v>12841</v>
      </c>
      <c r="DA1518" t="s">
        <v>5904</v>
      </c>
      <c r="DB1518">
        <v>304.3</v>
      </c>
      <c r="DC1518" t="s">
        <v>34122</v>
      </c>
      <c r="DD1518" t="s">
        <v>13772</v>
      </c>
      <c r="DE1518" t="s">
        <v>34123</v>
      </c>
      <c r="DF1518" t="s">
        <v>34124</v>
      </c>
      <c r="DG1518" t="s">
        <v>34125</v>
      </c>
      <c r="DH1518" t="str">
        <f>"FGF21"</f>
        <v>FGF21</v>
      </c>
      <c r="DI1518" t="s">
        <v>13772</v>
      </c>
      <c r="DJ1518" t="s">
        <v>13777</v>
      </c>
      <c r="DK1518">
        <v>9606</v>
      </c>
      <c r="DL1518" s="34" t="str">
        <f>HYPERLINK("http://www.uniprot.org/uniprot/Q9NSA1", "Q9NSA1")</f>
        <v>Q9NSA1</v>
      </c>
      <c r="DM1518" t="s">
        <v>34126</v>
      </c>
      <c r="DN1518" t="s">
        <v>13772</v>
      </c>
      <c r="DO1518" t="s">
        <v>14321</v>
      </c>
      <c r="DP1518" t="s">
        <v>13793</v>
      </c>
      <c r="DQ1518" t="s">
        <v>13772</v>
      </c>
      <c r="DR1518" t="s">
        <v>13772</v>
      </c>
      <c r="DS1518" t="s">
        <v>13808</v>
      </c>
      <c r="DT1518" t="s">
        <v>13772</v>
      </c>
      <c r="DU1518" t="s">
        <v>15740</v>
      </c>
      <c r="DV1518" t="s">
        <v>13772</v>
      </c>
      <c r="DW1518" t="s">
        <v>13812</v>
      </c>
      <c r="DX1518" t="s">
        <v>34127</v>
      </c>
      <c r="DY1518" t="s">
        <v>34128</v>
      </c>
      <c r="DZ1518" t="s">
        <v>34129</v>
      </c>
      <c r="EA1518" t="s">
        <v>13772</v>
      </c>
      <c r="EB1518" t="s">
        <v>34130</v>
      </c>
    </row>
    <row r="1519" spans="1:132" hidden="1">
      <c r="A1519">
        <v>2188</v>
      </c>
      <c r="B1519">
        <v>1</v>
      </c>
      <c r="C1519" t="s">
        <v>5118</v>
      </c>
      <c r="D1519" t="s">
        <v>73</v>
      </c>
      <c r="E1519" t="s">
        <v>73</v>
      </c>
      <c r="F1519" t="s">
        <v>73</v>
      </c>
      <c r="G1519" t="s">
        <v>73</v>
      </c>
      <c r="H1519">
        <v>2.4</v>
      </c>
      <c r="I1519">
        <v>4434</v>
      </c>
      <c r="J1519">
        <v>502432</v>
      </c>
      <c r="K1519" t="s">
        <v>5119</v>
      </c>
      <c r="L1519">
        <f t="shared" si="94"/>
        <v>12</v>
      </c>
      <c r="N1519">
        <v>12</v>
      </c>
      <c r="O1519">
        <v>12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6</v>
      </c>
      <c r="AA1519">
        <v>0</v>
      </c>
      <c r="AB1519">
        <v>0</v>
      </c>
      <c r="AC1519">
        <v>0</v>
      </c>
      <c r="AD1519">
        <v>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6</v>
      </c>
      <c r="AT1519">
        <v>0</v>
      </c>
      <c r="AU1519">
        <v>0</v>
      </c>
      <c r="AV1519">
        <v>0</v>
      </c>
      <c r="AW1519">
        <v>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1</v>
      </c>
      <c r="BL1519" s="2">
        <v>6</v>
      </c>
      <c r="BM1519" s="2">
        <v>0</v>
      </c>
      <c r="BN1519" s="2">
        <v>0</v>
      </c>
      <c r="BO1519" s="2">
        <v>0</v>
      </c>
      <c r="BP1519" s="2">
        <v>5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f t="shared" si="97"/>
        <v>12</v>
      </c>
      <c r="BW1519" s="16">
        <f t="shared" si="95"/>
        <v>0.63157894736842102</v>
      </c>
      <c r="BX1519" s="16">
        <f>COUNTIF($BC$6:BU1519, "=0") / COUNTIF($BC$6:BU1519, "&gt;-1")</f>
        <v>0.38639365918097757</v>
      </c>
      <c r="BY1519" s="18">
        <f>SUM($BC$6:BU1519) / $BY$4</f>
        <v>0.9805088482546126</v>
      </c>
      <c r="BZ1519" s="14">
        <f t="shared" si="96"/>
        <v>16</v>
      </c>
      <c r="CA1519" t="s">
        <v>5832</v>
      </c>
      <c r="CZ1519" t="s">
        <v>13040</v>
      </c>
      <c r="DA1519" t="s">
        <v>5904</v>
      </c>
      <c r="DB1519">
        <v>5206.7</v>
      </c>
      <c r="DC1519" t="s">
        <v>34670</v>
      </c>
      <c r="DD1519" t="s">
        <v>13772</v>
      </c>
      <c r="DE1519" t="s">
        <v>34671</v>
      </c>
      <c r="DF1519" t="s">
        <v>34672</v>
      </c>
      <c r="DG1519" t="s">
        <v>34673</v>
      </c>
      <c r="DH1519" t="str">
        <f>"APOB"</f>
        <v>APOB</v>
      </c>
      <c r="DI1519" t="s">
        <v>13772</v>
      </c>
      <c r="DJ1519" t="s">
        <v>13777</v>
      </c>
      <c r="DK1519">
        <v>9606</v>
      </c>
      <c r="DL1519" s="34" t="str">
        <f>HYPERLINK("http://www.uniprot.org/uniprot/P04114", "P04114")</f>
        <v>P04114</v>
      </c>
      <c r="DM1519" t="s">
        <v>34674</v>
      </c>
      <c r="DN1519" t="s">
        <v>16169</v>
      </c>
      <c r="DO1519" t="s">
        <v>34675</v>
      </c>
      <c r="DP1519" t="s">
        <v>34676</v>
      </c>
      <c r="DQ1519" t="s">
        <v>13772</v>
      </c>
      <c r="DR1519" t="s">
        <v>34677</v>
      </c>
      <c r="DS1519" t="s">
        <v>13808</v>
      </c>
      <c r="DT1519" t="s">
        <v>13772</v>
      </c>
      <c r="DU1519" t="s">
        <v>14073</v>
      </c>
      <c r="DV1519" t="s">
        <v>34678</v>
      </c>
      <c r="DW1519" t="s">
        <v>13772</v>
      </c>
      <c r="DX1519" t="s">
        <v>34679</v>
      </c>
      <c r="DY1519" t="s">
        <v>34680</v>
      </c>
      <c r="DZ1519" t="s">
        <v>34681</v>
      </c>
      <c r="EA1519" t="s">
        <v>13772</v>
      </c>
      <c r="EB1519" t="s">
        <v>34682</v>
      </c>
    </row>
    <row r="1520" spans="1:132" hidden="1">
      <c r="A1520">
        <v>2202</v>
      </c>
      <c r="B1520">
        <v>1</v>
      </c>
      <c r="C1520" t="s">
        <v>5149</v>
      </c>
      <c r="D1520" t="s">
        <v>73</v>
      </c>
      <c r="E1520" t="s">
        <v>73</v>
      </c>
      <c r="F1520" t="s">
        <v>73</v>
      </c>
      <c r="G1520" t="s">
        <v>73</v>
      </c>
      <c r="H1520">
        <v>30.2</v>
      </c>
      <c r="I1520">
        <v>298</v>
      </c>
      <c r="J1520">
        <v>35021</v>
      </c>
      <c r="K1520" t="s">
        <v>5150</v>
      </c>
      <c r="L1520">
        <f t="shared" si="94"/>
        <v>12</v>
      </c>
      <c r="N1520">
        <v>12</v>
      </c>
      <c r="O1520">
        <v>12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3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4</v>
      </c>
      <c r="AB1520">
        <v>2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3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4</v>
      </c>
      <c r="AU1520">
        <v>2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 s="2">
        <v>0</v>
      </c>
      <c r="BD1520" s="2">
        <v>1</v>
      </c>
      <c r="BE1520" s="2">
        <v>0</v>
      </c>
      <c r="BF1520" s="2">
        <v>0</v>
      </c>
      <c r="BG1520" s="2">
        <v>3</v>
      </c>
      <c r="BH1520" s="2">
        <v>0</v>
      </c>
      <c r="BI1520" s="2">
        <v>0</v>
      </c>
      <c r="BJ1520" s="2">
        <v>0</v>
      </c>
      <c r="BK1520" s="2">
        <v>1</v>
      </c>
      <c r="BL1520" s="2">
        <v>0</v>
      </c>
      <c r="BM1520" s="2">
        <v>4</v>
      </c>
      <c r="BN1520" s="2">
        <v>2</v>
      </c>
      <c r="BO1520" s="2">
        <v>0</v>
      </c>
      <c r="BP1520" s="2">
        <v>0</v>
      </c>
      <c r="BQ1520" s="2">
        <v>1</v>
      </c>
      <c r="BR1520" s="2">
        <v>0</v>
      </c>
      <c r="BS1520" s="2">
        <v>0</v>
      </c>
      <c r="BT1520" s="2">
        <v>0</v>
      </c>
      <c r="BU1520" s="2">
        <v>0</v>
      </c>
      <c r="BV1520" s="2">
        <f t="shared" si="97"/>
        <v>12</v>
      </c>
      <c r="BW1520" s="16">
        <f t="shared" si="95"/>
        <v>0.63157894736842102</v>
      </c>
      <c r="BX1520" s="16">
        <f>COUNTIF($BC$6:BU1520, "=0") / COUNTIF($BC$6:BU1520, "&gt;-1")</f>
        <v>0.38659023797116554</v>
      </c>
      <c r="BY1520" s="18">
        <f>SUM($BC$6:BU1520) / $BY$4</f>
        <v>0.98056025189703699</v>
      </c>
      <c r="BZ1520" s="14">
        <f t="shared" si="96"/>
        <v>13</v>
      </c>
      <c r="CA1520" t="s">
        <v>5832</v>
      </c>
      <c r="CZ1520" t="s">
        <v>13086</v>
      </c>
      <c r="DA1520" t="s">
        <v>5904</v>
      </c>
      <c r="DB1520">
        <v>540.4</v>
      </c>
      <c r="DC1520" t="s">
        <v>34810</v>
      </c>
      <c r="DD1520" t="s">
        <v>34811</v>
      </c>
      <c r="DE1520" t="s">
        <v>34812</v>
      </c>
      <c r="DF1520" t="s">
        <v>34813</v>
      </c>
      <c r="DG1520" t="s">
        <v>34814</v>
      </c>
      <c r="DH1520" t="str">
        <f>"SULT1C4"</f>
        <v>SULT1C4</v>
      </c>
      <c r="DI1520" t="s">
        <v>34815</v>
      </c>
      <c r="DJ1520" t="s">
        <v>13777</v>
      </c>
      <c r="DK1520">
        <v>9606</v>
      </c>
      <c r="DL1520" s="34" t="str">
        <f>HYPERLINK("http://www.uniprot.org/uniprot/O75897", "O75897")</f>
        <v>O75897</v>
      </c>
      <c r="DM1520" t="s">
        <v>18167</v>
      </c>
      <c r="DN1520" t="s">
        <v>13772</v>
      </c>
      <c r="DO1520" t="s">
        <v>13899</v>
      </c>
      <c r="DP1520" t="s">
        <v>13780</v>
      </c>
      <c r="DQ1520" t="s">
        <v>13772</v>
      </c>
      <c r="DR1520" t="s">
        <v>13772</v>
      </c>
      <c r="DS1520" t="s">
        <v>13772</v>
      </c>
      <c r="DT1520" t="s">
        <v>13772</v>
      </c>
      <c r="DU1520" t="s">
        <v>14111</v>
      </c>
      <c r="DV1520" t="s">
        <v>13772</v>
      </c>
      <c r="DW1520" t="s">
        <v>13812</v>
      </c>
      <c r="DX1520" t="s">
        <v>34816</v>
      </c>
      <c r="DY1520" t="s">
        <v>13902</v>
      </c>
      <c r="DZ1520" t="s">
        <v>34817</v>
      </c>
      <c r="EA1520" t="s">
        <v>13772</v>
      </c>
      <c r="EB1520" t="s">
        <v>21459</v>
      </c>
    </row>
    <row r="1521" spans="1:132" hidden="1">
      <c r="A1521">
        <v>2264</v>
      </c>
      <c r="B1521">
        <v>1</v>
      </c>
      <c r="C1521" t="s">
        <v>5290</v>
      </c>
      <c r="D1521" t="s">
        <v>73</v>
      </c>
      <c r="E1521" t="s">
        <v>73</v>
      </c>
      <c r="F1521" t="s">
        <v>73</v>
      </c>
      <c r="G1521" t="s">
        <v>73</v>
      </c>
      <c r="H1521">
        <v>8.4</v>
      </c>
      <c r="I1521">
        <v>1196</v>
      </c>
      <c r="J1521">
        <v>129893</v>
      </c>
      <c r="K1521" t="s">
        <v>5291</v>
      </c>
      <c r="L1521">
        <f t="shared" si="94"/>
        <v>12</v>
      </c>
      <c r="N1521">
        <v>12</v>
      </c>
      <c r="O1521">
        <v>12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2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3</v>
      </c>
      <c r="AB1521">
        <v>2</v>
      </c>
      <c r="AC1521">
        <v>0</v>
      </c>
      <c r="AD1521">
        <v>0</v>
      </c>
      <c r="AE1521">
        <v>0</v>
      </c>
      <c r="AF1521">
        <v>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3</v>
      </c>
      <c r="AU1521">
        <v>2</v>
      </c>
      <c r="AV1521">
        <v>0</v>
      </c>
      <c r="AW1521">
        <v>0</v>
      </c>
      <c r="AX1521">
        <v>0</v>
      </c>
      <c r="AY1521">
        <v>2</v>
      </c>
      <c r="AZ1521">
        <v>0</v>
      </c>
      <c r="BA1521">
        <v>0</v>
      </c>
      <c r="BB1521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2</v>
      </c>
      <c r="BH1521" s="2">
        <v>1</v>
      </c>
      <c r="BI1521" s="2">
        <v>1</v>
      </c>
      <c r="BJ1521" s="2">
        <v>0</v>
      </c>
      <c r="BK1521" s="2">
        <v>1</v>
      </c>
      <c r="BL1521" s="2">
        <v>0</v>
      </c>
      <c r="BM1521" s="2">
        <v>3</v>
      </c>
      <c r="BN1521" s="2">
        <v>2</v>
      </c>
      <c r="BO1521" s="2">
        <v>0</v>
      </c>
      <c r="BP1521" s="2">
        <v>0</v>
      </c>
      <c r="BQ1521" s="2">
        <v>0</v>
      </c>
      <c r="BR1521" s="2">
        <v>2</v>
      </c>
      <c r="BS1521" s="2">
        <v>0</v>
      </c>
      <c r="BT1521" s="2">
        <v>0</v>
      </c>
      <c r="BU1521" s="2">
        <v>0</v>
      </c>
      <c r="BV1521" s="2">
        <f t="shared" si="97"/>
        <v>12</v>
      </c>
      <c r="BW1521" s="16">
        <f t="shared" si="95"/>
        <v>0.63157894736842102</v>
      </c>
      <c r="BX1521" s="16">
        <f>COUNTIF($BC$6:BU1521, "=0") / COUNTIF($BC$6:BU1521, "&gt;-1")</f>
        <v>0.38675184002221913</v>
      </c>
      <c r="BY1521" s="18">
        <f>SUM($BC$6:BU1521) / $BY$4</f>
        <v>0.98061165553946139</v>
      </c>
      <c r="BZ1521" s="14">
        <f t="shared" si="96"/>
        <v>12</v>
      </c>
      <c r="CA1521" t="s">
        <v>5832</v>
      </c>
      <c r="CZ1521" t="s">
        <v>13292</v>
      </c>
      <c r="DA1521" t="s">
        <v>5904</v>
      </c>
      <c r="DB1521">
        <v>1763</v>
      </c>
      <c r="DC1521" t="s">
        <v>35386</v>
      </c>
      <c r="DD1521" t="s">
        <v>35387</v>
      </c>
      <c r="DE1521" t="s">
        <v>35388</v>
      </c>
      <c r="DF1521" t="s">
        <v>35389</v>
      </c>
      <c r="DG1521" t="s">
        <v>35390</v>
      </c>
      <c r="DH1521" t="str">
        <f>"RTN4"</f>
        <v>RTN4</v>
      </c>
      <c r="DI1521" t="s">
        <v>13772</v>
      </c>
      <c r="DJ1521" t="s">
        <v>13777</v>
      </c>
      <c r="DK1521">
        <v>9606</v>
      </c>
      <c r="DL1521" s="34" t="str">
        <f>HYPERLINK("http://www.uniprot.org/uniprot/Q9NQC3", "Q9NQC3")</f>
        <v>Q9NQC3</v>
      </c>
      <c r="DM1521" t="s">
        <v>35391</v>
      </c>
      <c r="DN1521" t="s">
        <v>20100</v>
      </c>
      <c r="DO1521" t="s">
        <v>35392</v>
      </c>
      <c r="DP1521" t="s">
        <v>13780</v>
      </c>
      <c r="DQ1521" t="s">
        <v>13772</v>
      </c>
      <c r="DR1521" t="s">
        <v>13772</v>
      </c>
      <c r="DS1521" t="s">
        <v>13925</v>
      </c>
      <c r="DT1521" t="s">
        <v>13772</v>
      </c>
      <c r="DU1521" t="s">
        <v>13772</v>
      </c>
      <c r="DV1521" t="s">
        <v>13886</v>
      </c>
      <c r="DW1521" t="s">
        <v>13812</v>
      </c>
      <c r="DX1521" t="s">
        <v>35393</v>
      </c>
      <c r="DY1521" t="s">
        <v>35394</v>
      </c>
      <c r="DZ1521" t="s">
        <v>35395</v>
      </c>
      <c r="EA1521" t="s">
        <v>13772</v>
      </c>
      <c r="EB1521" t="s">
        <v>35396</v>
      </c>
    </row>
    <row r="1522" spans="1:132" hidden="1">
      <c r="A1522">
        <v>2274</v>
      </c>
      <c r="B1522">
        <v>1</v>
      </c>
      <c r="C1522" t="s">
        <v>5313</v>
      </c>
      <c r="D1522" t="s">
        <v>73</v>
      </c>
      <c r="E1522" t="s">
        <v>73</v>
      </c>
      <c r="F1522" t="s">
        <v>73</v>
      </c>
      <c r="G1522" t="s">
        <v>73</v>
      </c>
      <c r="H1522">
        <v>25.1</v>
      </c>
      <c r="I1522">
        <v>251</v>
      </c>
      <c r="J1522">
        <v>28348</v>
      </c>
      <c r="K1522" t="s">
        <v>5314</v>
      </c>
      <c r="L1522">
        <f t="shared" si="94"/>
        <v>12</v>
      </c>
      <c r="N1522">
        <v>12</v>
      </c>
      <c r="O1522">
        <v>12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4</v>
      </c>
      <c r="Z1522">
        <v>0</v>
      </c>
      <c r="AA1522">
        <v>4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4</v>
      </c>
      <c r="AS1522">
        <v>0</v>
      </c>
      <c r="AT1522">
        <v>4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2</v>
      </c>
      <c r="BA1522">
        <v>0</v>
      </c>
      <c r="BB152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1</v>
      </c>
      <c r="BK1522" s="2">
        <v>4</v>
      </c>
      <c r="BL1522" s="2">
        <v>0</v>
      </c>
      <c r="BM1522" s="2">
        <v>4</v>
      </c>
      <c r="BN1522" s="2">
        <v>0</v>
      </c>
      <c r="BO1522" s="2">
        <v>1</v>
      </c>
      <c r="BP1522" s="2">
        <v>0</v>
      </c>
      <c r="BQ1522" s="2">
        <v>0</v>
      </c>
      <c r="BR1522" s="2">
        <v>0</v>
      </c>
      <c r="BS1522" s="2">
        <v>2</v>
      </c>
      <c r="BT1522" s="2">
        <v>0</v>
      </c>
      <c r="BU1522" s="2">
        <v>0</v>
      </c>
      <c r="BV1522" s="2">
        <f t="shared" si="97"/>
        <v>12</v>
      </c>
      <c r="BW1522" s="16">
        <f t="shared" si="95"/>
        <v>0.63157894736842102</v>
      </c>
      <c r="BX1522" s="16">
        <f>COUNTIF($BC$6:BU1522, "=0") / COUNTIF($BC$6:BU1522, "&gt;-1")</f>
        <v>0.38698261804808659</v>
      </c>
      <c r="BY1522" s="18">
        <f>SUM($BC$6:BU1522) / $BY$4</f>
        <v>0.98066305918188579</v>
      </c>
      <c r="BZ1522" s="14">
        <f t="shared" si="96"/>
        <v>14</v>
      </c>
      <c r="CA1522" t="s">
        <v>5832</v>
      </c>
      <c r="CZ1522" t="s">
        <v>13323</v>
      </c>
      <c r="DA1522" t="s">
        <v>5904</v>
      </c>
      <c r="DB1522">
        <v>425.2</v>
      </c>
      <c r="DC1522" t="s">
        <v>35467</v>
      </c>
      <c r="DD1522" t="s">
        <v>35468</v>
      </c>
      <c r="DE1522" t="s">
        <v>35469</v>
      </c>
      <c r="DF1522" t="s">
        <v>35470</v>
      </c>
      <c r="DG1522" t="s">
        <v>35471</v>
      </c>
      <c r="DH1522" t="str">
        <f>"PSMA7"</f>
        <v>PSMA7</v>
      </c>
      <c r="DI1522" t="s">
        <v>35472</v>
      </c>
      <c r="DJ1522" t="s">
        <v>13777</v>
      </c>
      <c r="DK1522">
        <v>9606</v>
      </c>
      <c r="DL1522" s="34" t="str">
        <f>HYPERLINK("http://www.uniprot.org/uniprot/O14818", "O14818")</f>
        <v>O14818</v>
      </c>
      <c r="DM1522" t="s">
        <v>35473</v>
      </c>
      <c r="DN1522" t="s">
        <v>14563</v>
      </c>
      <c r="DO1522" t="s">
        <v>14204</v>
      </c>
      <c r="DP1522" t="s">
        <v>13780</v>
      </c>
      <c r="DQ1522" t="s">
        <v>13772</v>
      </c>
      <c r="DR1522" t="s">
        <v>13772</v>
      </c>
      <c r="DS1522" t="s">
        <v>13772</v>
      </c>
      <c r="DT1522" t="s">
        <v>13772</v>
      </c>
      <c r="DU1522" t="s">
        <v>14564</v>
      </c>
      <c r="DV1522" t="s">
        <v>14182</v>
      </c>
      <c r="DW1522" t="s">
        <v>13812</v>
      </c>
      <c r="DX1522" t="s">
        <v>15962</v>
      </c>
      <c r="DY1522" t="s">
        <v>35474</v>
      </c>
      <c r="DZ1522" t="s">
        <v>35475</v>
      </c>
      <c r="EA1522" t="s">
        <v>13772</v>
      </c>
      <c r="EB1522" t="s">
        <v>14208</v>
      </c>
    </row>
    <row r="1523" spans="1:132" hidden="1">
      <c r="A1523">
        <v>2339</v>
      </c>
      <c r="B1523">
        <v>1</v>
      </c>
      <c r="C1523" t="s">
        <v>5456</v>
      </c>
      <c r="D1523" t="s">
        <v>73</v>
      </c>
      <c r="E1523" t="s">
        <v>73</v>
      </c>
      <c r="F1523" t="s">
        <v>73</v>
      </c>
      <c r="G1523" t="s">
        <v>73</v>
      </c>
      <c r="H1523">
        <v>20.9</v>
      </c>
      <c r="I1523">
        <v>244</v>
      </c>
      <c r="J1523">
        <v>26295</v>
      </c>
      <c r="K1523" t="s">
        <v>5457</v>
      </c>
      <c r="L1523">
        <f t="shared" si="94"/>
        <v>12</v>
      </c>
      <c r="N1523">
        <v>12</v>
      </c>
      <c r="O1523">
        <v>12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2</v>
      </c>
      <c r="V1523">
        <v>5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>
        <v>0</v>
      </c>
      <c r="AN1523">
        <v>2</v>
      </c>
      <c r="AO1523">
        <v>5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 s="2">
        <v>1</v>
      </c>
      <c r="BD1523" s="2">
        <v>1</v>
      </c>
      <c r="BE1523" s="2">
        <v>1</v>
      </c>
      <c r="BF1523" s="2">
        <v>0</v>
      </c>
      <c r="BG1523" s="2">
        <v>2</v>
      </c>
      <c r="BH1523" s="2">
        <v>5</v>
      </c>
      <c r="BI1523" s="2">
        <v>1</v>
      </c>
      <c r="BJ1523" s="2">
        <v>1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f t="shared" si="97"/>
        <v>12</v>
      </c>
      <c r="BW1523" s="16">
        <f t="shared" si="95"/>
        <v>0.63157894736842102</v>
      </c>
      <c r="BX1523" s="16">
        <f>COUNTIF($BC$6:BU1523, "=0") / COUNTIF($BC$6:BU1523, "&gt;-1")</f>
        <v>0.38714374869981277</v>
      </c>
      <c r="BY1523" s="18">
        <f>SUM($BC$6:BU1523) / $BY$4</f>
        <v>0.9807144628243103</v>
      </c>
      <c r="BZ1523" s="14">
        <f t="shared" si="96"/>
        <v>12</v>
      </c>
      <c r="CA1523" t="s">
        <v>5832</v>
      </c>
      <c r="CZ1523" t="s">
        <v>13525</v>
      </c>
      <c r="DA1523" t="s">
        <v>5904</v>
      </c>
      <c r="DB1523">
        <v>447.2</v>
      </c>
      <c r="DC1523" t="s">
        <v>36046</v>
      </c>
      <c r="DD1523" t="s">
        <v>36047</v>
      </c>
      <c r="DE1523" t="s">
        <v>36048</v>
      </c>
      <c r="DF1523" t="s">
        <v>36049</v>
      </c>
      <c r="DG1523" t="s">
        <v>36050</v>
      </c>
      <c r="DH1523" t="str">
        <f>"CTHRC1"</f>
        <v>CTHRC1</v>
      </c>
      <c r="DI1523" t="s">
        <v>13772</v>
      </c>
      <c r="DJ1523" t="s">
        <v>13777</v>
      </c>
      <c r="DK1523">
        <v>9606</v>
      </c>
      <c r="DL1523" s="34" t="str">
        <f>HYPERLINK("http://www.uniprot.org/uniprot/Q96CG8", "Q96CG8")</f>
        <v>Q96CG8</v>
      </c>
      <c r="DM1523" t="s">
        <v>36051</v>
      </c>
      <c r="DN1523" t="s">
        <v>13772</v>
      </c>
      <c r="DO1523" t="s">
        <v>13869</v>
      </c>
      <c r="DP1523" t="s">
        <v>13780</v>
      </c>
      <c r="DQ1523" t="s">
        <v>13772</v>
      </c>
      <c r="DR1523" t="s">
        <v>13772</v>
      </c>
      <c r="DS1523" t="s">
        <v>19034</v>
      </c>
      <c r="DT1523" t="s">
        <v>13772</v>
      </c>
      <c r="DU1523" t="s">
        <v>13772</v>
      </c>
      <c r="DV1523" t="s">
        <v>13858</v>
      </c>
      <c r="DW1523" t="s">
        <v>13772</v>
      </c>
      <c r="DX1523" t="s">
        <v>36052</v>
      </c>
      <c r="DY1523" t="s">
        <v>36053</v>
      </c>
      <c r="DZ1523" t="s">
        <v>36054</v>
      </c>
      <c r="EA1523" t="s">
        <v>13772</v>
      </c>
      <c r="EB1523" t="s">
        <v>13772</v>
      </c>
    </row>
    <row r="1524" spans="1:132" hidden="1">
      <c r="A1524">
        <v>2359</v>
      </c>
      <c r="B1524">
        <v>1</v>
      </c>
      <c r="C1524" t="s">
        <v>5498</v>
      </c>
      <c r="D1524" t="s">
        <v>73</v>
      </c>
      <c r="E1524" t="s">
        <v>73</v>
      </c>
      <c r="F1524" t="s">
        <v>73</v>
      </c>
      <c r="G1524" t="s">
        <v>73</v>
      </c>
      <c r="H1524">
        <v>14.6</v>
      </c>
      <c r="I1524">
        <v>205</v>
      </c>
      <c r="J1524">
        <v>22979</v>
      </c>
      <c r="K1524" t="s">
        <v>5499</v>
      </c>
      <c r="L1524">
        <f t="shared" si="94"/>
        <v>12</v>
      </c>
      <c r="N1524">
        <v>12</v>
      </c>
      <c r="O1524">
        <v>12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2</v>
      </c>
      <c r="Z1524">
        <v>0</v>
      </c>
      <c r="AA1524">
        <v>2</v>
      </c>
      <c r="AB1524">
        <v>1</v>
      </c>
      <c r="AC1524">
        <v>3</v>
      </c>
      <c r="AD1524">
        <v>0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2</v>
      </c>
      <c r="AS1524">
        <v>0</v>
      </c>
      <c r="AT1524">
        <v>2</v>
      </c>
      <c r="AU1524">
        <v>1</v>
      </c>
      <c r="AV1524">
        <v>3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1</v>
      </c>
      <c r="BH1524" s="2">
        <v>0</v>
      </c>
      <c r="BI1524" s="2">
        <v>0</v>
      </c>
      <c r="BJ1524" s="2">
        <v>1</v>
      </c>
      <c r="BK1524" s="2">
        <v>2</v>
      </c>
      <c r="BL1524" s="2">
        <v>0</v>
      </c>
      <c r="BM1524" s="2">
        <v>2</v>
      </c>
      <c r="BN1524" s="2">
        <v>1</v>
      </c>
      <c r="BO1524" s="2">
        <v>3</v>
      </c>
      <c r="BP1524" s="2">
        <v>0</v>
      </c>
      <c r="BQ1524" s="2">
        <v>0</v>
      </c>
      <c r="BR1524" s="2">
        <v>1</v>
      </c>
      <c r="BS1524" s="2">
        <v>1</v>
      </c>
      <c r="BT1524" s="2">
        <v>0</v>
      </c>
      <c r="BU1524" s="2">
        <v>0</v>
      </c>
      <c r="BV1524" s="2">
        <f t="shared" si="97"/>
        <v>12</v>
      </c>
      <c r="BW1524" s="16">
        <f t="shared" si="95"/>
        <v>0.63157894736842102</v>
      </c>
      <c r="BX1524" s="16">
        <f>COUNTIF($BC$6:BU1524, "=0") / COUNTIF($BC$6:BU1524, "&gt;-1")</f>
        <v>0.38727001836388203</v>
      </c>
      <c r="BY1524" s="18">
        <f>SUM($BC$6:BU1524) / $BY$4</f>
        <v>0.98076586646673469</v>
      </c>
      <c r="BZ1524" s="14">
        <f t="shared" si="96"/>
        <v>11</v>
      </c>
      <c r="CA1524" t="s">
        <v>5832</v>
      </c>
      <c r="CZ1524" t="s">
        <v>13589</v>
      </c>
      <c r="DA1524" t="s">
        <v>5904</v>
      </c>
      <c r="DB1524">
        <v>426.4</v>
      </c>
      <c r="DC1524" t="s">
        <v>36229</v>
      </c>
      <c r="DD1524" t="s">
        <v>36230</v>
      </c>
      <c r="DE1524" t="s">
        <v>36231</v>
      </c>
      <c r="DF1524" t="s">
        <v>36232</v>
      </c>
      <c r="DG1524" t="s">
        <v>36233</v>
      </c>
      <c r="DH1524" t="str">
        <f>"PSMB3"</f>
        <v>PSMB3</v>
      </c>
      <c r="DI1524" t="s">
        <v>13772</v>
      </c>
      <c r="DJ1524" t="s">
        <v>13777</v>
      </c>
      <c r="DK1524">
        <v>9606</v>
      </c>
      <c r="DL1524" s="34" t="str">
        <f>HYPERLINK("http://www.uniprot.org/uniprot/P49720", "P49720")</f>
        <v>P49720</v>
      </c>
      <c r="DM1524" t="s">
        <v>36234</v>
      </c>
      <c r="DN1524" t="s">
        <v>14563</v>
      </c>
      <c r="DO1524" t="s">
        <v>14204</v>
      </c>
      <c r="DP1524" t="s">
        <v>13793</v>
      </c>
      <c r="DQ1524" t="s">
        <v>13772</v>
      </c>
      <c r="DR1524" t="s">
        <v>13772</v>
      </c>
      <c r="DS1524" t="s">
        <v>13772</v>
      </c>
      <c r="DT1524" t="s">
        <v>13772</v>
      </c>
      <c r="DU1524" t="s">
        <v>14564</v>
      </c>
      <c r="DV1524" t="s">
        <v>14020</v>
      </c>
      <c r="DW1524" t="s">
        <v>13812</v>
      </c>
      <c r="DX1524" t="s">
        <v>15962</v>
      </c>
      <c r="DY1524" t="s">
        <v>14567</v>
      </c>
      <c r="DZ1524" t="s">
        <v>15932</v>
      </c>
      <c r="EA1524" t="s">
        <v>13772</v>
      </c>
      <c r="EB1524" t="s">
        <v>14208</v>
      </c>
    </row>
    <row r="1525" spans="1:132" hidden="1">
      <c r="A1525">
        <v>646</v>
      </c>
      <c r="B1525">
        <v>1</v>
      </c>
      <c r="C1525" t="s">
        <v>1597</v>
      </c>
      <c r="D1525" t="s">
        <v>73</v>
      </c>
      <c r="E1525" t="s">
        <v>73</v>
      </c>
      <c r="F1525" t="s">
        <v>1598</v>
      </c>
      <c r="G1525" t="s">
        <v>73</v>
      </c>
      <c r="H1525">
        <v>27.9</v>
      </c>
      <c r="I1525">
        <v>244</v>
      </c>
      <c r="J1525">
        <v>27442</v>
      </c>
      <c r="K1525" t="s">
        <v>1599</v>
      </c>
      <c r="L1525">
        <f t="shared" si="94"/>
        <v>39</v>
      </c>
      <c r="N1525">
        <v>39</v>
      </c>
      <c r="O1525">
        <v>1</v>
      </c>
      <c r="P1525">
        <v>2.5999999999999999E-2</v>
      </c>
      <c r="Q1525">
        <v>3</v>
      </c>
      <c r="R1525">
        <v>1</v>
      </c>
      <c r="S1525">
        <v>1</v>
      </c>
      <c r="T1525">
        <v>0</v>
      </c>
      <c r="U1525">
        <v>3</v>
      </c>
      <c r="V1525">
        <v>3</v>
      </c>
      <c r="W1525">
        <v>4</v>
      </c>
      <c r="X1525">
        <v>3</v>
      </c>
      <c r="Y1525">
        <v>2</v>
      </c>
      <c r="Z1525">
        <v>0</v>
      </c>
      <c r="AA1525">
        <v>1</v>
      </c>
      <c r="AB1525">
        <v>6</v>
      </c>
      <c r="AC1525">
        <v>1</v>
      </c>
      <c r="AD1525">
        <v>0</v>
      </c>
      <c r="AE1525">
        <v>0</v>
      </c>
      <c r="AF1525">
        <v>4</v>
      </c>
      <c r="AG1525">
        <v>5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 s="2">
        <v>1.2</v>
      </c>
      <c r="BD1525" s="2">
        <v>0.2</v>
      </c>
      <c r="BE1525" s="2">
        <v>0</v>
      </c>
      <c r="BF1525" s="2">
        <v>0</v>
      </c>
      <c r="BG1525" s="2">
        <v>0.9</v>
      </c>
      <c r="BH1525" s="2">
        <v>1</v>
      </c>
      <c r="BI1525" s="2">
        <v>0.5</v>
      </c>
      <c r="BJ1525" s="2">
        <v>0.9</v>
      </c>
      <c r="BK1525" s="2">
        <v>2</v>
      </c>
      <c r="BL1525" s="2">
        <v>0</v>
      </c>
      <c r="BM1525" s="2">
        <v>0.5</v>
      </c>
      <c r="BN1525" s="2">
        <v>0</v>
      </c>
      <c r="BO1525" s="2">
        <v>0.5</v>
      </c>
      <c r="BP1525" s="2">
        <v>0</v>
      </c>
      <c r="BQ1525" s="2">
        <v>0</v>
      </c>
      <c r="BR1525" s="2">
        <v>2</v>
      </c>
      <c r="BS1525" s="2">
        <v>1.9</v>
      </c>
      <c r="BT1525" s="2">
        <v>0.2</v>
      </c>
      <c r="BU1525" s="2">
        <v>0</v>
      </c>
      <c r="BV1525" s="2">
        <f t="shared" si="97"/>
        <v>11.799999999999999</v>
      </c>
      <c r="BW1525" s="16">
        <f t="shared" si="95"/>
        <v>0.6210526315789473</v>
      </c>
      <c r="BX1525" s="16">
        <f>COUNTIF($BC$6:BU1525, "=0") / COUNTIF($BC$6:BU1525, "&gt;-1")</f>
        <v>0.38725761772853184</v>
      </c>
      <c r="BY1525" s="18">
        <f>SUM($BC$6:BU1525) / $BY$4</f>
        <v>0.98081641338178538</v>
      </c>
      <c r="BZ1525" s="14">
        <f t="shared" si="96"/>
        <v>7</v>
      </c>
      <c r="CA1525" t="s">
        <v>5832</v>
      </c>
      <c r="CZ1525" t="s">
        <v>7919</v>
      </c>
      <c r="DA1525" t="s">
        <v>5904</v>
      </c>
      <c r="DB1525">
        <v>334.7</v>
      </c>
      <c r="DC1525" t="s">
        <v>20152</v>
      </c>
      <c r="DD1525" t="s">
        <v>20153</v>
      </c>
      <c r="DE1525" t="s">
        <v>20154</v>
      </c>
      <c r="DF1525" t="s">
        <v>20155</v>
      </c>
      <c r="DG1525" t="s">
        <v>20156</v>
      </c>
      <c r="DH1525" t="str">
        <f>"HLA-A"</f>
        <v>HLA-A</v>
      </c>
      <c r="DI1525" t="s">
        <v>20157</v>
      </c>
      <c r="DJ1525" t="s">
        <v>13777</v>
      </c>
      <c r="DK1525">
        <v>9606</v>
      </c>
      <c r="DL1525" s="34" t="str">
        <f>HYPERLINK("http://www.uniprot.org/uniprot/P01891", "P01891")</f>
        <v>P01891</v>
      </c>
      <c r="DM1525" t="s">
        <v>20158</v>
      </c>
      <c r="DN1525" t="s">
        <v>13791</v>
      </c>
      <c r="DO1525" t="s">
        <v>20159</v>
      </c>
      <c r="DP1525" t="s">
        <v>13793</v>
      </c>
      <c r="DQ1525" t="s">
        <v>13772</v>
      </c>
      <c r="DR1525" t="s">
        <v>13772</v>
      </c>
      <c r="DS1525" t="s">
        <v>13855</v>
      </c>
      <c r="DT1525" t="s">
        <v>13772</v>
      </c>
      <c r="DU1525" t="s">
        <v>13772</v>
      </c>
      <c r="DV1525" t="s">
        <v>14640</v>
      </c>
      <c r="DW1525" t="s">
        <v>13812</v>
      </c>
      <c r="DX1525" t="s">
        <v>20160</v>
      </c>
      <c r="DY1525" t="s">
        <v>20161</v>
      </c>
      <c r="DZ1525" t="s">
        <v>20162</v>
      </c>
      <c r="EA1525" t="s">
        <v>13772</v>
      </c>
      <c r="EB1525" t="s">
        <v>20163</v>
      </c>
    </row>
    <row r="1526" spans="1:132" hidden="1">
      <c r="A1526">
        <v>332</v>
      </c>
      <c r="B1526">
        <v>1</v>
      </c>
      <c r="C1526" t="s">
        <v>834</v>
      </c>
      <c r="D1526" t="s">
        <v>73</v>
      </c>
      <c r="E1526" t="s">
        <v>73</v>
      </c>
      <c r="F1526" t="s">
        <v>835</v>
      </c>
      <c r="G1526" t="s">
        <v>73</v>
      </c>
      <c r="H1526">
        <v>37.6</v>
      </c>
      <c r="I1526">
        <v>354</v>
      </c>
      <c r="J1526">
        <v>40389</v>
      </c>
      <c r="K1526" t="s">
        <v>836</v>
      </c>
      <c r="L1526">
        <f t="shared" si="94"/>
        <v>31</v>
      </c>
      <c r="N1526">
        <v>31</v>
      </c>
      <c r="O1526">
        <v>8</v>
      </c>
      <c r="P1526">
        <v>0.25800000000000001</v>
      </c>
      <c r="Q1526">
        <v>0</v>
      </c>
      <c r="R1526">
        <v>0</v>
      </c>
      <c r="S1526">
        <v>1</v>
      </c>
      <c r="T1526">
        <v>2</v>
      </c>
      <c r="U1526">
        <v>6</v>
      </c>
      <c r="V1526">
        <v>5</v>
      </c>
      <c r="W1526">
        <v>3</v>
      </c>
      <c r="X1526">
        <v>1</v>
      </c>
      <c r="Y1526">
        <v>0</v>
      </c>
      <c r="Z1526">
        <v>1</v>
      </c>
      <c r="AA1526">
        <v>2</v>
      </c>
      <c r="AB1526">
        <v>3</v>
      </c>
      <c r="AC1526">
        <v>5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3</v>
      </c>
      <c r="AO1526">
        <v>3</v>
      </c>
      <c r="AP1526">
        <v>1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5</v>
      </c>
      <c r="BH1526" s="2">
        <v>4.2</v>
      </c>
      <c r="BI1526" s="2">
        <v>1.361</v>
      </c>
      <c r="BJ1526" s="2">
        <v>1</v>
      </c>
      <c r="BK1526" s="2">
        <v>0</v>
      </c>
      <c r="BL1526" s="2">
        <v>0.2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f t="shared" si="97"/>
        <v>11.760999999999999</v>
      </c>
      <c r="BW1526" s="16">
        <f t="shared" si="95"/>
        <v>0.61899999999999999</v>
      </c>
      <c r="BX1526" s="16">
        <f>COUNTIF($BC$6:BU1526, "=0") / COUNTIF($BC$6:BU1526, "&gt;-1")</f>
        <v>0.38748745631336723</v>
      </c>
      <c r="BY1526" s="18">
        <f>SUM($BC$6:BU1526) / $BY$4</f>
        <v>0.98086679323499826</v>
      </c>
      <c r="BZ1526" s="14">
        <f t="shared" si="96"/>
        <v>14</v>
      </c>
      <c r="CA1526" t="s">
        <v>5832</v>
      </c>
      <c r="CZ1526" t="s">
        <v>6851</v>
      </c>
      <c r="DA1526" t="s">
        <v>5904</v>
      </c>
      <c r="DB1526">
        <v>734.6</v>
      </c>
      <c r="DC1526" t="s">
        <v>16875</v>
      </c>
      <c r="DD1526" t="s">
        <v>16876</v>
      </c>
      <c r="DE1526" t="s">
        <v>16877</v>
      </c>
      <c r="DF1526" t="s">
        <v>16878</v>
      </c>
      <c r="DG1526" t="s">
        <v>16879</v>
      </c>
      <c r="DH1526" t="str">
        <f>"GNAI1"</f>
        <v>GNAI1</v>
      </c>
      <c r="DI1526" t="s">
        <v>13772</v>
      </c>
      <c r="DJ1526" t="s">
        <v>13777</v>
      </c>
      <c r="DK1526">
        <v>9606</v>
      </c>
      <c r="DL1526" s="34" t="str">
        <f>HYPERLINK("http://www.uniprot.org/uniprot/P63096", "P63096")</f>
        <v>P63096</v>
      </c>
      <c r="DM1526" t="s">
        <v>16880</v>
      </c>
      <c r="DN1526" t="s">
        <v>14675</v>
      </c>
      <c r="DO1526" t="s">
        <v>16881</v>
      </c>
      <c r="DP1526" t="s">
        <v>13841</v>
      </c>
      <c r="DQ1526" t="s">
        <v>13772</v>
      </c>
      <c r="DR1526" t="s">
        <v>13772</v>
      </c>
      <c r="DS1526" t="s">
        <v>13772</v>
      </c>
      <c r="DT1526" t="s">
        <v>16882</v>
      </c>
      <c r="DU1526" t="s">
        <v>16883</v>
      </c>
      <c r="DV1526" t="s">
        <v>16884</v>
      </c>
      <c r="DW1526" t="s">
        <v>13812</v>
      </c>
      <c r="DX1526" t="s">
        <v>16885</v>
      </c>
      <c r="DY1526" t="s">
        <v>16886</v>
      </c>
      <c r="DZ1526" t="s">
        <v>16887</v>
      </c>
      <c r="EA1526" t="s">
        <v>13772</v>
      </c>
      <c r="EB1526" t="s">
        <v>16888</v>
      </c>
    </row>
    <row r="1527" spans="1:132" hidden="1">
      <c r="A1527">
        <v>655</v>
      </c>
      <c r="B1527">
        <v>1</v>
      </c>
      <c r="C1527" t="s">
        <v>1615</v>
      </c>
      <c r="D1527" t="s">
        <v>1616</v>
      </c>
      <c r="E1527" t="s">
        <v>73</v>
      </c>
      <c r="F1527" t="s">
        <v>1617</v>
      </c>
      <c r="G1527" t="s">
        <v>73</v>
      </c>
      <c r="H1527">
        <v>34.200000000000003</v>
      </c>
      <c r="I1527">
        <v>76</v>
      </c>
      <c r="J1527">
        <v>8552</v>
      </c>
      <c r="K1527" t="s">
        <v>1618</v>
      </c>
      <c r="L1527">
        <f t="shared" si="94"/>
        <v>23</v>
      </c>
      <c r="N1527">
        <v>23</v>
      </c>
      <c r="O1527">
        <v>3</v>
      </c>
      <c r="P1527">
        <v>0.13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6</v>
      </c>
      <c r="Y1527">
        <v>1</v>
      </c>
      <c r="Z1527">
        <v>0</v>
      </c>
      <c r="AA1527">
        <v>2</v>
      </c>
      <c r="AB1527">
        <v>2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2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 s="2">
        <v>0.5</v>
      </c>
      <c r="BD1527" s="2">
        <v>0</v>
      </c>
      <c r="BE1527" s="2">
        <v>0.5</v>
      </c>
      <c r="BF1527" s="2">
        <v>0</v>
      </c>
      <c r="BG1527" s="2">
        <v>0.5</v>
      </c>
      <c r="BH1527" s="2">
        <v>0</v>
      </c>
      <c r="BI1527" s="2">
        <v>0.5</v>
      </c>
      <c r="BJ1527" s="2">
        <v>4</v>
      </c>
      <c r="BK1527" s="2">
        <v>0</v>
      </c>
      <c r="BL1527" s="2">
        <v>0</v>
      </c>
      <c r="BM1527" s="2">
        <v>1.25</v>
      </c>
      <c r="BN1527" s="2">
        <v>1</v>
      </c>
      <c r="BO1527" s="2">
        <v>0.5</v>
      </c>
      <c r="BP1527" s="2">
        <v>0.5</v>
      </c>
      <c r="BQ1527" s="2">
        <v>0.5</v>
      </c>
      <c r="BR1527" s="2">
        <v>0</v>
      </c>
      <c r="BS1527" s="2">
        <v>0.5</v>
      </c>
      <c r="BT1527" s="2">
        <v>1</v>
      </c>
      <c r="BU1527" s="2">
        <v>0.5</v>
      </c>
      <c r="BV1527" s="2">
        <f t="shared" si="97"/>
        <v>11.75</v>
      </c>
      <c r="BW1527" s="16">
        <f t="shared" si="95"/>
        <v>0.61842105263157898</v>
      </c>
      <c r="BX1527" s="16">
        <f>COUNTIF($BC$6:BU1527, "=0") / COUNTIF($BC$6:BU1527, "&gt;-1")</f>
        <v>0.3874403485718238</v>
      </c>
      <c r="BY1527" s="18">
        <f>SUM($BC$6:BU1527) / $BY$4</f>
        <v>0.98091712596820557</v>
      </c>
      <c r="BZ1527" s="14">
        <f t="shared" si="96"/>
        <v>6</v>
      </c>
      <c r="CA1527" t="s">
        <v>5832</v>
      </c>
      <c r="CZ1527" t="s">
        <v>7948</v>
      </c>
      <c r="DA1527" t="s">
        <v>5904</v>
      </c>
      <c r="DB1527">
        <v>141</v>
      </c>
      <c r="DC1527" t="s">
        <v>20232</v>
      </c>
      <c r="DD1527" t="s">
        <v>20233</v>
      </c>
      <c r="DE1527" t="s">
        <v>20234</v>
      </c>
      <c r="DF1527" t="s">
        <v>20235</v>
      </c>
      <c r="DG1527" t="s">
        <v>20236</v>
      </c>
      <c r="DH1527" t="str">
        <f>"SUMO2"</f>
        <v>SUMO2</v>
      </c>
      <c r="DI1527" t="s">
        <v>13772</v>
      </c>
      <c r="DJ1527" t="s">
        <v>13777</v>
      </c>
      <c r="DK1527">
        <v>9606</v>
      </c>
      <c r="DL1527" s="34" t="str">
        <f>HYPERLINK("http://www.uniprot.org/uniprot/P61956", "P61956")</f>
        <v>P61956</v>
      </c>
      <c r="DM1527" t="s">
        <v>20237</v>
      </c>
      <c r="DN1527" t="s">
        <v>14109</v>
      </c>
      <c r="DO1527" t="s">
        <v>14825</v>
      </c>
      <c r="DP1527" t="s">
        <v>13780</v>
      </c>
      <c r="DQ1527" t="s">
        <v>13772</v>
      </c>
      <c r="DR1527" t="s">
        <v>13772</v>
      </c>
      <c r="DS1527" t="s">
        <v>13772</v>
      </c>
      <c r="DT1527" t="s">
        <v>13772</v>
      </c>
      <c r="DU1527" t="s">
        <v>13772</v>
      </c>
      <c r="DV1527" t="s">
        <v>14312</v>
      </c>
      <c r="DW1527" t="s">
        <v>13812</v>
      </c>
      <c r="DX1527" t="s">
        <v>20238</v>
      </c>
      <c r="DY1527" t="s">
        <v>20239</v>
      </c>
      <c r="DZ1527" t="s">
        <v>20240</v>
      </c>
      <c r="EA1527" t="s">
        <v>13772</v>
      </c>
      <c r="EB1527" t="s">
        <v>20241</v>
      </c>
    </row>
    <row r="1528" spans="1:132" hidden="1">
      <c r="A1528">
        <v>950</v>
      </c>
      <c r="B1528">
        <v>1</v>
      </c>
      <c r="C1528" t="s">
        <v>2313</v>
      </c>
      <c r="D1528" t="s">
        <v>73</v>
      </c>
      <c r="E1528" t="s">
        <v>73</v>
      </c>
      <c r="F1528" t="s">
        <v>1107</v>
      </c>
      <c r="G1528" t="s">
        <v>73</v>
      </c>
      <c r="H1528">
        <v>29</v>
      </c>
      <c r="I1528">
        <v>300</v>
      </c>
      <c r="J1528">
        <v>32332</v>
      </c>
      <c r="K1528" t="s">
        <v>2314</v>
      </c>
      <c r="L1528">
        <f t="shared" si="94"/>
        <v>39</v>
      </c>
      <c r="N1528">
        <v>39</v>
      </c>
      <c r="O1528">
        <v>0</v>
      </c>
      <c r="P1528">
        <v>0</v>
      </c>
      <c r="Q1528">
        <v>1</v>
      </c>
      <c r="R1528">
        <v>3</v>
      </c>
      <c r="S1528">
        <v>1</v>
      </c>
      <c r="T1528">
        <v>1</v>
      </c>
      <c r="U1528">
        <v>0</v>
      </c>
      <c r="V1528">
        <v>0</v>
      </c>
      <c r="W1528">
        <v>2</v>
      </c>
      <c r="X1528">
        <v>2</v>
      </c>
      <c r="Y1528">
        <v>7</v>
      </c>
      <c r="Z1528">
        <v>0</v>
      </c>
      <c r="AA1528">
        <v>5</v>
      </c>
      <c r="AB1528">
        <v>8</v>
      </c>
      <c r="AC1528">
        <v>2</v>
      </c>
      <c r="AD1528">
        <v>0</v>
      </c>
      <c r="AE1528">
        <v>1</v>
      </c>
      <c r="AF1528">
        <v>4</v>
      </c>
      <c r="AG1528">
        <v>0</v>
      </c>
      <c r="AH1528">
        <v>2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 s="2">
        <v>0.25</v>
      </c>
      <c r="BD1528" s="2">
        <v>1.5</v>
      </c>
      <c r="BE1528" s="2">
        <v>0.25</v>
      </c>
      <c r="BF1528" s="2">
        <v>0.25</v>
      </c>
      <c r="BG1528" s="2">
        <v>0</v>
      </c>
      <c r="BH1528" s="2">
        <v>0</v>
      </c>
      <c r="BI1528" s="2">
        <v>0.45</v>
      </c>
      <c r="BJ1528" s="2">
        <v>0.45</v>
      </c>
      <c r="BK1528" s="2">
        <v>1.917</v>
      </c>
      <c r="BL1528" s="2">
        <v>0</v>
      </c>
      <c r="BM1528" s="2">
        <v>1.45</v>
      </c>
      <c r="BN1528" s="2">
        <v>2.1829999999999998</v>
      </c>
      <c r="BO1528" s="2">
        <v>0.58299999999999996</v>
      </c>
      <c r="BP1528" s="2">
        <v>0</v>
      </c>
      <c r="BQ1528" s="2">
        <v>0.33300000000000002</v>
      </c>
      <c r="BR1528" s="2">
        <v>1.0329999999999999</v>
      </c>
      <c r="BS1528" s="2">
        <v>0</v>
      </c>
      <c r="BT1528" s="2">
        <v>1</v>
      </c>
      <c r="BU1528" s="2">
        <v>0</v>
      </c>
      <c r="BV1528" s="2">
        <f t="shared" si="97"/>
        <v>11.648999999999999</v>
      </c>
      <c r="BW1528" s="16">
        <f t="shared" si="95"/>
        <v>0.61310526315789471</v>
      </c>
      <c r="BX1528" s="16">
        <f>COUNTIF($BC$6:BU1528, "=0") / COUNTIF($BC$6:BU1528, "&gt;-1")</f>
        <v>0.38739330269205513</v>
      </c>
      <c r="BY1528" s="18">
        <f>SUM($BC$6:BU1528) / $BY$4</f>
        <v>0.98096702605408914</v>
      </c>
      <c r="BZ1528" s="14">
        <f t="shared" si="96"/>
        <v>6</v>
      </c>
      <c r="CA1528" t="s">
        <v>5832</v>
      </c>
      <c r="CZ1528" t="s">
        <v>7232</v>
      </c>
      <c r="DA1528" t="s">
        <v>5904</v>
      </c>
      <c r="DB1528">
        <v>458</v>
      </c>
      <c r="DC1528" t="s">
        <v>18079</v>
      </c>
      <c r="DD1528" t="s">
        <v>18080</v>
      </c>
      <c r="DE1528" t="s">
        <v>18081</v>
      </c>
      <c r="DF1528" t="s">
        <v>18082</v>
      </c>
      <c r="DG1528" t="s">
        <v>18083</v>
      </c>
      <c r="DH1528" t="str">
        <f>"HNRNPA1L2"</f>
        <v>HNRNPA1L2</v>
      </c>
      <c r="DI1528" t="s">
        <v>18084</v>
      </c>
      <c r="DJ1528" t="s">
        <v>13777</v>
      </c>
      <c r="DK1528">
        <v>9606</v>
      </c>
      <c r="DL1528" s="34" t="str">
        <f>HYPERLINK("http://www.uniprot.org/uniprot/Q32P51", "Q32P51")</f>
        <v>Q32P51</v>
      </c>
      <c r="DM1528" t="s">
        <v>18085</v>
      </c>
      <c r="DN1528" t="s">
        <v>16723</v>
      </c>
      <c r="DO1528" t="s">
        <v>14230</v>
      </c>
      <c r="DP1528" t="s">
        <v>13793</v>
      </c>
      <c r="DQ1528" t="s">
        <v>13772</v>
      </c>
      <c r="DR1528" t="s">
        <v>13772</v>
      </c>
      <c r="DS1528" t="s">
        <v>14096</v>
      </c>
      <c r="DT1528" t="s">
        <v>13772</v>
      </c>
      <c r="DU1528" t="s">
        <v>16089</v>
      </c>
      <c r="DV1528" t="s">
        <v>14098</v>
      </c>
      <c r="DW1528" t="s">
        <v>13772</v>
      </c>
      <c r="DX1528" t="s">
        <v>18086</v>
      </c>
      <c r="DY1528" t="s">
        <v>18087</v>
      </c>
      <c r="DZ1528" t="s">
        <v>18088</v>
      </c>
      <c r="EA1528" t="s">
        <v>13772</v>
      </c>
      <c r="EB1528" t="s">
        <v>13772</v>
      </c>
    </row>
    <row r="1529" spans="1:132" hidden="1">
      <c r="A1529">
        <v>733</v>
      </c>
      <c r="B1529">
        <v>1</v>
      </c>
      <c r="C1529" t="s">
        <v>1796</v>
      </c>
      <c r="D1529" t="s">
        <v>1797</v>
      </c>
      <c r="E1529" t="s">
        <v>73</v>
      </c>
      <c r="F1529" t="s">
        <v>1798</v>
      </c>
      <c r="G1529" t="s">
        <v>73</v>
      </c>
      <c r="H1529">
        <v>20.6</v>
      </c>
      <c r="I1529">
        <v>408</v>
      </c>
      <c r="J1529">
        <v>46489</v>
      </c>
      <c r="K1529" t="s">
        <v>1799</v>
      </c>
      <c r="L1529">
        <f t="shared" si="94"/>
        <v>23</v>
      </c>
      <c r="N1529">
        <v>23</v>
      </c>
      <c r="O1529">
        <v>4</v>
      </c>
      <c r="P1529">
        <v>0.17399999999999999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6</v>
      </c>
      <c r="Z1529">
        <v>0</v>
      </c>
      <c r="AA1529">
        <v>9</v>
      </c>
      <c r="AB1529">
        <v>5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2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0.8</v>
      </c>
      <c r="BJ1529" s="2">
        <v>0</v>
      </c>
      <c r="BK1529" s="2">
        <v>3</v>
      </c>
      <c r="BL1529" s="2">
        <v>0</v>
      </c>
      <c r="BM1529" s="2">
        <v>4.8</v>
      </c>
      <c r="BN1529" s="2">
        <v>2.6</v>
      </c>
      <c r="BO1529" s="2">
        <v>0.4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f t="shared" si="97"/>
        <v>11.6</v>
      </c>
      <c r="BW1529" s="16">
        <f t="shared" si="95"/>
        <v>0.61052631578947369</v>
      </c>
      <c r="BX1529" s="16">
        <f>COUNTIF($BC$6:BU1529, "=0") / COUNTIF($BC$6:BU1529, "&gt;-1")</f>
        <v>0.38762259980660313</v>
      </c>
      <c r="BY1529" s="18">
        <f>SUM($BC$6:BU1529) / $BY$4</f>
        <v>0.98101671624176601</v>
      </c>
      <c r="BZ1529" s="14">
        <f t="shared" si="96"/>
        <v>14</v>
      </c>
      <c r="CA1529" t="s">
        <v>5832</v>
      </c>
      <c r="CZ1529" t="s">
        <v>8205</v>
      </c>
      <c r="DA1529" t="s">
        <v>5904</v>
      </c>
      <c r="DB1529">
        <v>839.7</v>
      </c>
      <c r="DC1529" t="s">
        <v>20979</v>
      </c>
      <c r="DD1529" t="s">
        <v>20980</v>
      </c>
      <c r="DE1529" t="s">
        <v>20981</v>
      </c>
      <c r="DF1529" t="s">
        <v>20982</v>
      </c>
      <c r="DG1529" t="s">
        <v>20983</v>
      </c>
      <c r="DH1529" t="str">
        <f>"EIF4A2"</f>
        <v>EIF4A2</v>
      </c>
      <c r="DI1529" t="s">
        <v>20984</v>
      </c>
      <c r="DJ1529" t="s">
        <v>13777</v>
      </c>
      <c r="DK1529">
        <v>9606</v>
      </c>
      <c r="DL1529" s="34" t="str">
        <f>HYPERLINK("http://www.uniprot.org/uniprot/Q14240", "Q14240")</f>
        <v>Q14240</v>
      </c>
      <c r="DM1529" t="s">
        <v>20985</v>
      </c>
      <c r="DN1529" t="s">
        <v>14361</v>
      </c>
      <c r="DO1529" t="s">
        <v>13772</v>
      </c>
      <c r="DP1529" t="s">
        <v>13780</v>
      </c>
      <c r="DQ1529" t="s">
        <v>13772</v>
      </c>
      <c r="DR1529" t="s">
        <v>13772</v>
      </c>
      <c r="DS1529" t="s">
        <v>13772</v>
      </c>
      <c r="DT1529" t="s">
        <v>14005</v>
      </c>
      <c r="DU1529" t="s">
        <v>14362</v>
      </c>
      <c r="DV1529" t="s">
        <v>13782</v>
      </c>
      <c r="DW1529" t="s">
        <v>13812</v>
      </c>
      <c r="DX1529" t="s">
        <v>20986</v>
      </c>
      <c r="DY1529" t="s">
        <v>20987</v>
      </c>
      <c r="DZ1529" t="s">
        <v>20988</v>
      </c>
      <c r="EA1529" t="s">
        <v>13772</v>
      </c>
      <c r="EB1529" t="s">
        <v>14366</v>
      </c>
    </row>
    <row r="1530" spans="1:132" hidden="1">
      <c r="A1530">
        <v>186</v>
      </c>
      <c r="B1530">
        <v>1</v>
      </c>
      <c r="C1530" t="s">
        <v>467</v>
      </c>
      <c r="D1530" t="s">
        <v>73</v>
      </c>
      <c r="E1530" t="s">
        <v>73</v>
      </c>
      <c r="F1530" t="s">
        <v>468</v>
      </c>
      <c r="G1530" t="s">
        <v>73</v>
      </c>
      <c r="H1530">
        <v>11.8</v>
      </c>
      <c r="I1530">
        <v>727</v>
      </c>
      <c r="J1530">
        <v>83480</v>
      </c>
      <c r="K1530" t="s">
        <v>469</v>
      </c>
      <c r="L1530">
        <f t="shared" si="94"/>
        <v>12</v>
      </c>
      <c r="N1530">
        <v>12</v>
      </c>
      <c r="O1530">
        <v>10</v>
      </c>
      <c r="P1530">
        <v>0.83299999999999996</v>
      </c>
      <c r="Q1530">
        <v>1</v>
      </c>
      <c r="R1530">
        <v>4</v>
      </c>
      <c r="S1530">
        <v>0</v>
      </c>
      <c r="T1530">
        <v>1</v>
      </c>
      <c r="U1530">
        <v>3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1</v>
      </c>
      <c r="AK1530">
        <v>3</v>
      </c>
      <c r="AL1530">
        <v>0</v>
      </c>
      <c r="AM1530">
        <v>1</v>
      </c>
      <c r="AN1530">
        <v>3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 s="2">
        <v>1</v>
      </c>
      <c r="BD1530" s="2">
        <v>3.75</v>
      </c>
      <c r="BE1530" s="2">
        <v>0</v>
      </c>
      <c r="BF1530" s="2">
        <v>1</v>
      </c>
      <c r="BG1530" s="2">
        <v>3</v>
      </c>
      <c r="BH1530" s="2">
        <v>1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0.5</v>
      </c>
      <c r="BV1530" s="2">
        <f t="shared" si="97"/>
        <v>11.25</v>
      </c>
      <c r="BW1530" s="16">
        <f t="shared" si="95"/>
        <v>0.59210526315789469</v>
      </c>
      <c r="BX1530" s="16">
        <f>COUNTIF($BC$6:BU1530, "=0") / COUNTIF($BC$6:BU1530, "&gt;-1")</f>
        <v>0.3877825711820535</v>
      </c>
      <c r="BY1530" s="18">
        <f>SUM($BC$6:BU1530) / $BY$4</f>
        <v>0.98106490715653882</v>
      </c>
      <c r="BZ1530" s="14">
        <f t="shared" si="96"/>
        <v>12</v>
      </c>
      <c r="CA1530" t="s">
        <v>5832</v>
      </c>
      <c r="CZ1530" t="s">
        <v>6338</v>
      </c>
      <c r="DA1530" t="s">
        <v>5904</v>
      </c>
      <c r="DB1530">
        <v>1411.4</v>
      </c>
      <c r="DC1530" t="s">
        <v>15303</v>
      </c>
      <c r="DD1530" t="s">
        <v>15304</v>
      </c>
      <c r="DE1530" t="s">
        <v>15305</v>
      </c>
      <c r="DF1530" t="s">
        <v>15306</v>
      </c>
      <c r="DG1530" t="s">
        <v>15307</v>
      </c>
      <c r="DH1530" t="str">
        <f>"PLOD1"</f>
        <v>PLOD1</v>
      </c>
      <c r="DI1530" t="s">
        <v>15308</v>
      </c>
      <c r="DJ1530" t="s">
        <v>13777</v>
      </c>
      <c r="DK1530">
        <v>9606</v>
      </c>
      <c r="DL1530" s="34" t="str">
        <f>HYPERLINK("http://www.uniprot.org/uniprot/Q02809", "Q02809")</f>
        <v>Q02809</v>
      </c>
      <c r="DM1530" t="s">
        <v>15309</v>
      </c>
      <c r="DN1530" t="s">
        <v>13772</v>
      </c>
      <c r="DO1530" t="s">
        <v>14714</v>
      </c>
      <c r="DP1530" t="s">
        <v>13780</v>
      </c>
      <c r="DQ1530" t="s">
        <v>13772</v>
      </c>
      <c r="DR1530" t="s">
        <v>15310</v>
      </c>
      <c r="DS1530" t="s">
        <v>13808</v>
      </c>
      <c r="DT1530" t="s">
        <v>15311</v>
      </c>
      <c r="DU1530" t="s">
        <v>14433</v>
      </c>
      <c r="DV1530" t="s">
        <v>13858</v>
      </c>
      <c r="DW1530" t="s">
        <v>13772</v>
      </c>
      <c r="DX1530" t="s">
        <v>15312</v>
      </c>
      <c r="DY1530" t="s">
        <v>15313</v>
      </c>
      <c r="DZ1530" t="s">
        <v>15314</v>
      </c>
      <c r="EA1530" t="s">
        <v>13772</v>
      </c>
      <c r="EB1530" t="s">
        <v>15055</v>
      </c>
    </row>
    <row r="1531" spans="1:132" hidden="1">
      <c r="A1531">
        <v>761</v>
      </c>
      <c r="B1531">
        <v>1</v>
      </c>
      <c r="C1531" t="s">
        <v>1869</v>
      </c>
      <c r="D1531" t="s">
        <v>1870</v>
      </c>
      <c r="E1531" t="s">
        <v>73</v>
      </c>
      <c r="F1531" t="s">
        <v>1871</v>
      </c>
      <c r="G1531" t="s">
        <v>73</v>
      </c>
      <c r="H1531">
        <v>9.5</v>
      </c>
      <c r="I1531">
        <v>728</v>
      </c>
      <c r="J1531">
        <v>81687</v>
      </c>
      <c r="K1531" t="s">
        <v>1872</v>
      </c>
      <c r="L1531">
        <f t="shared" si="94"/>
        <v>12</v>
      </c>
      <c r="N1531">
        <v>12</v>
      </c>
      <c r="O1531">
        <v>11</v>
      </c>
      <c r="P1531">
        <v>0.91700000000000004</v>
      </c>
      <c r="Q1531">
        <v>4</v>
      </c>
      <c r="R1531">
        <v>3</v>
      </c>
      <c r="S1531">
        <v>1</v>
      </c>
      <c r="T1531">
        <v>0</v>
      </c>
      <c r="U1531">
        <v>1</v>
      </c>
      <c r="V1531">
        <v>0</v>
      </c>
      <c r="W1531">
        <v>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4</v>
      </c>
      <c r="AK1531">
        <v>2</v>
      </c>
      <c r="AL1531">
        <v>1</v>
      </c>
      <c r="AM1531">
        <v>0</v>
      </c>
      <c r="AN1531">
        <v>1</v>
      </c>
      <c r="AO1531">
        <v>0</v>
      </c>
      <c r="AP1531">
        <v>3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 s="2">
        <v>4</v>
      </c>
      <c r="BD1531" s="2">
        <v>2.125</v>
      </c>
      <c r="BE1531" s="2">
        <v>1</v>
      </c>
      <c r="BF1531" s="2">
        <v>0</v>
      </c>
      <c r="BG1531" s="2">
        <v>1</v>
      </c>
      <c r="BH1531" s="2">
        <v>0</v>
      </c>
      <c r="BI1531" s="2">
        <v>3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f t="shared" si="97"/>
        <v>11.125</v>
      </c>
      <c r="BW1531" s="16">
        <f t="shared" si="95"/>
        <v>0.58552631578947367</v>
      </c>
      <c r="BX1531" s="16">
        <f>COUNTIF($BC$6:BU1531, "=0") / COUNTIF($BC$6:BU1531, "&gt;-1")</f>
        <v>0.38801131268538319</v>
      </c>
      <c r="BY1531" s="18">
        <f>SUM($BC$6:BU1531) / $BY$4</f>
        <v>0.98111256261670321</v>
      </c>
      <c r="BZ1531" s="14">
        <f t="shared" si="96"/>
        <v>14</v>
      </c>
      <c r="CA1531" t="s">
        <v>5832</v>
      </c>
      <c r="CZ1531" t="s">
        <v>8306</v>
      </c>
      <c r="DA1531" t="s">
        <v>5904</v>
      </c>
      <c r="DB1531">
        <v>989.2</v>
      </c>
      <c r="DC1531" t="s">
        <v>21274</v>
      </c>
      <c r="DD1531" t="s">
        <v>21275</v>
      </c>
      <c r="DE1531" t="s">
        <v>21276</v>
      </c>
      <c r="DF1531" t="s">
        <v>21277</v>
      </c>
      <c r="DG1531" t="s">
        <v>21278</v>
      </c>
      <c r="DH1531" t="str">
        <f>"MASP1"</f>
        <v>MASP1</v>
      </c>
      <c r="DI1531" t="s">
        <v>21279</v>
      </c>
      <c r="DJ1531" t="s">
        <v>13777</v>
      </c>
      <c r="DK1531">
        <v>9606</v>
      </c>
      <c r="DL1531" s="34" t="str">
        <f>HYPERLINK("http://www.uniprot.org/uniprot/P48740", "P48740")</f>
        <v>P48740</v>
      </c>
      <c r="DM1531" t="s">
        <v>21280</v>
      </c>
      <c r="DN1531" t="s">
        <v>21281</v>
      </c>
      <c r="DO1531" t="s">
        <v>14321</v>
      </c>
      <c r="DP1531" t="s">
        <v>13780</v>
      </c>
      <c r="DQ1531" t="s">
        <v>13772</v>
      </c>
      <c r="DR1531" t="s">
        <v>13807</v>
      </c>
      <c r="DS1531" t="s">
        <v>21282</v>
      </c>
      <c r="DT1531" t="s">
        <v>13873</v>
      </c>
      <c r="DU1531" t="s">
        <v>15176</v>
      </c>
      <c r="DV1531" t="s">
        <v>21283</v>
      </c>
      <c r="DW1531" t="s">
        <v>13812</v>
      </c>
      <c r="DX1531" t="s">
        <v>21284</v>
      </c>
      <c r="DY1531" t="s">
        <v>21285</v>
      </c>
      <c r="DZ1531" t="s">
        <v>21286</v>
      </c>
      <c r="EA1531" t="s">
        <v>13772</v>
      </c>
      <c r="EB1531" t="s">
        <v>21287</v>
      </c>
    </row>
    <row r="1532" spans="1:132" hidden="1">
      <c r="A1532">
        <v>69</v>
      </c>
      <c r="B1532">
        <v>1</v>
      </c>
      <c r="C1532" t="s">
        <v>196</v>
      </c>
      <c r="D1532" t="s">
        <v>73</v>
      </c>
      <c r="E1532" t="s">
        <v>73</v>
      </c>
      <c r="F1532" t="s">
        <v>73</v>
      </c>
      <c r="G1532" t="s">
        <v>73</v>
      </c>
      <c r="H1532">
        <v>10.1</v>
      </c>
      <c r="I1532">
        <v>828</v>
      </c>
      <c r="J1532">
        <v>87124</v>
      </c>
      <c r="K1532" t="s">
        <v>197</v>
      </c>
      <c r="L1532">
        <f t="shared" si="94"/>
        <v>11</v>
      </c>
      <c r="N1532">
        <v>11</v>
      </c>
      <c r="O1532">
        <v>11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4</v>
      </c>
      <c r="AB1532">
        <v>0</v>
      </c>
      <c r="AC1532">
        <v>2</v>
      </c>
      <c r="AD1532">
        <v>0</v>
      </c>
      <c r="AE1532">
        <v>1</v>
      </c>
      <c r="AF1532">
        <v>3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4</v>
      </c>
      <c r="AU1532">
        <v>0</v>
      </c>
      <c r="AV1532">
        <v>2</v>
      </c>
      <c r="AW1532">
        <v>0</v>
      </c>
      <c r="AX1532">
        <v>1</v>
      </c>
      <c r="AY1532">
        <v>3</v>
      </c>
      <c r="AZ1532">
        <v>0</v>
      </c>
      <c r="BA1532">
        <v>0</v>
      </c>
      <c r="BB153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1</v>
      </c>
      <c r="BL1532" s="2">
        <v>0</v>
      </c>
      <c r="BM1532" s="2">
        <v>4</v>
      </c>
      <c r="BN1532" s="2">
        <v>0</v>
      </c>
      <c r="BO1532" s="2">
        <v>2</v>
      </c>
      <c r="BP1532" s="2">
        <v>0</v>
      </c>
      <c r="BQ1532" s="2">
        <v>1</v>
      </c>
      <c r="BR1532" s="2">
        <v>3</v>
      </c>
      <c r="BS1532" s="2">
        <v>0</v>
      </c>
      <c r="BT1532" s="2">
        <v>0</v>
      </c>
      <c r="BU1532" s="2">
        <v>0</v>
      </c>
      <c r="BV1532" s="2">
        <f t="shared" si="97"/>
        <v>11</v>
      </c>
      <c r="BW1532" s="16">
        <f t="shared" si="95"/>
        <v>0.57894736842105265</v>
      </c>
      <c r="BX1532" s="16">
        <f>COUNTIF($BC$6:BU1532, "=0") / COUNTIF($BC$6:BU1532, "&gt;-1")</f>
        <v>0.38823975459276877</v>
      </c>
      <c r="BY1532" s="18">
        <f>SUM($BC$6:BU1532) / $BY$4</f>
        <v>0.98115968262225883</v>
      </c>
      <c r="BZ1532" s="14">
        <f t="shared" si="96"/>
        <v>14</v>
      </c>
      <c r="CA1532" t="s">
        <v>5832</v>
      </c>
      <c r="CZ1532" t="s">
        <v>5945</v>
      </c>
      <c r="DA1532" t="s">
        <v>5904</v>
      </c>
      <c r="DB1532">
        <v>1185.2</v>
      </c>
      <c r="DC1532" t="s">
        <v>13956</v>
      </c>
      <c r="DD1532" t="s">
        <v>13957</v>
      </c>
      <c r="DE1532" t="s">
        <v>13958</v>
      </c>
      <c r="DF1532" t="s">
        <v>13959</v>
      </c>
      <c r="DG1532" t="s">
        <v>13960</v>
      </c>
      <c r="DH1532" t="str">
        <f>"SCARF1"</f>
        <v>SCARF1</v>
      </c>
      <c r="DI1532" t="s">
        <v>13961</v>
      </c>
      <c r="DJ1532" t="s">
        <v>13777</v>
      </c>
      <c r="DK1532">
        <v>9606</v>
      </c>
      <c r="DL1532" s="34" t="str">
        <f>HYPERLINK("http://www.uniprot.org/uniprot/Q14162", "Q14162")</f>
        <v>Q14162</v>
      </c>
      <c r="DM1532" t="s">
        <v>13962</v>
      </c>
      <c r="DN1532" t="s">
        <v>13949</v>
      </c>
      <c r="DO1532" t="s">
        <v>13825</v>
      </c>
      <c r="DP1532" t="s">
        <v>13780</v>
      </c>
      <c r="DQ1532" t="s">
        <v>13772</v>
      </c>
      <c r="DR1532" t="s">
        <v>13772</v>
      </c>
      <c r="DS1532" t="s">
        <v>13963</v>
      </c>
      <c r="DT1532" t="s">
        <v>13772</v>
      </c>
      <c r="DU1532" t="s">
        <v>13795</v>
      </c>
      <c r="DV1532" t="s">
        <v>13964</v>
      </c>
      <c r="DW1532" t="s">
        <v>13772</v>
      </c>
      <c r="DX1532" t="s">
        <v>13965</v>
      </c>
      <c r="DY1532" t="s">
        <v>13966</v>
      </c>
      <c r="DZ1532" t="s">
        <v>13967</v>
      </c>
      <c r="EA1532" t="s">
        <v>13772</v>
      </c>
      <c r="EB1532" t="s">
        <v>13968</v>
      </c>
    </row>
    <row r="1533" spans="1:132" hidden="1">
      <c r="A1533">
        <v>73</v>
      </c>
      <c r="B1533">
        <v>1</v>
      </c>
      <c r="C1533" t="s">
        <v>203</v>
      </c>
      <c r="D1533" t="s">
        <v>204</v>
      </c>
      <c r="E1533" t="s">
        <v>73</v>
      </c>
      <c r="F1533" t="s">
        <v>73</v>
      </c>
      <c r="G1533" t="s">
        <v>73</v>
      </c>
      <c r="H1533">
        <v>20.7</v>
      </c>
      <c r="I1533">
        <v>392</v>
      </c>
      <c r="J1533">
        <v>42100</v>
      </c>
      <c r="K1533" t="s">
        <v>205</v>
      </c>
      <c r="L1533">
        <f t="shared" si="94"/>
        <v>11</v>
      </c>
      <c r="N1533">
        <v>11</v>
      </c>
      <c r="O1533">
        <v>11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5</v>
      </c>
      <c r="Z1533">
        <v>0</v>
      </c>
      <c r="AA1533">
        <v>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5</v>
      </c>
      <c r="AS1533">
        <v>0</v>
      </c>
      <c r="AT1533">
        <v>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1</v>
      </c>
      <c r="BH1533" s="2">
        <v>1</v>
      </c>
      <c r="BI1533" s="2">
        <v>1</v>
      </c>
      <c r="BJ1533" s="2">
        <v>0</v>
      </c>
      <c r="BK1533" s="2">
        <v>5</v>
      </c>
      <c r="BL1533" s="2">
        <v>0</v>
      </c>
      <c r="BM1533" s="2">
        <v>3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f t="shared" si="97"/>
        <v>11</v>
      </c>
      <c r="BW1533" s="16">
        <f t="shared" si="95"/>
        <v>0.57894736842105265</v>
      </c>
      <c r="BX1533" s="16">
        <f>COUNTIF($BC$6:BU1533, "=0") / COUNTIF($BC$6:BU1533, "&gt;-1")</f>
        <v>0.38846789749242217</v>
      </c>
      <c r="BY1533" s="18">
        <f>SUM($BC$6:BU1533) / $BY$4</f>
        <v>0.98120680262781457</v>
      </c>
      <c r="BZ1533" s="14">
        <f t="shared" si="96"/>
        <v>14</v>
      </c>
      <c r="CA1533" t="s">
        <v>5832</v>
      </c>
      <c r="CZ1533" t="s">
        <v>5956</v>
      </c>
      <c r="DA1533" t="s">
        <v>5904</v>
      </c>
      <c r="DB1533">
        <v>728.8</v>
      </c>
      <c r="DC1533" t="s">
        <v>13996</v>
      </c>
      <c r="DD1533" t="s">
        <v>13997</v>
      </c>
      <c r="DE1533" t="s">
        <v>13998</v>
      </c>
      <c r="DF1533" t="s">
        <v>13999</v>
      </c>
      <c r="DG1533" t="s">
        <v>14000</v>
      </c>
      <c r="DH1533" t="str">
        <f>"GALK1"</f>
        <v>GALK1</v>
      </c>
      <c r="DI1533" t="s">
        <v>14001</v>
      </c>
      <c r="DJ1533" t="s">
        <v>13777</v>
      </c>
      <c r="DK1533">
        <v>9606</v>
      </c>
      <c r="DL1533" s="34" t="str">
        <f>HYPERLINK("http://www.uniprot.org/uniprot/P51570", "P51570")</f>
        <v>P51570</v>
      </c>
      <c r="DM1533" t="s">
        <v>14002</v>
      </c>
      <c r="DN1533" t="s">
        <v>14003</v>
      </c>
      <c r="DO1533" t="s">
        <v>13772</v>
      </c>
      <c r="DP1533" t="s">
        <v>13780</v>
      </c>
      <c r="DQ1533" t="s">
        <v>13772</v>
      </c>
      <c r="DR1533" t="s">
        <v>14004</v>
      </c>
      <c r="DS1533" t="s">
        <v>13772</v>
      </c>
      <c r="DT1533" t="s">
        <v>14005</v>
      </c>
      <c r="DU1533" t="s">
        <v>14006</v>
      </c>
      <c r="DV1533" t="s">
        <v>13782</v>
      </c>
      <c r="DW1533" t="s">
        <v>13812</v>
      </c>
      <c r="DX1533" t="s">
        <v>14007</v>
      </c>
      <c r="DY1533" t="s">
        <v>14008</v>
      </c>
      <c r="DZ1533" t="s">
        <v>14009</v>
      </c>
      <c r="EA1533" t="s">
        <v>14010</v>
      </c>
      <c r="EB1533" t="s">
        <v>14011</v>
      </c>
    </row>
    <row r="1534" spans="1:132" hidden="1">
      <c r="A1534">
        <v>126</v>
      </c>
      <c r="B1534">
        <v>1</v>
      </c>
      <c r="C1534" t="s">
        <v>328</v>
      </c>
      <c r="D1534" t="s">
        <v>73</v>
      </c>
      <c r="E1534" t="s">
        <v>73</v>
      </c>
      <c r="F1534" t="s">
        <v>73</v>
      </c>
      <c r="G1534" t="s">
        <v>73</v>
      </c>
      <c r="H1534">
        <v>19.8</v>
      </c>
      <c r="I1534">
        <v>333</v>
      </c>
      <c r="J1534">
        <v>38510</v>
      </c>
      <c r="K1534" t="s">
        <v>329</v>
      </c>
      <c r="L1534">
        <f t="shared" si="94"/>
        <v>11</v>
      </c>
      <c r="N1534">
        <v>11</v>
      </c>
      <c r="O1534">
        <v>11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4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3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1</v>
      </c>
      <c r="AY1534">
        <v>4</v>
      </c>
      <c r="AZ1534">
        <v>0</v>
      </c>
      <c r="BA1534">
        <v>0</v>
      </c>
      <c r="BB1534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3</v>
      </c>
      <c r="BL1534" s="2">
        <v>0</v>
      </c>
      <c r="BM1534" s="2">
        <v>1</v>
      </c>
      <c r="BN1534" s="2">
        <v>0</v>
      </c>
      <c r="BO1534" s="2">
        <v>1</v>
      </c>
      <c r="BP1534" s="2">
        <v>0</v>
      </c>
      <c r="BQ1534" s="2">
        <v>1</v>
      </c>
      <c r="BR1534" s="2">
        <v>4</v>
      </c>
      <c r="BS1534" s="2">
        <v>0</v>
      </c>
      <c r="BT1534" s="2">
        <v>0</v>
      </c>
      <c r="BU1534" s="2">
        <v>1</v>
      </c>
      <c r="BV1534" s="2">
        <f t="shared" si="97"/>
        <v>11</v>
      </c>
      <c r="BW1534" s="16">
        <f t="shared" si="95"/>
        <v>0.57894736842105265</v>
      </c>
      <c r="BX1534" s="16">
        <f>COUNTIF($BC$6:BU1534, "=0") / COUNTIF($BC$6:BU1534, "&gt;-1")</f>
        <v>0.38866131974802931</v>
      </c>
      <c r="BY1534" s="18">
        <f>SUM($BC$6:BU1534) / $BY$4</f>
        <v>0.9812539226333703</v>
      </c>
      <c r="BZ1534" s="14">
        <f t="shared" si="96"/>
        <v>13</v>
      </c>
      <c r="CA1534" t="s">
        <v>5832</v>
      </c>
      <c r="CZ1534" t="s">
        <v>6127</v>
      </c>
      <c r="DA1534" t="s">
        <v>5904</v>
      </c>
      <c r="DB1534">
        <v>610.9</v>
      </c>
      <c r="DC1534" t="s">
        <v>14594</v>
      </c>
      <c r="DD1534" t="s">
        <v>14595</v>
      </c>
      <c r="DE1534" t="s">
        <v>14596</v>
      </c>
      <c r="DF1534" t="s">
        <v>14597</v>
      </c>
      <c r="DG1534" t="s">
        <v>14598</v>
      </c>
      <c r="DH1534" t="str">
        <f>"NUDC"</f>
        <v>NUDC</v>
      </c>
      <c r="DI1534" t="s">
        <v>13772</v>
      </c>
      <c r="DJ1534" t="s">
        <v>13777</v>
      </c>
      <c r="DK1534">
        <v>9606</v>
      </c>
      <c r="DL1534" s="34" t="str">
        <f>HYPERLINK("http://www.uniprot.org/uniprot/Q9Y266", "Q9Y266")</f>
        <v>Q9Y266</v>
      </c>
      <c r="DM1534" t="s">
        <v>14599</v>
      </c>
      <c r="DN1534" t="s">
        <v>14600</v>
      </c>
      <c r="DO1534" t="s">
        <v>14601</v>
      </c>
      <c r="DP1534" t="s">
        <v>13772</v>
      </c>
      <c r="DQ1534" t="s">
        <v>13772</v>
      </c>
      <c r="DR1534" t="s">
        <v>13772</v>
      </c>
      <c r="DS1534" t="s">
        <v>14245</v>
      </c>
      <c r="DT1534" t="s">
        <v>13772</v>
      </c>
      <c r="DU1534" t="s">
        <v>13772</v>
      </c>
      <c r="DV1534" t="s">
        <v>13886</v>
      </c>
      <c r="DW1534" t="s">
        <v>13812</v>
      </c>
      <c r="DX1534" t="s">
        <v>14602</v>
      </c>
      <c r="DY1534" t="s">
        <v>14603</v>
      </c>
      <c r="DZ1534" t="s">
        <v>14604</v>
      </c>
      <c r="EA1534" t="s">
        <v>13772</v>
      </c>
      <c r="EB1534" t="s">
        <v>14605</v>
      </c>
    </row>
    <row r="1535" spans="1:132" hidden="1">
      <c r="A1535">
        <v>145</v>
      </c>
      <c r="B1535">
        <v>1</v>
      </c>
      <c r="C1535" t="s">
        <v>378</v>
      </c>
      <c r="D1535" t="s">
        <v>73</v>
      </c>
      <c r="E1535" t="s">
        <v>73</v>
      </c>
      <c r="F1535" t="s">
        <v>73</v>
      </c>
      <c r="G1535" t="s">
        <v>73</v>
      </c>
      <c r="H1535">
        <v>12.9</v>
      </c>
      <c r="I1535">
        <v>255</v>
      </c>
      <c r="J1535">
        <v>28433</v>
      </c>
      <c r="K1535" t="s">
        <v>379</v>
      </c>
      <c r="L1535">
        <f t="shared" si="94"/>
        <v>11</v>
      </c>
      <c r="N1535">
        <v>11</v>
      </c>
      <c r="O1535">
        <v>11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2</v>
      </c>
      <c r="Z1535">
        <v>0</v>
      </c>
      <c r="AA1535">
        <v>2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3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2</v>
      </c>
      <c r="AS1535">
        <v>0</v>
      </c>
      <c r="AT1535">
        <v>2</v>
      </c>
      <c r="AU1535">
        <v>0</v>
      </c>
      <c r="AV1535">
        <v>0</v>
      </c>
      <c r="AW1535">
        <v>1</v>
      </c>
      <c r="AX1535">
        <v>0</v>
      </c>
      <c r="AY1535">
        <v>1</v>
      </c>
      <c r="AZ1535">
        <v>3</v>
      </c>
      <c r="BA1535">
        <v>0</v>
      </c>
      <c r="BB1535">
        <v>0</v>
      </c>
      <c r="BC1535" s="2">
        <v>0</v>
      </c>
      <c r="BD1535" s="2">
        <v>1</v>
      </c>
      <c r="BE1535" s="2">
        <v>0</v>
      </c>
      <c r="BF1535" s="2">
        <v>0</v>
      </c>
      <c r="BG1535" s="2">
        <v>1</v>
      </c>
      <c r="BH1535" s="2">
        <v>0</v>
      </c>
      <c r="BI1535" s="2">
        <v>0</v>
      </c>
      <c r="BJ1535" s="2">
        <v>0</v>
      </c>
      <c r="BK1535" s="2">
        <v>2</v>
      </c>
      <c r="BL1535" s="2">
        <v>0</v>
      </c>
      <c r="BM1535" s="2">
        <v>2</v>
      </c>
      <c r="BN1535" s="2">
        <v>0</v>
      </c>
      <c r="BO1535" s="2">
        <v>0</v>
      </c>
      <c r="BP1535" s="2">
        <v>1</v>
      </c>
      <c r="BQ1535" s="2">
        <v>0</v>
      </c>
      <c r="BR1535" s="2">
        <v>1</v>
      </c>
      <c r="BS1535" s="2">
        <v>3</v>
      </c>
      <c r="BT1535" s="2">
        <v>0</v>
      </c>
      <c r="BU1535" s="2">
        <v>0</v>
      </c>
      <c r="BV1535" s="2">
        <f t="shared" si="97"/>
        <v>11</v>
      </c>
      <c r="BW1535" s="16">
        <f t="shared" si="95"/>
        <v>0.57894736842105265</v>
      </c>
      <c r="BX1535" s="16">
        <f>COUNTIF($BC$6:BU1535, "=0") / COUNTIF($BC$6:BU1535, "&gt;-1")</f>
        <v>0.38882008943928448</v>
      </c>
      <c r="BY1535" s="18">
        <f>SUM($BC$6:BU1535) / $BY$4</f>
        <v>0.98130104263892604</v>
      </c>
      <c r="BZ1535" s="14">
        <f t="shared" si="96"/>
        <v>12</v>
      </c>
      <c r="CA1535" t="s">
        <v>5832</v>
      </c>
      <c r="CZ1535" t="s">
        <v>6199</v>
      </c>
      <c r="DA1535" t="s">
        <v>5904</v>
      </c>
      <c r="DB1535">
        <v>523.5</v>
      </c>
      <c r="DC1535" t="s">
        <v>14831</v>
      </c>
      <c r="DD1535" t="s">
        <v>14832</v>
      </c>
      <c r="DE1535" t="s">
        <v>14833</v>
      </c>
      <c r="DF1535" t="s">
        <v>14834</v>
      </c>
      <c r="DG1535" t="s">
        <v>14835</v>
      </c>
      <c r="DH1535" t="str">
        <f>"PSMA3"</f>
        <v>PSMA3</v>
      </c>
      <c r="DI1535" t="s">
        <v>14836</v>
      </c>
      <c r="DJ1535" t="s">
        <v>13777</v>
      </c>
      <c r="DK1535">
        <v>9606</v>
      </c>
      <c r="DL1535" s="34" t="str">
        <f>HYPERLINK("http://www.uniprot.org/uniprot/P25788", "P25788")</f>
        <v>P25788</v>
      </c>
      <c r="DM1535" t="s">
        <v>14837</v>
      </c>
      <c r="DN1535" t="s">
        <v>14563</v>
      </c>
      <c r="DO1535" t="s">
        <v>14204</v>
      </c>
      <c r="DP1535" t="s">
        <v>13780</v>
      </c>
      <c r="DQ1535" t="s">
        <v>13772</v>
      </c>
      <c r="DR1535" t="s">
        <v>13772</v>
      </c>
      <c r="DS1535" t="s">
        <v>13772</v>
      </c>
      <c r="DT1535" t="s">
        <v>13772</v>
      </c>
      <c r="DU1535" t="s">
        <v>14564</v>
      </c>
      <c r="DV1535" t="s">
        <v>13886</v>
      </c>
      <c r="DW1535" t="s">
        <v>13812</v>
      </c>
      <c r="DX1535" t="s">
        <v>14838</v>
      </c>
      <c r="DY1535" t="s">
        <v>14839</v>
      </c>
      <c r="DZ1535" t="s">
        <v>14840</v>
      </c>
      <c r="EA1535" t="s">
        <v>13772</v>
      </c>
      <c r="EB1535" t="s">
        <v>14208</v>
      </c>
    </row>
    <row r="1536" spans="1:132" hidden="1">
      <c r="A1536">
        <v>167</v>
      </c>
      <c r="B1536">
        <v>1</v>
      </c>
      <c r="C1536" t="s">
        <v>424</v>
      </c>
      <c r="D1536" t="s">
        <v>425</v>
      </c>
      <c r="E1536" t="s">
        <v>73</v>
      </c>
      <c r="F1536" t="s">
        <v>73</v>
      </c>
      <c r="G1536" t="s">
        <v>73</v>
      </c>
      <c r="H1536">
        <v>51.3</v>
      </c>
      <c r="I1536">
        <v>115</v>
      </c>
      <c r="J1536">
        <v>12793</v>
      </c>
      <c r="K1536" t="s">
        <v>426</v>
      </c>
      <c r="L1536">
        <f t="shared" si="94"/>
        <v>11</v>
      </c>
      <c r="N1536">
        <v>11</v>
      </c>
      <c r="O1536">
        <v>11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1</v>
      </c>
      <c r="AB1536">
        <v>4</v>
      </c>
      <c r="AC1536">
        <v>2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2</v>
      </c>
      <c r="AS1536">
        <v>0</v>
      </c>
      <c r="AT1536">
        <v>1</v>
      </c>
      <c r="AU1536">
        <v>4</v>
      </c>
      <c r="AV1536">
        <v>2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1</v>
      </c>
      <c r="BH1536" s="2">
        <v>0</v>
      </c>
      <c r="BI1536" s="2">
        <v>0</v>
      </c>
      <c r="BJ1536" s="2">
        <v>0</v>
      </c>
      <c r="BK1536" s="2">
        <v>2</v>
      </c>
      <c r="BL1536" s="2">
        <v>0</v>
      </c>
      <c r="BM1536" s="2">
        <v>1</v>
      </c>
      <c r="BN1536" s="2">
        <v>4</v>
      </c>
      <c r="BO1536" s="2">
        <v>2</v>
      </c>
      <c r="BP1536" s="2">
        <v>0</v>
      </c>
      <c r="BQ1536" s="2">
        <v>0</v>
      </c>
      <c r="BR1536" s="2">
        <v>1</v>
      </c>
      <c r="BS1536" s="2">
        <v>0</v>
      </c>
      <c r="BT1536" s="2">
        <v>0</v>
      </c>
      <c r="BU1536" s="2">
        <v>0</v>
      </c>
      <c r="BV1536" s="2">
        <f t="shared" si="97"/>
        <v>11</v>
      </c>
      <c r="BW1536" s="16">
        <f t="shared" si="95"/>
        <v>0.57894736842105265</v>
      </c>
      <c r="BX1536" s="16">
        <f>COUNTIF($BC$6:BU1536, "=0") / COUNTIF($BC$6:BU1536, "&gt;-1")</f>
        <v>0.38901302898002682</v>
      </c>
      <c r="BY1536" s="18">
        <f>SUM($BC$6:BU1536) / $BY$4</f>
        <v>0.98134816264448166</v>
      </c>
      <c r="BZ1536" s="14">
        <f t="shared" si="96"/>
        <v>13</v>
      </c>
      <c r="CA1536" t="s">
        <v>5832</v>
      </c>
      <c r="CZ1536" t="s">
        <v>6272</v>
      </c>
      <c r="DA1536" t="s">
        <v>5904</v>
      </c>
      <c r="DB1536">
        <v>234.2</v>
      </c>
      <c r="DC1536" t="s">
        <v>15069</v>
      </c>
      <c r="DD1536" t="s">
        <v>15070</v>
      </c>
      <c r="DE1536" t="s">
        <v>15071</v>
      </c>
      <c r="DF1536" t="s">
        <v>15072</v>
      </c>
      <c r="DG1536" t="s">
        <v>15073</v>
      </c>
      <c r="DH1536" t="str">
        <f>"RPL30"</f>
        <v>RPL30</v>
      </c>
      <c r="DI1536" t="s">
        <v>13772</v>
      </c>
      <c r="DJ1536" t="s">
        <v>13777</v>
      </c>
      <c r="DK1536">
        <v>9606</v>
      </c>
      <c r="DL1536" s="34" t="str">
        <f>HYPERLINK("http://www.uniprot.org/uniprot/P62888", "P62888")</f>
        <v>P62888</v>
      </c>
      <c r="DM1536" t="s">
        <v>15074</v>
      </c>
      <c r="DN1536" t="s">
        <v>13772</v>
      </c>
      <c r="DO1536" t="s">
        <v>13772</v>
      </c>
      <c r="DP1536" t="s">
        <v>13772</v>
      </c>
      <c r="DQ1536" t="s">
        <v>13772</v>
      </c>
      <c r="DR1536" t="s">
        <v>13772</v>
      </c>
      <c r="DS1536" t="s">
        <v>13772</v>
      </c>
      <c r="DT1536" t="s">
        <v>13772</v>
      </c>
      <c r="DU1536" t="s">
        <v>13937</v>
      </c>
      <c r="DV1536" t="s">
        <v>13991</v>
      </c>
      <c r="DW1536" t="s">
        <v>13812</v>
      </c>
      <c r="DX1536" t="s">
        <v>15075</v>
      </c>
      <c r="DY1536" t="s">
        <v>15076</v>
      </c>
      <c r="DZ1536" t="s">
        <v>15077</v>
      </c>
      <c r="EA1536" t="s">
        <v>13772</v>
      </c>
      <c r="EB1536" t="s">
        <v>13942</v>
      </c>
    </row>
    <row r="1537" spans="1:132" hidden="1">
      <c r="A1537">
        <v>173</v>
      </c>
      <c r="B1537">
        <v>1</v>
      </c>
      <c r="C1537" t="s">
        <v>440</v>
      </c>
      <c r="D1537" t="s">
        <v>73</v>
      </c>
      <c r="E1537" t="s">
        <v>73</v>
      </c>
      <c r="F1537" t="s">
        <v>73</v>
      </c>
      <c r="G1537" t="s">
        <v>73</v>
      </c>
      <c r="H1537">
        <v>37.1</v>
      </c>
      <c r="I1537">
        <v>194</v>
      </c>
      <c r="J1537">
        <v>21013</v>
      </c>
      <c r="K1537" t="s">
        <v>441</v>
      </c>
      <c r="L1537">
        <f t="shared" si="94"/>
        <v>11</v>
      </c>
      <c r="N1537">
        <v>11</v>
      </c>
      <c r="O1537">
        <v>11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6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>
        <v>6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1</v>
      </c>
      <c r="BA1537">
        <v>0</v>
      </c>
      <c r="BB1537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1</v>
      </c>
      <c r="BL1537" s="2">
        <v>0</v>
      </c>
      <c r="BM1537" s="2">
        <v>6</v>
      </c>
      <c r="BN1537" s="2">
        <v>0</v>
      </c>
      <c r="BO1537" s="2">
        <v>1</v>
      </c>
      <c r="BP1537" s="2">
        <v>0</v>
      </c>
      <c r="BQ1537" s="2">
        <v>1</v>
      </c>
      <c r="BR1537" s="2">
        <v>0</v>
      </c>
      <c r="BS1537" s="2">
        <v>1</v>
      </c>
      <c r="BT1537" s="2">
        <v>0</v>
      </c>
      <c r="BU1537" s="2">
        <v>0</v>
      </c>
      <c r="BV1537" s="2">
        <f t="shared" si="97"/>
        <v>11</v>
      </c>
      <c r="BW1537" s="16">
        <f t="shared" si="95"/>
        <v>0.57894736842105265</v>
      </c>
      <c r="BX1537" s="16">
        <f>COUNTIF($BC$6:BU1537, "=0") / COUNTIF($BC$6:BU1537, "&gt;-1")</f>
        <v>0.38920571664147313</v>
      </c>
      <c r="BY1537" s="18">
        <f>SUM($BC$6:BU1537) / $BY$4</f>
        <v>0.98139528265003739</v>
      </c>
      <c r="BZ1537" s="14">
        <f t="shared" si="96"/>
        <v>13</v>
      </c>
      <c r="CA1537" t="s">
        <v>5832</v>
      </c>
      <c r="CZ1537" t="s">
        <v>6295</v>
      </c>
      <c r="DA1537" t="s">
        <v>5904</v>
      </c>
      <c r="DB1537">
        <v>364</v>
      </c>
      <c r="DC1537" t="s">
        <v>15145</v>
      </c>
      <c r="DD1537" t="s">
        <v>15146</v>
      </c>
      <c r="DE1537" t="s">
        <v>15147</v>
      </c>
      <c r="DF1537" t="s">
        <v>15148</v>
      </c>
      <c r="DG1537" t="s">
        <v>15149</v>
      </c>
      <c r="DH1537" t="str">
        <f>"PPIH"</f>
        <v>PPIH</v>
      </c>
      <c r="DI1537" t="s">
        <v>15150</v>
      </c>
      <c r="DJ1537" t="s">
        <v>13777</v>
      </c>
      <c r="DK1537">
        <v>9606</v>
      </c>
      <c r="DL1537" s="34" t="str">
        <f>HYPERLINK("http://www.uniprot.org/uniprot/O43447", "O43447")</f>
        <v>O43447</v>
      </c>
      <c r="DM1537" t="s">
        <v>15151</v>
      </c>
      <c r="DN1537" t="s">
        <v>15152</v>
      </c>
      <c r="DO1537" t="s">
        <v>14230</v>
      </c>
      <c r="DP1537" t="s">
        <v>13841</v>
      </c>
      <c r="DQ1537" t="s">
        <v>13772</v>
      </c>
      <c r="DR1537" t="s">
        <v>13772</v>
      </c>
      <c r="DS1537" t="s">
        <v>13772</v>
      </c>
      <c r="DT1537" t="s">
        <v>13772</v>
      </c>
      <c r="DU1537" t="s">
        <v>15153</v>
      </c>
      <c r="DV1537" t="s">
        <v>14020</v>
      </c>
      <c r="DW1537" t="s">
        <v>13812</v>
      </c>
      <c r="DX1537" t="s">
        <v>15154</v>
      </c>
      <c r="DY1537" t="s">
        <v>15155</v>
      </c>
      <c r="DZ1537" t="s">
        <v>15156</v>
      </c>
      <c r="EA1537" t="s">
        <v>13772</v>
      </c>
      <c r="EB1537" t="s">
        <v>15157</v>
      </c>
    </row>
    <row r="1538" spans="1:132" hidden="1">
      <c r="A1538">
        <v>212</v>
      </c>
      <c r="B1538">
        <v>1</v>
      </c>
      <c r="C1538" t="s">
        <v>535</v>
      </c>
      <c r="D1538" t="s">
        <v>536</v>
      </c>
      <c r="E1538" t="s">
        <v>73</v>
      </c>
      <c r="F1538" t="s">
        <v>73</v>
      </c>
      <c r="G1538" t="s">
        <v>73</v>
      </c>
      <c r="H1538">
        <v>12.6</v>
      </c>
      <c r="I1538">
        <v>446</v>
      </c>
      <c r="J1538">
        <v>49564</v>
      </c>
      <c r="K1538" t="s">
        <v>537</v>
      </c>
      <c r="L1538">
        <f t="shared" si="94"/>
        <v>11</v>
      </c>
      <c r="N1538">
        <v>11</v>
      </c>
      <c r="O1538">
        <v>11</v>
      </c>
      <c r="P1538">
        <v>1</v>
      </c>
      <c r="Q1538">
        <v>0</v>
      </c>
      <c r="R1538">
        <v>2</v>
      </c>
      <c r="S1538">
        <v>1</v>
      </c>
      <c r="T1538">
        <v>3</v>
      </c>
      <c r="U1538">
        <v>2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L1538">
        <v>1</v>
      </c>
      <c r="AM1538">
        <v>3</v>
      </c>
      <c r="AN1538">
        <v>2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 s="2">
        <v>0</v>
      </c>
      <c r="BD1538" s="2">
        <v>2</v>
      </c>
      <c r="BE1538" s="2">
        <v>1</v>
      </c>
      <c r="BF1538" s="2">
        <v>3</v>
      </c>
      <c r="BG1538" s="2">
        <v>2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1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f t="shared" si="97"/>
        <v>11</v>
      </c>
      <c r="BW1538" s="16">
        <f t="shared" si="95"/>
        <v>0.57894736842105265</v>
      </c>
      <c r="BX1538" s="16">
        <f>COUNTIF($BC$6:BU1538, "=0") / COUNTIF($BC$6:BU1538, "&gt;-1")</f>
        <v>0.38936382051017954</v>
      </c>
      <c r="BY1538" s="18">
        <f>SUM($BC$6:BU1538) / $BY$4</f>
        <v>0.98144240265559313</v>
      </c>
      <c r="BZ1538" s="14">
        <f t="shared" si="96"/>
        <v>12</v>
      </c>
      <c r="CA1538" t="s">
        <v>5832</v>
      </c>
      <c r="CZ1538" t="s">
        <v>6429</v>
      </c>
      <c r="DA1538" t="s">
        <v>5904</v>
      </c>
      <c r="DB1538">
        <v>875.5</v>
      </c>
      <c r="DC1538" t="s">
        <v>15585</v>
      </c>
      <c r="DD1538" t="s">
        <v>15586</v>
      </c>
      <c r="DE1538" t="s">
        <v>15587</v>
      </c>
      <c r="DF1538" t="s">
        <v>15588</v>
      </c>
      <c r="DG1538" t="s">
        <v>15589</v>
      </c>
      <c r="DH1538" t="str">
        <f>"SMOC1"</f>
        <v>SMOC1</v>
      </c>
      <c r="DI1538" t="s">
        <v>13772</v>
      </c>
      <c r="DJ1538" t="s">
        <v>13777</v>
      </c>
      <c r="DK1538">
        <v>9606</v>
      </c>
      <c r="DL1538" s="34" t="str">
        <f>HYPERLINK("http://www.uniprot.org/uniprot/Q9H4F8", "Q9H4F8")</f>
        <v>Q9H4F8</v>
      </c>
      <c r="DM1538" t="s">
        <v>15590</v>
      </c>
      <c r="DN1538" t="s">
        <v>15591</v>
      </c>
      <c r="DO1538" t="s">
        <v>15002</v>
      </c>
      <c r="DP1538" t="s">
        <v>13780</v>
      </c>
      <c r="DQ1538" t="s">
        <v>13772</v>
      </c>
      <c r="DR1538" t="s">
        <v>15592</v>
      </c>
      <c r="DS1538" t="s">
        <v>14404</v>
      </c>
      <c r="DT1538" t="s">
        <v>13873</v>
      </c>
      <c r="DU1538" t="s">
        <v>14727</v>
      </c>
      <c r="DV1538" t="s">
        <v>13796</v>
      </c>
      <c r="DW1538" t="s">
        <v>13772</v>
      </c>
      <c r="DX1538" t="s">
        <v>15593</v>
      </c>
      <c r="DY1538" t="s">
        <v>15594</v>
      </c>
      <c r="DZ1538" t="s">
        <v>15595</v>
      </c>
      <c r="EA1538" t="s">
        <v>13772</v>
      </c>
      <c r="EB1538" t="s">
        <v>13772</v>
      </c>
    </row>
    <row r="1539" spans="1:132" hidden="1">
      <c r="A1539">
        <v>219</v>
      </c>
      <c r="B1539">
        <v>1</v>
      </c>
      <c r="C1539" t="s">
        <v>557</v>
      </c>
      <c r="D1539" t="s">
        <v>73</v>
      </c>
      <c r="E1539" t="s">
        <v>73</v>
      </c>
      <c r="F1539" t="s">
        <v>73</v>
      </c>
      <c r="G1539" t="s">
        <v>73</v>
      </c>
      <c r="H1539">
        <v>25.7</v>
      </c>
      <c r="I1539">
        <v>171</v>
      </c>
      <c r="J1539">
        <v>19365</v>
      </c>
      <c r="K1539" t="s">
        <v>558</v>
      </c>
      <c r="L1539">
        <f t="shared" si="94"/>
        <v>11</v>
      </c>
      <c r="N1539">
        <v>11</v>
      </c>
      <c r="O1539">
        <v>11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>
        <v>0</v>
      </c>
      <c r="AA1539">
        <v>4</v>
      </c>
      <c r="AB1539">
        <v>0</v>
      </c>
      <c r="AC1539">
        <v>2</v>
      </c>
      <c r="AD1539">
        <v>0</v>
      </c>
      <c r="AE1539">
        <v>0</v>
      </c>
      <c r="AF1539">
        <v>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</v>
      </c>
      <c r="AS1539">
        <v>0</v>
      </c>
      <c r="AT1539">
        <v>4</v>
      </c>
      <c r="AU1539">
        <v>0</v>
      </c>
      <c r="AV1539">
        <v>2</v>
      </c>
      <c r="AW1539">
        <v>0</v>
      </c>
      <c r="AX1539">
        <v>0</v>
      </c>
      <c r="AY1539">
        <v>2</v>
      </c>
      <c r="AZ1539">
        <v>0</v>
      </c>
      <c r="BA1539">
        <v>0</v>
      </c>
      <c r="BB1539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3</v>
      </c>
      <c r="BL1539" s="2">
        <v>0</v>
      </c>
      <c r="BM1539" s="2">
        <v>4</v>
      </c>
      <c r="BN1539" s="2">
        <v>0</v>
      </c>
      <c r="BO1539" s="2">
        <v>2</v>
      </c>
      <c r="BP1539" s="2">
        <v>0</v>
      </c>
      <c r="BQ1539" s="2">
        <v>0</v>
      </c>
      <c r="BR1539" s="2">
        <v>2</v>
      </c>
      <c r="BS1539" s="2">
        <v>0</v>
      </c>
      <c r="BT1539" s="2">
        <v>0</v>
      </c>
      <c r="BU1539" s="2">
        <v>0</v>
      </c>
      <c r="BV1539" s="2">
        <f t="shared" si="97"/>
        <v>11</v>
      </c>
      <c r="BW1539" s="16">
        <f t="shared" si="95"/>
        <v>0.57894736842105265</v>
      </c>
      <c r="BX1539" s="16">
        <f>COUNTIF($BC$6:BU1539, "=0") / COUNTIF($BC$6:BU1539, "&gt;-1")</f>
        <v>0.38962464832223975</v>
      </c>
      <c r="BY1539" s="18">
        <f>SUM($BC$6:BU1539) / $BY$4</f>
        <v>0.98148952266114875</v>
      </c>
      <c r="BZ1539" s="14">
        <f t="shared" si="96"/>
        <v>15</v>
      </c>
      <c r="CA1539" t="s">
        <v>5832</v>
      </c>
      <c r="CZ1539" t="s">
        <v>6453</v>
      </c>
      <c r="DA1539" t="s">
        <v>5904</v>
      </c>
      <c r="DB1539">
        <v>288.5</v>
      </c>
      <c r="DC1539" t="s">
        <v>15666</v>
      </c>
      <c r="DD1539" t="s">
        <v>15667</v>
      </c>
      <c r="DE1539" t="s">
        <v>15668</v>
      </c>
      <c r="DF1539" t="s">
        <v>15669</v>
      </c>
      <c r="DG1539" t="s">
        <v>15670</v>
      </c>
      <c r="DH1539" t="str">
        <f>"ISG20"</f>
        <v>ISG20</v>
      </c>
      <c r="DI1539" t="s">
        <v>15671</v>
      </c>
      <c r="DJ1539" t="s">
        <v>13777</v>
      </c>
      <c r="DK1539">
        <v>9606</v>
      </c>
      <c r="DL1539" s="34" t="str">
        <f>HYPERLINK("http://www.uniprot.org/uniprot/Q96AZ6", "Q96AZ6")</f>
        <v>Q96AZ6</v>
      </c>
      <c r="DM1539" t="s">
        <v>15672</v>
      </c>
      <c r="DN1539" t="s">
        <v>15673</v>
      </c>
      <c r="DO1539" t="s">
        <v>13912</v>
      </c>
      <c r="DP1539" t="s">
        <v>13841</v>
      </c>
      <c r="DQ1539" t="s">
        <v>13772</v>
      </c>
      <c r="DR1539" t="s">
        <v>13772</v>
      </c>
      <c r="DS1539" t="s">
        <v>13772</v>
      </c>
      <c r="DT1539" t="s">
        <v>15674</v>
      </c>
      <c r="DU1539" t="s">
        <v>15675</v>
      </c>
      <c r="DV1539" t="s">
        <v>13772</v>
      </c>
      <c r="DW1539" t="s">
        <v>13812</v>
      </c>
      <c r="DX1539" t="s">
        <v>15676</v>
      </c>
      <c r="DY1539" t="s">
        <v>15677</v>
      </c>
      <c r="DZ1539" t="s">
        <v>15678</v>
      </c>
      <c r="EA1539" t="s">
        <v>13772</v>
      </c>
      <c r="EB1539" t="s">
        <v>15679</v>
      </c>
    </row>
    <row r="1540" spans="1:132" hidden="1">
      <c r="A1540">
        <v>246</v>
      </c>
      <c r="B1540">
        <v>1</v>
      </c>
      <c r="C1540" t="s">
        <v>626</v>
      </c>
      <c r="D1540" t="s">
        <v>73</v>
      </c>
      <c r="E1540" t="s">
        <v>73</v>
      </c>
      <c r="F1540" t="s">
        <v>73</v>
      </c>
      <c r="G1540" t="s">
        <v>73</v>
      </c>
      <c r="H1540">
        <v>11.6</v>
      </c>
      <c r="I1540">
        <v>586</v>
      </c>
      <c r="J1540">
        <v>64475</v>
      </c>
      <c r="K1540" t="s">
        <v>627</v>
      </c>
      <c r="L1540">
        <f t="shared" si="94"/>
        <v>11</v>
      </c>
      <c r="N1540">
        <v>11</v>
      </c>
      <c r="O1540">
        <v>11</v>
      </c>
      <c r="P1540">
        <v>1</v>
      </c>
      <c r="Q1540">
        <v>0</v>
      </c>
      <c r="R1540">
        <v>2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2</v>
      </c>
      <c r="AB1540">
        <v>1</v>
      </c>
      <c r="AC1540">
        <v>0</v>
      </c>
      <c r="AD1540">
        <v>0</v>
      </c>
      <c r="AE1540">
        <v>0</v>
      </c>
      <c r="AF1540">
        <v>3</v>
      </c>
      <c r="AG1540">
        <v>0</v>
      </c>
      <c r="AH1540">
        <v>1</v>
      </c>
      <c r="AI1540">
        <v>0</v>
      </c>
      <c r="AJ1540">
        <v>0</v>
      </c>
      <c r="AK1540">
        <v>2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2</v>
      </c>
      <c r="AU1540">
        <v>1</v>
      </c>
      <c r="AV1540">
        <v>0</v>
      </c>
      <c r="AW1540">
        <v>0</v>
      </c>
      <c r="AX1540">
        <v>0</v>
      </c>
      <c r="AY1540">
        <v>3</v>
      </c>
      <c r="AZ1540">
        <v>0</v>
      </c>
      <c r="BA1540">
        <v>1</v>
      </c>
      <c r="BB1540">
        <v>0</v>
      </c>
      <c r="BC1540" s="2">
        <v>0</v>
      </c>
      <c r="BD1540" s="2">
        <v>2</v>
      </c>
      <c r="BE1540" s="2">
        <v>0</v>
      </c>
      <c r="BF1540" s="2">
        <v>0</v>
      </c>
      <c r="BG1540" s="2">
        <v>0</v>
      </c>
      <c r="BH1540" s="2">
        <v>0</v>
      </c>
      <c r="BI1540" s="2">
        <v>1</v>
      </c>
      <c r="BJ1540" s="2">
        <v>0</v>
      </c>
      <c r="BK1540" s="2">
        <v>1</v>
      </c>
      <c r="BL1540" s="2">
        <v>0</v>
      </c>
      <c r="BM1540" s="2">
        <v>2</v>
      </c>
      <c r="BN1540" s="2">
        <v>1</v>
      </c>
      <c r="BO1540" s="2">
        <v>0</v>
      </c>
      <c r="BP1540" s="2">
        <v>0</v>
      </c>
      <c r="BQ1540" s="2">
        <v>0</v>
      </c>
      <c r="BR1540" s="2">
        <v>3</v>
      </c>
      <c r="BS1540" s="2">
        <v>0</v>
      </c>
      <c r="BT1540" s="2">
        <v>1</v>
      </c>
      <c r="BU1540" s="2">
        <v>0</v>
      </c>
      <c r="BV1540" s="2">
        <f t="shared" si="97"/>
        <v>11</v>
      </c>
      <c r="BW1540" s="16">
        <f t="shared" si="95"/>
        <v>0.57894736842105265</v>
      </c>
      <c r="BX1540" s="16">
        <f>COUNTIF($BC$6:BU1540, "=0") / COUNTIF($BC$6:BU1540, "&gt;-1")</f>
        <v>0.38978227327275844</v>
      </c>
      <c r="BY1540" s="18">
        <f>SUM($BC$6:BU1540) / $BY$4</f>
        <v>0.98153664266670448</v>
      </c>
      <c r="BZ1540" s="14">
        <f t="shared" si="96"/>
        <v>12</v>
      </c>
      <c r="CA1540" t="s">
        <v>5832</v>
      </c>
      <c r="CZ1540" t="s">
        <v>6551</v>
      </c>
      <c r="DA1540" t="s">
        <v>5904</v>
      </c>
      <c r="DB1540">
        <v>995.3</v>
      </c>
      <c r="DC1540" t="s">
        <v>15974</v>
      </c>
      <c r="DD1540" t="s">
        <v>15975</v>
      </c>
      <c r="DE1540" t="s">
        <v>15976</v>
      </c>
      <c r="DF1540" t="s">
        <v>15977</v>
      </c>
      <c r="DG1540" t="s">
        <v>15978</v>
      </c>
      <c r="DH1540" t="str">
        <f>"LOXL1"</f>
        <v>LOXL1</v>
      </c>
      <c r="DI1540" t="s">
        <v>15979</v>
      </c>
      <c r="DJ1540" t="s">
        <v>13777</v>
      </c>
      <c r="DK1540">
        <v>9606</v>
      </c>
      <c r="DL1540" s="34" t="str">
        <f>HYPERLINK("http://www.uniprot.org/uniprot/Q08397", "Q08397")</f>
        <v>Q08397</v>
      </c>
      <c r="DM1540" t="s">
        <v>15980</v>
      </c>
      <c r="DN1540" t="s">
        <v>13772</v>
      </c>
      <c r="DO1540" t="s">
        <v>14321</v>
      </c>
      <c r="DP1540" t="s">
        <v>13793</v>
      </c>
      <c r="DQ1540" t="s">
        <v>13772</v>
      </c>
      <c r="DR1540" t="s">
        <v>15981</v>
      </c>
      <c r="DS1540" t="s">
        <v>13808</v>
      </c>
      <c r="DT1540" t="s">
        <v>15982</v>
      </c>
      <c r="DU1540" t="s">
        <v>13885</v>
      </c>
      <c r="DV1540" t="s">
        <v>15983</v>
      </c>
      <c r="DW1540" t="s">
        <v>13772</v>
      </c>
      <c r="DX1540" t="s">
        <v>15984</v>
      </c>
      <c r="DY1540" t="s">
        <v>15985</v>
      </c>
      <c r="DZ1540" t="s">
        <v>15986</v>
      </c>
      <c r="EA1540" t="s">
        <v>13772</v>
      </c>
      <c r="EB1540" t="s">
        <v>15987</v>
      </c>
    </row>
    <row r="1541" spans="1:132" hidden="1">
      <c r="A1541">
        <v>274</v>
      </c>
      <c r="B1541">
        <v>1</v>
      </c>
      <c r="C1541" t="s">
        <v>695</v>
      </c>
      <c r="D1541" t="s">
        <v>73</v>
      </c>
      <c r="E1541" t="s">
        <v>73</v>
      </c>
      <c r="F1541" t="s">
        <v>696</v>
      </c>
      <c r="G1541" t="s">
        <v>73</v>
      </c>
      <c r="H1541">
        <v>17</v>
      </c>
      <c r="I1541">
        <v>524</v>
      </c>
      <c r="J1541">
        <v>57478</v>
      </c>
      <c r="K1541" t="s">
        <v>697</v>
      </c>
      <c r="L1541">
        <f t="shared" si="94"/>
        <v>12</v>
      </c>
      <c r="N1541">
        <v>12</v>
      </c>
      <c r="O1541">
        <v>11</v>
      </c>
      <c r="P1541">
        <v>0.91700000000000004</v>
      </c>
      <c r="Q1541">
        <v>1</v>
      </c>
      <c r="R1541">
        <v>0</v>
      </c>
      <c r="S1541">
        <v>0</v>
      </c>
      <c r="T1541">
        <v>0</v>
      </c>
      <c r="U1541">
        <v>2</v>
      </c>
      <c r="V1541">
        <v>4</v>
      </c>
      <c r="W1541">
        <v>3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2</v>
      </c>
      <c r="AO1541">
        <v>4</v>
      </c>
      <c r="AP1541">
        <v>3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 s="2">
        <v>1</v>
      </c>
      <c r="BD1541" s="2">
        <v>0</v>
      </c>
      <c r="BE1541" s="2">
        <v>0</v>
      </c>
      <c r="BF1541" s="2">
        <v>0</v>
      </c>
      <c r="BG1541" s="2">
        <v>2</v>
      </c>
      <c r="BH1541" s="2">
        <v>4</v>
      </c>
      <c r="BI1541" s="2">
        <v>3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1</v>
      </c>
      <c r="BS1541" s="2">
        <v>0</v>
      </c>
      <c r="BT1541" s="2">
        <v>0</v>
      </c>
      <c r="BU1541" s="2">
        <v>0</v>
      </c>
      <c r="BV1541" s="2">
        <f t="shared" si="97"/>
        <v>11</v>
      </c>
      <c r="BW1541" s="16">
        <f t="shared" si="95"/>
        <v>0.57894736842105265</v>
      </c>
      <c r="BX1541" s="16">
        <f>COUNTIF($BC$6:BU1541, "=0") / COUNTIF($BC$6:BU1541, "&gt;-1")</f>
        <v>0.39000822368421051</v>
      </c>
      <c r="BY1541" s="18">
        <f>SUM($BC$6:BU1541) / $BY$4</f>
        <v>0.98158376267226022</v>
      </c>
      <c r="BZ1541" s="14">
        <f t="shared" si="96"/>
        <v>14</v>
      </c>
      <c r="CA1541" t="s">
        <v>5832</v>
      </c>
      <c r="CZ1541" t="s">
        <v>6649</v>
      </c>
      <c r="DA1541" t="s">
        <v>5904</v>
      </c>
      <c r="DB1541">
        <v>995.3</v>
      </c>
      <c r="DC1541" t="s">
        <v>16268</v>
      </c>
      <c r="DD1541" t="s">
        <v>16269</v>
      </c>
      <c r="DE1541" t="s">
        <v>16270</v>
      </c>
      <c r="DF1541" t="s">
        <v>16271</v>
      </c>
      <c r="DG1541" t="s">
        <v>16272</v>
      </c>
      <c r="DH1541" t="str">
        <f>"ALPL"</f>
        <v>ALPL</v>
      </c>
      <c r="DI1541" t="s">
        <v>13772</v>
      </c>
      <c r="DJ1541" t="s">
        <v>13777</v>
      </c>
      <c r="DK1541">
        <v>9606</v>
      </c>
      <c r="DL1541" s="34" t="str">
        <f>HYPERLINK("http://www.uniprot.org/uniprot/P05186", "P05186")</f>
        <v>P05186</v>
      </c>
      <c r="DM1541" t="s">
        <v>16273</v>
      </c>
      <c r="DN1541" t="s">
        <v>16274</v>
      </c>
      <c r="DO1541" t="s">
        <v>13792</v>
      </c>
      <c r="DP1541" t="s">
        <v>13780</v>
      </c>
      <c r="DQ1541" t="s">
        <v>13772</v>
      </c>
      <c r="DR1541" t="s">
        <v>13807</v>
      </c>
      <c r="DS1541" t="s">
        <v>13808</v>
      </c>
      <c r="DT1541" t="s">
        <v>16275</v>
      </c>
      <c r="DU1541" t="s">
        <v>13857</v>
      </c>
      <c r="DV1541" t="s">
        <v>16276</v>
      </c>
      <c r="DW1541" t="s">
        <v>13772</v>
      </c>
      <c r="DX1541" t="s">
        <v>16277</v>
      </c>
      <c r="DY1541" t="s">
        <v>16278</v>
      </c>
      <c r="DZ1541" t="s">
        <v>16279</v>
      </c>
      <c r="EA1541" t="s">
        <v>13772</v>
      </c>
      <c r="EB1541" t="s">
        <v>16280</v>
      </c>
    </row>
    <row r="1542" spans="1:132" hidden="1">
      <c r="A1542">
        <v>369</v>
      </c>
      <c r="B1542">
        <v>1</v>
      </c>
      <c r="C1542" t="s">
        <v>920</v>
      </c>
      <c r="D1542" t="s">
        <v>73</v>
      </c>
      <c r="E1542" t="s">
        <v>73</v>
      </c>
      <c r="F1542" t="s">
        <v>73</v>
      </c>
      <c r="G1542" t="s">
        <v>73</v>
      </c>
      <c r="H1542">
        <v>7.4</v>
      </c>
      <c r="I1542">
        <v>556</v>
      </c>
      <c r="J1542">
        <v>62157</v>
      </c>
      <c r="K1542" t="s">
        <v>921</v>
      </c>
      <c r="L1542">
        <f t="shared" ref="L1542:L1605" si="98">N1542</f>
        <v>11</v>
      </c>
      <c r="N1542">
        <v>11</v>
      </c>
      <c r="O1542">
        <v>11</v>
      </c>
      <c r="P1542">
        <v>1</v>
      </c>
      <c r="Q1542">
        <v>1</v>
      </c>
      <c r="R1542">
        <v>3</v>
      </c>
      <c r="S1542">
        <v>1</v>
      </c>
      <c r="T1542">
        <v>4</v>
      </c>
      <c r="U1542">
        <v>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3</v>
      </c>
      <c r="AL1542">
        <v>1</v>
      </c>
      <c r="AM1542">
        <v>4</v>
      </c>
      <c r="AN1542">
        <v>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 s="2">
        <v>1</v>
      </c>
      <c r="BD1542" s="2">
        <v>3</v>
      </c>
      <c r="BE1542" s="2">
        <v>1</v>
      </c>
      <c r="BF1542" s="2">
        <v>4</v>
      </c>
      <c r="BG1542" s="2">
        <v>2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f t="shared" si="97"/>
        <v>11</v>
      </c>
      <c r="BW1542" s="16">
        <f t="shared" ref="BW1542:BW1605" si="99">AVERAGE(BC1542:BU1542)</f>
        <v>0.57894736842105265</v>
      </c>
      <c r="BX1542" s="16">
        <f>COUNTIF($BC$6:BU1542, "=0") / COUNTIF($BC$6:BU1542, "&gt;-1")</f>
        <v>0.39023388008081361</v>
      </c>
      <c r="BY1542" s="18">
        <f>SUM($BC$6:BU1542) / $BY$4</f>
        <v>0.98163088267781595</v>
      </c>
      <c r="BZ1542" s="14">
        <f t="shared" ref="BZ1542:BZ1605" si="100">19-COUNTIF(BC1542:BU1542, "&gt;0")</f>
        <v>14</v>
      </c>
      <c r="CA1542" t="s">
        <v>5832</v>
      </c>
      <c r="CZ1542" t="s">
        <v>6979</v>
      </c>
      <c r="DA1542" t="s">
        <v>5904</v>
      </c>
      <c r="DB1542">
        <v>825.9</v>
      </c>
      <c r="DC1542" t="s">
        <v>17277</v>
      </c>
      <c r="DD1542" t="s">
        <v>17278</v>
      </c>
      <c r="DE1542" t="s">
        <v>17279</v>
      </c>
      <c r="DF1542" t="s">
        <v>17280</v>
      </c>
      <c r="DG1542" t="s">
        <v>17281</v>
      </c>
      <c r="DH1542" t="str">
        <f>"GPNMB"</f>
        <v>GPNMB</v>
      </c>
      <c r="DI1542" t="s">
        <v>17282</v>
      </c>
      <c r="DJ1542" t="s">
        <v>13777</v>
      </c>
      <c r="DK1542">
        <v>9606</v>
      </c>
      <c r="DL1542" s="34" t="str">
        <f>HYPERLINK("http://www.uniprot.org/uniprot/Q14956", "Q14956")</f>
        <v>Q14956</v>
      </c>
      <c r="DM1542" t="s">
        <v>17283</v>
      </c>
      <c r="DN1542" t="s">
        <v>13772</v>
      </c>
      <c r="DO1542" t="s">
        <v>14348</v>
      </c>
      <c r="DP1542" t="s">
        <v>13780</v>
      </c>
      <c r="DQ1542" t="s">
        <v>13772</v>
      </c>
      <c r="DR1542" t="s">
        <v>16144</v>
      </c>
      <c r="DS1542" t="s">
        <v>13855</v>
      </c>
      <c r="DT1542" t="s">
        <v>13772</v>
      </c>
      <c r="DU1542" t="s">
        <v>13772</v>
      </c>
      <c r="DV1542" t="s">
        <v>13978</v>
      </c>
      <c r="DW1542" t="s">
        <v>13772</v>
      </c>
      <c r="DX1542" t="s">
        <v>17284</v>
      </c>
      <c r="DY1542" t="s">
        <v>17285</v>
      </c>
      <c r="DZ1542" t="s">
        <v>17286</v>
      </c>
      <c r="EA1542" t="s">
        <v>13772</v>
      </c>
      <c r="EB1542" t="s">
        <v>17287</v>
      </c>
    </row>
    <row r="1543" spans="1:132" hidden="1">
      <c r="A1543">
        <v>391</v>
      </c>
      <c r="B1543">
        <v>1</v>
      </c>
      <c r="C1543" t="s">
        <v>978</v>
      </c>
      <c r="D1543" t="s">
        <v>979</v>
      </c>
      <c r="E1543" t="s">
        <v>73</v>
      </c>
      <c r="F1543" t="s">
        <v>73</v>
      </c>
      <c r="G1543" t="s">
        <v>73</v>
      </c>
      <c r="H1543">
        <v>28.1</v>
      </c>
      <c r="I1543">
        <v>178</v>
      </c>
      <c r="J1543">
        <v>20511</v>
      </c>
      <c r="K1543" t="s">
        <v>980</v>
      </c>
      <c r="L1543">
        <f t="shared" si="98"/>
        <v>11</v>
      </c>
      <c r="N1543">
        <v>11</v>
      </c>
      <c r="O1543">
        <v>11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2</v>
      </c>
      <c r="Z1543">
        <v>0</v>
      </c>
      <c r="AA1543">
        <v>5</v>
      </c>
      <c r="AB1543">
        <v>2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2</v>
      </c>
      <c r="AS1543">
        <v>0</v>
      </c>
      <c r="AT1543">
        <v>5</v>
      </c>
      <c r="AU1543">
        <v>2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0</v>
      </c>
      <c r="BI1543" s="2">
        <v>0</v>
      </c>
      <c r="BJ1543" s="2">
        <v>0</v>
      </c>
      <c r="BK1543" s="2">
        <v>2</v>
      </c>
      <c r="BL1543" s="2">
        <v>0</v>
      </c>
      <c r="BM1543" s="2">
        <v>5</v>
      </c>
      <c r="BN1543" s="2">
        <v>2</v>
      </c>
      <c r="BO1543" s="2">
        <v>1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f t="shared" ref="BV1543:BV1606" si="101">SUM(BC1543:BU1543)</f>
        <v>11</v>
      </c>
      <c r="BW1543" s="16">
        <f t="shared" si="99"/>
        <v>0.57894736842105265</v>
      </c>
      <c r="BX1543" s="16">
        <f>COUNTIF($BC$6:BU1543, "=0") / COUNTIF($BC$6:BU1543, "&gt;-1")</f>
        <v>0.39045924303606871</v>
      </c>
      <c r="BY1543" s="18">
        <f>SUM($BC$6:BU1543) / $BY$4</f>
        <v>0.98167800268337158</v>
      </c>
      <c r="BZ1543" s="14">
        <f t="shared" si="100"/>
        <v>14</v>
      </c>
      <c r="CA1543" t="s">
        <v>5832</v>
      </c>
      <c r="CZ1543" t="s">
        <v>7059</v>
      </c>
      <c r="DA1543" t="s">
        <v>5904</v>
      </c>
      <c r="DB1543">
        <v>351.3</v>
      </c>
      <c r="DC1543" t="s">
        <v>17516</v>
      </c>
      <c r="DD1543" t="s">
        <v>17517</v>
      </c>
      <c r="DE1543" t="s">
        <v>17518</v>
      </c>
      <c r="DF1543" t="s">
        <v>17519</v>
      </c>
      <c r="DG1543" t="s">
        <v>17520</v>
      </c>
      <c r="DH1543" t="str">
        <f>"MYL12B"</f>
        <v>MYL12B</v>
      </c>
      <c r="DI1543" t="s">
        <v>17521</v>
      </c>
      <c r="DJ1543" t="s">
        <v>13777</v>
      </c>
      <c r="DK1543">
        <v>9606</v>
      </c>
      <c r="DL1543" s="34" t="str">
        <f>HYPERLINK("http://www.uniprot.org/uniprot/O14950", "O14950")</f>
        <v>O14950</v>
      </c>
      <c r="DM1543" t="s">
        <v>17522</v>
      </c>
      <c r="DN1543" t="s">
        <v>13772</v>
      </c>
      <c r="DO1543" t="s">
        <v>13772</v>
      </c>
      <c r="DP1543" t="s">
        <v>13793</v>
      </c>
      <c r="DQ1543" t="s">
        <v>13772</v>
      </c>
      <c r="DR1543" t="s">
        <v>13772</v>
      </c>
      <c r="DS1543" t="s">
        <v>14096</v>
      </c>
      <c r="DT1543" t="s">
        <v>13873</v>
      </c>
      <c r="DU1543" t="s">
        <v>17523</v>
      </c>
      <c r="DV1543" t="s">
        <v>13782</v>
      </c>
      <c r="DW1543" t="s">
        <v>13772</v>
      </c>
      <c r="DX1543" t="s">
        <v>17017</v>
      </c>
      <c r="DY1543" t="s">
        <v>17524</v>
      </c>
      <c r="DZ1543" t="s">
        <v>15899</v>
      </c>
      <c r="EA1543" t="s">
        <v>13772</v>
      </c>
      <c r="EB1543" t="s">
        <v>17525</v>
      </c>
    </row>
    <row r="1544" spans="1:132" hidden="1">
      <c r="A1544">
        <v>396</v>
      </c>
      <c r="B1544">
        <v>1</v>
      </c>
      <c r="C1544" t="s">
        <v>990</v>
      </c>
      <c r="D1544" t="s">
        <v>991</v>
      </c>
      <c r="E1544" t="s">
        <v>73</v>
      </c>
      <c r="F1544" t="s">
        <v>73</v>
      </c>
      <c r="G1544" t="s">
        <v>73</v>
      </c>
      <c r="H1544">
        <v>3.5</v>
      </c>
      <c r="I1544">
        <v>981</v>
      </c>
      <c r="J1544">
        <v>111879</v>
      </c>
      <c r="K1544" t="s">
        <v>992</v>
      </c>
      <c r="L1544">
        <f t="shared" si="98"/>
        <v>11</v>
      </c>
      <c r="N1544">
        <v>11</v>
      </c>
      <c r="O1544">
        <v>11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4</v>
      </c>
      <c r="V1544">
        <v>1</v>
      </c>
      <c r="W1544">
        <v>2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4</v>
      </c>
      <c r="AO1544">
        <v>1</v>
      </c>
      <c r="AP1544">
        <v>2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2</v>
      </c>
      <c r="AY1544">
        <v>0</v>
      </c>
      <c r="AZ1544">
        <v>0</v>
      </c>
      <c r="BA1544">
        <v>0</v>
      </c>
      <c r="BB1544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4</v>
      </c>
      <c r="BH1544" s="2">
        <v>1</v>
      </c>
      <c r="BI1544" s="2">
        <v>2</v>
      </c>
      <c r="BJ1544" s="2">
        <v>0</v>
      </c>
      <c r="BK1544" s="2">
        <v>0</v>
      </c>
      <c r="BL1544" s="2">
        <v>1</v>
      </c>
      <c r="BM1544" s="2">
        <v>0</v>
      </c>
      <c r="BN1544" s="2">
        <v>0</v>
      </c>
      <c r="BO1544" s="2">
        <v>0</v>
      </c>
      <c r="BP1544" s="2">
        <v>0</v>
      </c>
      <c r="BQ1544" s="2">
        <v>2</v>
      </c>
      <c r="BR1544" s="2">
        <v>0</v>
      </c>
      <c r="BS1544" s="2">
        <v>0</v>
      </c>
      <c r="BT1544" s="2">
        <v>0</v>
      </c>
      <c r="BU1544" s="2">
        <v>0</v>
      </c>
      <c r="BV1544" s="2">
        <f t="shared" si="101"/>
        <v>11</v>
      </c>
      <c r="BW1544" s="16">
        <f t="shared" si="99"/>
        <v>0.57894736842105265</v>
      </c>
      <c r="BX1544" s="16">
        <f>COUNTIF($BC$6:BU1544, "=0") / COUNTIF($BC$6:BU1544, "&gt;-1")</f>
        <v>0.39065011456516535</v>
      </c>
      <c r="BY1544" s="18">
        <f>SUM($BC$6:BU1544) / $BY$4</f>
        <v>0.98172512268892731</v>
      </c>
      <c r="BZ1544" s="14">
        <f t="shared" si="100"/>
        <v>13</v>
      </c>
      <c r="CA1544" t="s">
        <v>5832</v>
      </c>
      <c r="CZ1544" t="s">
        <v>7076</v>
      </c>
      <c r="DA1544" t="s">
        <v>5904</v>
      </c>
      <c r="DB1544">
        <v>1739.9</v>
      </c>
      <c r="DC1544" t="s">
        <v>17575</v>
      </c>
      <c r="DD1544" t="s">
        <v>17576</v>
      </c>
      <c r="DE1544" t="s">
        <v>17577</v>
      </c>
      <c r="DF1544" t="s">
        <v>17578</v>
      </c>
      <c r="DG1544" t="s">
        <v>17579</v>
      </c>
      <c r="DH1544" t="str">
        <f>"SART3"</f>
        <v>SART3</v>
      </c>
      <c r="DI1544" t="s">
        <v>13772</v>
      </c>
      <c r="DJ1544" t="s">
        <v>13777</v>
      </c>
      <c r="DK1544">
        <v>9606</v>
      </c>
      <c r="DL1544" s="34" t="str">
        <f>HYPERLINK("http://www.uniprot.org/uniprot/Q15020", "Q15020")</f>
        <v>Q15020</v>
      </c>
      <c r="DM1544" t="s">
        <v>17580</v>
      </c>
      <c r="DN1544" t="s">
        <v>15152</v>
      </c>
      <c r="DO1544" t="s">
        <v>13912</v>
      </c>
      <c r="DP1544" t="s">
        <v>13780</v>
      </c>
      <c r="DQ1544" t="s">
        <v>13772</v>
      </c>
      <c r="DR1544" t="s">
        <v>13772</v>
      </c>
      <c r="DS1544" t="s">
        <v>14048</v>
      </c>
      <c r="DT1544" t="s">
        <v>13772</v>
      </c>
      <c r="DU1544" t="s">
        <v>14826</v>
      </c>
      <c r="DV1544" t="s">
        <v>14098</v>
      </c>
      <c r="DW1544" t="s">
        <v>13812</v>
      </c>
      <c r="DX1544" t="s">
        <v>17581</v>
      </c>
      <c r="DY1544" t="s">
        <v>17582</v>
      </c>
      <c r="DZ1544" t="s">
        <v>17583</v>
      </c>
      <c r="EA1544" t="s">
        <v>13772</v>
      </c>
      <c r="EB1544" t="s">
        <v>13772</v>
      </c>
    </row>
    <row r="1545" spans="1:132" hidden="1">
      <c r="A1545">
        <v>424</v>
      </c>
      <c r="B1545">
        <v>1</v>
      </c>
      <c r="C1545" t="s">
        <v>1062</v>
      </c>
      <c r="D1545" t="s">
        <v>73</v>
      </c>
      <c r="E1545" t="s">
        <v>73</v>
      </c>
      <c r="F1545" t="s">
        <v>73</v>
      </c>
      <c r="G1545" t="s">
        <v>73</v>
      </c>
      <c r="H1545">
        <v>25</v>
      </c>
      <c r="I1545">
        <v>340</v>
      </c>
      <c r="J1545">
        <v>38250</v>
      </c>
      <c r="K1545" t="s">
        <v>1063</v>
      </c>
      <c r="L1545">
        <f t="shared" si="98"/>
        <v>11</v>
      </c>
      <c r="N1545">
        <v>11</v>
      </c>
      <c r="O1545">
        <v>11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3</v>
      </c>
      <c r="AC1545">
        <v>2</v>
      </c>
      <c r="AD1545">
        <v>0</v>
      </c>
      <c r="AE1545">
        <v>3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3</v>
      </c>
      <c r="AV1545">
        <v>2</v>
      </c>
      <c r="AW1545">
        <v>0</v>
      </c>
      <c r="AX1545">
        <v>3</v>
      </c>
      <c r="AY1545">
        <v>2</v>
      </c>
      <c r="AZ1545">
        <v>0</v>
      </c>
      <c r="BA1545">
        <v>0</v>
      </c>
      <c r="BB1545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1</v>
      </c>
      <c r="BN1545" s="2">
        <v>3</v>
      </c>
      <c r="BO1545" s="2">
        <v>2</v>
      </c>
      <c r="BP1545" s="2">
        <v>0</v>
      </c>
      <c r="BQ1545" s="2">
        <v>3</v>
      </c>
      <c r="BR1545" s="2">
        <v>2</v>
      </c>
      <c r="BS1545" s="2">
        <v>0</v>
      </c>
      <c r="BT1545" s="2">
        <v>0</v>
      </c>
      <c r="BU1545" s="2">
        <v>0</v>
      </c>
      <c r="BV1545" s="2">
        <f t="shared" si="101"/>
        <v>11</v>
      </c>
      <c r="BW1545" s="16">
        <f t="shared" si="99"/>
        <v>0.57894736842105265</v>
      </c>
      <c r="BX1545" s="16">
        <f>COUNTIF($BC$6:BU1545, "=0") / COUNTIF($BC$6:BU1545, "&gt;-1")</f>
        <v>0.3908749145591251</v>
      </c>
      <c r="BY1545" s="18">
        <f>SUM($BC$6:BU1545) / $BY$4</f>
        <v>0.98177224269448304</v>
      </c>
      <c r="BZ1545" s="14">
        <f t="shared" si="100"/>
        <v>14</v>
      </c>
      <c r="CA1545" t="s">
        <v>5832</v>
      </c>
      <c r="CZ1545" t="s">
        <v>7171</v>
      </c>
      <c r="DA1545" t="s">
        <v>5904</v>
      </c>
      <c r="DB1545">
        <v>622.9</v>
      </c>
      <c r="DC1545" t="s">
        <v>17889</v>
      </c>
      <c r="DD1545" t="s">
        <v>13772</v>
      </c>
      <c r="DE1545" t="s">
        <v>17890</v>
      </c>
      <c r="DF1545" t="s">
        <v>17891</v>
      </c>
      <c r="DG1545" t="s">
        <v>17892</v>
      </c>
      <c r="DH1545" t="str">
        <f>"CTSS"</f>
        <v>CTSS</v>
      </c>
      <c r="DI1545" t="s">
        <v>13772</v>
      </c>
      <c r="DJ1545" t="s">
        <v>13777</v>
      </c>
      <c r="DK1545">
        <v>9606</v>
      </c>
      <c r="DL1545" s="34" t="str">
        <f>HYPERLINK("http://www.uniprot.org/uniprot/P25774", "P25774")</f>
        <v>P25774</v>
      </c>
      <c r="DM1545" t="s">
        <v>15821</v>
      </c>
      <c r="DN1545" t="s">
        <v>13772</v>
      </c>
      <c r="DO1545" t="s">
        <v>13806</v>
      </c>
      <c r="DP1545" t="s">
        <v>13780</v>
      </c>
      <c r="DQ1545" t="s">
        <v>13772</v>
      </c>
      <c r="DR1545" t="s">
        <v>13772</v>
      </c>
      <c r="DS1545" t="s">
        <v>13808</v>
      </c>
      <c r="DT1545" t="s">
        <v>13772</v>
      </c>
      <c r="DU1545" t="s">
        <v>14083</v>
      </c>
      <c r="DV1545" t="s">
        <v>15472</v>
      </c>
      <c r="DW1545" t="s">
        <v>13812</v>
      </c>
      <c r="DX1545" t="s">
        <v>17893</v>
      </c>
      <c r="DY1545" t="s">
        <v>17894</v>
      </c>
      <c r="DZ1545" t="s">
        <v>17895</v>
      </c>
      <c r="EA1545" t="s">
        <v>13772</v>
      </c>
      <c r="EB1545" t="s">
        <v>17896</v>
      </c>
    </row>
    <row r="1546" spans="1:132" hidden="1">
      <c r="A1546">
        <v>480</v>
      </c>
      <c r="B1546">
        <v>1</v>
      </c>
      <c r="C1546" t="s">
        <v>1205</v>
      </c>
      <c r="D1546" t="s">
        <v>1206</v>
      </c>
      <c r="E1546" t="s">
        <v>73</v>
      </c>
      <c r="F1546" t="s">
        <v>73</v>
      </c>
      <c r="G1546" t="s">
        <v>73</v>
      </c>
      <c r="H1546">
        <v>17.5</v>
      </c>
      <c r="I1546">
        <v>171</v>
      </c>
      <c r="J1546">
        <v>18472</v>
      </c>
      <c r="K1546" t="s">
        <v>1207</v>
      </c>
      <c r="L1546">
        <f t="shared" si="98"/>
        <v>11</v>
      </c>
      <c r="N1546">
        <v>11</v>
      </c>
      <c r="O1546">
        <v>11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2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2</v>
      </c>
      <c r="AF1546">
        <v>2</v>
      </c>
      <c r="AG1546">
        <v>0</v>
      </c>
      <c r="AH1546">
        <v>0</v>
      </c>
      <c r="AI1546">
        <v>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2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2</v>
      </c>
      <c r="AY1546">
        <v>2</v>
      </c>
      <c r="AZ1546">
        <v>0</v>
      </c>
      <c r="BA1546">
        <v>0</v>
      </c>
      <c r="BB1546">
        <v>2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0</v>
      </c>
      <c r="BJ1546" s="2">
        <v>2</v>
      </c>
      <c r="BK1546" s="2">
        <v>0</v>
      </c>
      <c r="BL1546" s="2">
        <v>0</v>
      </c>
      <c r="BM1546" s="2">
        <v>1</v>
      </c>
      <c r="BN1546" s="2">
        <v>1</v>
      </c>
      <c r="BO1546" s="2">
        <v>0</v>
      </c>
      <c r="BP1546" s="2">
        <v>0</v>
      </c>
      <c r="BQ1546" s="2">
        <v>2</v>
      </c>
      <c r="BR1546" s="2">
        <v>2</v>
      </c>
      <c r="BS1546" s="2">
        <v>0</v>
      </c>
      <c r="BT1546" s="2">
        <v>0</v>
      </c>
      <c r="BU1546" s="2">
        <v>2</v>
      </c>
      <c r="BV1546" s="2">
        <f t="shared" si="101"/>
        <v>11</v>
      </c>
      <c r="BW1546" s="16">
        <f t="shared" si="99"/>
        <v>0.57894736842105265</v>
      </c>
      <c r="BX1546" s="16">
        <f>COUNTIF($BC$6:BU1546, "=0") / COUNTIF($BC$6:BU1546, "&gt;-1")</f>
        <v>0.39103111445063016</v>
      </c>
      <c r="BY1546" s="18">
        <f>SUM($BC$6:BU1546) / $BY$4</f>
        <v>0.98181936270003878</v>
      </c>
      <c r="BZ1546" s="14">
        <f t="shared" si="100"/>
        <v>12</v>
      </c>
      <c r="CA1546" t="s">
        <v>5832</v>
      </c>
      <c r="CZ1546" t="s">
        <v>7369</v>
      </c>
      <c r="DA1546" t="s">
        <v>5904</v>
      </c>
      <c r="DB1546">
        <v>300.8</v>
      </c>
      <c r="DC1546" t="s">
        <v>18490</v>
      </c>
      <c r="DD1546" t="s">
        <v>18491</v>
      </c>
      <c r="DE1546" t="s">
        <v>18492</v>
      </c>
      <c r="DF1546" t="s">
        <v>18493</v>
      </c>
      <c r="DG1546" t="s">
        <v>18494</v>
      </c>
      <c r="DH1546" t="str">
        <f>"GCSH"</f>
        <v>GCSH</v>
      </c>
      <c r="DI1546" t="s">
        <v>13772</v>
      </c>
      <c r="DJ1546" t="s">
        <v>13777</v>
      </c>
      <c r="DK1546">
        <v>9606</v>
      </c>
      <c r="DL1546" s="34" t="str">
        <f>HYPERLINK("http://www.uniprot.org/uniprot/P23434", "P23434")</f>
        <v>P23434</v>
      </c>
      <c r="DM1546" t="s">
        <v>18495</v>
      </c>
      <c r="DN1546" t="s">
        <v>13772</v>
      </c>
      <c r="DO1546" t="s">
        <v>14491</v>
      </c>
      <c r="DP1546" t="s">
        <v>13793</v>
      </c>
      <c r="DQ1546" t="s">
        <v>13772</v>
      </c>
      <c r="DR1546" t="s">
        <v>13772</v>
      </c>
      <c r="DS1546" t="s">
        <v>15226</v>
      </c>
      <c r="DT1546" t="s">
        <v>13772</v>
      </c>
      <c r="DU1546" t="s">
        <v>13772</v>
      </c>
      <c r="DV1546" t="s">
        <v>13772</v>
      </c>
      <c r="DW1546" t="s">
        <v>13772</v>
      </c>
      <c r="DX1546" t="s">
        <v>18496</v>
      </c>
      <c r="DY1546" t="s">
        <v>18497</v>
      </c>
      <c r="DZ1546" t="s">
        <v>18498</v>
      </c>
      <c r="EA1546" t="s">
        <v>13772</v>
      </c>
      <c r="EB1546" t="s">
        <v>18499</v>
      </c>
    </row>
    <row r="1547" spans="1:132" hidden="1">
      <c r="A1547">
        <v>481</v>
      </c>
      <c r="B1547">
        <v>1</v>
      </c>
      <c r="C1547" t="s">
        <v>1208</v>
      </c>
      <c r="D1547" t="s">
        <v>73</v>
      </c>
      <c r="E1547" t="s">
        <v>73</v>
      </c>
      <c r="F1547" t="s">
        <v>73</v>
      </c>
      <c r="G1547" t="s">
        <v>73</v>
      </c>
      <c r="H1547">
        <v>28.9</v>
      </c>
      <c r="I1547">
        <v>90</v>
      </c>
      <c r="J1547">
        <v>10220</v>
      </c>
      <c r="K1547" t="s">
        <v>1209</v>
      </c>
      <c r="L1547">
        <f t="shared" si="98"/>
        <v>11</v>
      </c>
      <c r="N1547">
        <v>11</v>
      </c>
      <c r="O1547">
        <v>11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3</v>
      </c>
      <c r="AB1547">
        <v>0</v>
      </c>
      <c r="AC1547">
        <v>0</v>
      </c>
      <c r="AD1547">
        <v>0</v>
      </c>
      <c r="AE1547">
        <v>4</v>
      </c>
      <c r="AF1547">
        <v>2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3</v>
      </c>
      <c r="AU1547">
        <v>0</v>
      </c>
      <c r="AV1547">
        <v>0</v>
      </c>
      <c r="AW1547">
        <v>0</v>
      </c>
      <c r="AX1547">
        <v>4</v>
      </c>
      <c r="AY1547">
        <v>2</v>
      </c>
      <c r="AZ1547">
        <v>1</v>
      </c>
      <c r="BA1547">
        <v>0</v>
      </c>
      <c r="BB1547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1</v>
      </c>
      <c r="BL1547" s="2">
        <v>0</v>
      </c>
      <c r="BM1547" s="2">
        <v>3</v>
      </c>
      <c r="BN1547" s="2">
        <v>0</v>
      </c>
      <c r="BO1547" s="2">
        <v>0</v>
      </c>
      <c r="BP1547" s="2">
        <v>0</v>
      </c>
      <c r="BQ1547" s="2">
        <v>4</v>
      </c>
      <c r="BR1547" s="2">
        <v>2</v>
      </c>
      <c r="BS1547" s="2">
        <v>1</v>
      </c>
      <c r="BT1547" s="2">
        <v>0</v>
      </c>
      <c r="BU1547" s="2">
        <v>0</v>
      </c>
      <c r="BV1547" s="2">
        <f t="shared" si="101"/>
        <v>11</v>
      </c>
      <c r="BW1547" s="16">
        <f t="shared" si="99"/>
        <v>0.57894736842105265</v>
      </c>
      <c r="BX1547" s="16">
        <f>COUNTIF($BC$6:BU1547, "=0") / COUNTIF($BC$6:BU1547, "&gt;-1")</f>
        <v>0.3912553757935695</v>
      </c>
      <c r="BY1547" s="18">
        <f>SUM($BC$6:BU1547) / $BY$4</f>
        <v>0.9818664827055944</v>
      </c>
      <c r="BZ1547" s="14">
        <f t="shared" si="100"/>
        <v>14</v>
      </c>
      <c r="CA1547" t="s">
        <v>5832</v>
      </c>
      <c r="CZ1547" t="s">
        <v>7372</v>
      </c>
      <c r="DA1547" t="s">
        <v>5904</v>
      </c>
      <c r="DB1547">
        <v>87</v>
      </c>
      <c r="DC1547" t="s">
        <v>18500</v>
      </c>
      <c r="DD1547" t="s">
        <v>18501</v>
      </c>
      <c r="DE1547" t="s">
        <v>18502</v>
      </c>
      <c r="DF1547" t="s">
        <v>18503</v>
      </c>
      <c r="DG1547" t="s">
        <v>18504</v>
      </c>
      <c r="DH1547" t="str">
        <f>"SCGB1D2"</f>
        <v>SCGB1D2</v>
      </c>
      <c r="DI1547" t="s">
        <v>18505</v>
      </c>
      <c r="DJ1547" t="s">
        <v>13777</v>
      </c>
      <c r="DK1547">
        <v>9606</v>
      </c>
      <c r="DL1547" s="34" t="str">
        <f>HYPERLINK("http://www.uniprot.org/uniprot/O95969", "O95969")</f>
        <v>O95969</v>
      </c>
      <c r="DM1547" t="s">
        <v>18506</v>
      </c>
      <c r="DN1547" t="s">
        <v>13772</v>
      </c>
      <c r="DO1547" t="s">
        <v>14321</v>
      </c>
      <c r="DP1547" t="s">
        <v>13793</v>
      </c>
      <c r="DQ1547" t="s">
        <v>13772</v>
      </c>
      <c r="DR1547" t="s">
        <v>13772</v>
      </c>
      <c r="DS1547" t="s">
        <v>13808</v>
      </c>
      <c r="DT1547" t="s">
        <v>13772</v>
      </c>
      <c r="DU1547" t="s">
        <v>13772</v>
      </c>
      <c r="DV1547" t="s">
        <v>13772</v>
      </c>
      <c r="DW1547" t="s">
        <v>13772</v>
      </c>
      <c r="DX1547" t="s">
        <v>13772</v>
      </c>
      <c r="DY1547" t="s">
        <v>14508</v>
      </c>
      <c r="DZ1547" t="s">
        <v>13772</v>
      </c>
      <c r="EA1547" t="s">
        <v>13772</v>
      </c>
      <c r="EB1547" t="s">
        <v>13772</v>
      </c>
    </row>
    <row r="1548" spans="1:132" hidden="1">
      <c r="A1548">
        <v>581</v>
      </c>
      <c r="B1548">
        <v>1</v>
      </c>
      <c r="C1548" t="s">
        <v>1444</v>
      </c>
      <c r="D1548" t="s">
        <v>73</v>
      </c>
      <c r="E1548" t="s">
        <v>73</v>
      </c>
      <c r="F1548" t="s">
        <v>73</v>
      </c>
      <c r="G1548" t="s">
        <v>73</v>
      </c>
      <c r="H1548">
        <v>12.4</v>
      </c>
      <c r="I1548">
        <v>895</v>
      </c>
      <c r="J1548">
        <v>100212</v>
      </c>
      <c r="K1548" t="s">
        <v>1445</v>
      </c>
      <c r="L1548">
        <f t="shared" si="98"/>
        <v>11</v>
      </c>
      <c r="N1548">
        <v>11</v>
      </c>
      <c r="O1548">
        <v>11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6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6</v>
      </c>
      <c r="AU1548">
        <v>0</v>
      </c>
      <c r="AV1548">
        <v>1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1</v>
      </c>
      <c r="BL1548" s="2">
        <v>1</v>
      </c>
      <c r="BM1548" s="2">
        <v>6</v>
      </c>
      <c r="BN1548" s="2">
        <v>0</v>
      </c>
      <c r="BO1548" s="2">
        <v>1</v>
      </c>
      <c r="BP1548" s="2">
        <v>0</v>
      </c>
      <c r="BQ1548" s="2">
        <v>1</v>
      </c>
      <c r="BR1548" s="2">
        <v>1</v>
      </c>
      <c r="BS1548" s="2">
        <v>0</v>
      </c>
      <c r="BT1548" s="2">
        <v>0</v>
      </c>
      <c r="BU1548" s="2">
        <v>0</v>
      </c>
      <c r="BV1548" s="2">
        <f t="shared" si="101"/>
        <v>11</v>
      </c>
      <c r="BW1548" s="16">
        <f t="shared" si="99"/>
        <v>0.57894736842105265</v>
      </c>
      <c r="BX1548" s="16">
        <f>COUNTIF($BC$6:BU1548, "=0") / COUNTIF($BC$6:BU1548, "&gt;-1")</f>
        <v>0.39144523655217112</v>
      </c>
      <c r="BY1548" s="18">
        <f>SUM($BC$6:BU1548) / $BY$4</f>
        <v>0.98191360271115014</v>
      </c>
      <c r="BZ1548" s="14">
        <f t="shared" si="100"/>
        <v>13</v>
      </c>
      <c r="CA1548" t="s">
        <v>5832</v>
      </c>
      <c r="CZ1548" t="s">
        <v>7709</v>
      </c>
      <c r="DA1548" t="s">
        <v>5904</v>
      </c>
      <c r="DB1548">
        <v>1758.8</v>
      </c>
      <c r="DC1548" t="s">
        <v>19501</v>
      </c>
      <c r="DD1548" t="s">
        <v>19502</v>
      </c>
      <c r="DE1548" t="s">
        <v>19503</v>
      </c>
      <c r="DF1548" t="s">
        <v>19504</v>
      </c>
      <c r="DG1548" t="s">
        <v>19505</v>
      </c>
      <c r="DH1548" t="str">
        <f>"SF3B2"</f>
        <v>SF3B2</v>
      </c>
      <c r="DI1548" t="s">
        <v>19506</v>
      </c>
      <c r="DJ1548" t="s">
        <v>13777</v>
      </c>
      <c r="DK1548">
        <v>9606</v>
      </c>
      <c r="DL1548" s="34" t="str">
        <f>HYPERLINK("http://www.uniprot.org/uniprot/Q13435", "Q13435")</f>
        <v>Q13435</v>
      </c>
      <c r="DM1548" t="s">
        <v>19507</v>
      </c>
      <c r="DN1548" t="s">
        <v>19508</v>
      </c>
      <c r="DO1548" t="s">
        <v>16088</v>
      </c>
      <c r="DP1548" t="s">
        <v>13772</v>
      </c>
      <c r="DQ1548" t="s">
        <v>13772</v>
      </c>
      <c r="DR1548" t="s">
        <v>13772</v>
      </c>
      <c r="DS1548" t="s">
        <v>14245</v>
      </c>
      <c r="DT1548" t="s">
        <v>13772</v>
      </c>
      <c r="DU1548" t="s">
        <v>13772</v>
      </c>
      <c r="DV1548" t="s">
        <v>14663</v>
      </c>
      <c r="DW1548" t="s">
        <v>13812</v>
      </c>
      <c r="DX1548" t="s">
        <v>19509</v>
      </c>
      <c r="DY1548" t="s">
        <v>19510</v>
      </c>
      <c r="DZ1548" t="s">
        <v>14235</v>
      </c>
      <c r="EA1548" t="s">
        <v>13772</v>
      </c>
      <c r="EB1548" t="s">
        <v>19511</v>
      </c>
    </row>
    <row r="1549" spans="1:132" hidden="1">
      <c r="A1549">
        <v>588</v>
      </c>
      <c r="B1549">
        <v>1</v>
      </c>
      <c r="C1549" t="s">
        <v>1458</v>
      </c>
      <c r="D1549" t="s">
        <v>1459</v>
      </c>
      <c r="E1549" t="s">
        <v>73</v>
      </c>
      <c r="F1549" t="s">
        <v>73</v>
      </c>
      <c r="G1549" t="s">
        <v>73</v>
      </c>
      <c r="H1549">
        <v>17.100000000000001</v>
      </c>
      <c r="I1549">
        <v>912</v>
      </c>
      <c r="J1549">
        <v>101783</v>
      </c>
      <c r="K1549" t="s">
        <v>1460</v>
      </c>
      <c r="L1549">
        <f t="shared" si="98"/>
        <v>11</v>
      </c>
      <c r="N1549">
        <v>11</v>
      </c>
      <c r="O1549">
        <v>11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>
        <v>0</v>
      </c>
      <c r="AA1549">
        <v>1</v>
      </c>
      <c r="AB1549">
        <v>7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2</v>
      </c>
      <c r="AS1549">
        <v>0</v>
      </c>
      <c r="AT1549">
        <v>1</v>
      </c>
      <c r="AU1549">
        <v>7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2</v>
      </c>
      <c r="BL1549" s="2">
        <v>0</v>
      </c>
      <c r="BM1549" s="2">
        <v>1</v>
      </c>
      <c r="BN1549" s="2">
        <v>7</v>
      </c>
      <c r="BO1549" s="2">
        <v>0</v>
      </c>
      <c r="BP1549" s="2">
        <v>0</v>
      </c>
      <c r="BQ1549" s="2">
        <v>0</v>
      </c>
      <c r="BR1549" s="2">
        <v>1</v>
      </c>
      <c r="BS1549" s="2">
        <v>0</v>
      </c>
      <c r="BT1549" s="2">
        <v>0</v>
      </c>
      <c r="BU1549" s="2">
        <v>0</v>
      </c>
      <c r="BV1549" s="2">
        <f t="shared" si="101"/>
        <v>11</v>
      </c>
      <c r="BW1549" s="16">
        <f t="shared" si="99"/>
        <v>0.57894736842105265</v>
      </c>
      <c r="BX1549" s="16">
        <f>COUNTIF($BC$6:BU1549, "=0") / COUNTIF($BC$6:BU1549, "&gt;-1")</f>
        <v>0.39170302699754567</v>
      </c>
      <c r="BY1549" s="18">
        <f>SUM($BC$6:BU1549) / $BY$4</f>
        <v>0.98196072271670587</v>
      </c>
      <c r="BZ1549" s="14">
        <f t="shared" si="100"/>
        <v>15</v>
      </c>
      <c r="CA1549" t="s">
        <v>5832</v>
      </c>
      <c r="CZ1549" t="s">
        <v>7732</v>
      </c>
      <c r="DA1549" t="s">
        <v>5904</v>
      </c>
      <c r="DB1549">
        <v>1848.9</v>
      </c>
      <c r="DC1549" t="s">
        <v>19575</v>
      </c>
      <c r="DD1549" t="s">
        <v>19576</v>
      </c>
      <c r="DE1549" t="s">
        <v>19577</v>
      </c>
      <c r="DF1549" t="s">
        <v>19578</v>
      </c>
      <c r="DG1549" t="s">
        <v>19579</v>
      </c>
      <c r="DH1549" t="str">
        <f>"CTNND1"</f>
        <v>CTNND1</v>
      </c>
      <c r="DI1549" t="s">
        <v>19580</v>
      </c>
      <c r="DJ1549" t="s">
        <v>13777</v>
      </c>
      <c r="DK1549">
        <v>9606</v>
      </c>
      <c r="DL1549" s="34" t="str">
        <f>HYPERLINK("http://www.uniprot.org/uniprot/O60716", "O60716")</f>
        <v>O60716</v>
      </c>
      <c r="DM1549" t="s">
        <v>19581</v>
      </c>
      <c r="DN1549" t="s">
        <v>19582</v>
      </c>
      <c r="DO1549" t="s">
        <v>14968</v>
      </c>
      <c r="DP1549" t="s">
        <v>19227</v>
      </c>
      <c r="DQ1549" t="s">
        <v>13772</v>
      </c>
      <c r="DR1549" t="s">
        <v>19583</v>
      </c>
      <c r="DS1549" t="s">
        <v>14048</v>
      </c>
      <c r="DT1549" t="s">
        <v>13772</v>
      </c>
      <c r="DU1549" t="s">
        <v>13772</v>
      </c>
      <c r="DV1549" t="s">
        <v>13991</v>
      </c>
      <c r="DW1549" t="s">
        <v>13812</v>
      </c>
      <c r="DX1549" t="s">
        <v>19584</v>
      </c>
      <c r="DY1549" t="s">
        <v>19585</v>
      </c>
      <c r="DZ1549" t="s">
        <v>19586</v>
      </c>
      <c r="EA1549" t="s">
        <v>13772</v>
      </c>
      <c r="EB1549" t="s">
        <v>19587</v>
      </c>
    </row>
    <row r="1550" spans="1:132" hidden="1">
      <c r="A1550">
        <v>670</v>
      </c>
      <c r="B1550">
        <v>1</v>
      </c>
      <c r="C1550" t="s">
        <v>1650</v>
      </c>
      <c r="D1550" t="s">
        <v>73</v>
      </c>
      <c r="E1550" t="s">
        <v>73</v>
      </c>
      <c r="F1550" t="s">
        <v>73</v>
      </c>
      <c r="G1550" t="s">
        <v>73</v>
      </c>
      <c r="H1550">
        <v>25</v>
      </c>
      <c r="I1550">
        <v>236</v>
      </c>
      <c r="J1550">
        <v>26613</v>
      </c>
      <c r="K1550" t="s">
        <v>1651</v>
      </c>
      <c r="L1550">
        <f t="shared" si="98"/>
        <v>11</v>
      </c>
      <c r="N1550">
        <v>11</v>
      </c>
      <c r="O1550">
        <v>11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</v>
      </c>
      <c r="Y1550">
        <v>0</v>
      </c>
      <c r="Z1550">
        <v>0</v>
      </c>
      <c r="AA1550">
        <v>3</v>
      </c>
      <c r="AB1550">
        <v>0</v>
      </c>
      <c r="AC1550">
        <v>2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4</v>
      </c>
      <c r="AR1550">
        <v>0</v>
      </c>
      <c r="AS1550">
        <v>0</v>
      </c>
      <c r="AT1550">
        <v>3</v>
      </c>
      <c r="AU1550">
        <v>0</v>
      </c>
      <c r="AV1550">
        <v>2</v>
      </c>
      <c r="AW1550">
        <v>0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4</v>
      </c>
      <c r="BK1550" s="2">
        <v>0</v>
      </c>
      <c r="BL1550" s="2">
        <v>0</v>
      </c>
      <c r="BM1550" s="2">
        <v>3</v>
      </c>
      <c r="BN1550" s="2">
        <v>0</v>
      </c>
      <c r="BO1550" s="2">
        <v>2</v>
      </c>
      <c r="BP1550" s="2">
        <v>0</v>
      </c>
      <c r="BQ1550" s="2">
        <v>1</v>
      </c>
      <c r="BR1550" s="2">
        <v>1</v>
      </c>
      <c r="BS1550" s="2">
        <v>0</v>
      </c>
      <c r="BT1550" s="2">
        <v>0</v>
      </c>
      <c r="BU1550" s="2">
        <v>0</v>
      </c>
      <c r="BV1550" s="2">
        <f t="shared" si="101"/>
        <v>11</v>
      </c>
      <c r="BW1550" s="16">
        <f t="shared" si="99"/>
        <v>0.57894736842105265</v>
      </c>
      <c r="BX1550" s="16">
        <f>COUNTIF($BC$6:BU1550, "=0") / COUNTIF($BC$6:BU1550, "&gt;-1")</f>
        <v>0.39192641798671435</v>
      </c>
      <c r="BY1550" s="18">
        <f>SUM($BC$6:BU1550) / $BY$4</f>
        <v>0.9820078427222616</v>
      </c>
      <c r="BZ1550" s="14">
        <f t="shared" si="100"/>
        <v>14</v>
      </c>
      <c r="CA1550" t="s">
        <v>5832</v>
      </c>
      <c r="CZ1550" t="s">
        <v>8002</v>
      </c>
      <c r="DA1550" t="s">
        <v>5904</v>
      </c>
      <c r="DB1550">
        <v>433.3</v>
      </c>
      <c r="DC1550" t="s">
        <v>20393</v>
      </c>
      <c r="DD1550" t="s">
        <v>13772</v>
      </c>
      <c r="DE1550" t="s">
        <v>20394</v>
      </c>
      <c r="DF1550" t="s">
        <v>20395</v>
      </c>
      <c r="DG1550" t="s">
        <v>20396</v>
      </c>
      <c r="DH1550" t="str">
        <f>"GAMT"</f>
        <v>GAMT</v>
      </c>
      <c r="DI1550" t="s">
        <v>13772</v>
      </c>
      <c r="DJ1550" t="s">
        <v>13777</v>
      </c>
      <c r="DK1550">
        <v>9606</v>
      </c>
      <c r="DL1550" s="34" t="str">
        <f>HYPERLINK("http://www.uniprot.org/uniprot/Q14353", "Q14353")</f>
        <v>Q14353</v>
      </c>
      <c r="DM1550" t="s">
        <v>20397</v>
      </c>
      <c r="DN1550" t="s">
        <v>13772</v>
      </c>
      <c r="DO1550" t="s">
        <v>13772</v>
      </c>
      <c r="DP1550" t="s">
        <v>13780</v>
      </c>
      <c r="DQ1550" t="s">
        <v>13772</v>
      </c>
      <c r="DR1550" t="s">
        <v>13807</v>
      </c>
      <c r="DS1550" t="s">
        <v>13772</v>
      </c>
      <c r="DT1550" t="s">
        <v>20398</v>
      </c>
      <c r="DU1550" t="s">
        <v>20399</v>
      </c>
      <c r="DV1550" t="s">
        <v>14020</v>
      </c>
      <c r="DW1550" t="s">
        <v>13812</v>
      </c>
      <c r="DX1550" t="s">
        <v>20400</v>
      </c>
      <c r="DY1550" t="s">
        <v>13914</v>
      </c>
      <c r="DZ1550" t="s">
        <v>20401</v>
      </c>
      <c r="EA1550" t="s">
        <v>20402</v>
      </c>
      <c r="EB1550" t="s">
        <v>20403</v>
      </c>
    </row>
    <row r="1551" spans="1:132" hidden="1">
      <c r="A1551">
        <v>712</v>
      </c>
      <c r="B1551">
        <v>1</v>
      </c>
      <c r="C1551" t="s">
        <v>1752</v>
      </c>
      <c r="D1551" t="s">
        <v>73</v>
      </c>
      <c r="E1551" t="s">
        <v>73</v>
      </c>
      <c r="F1551" t="s">
        <v>73</v>
      </c>
      <c r="G1551" t="s">
        <v>73</v>
      </c>
      <c r="H1551">
        <v>9.1</v>
      </c>
      <c r="I1551">
        <v>905</v>
      </c>
      <c r="J1551">
        <v>102253</v>
      </c>
      <c r="K1551" t="s">
        <v>1753</v>
      </c>
      <c r="L1551">
        <f t="shared" si="98"/>
        <v>11</v>
      </c>
      <c r="N1551">
        <v>11</v>
      </c>
      <c r="O1551">
        <v>11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</v>
      </c>
      <c r="Y1551">
        <v>0</v>
      </c>
      <c r="Z1551">
        <v>0</v>
      </c>
      <c r="AA1551">
        <v>2</v>
      </c>
      <c r="AB1551">
        <v>1</v>
      </c>
      <c r="AC1551">
        <v>1</v>
      </c>
      <c r="AD1551">
        <v>0</v>
      </c>
      <c r="AE1551">
        <v>0</v>
      </c>
      <c r="AF1551">
        <v>3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</v>
      </c>
      <c r="AR1551">
        <v>0</v>
      </c>
      <c r="AS1551">
        <v>0</v>
      </c>
      <c r="AT1551">
        <v>2</v>
      </c>
      <c r="AU1551">
        <v>1</v>
      </c>
      <c r="AV1551">
        <v>1</v>
      </c>
      <c r="AW1551">
        <v>0</v>
      </c>
      <c r="AX1551">
        <v>0</v>
      </c>
      <c r="AY1551">
        <v>3</v>
      </c>
      <c r="AZ1551">
        <v>1</v>
      </c>
      <c r="BA1551">
        <v>0</v>
      </c>
      <c r="BB1551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3</v>
      </c>
      <c r="BK1551" s="2">
        <v>0</v>
      </c>
      <c r="BL1551" s="2">
        <v>0</v>
      </c>
      <c r="BM1551" s="2">
        <v>2</v>
      </c>
      <c r="BN1551" s="2">
        <v>1</v>
      </c>
      <c r="BO1551" s="2">
        <v>1</v>
      </c>
      <c r="BP1551" s="2">
        <v>0</v>
      </c>
      <c r="BQ1551" s="2">
        <v>0</v>
      </c>
      <c r="BR1551" s="2">
        <v>3</v>
      </c>
      <c r="BS1551" s="2">
        <v>1</v>
      </c>
      <c r="BT1551" s="2">
        <v>0</v>
      </c>
      <c r="BU1551" s="2">
        <v>0</v>
      </c>
      <c r="BV1551" s="2">
        <f t="shared" si="101"/>
        <v>11</v>
      </c>
      <c r="BW1551" s="16">
        <f t="shared" si="99"/>
        <v>0.57894736842105265</v>
      </c>
      <c r="BX1551" s="16">
        <f>COUNTIF($BC$6:BU1551, "=0") / COUNTIF($BC$6:BU1551, "&gt;-1")</f>
        <v>0.39211547627153265</v>
      </c>
      <c r="BY1551" s="18">
        <f>SUM($BC$6:BU1551) / $BY$4</f>
        <v>0.98205496272781723</v>
      </c>
      <c r="BZ1551" s="14">
        <f t="shared" si="100"/>
        <v>13</v>
      </c>
      <c r="CA1551" t="s">
        <v>5832</v>
      </c>
      <c r="CZ1551" t="s">
        <v>8145</v>
      </c>
      <c r="DA1551" t="s">
        <v>5904</v>
      </c>
      <c r="DB1551">
        <v>1868.2</v>
      </c>
      <c r="DC1551" t="s">
        <v>20814</v>
      </c>
      <c r="DD1551" t="s">
        <v>20815</v>
      </c>
      <c r="DE1551" t="s">
        <v>20816</v>
      </c>
      <c r="DF1551" t="s">
        <v>20817</v>
      </c>
      <c r="DG1551" t="s">
        <v>20818</v>
      </c>
      <c r="DH1551" t="str">
        <f>"COPB2"</f>
        <v>COPB2</v>
      </c>
      <c r="DI1551" t="s">
        <v>13772</v>
      </c>
      <c r="DJ1551" t="s">
        <v>13777</v>
      </c>
      <c r="DK1551">
        <v>9606</v>
      </c>
      <c r="DL1551" s="34" t="str">
        <f>HYPERLINK("http://www.uniprot.org/uniprot/P35606", "P35606")</f>
        <v>P35606</v>
      </c>
      <c r="DM1551" t="s">
        <v>20819</v>
      </c>
      <c r="DN1551" t="s">
        <v>15450</v>
      </c>
      <c r="DO1551" t="s">
        <v>16529</v>
      </c>
      <c r="DP1551" t="s">
        <v>13841</v>
      </c>
      <c r="DQ1551" t="s">
        <v>13772</v>
      </c>
      <c r="DR1551" t="s">
        <v>20820</v>
      </c>
      <c r="DS1551" t="s">
        <v>13781</v>
      </c>
      <c r="DT1551" t="s">
        <v>13772</v>
      </c>
      <c r="DU1551" t="s">
        <v>13772</v>
      </c>
      <c r="DV1551" t="s">
        <v>13886</v>
      </c>
      <c r="DW1551" t="s">
        <v>13772</v>
      </c>
      <c r="DX1551" t="s">
        <v>20821</v>
      </c>
      <c r="DY1551" t="s">
        <v>20822</v>
      </c>
      <c r="DZ1551" t="s">
        <v>16532</v>
      </c>
      <c r="EA1551" t="s">
        <v>13772</v>
      </c>
      <c r="EB1551" t="s">
        <v>16533</v>
      </c>
    </row>
    <row r="1552" spans="1:132" hidden="1">
      <c r="A1552">
        <v>720</v>
      </c>
      <c r="B1552">
        <v>1</v>
      </c>
      <c r="C1552" t="s">
        <v>1762</v>
      </c>
      <c r="D1552" t="s">
        <v>73</v>
      </c>
      <c r="E1552" t="s">
        <v>73</v>
      </c>
      <c r="F1552" t="s">
        <v>73</v>
      </c>
      <c r="G1552" t="s">
        <v>73</v>
      </c>
      <c r="H1552">
        <v>30.5</v>
      </c>
      <c r="I1552">
        <v>82</v>
      </c>
      <c r="J1552">
        <v>8851</v>
      </c>
      <c r="K1552" t="s">
        <v>1763</v>
      </c>
      <c r="L1552">
        <f t="shared" si="98"/>
        <v>11</v>
      </c>
      <c r="N1552">
        <v>11</v>
      </c>
      <c r="O1552">
        <v>11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3</v>
      </c>
      <c r="X1552">
        <v>0</v>
      </c>
      <c r="Y1552">
        <v>0</v>
      </c>
      <c r="Z1552">
        <v>0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3</v>
      </c>
      <c r="AQ1552">
        <v>0</v>
      </c>
      <c r="AR1552">
        <v>0</v>
      </c>
      <c r="AS1552">
        <v>0</v>
      </c>
      <c r="AT1552">
        <v>2</v>
      </c>
      <c r="AU1552">
        <v>0</v>
      </c>
      <c r="AV1552">
        <v>0</v>
      </c>
      <c r="AW1552">
        <v>0</v>
      </c>
      <c r="AX1552">
        <v>3</v>
      </c>
      <c r="AY1552">
        <v>2</v>
      </c>
      <c r="AZ1552">
        <v>0</v>
      </c>
      <c r="BA1552">
        <v>0</v>
      </c>
      <c r="BB155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1</v>
      </c>
      <c r="BH1552" s="2">
        <v>0</v>
      </c>
      <c r="BI1552" s="2">
        <v>3</v>
      </c>
      <c r="BJ1552" s="2">
        <v>0</v>
      </c>
      <c r="BK1552" s="2">
        <v>0</v>
      </c>
      <c r="BL1552" s="2">
        <v>0</v>
      </c>
      <c r="BM1552" s="2">
        <v>2</v>
      </c>
      <c r="BN1552" s="2">
        <v>0</v>
      </c>
      <c r="BO1552" s="2">
        <v>0</v>
      </c>
      <c r="BP1552" s="2">
        <v>0</v>
      </c>
      <c r="BQ1552" s="2">
        <v>3</v>
      </c>
      <c r="BR1552" s="2">
        <v>2</v>
      </c>
      <c r="BS1552" s="2">
        <v>0</v>
      </c>
      <c r="BT1552" s="2">
        <v>0</v>
      </c>
      <c r="BU1552" s="2">
        <v>0</v>
      </c>
      <c r="BV1552" s="2">
        <f t="shared" si="101"/>
        <v>11</v>
      </c>
      <c r="BW1552" s="16">
        <f t="shared" si="99"/>
        <v>0.57894736842105265</v>
      </c>
      <c r="BX1552" s="16">
        <f>COUNTIF($BC$6:BU1552, "=0") / COUNTIF($BC$6:BU1552, "&gt;-1")</f>
        <v>0.39233831184295581</v>
      </c>
      <c r="BY1552" s="18">
        <f>SUM($BC$6:BU1552) / $BY$4</f>
        <v>0.98210208273337296</v>
      </c>
      <c r="BZ1552" s="14">
        <f t="shared" si="100"/>
        <v>14</v>
      </c>
      <c r="CA1552" t="s">
        <v>5832</v>
      </c>
      <c r="CZ1552" t="s">
        <v>8160</v>
      </c>
      <c r="DA1552" t="s">
        <v>5904</v>
      </c>
      <c r="DB1552">
        <v>152.5</v>
      </c>
      <c r="DC1552" t="s">
        <v>20852</v>
      </c>
      <c r="DD1552" t="s">
        <v>13772</v>
      </c>
      <c r="DE1552" t="s">
        <v>20853</v>
      </c>
      <c r="DF1552" t="s">
        <v>20854</v>
      </c>
      <c r="DG1552" t="s">
        <v>13772</v>
      </c>
      <c r="DH1552" t="str">
        <f>"MUSTN1"</f>
        <v>MUSTN1</v>
      </c>
      <c r="DI1552" t="s">
        <v>13772</v>
      </c>
      <c r="DJ1552" t="s">
        <v>13777</v>
      </c>
      <c r="DK1552">
        <v>9606</v>
      </c>
      <c r="DL1552" s="34" t="str">
        <f>HYPERLINK("http://www.uniprot.org/uniprot/Q8IVN3", "Q8IVN3")</f>
        <v>Q8IVN3</v>
      </c>
      <c r="DM1552" t="s">
        <v>20855</v>
      </c>
      <c r="DN1552" t="s">
        <v>13772</v>
      </c>
      <c r="DO1552" t="s">
        <v>14825</v>
      </c>
      <c r="DP1552" t="s">
        <v>13772</v>
      </c>
      <c r="DQ1552" t="s">
        <v>13772</v>
      </c>
      <c r="DR1552" t="s">
        <v>13772</v>
      </c>
      <c r="DS1552" t="s">
        <v>13772</v>
      </c>
      <c r="DT1552" t="s">
        <v>13772</v>
      </c>
      <c r="DU1552" t="s">
        <v>13772</v>
      </c>
      <c r="DV1552" t="s">
        <v>13782</v>
      </c>
      <c r="DW1552" t="s">
        <v>13772</v>
      </c>
      <c r="DX1552" t="s">
        <v>20856</v>
      </c>
      <c r="DY1552" t="s">
        <v>15556</v>
      </c>
      <c r="DZ1552" t="s">
        <v>13772</v>
      </c>
      <c r="EA1552" t="s">
        <v>13772</v>
      </c>
      <c r="EB1552" t="s">
        <v>13772</v>
      </c>
    </row>
    <row r="1553" spans="1:132" hidden="1">
      <c r="A1553">
        <v>836</v>
      </c>
      <c r="B1553">
        <v>1</v>
      </c>
      <c r="C1553" t="s">
        <v>2048</v>
      </c>
      <c r="D1553" t="s">
        <v>73</v>
      </c>
      <c r="E1553" t="s">
        <v>73</v>
      </c>
      <c r="F1553" t="s">
        <v>73</v>
      </c>
      <c r="G1553" t="s">
        <v>73</v>
      </c>
      <c r="H1553">
        <v>6.7</v>
      </c>
      <c r="I1553">
        <v>908</v>
      </c>
      <c r="J1553">
        <v>100239</v>
      </c>
      <c r="K1553" t="s">
        <v>2049</v>
      </c>
      <c r="L1553">
        <f t="shared" si="98"/>
        <v>11</v>
      </c>
      <c r="N1553">
        <v>11</v>
      </c>
      <c r="O1553">
        <v>11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2</v>
      </c>
      <c r="V1553">
        <v>3</v>
      </c>
      <c r="W1553">
        <v>2</v>
      </c>
      <c r="X1553">
        <v>0</v>
      </c>
      <c r="Y1553">
        <v>2</v>
      </c>
      <c r="Z1553">
        <v>0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</v>
      </c>
      <c r="AO1553">
        <v>3</v>
      </c>
      <c r="AP1553">
        <v>2</v>
      </c>
      <c r="AQ1553">
        <v>0</v>
      </c>
      <c r="AR1553">
        <v>2</v>
      </c>
      <c r="AS1553">
        <v>0</v>
      </c>
      <c r="AT1553">
        <v>0</v>
      </c>
      <c r="AU1553">
        <v>2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2</v>
      </c>
      <c r="BH1553" s="2">
        <v>3</v>
      </c>
      <c r="BI1553" s="2">
        <v>2</v>
      </c>
      <c r="BJ1553" s="2">
        <v>0</v>
      </c>
      <c r="BK1553" s="2">
        <v>2</v>
      </c>
      <c r="BL1553" s="2">
        <v>0</v>
      </c>
      <c r="BM1553" s="2">
        <v>0</v>
      </c>
      <c r="BN1553" s="2">
        <v>2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f t="shared" si="101"/>
        <v>11</v>
      </c>
      <c r="BW1553" s="16">
        <f t="shared" si="99"/>
        <v>0.57894736842105265</v>
      </c>
      <c r="BX1553" s="16">
        <f>COUNTIF($BC$6:BU1553, "=0") / COUNTIF($BC$6:BU1553, "&gt;-1")</f>
        <v>0.39256085951312392</v>
      </c>
      <c r="BY1553" s="18">
        <f>SUM($BC$6:BU1553) / $BY$4</f>
        <v>0.98214920273892869</v>
      </c>
      <c r="BZ1553" s="14">
        <f t="shared" si="100"/>
        <v>14</v>
      </c>
      <c r="CA1553" t="s">
        <v>5832</v>
      </c>
      <c r="CZ1553" t="s">
        <v>8562</v>
      </c>
      <c r="DA1553" t="s">
        <v>5904</v>
      </c>
      <c r="DB1553">
        <v>1855.1</v>
      </c>
      <c r="DC1553" t="s">
        <v>22035</v>
      </c>
      <c r="DD1553" t="s">
        <v>22036</v>
      </c>
      <c r="DE1553" t="s">
        <v>22037</v>
      </c>
      <c r="DF1553" t="s">
        <v>22038</v>
      </c>
      <c r="DG1553" t="s">
        <v>22039</v>
      </c>
      <c r="DH1553" t="str">
        <f>"PSMD2"</f>
        <v>PSMD2</v>
      </c>
      <c r="DI1553" t="s">
        <v>22040</v>
      </c>
      <c r="DJ1553" t="s">
        <v>13777</v>
      </c>
      <c r="DK1553">
        <v>9606</v>
      </c>
      <c r="DL1553" s="34" t="str">
        <f>HYPERLINK("http://www.uniprot.org/uniprot/Q13200", "Q13200")</f>
        <v>Q13200</v>
      </c>
      <c r="DM1553" t="s">
        <v>22041</v>
      </c>
      <c r="DN1553" t="s">
        <v>13772</v>
      </c>
      <c r="DO1553" t="s">
        <v>14145</v>
      </c>
      <c r="DP1553" t="s">
        <v>13780</v>
      </c>
      <c r="DQ1553" t="s">
        <v>13772</v>
      </c>
      <c r="DR1553" t="s">
        <v>13772</v>
      </c>
      <c r="DS1553" t="s">
        <v>14096</v>
      </c>
      <c r="DT1553" t="s">
        <v>13772</v>
      </c>
      <c r="DU1553" t="s">
        <v>13772</v>
      </c>
      <c r="DV1553" t="s">
        <v>13886</v>
      </c>
      <c r="DW1553" t="s">
        <v>13812</v>
      </c>
      <c r="DX1553" t="s">
        <v>22042</v>
      </c>
      <c r="DY1553" t="s">
        <v>22043</v>
      </c>
      <c r="DZ1553" t="s">
        <v>14148</v>
      </c>
      <c r="EA1553" t="s">
        <v>13772</v>
      </c>
      <c r="EB1553" t="s">
        <v>14149</v>
      </c>
    </row>
    <row r="1554" spans="1:132" hidden="1">
      <c r="A1554">
        <v>910</v>
      </c>
      <c r="B1554">
        <v>1</v>
      </c>
      <c r="C1554" t="s">
        <v>2217</v>
      </c>
      <c r="D1554" t="s">
        <v>73</v>
      </c>
      <c r="E1554" t="s">
        <v>73</v>
      </c>
      <c r="F1554" t="s">
        <v>73</v>
      </c>
      <c r="G1554" t="s">
        <v>73</v>
      </c>
      <c r="H1554">
        <v>18.3</v>
      </c>
      <c r="I1554">
        <v>327</v>
      </c>
      <c r="J1554">
        <v>35232</v>
      </c>
      <c r="K1554" t="s">
        <v>2218</v>
      </c>
      <c r="L1554">
        <f t="shared" si="98"/>
        <v>11</v>
      </c>
      <c r="N1554">
        <v>11</v>
      </c>
      <c r="O1554">
        <v>11</v>
      </c>
      <c r="P1554">
        <v>1</v>
      </c>
      <c r="Q1554">
        <v>0</v>
      </c>
      <c r="R1554">
        <v>2</v>
      </c>
      <c r="S1554">
        <v>0</v>
      </c>
      <c r="T1554">
        <v>0</v>
      </c>
      <c r="U1554">
        <v>4</v>
      </c>
      <c r="V1554">
        <v>3</v>
      </c>
      <c r="W1554">
        <v>0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</v>
      </c>
      <c r="AL1554">
        <v>0</v>
      </c>
      <c r="AM1554">
        <v>0</v>
      </c>
      <c r="AN1554">
        <v>4</v>
      </c>
      <c r="AO1554">
        <v>3</v>
      </c>
      <c r="AP1554">
        <v>0</v>
      </c>
      <c r="AQ1554">
        <v>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 s="2">
        <v>0</v>
      </c>
      <c r="BD1554" s="2">
        <v>2</v>
      </c>
      <c r="BE1554" s="2">
        <v>0</v>
      </c>
      <c r="BF1554" s="2">
        <v>0</v>
      </c>
      <c r="BG1554" s="2">
        <v>4</v>
      </c>
      <c r="BH1554" s="2">
        <v>3</v>
      </c>
      <c r="BI1554" s="2">
        <v>0</v>
      </c>
      <c r="BJ1554" s="2">
        <v>2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f t="shared" si="101"/>
        <v>11</v>
      </c>
      <c r="BW1554" s="16">
        <f t="shared" si="99"/>
        <v>0.57894736842105265</v>
      </c>
      <c r="BX1554" s="16">
        <f>COUNTIF($BC$6:BU1554, "=0") / COUNTIF($BC$6:BU1554, "&gt;-1")</f>
        <v>0.39281709761815775</v>
      </c>
      <c r="BY1554" s="18">
        <f>SUM($BC$6:BU1554) / $BY$4</f>
        <v>0.98219632274448443</v>
      </c>
      <c r="BZ1554" s="14">
        <f t="shared" si="100"/>
        <v>15</v>
      </c>
      <c r="CA1554" t="s">
        <v>5832</v>
      </c>
      <c r="CZ1554" t="s">
        <v>8811</v>
      </c>
      <c r="DA1554" t="s">
        <v>5904</v>
      </c>
      <c r="DB1554">
        <v>636.29999999999995</v>
      </c>
      <c r="DC1554" t="s">
        <v>22755</v>
      </c>
      <c r="DD1554" t="s">
        <v>22756</v>
      </c>
      <c r="DE1554" t="s">
        <v>22757</v>
      </c>
      <c r="DF1554" t="s">
        <v>22758</v>
      </c>
      <c r="DG1554" t="s">
        <v>22759</v>
      </c>
      <c r="DH1554" t="str">
        <f>"HOGA1"</f>
        <v>HOGA1</v>
      </c>
      <c r="DI1554" t="s">
        <v>22760</v>
      </c>
      <c r="DJ1554" t="s">
        <v>13777</v>
      </c>
      <c r="DK1554">
        <v>9606</v>
      </c>
      <c r="DL1554" s="34" t="str">
        <f>HYPERLINK("http://www.uniprot.org/uniprot/Q86XE5", "Q86XE5")</f>
        <v>Q86XE5</v>
      </c>
      <c r="DM1554" t="s">
        <v>22761</v>
      </c>
      <c r="DN1554" t="s">
        <v>13772</v>
      </c>
      <c r="DO1554" t="s">
        <v>14491</v>
      </c>
      <c r="DP1554" t="s">
        <v>13841</v>
      </c>
      <c r="DQ1554" t="s">
        <v>13772</v>
      </c>
      <c r="DR1554" t="s">
        <v>13807</v>
      </c>
      <c r="DS1554" t="s">
        <v>14391</v>
      </c>
      <c r="DT1554" t="s">
        <v>18902</v>
      </c>
      <c r="DU1554" t="s">
        <v>15788</v>
      </c>
      <c r="DV1554" t="s">
        <v>13772</v>
      </c>
      <c r="DW1554" t="s">
        <v>13812</v>
      </c>
      <c r="DX1554" t="s">
        <v>22762</v>
      </c>
      <c r="DY1554" t="s">
        <v>15582</v>
      </c>
      <c r="DZ1554" t="s">
        <v>22763</v>
      </c>
      <c r="EA1554" t="s">
        <v>13772</v>
      </c>
      <c r="EB1554" t="s">
        <v>22764</v>
      </c>
    </row>
    <row r="1555" spans="1:132" hidden="1">
      <c r="A1555">
        <v>963</v>
      </c>
      <c r="B1555">
        <v>1</v>
      </c>
      <c r="C1555" t="s">
        <v>2339</v>
      </c>
      <c r="D1555" t="s">
        <v>2340</v>
      </c>
      <c r="E1555" t="s">
        <v>73</v>
      </c>
      <c r="F1555" t="s">
        <v>73</v>
      </c>
      <c r="G1555" t="s">
        <v>73</v>
      </c>
      <c r="H1555">
        <v>13.5</v>
      </c>
      <c r="I1555">
        <v>163</v>
      </c>
      <c r="J1555">
        <v>17996</v>
      </c>
      <c r="K1555" t="s">
        <v>2341</v>
      </c>
      <c r="L1555">
        <f t="shared" si="98"/>
        <v>11</v>
      </c>
      <c r="N1555">
        <v>11</v>
      </c>
      <c r="O1555">
        <v>11</v>
      </c>
      <c r="P1555">
        <v>1</v>
      </c>
      <c r="Q1555">
        <v>1</v>
      </c>
      <c r="R1555">
        <v>2</v>
      </c>
      <c r="S1555">
        <v>2</v>
      </c>
      <c r="T1555">
        <v>3</v>
      </c>
      <c r="U1555">
        <v>2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2</v>
      </c>
      <c r="AM1555">
        <v>3</v>
      </c>
      <c r="AN1555">
        <v>2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 s="2">
        <v>1</v>
      </c>
      <c r="BD1555" s="2">
        <v>2</v>
      </c>
      <c r="BE1555" s="2">
        <v>2</v>
      </c>
      <c r="BF1555" s="2">
        <v>3</v>
      </c>
      <c r="BG1555" s="2">
        <v>2</v>
      </c>
      <c r="BH1555" s="2">
        <v>1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f t="shared" si="101"/>
        <v>11</v>
      </c>
      <c r="BW1555" s="16">
        <f t="shared" si="99"/>
        <v>0.57894736842105265</v>
      </c>
      <c r="BX1555" s="16">
        <f>COUNTIF($BC$6:BU1555, "=0") / COUNTIF($BC$6:BU1555, "&gt;-1")</f>
        <v>0.39300509337860778</v>
      </c>
      <c r="BY1555" s="18">
        <f>SUM($BC$6:BU1555) / $BY$4</f>
        <v>0.98224344275004005</v>
      </c>
      <c r="BZ1555" s="14">
        <f t="shared" si="100"/>
        <v>13</v>
      </c>
      <c r="CA1555" t="s">
        <v>5832</v>
      </c>
      <c r="CZ1555" t="s">
        <v>8995</v>
      </c>
      <c r="DA1555" t="s">
        <v>5904</v>
      </c>
      <c r="DB1555">
        <v>159.80000000000001</v>
      </c>
      <c r="DC1555" t="s">
        <v>23259</v>
      </c>
      <c r="DD1555" t="s">
        <v>23260</v>
      </c>
      <c r="DE1555" t="s">
        <v>23261</v>
      </c>
      <c r="DF1555" t="s">
        <v>23262</v>
      </c>
      <c r="DG1555" t="s">
        <v>23263</v>
      </c>
      <c r="DH1555" t="str">
        <f>"CXCL12"</f>
        <v>CXCL12</v>
      </c>
      <c r="DI1555" t="s">
        <v>23264</v>
      </c>
      <c r="DJ1555" t="s">
        <v>13777</v>
      </c>
      <c r="DK1555">
        <v>9606</v>
      </c>
      <c r="DL1555" s="34" t="str">
        <f>HYPERLINK("http://www.uniprot.org/uniprot/P48061", "P48061")</f>
        <v>P48061</v>
      </c>
      <c r="DM1555" t="s">
        <v>23265</v>
      </c>
      <c r="DN1555" t="s">
        <v>23266</v>
      </c>
      <c r="DO1555" t="s">
        <v>14321</v>
      </c>
      <c r="DP1555" t="s">
        <v>13841</v>
      </c>
      <c r="DQ1555" t="s">
        <v>13772</v>
      </c>
      <c r="DR1555" t="s">
        <v>13772</v>
      </c>
      <c r="DS1555" t="s">
        <v>13808</v>
      </c>
      <c r="DT1555" t="s">
        <v>13772</v>
      </c>
      <c r="DU1555" t="s">
        <v>22745</v>
      </c>
      <c r="DV1555" t="s">
        <v>14506</v>
      </c>
      <c r="DW1555" t="s">
        <v>13812</v>
      </c>
      <c r="DX1555" t="s">
        <v>23267</v>
      </c>
      <c r="DY1555" t="s">
        <v>23268</v>
      </c>
      <c r="DZ1555" t="s">
        <v>23269</v>
      </c>
      <c r="EA1555" t="s">
        <v>13772</v>
      </c>
      <c r="EB1555" t="s">
        <v>23270</v>
      </c>
    </row>
    <row r="1556" spans="1:132" hidden="1">
      <c r="A1556">
        <v>985</v>
      </c>
      <c r="B1556">
        <v>1</v>
      </c>
      <c r="C1556" t="s">
        <v>2390</v>
      </c>
      <c r="D1556" t="s">
        <v>2391</v>
      </c>
      <c r="E1556" t="s">
        <v>73</v>
      </c>
      <c r="F1556" t="s">
        <v>73</v>
      </c>
      <c r="G1556" t="s">
        <v>73</v>
      </c>
      <c r="H1556">
        <v>10.1</v>
      </c>
      <c r="I1556">
        <v>632</v>
      </c>
      <c r="J1556">
        <v>70718</v>
      </c>
      <c r="K1556" t="s">
        <v>2392</v>
      </c>
      <c r="L1556">
        <f t="shared" si="98"/>
        <v>11</v>
      </c>
      <c r="N1556">
        <v>11</v>
      </c>
      <c r="O1556">
        <v>11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2</v>
      </c>
      <c r="Z1556">
        <v>0</v>
      </c>
      <c r="AA1556">
        <v>2</v>
      </c>
      <c r="AB1556">
        <v>2</v>
      </c>
      <c r="AC1556">
        <v>1</v>
      </c>
      <c r="AD1556">
        <v>0</v>
      </c>
      <c r="AE1556">
        <v>2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2</v>
      </c>
      <c r="AS1556">
        <v>0</v>
      </c>
      <c r="AT1556">
        <v>2</v>
      </c>
      <c r="AU1556">
        <v>2</v>
      </c>
      <c r="AV1556">
        <v>1</v>
      </c>
      <c r="AW1556">
        <v>0</v>
      </c>
      <c r="AX1556">
        <v>2</v>
      </c>
      <c r="AY1556">
        <v>1</v>
      </c>
      <c r="AZ1556">
        <v>0</v>
      </c>
      <c r="BA1556">
        <v>0</v>
      </c>
      <c r="BB1556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</v>
      </c>
      <c r="BK1556" s="2">
        <v>2</v>
      </c>
      <c r="BL1556" s="2">
        <v>0</v>
      </c>
      <c r="BM1556" s="2">
        <v>2</v>
      </c>
      <c r="BN1556" s="2">
        <v>2</v>
      </c>
      <c r="BO1556" s="2">
        <v>1</v>
      </c>
      <c r="BP1556" s="2">
        <v>0</v>
      </c>
      <c r="BQ1556" s="2">
        <v>2</v>
      </c>
      <c r="BR1556" s="2">
        <v>1</v>
      </c>
      <c r="BS1556" s="2">
        <v>0</v>
      </c>
      <c r="BT1556" s="2">
        <v>0</v>
      </c>
      <c r="BU1556" s="2">
        <v>0</v>
      </c>
      <c r="BV1556" s="2">
        <f t="shared" si="101"/>
        <v>11</v>
      </c>
      <c r="BW1556" s="16">
        <f t="shared" si="99"/>
        <v>0.57894736842105265</v>
      </c>
      <c r="BX1556" s="16">
        <f>COUNTIF($BC$6:BU1556, "=0") / COUNTIF($BC$6:BU1556, "&gt;-1")</f>
        <v>0.39315891275577725</v>
      </c>
      <c r="BY1556" s="18">
        <f>SUM($BC$6:BU1556) / $BY$4</f>
        <v>0.98229056275559579</v>
      </c>
      <c r="BZ1556" s="14">
        <f t="shared" si="100"/>
        <v>12</v>
      </c>
      <c r="CA1556" t="s">
        <v>5832</v>
      </c>
      <c r="CZ1556" t="s">
        <v>9073</v>
      </c>
      <c r="DA1556" t="s">
        <v>5904</v>
      </c>
      <c r="DB1556">
        <v>1304.7</v>
      </c>
      <c r="DC1556" t="s">
        <v>23487</v>
      </c>
      <c r="DD1556" t="s">
        <v>23488</v>
      </c>
      <c r="DE1556" t="s">
        <v>23489</v>
      </c>
      <c r="DF1556" t="s">
        <v>23490</v>
      </c>
      <c r="DG1556" t="s">
        <v>23491</v>
      </c>
      <c r="DH1556" t="str">
        <f>"DYNC1I2"</f>
        <v>DYNC1I2</v>
      </c>
      <c r="DI1556" t="s">
        <v>23492</v>
      </c>
      <c r="DJ1556" t="s">
        <v>13777</v>
      </c>
      <c r="DK1556">
        <v>9606</v>
      </c>
      <c r="DL1556" s="34" t="str">
        <f>HYPERLINK("http://www.uniprot.org/uniprot/Q13409", "Q13409")</f>
        <v>Q13409</v>
      </c>
      <c r="DM1556" t="s">
        <v>23493</v>
      </c>
      <c r="DN1556" t="s">
        <v>19766</v>
      </c>
      <c r="DO1556" t="s">
        <v>14676</v>
      </c>
      <c r="DP1556" t="s">
        <v>13841</v>
      </c>
      <c r="DQ1556" t="s">
        <v>13772</v>
      </c>
      <c r="DR1556" t="s">
        <v>13772</v>
      </c>
      <c r="DS1556" t="s">
        <v>23494</v>
      </c>
      <c r="DT1556" t="s">
        <v>13772</v>
      </c>
      <c r="DU1556" t="s">
        <v>14678</v>
      </c>
      <c r="DV1556" t="s">
        <v>13886</v>
      </c>
      <c r="DW1556" t="s">
        <v>13812</v>
      </c>
      <c r="DX1556" t="s">
        <v>23495</v>
      </c>
      <c r="DY1556" t="s">
        <v>23496</v>
      </c>
      <c r="DZ1556" t="s">
        <v>23497</v>
      </c>
      <c r="EA1556" t="s">
        <v>13772</v>
      </c>
      <c r="EB1556" t="s">
        <v>23498</v>
      </c>
    </row>
    <row r="1557" spans="1:132" hidden="1">
      <c r="A1557">
        <v>992</v>
      </c>
      <c r="B1557">
        <v>1</v>
      </c>
      <c r="C1557" t="s">
        <v>2407</v>
      </c>
      <c r="D1557" t="s">
        <v>73</v>
      </c>
      <c r="E1557" t="s">
        <v>73</v>
      </c>
      <c r="F1557" t="s">
        <v>73</v>
      </c>
      <c r="G1557" t="s">
        <v>73</v>
      </c>
      <c r="H1557">
        <v>6.8</v>
      </c>
      <c r="I1557">
        <v>1542</v>
      </c>
      <c r="J1557">
        <v>176173</v>
      </c>
      <c r="K1557" t="s">
        <v>2408</v>
      </c>
      <c r="L1557">
        <f t="shared" si="98"/>
        <v>11</v>
      </c>
      <c r="N1557">
        <v>11</v>
      </c>
      <c r="O1557">
        <v>11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</v>
      </c>
      <c r="AB1557">
        <v>5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4</v>
      </c>
      <c r="AU1557">
        <v>5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4</v>
      </c>
      <c r="BN1557" s="2">
        <v>5</v>
      </c>
      <c r="BO1557" s="2">
        <v>0</v>
      </c>
      <c r="BP1557" s="2">
        <v>0</v>
      </c>
      <c r="BQ1557" s="2">
        <v>0</v>
      </c>
      <c r="BR1557" s="2">
        <v>0</v>
      </c>
      <c r="BS1557" s="2">
        <v>1</v>
      </c>
      <c r="BT1557" s="2">
        <v>0</v>
      </c>
      <c r="BU1557" s="2">
        <v>1</v>
      </c>
      <c r="BV1557" s="2">
        <f t="shared" si="101"/>
        <v>11</v>
      </c>
      <c r="BW1557" s="16">
        <f t="shared" si="99"/>
        <v>0.57894736842105265</v>
      </c>
      <c r="BX1557" s="16">
        <f>COUNTIF($BC$6:BU1557, "=0") / COUNTIF($BC$6:BU1557, "&gt;-1")</f>
        <v>0.39341427021161152</v>
      </c>
      <c r="BY1557" s="18">
        <f>SUM($BC$6:BU1557) / $BY$4</f>
        <v>0.98233768276115152</v>
      </c>
      <c r="BZ1557" s="14">
        <f t="shared" si="100"/>
        <v>15</v>
      </c>
      <c r="CA1557" t="s">
        <v>5832</v>
      </c>
      <c r="CZ1557" t="s">
        <v>9094</v>
      </c>
      <c r="DA1557" t="s">
        <v>5904</v>
      </c>
      <c r="DB1557">
        <v>2949.5</v>
      </c>
      <c r="DC1557" t="s">
        <v>23552</v>
      </c>
      <c r="DD1557" t="s">
        <v>23553</v>
      </c>
      <c r="DE1557" t="s">
        <v>23554</v>
      </c>
      <c r="DF1557" t="s">
        <v>23555</v>
      </c>
      <c r="DG1557" t="s">
        <v>23556</v>
      </c>
      <c r="DH1557" t="str">
        <f>"UGGT1"</f>
        <v>UGGT1</v>
      </c>
      <c r="DI1557" t="s">
        <v>13772</v>
      </c>
      <c r="DJ1557" t="s">
        <v>13777</v>
      </c>
      <c r="DK1557">
        <v>9606</v>
      </c>
      <c r="DL1557" s="34" t="str">
        <f>HYPERLINK("http://www.uniprot.org/uniprot/Q9NYU2", "Q9NYU2")</f>
        <v>Q9NYU2</v>
      </c>
      <c r="DM1557" t="s">
        <v>23557</v>
      </c>
      <c r="DN1557" t="s">
        <v>13772</v>
      </c>
      <c r="DO1557" t="s">
        <v>14908</v>
      </c>
      <c r="DP1557" t="s">
        <v>13841</v>
      </c>
      <c r="DQ1557" t="s">
        <v>13772</v>
      </c>
      <c r="DR1557" t="s">
        <v>13772</v>
      </c>
      <c r="DS1557" t="s">
        <v>13808</v>
      </c>
      <c r="DT1557" t="s">
        <v>13772</v>
      </c>
      <c r="DU1557" t="s">
        <v>15995</v>
      </c>
      <c r="DV1557" t="s">
        <v>13978</v>
      </c>
      <c r="DW1557" t="s">
        <v>13772</v>
      </c>
      <c r="DX1557" t="s">
        <v>23558</v>
      </c>
      <c r="DY1557" t="s">
        <v>23559</v>
      </c>
      <c r="DZ1557" t="s">
        <v>23560</v>
      </c>
      <c r="EA1557" t="s">
        <v>22195</v>
      </c>
      <c r="EB1557" t="s">
        <v>23561</v>
      </c>
    </row>
    <row r="1558" spans="1:132" hidden="1">
      <c r="A1558">
        <v>997</v>
      </c>
      <c r="B1558">
        <v>1</v>
      </c>
      <c r="C1558" t="s">
        <v>2416</v>
      </c>
      <c r="D1558" t="s">
        <v>73</v>
      </c>
      <c r="E1558" t="s">
        <v>73</v>
      </c>
      <c r="F1558" t="s">
        <v>73</v>
      </c>
      <c r="G1558" t="s">
        <v>73</v>
      </c>
      <c r="H1558">
        <v>20</v>
      </c>
      <c r="I1558">
        <v>265</v>
      </c>
      <c r="J1558">
        <v>29979</v>
      </c>
      <c r="K1558" t="s">
        <v>2417</v>
      </c>
      <c r="L1558">
        <f t="shared" si="98"/>
        <v>11</v>
      </c>
      <c r="N1558">
        <v>11</v>
      </c>
      <c r="O1558">
        <v>11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4</v>
      </c>
      <c r="V1558">
        <v>4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4</v>
      </c>
      <c r="AO1558">
        <v>4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 s="2">
        <v>0</v>
      </c>
      <c r="BD1558" s="2">
        <v>0</v>
      </c>
      <c r="BE1558" s="2">
        <v>1</v>
      </c>
      <c r="BF1558" s="2">
        <v>0</v>
      </c>
      <c r="BG1558" s="2">
        <v>4</v>
      </c>
      <c r="BH1558" s="2">
        <v>4</v>
      </c>
      <c r="BI1558" s="2">
        <v>1</v>
      </c>
      <c r="BJ1558" s="2">
        <v>0</v>
      </c>
      <c r="BK1558" s="2">
        <v>0</v>
      </c>
      <c r="BL1558" s="2">
        <v>0</v>
      </c>
      <c r="BM1558" s="2">
        <v>1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f t="shared" si="101"/>
        <v>11</v>
      </c>
      <c r="BW1558" s="16">
        <f t="shared" si="99"/>
        <v>0.57894736842105265</v>
      </c>
      <c r="BX1558" s="16">
        <f>COUNTIF($BC$6:BU1558, "=0") / COUNTIF($BC$6:BU1558, "&gt;-1")</f>
        <v>0.39363540854712442</v>
      </c>
      <c r="BY1558" s="18">
        <f>SUM($BC$6:BU1558) / $BY$4</f>
        <v>0.98238480276670725</v>
      </c>
      <c r="BZ1558" s="14">
        <f t="shared" si="100"/>
        <v>14</v>
      </c>
      <c r="CA1558" t="s">
        <v>5832</v>
      </c>
      <c r="CZ1558" t="s">
        <v>9105</v>
      </c>
      <c r="DA1558" t="s">
        <v>5904</v>
      </c>
      <c r="DB1558">
        <v>483</v>
      </c>
      <c r="DC1558" t="s">
        <v>23580</v>
      </c>
      <c r="DD1558" t="s">
        <v>23581</v>
      </c>
      <c r="DE1558" t="s">
        <v>23582</v>
      </c>
      <c r="DF1558" t="s">
        <v>23583</v>
      </c>
      <c r="DG1558" t="s">
        <v>23584</v>
      </c>
      <c r="DH1558" t="str">
        <f>"ITM2C"</f>
        <v>ITM2C</v>
      </c>
      <c r="DI1558" t="s">
        <v>23585</v>
      </c>
      <c r="DJ1558" t="s">
        <v>13777</v>
      </c>
      <c r="DK1558">
        <v>9606</v>
      </c>
      <c r="DL1558" s="34" t="str">
        <f>HYPERLINK("http://www.uniprot.org/uniprot/Q9NQX7", "Q9NQX7")</f>
        <v>Q9NQX7</v>
      </c>
      <c r="DM1558" t="s">
        <v>23586</v>
      </c>
      <c r="DN1558" t="s">
        <v>13772</v>
      </c>
      <c r="DO1558" t="s">
        <v>23587</v>
      </c>
      <c r="DP1558" t="s">
        <v>13780</v>
      </c>
      <c r="DQ1558" t="s">
        <v>13772</v>
      </c>
      <c r="DR1558" t="s">
        <v>13772</v>
      </c>
      <c r="DS1558" t="s">
        <v>14417</v>
      </c>
      <c r="DT1558" t="s">
        <v>13772</v>
      </c>
      <c r="DU1558" t="s">
        <v>13772</v>
      </c>
      <c r="DV1558" t="s">
        <v>15920</v>
      </c>
      <c r="DW1558" t="s">
        <v>13772</v>
      </c>
      <c r="DX1558" t="s">
        <v>23588</v>
      </c>
      <c r="DY1558" t="s">
        <v>23589</v>
      </c>
      <c r="DZ1558" t="s">
        <v>23067</v>
      </c>
      <c r="EA1558" t="s">
        <v>13772</v>
      </c>
      <c r="EB1558" t="s">
        <v>13772</v>
      </c>
    </row>
    <row r="1559" spans="1:132" hidden="1">
      <c r="A1559">
        <v>1015</v>
      </c>
      <c r="B1559">
        <v>1</v>
      </c>
      <c r="C1559" t="s">
        <v>2454</v>
      </c>
      <c r="D1559" t="s">
        <v>2455</v>
      </c>
      <c r="E1559" t="s">
        <v>73</v>
      </c>
      <c r="F1559" t="s">
        <v>73</v>
      </c>
      <c r="G1559" t="s">
        <v>73</v>
      </c>
      <c r="H1559">
        <v>18.399999999999999</v>
      </c>
      <c r="I1559">
        <v>477</v>
      </c>
      <c r="J1559">
        <v>53555</v>
      </c>
      <c r="K1559" t="s">
        <v>2456</v>
      </c>
      <c r="L1559">
        <f t="shared" si="98"/>
        <v>11</v>
      </c>
      <c r="N1559">
        <v>11</v>
      </c>
      <c r="O1559">
        <v>11</v>
      </c>
      <c r="P1559">
        <v>1</v>
      </c>
      <c r="Q1559">
        <v>0</v>
      </c>
      <c r="R1559">
        <v>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3</v>
      </c>
      <c r="AD1559">
        <v>2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2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3</v>
      </c>
      <c r="AT1559">
        <v>0</v>
      </c>
      <c r="AU1559">
        <v>0</v>
      </c>
      <c r="AV1559">
        <v>3</v>
      </c>
      <c r="AW1559">
        <v>2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 s="2">
        <v>0</v>
      </c>
      <c r="BD1559" s="2">
        <v>2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3</v>
      </c>
      <c r="BM1559" s="2">
        <v>0</v>
      </c>
      <c r="BN1559" s="2">
        <v>0</v>
      </c>
      <c r="BO1559" s="2">
        <v>3</v>
      </c>
      <c r="BP1559" s="2">
        <v>2</v>
      </c>
      <c r="BQ1559" s="2">
        <v>0</v>
      </c>
      <c r="BR1559" s="2">
        <v>0</v>
      </c>
      <c r="BS1559" s="2">
        <v>0</v>
      </c>
      <c r="BT1559" s="2">
        <v>1</v>
      </c>
      <c r="BU1559" s="2">
        <v>0</v>
      </c>
      <c r="BV1559" s="2">
        <f t="shared" si="101"/>
        <v>11</v>
      </c>
      <c r="BW1559" s="16">
        <f t="shared" si="99"/>
        <v>0.57894736842105265</v>
      </c>
      <c r="BX1559" s="16">
        <f>COUNTIF($BC$6:BU1559, "=0") / COUNTIF($BC$6:BU1559, "&gt;-1")</f>
        <v>0.39385626227731491</v>
      </c>
      <c r="BY1559" s="18">
        <f>SUM($BC$6:BU1559) / $BY$4</f>
        <v>0.98243192277226288</v>
      </c>
      <c r="BZ1559" s="14">
        <f t="shared" si="100"/>
        <v>14</v>
      </c>
      <c r="CA1559" t="s">
        <v>5832</v>
      </c>
      <c r="CZ1559" t="s">
        <v>9157</v>
      </c>
      <c r="DA1559" t="s">
        <v>5904</v>
      </c>
      <c r="DB1559">
        <v>771.9</v>
      </c>
      <c r="DC1559" t="s">
        <v>23729</v>
      </c>
      <c r="DD1559" t="s">
        <v>23730</v>
      </c>
      <c r="DE1559" t="s">
        <v>23731</v>
      </c>
      <c r="DF1559" t="s">
        <v>23732</v>
      </c>
      <c r="DG1559" t="s">
        <v>23733</v>
      </c>
      <c r="DH1559" t="str">
        <f>"PROC"</f>
        <v>PROC</v>
      </c>
      <c r="DI1559" t="s">
        <v>13772</v>
      </c>
      <c r="DJ1559" t="s">
        <v>13777</v>
      </c>
      <c r="DK1559">
        <v>9606</v>
      </c>
      <c r="DL1559" s="34" t="str">
        <f>HYPERLINK("http://www.uniprot.org/uniprot/P04070", "P04070")</f>
        <v>P04070</v>
      </c>
      <c r="DM1559" t="s">
        <v>23734</v>
      </c>
      <c r="DN1559" t="s">
        <v>16755</v>
      </c>
      <c r="DO1559" t="s">
        <v>21082</v>
      </c>
      <c r="DP1559" t="s">
        <v>13780</v>
      </c>
      <c r="DQ1559" t="s">
        <v>13772</v>
      </c>
      <c r="DR1559" t="s">
        <v>17445</v>
      </c>
      <c r="DS1559" t="s">
        <v>14768</v>
      </c>
      <c r="DT1559" t="s">
        <v>14465</v>
      </c>
      <c r="DU1559" t="s">
        <v>15176</v>
      </c>
      <c r="DV1559" t="s">
        <v>23735</v>
      </c>
      <c r="DW1559" t="s">
        <v>13812</v>
      </c>
      <c r="DX1559" t="s">
        <v>23736</v>
      </c>
      <c r="DY1559" t="s">
        <v>23737</v>
      </c>
      <c r="DZ1559" t="s">
        <v>16475</v>
      </c>
      <c r="EA1559" t="s">
        <v>13772</v>
      </c>
      <c r="EB1559" t="s">
        <v>23738</v>
      </c>
    </row>
    <row r="1560" spans="1:132" hidden="1">
      <c r="A1560">
        <v>1107</v>
      </c>
      <c r="B1560">
        <v>1</v>
      </c>
      <c r="C1560" t="s">
        <v>2663</v>
      </c>
      <c r="D1560" t="s">
        <v>2664</v>
      </c>
      <c r="E1560" t="s">
        <v>73</v>
      </c>
      <c r="F1560" t="s">
        <v>73</v>
      </c>
      <c r="G1560" t="s">
        <v>73</v>
      </c>
      <c r="H1560">
        <v>26.5</v>
      </c>
      <c r="I1560">
        <v>385</v>
      </c>
      <c r="J1560">
        <v>41290</v>
      </c>
      <c r="K1560" t="s">
        <v>2665</v>
      </c>
      <c r="L1560">
        <f t="shared" si="98"/>
        <v>11</v>
      </c>
      <c r="N1560">
        <v>11</v>
      </c>
      <c r="O1560">
        <v>11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</v>
      </c>
      <c r="AB1560">
        <v>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5</v>
      </c>
      <c r="AU1560">
        <v>6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5</v>
      </c>
      <c r="BN1560" s="2">
        <v>6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f t="shared" si="101"/>
        <v>11</v>
      </c>
      <c r="BW1560" s="16">
        <f t="shared" si="99"/>
        <v>0.57894736842105265</v>
      </c>
      <c r="BX1560" s="16">
        <f>COUNTIF($BC$6:BU1560, "=0") / COUNTIF($BC$6:BU1560, "&gt;-1")</f>
        <v>0.39417837197495348</v>
      </c>
      <c r="BY1560" s="18">
        <f>SUM($BC$6:BU1560) / $BY$4</f>
        <v>0.98247904277781861</v>
      </c>
      <c r="BZ1560" s="14">
        <f t="shared" si="100"/>
        <v>17</v>
      </c>
      <c r="CA1560" t="s">
        <v>5832</v>
      </c>
      <c r="CZ1560" t="s">
        <v>9426</v>
      </c>
      <c r="DA1560" t="s">
        <v>5904</v>
      </c>
      <c r="DB1560">
        <v>699.1</v>
      </c>
      <c r="DC1560" t="s">
        <v>24511</v>
      </c>
      <c r="DD1560" t="s">
        <v>24512</v>
      </c>
      <c r="DE1560" t="s">
        <v>24513</v>
      </c>
      <c r="DF1560" t="s">
        <v>24514</v>
      </c>
      <c r="DG1560" t="s">
        <v>24515</v>
      </c>
      <c r="DH1560" t="str">
        <f>"GCAT"</f>
        <v>GCAT</v>
      </c>
      <c r="DI1560" t="s">
        <v>24516</v>
      </c>
      <c r="DJ1560" t="s">
        <v>13777</v>
      </c>
      <c r="DK1560">
        <v>9606</v>
      </c>
      <c r="DL1560" s="34" t="str">
        <f>HYPERLINK("http://www.uniprot.org/uniprot/O75600", "O75600")</f>
        <v>O75600</v>
      </c>
      <c r="DM1560" t="s">
        <v>24517</v>
      </c>
      <c r="DN1560" t="s">
        <v>13772</v>
      </c>
      <c r="DO1560" t="s">
        <v>15225</v>
      </c>
      <c r="DP1560" t="s">
        <v>13780</v>
      </c>
      <c r="DQ1560" t="s">
        <v>13772</v>
      </c>
      <c r="DR1560" t="s">
        <v>13772</v>
      </c>
      <c r="DS1560" t="s">
        <v>14391</v>
      </c>
      <c r="DT1560" t="s">
        <v>14133</v>
      </c>
      <c r="DU1560" t="s">
        <v>15096</v>
      </c>
      <c r="DV1560" t="s">
        <v>14020</v>
      </c>
      <c r="DW1560" t="s">
        <v>13772</v>
      </c>
      <c r="DX1560" t="s">
        <v>24518</v>
      </c>
      <c r="DY1560" t="s">
        <v>24519</v>
      </c>
      <c r="DZ1560" t="s">
        <v>24520</v>
      </c>
      <c r="EA1560" t="s">
        <v>24521</v>
      </c>
      <c r="EB1560" t="s">
        <v>24522</v>
      </c>
    </row>
    <row r="1561" spans="1:132" hidden="1">
      <c r="A1561">
        <v>1139</v>
      </c>
      <c r="B1561">
        <v>1</v>
      </c>
      <c r="C1561" t="s">
        <v>2743</v>
      </c>
      <c r="D1561" t="s">
        <v>73</v>
      </c>
      <c r="E1561" t="s">
        <v>73</v>
      </c>
      <c r="F1561" t="s">
        <v>73</v>
      </c>
      <c r="G1561" t="s">
        <v>73</v>
      </c>
      <c r="H1561">
        <v>11.4</v>
      </c>
      <c r="I1561">
        <v>1241</v>
      </c>
      <c r="J1561">
        <v>143396</v>
      </c>
      <c r="K1561" t="s">
        <v>2744</v>
      </c>
      <c r="L1561">
        <f t="shared" si="98"/>
        <v>11</v>
      </c>
      <c r="N1561">
        <v>11</v>
      </c>
      <c r="O1561">
        <v>11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3</v>
      </c>
      <c r="V1561">
        <v>0</v>
      </c>
      <c r="W1561">
        <v>0</v>
      </c>
      <c r="X1561">
        <v>0</v>
      </c>
      <c r="Y1561">
        <v>5</v>
      </c>
      <c r="Z1561">
        <v>0</v>
      </c>
      <c r="AA1561">
        <v>2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3</v>
      </c>
      <c r="AO1561">
        <v>0</v>
      </c>
      <c r="AP1561">
        <v>0</v>
      </c>
      <c r="AQ1561">
        <v>0</v>
      </c>
      <c r="AR1561">
        <v>5</v>
      </c>
      <c r="AS1561">
        <v>0</v>
      </c>
      <c r="AT1561">
        <v>2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3</v>
      </c>
      <c r="BH1561" s="2">
        <v>0</v>
      </c>
      <c r="BI1561" s="2">
        <v>0</v>
      </c>
      <c r="BJ1561" s="2">
        <v>0</v>
      </c>
      <c r="BK1561" s="2">
        <v>5</v>
      </c>
      <c r="BL1561" s="2">
        <v>0</v>
      </c>
      <c r="BM1561" s="2">
        <v>2</v>
      </c>
      <c r="BN1561" s="2">
        <v>0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f t="shared" si="101"/>
        <v>11</v>
      </c>
      <c r="BW1561" s="16">
        <f t="shared" si="99"/>
        <v>0.57894736842105265</v>
      </c>
      <c r="BX1561" s="16">
        <f>COUNTIF($BC$6:BU1561, "=0") / COUNTIF($BC$6:BU1561, "&gt;-1")</f>
        <v>0.39443241780543903</v>
      </c>
      <c r="BY1561" s="18">
        <f>SUM($BC$6:BU1561) / $BY$4</f>
        <v>0.98252616278337435</v>
      </c>
      <c r="BZ1561" s="14">
        <f t="shared" si="100"/>
        <v>15</v>
      </c>
      <c r="CA1561" t="s">
        <v>5832</v>
      </c>
      <c r="CZ1561" t="s">
        <v>9518</v>
      </c>
      <c r="DA1561" t="s">
        <v>5904</v>
      </c>
      <c r="DB1561">
        <v>2199.5</v>
      </c>
      <c r="DC1561" t="s">
        <v>24758</v>
      </c>
      <c r="DD1561" t="s">
        <v>24759</v>
      </c>
      <c r="DE1561" t="s">
        <v>24760</v>
      </c>
      <c r="DF1561" t="s">
        <v>24761</v>
      </c>
      <c r="DG1561" t="s">
        <v>24762</v>
      </c>
      <c r="DH1561" t="str">
        <f>"SLK"</f>
        <v>SLK</v>
      </c>
      <c r="DI1561" t="s">
        <v>24763</v>
      </c>
      <c r="DJ1561" t="s">
        <v>13777</v>
      </c>
      <c r="DK1561">
        <v>9606</v>
      </c>
      <c r="DL1561" s="34" t="str">
        <f>HYPERLINK("http://www.uniprot.org/uniprot/Q9H2G2", "Q9H2G2")</f>
        <v>Q9H2G2</v>
      </c>
      <c r="DM1561" t="s">
        <v>24764</v>
      </c>
      <c r="DN1561" t="s">
        <v>17109</v>
      </c>
      <c r="DO1561" t="s">
        <v>13899</v>
      </c>
      <c r="DP1561" t="s">
        <v>13780</v>
      </c>
      <c r="DQ1561" t="s">
        <v>13772</v>
      </c>
      <c r="DR1561" t="s">
        <v>13772</v>
      </c>
      <c r="DS1561" t="s">
        <v>14245</v>
      </c>
      <c r="DT1561" t="s">
        <v>14005</v>
      </c>
      <c r="DU1561" t="s">
        <v>20891</v>
      </c>
      <c r="DV1561" t="s">
        <v>13782</v>
      </c>
      <c r="DW1561" t="s">
        <v>13812</v>
      </c>
      <c r="DX1561" t="s">
        <v>24765</v>
      </c>
      <c r="DY1561" t="s">
        <v>24766</v>
      </c>
      <c r="DZ1561" t="s">
        <v>24767</v>
      </c>
      <c r="EA1561" t="s">
        <v>13772</v>
      </c>
      <c r="EB1561" t="s">
        <v>13772</v>
      </c>
    </row>
    <row r="1562" spans="1:132" hidden="1">
      <c r="A1562">
        <v>1192</v>
      </c>
      <c r="B1562">
        <v>1</v>
      </c>
      <c r="C1562" t="s">
        <v>2861</v>
      </c>
      <c r="D1562" t="s">
        <v>73</v>
      </c>
      <c r="E1562" t="s">
        <v>73</v>
      </c>
      <c r="F1562" t="s">
        <v>73</v>
      </c>
      <c r="G1562" t="s">
        <v>73</v>
      </c>
      <c r="H1562">
        <v>18</v>
      </c>
      <c r="I1562">
        <v>189</v>
      </c>
      <c r="J1562">
        <v>21059</v>
      </c>
      <c r="K1562" t="s">
        <v>2862</v>
      </c>
      <c r="L1562">
        <f t="shared" si="98"/>
        <v>11</v>
      </c>
      <c r="N1562">
        <v>11</v>
      </c>
      <c r="O1562">
        <v>11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0</v>
      </c>
      <c r="AE1562">
        <v>4</v>
      </c>
      <c r="AF1562">
        <v>3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0</v>
      </c>
      <c r="AS1562">
        <v>0</v>
      </c>
      <c r="AT1562">
        <v>2</v>
      </c>
      <c r="AU1562">
        <v>0</v>
      </c>
      <c r="AV1562">
        <v>0</v>
      </c>
      <c r="AW1562">
        <v>0</v>
      </c>
      <c r="AX1562">
        <v>4</v>
      </c>
      <c r="AY1562">
        <v>3</v>
      </c>
      <c r="AZ1562">
        <v>0</v>
      </c>
      <c r="BA1562">
        <v>0</v>
      </c>
      <c r="BB156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2</v>
      </c>
      <c r="BK1562" s="2">
        <v>0</v>
      </c>
      <c r="BL1562" s="2">
        <v>0</v>
      </c>
      <c r="BM1562" s="2">
        <v>2</v>
      </c>
      <c r="BN1562" s="2">
        <v>0</v>
      </c>
      <c r="BO1562" s="2">
        <v>0</v>
      </c>
      <c r="BP1562" s="2">
        <v>0</v>
      </c>
      <c r="BQ1562" s="2">
        <v>4</v>
      </c>
      <c r="BR1562" s="2">
        <v>3</v>
      </c>
      <c r="BS1562" s="2">
        <v>0</v>
      </c>
      <c r="BT1562" s="2">
        <v>0</v>
      </c>
      <c r="BU1562" s="2">
        <v>0</v>
      </c>
      <c r="BV1562" s="2">
        <f t="shared" si="101"/>
        <v>11</v>
      </c>
      <c r="BW1562" s="16">
        <f t="shared" si="99"/>
        <v>0.57894736842105265</v>
      </c>
      <c r="BX1562" s="16">
        <f>COUNTIF($BC$6:BU1562, "=0") / COUNTIF($BC$6:BU1562, "&gt;-1")</f>
        <v>0.39468613730858937</v>
      </c>
      <c r="BY1562" s="18">
        <f>SUM($BC$6:BU1562) / $BY$4</f>
        <v>0.98257328278893008</v>
      </c>
      <c r="BZ1562" s="14">
        <f t="shared" si="100"/>
        <v>15</v>
      </c>
      <c r="CA1562" t="s">
        <v>5832</v>
      </c>
      <c r="CZ1562" t="s">
        <v>9696</v>
      </c>
      <c r="DA1562" t="s">
        <v>5904</v>
      </c>
      <c r="DB1562">
        <v>348.6</v>
      </c>
      <c r="DC1562" t="s">
        <v>25275</v>
      </c>
      <c r="DD1562" t="s">
        <v>25276</v>
      </c>
      <c r="DE1562" t="s">
        <v>25277</v>
      </c>
      <c r="DF1562" t="s">
        <v>25278</v>
      </c>
      <c r="DG1562" t="s">
        <v>25279</v>
      </c>
      <c r="DH1562" t="str">
        <f>"HEBP1"</f>
        <v>HEBP1</v>
      </c>
      <c r="DI1562" t="s">
        <v>25280</v>
      </c>
      <c r="DJ1562" t="s">
        <v>13777</v>
      </c>
      <c r="DK1562">
        <v>9606</v>
      </c>
      <c r="DL1562" s="34" t="str">
        <f>HYPERLINK("http://www.uniprot.org/uniprot/Q9NRV9", "Q9NRV9")</f>
        <v>Q9NRV9</v>
      </c>
      <c r="DM1562" t="s">
        <v>25281</v>
      </c>
      <c r="DN1562" t="s">
        <v>13772</v>
      </c>
      <c r="DO1562" t="s">
        <v>13899</v>
      </c>
      <c r="DP1562" t="s">
        <v>13793</v>
      </c>
      <c r="DQ1562" t="s">
        <v>13772</v>
      </c>
      <c r="DR1562" t="s">
        <v>13772</v>
      </c>
      <c r="DS1562" t="s">
        <v>13772</v>
      </c>
      <c r="DT1562" t="s">
        <v>13772</v>
      </c>
      <c r="DU1562" t="s">
        <v>13772</v>
      </c>
      <c r="DV1562" t="s">
        <v>13772</v>
      </c>
      <c r="DW1562" t="s">
        <v>13772</v>
      </c>
      <c r="DX1562" t="s">
        <v>25282</v>
      </c>
      <c r="DY1562" t="s">
        <v>25283</v>
      </c>
      <c r="DZ1562" t="s">
        <v>25284</v>
      </c>
      <c r="EA1562" t="s">
        <v>13772</v>
      </c>
      <c r="EB1562" t="s">
        <v>25285</v>
      </c>
    </row>
    <row r="1563" spans="1:132" hidden="1">
      <c r="A1563">
        <v>1260</v>
      </c>
      <c r="B1563">
        <v>1</v>
      </c>
      <c r="C1563" t="s">
        <v>3018</v>
      </c>
      <c r="D1563" t="s">
        <v>3019</v>
      </c>
      <c r="E1563" t="s">
        <v>73</v>
      </c>
      <c r="F1563" t="s">
        <v>73</v>
      </c>
      <c r="G1563" t="s">
        <v>73</v>
      </c>
      <c r="H1563">
        <v>29.2</v>
      </c>
      <c r="I1563">
        <v>264</v>
      </c>
      <c r="J1563">
        <v>29982</v>
      </c>
      <c r="K1563" t="s">
        <v>3020</v>
      </c>
      <c r="L1563">
        <f t="shared" si="98"/>
        <v>11</v>
      </c>
      <c r="N1563">
        <v>11</v>
      </c>
      <c r="O1563">
        <v>11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6</v>
      </c>
      <c r="AF1563">
        <v>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6</v>
      </c>
      <c r="AY1563">
        <v>3</v>
      </c>
      <c r="AZ1563">
        <v>0</v>
      </c>
      <c r="BA1563">
        <v>0</v>
      </c>
      <c r="BB1563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1</v>
      </c>
      <c r="BL1563" s="2">
        <v>0</v>
      </c>
      <c r="BM1563" s="2">
        <v>1</v>
      </c>
      <c r="BN1563" s="2">
        <v>0</v>
      </c>
      <c r="BO1563" s="2">
        <v>0</v>
      </c>
      <c r="BP1563" s="2">
        <v>0</v>
      </c>
      <c r="BQ1563" s="2">
        <v>6</v>
      </c>
      <c r="BR1563" s="2">
        <v>3</v>
      </c>
      <c r="BS1563" s="2">
        <v>0</v>
      </c>
      <c r="BT1563" s="2">
        <v>0</v>
      </c>
      <c r="BU1563" s="2">
        <v>0</v>
      </c>
      <c r="BV1563" s="2">
        <f t="shared" si="101"/>
        <v>11</v>
      </c>
      <c r="BW1563" s="16">
        <f t="shared" si="99"/>
        <v>0.57894736842105265</v>
      </c>
      <c r="BX1563" s="16">
        <f>COUNTIF($BC$6:BU1563, "=0") / COUNTIF($BC$6:BU1563, "&gt;-1")</f>
        <v>0.39493953111276264</v>
      </c>
      <c r="BY1563" s="18">
        <f>SUM($BC$6:BU1563) / $BY$4</f>
        <v>0.9826204027944857</v>
      </c>
      <c r="BZ1563" s="14">
        <f t="shared" si="100"/>
        <v>15</v>
      </c>
      <c r="CA1563" t="s">
        <v>5832</v>
      </c>
      <c r="CZ1563" t="s">
        <v>9927</v>
      </c>
      <c r="DA1563" t="s">
        <v>5904</v>
      </c>
      <c r="DB1563">
        <v>513.1</v>
      </c>
      <c r="DC1563" t="s">
        <v>25935</v>
      </c>
      <c r="DD1563" t="s">
        <v>25936</v>
      </c>
      <c r="DE1563" t="s">
        <v>25937</v>
      </c>
      <c r="DF1563" t="s">
        <v>25938</v>
      </c>
      <c r="DG1563" t="s">
        <v>25939</v>
      </c>
      <c r="DH1563" t="str">
        <f>"MYOZ2"</f>
        <v>MYOZ2</v>
      </c>
      <c r="DI1563" t="s">
        <v>13772</v>
      </c>
      <c r="DJ1563" t="s">
        <v>13777</v>
      </c>
      <c r="DK1563">
        <v>9606</v>
      </c>
      <c r="DL1563" s="34" t="str">
        <f>HYPERLINK("http://www.uniprot.org/uniprot/Q9NPC6", "Q9NPC6")</f>
        <v>Q9NPC6</v>
      </c>
      <c r="DM1563" t="s">
        <v>25940</v>
      </c>
      <c r="DN1563" t="s">
        <v>13772</v>
      </c>
      <c r="DO1563" t="s">
        <v>13899</v>
      </c>
      <c r="DP1563" t="s">
        <v>13772</v>
      </c>
      <c r="DQ1563" t="s">
        <v>13772</v>
      </c>
      <c r="DR1563" t="s">
        <v>14848</v>
      </c>
      <c r="DS1563" t="s">
        <v>13772</v>
      </c>
      <c r="DT1563" t="s">
        <v>13772</v>
      </c>
      <c r="DU1563" t="s">
        <v>13772</v>
      </c>
      <c r="DV1563" t="s">
        <v>14478</v>
      </c>
      <c r="DW1563" t="s">
        <v>13772</v>
      </c>
      <c r="DX1563" t="s">
        <v>25941</v>
      </c>
      <c r="DY1563" t="s">
        <v>25942</v>
      </c>
      <c r="DZ1563" t="s">
        <v>25943</v>
      </c>
      <c r="EA1563" t="s">
        <v>13772</v>
      </c>
      <c r="EB1563" t="s">
        <v>13772</v>
      </c>
    </row>
    <row r="1564" spans="1:132" hidden="1">
      <c r="A1564">
        <v>1272</v>
      </c>
      <c r="B1564">
        <v>1</v>
      </c>
      <c r="C1564" t="s">
        <v>3051</v>
      </c>
      <c r="D1564" t="s">
        <v>3052</v>
      </c>
      <c r="E1564" t="s">
        <v>73</v>
      </c>
      <c r="F1564" t="s">
        <v>73</v>
      </c>
      <c r="G1564" t="s">
        <v>73</v>
      </c>
      <c r="H1564">
        <v>24.9</v>
      </c>
      <c r="I1564">
        <v>297</v>
      </c>
      <c r="J1564">
        <v>34389</v>
      </c>
      <c r="K1564" t="s">
        <v>3053</v>
      </c>
      <c r="L1564">
        <f t="shared" si="98"/>
        <v>11</v>
      </c>
      <c r="N1564">
        <v>11</v>
      </c>
      <c r="O1564">
        <v>11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5</v>
      </c>
      <c r="AC1564">
        <v>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5</v>
      </c>
      <c r="AV1564">
        <v>3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2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1</v>
      </c>
      <c r="BN1564" s="2">
        <v>5</v>
      </c>
      <c r="BO1564" s="2">
        <v>3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f t="shared" si="101"/>
        <v>11</v>
      </c>
      <c r="BW1564" s="16">
        <f t="shared" si="99"/>
        <v>0.57894736842105265</v>
      </c>
      <c r="BX1564" s="16">
        <f>COUNTIF($BC$6:BU1564, "=0") / COUNTIF($BC$6:BU1564, "&gt;-1")</f>
        <v>0.39519259984470478</v>
      </c>
      <c r="BY1564" s="18">
        <f>SUM($BC$6:BU1564) / $BY$4</f>
        <v>0.98266752280004144</v>
      </c>
      <c r="BZ1564" s="14">
        <f t="shared" si="100"/>
        <v>15</v>
      </c>
      <c r="CA1564" t="s">
        <v>5832</v>
      </c>
      <c r="CZ1564" t="s">
        <v>9974</v>
      </c>
      <c r="DA1564" t="s">
        <v>5904</v>
      </c>
      <c r="DB1564">
        <v>614.4</v>
      </c>
      <c r="DC1564" t="s">
        <v>26059</v>
      </c>
      <c r="DD1564" t="s">
        <v>26060</v>
      </c>
      <c r="DE1564" t="s">
        <v>26061</v>
      </c>
      <c r="DF1564" t="s">
        <v>26062</v>
      </c>
      <c r="DG1564" t="s">
        <v>26063</v>
      </c>
      <c r="DH1564" t="str">
        <f>"RPL5"</f>
        <v>RPL5</v>
      </c>
      <c r="DI1564" t="s">
        <v>13772</v>
      </c>
      <c r="DJ1564" t="s">
        <v>13777</v>
      </c>
      <c r="DK1564">
        <v>9606</v>
      </c>
      <c r="DL1564" s="34" t="str">
        <f>HYPERLINK("http://www.uniprot.org/uniprot/P46777", "P46777")</f>
        <v>P46777</v>
      </c>
      <c r="DM1564" t="s">
        <v>26064</v>
      </c>
      <c r="DN1564" t="s">
        <v>13772</v>
      </c>
      <c r="DO1564" t="s">
        <v>13912</v>
      </c>
      <c r="DP1564" t="s">
        <v>13793</v>
      </c>
      <c r="DQ1564" t="s">
        <v>13772</v>
      </c>
      <c r="DR1564" t="s">
        <v>25161</v>
      </c>
      <c r="DS1564" t="s">
        <v>13772</v>
      </c>
      <c r="DT1564" t="s">
        <v>13772</v>
      </c>
      <c r="DU1564" t="s">
        <v>26065</v>
      </c>
      <c r="DV1564" t="s">
        <v>13991</v>
      </c>
      <c r="DW1564" t="s">
        <v>13812</v>
      </c>
      <c r="DX1564" t="s">
        <v>26066</v>
      </c>
      <c r="DY1564" t="s">
        <v>26067</v>
      </c>
      <c r="DZ1564" t="s">
        <v>26068</v>
      </c>
      <c r="EA1564" t="s">
        <v>13772</v>
      </c>
      <c r="EB1564" t="s">
        <v>13942</v>
      </c>
    </row>
    <row r="1565" spans="1:132" hidden="1">
      <c r="A1565">
        <v>1279</v>
      </c>
      <c r="B1565">
        <v>1</v>
      </c>
      <c r="C1565" t="s">
        <v>3068</v>
      </c>
      <c r="D1565" t="s">
        <v>73</v>
      </c>
      <c r="E1565" t="s">
        <v>73</v>
      </c>
      <c r="F1565" t="s">
        <v>73</v>
      </c>
      <c r="G1565" t="s">
        <v>73</v>
      </c>
      <c r="H1565">
        <v>35.6</v>
      </c>
      <c r="I1565">
        <v>73</v>
      </c>
      <c r="J1565">
        <v>8227</v>
      </c>
      <c r="K1565" t="s">
        <v>3069</v>
      </c>
      <c r="L1565">
        <f t="shared" si="98"/>
        <v>11</v>
      </c>
      <c r="N1565">
        <v>11</v>
      </c>
      <c r="O1565">
        <v>11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0</v>
      </c>
      <c r="AA1565">
        <v>2</v>
      </c>
      <c r="AB1565">
        <v>2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</v>
      </c>
      <c r="AS1565">
        <v>0</v>
      </c>
      <c r="AT1565">
        <v>2</v>
      </c>
      <c r="AU1565">
        <v>2</v>
      </c>
      <c r="AV1565">
        <v>0</v>
      </c>
      <c r="AW1565">
        <v>0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5</v>
      </c>
      <c r="BL1565" s="2">
        <v>0</v>
      </c>
      <c r="BM1565" s="2">
        <v>2</v>
      </c>
      <c r="BN1565" s="2">
        <v>2</v>
      </c>
      <c r="BO1565" s="2">
        <v>0</v>
      </c>
      <c r="BP1565" s="2">
        <v>0</v>
      </c>
      <c r="BQ1565" s="2">
        <v>1</v>
      </c>
      <c r="BR1565" s="2">
        <v>1</v>
      </c>
      <c r="BS1565" s="2">
        <v>0</v>
      </c>
      <c r="BT1565" s="2">
        <v>0</v>
      </c>
      <c r="BU1565" s="2">
        <v>0</v>
      </c>
      <c r="BV1565" s="2">
        <f t="shared" si="101"/>
        <v>11</v>
      </c>
      <c r="BW1565" s="16">
        <f t="shared" si="99"/>
        <v>0.57894736842105265</v>
      </c>
      <c r="BX1565" s="16">
        <f>COUNTIF($BC$6:BU1565, "=0") / COUNTIF($BC$6:BU1565, "&gt;-1")</f>
        <v>0.39541160593792174</v>
      </c>
      <c r="BY1565" s="18">
        <f>SUM($BC$6:BU1565) / $BY$4</f>
        <v>0.98271464280559717</v>
      </c>
      <c r="BZ1565" s="14">
        <f t="shared" si="100"/>
        <v>14</v>
      </c>
      <c r="CA1565" t="s">
        <v>5832</v>
      </c>
      <c r="CZ1565" t="s">
        <v>9999</v>
      </c>
      <c r="DA1565" t="s">
        <v>5904</v>
      </c>
      <c r="DB1565">
        <v>145.19999999999999</v>
      </c>
      <c r="DC1565" t="s">
        <v>26138</v>
      </c>
      <c r="DD1565" t="s">
        <v>26139</v>
      </c>
      <c r="DE1565" t="s">
        <v>26140</v>
      </c>
      <c r="DF1565" t="s">
        <v>26141</v>
      </c>
      <c r="DG1565" t="s">
        <v>26142</v>
      </c>
      <c r="DH1565" t="str">
        <f>"HOPX"</f>
        <v>HOPX</v>
      </c>
      <c r="DI1565" t="s">
        <v>26143</v>
      </c>
      <c r="DJ1565" t="s">
        <v>13777</v>
      </c>
      <c r="DK1565">
        <v>9606</v>
      </c>
      <c r="DL1565" s="34" t="str">
        <f>HYPERLINK("http://www.uniprot.org/uniprot/Q9BPY8", "Q9BPY8")</f>
        <v>Q9BPY8</v>
      </c>
      <c r="DM1565" t="s">
        <v>26144</v>
      </c>
      <c r="DN1565" t="s">
        <v>14445</v>
      </c>
      <c r="DO1565" t="s">
        <v>13912</v>
      </c>
      <c r="DP1565" t="s">
        <v>13841</v>
      </c>
      <c r="DQ1565" t="s">
        <v>13772</v>
      </c>
      <c r="DR1565" t="s">
        <v>14244</v>
      </c>
      <c r="DS1565" t="s">
        <v>26145</v>
      </c>
      <c r="DT1565" t="s">
        <v>13772</v>
      </c>
      <c r="DU1565" t="s">
        <v>26146</v>
      </c>
      <c r="DV1565" t="s">
        <v>13772</v>
      </c>
      <c r="DW1565" t="s">
        <v>13772</v>
      </c>
      <c r="DX1565" t="s">
        <v>26147</v>
      </c>
      <c r="DY1565" t="s">
        <v>23727</v>
      </c>
      <c r="DZ1565" t="s">
        <v>26148</v>
      </c>
      <c r="EA1565" t="s">
        <v>13772</v>
      </c>
      <c r="EB1565" t="s">
        <v>13772</v>
      </c>
    </row>
    <row r="1566" spans="1:132" hidden="1">
      <c r="A1566">
        <v>1397</v>
      </c>
      <c r="B1566">
        <v>1</v>
      </c>
      <c r="C1566" t="s">
        <v>3337</v>
      </c>
      <c r="D1566" t="s">
        <v>73</v>
      </c>
      <c r="E1566" t="s">
        <v>73</v>
      </c>
      <c r="F1566" t="s">
        <v>73</v>
      </c>
      <c r="G1566" t="s">
        <v>73</v>
      </c>
      <c r="H1566">
        <v>38.799999999999997</v>
      </c>
      <c r="I1566">
        <v>152</v>
      </c>
      <c r="J1566">
        <v>17718</v>
      </c>
      <c r="K1566" t="s">
        <v>3338</v>
      </c>
      <c r="L1566">
        <f t="shared" si="98"/>
        <v>11</v>
      </c>
      <c r="N1566">
        <v>11</v>
      </c>
      <c r="O1566">
        <v>11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6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</v>
      </c>
      <c r="AU1566">
        <v>6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3</v>
      </c>
      <c r="BN1566" s="2">
        <v>6</v>
      </c>
      <c r="BO1566" s="2">
        <v>1</v>
      </c>
      <c r="BP1566" s="2">
        <v>0</v>
      </c>
      <c r="BQ1566" s="2">
        <v>0</v>
      </c>
      <c r="BR1566" s="2">
        <v>0</v>
      </c>
      <c r="BS1566" s="2">
        <v>1</v>
      </c>
      <c r="BT1566" s="2">
        <v>0</v>
      </c>
      <c r="BU1566" s="2">
        <v>0</v>
      </c>
      <c r="BV1566" s="2">
        <f t="shared" si="101"/>
        <v>11</v>
      </c>
      <c r="BW1566" s="16">
        <f t="shared" si="99"/>
        <v>0.57894736842105265</v>
      </c>
      <c r="BX1566" s="16">
        <f>COUNTIF($BC$6:BU1566, "=0") / COUNTIF($BC$6:BU1566, "&gt;-1")</f>
        <v>0.39566404801240768</v>
      </c>
      <c r="BY1566" s="18">
        <f>SUM($BC$6:BU1566) / $BY$4</f>
        <v>0.98276176281115291</v>
      </c>
      <c r="BZ1566" s="14">
        <f t="shared" si="100"/>
        <v>15</v>
      </c>
      <c r="CA1566" t="s">
        <v>5832</v>
      </c>
      <c r="CZ1566" t="s">
        <v>10401</v>
      </c>
      <c r="DA1566" t="s">
        <v>5904</v>
      </c>
      <c r="DB1566">
        <v>307.39999999999998</v>
      </c>
      <c r="DC1566" t="s">
        <v>27265</v>
      </c>
      <c r="DD1566" t="s">
        <v>27266</v>
      </c>
      <c r="DE1566" t="s">
        <v>27267</v>
      </c>
      <c r="DF1566" t="s">
        <v>27268</v>
      </c>
      <c r="DG1566" t="s">
        <v>27269</v>
      </c>
      <c r="DH1566" t="str">
        <f>"RPS18"</f>
        <v>RPS18</v>
      </c>
      <c r="DI1566" t="s">
        <v>27270</v>
      </c>
      <c r="DJ1566" t="s">
        <v>13777</v>
      </c>
      <c r="DK1566">
        <v>9606</v>
      </c>
      <c r="DL1566" s="34" t="str">
        <f>HYPERLINK("http://www.uniprot.org/uniprot/P62269", "P62269")</f>
        <v>P62269</v>
      </c>
      <c r="DM1566" t="s">
        <v>27271</v>
      </c>
      <c r="DN1566" t="s">
        <v>13772</v>
      </c>
      <c r="DO1566" t="s">
        <v>13899</v>
      </c>
      <c r="DP1566" t="s">
        <v>13772</v>
      </c>
      <c r="DQ1566" t="s">
        <v>13772</v>
      </c>
      <c r="DR1566" t="s">
        <v>13772</v>
      </c>
      <c r="DS1566" t="s">
        <v>13772</v>
      </c>
      <c r="DT1566" t="s">
        <v>13772</v>
      </c>
      <c r="DU1566" t="s">
        <v>26065</v>
      </c>
      <c r="DV1566" t="s">
        <v>14312</v>
      </c>
      <c r="DW1566" t="s">
        <v>13812</v>
      </c>
      <c r="DX1566" t="s">
        <v>15972</v>
      </c>
      <c r="DY1566" t="s">
        <v>27272</v>
      </c>
      <c r="DZ1566" t="s">
        <v>27273</v>
      </c>
      <c r="EA1566" t="s">
        <v>13772</v>
      </c>
      <c r="EB1566" t="s">
        <v>17828</v>
      </c>
    </row>
    <row r="1567" spans="1:132" hidden="1">
      <c r="A1567">
        <v>1422</v>
      </c>
      <c r="B1567">
        <v>1</v>
      </c>
      <c r="C1567" t="s">
        <v>3391</v>
      </c>
      <c r="D1567" t="s">
        <v>73</v>
      </c>
      <c r="E1567" t="s">
        <v>73</v>
      </c>
      <c r="F1567" t="s">
        <v>73</v>
      </c>
      <c r="G1567" t="s">
        <v>73</v>
      </c>
      <c r="H1567">
        <v>9.6</v>
      </c>
      <c r="I1567">
        <v>261</v>
      </c>
      <c r="J1567">
        <v>29682</v>
      </c>
      <c r="K1567" t="s">
        <v>3392</v>
      </c>
      <c r="L1567">
        <f t="shared" si="98"/>
        <v>11</v>
      </c>
      <c r="N1567">
        <v>11</v>
      </c>
      <c r="O1567">
        <v>11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1</v>
      </c>
      <c r="AB1567">
        <v>1</v>
      </c>
      <c r="AC1567">
        <v>2</v>
      </c>
      <c r="AD1567">
        <v>0</v>
      </c>
      <c r="AE1567">
        <v>2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2</v>
      </c>
      <c r="AO1567">
        <v>0</v>
      </c>
      <c r="AP1567">
        <v>0</v>
      </c>
      <c r="AQ1567">
        <v>0</v>
      </c>
      <c r="AR1567">
        <v>2</v>
      </c>
      <c r="AS1567">
        <v>0</v>
      </c>
      <c r="AT1567">
        <v>1</v>
      </c>
      <c r="AU1567">
        <v>1</v>
      </c>
      <c r="AV1567">
        <v>2</v>
      </c>
      <c r="AW1567">
        <v>0</v>
      </c>
      <c r="AX1567">
        <v>2</v>
      </c>
      <c r="AY1567">
        <v>0</v>
      </c>
      <c r="AZ1567">
        <v>0</v>
      </c>
      <c r="BA1567">
        <v>0</v>
      </c>
      <c r="BB1567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2</v>
      </c>
      <c r="BH1567" s="2">
        <v>0</v>
      </c>
      <c r="BI1567" s="2">
        <v>0</v>
      </c>
      <c r="BJ1567" s="2">
        <v>0</v>
      </c>
      <c r="BK1567" s="2">
        <v>2</v>
      </c>
      <c r="BL1567" s="2">
        <v>0</v>
      </c>
      <c r="BM1567" s="2">
        <v>1</v>
      </c>
      <c r="BN1567" s="2">
        <v>1</v>
      </c>
      <c r="BO1567" s="2">
        <v>2</v>
      </c>
      <c r="BP1567" s="2">
        <v>0</v>
      </c>
      <c r="BQ1567" s="2">
        <v>2</v>
      </c>
      <c r="BR1567" s="2">
        <v>0</v>
      </c>
      <c r="BS1567" s="2">
        <v>0</v>
      </c>
      <c r="BT1567" s="2">
        <v>0</v>
      </c>
      <c r="BU1567" s="2">
        <v>1</v>
      </c>
      <c r="BV1567" s="2">
        <f t="shared" si="101"/>
        <v>11</v>
      </c>
      <c r="BW1567" s="16">
        <f t="shared" si="99"/>
        <v>0.57894736842105265</v>
      </c>
      <c r="BX1567" s="16">
        <f>COUNTIF($BC$6:BU1567, "=0") / COUNTIF($BC$6:BU1567, "&gt;-1")</f>
        <v>0.3958150818788328</v>
      </c>
      <c r="BY1567" s="18">
        <f>SUM($BC$6:BU1567) / $BY$4</f>
        <v>0.98280888281670853</v>
      </c>
      <c r="BZ1567" s="14">
        <f t="shared" si="100"/>
        <v>12</v>
      </c>
      <c r="CA1567" t="s">
        <v>5832</v>
      </c>
      <c r="CZ1567" t="s">
        <v>10475</v>
      </c>
      <c r="DA1567" t="s">
        <v>5904</v>
      </c>
      <c r="DB1567">
        <v>458.4</v>
      </c>
      <c r="DC1567" t="s">
        <v>27467</v>
      </c>
      <c r="DD1567" t="s">
        <v>13772</v>
      </c>
      <c r="DE1567" t="s">
        <v>27468</v>
      </c>
      <c r="DF1567" t="s">
        <v>27469</v>
      </c>
      <c r="DG1567" t="s">
        <v>27470</v>
      </c>
      <c r="DH1567" t="str">
        <f>"STX7"</f>
        <v>STX7</v>
      </c>
      <c r="DI1567" t="s">
        <v>13772</v>
      </c>
      <c r="DJ1567" t="s">
        <v>13777</v>
      </c>
      <c r="DK1567">
        <v>9606</v>
      </c>
      <c r="DL1567" s="34" t="str">
        <f>HYPERLINK("http://www.uniprot.org/uniprot/O15400", "O15400")</f>
        <v>O15400</v>
      </c>
      <c r="DM1567" t="s">
        <v>27471</v>
      </c>
      <c r="DN1567" t="s">
        <v>13772</v>
      </c>
      <c r="DO1567" t="s">
        <v>13779</v>
      </c>
      <c r="DP1567" t="s">
        <v>13841</v>
      </c>
      <c r="DQ1567" t="s">
        <v>13772</v>
      </c>
      <c r="DR1567" t="s">
        <v>13772</v>
      </c>
      <c r="DS1567" t="s">
        <v>15628</v>
      </c>
      <c r="DT1567" t="s">
        <v>13772</v>
      </c>
      <c r="DU1567" t="s">
        <v>13772</v>
      </c>
      <c r="DV1567" t="s">
        <v>13886</v>
      </c>
      <c r="DW1567" t="s">
        <v>13772</v>
      </c>
      <c r="DX1567" t="s">
        <v>27472</v>
      </c>
      <c r="DY1567" t="s">
        <v>27473</v>
      </c>
      <c r="DZ1567" t="s">
        <v>27474</v>
      </c>
      <c r="EA1567" t="s">
        <v>13772</v>
      </c>
      <c r="EB1567" t="s">
        <v>13772</v>
      </c>
    </row>
    <row r="1568" spans="1:132" hidden="1">
      <c r="A1568">
        <v>1423</v>
      </c>
      <c r="B1568">
        <v>1</v>
      </c>
      <c r="C1568" t="s">
        <v>3393</v>
      </c>
      <c r="D1568" t="s">
        <v>73</v>
      </c>
      <c r="E1568" t="s">
        <v>73</v>
      </c>
      <c r="F1568" t="s">
        <v>73</v>
      </c>
      <c r="G1568" t="s">
        <v>73</v>
      </c>
      <c r="H1568">
        <v>57.6</v>
      </c>
      <c r="I1568">
        <v>132</v>
      </c>
      <c r="J1568">
        <v>14927</v>
      </c>
      <c r="K1568" t="s">
        <v>3394</v>
      </c>
      <c r="L1568">
        <f t="shared" si="98"/>
        <v>11</v>
      </c>
      <c r="N1568">
        <v>11</v>
      </c>
      <c r="O1568">
        <v>11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>
        <v>0</v>
      </c>
      <c r="Z1568">
        <v>0</v>
      </c>
      <c r="AA1568">
        <v>2</v>
      </c>
      <c r="AB1568">
        <v>0</v>
      </c>
      <c r="AC1568">
        <v>0</v>
      </c>
      <c r="AD1568">
        <v>0</v>
      </c>
      <c r="AE1568">
        <v>1</v>
      </c>
      <c r="AF1568">
        <v>2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5</v>
      </c>
      <c r="AR1568">
        <v>0</v>
      </c>
      <c r="AS1568">
        <v>0</v>
      </c>
      <c r="AT1568">
        <v>2</v>
      </c>
      <c r="AU1568">
        <v>0</v>
      </c>
      <c r="AV1568">
        <v>0</v>
      </c>
      <c r="AW1568">
        <v>0</v>
      </c>
      <c r="AX1568">
        <v>1</v>
      </c>
      <c r="AY1568">
        <v>2</v>
      </c>
      <c r="AZ1568">
        <v>1</v>
      </c>
      <c r="BA1568">
        <v>0</v>
      </c>
      <c r="BB1568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5</v>
      </c>
      <c r="BK1568" s="2">
        <v>0</v>
      </c>
      <c r="BL1568" s="2">
        <v>0</v>
      </c>
      <c r="BM1568" s="2">
        <v>2</v>
      </c>
      <c r="BN1568" s="2">
        <v>0</v>
      </c>
      <c r="BO1568" s="2">
        <v>0</v>
      </c>
      <c r="BP1568" s="2">
        <v>0</v>
      </c>
      <c r="BQ1568" s="2">
        <v>1</v>
      </c>
      <c r="BR1568" s="2">
        <v>2</v>
      </c>
      <c r="BS1568" s="2">
        <v>1</v>
      </c>
      <c r="BT1568" s="2">
        <v>0</v>
      </c>
      <c r="BU1568" s="2">
        <v>0</v>
      </c>
      <c r="BV1568" s="2">
        <f t="shared" si="101"/>
        <v>11</v>
      </c>
      <c r="BW1568" s="16">
        <f t="shared" si="99"/>
        <v>0.57894736842105265</v>
      </c>
      <c r="BX1568" s="16">
        <f>COUNTIF($BC$6:BU1568, "=0") / COUNTIF($BC$6:BU1568, "&gt;-1")</f>
        <v>0.39603326935380678</v>
      </c>
      <c r="BY1568" s="18">
        <f>SUM($BC$6:BU1568) / $BY$4</f>
        <v>0.98285600282226426</v>
      </c>
      <c r="BZ1568" s="14">
        <f t="shared" si="100"/>
        <v>14</v>
      </c>
      <c r="CA1568" t="s">
        <v>5832</v>
      </c>
      <c r="CZ1568" t="s">
        <v>10478</v>
      </c>
      <c r="DA1568" t="s">
        <v>5904</v>
      </c>
      <c r="DB1568">
        <v>260.39999999999998</v>
      </c>
      <c r="DC1568" t="s">
        <v>27475</v>
      </c>
      <c r="DD1568" t="s">
        <v>27476</v>
      </c>
      <c r="DE1568" t="s">
        <v>27477</v>
      </c>
      <c r="DF1568" t="s">
        <v>27478</v>
      </c>
      <c r="DG1568" t="s">
        <v>27479</v>
      </c>
      <c r="DH1568" t="str">
        <f>"FABP7"</f>
        <v>FABP7</v>
      </c>
      <c r="DI1568" t="s">
        <v>27480</v>
      </c>
      <c r="DJ1568" t="s">
        <v>13777</v>
      </c>
      <c r="DK1568">
        <v>9606</v>
      </c>
      <c r="DL1568" s="34" t="str">
        <f>HYPERLINK("http://www.uniprot.org/uniprot/O15540", "O15540")</f>
        <v>O15540</v>
      </c>
      <c r="DM1568" t="s">
        <v>27481</v>
      </c>
      <c r="DN1568" t="s">
        <v>14192</v>
      </c>
      <c r="DO1568" t="s">
        <v>13899</v>
      </c>
      <c r="DP1568" t="s">
        <v>13780</v>
      </c>
      <c r="DQ1568" t="s">
        <v>13772</v>
      </c>
      <c r="DR1568" t="s">
        <v>13772</v>
      </c>
      <c r="DS1568" t="s">
        <v>13772</v>
      </c>
      <c r="DT1568" t="s">
        <v>13900</v>
      </c>
      <c r="DU1568" t="s">
        <v>13772</v>
      </c>
      <c r="DV1568" t="s">
        <v>14020</v>
      </c>
      <c r="DW1568" t="s">
        <v>13812</v>
      </c>
      <c r="DX1568" t="s">
        <v>27482</v>
      </c>
      <c r="DY1568" t="s">
        <v>27483</v>
      </c>
      <c r="DZ1568" t="s">
        <v>16160</v>
      </c>
      <c r="EA1568" t="s">
        <v>13772</v>
      </c>
      <c r="EB1568" t="s">
        <v>27484</v>
      </c>
    </row>
    <row r="1569" spans="1:132" hidden="1">
      <c r="A1569">
        <v>1427</v>
      </c>
      <c r="B1569">
        <v>1</v>
      </c>
      <c r="C1569" t="s">
        <v>3401</v>
      </c>
      <c r="D1569" t="s">
        <v>3402</v>
      </c>
      <c r="E1569" t="s">
        <v>73</v>
      </c>
      <c r="F1569" t="s">
        <v>73</v>
      </c>
      <c r="G1569" t="s">
        <v>73</v>
      </c>
      <c r="H1569">
        <v>24</v>
      </c>
      <c r="I1569">
        <v>296</v>
      </c>
      <c r="J1569">
        <v>31007</v>
      </c>
      <c r="K1569" t="s">
        <v>3403</v>
      </c>
      <c r="L1569">
        <f t="shared" si="98"/>
        <v>11</v>
      </c>
      <c r="N1569">
        <v>11</v>
      </c>
      <c r="O1569">
        <v>11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4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</v>
      </c>
      <c r="AU1569">
        <v>4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4</v>
      </c>
      <c r="BN1569" s="2">
        <v>4</v>
      </c>
      <c r="BO1569" s="2">
        <v>1</v>
      </c>
      <c r="BP1569" s="2">
        <v>0</v>
      </c>
      <c r="BQ1569" s="2">
        <v>1</v>
      </c>
      <c r="BR1569" s="2">
        <v>0</v>
      </c>
      <c r="BS1569" s="2">
        <v>0</v>
      </c>
      <c r="BT1569" s="2">
        <v>0</v>
      </c>
      <c r="BU1569" s="2">
        <v>0</v>
      </c>
      <c r="BV1569" s="2">
        <f t="shared" si="101"/>
        <v>11</v>
      </c>
      <c r="BW1569" s="16">
        <f t="shared" si="99"/>
        <v>0.57894736842105265</v>
      </c>
      <c r="BX1569" s="16">
        <f>COUNTIF($BC$6:BU1569, "=0") / COUNTIF($BC$6:BU1569, "&gt;-1")</f>
        <v>0.39625117781666441</v>
      </c>
      <c r="BY1569" s="18">
        <f>SUM($BC$6:BU1569) / $BY$4</f>
        <v>0.98290312282782</v>
      </c>
      <c r="BZ1569" s="14">
        <f t="shared" si="100"/>
        <v>14</v>
      </c>
      <c r="CA1569" t="s">
        <v>5832</v>
      </c>
      <c r="CZ1569" t="s">
        <v>10491</v>
      </c>
      <c r="DA1569" t="s">
        <v>5904</v>
      </c>
      <c r="DB1569">
        <v>559.29999999999995</v>
      </c>
      <c r="DC1569" t="s">
        <v>27511</v>
      </c>
      <c r="DD1569" t="s">
        <v>27512</v>
      </c>
      <c r="DE1569" t="s">
        <v>27513</v>
      </c>
      <c r="DF1569" t="s">
        <v>27514</v>
      </c>
      <c r="DG1569" t="s">
        <v>27515</v>
      </c>
      <c r="DH1569" t="str">
        <f>"RPS2"</f>
        <v>RPS2</v>
      </c>
      <c r="DI1569" t="s">
        <v>27516</v>
      </c>
      <c r="DJ1569" t="s">
        <v>13777</v>
      </c>
      <c r="DK1569">
        <v>9606</v>
      </c>
      <c r="DL1569" s="34" t="str">
        <f>HYPERLINK("http://www.uniprot.org/uniprot/P15880", "P15880")</f>
        <v>P15880</v>
      </c>
      <c r="DM1569" t="s">
        <v>27517</v>
      </c>
      <c r="DN1569" t="s">
        <v>13772</v>
      </c>
      <c r="DO1569" t="s">
        <v>13772</v>
      </c>
      <c r="DP1569" t="s">
        <v>13772</v>
      </c>
      <c r="DQ1569" t="s">
        <v>13772</v>
      </c>
      <c r="DR1569" t="s">
        <v>13772</v>
      </c>
      <c r="DS1569" t="s">
        <v>14096</v>
      </c>
      <c r="DT1569" t="s">
        <v>13772</v>
      </c>
      <c r="DU1569" t="s">
        <v>13937</v>
      </c>
      <c r="DV1569" t="s">
        <v>22883</v>
      </c>
      <c r="DW1569" t="s">
        <v>13812</v>
      </c>
      <c r="DX1569" t="s">
        <v>27518</v>
      </c>
      <c r="DY1569" t="s">
        <v>27519</v>
      </c>
      <c r="DZ1569" t="s">
        <v>27520</v>
      </c>
      <c r="EA1569" t="s">
        <v>13772</v>
      </c>
      <c r="EB1569" t="s">
        <v>27521</v>
      </c>
    </row>
    <row r="1570" spans="1:132" hidden="1">
      <c r="A1570">
        <v>1511</v>
      </c>
      <c r="B1570">
        <v>1</v>
      </c>
      <c r="C1570" t="s">
        <v>3596</v>
      </c>
      <c r="D1570" t="s">
        <v>73</v>
      </c>
      <c r="E1570" t="s">
        <v>73</v>
      </c>
      <c r="F1570" t="s">
        <v>73</v>
      </c>
      <c r="G1570" t="s">
        <v>73</v>
      </c>
      <c r="H1570">
        <v>18.3</v>
      </c>
      <c r="I1570">
        <v>323</v>
      </c>
      <c r="J1570">
        <v>34967</v>
      </c>
      <c r="K1570" t="s">
        <v>3597</v>
      </c>
      <c r="L1570">
        <f t="shared" si="98"/>
        <v>11</v>
      </c>
      <c r="N1570">
        <v>11</v>
      </c>
      <c r="O1570">
        <v>11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2</v>
      </c>
      <c r="X1570">
        <v>4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2</v>
      </c>
      <c r="AO1570">
        <v>0</v>
      </c>
      <c r="AP1570">
        <v>2</v>
      </c>
      <c r="AQ1570">
        <v>4</v>
      </c>
      <c r="AR1570">
        <v>0</v>
      </c>
      <c r="AS1570">
        <v>0</v>
      </c>
      <c r="AT1570">
        <v>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 s="2">
        <v>1</v>
      </c>
      <c r="BD1570" s="2">
        <v>0</v>
      </c>
      <c r="BE1570" s="2">
        <v>0</v>
      </c>
      <c r="BF1570" s="2">
        <v>0</v>
      </c>
      <c r="BG1570" s="2">
        <v>2</v>
      </c>
      <c r="BH1570" s="2">
        <v>0</v>
      </c>
      <c r="BI1570" s="2">
        <v>2</v>
      </c>
      <c r="BJ1570" s="2">
        <v>4</v>
      </c>
      <c r="BK1570" s="2">
        <v>0</v>
      </c>
      <c r="BL1570" s="2">
        <v>0</v>
      </c>
      <c r="BM1570" s="2">
        <v>2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f t="shared" si="101"/>
        <v>11</v>
      </c>
      <c r="BW1570" s="16">
        <f t="shared" si="99"/>
        <v>0.57894736842105265</v>
      </c>
      <c r="BX1570" s="16">
        <f>COUNTIF($BC$6:BU1570, "=0") / COUNTIF($BC$6:BU1570, "&gt;-1")</f>
        <v>0.39646880780225324</v>
      </c>
      <c r="BY1570" s="18">
        <f>SUM($BC$6:BU1570) / $BY$4</f>
        <v>0.98295024283337562</v>
      </c>
      <c r="BZ1570" s="14">
        <f t="shared" si="100"/>
        <v>14</v>
      </c>
      <c r="CA1570" t="s">
        <v>5832</v>
      </c>
      <c r="CZ1570" t="s">
        <v>10769</v>
      </c>
      <c r="DA1570" t="s">
        <v>5904</v>
      </c>
      <c r="DB1570">
        <v>648.29999999999995</v>
      </c>
      <c r="DC1570" t="s">
        <v>28299</v>
      </c>
      <c r="DD1570" t="s">
        <v>28300</v>
      </c>
      <c r="DE1570" t="s">
        <v>28301</v>
      </c>
      <c r="DF1570" t="s">
        <v>28302</v>
      </c>
      <c r="DG1570" t="s">
        <v>13772</v>
      </c>
      <c r="DH1570" t="str">
        <f>"PURA"</f>
        <v>PURA</v>
      </c>
      <c r="DI1570" t="s">
        <v>28303</v>
      </c>
      <c r="DJ1570" t="s">
        <v>13777</v>
      </c>
      <c r="DK1570">
        <v>9606</v>
      </c>
      <c r="DL1570" s="34" t="str">
        <f>HYPERLINK("http://www.uniprot.org/uniprot/Q00577", "Q00577")</f>
        <v>Q00577</v>
      </c>
      <c r="DM1570" t="s">
        <v>28304</v>
      </c>
      <c r="DN1570" t="s">
        <v>14445</v>
      </c>
      <c r="DO1570" t="s">
        <v>14825</v>
      </c>
      <c r="DP1570" t="s">
        <v>13772</v>
      </c>
      <c r="DQ1570" t="s">
        <v>13772</v>
      </c>
      <c r="DR1570" t="s">
        <v>17801</v>
      </c>
      <c r="DS1570" t="s">
        <v>13772</v>
      </c>
      <c r="DT1570" t="s">
        <v>13772</v>
      </c>
      <c r="DU1570" t="s">
        <v>21227</v>
      </c>
      <c r="DV1570" t="s">
        <v>13886</v>
      </c>
      <c r="DW1570" t="s">
        <v>13772</v>
      </c>
      <c r="DX1570" t="s">
        <v>28305</v>
      </c>
      <c r="DY1570" t="s">
        <v>28306</v>
      </c>
      <c r="DZ1570" t="s">
        <v>28307</v>
      </c>
      <c r="EA1570" t="s">
        <v>13772</v>
      </c>
      <c r="EB1570" t="s">
        <v>13772</v>
      </c>
    </row>
    <row r="1571" spans="1:132" hidden="1">
      <c r="A1571">
        <v>1553</v>
      </c>
      <c r="B1571">
        <v>1</v>
      </c>
      <c r="C1571" t="s">
        <v>3681</v>
      </c>
      <c r="D1571" t="s">
        <v>3682</v>
      </c>
      <c r="E1571" t="s">
        <v>73</v>
      </c>
      <c r="F1571" t="s">
        <v>73</v>
      </c>
      <c r="G1571" t="s">
        <v>73</v>
      </c>
      <c r="H1571">
        <v>3</v>
      </c>
      <c r="I1571">
        <v>3401</v>
      </c>
      <c r="J1571">
        <v>371462</v>
      </c>
      <c r="K1571" t="s">
        <v>3683</v>
      </c>
      <c r="L1571">
        <f t="shared" si="98"/>
        <v>11</v>
      </c>
      <c r="N1571">
        <v>11</v>
      </c>
      <c r="O1571">
        <v>11</v>
      </c>
      <c r="P1571">
        <v>1</v>
      </c>
      <c r="Q1571">
        <v>0</v>
      </c>
      <c r="R1571">
        <v>0</v>
      </c>
      <c r="S1571">
        <v>0</v>
      </c>
      <c r="T1571">
        <v>5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5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5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 s="2">
        <v>0</v>
      </c>
      <c r="BD1571" s="2">
        <v>0</v>
      </c>
      <c r="BE1571" s="2">
        <v>0</v>
      </c>
      <c r="BF1571" s="2">
        <v>5</v>
      </c>
      <c r="BG1571" s="2">
        <v>0</v>
      </c>
      <c r="BH1571" s="2">
        <v>0</v>
      </c>
      <c r="BI1571" s="2">
        <v>1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5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f t="shared" si="101"/>
        <v>11</v>
      </c>
      <c r="BW1571" s="16">
        <f t="shared" si="99"/>
        <v>0.57894736842105265</v>
      </c>
      <c r="BX1571" s="16">
        <f>COUNTIF($BC$6:BU1571, "=0") / COUNTIF($BC$6:BU1571, "&gt;-1")</f>
        <v>0.39675337769711633</v>
      </c>
      <c r="BY1571" s="18">
        <f>SUM($BC$6:BU1571) / $BY$4</f>
        <v>0.98299736283893135</v>
      </c>
      <c r="BZ1571" s="14">
        <f t="shared" si="100"/>
        <v>16</v>
      </c>
      <c r="CA1571" t="s">
        <v>5832</v>
      </c>
      <c r="CZ1571" t="s">
        <v>10914</v>
      </c>
      <c r="DA1571" t="s">
        <v>5904</v>
      </c>
      <c r="DB1571">
        <v>5023.8</v>
      </c>
      <c r="DC1571" t="s">
        <v>28690</v>
      </c>
      <c r="DD1571" t="s">
        <v>28691</v>
      </c>
      <c r="DE1571" t="s">
        <v>28692</v>
      </c>
      <c r="DF1571" t="s">
        <v>28693</v>
      </c>
      <c r="DG1571" t="s">
        <v>28694</v>
      </c>
      <c r="DH1571" t="str">
        <f>"VCAN"</f>
        <v>VCAN</v>
      </c>
      <c r="DI1571" t="s">
        <v>28695</v>
      </c>
      <c r="DJ1571" t="s">
        <v>13777</v>
      </c>
      <c r="DK1571">
        <v>9606</v>
      </c>
      <c r="DL1571" s="34" t="str">
        <f>HYPERLINK("http://www.uniprot.org/uniprot/P13611", "P13611")</f>
        <v>P13611</v>
      </c>
      <c r="DM1571" t="s">
        <v>28696</v>
      </c>
      <c r="DN1571" t="s">
        <v>13772</v>
      </c>
      <c r="DO1571" t="s">
        <v>13869</v>
      </c>
      <c r="DP1571" t="s">
        <v>13780</v>
      </c>
      <c r="DQ1571" t="s">
        <v>13772</v>
      </c>
      <c r="DR1571" t="s">
        <v>28697</v>
      </c>
      <c r="DS1571" t="s">
        <v>14518</v>
      </c>
      <c r="DT1571" t="s">
        <v>28698</v>
      </c>
      <c r="DU1571" t="s">
        <v>13772</v>
      </c>
      <c r="DV1571" t="s">
        <v>15858</v>
      </c>
      <c r="DW1571" t="s">
        <v>13772</v>
      </c>
      <c r="DX1571" t="s">
        <v>28699</v>
      </c>
      <c r="DY1571" t="s">
        <v>28700</v>
      </c>
      <c r="DZ1571" t="s">
        <v>28701</v>
      </c>
      <c r="EA1571" t="s">
        <v>13772</v>
      </c>
      <c r="EB1571" t="s">
        <v>28702</v>
      </c>
    </row>
    <row r="1572" spans="1:132" hidden="1">
      <c r="A1572">
        <v>1572</v>
      </c>
      <c r="B1572">
        <v>1</v>
      </c>
      <c r="C1572" t="s">
        <v>3726</v>
      </c>
      <c r="D1572" t="s">
        <v>73</v>
      </c>
      <c r="E1572" t="s">
        <v>73</v>
      </c>
      <c r="F1572" t="s">
        <v>73</v>
      </c>
      <c r="G1572" t="s">
        <v>73</v>
      </c>
      <c r="H1572">
        <v>9.8000000000000007</v>
      </c>
      <c r="I1572">
        <v>625</v>
      </c>
      <c r="J1572">
        <v>69199</v>
      </c>
      <c r="K1572" t="s">
        <v>3727</v>
      </c>
      <c r="L1572">
        <f t="shared" si="98"/>
        <v>11</v>
      </c>
      <c r="N1572">
        <v>11</v>
      </c>
      <c r="O1572">
        <v>11</v>
      </c>
      <c r="P1572">
        <v>1</v>
      </c>
      <c r="Q1572">
        <v>0</v>
      </c>
      <c r="R1572">
        <v>3</v>
      </c>
      <c r="S1572">
        <v>0</v>
      </c>
      <c r="T1572">
        <v>1</v>
      </c>
      <c r="U1572">
        <v>3</v>
      </c>
      <c r="V1572">
        <v>3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</v>
      </c>
      <c r="AL1572">
        <v>0</v>
      </c>
      <c r="AM1572">
        <v>1</v>
      </c>
      <c r="AN1572">
        <v>3</v>
      </c>
      <c r="AO1572">
        <v>3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 s="2">
        <v>0</v>
      </c>
      <c r="BD1572" s="2">
        <v>3</v>
      </c>
      <c r="BE1572" s="2">
        <v>0</v>
      </c>
      <c r="BF1572" s="2">
        <v>1</v>
      </c>
      <c r="BG1572" s="2">
        <v>3</v>
      </c>
      <c r="BH1572" s="2">
        <v>3</v>
      </c>
      <c r="BI1572" s="2">
        <v>0</v>
      </c>
      <c r="BJ1572" s="2">
        <v>1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f t="shared" si="101"/>
        <v>11</v>
      </c>
      <c r="BW1572" s="16">
        <f t="shared" si="99"/>
        <v>0.57894736842105265</v>
      </c>
      <c r="BX1572" s="16">
        <f>COUNTIF($BC$6:BU1572, "=0") / COUNTIF($BC$6:BU1572, "&gt;-1")</f>
        <v>0.39697040943136397</v>
      </c>
      <c r="BY1572" s="18">
        <f>SUM($BC$6:BU1572) / $BY$4</f>
        <v>0.98304448284448709</v>
      </c>
      <c r="BZ1572" s="14">
        <f t="shared" si="100"/>
        <v>14</v>
      </c>
      <c r="CA1572" t="s">
        <v>5832</v>
      </c>
      <c r="CZ1572" t="s">
        <v>10979</v>
      </c>
      <c r="DA1572" t="s">
        <v>5904</v>
      </c>
      <c r="DB1572">
        <v>924.1</v>
      </c>
      <c r="DC1572" t="s">
        <v>28879</v>
      </c>
      <c r="DD1572" t="s">
        <v>28880</v>
      </c>
      <c r="DE1572" t="s">
        <v>28881</v>
      </c>
      <c r="DF1572" t="s">
        <v>28882</v>
      </c>
      <c r="DG1572" t="s">
        <v>13772</v>
      </c>
      <c r="DH1572" t="str">
        <f>"SLC6A18"</f>
        <v>SLC6A18</v>
      </c>
      <c r="DI1572" t="s">
        <v>28883</v>
      </c>
      <c r="DJ1572" t="s">
        <v>13777</v>
      </c>
      <c r="DK1572">
        <v>9606</v>
      </c>
      <c r="DL1572" s="34" t="str">
        <f>HYPERLINK("http://www.uniprot.org/uniprot/Q96N87", "Q96N87")</f>
        <v>Q96N87</v>
      </c>
      <c r="DM1572" t="s">
        <v>28884</v>
      </c>
      <c r="DN1572" t="s">
        <v>28885</v>
      </c>
      <c r="DO1572" t="s">
        <v>13825</v>
      </c>
      <c r="DP1572" t="s">
        <v>13793</v>
      </c>
      <c r="DQ1572" t="s">
        <v>13772</v>
      </c>
      <c r="DR1572" t="s">
        <v>13772</v>
      </c>
      <c r="DS1572" t="s">
        <v>13925</v>
      </c>
      <c r="DT1572" t="s">
        <v>13772</v>
      </c>
      <c r="DU1572" t="s">
        <v>13772</v>
      </c>
      <c r="DV1572" t="s">
        <v>13858</v>
      </c>
      <c r="DW1572" t="s">
        <v>13772</v>
      </c>
      <c r="DX1572" t="s">
        <v>28886</v>
      </c>
      <c r="DY1572" t="s">
        <v>28887</v>
      </c>
      <c r="DZ1572" t="s">
        <v>28807</v>
      </c>
      <c r="EA1572" t="s">
        <v>13772</v>
      </c>
      <c r="EB1572" t="s">
        <v>28888</v>
      </c>
    </row>
    <row r="1573" spans="1:132" hidden="1">
      <c r="A1573">
        <v>1681</v>
      </c>
      <c r="B1573">
        <v>1</v>
      </c>
      <c r="C1573" t="s">
        <v>3985</v>
      </c>
      <c r="D1573" t="s">
        <v>3986</v>
      </c>
      <c r="E1573" t="s">
        <v>73</v>
      </c>
      <c r="F1573" t="s">
        <v>73</v>
      </c>
      <c r="G1573" t="s">
        <v>73</v>
      </c>
      <c r="H1573">
        <v>2.7</v>
      </c>
      <c r="I1573">
        <v>1691</v>
      </c>
      <c r="J1573">
        <v>161816</v>
      </c>
      <c r="K1573" t="s">
        <v>3987</v>
      </c>
      <c r="L1573">
        <f t="shared" si="98"/>
        <v>11</v>
      </c>
      <c r="N1573">
        <v>11</v>
      </c>
      <c r="O1573">
        <v>11</v>
      </c>
      <c r="P1573">
        <v>1</v>
      </c>
      <c r="Q1573">
        <v>3</v>
      </c>
      <c r="R1573">
        <v>0</v>
      </c>
      <c r="S1573">
        <v>2</v>
      </c>
      <c r="T1573">
        <v>2</v>
      </c>
      <c r="U1573">
        <v>2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3</v>
      </c>
      <c r="AK1573">
        <v>0</v>
      </c>
      <c r="AL1573">
        <v>2</v>
      </c>
      <c r="AM1573">
        <v>2</v>
      </c>
      <c r="AN1573">
        <v>2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 s="2">
        <v>3</v>
      </c>
      <c r="BD1573" s="2">
        <v>0</v>
      </c>
      <c r="BE1573" s="2">
        <v>2</v>
      </c>
      <c r="BF1573" s="2">
        <v>2</v>
      </c>
      <c r="BG1573" s="2">
        <v>2</v>
      </c>
      <c r="BH1573" s="2">
        <v>0</v>
      </c>
      <c r="BI1573" s="2">
        <v>1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1</v>
      </c>
      <c r="BV1573" s="2">
        <f t="shared" si="101"/>
        <v>11</v>
      </c>
      <c r="BW1573" s="16">
        <f t="shared" si="99"/>
        <v>0.57894736842105265</v>
      </c>
      <c r="BX1573" s="16">
        <f>COUNTIF($BC$6:BU1573, "=0") / COUNTIF($BC$6:BU1573, "&gt;-1")</f>
        <v>0.39715359828141783</v>
      </c>
      <c r="BY1573" s="18">
        <f>SUM($BC$6:BU1573) / $BY$4</f>
        <v>0.98309160285004282</v>
      </c>
      <c r="BZ1573" s="14">
        <f t="shared" si="100"/>
        <v>13</v>
      </c>
      <c r="CA1573" t="s">
        <v>5832</v>
      </c>
      <c r="CZ1573" t="s">
        <v>11356</v>
      </c>
      <c r="DA1573" t="s">
        <v>5904</v>
      </c>
      <c r="DB1573">
        <v>1043.5</v>
      </c>
      <c r="DC1573" t="s">
        <v>29927</v>
      </c>
      <c r="DD1573" t="s">
        <v>13772</v>
      </c>
      <c r="DE1573" t="s">
        <v>29928</v>
      </c>
      <c r="DF1573" t="s">
        <v>29929</v>
      </c>
      <c r="DG1573" t="s">
        <v>29930</v>
      </c>
      <c r="DH1573" t="str">
        <f>"COL4A1"</f>
        <v>COL4A1</v>
      </c>
      <c r="DI1573" t="s">
        <v>13772</v>
      </c>
      <c r="DJ1573" t="s">
        <v>13777</v>
      </c>
      <c r="DK1573">
        <v>9606</v>
      </c>
      <c r="DL1573" s="34" t="str">
        <f>HYPERLINK("http://www.uniprot.org/uniprot/P02462", "P02462")</f>
        <v>P02462</v>
      </c>
      <c r="DM1573" t="s">
        <v>29931</v>
      </c>
      <c r="DN1573" t="s">
        <v>22082</v>
      </c>
      <c r="DO1573" t="s">
        <v>15002</v>
      </c>
      <c r="DP1573" t="s">
        <v>13780</v>
      </c>
      <c r="DQ1573" t="s">
        <v>13772</v>
      </c>
      <c r="DR1573" t="s">
        <v>13807</v>
      </c>
      <c r="DS1573" t="s">
        <v>13872</v>
      </c>
      <c r="DT1573" t="s">
        <v>13772</v>
      </c>
      <c r="DU1573" t="s">
        <v>13772</v>
      </c>
      <c r="DV1573" t="s">
        <v>22002</v>
      </c>
      <c r="DW1573" t="s">
        <v>13812</v>
      </c>
      <c r="DX1573" t="s">
        <v>29932</v>
      </c>
      <c r="DY1573" t="s">
        <v>29933</v>
      </c>
      <c r="DZ1573" t="s">
        <v>29934</v>
      </c>
      <c r="EA1573" t="s">
        <v>13772</v>
      </c>
      <c r="EB1573" t="s">
        <v>23570</v>
      </c>
    </row>
    <row r="1574" spans="1:132" hidden="1">
      <c r="A1574">
        <v>1691</v>
      </c>
      <c r="B1574">
        <v>1</v>
      </c>
      <c r="C1574" t="s">
        <v>4011</v>
      </c>
      <c r="D1574" t="s">
        <v>73</v>
      </c>
      <c r="E1574" t="s">
        <v>73</v>
      </c>
      <c r="F1574" t="s">
        <v>73</v>
      </c>
      <c r="G1574" t="s">
        <v>73</v>
      </c>
      <c r="H1574">
        <v>24.2</v>
      </c>
      <c r="I1574">
        <v>389</v>
      </c>
      <c r="J1574">
        <v>44956</v>
      </c>
      <c r="K1574" t="s">
        <v>4012</v>
      </c>
      <c r="L1574">
        <f t="shared" si="98"/>
        <v>11</v>
      </c>
      <c r="N1574">
        <v>11</v>
      </c>
      <c r="O1574">
        <v>11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5</v>
      </c>
      <c r="AB1574">
        <v>0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5</v>
      </c>
      <c r="AU1574">
        <v>0</v>
      </c>
      <c r="AV1574">
        <v>3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0</v>
      </c>
      <c r="BI1574" s="2">
        <v>0</v>
      </c>
      <c r="BJ1574" s="2">
        <v>1</v>
      </c>
      <c r="BK1574" s="2">
        <v>0</v>
      </c>
      <c r="BL1574" s="2">
        <v>1</v>
      </c>
      <c r="BM1574" s="2">
        <v>5</v>
      </c>
      <c r="BN1574" s="2">
        <v>0</v>
      </c>
      <c r="BO1574" s="2">
        <v>3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f t="shared" si="101"/>
        <v>11</v>
      </c>
      <c r="BW1574" s="16">
        <f t="shared" si="99"/>
        <v>0.57894736842105265</v>
      </c>
      <c r="BX1574" s="16">
        <f>COUNTIF($BC$6:BU1574, "=0") / COUNTIF($BC$6:BU1574, "&gt;-1")</f>
        <v>0.39737009828586761</v>
      </c>
      <c r="BY1574" s="18">
        <f>SUM($BC$6:BU1574) / $BY$4</f>
        <v>0.98313872285559845</v>
      </c>
      <c r="BZ1574" s="14">
        <f t="shared" si="100"/>
        <v>14</v>
      </c>
      <c r="CA1574" t="s">
        <v>5832</v>
      </c>
      <c r="CZ1574" t="s">
        <v>11392</v>
      </c>
      <c r="DA1574" t="s">
        <v>5904</v>
      </c>
      <c r="DB1574">
        <v>712.6</v>
      </c>
      <c r="DC1574" t="s">
        <v>30031</v>
      </c>
      <c r="DD1574" t="s">
        <v>30032</v>
      </c>
      <c r="DE1574" t="s">
        <v>30033</v>
      </c>
      <c r="DF1574" t="s">
        <v>30034</v>
      </c>
      <c r="DG1574" t="s">
        <v>30035</v>
      </c>
      <c r="DH1574" t="str">
        <f>"NCF1"</f>
        <v>NCF1</v>
      </c>
      <c r="DI1574" t="s">
        <v>30036</v>
      </c>
      <c r="DJ1574" t="s">
        <v>13777</v>
      </c>
      <c r="DK1574">
        <v>9606</v>
      </c>
      <c r="DL1574" s="34" t="str">
        <f>HYPERLINK("http://www.uniprot.org/uniprot/P14598", "P14598")</f>
        <v>P14598</v>
      </c>
      <c r="DM1574" t="s">
        <v>30037</v>
      </c>
      <c r="DN1574" t="s">
        <v>13772</v>
      </c>
      <c r="DO1574" t="s">
        <v>15896</v>
      </c>
      <c r="DP1574" t="s">
        <v>13780</v>
      </c>
      <c r="DQ1574" t="s">
        <v>13772</v>
      </c>
      <c r="DR1574" t="s">
        <v>29343</v>
      </c>
      <c r="DS1574" t="s">
        <v>15028</v>
      </c>
      <c r="DT1574" t="s">
        <v>13900</v>
      </c>
      <c r="DU1574" t="s">
        <v>13772</v>
      </c>
      <c r="DV1574" t="s">
        <v>13782</v>
      </c>
      <c r="DW1574" t="s">
        <v>13812</v>
      </c>
      <c r="DX1574" t="s">
        <v>30038</v>
      </c>
      <c r="DY1574" t="s">
        <v>30039</v>
      </c>
      <c r="DZ1574" t="s">
        <v>30040</v>
      </c>
      <c r="EA1574" t="s">
        <v>13772</v>
      </c>
      <c r="EB1574" t="s">
        <v>30041</v>
      </c>
    </row>
    <row r="1575" spans="1:132" hidden="1">
      <c r="A1575">
        <v>1743</v>
      </c>
      <c r="B1575">
        <v>1</v>
      </c>
      <c r="C1575" t="s">
        <v>4121</v>
      </c>
      <c r="D1575" t="s">
        <v>4122</v>
      </c>
      <c r="E1575" t="s">
        <v>73</v>
      </c>
      <c r="F1575" t="s">
        <v>73</v>
      </c>
      <c r="G1575" t="s">
        <v>73</v>
      </c>
      <c r="H1575">
        <v>14.1</v>
      </c>
      <c r="I1575">
        <v>333</v>
      </c>
      <c r="J1575">
        <v>35061</v>
      </c>
      <c r="K1575" t="s">
        <v>4123</v>
      </c>
      <c r="L1575">
        <f t="shared" si="98"/>
        <v>11</v>
      </c>
      <c r="N1575">
        <v>11</v>
      </c>
      <c r="O1575">
        <v>11</v>
      </c>
      <c r="P1575">
        <v>1</v>
      </c>
      <c r="Q1575">
        <v>0</v>
      </c>
      <c r="R1575">
        <v>0</v>
      </c>
      <c r="S1575">
        <v>0</v>
      </c>
      <c r="T1575">
        <v>4</v>
      </c>
      <c r="U1575">
        <v>1</v>
      </c>
      <c r="V1575">
        <v>4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4</v>
      </c>
      <c r="AN1575">
        <v>1</v>
      </c>
      <c r="AO1575">
        <v>4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 s="2">
        <v>0</v>
      </c>
      <c r="BD1575" s="2">
        <v>0</v>
      </c>
      <c r="BE1575" s="2">
        <v>0</v>
      </c>
      <c r="BF1575" s="2">
        <v>4</v>
      </c>
      <c r="BG1575" s="2">
        <v>1</v>
      </c>
      <c r="BH1575" s="2">
        <v>4</v>
      </c>
      <c r="BI1575" s="2">
        <v>1</v>
      </c>
      <c r="BJ1575" s="2">
        <v>1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f t="shared" si="101"/>
        <v>11</v>
      </c>
      <c r="BW1575" s="16">
        <f t="shared" si="99"/>
        <v>0.57894736842105265</v>
      </c>
      <c r="BX1575" s="16">
        <f>COUNTIF($BC$6:BU1575, "=0") / COUNTIF($BC$6:BU1575, "&gt;-1")</f>
        <v>0.39758632249413345</v>
      </c>
      <c r="BY1575" s="18">
        <f>SUM($BC$6:BU1575) / $BY$4</f>
        <v>0.98318584286115418</v>
      </c>
      <c r="BZ1575" s="14">
        <f t="shared" si="100"/>
        <v>14</v>
      </c>
      <c r="CA1575" t="s">
        <v>5832</v>
      </c>
      <c r="CZ1575" t="s">
        <v>11559</v>
      </c>
      <c r="DA1575" t="s">
        <v>5904</v>
      </c>
      <c r="DB1575">
        <v>342.4</v>
      </c>
      <c r="DC1575" t="s">
        <v>30507</v>
      </c>
      <c r="DD1575" t="s">
        <v>30508</v>
      </c>
      <c r="DE1575" t="s">
        <v>30509</v>
      </c>
      <c r="DF1575" t="s">
        <v>30510</v>
      </c>
      <c r="DG1575" t="s">
        <v>30511</v>
      </c>
      <c r="DH1575" t="str">
        <f>"PVRIG"</f>
        <v>PVRIG</v>
      </c>
      <c r="DI1575" t="s">
        <v>30512</v>
      </c>
      <c r="DJ1575" t="s">
        <v>13777</v>
      </c>
      <c r="DK1575">
        <v>9606</v>
      </c>
      <c r="DL1575" s="34" t="str">
        <f>HYPERLINK("http://www.uniprot.org/uniprot/Q6DKI7", "Q6DKI7")</f>
        <v>Q6DKI7</v>
      </c>
      <c r="DM1575" t="s">
        <v>30513</v>
      </c>
      <c r="DN1575" t="s">
        <v>13772</v>
      </c>
      <c r="DO1575" t="s">
        <v>13792</v>
      </c>
      <c r="DP1575" t="s">
        <v>13793</v>
      </c>
      <c r="DQ1575" t="s">
        <v>13772</v>
      </c>
      <c r="DR1575" t="s">
        <v>13772</v>
      </c>
      <c r="DS1575" t="s">
        <v>13925</v>
      </c>
      <c r="DT1575" t="s">
        <v>13772</v>
      </c>
      <c r="DU1575" t="s">
        <v>13772</v>
      </c>
      <c r="DV1575" t="s">
        <v>13782</v>
      </c>
      <c r="DW1575" t="s">
        <v>13772</v>
      </c>
      <c r="DX1575" t="s">
        <v>30514</v>
      </c>
      <c r="DY1575" t="s">
        <v>13798</v>
      </c>
      <c r="DZ1575" t="s">
        <v>30515</v>
      </c>
      <c r="EA1575" t="s">
        <v>13772</v>
      </c>
      <c r="EB1575" t="s">
        <v>13772</v>
      </c>
    </row>
    <row r="1576" spans="1:132" hidden="1">
      <c r="A1576">
        <v>1753</v>
      </c>
      <c r="B1576">
        <v>1</v>
      </c>
      <c r="C1576" t="s">
        <v>4147</v>
      </c>
      <c r="D1576" t="s">
        <v>4148</v>
      </c>
      <c r="E1576" t="s">
        <v>73</v>
      </c>
      <c r="F1576" t="s">
        <v>73</v>
      </c>
      <c r="G1576" t="s">
        <v>73</v>
      </c>
      <c r="H1576">
        <v>6.2</v>
      </c>
      <c r="I1576">
        <v>796</v>
      </c>
      <c r="J1576">
        <v>85603</v>
      </c>
      <c r="K1576" t="s">
        <v>4149</v>
      </c>
      <c r="L1576">
        <f t="shared" si="98"/>
        <v>11</v>
      </c>
      <c r="N1576">
        <v>11</v>
      </c>
      <c r="O1576">
        <v>11</v>
      </c>
      <c r="P1576">
        <v>1</v>
      </c>
      <c r="Q1576">
        <v>1</v>
      </c>
      <c r="R1576">
        <v>2</v>
      </c>
      <c r="S1576">
        <v>1</v>
      </c>
      <c r="T1576">
        <v>3</v>
      </c>
      <c r="U1576">
        <v>2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2</v>
      </c>
      <c r="AL1576">
        <v>1</v>
      </c>
      <c r="AM1576">
        <v>3</v>
      </c>
      <c r="AN1576">
        <v>2</v>
      </c>
      <c r="AO1576">
        <v>2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 s="2">
        <v>1</v>
      </c>
      <c r="BD1576" s="2">
        <v>2</v>
      </c>
      <c r="BE1576" s="2">
        <v>1</v>
      </c>
      <c r="BF1576" s="2">
        <v>3</v>
      </c>
      <c r="BG1576" s="2">
        <v>2</v>
      </c>
      <c r="BH1576" s="2">
        <v>2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f t="shared" si="101"/>
        <v>11</v>
      </c>
      <c r="BW1576" s="16">
        <f t="shared" si="99"/>
        <v>0.57894736842105265</v>
      </c>
      <c r="BX1576" s="16">
        <f>COUNTIF($BC$6:BU1576, "=0") / COUNTIF($BC$6:BU1576, "&gt;-1")</f>
        <v>0.39776876947301415</v>
      </c>
      <c r="BY1576" s="18">
        <f>SUM($BC$6:BU1576) / $BY$4</f>
        <v>0.98323296286670991</v>
      </c>
      <c r="BZ1576" s="14">
        <f t="shared" si="100"/>
        <v>13</v>
      </c>
      <c r="CA1576" t="s">
        <v>5832</v>
      </c>
      <c r="CZ1576" t="s">
        <v>11599</v>
      </c>
      <c r="DA1576" t="s">
        <v>5904</v>
      </c>
      <c r="DB1576">
        <v>938.3</v>
      </c>
      <c r="DC1576" t="s">
        <v>30610</v>
      </c>
      <c r="DD1576" t="s">
        <v>30611</v>
      </c>
      <c r="DE1576" t="s">
        <v>30612</v>
      </c>
      <c r="DF1576" t="s">
        <v>30613</v>
      </c>
      <c r="DG1576" t="s">
        <v>30614</v>
      </c>
      <c r="DH1576" t="str">
        <f>"IL4R"</f>
        <v>IL4R</v>
      </c>
      <c r="DI1576" t="s">
        <v>30615</v>
      </c>
      <c r="DJ1576" t="s">
        <v>13777</v>
      </c>
      <c r="DK1576">
        <v>9606</v>
      </c>
      <c r="DL1576" s="34" t="str">
        <f>HYPERLINK("http://www.uniprot.org/uniprot/P24394", "P24394")</f>
        <v>P24394</v>
      </c>
      <c r="DM1576" t="s">
        <v>30616</v>
      </c>
      <c r="DN1576" t="s">
        <v>13791</v>
      </c>
      <c r="DO1576" t="s">
        <v>14336</v>
      </c>
      <c r="DP1576" t="s">
        <v>13780</v>
      </c>
      <c r="DQ1576" t="s">
        <v>13772</v>
      </c>
      <c r="DR1576" t="s">
        <v>13772</v>
      </c>
      <c r="DS1576" t="s">
        <v>13855</v>
      </c>
      <c r="DT1576" t="s">
        <v>13772</v>
      </c>
      <c r="DU1576" t="s">
        <v>13795</v>
      </c>
      <c r="DV1576" t="s">
        <v>13964</v>
      </c>
      <c r="DW1576" t="s">
        <v>13812</v>
      </c>
      <c r="DX1576" t="s">
        <v>30617</v>
      </c>
      <c r="DY1576" t="s">
        <v>30618</v>
      </c>
      <c r="DZ1576" t="s">
        <v>30619</v>
      </c>
      <c r="EA1576" t="s">
        <v>13772</v>
      </c>
      <c r="EB1576" t="s">
        <v>30620</v>
      </c>
    </row>
    <row r="1577" spans="1:132" hidden="1">
      <c r="A1577">
        <v>1754</v>
      </c>
      <c r="B1577">
        <v>1</v>
      </c>
      <c r="C1577" t="s">
        <v>4150</v>
      </c>
      <c r="D1577" t="s">
        <v>73</v>
      </c>
      <c r="E1577" t="s">
        <v>73</v>
      </c>
      <c r="F1577" t="s">
        <v>73</v>
      </c>
      <c r="G1577" t="s">
        <v>73</v>
      </c>
      <c r="H1577">
        <v>27.8</v>
      </c>
      <c r="I1577">
        <v>230</v>
      </c>
      <c r="J1577">
        <v>26367</v>
      </c>
      <c r="K1577" t="s">
        <v>4151</v>
      </c>
      <c r="L1577">
        <f t="shared" si="98"/>
        <v>11</v>
      </c>
      <c r="N1577">
        <v>11</v>
      </c>
      <c r="O1577">
        <v>11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8</v>
      </c>
      <c r="Z1577">
        <v>0</v>
      </c>
      <c r="AA1577">
        <v>2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8</v>
      </c>
      <c r="AS1577">
        <v>0</v>
      </c>
      <c r="AT1577">
        <v>2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8</v>
      </c>
      <c r="BL1577" s="2">
        <v>0</v>
      </c>
      <c r="BM1577" s="2">
        <v>2</v>
      </c>
      <c r="BN1577" s="2">
        <v>0</v>
      </c>
      <c r="BO1577" s="2">
        <v>0</v>
      </c>
      <c r="BP1577" s="2">
        <v>0</v>
      </c>
      <c r="BQ1577" s="2">
        <v>0</v>
      </c>
      <c r="BR1577" s="2">
        <v>1</v>
      </c>
      <c r="BS1577" s="2">
        <v>0</v>
      </c>
      <c r="BT1577" s="2">
        <v>0</v>
      </c>
      <c r="BU1577" s="2">
        <v>0</v>
      </c>
      <c r="BV1577" s="2">
        <f t="shared" si="101"/>
        <v>11</v>
      </c>
      <c r="BW1577" s="16">
        <f t="shared" si="99"/>
        <v>0.57894736842105265</v>
      </c>
      <c r="BX1577" s="16">
        <f>COUNTIF($BC$6:BU1577, "=0") / COUNTIF($BC$6:BU1577, "&gt;-1")</f>
        <v>0.39805142627561269</v>
      </c>
      <c r="BY1577" s="18">
        <f>SUM($BC$6:BU1577) / $BY$4</f>
        <v>0.98328008287226565</v>
      </c>
      <c r="BZ1577" s="14">
        <f t="shared" si="100"/>
        <v>16</v>
      </c>
      <c r="CA1577" t="s">
        <v>5832</v>
      </c>
      <c r="CZ1577" t="s">
        <v>11602</v>
      </c>
      <c r="DA1577" t="s">
        <v>5904</v>
      </c>
      <c r="DB1577">
        <v>455.3</v>
      </c>
      <c r="DC1577" t="s">
        <v>30621</v>
      </c>
      <c r="DD1577" t="s">
        <v>30622</v>
      </c>
      <c r="DE1577" t="s">
        <v>30623</v>
      </c>
      <c r="DF1577" t="s">
        <v>30624</v>
      </c>
      <c r="DG1577" t="s">
        <v>30625</v>
      </c>
      <c r="DH1577" t="str">
        <f>"CACYBP"</f>
        <v>CACYBP</v>
      </c>
      <c r="DI1577" t="s">
        <v>30626</v>
      </c>
      <c r="DJ1577" t="s">
        <v>13777</v>
      </c>
      <c r="DK1577">
        <v>9606</v>
      </c>
      <c r="DL1577" s="34" t="str">
        <f>HYPERLINK("http://www.uniprot.org/uniprot/Q9HB71", "Q9HB71")</f>
        <v>Q9HB71</v>
      </c>
      <c r="DM1577" t="s">
        <v>30627</v>
      </c>
      <c r="DN1577" t="s">
        <v>14109</v>
      </c>
      <c r="DO1577" t="s">
        <v>13912</v>
      </c>
      <c r="DP1577" t="s">
        <v>13841</v>
      </c>
      <c r="DQ1577" t="s">
        <v>13772</v>
      </c>
      <c r="DR1577" t="s">
        <v>13772</v>
      </c>
      <c r="DS1577" t="s">
        <v>13772</v>
      </c>
      <c r="DT1577" t="s">
        <v>13772</v>
      </c>
      <c r="DU1577" t="s">
        <v>13772</v>
      </c>
      <c r="DV1577" t="s">
        <v>13886</v>
      </c>
      <c r="DW1577" t="s">
        <v>13812</v>
      </c>
      <c r="DX1577" t="s">
        <v>30628</v>
      </c>
      <c r="DY1577" t="s">
        <v>30629</v>
      </c>
      <c r="DZ1577" t="s">
        <v>30630</v>
      </c>
      <c r="EA1577" t="s">
        <v>13772</v>
      </c>
      <c r="EB1577" t="s">
        <v>13772</v>
      </c>
    </row>
    <row r="1578" spans="1:132" hidden="1">
      <c r="A1578">
        <v>1972</v>
      </c>
      <c r="B1578">
        <v>1</v>
      </c>
      <c r="C1578" t="s">
        <v>4646</v>
      </c>
      <c r="D1578" t="s">
        <v>73</v>
      </c>
      <c r="E1578" t="s">
        <v>73</v>
      </c>
      <c r="F1578" t="s">
        <v>73</v>
      </c>
      <c r="G1578" t="s">
        <v>73</v>
      </c>
      <c r="H1578">
        <v>26.2</v>
      </c>
      <c r="I1578">
        <v>328</v>
      </c>
      <c r="J1578">
        <v>35728</v>
      </c>
      <c r="K1578" t="s">
        <v>4647</v>
      </c>
      <c r="L1578">
        <f t="shared" si="98"/>
        <v>11</v>
      </c>
      <c r="N1578">
        <v>11</v>
      </c>
      <c r="O1578">
        <v>11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3</v>
      </c>
      <c r="V1578">
        <v>1</v>
      </c>
      <c r="W1578">
        <v>0</v>
      </c>
      <c r="X1578">
        <v>1</v>
      </c>
      <c r="Y1578">
        <v>1</v>
      </c>
      <c r="Z1578">
        <v>0</v>
      </c>
      <c r="AA1578">
        <v>5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3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3</v>
      </c>
      <c r="BH1578" s="2">
        <v>1</v>
      </c>
      <c r="BI1578" s="2">
        <v>0</v>
      </c>
      <c r="BJ1578" s="2">
        <v>1</v>
      </c>
      <c r="BK1578" s="2">
        <v>1</v>
      </c>
      <c r="BL1578" s="2">
        <v>0</v>
      </c>
      <c r="BM1578" s="2">
        <v>5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f t="shared" si="101"/>
        <v>11</v>
      </c>
      <c r="BW1578" s="16">
        <f t="shared" si="99"/>
        <v>0.57894736842105265</v>
      </c>
      <c r="BX1578" s="16">
        <f>COUNTIF($BC$6:BU1578, "=0") / COUNTIF($BC$6:BU1578, "&gt;-1")</f>
        <v>0.39826680496536954</v>
      </c>
      <c r="BY1578" s="18">
        <f>SUM($BC$6:BU1578) / $BY$4</f>
        <v>0.98332720287782127</v>
      </c>
      <c r="BZ1578" s="14">
        <f t="shared" si="100"/>
        <v>14</v>
      </c>
      <c r="CA1578" t="s">
        <v>5832</v>
      </c>
      <c r="CZ1578" t="s">
        <v>12330</v>
      </c>
      <c r="DA1578" t="s">
        <v>5904</v>
      </c>
      <c r="DB1578">
        <v>623.20000000000005</v>
      </c>
      <c r="DC1578" t="s">
        <v>32680</v>
      </c>
      <c r="DD1578" t="s">
        <v>13772</v>
      </c>
      <c r="DE1578" t="s">
        <v>32681</v>
      </c>
      <c r="DF1578" t="s">
        <v>32682</v>
      </c>
      <c r="DG1578" t="s">
        <v>32683</v>
      </c>
      <c r="DH1578" t="str">
        <f>"GRHPR"</f>
        <v>GRHPR</v>
      </c>
      <c r="DI1578" t="s">
        <v>32684</v>
      </c>
      <c r="DJ1578" t="s">
        <v>13777</v>
      </c>
      <c r="DK1578">
        <v>9606</v>
      </c>
      <c r="DL1578" s="34" t="str">
        <f>HYPERLINK("http://www.uniprot.org/uniprot/Q9UBQ7", "Q9UBQ7")</f>
        <v>Q9UBQ7</v>
      </c>
      <c r="DM1578" t="s">
        <v>32685</v>
      </c>
      <c r="DN1578" t="s">
        <v>13772</v>
      </c>
      <c r="DO1578" t="s">
        <v>13772</v>
      </c>
      <c r="DP1578" t="s">
        <v>13780</v>
      </c>
      <c r="DQ1578" t="s">
        <v>13772</v>
      </c>
      <c r="DR1578" t="s">
        <v>13772</v>
      </c>
      <c r="DS1578" t="s">
        <v>13772</v>
      </c>
      <c r="DT1578" t="s">
        <v>15759</v>
      </c>
      <c r="DU1578" t="s">
        <v>13885</v>
      </c>
      <c r="DV1578" t="s">
        <v>13782</v>
      </c>
      <c r="DW1578" t="s">
        <v>13812</v>
      </c>
      <c r="DX1578" t="s">
        <v>32686</v>
      </c>
      <c r="DY1578" t="s">
        <v>32687</v>
      </c>
      <c r="DZ1578" t="s">
        <v>32688</v>
      </c>
      <c r="EA1578" t="s">
        <v>13772</v>
      </c>
      <c r="EB1578" t="s">
        <v>22764</v>
      </c>
    </row>
    <row r="1579" spans="1:132" hidden="1">
      <c r="A1579">
        <v>2030</v>
      </c>
      <c r="B1579">
        <v>1</v>
      </c>
      <c r="C1579" t="s">
        <v>4769</v>
      </c>
      <c r="D1579" t="s">
        <v>4770</v>
      </c>
      <c r="E1579" t="s">
        <v>73</v>
      </c>
      <c r="F1579" t="s">
        <v>73</v>
      </c>
      <c r="G1579" t="s">
        <v>73</v>
      </c>
      <c r="H1579">
        <v>28.3</v>
      </c>
      <c r="I1579">
        <v>205</v>
      </c>
      <c r="J1579">
        <v>22545</v>
      </c>
      <c r="K1579" t="s">
        <v>4771</v>
      </c>
      <c r="L1579">
        <f t="shared" si="98"/>
        <v>11</v>
      </c>
      <c r="N1579">
        <v>11</v>
      </c>
      <c r="O1579">
        <v>11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>
        <v>2</v>
      </c>
      <c r="Z1579">
        <v>0</v>
      </c>
      <c r="AA1579">
        <v>2</v>
      </c>
      <c r="AB1579">
        <v>0</v>
      </c>
      <c r="AC1579">
        <v>0</v>
      </c>
      <c r="AD1579">
        <v>0</v>
      </c>
      <c r="AE1579">
        <v>1</v>
      </c>
      <c r="AF1579">
        <v>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4</v>
      </c>
      <c r="AR1579">
        <v>2</v>
      </c>
      <c r="AS1579">
        <v>0</v>
      </c>
      <c r="AT1579">
        <v>2</v>
      </c>
      <c r="AU1579">
        <v>0</v>
      </c>
      <c r="AV1579">
        <v>0</v>
      </c>
      <c r="AW1579">
        <v>0</v>
      </c>
      <c r="AX1579">
        <v>1</v>
      </c>
      <c r="AY1579">
        <v>2</v>
      </c>
      <c r="AZ1579">
        <v>0</v>
      </c>
      <c r="BA1579">
        <v>0</v>
      </c>
      <c r="BB1579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4</v>
      </c>
      <c r="BK1579" s="2">
        <v>2</v>
      </c>
      <c r="BL1579" s="2">
        <v>0</v>
      </c>
      <c r="BM1579" s="2">
        <v>2</v>
      </c>
      <c r="BN1579" s="2">
        <v>0</v>
      </c>
      <c r="BO1579" s="2">
        <v>0</v>
      </c>
      <c r="BP1579" s="2">
        <v>0</v>
      </c>
      <c r="BQ1579" s="2">
        <v>1</v>
      </c>
      <c r="BR1579" s="2">
        <v>2</v>
      </c>
      <c r="BS1579" s="2">
        <v>0</v>
      </c>
      <c r="BT1579" s="2">
        <v>0</v>
      </c>
      <c r="BU1579" s="2">
        <v>0</v>
      </c>
      <c r="BV1579" s="2">
        <f t="shared" si="101"/>
        <v>11</v>
      </c>
      <c r="BW1579" s="16">
        <f t="shared" si="99"/>
        <v>0.57894736842105265</v>
      </c>
      <c r="BX1579" s="16">
        <f>COUNTIF($BC$6:BU1579, "=0") / COUNTIF($BC$6:BU1579, "&gt;-1")</f>
        <v>0.39848190998461847</v>
      </c>
      <c r="BY1579" s="18">
        <f>SUM($BC$6:BU1579) / $BY$4</f>
        <v>0.98337432288337701</v>
      </c>
      <c r="BZ1579" s="14">
        <f t="shared" si="100"/>
        <v>14</v>
      </c>
      <c r="CA1579" t="s">
        <v>5832</v>
      </c>
      <c r="CZ1579" t="s">
        <v>12514</v>
      </c>
      <c r="DA1579" t="s">
        <v>5904</v>
      </c>
      <c r="DB1579">
        <v>362.1</v>
      </c>
      <c r="DC1579" t="s">
        <v>33206</v>
      </c>
      <c r="DD1579" t="s">
        <v>33207</v>
      </c>
      <c r="DE1579" t="s">
        <v>33208</v>
      </c>
      <c r="DF1579" t="s">
        <v>33209</v>
      </c>
      <c r="DG1579" t="s">
        <v>33210</v>
      </c>
      <c r="DH1579" t="str">
        <f>"BAX"</f>
        <v>BAX</v>
      </c>
      <c r="DI1579" t="s">
        <v>33211</v>
      </c>
      <c r="DJ1579" t="s">
        <v>13777</v>
      </c>
      <c r="DK1579">
        <v>9606</v>
      </c>
      <c r="DL1579" s="34" t="str">
        <f>HYPERLINK("http://www.uniprot.org/uniprot/Q07812", "Q07812")</f>
        <v>Q07812</v>
      </c>
      <c r="DM1579" t="s">
        <v>33212</v>
      </c>
      <c r="DN1579" t="s">
        <v>24402</v>
      </c>
      <c r="DO1579" t="s">
        <v>13884</v>
      </c>
      <c r="DP1579" t="s">
        <v>13780</v>
      </c>
      <c r="DQ1579" t="s">
        <v>13772</v>
      </c>
      <c r="DR1579" t="s">
        <v>14505</v>
      </c>
      <c r="DS1579" t="s">
        <v>13925</v>
      </c>
      <c r="DT1579" t="s">
        <v>13772</v>
      </c>
      <c r="DU1579" t="s">
        <v>13772</v>
      </c>
      <c r="DV1579" t="s">
        <v>14020</v>
      </c>
      <c r="DW1579" t="s">
        <v>13812</v>
      </c>
      <c r="DX1579" t="s">
        <v>33213</v>
      </c>
      <c r="DY1579" t="s">
        <v>33214</v>
      </c>
      <c r="DZ1579" t="s">
        <v>33215</v>
      </c>
      <c r="EA1579" t="s">
        <v>13772</v>
      </c>
      <c r="EB1579" t="s">
        <v>33216</v>
      </c>
    </row>
    <row r="1580" spans="1:132" hidden="1">
      <c r="A1580">
        <v>2043</v>
      </c>
      <c r="B1580">
        <v>1</v>
      </c>
      <c r="C1580" t="s">
        <v>4801</v>
      </c>
      <c r="D1580" t="s">
        <v>4802</v>
      </c>
      <c r="E1580" t="s">
        <v>73</v>
      </c>
      <c r="F1580" t="s">
        <v>73</v>
      </c>
      <c r="G1580" t="s">
        <v>73</v>
      </c>
      <c r="H1580">
        <v>8.4</v>
      </c>
      <c r="I1580">
        <v>475</v>
      </c>
      <c r="J1580">
        <v>53500</v>
      </c>
      <c r="K1580" t="s">
        <v>4803</v>
      </c>
      <c r="L1580">
        <f t="shared" si="98"/>
        <v>11</v>
      </c>
      <c r="N1580">
        <v>11</v>
      </c>
      <c r="O1580">
        <v>11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2</v>
      </c>
      <c r="AB1580">
        <v>1</v>
      </c>
      <c r="AC1580">
        <v>1</v>
      </c>
      <c r="AD1580">
        <v>0</v>
      </c>
      <c r="AE1580">
        <v>1</v>
      </c>
      <c r="AF1580">
        <v>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</v>
      </c>
      <c r="AS1580">
        <v>0</v>
      </c>
      <c r="AT1580">
        <v>2</v>
      </c>
      <c r="AU1580">
        <v>1</v>
      </c>
      <c r="AV1580">
        <v>1</v>
      </c>
      <c r="AW1580">
        <v>0</v>
      </c>
      <c r="AX1580">
        <v>1</v>
      </c>
      <c r="AY1580">
        <v>4</v>
      </c>
      <c r="AZ1580">
        <v>0</v>
      </c>
      <c r="BA1580">
        <v>0</v>
      </c>
      <c r="BB1580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2</v>
      </c>
      <c r="BL1580" s="2">
        <v>0</v>
      </c>
      <c r="BM1580" s="2">
        <v>2</v>
      </c>
      <c r="BN1580" s="2">
        <v>1</v>
      </c>
      <c r="BO1580" s="2">
        <v>1</v>
      </c>
      <c r="BP1580" s="2">
        <v>0</v>
      </c>
      <c r="BQ1580" s="2">
        <v>1</v>
      </c>
      <c r="BR1580" s="2">
        <v>4</v>
      </c>
      <c r="BS1580" s="2">
        <v>0</v>
      </c>
      <c r="BT1580" s="2">
        <v>0</v>
      </c>
      <c r="BU1580" s="2">
        <v>0</v>
      </c>
      <c r="BV1580" s="2">
        <f t="shared" si="101"/>
        <v>11</v>
      </c>
      <c r="BW1580" s="16">
        <f t="shared" si="99"/>
        <v>0.57894736842105265</v>
      </c>
      <c r="BX1580" s="16">
        <f>COUNTIF($BC$6:BU1580, "=0") / COUNTIF($BC$6:BU1580, "&gt;-1")</f>
        <v>0.39866332497911444</v>
      </c>
      <c r="BY1580" s="18">
        <f>SUM($BC$6:BU1580) / $BY$4</f>
        <v>0.98342144288893274</v>
      </c>
      <c r="BZ1580" s="14">
        <f t="shared" si="100"/>
        <v>13</v>
      </c>
      <c r="CA1580" t="s">
        <v>5832</v>
      </c>
      <c r="CZ1580" t="s">
        <v>12561</v>
      </c>
      <c r="DA1580" t="s">
        <v>5904</v>
      </c>
      <c r="DB1580">
        <v>988</v>
      </c>
      <c r="DC1580" t="s">
        <v>33335</v>
      </c>
      <c r="DD1580" t="s">
        <v>33336</v>
      </c>
      <c r="DE1580" t="s">
        <v>33337</v>
      </c>
      <c r="DF1580" t="s">
        <v>33338</v>
      </c>
      <c r="DG1580" t="s">
        <v>33339</v>
      </c>
      <c r="DH1580" t="str">
        <f>"U2AF2"</f>
        <v>U2AF2</v>
      </c>
      <c r="DI1580" t="s">
        <v>33340</v>
      </c>
      <c r="DJ1580" t="s">
        <v>13777</v>
      </c>
      <c r="DK1580">
        <v>9606</v>
      </c>
      <c r="DL1580" s="34" t="str">
        <f>HYPERLINK("http://www.uniprot.org/uniprot/P26368", "P26368")</f>
        <v>P26368</v>
      </c>
      <c r="DM1580" t="s">
        <v>33341</v>
      </c>
      <c r="DN1580" t="s">
        <v>15152</v>
      </c>
      <c r="DO1580" t="s">
        <v>16088</v>
      </c>
      <c r="DP1580" t="s">
        <v>13841</v>
      </c>
      <c r="DQ1580" t="s">
        <v>13772</v>
      </c>
      <c r="DR1580" t="s">
        <v>13772</v>
      </c>
      <c r="DS1580" t="s">
        <v>14096</v>
      </c>
      <c r="DT1580" t="s">
        <v>13772</v>
      </c>
      <c r="DU1580" t="s">
        <v>15484</v>
      </c>
      <c r="DV1580" t="s">
        <v>33342</v>
      </c>
      <c r="DW1580" t="s">
        <v>13812</v>
      </c>
      <c r="DX1580" t="s">
        <v>33343</v>
      </c>
      <c r="DY1580" t="s">
        <v>33344</v>
      </c>
      <c r="DZ1580" t="s">
        <v>33345</v>
      </c>
      <c r="EA1580" t="s">
        <v>13772</v>
      </c>
      <c r="EB1580" t="s">
        <v>15488</v>
      </c>
    </row>
    <row r="1581" spans="1:132" hidden="1">
      <c r="A1581">
        <v>2047</v>
      </c>
      <c r="B1581">
        <v>1</v>
      </c>
      <c r="C1581" t="s">
        <v>4812</v>
      </c>
      <c r="D1581" t="s">
        <v>73</v>
      </c>
      <c r="E1581" t="s">
        <v>73</v>
      </c>
      <c r="F1581" t="s">
        <v>73</v>
      </c>
      <c r="G1581" t="s">
        <v>73</v>
      </c>
      <c r="H1581">
        <v>33</v>
      </c>
      <c r="I1581">
        <v>194</v>
      </c>
      <c r="J1581">
        <v>22591</v>
      </c>
      <c r="K1581" t="s">
        <v>4813</v>
      </c>
      <c r="L1581">
        <f t="shared" si="98"/>
        <v>11</v>
      </c>
      <c r="N1581">
        <v>11</v>
      </c>
      <c r="O1581">
        <v>11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5</v>
      </c>
      <c r="AB1581">
        <v>6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5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5</v>
      </c>
      <c r="BN1581" s="2">
        <v>6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f t="shared" si="101"/>
        <v>11</v>
      </c>
      <c r="BW1581" s="16">
        <f t="shared" si="99"/>
        <v>0.57894736842105265</v>
      </c>
      <c r="BX1581" s="16">
        <f>COUNTIF($BC$6:BU1581, "=0") / COUNTIF($BC$6:BU1581, "&gt;-1")</f>
        <v>0.39897809243921989</v>
      </c>
      <c r="BY1581" s="18">
        <f>SUM($BC$6:BU1581) / $BY$4</f>
        <v>0.98346856289448847</v>
      </c>
      <c r="BZ1581" s="14">
        <f t="shared" si="100"/>
        <v>17</v>
      </c>
      <c r="CA1581" t="s">
        <v>5832</v>
      </c>
      <c r="CZ1581" t="s">
        <v>12575</v>
      </c>
      <c r="DA1581" t="s">
        <v>5904</v>
      </c>
      <c r="DB1581">
        <v>387.9</v>
      </c>
      <c r="DC1581" t="s">
        <v>33375</v>
      </c>
      <c r="DD1581" t="s">
        <v>33376</v>
      </c>
      <c r="DE1581" t="s">
        <v>33377</v>
      </c>
      <c r="DF1581" t="s">
        <v>33378</v>
      </c>
      <c r="DG1581" t="s">
        <v>33379</v>
      </c>
      <c r="DH1581" t="str">
        <f>"RPS9"</f>
        <v>RPS9</v>
      </c>
      <c r="DI1581" t="s">
        <v>13772</v>
      </c>
      <c r="DJ1581" t="s">
        <v>13777</v>
      </c>
      <c r="DK1581">
        <v>9606</v>
      </c>
      <c r="DL1581" s="34" t="str">
        <f>HYPERLINK("http://www.uniprot.org/uniprot/P46781", "P46781")</f>
        <v>P46781</v>
      </c>
      <c r="DM1581" t="s">
        <v>33380</v>
      </c>
      <c r="DN1581" t="s">
        <v>13772</v>
      </c>
      <c r="DO1581" t="s">
        <v>13899</v>
      </c>
      <c r="DP1581" t="s">
        <v>13793</v>
      </c>
      <c r="DQ1581" t="s">
        <v>13772</v>
      </c>
      <c r="DR1581" t="s">
        <v>13772</v>
      </c>
      <c r="DS1581" t="s">
        <v>13772</v>
      </c>
      <c r="DT1581" t="s">
        <v>13772</v>
      </c>
      <c r="DU1581" t="s">
        <v>26065</v>
      </c>
      <c r="DV1581" t="s">
        <v>13991</v>
      </c>
      <c r="DW1581" t="s">
        <v>13812</v>
      </c>
      <c r="DX1581" t="s">
        <v>33381</v>
      </c>
      <c r="DY1581" t="s">
        <v>33382</v>
      </c>
      <c r="DZ1581" t="s">
        <v>33383</v>
      </c>
      <c r="EA1581" t="s">
        <v>13772</v>
      </c>
      <c r="EB1581" t="s">
        <v>15723</v>
      </c>
    </row>
    <row r="1582" spans="1:132" hidden="1">
      <c r="A1582">
        <v>2119</v>
      </c>
      <c r="B1582">
        <v>1</v>
      </c>
      <c r="C1582" t="s">
        <v>4972</v>
      </c>
      <c r="D1582" t="s">
        <v>73</v>
      </c>
      <c r="E1582" t="s">
        <v>73</v>
      </c>
      <c r="F1582" t="s">
        <v>73</v>
      </c>
      <c r="G1582" t="s">
        <v>73</v>
      </c>
      <c r="H1582">
        <v>18.600000000000001</v>
      </c>
      <c r="I1582">
        <v>102</v>
      </c>
      <c r="J1582">
        <v>10419</v>
      </c>
      <c r="K1582" t="s">
        <v>4973</v>
      </c>
      <c r="L1582">
        <f t="shared" si="98"/>
        <v>11</v>
      </c>
      <c r="N1582">
        <v>11</v>
      </c>
      <c r="O1582">
        <v>11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5</v>
      </c>
      <c r="Z1582">
        <v>0</v>
      </c>
      <c r="AA1582">
        <v>2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5</v>
      </c>
      <c r="AS1582">
        <v>0</v>
      </c>
      <c r="AT1582">
        <v>2</v>
      </c>
      <c r="AU1582">
        <v>0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5</v>
      </c>
      <c r="BL1582" s="2">
        <v>0</v>
      </c>
      <c r="BM1582" s="2">
        <v>2</v>
      </c>
      <c r="BN1582" s="2">
        <v>0</v>
      </c>
      <c r="BO1582" s="2">
        <v>1</v>
      </c>
      <c r="BP1582" s="2">
        <v>1</v>
      </c>
      <c r="BQ1582" s="2">
        <v>1</v>
      </c>
      <c r="BR1582" s="2">
        <v>1</v>
      </c>
      <c r="BS1582" s="2">
        <v>0</v>
      </c>
      <c r="BT1582" s="2">
        <v>0</v>
      </c>
      <c r="BU1582" s="2">
        <v>0</v>
      </c>
      <c r="BV1582" s="2">
        <f t="shared" si="101"/>
        <v>11</v>
      </c>
      <c r="BW1582" s="16">
        <f t="shared" si="99"/>
        <v>0.57894736842105265</v>
      </c>
      <c r="BX1582" s="16">
        <f>COUNTIF($BC$6:BU1582, "=0") / COUNTIF($BC$6:BU1582, "&gt;-1")</f>
        <v>0.39915896272068885</v>
      </c>
      <c r="BY1582" s="18">
        <f>SUM($BC$6:BU1582) / $BY$4</f>
        <v>0.9835156829000441</v>
      </c>
      <c r="BZ1582" s="14">
        <f t="shared" si="100"/>
        <v>13</v>
      </c>
      <c r="CA1582" t="s">
        <v>5832</v>
      </c>
      <c r="CZ1582" t="s">
        <v>12810</v>
      </c>
      <c r="DA1582" t="s">
        <v>6759</v>
      </c>
      <c r="DB1582">
        <v>38.9</v>
      </c>
      <c r="DC1582" t="s">
        <v>34039</v>
      </c>
      <c r="DD1582" t="s">
        <v>34040</v>
      </c>
      <c r="DE1582" t="s">
        <v>34041</v>
      </c>
      <c r="DF1582" t="s">
        <v>34042</v>
      </c>
      <c r="DG1582" t="s">
        <v>34043</v>
      </c>
      <c r="DH1582" t="str">
        <f>"IMUP"</f>
        <v>IMUP</v>
      </c>
      <c r="DI1582" t="s">
        <v>34044</v>
      </c>
      <c r="DJ1582" t="s">
        <v>13777</v>
      </c>
      <c r="DK1582">
        <v>9606</v>
      </c>
      <c r="DL1582" s="34" t="str">
        <f>HYPERLINK("http://www.uniprot.org/uniprot/Q9GZP8", "Q9GZP8")</f>
        <v>Q9GZP8</v>
      </c>
      <c r="DM1582" t="s">
        <v>34045</v>
      </c>
      <c r="DN1582" t="s">
        <v>13772</v>
      </c>
      <c r="DO1582" t="s">
        <v>14825</v>
      </c>
      <c r="DP1582" t="s">
        <v>13841</v>
      </c>
      <c r="DQ1582" t="s">
        <v>13772</v>
      </c>
      <c r="DR1582" t="s">
        <v>13772</v>
      </c>
      <c r="DS1582" t="s">
        <v>13772</v>
      </c>
      <c r="DT1582" t="s">
        <v>13772</v>
      </c>
      <c r="DU1582" t="s">
        <v>13772</v>
      </c>
      <c r="DV1582" t="s">
        <v>13886</v>
      </c>
      <c r="DW1582" t="s">
        <v>13772</v>
      </c>
      <c r="DX1582" t="s">
        <v>13772</v>
      </c>
      <c r="DY1582" t="s">
        <v>31469</v>
      </c>
      <c r="DZ1582" t="s">
        <v>13772</v>
      </c>
      <c r="EA1582" t="s">
        <v>13772</v>
      </c>
      <c r="EB1582" t="s">
        <v>13772</v>
      </c>
    </row>
    <row r="1583" spans="1:132" hidden="1">
      <c r="A1583">
        <v>2127</v>
      </c>
      <c r="B1583">
        <v>1</v>
      </c>
      <c r="C1583" t="s">
        <v>4988</v>
      </c>
      <c r="D1583" t="s">
        <v>4989</v>
      </c>
      <c r="E1583" t="s">
        <v>73</v>
      </c>
      <c r="F1583" t="s">
        <v>73</v>
      </c>
      <c r="G1583" t="s">
        <v>73</v>
      </c>
      <c r="H1583">
        <v>5.4</v>
      </c>
      <c r="I1583">
        <v>1255</v>
      </c>
      <c r="J1583">
        <v>134235</v>
      </c>
      <c r="K1583" t="s">
        <v>4990</v>
      </c>
      <c r="L1583">
        <f t="shared" si="98"/>
        <v>11</v>
      </c>
      <c r="N1583">
        <v>11</v>
      </c>
      <c r="O1583">
        <v>11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2</v>
      </c>
      <c r="V1583">
        <v>1</v>
      </c>
      <c r="W1583">
        <v>1</v>
      </c>
      <c r="X1583">
        <v>2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2</v>
      </c>
      <c r="AO1583">
        <v>1</v>
      </c>
      <c r="AP1583">
        <v>1</v>
      </c>
      <c r="AQ1583">
        <v>2</v>
      </c>
      <c r="AR1583">
        <v>0</v>
      </c>
      <c r="AS1583">
        <v>0</v>
      </c>
      <c r="AT1583">
        <v>2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 s="2">
        <v>1</v>
      </c>
      <c r="BD1583" s="2">
        <v>0</v>
      </c>
      <c r="BE1583" s="2">
        <v>0</v>
      </c>
      <c r="BF1583" s="2">
        <v>0</v>
      </c>
      <c r="BG1583" s="2">
        <v>2</v>
      </c>
      <c r="BH1583" s="2">
        <v>1</v>
      </c>
      <c r="BI1583" s="2">
        <v>1</v>
      </c>
      <c r="BJ1583" s="2">
        <v>2</v>
      </c>
      <c r="BK1583" s="2">
        <v>0</v>
      </c>
      <c r="BL1583" s="2">
        <v>0</v>
      </c>
      <c r="BM1583" s="2">
        <v>2</v>
      </c>
      <c r="BN1583" s="2">
        <v>0</v>
      </c>
      <c r="BO1583" s="2">
        <v>0</v>
      </c>
      <c r="BP1583" s="2">
        <v>0</v>
      </c>
      <c r="BQ1583" s="2">
        <v>1</v>
      </c>
      <c r="BR1583" s="2">
        <v>1</v>
      </c>
      <c r="BS1583" s="2">
        <v>0</v>
      </c>
      <c r="BT1583" s="2">
        <v>0</v>
      </c>
      <c r="BU1583" s="2">
        <v>0</v>
      </c>
      <c r="BV1583" s="2">
        <f t="shared" si="101"/>
        <v>11</v>
      </c>
      <c r="BW1583" s="16">
        <f t="shared" si="99"/>
        <v>0.57894736842105265</v>
      </c>
      <c r="BX1583" s="16">
        <f>COUNTIF($BC$6:BU1583, "=0") / COUNTIF($BC$6:BU1583, "&gt;-1")</f>
        <v>0.39927289707157626</v>
      </c>
      <c r="BY1583" s="18">
        <f>SUM($BC$6:BU1583) / $BY$4</f>
        <v>0.98356280290559983</v>
      </c>
      <c r="BZ1583" s="14">
        <f t="shared" si="100"/>
        <v>11</v>
      </c>
      <c r="CA1583" t="s">
        <v>5832</v>
      </c>
      <c r="CZ1583" t="s">
        <v>12837</v>
      </c>
      <c r="DA1583" t="s">
        <v>6054</v>
      </c>
      <c r="DB1583">
        <v>1057</v>
      </c>
      <c r="DC1583" t="s">
        <v>34112</v>
      </c>
      <c r="DD1583" t="s">
        <v>34113</v>
      </c>
      <c r="DE1583" t="s">
        <v>34114</v>
      </c>
      <c r="DF1583" t="s">
        <v>34115</v>
      </c>
      <c r="DG1583" t="s">
        <v>34116</v>
      </c>
      <c r="DH1583" t="str">
        <f>"FHOD1"</f>
        <v>FHOD1</v>
      </c>
      <c r="DI1583" t="s">
        <v>34117</v>
      </c>
      <c r="DJ1583" t="s">
        <v>13777</v>
      </c>
      <c r="DK1583">
        <v>9606</v>
      </c>
      <c r="DL1583" s="34" t="str">
        <f>HYPERLINK("http://www.uniprot.org/uniprot/Q9Y613", "Q9Y613")</f>
        <v>Q9Y613</v>
      </c>
      <c r="DM1583" t="s">
        <v>34118</v>
      </c>
      <c r="DN1583" t="s">
        <v>13772</v>
      </c>
      <c r="DO1583" t="s">
        <v>14870</v>
      </c>
      <c r="DP1583" t="s">
        <v>13772</v>
      </c>
      <c r="DQ1583" t="s">
        <v>13772</v>
      </c>
      <c r="DR1583" t="s">
        <v>13772</v>
      </c>
      <c r="DS1583" t="s">
        <v>14245</v>
      </c>
      <c r="DT1583" t="s">
        <v>13772</v>
      </c>
      <c r="DU1583" t="s">
        <v>13990</v>
      </c>
      <c r="DV1583" t="s">
        <v>13782</v>
      </c>
      <c r="DW1583" t="s">
        <v>13812</v>
      </c>
      <c r="DX1583" t="s">
        <v>34119</v>
      </c>
      <c r="DY1583" t="s">
        <v>34120</v>
      </c>
      <c r="DZ1583" t="s">
        <v>34121</v>
      </c>
      <c r="EA1583" t="s">
        <v>13772</v>
      </c>
      <c r="EB1583" t="s">
        <v>13772</v>
      </c>
    </row>
    <row r="1584" spans="1:132" hidden="1">
      <c r="A1584">
        <v>2218</v>
      </c>
      <c r="B1584">
        <v>1</v>
      </c>
      <c r="C1584" t="s">
        <v>5187</v>
      </c>
      <c r="D1584" t="s">
        <v>73</v>
      </c>
      <c r="E1584" t="s">
        <v>73</v>
      </c>
      <c r="F1584" t="s">
        <v>5188</v>
      </c>
      <c r="G1584" t="s">
        <v>73</v>
      </c>
      <c r="H1584">
        <v>29.1</v>
      </c>
      <c r="I1584">
        <v>158</v>
      </c>
      <c r="J1584">
        <v>18166</v>
      </c>
      <c r="K1584" t="s">
        <v>5189</v>
      </c>
      <c r="L1584">
        <f t="shared" si="98"/>
        <v>12</v>
      </c>
      <c r="N1584">
        <v>12</v>
      </c>
      <c r="O1584">
        <v>7</v>
      </c>
      <c r="P1584">
        <v>0.58299999999999996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3</v>
      </c>
      <c r="AB1584">
        <v>1</v>
      </c>
      <c r="AC1584">
        <v>1</v>
      </c>
      <c r="AD1584">
        <v>0</v>
      </c>
      <c r="AE1584">
        <v>3</v>
      </c>
      <c r="AF1584">
        <v>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2</v>
      </c>
      <c r="AU1584">
        <v>1</v>
      </c>
      <c r="AV1584">
        <v>1</v>
      </c>
      <c r="AW1584">
        <v>0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1</v>
      </c>
      <c r="BL1584" s="2">
        <v>0</v>
      </c>
      <c r="BM1584" s="2">
        <v>3</v>
      </c>
      <c r="BN1584" s="2">
        <v>1</v>
      </c>
      <c r="BO1584" s="2">
        <v>1</v>
      </c>
      <c r="BP1584" s="2">
        <v>0</v>
      </c>
      <c r="BQ1584" s="2">
        <v>3</v>
      </c>
      <c r="BR1584" s="2">
        <v>2</v>
      </c>
      <c r="BS1584" s="2">
        <v>0</v>
      </c>
      <c r="BT1584" s="2">
        <v>0</v>
      </c>
      <c r="BU1584" s="2">
        <v>0</v>
      </c>
      <c r="BV1584" s="2">
        <f t="shared" si="101"/>
        <v>11</v>
      </c>
      <c r="BW1584" s="16">
        <f t="shared" si="99"/>
        <v>0.57894736842105265</v>
      </c>
      <c r="BX1584" s="16">
        <f>COUNTIF($BC$6:BU1584, "=0") / COUNTIF($BC$6:BU1584, "&gt;-1")</f>
        <v>0.39945335155494816</v>
      </c>
      <c r="BY1584" s="18">
        <f>SUM($BC$6:BU1584) / $BY$4</f>
        <v>0.98360992291115557</v>
      </c>
      <c r="BZ1584" s="14">
        <f t="shared" si="100"/>
        <v>13</v>
      </c>
      <c r="CA1584" t="s">
        <v>5832</v>
      </c>
      <c r="CZ1584" t="s">
        <v>13140</v>
      </c>
      <c r="DA1584" t="s">
        <v>5904</v>
      </c>
      <c r="DB1584">
        <v>306.2</v>
      </c>
      <c r="DC1584" t="s">
        <v>34957</v>
      </c>
      <c r="DD1584" t="s">
        <v>34958</v>
      </c>
      <c r="DE1584" t="s">
        <v>34959</v>
      </c>
      <c r="DF1584" t="s">
        <v>34960</v>
      </c>
      <c r="DG1584" t="s">
        <v>34961</v>
      </c>
      <c r="DH1584" t="str">
        <f>"ACP1"</f>
        <v>ACP1</v>
      </c>
      <c r="DI1584" t="s">
        <v>13772</v>
      </c>
      <c r="DJ1584" t="s">
        <v>13777</v>
      </c>
      <c r="DK1584">
        <v>9606</v>
      </c>
      <c r="DL1584" s="34" t="str">
        <f>HYPERLINK("http://www.uniprot.org/uniprot/P24666", "P24666")</f>
        <v>P24666</v>
      </c>
      <c r="DM1584" t="s">
        <v>34962</v>
      </c>
      <c r="DN1584" t="s">
        <v>13772</v>
      </c>
      <c r="DO1584" t="s">
        <v>13899</v>
      </c>
      <c r="DP1584" t="s">
        <v>13780</v>
      </c>
      <c r="DQ1584" t="s">
        <v>13772</v>
      </c>
      <c r="DR1584" t="s">
        <v>13772</v>
      </c>
      <c r="DS1584" t="s">
        <v>13772</v>
      </c>
      <c r="DT1584" t="s">
        <v>13772</v>
      </c>
      <c r="DU1584" t="s">
        <v>16320</v>
      </c>
      <c r="DV1584" t="s">
        <v>13886</v>
      </c>
      <c r="DW1584" t="s">
        <v>13812</v>
      </c>
      <c r="DX1584" t="s">
        <v>13772</v>
      </c>
      <c r="DY1584" t="s">
        <v>34963</v>
      </c>
      <c r="DZ1584" t="s">
        <v>34964</v>
      </c>
      <c r="EA1584" t="s">
        <v>13772</v>
      </c>
      <c r="EB1584" t="s">
        <v>13772</v>
      </c>
    </row>
    <row r="1585" spans="1:132" hidden="1">
      <c r="A1585">
        <v>2337</v>
      </c>
      <c r="B1585">
        <v>1</v>
      </c>
      <c r="C1585" t="s">
        <v>5451</v>
      </c>
      <c r="D1585" t="s">
        <v>73</v>
      </c>
      <c r="E1585" t="s">
        <v>73</v>
      </c>
      <c r="F1585" t="s">
        <v>73</v>
      </c>
      <c r="G1585" t="s">
        <v>73</v>
      </c>
      <c r="H1585">
        <v>25.5</v>
      </c>
      <c r="I1585">
        <v>381</v>
      </c>
      <c r="J1585">
        <v>42996</v>
      </c>
      <c r="K1585" t="s">
        <v>5452</v>
      </c>
      <c r="L1585">
        <f t="shared" si="98"/>
        <v>11</v>
      </c>
      <c r="N1585">
        <v>11</v>
      </c>
      <c r="O1585">
        <v>11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5</v>
      </c>
      <c r="AB1585">
        <v>0</v>
      </c>
      <c r="AC1585">
        <v>1</v>
      </c>
      <c r="AD1585">
        <v>0</v>
      </c>
      <c r="AE1585">
        <v>2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5</v>
      </c>
      <c r="AU1585">
        <v>0</v>
      </c>
      <c r="AV1585">
        <v>1</v>
      </c>
      <c r="AW1585">
        <v>0</v>
      </c>
      <c r="AX1585">
        <v>2</v>
      </c>
      <c r="AY1585">
        <v>1</v>
      </c>
      <c r="AZ1585">
        <v>0</v>
      </c>
      <c r="BA1585">
        <v>0</v>
      </c>
      <c r="BB1585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5</v>
      </c>
      <c r="BN1585" s="2">
        <v>0</v>
      </c>
      <c r="BO1585" s="2">
        <v>1</v>
      </c>
      <c r="BP1585" s="2">
        <v>0</v>
      </c>
      <c r="BQ1585" s="2">
        <v>2</v>
      </c>
      <c r="BR1585" s="2">
        <v>1</v>
      </c>
      <c r="BS1585" s="2">
        <v>0</v>
      </c>
      <c r="BT1585" s="2">
        <v>0</v>
      </c>
      <c r="BU1585" s="2">
        <v>0</v>
      </c>
      <c r="BV1585" s="2">
        <f t="shared" si="101"/>
        <v>11</v>
      </c>
      <c r="BW1585" s="16">
        <f t="shared" si="99"/>
        <v>0.57894736842105265</v>
      </c>
      <c r="BX1585" s="16">
        <f>COUNTIF($BC$6:BU1585, "=0") / COUNTIF($BC$6:BU1585, "&gt;-1")</f>
        <v>0.39963357761492341</v>
      </c>
      <c r="BY1585" s="18">
        <f>SUM($BC$6:BU1585) / $BY$4</f>
        <v>0.9836570429167113</v>
      </c>
      <c r="BZ1585" s="14">
        <f t="shared" si="100"/>
        <v>13</v>
      </c>
      <c r="CA1585" t="s">
        <v>5832</v>
      </c>
      <c r="CZ1585" t="s">
        <v>13518</v>
      </c>
      <c r="DA1585" t="s">
        <v>5904</v>
      </c>
      <c r="DB1585">
        <v>763.5</v>
      </c>
      <c r="DC1585" t="s">
        <v>36026</v>
      </c>
      <c r="DD1585" t="s">
        <v>36027</v>
      </c>
      <c r="DE1585" t="s">
        <v>36028</v>
      </c>
      <c r="DF1585" t="s">
        <v>36029</v>
      </c>
      <c r="DG1585" t="s">
        <v>36030</v>
      </c>
      <c r="DH1585" t="str">
        <f>"PRKAR1A"</f>
        <v>PRKAR1A</v>
      </c>
      <c r="DI1585" t="s">
        <v>36031</v>
      </c>
      <c r="DJ1585" t="s">
        <v>13777</v>
      </c>
      <c r="DK1585">
        <v>9606</v>
      </c>
      <c r="DL1585" s="34" t="str">
        <f>HYPERLINK("http://www.uniprot.org/uniprot/P10644", "P10644")</f>
        <v>P10644</v>
      </c>
      <c r="DM1585" t="s">
        <v>36032</v>
      </c>
      <c r="DN1585" t="s">
        <v>13772</v>
      </c>
      <c r="DO1585" t="s">
        <v>13792</v>
      </c>
      <c r="DP1585" t="s">
        <v>13841</v>
      </c>
      <c r="DQ1585" t="s">
        <v>13772</v>
      </c>
      <c r="DR1585" t="s">
        <v>21050</v>
      </c>
      <c r="DS1585" t="s">
        <v>14096</v>
      </c>
      <c r="DT1585" t="s">
        <v>20609</v>
      </c>
      <c r="DU1585" t="s">
        <v>13772</v>
      </c>
      <c r="DV1585" t="s">
        <v>15256</v>
      </c>
      <c r="DW1585" t="s">
        <v>13812</v>
      </c>
      <c r="DX1585" t="s">
        <v>36033</v>
      </c>
      <c r="DY1585" t="s">
        <v>36034</v>
      </c>
      <c r="DZ1585" t="s">
        <v>20612</v>
      </c>
      <c r="EA1585" t="s">
        <v>13772</v>
      </c>
      <c r="EB1585" t="s">
        <v>36035</v>
      </c>
    </row>
    <row r="1586" spans="1:132" hidden="1">
      <c r="A1586">
        <v>1673</v>
      </c>
      <c r="B1586">
        <v>1</v>
      </c>
      <c r="C1586" t="s">
        <v>3966</v>
      </c>
      <c r="D1586" t="s">
        <v>73</v>
      </c>
      <c r="E1586" t="s">
        <v>73</v>
      </c>
      <c r="F1586" t="s">
        <v>3490</v>
      </c>
      <c r="G1586" t="s">
        <v>73</v>
      </c>
      <c r="H1586">
        <v>22.8</v>
      </c>
      <c r="I1586">
        <v>162</v>
      </c>
      <c r="J1586">
        <v>18884</v>
      </c>
      <c r="K1586" t="s">
        <v>3967</v>
      </c>
      <c r="L1586">
        <f t="shared" si="98"/>
        <v>13</v>
      </c>
      <c r="N1586">
        <v>13</v>
      </c>
      <c r="O1586">
        <v>8</v>
      </c>
      <c r="P1586">
        <v>0.61499999999999999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3</v>
      </c>
      <c r="Z1586">
        <v>0</v>
      </c>
      <c r="AA1586">
        <v>3</v>
      </c>
      <c r="AB1586">
        <v>1</v>
      </c>
      <c r="AC1586">
        <v>2</v>
      </c>
      <c r="AD1586">
        <v>0</v>
      </c>
      <c r="AE1586">
        <v>0</v>
      </c>
      <c r="AF1586">
        <v>3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2</v>
      </c>
      <c r="AU1586">
        <v>1</v>
      </c>
      <c r="AV1586">
        <v>2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1</v>
      </c>
      <c r="BH1586" s="2">
        <v>0</v>
      </c>
      <c r="BI1586" s="2">
        <v>0</v>
      </c>
      <c r="BJ1586" s="2">
        <v>0</v>
      </c>
      <c r="BK1586" s="2">
        <v>1.5</v>
      </c>
      <c r="BL1586" s="2">
        <v>0</v>
      </c>
      <c r="BM1586" s="2">
        <v>2.3330000000000002</v>
      </c>
      <c r="BN1586" s="2">
        <v>1</v>
      </c>
      <c r="BO1586" s="2">
        <v>2</v>
      </c>
      <c r="BP1586" s="2">
        <v>0</v>
      </c>
      <c r="BQ1586" s="2">
        <v>0</v>
      </c>
      <c r="BR1586" s="2">
        <v>3</v>
      </c>
      <c r="BS1586" s="2">
        <v>0</v>
      </c>
      <c r="BT1586" s="2">
        <v>0</v>
      </c>
      <c r="BU1586" s="2">
        <v>0</v>
      </c>
      <c r="BV1586" s="2">
        <f t="shared" si="101"/>
        <v>10.833</v>
      </c>
      <c r="BW1586" s="16">
        <f t="shared" si="99"/>
        <v>0.57015789473684209</v>
      </c>
      <c r="BX1586" s="16">
        <f>COUNTIF($BC$6:BU1586, "=0") / COUNTIF($BC$6:BU1586, "&gt;-1")</f>
        <v>0.39981357568494291</v>
      </c>
      <c r="BY1586" s="18">
        <f>SUM($BC$6:BU1586) / $BY$4</f>
        <v>0.9837034475549099</v>
      </c>
      <c r="BZ1586" s="14">
        <f t="shared" si="100"/>
        <v>13</v>
      </c>
      <c r="CA1586" t="s">
        <v>5832</v>
      </c>
      <c r="CZ1586" t="s">
        <v>11326</v>
      </c>
      <c r="DA1586" t="s">
        <v>5904</v>
      </c>
      <c r="DB1586">
        <v>330.9</v>
      </c>
      <c r="DC1586" t="s">
        <v>29848</v>
      </c>
      <c r="DD1586" t="s">
        <v>13772</v>
      </c>
      <c r="DE1586" t="s">
        <v>29849</v>
      </c>
      <c r="DF1586" t="s">
        <v>29850</v>
      </c>
      <c r="DG1586" t="s">
        <v>29851</v>
      </c>
      <c r="DH1586" t="str">
        <f>"SNX12"</f>
        <v>SNX12</v>
      </c>
      <c r="DI1586" t="s">
        <v>13772</v>
      </c>
      <c r="DJ1586" t="s">
        <v>13777</v>
      </c>
      <c r="DK1586">
        <v>9606</v>
      </c>
      <c r="DL1586" s="34" t="str">
        <f>HYPERLINK("http://www.uniprot.org/uniprot/Q9UMY4", "Q9UMY4")</f>
        <v>Q9UMY4</v>
      </c>
      <c r="DM1586" t="s">
        <v>29852</v>
      </c>
      <c r="DN1586" t="s">
        <v>14347</v>
      </c>
      <c r="DO1586" t="s">
        <v>13825</v>
      </c>
      <c r="DP1586" t="s">
        <v>13841</v>
      </c>
      <c r="DQ1586" t="s">
        <v>13772</v>
      </c>
      <c r="DR1586" t="s">
        <v>13772</v>
      </c>
      <c r="DS1586" t="s">
        <v>13772</v>
      </c>
      <c r="DT1586" t="s">
        <v>13900</v>
      </c>
      <c r="DU1586" t="s">
        <v>13772</v>
      </c>
      <c r="DV1586" t="s">
        <v>13886</v>
      </c>
      <c r="DW1586" t="s">
        <v>13812</v>
      </c>
      <c r="DX1586" t="s">
        <v>29853</v>
      </c>
      <c r="DY1586" t="s">
        <v>29854</v>
      </c>
      <c r="DZ1586" t="s">
        <v>29855</v>
      </c>
      <c r="EA1586" t="s">
        <v>13772</v>
      </c>
      <c r="EB1586" t="s">
        <v>13772</v>
      </c>
    </row>
    <row r="1587" spans="1:132" hidden="1">
      <c r="A1587">
        <v>690</v>
      </c>
      <c r="B1587">
        <v>1</v>
      </c>
      <c r="C1587" t="s">
        <v>1698</v>
      </c>
      <c r="D1587" t="s">
        <v>1699</v>
      </c>
      <c r="E1587" t="s">
        <v>73</v>
      </c>
      <c r="F1587" t="s">
        <v>1700</v>
      </c>
      <c r="G1587" t="s">
        <v>73</v>
      </c>
      <c r="H1587">
        <v>17.399999999999999</v>
      </c>
      <c r="I1587">
        <v>651</v>
      </c>
      <c r="J1587">
        <v>72710</v>
      </c>
      <c r="K1587" t="s">
        <v>1701</v>
      </c>
      <c r="L1587">
        <f t="shared" si="98"/>
        <v>13</v>
      </c>
      <c r="N1587">
        <v>13</v>
      </c>
      <c r="O1587">
        <v>10</v>
      </c>
      <c r="P1587">
        <v>0.76900000000000002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5</v>
      </c>
      <c r="AB1587">
        <v>1</v>
      </c>
      <c r="AC1587">
        <v>2</v>
      </c>
      <c r="AD1587">
        <v>0</v>
      </c>
      <c r="AE1587">
        <v>2</v>
      </c>
      <c r="AF1587">
        <v>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4</v>
      </c>
      <c r="AU1587">
        <v>1</v>
      </c>
      <c r="AV1587">
        <v>1</v>
      </c>
      <c r="AW1587">
        <v>0</v>
      </c>
      <c r="AX1587">
        <v>2</v>
      </c>
      <c r="AY1587">
        <v>2</v>
      </c>
      <c r="AZ1587">
        <v>0</v>
      </c>
      <c r="BA1587">
        <v>0</v>
      </c>
      <c r="BB1587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4.3639999999999999</v>
      </c>
      <c r="BN1587" s="2">
        <v>1</v>
      </c>
      <c r="BO1587" s="2">
        <v>1.25</v>
      </c>
      <c r="BP1587" s="2">
        <v>0</v>
      </c>
      <c r="BQ1587" s="2">
        <v>2</v>
      </c>
      <c r="BR1587" s="2">
        <v>2</v>
      </c>
      <c r="BS1587" s="2">
        <v>0</v>
      </c>
      <c r="BT1587" s="2">
        <v>0</v>
      </c>
      <c r="BU1587" s="2">
        <v>0</v>
      </c>
      <c r="BV1587" s="2">
        <f t="shared" si="101"/>
        <v>10.614000000000001</v>
      </c>
      <c r="BW1587" s="16">
        <f t="shared" si="99"/>
        <v>0.55863157894736848</v>
      </c>
      <c r="BX1587" s="16">
        <f>COUNTIF($BC$6:BU1587, "=0") / COUNTIF($BC$6:BU1587, "&gt;-1")</f>
        <v>0.40002661521059285</v>
      </c>
      <c r="BY1587" s="18">
        <f>SUM($BC$6:BU1587) / $BY$4</f>
        <v>0.98374891407663434</v>
      </c>
      <c r="BZ1587" s="14">
        <f t="shared" si="100"/>
        <v>14</v>
      </c>
      <c r="CA1587" t="s">
        <v>5832</v>
      </c>
      <c r="CZ1587" t="s">
        <v>8073</v>
      </c>
      <c r="DA1587" t="s">
        <v>5904</v>
      </c>
      <c r="DB1587">
        <v>975.7</v>
      </c>
      <c r="DC1587" t="s">
        <v>20594</v>
      </c>
      <c r="DD1587" t="s">
        <v>13772</v>
      </c>
      <c r="DE1587" t="s">
        <v>20595</v>
      </c>
      <c r="DF1587" t="s">
        <v>20596</v>
      </c>
      <c r="DG1587" t="s">
        <v>20597</v>
      </c>
      <c r="DH1587" t="str">
        <f>"LMNB2"</f>
        <v>LMNB2</v>
      </c>
      <c r="DI1587" t="s">
        <v>20598</v>
      </c>
      <c r="DJ1587" t="s">
        <v>13777</v>
      </c>
      <c r="DK1587">
        <v>9606</v>
      </c>
      <c r="DL1587" s="34" t="str">
        <f>HYPERLINK("http://www.uniprot.org/uniprot/Q03252", "Q03252")</f>
        <v>Q03252</v>
      </c>
      <c r="DM1587" t="s">
        <v>20599</v>
      </c>
      <c r="DN1587" t="s">
        <v>13772</v>
      </c>
      <c r="DO1587" t="s">
        <v>20600</v>
      </c>
      <c r="DP1587" t="s">
        <v>13793</v>
      </c>
      <c r="DQ1587" t="s">
        <v>13772</v>
      </c>
      <c r="DR1587" t="s">
        <v>17649</v>
      </c>
      <c r="DS1587" t="s">
        <v>14245</v>
      </c>
      <c r="DT1587" t="s">
        <v>13772</v>
      </c>
      <c r="DU1587" t="s">
        <v>13772</v>
      </c>
      <c r="DV1587" t="s">
        <v>20601</v>
      </c>
      <c r="DW1587" t="s">
        <v>13812</v>
      </c>
      <c r="DX1587" t="s">
        <v>13772</v>
      </c>
      <c r="DY1587" t="s">
        <v>20602</v>
      </c>
      <c r="DZ1587" t="s">
        <v>16532</v>
      </c>
      <c r="EA1587" t="s">
        <v>13772</v>
      </c>
      <c r="EB1587" t="s">
        <v>13772</v>
      </c>
    </row>
    <row r="1588" spans="1:132" hidden="1">
      <c r="A1588">
        <v>1349</v>
      </c>
      <c r="B1588">
        <v>1</v>
      </c>
      <c r="C1588" t="s">
        <v>3228</v>
      </c>
      <c r="D1588" t="s">
        <v>73</v>
      </c>
      <c r="E1588" t="s">
        <v>73</v>
      </c>
      <c r="F1588" t="s">
        <v>3226</v>
      </c>
      <c r="G1588" t="s">
        <v>73</v>
      </c>
      <c r="H1588">
        <v>17.2</v>
      </c>
      <c r="I1588">
        <v>494</v>
      </c>
      <c r="J1588">
        <v>53762</v>
      </c>
      <c r="K1588" t="s">
        <v>3229</v>
      </c>
      <c r="L1588">
        <f t="shared" si="98"/>
        <v>19</v>
      </c>
      <c r="N1588">
        <v>19</v>
      </c>
      <c r="O1588">
        <v>6</v>
      </c>
      <c r="P1588">
        <v>0.316</v>
      </c>
      <c r="Q1588">
        <v>1</v>
      </c>
      <c r="R1588">
        <v>0</v>
      </c>
      <c r="S1588">
        <v>1</v>
      </c>
      <c r="T1588">
        <v>3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2</v>
      </c>
      <c r="AC1588">
        <v>0</v>
      </c>
      <c r="AD1588">
        <v>0</v>
      </c>
      <c r="AE1588">
        <v>1</v>
      </c>
      <c r="AF1588">
        <v>3</v>
      </c>
      <c r="AG1588">
        <v>3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2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 s="2">
        <v>1</v>
      </c>
      <c r="BD1588" s="2">
        <v>0</v>
      </c>
      <c r="BE1588" s="2">
        <v>1</v>
      </c>
      <c r="BF1588" s="2">
        <v>3</v>
      </c>
      <c r="BG1588" s="2">
        <v>1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2</v>
      </c>
      <c r="BN1588" s="2">
        <v>1</v>
      </c>
      <c r="BO1588" s="2">
        <v>0</v>
      </c>
      <c r="BP1588" s="2">
        <v>0</v>
      </c>
      <c r="BQ1588" s="2">
        <v>0</v>
      </c>
      <c r="BR1588" s="2">
        <v>0</v>
      </c>
      <c r="BS1588" s="2">
        <v>1.5</v>
      </c>
      <c r="BT1588" s="2">
        <v>0</v>
      </c>
      <c r="BU1588" s="2">
        <v>0</v>
      </c>
      <c r="BV1588" s="2">
        <f t="shared" si="101"/>
        <v>10.5</v>
      </c>
      <c r="BW1588" s="16">
        <f t="shared" si="99"/>
        <v>0.55263157894736847</v>
      </c>
      <c r="BX1588" s="16">
        <f>COUNTIF($BC$6:BU1588, "=0") / COUNTIF($BC$6:BU1588, "&gt;-1")</f>
        <v>0.40017288958340258</v>
      </c>
      <c r="BY1588" s="18">
        <f>SUM($BC$6:BU1588) / $BY$4</f>
        <v>0.98379389226375569</v>
      </c>
      <c r="BZ1588" s="14">
        <f t="shared" si="100"/>
        <v>12</v>
      </c>
      <c r="CA1588" t="s">
        <v>5832</v>
      </c>
      <c r="CZ1588" t="s">
        <v>10239</v>
      </c>
      <c r="DA1588" t="s">
        <v>5904</v>
      </c>
      <c r="DB1588">
        <v>895.2</v>
      </c>
      <c r="DC1588" t="s">
        <v>26815</v>
      </c>
      <c r="DD1588" t="s">
        <v>26816</v>
      </c>
      <c r="DE1588" t="s">
        <v>26817</v>
      </c>
      <c r="DF1588" t="s">
        <v>26818</v>
      </c>
      <c r="DG1588" t="s">
        <v>26819</v>
      </c>
      <c r="DH1588" t="str">
        <f>"SCARA5"</f>
        <v>SCARA5</v>
      </c>
      <c r="DI1588" t="s">
        <v>13772</v>
      </c>
      <c r="DJ1588" t="s">
        <v>13777</v>
      </c>
      <c r="DK1588">
        <v>9606</v>
      </c>
      <c r="DL1588" s="34" t="str">
        <f>HYPERLINK("http://www.uniprot.org/uniprot/Q6ZMJ2", "Q6ZMJ2")</f>
        <v>Q6ZMJ2</v>
      </c>
      <c r="DM1588" t="s">
        <v>26820</v>
      </c>
      <c r="DN1588" t="s">
        <v>20925</v>
      </c>
      <c r="DO1588" t="s">
        <v>13792</v>
      </c>
      <c r="DP1588" t="s">
        <v>13780</v>
      </c>
      <c r="DQ1588" t="s">
        <v>13772</v>
      </c>
      <c r="DR1588" t="s">
        <v>13772</v>
      </c>
      <c r="DS1588" t="s">
        <v>14715</v>
      </c>
      <c r="DT1588" t="s">
        <v>26821</v>
      </c>
      <c r="DU1588" t="s">
        <v>13795</v>
      </c>
      <c r="DV1588" t="s">
        <v>13796</v>
      </c>
      <c r="DW1588" t="s">
        <v>13772</v>
      </c>
      <c r="DX1588" t="s">
        <v>26822</v>
      </c>
      <c r="DY1588" t="s">
        <v>26823</v>
      </c>
      <c r="DZ1588" t="s">
        <v>26824</v>
      </c>
      <c r="EA1588" t="s">
        <v>13772</v>
      </c>
      <c r="EB1588" t="s">
        <v>22798</v>
      </c>
    </row>
    <row r="1589" spans="1:132" hidden="1">
      <c r="A1589">
        <v>1374</v>
      </c>
      <c r="B1589">
        <v>1</v>
      </c>
      <c r="C1589" t="s">
        <v>3284</v>
      </c>
      <c r="D1589" t="s">
        <v>3285</v>
      </c>
      <c r="E1589" t="s">
        <v>73</v>
      </c>
      <c r="F1589" t="s">
        <v>3286</v>
      </c>
      <c r="G1589" t="s">
        <v>73</v>
      </c>
      <c r="H1589">
        <v>9.3000000000000007</v>
      </c>
      <c r="I1589">
        <v>623</v>
      </c>
      <c r="J1589">
        <v>69602</v>
      </c>
      <c r="K1589" t="s">
        <v>3287</v>
      </c>
      <c r="L1589">
        <f t="shared" si="98"/>
        <v>12</v>
      </c>
      <c r="N1589">
        <v>12</v>
      </c>
      <c r="O1589">
        <v>7</v>
      </c>
      <c r="P1589">
        <v>0.58299999999999996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3</v>
      </c>
      <c r="AB1589">
        <v>1</v>
      </c>
      <c r="AC1589">
        <v>0</v>
      </c>
      <c r="AD1589">
        <v>0</v>
      </c>
      <c r="AE1589">
        <v>0</v>
      </c>
      <c r="AF1589">
        <v>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4</v>
      </c>
      <c r="AZ1589">
        <v>0</v>
      </c>
      <c r="BA1589">
        <v>0</v>
      </c>
      <c r="BB1589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1</v>
      </c>
      <c r="BL1589" s="2">
        <v>0</v>
      </c>
      <c r="BM1589" s="2">
        <v>1.5</v>
      </c>
      <c r="BN1589" s="2">
        <v>1</v>
      </c>
      <c r="BO1589" s="2">
        <v>0</v>
      </c>
      <c r="BP1589" s="2">
        <v>0</v>
      </c>
      <c r="BQ1589" s="2">
        <v>0</v>
      </c>
      <c r="BR1589" s="2">
        <v>7</v>
      </c>
      <c r="BS1589" s="2">
        <v>0</v>
      </c>
      <c r="BT1589" s="2">
        <v>0</v>
      </c>
      <c r="BU1589" s="2">
        <v>0</v>
      </c>
      <c r="BV1589" s="2">
        <f t="shared" si="101"/>
        <v>10.5</v>
      </c>
      <c r="BW1589" s="16">
        <f t="shared" si="99"/>
        <v>0.55263157894736847</v>
      </c>
      <c r="BX1589" s="16">
        <f>COUNTIF($BC$6:BU1589, "=0") / COUNTIF($BC$6:BU1589, "&gt;-1")</f>
        <v>0.40041866028708134</v>
      </c>
      <c r="BY1589" s="18">
        <f>SUM($BC$6:BU1589) / $BY$4</f>
        <v>0.98383887045087703</v>
      </c>
      <c r="BZ1589" s="14">
        <f t="shared" si="100"/>
        <v>15</v>
      </c>
      <c r="CA1589" t="s">
        <v>5832</v>
      </c>
      <c r="CZ1589" t="s">
        <v>10324</v>
      </c>
      <c r="DA1589" t="s">
        <v>5904</v>
      </c>
      <c r="DB1589">
        <v>1283.5</v>
      </c>
      <c r="DC1589" t="s">
        <v>27057</v>
      </c>
      <c r="DD1589" t="s">
        <v>27058</v>
      </c>
      <c r="DE1589" t="s">
        <v>27059</v>
      </c>
      <c r="DF1589" t="s">
        <v>27060</v>
      </c>
      <c r="DG1589" t="s">
        <v>27061</v>
      </c>
      <c r="DH1589" t="str">
        <f>"SYNCRIP"</f>
        <v>SYNCRIP</v>
      </c>
      <c r="DI1589" t="s">
        <v>27062</v>
      </c>
      <c r="DJ1589" t="s">
        <v>13777</v>
      </c>
      <c r="DK1589">
        <v>9606</v>
      </c>
      <c r="DL1589" s="34" t="str">
        <f>HYPERLINK("http://www.uniprot.org/uniprot/O60506", "O60506")</f>
        <v>O60506</v>
      </c>
      <c r="DM1589" t="s">
        <v>27063</v>
      </c>
      <c r="DN1589" t="s">
        <v>27064</v>
      </c>
      <c r="DO1589" t="s">
        <v>27065</v>
      </c>
      <c r="DP1589" t="s">
        <v>13841</v>
      </c>
      <c r="DQ1589" t="s">
        <v>13772</v>
      </c>
      <c r="DR1589" t="s">
        <v>13772</v>
      </c>
      <c r="DS1589" t="s">
        <v>14096</v>
      </c>
      <c r="DT1589" t="s">
        <v>13772</v>
      </c>
      <c r="DU1589" t="s">
        <v>16089</v>
      </c>
      <c r="DV1589" t="s">
        <v>14663</v>
      </c>
      <c r="DW1589" t="s">
        <v>13812</v>
      </c>
      <c r="DX1589" t="s">
        <v>27066</v>
      </c>
      <c r="DY1589" t="s">
        <v>27067</v>
      </c>
      <c r="DZ1589" t="s">
        <v>27068</v>
      </c>
      <c r="EA1589" t="s">
        <v>13772</v>
      </c>
      <c r="EB1589" t="s">
        <v>13772</v>
      </c>
    </row>
    <row r="1590" spans="1:132" hidden="1">
      <c r="A1590">
        <v>1270</v>
      </c>
      <c r="B1590">
        <v>1</v>
      </c>
      <c r="C1590" t="s">
        <v>3045</v>
      </c>
      <c r="D1590" t="s">
        <v>3046</v>
      </c>
      <c r="E1590" t="s">
        <v>73</v>
      </c>
      <c r="F1590" t="s">
        <v>1011</v>
      </c>
      <c r="G1590" t="s">
        <v>73</v>
      </c>
      <c r="H1590">
        <v>4.0999999999999996</v>
      </c>
      <c r="I1590">
        <v>820</v>
      </c>
      <c r="J1590">
        <v>91685</v>
      </c>
      <c r="K1590" t="s">
        <v>3047</v>
      </c>
      <c r="L1590">
        <f t="shared" si="98"/>
        <v>11</v>
      </c>
      <c r="N1590">
        <v>11</v>
      </c>
      <c r="O1590">
        <v>10</v>
      </c>
      <c r="P1590">
        <v>0.90900000000000003</v>
      </c>
      <c r="Q1590">
        <v>0</v>
      </c>
      <c r="R1590">
        <v>3</v>
      </c>
      <c r="S1590">
        <v>1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3</v>
      </c>
      <c r="AL1590">
        <v>1</v>
      </c>
      <c r="AM1590">
        <v>1</v>
      </c>
      <c r="AN1590">
        <v>1</v>
      </c>
      <c r="AO1590">
        <v>1</v>
      </c>
      <c r="AP1590">
        <v>2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 s="2">
        <v>0</v>
      </c>
      <c r="BD1590" s="2">
        <v>3</v>
      </c>
      <c r="BE1590" s="2">
        <v>1</v>
      </c>
      <c r="BF1590" s="2">
        <v>1</v>
      </c>
      <c r="BG1590" s="2">
        <v>1</v>
      </c>
      <c r="BH1590" s="2">
        <v>1</v>
      </c>
      <c r="BI1590" s="2">
        <v>2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0.25</v>
      </c>
      <c r="BS1590" s="2">
        <v>0</v>
      </c>
      <c r="BT1590" s="2">
        <v>0</v>
      </c>
      <c r="BU1590" s="2">
        <v>0</v>
      </c>
      <c r="BV1590" s="2">
        <f t="shared" si="101"/>
        <v>10.25</v>
      </c>
      <c r="BW1590" s="16">
        <f t="shared" si="99"/>
        <v>0.53947368421052633</v>
      </c>
      <c r="BX1590" s="16">
        <f>COUNTIF($BC$6:BU1590, "=0") / COUNTIF($BC$6:BU1590, "&gt;-1")</f>
        <v>0.40053129669599868</v>
      </c>
      <c r="BY1590" s="18">
        <f>SUM($BC$6:BU1590) / $BY$4</f>
        <v>0.98388277772878119</v>
      </c>
      <c r="BZ1590" s="14">
        <f t="shared" si="100"/>
        <v>11</v>
      </c>
      <c r="CA1590" t="s">
        <v>5832</v>
      </c>
      <c r="CZ1590" t="s">
        <v>9966</v>
      </c>
      <c r="DA1590" t="s">
        <v>5904</v>
      </c>
      <c r="DB1590">
        <v>1688.3</v>
      </c>
      <c r="DC1590" t="s">
        <v>26034</v>
      </c>
      <c r="DD1590" t="s">
        <v>26035</v>
      </c>
      <c r="DE1590" t="s">
        <v>26036</v>
      </c>
      <c r="DF1590" t="s">
        <v>26037</v>
      </c>
      <c r="DG1590" t="s">
        <v>26038</v>
      </c>
      <c r="DH1590" t="str">
        <f>"FGFR1"</f>
        <v>FGFR1</v>
      </c>
      <c r="DI1590" t="s">
        <v>26039</v>
      </c>
      <c r="DJ1590" t="s">
        <v>13777</v>
      </c>
      <c r="DK1590">
        <v>9606</v>
      </c>
      <c r="DL1590" s="34" t="str">
        <f>HYPERLINK("http://www.uniprot.org/uniprot/P11362", "P11362")</f>
        <v>P11362</v>
      </c>
      <c r="DM1590" t="s">
        <v>26040</v>
      </c>
      <c r="DN1590" t="s">
        <v>14445</v>
      </c>
      <c r="DO1590" t="s">
        <v>26041</v>
      </c>
      <c r="DP1590" t="s">
        <v>20333</v>
      </c>
      <c r="DQ1590" t="s">
        <v>13772</v>
      </c>
      <c r="DR1590" t="s">
        <v>26042</v>
      </c>
      <c r="DS1590" t="s">
        <v>13951</v>
      </c>
      <c r="DT1590" t="s">
        <v>14005</v>
      </c>
      <c r="DU1590" t="s">
        <v>26043</v>
      </c>
      <c r="DV1590" t="s">
        <v>14640</v>
      </c>
      <c r="DW1590" t="s">
        <v>13812</v>
      </c>
      <c r="DX1590" t="s">
        <v>26044</v>
      </c>
      <c r="DY1590" t="s">
        <v>26045</v>
      </c>
      <c r="DZ1590" t="s">
        <v>26046</v>
      </c>
      <c r="EA1590" t="s">
        <v>13772</v>
      </c>
      <c r="EB1590" t="s">
        <v>26047</v>
      </c>
    </row>
    <row r="1591" spans="1:132" hidden="1">
      <c r="A1591">
        <v>1467</v>
      </c>
      <c r="B1591">
        <v>1</v>
      </c>
      <c r="C1591" t="s">
        <v>3489</v>
      </c>
      <c r="D1591" t="s">
        <v>73</v>
      </c>
      <c r="E1591" t="s">
        <v>73</v>
      </c>
      <c r="F1591" t="s">
        <v>3490</v>
      </c>
      <c r="G1591" t="s">
        <v>73</v>
      </c>
      <c r="H1591">
        <v>33.299999999999997</v>
      </c>
      <c r="I1591">
        <v>162</v>
      </c>
      <c r="J1591">
        <v>18762</v>
      </c>
      <c r="K1591" t="s">
        <v>3491</v>
      </c>
      <c r="L1591">
        <f t="shared" si="98"/>
        <v>13</v>
      </c>
      <c r="N1591">
        <v>13</v>
      </c>
      <c r="O1591">
        <v>8</v>
      </c>
      <c r="P1591">
        <v>0.61499999999999999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0</v>
      </c>
      <c r="AA1591">
        <v>5</v>
      </c>
      <c r="AB1591">
        <v>0</v>
      </c>
      <c r="AC1591">
        <v>0</v>
      </c>
      <c r="AD1591">
        <v>0</v>
      </c>
      <c r="AE1591">
        <v>1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3</v>
      </c>
      <c r="AS1591">
        <v>0</v>
      </c>
      <c r="AT1591">
        <v>4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4.5</v>
      </c>
      <c r="BL1591" s="2">
        <v>0</v>
      </c>
      <c r="BM1591" s="2">
        <v>4.6669999999999998</v>
      </c>
      <c r="BN1591" s="2">
        <v>0</v>
      </c>
      <c r="BO1591" s="2">
        <v>0</v>
      </c>
      <c r="BP1591" s="2">
        <v>0</v>
      </c>
      <c r="BQ1591" s="2">
        <v>1</v>
      </c>
      <c r="BR1591" s="2">
        <v>0</v>
      </c>
      <c r="BS1591" s="2">
        <v>0</v>
      </c>
      <c r="BT1591" s="2">
        <v>0</v>
      </c>
      <c r="BU1591" s="2">
        <v>0</v>
      </c>
      <c r="BV1591" s="2">
        <f t="shared" si="101"/>
        <v>10.167</v>
      </c>
      <c r="BW1591" s="16">
        <f t="shared" si="99"/>
        <v>0.53510526315789475</v>
      </c>
      <c r="BX1591" s="16">
        <f>COUNTIF($BC$6:BU1591, "=0") / COUNTIF($BC$6:BU1591, "&gt;-1")</f>
        <v>0.40080971659919029</v>
      </c>
      <c r="BY1591" s="18">
        <f>SUM($BC$6:BU1591) / $BY$4</f>
        <v>0.98392632946482528</v>
      </c>
      <c r="BZ1591" s="14">
        <f t="shared" si="100"/>
        <v>16</v>
      </c>
      <c r="CA1591" t="s">
        <v>5832</v>
      </c>
      <c r="CZ1591" t="s">
        <v>10620</v>
      </c>
      <c r="DA1591" t="s">
        <v>5904</v>
      </c>
      <c r="DB1591">
        <v>335.9</v>
      </c>
      <c r="DC1591" t="s">
        <v>27887</v>
      </c>
      <c r="DD1591" t="s">
        <v>27888</v>
      </c>
      <c r="DE1591" t="s">
        <v>27889</v>
      </c>
      <c r="DF1591" t="s">
        <v>27890</v>
      </c>
      <c r="DG1591" t="s">
        <v>27891</v>
      </c>
      <c r="DH1591" t="str">
        <f>"SNX3"</f>
        <v>SNX3</v>
      </c>
      <c r="DI1591" t="s">
        <v>13772</v>
      </c>
      <c r="DJ1591" t="s">
        <v>13777</v>
      </c>
      <c r="DK1591">
        <v>9606</v>
      </c>
      <c r="DL1591" s="34" t="str">
        <f>HYPERLINK("http://www.uniprot.org/uniprot/O60493", "O60493")</f>
        <v>O60493</v>
      </c>
      <c r="DM1591" t="s">
        <v>27892</v>
      </c>
      <c r="DN1591" t="s">
        <v>14347</v>
      </c>
      <c r="DO1591" t="s">
        <v>27893</v>
      </c>
      <c r="DP1591" t="s">
        <v>14661</v>
      </c>
      <c r="DQ1591" t="s">
        <v>13772</v>
      </c>
      <c r="DR1591" t="s">
        <v>27894</v>
      </c>
      <c r="DS1591" t="s">
        <v>13772</v>
      </c>
      <c r="DT1591" t="s">
        <v>13900</v>
      </c>
      <c r="DU1591" t="s">
        <v>13772</v>
      </c>
      <c r="DV1591" t="s">
        <v>14663</v>
      </c>
      <c r="DW1591" t="s">
        <v>13812</v>
      </c>
      <c r="DX1591" t="s">
        <v>27895</v>
      </c>
      <c r="DY1591" t="s">
        <v>27896</v>
      </c>
      <c r="DZ1591" t="s">
        <v>27897</v>
      </c>
      <c r="EA1591" t="s">
        <v>13772</v>
      </c>
      <c r="EB1591" t="s">
        <v>27898</v>
      </c>
    </row>
    <row r="1592" spans="1:132" hidden="1">
      <c r="A1592">
        <v>1167</v>
      </c>
      <c r="B1592">
        <v>1</v>
      </c>
      <c r="C1592" t="s">
        <v>2805</v>
      </c>
      <c r="D1592" t="s">
        <v>73</v>
      </c>
      <c r="E1592" t="s">
        <v>73</v>
      </c>
      <c r="F1592" t="s">
        <v>549</v>
      </c>
      <c r="G1592" t="s">
        <v>73</v>
      </c>
      <c r="H1592">
        <v>21</v>
      </c>
      <c r="I1592">
        <v>894</v>
      </c>
      <c r="J1592">
        <v>103780</v>
      </c>
      <c r="K1592" t="s">
        <v>2806</v>
      </c>
      <c r="L1592">
        <f t="shared" si="98"/>
        <v>45</v>
      </c>
      <c r="N1592">
        <v>45</v>
      </c>
      <c r="O1592">
        <v>9</v>
      </c>
      <c r="P1592">
        <v>0.2</v>
      </c>
      <c r="Q1592">
        <v>2</v>
      </c>
      <c r="R1592">
        <v>1</v>
      </c>
      <c r="S1592">
        <v>0</v>
      </c>
      <c r="T1592">
        <v>0</v>
      </c>
      <c r="U1592">
        <v>2</v>
      </c>
      <c r="V1592">
        <v>5</v>
      </c>
      <c r="W1592">
        <v>4</v>
      </c>
      <c r="X1592">
        <v>5</v>
      </c>
      <c r="Y1592">
        <v>0</v>
      </c>
      <c r="Z1592">
        <v>0</v>
      </c>
      <c r="AA1592">
        <v>5</v>
      </c>
      <c r="AB1592">
        <v>3</v>
      </c>
      <c r="AC1592">
        <v>6</v>
      </c>
      <c r="AD1592">
        <v>0</v>
      </c>
      <c r="AE1592">
        <v>5</v>
      </c>
      <c r="AF1592">
        <v>4</v>
      </c>
      <c r="AG1592">
        <v>2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5</v>
      </c>
      <c r="AY1592">
        <v>2</v>
      </c>
      <c r="AZ1592">
        <v>0</v>
      </c>
      <c r="BA1592">
        <v>0</v>
      </c>
      <c r="BB159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1.5</v>
      </c>
      <c r="BJ1592" s="2">
        <v>0</v>
      </c>
      <c r="BK1592" s="2">
        <v>0</v>
      </c>
      <c r="BL1592" s="2">
        <v>0</v>
      </c>
      <c r="BM1592" s="2">
        <v>1.147</v>
      </c>
      <c r="BN1592" s="2">
        <v>0</v>
      </c>
      <c r="BO1592" s="2">
        <v>0</v>
      </c>
      <c r="BP1592" s="2">
        <v>0</v>
      </c>
      <c r="BQ1592" s="2">
        <v>5</v>
      </c>
      <c r="BR1592" s="2">
        <v>2.3639999999999999</v>
      </c>
      <c r="BS1592" s="2">
        <v>0</v>
      </c>
      <c r="BT1592" s="2">
        <v>0</v>
      </c>
      <c r="BU1592" s="2">
        <v>0</v>
      </c>
      <c r="BV1592" s="2">
        <f t="shared" si="101"/>
        <v>10.010999999999999</v>
      </c>
      <c r="BW1592" s="16">
        <f t="shared" si="99"/>
        <v>0.52689473684210519</v>
      </c>
      <c r="BX1592" s="16">
        <f>COUNTIF($BC$6:BU1592, "=0") / COUNTIF($BC$6:BU1592, "&gt;-1")</f>
        <v>0.40105462143070342</v>
      </c>
      <c r="BY1592" s="18">
        <f>SUM($BC$6:BU1592) / $BY$4</f>
        <v>0.9839692129535178</v>
      </c>
      <c r="BZ1592" s="14">
        <f t="shared" si="100"/>
        <v>15</v>
      </c>
      <c r="CA1592" t="s">
        <v>5832</v>
      </c>
      <c r="CZ1592" t="s">
        <v>9612</v>
      </c>
      <c r="DA1592" t="s">
        <v>5904</v>
      </c>
      <c r="DB1592">
        <v>1848.9</v>
      </c>
      <c r="DC1592" t="s">
        <v>25035</v>
      </c>
      <c r="DD1592" t="s">
        <v>25036</v>
      </c>
      <c r="DE1592" t="s">
        <v>25037</v>
      </c>
      <c r="DF1592" t="s">
        <v>25038</v>
      </c>
      <c r="DG1592" t="s">
        <v>25039</v>
      </c>
      <c r="DH1592" t="str">
        <f>"ACTN2"</f>
        <v>ACTN2</v>
      </c>
      <c r="DI1592" t="s">
        <v>13772</v>
      </c>
      <c r="DJ1592" t="s">
        <v>13777</v>
      </c>
      <c r="DK1592">
        <v>9606</v>
      </c>
      <c r="DL1592" s="34" t="str">
        <f>HYPERLINK("http://www.uniprot.org/uniprot/P35609", "P35609")</f>
        <v>P35609</v>
      </c>
      <c r="DM1592" t="s">
        <v>25040</v>
      </c>
      <c r="DN1592" t="s">
        <v>13772</v>
      </c>
      <c r="DO1592" t="s">
        <v>13899</v>
      </c>
      <c r="DP1592" t="s">
        <v>13780</v>
      </c>
      <c r="DQ1592" t="s">
        <v>13772</v>
      </c>
      <c r="DR1592" t="s">
        <v>14848</v>
      </c>
      <c r="DS1592" t="s">
        <v>14096</v>
      </c>
      <c r="DT1592" t="s">
        <v>13873</v>
      </c>
      <c r="DU1592" t="s">
        <v>13990</v>
      </c>
      <c r="DV1592" t="s">
        <v>18636</v>
      </c>
      <c r="DW1592" t="s">
        <v>13812</v>
      </c>
      <c r="DX1592" t="s">
        <v>25041</v>
      </c>
      <c r="DY1592" t="s">
        <v>25042</v>
      </c>
      <c r="DZ1592" t="s">
        <v>25043</v>
      </c>
      <c r="EA1592" t="s">
        <v>13772</v>
      </c>
      <c r="EB1592" t="s">
        <v>25044</v>
      </c>
    </row>
    <row r="1593" spans="1:132" hidden="1">
      <c r="A1593">
        <v>109</v>
      </c>
      <c r="B1593">
        <v>1</v>
      </c>
      <c r="C1593" t="s">
        <v>286</v>
      </c>
      <c r="D1593" t="s">
        <v>73</v>
      </c>
      <c r="E1593" t="s">
        <v>73</v>
      </c>
      <c r="F1593" t="s">
        <v>73</v>
      </c>
      <c r="G1593" t="s">
        <v>73</v>
      </c>
      <c r="H1593">
        <v>14.3</v>
      </c>
      <c r="I1593">
        <v>272</v>
      </c>
      <c r="J1593">
        <v>30252</v>
      </c>
      <c r="K1593" t="s">
        <v>287</v>
      </c>
      <c r="L1593">
        <f t="shared" si="98"/>
        <v>10</v>
      </c>
      <c r="N1593">
        <v>10</v>
      </c>
      <c r="O1593">
        <v>10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2</v>
      </c>
      <c r="AC1593">
        <v>4</v>
      </c>
      <c r="AD1593">
        <v>0</v>
      </c>
      <c r="AE1593">
        <v>0</v>
      </c>
      <c r="AF1593">
        <v>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2</v>
      </c>
      <c r="AV1593">
        <v>4</v>
      </c>
      <c r="AW1593">
        <v>0</v>
      </c>
      <c r="AX1593">
        <v>0</v>
      </c>
      <c r="AY1593">
        <v>2</v>
      </c>
      <c r="AZ1593">
        <v>0</v>
      </c>
      <c r="BA1593">
        <v>0</v>
      </c>
      <c r="BB1593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1</v>
      </c>
      <c r="BL1593" s="2">
        <v>0</v>
      </c>
      <c r="BM1593" s="2">
        <v>1</v>
      </c>
      <c r="BN1593" s="2">
        <v>2</v>
      </c>
      <c r="BO1593" s="2">
        <v>4</v>
      </c>
      <c r="BP1593" s="2">
        <v>0</v>
      </c>
      <c r="BQ1593" s="2">
        <v>0</v>
      </c>
      <c r="BR1593" s="2">
        <v>2</v>
      </c>
      <c r="BS1593" s="2">
        <v>0</v>
      </c>
      <c r="BT1593" s="2">
        <v>0</v>
      </c>
      <c r="BU1593" s="2">
        <v>0</v>
      </c>
      <c r="BV1593" s="2">
        <f t="shared" si="101"/>
        <v>10</v>
      </c>
      <c r="BW1593" s="16">
        <f t="shared" si="99"/>
        <v>0.52631578947368418</v>
      </c>
      <c r="BX1593" s="16">
        <f>COUNTIF($BC$6:BU1593, "=0") / COUNTIF($BC$6:BU1593, "&gt;-1")</f>
        <v>0.40126607450616464</v>
      </c>
      <c r="BY1593" s="18">
        <f>SUM($BC$6:BU1593) / $BY$4</f>
        <v>0.98401204932220476</v>
      </c>
      <c r="BZ1593" s="14">
        <f t="shared" si="100"/>
        <v>14</v>
      </c>
      <c r="CA1593" t="s">
        <v>5832</v>
      </c>
      <c r="CZ1593" t="s">
        <v>6067</v>
      </c>
      <c r="DA1593" t="s">
        <v>5904</v>
      </c>
      <c r="DB1593">
        <v>464.5</v>
      </c>
      <c r="DC1593" t="s">
        <v>14381</v>
      </c>
      <c r="DD1593" t="s">
        <v>14382</v>
      </c>
      <c r="DE1593" t="s">
        <v>14383</v>
      </c>
      <c r="DF1593" t="s">
        <v>14384</v>
      </c>
      <c r="DG1593" t="s">
        <v>14385</v>
      </c>
      <c r="DH1593" t="str">
        <f>"C1QBP"</f>
        <v>C1QBP</v>
      </c>
      <c r="DI1593" t="s">
        <v>14386</v>
      </c>
      <c r="DJ1593" t="s">
        <v>13777</v>
      </c>
      <c r="DK1593">
        <v>9606</v>
      </c>
      <c r="DL1593" s="34" t="str">
        <f>HYPERLINK("http://www.uniprot.org/uniprot/Q07021", "Q07021")</f>
        <v>Q07021</v>
      </c>
      <c r="DM1593" t="s">
        <v>14387</v>
      </c>
      <c r="DN1593" t="s">
        <v>14388</v>
      </c>
      <c r="DO1593" t="s">
        <v>14389</v>
      </c>
      <c r="DP1593" t="s">
        <v>13772</v>
      </c>
      <c r="DQ1593" t="s">
        <v>13772</v>
      </c>
      <c r="DR1593" t="s">
        <v>14390</v>
      </c>
      <c r="DS1593" t="s">
        <v>14391</v>
      </c>
      <c r="DT1593" t="s">
        <v>13772</v>
      </c>
      <c r="DU1593" t="s">
        <v>13772</v>
      </c>
      <c r="DV1593" t="s">
        <v>13886</v>
      </c>
      <c r="DW1593" t="s">
        <v>13812</v>
      </c>
      <c r="DX1593" t="s">
        <v>14392</v>
      </c>
      <c r="DY1593" t="s">
        <v>14393</v>
      </c>
      <c r="DZ1593" t="s">
        <v>14394</v>
      </c>
      <c r="EA1593" t="s">
        <v>13772</v>
      </c>
      <c r="EB1593" t="s">
        <v>14395</v>
      </c>
    </row>
    <row r="1594" spans="1:132" hidden="1">
      <c r="A1594">
        <v>123</v>
      </c>
      <c r="B1594">
        <v>1</v>
      </c>
      <c r="C1594" t="s">
        <v>319</v>
      </c>
      <c r="D1594" t="s">
        <v>73</v>
      </c>
      <c r="E1594" t="s">
        <v>73</v>
      </c>
      <c r="F1594" t="s">
        <v>73</v>
      </c>
      <c r="G1594" t="s">
        <v>73</v>
      </c>
      <c r="H1594">
        <v>16.7</v>
      </c>
      <c r="I1594">
        <v>264</v>
      </c>
      <c r="J1594">
        <v>29139</v>
      </c>
      <c r="K1594" t="s">
        <v>320</v>
      </c>
      <c r="L1594">
        <f t="shared" si="98"/>
        <v>10</v>
      </c>
      <c r="N1594">
        <v>10</v>
      </c>
      <c r="O1594">
        <v>10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</v>
      </c>
      <c r="Z1594">
        <v>0</v>
      </c>
      <c r="AA1594">
        <v>0</v>
      </c>
      <c r="AB1594">
        <v>2</v>
      </c>
      <c r="AC1594">
        <v>2</v>
      </c>
      <c r="AD1594">
        <v>0</v>
      </c>
      <c r="AE1594">
        <v>0</v>
      </c>
      <c r="AF1594">
        <v>0</v>
      </c>
      <c r="AG1594">
        <v>4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</v>
      </c>
      <c r="AS1594">
        <v>0</v>
      </c>
      <c r="AT1594">
        <v>0</v>
      </c>
      <c r="AU1594">
        <v>2</v>
      </c>
      <c r="AV1594">
        <v>2</v>
      </c>
      <c r="AW1594">
        <v>0</v>
      </c>
      <c r="AX1594">
        <v>0</v>
      </c>
      <c r="AY1594">
        <v>0</v>
      </c>
      <c r="AZ1594">
        <v>4</v>
      </c>
      <c r="BA1594">
        <v>0</v>
      </c>
      <c r="BB1594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2</v>
      </c>
      <c r="BL1594" s="2">
        <v>0</v>
      </c>
      <c r="BM1594" s="2">
        <v>0</v>
      </c>
      <c r="BN1594" s="2">
        <v>2</v>
      </c>
      <c r="BO1594" s="2">
        <v>2</v>
      </c>
      <c r="BP1594" s="2">
        <v>0</v>
      </c>
      <c r="BQ1594" s="2">
        <v>0</v>
      </c>
      <c r="BR1594" s="2">
        <v>0</v>
      </c>
      <c r="BS1594" s="2">
        <v>4</v>
      </c>
      <c r="BT1594" s="2">
        <v>0</v>
      </c>
      <c r="BU1594" s="2">
        <v>0</v>
      </c>
      <c r="BV1594" s="2">
        <f t="shared" si="101"/>
        <v>10</v>
      </c>
      <c r="BW1594" s="16">
        <f t="shared" si="99"/>
        <v>0.52631578947368418</v>
      </c>
      <c r="BX1594" s="16">
        <f>COUNTIF($BC$6:BU1594, "=0") / COUNTIF($BC$6:BU1594, "&gt;-1")</f>
        <v>0.40151038388923854</v>
      </c>
      <c r="BY1594" s="18">
        <f>SUM($BC$6:BU1594) / $BY$4</f>
        <v>0.98405488569089183</v>
      </c>
      <c r="BZ1594" s="14">
        <f t="shared" si="100"/>
        <v>15</v>
      </c>
      <c r="CA1594" t="s">
        <v>5832</v>
      </c>
      <c r="CZ1594" t="s">
        <v>6115</v>
      </c>
      <c r="DA1594" t="s">
        <v>5904</v>
      </c>
      <c r="DB1594">
        <v>505.8</v>
      </c>
      <c r="DC1594" t="s">
        <v>14556</v>
      </c>
      <c r="DD1594" t="s">
        <v>14557</v>
      </c>
      <c r="DE1594" t="s">
        <v>14558</v>
      </c>
      <c r="DF1594" t="s">
        <v>14559</v>
      </c>
      <c r="DG1594" t="s">
        <v>14560</v>
      </c>
      <c r="DH1594" t="str">
        <f>"PSMB4"</f>
        <v>PSMB4</v>
      </c>
      <c r="DI1594" t="s">
        <v>14561</v>
      </c>
      <c r="DJ1594" t="s">
        <v>13777</v>
      </c>
      <c r="DK1594">
        <v>9606</v>
      </c>
      <c r="DL1594" s="34" t="str">
        <f>HYPERLINK("http://www.uniprot.org/uniprot/P28070", "P28070")</f>
        <v>P28070</v>
      </c>
      <c r="DM1594" t="s">
        <v>14562</v>
      </c>
      <c r="DN1594" t="s">
        <v>14563</v>
      </c>
      <c r="DO1594" t="s">
        <v>14204</v>
      </c>
      <c r="DP1594" t="s">
        <v>13793</v>
      </c>
      <c r="DQ1594" t="s">
        <v>13772</v>
      </c>
      <c r="DR1594" t="s">
        <v>13807</v>
      </c>
      <c r="DS1594" t="s">
        <v>13772</v>
      </c>
      <c r="DT1594" t="s">
        <v>13772</v>
      </c>
      <c r="DU1594" t="s">
        <v>14564</v>
      </c>
      <c r="DV1594" t="s">
        <v>14565</v>
      </c>
      <c r="DW1594" t="s">
        <v>13812</v>
      </c>
      <c r="DX1594" t="s">
        <v>14566</v>
      </c>
      <c r="DY1594" t="s">
        <v>14567</v>
      </c>
      <c r="DZ1594" t="s">
        <v>14568</v>
      </c>
      <c r="EA1594" t="s">
        <v>13772</v>
      </c>
      <c r="EB1594" t="s">
        <v>14208</v>
      </c>
    </row>
    <row r="1595" spans="1:132" hidden="1">
      <c r="A1595">
        <v>142</v>
      </c>
      <c r="B1595">
        <v>1</v>
      </c>
      <c r="C1595" t="s">
        <v>370</v>
      </c>
      <c r="D1595" t="s">
        <v>371</v>
      </c>
      <c r="E1595" t="s">
        <v>73</v>
      </c>
      <c r="F1595" t="s">
        <v>73</v>
      </c>
      <c r="G1595" t="s">
        <v>73</v>
      </c>
      <c r="H1595">
        <v>11.8</v>
      </c>
      <c r="I1595">
        <v>482</v>
      </c>
      <c r="J1595">
        <v>54260</v>
      </c>
      <c r="K1595" t="s">
        <v>372</v>
      </c>
      <c r="L1595">
        <f t="shared" si="98"/>
        <v>10</v>
      </c>
      <c r="N1595">
        <v>10</v>
      </c>
      <c r="O1595">
        <v>10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1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5</v>
      </c>
      <c r="AS1595">
        <v>0</v>
      </c>
      <c r="AT1595">
        <v>3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5</v>
      </c>
      <c r="BL1595" s="2">
        <v>0</v>
      </c>
      <c r="BM1595" s="2">
        <v>3</v>
      </c>
      <c r="BN1595" s="2">
        <v>1</v>
      </c>
      <c r="BO1595" s="2">
        <v>1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f t="shared" si="101"/>
        <v>10</v>
      </c>
      <c r="BW1595" s="16">
        <f t="shared" si="99"/>
        <v>0.52631578947368418</v>
      </c>
      <c r="BX1595" s="16">
        <f>COUNTIF($BC$6:BU1595, "=0") / COUNTIF($BC$6:BU1595, "&gt;-1")</f>
        <v>0.40175438596491231</v>
      </c>
      <c r="BY1595" s="18">
        <f>SUM($BC$6:BU1595) / $BY$4</f>
        <v>0.98409772205957879</v>
      </c>
      <c r="BZ1595" s="14">
        <f t="shared" si="100"/>
        <v>15</v>
      </c>
      <c r="CA1595" t="s">
        <v>5832</v>
      </c>
      <c r="CZ1595" t="s">
        <v>6189</v>
      </c>
      <c r="DA1595" t="s">
        <v>5904</v>
      </c>
      <c r="DB1595">
        <v>927.9</v>
      </c>
      <c r="DC1595" t="s">
        <v>14791</v>
      </c>
      <c r="DD1595" t="s">
        <v>14792</v>
      </c>
      <c r="DE1595" t="s">
        <v>14793</v>
      </c>
      <c r="DF1595" t="s">
        <v>14794</v>
      </c>
      <c r="DG1595" t="s">
        <v>14795</v>
      </c>
      <c r="DH1595" t="str">
        <f>"WARS"</f>
        <v>WARS</v>
      </c>
      <c r="DI1595" t="s">
        <v>14796</v>
      </c>
      <c r="DJ1595" t="s">
        <v>13777</v>
      </c>
      <c r="DK1595">
        <v>9606</v>
      </c>
      <c r="DL1595" s="34" t="str">
        <f>HYPERLINK("http://www.uniprot.org/uniprot/P23381", "P23381")</f>
        <v>P23381</v>
      </c>
      <c r="DM1595" t="s">
        <v>14797</v>
      </c>
      <c r="DN1595" t="s">
        <v>14798</v>
      </c>
      <c r="DO1595" t="s">
        <v>13899</v>
      </c>
      <c r="DP1595" t="s">
        <v>13780</v>
      </c>
      <c r="DQ1595" t="s">
        <v>13772</v>
      </c>
      <c r="DR1595" t="s">
        <v>14799</v>
      </c>
      <c r="DS1595" t="s">
        <v>13772</v>
      </c>
      <c r="DT1595" t="s">
        <v>14005</v>
      </c>
      <c r="DU1595" t="s">
        <v>14800</v>
      </c>
      <c r="DV1595" t="s">
        <v>13782</v>
      </c>
      <c r="DW1595" t="s">
        <v>13812</v>
      </c>
      <c r="DX1595" t="s">
        <v>14801</v>
      </c>
      <c r="DY1595" t="s">
        <v>14802</v>
      </c>
      <c r="DZ1595" t="s">
        <v>14803</v>
      </c>
      <c r="EA1595" t="s">
        <v>13772</v>
      </c>
      <c r="EB1595" t="s">
        <v>14804</v>
      </c>
    </row>
    <row r="1596" spans="1:132" hidden="1">
      <c r="A1596">
        <v>191</v>
      </c>
      <c r="B1596">
        <v>1</v>
      </c>
      <c r="C1596" t="s">
        <v>481</v>
      </c>
      <c r="D1596" t="s">
        <v>482</v>
      </c>
      <c r="E1596" t="s">
        <v>73</v>
      </c>
      <c r="F1596" t="s">
        <v>73</v>
      </c>
      <c r="G1596" t="s">
        <v>73</v>
      </c>
      <c r="H1596">
        <v>22.6</v>
      </c>
      <c r="I1596">
        <v>371</v>
      </c>
      <c r="J1596">
        <v>40677</v>
      </c>
      <c r="K1596" t="s">
        <v>483</v>
      </c>
      <c r="L1596">
        <f t="shared" si="98"/>
        <v>10</v>
      </c>
      <c r="N1596">
        <v>10</v>
      </c>
      <c r="O1596">
        <v>10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>
        <v>0</v>
      </c>
      <c r="AA1596">
        <v>3</v>
      </c>
      <c r="AB1596">
        <v>2</v>
      </c>
      <c r="AC1596">
        <v>0</v>
      </c>
      <c r="AD1596">
        <v>0</v>
      </c>
      <c r="AE1596">
        <v>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3</v>
      </c>
      <c r="AS1596">
        <v>0</v>
      </c>
      <c r="AT1596">
        <v>3</v>
      </c>
      <c r="AU1596">
        <v>2</v>
      </c>
      <c r="AV1596">
        <v>0</v>
      </c>
      <c r="AW1596">
        <v>0</v>
      </c>
      <c r="AX1596">
        <v>2</v>
      </c>
      <c r="AY1596">
        <v>0</v>
      </c>
      <c r="AZ1596">
        <v>0</v>
      </c>
      <c r="BA1596">
        <v>0</v>
      </c>
      <c r="BB1596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3</v>
      </c>
      <c r="BL1596" s="2">
        <v>0</v>
      </c>
      <c r="BM1596" s="2">
        <v>3</v>
      </c>
      <c r="BN1596" s="2">
        <v>2</v>
      </c>
      <c r="BO1596" s="2">
        <v>0</v>
      </c>
      <c r="BP1596" s="2">
        <v>0</v>
      </c>
      <c r="BQ1596" s="2">
        <v>2</v>
      </c>
      <c r="BR1596" s="2">
        <v>0</v>
      </c>
      <c r="BS1596" s="2">
        <v>0</v>
      </c>
      <c r="BT1596" s="2">
        <v>0</v>
      </c>
      <c r="BU1596" s="2">
        <v>0</v>
      </c>
      <c r="BV1596" s="2">
        <f t="shared" si="101"/>
        <v>10</v>
      </c>
      <c r="BW1596" s="16">
        <f t="shared" si="99"/>
        <v>0.52631578947368418</v>
      </c>
      <c r="BX1596" s="16">
        <f>COUNTIF($BC$6:BU1596, "=0") / COUNTIF($BC$6:BU1596, "&gt;-1")</f>
        <v>0.4019980813126468</v>
      </c>
      <c r="BY1596" s="18">
        <f>SUM($BC$6:BU1596) / $BY$4</f>
        <v>0.98414055842826587</v>
      </c>
      <c r="BZ1596" s="14">
        <f t="shared" si="100"/>
        <v>15</v>
      </c>
      <c r="CA1596" t="s">
        <v>5832</v>
      </c>
      <c r="CZ1596" t="s">
        <v>6357</v>
      </c>
      <c r="DA1596" t="s">
        <v>5904</v>
      </c>
      <c r="DB1596">
        <v>752.7</v>
      </c>
      <c r="DC1596" t="s">
        <v>15362</v>
      </c>
      <c r="DD1596" t="s">
        <v>15363</v>
      </c>
      <c r="DE1596" t="s">
        <v>15364</v>
      </c>
      <c r="DF1596" t="s">
        <v>15365</v>
      </c>
      <c r="DG1596" t="s">
        <v>15366</v>
      </c>
      <c r="DH1596" t="str">
        <f>"NDRG2"</f>
        <v>NDRG2</v>
      </c>
      <c r="DI1596" t="s">
        <v>15367</v>
      </c>
      <c r="DJ1596" t="s">
        <v>13777</v>
      </c>
      <c r="DK1596">
        <v>9606</v>
      </c>
      <c r="DL1596" s="34" t="str">
        <f>HYPERLINK("http://www.uniprot.org/uniprot/Q9UN36", "Q9UN36")</f>
        <v>Q9UN36</v>
      </c>
      <c r="DM1596" t="s">
        <v>15368</v>
      </c>
      <c r="DN1596" t="s">
        <v>15369</v>
      </c>
      <c r="DO1596" t="s">
        <v>15370</v>
      </c>
      <c r="DP1596" t="s">
        <v>13780</v>
      </c>
      <c r="DQ1596" t="s">
        <v>13772</v>
      </c>
      <c r="DR1596" t="s">
        <v>14505</v>
      </c>
      <c r="DS1596" t="s">
        <v>13772</v>
      </c>
      <c r="DT1596" t="s">
        <v>13772</v>
      </c>
      <c r="DU1596" t="s">
        <v>14727</v>
      </c>
      <c r="DV1596" t="s">
        <v>13886</v>
      </c>
      <c r="DW1596" t="s">
        <v>13812</v>
      </c>
      <c r="DX1596" t="s">
        <v>15371</v>
      </c>
      <c r="DY1596" t="s">
        <v>15372</v>
      </c>
      <c r="DZ1596" t="s">
        <v>13772</v>
      </c>
      <c r="EA1596" t="s">
        <v>13772</v>
      </c>
      <c r="EB1596" t="s">
        <v>13772</v>
      </c>
    </row>
    <row r="1597" spans="1:132" hidden="1">
      <c r="A1597">
        <v>210</v>
      </c>
      <c r="B1597">
        <v>1</v>
      </c>
      <c r="C1597" t="s">
        <v>530</v>
      </c>
      <c r="D1597" t="s">
        <v>531</v>
      </c>
      <c r="E1597" t="s">
        <v>73</v>
      </c>
      <c r="F1597" t="s">
        <v>73</v>
      </c>
      <c r="G1597" t="s">
        <v>73</v>
      </c>
      <c r="H1597">
        <v>35.4</v>
      </c>
      <c r="I1597">
        <v>246</v>
      </c>
      <c r="J1597">
        <v>27385</v>
      </c>
      <c r="K1597" t="s">
        <v>532</v>
      </c>
      <c r="L1597">
        <f t="shared" si="98"/>
        <v>10</v>
      </c>
      <c r="N1597">
        <v>10</v>
      </c>
      <c r="O1597">
        <v>10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3</v>
      </c>
      <c r="Z1597">
        <v>0</v>
      </c>
      <c r="AA1597">
        <v>2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2</v>
      </c>
      <c r="AR1597">
        <v>3</v>
      </c>
      <c r="AS1597">
        <v>0</v>
      </c>
      <c r="AT1597">
        <v>2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0</v>
      </c>
      <c r="BB1597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2</v>
      </c>
      <c r="BK1597" s="2">
        <v>3</v>
      </c>
      <c r="BL1597" s="2">
        <v>0</v>
      </c>
      <c r="BM1597" s="2">
        <v>2</v>
      </c>
      <c r="BN1597" s="2">
        <v>1</v>
      </c>
      <c r="BO1597" s="2">
        <v>0</v>
      </c>
      <c r="BP1597" s="2">
        <v>0</v>
      </c>
      <c r="BQ1597" s="2">
        <v>0</v>
      </c>
      <c r="BR1597" s="2">
        <v>0</v>
      </c>
      <c r="BS1597" s="2">
        <v>2</v>
      </c>
      <c r="BT1597" s="2">
        <v>0</v>
      </c>
      <c r="BU1597" s="2">
        <v>0</v>
      </c>
      <c r="BV1597" s="2">
        <f t="shared" si="101"/>
        <v>10</v>
      </c>
      <c r="BW1597" s="16">
        <f t="shared" si="99"/>
        <v>0.52631578947368418</v>
      </c>
      <c r="BX1597" s="16">
        <f>COUNTIF($BC$6:BU1597, "=0") / COUNTIF($BC$6:BU1597, "&gt;-1")</f>
        <v>0.40220841047341971</v>
      </c>
      <c r="BY1597" s="18">
        <f>SUM($BC$6:BU1597) / $BY$4</f>
        <v>0.98418339479695283</v>
      </c>
      <c r="BZ1597" s="14">
        <f t="shared" si="100"/>
        <v>14</v>
      </c>
      <c r="CA1597" t="s">
        <v>5832</v>
      </c>
      <c r="CZ1597" t="s">
        <v>6422</v>
      </c>
      <c r="DA1597" t="s">
        <v>5904</v>
      </c>
      <c r="DB1597">
        <v>512.70000000000005</v>
      </c>
      <c r="DC1597" t="s">
        <v>15565</v>
      </c>
      <c r="DD1597" t="s">
        <v>15566</v>
      </c>
      <c r="DE1597" t="s">
        <v>15567</v>
      </c>
      <c r="DF1597" t="s">
        <v>15568</v>
      </c>
      <c r="DG1597" t="s">
        <v>15569</v>
      </c>
      <c r="DH1597" t="str">
        <f>"PSMA6"</f>
        <v>PSMA6</v>
      </c>
      <c r="DI1597" t="s">
        <v>15570</v>
      </c>
      <c r="DJ1597" t="s">
        <v>13777</v>
      </c>
      <c r="DK1597">
        <v>9606</v>
      </c>
      <c r="DL1597" s="34" t="str">
        <f>HYPERLINK("http://www.uniprot.org/uniprot/P60900", "P60900")</f>
        <v>P60900</v>
      </c>
      <c r="DM1597" t="s">
        <v>15571</v>
      </c>
      <c r="DN1597" t="s">
        <v>13772</v>
      </c>
      <c r="DO1597" t="s">
        <v>14204</v>
      </c>
      <c r="DP1597" t="s">
        <v>13841</v>
      </c>
      <c r="DQ1597" t="s">
        <v>13772</v>
      </c>
      <c r="DR1597" t="s">
        <v>13772</v>
      </c>
      <c r="DS1597" t="s">
        <v>13772</v>
      </c>
      <c r="DT1597" t="s">
        <v>13772</v>
      </c>
      <c r="DU1597" t="s">
        <v>14564</v>
      </c>
      <c r="DV1597" t="s">
        <v>14182</v>
      </c>
      <c r="DW1597" t="s">
        <v>13812</v>
      </c>
      <c r="DX1597" t="s">
        <v>15572</v>
      </c>
      <c r="DY1597" t="s">
        <v>15573</v>
      </c>
      <c r="DZ1597" t="s">
        <v>15574</v>
      </c>
      <c r="EA1597" t="s">
        <v>13772</v>
      </c>
      <c r="EB1597" t="s">
        <v>14208</v>
      </c>
    </row>
    <row r="1598" spans="1:132" hidden="1">
      <c r="A1598">
        <v>277</v>
      </c>
      <c r="B1598">
        <v>1</v>
      </c>
      <c r="C1598" t="s">
        <v>702</v>
      </c>
      <c r="D1598" t="s">
        <v>73</v>
      </c>
      <c r="E1598" t="s">
        <v>73</v>
      </c>
      <c r="F1598" t="s">
        <v>73</v>
      </c>
      <c r="G1598" t="s">
        <v>73</v>
      </c>
      <c r="H1598">
        <v>17.2</v>
      </c>
      <c r="I1598">
        <v>239</v>
      </c>
      <c r="J1598">
        <v>27248</v>
      </c>
      <c r="K1598" t="s">
        <v>703</v>
      </c>
      <c r="L1598">
        <f t="shared" si="98"/>
        <v>10</v>
      </c>
      <c r="N1598">
        <v>10</v>
      </c>
      <c r="O1598">
        <v>10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>
        <v>0</v>
      </c>
      <c r="AA1598">
        <v>3</v>
      </c>
      <c r="AB1598">
        <v>1</v>
      </c>
      <c r="AC1598">
        <v>0</v>
      </c>
      <c r="AD1598">
        <v>0</v>
      </c>
      <c r="AE1598">
        <v>1</v>
      </c>
      <c r="AF1598">
        <v>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3</v>
      </c>
      <c r="AS1598">
        <v>0</v>
      </c>
      <c r="AT1598">
        <v>3</v>
      </c>
      <c r="AU1598">
        <v>1</v>
      </c>
      <c r="AV1598">
        <v>0</v>
      </c>
      <c r="AW1598">
        <v>0</v>
      </c>
      <c r="AX1598">
        <v>1</v>
      </c>
      <c r="AY1598">
        <v>2</v>
      </c>
      <c r="AZ1598">
        <v>0</v>
      </c>
      <c r="BA1598">
        <v>0</v>
      </c>
      <c r="BB1598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3</v>
      </c>
      <c r="BL1598" s="2">
        <v>0</v>
      </c>
      <c r="BM1598" s="2">
        <v>3</v>
      </c>
      <c r="BN1598" s="2">
        <v>1</v>
      </c>
      <c r="BO1598" s="2">
        <v>0</v>
      </c>
      <c r="BP1598" s="2">
        <v>0</v>
      </c>
      <c r="BQ1598" s="2">
        <v>1</v>
      </c>
      <c r="BR1598" s="2">
        <v>2</v>
      </c>
      <c r="BS1598" s="2">
        <v>0</v>
      </c>
      <c r="BT1598" s="2">
        <v>0</v>
      </c>
      <c r="BU1598" s="2">
        <v>0</v>
      </c>
      <c r="BV1598" s="2">
        <f t="shared" si="101"/>
        <v>10</v>
      </c>
      <c r="BW1598" s="16">
        <f t="shared" si="99"/>
        <v>0.52631578947368418</v>
      </c>
      <c r="BX1598" s="16">
        <f>COUNTIF($BC$6:BU1598, "=0") / COUNTIF($BC$6:BU1598, "&gt;-1")</f>
        <v>0.4024184755674497</v>
      </c>
      <c r="BY1598" s="18">
        <f>SUM($BC$6:BU1598) / $BY$4</f>
        <v>0.98422623116563979</v>
      </c>
      <c r="BZ1598" s="14">
        <f t="shared" si="100"/>
        <v>14</v>
      </c>
      <c r="CA1598" t="s">
        <v>5832</v>
      </c>
      <c r="CZ1598" t="s">
        <v>6658</v>
      </c>
      <c r="DA1598" t="s">
        <v>5904</v>
      </c>
      <c r="DB1598">
        <v>475.3</v>
      </c>
      <c r="DC1598" t="s">
        <v>16305</v>
      </c>
      <c r="DD1598" t="s">
        <v>16306</v>
      </c>
      <c r="DE1598" t="s">
        <v>16307</v>
      </c>
      <c r="DF1598" t="s">
        <v>16308</v>
      </c>
      <c r="DG1598" t="s">
        <v>16309</v>
      </c>
      <c r="DH1598" t="str">
        <f>"PSME2"</f>
        <v>PSME2</v>
      </c>
      <c r="DI1598" t="s">
        <v>13772</v>
      </c>
      <c r="DJ1598" t="s">
        <v>13777</v>
      </c>
      <c r="DK1598">
        <v>9606</v>
      </c>
      <c r="DL1598" s="34" t="str">
        <f>HYPERLINK("http://www.uniprot.org/uniprot/Q9UL46", "Q9UL46")</f>
        <v>Q9UL46</v>
      </c>
      <c r="DM1598" t="s">
        <v>16310</v>
      </c>
      <c r="DN1598" t="s">
        <v>13772</v>
      </c>
      <c r="DO1598" t="s">
        <v>14145</v>
      </c>
      <c r="DP1598" t="s">
        <v>13793</v>
      </c>
      <c r="DQ1598" t="s">
        <v>13772</v>
      </c>
      <c r="DR1598" t="s">
        <v>13772</v>
      </c>
      <c r="DS1598" t="s">
        <v>13772</v>
      </c>
      <c r="DT1598" t="s">
        <v>13772</v>
      </c>
      <c r="DU1598" t="s">
        <v>13772</v>
      </c>
      <c r="DV1598" t="s">
        <v>13886</v>
      </c>
      <c r="DW1598" t="s">
        <v>13772</v>
      </c>
      <c r="DX1598" t="s">
        <v>16311</v>
      </c>
      <c r="DY1598" t="s">
        <v>16312</v>
      </c>
      <c r="DZ1598" t="s">
        <v>16313</v>
      </c>
      <c r="EA1598" t="s">
        <v>13772</v>
      </c>
      <c r="EB1598" t="s">
        <v>16314</v>
      </c>
    </row>
    <row r="1599" spans="1:132" hidden="1">
      <c r="A1599">
        <v>306</v>
      </c>
      <c r="B1599">
        <v>1</v>
      </c>
      <c r="C1599" t="s">
        <v>768</v>
      </c>
      <c r="D1599" t="s">
        <v>769</v>
      </c>
      <c r="E1599" t="s">
        <v>73</v>
      </c>
      <c r="F1599" t="s">
        <v>770</v>
      </c>
      <c r="G1599" t="s">
        <v>73</v>
      </c>
      <c r="H1599">
        <v>7.6</v>
      </c>
      <c r="I1599">
        <v>1280</v>
      </c>
      <c r="J1599">
        <v>141400</v>
      </c>
      <c r="K1599" t="s">
        <v>771</v>
      </c>
      <c r="L1599">
        <f t="shared" si="98"/>
        <v>10</v>
      </c>
      <c r="N1599">
        <v>10</v>
      </c>
      <c r="O1599">
        <v>7</v>
      </c>
      <c r="P1599">
        <v>0.7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6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4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 s="2">
        <v>0</v>
      </c>
      <c r="BD1599" s="2">
        <v>1</v>
      </c>
      <c r="BE1599" s="2">
        <v>0</v>
      </c>
      <c r="BF1599" s="2">
        <v>0</v>
      </c>
      <c r="BG1599" s="2">
        <v>1</v>
      </c>
      <c r="BH1599" s="2">
        <v>6</v>
      </c>
      <c r="BI1599" s="2">
        <v>2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f t="shared" si="101"/>
        <v>10</v>
      </c>
      <c r="BW1599" s="16">
        <f t="shared" si="99"/>
        <v>0.52631578947368418</v>
      </c>
      <c r="BX1599" s="16">
        <f>COUNTIF($BC$6:BU1599, "=0") / COUNTIF($BC$6:BU1599, "&gt;-1")</f>
        <v>0.40266129564815428</v>
      </c>
      <c r="BY1599" s="18">
        <f>SUM($BC$6:BU1599) / $BY$4</f>
        <v>0.98426906753432686</v>
      </c>
      <c r="BZ1599" s="14">
        <f t="shared" si="100"/>
        <v>15</v>
      </c>
      <c r="CA1599" t="s">
        <v>5832</v>
      </c>
      <c r="CZ1599" t="s">
        <v>6752</v>
      </c>
      <c r="DA1599" t="s">
        <v>5904</v>
      </c>
      <c r="DB1599">
        <v>2362</v>
      </c>
      <c r="DC1599" t="s">
        <v>16597</v>
      </c>
      <c r="DD1599" t="s">
        <v>16598</v>
      </c>
      <c r="DE1599" t="s">
        <v>16599</v>
      </c>
      <c r="DF1599" t="s">
        <v>16600</v>
      </c>
      <c r="DG1599" t="s">
        <v>16601</v>
      </c>
      <c r="DH1599" t="str">
        <f>"ABCB1"</f>
        <v>ABCB1</v>
      </c>
      <c r="DI1599" t="s">
        <v>16602</v>
      </c>
      <c r="DJ1599" t="s">
        <v>13777</v>
      </c>
      <c r="DK1599">
        <v>9606</v>
      </c>
      <c r="DL1599" s="34" t="str">
        <f>HYPERLINK("http://www.uniprot.org/uniprot/P08183", "P08183")</f>
        <v>P08183</v>
      </c>
      <c r="DM1599" t="s">
        <v>16603</v>
      </c>
      <c r="DN1599" t="s">
        <v>14192</v>
      </c>
      <c r="DO1599" t="s">
        <v>13792</v>
      </c>
      <c r="DP1599" t="s">
        <v>13780</v>
      </c>
      <c r="DQ1599" t="s">
        <v>13772</v>
      </c>
      <c r="DR1599" t="s">
        <v>13772</v>
      </c>
      <c r="DS1599" t="s">
        <v>16604</v>
      </c>
      <c r="DT1599" t="s">
        <v>14005</v>
      </c>
      <c r="DU1599" t="s">
        <v>16605</v>
      </c>
      <c r="DV1599" t="s">
        <v>13978</v>
      </c>
      <c r="DW1599" t="s">
        <v>13812</v>
      </c>
      <c r="DX1599" t="s">
        <v>16606</v>
      </c>
      <c r="DY1599" t="s">
        <v>16607</v>
      </c>
      <c r="DZ1599" t="s">
        <v>16608</v>
      </c>
      <c r="EA1599" t="s">
        <v>13772</v>
      </c>
      <c r="EB1599" t="s">
        <v>16609</v>
      </c>
    </row>
    <row r="1600" spans="1:132" hidden="1">
      <c r="A1600">
        <v>339</v>
      </c>
      <c r="B1600">
        <v>1</v>
      </c>
      <c r="C1600" t="s">
        <v>852</v>
      </c>
      <c r="D1600" t="s">
        <v>853</v>
      </c>
      <c r="E1600" t="s">
        <v>73</v>
      </c>
      <c r="F1600" t="s">
        <v>73</v>
      </c>
      <c r="G1600" t="s">
        <v>73</v>
      </c>
      <c r="H1600">
        <v>10</v>
      </c>
      <c r="I1600">
        <v>429</v>
      </c>
      <c r="J1600">
        <v>48769</v>
      </c>
      <c r="K1600" t="s">
        <v>854</v>
      </c>
      <c r="L1600">
        <f t="shared" si="98"/>
        <v>10</v>
      </c>
      <c r="N1600">
        <v>10</v>
      </c>
      <c r="O1600">
        <v>10</v>
      </c>
      <c r="P1600">
        <v>1</v>
      </c>
      <c r="Q1600">
        <v>0</v>
      </c>
      <c r="R1600">
        <v>3</v>
      </c>
      <c r="S1600">
        <v>0</v>
      </c>
      <c r="T1600">
        <v>1</v>
      </c>
      <c r="U1600">
        <v>3</v>
      </c>
      <c r="V1600">
        <v>0</v>
      </c>
      <c r="W1600">
        <v>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</v>
      </c>
      <c r="AL1600">
        <v>0</v>
      </c>
      <c r="AM1600">
        <v>1</v>
      </c>
      <c r="AN1600">
        <v>3</v>
      </c>
      <c r="AO1600">
        <v>0</v>
      </c>
      <c r="AP1600">
        <v>0</v>
      </c>
      <c r="AQ1600">
        <v>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s="2">
        <v>0</v>
      </c>
      <c r="BD1600" s="2">
        <v>3</v>
      </c>
      <c r="BE1600" s="2">
        <v>0</v>
      </c>
      <c r="BF1600" s="2">
        <v>1</v>
      </c>
      <c r="BG1600" s="2">
        <v>3</v>
      </c>
      <c r="BH1600" s="2">
        <v>0</v>
      </c>
      <c r="BI1600" s="2">
        <v>0</v>
      </c>
      <c r="BJ1600" s="2">
        <v>3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f t="shared" si="101"/>
        <v>10</v>
      </c>
      <c r="BW1600" s="16">
        <f t="shared" si="99"/>
        <v>0.52631578947368418</v>
      </c>
      <c r="BX1600" s="16">
        <f>COUNTIF($BC$6:BU1600, "=0") / COUNTIF($BC$6:BU1600, "&gt;-1")</f>
        <v>0.4029038112522686</v>
      </c>
      <c r="BY1600" s="18">
        <f>SUM($BC$6:BU1600) / $BY$4</f>
        <v>0.98431190390301382</v>
      </c>
      <c r="BZ1600" s="14">
        <f t="shared" si="100"/>
        <v>15</v>
      </c>
      <c r="CA1600" t="s">
        <v>5832</v>
      </c>
      <c r="CZ1600" t="s">
        <v>6876</v>
      </c>
      <c r="DA1600" t="s">
        <v>5904</v>
      </c>
      <c r="DB1600">
        <v>724.2</v>
      </c>
      <c r="DC1600" t="s">
        <v>16951</v>
      </c>
      <c r="DD1600" t="s">
        <v>16952</v>
      </c>
      <c r="DE1600" t="s">
        <v>16953</v>
      </c>
      <c r="DF1600" t="s">
        <v>16954</v>
      </c>
      <c r="DG1600" t="s">
        <v>16955</v>
      </c>
      <c r="DH1600" t="str">
        <f>"ACP6"</f>
        <v>ACP6</v>
      </c>
      <c r="DI1600" t="s">
        <v>16956</v>
      </c>
      <c r="DJ1600" t="s">
        <v>13777</v>
      </c>
      <c r="DK1600">
        <v>9606</v>
      </c>
      <c r="DL1600" s="34" t="str">
        <f>HYPERLINK("http://www.uniprot.org/uniprot/Q9NPH0", "Q9NPH0")</f>
        <v>Q9NPH0</v>
      </c>
      <c r="DM1600" t="s">
        <v>16957</v>
      </c>
      <c r="DN1600" t="s">
        <v>16958</v>
      </c>
      <c r="DO1600" t="s">
        <v>14491</v>
      </c>
      <c r="DP1600" t="s">
        <v>13780</v>
      </c>
      <c r="DQ1600" t="s">
        <v>13772</v>
      </c>
      <c r="DR1600" t="s">
        <v>13772</v>
      </c>
      <c r="DS1600" t="s">
        <v>14391</v>
      </c>
      <c r="DT1600" t="s">
        <v>13772</v>
      </c>
      <c r="DU1600" t="s">
        <v>13857</v>
      </c>
      <c r="DV1600" t="s">
        <v>13772</v>
      </c>
      <c r="DW1600" t="s">
        <v>13812</v>
      </c>
      <c r="DX1600" t="s">
        <v>16959</v>
      </c>
      <c r="DY1600" t="s">
        <v>16960</v>
      </c>
      <c r="DZ1600" t="s">
        <v>16961</v>
      </c>
      <c r="EA1600" t="s">
        <v>13772</v>
      </c>
      <c r="EB1600" t="s">
        <v>16962</v>
      </c>
    </row>
    <row r="1601" spans="1:132" hidden="1">
      <c r="A1601">
        <v>370</v>
      </c>
      <c r="B1601">
        <v>1</v>
      </c>
      <c r="C1601" t="s">
        <v>922</v>
      </c>
      <c r="D1601" t="s">
        <v>73</v>
      </c>
      <c r="E1601" t="s">
        <v>73</v>
      </c>
      <c r="F1601" t="s">
        <v>73</v>
      </c>
      <c r="G1601" t="s">
        <v>73</v>
      </c>
      <c r="H1601">
        <v>10.199999999999999</v>
      </c>
      <c r="I1601">
        <v>491</v>
      </c>
      <c r="J1601">
        <v>55577</v>
      </c>
      <c r="K1601" t="s">
        <v>923</v>
      </c>
      <c r="L1601">
        <f t="shared" si="98"/>
        <v>10</v>
      </c>
      <c r="N1601">
        <v>10</v>
      </c>
      <c r="O1601">
        <v>10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2</v>
      </c>
      <c r="AA1601">
        <v>3</v>
      </c>
      <c r="AB1601">
        <v>1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</v>
      </c>
      <c r="AS1601">
        <v>2</v>
      </c>
      <c r="AT1601">
        <v>3</v>
      </c>
      <c r="AU1601">
        <v>1</v>
      </c>
      <c r="AV1601">
        <v>1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2</v>
      </c>
      <c r="BL1601" s="2">
        <v>2</v>
      </c>
      <c r="BM1601" s="2">
        <v>3</v>
      </c>
      <c r="BN1601" s="2">
        <v>1</v>
      </c>
      <c r="BO1601" s="2">
        <v>1</v>
      </c>
      <c r="BP1601" s="2">
        <v>0</v>
      </c>
      <c r="BQ1601" s="2">
        <v>0</v>
      </c>
      <c r="BR1601" s="2">
        <v>1</v>
      </c>
      <c r="BS1601" s="2">
        <v>0</v>
      </c>
      <c r="BT1601" s="2">
        <v>0</v>
      </c>
      <c r="BU1601" s="2">
        <v>0</v>
      </c>
      <c r="BV1601" s="2">
        <f t="shared" si="101"/>
        <v>10</v>
      </c>
      <c r="BW1601" s="16">
        <f t="shared" si="99"/>
        <v>0.52631578947368418</v>
      </c>
      <c r="BX1601" s="16">
        <f>COUNTIF($BC$6:BU1601, "=0") / COUNTIF($BC$6:BU1601, "&gt;-1")</f>
        <v>0.40308006859253398</v>
      </c>
      <c r="BY1601" s="18">
        <f>SUM($BC$6:BU1601) / $BY$4</f>
        <v>0.98435474027170089</v>
      </c>
      <c r="BZ1601" s="14">
        <f t="shared" si="100"/>
        <v>13</v>
      </c>
      <c r="CA1601" t="s">
        <v>5832</v>
      </c>
      <c r="CZ1601" t="s">
        <v>6982</v>
      </c>
      <c r="DA1601" t="s">
        <v>5904</v>
      </c>
      <c r="DB1601">
        <v>951.8</v>
      </c>
      <c r="DC1601" t="s">
        <v>17288</v>
      </c>
      <c r="DD1601" t="s">
        <v>17289</v>
      </c>
      <c r="DE1601" t="s">
        <v>17290</v>
      </c>
      <c r="DF1601" t="s">
        <v>17291</v>
      </c>
      <c r="DG1601" t="s">
        <v>17292</v>
      </c>
      <c r="DH1601" t="str">
        <f>"NAMPT"</f>
        <v>NAMPT</v>
      </c>
      <c r="DI1601" t="s">
        <v>17293</v>
      </c>
      <c r="DJ1601" t="s">
        <v>13777</v>
      </c>
      <c r="DK1601">
        <v>9606</v>
      </c>
      <c r="DL1601" s="34" t="str">
        <f>HYPERLINK("http://www.uniprot.org/uniprot/P43490", "P43490")</f>
        <v>P43490</v>
      </c>
      <c r="DM1601" t="s">
        <v>17294</v>
      </c>
      <c r="DN1601" t="s">
        <v>17295</v>
      </c>
      <c r="DO1601" t="s">
        <v>14276</v>
      </c>
      <c r="DP1601" t="s">
        <v>13793</v>
      </c>
      <c r="DQ1601" t="s">
        <v>13772</v>
      </c>
      <c r="DR1601" t="s">
        <v>13772</v>
      </c>
      <c r="DS1601" t="s">
        <v>13772</v>
      </c>
      <c r="DT1601" t="s">
        <v>13772</v>
      </c>
      <c r="DU1601" t="s">
        <v>17296</v>
      </c>
      <c r="DV1601" t="s">
        <v>13886</v>
      </c>
      <c r="DW1601" t="s">
        <v>13812</v>
      </c>
      <c r="DX1601" t="s">
        <v>17297</v>
      </c>
      <c r="DY1601" t="s">
        <v>17298</v>
      </c>
      <c r="DZ1601" t="s">
        <v>17299</v>
      </c>
      <c r="EA1601" t="s">
        <v>17300</v>
      </c>
      <c r="EB1601" t="s">
        <v>17301</v>
      </c>
    </row>
    <row r="1602" spans="1:132" hidden="1">
      <c r="A1602">
        <v>387</v>
      </c>
      <c r="B1602">
        <v>1</v>
      </c>
      <c r="C1602" t="s">
        <v>966</v>
      </c>
      <c r="D1602" t="s">
        <v>967</v>
      </c>
      <c r="E1602" t="s">
        <v>73</v>
      </c>
      <c r="F1602" t="s">
        <v>73</v>
      </c>
      <c r="G1602" t="s">
        <v>73</v>
      </c>
      <c r="H1602">
        <v>8</v>
      </c>
      <c r="I1602">
        <v>976</v>
      </c>
      <c r="J1602">
        <v>108737</v>
      </c>
      <c r="K1602" t="s">
        <v>968</v>
      </c>
      <c r="L1602">
        <f t="shared" si="98"/>
        <v>10</v>
      </c>
      <c r="N1602">
        <v>10</v>
      </c>
      <c r="O1602">
        <v>10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1</v>
      </c>
      <c r="AB1602">
        <v>3</v>
      </c>
      <c r="AC1602">
        <v>0</v>
      </c>
      <c r="AD1602">
        <v>0</v>
      </c>
      <c r="AE1602">
        <v>0</v>
      </c>
      <c r="AF1602">
        <v>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1</v>
      </c>
      <c r="AU1602">
        <v>3</v>
      </c>
      <c r="AV1602">
        <v>0</v>
      </c>
      <c r="AW1602">
        <v>0</v>
      </c>
      <c r="AX1602">
        <v>0</v>
      </c>
      <c r="AY1602">
        <v>3</v>
      </c>
      <c r="AZ1602">
        <v>0</v>
      </c>
      <c r="BA1602">
        <v>0</v>
      </c>
      <c r="BB160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1</v>
      </c>
      <c r="BH1602" s="2">
        <v>0</v>
      </c>
      <c r="BI1602" s="2">
        <v>0</v>
      </c>
      <c r="BJ1602" s="2">
        <v>1</v>
      </c>
      <c r="BK1602" s="2">
        <v>1</v>
      </c>
      <c r="BL1602" s="2">
        <v>0</v>
      </c>
      <c r="BM1602" s="2">
        <v>1</v>
      </c>
      <c r="BN1602" s="2">
        <v>3</v>
      </c>
      <c r="BO1602" s="2">
        <v>0</v>
      </c>
      <c r="BP1602" s="2">
        <v>0</v>
      </c>
      <c r="BQ1602" s="2">
        <v>0</v>
      </c>
      <c r="BR1602" s="2">
        <v>3</v>
      </c>
      <c r="BS1602" s="2">
        <v>0</v>
      </c>
      <c r="BT1602" s="2">
        <v>0</v>
      </c>
      <c r="BU1602" s="2">
        <v>0</v>
      </c>
      <c r="BV1602" s="2">
        <f t="shared" si="101"/>
        <v>10</v>
      </c>
      <c r="BW1602" s="16">
        <f t="shared" si="99"/>
        <v>0.52631578947368418</v>
      </c>
      <c r="BX1602" s="16">
        <f>COUNTIF($BC$6:BU1602, "=0") / COUNTIF($BC$6:BU1602, "&gt;-1")</f>
        <v>0.40325610519724481</v>
      </c>
      <c r="BY1602" s="18">
        <f>SUM($BC$6:BU1602) / $BY$4</f>
        <v>0.98439757664038785</v>
      </c>
      <c r="BZ1602" s="14">
        <f t="shared" si="100"/>
        <v>13</v>
      </c>
      <c r="CA1602" t="s">
        <v>5832</v>
      </c>
      <c r="CZ1602" t="s">
        <v>7043</v>
      </c>
      <c r="DA1602" t="s">
        <v>5896</v>
      </c>
      <c r="DB1602">
        <v>910.2</v>
      </c>
      <c r="DC1602" t="s">
        <v>17473</v>
      </c>
      <c r="DD1602" t="s">
        <v>17474</v>
      </c>
      <c r="DE1602" t="s">
        <v>17475</v>
      </c>
      <c r="DF1602" t="s">
        <v>17476</v>
      </c>
      <c r="DG1602" t="s">
        <v>17477</v>
      </c>
      <c r="DH1602" t="str">
        <f>"EPB41L3"</f>
        <v>EPB41L3</v>
      </c>
      <c r="DI1602" t="s">
        <v>17478</v>
      </c>
      <c r="DJ1602" t="s">
        <v>13777</v>
      </c>
      <c r="DK1602">
        <v>9606</v>
      </c>
      <c r="DL1602" s="34" t="str">
        <f>HYPERLINK("http://www.uniprot.org/uniprot/Q9Y2J2", "Q9Y2J2")</f>
        <v>Q9Y2J2</v>
      </c>
      <c r="DM1602" t="s">
        <v>17479</v>
      </c>
      <c r="DN1602" t="s">
        <v>17109</v>
      </c>
      <c r="DO1602" t="s">
        <v>17480</v>
      </c>
      <c r="DP1602" t="s">
        <v>13780</v>
      </c>
      <c r="DQ1602" t="s">
        <v>13772</v>
      </c>
      <c r="DR1602" t="s">
        <v>14505</v>
      </c>
      <c r="DS1602" t="s">
        <v>13772</v>
      </c>
      <c r="DT1602" t="s">
        <v>13772</v>
      </c>
      <c r="DU1602" t="s">
        <v>13990</v>
      </c>
      <c r="DV1602" t="s">
        <v>13886</v>
      </c>
      <c r="DW1602" t="s">
        <v>13812</v>
      </c>
      <c r="DX1602" t="s">
        <v>17481</v>
      </c>
      <c r="DY1602" t="s">
        <v>17482</v>
      </c>
      <c r="DZ1602" t="s">
        <v>17483</v>
      </c>
      <c r="EA1602" t="s">
        <v>13772</v>
      </c>
      <c r="EB1602" t="s">
        <v>15945</v>
      </c>
    </row>
    <row r="1603" spans="1:132" hidden="1">
      <c r="A1603">
        <v>409</v>
      </c>
      <c r="B1603">
        <v>1</v>
      </c>
      <c r="C1603" t="s">
        <v>1026</v>
      </c>
      <c r="D1603" t="s">
        <v>73</v>
      </c>
      <c r="E1603" t="s">
        <v>73</v>
      </c>
      <c r="F1603" t="s">
        <v>73</v>
      </c>
      <c r="G1603" t="s">
        <v>73</v>
      </c>
      <c r="H1603">
        <v>14.3</v>
      </c>
      <c r="I1603">
        <v>307</v>
      </c>
      <c r="J1603">
        <v>34470</v>
      </c>
      <c r="K1603" t="s">
        <v>1027</v>
      </c>
      <c r="L1603">
        <f t="shared" si="98"/>
        <v>10</v>
      </c>
      <c r="N1603">
        <v>10</v>
      </c>
      <c r="O1603">
        <v>10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0</v>
      </c>
      <c r="Z1603">
        <v>0</v>
      </c>
      <c r="AA1603">
        <v>2</v>
      </c>
      <c r="AB1603">
        <v>1</v>
      </c>
      <c r="AC1603">
        <v>1</v>
      </c>
      <c r="AD1603">
        <v>0</v>
      </c>
      <c r="AE1603">
        <v>2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</v>
      </c>
      <c r="AR1603">
        <v>0</v>
      </c>
      <c r="AS1603">
        <v>0</v>
      </c>
      <c r="AT1603">
        <v>2</v>
      </c>
      <c r="AU1603">
        <v>1</v>
      </c>
      <c r="AV1603">
        <v>1</v>
      </c>
      <c r="AW1603">
        <v>0</v>
      </c>
      <c r="AX1603">
        <v>2</v>
      </c>
      <c r="AY1603">
        <v>0</v>
      </c>
      <c r="AZ1603">
        <v>0</v>
      </c>
      <c r="BA1603">
        <v>0</v>
      </c>
      <c r="BB1603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2</v>
      </c>
      <c r="BK1603" s="2">
        <v>0</v>
      </c>
      <c r="BL1603" s="2">
        <v>0</v>
      </c>
      <c r="BM1603" s="2">
        <v>2</v>
      </c>
      <c r="BN1603" s="2">
        <v>1</v>
      </c>
      <c r="BO1603" s="2">
        <v>1</v>
      </c>
      <c r="BP1603" s="2">
        <v>0</v>
      </c>
      <c r="BQ1603" s="2">
        <v>2</v>
      </c>
      <c r="BR1603" s="2">
        <v>0</v>
      </c>
      <c r="BS1603" s="2">
        <v>0</v>
      </c>
      <c r="BT1603" s="2">
        <v>0</v>
      </c>
      <c r="BU1603" s="2">
        <v>1</v>
      </c>
      <c r="BV1603" s="2">
        <f t="shared" si="101"/>
        <v>10</v>
      </c>
      <c r="BW1603" s="16">
        <f t="shared" si="99"/>
        <v>0.52631578947368418</v>
      </c>
      <c r="BX1603" s="16">
        <f>COUNTIF($BC$6:BU1603, "=0") / COUNTIF($BC$6:BU1603, "&gt;-1")</f>
        <v>0.40339898557407283</v>
      </c>
      <c r="BY1603" s="18">
        <f>SUM($BC$6:BU1603) / $BY$4</f>
        <v>0.98444041300907481</v>
      </c>
      <c r="BZ1603" s="14">
        <f t="shared" si="100"/>
        <v>12</v>
      </c>
      <c r="CA1603" t="s">
        <v>5832</v>
      </c>
      <c r="CZ1603" t="s">
        <v>7120</v>
      </c>
      <c r="DA1603" t="s">
        <v>5904</v>
      </c>
      <c r="DB1603">
        <v>636.70000000000005</v>
      </c>
      <c r="DC1603" t="s">
        <v>17717</v>
      </c>
      <c r="DD1603" t="s">
        <v>17718</v>
      </c>
      <c r="DE1603" t="s">
        <v>17719</v>
      </c>
      <c r="DF1603" t="s">
        <v>17720</v>
      </c>
      <c r="DG1603" t="s">
        <v>17721</v>
      </c>
      <c r="DH1603" t="str">
        <f>"UFD1"</f>
        <v>UFD1</v>
      </c>
      <c r="DI1603" t="s">
        <v>17722</v>
      </c>
      <c r="DJ1603" t="s">
        <v>13777</v>
      </c>
      <c r="DK1603">
        <v>9606</v>
      </c>
      <c r="DL1603" s="34" t="str">
        <f>HYPERLINK("http://www.uniprot.org/uniprot/Q92890", "Q92890")</f>
        <v>Q92890</v>
      </c>
      <c r="DM1603" t="s">
        <v>17723</v>
      </c>
      <c r="DN1603" t="s">
        <v>14109</v>
      </c>
      <c r="DO1603" t="s">
        <v>13912</v>
      </c>
      <c r="DP1603" t="s">
        <v>13780</v>
      </c>
      <c r="DQ1603" t="s">
        <v>13772</v>
      </c>
      <c r="DR1603" t="s">
        <v>13772</v>
      </c>
      <c r="DS1603" t="s">
        <v>13772</v>
      </c>
      <c r="DT1603" t="s">
        <v>13772</v>
      </c>
      <c r="DU1603" t="s">
        <v>13772</v>
      </c>
      <c r="DV1603" t="s">
        <v>13886</v>
      </c>
      <c r="DW1603" t="s">
        <v>13812</v>
      </c>
      <c r="DX1603" t="s">
        <v>17724</v>
      </c>
      <c r="DY1603" t="s">
        <v>17725</v>
      </c>
      <c r="DZ1603" t="s">
        <v>17726</v>
      </c>
      <c r="EA1603" t="s">
        <v>17727</v>
      </c>
      <c r="EB1603" t="s">
        <v>17728</v>
      </c>
    </row>
    <row r="1604" spans="1:132" hidden="1">
      <c r="A1604">
        <v>472</v>
      </c>
      <c r="B1604">
        <v>1</v>
      </c>
      <c r="C1604" t="s">
        <v>1185</v>
      </c>
      <c r="D1604" t="s">
        <v>1186</v>
      </c>
      <c r="E1604" t="s">
        <v>73</v>
      </c>
      <c r="F1604" t="s">
        <v>73</v>
      </c>
      <c r="G1604" t="s">
        <v>73</v>
      </c>
      <c r="H1604">
        <v>5.0999999999999996</v>
      </c>
      <c r="I1604">
        <v>393</v>
      </c>
      <c r="J1604">
        <v>43204</v>
      </c>
      <c r="K1604" t="s">
        <v>1187</v>
      </c>
      <c r="L1604">
        <f t="shared" si="98"/>
        <v>10</v>
      </c>
      <c r="N1604">
        <v>10</v>
      </c>
      <c r="O1604">
        <v>10</v>
      </c>
      <c r="P1604">
        <v>1</v>
      </c>
      <c r="Q1604">
        <v>0</v>
      </c>
      <c r="R1604">
        <v>0</v>
      </c>
      <c r="S1604">
        <v>2</v>
      </c>
      <c r="T1604">
        <v>3</v>
      </c>
      <c r="U1604">
        <v>3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2</v>
      </c>
      <c r="AM1604">
        <v>3</v>
      </c>
      <c r="AN1604">
        <v>3</v>
      </c>
      <c r="AO1604">
        <v>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s="2">
        <v>0</v>
      </c>
      <c r="BD1604" s="2">
        <v>0</v>
      </c>
      <c r="BE1604" s="2">
        <v>2</v>
      </c>
      <c r="BF1604" s="2">
        <v>3</v>
      </c>
      <c r="BG1604" s="2">
        <v>3</v>
      </c>
      <c r="BH1604" s="2">
        <v>2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f t="shared" si="101"/>
        <v>10</v>
      </c>
      <c r="BW1604" s="16">
        <f t="shared" si="99"/>
        <v>0.52631578947368418</v>
      </c>
      <c r="BX1604" s="16">
        <f>COUNTIF($BC$6:BU1604, "=0") / COUNTIF($BC$6:BU1604, "&gt;-1")</f>
        <v>0.40364043316546527</v>
      </c>
      <c r="BY1604" s="18">
        <f>SUM($BC$6:BU1604) / $BY$4</f>
        <v>0.98448324937776188</v>
      </c>
      <c r="BZ1604" s="14">
        <f t="shared" si="100"/>
        <v>15</v>
      </c>
      <c r="CA1604" t="s">
        <v>5832</v>
      </c>
      <c r="CZ1604" t="s">
        <v>7342</v>
      </c>
      <c r="DA1604" t="s">
        <v>5904</v>
      </c>
      <c r="DB1604">
        <v>582.79999999999995</v>
      </c>
      <c r="DC1604" t="s">
        <v>18405</v>
      </c>
      <c r="DD1604" t="s">
        <v>18406</v>
      </c>
      <c r="DE1604" t="s">
        <v>18407</v>
      </c>
      <c r="DF1604" t="s">
        <v>18408</v>
      </c>
      <c r="DG1604" t="s">
        <v>18409</v>
      </c>
      <c r="DH1604" t="str">
        <f>"MRGPRF"</f>
        <v>MRGPRF</v>
      </c>
      <c r="DI1604" t="s">
        <v>18410</v>
      </c>
      <c r="DJ1604" t="s">
        <v>13777</v>
      </c>
      <c r="DK1604">
        <v>9606</v>
      </c>
      <c r="DL1604" s="34" t="str">
        <f>HYPERLINK("http://www.uniprot.org/uniprot/Q96AM1", "Q96AM1")</f>
        <v>Q96AM1</v>
      </c>
      <c r="DM1604" t="s">
        <v>18411</v>
      </c>
      <c r="DN1604" t="s">
        <v>13772</v>
      </c>
      <c r="DO1604" t="s">
        <v>13792</v>
      </c>
      <c r="DP1604" t="s">
        <v>13793</v>
      </c>
      <c r="DQ1604" t="s">
        <v>13772</v>
      </c>
      <c r="DR1604" t="s">
        <v>13772</v>
      </c>
      <c r="DS1604" t="s">
        <v>13925</v>
      </c>
      <c r="DT1604" t="s">
        <v>13772</v>
      </c>
      <c r="DU1604" t="s">
        <v>13977</v>
      </c>
      <c r="DV1604" t="s">
        <v>13858</v>
      </c>
      <c r="DW1604" t="s">
        <v>13772</v>
      </c>
      <c r="DX1604" t="s">
        <v>13979</v>
      </c>
      <c r="DY1604" t="s">
        <v>18412</v>
      </c>
      <c r="DZ1604" t="s">
        <v>18413</v>
      </c>
      <c r="EA1604" t="s">
        <v>13772</v>
      </c>
      <c r="EB1604" t="s">
        <v>13772</v>
      </c>
    </row>
    <row r="1605" spans="1:132" hidden="1">
      <c r="A1605">
        <v>530</v>
      </c>
      <c r="B1605">
        <v>1</v>
      </c>
      <c r="C1605" t="s">
        <v>1335</v>
      </c>
      <c r="D1605" t="s">
        <v>73</v>
      </c>
      <c r="E1605" t="s">
        <v>73</v>
      </c>
      <c r="F1605" t="s">
        <v>73</v>
      </c>
      <c r="G1605" t="s">
        <v>73</v>
      </c>
      <c r="H1605">
        <v>15.2</v>
      </c>
      <c r="I1605">
        <v>243</v>
      </c>
      <c r="J1605">
        <v>25218</v>
      </c>
      <c r="K1605" t="s">
        <v>1336</v>
      </c>
      <c r="L1605">
        <f t="shared" si="98"/>
        <v>10</v>
      </c>
      <c r="N1605">
        <v>10</v>
      </c>
      <c r="O1605">
        <v>10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1</v>
      </c>
      <c r="V1605">
        <v>3</v>
      </c>
      <c r="W1605">
        <v>2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</v>
      </c>
      <c r="AN1605">
        <v>1</v>
      </c>
      <c r="AO1605">
        <v>3</v>
      </c>
      <c r="AP1605">
        <v>2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 s="2">
        <v>0</v>
      </c>
      <c r="BD1605" s="2">
        <v>0</v>
      </c>
      <c r="BE1605" s="2">
        <v>1</v>
      </c>
      <c r="BF1605" s="2">
        <v>1</v>
      </c>
      <c r="BG1605" s="2">
        <v>1</v>
      </c>
      <c r="BH1605" s="2">
        <v>3</v>
      </c>
      <c r="BI1605" s="2">
        <v>2</v>
      </c>
      <c r="BJ1605" s="2">
        <v>1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1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f t="shared" si="101"/>
        <v>10</v>
      </c>
      <c r="BW1605" s="16">
        <f t="shared" si="99"/>
        <v>0.52631578947368418</v>
      </c>
      <c r="BX1605" s="16">
        <f>COUNTIF($BC$6:BU1605, "=0") / COUNTIF($BC$6:BU1605, "&gt;-1")</f>
        <v>0.40378289473684209</v>
      </c>
      <c r="BY1605" s="18">
        <f>SUM($BC$6:BU1605) / $BY$4</f>
        <v>0.98452608574644884</v>
      </c>
      <c r="BZ1605" s="14">
        <f t="shared" si="100"/>
        <v>12</v>
      </c>
      <c r="CA1605" t="s">
        <v>5832</v>
      </c>
      <c r="CZ1605" t="s">
        <v>7551</v>
      </c>
      <c r="DA1605" t="s">
        <v>5904</v>
      </c>
      <c r="DB1605">
        <v>422.6</v>
      </c>
      <c r="DC1605" t="s">
        <v>19028</v>
      </c>
      <c r="DD1605" t="s">
        <v>13772</v>
      </c>
      <c r="DE1605" t="s">
        <v>19029</v>
      </c>
      <c r="DF1605" t="s">
        <v>19030</v>
      </c>
      <c r="DG1605" t="s">
        <v>19031</v>
      </c>
      <c r="DH1605" t="str">
        <f>"C1QTNF5"</f>
        <v>C1QTNF5</v>
      </c>
      <c r="DI1605" t="s">
        <v>19032</v>
      </c>
      <c r="DJ1605" t="s">
        <v>13777</v>
      </c>
      <c r="DK1605">
        <v>9606</v>
      </c>
      <c r="DL1605" s="34" t="str">
        <f>HYPERLINK("http://www.uniprot.org/uniprot/Q9BXJ0", "Q9BXJ0")</f>
        <v>Q9BXJ0</v>
      </c>
      <c r="DM1605" t="s">
        <v>19033</v>
      </c>
      <c r="DN1605" t="s">
        <v>13772</v>
      </c>
      <c r="DO1605" t="s">
        <v>14321</v>
      </c>
      <c r="DP1605" t="s">
        <v>13793</v>
      </c>
      <c r="DQ1605" t="s">
        <v>13772</v>
      </c>
      <c r="DR1605" t="s">
        <v>13807</v>
      </c>
      <c r="DS1605" t="s">
        <v>19034</v>
      </c>
      <c r="DT1605" t="s">
        <v>13772</v>
      </c>
      <c r="DU1605" t="s">
        <v>13772</v>
      </c>
      <c r="DV1605" t="s">
        <v>13772</v>
      </c>
      <c r="DW1605" t="s">
        <v>13812</v>
      </c>
      <c r="DX1605" t="s">
        <v>19035</v>
      </c>
      <c r="DY1605" t="s">
        <v>19036</v>
      </c>
      <c r="DZ1605" t="s">
        <v>16148</v>
      </c>
      <c r="EA1605" t="s">
        <v>13772</v>
      </c>
      <c r="EB1605" t="s">
        <v>13772</v>
      </c>
    </row>
    <row r="1606" spans="1:132" hidden="1">
      <c r="A1606">
        <v>535</v>
      </c>
      <c r="B1606">
        <v>1</v>
      </c>
      <c r="C1606" t="s">
        <v>1337</v>
      </c>
      <c r="D1606" t="s">
        <v>73</v>
      </c>
      <c r="E1606" t="s">
        <v>73</v>
      </c>
      <c r="F1606" t="s">
        <v>73</v>
      </c>
      <c r="G1606" t="s">
        <v>73</v>
      </c>
      <c r="H1606">
        <v>25.8</v>
      </c>
      <c r="I1606">
        <v>182</v>
      </c>
      <c r="J1606">
        <v>20247</v>
      </c>
      <c r="K1606" t="s">
        <v>1338</v>
      </c>
      <c r="L1606">
        <f t="shared" ref="L1606:L1669" si="102">N1606</f>
        <v>10</v>
      </c>
      <c r="N1606">
        <v>10</v>
      </c>
      <c r="O1606">
        <v>10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2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2</v>
      </c>
      <c r="AO1606">
        <v>0</v>
      </c>
      <c r="AP1606">
        <v>0</v>
      </c>
      <c r="AQ1606">
        <v>0</v>
      </c>
      <c r="AR1606">
        <v>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</v>
      </c>
      <c r="AY1606">
        <v>1</v>
      </c>
      <c r="AZ1606">
        <v>0</v>
      </c>
      <c r="BA1606">
        <v>0</v>
      </c>
      <c r="BB1606">
        <v>0</v>
      </c>
      <c r="BC1606" s="2">
        <v>0</v>
      </c>
      <c r="BD1606" s="2">
        <v>0</v>
      </c>
      <c r="BE1606" s="2">
        <v>1</v>
      </c>
      <c r="BF1606" s="2">
        <v>0</v>
      </c>
      <c r="BG1606" s="2">
        <v>2</v>
      </c>
      <c r="BH1606" s="2">
        <v>0</v>
      </c>
      <c r="BI1606" s="2">
        <v>0</v>
      </c>
      <c r="BJ1606" s="2">
        <v>0</v>
      </c>
      <c r="BK1606" s="2">
        <v>4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2</v>
      </c>
      <c r="BR1606" s="2">
        <v>1</v>
      </c>
      <c r="BS1606" s="2">
        <v>0</v>
      </c>
      <c r="BT1606" s="2">
        <v>0</v>
      </c>
      <c r="BU1606" s="2">
        <v>0</v>
      </c>
      <c r="BV1606" s="2">
        <f t="shared" si="101"/>
        <v>10</v>
      </c>
      <c r="BW1606" s="16">
        <f t="shared" ref="BW1606:BW1669" si="103">AVERAGE(BC1606:BU1606)</f>
        <v>0.52631578947368418</v>
      </c>
      <c r="BX1606" s="16">
        <f>COUNTIF($BC$6:BU1606, "=0") / COUNTIF($BC$6:BU1606, "&gt;-1")</f>
        <v>0.40399092672342946</v>
      </c>
      <c r="BY1606" s="18">
        <f>SUM($BC$6:BU1606) / $BY$4</f>
        <v>0.98456892211513591</v>
      </c>
      <c r="BZ1606" s="14">
        <f t="shared" ref="BZ1606:BZ1669" si="104">19-COUNTIF(BC1606:BU1606, "&gt;0")</f>
        <v>14</v>
      </c>
      <c r="CA1606" t="s">
        <v>5832</v>
      </c>
      <c r="CZ1606" t="s">
        <v>7554</v>
      </c>
      <c r="DA1606" t="s">
        <v>5904</v>
      </c>
      <c r="DB1606">
        <v>359.8</v>
      </c>
      <c r="DC1606" t="s">
        <v>19037</v>
      </c>
      <c r="DD1606" t="s">
        <v>13772</v>
      </c>
      <c r="DE1606" t="s">
        <v>19038</v>
      </c>
      <c r="DF1606" t="s">
        <v>19039</v>
      </c>
      <c r="DG1606" t="s">
        <v>19040</v>
      </c>
      <c r="DH1606" t="str">
        <f>"SMAP"</f>
        <v>SMAP</v>
      </c>
      <c r="DI1606" t="s">
        <v>19041</v>
      </c>
      <c r="DJ1606" t="s">
        <v>13777</v>
      </c>
      <c r="DK1606">
        <v>9606</v>
      </c>
      <c r="DL1606" s="34" t="str">
        <f>HYPERLINK("http://www.uniprot.org/uniprot/O00193", "O00193")</f>
        <v>O00193</v>
      </c>
      <c r="DM1606" t="s">
        <v>13991</v>
      </c>
      <c r="DN1606" t="s">
        <v>13772</v>
      </c>
      <c r="DO1606" t="s">
        <v>13772</v>
      </c>
      <c r="DP1606" t="s">
        <v>13772</v>
      </c>
      <c r="DQ1606" t="s">
        <v>13772</v>
      </c>
      <c r="DR1606" t="s">
        <v>13772</v>
      </c>
      <c r="DS1606" t="s">
        <v>13772</v>
      </c>
      <c r="DT1606" t="s">
        <v>13772</v>
      </c>
      <c r="DU1606" t="s">
        <v>13772</v>
      </c>
      <c r="DV1606" t="s">
        <v>13991</v>
      </c>
      <c r="DW1606" t="s">
        <v>13772</v>
      </c>
      <c r="DX1606" t="s">
        <v>13772</v>
      </c>
      <c r="DY1606" t="s">
        <v>13772</v>
      </c>
      <c r="DZ1606" t="s">
        <v>13772</v>
      </c>
      <c r="EA1606" t="s">
        <v>13772</v>
      </c>
      <c r="EB1606" t="s">
        <v>13772</v>
      </c>
    </row>
    <row r="1607" spans="1:132" hidden="1">
      <c r="A1607">
        <v>633</v>
      </c>
      <c r="B1607">
        <v>1</v>
      </c>
      <c r="C1607" t="s">
        <v>1567</v>
      </c>
      <c r="D1607" t="s">
        <v>73</v>
      </c>
      <c r="E1607" t="s">
        <v>73</v>
      </c>
      <c r="F1607" t="s">
        <v>73</v>
      </c>
      <c r="G1607" t="s">
        <v>73</v>
      </c>
      <c r="H1607">
        <v>33.6</v>
      </c>
      <c r="I1607">
        <v>122</v>
      </c>
      <c r="J1607">
        <v>13290</v>
      </c>
      <c r="K1607" t="s">
        <v>1568</v>
      </c>
      <c r="L1607">
        <f t="shared" si="102"/>
        <v>10</v>
      </c>
      <c r="N1607">
        <v>10</v>
      </c>
      <c r="O1607">
        <v>10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6</v>
      </c>
      <c r="AF1607">
        <v>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6</v>
      </c>
      <c r="AY1607">
        <v>2</v>
      </c>
      <c r="AZ1607">
        <v>0</v>
      </c>
      <c r="BA1607">
        <v>0</v>
      </c>
      <c r="BB1607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0</v>
      </c>
      <c r="BL1607" s="2">
        <v>0</v>
      </c>
      <c r="BM1607" s="2">
        <v>1</v>
      </c>
      <c r="BN1607" s="2">
        <v>0</v>
      </c>
      <c r="BO1607" s="2">
        <v>0</v>
      </c>
      <c r="BP1607" s="2">
        <v>0</v>
      </c>
      <c r="BQ1607" s="2">
        <v>6</v>
      </c>
      <c r="BR1607" s="2">
        <v>2</v>
      </c>
      <c r="BS1607" s="2">
        <v>0</v>
      </c>
      <c r="BT1607" s="2">
        <v>0</v>
      </c>
      <c r="BU1607" s="2">
        <v>0</v>
      </c>
      <c r="BV1607" s="2">
        <f t="shared" ref="BV1607:BV1670" si="105">SUM(BC1607:BU1607)</f>
        <v>10</v>
      </c>
      <c r="BW1607" s="16">
        <f t="shared" si="103"/>
        <v>0.52631578947368418</v>
      </c>
      <c r="BX1607" s="16">
        <f>COUNTIF($BC$6:BU1607, "=0") / COUNTIF($BC$6:BU1607, "&gt;-1")</f>
        <v>0.40423155266443261</v>
      </c>
      <c r="BY1607" s="18">
        <f>SUM($BC$6:BU1607) / $BY$4</f>
        <v>0.98461175848382287</v>
      </c>
      <c r="BZ1607" s="14">
        <f t="shared" si="104"/>
        <v>15</v>
      </c>
      <c r="CA1607" t="s">
        <v>5832</v>
      </c>
      <c r="CZ1607" t="s">
        <v>7880</v>
      </c>
      <c r="DA1607" t="s">
        <v>5904</v>
      </c>
      <c r="DB1607">
        <v>231.1</v>
      </c>
      <c r="DC1607" t="s">
        <v>20033</v>
      </c>
      <c r="DD1607" t="s">
        <v>20034</v>
      </c>
      <c r="DE1607" t="s">
        <v>20035</v>
      </c>
      <c r="DF1607" t="s">
        <v>20036</v>
      </c>
      <c r="DG1607" t="s">
        <v>20037</v>
      </c>
      <c r="DH1607" t="str">
        <f>"AAMDC"</f>
        <v>AAMDC</v>
      </c>
      <c r="DI1607" t="s">
        <v>20038</v>
      </c>
      <c r="DJ1607" t="s">
        <v>13777</v>
      </c>
      <c r="DK1607">
        <v>9606</v>
      </c>
      <c r="DL1607" s="34" t="str">
        <f>HYPERLINK("http://www.uniprot.org/uniprot/Q9H7C9", "Q9H7C9")</f>
        <v>Q9H7C9</v>
      </c>
      <c r="DM1607" t="s">
        <v>20039</v>
      </c>
      <c r="DN1607" t="s">
        <v>13772</v>
      </c>
      <c r="DO1607" t="s">
        <v>13899</v>
      </c>
      <c r="DP1607" t="s">
        <v>13780</v>
      </c>
      <c r="DQ1607" t="s">
        <v>13772</v>
      </c>
      <c r="DR1607" t="s">
        <v>13772</v>
      </c>
      <c r="DS1607" t="s">
        <v>13772</v>
      </c>
      <c r="DT1607" t="s">
        <v>13772</v>
      </c>
      <c r="DU1607" t="s">
        <v>13772</v>
      </c>
      <c r="DV1607" t="s">
        <v>13772</v>
      </c>
      <c r="DW1607" t="s">
        <v>13812</v>
      </c>
      <c r="DX1607" t="s">
        <v>20040</v>
      </c>
      <c r="DY1607" t="s">
        <v>14579</v>
      </c>
      <c r="DZ1607" t="s">
        <v>13772</v>
      </c>
      <c r="EA1607" t="s">
        <v>13772</v>
      </c>
      <c r="EB1607" t="s">
        <v>13772</v>
      </c>
    </row>
    <row r="1608" spans="1:132" hidden="1">
      <c r="A1608">
        <v>674</v>
      </c>
      <c r="B1608">
        <v>1</v>
      </c>
      <c r="C1608" t="s">
        <v>1658</v>
      </c>
      <c r="D1608" t="s">
        <v>1659</v>
      </c>
      <c r="E1608" t="s">
        <v>73</v>
      </c>
      <c r="F1608" t="s">
        <v>73</v>
      </c>
      <c r="G1608" t="s">
        <v>73</v>
      </c>
      <c r="H1608">
        <v>18</v>
      </c>
      <c r="I1608">
        <v>178</v>
      </c>
      <c r="J1608">
        <v>18949</v>
      </c>
      <c r="K1608" t="s">
        <v>1660</v>
      </c>
      <c r="L1608">
        <f t="shared" si="102"/>
        <v>10</v>
      </c>
      <c r="N1608">
        <v>10</v>
      </c>
      <c r="O1608">
        <v>10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>
        <v>1</v>
      </c>
      <c r="Z1608">
        <v>0</v>
      </c>
      <c r="AA1608">
        <v>1</v>
      </c>
      <c r="AB1608">
        <v>1</v>
      </c>
      <c r="AC1608">
        <v>1</v>
      </c>
      <c r="AD1608">
        <v>0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1</v>
      </c>
      <c r="AY1608">
        <v>1</v>
      </c>
      <c r="AZ1608">
        <v>0</v>
      </c>
      <c r="BA1608">
        <v>1</v>
      </c>
      <c r="BB1608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2</v>
      </c>
      <c r="BK1608" s="2">
        <v>1</v>
      </c>
      <c r="BL1608" s="2">
        <v>0</v>
      </c>
      <c r="BM1608" s="2">
        <v>1</v>
      </c>
      <c r="BN1608" s="2">
        <v>1</v>
      </c>
      <c r="BO1608" s="2">
        <v>1</v>
      </c>
      <c r="BP1608" s="2">
        <v>0</v>
      </c>
      <c r="BQ1608" s="2">
        <v>1</v>
      </c>
      <c r="BR1608" s="2">
        <v>1</v>
      </c>
      <c r="BS1608" s="2">
        <v>0</v>
      </c>
      <c r="BT1608" s="2">
        <v>1</v>
      </c>
      <c r="BU1608" s="2">
        <v>1</v>
      </c>
      <c r="BV1608" s="2">
        <f t="shared" si="105"/>
        <v>10</v>
      </c>
      <c r="BW1608" s="16">
        <f t="shared" si="103"/>
        <v>0.52631578947368418</v>
      </c>
      <c r="BX1608" s="16">
        <f>COUNTIF($BC$6:BU1608, "=0") / COUNTIF($BC$6:BU1608, "&gt;-1")</f>
        <v>0.40430771251272285</v>
      </c>
      <c r="BY1608" s="18">
        <f>SUM($BC$6:BU1608) / $BY$4</f>
        <v>0.98465459485250983</v>
      </c>
      <c r="BZ1608" s="14">
        <f t="shared" si="104"/>
        <v>10</v>
      </c>
      <c r="CA1608" t="s">
        <v>5832</v>
      </c>
      <c r="CZ1608" t="s">
        <v>8015</v>
      </c>
      <c r="DA1608" t="s">
        <v>5904</v>
      </c>
      <c r="DB1608">
        <v>352.1</v>
      </c>
      <c r="DC1608" t="s">
        <v>20437</v>
      </c>
      <c r="DD1608" t="s">
        <v>13772</v>
      </c>
      <c r="DE1608" t="s">
        <v>20438</v>
      </c>
      <c r="DF1608" t="s">
        <v>20439</v>
      </c>
      <c r="DG1608" t="s">
        <v>20440</v>
      </c>
      <c r="DH1608" t="str">
        <f>"PCNP"</f>
        <v>PCNP</v>
      </c>
      <c r="DI1608" t="s">
        <v>13772</v>
      </c>
      <c r="DJ1608" t="s">
        <v>13777</v>
      </c>
      <c r="DK1608">
        <v>9606</v>
      </c>
      <c r="DL1608" s="34" t="str">
        <f>HYPERLINK("http://www.uniprot.org/uniprot/Q8WW12", "Q8WW12")</f>
        <v>Q8WW12</v>
      </c>
      <c r="DM1608" t="s">
        <v>20441</v>
      </c>
      <c r="DN1608" t="s">
        <v>18522</v>
      </c>
      <c r="DO1608" t="s">
        <v>14825</v>
      </c>
      <c r="DP1608" t="s">
        <v>13841</v>
      </c>
      <c r="DQ1608" t="s">
        <v>13772</v>
      </c>
      <c r="DR1608" t="s">
        <v>13772</v>
      </c>
      <c r="DS1608" t="s">
        <v>13772</v>
      </c>
      <c r="DT1608" t="s">
        <v>13772</v>
      </c>
      <c r="DU1608" t="s">
        <v>13772</v>
      </c>
      <c r="DV1608" t="s">
        <v>19111</v>
      </c>
      <c r="DW1608" t="s">
        <v>13772</v>
      </c>
      <c r="DX1608" t="s">
        <v>20442</v>
      </c>
      <c r="DY1608" t="s">
        <v>20443</v>
      </c>
      <c r="DZ1608" t="s">
        <v>13772</v>
      </c>
      <c r="EA1608" t="s">
        <v>13772</v>
      </c>
      <c r="EB1608" t="s">
        <v>13772</v>
      </c>
    </row>
    <row r="1609" spans="1:132" hidden="1">
      <c r="A1609">
        <v>677</v>
      </c>
      <c r="B1609">
        <v>1</v>
      </c>
      <c r="C1609" t="s">
        <v>1665</v>
      </c>
      <c r="D1609" t="s">
        <v>1666</v>
      </c>
      <c r="E1609" t="s">
        <v>73</v>
      </c>
      <c r="F1609" t="s">
        <v>73</v>
      </c>
      <c r="G1609" t="s">
        <v>73</v>
      </c>
      <c r="H1609">
        <v>10.1</v>
      </c>
      <c r="I1609">
        <v>770</v>
      </c>
      <c r="J1609">
        <v>86401</v>
      </c>
      <c r="K1609" t="s">
        <v>1667</v>
      </c>
      <c r="L1609">
        <f t="shared" si="102"/>
        <v>10</v>
      </c>
      <c r="N1609">
        <v>10</v>
      </c>
      <c r="O1609">
        <v>10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4</v>
      </c>
      <c r="AA1609">
        <v>0</v>
      </c>
      <c r="AB1609">
        <v>0</v>
      </c>
      <c r="AC1609">
        <v>0</v>
      </c>
      <c r="AD1609">
        <v>3</v>
      </c>
      <c r="AE1609">
        <v>0</v>
      </c>
      <c r="AF1609">
        <v>0</v>
      </c>
      <c r="AG1609">
        <v>0</v>
      </c>
      <c r="AH1609">
        <v>0</v>
      </c>
      <c r="AI1609">
        <v>2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4</v>
      </c>
      <c r="AT1609">
        <v>0</v>
      </c>
      <c r="AU1609">
        <v>0</v>
      </c>
      <c r="AV1609">
        <v>0</v>
      </c>
      <c r="AW1609">
        <v>3</v>
      </c>
      <c r="AX1609">
        <v>0</v>
      </c>
      <c r="AY1609">
        <v>0</v>
      </c>
      <c r="AZ1609">
        <v>0</v>
      </c>
      <c r="BA1609">
        <v>0</v>
      </c>
      <c r="BB1609">
        <v>2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4</v>
      </c>
      <c r="BM1609" s="2">
        <v>0</v>
      </c>
      <c r="BN1609" s="2">
        <v>0</v>
      </c>
      <c r="BO1609" s="2">
        <v>0</v>
      </c>
      <c r="BP1609" s="2">
        <v>3</v>
      </c>
      <c r="BQ1609" s="2">
        <v>0</v>
      </c>
      <c r="BR1609" s="2">
        <v>0</v>
      </c>
      <c r="BS1609" s="2">
        <v>0</v>
      </c>
      <c r="BT1609" s="2">
        <v>0</v>
      </c>
      <c r="BU1609" s="2">
        <v>2</v>
      </c>
      <c r="BV1609" s="2">
        <f t="shared" si="105"/>
        <v>10</v>
      </c>
      <c r="BW1609" s="16">
        <f t="shared" si="103"/>
        <v>0.52631578947368418</v>
      </c>
      <c r="BX1609" s="16">
        <f>COUNTIF($BC$6:BU1609, "=0") / COUNTIF($BC$6:BU1609, "&gt;-1")</f>
        <v>0.40454784092400575</v>
      </c>
      <c r="BY1609" s="18">
        <f>SUM($BC$6:BU1609) / $BY$4</f>
        <v>0.98469743122119691</v>
      </c>
      <c r="BZ1609" s="14">
        <f t="shared" si="104"/>
        <v>15</v>
      </c>
      <c r="CA1609" t="s">
        <v>5832</v>
      </c>
      <c r="CZ1609" t="s">
        <v>8026</v>
      </c>
      <c r="DA1609" t="s">
        <v>5904</v>
      </c>
      <c r="DB1609">
        <v>1278.8</v>
      </c>
      <c r="DC1609" t="s">
        <v>20462</v>
      </c>
      <c r="DD1609" t="s">
        <v>20463</v>
      </c>
      <c r="DE1609" t="s">
        <v>20464</v>
      </c>
      <c r="DF1609" t="s">
        <v>20465</v>
      </c>
      <c r="DG1609" t="s">
        <v>20466</v>
      </c>
      <c r="DH1609" t="str">
        <f>"TFRC"</f>
        <v>TFRC</v>
      </c>
      <c r="DI1609" t="s">
        <v>13772</v>
      </c>
      <c r="DJ1609" t="s">
        <v>13777</v>
      </c>
      <c r="DK1609">
        <v>9606</v>
      </c>
      <c r="DL1609" s="34" t="str">
        <f>HYPERLINK("http://www.uniprot.org/uniprot/P02786", "P02786")</f>
        <v>P02786</v>
      </c>
      <c r="DM1609" t="s">
        <v>20467</v>
      </c>
      <c r="DN1609" t="s">
        <v>14416</v>
      </c>
      <c r="DO1609" t="s">
        <v>14336</v>
      </c>
      <c r="DP1609" t="s">
        <v>13793</v>
      </c>
      <c r="DQ1609" t="s">
        <v>13772</v>
      </c>
      <c r="DR1609" t="s">
        <v>13807</v>
      </c>
      <c r="DS1609" t="s">
        <v>14417</v>
      </c>
      <c r="DT1609" t="s">
        <v>13772</v>
      </c>
      <c r="DU1609" t="s">
        <v>18791</v>
      </c>
      <c r="DV1609" t="s">
        <v>14418</v>
      </c>
      <c r="DW1609" t="s">
        <v>13812</v>
      </c>
      <c r="DX1609" t="s">
        <v>20468</v>
      </c>
      <c r="DY1609" t="s">
        <v>20469</v>
      </c>
      <c r="DZ1609" t="s">
        <v>20470</v>
      </c>
      <c r="EA1609" t="s">
        <v>13772</v>
      </c>
      <c r="EB1609" t="s">
        <v>20471</v>
      </c>
    </row>
    <row r="1610" spans="1:132" hidden="1">
      <c r="A1610">
        <v>693</v>
      </c>
      <c r="B1610">
        <v>1</v>
      </c>
      <c r="C1610" t="s">
        <v>1707</v>
      </c>
      <c r="D1610" t="s">
        <v>73</v>
      </c>
      <c r="E1610" t="s">
        <v>73</v>
      </c>
      <c r="F1610" t="s">
        <v>73</v>
      </c>
      <c r="G1610" t="s">
        <v>73</v>
      </c>
      <c r="H1610">
        <v>12.9</v>
      </c>
      <c r="I1610">
        <v>326</v>
      </c>
      <c r="J1610">
        <v>36150</v>
      </c>
      <c r="K1610" t="s">
        <v>1708</v>
      </c>
      <c r="L1610">
        <f t="shared" si="102"/>
        <v>10</v>
      </c>
      <c r="N1610">
        <v>10</v>
      </c>
      <c r="O1610">
        <v>10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4</v>
      </c>
      <c r="AB1610">
        <v>1</v>
      </c>
      <c r="AC1610">
        <v>1</v>
      </c>
      <c r="AD1610">
        <v>0</v>
      </c>
      <c r="AE1610">
        <v>0</v>
      </c>
      <c r="AF1610">
        <v>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4</v>
      </c>
      <c r="AU1610">
        <v>1</v>
      </c>
      <c r="AV1610">
        <v>1</v>
      </c>
      <c r="AW1610">
        <v>0</v>
      </c>
      <c r="AX1610">
        <v>0</v>
      </c>
      <c r="AY1610">
        <v>3</v>
      </c>
      <c r="AZ1610">
        <v>0</v>
      </c>
      <c r="BA1610">
        <v>0</v>
      </c>
      <c r="BB1610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1</v>
      </c>
      <c r="BL1610" s="2">
        <v>0</v>
      </c>
      <c r="BM1610" s="2">
        <v>4</v>
      </c>
      <c r="BN1610" s="2">
        <v>1</v>
      </c>
      <c r="BO1610" s="2">
        <v>1</v>
      </c>
      <c r="BP1610" s="2">
        <v>0</v>
      </c>
      <c r="BQ1610" s="2">
        <v>0</v>
      </c>
      <c r="BR1610" s="2">
        <v>3</v>
      </c>
      <c r="BS1610" s="2">
        <v>0</v>
      </c>
      <c r="BT1610" s="2">
        <v>0</v>
      </c>
      <c r="BU1610" s="2">
        <v>0</v>
      </c>
      <c r="BV1610" s="2">
        <f t="shared" si="105"/>
        <v>10</v>
      </c>
      <c r="BW1610" s="16">
        <f t="shared" si="103"/>
        <v>0.52631578947368418</v>
      </c>
      <c r="BX1610" s="16">
        <f>COUNTIF($BC$6:BU1610, "=0") / COUNTIF($BC$6:BU1610, "&gt;-1")</f>
        <v>0.40475487784882769</v>
      </c>
      <c r="BY1610" s="18">
        <f>SUM($BC$6:BU1610) / $BY$4</f>
        <v>0.98474026758988387</v>
      </c>
      <c r="BZ1610" s="14">
        <f t="shared" si="104"/>
        <v>14</v>
      </c>
      <c r="CA1610" t="s">
        <v>5832</v>
      </c>
      <c r="CZ1610" t="s">
        <v>8083</v>
      </c>
      <c r="DA1610" t="s">
        <v>5904</v>
      </c>
      <c r="DB1610">
        <v>679.5</v>
      </c>
      <c r="DC1610" t="s">
        <v>20626</v>
      </c>
      <c r="DD1610" t="s">
        <v>20627</v>
      </c>
      <c r="DE1610" t="s">
        <v>20628</v>
      </c>
      <c r="DF1610" t="s">
        <v>20629</v>
      </c>
      <c r="DG1610" t="s">
        <v>20630</v>
      </c>
      <c r="DH1610" t="str">
        <f>"ELAVL1"</f>
        <v>ELAVL1</v>
      </c>
      <c r="DI1610" t="s">
        <v>20631</v>
      </c>
      <c r="DJ1610" t="s">
        <v>13777</v>
      </c>
      <c r="DK1610">
        <v>9606</v>
      </c>
      <c r="DL1610" s="34" t="str">
        <f>HYPERLINK("http://www.uniprot.org/uniprot/Q15717", "Q15717")</f>
        <v>Q15717</v>
      </c>
      <c r="DM1610" t="s">
        <v>20632</v>
      </c>
      <c r="DN1610" t="s">
        <v>13772</v>
      </c>
      <c r="DO1610" t="s">
        <v>13912</v>
      </c>
      <c r="DP1610" t="s">
        <v>13841</v>
      </c>
      <c r="DQ1610" t="s">
        <v>13772</v>
      </c>
      <c r="DR1610" t="s">
        <v>13772</v>
      </c>
      <c r="DS1610" t="s">
        <v>14096</v>
      </c>
      <c r="DT1610" t="s">
        <v>13772</v>
      </c>
      <c r="DU1610" t="s">
        <v>14826</v>
      </c>
      <c r="DV1610" t="s">
        <v>14663</v>
      </c>
      <c r="DW1610" t="s">
        <v>13812</v>
      </c>
      <c r="DX1610" t="s">
        <v>20633</v>
      </c>
      <c r="DY1610" t="s">
        <v>20634</v>
      </c>
      <c r="DZ1610" t="s">
        <v>20635</v>
      </c>
      <c r="EA1610" t="s">
        <v>13772</v>
      </c>
      <c r="EB1610" t="s">
        <v>20636</v>
      </c>
    </row>
    <row r="1611" spans="1:132" hidden="1">
      <c r="A1611">
        <v>760</v>
      </c>
      <c r="B1611">
        <v>1</v>
      </c>
      <c r="C1611" t="s">
        <v>1867</v>
      </c>
      <c r="D1611" t="s">
        <v>73</v>
      </c>
      <c r="E1611" t="s">
        <v>73</v>
      </c>
      <c r="F1611" t="s">
        <v>73</v>
      </c>
      <c r="G1611" t="s">
        <v>73</v>
      </c>
      <c r="H1611">
        <v>4.4000000000000004</v>
      </c>
      <c r="I1611">
        <v>3257</v>
      </c>
      <c r="J1611">
        <v>346708</v>
      </c>
      <c r="K1611" t="s">
        <v>1868</v>
      </c>
      <c r="L1611">
        <f t="shared" si="102"/>
        <v>10</v>
      </c>
      <c r="N1611">
        <v>10</v>
      </c>
      <c r="O1611">
        <v>10</v>
      </c>
      <c r="P1611">
        <v>1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1</v>
      </c>
      <c r="AC1611">
        <v>0</v>
      </c>
      <c r="AD1611">
        <v>0</v>
      </c>
      <c r="AE1611">
        <v>0</v>
      </c>
      <c r="AF1611">
        <v>3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2</v>
      </c>
      <c r="AU1611">
        <v>1</v>
      </c>
      <c r="AV1611">
        <v>0</v>
      </c>
      <c r="AW1611">
        <v>0</v>
      </c>
      <c r="AX1611">
        <v>0</v>
      </c>
      <c r="AY1611">
        <v>3</v>
      </c>
      <c r="AZ1611">
        <v>0</v>
      </c>
      <c r="BA1611">
        <v>0</v>
      </c>
      <c r="BB1611">
        <v>0</v>
      </c>
      <c r="BC1611" s="2">
        <v>3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0</v>
      </c>
      <c r="BJ1611" s="2">
        <v>0</v>
      </c>
      <c r="BK1611" s="2">
        <v>0</v>
      </c>
      <c r="BL1611" s="2">
        <v>0</v>
      </c>
      <c r="BM1611" s="2">
        <v>2</v>
      </c>
      <c r="BN1611" s="2">
        <v>1</v>
      </c>
      <c r="BO1611" s="2">
        <v>0</v>
      </c>
      <c r="BP1611" s="2">
        <v>0</v>
      </c>
      <c r="BQ1611" s="2">
        <v>0</v>
      </c>
      <c r="BR1611" s="2">
        <v>3</v>
      </c>
      <c r="BS1611" s="2">
        <v>0</v>
      </c>
      <c r="BT1611" s="2">
        <v>0</v>
      </c>
      <c r="BU1611" s="2">
        <v>0</v>
      </c>
      <c r="BV1611" s="2">
        <f t="shared" si="105"/>
        <v>10</v>
      </c>
      <c r="BW1611" s="16">
        <f t="shared" si="103"/>
        <v>0.52631578947368418</v>
      </c>
      <c r="BX1611" s="16">
        <f>COUNTIF($BC$6:BU1611, "=0") / COUNTIF($BC$6:BU1611, "&gt;-1")</f>
        <v>0.40496165694435343</v>
      </c>
      <c r="BY1611" s="18">
        <f>SUM($BC$6:BU1611) / $BY$4</f>
        <v>0.98478310395857094</v>
      </c>
      <c r="BZ1611" s="14">
        <f t="shared" si="104"/>
        <v>14</v>
      </c>
      <c r="CA1611" t="s">
        <v>5832</v>
      </c>
      <c r="CZ1611" t="s">
        <v>8302</v>
      </c>
      <c r="DA1611" t="s">
        <v>6054</v>
      </c>
      <c r="DB1611">
        <v>697.2</v>
      </c>
      <c r="DC1611" t="s">
        <v>21264</v>
      </c>
      <c r="DD1611" t="s">
        <v>21265</v>
      </c>
      <c r="DE1611" t="s">
        <v>21266</v>
      </c>
      <c r="DF1611" t="s">
        <v>21267</v>
      </c>
      <c r="DG1611" t="s">
        <v>21268</v>
      </c>
      <c r="DH1611" t="str">
        <f>"FLG2"</f>
        <v>FLG2</v>
      </c>
      <c r="DI1611" t="s">
        <v>21269</v>
      </c>
      <c r="DJ1611" t="s">
        <v>13777</v>
      </c>
      <c r="DK1611">
        <v>9606</v>
      </c>
      <c r="DL1611" s="34" t="str">
        <f>HYPERLINK("http://www.uniprot.org/uniprot/Q5D862", "Q5D862")</f>
        <v>Q5D862</v>
      </c>
      <c r="DM1611" t="s">
        <v>21270</v>
      </c>
      <c r="DN1611" t="s">
        <v>13772</v>
      </c>
      <c r="DO1611" t="s">
        <v>13899</v>
      </c>
      <c r="DP1611" t="s">
        <v>13793</v>
      </c>
      <c r="DQ1611" t="s">
        <v>13772</v>
      </c>
      <c r="DR1611" t="s">
        <v>13807</v>
      </c>
      <c r="DS1611" t="s">
        <v>14096</v>
      </c>
      <c r="DT1611" t="s">
        <v>13873</v>
      </c>
      <c r="DU1611" t="s">
        <v>13772</v>
      </c>
      <c r="DV1611" t="s">
        <v>13782</v>
      </c>
      <c r="DW1611" t="s">
        <v>13772</v>
      </c>
      <c r="DX1611" t="s">
        <v>21271</v>
      </c>
      <c r="DY1611" t="s">
        <v>21272</v>
      </c>
      <c r="DZ1611" t="s">
        <v>21273</v>
      </c>
      <c r="EA1611" t="s">
        <v>13772</v>
      </c>
      <c r="EB1611" t="s">
        <v>13890</v>
      </c>
    </row>
    <row r="1612" spans="1:132" hidden="1">
      <c r="A1612">
        <v>772</v>
      </c>
      <c r="B1612">
        <v>1</v>
      </c>
      <c r="C1612" t="s">
        <v>1897</v>
      </c>
      <c r="D1612" t="s">
        <v>73</v>
      </c>
      <c r="E1612" t="s">
        <v>73</v>
      </c>
      <c r="F1612" t="s">
        <v>73</v>
      </c>
      <c r="G1612" t="s">
        <v>73</v>
      </c>
      <c r="H1612">
        <v>21.6</v>
      </c>
      <c r="I1612">
        <v>273</v>
      </c>
      <c r="J1612">
        <v>28878</v>
      </c>
      <c r="K1612" t="s">
        <v>1898</v>
      </c>
      <c r="L1612">
        <f t="shared" si="102"/>
        <v>10</v>
      </c>
      <c r="N1612">
        <v>10</v>
      </c>
      <c r="O1612">
        <v>10</v>
      </c>
      <c r="P1612">
        <v>1</v>
      </c>
      <c r="Q1612">
        <v>0</v>
      </c>
      <c r="R1612">
        <v>2</v>
      </c>
      <c r="S1612">
        <v>1</v>
      </c>
      <c r="T1612">
        <v>1</v>
      </c>
      <c r="U1612">
        <v>3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</v>
      </c>
      <c r="AL1612">
        <v>1</v>
      </c>
      <c r="AM1612">
        <v>1</v>
      </c>
      <c r="AN1612">
        <v>3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 s="2">
        <v>0</v>
      </c>
      <c r="BD1612" s="2">
        <v>2</v>
      </c>
      <c r="BE1612" s="2">
        <v>1</v>
      </c>
      <c r="BF1612" s="2">
        <v>1</v>
      </c>
      <c r="BG1612" s="2">
        <v>3</v>
      </c>
      <c r="BH1612" s="2">
        <v>1</v>
      </c>
      <c r="BI1612" s="2">
        <v>1</v>
      </c>
      <c r="BJ1612" s="2">
        <v>0</v>
      </c>
      <c r="BK1612" s="2">
        <v>0</v>
      </c>
      <c r="BL1612" s="2">
        <v>0</v>
      </c>
      <c r="BM1612" s="2">
        <v>1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f t="shared" si="105"/>
        <v>10</v>
      </c>
      <c r="BW1612" s="16">
        <f t="shared" si="103"/>
        <v>0.52631578947368418</v>
      </c>
      <c r="BX1612" s="16">
        <f>COUNTIF($BC$6:BU1612, "=0") / COUNTIF($BC$6:BU1612, "&gt;-1")</f>
        <v>0.40510267579340387</v>
      </c>
      <c r="BY1612" s="18">
        <f>SUM($BC$6:BU1612) / $BY$4</f>
        <v>0.9848259403272579</v>
      </c>
      <c r="BZ1612" s="14">
        <f t="shared" si="104"/>
        <v>12</v>
      </c>
      <c r="CA1612" t="s">
        <v>5832</v>
      </c>
      <c r="CZ1612" t="s">
        <v>8345</v>
      </c>
      <c r="DA1612" t="s">
        <v>5904</v>
      </c>
      <c r="DB1612">
        <v>501.1</v>
      </c>
      <c r="DC1612" t="s">
        <v>21389</v>
      </c>
      <c r="DD1612" t="s">
        <v>21390</v>
      </c>
      <c r="DE1612" t="s">
        <v>21391</v>
      </c>
      <c r="DF1612" t="s">
        <v>21392</v>
      </c>
      <c r="DG1612" t="s">
        <v>21393</v>
      </c>
      <c r="DH1612" t="str">
        <f>"MVB12A"</f>
        <v>MVB12A</v>
      </c>
      <c r="DI1612" t="s">
        <v>21394</v>
      </c>
      <c r="DJ1612" t="s">
        <v>13777</v>
      </c>
      <c r="DK1612">
        <v>9606</v>
      </c>
      <c r="DL1612" s="34" t="str">
        <f>HYPERLINK("http://www.uniprot.org/uniprot/Q96EY5", "Q96EY5")</f>
        <v>Q96EY5</v>
      </c>
      <c r="DM1612" t="s">
        <v>21395</v>
      </c>
      <c r="DN1612" t="s">
        <v>14347</v>
      </c>
      <c r="DO1612" t="s">
        <v>19110</v>
      </c>
      <c r="DP1612" t="s">
        <v>13780</v>
      </c>
      <c r="DQ1612" t="s">
        <v>13772</v>
      </c>
      <c r="DR1612" t="s">
        <v>13772</v>
      </c>
      <c r="DS1612" t="s">
        <v>14871</v>
      </c>
      <c r="DT1612" t="s">
        <v>13772</v>
      </c>
      <c r="DU1612" t="s">
        <v>13772</v>
      </c>
      <c r="DV1612" t="s">
        <v>13782</v>
      </c>
      <c r="DW1612" t="s">
        <v>13772</v>
      </c>
      <c r="DX1612" t="s">
        <v>21396</v>
      </c>
      <c r="DY1612" t="s">
        <v>21397</v>
      </c>
      <c r="DZ1612" t="s">
        <v>21398</v>
      </c>
      <c r="EA1612" t="s">
        <v>13772</v>
      </c>
      <c r="EB1612" t="s">
        <v>17918</v>
      </c>
    </row>
    <row r="1613" spans="1:132" hidden="1">
      <c r="A1613">
        <v>773</v>
      </c>
      <c r="B1613">
        <v>1</v>
      </c>
      <c r="C1613" t="s">
        <v>1899</v>
      </c>
      <c r="D1613" t="s">
        <v>1900</v>
      </c>
      <c r="E1613" t="s">
        <v>73</v>
      </c>
      <c r="F1613" t="s">
        <v>73</v>
      </c>
      <c r="G1613" t="s">
        <v>73</v>
      </c>
      <c r="H1613">
        <v>13.2</v>
      </c>
      <c r="I1613">
        <v>317</v>
      </c>
      <c r="J1613">
        <v>34930</v>
      </c>
      <c r="K1613" t="s">
        <v>1901</v>
      </c>
      <c r="L1613">
        <f t="shared" si="102"/>
        <v>10</v>
      </c>
      <c r="N1613">
        <v>10</v>
      </c>
      <c r="O1613">
        <v>10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2</v>
      </c>
      <c r="AO1613">
        <v>1</v>
      </c>
      <c r="AP1613">
        <v>2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s="2">
        <v>1</v>
      </c>
      <c r="BD1613" s="2">
        <v>1</v>
      </c>
      <c r="BE1613" s="2">
        <v>1</v>
      </c>
      <c r="BF1613" s="2">
        <v>1</v>
      </c>
      <c r="BG1613" s="2">
        <v>2</v>
      </c>
      <c r="BH1613" s="2">
        <v>1</v>
      </c>
      <c r="BI1613" s="2">
        <v>2</v>
      </c>
      <c r="BJ1613" s="2">
        <v>1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f t="shared" si="105"/>
        <v>10</v>
      </c>
      <c r="BW1613" s="16">
        <f t="shared" si="103"/>
        <v>0.52631578947368418</v>
      </c>
      <c r="BX1613" s="16">
        <f>COUNTIF($BC$6:BU1613, "=0") / COUNTIF($BC$6:BU1613, "&gt;-1")</f>
        <v>0.40521078816444095</v>
      </c>
      <c r="BY1613" s="18">
        <f>SUM($BC$6:BU1613) / $BY$4</f>
        <v>0.98486877669594486</v>
      </c>
      <c r="BZ1613" s="14">
        <f t="shared" si="104"/>
        <v>11</v>
      </c>
      <c r="CA1613" t="s">
        <v>5832</v>
      </c>
      <c r="CZ1613" t="s">
        <v>8349</v>
      </c>
      <c r="DA1613" t="s">
        <v>5904</v>
      </c>
      <c r="DB1613">
        <v>308.5</v>
      </c>
      <c r="DC1613" t="s">
        <v>21399</v>
      </c>
      <c r="DD1613" t="s">
        <v>21400</v>
      </c>
      <c r="DE1613" t="s">
        <v>21401</v>
      </c>
      <c r="DF1613" t="s">
        <v>21402</v>
      </c>
      <c r="DG1613" t="s">
        <v>21403</v>
      </c>
      <c r="DH1613" t="str">
        <f>"ICOSLG"</f>
        <v>ICOSLG</v>
      </c>
      <c r="DI1613" t="s">
        <v>21404</v>
      </c>
      <c r="DJ1613" t="s">
        <v>13777</v>
      </c>
      <c r="DK1613">
        <v>9606</v>
      </c>
      <c r="DL1613" s="34" t="str">
        <f>HYPERLINK("http://www.uniprot.org/uniprot/O75144", "O75144")</f>
        <v>O75144</v>
      </c>
      <c r="DM1613" t="s">
        <v>21405</v>
      </c>
      <c r="DN1613" t="s">
        <v>21406</v>
      </c>
      <c r="DO1613" t="s">
        <v>13792</v>
      </c>
      <c r="DP1613" t="s">
        <v>13780</v>
      </c>
      <c r="DQ1613" t="s">
        <v>13772</v>
      </c>
      <c r="DR1613" t="s">
        <v>13772</v>
      </c>
      <c r="DS1613" t="s">
        <v>13794</v>
      </c>
      <c r="DT1613" t="s">
        <v>13772</v>
      </c>
      <c r="DU1613" t="s">
        <v>13772</v>
      </c>
      <c r="DV1613" t="s">
        <v>13796</v>
      </c>
      <c r="DW1613" t="s">
        <v>13772</v>
      </c>
      <c r="DX1613" t="s">
        <v>21407</v>
      </c>
      <c r="DY1613" t="s">
        <v>21408</v>
      </c>
      <c r="DZ1613" t="s">
        <v>21409</v>
      </c>
      <c r="EA1613" t="s">
        <v>13772</v>
      </c>
      <c r="EB1613" t="s">
        <v>21410</v>
      </c>
    </row>
    <row r="1614" spans="1:132" hidden="1">
      <c r="A1614">
        <v>779</v>
      </c>
      <c r="B1614">
        <v>1</v>
      </c>
      <c r="C1614" t="s">
        <v>1914</v>
      </c>
      <c r="D1614" t="s">
        <v>73</v>
      </c>
      <c r="E1614" t="s">
        <v>73</v>
      </c>
      <c r="F1614" t="s">
        <v>73</v>
      </c>
      <c r="G1614" t="s">
        <v>73</v>
      </c>
      <c r="H1614">
        <v>2</v>
      </c>
      <c r="I1614">
        <v>2595</v>
      </c>
      <c r="J1614">
        <v>289087</v>
      </c>
      <c r="K1614" t="s">
        <v>1915</v>
      </c>
      <c r="L1614">
        <f t="shared" si="102"/>
        <v>10</v>
      </c>
      <c r="N1614">
        <v>10</v>
      </c>
      <c r="O1614">
        <v>10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1</v>
      </c>
      <c r="AE1614">
        <v>1</v>
      </c>
      <c r="AF1614">
        <v>2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2</v>
      </c>
      <c r="AW1614">
        <v>1</v>
      </c>
      <c r="AX1614">
        <v>1</v>
      </c>
      <c r="AY1614">
        <v>2</v>
      </c>
      <c r="AZ1614">
        <v>1</v>
      </c>
      <c r="BA1614">
        <v>0</v>
      </c>
      <c r="BB1614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1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>
        <v>0</v>
      </c>
      <c r="BO1614" s="2">
        <v>2</v>
      </c>
      <c r="BP1614" s="2">
        <v>1</v>
      </c>
      <c r="BQ1614" s="2">
        <v>1</v>
      </c>
      <c r="BR1614" s="2">
        <v>2</v>
      </c>
      <c r="BS1614" s="2">
        <v>1</v>
      </c>
      <c r="BT1614" s="2">
        <v>0</v>
      </c>
      <c r="BU1614" s="2">
        <v>0</v>
      </c>
      <c r="BV1614" s="2">
        <f t="shared" si="105"/>
        <v>10</v>
      </c>
      <c r="BW1614" s="16">
        <f t="shared" si="103"/>
        <v>0.52631578947368418</v>
      </c>
      <c r="BX1614" s="16">
        <f>COUNTIF($BC$6:BU1614, "=0") / COUNTIF($BC$6:BU1614, "&gt;-1")</f>
        <v>0.40531876615092732</v>
      </c>
      <c r="BY1614" s="18">
        <f>SUM($BC$6:BU1614) / $BY$4</f>
        <v>0.98491161306463193</v>
      </c>
      <c r="BZ1614" s="14">
        <f t="shared" si="104"/>
        <v>11</v>
      </c>
      <c r="CA1614" t="s">
        <v>5832</v>
      </c>
      <c r="CZ1614" t="s">
        <v>8368</v>
      </c>
      <c r="DA1614" t="s">
        <v>5904</v>
      </c>
      <c r="DB1614">
        <v>4182.8999999999996</v>
      </c>
      <c r="DC1614" t="s">
        <v>21460</v>
      </c>
      <c r="DD1614" t="s">
        <v>21461</v>
      </c>
      <c r="DE1614" t="s">
        <v>21462</v>
      </c>
      <c r="DF1614" t="s">
        <v>21463</v>
      </c>
      <c r="DG1614" t="s">
        <v>21464</v>
      </c>
      <c r="DH1614" t="str">
        <f>"POLQ"</f>
        <v>POLQ</v>
      </c>
      <c r="DI1614" t="s">
        <v>13772</v>
      </c>
      <c r="DJ1614" t="s">
        <v>13777</v>
      </c>
      <c r="DK1614">
        <v>9606</v>
      </c>
      <c r="DL1614" s="34" t="str">
        <f>HYPERLINK("http://www.uniprot.org/uniprot/O75417", "O75417")</f>
        <v>O75417</v>
      </c>
      <c r="DM1614" t="s">
        <v>21465</v>
      </c>
      <c r="DN1614" t="s">
        <v>21466</v>
      </c>
      <c r="DO1614" t="s">
        <v>19917</v>
      </c>
      <c r="DP1614" t="s">
        <v>13780</v>
      </c>
      <c r="DQ1614" t="s">
        <v>13772</v>
      </c>
      <c r="DR1614" t="s">
        <v>13772</v>
      </c>
      <c r="DS1614" t="s">
        <v>14245</v>
      </c>
      <c r="DT1614" t="s">
        <v>14005</v>
      </c>
      <c r="DU1614" t="s">
        <v>21467</v>
      </c>
      <c r="DV1614" t="s">
        <v>14020</v>
      </c>
      <c r="DW1614" t="s">
        <v>13812</v>
      </c>
      <c r="DX1614" t="s">
        <v>21468</v>
      </c>
      <c r="DY1614" t="s">
        <v>21469</v>
      </c>
      <c r="DZ1614" t="s">
        <v>21470</v>
      </c>
      <c r="EA1614" t="s">
        <v>13772</v>
      </c>
      <c r="EB1614" t="s">
        <v>21471</v>
      </c>
    </row>
    <row r="1615" spans="1:132" hidden="1">
      <c r="A1615">
        <v>884</v>
      </c>
      <c r="B1615">
        <v>1</v>
      </c>
      <c r="C1615" t="s">
        <v>2160</v>
      </c>
      <c r="D1615" t="s">
        <v>2161</v>
      </c>
      <c r="E1615" t="s">
        <v>73</v>
      </c>
      <c r="F1615" t="s">
        <v>73</v>
      </c>
      <c r="G1615" t="s">
        <v>73</v>
      </c>
      <c r="H1615">
        <v>13.9</v>
      </c>
      <c r="I1615">
        <v>533</v>
      </c>
      <c r="J1615">
        <v>57892</v>
      </c>
      <c r="K1615" t="s">
        <v>2162</v>
      </c>
      <c r="L1615">
        <f t="shared" si="102"/>
        <v>10</v>
      </c>
      <c r="N1615">
        <v>10</v>
      </c>
      <c r="O1615">
        <v>10</v>
      </c>
      <c r="P1615">
        <v>1</v>
      </c>
      <c r="Q1615">
        <v>0</v>
      </c>
      <c r="R1615">
        <v>3</v>
      </c>
      <c r="S1615">
        <v>0</v>
      </c>
      <c r="T1615">
        <v>0</v>
      </c>
      <c r="U1615">
        <v>6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</v>
      </c>
      <c r="AL1615">
        <v>0</v>
      </c>
      <c r="AM1615">
        <v>0</v>
      </c>
      <c r="AN1615">
        <v>6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s="2">
        <v>0</v>
      </c>
      <c r="BD1615" s="2">
        <v>3</v>
      </c>
      <c r="BE1615" s="2">
        <v>0</v>
      </c>
      <c r="BF1615" s="2">
        <v>0</v>
      </c>
      <c r="BG1615" s="2">
        <v>6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f t="shared" si="105"/>
        <v>10</v>
      </c>
      <c r="BW1615" s="16">
        <f t="shared" si="103"/>
        <v>0.52631578947368418</v>
      </c>
      <c r="BX1615" s="16">
        <f>COUNTIF($BC$6:BU1615, "=0") / COUNTIF($BC$6:BU1615, "&gt;-1")</f>
        <v>0.40559006211180126</v>
      </c>
      <c r="BY1615" s="18">
        <f>SUM($BC$6:BU1615) / $BY$4</f>
        <v>0.98495444943331889</v>
      </c>
      <c r="BZ1615" s="14">
        <f t="shared" si="104"/>
        <v>16</v>
      </c>
      <c r="CA1615" t="s">
        <v>5832</v>
      </c>
      <c r="CZ1615" t="s">
        <v>8726</v>
      </c>
      <c r="DA1615" t="s">
        <v>5904</v>
      </c>
      <c r="DB1615">
        <v>1006.1</v>
      </c>
      <c r="DC1615" t="s">
        <v>22496</v>
      </c>
      <c r="DD1615" t="s">
        <v>13772</v>
      </c>
      <c r="DE1615" t="s">
        <v>22497</v>
      </c>
      <c r="DF1615" t="s">
        <v>22498</v>
      </c>
      <c r="DG1615" t="s">
        <v>22499</v>
      </c>
      <c r="DH1615" t="str">
        <f>"XYLB"</f>
        <v>XYLB</v>
      </c>
      <c r="DI1615" t="s">
        <v>13772</v>
      </c>
      <c r="DJ1615" t="s">
        <v>13777</v>
      </c>
      <c r="DK1615">
        <v>9606</v>
      </c>
      <c r="DL1615" s="34" t="str">
        <f>HYPERLINK("http://www.uniprot.org/uniprot/O75191", "O75191")</f>
        <v>O75191</v>
      </c>
      <c r="DM1615" t="s">
        <v>22500</v>
      </c>
      <c r="DN1615" t="s">
        <v>22501</v>
      </c>
      <c r="DO1615" t="s">
        <v>13772</v>
      </c>
      <c r="DP1615" t="s">
        <v>13780</v>
      </c>
      <c r="DQ1615" t="s">
        <v>13772</v>
      </c>
      <c r="DR1615" t="s">
        <v>13772</v>
      </c>
      <c r="DS1615" t="s">
        <v>13772</v>
      </c>
      <c r="DT1615" t="s">
        <v>14005</v>
      </c>
      <c r="DU1615" t="s">
        <v>14006</v>
      </c>
      <c r="DV1615" t="s">
        <v>13772</v>
      </c>
      <c r="DW1615" t="s">
        <v>13812</v>
      </c>
      <c r="DX1615" t="s">
        <v>22502</v>
      </c>
      <c r="DY1615" t="s">
        <v>14064</v>
      </c>
      <c r="DZ1615" t="s">
        <v>22503</v>
      </c>
      <c r="EA1615" t="s">
        <v>13772</v>
      </c>
      <c r="EB1615" t="s">
        <v>22504</v>
      </c>
    </row>
    <row r="1616" spans="1:132" hidden="1">
      <c r="A1616">
        <v>998</v>
      </c>
      <c r="B1616">
        <v>1</v>
      </c>
      <c r="C1616" t="s">
        <v>2418</v>
      </c>
      <c r="D1616" t="s">
        <v>2419</v>
      </c>
      <c r="E1616" t="s">
        <v>73</v>
      </c>
      <c r="F1616" t="s">
        <v>73</v>
      </c>
      <c r="G1616" t="s">
        <v>73</v>
      </c>
      <c r="H1616">
        <v>3.3</v>
      </c>
      <c r="I1616">
        <v>574</v>
      </c>
      <c r="J1616">
        <v>63669</v>
      </c>
      <c r="K1616" t="s">
        <v>2420</v>
      </c>
      <c r="L1616">
        <f t="shared" si="102"/>
        <v>10</v>
      </c>
      <c r="N1616">
        <v>10</v>
      </c>
      <c r="O1616">
        <v>8</v>
      </c>
      <c r="P1616">
        <v>0.8</v>
      </c>
      <c r="Q1616">
        <v>0</v>
      </c>
      <c r="R1616">
        <v>0</v>
      </c>
      <c r="S1616">
        <v>1</v>
      </c>
      <c r="T1616">
        <v>0</v>
      </c>
      <c r="U1616">
        <v>3</v>
      </c>
      <c r="V1616">
        <v>2</v>
      </c>
      <c r="W1616">
        <v>0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2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1</v>
      </c>
      <c r="BC1616" s="2">
        <v>0</v>
      </c>
      <c r="BD1616" s="2">
        <v>0</v>
      </c>
      <c r="BE1616" s="2">
        <v>1</v>
      </c>
      <c r="BF1616" s="2">
        <v>0</v>
      </c>
      <c r="BG1616" s="2">
        <v>3</v>
      </c>
      <c r="BH1616" s="2">
        <v>2</v>
      </c>
      <c r="BI1616" s="2">
        <v>0</v>
      </c>
      <c r="BJ1616" s="2">
        <v>1</v>
      </c>
      <c r="BK1616" s="2">
        <v>0</v>
      </c>
      <c r="BL1616" s="2">
        <v>0</v>
      </c>
      <c r="BM1616" s="2">
        <v>1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1</v>
      </c>
      <c r="BT1616" s="2">
        <v>0</v>
      </c>
      <c r="BU1616" s="2">
        <v>1</v>
      </c>
      <c r="BV1616" s="2">
        <f t="shared" si="105"/>
        <v>10</v>
      </c>
      <c r="BW1616" s="16">
        <f t="shared" si="103"/>
        <v>0.52631578947368418</v>
      </c>
      <c r="BX1616" s="16">
        <f>COUNTIF($BC$6:BU1616, "=0") / COUNTIF($BC$6:BU1616, "&gt;-1")</f>
        <v>0.4057303407494528</v>
      </c>
      <c r="BY1616" s="18">
        <f>SUM($BC$6:BU1616) / $BY$4</f>
        <v>0.98499728580200596</v>
      </c>
      <c r="BZ1616" s="14">
        <f t="shared" si="104"/>
        <v>12</v>
      </c>
      <c r="CA1616" t="s">
        <v>5832</v>
      </c>
      <c r="CZ1616" t="s">
        <v>9109</v>
      </c>
      <c r="DA1616" t="s">
        <v>5904</v>
      </c>
      <c r="DB1616">
        <v>1156.3</v>
      </c>
      <c r="DC1616" t="s">
        <v>23590</v>
      </c>
      <c r="DD1616" t="s">
        <v>23591</v>
      </c>
      <c r="DE1616" t="s">
        <v>23592</v>
      </c>
      <c r="DF1616" t="s">
        <v>23593</v>
      </c>
      <c r="DG1616" t="s">
        <v>23594</v>
      </c>
      <c r="DH1616" t="str">
        <f>"FZD7"</f>
        <v>FZD7</v>
      </c>
      <c r="DI1616" t="s">
        <v>13772</v>
      </c>
      <c r="DJ1616" t="s">
        <v>13777</v>
      </c>
      <c r="DK1616">
        <v>9606</v>
      </c>
      <c r="DL1616" s="34" t="str">
        <f>HYPERLINK("http://www.uniprot.org/uniprot/O75084", "O75084")</f>
        <v>O75084</v>
      </c>
      <c r="DM1616" t="s">
        <v>23595</v>
      </c>
      <c r="DN1616" t="s">
        <v>14072</v>
      </c>
      <c r="DO1616" t="s">
        <v>14348</v>
      </c>
      <c r="DP1616" t="s">
        <v>13793</v>
      </c>
      <c r="DQ1616" t="s">
        <v>13772</v>
      </c>
      <c r="DR1616" t="s">
        <v>13772</v>
      </c>
      <c r="DS1616" t="s">
        <v>13855</v>
      </c>
      <c r="DT1616" t="s">
        <v>13772</v>
      </c>
      <c r="DU1616" t="s">
        <v>14639</v>
      </c>
      <c r="DV1616" t="s">
        <v>18697</v>
      </c>
      <c r="DW1616" t="s">
        <v>13812</v>
      </c>
      <c r="DX1616" t="s">
        <v>23596</v>
      </c>
      <c r="DY1616" t="s">
        <v>23597</v>
      </c>
      <c r="DZ1616" t="s">
        <v>23598</v>
      </c>
      <c r="EA1616" t="s">
        <v>13772</v>
      </c>
      <c r="EB1616" t="s">
        <v>23599</v>
      </c>
    </row>
    <row r="1617" spans="1:132" hidden="1">
      <c r="A1617">
        <v>1021</v>
      </c>
      <c r="B1617">
        <v>1</v>
      </c>
      <c r="C1617" t="s">
        <v>2469</v>
      </c>
      <c r="D1617" t="s">
        <v>2470</v>
      </c>
      <c r="E1617" t="s">
        <v>73</v>
      </c>
      <c r="F1617" t="s">
        <v>73</v>
      </c>
      <c r="G1617" t="s">
        <v>73</v>
      </c>
      <c r="H1617">
        <v>10</v>
      </c>
      <c r="I1617">
        <v>449</v>
      </c>
      <c r="J1617">
        <v>50053</v>
      </c>
      <c r="K1617" t="s">
        <v>2471</v>
      </c>
      <c r="L1617">
        <f t="shared" si="102"/>
        <v>10</v>
      </c>
      <c r="N1617">
        <v>10</v>
      </c>
      <c r="O1617">
        <v>10</v>
      </c>
      <c r="P1617">
        <v>1</v>
      </c>
      <c r="Q1617">
        <v>1</v>
      </c>
      <c r="R1617">
        <v>1</v>
      </c>
      <c r="S1617">
        <v>0</v>
      </c>
      <c r="T1617">
        <v>0</v>
      </c>
      <c r="U1617">
        <v>5</v>
      </c>
      <c r="V1617">
        <v>2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5</v>
      </c>
      <c r="AO1617">
        <v>2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 s="2">
        <v>1</v>
      </c>
      <c r="BD1617" s="2">
        <v>1</v>
      </c>
      <c r="BE1617" s="2">
        <v>0</v>
      </c>
      <c r="BF1617" s="2">
        <v>0</v>
      </c>
      <c r="BG1617" s="2">
        <v>5</v>
      </c>
      <c r="BH1617" s="2">
        <v>2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f t="shared" si="105"/>
        <v>10</v>
      </c>
      <c r="BW1617" s="16">
        <f t="shared" si="103"/>
        <v>0.52631578947368418</v>
      </c>
      <c r="BX1617" s="16">
        <f>COUNTIF($BC$6:BU1617, "=0") / COUNTIF($BC$6:BU1617, "&gt;-1")</f>
        <v>0.40593574506987068</v>
      </c>
      <c r="BY1617" s="18">
        <f>SUM($BC$6:BU1617) / $BY$4</f>
        <v>0.98504012217069292</v>
      </c>
      <c r="BZ1617" s="14">
        <f t="shared" si="104"/>
        <v>14</v>
      </c>
      <c r="CA1617" t="s">
        <v>5832</v>
      </c>
      <c r="CZ1617" t="s">
        <v>9180</v>
      </c>
      <c r="DA1617" t="s">
        <v>5904</v>
      </c>
      <c r="DB1617">
        <v>778.5</v>
      </c>
      <c r="DC1617" t="s">
        <v>23793</v>
      </c>
      <c r="DD1617" t="s">
        <v>23794</v>
      </c>
      <c r="DE1617" t="s">
        <v>23795</v>
      </c>
      <c r="DF1617" t="s">
        <v>23796</v>
      </c>
      <c r="DG1617" t="s">
        <v>23797</v>
      </c>
      <c r="DH1617" t="str">
        <f>"CSAD"</f>
        <v>CSAD</v>
      </c>
      <c r="DI1617" t="s">
        <v>23798</v>
      </c>
      <c r="DJ1617" t="s">
        <v>13777</v>
      </c>
      <c r="DK1617">
        <v>9606</v>
      </c>
      <c r="DL1617" s="34" t="str">
        <f>HYPERLINK("http://www.uniprot.org/uniprot/Q9Y600", "Q9Y600")</f>
        <v>Q9Y600</v>
      </c>
      <c r="DM1617" t="s">
        <v>23799</v>
      </c>
      <c r="DN1617" t="s">
        <v>13772</v>
      </c>
      <c r="DO1617" t="s">
        <v>13772</v>
      </c>
      <c r="DP1617" t="s">
        <v>13841</v>
      </c>
      <c r="DQ1617" t="s">
        <v>13772</v>
      </c>
      <c r="DR1617" t="s">
        <v>13772</v>
      </c>
      <c r="DS1617" t="s">
        <v>13772</v>
      </c>
      <c r="DT1617" t="s">
        <v>14133</v>
      </c>
      <c r="DU1617" t="s">
        <v>14955</v>
      </c>
      <c r="DV1617" t="s">
        <v>13772</v>
      </c>
      <c r="DW1617" t="s">
        <v>13812</v>
      </c>
      <c r="DX1617" t="s">
        <v>23800</v>
      </c>
      <c r="DY1617" t="s">
        <v>14579</v>
      </c>
      <c r="DZ1617" t="s">
        <v>23801</v>
      </c>
      <c r="EA1617" t="s">
        <v>23802</v>
      </c>
      <c r="EB1617" t="s">
        <v>23803</v>
      </c>
    </row>
    <row r="1618" spans="1:132" hidden="1">
      <c r="A1618">
        <v>1033</v>
      </c>
      <c r="B1618">
        <v>1</v>
      </c>
      <c r="C1618" t="s">
        <v>2500</v>
      </c>
      <c r="D1618" t="s">
        <v>73</v>
      </c>
      <c r="E1618" t="s">
        <v>73</v>
      </c>
      <c r="F1618" t="s">
        <v>73</v>
      </c>
      <c r="G1618" t="s">
        <v>73</v>
      </c>
      <c r="H1618">
        <v>21.1</v>
      </c>
      <c r="I1618">
        <v>403</v>
      </c>
      <c r="J1618">
        <v>46093</v>
      </c>
      <c r="K1618" t="s">
        <v>2501</v>
      </c>
      <c r="L1618">
        <f t="shared" si="102"/>
        <v>10</v>
      </c>
      <c r="N1618">
        <v>10</v>
      </c>
      <c r="O1618">
        <v>10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4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6</v>
      </c>
      <c r="AU1618">
        <v>4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6</v>
      </c>
      <c r="BN1618" s="2">
        <v>4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f t="shared" si="105"/>
        <v>10</v>
      </c>
      <c r="BW1618" s="16">
        <f t="shared" si="103"/>
        <v>0.52631578947368418</v>
      </c>
      <c r="BX1618" s="16">
        <f>COUNTIF($BC$6:BU1618, "=0") / COUNTIF($BC$6:BU1618, "&gt;-1")</f>
        <v>0.40623878356772281</v>
      </c>
      <c r="BY1618" s="18">
        <f>SUM($BC$6:BU1618) / $BY$4</f>
        <v>0.98508295853937988</v>
      </c>
      <c r="BZ1618" s="14">
        <f t="shared" si="104"/>
        <v>17</v>
      </c>
      <c r="CA1618" t="s">
        <v>5832</v>
      </c>
      <c r="CZ1618" t="s">
        <v>9223</v>
      </c>
      <c r="DA1618" t="s">
        <v>5904</v>
      </c>
      <c r="DB1618">
        <v>822.8</v>
      </c>
      <c r="DC1618" t="s">
        <v>23931</v>
      </c>
      <c r="DD1618" t="s">
        <v>23932</v>
      </c>
      <c r="DE1618" t="s">
        <v>23933</v>
      </c>
      <c r="DF1618" t="s">
        <v>23934</v>
      </c>
      <c r="DG1618" t="s">
        <v>23935</v>
      </c>
      <c r="DH1618" t="str">
        <f>"RPL3"</f>
        <v>RPL3</v>
      </c>
      <c r="DI1618" t="s">
        <v>13772</v>
      </c>
      <c r="DJ1618" t="s">
        <v>13777</v>
      </c>
      <c r="DK1618">
        <v>9606</v>
      </c>
      <c r="DL1618" s="34" t="str">
        <f>HYPERLINK("http://www.uniprot.org/uniprot/P39023", "P39023")</f>
        <v>P39023</v>
      </c>
      <c r="DM1618" t="s">
        <v>23936</v>
      </c>
      <c r="DN1618" t="s">
        <v>13772</v>
      </c>
      <c r="DO1618" t="s">
        <v>13912</v>
      </c>
      <c r="DP1618" t="s">
        <v>13793</v>
      </c>
      <c r="DQ1618" t="s">
        <v>13772</v>
      </c>
      <c r="DR1618" t="s">
        <v>13772</v>
      </c>
      <c r="DS1618" t="s">
        <v>13772</v>
      </c>
      <c r="DT1618" t="s">
        <v>13772</v>
      </c>
      <c r="DU1618" t="s">
        <v>13937</v>
      </c>
      <c r="DV1618" t="s">
        <v>13991</v>
      </c>
      <c r="DW1618" t="s">
        <v>13812</v>
      </c>
      <c r="DX1618" t="s">
        <v>23937</v>
      </c>
      <c r="DY1618" t="s">
        <v>23938</v>
      </c>
      <c r="DZ1618" t="s">
        <v>23939</v>
      </c>
      <c r="EA1618" t="s">
        <v>13772</v>
      </c>
      <c r="EB1618" t="s">
        <v>13942</v>
      </c>
    </row>
    <row r="1619" spans="1:132" hidden="1">
      <c r="A1619">
        <v>1088</v>
      </c>
      <c r="B1619">
        <v>1</v>
      </c>
      <c r="C1619" t="s">
        <v>2617</v>
      </c>
      <c r="D1619" t="s">
        <v>73</v>
      </c>
      <c r="E1619" t="s">
        <v>73</v>
      </c>
      <c r="F1619" t="s">
        <v>73</v>
      </c>
      <c r="G1619" t="s">
        <v>73</v>
      </c>
      <c r="H1619">
        <v>18.8</v>
      </c>
      <c r="I1619">
        <v>160</v>
      </c>
      <c r="J1619">
        <v>18697</v>
      </c>
      <c r="K1619" t="s">
        <v>2618</v>
      </c>
      <c r="L1619">
        <f t="shared" si="102"/>
        <v>10</v>
      </c>
      <c r="N1619">
        <v>10</v>
      </c>
      <c r="O1619">
        <v>10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3</v>
      </c>
      <c r="Z1619">
        <v>0</v>
      </c>
      <c r="AA1619">
        <v>3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3</v>
      </c>
      <c r="AS1619">
        <v>0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2</v>
      </c>
      <c r="AZ1619">
        <v>0</v>
      </c>
      <c r="BA1619">
        <v>0</v>
      </c>
      <c r="BB1619">
        <v>0</v>
      </c>
      <c r="BC1619" s="2">
        <v>0</v>
      </c>
      <c r="BD1619" s="2">
        <v>1</v>
      </c>
      <c r="BE1619" s="2">
        <v>0</v>
      </c>
      <c r="BF1619" s="2">
        <v>0</v>
      </c>
      <c r="BG1619" s="2">
        <v>0</v>
      </c>
      <c r="BH1619" s="2">
        <v>1</v>
      </c>
      <c r="BI1619" s="2">
        <v>0</v>
      </c>
      <c r="BJ1619" s="2">
        <v>0</v>
      </c>
      <c r="BK1619" s="2">
        <v>3</v>
      </c>
      <c r="BL1619" s="2">
        <v>0</v>
      </c>
      <c r="BM1619" s="2">
        <v>3</v>
      </c>
      <c r="BN1619" s="2">
        <v>0</v>
      </c>
      <c r="BO1619" s="2">
        <v>0</v>
      </c>
      <c r="BP1619" s="2">
        <v>0</v>
      </c>
      <c r="BQ1619" s="2">
        <v>0</v>
      </c>
      <c r="BR1619" s="2">
        <v>2</v>
      </c>
      <c r="BS1619" s="2">
        <v>0</v>
      </c>
      <c r="BT1619" s="2">
        <v>0</v>
      </c>
      <c r="BU1619" s="2">
        <v>0</v>
      </c>
      <c r="BV1619" s="2">
        <f t="shared" si="105"/>
        <v>10</v>
      </c>
      <c r="BW1619" s="16">
        <f t="shared" si="103"/>
        <v>0.52631578947368418</v>
      </c>
      <c r="BX1619" s="16">
        <f>COUNTIF($BC$6:BU1619, "=0") / COUNTIF($BC$6:BU1619, "&gt;-1")</f>
        <v>0.40644361833952913</v>
      </c>
      <c r="BY1619" s="18">
        <f>SUM($BC$6:BU1619) / $BY$4</f>
        <v>0.98512579490806695</v>
      </c>
      <c r="BZ1619" s="14">
        <f t="shared" si="104"/>
        <v>14</v>
      </c>
      <c r="CA1619" t="s">
        <v>5832</v>
      </c>
      <c r="CZ1619" t="s">
        <v>9361</v>
      </c>
      <c r="DA1619" t="s">
        <v>5904</v>
      </c>
      <c r="DB1619">
        <v>325.89999999999998</v>
      </c>
      <c r="DC1619" t="s">
        <v>24311</v>
      </c>
      <c r="DD1619" t="s">
        <v>24312</v>
      </c>
      <c r="DE1619" t="s">
        <v>24313</v>
      </c>
      <c r="DF1619" t="s">
        <v>24314</v>
      </c>
      <c r="DG1619" t="s">
        <v>24315</v>
      </c>
      <c r="DH1619" t="str">
        <f>"PTGES3"</f>
        <v>PTGES3</v>
      </c>
      <c r="DI1619" t="s">
        <v>24316</v>
      </c>
      <c r="DJ1619" t="s">
        <v>13777</v>
      </c>
      <c r="DK1619">
        <v>9606</v>
      </c>
      <c r="DL1619" s="34" t="str">
        <f>HYPERLINK("http://www.uniprot.org/uniprot/Q15185", "Q15185")</f>
        <v>Q15185</v>
      </c>
      <c r="DM1619" t="s">
        <v>24317</v>
      </c>
      <c r="DN1619" t="s">
        <v>24318</v>
      </c>
      <c r="DO1619" t="s">
        <v>13899</v>
      </c>
      <c r="DP1619" t="s">
        <v>13841</v>
      </c>
      <c r="DQ1619" t="s">
        <v>13772</v>
      </c>
      <c r="DR1619" t="s">
        <v>13772</v>
      </c>
      <c r="DS1619" t="s">
        <v>13772</v>
      </c>
      <c r="DT1619" t="s">
        <v>13772</v>
      </c>
      <c r="DU1619" t="s">
        <v>23747</v>
      </c>
      <c r="DV1619" t="s">
        <v>13991</v>
      </c>
      <c r="DW1619" t="s">
        <v>13812</v>
      </c>
      <c r="DX1619" t="s">
        <v>24319</v>
      </c>
      <c r="DY1619" t="s">
        <v>24320</v>
      </c>
      <c r="DZ1619" t="s">
        <v>24321</v>
      </c>
      <c r="EA1619" t="s">
        <v>24322</v>
      </c>
      <c r="EB1619" t="s">
        <v>24323</v>
      </c>
    </row>
    <row r="1620" spans="1:132" hidden="1">
      <c r="A1620">
        <v>1100</v>
      </c>
      <c r="B1620">
        <v>1</v>
      </c>
      <c r="C1620" t="s">
        <v>2646</v>
      </c>
      <c r="D1620" t="s">
        <v>73</v>
      </c>
      <c r="E1620" t="s">
        <v>73</v>
      </c>
      <c r="F1620" t="s">
        <v>73</v>
      </c>
      <c r="G1620" t="s">
        <v>73</v>
      </c>
      <c r="H1620">
        <v>17.5</v>
      </c>
      <c r="I1620">
        <v>177</v>
      </c>
      <c r="J1620">
        <v>20298</v>
      </c>
      <c r="K1620" t="s">
        <v>2647</v>
      </c>
      <c r="L1620">
        <f t="shared" si="102"/>
        <v>10</v>
      </c>
      <c r="N1620">
        <v>10</v>
      </c>
      <c r="O1620">
        <v>10</v>
      </c>
      <c r="P1620">
        <v>1</v>
      </c>
      <c r="Q1620">
        <v>1</v>
      </c>
      <c r="R1620">
        <v>0</v>
      </c>
      <c r="S1620">
        <v>1</v>
      </c>
      <c r="T1620">
        <v>2</v>
      </c>
      <c r="U1620">
        <v>1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2</v>
      </c>
      <c r="AN1620">
        <v>1</v>
      </c>
      <c r="AO1620">
        <v>1</v>
      </c>
      <c r="AP1620">
        <v>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2</v>
      </c>
      <c r="AZ1620">
        <v>0</v>
      </c>
      <c r="BA1620">
        <v>0</v>
      </c>
      <c r="BB1620">
        <v>0</v>
      </c>
      <c r="BC1620" s="2">
        <v>1</v>
      </c>
      <c r="BD1620" s="2">
        <v>0</v>
      </c>
      <c r="BE1620" s="2">
        <v>1</v>
      </c>
      <c r="BF1620" s="2">
        <v>2</v>
      </c>
      <c r="BG1620" s="2">
        <v>1</v>
      </c>
      <c r="BH1620" s="2">
        <v>1</v>
      </c>
      <c r="BI1620" s="2">
        <v>2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2</v>
      </c>
      <c r="BS1620" s="2">
        <v>0</v>
      </c>
      <c r="BT1620" s="2">
        <v>0</v>
      </c>
      <c r="BU1620" s="2">
        <v>0</v>
      </c>
      <c r="BV1620" s="2">
        <f t="shared" si="105"/>
        <v>10</v>
      </c>
      <c r="BW1620" s="16">
        <f t="shared" si="103"/>
        <v>0.52631578947368418</v>
      </c>
      <c r="BX1620" s="16">
        <f>COUNTIF($BC$6:BU1620, "=0") / COUNTIF($BC$6:BU1620, "&gt;-1")</f>
        <v>0.40658302102004235</v>
      </c>
      <c r="BY1620" s="18">
        <f>SUM($BC$6:BU1620) / $BY$4</f>
        <v>0.98516863127675391</v>
      </c>
      <c r="BZ1620" s="14">
        <f t="shared" si="104"/>
        <v>12</v>
      </c>
      <c r="CA1620" t="s">
        <v>5832</v>
      </c>
      <c r="CZ1620" t="s">
        <v>9400</v>
      </c>
      <c r="DA1620" t="s">
        <v>5904</v>
      </c>
      <c r="DB1620">
        <v>273.10000000000002</v>
      </c>
      <c r="DC1620" t="s">
        <v>24442</v>
      </c>
      <c r="DD1620" t="s">
        <v>24443</v>
      </c>
      <c r="DE1620" t="s">
        <v>24444</v>
      </c>
      <c r="DF1620" t="s">
        <v>24445</v>
      </c>
      <c r="DG1620" t="s">
        <v>24446</v>
      </c>
      <c r="DH1620" t="str">
        <f>"PTHLH"</f>
        <v>PTHLH</v>
      </c>
      <c r="DI1620" t="s">
        <v>24447</v>
      </c>
      <c r="DJ1620" t="s">
        <v>13777</v>
      </c>
      <c r="DK1620">
        <v>9606</v>
      </c>
      <c r="DL1620" s="34" t="str">
        <f>HYPERLINK("http://www.uniprot.org/uniprot/P12272", "P12272")</f>
        <v>P12272</v>
      </c>
      <c r="DM1620" t="s">
        <v>24448</v>
      </c>
      <c r="DN1620" t="s">
        <v>13772</v>
      </c>
      <c r="DO1620" t="s">
        <v>14276</v>
      </c>
      <c r="DP1620" t="s">
        <v>13780</v>
      </c>
      <c r="DQ1620" t="s">
        <v>13772</v>
      </c>
      <c r="DR1620" t="s">
        <v>13807</v>
      </c>
      <c r="DS1620" t="s">
        <v>13808</v>
      </c>
      <c r="DT1620" t="s">
        <v>14465</v>
      </c>
      <c r="DU1620" t="s">
        <v>14322</v>
      </c>
      <c r="DV1620" t="s">
        <v>24449</v>
      </c>
      <c r="DW1620" t="s">
        <v>13812</v>
      </c>
      <c r="DX1620" t="s">
        <v>24450</v>
      </c>
      <c r="DY1620" t="s">
        <v>24451</v>
      </c>
      <c r="DZ1620" t="s">
        <v>24452</v>
      </c>
      <c r="EA1620" t="s">
        <v>13772</v>
      </c>
      <c r="EB1620" t="s">
        <v>24453</v>
      </c>
    </row>
    <row r="1621" spans="1:132" hidden="1">
      <c r="A1621">
        <v>1114</v>
      </c>
      <c r="B1621">
        <v>1</v>
      </c>
      <c r="C1621" t="s">
        <v>2679</v>
      </c>
      <c r="D1621" t="s">
        <v>2680</v>
      </c>
      <c r="E1621" t="s">
        <v>73</v>
      </c>
      <c r="F1621" t="s">
        <v>73</v>
      </c>
      <c r="G1621" t="s">
        <v>73</v>
      </c>
      <c r="H1621">
        <v>14.1</v>
      </c>
      <c r="I1621">
        <v>820</v>
      </c>
      <c r="J1621">
        <v>91520</v>
      </c>
      <c r="K1621" t="s">
        <v>2681</v>
      </c>
      <c r="L1621">
        <f t="shared" si="102"/>
        <v>10</v>
      </c>
      <c r="N1621">
        <v>10</v>
      </c>
      <c r="O1621">
        <v>10</v>
      </c>
      <c r="P1621">
        <v>1</v>
      </c>
      <c r="Q1621">
        <v>0</v>
      </c>
      <c r="R1621">
        <v>4</v>
      </c>
      <c r="S1621">
        <v>0</v>
      </c>
      <c r="T1621">
        <v>1</v>
      </c>
      <c r="U1621">
        <v>4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</v>
      </c>
      <c r="AL1621">
        <v>0</v>
      </c>
      <c r="AM1621">
        <v>1</v>
      </c>
      <c r="AN1621">
        <v>4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 s="2">
        <v>0</v>
      </c>
      <c r="BD1621" s="2">
        <v>4</v>
      </c>
      <c r="BE1621" s="2">
        <v>0</v>
      </c>
      <c r="BF1621" s="2">
        <v>1</v>
      </c>
      <c r="BG1621" s="2">
        <v>4</v>
      </c>
      <c r="BH1621" s="2">
        <v>1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f t="shared" si="105"/>
        <v>10</v>
      </c>
      <c r="BW1621" s="16">
        <f t="shared" si="103"/>
        <v>0.52631578947368418</v>
      </c>
      <c r="BX1621" s="16">
        <f>COUNTIF($BC$6:BU1621, "=0") / COUNTIF($BC$6:BU1621, "&gt;-1")</f>
        <v>0.40681995831162066</v>
      </c>
      <c r="BY1621" s="18">
        <f>SUM($BC$6:BU1621) / $BY$4</f>
        <v>0.98521146764544099</v>
      </c>
      <c r="BZ1621" s="14">
        <f t="shared" si="104"/>
        <v>15</v>
      </c>
      <c r="CA1621" t="s">
        <v>5832</v>
      </c>
      <c r="CZ1621" t="s">
        <v>9449</v>
      </c>
      <c r="DA1621" t="s">
        <v>5904</v>
      </c>
      <c r="DB1621">
        <v>1442.9</v>
      </c>
      <c r="DC1621" t="s">
        <v>24585</v>
      </c>
      <c r="DD1621" t="s">
        <v>13772</v>
      </c>
      <c r="DE1621" t="s">
        <v>24586</v>
      </c>
      <c r="DF1621" t="s">
        <v>24587</v>
      </c>
      <c r="DG1621" t="s">
        <v>24588</v>
      </c>
      <c r="DH1621" t="str">
        <f>"EPS8"</f>
        <v>EPS8</v>
      </c>
      <c r="DI1621" t="s">
        <v>13772</v>
      </c>
      <c r="DJ1621" t="s">
        <v>13777</v>
      </c>
      <c r="DK1621">
        <v>9606</v>
      </c>
      <c r="DL1621" s="34" t="str">
        <f>HYPERLINK("http://www.uniprot.org/uniprot/Q12929", "Q12929")</f>
        <v>Q12929</v>
      </c>
      <c r="DM1621" t="s">
        <v>24589</v>
      </c>
      <c r="DN1621" t="s">
        <v>13772</v>
      </c>
      <c r="DO1621" t="s">
        <v>24590</v>
      </c>
      <c r="DP1621" t="s">
        <v>13780</v>
      </c>
      <c r="DQ1621" t="s">
        <v>13772</v>
      </c>
      <c r="DR1621" t="s">
        <v>18603</v>
      </c>
      <c r="DS1621" t="s">
        <v>18604</v>
      </c>
      <c r="DT1621" t="s">
        <v>13772</v>
      </c>
      <c r="DU1621" t="s">
        <v>13990</v>
      </c>
      <c r="DV1621" t="s">
        <v>18636</v>
      </c>
      <c r="DW1621" t="s">
        <v>13812</v>
      </c>
      <c r="DX1621" t="s">
        <v>24591</v>
      </c>
      <c r="DY1621" t="s">
        <v>24592</v>
      </c>
      <c r="DZ1621" t="s">
        <v>24593</v>
      </c>
      <c r="EA1621" t="s">
        <v>13772</v>
      </c>
      <c r="EB1621" t="s">
        <v>13772</v>
      </c>
    </row>
    <row r="1622" spans="1:132" hidden="1">
      <c r="A1622">
        <v>1150</v>
      </c>
      <c r="B1622">
        <v>1</v>
      </c>
      <c r="C1622" t="s">
        <v>2767</v>
      </c>
      <c r="D1622" t="s">
        <v>73</v>
      </c>
      <c r="E1622" t="s">
        <v>73</v>
      </c>
      <c r="F1622" t="s">
        <v>73</v>
      </c>
      <c r="G1622" t="s">
        <v>73</v>
      </c>
      <c r="H1622">
        <v>17.3</v>
      </c>
      <c r="I1622">
        <v>428</v>
      </c>
      <c r="J1622">
        <v>47423</v>
      </c>
      <c r="K1622" t="s">
        <v>2768</v>
      </c>
      <c r="L1622">
        <f t="shared" si="102"/>
        <v>10</v>
      </c>
      <c r="N1622">
        <v>10</v>
      </c>
      <c r="O1622">
        <v>10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</v>
      </c>
      <c r="Z1622">
        <v>0</v>
      </c>
      <c r="AA1622">
        <v>2</v>
      </c>
      <c r="AB1622">
        <v>4</v>
      </c>
      <c r="AC1622">
        <v>0</v>
      </c>
      <c r="AD1622">
        <v>0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</v>
      </c>
      <c r="AS1622">
        <v>0</v>
      </c>
      <c r="AT1622">
        <v>2</v>
      </c>
      <c r="AU1622">
        <v>4</v>
      </c>
      <c r="AV1622">
        <v>0</v>
      </c>
      <c r="AW1622">
        <v>0</v>
      </c>
      <c r="AX1622">
        <v>0</v>
      </c>
      <c r="AY1622">
        <v>2</v>
      </c>
      <c r="AZ1622">
        <v>0</v>
      </c>
      <c r="BA1622">
        <v>0</v>
      </c>
      <c r="BB162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2</v>
      </c>
      <c r="BL1622" s="2">
        <v>0</v>
      </c>
      <c r="BM1622" s="2">
        <v>2</v>
      </c>
      <c r="BN1622" s="2">
        <v>4</v>
      </c>
      <c r="BO1622" s="2">
        <v>0</v>
      </c>
      <c r="BP1622" s="2">
        <v>0</v>
      </c>
      <c r="BQ1622" s="2">
        <v>0</v>
      </c>
      <c r="BR1622" s="2">
        <v>2</v>
      </c>
      <c r="BS1622" s="2">
        <v>0</v>
      </c>
      <c r="BT1622" s="2">
        <v>0</v>
      </c>
      <c r="BU1622" s="2">
        <v>0</v>
      </c>
      <c r="BV1622" s="2">
        <f t="shared" si="105"/>
        <v>10</v>
      </c>
      <c r="BW1622" s="16">
        <f t="shared" si="103"/>
        <v>0.52631578947368418</v>
      </c>
      <c r="BX1622" s="16">
        <f>COUNTIF($BC$6:BU1622, "=0") / COUNTIF($BC$6:BU1622, "&gt;-1")</f>
        <v>0.40705660254532433</v>
      </c>
      <c r="BY1622" s="18">
        <f>SUM($BC$6:BU1622) / $BY$4</f>
        <v>0.98525430401412795</v>
      </c>
      <c r="BZ1622" s="14">
        <f t="shared" si="104"/>
        <v>15</v>
      </c>
      <c r="CA1622" t="s">
        <v>5832</v>
      </c>
      <c r="CZ1622" t="s">
        <v>9554</v>
      </c>
      <c r="DA1622" t="s">
        <v>5904</v>
      </c>
      <c r="DB1622">
        <v>748.8</v>
      </c>
      <c r="DC1622" t="s">
        <v>24869</v>
      </c>
      <c r="DD1622" t="s">
        <v>24870</v>
      </c>
      <c r="DE1622" t="s">
        <v>24871</v>
      </c>
      <c r="DF1622" t="s">
        <v>24872</v>
      </c>
      <c r="DG1622" t="s">
        <v>24873</v>
      </c>
      <c r="DH1622" t="str">
        <f>"GDF2"</f>
        <v>GDF2</v>
      </c>
      <c r="DI1622" t="s">
        <v>24874</v>
      </c>
      <c r="DJ1622" t="s">
        <v>13777</v>
      </c>
      <c r="DK1622">
        <v>9606</v>
      </c>
      <c r="DL1622" s="34" t="str">
        <f>HYPERLINK("http://www.uniprot.org/uniprot/Q9UK05", "Q9UK05")</f>
        <v>Q9UK05</v>
      </c>
      <c r="DM1622" t="s">
        <v>24875</v>
      </c>
      <c r="DN1622" t="s">
        <v>22082</v>
      </c>
      <c r="DO1622" t="s">
        <v>14321</v>
      </c>
      <c r="DP1622" t="s">
        <v>13772</v>
      </c>
      <c r="DQ1622" t="s">
        <v>13772</v>
      </c>
      <c r="DR1622" t="s">
        <v>13807</v>
      </c>
      <c r="DS1622" t="s">
        <v>13808</v>
      </c>
      <c r="DT1622" t="s">
        <v>13772</v>
      </c>
      <c r="DU1622" t="s">
        <v>22745</v>
      </c>
      <c r="DV1622" t="s">
        <v>14629</v>
      </c>
      <c r="DW1622" t="s">
        <v>13812</v>
      </c>
      <c r="DX1622" t="s">
        <v>24876</v>
      </c>
      <c r="DY1622" t="s">
        <v>23376</v>
      </c>
      <c r="DZ1622" t="s">
        <v>24877</v>
      </c>
      <c r="EA1622" t="s">
        <v>13772</v>
      </c>
      <c r="EB1622" t="s">
        <v>23773</v>
      </c>
    </row>
    <row r="1623" spans="1:132" hidden="1">
      <c r="A1623">
        <v>1205</v>
      </c>
      <c r="B1623">
        <v>1</v>
      </c>
      <c r="C1623" t="s">
        <v>2891</v>
      </c>
      <c r="D1623" t="s">
        <v>2892</v>
      </c>
      <c r="E1623" t="s">
        <v>73</v>
      </c>
      <c r="F1623" t="s">
        <v>73</v>
      </c>
      <c r="G1623" t="s">
        <v>73</v>
      </c>
      <c r="H1623">
        <v>8.6</v>
      </c>
      <c r="I1623">
        <v>759</v>
      </c>
      <c r="J1623">
        <v>85866</v>
      </c>
      <c r="K1623" t="s">
        <v>2893</v>
      </c>
      <c r="L1623">
        <f t="shared" si="102"/>
        <v>10</v>
      </c>
      <c r="N1623">
        <v>10</v>
      </c>
      <c r="O1623">
        <v>10</v>
      </c>
      <c r="P1623">
        <v>1</v>
      </c>
      <c r="Q1623">
        <v>1</v>
      </c>
      <c r="R1623">
        <v>1</v>
      </c>
      <c r="S1623">
        <v>0</v>
      </c>
      <c r="T1623">
        <v>2</v>
      </c>
      <c r="U1623">
        <v>1</v>
      </c>
      <c r="V1623">
        <v>1</v>
      </c>
      <c r="W1623">
        <v>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2</v>
      </c>
      <c r="AN1623">
        <v>1</v>
      </c>
      <c r="AO1623">
        <v>1</v>
      </c>
      <c r="AP1623">
        <v>4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 s="2">
        <v>1</v>
      </c>
      <c r="BD1623" s="2">
        <v>1</v>
      </c>
      <c r="BE1623" s="2">
        <v>0</v>
      </c>
      <c r="BF1623" s="2">
        <v>2</v>
      </c>
      <c r="BG1623" s="2">
        <v>1</v>
      </c>
      <c r="BH1623" s="2">
        <v>1</v>
      </c>
      <c r="BI1623" s="2">
        <v>4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f t="shared" si="105"/>
        <v>10</v>
      </c>
      <c r="BW1623" s="16">
        <f t="shared" si="103"/>
        <v>0.52631578947368418</v>
      </c>
      <c r="BX1623" s="16">
        <f>COUNTIF($BC$6:BU1623, "=0") / COUNTIF($BC$6:BU1623, "&gt;-1")</f>
        <v>0.4072278966885694</v>
      </c>
      <c r="BY1623" s="18">
        <f>SUM($BC$6:BU1623) / $BY$4</f>
        <v>0.98529714038281491</v>
      </c>
      <c r="BZ1623" s="14">
        <f t="shared" si="104"/>
        <v>13</v>
      </c>
      <c r="CA1623" t="s">
        <v>5832</v>
      </c>
      <c r="CZ1623" t="s">
        <v>9742</v>
      </c>
      <c r="DA1623" t="s">
        <v>5904</v>
      </c>
      <c r="DB1623">
        <v>1426</v>
      </c>
      <c r="DC1623" t="s">
        <v>25405</v>
      </c>
      <c r="DD1623" t="s">
        <v>13772</v>
      </c>
      <c r="DE1623" t="s">
        <v>25406</v>
      </c>
      <c r="DF1623" t="s">
        <v>25407</v>
      </c>
      <c r="DG1623" t="s">
        <v>25408</v>
      </c>
      <c r="DH1623" t="str">
        <f>"CPXM2"</f>
        <v>CPXM2</v>
      </c>
      <c r="DI1623" t="s">
        <v>25409</v>
      </c>
      <c r="DJ1623" t="s">
        <v>13777</v>
      </c>
      <c r="DK1623">
        <v>9606</v>
      </c>
      <c r="DL1623" s="34" t="str">
        <f>HYPERLINK("http://www.uniprot.org/uniprot/Q8N436", "Q8N436")</f>
        <v>Q8N436</v>
      </c>
      <c r="DM1623" t="s">
        <v>20967</v>
      </c>
      <c r="DN1623" t="s">
        <v>13772</v>
      </c>
      <c r="DO1623" t="s">
        <v>14321</v>
      </c>
      <c r="DP1623" t="s">
        <v>13793</v>
      </c>
      <c r="DQ1623" t="s">
        <v>13772</v>
      </c>
      <c r="DR1623" t="s">
        <v>13772</v>
      </c>
      <c r="DS1623" t="s">
        <v>13808</v>
      </c>
      <c r="DT1623" t="s">
        <v>13772</v>
      </c>
      <c r="DU1623" t="s">
        <v>13772</v>
      </c>
      <c r="DV1623" t="s">
        <v>13796</v>
      </c>
      <c r="DW1623" t="s">
        <v>13772</v>
      </c>
      <c r="DX1623" t="s">
        <v>25410</v>
      </c>
      <c r="DY1623" t="s">
        <v>14508</v>
      </c>
      <c r="DZ1623" t="s">
        <v>17127</v>
      </c>
      <c r="EA1623" t="s">
        <v>13772</v>
      </c>
      <c r="EB1623" t="s">
        <v>13772</v>
      </c>
    </row>
    <row r="1624" spans="1:132" hidden="1">
      <c r="A1624">
        <v>1288</v>
      </c>
      <c r="B1624">
        <v>1</v>
      </c>
      <c r="C1624" t="s">
        <v>3092</v>
      </c>
      <c r="D1624" t="s">
        <v>73</v>
      </c>
      <c r="E1624" t="s">
        <v>73</v>
      </c>
      <c r="F1624" t="s">
        <v>73</v>
      </c>
      <c r="G1624" t="s">
        <v>73</v>
      </c>
      <c r="H1624">
        <v>10</v>
      </c>
      <c r="I1624">
        <v>1274</v>
      </c>
      <c r="J1624">
        <v>136238</v>
      </c>
      <c r="K1624" t="s">
        <v>3093</v>
      </c>
      <c r="L1624">
        <f t="shared" si="102"/>
        <v>10</v>
      </c>
      <c r="N1624">
        <v>10</v>
      </c>
      <c r="O1624">
        <v>10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9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9</v>
      </c>
      <c r="BL1624" s="2">
        <v>0</v>
      </c>
      <c r="BM1624" s="2">
        <v>0</v>
      </c>
      <c r="BN1624" s="2">
        <v>0</v>
      </c>
      <c r="BO1624" s="2">
        <v>0</v>
      </c>
      <c r="BP1624" s="2">
        <v>1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f t="shared" si="105"/>
        <v>10</v>
      </c>
      <c r="BW1624" s="16">
        <f t="shared" si="103"/>
        <v>0.52631578947368418</v>
      </c>
      <c r="BX1624" s="16">
        <f>COUNTIF($BC$6:BU1624, "=0") / COUNTIF($BC$6:BU1624, "&gt;-1")</f>
        <v>0.40752901401124803</v>
      </c>
      <c r="BY1624" s="18">
        <f>SUM($BC$6:BU1624) / $BY$4</f>
        <v>0.98533997675150198</v>
      </c>
      <c r="BZ1624" s="14">
        <f t="shared" si="104"/>
        <v>17</v>
      </c>
      <c r="CA1624" t="s">
        <v>5832</v>
      </c>
      <c r="CZ1624" t="s">
        <v>10032</v>
      </c>
      <c r="DA1624" t="s">
        <v>5904</v>
      </c>
      <c r="DB1624">
        <v>1629.8</v>
      </c>
      <c r="DC1624" t="s">
        <v>26230</v>
      </c>
      <c r="DD1624" t="s">
        <v>26231</v>
      </c>
      <c r="DE1624" t="s">
        <v>26232</v>
      </c>
      <c r="DF1624" t="s">
        <v>26233</v>
      </c>
      <c r="DG1624" t="s">
        <v>26234</v>
      </c>
      <c r="DH1624" t="str">
        <f>"RAB11FIP1"</f>
        <v>RAB11FIP1</v>
      </c>
      <c r="DI1624" t="s">
        <v>26235</v>
      </c>
      <c r="DJ1624" t="s">
        <v>13777</v>
      </c>
      <c r="DK1624">
        <v>9606</v>
      </c>
      <c r="DL1624" s="34" t="str">
        <f>HYPERLINK("http://www.uniprot.org/uniprot/Q6WKZ4", "Q6WKZ4")</f>
        <v>Q6WKZ4</v>
      </c>
      <c r="DM1624" t="s">
        <v>26236</v>
      </c>
      <c r="DN1624" t="s">
        <v>14347</v>
      </c>
      <c r="DO1624" t="s">
        <v>26237</v>
      </c>
      <c r="DP1624" t="s">
        <v>13780</v>
      </c>
      <c r="DQ1624" t="s">
        <v>13772</v>
      </c>
      <c r="DR1624" t="s">
        <v>13772</v>
      </c>
      <c r="DS1624" t="s">
        <v>13772</v>
      </c>
      <c r="DT1624" t="s">
        <v>13772</v>
      </c>
      <c r="DU1624" t="s">
        <v>13772</v>
      </c>
      <c r="DV1624" t="s">
        <v>13782</v>
      </c>
      <c r="DW1624" t="s">
        <v>13812</v>
      </c>
      <c r="DX1624" t="s">
        <v>26238</v>
      </c>
      <c r="DY1624" t="s">
        <v>26239</v>
      </c>
      <c r="DZ1624" t="s">
        <v>26240</v>
      </c>
      <c r="EA1624" t="s">
        <v>13772</v>
      </c>
      <c r="EB1624" t="s">
        <v>13772</v>
      </c>
    </row>
    <row r="1625" spans="1:132" hidden="1">
      <c r="A1625">
        <v>1322</v>
      </c>
      <c r="B1625">
        <v>1</v>
      </c>
      <c r="C1625" t="s">
        <v>3170</v>
      </c>
      <c r="D1625" t="s">
        <v>3171</v>
      </c>
      <c r="E1625" t="s">
        <v>73</v>
      </c>
      <c r="F1625" t="s">
        <v>73</v>
      </c>
      <c r="G1625" t="s">
        <v>73</v>
      </c>
      <c r="H1625">
        <v>9.6999999999999993</v>
      </c>
      <c r="I1625">
        <v>678</v>
      </c>
      <c r="J1625">
        <v>75961</v>
      </c>
      <c r="K1625" t="s">
        <v>3172</v>
      </c>
      <c r="L1625">
        <f t="shared" si="102"/>
        <v>10</v>
      </c>
      <c r="N1625">
        <v>10</v>
      </c>
      <c r="O1625">
        <v>10</v>
      </c>
      <c r="P1625">
        <v>1</v>
      </c>
      <c r="Q1625">
        <v>0</v>
      </c>
      <c r="R1625">
        <v>1</v>
      </c>
      <c r="S1625">
        <v>0</v>
      </c>
      <c r="T1625">
        <v>3</v>
      </c>
      <c r="U1625">
        <v>1</v>
      </c>
      <c r="V1625">
        <v>0</v>
      </c>
      <c r="W1625">
        <v>2</v>
      </c>
      <c r="X1625">
        <v>0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3</v>
      </c>
      <c r="AN1625">
        <v>1</v>
      </c>
      <c r="AO1625">
        <v>0</v>
      </c>
      <c r="AP1625">
        <v>2</v>
      </c>
      <c r="AQ1625">
        <v>0</v>
      </c>
      <c r="AR1625">
        <v>0</v>
      </c>
      <c r="AS1625">
        <v>0</v>
      </c>
      <c r="AT1625">
        <v>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 s="2">
        <v>0</v>
      </c>
      <c r="BD1625" s="2">
        <v>1</v>
      </c>
      <c r="BE1625" s="2">
        <v>0</v>
      </c>
      <c r="BF1625" s="2">
        <v>3</v>
      </c>
      <c r="BG1625" s="2">
        <v>1</v>
      </c>
      <c r="BH1625" s="2">
        <v>0</v>
      </c>
      <c r="BI1625" s="2">
        <v>2</v>
      </c>
      <c r="BJ1625" s="2">
        <v>0</v>
      </c>
      <c r="BK1625" s="2">
        <v>0</v>
      </c>
      <c r="BL1625" s="2">
        <v>0</v>
      </c>
      <c r="BM1625" s="2">
        <v>2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1</v>
      </c>
      <c r="BV1625" s="2">
        <f t="shared" si="105"/>
        <v>10</v>
      </c>
      <c r="BW1625" s="16">
        <f t="shared" si="103"/>
        <v>0.52631578947368418</v>
      </c>
      <c r="BX1625" s="16">
        <f>COUNTIF($BC$6:BU1625, "=0") / COUNTIF($BC$6:BU1625, "&gt;-1")</f>
        <v>0.40769980506822612</v>
      </c>
      <c r="BY1625" s="18">
        <f>SUM($BC$6:BU1625) / $BY$4</f>
        <v>0.98538281312018894</v>
      </c>
      <c r="BZ1625" s="14">
        <f t="shared" si="104"/>
        <v>13</v>
      </c>
      <c r="CA1625" t="s">
        <v>5832</v>
      </c>
      <c r="CZ1625" t="s">
        <v>10151</v>
      </c>
      <c r="DA1625" t="s">
        <v>5904</v>
      </c>
      <c r="DB1625">
        <v>1060.4000000000001</v>
      </c>
      <c r="DC1625" t="s">
        <v>26564</v>
      </c>
      <c r="DD1625" t="s">
        <v>13772</v>
      </c>
      <c r="DE1625" t="s">
        <v>26565</v>
      </c>
      <c r="DF1625" t="s">
        <v>26566</v>
      </c>
      <c r="DG1625" t="s">
        <v>26567</v>
      </c>
      <c r="DH1625" t="str">
        <f>"PODN"</f>
        <v>PODN</v>
      </c>
      <c r="DI1625" t="s">
        <v>26568</v>
      </c>
      <c r="DJ1625" t="s">
        <v>13777</v>
      </c>
      <c r="DK1625">
        <v>9606</v>
      </c>
      <c r="DL1625" s="34" t="str">
        <f>HYPERLINK("http://www.uniprot.org/uniprot/Q7Z5L7", "Q7Z5L7")</f>
        <v>Q7Z5L7</v>
      </c>
      <c r="DM1625" t="s">
        <v>26569</v>
      </c>
      <c r="DN1625" t="s">
        <v>13772</v>
      </c>
      <c r="DO1625" t="s">
        <v>21869</v>
      </c>
      <c r="DP1625" t="s">
        <v>13780</v>
      </c>
      <c r="DQ1625" t="s">
        <v>13772</v>
      </c>
      <c r="DR1625" t="s">
        <v>13772</v>
      </c>
      <c r="DS1625" t="s">
        <v>19328</v>
      </c>
      <c r="DT1625" t="s">
        <v>13772</v>
      </c>
      <c r="DU1625" t="s">
        <v>13772</v>
      </c>
      <c r="DV1625" t="s">
        <v>13858</v>
      </c>
      <c r="DW1625" t="s">
        <v>13772</v>
      </c>
      <c r="DX1625" t="s">
        <v>26570</v>
      </c>
      <c r="DY1625" t="s">
        <v>26571</v>
      </c>
      <c r="DZ1625" t="s">
        <v>16212</v>
      </c>
      <c r="EA1625" t="s">
        <v>13772</v>
      </c>
      <c r="EB1625" t="s">
        <v>13772</v>
      </c>
    </row>
    <row r="1626" spans="1:132" hidden="1">
      <c r="A1626">
        <v>1344</v>
      </c>
      <c r="B1626">
        <v>1</v>
      </c>
      <c r="C1626" t="s">
        <v>3215</v>
      </c>
      <c r="D1626" t="s">
        <v>3216</v>
      </c>
      <c r="E1626" t="s">
        <v>73</v>
      </c>
      <c r="F1626" t="s">
        <v>73</v>
      </c>
      <c r="G1626" t="s">
        <v>73</v>
      </c>
      <c r="H1626">
        <v>4.9000000000000004</v>
      </c>
      <c r="I1626">
        <v>1234</v>
      </c>
      <c r="J1626">
        <v>134395</v>
      </c>
      <c r="K1626" t="s">
        <v>3217</v>
      </c>
      <c r="L1626">
        <f t="shared" si="102"/>
        <v>10</v>
      </c>
      <c r="N1626">
        <v>10</v>
      </c>
      <c r="O1626">
        <v>10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4</v>
      </c>
      <c r="Z1626">
        <v>0</v>
      </c>
      <c r="AA1626">
        <v>2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4</v>
      </c>
      <c r="AS1626">
        <v>0</v>
      </c>
      <c r="AT1626">
        <v>2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1</v>
      </c>
      <c r="BK1626" s="2">
        <v>4</v>
      </c>
      <c r="BL1626" s="2">
        <v>0</v>
      </c>
      <c r="BM1626" s="2">
        <v>2</v>
      </c>
      <c r="BN1626" s="2">
        <v>1</v>
      </c>
      <c r="BO1626" s="2">
        <v>1</v>
      </c>
      <c r="BP1626" s="2">
        <v>0</v>
      </c>
      <c r="BQ1626" s="2">
        <v>1</v>
      </c>
      <c r="BR1626" s="2">
        <v>0</v>
      </c>
      <c r="BS1626" s="2">
        <v>0</v>
      </c>
      <c r="BT1626" s="2">
        <v>0</v>
      </c>
      <c r="BU1626" s="2">
        <v>0</v>
      </c>
      <c r="BV1626" s="2">
        <f t="shared" si="105"/>
        <v>10</v>
      </c>
      <c r="BW1626" s="16">
        <f t="shared" si="103"/>
        <v>0.52631578947368418</v>
      </c>
      <c r="BX1626" s="16">
        <f>COUNTIF($BC$6:BU1626, "=0") / COUNTIF($BC$6:BU1626, "&gt;-1")</f>
        <v>0.40787038540212345</v>
      </c>
      <c r="BY1626" s="18">
        <f>SUM($BC$6:BU1626) / $BY$4</f>
        <v>0.98542564948887601</v>
      </c>
      <c r="BZ1626" s="14">
        <f t="shared" si="104"/>
        <v>13</v>
      </c>
      <c r="CA1626" t="s">
        <v>5832</v>
      </c>
      <c r="CZ1626" t="s">
        <v>10224</v>
      </c>
      <c r="DA1626" t="s">
        <v>5904</v>
      </c>
      <c r="DB1626">
        <v>2311.9</v>
      </c>
      <c r="DC1626" t="s">
        <v>26770</v>
      </c>
      <c r="DD1626" t="s">
        <v>26771</v>
      </c>
      <c r="DE1626" t="s">
        <v>26772</v>
      </c>
      <c r="DF1626" t="s">
        <v>26773</v>
      </c>
      <c r="DG1626" t="s">
        <v>26774</v>
      </c>
      <c r="DH1626" t="str">
        <f>"SEC31A"</f>
        <v>SEC31A</v>
      </c>
      <c r="DI1626" t="s">
        <v>26775</v>
      </c>
      <c r="DJ1626" t="s">
        <v>13777</v>
      </c>
      <c r="DK1626">
        <v>9606</v>
      </c>
      <c r="DL1626" s="34" t="str">
        <f>HYPERLINK("http://www.uniprot.org/uniprot/O94979", "O94979")</f>
        <v>O94979</v>
      </c>
      <c r="DM1626" t="s">
        <v>26776</v>
      </c>
      <c r="DN1626" t="s">
        <v>15450</v>
      </c>
      <c r="DO1626" t="s">
        <v>26777</v>
      </c>
      <c r="DP1626" t="s">
        <v>20333</v>
      </c>
      <c r="DQ1626" t="s">
        <v>13772</v>
      </c>
      <c r="DR1626" t="s">
        <v>14244</v>
      </c>
      <c r="DS1626" t="s">
        <v>23494</v>
      </c>
      <c r="DT1626" t="s">
        <v>13772</v>
      </c>
      <c r="DU1626" t="s">
        <v>13772</v>
      </c>
      <c r="DV1626" t="s">
        <v>13938</v>
      </c>
      <c r="DW1626" t="s">
        <v>13812</v>
      </c>
      <c r="DX1626" t="s">
        <v>26778</v>
      </c>
      <c r="DY1626" t="s">
        <v>26779</v>
      </c>
      <c r="DZ1626" t="s">
        <v>26780</v>
      </c>
      <c r="EA1626" t="s">
        <v>13772</v>
      </c>
      <c r="EB1626" t="s">
        <v>26781</v>
      </c>
    </row>
    <row r="1627" spans="1:132" hidden="1">
      <c r="A1627">
        <v>1365</v>
      </c>
      <c r="B1627">
        <v>1</v>
      </c>
      <c r="C1627" t="s">
        <v>3263</v>
      </c>
      <c r="D1627" t="s">
        <v>73</v>
      </c>
      <c r="E1627" t="s">
        <v>73</v>
      </c>
      <c r="F1627" t="s">
        <v>73</v>
      </c>
      <c r="G1627" t="s">
        <v>73</v>
      </c>
      <c r="H1627">
        <v>31.5</v>
      </c>
      <c r="I1627">
        <v>375</v>
      </c>
      <c r="J1627">
        <v>39720</v>
      </c>
      <c r="K1627" t="s">
        <v>3264</v>
      </c>
      <c r="L1627">
        <f t="shared" si="102"/>
        <v>10</v>
      </c>
      <c r="N1627">
        <v>10</v>
      </c>
      <c r="O1627">
        <v>10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</v>
      </c>
      <c r="AU1627">
        <v>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7</v>
      </c>
      <c r="BN1627" s="2">
        <v>3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f t="shared" si="105"/>
        <v>10</v>
      </c>
      <c r="BW1627" s="16">
        <f t="shared" si="103"/>
        <v>0.52631578947368418</v>
      </c>
      <c r="BX1627" s="16">
        <f>COUNTIF($BC$6:BU1627, "=0") / COUNTIF($BC$6:BU1627, "&gt;-1")</f>
        <v>0.40817054967875915</v>
      </c>
      <c r="BY1627" s="18">
        <f>SUM($BC$6:BU1627) / $BY$4</f>
        <v>0.98546848585756297</v>
      </c>
      <c r="BZ1627" s="14">
        <f t="shared" si="104"/>
        <v>17</v>
      </c>
      <c r="CA1627" t="s">
        <v>5832</v>
      </c>
      <c r="CZ1627" t="s">
        <v>10294</v>
      </c>
      <c r="DA1627" t="s">
        <v>5904</v>
      </c>
      <c r="DB1627">
        <v>668.3</v>
      </c>
      <c r="DC1627" t="s">
        <v>26985</v>
      </c>
      <c r="DD1627" t="s">
        <v>26986</v>
      </c>
      <c r="DE1627" t="s">
        <v>26987</v>
      </c>
      <c r="DF1627" t="s">
        <v>26988</v>
      </c>
      <c r="DG1627" t="s">
        <v>26989</v>
      </c>
      <c r="DH1627" t="str">
        <f>"ADH1B"</f>
        <v>ADH1B</v>
      </c>
      <c r="DI1627" t="s">
        <v>26990</v>
      </c>
      <c r="DJ1627" t="s">
        <v>13777</v>
      </c>
      <c r="DK1627">
        <v>9606</v>
      </c>
      <c r="DL1627" s="34" t="str">
        <f>HYPERLINK("http://www.uniprot.org/uniprot/P00325", "P00325")</f>
        <v>P00325</v>
      </c>
      <c r="DM1627" t="s">
        <v>26991</v>
      </c>
      <c r="DN1627" t="s">
        <v>13772</v>
      </c>
      <c r="DO1627" t="s">
        <v>13899</v>
      </c>
      <c r="DP1627" t="s">
        <v>13780</v>
      </c>
      <c r="DQ1627" t="s">
        <v>13772</v>
      </c>
      <c r="DR1627" t="s">
        <v>13772</v>
      </c>
      <c r="DS1627" t="s">
        <v>13772</v>
      </c>
      <c r="DT1627" t="s">
        <v>16288</v>
      </c>
      <c r="DU1627" t="s">
        <v>13885</v>
      </c>
      <c r="DV1627" t="s">
        <v>13886</v>
      </c>
      <c r="DW1627" t="s">
        <v>13812</v>
      </c>
      <c r="DX1627" t="s">
        <v>26992</v>
      </c>
      <c r="DY1627" t="s">
        <v>26993</v>
      </c>
      <c r="DZ1627" t="s">
        <v>26994</v>
      </c>
      <c r="EA1627" t="s">
        <v>13772</v>
      </c>
      <c r="EB1627" t="s">
        <v>26699</v>
      </c>
    </row>
    <row r="1628" spans="1:132" hidden="1">
      <c r="A1628">
        <v>1373</v>
      </c>
      <c r="B1628">
        <v>1</v>
      </c>
      <c r="C1628" t="s">
        <v>3281</v>
      </c>
      <c r="D1628" t="s">
        <v>3282</v>
      </c>
      <c r="E1628" t="s">
        <v>73</v>
      </c>
      <c r="F1628" t="s">
        <v>73</v>
      </c>
      <c r="G1628" t="s">
        <v>73</v>
      </c>
      <c r="H1628">
        <v>24.9</v>
      </c>
      <c r="I1628">
        <v>221</v>
      </c>
      <c r="J1628">
        <v>25468</v>
      </c>
      <c r="K1628" t="s">
        <v>3283</v>
      </c>
      <c r="L1628">
        <f t="shared" si="102"/>
        <v>10</v>
      </c>
      <c r="N1628">
        <v>10</v>
      </c>
      <c r="O1628">
        <v>10</v>
      </c>
      <c r="P1628">
        <v>1</v>
      </c>
      <c r="Q1628">
        <v>0</v>
      </c>
      <c r="R1628">
        <v>3</v>
      </c>
      <c r="S1628">
        <v>0</v>
      </c>
      <c r="T1628">
        <v>3</v>
      </c>
      <c r="U1628">
        <v>2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L1628">
        <v>0</v>
      </c>
      <c r="AM1628">
        <v>3</v>
      </c>
      <c r="AN1628">
        <v>2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 s="2">
        <v>0</v>
      </c>
      <c r="BD1628" s="2">
        <v>3</v>
      </c>
      <c r="BE1628" s="2">
        <v>0</v>
      </c>
      <c r="BF1628" s="2">
        <v>3</v>
      </c>
      <c r="BG1628" s="2">
        <v>2</v>
      </c>
      <c r="BH1628" s="2">
        <v>0</v>
      </c>
      <c r="BI1628" s="2">
        <v>1</v>
      </c>
      <c r="BJ1628" s="2">
        <v>0</v>
      </c>
      <c r="BK1628" s="2">
        <v>0</v>
      </c>
      <c r="BL1628" s="2">
        <v>0</v>
      </c>
      <c r="BM1628" s="2">
        <v>1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f t="shared" si="105"/>
        <v>10</v>
      </c>
      <c r="BW1628" s="16">
        <f t="shared" si="103"/>
        <v>0.52631578947368418</v>
      </c>
      <c r="BX1628" s="16">
        <f>COUNTIF($BC$6:BU1628, "=0") / COUNTIF($BC$6:BU1628, "&gt;-1")</f>
        <v>0.40837305833900833</v>
      </c>
      <c r="BY1628" s="18">
        <f>SUM($BC$6:BU1628) / $BY$4</f>
        <v>0.98551132222624993</v>
      </c>
      <c r="BZ1628" s="14">
        <f t="shared" si="104"/>
        <v>14</v>
      </c>
      <c r="CA1628" t="s">
        <v>5832</v>
      </c>
      <c r="CZ1628" t="s">
        <v>10320</v>
      </c>
      <c r="DA1628" t="s">
        <v>5904</v>
      </c>
      <c r="DB1628">
        <v>458</v>
      </c>
      <c r="DC1628" t="s">
        <v>27048</v>
      </c>
      <c r="DD1628" t="s">
        <v>27049</v>
      </c>
      <c r="DE1628" t="s">
        <v>27050</v>
      </c>
      <c r="DF1628" t="s">
        <v>27051</v>
      </c>
      <c r="DG1628" t="s">
        <v>27052</v>
      </c>
      <c r="DH1628" t="str">
        <f>"VPS28"</f>
        <v>VPS28</v>
      </c>
      <c r="DI1628" t="s">
        <v>13772</v>
      </c>
      <c r="DJ1628" t="s">
        <v>13777</v>
      </c>
      <c r="DK1628">
        <v>9606</v>
      </c>
      <c r="DL1628" s="34" t="str">
        <f>HYPERLINK("http://www.uniprot.org/uniprot/Q9UK41", "Q9UK41")</f>
        <v>Q9UK41</v>
      </c>
      <c r="DM1628" t="s">
        <v>27053</v>
      </c>
      <c r="DN1628" t="s">
        <v>14347</v>
      </c>
      <c r="DO1628" t="s">
        <v>14348</v>
      </c>
      <c r="DP1628" t="s">
        <v>13841</v>
      </c>
      <c r="DQ1628" t="s">
        <v>13772</v>
      </c>
      <c r="DR1628" t="s">
        <v>13772</v>
      </c>
      <c r="DS1628" t="s">
        <v>13772</v>
      </c>
      <c r="DT1628" t="s">
        <v>13772</v>
      </c>
      <c r="DU1628" t="s">
        <v>13772</v>
      </c>
      <c r="DV1628" t="s">
        <v>14020</v>
      </c>
      <c r="DW1628" t="s">
        <v>13772</v>
      </c>
      <c r="DX1628" t="s">
        <v>27054</v>
      </c>
      <c r="DY1628" t="s">
        <v>27055</v>
      </c>
      <c r="DZ1628" t="s">
        <v>27056</v>
      </c>
      <c r="EA1628" t="s">
        <v>13772</v>
      </c>
      <c r="EB1628" t="s">
        <v>17918</v>
      </c>
    </row>
    <row r="1629" spans="1:132" hidden="1">
      <c r="A1629">
        <v>1379</v>
      </c>
      <c r="B1629">
        <v>1</v>
      </c>
      <c r="C1629" t="s">
        <v>3298</v>
      </c>
      <c r="D1629" t="s">
        <v>73</v>
      </c>
      <c r="E1629" t="s">
        <v>73</v>
      </c>
      <c r="F1629" t="s">
        <v>73</v>
      </c>
      <c r="G1629" t="s">
        <v>73</v>
      </c>
      <c r="H1629">
        <v>17.600000000000001</v>
      </c>
      <c r="I1629">
        <v>222</v>
      </c>
      <c r="J1629">
        <v>25685</v>
      </c>
      <c r="K1629" t="s">
        <v>3299</v>
      </c>
      <c r="L1629">
        <f t="shared" si="102"/>
        <v>10</v>
      </c>
      <c r="N1629">
        <v>10</v>
      </c>
      <c r="O1629">
        <v>10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6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6</v>
      </c>
      <c r="AS1629">
        <v>0</v>
      </c>
      <c r="AT1629">
        <v>3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1</v>
      </c>
      <c r="BI1629" s="2">
        <v>0</v>
      </c>
      <c r="BJ1629" s="2">
        <v>0</v>
      </c>
      <c r="BK1629" s="2">
        <v>6</v>
      </c>
      <c r="BL1629" s="2">
        <v>0</v>
      </c>
      <c r="BM1629" s="2">
        <v>3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f t="shared" si="105"/>
        <v>10</v>
      </c>
      <c r="BW1629" s="16">
        <f t="shared" si="103"/>
        <v>0.52631578947368418</v>
      </c>
      <c r="BX1629" s="16">
        <f>COUNTIF($BC$6:BU1629, "=0") / COUNTIF($BC$6:BU1629, "&gt;-1")</f>
        <v>0.40864013481980815</v>
      </c>
      <c r="BY1629" s="18">
        <f>SUM($BC$6:BU1629) / $BY$4</f>
        <v>0.985554158594937</v>
      </c>
      <c r="BZ1629" s="14">
        <f t="shared" si="104"/>
        <v>16</v>
      </c>
      <c r="CA1629" t="s">
        <v>5832</v>
      </c>
      <c r="CZ1629" t="s">
        <v>10343</v>
      </c>
      <c r="DA1629" t="s">
        <v>5904</v>
      </c>
      <c r="DB1629">
        <v>428.3</v>
      </c>
      <c r="DC1629" t="s">
        <v>27108</v>
      </c>
      <c r="DD1629" t="s">
        <v>27109</v>
      </c>
      <c r="DE1629" t="s">
        <v>27110</v>
      </c>
      <c r="DF1629" t="s">
        <v>27111</v>
      </c>
      <c r="DG1629" t="s">
        <v>27112</v>
      </c>
      <c r="DH1629" t="str">
        <f>"GSTA4"</f>
        <v>GSTA4</v>
      </c>
      <c r="DI1629" t="s">
        <v>13772</v>
      </c>
      <c r="DJ1629" t="s">
        <v>13777</v>
      </c>
      <c r="DK1629">
        <v>9606</v>
      </c>
      <c r="DL1629" s="34" t="str">
        <f>HYPERLINK("http://www.uniprot.org/uniprot/O15217", "O15217")</f>
        <v>O15217</v>
      </c>
      <c r="DM1629" t="s">
        <v>27113</v>
      </c>
      <c r="DN1629" t="s">
        <v>13772</v>
      </c>
      <c r="DO1629" t="s">
        <v>13899</v>
      </c>
      <c r="DP1629" t="s">
        <v>13780</v>
      </c>
      <c r="DQ1629" t="s">
        <v>13772</v>
      </c>
      <c r="DR1629" t="s">
        <v>13772</v>
      </c>
      <c r="DS1629" t="s">
        <v>13772</v>
      </c>
      <c r="DT1629" t="s">
        <v>13772</v>
      </c>
      <c r="DU1629" t="s">
        <v>14111</v>
      </c>
      <c r="DV1629" t="s">
        <v>14020</v>
      </c>
      <c r="DW1629" t="s">
        <v>13812</v>
      </c>
      <c r="DX1629" t="s">
        <v>27114</v>
      </c>
      <c r="DY1629" t="s">
        <v>13902</v>
      </c>
      <c r="DZ1629" t="s">
        <v>27115</v>
      </c>
      <c r="EA1629" t="s">
        <v>13772</v>
      </c>
      <c r="EB1629" t="s">
        <v>18170</v>
      </c>
    </row>
    <row r="1630" spans="1:132" hidden="1">
      <c r="A1630">
        <v>1495</v>
      </c>
      <c r="B1630">
        <v>1</v>
      </c>
      <c r="C1630" t="s">
        <v>3557</v>
      </c>
      <c r="D1630" t="s">
        <v>73</v>
      </c>
      <c r="E1630" t="s">
        <v>73</v>
      </c>
      <c r="F1630" t="s">
        <v>73</v>
      </c>
      <c r="G1630" t="s">
        <v>73</v>
      </c>
      <c r="H1630">
        <v>7</v>
      </c>
      <c r="I1630">
        <v>473</v>
      </c>
      <c r="J1630">
        <v>52040</v>
      </c>
      <c r="K1630" t="s">
        <v>3558</v>
      </c>
      <c r="L1630">
        <f t="shared" si="102"/>
        <v>10</v>
      </c>
      <c r="N1630">
        <v>10</v>
      </c>
      <c r="O1630">
        <v>10</v>
      </c>
      <c r="P1630">
        <v>1</v>
      </c>
      <c r="Q1630">
        <v>0</v>
      </c>
      <c r="R1630">
        <v>2</v>
      </c>
      <c r="S1630">
        <v>2</v>
      </c>
      <c r="T1630">
        <v>2</v>
      </c>
      <c r="U1630">
        <v>1</v>
      </c>
      <c r="V1630">
        <v>1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</v>
      </c>
      <c r="AL1630">
        <v>2</v>
      </c>
      <c r="AM1630">
        <v>2</v>
      </c>
      <c r="AN1630">
        <v>1</v>
      </c>
      <c r="AO1630">
        <v>1</v>
      </c>
      <c r="AP1630">
        <v>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 s="2">
        <v>0</v>
      </c>
      <c r="BD1630" s="2">
        <v>2</v>
      </c>
      <c r="BE1630" s="2">
        <v>2</v>
      </c>
      <c r="BF1630" s="2">
        <v>2</v>
      </c>
      <c r="BG1630" s="2">
        <v>1</v>
      </c>
      <c r="BH1630" s="2">
        <v>1</v>
      </c>
      <c r="BI1630" s="2">
        <v>2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f t="shared" si="105"/>
        <v>10</v>
      </c>
      <c r="BW1630" s="16">
        <f t="shared" si="103"/>
        <v>0.52631578947368418</v>
      </c>
      <c r="BX1630" s="16">
        <f>COUNTIF($BC$6:BU1630, "=0") / COUNTIF($BC$6:BU1630, "&gt;-1")</f>
        <v>0.4088097165991903</v>
      </c>
      <c r="BY1630" s="18">
        <f>SUM($BC$6:BU1630) / $BY$4</f>
        <v>0.98559699496362396</v>
      </c>
      <c r="BZ1630" s="14">
        <f t="shared" si="104"/>
        <v>13</v>
      </c>
      <c r="CA1630" t="s">
        <v>5832</v>
      </c>
      <c r="CZ1630" t="s">
        <v>10716</v>
      </c>
      <c r="DA1630" t="s">
        <v>5900</v>
      </c>
      <c r="DB1630">
        <v>368.6</v>
      </c>
      <c r="DC1630" t="s">
        <v>28163</v>
      </c>
      <c r="DD1630" t="s">
        <v>28164</v>
      </c>
      <c r="DE1630" t="s">
        <v>28165</v>
      </c>
      <c r="DF1630" t="s">
        <v>28166</v>
      </c>
      <c r="DG1630" t="s">
        <v>28167</v>
      </c>
      <c r="DH1630" t="str">
        <f>"VEGFA"</f>
        <v>VEGFA</v>
      </c>
      <c r="DI1630" t="s">
        <v>28168</v>
      </c>
      <c r="DJ1630" t="s">
        <v>13777</v>
      </c>
      <c r="DK1630">
        <v>9606</v>
      </c>
      <c r="DL1630" s="34" t="str">
        <f>HYPERLINK("http://www.uniprot.org/uniprot/P15692", "P15692")</f>
        <v>P15692</v>
      </c>
      <c r="DM1630" t="s">
        <v>28169</v>
      </c>
      <c r="DN1630" t="s">
        <v>19787</v>
      </c>
      <c r="DO1630" t="s">
        <v>14321</v>
      </c>
      <c r="DP1630" t="s">
        <v>26969</v>
      </c>
      <c r="DQ1630" t="s">
        <v>13772</v>
      </c>
      <c r="DR1630" t="s">
        <v>13772</v>
      </c>
      <c r="DS1630" t="s">
        <v>13808</v>
      </c>
      <c r="DT1630" t="s">
        <v>13772</v>
      </c>
      <c r="DU1630" t="s">
        <v>28170</v>
      </c>
      <c r="DV1630" t="s">
        <v>13796</v>
      </c>
      <c r="DW1630" t="s">
        <v>13812</v>
      </c>
      <c r="DX1630" t="s">
        <v>28171</v>
      </c>
      <c r="DY1630" t="s">
        <v>28172</v>
      </c>
      <c r="DZ1630" t="s">
        <v>28173</v>
      </c>
      <c r="EA1630" t="s">
        <v>13772</v>
      </c>
      <c r="EB1630" t="s">
        <v>28174</v>
      </c>
    </row>
    <row r="1631" spans="1:132" hidden="1">
      <c r="A1631">
        <v>1551</v>
      </c>
      <c r="B1631">
        <v>1</v>
      </c>
      <c r="C1631" t="s">
        <v>3677</v>
      </c>
      <c r="D1631" t="s">
        <v>73</v>
      </c>
      <c r="E1631" t="s">
        <v>73</v>
      </c>
      <c r="F1631" t="s">
        <v>73</v>
      </c>
      <c r="G1631" t="s">
        <v>73</v>
      </c>
      <c r="H1631">
        <v>9.5</v>
      </c>
      <c r="I1631">
        <v>639</v>
      </c>
      <c r="J1631">
        <v>69012</v>
      </c>
      <c r="K1631" t="s">
        <v>3678</v>
      </c>
      <c r="L1631">
        <f t="shared" si="102"/>
        <v>10</v>
      </c>
      <c r="N1631">
        <v>10</v>
      </c>
      <c r="O1631">
        <v>10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3</v>
      </c>
      <c r="V1631">
        <v>4</v>
      </c>
      <c r="W1631">
        <v>0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3</v>
      </c>
      <c r="AO1631">
        <v>4</v>
      </c>
      <c r="AP1631">
        <v>0</v>
      </c>
      <c r="AQ1631">
        <v>2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s="2">
        <v>0</v>
      </c>
      <c r="BD1631" s="2">
        <v>0</v>
      </c>
      <c r="BE1631" s="2">
        <v>0</v>
      </c>
      <c r="BF1631" s="2">
        <v>1</v>
      </c>
      <c r="BG1631" s="2">
        <v>3</v>
      </c>
      <c r="BH1631" s="2">
        <v>4</v>
      </c>
      <c r="BI1631" s="2">
        <v>0</v>
      </c>
      <c r="BJ1631" s="2">
        <v>2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f t="shared" si="105"/>
        <v>10</v>
      </c>
      <c r="BW1631" s="16">
        <f t="shared" si="103"/>
        <v>0.52631578947368418</v>
      </c>
      <c r="BX1631" s="16">
        <f>COUNTIF($BC$6:BU1631, "=0") / COUNTIF($BC$6:BU1631, "&gt;-1")</f>
        <v>0.40904382728037808</v>
      </c>
      <c r="BY1631" s="18">
        <f>SUM($BC$6:BU1631) / $BY$4</f>
        <v>0.98563983133231103</v>
      </c>
      <c r="BZ1631" s="14">
        <f t="shared" si="104"/>
        <v>15</v>
      </c>
      <c r="CA1631" t="s">
        <v>5832</v>
      </c>
      <c r="CZ1631" t="s">
        <v>10907</v>
      </c>
      <c r="DA1631" t="s">
        <v>5904</v>
      </c>
      <c r="DB1631">
        <v>1122.0999999999999</v>
      </c>
      <c r="DC1631" t="s">
        <v>28670</v>
      </c>
      <c r="DD1631" t="s">
        <v>28671</v>
      </c>
      <c r="DE1631" t="s">
        <v>28672</v>
      </c>
      <c r="DF1631" t="s">
        <v>28673</v>
      </c>
      <c r="DG1631" t="s">
        <v>28674</v>
      </c>
      <c r="DH1631" t="str">
        <f>"SLC34A1"</f>
        <v>SLC34A1</v>
      </c>
      <c r="DI1631" t="s">
        <v>13772</v>
      </c>
      <c r="DJ1631" t="s">
        <v>13777</v>
      </c>
      <c r="DK1631">
        <v>9606</v>
      </c>
      <c r="DL1631" s="34" t="str">
        <f>HYPERLINK("http://www.uniprot.org/uniprot/Q06495", "Q06495")</f>
        <v>Q06495</v>
      </c>
      <c r="DM1631" t="s">
        <v>28675</v>
      </c>
      <c r="DN1631" t="s">
        <v>19486</v>
      </c>
      <c r="DO1631" t="s">
        <v>13792</v>
      </c>
      <c r="DP1631" t="s">
        <v>13841</v>
      </c>
      <c r="DQ1631" t="s">
        <v>13772</v>
      </c>
      <c r="DR1631" t="s">
        <v>13807</v>
      </c>
      <c r="DS1631" t="s">
        <v>13925</v>
      </c>
      <c r="DT1631" t="s">
        <v>13926</v>
      </c>
      <c r="DU1631" t="s">
        <v>13772</v>
      </c>
      <c r="DV1631" t="s">
        <v>13964</v>
      </c>
      <c r="DW1631" t="s">
        <v>13772</v>
      </c>
      <c r="DX1631" t="s">
        <v>28676</v>
      </c>
      <c r="DY1631" t="s">
        <v>28677</v>
      </c>
      <c r="DZ1631" t="s">
        <v>28678</v>
      </c>
      <c r="EA1631" t="s">
        <v>13772</v>
      </c>
      <c r="EB1631" t="s">
        <v>28679</v>
      </c>
    </row>
    <row r="1632" spans="1:132" hidden="1">
      <c r="A1632">
        <v>1555</v>
      </c>
      <c r="B1632">
        <v>1</v>
      </c>
      <c r="C1632" t="s">
        <v>3687</v>
      </c>
      <c r="D1632" t="s">
        <v>73</v>
      </c>
      <c r="E1632" t="s">
        <v>73</v>
      </c>
      <c r="F1632" t="s">
        <v>73</v>
      </c>
      <c r="G1632" t="s">
        <v>73</v>
      </c>
      <c r="H1632">
        <v>6.1</v>
      </c>
      <c r="I1632">
        <v>427</v>
      </c>
      <c r="J1632">
        <v>47621</v>
      </c>
      <c r="K1632" t="s">
        <v>3688</v>
      </c>
      <c r="L1632">
        <f t="shared" si="102"/>
        <v>10</v>
      </c>
      <c r="N1632">
        <v>10</v>
      </c>
      <c r="O1632">
        <v>10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4</v>
      </c>
      <c r="W1632">
        <v>2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4</v>
      </c>
      <c r="AP1632">
        <v>2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2</v>
      </c>
      <c r="AZ1632">
        <v>0</v>
      </c>
      <c r="BA1632">
        <v>0</v>
      </c>
      <c r="BB1632">
        <v>0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4</v>
      </c>
      <c r="BI1632" s="2">
        <v>2</v>
      </c>
      <c r="BJ1632" s="2">
        <v>0</v>
      </c>
      <c r="BK1632" s="2">
        <v>0</v>
      </c>
      <c r="BL1632" s="2">
        <v>0</v>
      </c>
      <c r="BM1632" s="2">
        <v>1</v>
      </c>
      <c r="BN1632" s="2">
        <v>0</v>
      </c>
      <c r="BO1632" s="2">
        <v>0</v>
      </c>
      <c r="BP1632" s="2">
        <v>0</v>
      </c>
      <c r="BQ1632" s="2">
        <v>0</v>
      </c>
      <c r="BR1632" s="2">
        <v>2</v>
      </c>
      <c r="BS1632" s="2">
        <v>0</v>
      </c>
      <c r="BT1632" s="2">
        <v>0</v>
      </c>
      <c r="BU1632" s="2">
        <v>0</v>
      </c>
      <c r="BV1632" s="2">
        <f t="shared" si="105"/>
        <v>10</v>
      </c>
      <c r="BW1632" s="16">
        <f t="shared" si="103"/>
        <v>0.52631578947368418</v>
      </c>
      <c r="BX1632" s="16">
        <f>COUNTIF($BC$6:BU1632, "=0") / COUNTIF($BC$6:BU1632, "&gt;-1")</f>
        <v>0.40924530132953774</v>
      </c>
      <c r="BY1632" s="18">
        <f>SUM($BC$6:BU1632) / $BY$4</f>
        <v>0.98568266770099799</v>
      </c>
      <c r="BZ1632" s="14">
        <f t="shared" si="104"/>
        <v>14</v>
      </c>
      <c r="CA1632" t="s">
        <v>5832</v>
      </c>
      <c r="CZ1632" t="s">
        <v>10921</v>
      </c>
      <c r="DA1632" t="s">
        <v>5904</v>
      </c>
      <c r="DB1632">
        <v>712.6</v>
      </c>
      <c r="DC1632" t="s">
        <v>28714</v>
      </c>
      <c r="DD1632" t="s">
        <v>28715</v>
      </c>
      <c r="DE1632" t="s">
        <v>28716</v>
      </c>
      <c r="DF1632" t="s">
        <v>28717</v>
      </c>
      <c r="DG1632" t="s">
        <v>28718</v>
      </c>
      <c r="DH1632" t="str">
        <f>"F2R"</f>
        <v>F2R</v>
      </c>
      <c r="DI1632" t="s">
        <v>28719</v>
      </c>
      <c r="DJ1632" t="s">
        <v>13777</v>
      </c>
      <c r="DK1632">
        <v>9606</v>
      </c>
      <c r="DL1632" s="34" t="str">
        <f>HYPERLINK("http://www.uniprot.org/uniprot/P25116", "P25116")</f>
        <v>P25116</v>
      </c>
      <c r="DM1632" t="s">
        <v>28720</v>
      </c>
      <c r="DN1632" t="s">
        <v>16755</v>
      </c>
      <c r="DO1632" t="s">
        <v>13792</v>
      </c>
      <c r="DP1632" t="s">
        <v>13793</v>
      </c>
      <c r="DQ1632" t="s">
        <v>13772</v>
      </c>
      <c r="DR1632" t="s">
        <v>13772</v>
      </c>
      <c r="DS1632" t="s">
        <v>13855</v>
      </c>
      <c r="DT1632" t="s">
        <v>13772</v>
      </c>
      <c r="DU1632" t="s">
        <v>13977</v>
      </c>
      <c r="DV1632" t="s">
        <v>13964</v>
      </c>
      <c r="DW1632" t="s">
        <v>13812</v>
      </c>
      <c r="DX1632" t="s">
        <v>28721</v>
      </c>
      <c r="DY1632" t="s">
        <v>28722</v>
      </c>
      <c r="DZ1632" t="s">
        <v>28723</v>
      </c>
      <c r="EA1632" t="s">
        <v>13772</v>
      </c>
      <c r="EB1632" t="s">
        <v>28724</v>
      </c>
    </row>
    <row r="1633" spans="1:132" hidden="1">
      <c r="A1633">
        <v>1583</v>
      </c>
      <c r="B1633">
        <v>1</v>
      </c>
      <c r="C1633" t="s">
        <v>3751</v>
      </c>
      <c r="D1633" t="s">
        <v>73</v>
      </c>
      <c r="E1633" t="s">
        <v>73</v>
      </c>
      <c r="F1633" t="s">
        <v>73</v>
      </c>
      <c r="G1633" t="s">
        <v>73</v>
      </c>
      <c r="H1633">
        <v>11.2</v>
      </c>
      <c r="I1633">
        <v>1310</v>
      </c>
      <c r="J1633">
        <v>142542</v>
      </c>
      <c r="K1633" t="s">
        <v>3752</v>
      </c>
      <c r="L1633">
        <f t="shared" si="102"/>
        <v>10</v>
      </c>
      <c r="N1633">
        <v>10</v>
      </c>
      <c r="O1633">
        <v>10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3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5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3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5</v>
      </c>
      <c r="BA1633">
        <v>0</v>
      </c>
      <c r="BB1633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3</v>
      </c>
      <c r="BH1633" s="2">
        <v>1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5</v>
      </c>
      <c r="BT1633" s="2">
        <v>0</v>
      </c>
      <c r="BU1633" s="2">
        <v>0</v>
      </c>
      <c r="BV1633" s="2">
        <f t="shared" si="105"/>
        <v>10</v>
      </c>
      <c r="BW1633" s="16">
        <f t="shared" si="103"/>
        <v>0.52631578947368418</v>
      </c>
      <c r="BX1633" s="16">
        <f>COUNTIF($BC$6:BU1633, "=0") / COUNTIF($BC$6:BU1633, "&gt;-1")</f>
        <v>0.40947885684727792</v>
      </c>
      <c r="BY1633" s="18">
        <f>SUM($BC$6:BU1633) / $BY$4</f>
        <v>0.98572550406968495</v>
      </c>
      <c r="BZ1633" s="14">
        <f t="shared" si="104"/>
        <v>15</v>
      </c>
      <c r="CA1633" t="s">
        <v>5832</v>
      </c>
      <c r="CZ1633" t="s">
        <v>11016</v>
      </c>
      <c r="DA1633" t="s">
        <v>5904</v>
      </c>
      <c r="DB1633">
        <v>1978.4</v>
      </c>
      <c r="DC1633" t="s">
        <v>28982</v>
      </c>
      <c r="DD1633" t="s">
        <v>28983</v>
      </c>
      <c r="DE1633" t="s">
        <v>28984</v>
      </c>
      <c r="DF1633" t="s">
        <v>28985</v>
      </c>
      <c r="DG1633" t="s">
        <v>28986</v>
      </c>
      <c r="DH1633" t="str">
        <f>"CDHR2"</f>
        <v>CDHR2</v>
      </c>
      <c r="DI1633" t="s">
        <v>13772</v>
      </c>
      <c r="DJ1633" t="s">
        <v>13777</v>
      </c>
      <c r="DK1633">
        <v>9606</v>
      </c>
      <c r="DL1633" s="34" t="str">
        <f>HYPERLINK("http://www.uniprot.org/uniprot/Q9BYE9", "Q9BYE9")</f>
        <v>Q9BYE9</v>
      </c>
      <c r="DM1633" t="s">
        <v>28987</v>
      </c>
      <c r="DN1633" t="s">
        <v>28988</v>
      </c>
      <c r="DO1633" t="s">
        <v>18731</v>
      </c>
      <c r="DP1633" t="s">
        <v>13793</v>
      </c>
      <c r="DQ1633" t="s">
        <v>13772</v>
      </c>
      <c r="DR1633" t="s">
        <v>13772</v>
      </c>
      <c r="DS1633" t="s">
        <v>13826</v>
      </c>
      <c r="DT1633" t="s">
        <v>14465</v>
      </c>
      <c r="DU1633" t="s">
        <v>13772</v>
      </c>
      <c r="DV1633" t="s">
        <v>13978</v>
      </c>
      <c r="DW1633" t="s">
        <v>13812</v>
      </c>
      <c r="DX1633" t="s">
        <v>28989</v>
      </c>
      <c r="DY1633" t="s">
        <v>28990</v>
      </c>
      <c r="DZ1633" t="s">
        <v>28991</v>
      </c>
      <c r="EA1633" t="s">
        <v>13772</v>
      </c>
      <c r="EB1633" t="s">
        <v>13772</v>
      </c>
    </row>
    <row r="1634" spans="1:132" hidden="1">
      <c r="A1634">
        <v>1664</v>
      </c>
      <c r="B1634">
        <v>1</v>
      </c>
      <c r="C1634" t="s">
        <v>3946</v>
      </c>
      <c r="D1634" t="s">
        <v>73</v>
      </c>
      <c r="E1634" t="s">
        <v>73</v>
      </c>
      <c r="F1634" t="s">
        <v>73</v>
      </c>
      <c r="G1634" t="s">
        <v>73</v>
      </c>
      <c r="H1634">
        <v>17.600000000000001</v>
      </c>
      <c r="I1634">
        <v>443</v>
      </c>
      <c r="J1634">
        <v>48183</v>
      </c>
      <c r="K1634" t="s">
        <v>3947</v>
      </c>
      <c r="L1634">
        <f t="shared" si="102"/>
        <v>10</v>
      </c>
      <c r="N1634">
        <v>10</v>
      </c>
      <c r="O1634">
        <v>10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>
        <v>0</v>
      </c>
      <c r="AA1634">
        <v>1</v>
      </c>
      <c r="AB1634">
        <v>3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4</v>
      </c>
      <c r="AS1634">
        <v>0</v>
      </c>
      <c r="AT1634">
        <v>1</v>
      </c>
      <c r="AU1634">
        <v>3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4</v>
      </c>
      <c r="BL1634" s="2">
        <v>0</v>
      </c>
      <c r="BM1634" s="2">
        <v>1</v>
      </c>
      <c r="BN1634" s="2">
        <v>3</v>
      </c>
      <c r="BO1634" s="2">
        <v>0</v>
      </c>
      <c r="BP1634" s="2">
        <v>0</v>
      </c>
      <c r="BQ1634" s="2">
        <v>1</v>
      </c>
      <c r="BR1634" s="2">
        <v>0</v>
      </c>
      <c r="BS1634" s="2">
        <v>0</v>
      </c>
      <c r="BT1634" s="2">
        <v>0</v>
      </c>
      <c r="BU1634" s="2">
        <v>0</v>
      </c>
      <c r="BV1634" s="2">
        <f t="shared" si="105"/>
        <v>10</v>
      </c>
      <c r="BW1634" s="16">
        <f t="shared" si="103"/>
        <v>0.52631578947368418</v>
      </c>
      <c r="BX1634" s="16">
        <f>COUNTIF($BC$6:BU1634, "=0") / COUNTIF($BC$6:BU1634, "&gt;-1")</f>
        <v>0.40967981648412005</v>
      </c>
      <c r="BY1634" s="18">
        <f>SUM($BC$6:BU1634) / $BY$4</f>
        <v>0.98576834043837203</v>
      </c>
      <c r="BZ1634" s="14">
        <f t="shared" si="104"/>
        <v>14</v>
      </c>
      <c r="CA1634" t="s">
        <v>5832</v>
      </c>
      <c r="CZ1634" t="s">
        <v>11296</v>
      </c>
      <c r="DA1634" t="s">
        <v>5904</v>
      </c>
      <c r="DB1634">
        <v>887.1</v>
      </c>
      <c r="DC1634" t="s">
        <v>29759</v>
      </c>
      <c r="DD1634" t="s">
        <v>29760</v>
      </c>
      <c r="DE1634" t="s">
        <v>29761</v>
      </c>
      <c r="DF1634" t="s">
        <v>29762</v>
      </c>
      <c r="DG1634" t="s">
        <v>29763</v>
      </c>
      <c r="DH1634" t="str">
        <f>"KHDRBS1"</f>
        <v>KHDRBS1</v>
      </c>
      <c r="DI1634" t="s">
        <v>13772</v>
      </c>
      <c r="DJ1634" t="s">
        <v>13777</v>
      </c>
      <c r="DK1634">
        <v>9606</v>
      </c>
      <c r="DL1634" s="34" t="str">
        <f>HYPERLINK("http://www.uniprot.org/uniprot/Q07666", "Q07666")</f>
        <v>Q07666</v>
      </c>
      <c r="DM1634" t="s">
        <v>29764</v>
      </c>
      <c r="DN1634" t="s">
        <v>29765</v>
      </c>
      <c r="DO1634" t="s">
        <v>14532</v>
      </c>
      <c r="DP1634" t="s">
        <v>13841</v>
      </c>
      <c r="DQ1634" t="s">
        <v>13772</v>
      </c>
      <c r="DR1634" t="s">
        <v>13772</v>
      </c>
      <c r="DS1634" t="s">
        <v>14871</v>
      </c>
      <c r="DT1634" t="s">
        <v>13772</v>
      </c>
      <c r="DU1634" t="s">
        <v>14826</v>
      </c>
      <c r="DV1634" t="s">
        <v>14663</v>
      </c>
      <c r="DW1634" t="s">
        <v>13812</v>
      </c>
      <c r="DX1634" t="s">
        <v>29766</v>
      </c>
      <c r="DY1634" t="s">
        <v>29767</v>
      </c>
      <c r="DZ1634" t="s">
        <v>29768</v>
      </c>
      <c r="EA1634" t="s">
        <v>13772</v>
      </c>
      <c r="EB1634" t="s">
        <v>14667</v>
      </c>
    </row>
    <row r="1635" spans="1:132" hidden="1">
      <c r="A1635">
        <v>1702</v>
      </c>
      <c r="B1635">
        <v>1</v>
      </c>
      <c r="C1635" t="s">
        <v>4037</v>
      </c>
      <c r="D1635" t="s">
        <v>4038</v>
      </c>
      <c r="E1635" t="s">
        <v>73</v>
      </c>
      <c r="F1635" t="s">
        <v>73</v>
      </c>
      <c r="G1635" t="s">
        <v>73</v>
      </c>
      <c r="H1635">
        <v>11.5</v>
      </c>
      <c r="I1635">
        <v>696</v>
      </c>
      <c r="J1635">
        <v>77910</v>
      </c>
      <c r="K1635" t="s">
        <v>4039</v>
      </c>
      <c r="L1635">
        <f t="shared" si="102"/>
        <v>10</v>
      </c>
      <c r="N1635">
        <v>10</v>
      </c>
      <c r="O1635">
        <v>10</v>
      </c>
      <c r="P1635">
        <v>1</v>
      </c>
      <c r="Q1635">
        <v>0</v>
      </c>
      <c r="R1635">
        <v>3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2</v>
      </c>
      <c r="Z1635">
        <v>0</v>
      </c>
      <c r="AA1635">
        <v>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2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 s="2">
        <v>0</v>
      </c>
      <c r="BD1635" s="2">
        <v>3</v>
      </c>
      <c r="BE1635" s="2">
        <v>0</v>
      </c>
      <c r="BF1635" s="2">
        <v>0</v>
      </c>
      <c r="BG1635" s="2">
        <v>1</v>
      </c>
      <c r="BH1635" s="2">
        <v>1</v>
      </c>
      <c r="BI1635" s="2">
        <v>0</v>
      </c>
      <c r="BJ1635" s="2">
        <v>0</v>
      </c>
      <c r="BK1635" s="2">
        <v>2</v>
      </c>
      <c r="BL1635" s="2">
        <v>0</v>
      </c>
      <c r="BM1635" s="2">
        <v>3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f t="shared" si="105"/>
        <v>10</v>
      </c>
      <c r="BW1635" s="16">
        <f t="shared" si="103"/>
        <v>0.52631578947368418</v>
      </c>
      <c r="BX1635" s="16">
        <f>COUNTIF($BC$6:BU1635, "=0") / COUNTIF($BC$6:BU1635, "&gt;-1")</f>
        <v>0.40988052954472071</v>
      </c>
      <c r="BY1635" s="18">
        <f>SUM($BC$6:BU1635) / $BY$4</f>
        <v>0.98581117680705899</v>
      </c>
      <c r="BZ1635" s="14">
        <f t="shared" si="104"/>
        <v>14</v>
      </c>
      <c r="CA1635" t="s">
        <v>5832</v>
      </c>
      <c r="CZ1635" t="s">
        <v>11428</v>
      </c>
      <c r="DA1635" t="s">
        <v>5904</v>
      </c>
      <c r="DB1635">
        <v>1211.4000000000001</v>
      </c>
      <c r="DC1635" t="s">
        <v>30128</v>
      </c>
      <c r="DD1635" t="s">
        <v>30129</v>
      </c>
      <c r="DE1635" t="s">
        <v>30130</v>
      </c>
      <c r="DF1635" t="s">
        <v>30131</v>
      </c>
      <c r="DG1635" t="s">
        <v>30132</v>
      </c>
      <c r="DH1635" t="str">
        <f>"RNPEP"</f>
        <v>RNPEP</v>
      </c>
      <c r="DI1635" t="s">
        <v>30133</v>
      </c>
      <c r="DJ1635" t="s">
        <v>13777</v>
      </c>
      <c r="DK1635">
        <v>9606</v>
      </c>
      <c r="DL1635" s="34" t="str">
        <f>HYPERLINK("http://www.uniprot.org/uniprot/Q9H4A4", "Q9H4A4")</f>
        <v>Q9H4A4</v>
      </c>
      <c r="DM1635" t="s">
        <v>30134</v>
      </c>
      <c r="DN1635" t="s">
        <v>13772</v>
      </c>
      <c r="DO1635" t="s">
        <v>14321</v>
      </c>
      <c r="DP1635" t="s">
        <v>13793</v>
      </c>
      <c r="DQ1635" t="s">
        <v>13772</v>
      </c>
      <c r="DR1635" t="s">
        <v>13772</v>
      </c>
      <c r="DS1635" t="s">
        <v>13772</v>
      </c>
      <c r="DT1635" t="s">
        <v>13856</v>
      </c>
      <c r="DU1635" t="s">
        <v>19025</v>
      </c>
      <c r="DV1635" t="s">
        <v>13886</v>
      </c>
      <c r="DW1635" t="s">
        <v>13772</v>
      </c>
      <c r="DX1635" t="s">
        <v>30135</v>
      </c>
      <c r="DY1635" t="s">
        <v>30136</v>
      </c>
      <c r="DZ1635" t="s">
        <v>30137</v>
      </c>
      <c r="EA1635" t="s">
        <v>13772</v>
      </c>
      <c r="EB1635" t="s">
        <v>13772</v>
      </c>
    </row>
    <row r="1636" spans="1:132" hidden="1">
      <c r="A1636">
        <v>1723</v>
      </c>
      <c r="B1636">
        <v>1</v>
      </c>
      <c r="C1636" t="s">
        <v>4076</v>
      </c>
      <c r="D1636" t="s">
        <v>4077</v>
      </c>
      <c r="E1636" t="s">
        <v>73</v>
      </c>
      <c r="F1636" t="s">
        <v>73</v>
      </c>
      <c r="G1636" t="s">
        <v>73</v>
      </c>
      <c r="H1636">
        <v>8.9</v>
      </c>
      <c r="I1636">
        <v>483</v>
      </c>
      <c r="J1636">
        <v>55897</v>
      </c>
      <c r="K1636" t="s">
        <v>4078</v>
      </c>
      <c r="L1636">
        <f t="shared" si="102"/>
        <v>10</v>
      </c>
      <c r="N1636">
        <v>10</v>
      </c>
      <c r="O1636">
        <v>10</v>
      </c>
      <c r="P1636">
        <v>1</v>
      </c>
      <c r="Q1636">
        <v>1</v>
      </c>
      <c r="R1636">
        <v>1</v>
      </c>
      <c r="S1636">
        <v>0</v>
      </c>
      <c r="T1636">
        <v>0</v>
      </c>
      <c r="U1636">
        <v>2</v>
      </c>
      <c r="V1636">
        <v>3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2</v>
      </c>
      <c r="AO1636">
        <v>3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 s="2">
        <v>1</v>
      </c>
      <c r="BD1636" s="2">
        <v>1</v>
      </c>
      <c r="BE1636" s="2">
        <v>0</v>
      </c>
      <c r="BF1636" s="2">
        <v>0</v>
      </c>
      <c r="BG1636" s="2">
        <v>2</v>
      </c>
      <c r="BH1636" s="2">
        <v>3</v>
      </c>
      <c r="BI1636" s="2">
        <v>0</v>
      </c>
      <c r="BJ1636" s="2">
        <v>1</v>
      </c>
      <c r="BK1636" s="2">
        <v>0</v>
      </c>
      <c r="BL1636" s="2">
        <v>0</v>
      </c>
      <c r="BM1636" s="2">
        <v>1</v>
      </c>
      <c r="BN1636" s="2">
        <v>0</v>
      </c>
      <c r="BO1636" s="2">
        <v>1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f t="shared" si="105"/>
        <v>10</v>
      </c>
      <c r="BW1636" s="16">
        <f t="shared" si="103"/>
        <v>0.52631578947368418</v>
      </c>
      <c r="BX1636" s="16">
        <f>COUNTIF($BC$6:BU1636, "=0") / COUNTIF($BC$6:BU1636, "&gt;-1")</f>
        <v>0.41001645745264448</v>
      </c>
      <c r="BY1636" s="18">
        <f>SUM($BC$6:BU1636) / $BY$4</f>
        <v>0.98585401317574606</v>
      </c>
      <c r="BZ1636" s="14">
        <f t="shared" si="104"/>
        <v>12</v>
      </c>
      <c r="CA1636" t="s">
        <v>5832</v>
      </c>
      <c r="CZ1636" t="s">
        <v>11493</v>
      </c>
      <c r="DA1636" t="s">
        <v>5904</v>
      </c>
      <c r="DB1636">
        <v>995</v>
      </c>
      <c r="DC1636" t="s">
        <v>30310</v>
      </c>
      <c r="DD1636" t="s">
        <v>30311</v>
      </c>
      <c r="DE1636" t="s">
        <v>30312</v>
      </c>
      <c r="DF1636" t="s">
        <v>30313</v>
      </c>
      <c r="DG1636" t="s">
        <v>30314</v>
      </c>
      <c r="DH1636" t="str">
        <f>"ATP6V1H"</f>
        <v>ATP6V1H</v>
      </c>
      <c r="DI1636" t="s">
        <v>13772</v>
      </c>
      <c r="DJ1636" t="s">
        <v>13777</v>
      </c>
      <c r="DK1636">
        <v>9606</v>
      </c>
      <c r="DL1636" s="34" t="str">
        <f>HYPERLINK("http://www.uniprot.org/uniprot/Q9UI12", "Q9UI12")</f>
        <v>Q9UI12</v>
      </c>
      <c r="DM1636" t="s">
        <v>30315</v>
      </c>
      <c r="DN1636" t="s">
        <v>30316</v>
      </c>
      <c r="DO1636" t="s">
        <v>13772</v>
      </c>
      <c r="DP1636" t="s">
        <v>13841</v>
      </c>
      <c r="DQ1636" t="s">
        <v>13772</v>
      </c>
      <c r="DR1636" t="s">
        <v>13772</v>
      </c>
      <c r="DS1636" t="s">
        <v>13772</v>
      </c>
      <c r="DT1636" t="s">
        <v>13772</v>
      </c>
      <c r="DU1636" t="s">
        <v>13772</v>
      </c>
      <c r="DV1636" t="s">
        <v>13782</v>
      </c>
      <c r="DW1636" t="s">
        <v>13772</v>
      </c>
      <c r="DX1636" t="s">
        <v>30317</v>
      </c>
      <c r="DY1636" t="s">
        <v>30318</v>
      </c>
      <c r="DZ1636" t="s">
        <v>30319</v>
      </c>
      <c r="EA1636" t="s">
        <v>13772</v>
      </c>
      <c r="EB1636" t="s">
        <v>30320</v>
      </c>
    </row>
    <row r="1637" spans="1:132" hidden="1">
      <c r="A1637">
        <v>1728</v>
      </c>
      <c r="B1637">
        <v>1</v>
      </c>
      <c r="C1637" t="s">
        <v>4087</v>
      </c>
      <c r="D1637" t="s">
        <v>4088</v>
      </c>
      <c r="E1637" t="s">
        <v>73</v>
      </c>
      <c r="F1637" t="s">
        <v>73</v>
      </c>
      <c r="G1637" t="s">
        <v>73</v>
      </c>
      <c r="H1637">
        <v>10.4</v>
      </c>
      <c r="I1637">
        <v>867</v>
      </c>
      <c r="J1637">
        <v>92952</v>
      </c>
      <c r="K1637" t="s">
        <v>4089</v>
      </c>
      <c r="L1637">
        <f t="shared" si="102"/>
        <v>10</v>
      </c>
      <c r="N1637">
        <v>10</v>
      </c>
      <c r="O1637">
        <v>10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3</v>
      </c>
      <c r="AB1637">
        <v>1</v>
      </c>
      <c r="AC1637">
        <v>2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1</v>
      </c>
      <c r="AT1637">
        <v>3</v>
      </c>
      <c r="AU1637">
        <v>1</v>
      </c>
      <c r="AV1637">
        <v>2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  <c r="BI1637" s="2">
        <v>0</v>
      </c>
      <c r="BJ1637" s="2">
        <v>0</v>
      </c>
      <c r="BK1637" s="2">
        <v>1</v>
      </c>
      <c r="BL1637" s="2">
        <v>1</v>
      </c>
      <c r="BM1637" s="2">
        <v>3</v>
      </c>
      <c r="BN1637" s="2">
        <v>1</v>
      </c>
      <c r="BO1637" s="2">
        <v>2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1</v>
      </c>
      <c r="BV1637" s="2">
        <f t="shared" si="105"/>
        <v>10</v>
      </c>
      <c r="BW1637" s="16">
        <f t="shared" si="103"/>
        <v>0.52631578947368418</v>
      </c>
      <c r="BX1637" s="16">
        <f>COUNTIF($BC$6:BU1637, "=0") / COUNTIF($BC$6:BU1637, "&gt;-1")</f>
        <v>0.41015221878224972</v>
      </c>
      <c r="BY1637" s="18">
        <f>SUM($BC$6:BU1637) / $BY$4</f>
        <v>0.98589684954443302</v>
      </c>
      <c r="BZ1637" s="14">
        <f t="shared" si="104"/>
        <v>12</v>
      </c>
      <c r="CA1637" t="s">
        <v>5832</v>
      </c>
      <c r="CZ1637" t="s">
        <v>11510</v>
      </c>
      <c r="DA1637" t="s">
        <v>5904</v>
      </c>
      <c r="DB1637">
        <v>1253.4000000000001</v>
      </c>
      <c r="DC1637" t="s">
        <v>30355</v>
      </c>
      <c r="DD1637" t="s">
        <v>30356</v>
      </c>
      <c r="DE1637" t="s">
        <v>30357</v>
      </c>
      <c r="DF1637" t="s">
        <v>30358</v>
      </c>
      <c r="DG1637" t="s">
        <v>30359</v>
      </c>
      <c r="DH1637" t="str">
        <f>"ADAM15"</f>
        <v>ADAM15</v>
      </c>
      <c r="DI1637" t="s">
        <v>30360</v>
      </c>
      <c r="DJ1637" t="s">
        <v>13777</v>
      </c>
      <c r="DK1637">
        <v>9606</v>
      </c>
      <c r="DL1637" s="34" t="str">
        <f>HYPERLINK("http://www.uniprot.org/uniprot/Q13444", "Q13444")</f>
        <v>Q13444</v>
      </c>
      <c r="DM1637" t="s">
        <v>30361</v>
      </c>
      <c r="DN1637" t="s">
        <v>30362</v>
      </c>
      <c r="DO1637" t="s">
        <v>30363</v>
      </c>
      <c r="DP1637" t="s">
        <v>13780</v>
      </c>
      <c r="DQ1637" t="s">
        <v>13772</v>
      </c>
      <c r="DR1637" t="s">
        <v>13772</v>
      </c>
      <c r="DS1637" t="s">
        <v>25492</v>
      </c>
      <c r="DT1637" t="s">
        <v>13856</v>
      </c>
      <c r="DU1637" t="s">
        <v>15139</v>
      </c>
      <c r="DV1637" t="s">
        <v>15140</v>
      </c>
      <c r="DW1637" t="s">
        <v>13772</v>
      </c>
      <c r="DX1637" t="s">
        <v>30364</v>
      </c>
      <c r="DY1637" t="s">
        <v>30365</v>
      </c>
      <c r="DZ1637" t="s">
        <v>30366</v>
      </c>
      <c r="EA1637" t="s">
        <v>13772</v>
      </c>
      <c r="EB1637" t="s">
        <v>30367</v>
      </c>
    </row>
    <row r="1638" spans="1:132" hidden="1">
      <c r="A1638">
        <v>1776</v>
      </c>
      <c r="B1638">
        <v>1</v>
      </c>
      <c r="C1638" t="s">
        <v>4201</v>
      </c>
      <c r="D1638" t="s">
        <v>4202</v>
      </c>
      <c r="E1638" t="s">
        <v>73</v>
      </c>
      <c r="F1638" t="s">
        <v>73</v>
      </c>
      <c r="G1638" t="s">
        <v>73</v>
      </c>
      <c r="H1638">
        <v>35.299999999999997</v>
      </c>
      <c r="I1638">
        <v>133</v>
      </c>
      <c r="J1638">
        <v>15442</v>
      </c>
      <c r="K1638" t="s">
        <v>4203</v>
      </c>
      <c r="L1638">
        <f t="shared" si="102"/>
        <v>10</v>
      </c>
      <c r="N1638">
        <v>10</v>
      </c>
      <c r="O1638">
        <v>10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7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7</v>
      </c>
      <c r="AS1638">
        <v>0</v>
      </c>
      <c r="AT1638">
        <v>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0</v>
      </c>
      <c r="BK1638" s="2">
        <v>7</v>
      </c>
      <c r="BL1638" s="2">
        <v>0</v>
      </c>
      <c r="BM1638" s="2">
        <v>2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f t="shared" si="105"/>
        <v>10</v>
      </c>
      <c r="BW1638" s="16">
        <f t="shared" si="103"/>
        <v>0.52631578947368418</v>
      </c>
      <c r="BX1638" s="16">
        <f>COUNTIF($BC$6:BU1638, "=0") / COUNTIF($BC$6:BU1638, "&gt;-1")</f>
        <v>0.41041673381248589</v>
      </c>
      <c r="BY1638" s="18">
        <f>SUM($BC$6:BU1638) / $BY$4</f>
        <v>0.98593968591311998</v>
      </c>
      <c r="BZ1638" s="14">
        <f t="shared" si="104"/>
        <v>16</v>
      </c>
      <c r="CA1638" t="s">
        <v>5832</v>
      </c>
      <c r="CZ1638" t="s">
        <v>11675</v>
      </c>
      <c r="DA1638" t="s">
        <v>5904</v>
      </c>
      <c r="DB1638">
        <v>158.30000000000001</v>
      </c>
      <c r="DC1638" t="s">
        <v>30850</v>
      </c>
      <c r="DD1638" t="s">
        <v>30851</v>
      </c>
      <c r="DE1638" t="s">
        <v>30852</v>
      </c>
      <c r="DF1638" t="s">
        <v>30853</v>
      </c>
      <c r="DG1638" t="s">
        <v>30854</v>
      </c>
      <c r="DH1638" t="str">
        <f>"S100A13"</f>
        <v>S100A13</v>
      </c>
      <c r="DI1638" t="s">
        <v>13772</v>
      </c>
      <c r="DJ1638" t="s">
        <v>13777</v>
      </c>
      <c r="DK1638">
        <v>9606</v>
      </c>
      <c r="DL1638" s="34" t="str">
        <f>HYPERLINK("http://www.uniprot.org/uniprot/Q99584", "Q99584")</f>
        <v>Q99584</v>
      </c>
      <c r="DM1638" t="s">
        <v>30855</v>
      </c>
      <c r="DN1638" t="s">
        <v>14347</v>
      </c>
      <c r="DO1638" t="s">
        <v>16449</v>
      </c>
      <c r="DP1638" t="s">
        <v>13772</v>
      </c>
      <c r="DQ1638" t="s">
        <v>13772</v>
      </c>
      <c r="DR1638" t="s">
        <v>13772</v>
      </c>
      <c r="DS1638" t="s">
        <v>14096</v>
      </c>
      <c r="DT1638" t="s">
        <v>30856</v>
      </c>
      <c r="DU1638" t="s">
        <v>13772</v>
      </c>
      <c r="DV1638" t="s">
        <v>13782</v>
      </c>
      <c r="DW1638" t="s">
        <v>13812</v>
      </c>
      <c r="DX1638" t="s">
        <v>30857</v>
      </c>
      <c r="DY1638" t="s">
        <v>30858</v>
      </c>
      <c r="DZ1638" t="s">
        <v>30859</v>
      </c>
      <c r="EA1638" t="s">
        <v>13772</v>
      </c>
      <c r="EB1638" t="s">
        <v>13772</v>
      </c>
    </row>
    <row r="1639" spans="1:132" hidden="1">
      <c r="A1639">
        <v>1787</v>
      </c>
      <c r="B1639">
        <v>1</v>
      </c>
      <c r="C1639" t="s">
        <v>4227</v>
      </c>
      <c r="D1639" t="s">
        <v>73</v>
      </c>
      <c r="E1639" t="s">
        <v>73</v>
      </c>
      <c r="F1639" t="s">
        <v>73</v>
      </c>
      <c r="G1639" t="s">
        <v>73</v>
      </c>
      <c r="H1639">
        <v>19.399999999999999</v>
      </c>
      <c r="I1639">
        <v>500</v>
      </c>
      <c r="J1639">
        <v>56700</v>
      </c>
      <c r="K1639" t="s">
        <v>4228</v>
      </c>
      <c r="L1639">
        <f t="shared" si="102"/>
        <v>10</v>
      </c>
      <c r="N1639">
        <v>10</v>
      </c>
      <c r="O1639">
        <v>10</v>
      </c>
      <c r="P1639">
        <v>1</v>
      </c>
      <c r="Q1639">
        <v>0</v>
      </c>
      <c r="R1639">
        <v>3</v>
      </c>
      <c r="S1639">
        <v>0</v>
      </c>
      <c r="T1639">
        <v>0</v>
      </c>
      <c r="U1639">
        <v>4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</v>
      </c>
      <c r="AL1639">
        <v>0</v>
      </c>
      <c r="AM1639">
        <v>0</v>
      </c>
      <c r="AN1639">
        <v>4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 s="2">
        <v>0</v>
      </c>
      <c r="BD1639" s="2">
        <v>3</v>
      </c>
      <c r="BE1639" s="2">
        <v>0</v>
      </c>
      <c r="BF1639" s="2">
        <v>0</v>
      </c>
      <c r="BG1639" s="2">
        <v>4</v>
      </c>
      <c r="BH1639" s="2">
        <v>0</v>
      </c>
      <c r="BI1639" s="2">
        <v>0</v>
      </c>
      <c r="BJ1639" s="2">
        <v>1</v>
      </c>
      <c r="BK1639" s="2">
        <v>0</v>
      </c>
      <c r="BL1639" s="2">
        <v>0</v>
      </c>
      <c r="BM1639" s="2">
        <v>1</v>
      </c>
      <c r="BN1639" s="2">
        <v>0</v>
      </c>
      <c r="BO1639" s="2">
        <v>0</v>
      </c>
      <c r="BP1639" s="2">
        <v>0</v>
      </c>
      <c r="BQ1639" s="2">
        <v>1</v>
      </c>
      <c r="BR1639" s="2">
        <v>0</v>
      </c>
      <c r="BS1639" s="2">
        <v>0</v>
      </c>
      <c r="BT1639" s="2">
        <v>0</v>
      </c>
      <c r="BU1639" s="2">
        <v>0</v>
      </c>
      <c r="BV1639" s="2">
        <f t="shared" si="105"/>
        <v>10</v>
      </c>
      <c r="BW1639" s="16">
        <f t="shared" si="103"/>
        <v>0.52631578947368418</v>
      </c>
      <c r="BX1639" s="16">
        <f>COUNTIF($BC$6:BU1639, "=0") / COUNTIF($BC$6:BU1639, "&gt;-1")</f>
        <v>0.41061650454164789</v>
      </c>
      <c r="BY1639" s="18">
        <f>SUM($BC$6:BU1639) / $BY$4</f>
        <v>0.98598252228180705</v>
      </c>
      <c r="BZ1639" s="14">
        <f t="shared" si="104"/>
        <v>14</v>
      </c>
      <c r="CA1639" t="s">
        <v>5832</v>
      </c>
      <c r="CZ1639" t="s">
        <v>11709</v>
      </c>
      <c r="DA1639" t="s">
        <v>5904</v>
      </c>
      <c r="DB1639">
        <v>1010.8</v>
      </c>
      <c r="DC1639" t="s">
        <v>30947</v>
      </c>
      <c r="DD1639" t="s">
        <v>30948</v>
      </c>
      <c r="DE1639" t="s">
        <v>30949</v>
      </c>
      <c r="DF1639" t="s">
        <v>30950</v>
      </c>
      <c r="DG1639" t="s">
        <v>30951</v>
      </c>
      <c r="DH1639" t="str">
        <f>"ABAT"</f>
        <v>ABAT</v>
      </c>
      <c r="DI1639" t="s">
        <v>30952</v>
      </c>
      <c r="DJ1639" t="s">
        <v>13777</v>
      </c>
      <c r="DK1639">
        <v>9606</v>
      </c>
      <c r="DL1639" s="34" t="str">
        <f>HYPERLINK("http://www.uniprot.org/uniprot/P80404", "P80404")</f>
        <v>P80404</v>
      </c>
      <c r="DM1639" t="s">
        <v>30953</v>
      </c>
      <c r="DN1639" t="s">
        <v>30954</v>
      </c>
      <c r="DO1639" t="s">
        <v>14491</v>
      </c>
      <c r="DP1639" t="s">
        <v>13793</v>
      </c>
      <c r="DQ1639" t="s">
        <v>13772</v>
      </c>
      <c r="DR1639" t="s">
        <v>13807</v>
      </c>
      <c r="DS1639" t="s">
        <v>14391</v>
      </c>
      <c r="DT1639" t="s">
        <v>30955</v>
      </c>
      <c r="DU1639" t="s">
        <v>25593</v>
      </c>
      <c r="DV1639" t="s">
        <v>16929</v>
      </c>
      <c r="DW1639" t="s">
        <v>13772</v>
      </c>
      <c r="DX1639" t="s">
        <v>30956</v>
      </c>
      <c r="DY1639" t="s">
        <v>30957</v>
      </c>
      <c r="DZ1639" t="s">
        <v>30958</v>
      </c>
      <c r="EA1639" t="s">
        <v>13772</v>
      </c>
      <c r="EB1639" t="s">
        <v>27697</v>
      </c>
    </row>
    <row r="1640" spans="1:132" hidden="1">
      <c r="A1640">
        <v>1801</v>
      </c>
      <c r="B1640">
        <v>1</v>
      </c>
      <c r="C1640" t="s">
        <v>4258</v>
      </c>
      <c r="D1640" t="s">
        <v>4259</v>
      </c>
      <c r="E1640" t="s">
        <v>73</v>
      </c>
      <c r="F1640" t="s">
        <v>73</v>
      </c>
      <c r="G1640" t="s">
        <v>73</v>
      </c>
      <c r="H1640">
        <v>26</v>
      </c>
      <c r="I1640">
        <v>338</v>
      </c>
      <c r="J1640">
        <v>37541</v>
      </c>
      <c r="K1640" t="s">
        <v>4260</v>
      </c>
      <c r="L1640">
        <f t="shared" si="102"/>
        <v>10</v>
      </c>
      <c r="N1640">
        <v>10</v>
      </c>
      <c r="O1640">
        <v>10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6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 s="2">
        <v>0</v>
      </c>
      <c r="BD1640" s="2">
        <v>1</v>
      </c>
      <c r="BE1640" s="2">
        <v>0</v>
      </c>
      <c r="BF1640" s="2">
        <v>1</v>
      </c>
      <c r="BG1640" s="2">
        <v>6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1</v>
      </c>
      <c r="BR1640" s="2">
        <v>1</v>
      </c>
      <c r="BS1640" s="2">
        <v>0</v>
      </c>
      <c r="BT1640" s="2">
        <v>0</v>
      </c>
      <c r="BU1640" s="2">
        <v>0</v>
      </c>
      <c r="BV1640" s="2">
        <f t="shared" si="105"/>
        <v>10</v>
      </c>
      <c r="BW1640" s="16">
        <f t="shared" si="103"/>
        <v>0.52631578947368418</v>
      </c>
      <c r="BX1640" s="16">
        <f>COUNTIF($BC$6:BU1640, "=0") / COUNTIF($BC$6:BU1640, "&gt;-1")</f>
        <v>0.41081603090294544</v>
      </c>
      <c r="BY1640" s="18">
        <f>SUM($BC$6:BU1640) / $BY$4</f>
        <v>0.98602535865049401</v>
      </c>
      <c r="BZ1640" s="14">
        <f t="shared" si="104"/>
        <v>14</v>
      </c>
      <c r="CA1640" t="s">
        <v>5832</v>
      </c>
      <c r="CZ1640" t="s">
        <v>11756</v>
      </c>
      <c r="DA1640" t="s">
        <v>5904</v>
      </c>
      <c r="DB1640">
        <v>627.1</v>
      </c>
      <c r="DC1640" t="s">
        <v>31089</v>
      </c>
      <c r="DD1640" t="s">
        <v>31090</v>
      </c>
      <c r="DE1640" t="s">
        <v>31091</v>
      </c>
      <c r="DF1640" t="s">
        <v>31092</v>
      </c>
      <c r="DG1640" t="s">
        <v>31093</v>
      </c>
      <c r="DH1640" t="str">
        <f>"SLC9A3R2"</f>
        <v>SLC9A3R2</v>
      </c>
      <c r="DI1640" t="s">
        <v>31094</v>
      </c>
      <c r="DJ1640" t="s">
        <v>13777</v>
      </c>
      <c r="DK1640">
        <v>9606</v>
      </c>
      <c r="DL1640" s="34" t="str">
        <f>HYPERLINK("http://www.uniprot.org/uniprot/Q15599", "Q15599")</f>
        <v>Q15599</v>
      </c>
      <c r="DM1640" t="s">
        <v>31095</v>
      </c>
      <c r="DN1640" t="s">
        <v>13772</v>
      </c>
      <c r="DO1640" t="s">
        <v>18976</v>
      </c>
      <c r="DP1640" t="s">
        <v>13841</v>
      </c>
      <c r="DQ1640" t="s">
        <v>13772</v>
      </c>
      <c r="DR1640" t="s">
        <v>13772</v>
      </c>
      <c r="DS1640" t="s">
        <v>14096</v>
      </c>
      <c r="DT1640" t="s">
        <v>13772</v>
      </c>
      <c r="DU1640" t="s">
        <v>13772</v>
      </c>
      <c r="DV1640" t="s">
        <v>13782</v>
      </c>
      <c r="DW1640" t="s">
        <v>13812</v>
      </c>
      <c r="DX1640" t="s">
        <v>22138</v>
      </c>
      <c r="DY1640" t="s">
        <v>31096</v>
      </c>
      <c r="DZ1640" t="s">
        <v>31097</v>
      </c>
      <c r="EA1640" t="s">
        <v>13772</v>
      </c>
      <c r="EB1640" t="s">
        <v>13772</v>
      </c>
    </row>
    <row r="1641" spans="1:132" hidden="1">
      <c r="A1641">
        <v>1869</v>
      </c>
      <c r="B1641">
        <v>1</v>
      </c>
      <c r="C1641" t="s">
        <v>4413</v>
      </c>
      <c r="D1641" t="s">
        <v>73</v>
      </c>
      <c r="E1641" t="s">
        <v>73</v>
      </c>
      <c r="F1641" t="s">
        <v>73</v>
      </c>
      <c r="G1641" t="s">
        <v>73</v>
      </c>
      <c r="H1641">
        <v>34.700000000000003</v>
      </c>
      <c r="I1641">
        <v>251</v>
      </c>
      <c r="J1641">
        <v>27741</v>
      </c>
      <c r="K1641" t="s">
        <v>4414</v>
      </c>
      <c r="L1641">
        <f t="shared" si="102"/>
        <v>10</v>
      </c>
      <c r="N1641">
        <v>10</v>
      </c>
      <c r="O1641">
        <v>10</v>
      </c>
      <c r="P1641">
        <v>1</v>
      </c>
      <c r="Q1641">
        <v>0</v>
      </c>
      <c r="R1641">
        <v>3</v>
      </c>
      <c r="S1641">
        <v>1</v>
      </c>
      <c r="T1641">
        <v>1</v>
      </c>
      <c r="U1641">
        <v>4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</v>
      </c>
      <c r="AL1641">
        <v>1</v>
      </c>
      <c r="AM1641">
        <v>1</v>
      </c>
      <c r="AN1641">
        <v>4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s="2">
        <v>0</v>
      </c>
      <c r="BD1641" s="2">
        <v>3</v>
      </c>
      <c r="BE1641" s="2">
        <v>1</v>
      </c>
      <c r="BF1641" s="2">
        <v>1</v>
      </c>
      <c r="BG1641" s="2">
        <v>4</v>
      </c>
      <c r="BH1641" s="2">
        <v>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f t="shared" si="105"/>
        <v>10</v>
      </c>
      <c r="BW1641" s="16">
        <f t="shared" si="103"/>
        <v>0.52631578947368418</v>
      </c>
      <c r="BX1641" s="16">
        <f>COUNTIF($BC$6:BU1641, "=0") / COUNTIF($BC$6:BU1641, "&gt;-1")</f>
        <v>0.41101531334448593</v>
      </c>
      <c r="BY1641" s="18">
        <f>SUM($BC$6:BU1641) / $BY$4</f>
        <v>0.98606819501918108</v>
      </c>
      <c r="BZ1641" s="14">
        <f t="shared" si="104"/>
        <v>14</v>
      </c>
      <c r="CA1641" t="s">
        <v>5832</v>
      </c>
      <c r="CZ1641" t="s">
        <v>11989</v>
      </c>
      <c r="DA1641" t="s">
        <v>5904</v>
      </c>
      <c r="DB1641">
        <v>477.2</v>
      </c>
      <c r="DC1641" t="s">
        <v>31739</v>
      </c>
      <c r="DD1641" t="s">
        <v>31740</v>
      </c>
      <c r="DE1641" t="s">
        <v>31741</v>
      </c>
      <c r="DF1641" t="s">
        <v>31742</v>
      </c>
      <c r="DG1641" t="s">
        <v>31743</v>
      </c>
      <c r="DH1641" t="str">
        <f>"VPS37D"</f>
        <v>VPS37D</v>
      </c>
      <c r="DI1641" t="s">
        <v>13772</v>
      </c>
      <c r="DJ1641" t="s">
        <v>13777</v>
      </c>
      <c r="DK1641">
        <v>9606</v>
      </c>
      <c r="DL1641" s="34" t="str">
        <f>HYPERLINK("http://www.uniprot.org/uniprot/Q86XT2", "Q86XT2")</f>
        <v>Q86XT2</v>
      </c>
      <c r="DM1641" t="s">
        <v>31744</v>
      </c>
      <c r="DN1641" t="s">
        <v>14347</v>
      </c>
      <c r="DO1641" t="s">
        <v>13779</v>
      </c>
      <c r="DP1641" t="s">
        <v>13772</v>
      </c>
      <c r="DQ1641" t="s">
        <v>13772</v>
      </c>
      <c r="DR1641" t="s">
        <v>30779</v>
      </c>
      <c r="DS1641" t="s">
        <v>13772</v>
      </c>
      <c r="DT1641" t="s">
        <v>13772</v>
      </c>
      <c r="DU1641" t="s">
        <v>13772</v>
      </c>
      <c r="DV1641" t="s">
        <v>13772</v>
      </c>
      <c r="DW1641" t="s">
        <v>13772</v>
      </c>
      <c r="DX1641" t="s">
        <v>31745</v>
      </c>
      <c r="DY1641" t="s">
        <v>31746</v>
      </c>
      <c r="DZ1641" t="s">
        <v>13772</v>
      </c>
      <c r="EA1641" t="s">
        <v>13772</v>
      </c>
      <c r="EB1641" t="s">
        <v>17918</v>
      </c>
    </row>
    <row r="1642" spans="1:132" hidden="1">
      <c r="A1642">
        <v>1879</v>
      </c>
      <c r="B1642">
        <v>1</v>
      </c>
      <c r="C1642" t="s">
        <v>4436</v>
      </c>
      <c r="D1642" t="s">
        <v>73</v>
      </c>
      <c r="E1642" t="s">
        <v>73</v>
      </c>
      <c r="F1642" t="s">
        <v>73</v>
      </c>
      <c r="G1642" t="s">
        <v>73</v>
      </c>
      <c r="H1642">
        <v>23.5</v>
      </c>
      <c r="I1642">
        <v>119</v>
      </c>
      <c r="J1642">
        <v>13373</v>
      </c>
      <c r="K1642" t="s">
        <v>4437</v>
      </c>
      <c r="L1642">
        <f t="shared" si="102"/>
        <v>10</v>
      </c>
      <c r="N1642">
        <v>10</v>
      </c>
      <c r="O1642">
        <v>10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0</v>
      </c>
      <c r="AA1642">
        <v>1</v>
      </c>
      <c r="AB1642">
        <v>3</v>
      </c>
      <c r="AC1642">
        <v>3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2</v>
      </c>
      <c r="AS1642">
        <v>0</v>
      </c>
      <c r="AT1642">
        <v>1</v>
      </c>
      <c r="AU1642">
        <v>3</v>
      </c>
      <c r="AV1642">
        <v>3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2</v>
      </c>
      <c r="BL1642" s="2">
        <v>0</v>
      </c>
      <c r="BM1642" s="2">
        <v>1</v>
      </c>
      <c r="BN1642" s="2">
        <v>3</v>
      </c>
      <c r="BO1642" s="2">
        <v>3</v>
      </c>
      <c r="BP1642" s="2">
        <v>0</v>
      </c>
      <c r="BQ1642" s="2">
        <v>1</v>
      </c>
      <c r="BR1642" s="2">
        <v>0</v>
      </c>
      <c r="BS1642" s="2">
        <v>0</v>
      </c>
      <c r="BT1642" s="2">
        <v>0</v>
      </c>
      <c r="BU1642" s="2">
        <v>0</v>
      </c>
      <c r="BV1642" s="2">
        <f t="shared" si="105"/>
        <v>10</v>
      </c>
      <c r="BW1642" s="16">
        <f t="shared" si="103"/>
        <v>0.52631578947368418</v>
      </c>
      <c r="BX1642" s="16">
        <f>COUNTIF($BC$6:BU1642, "=0") / COUNTIF($BC$6:BU1642, "&gt;-1")</f>
        <v>0.41121435231328168</v>
      </c>
      <c r="BY1642" s="18">
        <f>SUM($BC$6:BU1642) / $BY$4</f>
        <v>0.98611103138786804</v>
      </c>
      <c r="BZ1642" s="14">
        <f t="shared" si="104"/>
        <v>14</v>
      </c>
      <c r="CA1642" t="s">
        <v>5832</v>
      </c>
      <c r="CZ1642" t="s">
        <v>12020</v>
      </c>
      <c r="DA1642" t="s">
        <v>5904</v>
      </c>
      <c r="DB1642">
        <v>240.7</v>
      </c>
      <c r="DC1642" t="s">
        <v>31822</v>
      </c>
      <c r="DD1642" t="s">
        <v>31823</v>
      </c>
      <c r="DE1642" t="s">
        <v>31824</v>
      </c>
      <c r="DF1642" t="s">
        <v>31825</v>
      </c>
      <c r="DG1642" t="s">
        <v>31826</v>
      </c>
      <c r="DH1642" t="str">
        <f>"RPS20"</f>
        <v>RPS20</v>
      </c>
      <c r="DI1642" t="s">
        <v>13772</v>
      </c>
      <c r="DJ1642" t="s">
        <v>13777</v>
      </c>
      <c r="DK1642">
        <v>9606</v>
      </c>
      <c r="DL1642" s="34" t="str">
        <f>HYPERLINK("http://www.uniprot.org/uniprot/P60866", "P60866")</f>
        <v>P60866</v>
      </c>
      <c r="DM1642" t="s">
        <v>31827</v>
      </c>
      <c r="DN1642" t="s">
        <v>13772</v>
      </c>
      <c r="DO1642" t="s">
        <v>13899</v>
      </c>
      <c r="DP1642" t="s">
        <v>13841</v>
      </c>
      <c r="DQ1642" t="s">
        <v>13772</v>
      </c>
      <c r="DR1642" t="s">
        <v>13772</v>
      </c>
      <c r="DS1642" t="s">
        <v>13772</v>
      </c>
      <c r="DT1642" t="s">
        <v>13772</v>
      </c>
      <c r="DU1642" t="s">
        <v>13937</v>
      </c>
      <c r="DV1642" t="s">
        <v>13991</v>
      </c>
      <c r="DW1642" t="s">
        <v>13812</v>
      </c>
      <c r="DX1642" t="s">
        <v>15972</v>
      </c>
      <c r="DY1642" t="s">
        <v>31828</v>
      </c>
      <c r="DZ1642" t="s">
        <v>14268</v>
      </c>
      <c r="EA1642" t="s">
        <v>13772</v>
      </c>
      <c r="EB1642" t="s">
        <v>17828</v>
      </c>
    </row>
    <row r="1643" spans="1:132" hidden="1">
      <c r="A1643">
        <v>1925</v>
      </c>
      <c r="B1643">
        <v>1</v>
      </c>
      <c r="C1643" t="s">
        <v>4534</v>
      </c>
      <c r="D1643" t="s">
        <v>73</v>
      </c>
      <c r="E1643" t="s">
        <v>73</v>
      </c>
      <c r="F1643" t="s">
        <v>73</v>
      </c>
      <c r="G1643" t="s">
        <v>73</v>
      </c>
      <c r="H1643">
        <v>28.4</v>
      </c>
      <c r="I1643">
        <v>359</v>
      </c>
      <c r="J1643">
        <v>40077</v>
      </c>
      <c r="K1643" t="s">
        <v>4535</v>
      </c>
      <c r="L1643">
        <f t="shared" si="102"/>
        <v>10</v>
      </c>
      <c r="N1643">
        <v>10</v>
      </c>
      <c r="O1643">
        <v>10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4</v>
      </c>
      <c r="Z1643">
        <v>0</v>
      </c>
      <c r="AA1643">
        <v>5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4</v>
      </c>
      <c r="AS1643">
        <v>0</v>
      </c>
      <c r="AT1643">
        <v>5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4</v>
      </c>
      <c r="BL1643" s="2">
        <v>0</v>
      </c>
      <c r="BM1643" s="2">
        <v>5</v>
      </c>
      <c r="BN1643" s="2">
        <v>1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f t="shared" si="105"/>
        <v>10</v>
      </c>
      <c r="BW1643" s="16">
        <f t="shared" si="103"/>
        <v>0.52631578947368418</v>
      </c>
      <c r="BX1643" s="16">
        <f>COUNTIF($BC$6:BU1643, "=0") / COUNTIF($BC$6:BU1643, "&gt;-1")</f>
        <v>0.41147741147741146</v>
      </c>
      <c r="BY1643" s="18">
        <f>SUM($BC$6:BU1643) / $BY$4</f>
        <v>0.98615386775655511</v>
      </c>
      <c r="BZ1643" s="14">
        <f t="shared" si="104"/>
        <v>16</v>
      </c>
      <c r="CA1643" t="s">
        <v>5832</v>
      </c>
      <c r="CZ1643" t="s">
        <v>12167</v>
      </c>
      <c r="DA1643" t="s">
        <v>5904</v>
      </c>
      <c r="DB1643">
        <v>718.4</v>
      </c>
      <c r="DC1643" t="s">
        <v>32224</v>
      </c>
      <c r="DD1643" t="s">
        <v>32225</v>
      </c>
      <c r="DE1643" t="s">
        <v>32226</v>
      </c>
      <c r="DF1643" t="s">
        <v>32227</v>
      </c>
      <c r="DG1643" t="s">
        <v>32228</v>
      </c>
      <c r="DH1643" t="str">
        <f>"NANS"</f>
        <v>NANS</v>
      </c>
      <c r="DI1643" t="s">
        <v>32229</v>
      </c>
      <c r="DJ1643" t="s">
        <v>13777</v>
      </c>
      <c r="DK1643">
        <v>9606</v>
      </c>
      <c r="DL1643" s="34" t="str">
        <f>HYPERLINK("http://www.uniprot.org/uniprot/Q9NR45", "Q9NR45")</f>
        <v>Q9NR45</v>
      </c>
      <c r="DM1643" t="s">
        <v>32230</v>
      </c>
      <c r="DN1643" t="s">
        <v>13772</v>
      </c>
      <c r="DO1643" t="s">
        <v>13772</v>
      </c>
      <c r="DP1643" t="s">
        <v>13793</v>
      </c>
      <c r="DQ1643" t="s">
        <v>13772</v>
      </c>
      <c r="DR1643" t="s">
        <v>32231</v>
      </c>
      <c r="DS1643" t="s">
        <v>13772</v>
      </c>
      <c r="DT1643" t="s">
        <v>13772</v>
      </c>
      <c r="DU1643" t="s">
        <v>14111</v>
      </c>
      <c r="DV1643" t="s">
        <v>13886</v>
      </c>
      <c r="DW1643" t="s">
        <v>13812</v>
      </c>
      <c r="DX1643" t="s">
        <v>32232</v>
      </c>
      <c r="DY1643" t="s">
        <v>14194</v>
      </c>
      <c r="DZ1643" t="s">
        <v>32233</v>
      </c>
      <c r="EA1643" t="s">
        <v>13772</v>
      </c>
      <c r="EB1643" t="s">
        <v>32234</v>
      </c>
    </row>
    <row r="1644" spans="1:132" hidden="1">
      <c r="A1644">
        <v>1938</v>
      </c>
      <c r="B1644">
        <v>1</v>
      </c>
      <c r="C1644" t="s">
        <v>4565</v>
      </c>
      <c r="D1644" t="s">
        <v>73</v>
      </c>
      <c r="E1644" t="s">
        <v>73</v>
      </c>
      <c r="F1644" t="s">
        <v>73</v>
      </c>
      <c r="G1644" t="s">
        <v>73</v>
      </c>
      <c r="H1644">
        <v>19.3</v>
      </c>
      <c r="I1644">
        <v>218</v>
      </c>
      <c r="J1644">
        <v>23660</v>
      </c>
      <c r="K1644" t="s">
        <v>4566</v>
      </c>
      <c r="L1644">
        <f t="shared" si="102"/>
        <v>10</v>
      </c>
      <c r="N1644">
        <v>10</v>
      </c>
      <c r="O1644">
        <v>10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0</v>
      </c>
      <c r="Y1644">
        <v>2</v>
      </c>
      <c r="Z1644">
        <v>0</v>
      </c>
      <c r="AA1644">
        <v>1</v>
      </c>
      <c r="AB1644">
        <v>3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2</v>
      </c>
      <c r="AS1644">
        <v>0</v>
      </c>
      <c r="AT1644">
        <v>1</v>
      </c>
      <c r="AU1644">
        <v>3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s="2">
        <v>0</v>
      </c>
      <c r="BD1644" s="2">
        <v>1</v>
      </c>
      <c r="BE1644" s="2">
        <v>0</v>
      </c>
      <c r="BF1644" s="2">
        <v>0</v>
      </c>
      <c r="BG1644" s="2">
        <v>1</v>
      </c>
      <c r="BH1644" s="2">
        <v>1</v>
      </c>
      <c r="BI1644" s="2">
        <v>0</v>
      </c>
      <c r="BJ1644" s="2">
        <v>0</v>
      </c>
      <c r="BK1644" s="2">
        <v>2</v>
      </c>
      <c r="BL1644" s="2">
        <v>0</v>
      </c>
      <c r="BM1644" s="2">
        <v>1</v>
      </c>
      <c r="BN1644" s="2">
        <v>3</v>
      </c>
      <c r="BO1644" s="2">
        <v>1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f t="shared" si="105"/>
        <v>10</v>
      </c>
      <c r="BW1644" s="16">
        <f t="shared" si="103"/>
        <v>0.52631578947368418</v>
      </c>
      <c r="BX1644" s="16">
        <f>COUNTIF($BC$6:BU1644, "=0") / COUNTIF($BC$6:BU1644, "&gt;-1")</f>
        <v>0.41161170161523392</v>
      </c>
      <c r="BY1644" s="18">
        <f>SUM($BC$6:BU1644) / $BY$4</f>
        <v>0.98619670412524207</v>
      </c>
      <c r="BZ1644" s="14">
        <f t="shared" si="104"/>
        <v>12</v>
      </c>
      <c r="CA1644" t="s">
        <v>5832</v>
      </c>
      <c r="CZ1644" t="s">
        <v>12213</v>
      </c>
      <c r="DA1644" t="s">
        <v>5904</v>
      </c>
      <c r="DB1644">
        <v>421.4</v>
      </c>
      <c r="DC1644" t="s">
        <v>32357</v>
      </c>
      <c r="DD1644" t="s">
        <v>13772</v>
      </c>
      <c r="DE1644" t="s">
        <v>32358</v>
      </c>
      <c r="DF1644" t="s">
        <v>32359</v>
      </c>
      <c r="DG1644" t="s">
        <v>32360</v>
      </c>
      <c r="DH1644" t="str">
        <f>"CLTA"</f>
        <v>CLTA</v>
      </c>
      <c r="DI1644" t="s">
        <v>13772</v>
      </c>
      <c r="DJ1644" t="s">
        <v>13777</v>
      </c>
      <c r="DK1644">
        <v>9606</v>
      </c>
      <c r="DL1644" s="34" t="str">
        <f>HYPERLINK("http://www.uniprot.org/uniprot/P09496", "P09496")</f>
        <v>P09496</v>
      </c>
      <c r="DM1644" t="s">
        <v>32361</v>
      </c>
      <c r="DN1644" t="s">
        <v>14600</v>
      </c>
      <c r="DO1644" t="s">
        <v>32362</v>
      </c>
      <c r="DP1644" t="s">
        <v>13841</v>
      </c>
      <c r="DQ1644" t="s">
        <v>13772</v>
      </c>
      <c r="DR1644" t="s">
        <v>13772</v>
      </c>
      <c r="DS1644" t="s">
        <v>13772</v>
      </c>
      <c r="DT1644" t="s">
        <v>14465</v>
      </c>
      <c r="DU1644" t="s">
        <v>13772</v>
      </c>
      <c r="DV1644" t="s">
        <v>13886</v>
      </c>
      <c r="DW1644" t="s">
        <v>13772</v>
      </c>
      <c r="DX1644" t="s">
        <v>32363</v>
      </c>
      <c r="DY1644" t="s">
        <v>32364</v>
      </c>
      <c r="DZ1644" t="s">
        <v>32365</v>
      </c>
      <c r="EA1644" t="s">
        <v>13772</v>
      </c>
      <c r="EB1644" t="s">
        <v>32366</v>
      </c>
    </row>
    <row r="1645" spans="1:132" hidden="1">
      <c r="A1645">
        <v>1948</v>
      </c>
      <c r="B1645">
        <v>1</v>
      </c>
      <c r="C1645" t="s">
        <v>4594</v>
      </c>
      <c r="D1645" t="s">
        <v>73</v>
      </c>
      <c r="E1645" t="s">
        <v>73</v>
      </c>
      <c r="F1645" t="s">
        <v>73</v>
      </c>
      <c r="G1645" t="s">
        <v>73</v>
      </c>
      <c r="H1645">
        <v>10.8</v>
      </c>
      <c r="I1645">
        <v>361</v>
      </c>
      <c r="J1645">
        <v>41615</v>
      </c>
      <c r="K1645" t="s">
        <v>4595</v>
      </c>
      <c r="L1645">
        <f t="shared" si="102"/>
        <v>10</v>
      </c>
      <c r="N1645">
        <v>10</v>
      </c>
      <c r="O1645">
        <v>10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5</v>
      </c>
      <c r="AB1645">
        <v>0</v>
      </c>
      <c r="AC1645">
        <v>0</v>
      </c>
      <c r="AD1645">
        <v>0</v>
      </c>
      <c r="AE1645">
        <v>3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5</v>
      </c>
      <c r="AU1645">
        <v>0</v>
      </c>
      <c r="AV1645">
        <v>0</v>
      </c>
      <c r="AW1645">
        <v>0</v>
      </c>
      <c r="AX1645">
        <v>3</v>
      </c>
      <c r="AY1645">
        <v>1</v>
      </c>
      <c r="AZ1645">
        <v>0</v>
      </c>
      <c r="BA1645">
        <v>0</v>
      </c>
      <c r="BB1645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0</v>
      </c>
      <c r="BM1645" s="2">
        <v>5</v>
      </c>
      <c r="BN1645" s="2">
        <v>0</v>
      </c>
      <c r="BO1645" s="2">
        <v>0</v>
      </c>
      <c r="BP1645" s="2">
        <v>0</v>
      </c>
      <c r="BQ1645" s="2">
        <v>3</v>
      </c>
      <c r="BR1645" s="2">
        <v>1</v>
      </c>
      <c r="BS1645" s="2">
        <v>0</v>
      </c>
      <c r="BT1645" s="2">
        <v>0</v>
      </c>
      <c r="BU1645" s="2">
        <v>0</v>
      </c>
      <c r="BV1645" s="2">
        <f t="shared" si="105"/>
        <v>10</v>
      </c>
      <c r="BW1645" s="16">
        <f t="shared" si="103"/>
        <v>0.52631578947368418</v>
      </c>
      <c r="BX1645" s="16">
        <f>COUNTIF($BC$6:BU1645, "=0") / COUNTIF($BC$6:BU1645, "&gt;-1")</f>
        <v>0.4118421052631579</v>
      </c>
      <c r="BY1645" s="18">
        <f>SUM($BC$6:BU1645) / $BY$4</f>
        <v>0.98623954049392903</v>
      </c>
      <c r="BZ1645" s="14">
        <f t="shared" si="104"/>
        <v>15</v>
      </c>
      <c r="CA1645" t="s">
        <v>5832</v>
      </c>
      <c r="CZ1645" t="s">
        <v>12250</v>
      </c>
      <c r="DA1645" t="s">
        <v>5904</v>
      </c>
      <c r="DB1645">
        <v>647.9</v>
      </c>
      <c r="DC1645" t="s">
        <v>32462</v>
      </c>
      <c r="DD1645" t="s">
        <v>32463</v>
      </c>
      <c r="DE1645" t="s">
        <v>32464</v>
      </c>
      <c r="DF1645" t="s">
        <v>32465</v>
      </c>
      <c r="DG1645" t="s">
        <v>32466</v>
      </c>
      <c r="DH1645" t="str">
        <f>"CAVIN4"</f>
        <v>CAVIN4</v>
      </c>
      <c r="DI1645" t="s">
        <v>32467</v>
      </c>
      <c r="DJ1645" t="s">
        <v>13777</v>
      </c>
      <c r="DK1645">
        <v>9606</v>
      </c>
      <c r="DL1645" s="34" t="str">
        <f>HYPERLINK("http://www.uniprot.org/uniprot/Q5BKX8", "Q5BKX8")</f>
        <v>Q5BKX8</v>
      </c>
      <c r="DM1645" t="s">
        <v>32468</v>
      </c>
      <c r="DN1645" t="s">
        <v>19656</v>
      </c>
      <c r="DO1645" t="s">
        <v>18623</v>
      </c>
      <c r="DP1645" t="s">
        <v>13772</v>
      </c>
      <c r="DQ1645" t="s">
        <v>13772</v>
      </c>
      <c r="DR1645" t="s">
        <v>13772</v>
      </c>
      <c r="DS1645" t="s">
        <v>14245</v>
      </c>
      <c r="DT1645" t="s">
        <v>13772</v>
      </c>
      <c r="DU1645" t="s">
        <v>32469</v>
      </c>
      <c r="DV1645" t="s">
        <v>13782</v>
      </c>
      <c r="DW1645" t="s">
        <v>13772</v>
      </c>
      <c r="DX1645" t="s">
        <v>32470</v>
      </c>
      <c r="DY1645" t="s">
        <v>32471</v>
      </c>
      <c r="DZ1645" t="s">
        <v>13772</v>
      </c>
      <c r="EA1645" t="s">
        <v>13772</v>
      </c>
      <c r="EB1645" t="s">
        <v>13772</v>
      </c>
    </row>
    <row r="1646" spans="1:132" hidden="1">
      <c r="A1646">
        <v>1998</v>
      </c>
      <c r="B1646">
        <v>1</v>
      </c>
      <c r="C1646" t="s">
        <v>4701</v>
      </c>
      <c r="D1646" t="s">
        <v>73</v>
      </c>
      <c r="E1646" t="s">
        <v>73</v>
      </c>
      <c r="F1646" t="s">
        <v>73</v>
      </c>
      <c r="G1646" t="s">
        <v>73</v>
      </c>
      <c r="H1646">
        <v>27.5</v>
      </c>
      <c r="I1646">
        <v>211</v>
      </c>
      <c r="J1646">
        <v>24262</v>
      </c>
      <c r="K1646" t="s">
        <v>4702</v>
      </c>
      <c r="L1646">
        <f t="shared" si="102"/>
        <v>10</v>
      </c>
      <c r="N1646">
        <v>10</v>
      </c>
      <c r="O1646">
        <v>10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0</v>
      </c>
      <c r="AA1646">
        <v>2</v>
      </c>
      <c r="AB1646">
        <v>4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</v>
      </c>
      <c r="AS1646">
        <v>0</v>
      </c>
      <c r="AT1646">
        <v>2</v>
      </c>
      <c r="AU1646">
        <v>4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2</v>
      </c>
      <c r="BL1646" s="2">
        <v>0</v>
      </c>
      <c r="BM1646" s="2">
        <v>2</v>
      </c>
      <c r="BN1646" s="2">
        <v>4</v>
      </c>
      <c r="BO1646" s="2">
        <v>0</v>
      </c>
      <c r="BP1646" s="2">
        <v>0</v>
      </c>
      <c r="BQ1646" s="2">
        <v>1</v>
      </c>
      <c r="BR1646" s="2">
        <v>1</v>
      </c>
      <c r="BS1646" s="2">
        <v>0</v>
      </c>
      <c r="BT1646" s="2">
        <v>0</v>
      </c>
      <c r="BU1646" s="2">
        <v>0</v>
      </c>
      <c r="BV1646" s="2">
        <f t="shared" si="105"/>
        <v>10</v>
      </c>
      <c r="BW1646" s="16">
        <f t="shared" si="103"/>
        <v>0.52631578947368418</v>
      </c>
      <c r="BX1646" s="16">
        <f>COUNTIF($BC$6:BU1646, "=0") / COUNTIF($BC$6:BU1646, "&gt;-1")</f>
        <v>0.41204015523268867</v>
      </c>
      <c r="BY1646" s="18">
        <f>SUM($BC$6:BU1646) / $BY$4</f>
        <v>0.98628237686261611</v>
      </c>
      <c r="BZ1646" s="14">
        <f t="shared" si="104"/>
        <v>14</v>
      </c>
      <c r="CA1646" t="s">
        <v>5832</v>
      </c>
      <c r="CZ1646" t="s">
        <v>12409</v>
      </c>
      <c r="DA1646" t="s">
        <v>5904</v>
      </c>
      <c r="DB1646">
        <v>416.8</v>
      </c>
      <c r="DC1646" t="s">
        <v>32920</v>
      </c>
      <c r="DD1646" t="s">
        <v>32921</v>
      </c>
      <c r="DE1646" t="s">
        <v>32922</v>
      </c>
      <c r="DF1646" t="s">
        <v>32923</v>
      </c>
      <c r="DG1646" t="s">
        <v>32924</v>
      </c>
      <c r="DH1646" t="str">
        <f>"RPL13"</f>
        <v>RPL13</v>
      </c>
      <c r="DI1646" t="s">
        <v>32925</v>
      </c>
      <c r="DJ1646" t="s">
        <v>13777</v>
      </c>
      <c r="DK1646">
        <v>9606</v>
      </c>
      <c r="DL1646" s="34" t="str">
        <f>HYPERLINK("http://www.uniprot.org/uniprot/P26373", "P26373")</f>
        <v>P26373</v>
      </c>
      <c r="DM1646" t="s">
        <v>32926</v>
      </c>
      <c r="DN1646" t="s">
        <v>13772</v>
      </c>
      <c r="DO1646" t="s">
        <v>13772</v>
      </c>
      <c r="DP1646" t="s">
        <v>13780</v>
      </c>
      <c r="DQ1646" t="s">
        <v>13772</v>
      </c>
      <c r="DR1646" t="s">
        <v>13772</v>
      </c>
      <c r="DS1646" t="s">
        <v>13772</v>
      </c>
      <c r="DT1646" t="s">
        <v>13772</v>
      </c>
      <c r="DU1646" t="s">
        <v>13937</v>
      </c>
      <c r="DV1646" t="s">
        <v>13991</v>
      </c>
      <c r="DW1646" t="s">
        <v>13812</v>
      </c>
      <c r="DX1646" t="s">
        <v>15972</v>
      </c>
      <c r="DY1646" t="s">
        <v>32927</v>
      </c>
      <c r="DZ1646" t="s">
        <v>14268</v>
      </c>
      <c r="EA1646" t="s">
        <v>13772</v>
      </c>
      <c r="EB1646" t="s">
        <v>13942</v>
      </c>
    </row>
    <row r="1647" spans="1:132" hidden="1">
      <c r="A1647">
        <v>2054</v>
      </c>
      <c r="B1647">
        <v>1</v>
      </c>
      <c r="C1647" t="s">
        <v>4827</v>
      </c>
      <c r="D1647" t="s">
        <v>4828</v>
      </c>
      <c r="E1647" t="s">
        <v>73</v>
      </c>
      <c r="F1647" t="s">
        <v>73</v>
      </c>
      <c r="G1647" t="s">
        <v>73</v>
      </c>
      <c r="H1647">
        <v>10.6</v>
      </c>
      <c r="I1647">
        <v>796</v>
      </c>
      <c r="J1647">
        <v>91720</v>
      </c>
      <c r="K1647" t="s">
        <v>4829</v>
      </c>
      <c r="L1647">
        <f t="shared" si="102"/>
        <v>10</v>
      </c>
      <c r="N1647">
        <v>10</v>
      </c>
      <c r="O1647">
        <v>10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2</v>
      </c>
      <c r="Z1647">
        <v>0</v>
      </c>
      <c r="AA1647">
        <v>2</v>
      </c>
      <c r="AB1647">
        <v>4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2</v>
      </c>
      <c r="AS1647">
        <v>0</v>
      </c>
      <c r="AT1647">
        <v>2</v>
      </c>
      <c r="AU1647">
        <v>4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2</v>
      </c>
      <c r="BL1647" s="2">
        <v>0</v>
      </c>
      <c r="BM1647" s="2">
        <v>2</v>
      </c>
      <c r="BN1647" s="2">
        <v>4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f t="shared" si="105"/>
        <v>10</v>
      </c>
      <c r="BW1647" s="16">
        <f t="shared" si="103"/>
        <v>0.52631578947368418</v>
      </c>
      <c r="BX1647" s="16">
        <f>COUNTIF($BC$6:BU1647, "=0") / COUNTIF($BC$6:BU1647, "&gt;-1")</f>
        <v>0.41223796397204948</v>
      </c>
      <c r="BY1647" s="18">
        <f>SUM($BC$6:BU1647) / $BY$4</f>
        <v>0.98632521323130307</v>
      </c>
      <c r="BZ1647" s="14">
        <f t="shared" si="104"/>
        <v>14</v>
      </c>
      <c r="CA1647" t="s">
        <v>5832</v>
      </c>
      <c r="CZ1647" t="s">
        <v>12599</v>
      </c>
      <c r="DA1647" t="s">
        <v>5904</v>
      </c>
      <c r="DB1647">
        <v>1647.1</v>
      </c>
      <c r="DC1647" t="s">
        <v>33442</v>
      </c>
      <c r="DD1647" t="s">
        <v>33443</v>
      </c>
      <c r="DE1647" t="s">
        <v>33444</v>
      </c>
      <c r="DF1647" t="s">
        <v>33445</v>
      </c>
      <c r="DG1647" t="s">
        <v>33446</v>
      </c>
      <c r="DH1647" t="str">
        <f>"VPS35"</f>
        <v>VPS35</v>
      </c>
      <c r="DI1647" t="s">
        <v>13772</v>
      </c>
      <c r="DJ1647" t="s">
        <v>13777</v>
      </c>
      <c r="DK1647">
        <v>9606</v>
      </c>
      <c r="DL1647" s="34" t="str">
        <f>HYPERLINK("http://www.uniprot.org/uniprot/Q96QK1", "Q96QK1")</f>
        <v>Q96QK1</v>
      </c>
      <c r="DM1647" t="s">
        <v>33447</v>
      </c>
      <c r="DN1647" t="s">
        <v>18065</v>
      </c>
      <c r="DO1647" t="s">
        <v>17403</v>
      </c>
      <c r="DP1647" t="s">
        <v>13793</v>
      </c>
      <c r="DQ1647" t="s">
        <v>13772</v>
      </c>
      <c r="DR1647" t="s">
        <v>30057</v>
      </c>
      <c r="DS1647" t="s">
        <v>13772</v>
      </c>
      <c r="DT1647" t="s">
        <v>13772</v>
      </c>
      <c r="DU1647" t="s">
        <v>13772</v>
      </c>
      <c r="DV1647" t="s">
        <v>13782</v>
      </c>
      <c r="DW1647" t="s">
        <v>13812</v>
      </c>
      <c r="DX1647" t="s">
        <v>33448</v>
      </c>
      <c r="DY1647" t="s">
        <v>33449</v>
      </c>
      <c r="DZ1647" t="s">
        <v>33450</v>
      </c>
      <c r="EA1647" t="s">
        <v>13772</v>
      </c>
      <c r="EB1647" t="s">
        <v>18068</v>
      </c>
    </row>
    <row r="1648" spans="1:132" hidden="1">
      <c r="A1648">
        <v>2065</v>
      </c>
      <c r="B1648">
        <v>1</v>
      </c>
      <c r="C1648" t="s">
        <v>4854</v>
      </c>
      <c r="D1648" t="s">
        <v>73</v>
      </c>
      <c r="E1648" t="s">
        <v>73</v>
      </c>
      <c r="F1648" t="s">
        <v>73</v>
      </c>
      <c r="G1648" t="s">
        <v>73</v>
      </c>
      <c r="H1648">
        <v>37.6</v>
      </c>
      <c r="I1648">
        <v>125</v>
      </c>
      <c r="J1648">
        <v>14241</v>
      </c>
      <c r="K1648" t="s">
        <v>4855</v>
      </c>
      <c r="L1648">
        <f t="shared" si="102"/>
        <v>10</v>
      </c>
      <c r="N1648">
        <v>10</v>
      </c>
      <c r="O1648">
        <v>10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3</v>
      </c>
      <c r="Z1648">
        <v>0</v>
      </c>
      <c r="AA1648">
        <v>2</v>
      </c>
      <c r="AB1648">
        <v>0</v>
      </c>
      <c r="AC1648">
        <v>1</v>
      </c>
      <c r="AD1648">
        <v>0</v>
      </c>
      <c r="AE1648">
        <v>1</v>
      </c>
      <c r="AF1648">
        <v>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3</v>
      </c>
      <c r="AS1648">
        <v>0</v>
      </c>
      <c r="AT1648">
        <v>2</v>
      </c>
      <c r="AU1648">
        <v>0</v>
      </c>
      <c r="AV1648">
        <v>1</v>
      </c>
      <c r="AW1648">
        <v>0</v>
      </c>
      <c r="AX1648">
        <v>1</v>
      </c>
      <c r="AY1648">
        <v>2</v>
      </c>
      <c r="AZ1648">
        <v>0</v>
      </c>
      <c r="BA1648">
        <v>0</v>
      </c>
      <c r="BB1648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3</v>
      </c>
      <c r="BL1648" s="2">
        <v>0</v>
      </c>
      <c r="BM1648" s="2">
        <v>2</v>
      </c>
      <c r="BN1648" s="2">
        <v>0</v>
      </c>
      <c r="BO1648" s="2">
        <v>1</v>
      </c>
      <c r="BP1648" s="2">
        <v>0</v>
      </c>
      <c r="BQ1648" s="2">
        <v>1</v>
      </c>
      <c r="BR1648" s="2">
        <v>2</v>
      </c>
      <c r="BS1648" s="2">
        <v>0</v>
      </c>
      <c r="BT1648" s="2">
        <v>0</v>
      </c>
      <c r="BU1648" s="2">
        <v>0</v>
      </c>
      <c r="BV1648" s="2">
        <f t="shared" si="105"/>
        <v>10</v>
      </c>
      <c r="BW1648" s="16">
        <f t="shared" si="103"/>
        <v>0.52631578947368418</v>
      </c>
      <c r="BX1648" s="16">
        <f>COUNTIF($BC$6:BU1648, "=0") / COUNTIF($BC$6:BU1648, "&gt;-1")</f>
        <v>0.41240349809398724</v>
      </c>
      <c r="BY1648" s="18">
        <f>SUM($BC$6:BU1648) / $BY$4</f>
        <v>0.98636804959999014</v>
      </c>
      <c r="BZ1648" s="14">
        <f t="shared" si="104"/>
        <v>13</v>
      </c>
      <c r="CA1648" t="s">
        <v>5832</v>
      </c>
      <c r="CZ1648" t="s">
        <v>12636</v>
      </c>
      <c r="DA1648" t="s">
        <v>5904</v>
      </c>
      <c r="DB1648">
        <v>240.3</v>
      </c>
      <c r="DC1648" t="s">
        <v>33546</v>
      </c>
      <c r="DD1648" t="s">
        <v>33547</v>
      </c>
      <c r="DE1648" t="s">
        <v>33548</v>
      </c>
      <c r="DF1648" t="s">
        <v>33549</v>
      </c>
      <c r="DG1648" t="s">
        <v>33550</v>
      </c>
      <c r="DH1648" t="str">
        <f>"PDCD5"</f>
        <v>PDCD5</v>
      </c>
      <c r="DI1648" t="s">
        <v>33551</v>
      </c>
      <c r="DJ1648" t="s">
        <v>13777</v>
      </c>
      <c r="DK1648">
        <v>9606</v>
      </c>
      <c r="DL1648" s="34" t="str">
        <f>HYPERLINK("http://www.uniprot.org/uniprot/O14737", "O14737")</f>
        <v>O14737</v>
      </c>
      <c r="DM1648" t="s">
        <v>33552</v>
      </c>
      <c r="DN1648" t="s">
        <v>17109</v>
      </c>
      <c r="DO1648" t="s">
        <v>13772</v>
      </c>
      <c r="DP1648" t="s">
        <v>13841</v>
      </c>
      <c r="DQ1648" t="s">
        <v>13772</v>
      </c>
      <c r="DR1648" t="s">
        <v>13772</v>
      </c>
      <c r="DS1648" t="s">
        <v>13772</v>
      </c>
      <c r="DT1648" t="s">
        <v>13772</v>
      </c>
      <c r="DU1648" t="s">
        <v>13772</v>
      </c>
      <c r="DV1648" t="s">
        <v>13886</v>
      </c>
      <c r="DW1648" t="s">
        <v>13812</v>
      </c>
      <c r="DX1648" t="s">
        <v>33553</v>
      </c>
      <c r="DY1648" t="s">
        <v>14085</v>
      </c>
      <c r="DZ1648" t="s">
        <v>33554</v>
      </c>
      <c r="EA1648" t="s">
        <v>13772</v>
      </c>
      <c r="EB1648" t="s">
        <v>13772</v>
      </c>
    </row>
    <row r="1649" spans="1:132" hidden="1">
      <c r="A1649">
        <v>2078</v>
      </c>
      <c r="B1649">
        <v>1</v>
      </c>
      <c r="C1649" t="s">
        <v>4884</v>
      </c>
      <c r="D1649" t="s">
        <v>73</v>
      </c>
      <c r="E1649" t="s">
        <v>73</v>
      </c>
      <c r="F1649" t="s">
        <v>73</v>
      </c>
      <c r="G1649" t="s">
        <v>73</v>
      </c>
      <c r="H1649">
        <v>33.6</v>
      </c>
      <c r="I1649">
        <v>146</v>
      </c>
      <c r="J1649">
        <v>16445</v>
      </c>
      <c r="K1649" t="s">
        <v>4885</v>
      </c>
      <c r="L1649">
        <f t="shared" si="102"/>
        <v>10</v>
      </c>
      <c r="N1649">
        <v>10</v>
      </c>
      <c r="O1649">
        <v>10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3</v>
      </c>
      <c r="AB1649">
        <v>4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3</v>
      </c>
      <c r="AU1649">
        <v>4</v>
      </c>
      <c r="AV1649">
        <v>2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1</v>
      </c>
      <c r="BL1649" s="2">
        <v>0</v>
      </c>
      <c r="BM1649" s="2">
        <v>3</v>
      </c>
      <c r="BN1649" s="2">
        <v>4</v>
      </c>
      <c r="BO1649" s="2">
        <v>2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f t="shared" si="105"/>
        <v>10</v>
      </c>
      <c r="BW1649" s="16">
        <f t="shared" si="103"/>
        <v>0.52631578947368418</v>
      </c>
      <c r="BX1649" s="16">
        <f>COUNTIF($BC$6:BU1649, "=0") / COUNTIF($BC$6:BU1649, "&gt;-1")</f>
        <v>0.41263285952106543</v>
      </c>
      <c r="BY1649" s="18">
        <f>SUM($BC$6:BU1649) / $BY$4</f>
        <v>0.9864108859686771</v>
      </c>
      <c r="BZ1649" s="14">
        <f t="shared" si="104"/>
        <v>15</v>
      </c>
      <c r="CA1649" t="s">
        <v>5832</v>
      </c>
      <c r="CZ1649" t="s">
        <v>12680</v>
      </c>
      <c r="DA1649" t="s">
        <v>5904</v>
      </c>
      <c r="DB1649">
        <v>295.8</v>
      </c>
      <c r="DC1649" t="s">
        <v>33678</v>
      </c>
      <c r="DD1649" t="s">
        <v>33679</v>
      </c>
      <c r="DE1649" t="s">
        <v>33680</v>
      </c>
      <c r="DF1649" t="s">
        <v>33681</v>
      </c>
      <c r="DG1649" t="s">
        <v>33682</v>
      </c>
      <c r="DH1649" t="str">
        <f>"RPS16"</f>
        <v>RPS16</v>
      </c>
      <c r="DI1649" t="s">
        <v>13772</v>
      </c>
      <c r="DJ1649" t="s">
        <v>13777</v>
      </c>
      <c r="DK1649">
        <v>9606</v>
      </c>
      <c r="DL1649" s="34" t="str">
        <f>HYPERLINK("http://www.uniprot.org/uniprot/P62249", "P62249")</f>
        <v>P62249</v>
      </c>
      <c r="DM1649" t="s">
        <v>19121</v>
      </c>
      <c r="DN1649" t="s">
        <v>13772</v>
      </c>
      <c r="DO1649" t="s">
        <v>13772</v>
      </c>
      <c r="DP1649" t="s">
        <v>13772</v>
      </c>
      <c r="DQ1649" t="s">
        <v>13772</v>
      </c>
      <c r="DR1649" t="s">
        <v>13772</v>
      </c>
      <c r="DS1649" t="s">
        <v>13772</v>
      </c>
      <c r="DT1649" t="s">
        <v>13772</v>
      </c>
      <c r="DU1649" t="s">
        <v>13937</v>
      </c>
      <c r="DV1649" t="s">
        <v>13886</v>
      </c>
      <c r="DW1649" t="s">
        <v>13812</v>
      </c>
      <c r="DX1649" t="s">
        <v>33683</v>
      </c>
      <c r="DY1649" t="s">
        <v>33684</v>
      </c>
      <c r="DZ1649" t="s">
        <v>14268</v>
      </c>
      <c r="EA1649" t="s">
        <v>13772</v>
      </c>
      <c r="EB1649" t="s">
        <v>17828</v>
      </c>
    </row>
    <row r="1650" spans="1:132" hidden="1">
      <c r="A1650">
        <v>2121</v>
      </c>
      <c r="B1650">
        <v>1</v>
      </c>
      <c r="C1650" t="s">
        <v>4976</v>
      </c>
      <c r="D1650" t="s">
        <v>73</v>
      </c>
      <c r="E1650" t="s">
        <v>73</v>
      </c>
      <c r="F1650" t="s">
        <v>73</v>
      </c>
      <c r="G1650" t="s">
        <v>73</v>
      </c>
      <c r="H1650">
        <v>9.1</v>
      </c>
      <c r="I1650">
        <v>418</v>
      </c>
      <c r="J1650">
        <v>47366</v>
      </c>
      <c r="K1650" t="s">
        <v>4977</v>
      </c>
      <c r="L1650">
        <f t="shared" si="102"/>
        <v>10</v>
      </c>
      <c r="N1650">
        <v>10</v>
      </c>
      <c r="O1650">
        <v>10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2</v>
      </c>
      <c r="Z1650">
        <v>0</v>
      </c>
      <c r="AA1650">
        <v>4</v>
      </c>
      <c r="AB1650">
        <v>0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2</v>
      </c>
      <c r="AS1650">
        <v>0</v>
      </c>
      <c r="AT1650">
        <v>4</v>
      </c>
      <c r="AU1650">
        <v>0</v>
      </c>
      <c r="AV1650">
        <v>3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1</v>
      </c>
      <c r="BK1650" s="2">
        <v>2</v>
      </c>
      <c r="BL1650" s="2">
        <v>0</v>
      </c>
      <c r="BM1650" s="2">
        <v>4</v>
      </c>
      <c r="BN1650" s="2">
        <v>0</v>
      </c>
      <c r="BO1650" s="2">
        <v>3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f t="shared" si="105"/>
        <v>10</v>
      </c>
      <c r="BW1650" s="16">
        <f t="shared" si="103"/>
        <v>0.52631578947368418</v>
      </c>
      <c r="BX1650" s="16">
        <f>COUNTIF($BC$6:BU1650, "=0") / COUNTIF($BC$6:BU1650, "&gt;-1")</f>
        <v>0.41286194208926574</v>
      </c>
      <c r="BY1650" s="18">
        <f>SUM($BC$6:BU1650) / $BY$4</f>
        <v>0.98645372233736406</v>
      </c>
      <c r="BZ1650" s="14">
        <f t="shared" si="104"/>
        <v>15</v>
      </c>
      <c r="CA1650" t="s">
        <v>5832</v>
      </c>
      <c r="CZ1650" t="s">
        <v>12816</v>
      </c>
      <c r="DA1650" t="s">
        <v>5904</v>
      </c>
      <c r="DB1650">
        <v>854.7</v>
      </c>
      <c r="DC1650" t="s">
        <v>34056</v>
      </c>
      <c r="DD1650" t="s">
        <v>34057</v>
      </c>
      <c r="DE1650" t="s">
        <v>34058</v>
      </c>
      <c r="DF1650" t="s">
        <v>34059</v>
      </c>
      <c r="DG1650" t="s">
        <v>34060</v>
      </c>
      <c r="DH1650" t="str">
        <f>"PSMC4"</f>
        <v>PSMC4</v>
      </c>
      <c r="DI1650" t="s">
        <v>34061</v>
      </c>
      <c r="DJ1650" t="s">
        <v>13777</v>
      </c>
      <c r="DK1650">
        <v>9606</v>
      </c>
      <c r="DL1650" s="34" t="str">
        <f>HYPERLINK("http://www.uniprot.org/uniprot/P43686", "P43686")</f>
        <v>P43686</v>
      </c>
      <c r="DM1650" t="s">
        <v>34062</v>
      </c>
      <c r="DN1650" t="s">
        <v>13772</v>
      </c>
      <c r="DO1650" t="s">
        <v>14204</v>
      </c>
      <c r="DP1650" t="s">
        <v>13841</v>
      </c>
      <c r="DQ1650" t="s">
        <v>13772</v>
      </c>
      <c r="DR1650" t="s">
        <v>13772</v>
      </c>
      <c r="DS1650" t="s">
        <v>13772</v>
      </c>
      <c r="DT1650" t="s">
        <v>14005</v>
      </c>
      <c r="DU1650" t="s">
        <v>13772</v>
      </c>
      <c r="DV1650" t="s">
        <v>13886</v>
      </c>
      <c r="DW1650" t="s">
        <v>13812</v>
      </c>
      <c r="DX1650" t="s">
        <v>34063</v>
      </c>
      <c r="DY1650" t="s">
        <v>34064</v>
      </c>
      <c r="DZ1650" t="s">
        <v>34065</v>
      </c>
      <c r="EA1650" t="s">
        <v>13772</v>
      </c>
      <c r="EB1650" t="s">
        <v>14208</v>
      </c>
    </row>
    <row r="1651" spans="1:132" hidden="1">
      <c r="A1651">
        <v>2163</v>
      </c>
      <c r="B1651">
        <v>1</v>
      </c>
      <c r="C1651" t="s">
        <v>5067</v>
      </c>
      <c r="D1651" t="s">
        <v>73</v>
      </c>
      <c r="E1651" t="s">
        <v>73</v>
      </c>
      <c r="F1651" t="s">
        <v>73</v>
      </c>
      <c r="G1651" t="s">
        <v>73</v>
      </c>
      <c r="H1651">
        <v>25.7</v>
      </c>
      <c r="I1651">
        <v>342</v>
      </c>
      <c r="J1651">
        <v>37685</v>
      </c>
      <c r="K1651" t="s">
        <v>5068</v>
      </c>
      <c r="L1651">
        <f t="shared" si="102"/>
        <v>10</v>
      </c>
      <c r="N1651">
        <v>10</v>
      </c>
      <c r="O1651">
        <v>10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5</v>
      </c>
      <c r="Y1651">
        <v>1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5</v>
      </c>
      <c r="AR1651">
        <v>1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5</v>
      </c>
      <c r="BK1651" s="2">
        <v>1</v>
      </c>
      <c r="BL1651" s="2">
        <v>0</v>
      </c>
      <c r="BM1651" s="2">
        <v>1</v>
      </c>
      <c r="BN1651" s="2">
        <v>0</v>
      </c>
      <c r="BO1651" s="2">
        <v>1</v>
      </c>
      <c r="BP1651" s="2">
        <v>0</v>
      </c>
      <c r="BQ1651" s="2">
        <v>1</v>
      </c>
      <c r="BR1651" s="2">
        <v>0</v>
      </c>
      <c r="BS1651" s="2">
        <v>0</v>
      </c>
      <c r="BT1651" s="2">
        <v>0</v>
      </c>
      <c r="BU1651" s="2">
        <v>0</v>
      </c>
      <c r="BV1651" s="2">
        <f t="shared" si="105"/>
        <v>10</v>
      </c>
      <c r="BW1651" s="16">
        <f t="shared" si="103"/>
        <v>0.52631578947368418</v>
      </c>
      <c r="BX1651" s="16">
        <f>COUNTIF($BC$6:BU1651, "=0") / COUNTIF($BC$6:BU1651, "&gt;-1")</f>
        <v>0.41302679542111659</v>
      </c>
      <c r="BY1651" s="18">
        <f>SUM($BC$6:BU1651) / $BY$4</f>
        <v>0.98649655870605113</v>
      </c>
      <c r="BZ1651" s="14">
        <f t="shared" si="104"/>
        <v>13</v>
      </c>
      <c r="CA1651" t="s">
        <v>5832</v>
      </c>
      <c r="CZ1651" t="s">
        <v>12958</v>
      </c>
      <c r="DA1651" t="s">
        <v>5904</v>
      </c>
      <c r="DB1651">
        <v>658.3</v>
      </c>
      <c r="DC1651" t="s">
        <v>34435</v>
      </c>
      <c r="DD1651" t="s">
        <v>34436</v>
      </c>
      <c r="DE1651" t="s">
        <v>34437</v>
      </c>
      <c r="DF1651" t="s">
        <v>34438</v>
      </c>
      <c r="DG1651" t="s">
        <v>34439</v>
      </c>
      <c r="DH1651" t="str">
        <f>"GALM"</f>
        <v>GALM</v>
      </c>
      <c r="DI1651" t="s">
        <v>13772</v>
      </c>
      <c r="DJ1651" t="s">
        <v>13777</v>
      </c>
      <c r="DK1651">
        <v>9606</v>
      </c>
      <c r="DL1651" s="34" t="str">
        <f>HYPERLINK("http://www.uniprot.org/uniprot/Q96C23", "Q96C23")</f>
        <v>Q96C23</v>
      </c>
      <c r="DM1651" t="s">
        <v>34440</v>
      </c>
      <c r="DN1651" t="s">
        <v>18256</v>
      </c>
      <c r="DO1651" t="s">
        <v>13899</v>
      </c>
      <c r="DP1651" t="s">
        <v>13793</v>
      </c>
      <c r="DQ1651" t="s">
        <v>13772</v>
      </c>
      <c r="DR1651" t="s">
        <v>13772</v>
      </c>
      <c r="DS1651" t="s">
        <v>13772</v>
      </c>
      <c r="DT1651" t="s">
        <v>13772</v>
      </c>
      <c r="DU1651" t="s">
        <v>14910</v>
      </c>
      <c r="DV1651" t="s">
        <v>13886</v>
      </c>
      <c r="DW1651" t="s">
        <v>13812</v>
      </c>
      <c r="DX1651" t="s">
        <v>34441</v>
      </c>
      <c r="DY1651" t="s">
        <v>25461</v>
      </c>
      <c r="DZ1651" t="s">
        <v>34442</v>
      </c>
      <c r="EA1651" t="s">
        <v>25442</v>
      </c>
      <c r="EB1651" t="s">
        <v>13772</v>
      </c>
    </row>
    <row r="1652" spans="1:132" hidden="1">
      <c r="A1652">
        <v>2169</v>
      </c>
      <c r="B1652">
        <v>1</v>
      </c>
      <c r="C1652" t="s">
        <v>5080</v>
      </c>
      <c r="D1652" t="s">
        <v>73</v>
      </c>
      <c r="E1652" t="s">
        <v>73</v>
      </c>
      <c r="F1652" t="s">
        <v>73</v>
      </c>
      <c r="G1652" t="s">
        <v>73</v>
      </c>
      <c r="H1652">
        <v>14.5</v>
      </c>
      <c r="I1652">
        <v>572</v>
      </c>
      <c r="J1652">
        <v>61223</v>
      </c>
      <c r="K1652" t="s">
        <v>5081</v>
      </c>
      <c r="L1652">
        <f t="shared" si="102"/>
        <v>10</v>
      </c>
      <c r="N1652">
        <v>10</v>
      </c>
      <c r="O1652">
        <v>10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3</v>
      </c>
      <c r="Z1652">
        <v>0</v>
      </c>
      <c r="AA1652">
        <v>1</v>
      </c>
      <c r="AB1652">
        <v>2</v>
      </c>
      <c r="AC1652">
        <v>0</v>
      </c>
      <c r="AD1652">
        <v>0</v>
      </c>
      <c r="AE1652">
        <v>2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3</v>
      </c>
      <c r="AS1652">
        <v>0</v>
      </c>
      <c r="AT1652">
        <v>1</v>
      </c>
      <c r="AU1652">
        <v>2</v>
      </c>
      <c r="AV1652">
        <v>0</v>
      </c>
      <c r="AW1652">
        <v>0</v>
      </c>
      <c r="AX1652">
        <v>2</v>
      </c>
      <c r="AY1652">
        <v>0</v>
      </c>
      <c r="AZ1652">
        <v>0</v>
      </c>
      <c r="BA1652">
        <v>0</v>
      </c>
      <c r="BB165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3</v>
      </c>
      <c r="BL1652" s="2">
        <v>0</v>
      </c>
      <c r="BM1652" s="2">
        <v>1</v>
      </c>
      <c r="BN1652" s="2">
        <v>2</v>
      </c>
      <c r="BO1652" s="2">
        <v>0</v>
      </c>
      <c r="BP1652" s="2">
        <v>0</v>
      </c>
      <c r="BQ1652" s="2">
        <v>2</v>
      </c>
      <c r="BR1652" s="2">
        <v>0</v>
      </c>
      <c r="BS1652" s="2">
        <v>0</v>
      </c>
      <c r="BT1652" s="2">
        <v>0</v>
      </c>
      <c r="BU1652" s="2">
        <v>1</v>
      </c>
      <c r="BV1652" s="2">
        <f t="shared" si="105"/>
        <v>10</v>
      </c>
      <c r="BW1652" s="16">
        <f t="shared" si="103"/>
        <v>0.52631578947368418</v>
      </c>
      <c r="BX1652" s="16">
        <f>COUNTIF($BC$6:BU1652, "=0") / COUNTIF($BC$6:BU1652, "&gt;-1")</f>
        <v>0.41319144856677215</v>
      </c>
      <c r="BY1652" s="18">
        <f>SUM($BC$6:BU1652) / $BY$4</f>
        <v>0.98653939507473809</v>
      </c>
      <c r="BZ1652" s="14">
        <f t="shared" si="104"/>
        <v>13</v>
      </c>
      <c r="CA1652" t="s">
        <v>5832</v>
      </c>
      <c r="CZ1652" t="s">
        <v>12978</v>
      </c>
      <c r="DA1652" t="s">
        <v>5904</v>
      </c>
      <c r="DB1652">
        <v>776.9</v>
      </c>
      <c r="DC1652" t="s">
        <v>34494</v>
      </c>
      <c r="DD1652" t="s">
        <v>34495</v>
      </c>
      <c r="DE1652" t="s">
        <v>34496</v>
      </c>
      <c r="DF1652" t="s">
        <v>34497</v>
      </c>
      <c r="DG1652" t="s">
        <v>34498</v>
      </c>
      <c r="DH1652" t="str">
        <f>"BCAS1"</f>
        <v>BCAS1</v>
      </c>
      <c r="DI1652" t="s">
        <v>34499</v>
      </c>
      <c r="DJ1652" t="s">
        <v>13777</v>
      </c>
      <c r="DK1652">
        <v>9606</v>
      </c>
      <c r="DL1652" s="34" t="str">
        <f>HYPERLINK("http://www.uniprot.org/uniprot/O75363", "O75363")</f>
        <v>O75363</v>
      </c>
      <c r="DM1652" t="s">
        <v>34500</v>
      </c>
      <c r="DN1652" t="s">
        <v>13772</v>
      </c>
      <c r="DO1652" t="s">
        <v>13899</v>
      </c>
      <c r="DP1652" t="s">
        <v>13780</v>
      </c>
      <c r="DQ1652" t="s">
        <v>13772</v>
      </c>
      <c r="DR1652" t="s">
        <v>13772</v>
      </c>
      <c r="DS1652" t="s">
        <v>13772</v>
      </c>
      <c r="DT1652" t="s">
        <v>13772</v>
      </c>
      <c r="DU1652" t="s">
        <v>13772</v>
      </c>
      <c r="DV1652" t="s">
        <v>13782</v>
      </c>
      <c r="DW1652" t="s">
        <v>13772</v>
      </c>
      <c r="DX1652" t="s">
        <v>34501</v>
      </c>
      <c r="DY1652" t="s">
        <v>34502</v>
      </c>
      <c r="DZ1652" t="s">
        <v>13772</v>
      </c>
      <c r="EA1652" t="s">
        <v>13772</v>
      </c>
      <c r="EB1652" t="s">
        <v>13772</v>
      </c>
    </row>
    <row r="1653" spans="1:132" hidden="1">
      <c r="A1653">
        <v>2307</v>
      </c>
      <c r="B1653">
        <v>1</v>
      </c>
      <c r="C1653" t="s">
        <v>5386</v>
      </c>
      <c r="D1653" t="s">
        <v>5387</v>
      </c>
      <c r="E1653" t="s">
        <v>73</v>
      </c>
      <c r="F1653" t="s">
        <v>73</v>
      </c>
      <c r="G1653" t="s">
        <v>73</v>
      </c>
      <c r="H1653">
        <v>28.2</v>
      </c>
      <c r="I1653">
        <v>124</v>
      </c>
      <c r="J1653">
        <v>13735</v>
      </c>
      <c r="K1653" t="s">
        <v>5388</v>
      </c>
      <c r="L1653">
        <f t="shared" si="102"/>
        <v>10</v>
      </c>
      <c r="N1653">
        <v>10</v>
      </c>
      <c r="O1653">
        <v>10</v>
      </c>
      <c r="P1653">
        <v>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>
        <v>0</v>
      </c>
      <c r="AA1653">
        <v>2</v>
      </c>
      <c r="AB1653">
        <v>1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v>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3</v>
      </c>
      <c r="AS1653">
        <v>0</v>
      </c>
      <c r="AT1653">
        <v>2</v>
      </c>
      <c r="AU1653">
        <v>1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 s="2">
        <v>2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3</v>
      </c>
      <c r="BL1653" s="2">
        <v>0</v>
      </c>
      <c r="BM1653" s="2">
        <v>2</v>
      </c>
      <c r="BN1653" s="2">
        <v>1</v>
      </c>
      <c r="BO1653" s="2">
        <v>0</v>
      </c>
      <c r="BP1653" s="2">
        <v>0</v>
      </c>
      <c r="BQ1653" s="2">
        <v>1</v>
      </c>
      <c r="BR1653" s="2">
        <v>1</v>
      </c>
      <c r="BS1653" s="2">
        <v>0</v>
      </c>
      <c r="BT1653" s="2">
        <v>0</v>
      </c>
      <c r="BU1653" s="2">
        <v>0</v>
      </c>
      <c r="BV1653" s="2">
        <f t="shared" si="105"/>
        <v>10</v>
      </c>
      <c r="BW1653" s="16">
        <f t="shared" si="103"/>
        <v>0.52631578947368418</v>
      </c>
      <c r="BX1653" s="16">
        <f>COUNTIF($BC$6:BU1653, "=0") / COUNTIF($BC$6:BU1653, "&gt;-1")</f>
        <v>0.41335590189064897</v>
      </c>
      <c r="BY1653" s="18">
        <f>SUM($BC$6:BU1653) / $BY$4</f>
        <v>0.98658223144342516</v>
      </c>
      <c r="BZ1653" s="14">
        <f t="shared" si="104"/>
        <v>13</v>
      </c>
      <c r="CA1653" t="s">
        <v>5832</v>
      </c>
      <c r="CZ1653" t="s">
        <v>13426</v>
      </c>
      <c r="DA1653" t="s">
        <v>5904</v>
      </c>
      <c r="DB1653">
        <v>253.4</v>
      </c>
      <c r="DC1653" t="s">
        <v>35784</v>
      </c>
      <c r="DD1653" t="s">
        <v>35785</v>
      </c>
      <c r="DE1653" t="s">
        <v>35786</v>
      </c>
      <c r="DF1653" t="s">
        <v>35787</v>
      </c>
      <c r="DG1653" t="s">
        <v>35788</v>
      </c>
      <c r="DH1653" t="str">
        <f>"TAX1BP3"</f>
        <v>TAX1BP3</v>
      </c>
      <c r="DI1653" t="s">
        <v>13772</v>
      </c>
      <c r="DJ1653" t="s">
        <v>13777</v>
      </c>
      <c r="DK1653">
        <v>9606</v>
      </c>
      <c r="DL1653" s="34" t="str">
        <f>HYPERLINK("http://www.uniprot.org/uniprot/O14907", "O14907")</f>
        <v>O14907</v>
      </c>
      <c r="DM1653" t="s">
        <v>35789</v>
      </c>
      <c r="DN1653" t="s">
        <v>14072</v>
      </c>
      <c r="DO1653" t="s">
        <v>14968</v>
      </c>
      <c r="DP1653" t="s">
        <v>13793</v>
      </c>
      <c r="DQ1653" t="s">
        <v>13772</v>
      </c>
      <c r="DR1653" t="s">
        <v>13772</v>
      </c>
      <c r="DS1653" t="s">
        <v>13772</v>
      </c>
      <c r="DT1653" t="s">
        <v>13772</v>
      </c>
      <c r="DU1653" t="s">
        <v>13772</v>
      </c>
      <c r="DV1653" t="s">
        <v>13886</v>
      </c>
      <c r="DW1653" t="s">
        <v>13812</v>
      </c>
      <c r="DX1653" t="s">
        <v>35790</v>
      </c>
      <c r="DY1653" t="s">
        <v>35791</v>
      </c>
      <c r="DZ1653" t="s">
        <v>35792</v>
      </c>
      <c r="EA1653" t="s">
        <v>13772</v>
      </c>
      <c r="EB1653" t="s">
        <v>35793</v>
      </c>
    </row>
    <row r="1654" spans="1:132" hidden="1">
      <c r="A1654">
        <v>2324</v>
      </c>
      <c r="B1654">
        <v>1</v>
      </c>
      <c r="C1654" t="s">
        <v>5419</v>
      </c>
      <c r="D1654" t="s">
        <v>73</v>
      </c>
      <c r="E1654" t="s">
        <v>73</v>
      </c>
      <c r="F1654" t="s">
        <v>2280</v>
      </c>
      <c r="G1654" t="s">
        <v>73</v>
      </c>
      <c r="H1654">
        <v>11.6</v>
      </c>
      <c r="I1654">
        <v>613</v>
      </c>
      <c r="J1654">
        <v>68567</v>
      </c>
      <c r="K1654" t="s">
        <v>5420</v>
      </c>
      <c r="L1654">
        <f t="shared" si="102"/>
        <v>10</v>
      </c>
      <c r="N1654">
        <v>10</v>
      </c>
      <c r="O1654">
        <v>9</v>
      </c>
      <c r="P1654">
        <v>0.9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0</v>
      </c>
      <c r="AA1654">
        <v>4</v>
      </c>
      <c r="AB1654">
        <v>1</v>
      </c>
      <c r="AC1654">
        <v>1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2</v>
      </c>
      <c r="AS1654">
        <v>0</v>
      </c>
      <c r="AT1654">
        <v>3</v>
      </c>
      <c r="AU1654">
        <v>1</v>
      </c>
      <c r="AV1654">
        <v>1</v>
      </c>
      <c r="AW1654">
        <v>0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2</v>
      </c>
      <c r="BL1654" s="2">
        <v>0</v>
      </c>
      <c r="BM1654" s="2">
        <v>4</v>
      </c>
      <c r="BN1654" s="2">
        <v>1</v>
      </c>
      <c r="BO1654" s="2">
        <v>1</v>
      </c>
      <c r="BP1654" s="2">
        <v>0</v>
      </c>
      <c r="BQ1654" s="2">
        <v>1</v>
      </c>
      <c r="BR1654" s="2">
        <v>1</v>
      </c>
      <c r="BS1654" s="2">
        <v>0</v>
      </c>
      <c r="BT1654" s="2">
        <v>0</v>
      </c>
      <c r="BU1654" s="2">
        <v>0</v>
      </c>
      <c r="BV1654" s="2">
        <f t="shared" si="105"/>
        <v>10</v>
      </c>
      <c r="BW1654" s="16">
        <f t="shared" si="103"/>
        <v>0.52631578947368418</v>
      </c>
      <c r="BX1654" s="16">
        <f>COUNTIF($BC$6:BU1654, "=0") / COUNTIF($BC$6:BU1654, "&gt;-1")</f>
        <v>0.41352015575627971</v>
      </c>
      <c r="BY1654" s="18">
        <f>SUM($BC$6:BU1654) / $BY$4</f>
        <v>0.98662506781211212</v>
      </c>
      <c r="BZ1654" s="14">
        <f t="shared" si="104"/>
        <v>13</v>
      </c>
      <c r="CA1654" t="s">
        <v>5832</v>
      </c>
      <c r="CZ1654" t="s">
        <v>13472</v>
      </c>
      <c r="DA1654" t="s">
        <v>5904</v>
      </c>
      <c r="DB1654">
        <v>1015.8</v>
      </c>
      <c r="DC1654" t="s">
        <v>35905</v>
      </c>
      <c r="DD1654" t="s">
        <v>35906</v>
      </c>
      <c r="DE1654" t="s">
        <v>35907</v>
      </c>
      <c r="DF1654" t="s">
        <v>35908</v>
      </c>
      <c r="DG1654" t="s">
        <v>35909</v>
      </c>
      <c r="DH1654" t="str">
        <f>"SEPT9"</f>
        <v>SEPT9</v>
      </c>
      <c r="DI1654" t="s">
        <v>35910</v>
      </c>
      <c r="DJ1654" t="s">
        <v>13777</v>
      </c>
      <c r="DK1654">
        <v>9606</v>
      </c>
      <c r="DL1654" s="34" t="str">
        <f>HYPERLINK("http://www.uniprot.org/uniprot/Q9UHD8", "Q9UHD8")</f>
        <v>Q9UHD8</v>
      </c>
      <c r="DM1654" t="s">
        <v>35911</v>
      </c>
      <c r="DN1654" t="s">
        <v>21625</v>
      </c>
      <c r="DO1654" t="s">
        <v>13988</v>
      </c>
      <c r="DP1654" t="s">
        <v>20333</v>
      </c>
      <c r="DQ1654" t="s">
        <v>13772</v>
      </c>
      <c r="DR1654" t="s">
        <v>13807</v>
      </c>
      <c r="DS1654" t="s">
        <v>13772</v>
      </c>
      <c r="DT1654" t="s">
        <v>14216</v>
      </c>
      <c r="DU1654" t="s">
        <v>13772</v>
      </c>
      <c r="DV1654" t="s">
        <v>13886</v>
      </c>
      <c r="DW1654" t="s">
        <v>13812</v>
      </c>
      <c r="DX1654" t="s">
        <v>35912</v>
      </c>
      <c r="DY1654" t="s">
        <v>35913</v>
      </c>
      <c r="DZ1654" t="s">
        <v>35245</v>
      </c>
      <c r="EA1654" t="s">
        <v>13772</v>
      </c>
      <c r="EB1654" t="s">
        <v>13772</v>
      </c>
    </row>
    <row r="1655" spans="1:132" hidden="1">
      <c r="A1655">
        <v>2349</v>
      </c>
      <c r="B1655">
        <v>1</v>
      </c>
      <c r="C1655" t="s">
        <v>5481</v>
      </c>
      <c r="D1655" t="s">
        <v>73</v>
      </c>
      <c r="E1655" t="s">
        <v>73</v>
      </c>
      <c r="F1655" t="s">
        <v>73</v>
      </c>
      <c r="G1655" t="s">
        <v>73</v>
      </c>
      <c r="H1655">
        <v>29.2</v>
      </c>
      <c r="I1655">
        <v>161</v>
      </c>
      <c r="J1655">
        <v>18689</v>
      </c>
      <c r="K1655" t="s">
        <v>5482</v>
      </c>
      <c r="L1655">
        <f t="shared" si="102"/>
        <v>10</v>
      </c>
      <c r="N1655">
        <v>10</v>
      </c>
      <c r="O1655">
        <v>10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2</v>
      </c>
      <c r="V1655">
        <v>2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2</v>
      </c>
      <c r="AO1655">
        <v>2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 s="2">
        <v>0</v>
      </c>
      <c r="BD1655" s="2">
        <v>1</v>
      </c>
      <c r="BE1655" s="2">
        <v>0</v>
      </c>
      <c r="BF1655" s="2">
        <v>0</v>
      </c>
      <c r="BG1655" s="2">
        <v>2</v>
      </c>
      <c r="BH1655" s="2">
        <v>2</v>
      </c>
      <c r="BI1655" s="2">
        <v>0</v>
      </c>
      <c r="BJ1655" s="2">
        <v>0</v>
      </c>
      <c r="BK1655" s="2">
        <v>1</v>
      </c>
      <c r="BL1655" s="2">
        <v>0</v>
      </c>
      <c r="BM1655" s="2">
        <v>1</v>
      </c>
      <c r="BN1655" s="2">
        <v>1</v>
      </c>
      <c r="BO1655" s="2">
        <v>0</v>
      </c>
      <c r="BP1655" s="2">
        <v>0</v>
      </c>
      <c r="BQ1655" s="2">
        <v>1</v>
      </c>
      <c r="BR1655" s="2">
        <v>1</v>
      </c>
      <c r="BS1655" s="2">
        <v>0</v>
      </c>
      <c r="BT1655" s="2">
        <v>0</v>
      </c>
      <c r="BU1655" s="2">
        <v>0</v>
      </c>
      <c r="BV1655" s="2">
        <f t="shared" si="105"/>
        <v>10</v>
      </c>
      <c r="BW1655" s="16">
        <f t="shared" si="103"/>
        <v>0.52631578947368418</v>
      </c>
      <c r="BX1655" s="16">
        <f>COUNTIF($BC$6:BU1655, "=0") / COUNTIF($BC$6:BU1655, "&gt;-1")</f>
        <v>0.41362041467304628</v>
      </c>
      <c r="BY1655" s="18">
        <f>SUM($BC$6:BU1655) / $BY$4</f>
        <v>0.98666790418079908</v>
      </c>
      <c r="BZ1655" s="14">
        <f t="shared" si="104"/>
        <v>11</v>
      </c>
      <c r="CA1655" t="s">
        <v>5832</v>
      </c>
      <c r="CZ1655" t="s">
        <v>13560</v>
      </c>
      <c r="DA1655" t="s">
        <v>5904</v>
      </c>
      <c r="DB1655">
        <v>300.10000000000002</v>
      </c>
      <c r="DC1655" t="s">
        <v>36140</v>
      </c>
      <c r="DD1655" t="s">
        <v>36141</v>
      </c>
      <c r="DE1655" t="s">
        <v>36142</v>
      </c>
      <c r="DF1655" t="s">
        <v>36143</v>
      </c>
      <c r="DG1655" t="s">
        <v>36144</v>
      </c>
      <c r="DH1655" t="str">
        <f>"ATP5PD"</f>
        <v>ATP5PD</v>
      </c>
      <c r="DI1655" t="s">
        <v>36145</v>
      </c>
      <c r="DJ1655" t="s">
        <v>13777</v>
      </c>
      <c r="DK1655">
        <v>9606</v>
      </c>
      <c r="DL1655" s="34" t="str">
        <f>HYPERLINK("http://www.uniprot.org/uniprot/O75947", "O75947")</f>
        <v>O75947</v>
      </c>
      <c r="DM1655" t="s">
        <v>36146</v>
      </c>
      <c r="DN1655" t="s">
        <v>14032</v>
      </c>
      <c r="DO1655" t="s">
        <v>19894</v>
      </c>
      <c r="DP1655" t="s">
        <v>13841</v>
      </c>
      <c r="DQ1655" t="s">
        <v>13772</v>
      </c>
      <c r="DR1655" t="s">
        <v>13772</v>
      </c>
      <c r="DS1655" t="s">
        <v>13772</v>
      </c>
      <c r="DT1655" t="s">
        <v>13772</v>
      </c>
      <c r="DU1655" t="s">
        <v>13772</v>
      </c>
      <c r="DV1655" t="s">
        <v>14020</v>
      </c>
      <c r="DW1655" t="s">
        <v>13772</v>
      </c>
      <c r="DX1655" t="s">
        <v>36147</v>
      </c>
      <c r="DY1655" t="s">
        <v>36148</v>
      </c>
      <c r="DZ1655" t="s">
        <v>36149</v>
      </c>
      <c r="EA1655" t="s">
        <v>13772</v>
      </c>
      <c r="EB1655" t="s">
        <v>19898</v>
      </c>
    </row>
    <row r="1656" spans="1:132" hidden="1">
      <c r="A1656">
        <v>2351</v>
      </c>
      <c r="B1656">
        <v>1</v>
      </c>
      <c r="C1656" t="s">
        <v>5485</v>
      </c>
      <c r="D1656" t="s">
        <v>73</v>
      </c>
      <c r="E1656" t="s">
        <v>73</v>
      </c>
      <c r="F1656" t="s">
        <v>73</v>
      </c>
      <c r="G1656" t="s">
        <v>73</v>
      </c>
      <c r="H1656">
        <v>3.9</v>
      </c>
      <c r="I1656">
        <v>2518</v>
      </c>
      <c r="J1656">
        <v>273793</v>
      </c>
      <c r="K1656" t="s">
        <v>5486</v>
      </c>
      <c r="L1656">
        <f t="shared" si="102"/>
        <v>10</v>
      </c>
      <c r="N1656">
        <v>10</v>
      </c>
      <c r="O1656">
        <v>10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</v>
      </c>
      <c r="AB1656">
        <v>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7</v>
      </c>
      <c r="AU1656">
        <v>3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7</v>
      </c>
      <c r="BN1656" s="2">
        <v>3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f t="shared" si="105"/>
        <v>10</v>
      </c>
      <c r="BW1656" s="16">
        <f t="shared" si="103"/>
        <v>0.52631578947368418</v>
      </c>
      <c r="BX1656" s="16">
        <f>COUNTIF($BC$6:BU1656, "=0") / COUNTIF($BC$6:BU1656, "&gt;-1")</f>
        <v>0.41391182377506458</v>
      </c>
      <c r="BY1656" s="18">
        <f>SUM($BC$6:BU1656) / $BY$4</f>
        <v>0.98671074054948615</v>
      </c>
      <c r="BZ1656" s="14">
        <f t="shared" si="104"/>
        <v>17</v>
      </c>
      <c r="CA1656" t="s">
        <v>5832</v>
      </c>
      <c r="CZ1656" t="s">
        <v>13566</v>
      </c>
      <c r="DA1656" t="s">
        <v>5904</v>
      </c>
      <c r="DB1656">
        <v>4187.1000000000004</v>
      </c>
      <c r="DC1656" t="s">
        <v>36159</v>
      </c>
      <c r="DD1656" t="s">
        <v>13772</v>
      </c>
      <c r="DE1656" t="s">
        <v>36160</v>
      </c>
      <c r="DF1656" t="s">
        <v>36161</v>
      </c>
      <c r="DG1656" t="s">
        <v>36162</v>
      </c>
      <c r="DH1656" t="str">
        <f>"FASN"</f>
        <v>FASN</v>
      </c>
      <c r="DI1656" t="s">
        <v>36163</v>
      </c>
      <c r="DJ1656" t="s">
        <v>13777</v>
      </c>
      <c r="DK1656">
        <v>9606</v>
      </c>
      <c r="DL1656" s="34" t="str">
        <f>HYPERLINK("http://www.uniprot.org/uniprot/P49327", "P49327")</f>
        <v>P49327</v>
      </c>
      <c r="DM1656" t="s">
        <v>36164</v>
      </c>
      <c r="DN1656" t="s">
        <v>36165</v>
      </c>
      <c r="DO1656" t="s">
        <v>13899</v>
      </c>
      <c r="DP1656" t="s">
        <v>13793</v>
      </c>
      <c r="DQ1656" t="s">
        <v>13772</v>
      </c>
      <c r="DR1656" t="s">
        <v>13772</v>
      </c>
      <c r="DS1656" t="s">
        <v>13772</v>
      </c>
      <c r="DT1656" t="s">
        <v>36166</v>
      </c>
      <c r="DU1656" t="s">
        <v>36167</v>
      </c>
      <c r="DV1656" t="s">
        <v>36168</v>
      </c>
      <c r="DW1656" t="s">
        <v>13812</v>
      </c>
      <c r="DX1656" t="s">
        <v>36169</v>
      </c>
      <c r="DY1656" t="s">
        <v>36170</v>
      </c>
      <c r="DZ1656" t="s">
        <v>36171</v>
      </c>
      <c r="EA1656" t="s">
        <v>13772</v>
      </c>
      <c r="EB1656" t="s">
        <v>36172</v>
      </c>
    </row>
    <row r="1657" spans="1:132" hidden="1">
      <c r="A1657">
        <v>90</v>
      </c>
      <c r="B1657">
        <v>1</v>
      </c>
      <c r="C1657" t="s">
        <v>246</v>
      </c>
      <c r="D1657" t="s">
        <v>73</v>
      </c>
      <c r="E1657" t="s">
        <v>73</v>
      </c>
      <c r="F1657" t="s">
        <v>247</v>
      </c>
      <c r="G1657" t="s">
        <v>73</v>
      </c>
      <c r="H1657">
        <v>48.1</v>
      </c>
      <c r="I1657">
        <v>270</v>
      </c>
      <c r="J1657">
        <v>31820</v>
      </c>
      <c r="K1657" t="s">
        <v>248</v>
      </c>
      <c r="L1657">
        <f t="shared" si="102"/>
        <v>10</v>
      </c>
      <c r="N1657">
        <v>10</v>
      </c>
      <c r="O1657">
        <v>9</v>
      </c>
      <c r="P1657">
        <v>0.9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9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8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8.8000000000000007</v>
      </c>
      <c r="BK1657" s="2">
        <v>0</v>
      </c>
      <c r="BL1657" s="2">
        <v>0</v>
      </c>
      <c r="BM1657" s="2">
        <v>1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f t="shared" si="105"/>
        <v>9.8000000000000007</v>
      </c>
      <c r="BW1657" s="16">
        <f t="shared" si="103"/>
        <v>0.51578947368421058</v>
      </c>
      <c r="BX1657" s="16">
        <f>COUNTIF($BC$6:BU1657, "=0") / COUNTIF($BC$6:BU1657, "&gt;-1")</f>
        <v>0.41420288008155981</v>
      </c>
      <c r="BY1657" s="18">
        <f>SUM($BC$6:BU1657) / $BY$4</f>
        <v>0.98675272019079929</v>
      </c>
      <c r="BZ1657" s="14">
        <f t="shared" si="104"/>
        <v>17</v>
      </c>
      <c r="CA1657" t="s">
        <v>5832</v>
      </c>
      <c r="CZ1657" t="s">
        <v>6009</v>
      </c>
      <c r="DA1657" t="s">
        <v>5904</v>
      </c>
      <c r="DB1657">
        <v>563.9</v>
      </c>
      <c r="DC1657" t="s">
        <v>14187</v>
      </c>
      <c r="DD1657" t="s">
        <v>13772</v>
      </c>
      <c r="DE1657" t="s">
        <v>14188</v>
      </c>
      <c r="DF1657" t="s">
        <v>14189</v>
      </c>
      <c r="DG1657" t="s">
        <v>13772</v>
      </c>
      <c r="DH1657" t="str">
        <f>"PITPNA"</f>
        <v>PITPNA</v>
      </c>
      <c r="DI1657" t="s">
        <v>14190</v>
      </c>
      <c r="DJ1657" t="s">
        <v>13777</v>
      </c>
      <c r="DK1657">
        <v>9606</v>
      </c>
      <c r="DL1657" s="34" t="str">
        <f>HYPERLINK("http://www.uniprot.org/uniprot/Q00169", "Q00169")</f>
        <v>Q00169</v>
      </c>
      <c r="DM1657" t="s">
        <v>14191</v>
      </c>
      <c r="DN1657" t="s">
        <v>14192</v>
      </c>
      <c r="DO1657" t="s">
        <v>13899</v>
      </c>
      <c r="DP1657" t="s">
        <v>13772</v>
      </c>
      <c r="DQ1657" t="s">
        <v>13772</v>
      </c>
      <c r="DR1657" t="s">
        <v>13772</v>
      </c>
      <c r="DS1657" t="s">
        <v>13772</v>
      </c>
      <c r="DT1657" t="s">
        <v>13900</v>
      </c>
      <c r="DU1657" t="s">
        <v>13772</v>
      </c>
      <c r="DV1657" t="s">
        <v>14020</v>
      </c>
      <c r="DW1657" t="s">
        <v>13812</v>
      </c>
      <c r="DX1657" t="s">
        <v>14193</v>
      </c>
      <c r="DY1657" t="s">
        <v>14194</v>
      </c>
      <c r="DZ1657" t="s">
        <v>14195</v>
      </c>
      <c r="EA1657" t="s">
        <v>13772</v>
      </c>
      <c r="EB1657" t="s">
        <v>14196</v>
      </c>
    </row>
    <row r="1658" spans="1:132" hidden="1">
      <c r="A1658">
        <v>2370</v>
      </c>
      <c r="B1658">
        <v>1</v>
      </c>
      <c r="C1658" t="s">
        <v>5523</v>
      </c>
      <c r="D1658" t="s">
        <v>73</v>
      </c>
      <c r="E1658" t="s">
        <v>73</v>
      </c>
      <c r="F1658" t="s">
        <v>552</v>
      </c>
      <c r="G1658" t="s">
        <v>73</v>
      </c>
      <c r="H1658">
        <v>15.5</v>
      </c>
      <c r="I1658">
        <v>1940</v>
      </c>
      <c r="J1658">
        <v>223825</v>
      </c>
      <c r="K1658" t="s">
        <v>5524</v>
      </c>
      <c r="L1658">
        <f t="shared" si="102"/>
        <v>207</v>
      </c>
      <c r="N1658">
        <v>207</v>
      </c>
      <c r="O1658">
        <v>4</v>
      </c>
      <c r="P1658">
        <v>1.9E-2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7</v>
      </c>
      <c r="X1658">
        <v>16</v>
      </c>
      <c r="Y1658">
        <v>19</v>
      </c>
      <c r="Z1658">
        <v>8</v>
      </c>
      <c r="AA1658">
        <v>23</v>
      </c>
      <c r="AB1658">
        <v>19</v>
      </c>
      <c r="AC1658">
        <v>9</v>
      </c>
      <c r="AD1658">
        <v>2</v>
      </c>
      <c r="AE1658">
        <v>46</v>
      </c>
      <c r="AF1658">
        <v>44</v>
      </c>
      <c r="AG1658">
        <v>4</v>
      </c>
      <c r="AH1658">
        <v>3</v>
      </c>
      <c r="AI1658">
        <v>6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</v>
      </c>
      <c r="AY1658">
        <v>2</v>
      </c>
      <c r="AZ1658">
        <v>0</v>
      </c>
      <c r="BA1658">
        <v>0</v>
      </c>
      <c r="BB1658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0.5</v>
      </c>
      <c r="BQ1658" s="2">
        <v>5.2050000000000001</v>
      </c>
      <c r="BR1658" s="2">
        <v>3.863</v>
      </c>
      <c r="BS1658" s="2">
        <v>0</v>
      </c>
      <c r="BT1658" s="2">
        <v>0</v>
      </c>
      <c r="BU1658" s="2">
        <v>0</v>
      </c>
      <c r="BV1658" s="2">
        <f t="shared" si="105"/>
        <v>9.5679999999999996</v>
      </c>
      <c r="BW1658" s="16">
        <f t="shared" si="103"/>
        <v>0.50357894736842101</v>
      </c>
      <c r="BX1658" s="16">
        <f>COUNTIF($BC$6:BU1658, "=0") / COUNTIF($BC$6:BU1658, "&gt;-1")</f>
        <v>0.41446174419715348</v>
      </c>
      <c r="BY1658" s="18">
        <f>SUM($BC$6:BU1658) / $BY$4</f>
        <v>0.98679370602835903</v>
      </c>
      <c r="BZ1658" s="14">
        <f t="shared" si="104"/>
        <v>16</v>
      </c>
      <c r="CA1658" t="s">
        <v>5832</v>
      </c>
      <c r="CZ1658" t="s">
        <v>13630</v>
      </c>
      <c r="DA1658" t="s">
        <v>5904</v>
      </c>
      <c r="DB1658">
        <v>3896.7</v>
      </c>
      <c r="DC1658" t="s">
        <v>36329</v>
      </c>
      <c r="DD1658" t="s">
        <v>36330</v>
      </c>
      <c r="DE1658" t="s">
        <v>36331</v>
      </c>
      <c r="DF1658" t="s">
        <v>36332</v>
      </c>
      <c r="DG1658" t="s">
        <v>36333</v>
      </c>
      <c r="DH1658" t="str">
        <f>"MYH3"</f>
        <v>MYH3</v>
      </c>
      <c r="DI1658" t="s">
        <v>13772</v>
      </c>
      <c r="DJ1658" t="s">
        <v>13777</v>
      </c>
      <c r="DK1658">
        <v>9606</v>
      </c>
      <c r="DL1658" s="34" t="str">
        <f>HYPERLINK("http://www.uniprot.org/uniprot/P11055", "P11055")</f>
        <v>P11055</v>
      </c>
      <c r="DM1658" t="s">
        <v>36334</v>
      </c>
      <c r="DN1658" t="s">
        <v>13772</v>
      </c>
      <c r="DO1658" t="s">
        <v>15651</v>
      </c>
      <c r="DP1658" t="s">
        <v>13793</v>
      </c>
      <c r="DQ1658" t="s">
        <v>13772</v>
      </c>
      <c r="DR1658" t="s">
        <v>13807</v>
      </c>
      <c r="DS1658" t="s">
        <v>14245</v>
      </c>
      <c r="DT1658" t="s">
        <v>14005</v>
      </c>
      <c r="DU1658" t="s">
        <v>15653</v>
      </c>
      <c r="DV1658" t="s">
        <v>17914</v>
      </c>
      <c r="DW1658" t="s">
        <v>13772</v>
      </c>
      <c r="DX1658" t="s">
        <v>36335</v>
      </c>
      <c r="DY1658" t="s">
        <v>36336</v>
      </c>
      <c r="DZ1658" t="s">
        <v>36337</v>
      </c>
      <c r="EA1658" t="s">
        <v>13772</v>
      </c>
      <c r="EB1658" t="s">
        <v>15657</v>
      </c>
    </row>
    <row r="1659" spans="1:132" hidden="1">
      <c r="A1659">
        <v>811</v>
      </c>
      <c r="B1659">
        <v>1</v>
      </c>
      <c r="C1659" t="s">
        <v>1989</v>
      </c>
      <c r="D1659" t="s">
        <v>73</v>
      </c>
      <c r="E1659" t="s">
        <v>73</v>
      </c>
      <c r="F1659" t="s">
        <v>1990</v>
      </c>
      <c r="G1659" t="s">
        <v>73</v>
      </c>
      <c r="H1659">
        <v>13.1</v>
      </c>
      <c r="I1659">
        <v>359</v>
      </c>
      <c r="J1659">
        <v>42105</v>
      </c>
      <c r="K1659" t="s">
        <v>1991</v>
      </c>
      <c r="L1659">
        <f t="shared" si="102"/>
        <v>10</v>
      </c>
      <c r="N1659">
        <v>10</v>
      </c>
      <c r="O1659">
        <v>9</v>
      </c>
      <c r="P1659">
        <v>0.9</v>
      </c>
      <c r="Q1659">
        <v>0</v>
      </c>
      <c r="R1659">
        <v>1</v>
      </c>
      <c r="S1659">
        <v>1</v>
      </c>
      <c r="T1659">
        <v>0</v>
      </c>
      <c r="U1659">
        <v>4</v>
      </c>
      <c r="V1659">
        <v>2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4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s="2">
        <v>0</v>
      </c>
      <c r="BD1659" s="2">
        <v>1</v>
      </c>
      <c r="BE1659" s="2">
        <v>1</v>
      </c>
      <c r="BF1659" s="2">
        <v>0</v>
      </c>
      <c r="BG1659" s="2">
        <v>4</v>
      </c>
      <c r="BH1659" s="2">
        <v>1.5</v>
      </c>
      <c r="BI1659" s="2">
        <v>1</v>
      </c>
      <c r="BJ1659" s="2">
        <v>1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f t="shared" si="105"/>
        <v>9.5</v>
      </c>
      <c r="BW1659" s="16">
        <f t="shared" si="103"/>
        <v>0.5</v>
      </c>
      <c r="BX1659" s="16">
        <f>COUNTIF($BC$6:BU1659, "=0") / COUNTIF($BC$6:BU1659, "&gt;-1")</f>
        <v>0.41462483294087699</v>
      </c>
      <c r="BY1659" s="18">
        <f>SUM($BC$6:BU1659) / $BY$4</f>
        <v>0.98683440057861171</v>
      </c>
      <c r="BZ1659" s="14">
        <f t="shared" si="104"/>
        <v>13</v>
      </c>
      <c r="CA1659" t="s">
        <v>5832</v>
      </c>
      <c r="CZ1659" t="s">
        <v>8477</v>
      </c>
      <c r="DA1659" t="s">
        <v>5904</v>
      </c>
      <c r="DB1659">
        <v>733.8</v>
      </c>
      <c r="DC1659" t="s">
        <v>21792</v>
      </c>
      <c r="DD1659" t="s">
        <v>21793</v>
      </c>
      <c r="DE1659" t="s">
        <v>21794</v>
      </c>
      <c r="DF1659" t="s">
        <v>21795</v>
      </c>
      <c r="DG1659" t="s">
        <v>21796</v>
      </c>
      <c r="DH1659" t="str">
        <f>"GNA11"</f>
        <v>GNA11</v>
      </c>
      <c r="DI1659" t="s">
        <v>21797</v>
      </c>
      <c r="DJ1659" t="s">
        <v>13777</v>
      </c>
      <c r="DK1659">
        <v>9606</v>
      </c>
      <c r="DL1659" s="34" t="str">
        <f>HYPERLINK("http://www.uniprot.org/uniprot/P29992", "P29992")</f>
        <v>P29992</v>
      </c>
      <c r="DM1659" t="s">
        <v>21798</v>
      </c>
      <c r="DN1659" t="s">
        <v>13772</v>
      </c>
      <c r="DO1659" t="s">
        <v>18623</v>
      </c>
      <c r="DP1659" t="s">
        <v>13772</v>
      </c>
      <c r="DQ1659" t="s">
        <v>13772</v>
      </c>
      <c r="DR1659" t="s">
        <v>13807</v>
      </c>
      <c r="DS1659" t="s">
        <v>13772</v>
      </c>
      <c r="DT1659" t="s">
        <v>16882</v>
      </c>
      <c r="DU1659" t="s">
        <v>16883</v>
      </c>
      <c r="DV1659" t="s">
        <v>21799</v>
      </c>
      <c r="DW1659" t="s">
        <v>13772</v>
      </c>
      <c r="DX1659" t="s">
        <v>21800</v>
      </c>
      <c r="DY1659" t="s">
        <v>21801</v>
      </c>
      <c r="DZ1659" t="s">
        <v>21802</v>
      </c>
      <c r="EA1659" t="s">
        <v>13772</v>
      </c>
      <c r="EB1659" t="s">
        <v>21803</v>
      </c>
    </row>
    <row r="1660" spans="1:132" hidden="1">
      <c r="A1660">
        <v>1166</v>
      </c>
      <c r="B1660">
        <v>1</v>
      </c>
      <c r="C1660" t="s">
        <v>2801</v>
      </c>
      <c r="D1660" t="s">
        <v>2802</v>
      </c>
      <c r="E1660" t="s">
        <v>73</v>
      </c>
      <c r="F1660" t="s">
        <v>2803</v>
      </c>
      <c r="G1660" t="s">
        <v>73</v>
      </c>
      <c r="H1660">
        <v>14.7</v>
      </c>
      <c r="I1660">
        <v>652</v>
      </c>
      <c r="J1660">
        <v>72526</v>
      </c>
      <c r="K1660" t="s">
        <v>2804</v>
      </c>
      <c r="L1660">
        <f t="shared" si="102"/>
        <v>10</v>
      </c>
      <c r="N1660">
        <v>10</v>
      </c>
      <c r="O1660">
        <v>9</v>
      </c>
      <c r="P1660">
        <v>0.9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2</v>
      </c>
      <c r="AB1660">
        <v>5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</v>
      </c>
      <c r="AU1660">
        <v>5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0.5</v>
      </c>
      <c r="BI1660" s="2">
        <v>0</v>
      </c>
      <c r="BJ1660" s="2">
        <v>0</v>
      </c>
      <c r="BK1660" s="2">
        <v>0</v>
      </c>
      <c r="BL1660" s="2">
        <v>0</v>
      </c>
      <c r="BM1660" s="2">
        <v>2</v>
      </c>
      <c r="BN1660" s="2">
        <v>5</v>
      </c>
      <c r="BO1660" s="2">
        <v>0</v>
      </c>
      <c r="BP1660" s="2">
        <v>0</v>
      </c>
      <c r="BQ1660" s="2">
        <v>1</v>
      </c>
      <c r="BR1660" s="2">
        <v>1</v>
      </c>
      <c r="BS1660" s="2">
        <v>0</v>
      </c>
      <c r="BT1660" s="2">
        <v>0</v>
      </c>
      <c r="BU1660" s="2">
        <v>0</v>
      </c>
      <c r="BV1660" s="2">
        <f t="shared" si="105"/>
        <v>9.5</v>
      </c>
      <c r="BW1660" s="16">
        <f t="shared" si="103"/>
        <v>0.5</v>
      </c>
      <c r="BX1660" s="16">
        <f>COUNTIF($BC$6:BU1660, "=0") / COUNTIF($BC$6:BU1660, "&gt;-1")</f>
        <v>0.41481952615678169</v>
      </c>
      <c r="BY1660" s="18">
        <f>SUM($BC$6:BU1660) / $BY$4</f>
        <v>0.9868750951288644</v>
      </c>
      <c r="BZ1660" s="14">
        <f t="shared" si="104"/>
        <v>14</v>
      </c>
      <c r="CA1660" t="s">
        <v>5832</v>
      </c>
      <c r="CZ1660" t="s">
        <v>9609</v>
      </c>
      <c r="DA1660" t="s">
        <v>5904</v>
      </c>
      <c r="DB1660">
        <v>1346.3</v>
      </c>
      <c r="DC1660" t="s">
        <v>25024</v>
      </c>
      <c r="DD1660" t="s">
        <v>25025</v>
      </c>
      <c r="DE1660" t="s">
        <v>25026</v>
      </c>
      <c r="DF1660" t="s">
        <v>25027</v>
      </c>
      <c r="DG1660" t="s">
        <v>25028</v>
      </c>
      <c r="DH1660" t="str">
        <f>"DDX17"</f>
        <v>DDX17</v>
      </c>
      <c r="DI1660" t="s">
        <v>13772</v>
      </c>
      <c r="DJ1660" t="s">
        <v>13777</v>
      </c>
      <c r="DK1660">
        <v>9606</v>
      </c>
      <c r="DL1660" s="34" t="str">
        <f>HYPERLINK("http://www.uniprot.org/uniprot/Q92841", "Q92841")</f>
        <v>Q92841</v>
      </c>
      <c r="DM1660" t="s">
        <v>25029</v>
      </c>
      <c r="DN1660" t="s">
        <v>25030</v>
      </c>
      <c r="DO1660" t="s">
        <v>13912</v>
      </c>
      <c r="DP1660" t="s">
        <v>16970</v>
      </c>
      <c r="DQ1660" t="s">
        <v>13772</v>
      </c>
      <c r="DR1660" t="s">
        <v>13772</v>
      </c>
      <c r="DS1660" t="s">
        <v>13772</v>
      </c>
      <c r="DT1660" t="s">
        <v>14005</v>
      </c>
      <c r="DU1660" t="s">
        <v>25031</v>
      </c>
      <c r="DV1660" t="s">
        <v>14663</v>
      </c>
      <c r="DW1660" t="s">
        <v>13772</v>
      </c>
      <c r="DX1660" t="s">
        <v>25032</v>
      </c>
      <c r="DY1660" t="s">
        <v>25033</v>
      </c>
      <c r="DZ1660" t="s">
        <v>25034</v>
      </c>
      <c r="EA1660" t="s">
        <v>13772</v>
      </c>
      <c r="EB1660" t="s">
        <v>15814</v>
      </c>
    </row>
    <row r="1661" spans="1:132" hidden="1">
      <c r="A1661">
        <v>951</v>
      </c>
      <c r="B1661">
        <v>1</v>
      </c>
      <c r="C1661" t="s">
        <v>2315</v>
      </c>
      <c r="D1661" t="s">
        <v>73</v>
      </c>
      <c r="E1661" t="s">
        <v>73</v>
      </c>
      <c r="F1661" t="s">
        <v>2316</v>
      </c>
      <c r="G1661" t="s">
        <v>73</v>
      </c>
      <c r="H1661">
        <v>36.5</v>
      </c>
      <c r="I1661">
        <v>312</v>
      </c>
      <c r="J1661">
        <v>29607</v>
      </c>
      <c r="K1661" t="s">
        <v>2314</v>
      </c>
      <c r="L1661">
        <f t="shared" si="102"/>
        <v>47</v>
      </c>
      <c r="N1661">
        <v>47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2</v>
      </c>
      <c r="X1661">
        <v>2</v>
      </c>
      <c r="Y1661">
        <v>10</v>
      </c>
      <c r="Z1661">
        <v>0</v>
      </c>
      <c r="AA1661">
        <v>9</v>
      </c>
      <c r="AB1661">
        <v>9</v>
      </c>
      <c r="AC1661">
        <v>5</v>
      </c>
      <c r="AD1661">
        <v>0</v>
      </c>
      <c r="AE1661">
        <v>2</v>
      </c>
      <c r="AF1661">
        <v>5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 s="2">
        <v>0.25</v>
      </c>
      <c r="BD1661" s="2">
        <v>0</v>
      </c>
      <c r="BE1661" s="2">
        <v>0.25</v>
      </c>
      <c r="BF1661" s="2">
        <v>0.25</v>
      </c>
      <c r="BG1661" s="2">
        <v>0</v>
      </c>
      <c r="BH1661" s="2">
        <v>0</v>
      </c>
      <c r="BI1661" s="2">
        <v>0.45</v>
      </c>
      <c r="BJ1661" s="2">
        <v>0.45</v>
      </c>
      <c r="BK1661" s="2">
        <v>1.917</v>
      </c>
      <c r="BL1661" s="2">
        <v>0</v>
      </c>
      <c r="BM1661" s="2">
        <v>1.7</v>
      </c>
      <c r="BN1661" s="2">
        <v>1.6</v>
      </c>
      <c r="BO1661" s="2">
        <v>0.91700000000000004</v>
      </c>
      <c r="BP1661" s="2">
        <v>0</v>
      </c>
      <c r="BQ1661" s="2">
        <v>0.33300000000000002</v>
      </c>
      <c r="BR1661" s="2">
        <v>1.367</v>
      </c>
      <c r="BS1661" s="2">
        <v>0</v>
      </c>
      <c r="BT1661" s="2">
        <v>0</v>
      </c>
      <c r="BU1661" s="2">
        <v>0</v>
      </c>
      <c r="BV1661" s="2">
        <f t="shared" si="105"/>
        <v>9.4840000000000018</v>
      </c>
      <c r="BW1661" s="16">
        <f t="shared" si="103"/>
        <v>0.49915789473684219</v>
      </c>
      <c r="BX1661" s="16">
        <f>COUNTIF($BC$6:BU1661, "=0") / COUNTIF($BC$6:BU1661, "&gt;-1")</f>
        <v>0.41482329010933128</v>
      </c>
      <c r="BY1661" s="18">
        <f>SUM($BC$6:BU1661) / $BY$4</f>
        <v>0.98691572114092718</v>
      </c>
      <c r="BZ1661" s="14">
        <f t="shared" si="104"/>
        <v>8</v>
      </c>
      <c r="CA1661" t="s">
        <v>5832</v>
      </c>
      <c r="CZ1661" t="s">
        <v>7232</v>
      </c>
      <c r="DA1661" t="s">
        <v>5904</v>
      </c>
      <c r="DB1661">
        <v>409.5</v>
      </c>
      <c r="DC1661" t="s">
        <v>18079</v>
      </c>
      <c r="DD1661" t="s">
        <v>18080</v>
      </c>
      <c r="DE1661" t="s">
        <v>18081</v>
      </c>
      <c r="DF1661" t="s">
        <v>18082</v>
      </c>
      <c r="DG1661" t="s">
        <v>18083</v>
      </c>
      <c r="DH1661" t="str">
        <f>"HNRNPA1L2"</f>
        <v>HNRNPA1L2</v>
      </c>
      <c r="DI1661" t="s">
        <v>18084</v>
      </c>
      <c r="DJ1661" t="s">
        <v>13777</v>
      </c>
      <c r="DK1661">
        <v>9606</v>
      </c>
      <c r="DL1661" s="34" t="str">
        <f>HYPERLINK("http://www.uniprot.org/uniprot/Q32P51", "Q32P51")</f>
        <v>Q32P51</v>
      </c>
      <c r="DM1661" t="s">
        <v>18085</v>
      </c>
      <c r="DN1661" t="s">
        <v>16723</v>
      </c>
      <c r="DO1661" t="s">
        <v>14230</v>
      </c>
      <c r="DP1661" t="s">
        <v>13793</v>
      </c>
      <c r="DQ1661" t="s">
        <v>13772</v>
      </c>
      <c r="DR1661" t="s">
        <v>13772</v>
      </c>
      <c r="DS1661" t="s">
        <v>14096</v>
      </c>
      <c r="DT1661" t="s">
        <v>13772</v>
      </c>
      <c r="DU1661" t="s">
        <v>16089</v>
      </c>
      <c r="DV1661" t="s">
        <v>14098</v>
      </c>
      <c r="DW1661" t="s">
        <v>13772</v>
      </c>
      <c r="DX1661" t="s">
        <v>18086</v>
      </c>
      <c r="DY1661" t="s">
        <v>18087</v>
      </c>
      <c r="DZ1661" t="s">
        <v>18088</v>
      </c>
      <c r="EA1661" t="s">
        <v>13772</v>
      </c>
      <c r="EB1661" t="s">
        <v>13772</v>
      </c>
    </row>
    <row r="1662" spans="1:132" hidden="1">
      <c r="A1662">
        <v>421</v>
      </c>
      <c r="B1662">
        <v>1</v>
      </c>
      <c r="C1662" t="s">
        <v>1054</v>
      </c>
      <c r="D1662" t="s">
        <v>73</v>
      </c>
      <c r="E1662" t="s">
        <v>73</v>
      </c>
      <c r="F1662" t="s">
        <v>1055</v>
      </c>
      <c r="G1662" t="s">
        <v>73</v>
      </c>
      <c r="H1662">
        <v>65.2</v>
      </c>
      <c r="I1662">
        <v>89</v>
      </c>
      <c r="J1662">
        <v>10366</v>
      </c>
      <c r="K1662" t="s">
        <v>1056</v>
      </c>
      <c r="L1662">
        <f t="shared" si="102"/>
        <v>26</v>
      </c>
      <c r="N1662">
        <v>26</v>
      </c>
      <c r="O1662">
        <v>6</v>
      </c>
      <c r="P1662">
        <v>0.23100000000000001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3</v>
      </c>
      <c r="Z1662">
        <v>0</v>
      </c>
      <c r="AA1662">
        <v>5</v>
      </c>
      <c r="AB1662">
        <v>3</v>
      </c>
      <c r="AC1662">
        <v>2</v>
      </c>
      <c r="AD1662">
        <v>1</v>
      </c>
      <c r="AE1662">
        <v>5</v>
      </c>
      <c r="AF1662">
        <v>2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2</v>
      </c>
      <c r="AS1662">
        <v>0</v>
      </c>
      <c r="AT1662">
        <v>2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 s="2">
        <v>0</v>
      </c>
      <c r="BD1662" s="2">
        <v>0.5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2.2000000000000002</v>
      </c>
      <c r="BL1662" s="2">
        <v>0</v>
      </c>
      <c r="BM1662" s="2">
        <v>2.6669999999999998</v>
      </c>
      <c r="BN1662" s="2">
        <v>1.5</v>
      </c>
      <c r="BO1662" s="2">
        <v>0</v>
      </c>
      <c r="BP1662" s="2">
        <v>0.5</v>
      </c>
      <c r="BQ1662" s="2">
        <v>1.8</v>
      </c>
      <c r="BR1662" s="2">
        <v>0</v>
      </c>
      <c r="BS1662" s="2">
        <v>0</v>
      </c>
      <c r="BT1662" s="2">
        <v>0</v>
      </c>
      <c r="BU1662" s="2">
        <v>0</v>
      </c>
      <c r="BV1662" s="2">
        <f t="shared" si="105"/>
        <v>9.1669999999999998</v>
      </c>
      <c r="BW1662" s="16">
        <f t="shared" si="103"/>
        <v>0.48247368421052633</v>
      </c>
      <c r="BX1662" s="16">
        <f>COUNTIF($BC$6:BU1662, "=0") / COUNTIF($BC$6:BU1662, "&gt;-1")</f>
        <v>0.41498586538766952</v>
      </c>
      <c r="BY1662" s="18">
        <f>SUM($BC$6:BU1662) / $BY$4</f>
        <v>0.98695498924010261</v>
      </c>
      <c r="BZ1662" s="14">
        <f t="shared" si="104"/>
        <v>13</v>
      </c>
      <c r="CA1662" t="s">
        <v>5832</v>
      </c>
      <c r="CZ1662" t="s">
        <v>7161</v>
      </c>
      <c r="DA1662" t="s">
        <v>5904</v>
      </c>
      <c r="DB1662">
        <v>189.1</v>
      </c>
      <c r="DC1662" t="s">
        <v>17850</v>
      </c>
      <c r="DD1662" t="s">
        <v>17851</v>
      </c>
      <c r="DE1662" t="s">
        <v>17852</v>
      </c>
      <c r="DF1662" t="s">
        <v>17853</v>
      </c>
      <c r="DG1662" t="s">
        <v>17854</v>
      </c>
      <c r="DH1662" t="str">
        <f>"DYNLL1"</f>
        <v>DYNLL1</v>
      </c>
      <c r="DI1662" t="s">
        <v>17855</v>
      </c>
      <c r="DJ1662" t="s">
        <v>13777</v>
      </c>
      <c r="DK1662">
        <v>9606</v>
      </c>
      <c r="DL1662" s="34" t="str">
        <f>HYPERLINK("http://www.uniprot.org/uniprot/P63167", "P63167")</f>
        <v>P63167</v>
      </c>
      <c r="DM1662" t="s">
        <v>17856</v>
      </c>
      <c r="DN1662" t="s">
        <v>17857</v>
      </c>
      <c r="DO1662" t="s">
        <v>17858</v>
      </c>
      <c r="DP1662" t="s">
        <v>13772</v>
      </c>
      <c r="DQ1662" t="s">
        <v>13772</v>
      </c>
      <c r="DR1662" t="s">
        <v>13772</v>
      </c>
      <c r="DS1662" t="s">
        <v>13772</v>
      </c>
      <c r="DT1662" t="s">
        <v>13772</v>
      </c>
      <c r="DU1662" t="s">
        <v>17859</v>
      </c>
      <c r="DV1662" t="s">
        <v>13991</v>
      </c>
      <c r="DW1662" t="s">
        <v>13812</v>
      </c>
      <c r="DX1662" t="s">
        <v>17860</v>
      </c>
      <c r="DY1662" t="s">
        <v>17861</v>
      </c>
      <c r="DZ1662" t="s">
        <v>17862</v>
      </c>
      <c r="EA1662" t="s">
        <v>13772</v>
      </c>
      <c r="EB1662" t="s">
        <v>17863</v>
      </c>
    </row>
    <row r="1663" spans="1:132" hidden="1">
      <c r="A1663">
        <v>1513</v>
      </c>
      <c r="B1663">
        <v>1</v>
      </c>
      <c r="C1663" t="s">
        <v>3602</v>
      </c>
      <c r="D1663" t="s">
        <v>3603</v>
      </c>
      <c r="E1663" t="s">
        <v>73</v>
      </c>
      <c r="F1663" t="s">
        <v>457</v>
      </c>
      <c r="G1663" t="s">
        <v>73</v>
      </c>
      <c r="H1663">
        <v>7.4</v>
      </c>
      <c r="I1663">
        <v>1205</v>
      </c>
      <c r="J1663">
        <v>130676</v>
      </c>
      <c r="K1663" t="s">
        <v>3604</v>
      </c>
      <c r="L1663">
        <f t="shared" si="102"/>
        <v>11</v>
      </c>
      <c r="N1663">
        <v>11</v>
      </c>
      <c r="O1663">
        <v>9</v>
      </c>
      <c r="P1663">
        <v>0.81799999999999995</v>
      </c>
      <c r="Q1663">
        <v>0</v>
      </c>
      <c r="R1663">
        <v>0</v>
      </c>
      <c r="S1663">
        <v>0</v>
      </c>
      <c r="T1663">
        <v>2</v>
      </c>
      <c r="U1663">
        <v>1</v>
      </c>
      <c r="V1663">
        <v>3</v>
      </c>
      <c r="W1663">
        <v>2</v>
      </c>
      <c r="X1663">
        <v>0</v>
      </c>
      <c r="Y1663">
        <v>0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2</v>
      </c>
      <c r="AN1663">
        <v>0</v>
      </c>
      <c r="AO1663">
        <v>2</v>
      </c>
      <c r="AP1663">
        <v>2</v>
      </c>
      <c r="AQ1663">
        <v>0</v>
      </c>
      <c r="AR1663">
        <v>0</v>
      </c>
      <c r="AS1663">
        <v>0</v>
      </c>
      <c r="AT1663">
        <v>2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 s="2">
        <v>0</v>
      </c>
      <c r="BD1663" s="2">
        <v>0</v>
      </c>
      <c r="BE1663" s="2">
        <v>0</v>
      </c>
      <c r="BF1663" s="2">
        <v>2</v>
      </c>
      <c r="BG1663" s="2">
        <v>0</v>
      </c>
      <c r="BH1663" s="2">
        <v>2.1</v>
      </c>
      <c r="BI1663" s="2">
        <v>2</v>
      </c>
      <c r="BJ1663" s="2">
        <v>0</v>
      </c>
      <c r="BK1663" s="2">
        <v>0</v>
      </c>
      <c r="BL1663" s="2">
        <v>0</v>
      </c>
      <c r="BM1663" s="2">
        <v>2</v>
      </c>
      <c r="BN1663" s="2">
        <v>0</v>
      </c>
      <c r="BO1663" s="2">
        <v>0</v>
      </c>
      <c r="BP1663" s="2">
        <v>0</v>
      </c>
      <c r="BQ1663" s="2">
        <v>0</v>
      </c>
      <c r="BR1663" s="2">
        <v>1</v>
      </c>
      <c r="BS1663" s="2">
        <v>0</v>
      </c>
      <c r="BT1663" s="2">
        <v>0</v>
      </c>
      <c r="BU1663" s="2">
        <v>0</v>
      </c>
      <c r="BV1663" s="2">
        <f t="shared" si="105"/>
        <v>9.1</v>
      </c>
      <c r="BW1663" s="16">
        <f t="shared" si="103"/>
        <v>0.47894736842105262</v>
      </c>
      <c r="BX1663" s="16">
        <f>COUNTIF($BC$6:BU1663, "=0") / COUNTIF($BC$6:BU1663, "&gt;-1")</f>
        <v>0.41517998857215416</v>
      </c>
      <c r="BY1663" s="18">
        <f>SUM($BC$6:BU1663) / $BY$4</f>
        <v>0.98699397033560776</v>
      </c>
      <c r="BZ1663" s="14">
        <f t="shared" si="104"/>
        <v>14</v>
      </c>
      <c r="CA1663" t="s">
        <v>5832</v>
      </c>
      <c r="CZ1663" t="s">
        <v>10778</v>
      </c>
      <c r="DA1663" t="s">
        <v>5904</v>
      </c>
      <c r="DB1663">
        <v>2245.3000000000002</v>
      </c>
      <c r="DC1663" t="s">
        <v>28318</v>
      </c>
      <c r="DD1663" t="s">
        <v>28319</v>
      </c>
      <c r="DE1663" t="s">
        <v>28320</v>
      </c>
      <c r="DF1663" t="s">
        <v>28321</v>
      </c>
      <c r="DG1663" t="s">
        <v>28322</v>
      </c>
      <c r="DH1663" t="str">
        <f>"SLC12A2"</f>
        <v>SLC12A2</v>
      </c>
      <c r="DI1663" t="s">
        <v>28323</v>
      </c>
      <c r="DJ1663" t="s">
        <v>13777</v>
      </c>
      <c r="DK1663">
        <v>9606</v>
      </c>
      <c r="DL1663" s="34" t="str">
        <f>HYPERLINK("http://www.uniprot.org/uniprot/P55011", "P55011")</f>
        <v>P55011</v>
      </c>
      <c r="DM1663" t="s">
        <v>28324</v>
      </c>
      <c r="DN1663" t="s">
        <v>15239</v>
      </c>
      <c r="DO1663" t="s">
        <v>13825</v>
      </c>
      <c r="DP1663" t="s">
        <v>13841</v>
      </c>
      <c r="DQ1663" t="s">
        <v>13772</v>
      </c>
      <c r="DR1663" t="s">
        <v>13772</v>
      </c>
      <c r="DS1663" t="s">
        <v>13925</v>
      </c>
      <c r="DT1663" t="s">
        <v>15241</v>
      </c>
      <c r="DU1663" t="s">
        <v>13772</v>
      </c>
      <c r="DV1663" t="s">
        <v>13886</v>
      </c>
      <c r="DW1663" t="s">
        <v>13772</v>
      </c>
      <c r="DX1663" t="s">
        <v>28325</v>
      </c>
      <c r="DY1663" t="s">
        <v>28326</v>
      </c>
      <c r="DZ1663" t="s">
        <v>28327</v>
      </c>
      <c r="EA1663" t="s">
        <v>13772</v>
      </c>
      <c r="EB1663" t="s">
        <v>28328</v>
      </c>
    </row>
    <row r="1664" spans="1:132" hidden="1">
      <c r="A1664">
        <v>114</v>
      </c>
      <c r="B1664">
        <v>1</v>
      </c>
      <c r="C1664" t="s">
        <v>298</v>
      </c>
      <c r="D1664" t="s">
        <v>299</v>
      </c>
      <c r="E1664" t="s">
        <v>73</v>
      </c>
      <c r="F1664" t="s">
        <v>73</v>
      </c>
      <c r="G1664" t="s">
        <v>73</v>
      </c>
      <c r="H1664">
        <v>11.9</v>
      </c>
      <c r="I1664">
        <v>453</v>
      </c>
      <c r="J1664">
        <v>48540</v>
      </c>
      <c r="K1664" t="s">
        <v>300</v>
      </c>
      <c r="L1664">
        <f t="shared" si="102"/>
        <v>9</v>
      </c>
      <c r="N1664">
        <v>9</v>
      </c>
      <c r="O1664">
        <v>9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6</v>
      </c>
      <c r="AF1664">
        <v>1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6</v>
      </c>
      <c r="AY1664">
        <v>1</v>
      </c>
      <c r="AZ1664">
        <v>0</v>
      </c>
      <c r="BA1664">
        <v>0</v>
      </c>
      <c r="BB1664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1</v>
      </c>
      <c r="BN1664" s="2">
        <v>0</v>
      </c>
      <c r="BO1664" s="2">
        <v>0</v>
      </c>
      <c r="BP1664" s="2">
        <v>0</v>
      </c>
      <c r="BQ1664" s="2">
        <v>6</v>
      </c>
      <c r="BR1664" s="2">
        <v>1</v>
      </c>
      <c r="BS1664" s="2">
        <v>0</v>
      </c>
      <c r="BT1664" s="2">
        <v>0</v>
      </c>
      <c r="BU1664" s="2">
        <v>1</v>
      </c>
      <c r="BV1664" s="2">
        <f t="shared" si="105"/>
        <v>9</v>
      </c>
      <c r="BW1664" s="16">
        <f t="shared" si="103"/>
        <v>0.47368421052631576</v>
      </c>
      <c r="BX1664" s="16">
        <f>COUNTIF($BC$6:BU1664, "=0") / COUNTIF($BC$6:BU1664, "&gt;-1")</f>
        <v>0.41540560261413029</v>
      </c>
      <c r="BY1664" s="18">
        <f>SUM($BC$6:BU1664) / $BY$4</f>
        <v>0.98703252306742606</v>
      </c>
      <c r="BZ1664" s="14">
        <f t="shared" si="104"/>
        <v>15</v>
      </c>
      <c r="CA1664" t="s">
        <v>5832</v>
      </c>
      <c r="CZ1664" t="s">
        <v>6087</v>
      </c>
      <c r="DA1664" t="s">
        <v>5904</v>
      </c>
      <c r="DB1664">
        <v>690.3</v>
      </c>
      <c r="DC1664" t="s">
        <v>14451</v>
      </c>
      <c r="DD1664" t="s">
        <v>13772</v>
      </c>
      <c r="DE1664" t="s">
        <v>14452</v>
      </c>
      <c r="DF1664" t="s">
        <v>14453</v>
      </c>
      <c r="DG1664" t="s">
        <v>14454</v>
      </c>
      <c r="DH1664" t="str">
        <f>"SMTNL2"</f>
        <v>SMTNL2</v>
      </c>
      <c r="DI1664" t="s">
        <v>13772</v>
      </c>
      <c r="DJ1664" t="s">
        <v>13777</v>
      </c>
      <c r="DK1664">
        <v>9606</v>
      </c>
      <c r="DL1664" s="34" t="str">
        <f>HYPERLINK("http://www.uniprot.org/uniprot/Q2TAL5", "Q2TAL5")</f>
        <v>Q2TAL5</v>
      </c>
      <c r="DM1664" t="s">
        <v>14455</v>
      </c>
      <c r="DN1664" t="s">
        <v>13772</v>
      </c>
      <c r="DO1664" t="s">
        <v>13772</v>
      </c>
      <c r="DP1664" t="s">
        <v>13780</v>
      </c>
      <c r="DQ1664" t="s">
        <v>13772</v>
      </c>
      <c r="DR1664" t="s">
        <v>13772</v>
      </c>
      <c r="DS1664" t="s">
        <v>14245</v>
      </c>
      <c r="DT1664" t="s">
        <v>13772</v>
      </c>
      <c r="DU1664" t="s">
        <v>13772</v>
      </c>
      <c r="DV1664" t="s">
        <v>13782</v>
      </c>
      <c r="DW1664" t="s">
        <v>13772</v>
      </c>
      <c r="DX1664" t="s">
        <v>14456</v>
      </c>
      <c r="DY1664" t="s">
        <v>14457</v>
      </c>
      <c r="DZ1664" t="s">
        <v>13772</v>
      </c>
      <c r="EA1664" t="s">
        <v>13772</v>
      </c>
      <c r="EB1664" t="s">
        <v>13772</v>
      </c>
    </row>
    <row r="1665" spans="1:132" hidden="1">
      <c r="A1665">
        <v>141</v>
      </c>
      <c r="B1665">
        <v>1</v>
      </c>
      <c r="C1665" t="s">
        <v>368</v>
      </c>
      <c r="D1665" t="s">
        <v>73</v>
      </c>
      <c r="E1665" t="s">
        <v>73</v>
      </c>
      <c r="F1665" t="s">
        <v>73</v>
      </c>
      <c r="G1665" t="s">
        <v>73</v>
      </c>
      <c r="H1665">
        <v>19.2</v>
      </c>
      <c r="I1665">
        <v>317</v>
      </c>
      <c r="J1665">
        <v>35639</v>
      </c>
      <c r="K1665" t="s">
        <v>369</v>
      </c>
      <c r="L1665">
        <f t="shared" si="102"/>
        <v>9</v>
      </c>
      <c r="N1665">
        <v>9</v>
      </c>
      <c r="O1665">
        <v>9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2</v>
      </c>
      <c r="Z1665">
        <v>0</v>
      </c>
      <c r="AA1665">
        <v>2</v>
      </c>
      <c r="AB1665">
        <v>1</v>
      </c>
      <c r="AC1665">
        <v>2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2</v>
      </c>
      <c r="AS1665">
        <v>0</v>
      </c>
      <c r="AT1665">
        <v>2</v>
      </c>
      <c r="AU1665">
        <v>1</v>
      </c>
      <c r="AV1665">
        <v>2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1</v>
      </c>
      <c r="BJ1665" s="2">
        <v>0</v>
      </c>
      <c r="BK1665" s="2">
        <v>2</v>
      </c>
      <c r="BL1665" s="2">
        <v>0</v>
      </c>
      <c r="BM1665" s="2">
        <v>2</v>
      </c>
      <c r="BN1665" s="2">
        <v>1</v>
      </c>
      <c r="BO1665" s="2">
        <v>2</v>
      </c>
      <c r="BP1665" s="2">
        <v>0</v>
      </c>
      <c r="BQ1665" s="2">
        <v>1</v>
      </c>
      <c r="BR1665" s="2">
        <v>0</v>
      </c>
      <c r="BS1665" s="2">
        <v>0</v>
      </c>
      <c r="BT1665" s="2">
        <v>0</v>
      </c>
      <c r="BU1665" s="2">
        <v>0</v>
      </c>
      <c r="BV1665" s="2">
        <f t="shared" si="105"/>
        <v>9</v>
      </c>
      <c r="BW1665" s="16">
        <f t="shared" si="103"/>
        <v>0.47368421052631576</v>
      </c>
      <c r="BX1665" s="16">
        <f>COUNTIF($BC$6:BU1665, "=0") / COUNTIF($BC$6:BU1665, "&gt;-1")</f>
        <v>0.415567533291059</v>
      </c>
      <c r="BY1665" s="18">
        <f>SUM($BC$6:BU1665) / $BY$4</f>
        <v>0.98707107579924436</v>
      </c>
      <c r="BZ1665" s="14">
        <f t="shared" si="104"/>
        <v>13</v>
      </c>
      <c r="CA1665" t="s">
        <v>5832</v>
      </c>
      <c r="CZ1665" t="s">
        <v>6184</v>
      </c>
      <c r="DA1665" t="s">
        <v>5904</v>
      </c>
      <c r="DB1665">
        <v>605.9</v>
      </c>
      <c r="DC1665" t="s">
        <v>14775</v>
      </c>
      <c r="DD1665" t="s">
        <v>14776</v>
      </c>
      <c r="DE1665" t="s">
        <v>14777</v>
      </c>
      <c r="DF1665" t="s">
        <v>14778</v>
      </c>
      <c r="DG1665" t="s">
        <v>14779</v>
      </c>
      <c r="DH1665" t="str">
        <f>"APEX1"</f>
        <v>APEX1</v>
      </c>
      <c r="DI1665" t="s">
        <v>14780</v>
      </c>
      <c r="DJ1665" t="s">
        <v>13777</v>
      </c>
      <c r="DK1665">
        <v>9606</v>
      </c>
      <c r="DL1665" s="34" t="str">
        <f>HYPERLINK("http://www.uniprot.org/uniprot/P27695", "P27695")</f>
        <v>P27695</v>
      </c>
      <c r="DM1665" t="s">
        <v>14781</v>
      </c>
      <c r="DN1665" t="s">
        <v>14782</v>
      </c>
      <c r="DO1665" t="s">
        <v>14783</v>
      </c>
      <c r="DP1665" t="s">
        <v>13793</v>
      </c>
      <c r="DQ1665" t="s">
        <v>13772</v>
      </c>
      <c r="DR1665" t="s">
        <v>13772</v>
      </c>
      <c r="DS1665" t="s">
        <v>13772</v>
      </c>
      <c r="DT1665" t="s">
        <v>14784</v>
      </c>
      <c r="DU1665" t="s">
        <v>14785</v>
      </c>
      <c r="DV1665" t="s">
        <v>14786</v>
      </c>
      <c r="DW1665" t="s">
        <v>13812</v>
      </c>
      <c r="DX1665" t="s">
        <v>14787</v>
      </c>
      <c r="DY1665" t="s">
        <v>14788</v>
      </c>
      <c r="DZ1665" t="s">
        <v>14789</v>
      </c>
      <c r="EA1665" t="s">
        <v>13772</v>
      </c>
      <c r="EB1665" t="s">
        <v>14790</v>
      </c>
    </row>
    <row r="1666" spans="1:132" hidden="1">
      <c r="A1666">
        <v>166</v>
      </c>
      <c r="B1666">
        <v>1</v>
      </c>
      <c r="C1666" t="s">
        <v>421</v>
      </c>
      <c r="D1666" t="s">
        <v>422</v>
      </c>
      <c r="E1666" t="s">
        <v>73</v>
      </c>
      <c r="F1666" t="s">
        <v>73</v>
      </c>
      <c r="G1666" t="s">
        <v>73</v>
      </c>
      <c r="H1666">
        <v>32.299999999999997</v>
      </c>
      <c r="I1666">
        <v>217</v>
      </c>
      <c r="J1666">
        <v>24310</v>
      </c>
      <c r="K1666" t="s">
        <v>423</v>
      </c>
      <c r="L1666">
        <f t="shared" si="102"/>
        <v>9</v>
      </c>
      <c r="N1666">
        <v>9</v>
      </c>
      <c r="O1666">
        <v>9</v>
      </c>
      <c r="P1666">
        <v>1</v>
      </c>
      <c r="Q1666">
        <v>0</v>
      </c>
      <c r="R1666">
        <v>2</v>
      </c>
      <c r="S1666">
        <v>0</v>
      </c>
      <c r="T1666">
        <v>0</v>
      </c>
      <c r="U1666">
        <v>4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L1666">
        <v>0</v>
      </c>
      <c r="AM1666">
        <v>0</v>
      </c>
      <c r="AN1666">
        <v>4</v>
      </c>
      <c r="AO1666">
        <v>2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s="2">
        <v>0</v>
      </c>
      <c r="BD1666" s="2">
        <v>2</v>
      </c>
      <c r="BE1666" s="2">
        <v>0</v>
      </c>
      <c r="BF1666" s="2">
        <v>0</v>
      </c>
      <c r="BG1666" s="2">
        <v>4</v>
      </c>
      <c r="BH1666" s="2">
        <v>2</v>
      </c>
      <c r="BI1666" s="2">
        <v>0</v>
      </c>
      <c r="BJ1666" s="2">
        <v>0</v>
      </c>
      <c r="BK1666" s="2">
        <v>0</v>
      </c>
      <c r="BL1666" s="2">
        <v>0</v>
      </c>
      <c r="BM1666" s="2">
        <v>1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f t="shared" si="105"/>
        <v>9</v>
      </c>
      <c r="BW1666" s="16">
        <f t="shared" si="103"/>
        <v>0.47368421052631576</v>
      </c>
      <c r="BX1666" s="16">
        <f>COUNTIF($BC$6:BU1666, "=0") / COUNTIF($BC$6:BU1666, "&gt;-1")</f>
        <v>0.41579264235241925</v>
      </c>
      <c r="BY1666" s="18">
        <f>SUM($BC$6:BU1666) / $BY$4</f>
        <v>0.98710962853106266</v>
      </c>
      <c r="BZ1666" s="14">
        <f t="shared" si="104"/>
        <v>15</v>
      </c>
      <c r="CA1666" t="s">
        <v>5832</v>
      </c>
      <c r="CZ1666" t="s">
        <v>6268</v>
      </c>
      <c r="DA1666" t="s">
        <v>5904</v>
      </c>
      <c r="DB1666">
        <v>382.9</v>
      </c>
      <c r="DC1666" t="s">
        <v>15056</v>
      </c>
      <c r="DD1666" t="s">
        <v>15057</v>
      </c>
      <c r="DE1666" t="s">
        <v>15058</v>
      </c>
      <c r="DF1666" t="s">
        <v>15059</v>
      </c>
      <c r="DG1666" t="s">
        <v>15060</v>
      </c>
      <c r="DH1666" t="str">
        <f>"GSTZ1"</f>
        <v>GSTZ1</v>
      </c>
      <c r="DI1666" t="s">
        <v>15061</v>
      </c>
      <c r="DJ1666" t="s">
        <v>13777</v>
      </c>
      <c r="DK1666">
        <v>9606</v>
      </c>
      <c r="DL1666" s="34" t="str">
        <f>HYPERLINK("http://www.uniprot.org/uniprot/O43708", "O43708")</f>
        <v>O43708</v>
      </c>
      <c r="DM1666" t="s">
        <v>15062</v>
      </c>
      <c r="DN1666" t="s">
        <v>15063</v>
      </c>
      <c r="DO1666" t="s">
        <v>13899</v>
      </c>
      <c r="DP1666" t="s">
        <v>13780</v>
      </c>
      <c r="DQ1666" t="s">
        <v>13772</v>
      </c>
      <c r="DR1666" t="s">
        <v>13807</v>
      </c>
      <c r="DS1666" t="s">
        <v>13772</v>
      </c>
      <c r="DT1666" t="s">
        <v>13772</v>
      </c>
      <c r="DU1666" t="s">
        <v>15064</v>
      </c>
      <c r="DV1666" t="s">
        <v>13886</v>
      </c>
      <c r="DW1666" t="s">
        <v>13812</v>
      </c>
      <c r="DX1666" t="s">
        <v>15065</v>
      </c>
      <c r="DY1666" t="s">
        <v>14957</v>
      </c>
      <c r="DZ1666" t="s">
        <v>15066</v>
      </c>
      <c r="EA1666" t="s">
        <v>15067</v>
      </c>
      <c r="EB1666" t="s">
        <v>15068</v>
      </c>
    </row>
    <row r="1667" spans="1:132" hidden="1">
      <c r="A1667">
        <v>209</v>
      </c>
      <c r="B1667">
        <v>1</v>
      </c>
      <c r="C1667" t="s">
        <v>528</v>
      </c>
      <c r="D1667" t="s">
        <v>73</v>
      </c>
      <c r="E1667" t="s">
        <v>73</v>
      </c>
      <c r="F1667" t="s">
        <v>73</v>
      </c>
      <c r="G1667" t="s">
        <v>73</v>
      </c>
      <c r="H1667">
        <v>47</v>
      </c>
      <c r="I1667">
        <v>83</v>
      </c>
      <c r="J1667">
        <v>9542</v>
      </c>
      <c r="K1667" t="s">
        <v>529</v>
      </c>
      <c r="L1667">
        <f t="shared" si="102"/>
        <v>9</v>
      </c>
      <c r="N1667">
        <v>9</v>
      </c>
      <c r="O1667">
        <v>9</v>
      </c>
      <c r="P1667">
        <v>1</v>
      </c>
      <c r="Q1667">
        <v>0</v>
      </c>
      <c r="R1667">
        <v>1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2</v>
      </c>
      <c r="AB1667">
        <v>3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2</v>
      </c>
      <c r="AU1667">
        <v>3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 s="2">
        <v>0</v>
      </c>
      <c r="BD1667" s="2">
        <v>1</v>
      </c>
      <c r="BE1667" s="2">
        <v>1</v>
      </c>
      <c r="BF1667" s="2">
        <v>1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2</v>
      </c>
      <c r="BN1667" s="2">
        <v>3</v>
      </c>
      <c r="BO1667" s="2">
        <v>1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f t="shared" si="105"/>
        <v>9</v>
      </c>
      <c r="BW1667" s="16">
        <f t="shared" si="103"/>
        <v>0.47368421052631576</v>
      </c>
      <c r="BX1667" s="16">
        <f>COUNTIF($BC$6:BU1667, "=0") / COUNTIF($BC$6:BU1667, "&gt;-1")</f>
        <v>0.41595414529102542</v>
      </c>
      <c r="BY1667" s="18">
        <f>SUM($BC$6:BU1667) / $BY$4</f>
        <v>0.98714818126288095</v>
      </c>
      <c r="BZ1667" s="14">
        <f t="shared" si="104"/>
        <v>13</v>
      </c>
      <c r="CA1667" t="s">
        <v>5832</v>
      </c>
      <c r="CZ1667" t="s">
        <v>6418</v>
      </c>
      <c r="DA1667" t="s">
        <v>5904</v>
      </c>
      <c r="DB1667">
        <v>142.5</v>
      </c>
      <c r="DC1667" t="s">
        <v>15558</v>
      </c>
      <c r="DD1667" t="s">
        <v>15559</v>
      </c>
      <c r="DE1667" t="s">
        <v>15560</v>
      </c>
      <c r="DF1667" t="s">
        <v>15561</v>
      </c>
      <c r="DG1667" t="s">
        <v>13772</v>
      </c>
      <c r="DH1667" t="str">
        <f>"NMES1"</f>
        <v>NMES1</v>
      </c>
      <c r="DI1667" t="s">
        <v>15562</v>
      </c>
      <c r="DJ1667" t="s">
        <v>13777</v>
      </c>
      <c r="DK1667">
        <v>9606</v>
      </c>
      <c r="DL1667" s="34" t="str">
        <f>HYPERLINK("http://www.uniprot.org/uniprot/Q9C002", "Q9C002")</f>
        <v>Q9C002</v>
      </c>
      <c r="DM1667" t="s">
        <v>14825</v>
      </c>
      <c r="DN1667" t="s">
        <v>13772</v>
      </c>
      <c r="DO1667" t="s">
        <v>14825</v>
      </c>
      <c r="DP1667" t="s">
        <v>13772</v>
      </c>
      <c r="DQ1667" t="s">
        <v>13772</v>
      </c>
      <c r="DR1667" t="s">
        <v>13772</v>
      </c>
      <c r="DS1667" t="s">
        <v>13772</v>
      </c>
      <c r="DT1667" t="s">
        <v>13772</v>
      </c>
      <c r="DU1667" t="s">
        <v>13772</v>
      </c>
      <c r="DV1667" t="s">
        <v>13772</v>
      </c>
      <c r="DW1667" t="s">
        <v>13772</v>
      </c>
      <c r="DX1667" t="s">
        <v>15563</v>
      </c>
      <c r="DY1667" t="s">
        <v>15564</v>
      </c>
      <c r="DZ1667" t="s">
        <v>13772</v>
      </c>
      <c r="EA1667" t="s">
        <v>13772</v>
      </c>
      <c r="EB1667" t="s">
        <v>13772</v>
      </c>
    </row>
    <row r="1668" spans="1:132" hidden="1">
      <c r="A1668">
        <v>348</v>
      </c>
      <c r="B1668">
        <v>1</v>
      </c>
      <c r="C1668" t="s">
        <v>872</v>
      </c>
      <c r="D1668" t="s">
        <v>873</v>
      </c>
      <c r="E1668" t="s">
        <v>73</v>
      </c>
      <c r="F1668" t="s">
        <v>73</v>
      </c>
      <c r="G1668" t="s">
        <v>73</v>
      </c>
      <c r="H1668">
        <v>8.1999999999999993</v>
      </c>
      <c r="I1668">
        <v>392</v>
      </c>
      <c r="J1668">
        <v>46522</v>
      </c>
      <c r="K1668" t="s">
        <v>874</v>
      </c>
      <c r="L1668">
        <f t="shared" si="102"/>
        <v>9</v>
      </c>
      <c r="N1668">
        <v>9</v>
      </c>
      <c r="O1668">
        <v>9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</v>
      </c>
      <c r="AB1668">
        <v>2</v>
      </c>
      <c r="AC1668">
        <v>1</v>
      </c>
      <c r="AD1668">
        <v>0</v>
      </c>
      <c r="AE1668">
        <v>1</v>
      </c>
      <c r="AF1668">
        <v>2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</v>
      </c>
      <c r="AU1668">
        <v>2</v>
      </c>
      <c r="AV1668">
        <v>1</v>
      </c>
      <c r="AW1668">
        <v>0</v>
      </c>
      <c r="AX1668">
        <v>1</v>
      </c>
      <c r="AY1668">
        <v>2</v>
      </c>
      <c r="AZ1668">
        <v>1</v>
      </c>
      <c r="BA1668">
        <v>0</v>
      </c>
      <c r="BB1668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2</v>
      </c>
      <c r="BN1668" s="2">
        <v>2</v>
      </c>
      <c r="BO1668" s="2">
        <v>1</v>
      </c>
      <c r="BP1668" s="2">
        <v>0</v>
      </c>
      <c r="BQ1668" s="2">
        <v>1</v>
      </c>
      <c r="BR1668" s="2">
        <v>2</v>
      </c>
      <c r="BS1668" s="2">
        <v>1</v>
      </c>
      <c r="BT1668" s="2">
        <v>0</v>
      </c>
      <c r="BU1668" s="2">
        <v>0</v>
      </c>
      <c r="BV1668" s="2">
        <f t="shared" si="105"/>
        <v>9</v>
      </c>
      <c r="BW1668" s="16">
        <f t="shared" si="103"/>
        <v>0.47368421052631576</v>
      </c>
      <c r="BX1668" s="16">
        <f>COUNTIF($BC$6:BU1668, "=0") / COUNTIF($BC$6:BU1668, "&gt;-1")</f>
        <v>0.41611545399879735</v>
      </c>
      <c r="BY1668" s="18">
        <f>SUM($BC$6:BU1668) / $BY$4</f>
        <v>0.98718673399469925</v>
      </c>
      <c r="BZ1668" s="14">
        <f t="shared" si="104"/>
        <v>13</v>
      </c>
      <c r="CA1668" t="s">
        <v>5832</v>
      </c>
      <c r="CZ1668" t="s">
        <v>6908</v>
      </c>
      <c r="DA1668" t="s">
        <v>5904</v>
      </c>
      <c r="DB1668">
        <v>757.7</v>
      </c>
      <c r="DC1668" t="s">
        <v>17053</v>
      </c>
      <c r="DD1668" t="s">
        <v>13772</v>
      </c>
      <c r="DE1668" t="s">
        <v>17054</v>
      </c>
      <c r="DF1668" t="s">
        <v>17055</v>
      </c>
      <c r="DG1668" t="s">
        <v>17056</v>
      </c>
      <c r="DH1668" t="str">
        <f>"LUC7L2"</f>
        <v>LUC7L2</v>
      </c>
      <c r="DI1668" t="s">
        <v>13772</v>
      </c>
      <c r="DJ1668" t="s">
        <v>13777</v>
      </c>
      <c r="DK1668">
        <v>9606</v>
      </c>
      <c r="DL1668" s="34" t="str">
        <f>HYPERLINK("http://www.uniprot.org/uniprot/Q9Y383", "Q9Y383")</f>
        <v>Q9Y383</v>
      </c>
      <c r="DM1668" t="s">
        <v>17057</v>
      </c>
      <c r="DN1668" t="s">
        <v>13772</v>
      </c>
      <c r="DO1668" t="s">
        <v>14825</v>
      </c>
      <c r="DP1668" t="s">
        <v>13780</v>
      </c>
      <c r="DQ1668" t="s">
        <v>13772</v>
      </c>
      <c r="DR1668" t="s">
        <v>13772</v>
      </c>
      <c r="DS1668" t="s">
        <v>14245</v>
      </c>
      <c r="DT1668" t="s">
        <v>13772</v>
      </c>
      <c r="DU1668" t="s">
        <v>13772</v>
      </c>
      <c r="DV1668" t="s">
        <v>17058</v>
      </c>
      <c r="DW1668" t="s">
        <v>13772</v>
      </c>
      <c r="DX1668" t="s">
        <v>17059</v>
      </c>
      <c r="DY1668" t="s">
        <v>17060</v>
      </c>
      <c r="DZ1668" t="s">
        <v>17061</v>
      </c>
      <c r="EA1668" t="s">
        <v>13772</v>
      </c>
      <c r="EB1668" t="s">
        <v>13772</v>
      </c>
    </row>
    <row r="1669" spans="1:132" hidden="1">
      <c r="A1669">
        <v>367</v>
      </c>
      <c r="B1669">
        <v>1</v>
      </c>
      <c r="C1669" t="s">
        <v>915</v>
      </c>
      <c r="D1669" t="s">
        <v>73</v>
      </c>
      <c r="E1669" t="s">
        <v>73</v>
      </c>
      <c r="F1669" t="s">
        <v>73</v>
      </c>
      <c r="G1669" t="s">
        <v>73</v>
      </c>
      <c r="H1669">
        <v>7.7</v>
      </c>
      <c r="I1669">
        <v>1014</v>
      </c>
      <c r="J1669">
        <v>109835</v>
      </c>
      <c r="K1669" t="s">
        <v>916</v>
      </c>
      <c r="L1669">
        <f t="shared" si="102"/>
        <v>9</v>
      </c>
      <c r="N1669">
        <v>9</v>
      </c>
      <c r="O1669">
        <v>9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2</v>
      </c>
      <c r="W1669">
        <v>0</v>
      </c>
      <c r="X1669">
        <v>3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1</v>
      </c>
      <c r="AO1669">
        <v>2</v>
      </c>
      <c r="AP1669">
        <v>0</v>
      </c>
      <c r="AQ1669">
        <v>3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 s="2">
        <v>1</v>
      </c>
      <c r="BD1669" s="2">
        <v>1</v>
      </c>
      <c r="BE1669" s="2">
        <v>0</v>
      </c>
      <c r="BF1669" s="2">
        <v>0</v>
      </c>
      <c r="BG1669" s="2">
        <v>1</v>
      </c>
      <c r="BH1669" s="2">
        <v>2</v>
      </c>
      <c r="BI1669" s="2">
        <v>0</v>
      </c>
      <c r="BJ1669" s="2">
        <v>3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1</v>
      </c>
      <c r="BS1669" s="2">
        <v>0</v>
      </c>
      <c r="BT1669" s="2">
        <v>0</v>
      </c>
      <c r="BU1669" s="2">
        <v>0</v>
      </c>
      <c r="BV1669" s="2">
        <f t="shared" si="105"/>
        <v>9</v>
      </c>
      <c r="BW1669" s="16">
        <f t="shared" si="103"/>
        <v>0.47368421052631576</v>
      </c>
      <c r="BX1669" s="16">
        <f>COUNTIF($BC$6:BU1669, "=0") / COUNTIF($BC$6:BU1669, "&gt;-1")</f>
        <v>0.41627656882591091</v>
      </c>
      <c r="BY1669" s="18">
        <f>SUM($BC$6:BU1669) / $BY$4</f>
        <v>0.98722528672651755</v>
      </c>
      <c r="BZ1669" s="14">
        <f t="shared" si="104"/>
        <v>13</v>
      </c>
      <c r="CA1669" t="s">
        <v>5832</v>
      </c>
      <c r="CZ1669" t="s">
        <v>6972</v>
      </c>
      <c r="DA1669" t="s">
        <v>5904</v>
      </c>
      <c r="DB1669">
        <v>1826.6</v>
      </c>
      <c r="DC1669" t="s">
        <v>17255</v>
      </c>
      <c r="DD1669" t="s">
        <v>17256</v>
      </c>
      <c r="DE1669" t="s">
        <v>17257</v>
      </c>
      <c r="DF1669" t="s">
        <v>17258</v>
      </c>
      <c r="DG1669" t="s">
        <v>17259</v>
      </c>
      <c r="DH1669" t="str">
        <f>"EPHB6"</f>
        <v>EPHB6</v>
      </c>
      <c r="DI1669" t="s">
        <v>13772</v>
      </c>
      <c r="DJ1669" t="s">
        <v>13777</v>
      </c>
      <c r="DK1669">
        <v>9606</v>
      </c>
      <c r="DL1669" s="34" t="str">
        <f>HYPERLINK("http://www.uniprot.org/uniprot/O15197", "O15197")</f>
        <v>O15197</v>
      </c>
      <c r="DM1669" t="s">
        <v>17260</v>
      </c>
      <c r="DN1669" t="s">
        <v>13772</v>
      </c>
      <c r="DO1669" t="s">
        <v>17261</v>
      </c>
      <c r="DP1669" t="s">
        <v>13780</v>
      </c>
      <c r="DQ1669" t="s">
        <v>13772</v>
      </c>
      <c r="DR1669" t="s">
        <v>13772</v>
      </c>
      <c r="DS1669" t="s">
        <v>13826</v>
      </c>
      <c r="DT1669" t="s">
        <v>14005</v>
      </c>
      <c r="DU1669" t="s">
        <v>13795</v>
      </c>
      <c r="DV1669" t="s">
        <v>13858</v>
      </c>
      <c r="DW1669" t="s">
        <v>13772</v>
      </c>
      <c r="DX1669" t="s">
        <v>17262</v>
      </c>
      <c r="DY1669" t="s">
        <v>17263</v>
      </c>
      <c r="DZ1669" t="s">
        <v>17264</v>
      </c>
      <c r="EA1669" t="s">
        <v>13772</v>
      </c>
      <c r="EB1669" t="s">
        <v>17265</v>
      </c>
    </row>
    <row r="1670" spans="1:132" hidden="1">
      <c r="A1670">
        <v>538</v>
      </c>
      <c r="B1670">
        <v>1</v>
      </c>
      <c r="C1670" t="s">
        <v>1343</v>
      </c>
      <c r="D1670" t="s">
        <v>73</v>
      </c>
      <c r="E1670" t="s">
        <v>73</v>
      </c>
      <c r="F1670" t="s">
        <v>1344</v>
      </c>
      <c r="G1670" t="s">
        <v>73</v>
      </c>
      <c r="H1670">
        <v>33.799999999999997</v>
      </c>
      <c r="I1670">
        <v>237</v>
      </c>
      <c r="J1670">
        <v>26140</v>
      </c>
      <c r="K1670" t="s">
        <v>1345</v>
      </c>
      <c r="L1670">
        <f t="shared" ref="L1670:L1733" si="106">N1670</f>
        <v>21</v>
      </c>
      <c r="N1670">
        <v>21</v>
      </c>
      <c r="O1670">
        <v>4</v>
      </c>
      <c r="P1670">
        <v>0.19</v>
      </c>
      <c r="Q1670">
        <v>0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0</v>
      </c>
      <c r="Y1670">
        <v>4</v>
      </c>
      <c r="Z1670">
        <v>0</v>
      </c>
      <c r="AA1670">
        <v>4</v>
      </c>
      <c r="AB1670">
        <v>0</v>
      </c>
      <c r="AC1670">
        <v>1</v>
      </c>
      <c r="AD1670">
        <v>0</v>
      </c>
      <c r="AE1670">
        <v>1</v>
      </c>
      <c r="AF1670">
        <v>2</v>
      </c>
      <c r="AG1670">
        <v>1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 s="2">
        <v>0</v>
      </c>
      <c r="BD1670" s="2">
        <v>0.5</v>
      </c>
      <c r="BE1670" s="2">
        <v>0.5</v>
      </c>
      <c r="BF1670" s="2">
        <v>0.5</v>
      </c>
      <c r="BG1670" s="2">
        <v>1</v>
      </c>
      <c r="BH1670" s="2">
        <v>0.5</v>
      </c>
      <c r="BI1670" s="2">
        <v>2</v>
      </c>
      <c r="BJ1670" s="2">
        <v>0</v>
      </c>
      <c r="BK1670" s="2">
        <v>0</v>
      </c>
      <c r="BL1670" s="2">
        <v>0</v>
      </c>
      <c r="BM1670" s="2">
        <v>0.5</v>
      </c>
      <c r="BN1670" s="2">
        <v>0</v>
      </c>
      <c r="BO1670" s="2">
        <v>0</v>
      </c>
      <c r="BP1670" s="2">
        <v>0</v>
      </c>
      <c r="BQ1670" s="2">
        <v>0.5</v>
      </c>
      <c r="BR1670" s="2">
        <v>1</v>
      </c>
      <c r="BS1670" s="2">
        <v>1</v>
      </c>
      <c r="BT1670" s="2">
        <v>0</v>
      </c>
      <c r="BU1670" s="2">
        <v>1</v>
      </c>
      <c r="BV1670" s="2">
        <f t="shared" si="105"/>
        <v>9</v>
      </c>
      <c r="BW1670" s="16">
        <f t="shared" ref="BW1670:BW1733" si="107">AVERAGE(BC1670:BU1670)</f>
        <v>0.47368421052631576</v>
      </c>
      <c r="BX1670" s="16">
        <f>COUNTIF($BC$6:BU1670, "=0") / COUNTIF($BC$6:BU1670, "&gt;-1")</f>
        <v>0.4162794373320689</v>
      </c>
      <c r="BY1670" s="18">
        <f>SUM($BC$6:BU1670) / $BY$4</f>
        <v>0.98726383945833585</v>
      </c>
      <c r="BZ1670" s="14">
        <f t="shared" ref="BZ1670:BZ1733" si="108">19-COUNTIF(BC1670:BU1670, "&gt;0")</f>
        <v>8</v>
      </c>
      <c r="CA1670" t="s">
        <v>5832</v>
      </c>
      <c r="CZ1670" t="s">
        <v>7359</v>
      </c>
      <c r="DA1670" t="s">
        <v>5896</v>
      </c>
      <c r="DB1670">
        <v>489.2</v>
      </c>
      <c r="DC1670" t="s">
        <v>18454</v>
      </c>
      <c r="DD1670" t="s">
        <v>18455</v>
      </c>
      <c r="DE1670" t="s">
        <v>18456</v>
      </c>
      <c r="DF1670" t="s">
        <v>18457</v>
      </c>
      <c r="DG1670" t="s">
        <v>18458</v>
      </c>
      <c r="DH1670" t="str">
        <f>"HSPA8"</f>
        <v>HSPA8</v>
      </c>
      <c r="DI1670" t="s">
        <v>18459</v>
      </c>
      <c r="DJ1670" t="s">
        <v>13777</v>
      </c>
      <c r="DK1670">
        <v>9606</v>
      </c>
      <c r="DL1670" s="34" t="str">
        <f>HYPERLINK("http://www.uniprot.org/uniprot/P11142", "P11142")</f>
        <v>P11142</v>
      </c>
      <c r="DM1670" t="s">
        <v>18460</v>
      </c>
      <c r="DN1670" t="s">
        <v>18461</v>
      </c>
      <c r="DO1670" t="s">
        <v>18462</v>
      </c>
      <c r="DP1670" t="s">
        <v>13780</v>
      </c>
      <c r="DQ1670" t="s">
        <v>13772</v>
      </c>
      <c r="DR1670" t="s">
        <v>13772</v>
      </c>
      <c r="DS1670" t="s">
        <v>13772</v>
      </c>
      <c r="DT1670" t="s">
        <v>14005</v>
      </c>
      <c r="DU1670" t="s">
        <v>18463</v>
      </c>
      <c r="DV1670" t="s">
        <v>14663</v>
      </c>
      <c r="DW1670" t="s">
        <v>13812</v>
      </c>
      <c r="DX1670" t="s">
        <v>18464</v>
      </c>
      <c r="DY1670" t="s">
        <v>18465</v>
      </c>
      <c r="DZ1670" t="s">
        <v>18466</v>
      </c>
      <c r="EA1670" t="s">
        <v>13772</v>
      </c>
      <c r="EB1670" t="s">
        <v>18467</v>
      </c>
    </row>
    <row r="1671" spans="1:132" hidden="1">
      <c r="A1671">
        <v>568</v>
      </c>
      <c r="B1671">
        <v>1</v>
      </c>
      <c r="C1671" t="s">
        <v>1415</v>
      </c>
      <c r="D1671" t="s">
        <v>1416</v>
      </c>
      <c r="E1671" t="s">
        <v>73</v>
      </c>
      <c r="F1671" t="s">
        <v>73</v>
      </c>
      <c r="G1671" t="s">
        <v>73</v>
      </c>
      <c r="H1671">
        <v>7.3</v>
      </c>
      <c r="I1671">
        <v>1473</v>
      </c>
      <c r="J1671">
        <v>155740</v>
      </c>
      <c r="K1671" t="s">
        <v>1417</v>
      </c>
      <c r="L1671">
        <f t="shared" si="106"/>
        <v>9</v>
      </c>
      <c r="N1671">
        <v>9</v>
      </c>
      <c r="O1671">
        <v>9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4</v>
      </c>
      <c r="AF1671">
        <v>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3</v>
      </c>
      <c r="AU1671">
        <v>0</v>
      </c>
      <c r="AV1671">
        <v>0</v>
      </c>
      <c r="AW1671">
        <v>0</v>
      </c>
      <c r="AX1671">
        <v>4</v>
      </c>
      <c r="AY1671">
        <v>2</v>
      </c>
      <c r="AZ1671">
        <v>0</v>
      </c>
      <c r="BA1671">
        <v>0</v>
      </c>
      <c r="BB1671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3</v>
      </c>
      <c r="BN1671" s="2">
        <v>0</v>
      </c>
      <c r="BO1671" s="2">
        <v>0</v>
      </c>
      <c r="BP1671" s="2">
        <v>0</v>
      </c>
      <c r="BQ1671" s="2">
        <v>4</v>
      </c>
      <c r="BR1671" s="2">
        <v>2</v>
      </c>
      <c r="BS1671" s="2">
        <v>0</v>
      </c>
      <c r="BT1671" s="2">
        <v>0</v>
      </c>
      <c r="BU1671" s="2">
        <v>0</v>
      </c>
      <c r="BV1671" s="2">
        <f t="shared" ref="BV1671:BV1734" si="109">SUM(BC1671:BU1671)</f>
        <v>9</v>
      </c>
      <c r="BW1671" s="16">
        <f t="shared" si="107"/>
        <v>0.47368421052631576</v>
      </c>
      <c r="BX1671" s="16">
        <f>COUNTIF($BC$6:BU1671, "=0") / COUNTIF($BC$6:BU1671, "&gt;-1")</f>
        <v>0.41653503506665823</v>
      </c>
      <c r="BY1671" s="18">
        <f>SUM($BC$6:BU1671) / $BY$4</f>
        <v>0.98730239219015414</v>
      </c>
      <c r="BZ1671" s="14">
        <f t="shared" si="108"/>
        <v>16</v>
      </c>
      <c r="CA1671" t="s">
        <v>5832</v>
      </c>
      <c r="CZ1671" t="s">
        <v>7666</v>
      </c>
      <c r="DA1671" t="s">
        <v>5904</v>
      </c>
      <c r="DB1671">
        <v>1842</v>
      </c>
      <c r="DC1671" t="s">
        <v>19374</v>
      </c>
      <c r="DD1671" t="s">
        <v>13772</v>
      </c>
      <c r="DE1671" t="s">
        <v>19375</v>
      </c>
      <c r="DF1671" t="s">
        <v>19376</v>
      </c>
      <c r="DG1671" t="s">
        <v>19377</v>
      </c>
      <c r="DH1671" t="str">
        <f>"EHBP1L1"</f>
        <v>EHBP1L1</v>
      </c>
      <c r="DI1671" t="s">
        <v>13772</v>
      </c>
      <c r="DJ1671" t="s">
        <v>13777</v>
      </c>
      <c r="DK1671">
        <v>9606</v>
      </c>
      <c r="DL1671" s="34" t="str">
        <f>HYPERLINK("http://www.uniprot.org/uniprot/Q8N3D4", "Q8N3D4")</f>
        <v>Q8N3D4</v>
      </c>
      <c r="DM1671" t="s">
        <v>19378</v>
      </c>
      <c r="DN1671" t="s">
        <v>13772</v>
      </c>
      <c r="DO1671" t="s">
        <v>16765</v>
      </c>
      <c r="DP1671" t="s">
        <v>13793</v>
      </c>
      <c r="DQ1671" t="s">
        <v>13772</v>
      </c>
      <c r="DR1671" t="s">
        <v>13772</v>
      </c>
      <c r="DS1671" t="s">
        <v>14245</v>
      </c>
      <c r="DT1671" t="s">
        <v>13772</v>
      </c>
      <c r="DU1671" t="s">
        <v>13772</v>
      </c>
      <c r="DV1671" t="s">
        <v>13782</v>
      </c>
      <c r="DW1671" t="s">
        <v>13772</v>
      </c>
      <c r="DX1671" t="s">
        <v>13772</v>
      </c>
      <c r="DY1671" t="s">
        <v>19379</v>
      </c>
      <c r="DZ1671" t="s">
        <v>13772</v>
      </c>
      <c r="EA1671" t="s">
        <v>13772</v>
      </c>
      <c r="EB1671" t="s">
        <v>13772</v>
      </c>
    </row>
    <row r="1672" spans="1:132" hidden="1">
      <c r="A1672">
        <v>600</v>
      </c>
      <c r="B1672">
        <v>1</v>
      </c>
      <c r="C1672" t="s">
        <v>1486</v>
      </c>
      <c r="D1672" t="s">
        <v>1487</v>
      </c>
      <c r="E1672" t="s">
        <v>73</v>
      </c>
      <c r="F1672" t="s">
        <v>73</v>
      </c>
      <c r="G1672" t="s">
        <v>73</v>
      </c>
      <c r="H1672">
        <v>8.6999999999999993</v>
      </c>
      <c r="I1672">
        <v>553</v>
      </c>
      <c r="J1672">
        <v>59697</v>
      </c>
      <c r="K1672" t="s">
        <v>1488</v>
      </c>
      <c r="L1672">
        <f t="shared" si="106"/>
        <v>9</v>
      </c>
      <c r="N1672">
        <v>9</v>
      </c>
      <c r="O1672">
        <v>9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3</v>
      </c>
      <c r="V1672">
        <v>5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3</v>
      </c>
      <c r="AO1672">
        <v>5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3</v>
      </c>
      <c r="BH1672" s="2">
        <v>5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f t="shared" si="109"/>
        <v>9</v>
      </c>
      <c r="BW1672" s="16">
        <f t="shared" si="107"/>
        <v>0.47368421052631576</v>
      </c>
      <c r="BX1672" s="16">
        <f>COUNTIF($BC$6:BU1672, "=0") / COUNTIF($BC$6:BU1672, "&gt;-1")</f>
        <v>0.41679032614529726</v>
      </c>
      <c r="BY1672" s="18">
        <f>SUM($BC$6:BU1672) / $BY$4</f>
        <v>0.98734094492197255</v>
      </c>
      <c r="BZ1672" s="14">
        <f t="shared" si="108"/>
        <v>16</v>
      </c>
      <c r="CA1672" t="s">
        <v>5832</v>
      </c>
      <c r="CZ1672" t="s">
        <v>7772</v>
      </c>
      <c r="DA1672" t="s">
        <v>5904</v>
      </c>
      <c r="DB1672">
        <v>883.6</v>
      </c>
      <c r="DC1672" t="s">
        <v>19700</v>
      </c>
      <c r="DD1672" t="s">
        <v>19701</v>
      </c>
      <c r="DE1672" t="s">
        <v>19702</v>
      </c>
      <c r="DF1672" t="s">
        <v>19703</v>
      </c>
      <c r="DG1672" t="s">
        <v>19704</v>
      </c>
      <c r="DH1672" t="str">
        <f>"SLC22A12"</f>
        <v>SLC22A12</v>
      </c>
      <c r="DI1672" t="s">
        <v>19705</v>
      </c>
      <c r="DJ1672" t="s">
        <v>13777</v>
      </c>
      <c r="DK1672">
        <v>9606</v>
      </c>
      <c r="DL1672" s="34" t="str">
        <f>HYPERLINK("http://www.uniprot.org/uniprot/Q96S37", "Q96S37")</f>
        <v>Q96S37</v>
      </c>
      <c r="DM1672" t="s">
        <v>19706</v>
      </c>
      <c r="DN1672" t="s">
        <v>14288</v>
      </c>
      <c r="DO1672" t="s">
        <v>13792</v>
      </c>
      <c r="DP1672" t="s">
        <v>13780</v>
      </c>
      <c r="DQ1672" t="s">
        <v>13772</v>
      </c>
      <c r="DR1672" t="s">
        <v>13807</v>
      </c>
      <c r="DS1672" t="s">
        <v>13925</v>
      </c>
      <c r="DT1672" t="s">
        <v>13772</v>
      </c>
      <c r="DU1672" t="s">
        <v>13772</v>
      </c>
      <c r="DV1672" t="s">
        <v>13978</v>
      </c>
      <c r="DW1672" t="s">
        <v>13772</v>
      </c>
      <c r="DX1672" t="s">
        <v>19707</v>
      </c>
      <c r="DY1672" t="s">
        <v>19708</v>
      </c>
      <c r="DZ1672" t="s">
        <v>19709</v>
      </c>
      <c r="EA1672" t="s">
        <v>13772</v>
      </c>
      <c r="EB1672" t="s">
        <v>19710</v>
      </c>
    </row>
    <row r="1673" spans="1:132" hidden="1">
      <c r="A1673">
        <v>621</v>
      </c>
      <c r="B1673">
        <v>1</v>
      </c>
      <c r="C1673" t="s">
        <v>1537</v>
      </c>
      <c r="D1673" t="s">
        <v>73</v>
      </c>
      <c r="E1673" t="s">
        <v>73</v>
      </c>
      <c r="F1673" t="s">
        <v>73</v>
      </c>
      <c r="G1673" t="s">
        <v>73</v>
      </c>
      <c r="H1673">
        <v>22.6</v>
      </c>
      <c r="I1673">
        <v>439</v>
      </c>
      <c r="J1673">
        <v>49217</v>
      </c>
      <c r="K1673" t="s">
        <v>1538</v>
      </c>
      <c r="L1673">
        <f t="shared" si="106"/>
        <v>9</v>
      </c>
      <c r="N1673">
        <v>9</v>
      </c>
      <c r="O1673">
        <v>9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3</v>
      </c>
      <c r="Z1673">
        <v>0</v>
      </c>
      <c r="AA1673">
        <v>5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0</v>
      </c>
      <c r="AT1673">
        <v>5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3</v>
      </c>
      <c r="BL1673" s="2">
        <v>0</v>
      </c>
      <c r="BM1673" s="2">
        <v>5</v>
      </c>
      <c r="BN1673" s="2">
        <v>1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f t="shared" si="109"/>
        <v>9</v>
      </c>
      <c r="BW1673" s="16">
        <f t="shared" si="107"/>
        <v>0.47368421052631576</v>
      </c>
      <c r="BX1673" s="16">
        <f>COUNTIF($BC$6:BU1673, "=0") / COUNTIF($BC$6:BU1673, "&gt;-1")</f>
        <v>0.41704531111952542</v>
      </c>
      <c r="BY1673" s="18">
        <f>SUM($BC$6:BU1673) / $BY$4</f>
        <v>0.98737949765379085</v>
      </c>
      <c r="BZ1673" s="14">
        <f t="shared" si="108"/>
        <v>16</v>
      </c>
      <c r="CA1673" t="s">
        <v>5832</v>
      </c>
      <c r="CZ1673" t="s">
        <v>7843</v>
      </c>
      <c r="DA1673" t="s">
        <v>5904</v>
      </c>
      <c r="DB1673">
        <v>896.3</v>
      </c>
      <c r="DC1673" t="s">
        <v>19934</v>
      </c>
      <c r="DD1673" t="s">
        <v>19935</v>
      </c>
      <c r="DE1673" t="s">
        <v>19936</v>
      </c>
      <c r="DF1673" t="s">
        <v>19937</v>
      </c>
      <c r="DG1673" t="s">
        <v>19938</v>
      </c>
      <c r="DH1673" t="str">
        <f>"PSMC3"</f>
        <v>PSMC3</v>
      </c>
      <c r="DI1673" t="s">
        <v>19939</v>
      </c>
      <c r="DJ1673" t="s">
        <v>13777</v>
      </c>
      <c r="DK1673">
        <v>9606</v>
      </c>
      <c r="DL1673" s="34" t="str">
        <f>HYPERLINK("http://www.uniprot.org/uniprot/P17980", "P17980")</f>
        <v>P17980</v>
      </c>
      <c r="DM1673" t="s">
        <v>19940</v>
      </c>
      <c r="DN1673" t="s">
        <v>14563</v>
      </c>
      <c r="DO1673" t="s">
        <v>14204</v>
      </c>
      <c r="DP1673" t="s">
        <v>13772</v>
      </c>
      <c r="DQ1673" t="s">
        <v>13772</v>
      </c>
      <c r="DR1673" t="s">
        <v>13772</v>
      </c>
      <c r="DS1673" t="s">
        <v>13772</v>
      </c>
      <c r="DT1673" t="s">
        <v>14005</v>
      </c>
      <c r="DU1673" t="s">
        <v>13772</v>
      </c>
      <c r="DV1673" t="s">
        <v>19111</v>
      </c>
      <c r="DW1673" t="s">
        <v>13812</v>
      </c>
      <c r="DX1673" t="s">
        <v>19941</v>
      </c>
      <c r="DY1673" t="s">
        <v>19942</v>
      </c>
      <c r="DZ1673" t="s">
        <v>19943</v>
      </c>
      <c r="EA1673" t="s">
        <v>13772</v>
      </c>
      <c r="EB1673" t="s">
        <v>14149</v>
      </c>
    </row>
    <row r="1674" spans="1:132" hidden="1">
      <c r="A1674">
        <v>637</v>
      </c>
      <c r="B1674">
        <v>1</v>
      </c>
      <c r="C1674" t="s">
        <v>1576</v>
      </c>
      <c r="D1674" t="s">
        <v>73</v>
      </c>
      <c r="E1674" t="s">
        <v>73</v>
      </c>
      <c r="F1674" t="s">
        <v>73</v>
      </c>
      <c r="G1674" t="s">
        <v>73</v>
      </c>
      <c r="H1674">
        <v>31.8</v>
      </c>
      <c r="I1674">
        <v>151</v>
      </c>
      <c r="J1674">
        <v>17222</v>
      </c>
      <c r="K1674" t="s">
        <v>1577</v>
      </c>
      <c r="L1674">
        <f t="shared" si="106"/>
        <v>9</v>
      </c>
      <c r="N1674">
        <v>9</v>
      </c>
      <c r="O1674">
        <v>9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0</v>
      </c>
      <c r="AA1674">
        <v>1</v>
      </c>
      <c r="AB1674">
        <v>4</v>
      </c>
      <c r="AC1674">
        <v>1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</v>
      </c>
      <c r="AS1674">
        <v>0</v>
      </c>
      <c r="AT1674">
        <v>1</v>
      </c>
      <c r="AU1674">
        <v>4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2</v>
      </c>
      <c r="BL1674" s="2">
        <v>0</v>
      </c>
      <c r="BM1674" s="2">
        <v>1</v>
      </c>
      <c r="BN1674" s="2">
        <v>4</v>
      </c>
      <c r="BO1674" s="2">
        <v>1</v>
      </c>
      <c r="BP1674" s="2">
        <v>0</v>
      </c>
      <c r="BQ1674" s="2">
        <v>1</v>
      </c>
      <c r="BR1674" s="2">
        <v>0</v>
      </c>
      <c r="BS1674" s="2">
        <v>0</v>
      </c>
      <c r="BT1674" s="2">
        <v>0</v>
      </c>
      <c r="BU1674" s="2">
        <v>0</v>
      </c>
      <c r="BV1674" s="2">
        <f t="shared" si="109"/>
        <v>9</v>
      </c>
      <c r="BW1674" s="16">
        <f t="shared" si="107"/>
        <v>0.47368421052631576</v>
      </c>
      <c r="BX1674" s="16">
        <f>COUNTIF($BC$6:BU1674, "=0") / COUNTIF($BC$6:BU1674, "&gt;-1")</f>
        <v>0.41723692094225978</v>
      </c>
      <c r="BY1674" s="18">
        <f>SUM($BC$6:BU1674) / $BY$4</f>
        <v>0.98741805038560915</v>
      </c>
      <c r="BZ1674" s="14">
        <f t="shared" si="108"/>
        <v>14</v>
      </c>
      <c r="CA1674" t="s">
        <v>5832</v>
      </c>
      <c r="CZ1674" t="s">
        <v>7894</v>
      </c>
      <c r="DA1674" t="s">
        <v>5904</v>
      </c>
      <c r="DB1674">
        <v>305.10000000000002</v>
      </c>
      <c r="DC1674" t="s">
        <v>20074</v>
      </c>
      <c r="DD1674" t="s">
        <v>20075</v>
      </c>
      <c r="DE1674" t="s">
        <v>20076</v>
      </c>
      <c r="DF1674" t="s">
        <v>20077</v>
      </c>
      <c r="DG1674" t="s">
        <v>20078</v>
      </c>
      <c r="DH1674" t="str">
        <f>"RPS13"</f>
        <v>RPS13</v>
      </c>
      <c r="DI1674" t="s">
        <v>13772</v>
      </c>
      <c r="DJ1674" t="s">
        <v>13777</v>
      </c>
      <c r="DK1674">
        <v>9606</v>
      </c>
      <c r="DL1674" s="34" t="str">
        <f>HYPERLINK("http://www.uniprot.org/uniprot/P62277", "P62277")</f>
        <v>P62277</v>
      </c>
      <c r="DM1674" t="s">
        <v>15074</v>
      </c>
      <c r="DN1674" t="s">
        <v>13772</v>
      </c>
      <c r="DO1674" t="s">
        <v>13772</v>
      </c>
      <c r="DP1674" t="s">
        <v>13772</v>
      </c>
      <c r="DQ1674" t="s">
        <v>13772</v>
      </c>
      <c r="DR1674" t="s">
        <v>13772</v>
      </c>
      <c r="DS1674" t="s">
        <v>13772</v>
      </c>
      <c r="DT1674" t="s">
        <v>13772</v>
      </c>
      <c r="DU1674" t="s">
        <v>13937</v>
      </c>
      <c r="DV1674" t="s">
        <v>13991</v>
      </c>
      <c r="DW1674" t="s">
        <v>13812</v>
      </c>
      <c r="DX1674" t="s">
        <v>20079</v>
      </c>
      <c r="DY1674" t="s">
        <v>20080</v>
      </c>
      <c r="DZ1674" t="s">
        <v>20081</v>
      </c>
      <c r="EA1674" t="s">
        <v>13772</v>
      </c>
      <c r="EB1674" t="s">
        <v>17828</v>
      </c>
    </row>
    <row r="1675" spans="1:132" hidden="1">
      <c r="A1675">
        <v>660</v>
      </c>
      <c r="B1675">
        <v>1</v>
      </c>
      <c r="C1675" t="s">
        <v>1630</v>
      </c>
      <c r="D1675" t="s">
        <v>1631</v>
      </c>
      <c r="E1675" t="s">
        <v>73</v>
      </c>
      <c r="F1675" t="s">
        <v>73</v>
      </c>
      <c r="G1675" t="s">
        <v>73</v>
      </c>
      <c r="H1675">
        <v>20.8</v>
      </c>
      <c r="I1675">
        <v>331</v>
      </c>
      <c r="J1675">
        <v>38145</v>
      </c>
      <c r="K1675" t="s">
        <v>1632</v>
      </c>
      <c r="L1675">
        <f t="shared" si="106"/>
        <v>9</v>
      </c>
      <c r="N1675">
        <v>9</v>
      </c>
      <c r="O1675">
        <v>9</v>
      </c>
      <c r="P1675">
        <v>1</v>
      </c>
      <c r="Q1675">
        <v>1</v>
      </c>
      <c r="R1675">
        <v>2</v>
      </c>
      <c r="S1675">
        <v>0</v>
      </c>
      <c r="T1675">
        <v>1</v>
      </c>
      <c r="U1675">
        <v>1</v>
      </c>
      <c r="V1675">
        <v>3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2</v>
      </c>
      <c r="AL1675">
        <v>0</v>
      </c>
      <c r="AM1675">
        <v>1</v>
      </c>
      <c r="AN1675">
        <v>1</v>
      </c>
      <c r="AO1675">
        <v>3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 s="2">
        <v>1</v>
      </c>
      <c r="BD1675" s="2">
        <v>2</v>
      </c>
      <c r="BE1675" s="2">
        <v>0</v>
      </c>
      <c r="BF1675" s="2">
        <v>1</v>
      </c>
      <c r="BG1675" s="2">
        <v>1</v>
      </c>
      <c r="BH1675" s="2">
        <v>3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f t="shared" si="109"/>
        <v>9</v>
      </c>
      <c r="BW1675" s="16">
        <f t="shared" si="107"/>
        <v>0.47368421052631576</v>
      </c>
      <c r="BX1675" s="16">
        <f>COUNTIF($BC$6:BU1675, "=0") / COUNTIF($BC$6:BU1675, "&gt;-1")</f>
        <v>0.41739678537661518</v>
      </c>
      <c r="BY1675" s="18">
        <f>SUM($BC$6:BU1675) / $BY$4</f>
        <v>0.98745660311742744</v>
      </c>
      <c r="BZ1675" s="14">
        <f t="shared" si="108"/>
        <v>13</v>
      </c>
      <c r="CA1675" t="s">
        <v>5832</v>
      </c>
      <c r="CZ1675" t="s">
        <v>7968</v>
      </c>
      <c r="DA1675" t="s">
        <v>5904</v>
      </c>
      <c r="DB1675">
        <v>653.70000000000005</v>
      </c>
      <c r="DC1675" t="s">
        <v>20283</v>
      </c>
      <c r="DD1675" t="s">
        <v>20284</v>
      </c>
      <c r="DE1675" t="s">
        <v>20285</v>
      </c>
      <c r="DF1675" t="s">
        <v>20286</v>
      </c>
      <c r="DG1675" t="s">
        <v>20287</v>
      </c>
      <c r="DH1675" t="str">
        <f>"ST3GAL6"</f>
        <v>ST3GAL6</v>
      </c>
      <c r="DI1675" t="s">
        <v>20288</v>
      </c>
      <c r="DJ1675" t="s">
        <v>13777</v>
      </c>
      <c r="DK1675">
        <v>9606</v>
      </c>
      <c r="DL1675" s="34" t="str">
        <f>HYPERLINK("http://www.uniprot.org/uniprot/Q9Y274", "Q9Y274")</f>
        <v>Q9Y274</v>
      </c>
      <c r="DM1675" t="s">
        <v>20289</v>
      </c>
      <c r="DN1675" t="s">
        <v>13772</v>
      </c>
      <c r="DO1675" t="s">
        <v>18298</v>
      </c>
      <c r="DP1675" t="s">
        <v>13780</v>
      </c>
      <c r="DQ1675" t="s">
        <v>13772</v>
      </c>
      <c r="DR1675" t="s">
        <v>13772</v>
      </c>
      <c r="DS1675" t="s">
        <v>14417</v>
      </c>
      <c r="DT1675" t="s">
        <v>13772</v>
      </c>
      <c r="DU1675" t="s">
        <v>15995</v>
      </c>
      <c r="DV1675" t="s">
        <v>13858</v>
      </c>
      <c r="DW1675" t="s">
        <v>13772</v>
      </c>
      <c r="DX1675" t="s">
        <v>20290</v>
      </c>
      <c r="DY1675" t="s">
        <v>20291</v>
      </c>
      <c r="DZ1675" t="s">
        <v>20292</v>
      </c>
      <c r="EA1675" t="s">
        <v>13772</v>
      </c>
      <c r="EB1675" t="s">
        <v>20293</v>
      </c>
    </row>
    <row r="1676" spans="1:132" hidden="1">
      <c r="A1676">
        <v>688</v>
      </c>
      <c r="B1676">
        <v>1</v>
      </c>
      <c r="C1676" t="s">
        <v>1694</v>
      </c>
      <c r="D1676" t="s">
        <v>73</v>
      </c>
      <c r="E1676" t="s">
        <v>73</v>
      </c>
      <c r="F1676" t="s">
        <v>73</v>
      </c>
      <c r="G1676" t="s">
        <v>73</v>
      </c>
      <c r="H1676">
        <v>25.5</v>
      </c>
      <c r="I1676">
        <v>188</v>
      </c>
      <c r="J1676">
        <v>21367</v>
      </c>
      <c r="K1676" t="s">
        <v>1695</v>
      </c>
      <c r="L1676">
        <f t="shared" si="106"/>
        <v>9</v>
      </c>
      <c r="N1676">
        <v>9</v>
      </c>
      <c r="O1676">
        <v>9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3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2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3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2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1</v>
      </c>
      <c r="BJ1676" s="2">
        <v>3</v>
      </c>
      <c r="BK1676" s="2">
        <v>0</v>
      </c>
      <c r="BL1676" s="2">
        <v>1</v>
      </c>
      <c r="BM1676" s="2">
        <v>0</v>
      </c>
      <c r="BN1676" s="2">
        <v>0</v>
      </c>
      <c r="BO1676" s="2">
        <v>0</v>
      </c>
      <c r="BP1676" s="2">
        <v>2</v>
      </c>
      <c r="BQ1676" s="2">
        <v>1</v>
      </c>
      <c r="BR1676" s="2">
        <v>0</v>
      </c>
      <c r="BS1676" s="2">
        <v>0</v>
      </c>
      <c r="BT1676" s="2">
        <v>0</v>
      </c>
      <c r="BU1676" s="2">
        <v>0</v>
      </c>
      <c r="BV1676" s="2">
        <f t="shared" si="109"/>
        <v>9</v>
      </c>
      <c r="BW1676" s="16">
        <f t="shared" si="107"/>
        <v>0.47368421052631576</v>
      </c>
      <c r="BX1676" s="16">
        <f>COUNTIF($BC$6:BU1676, "=0") / COUNTIF($BC$6:BU1676, "&gt;-1")</f>
        <v>0.41755645847113293</v>
      </c>
      <c r="BY1676" s="18">
        <f>SUM($BC$6:BU1676) / $BY$4</f>
        <v>0.98749515584924574</v>
      </c>
      <c r="BZ1676" s="14">
        <f t="shared" si="108"/>
        <v>13</v>
      </c>
      <c r="CA1676" t="s">
        <v>5832</v>
      </c>
      <c r="CZ1676" t="s">
        <v>8066</v>
      </c>
      <c r="DA1676" t="s">
        <v>5904</v>
      </c>
      <c r="DB1676">
        <v>300.39999999999998</v>
      </c>
      <c r="DC1676" t="s">
        <v>20575</v>
      </c>
      <c r="DD1676" t="s">
        <v>13772</v>
      </c>
      <c r="DE1676" t="s">
        <v>20576</v>
      </c>
      <c r="DF1676" t="s">
        <v>20577</v>
      </c>
      <c r="DG1676" t="s">
        <v>20578</v>
      </c>
      <c r="DH1676" t="str">
        <f>"APOD"</f>
        <v>APOD</v>
      </c>
      <c r="DI1676" t="s">
        <v>13772</v>
      </c>
      <c r="DJ1676" t="s">
        <v>13777</v>
      </c>
      <c r="DK1676">
        <v>9606</v>
      </c>
      <c r="DL1676" s="34" t="str">
        <f>HYPERLINK("http://www.uniprot.org/uniprot/P05090", "P05090")</f>
        <v>P05090</v>
      </c>
      <c r="DM1676" t="s">
        <v>20579</v>
      </c>
      <c r="DN1676" t="s">
        <v>14192</v>
      </c>
      <c r="DO1676" t="s">
        <v>14321</v>
      </c>
      <c r="DP1676" t="s">
        <v>13793</v>
      </c>
      <c r="DQ1676" t="s">
        <v>13772</v>
      </c>
      <c r="DR1676" t="s">
        <v>13772</v>
      </c>
      <c r="DS1676" t="s">
        <v>13808</v>
      </c>
      <c r="DT1676" t="s">
        <v>13900</v>
      </c>
      <c r="DU1676" t="s">
        <v>13772</v>
      </c>
      <c r="DV1676" t="s">
        <v>16701</v>
      </c>
      <c r="DW1676" t="s">
        <v>13812</v>
      </c>
      <c r="DX1676" t="s">
        <v>20580</v>
      </c>
      <c r="DY1676" t="s">
        <v>20581</v>
      </c>
      <c r="DZ1676" t="s">
        <v>20582</v>
      </c>
      <c r="EA1676" t="s">
        <v>13772</v>
      </c>
      <c r="EB1676" t="s">
        <v>20583</v>
      </c>
    </row>
    <row r="1677" spans="1:132" hidden="1">
      <c r="A1677">
        <v>731</v>
      </c>
      <c r="B1677">
        <v>1</v>
      </c>
      <c r="C1677" t="s">
        <v>1792</v>
      </c>
      <c r="D1677" t="s">
        <v>73</v>
      </c>
      <c r="E1677" t="s">
        <v>73</v>
      </c>
      <c r="F1677" t="s">
        <v>73</v>
      </c>
      <c r="G1677" t="s">
        <v>73</v>
      </c>
      <c r="H1677">
        <v>36.799999999999997</v>
      </c>
      <c r="I1677">
        <v>231</v>
      </c>
      <c r="J1677">
        <v>25701</v>
      </c>
      <c r="K1677" t="s">
        <v>1793</v>
      </c>
      <c r="L1677">
        <f t="shared" si="106"/>
        <v>9</v>
      </c>
      <c r="N1677">
        <v>9</v>
      </c>
      <c r="O1677">
        <v>9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2</v>
      </c>
      <c r="AB1677">
        <v>1</v>
      </c>
      <c r="AC1677">
        <v>0</v>
      </c>
      <c r="AD1677">
        <v>0</v>
      </c>
      <c r="AE1677">
        <v>0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2</v>
      </c>
      <c r="AU1677">
        <v>1</v>
      </c>
      <c r="AV1677">
        <v>0</v>
      </c>
      <c r="AW1677">
        <v>0</v>
      </c>
      <c r="AX1677">
        <v>0</v>
      </c>
      <c r="AY1677">
        <v>3</v>
      </c>
      <c r="AZ1677">
        <v>0</v>
      </c>
      <c r="BA1677">
        <v>0</v>
      </c>
      <c r="BB1677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1</v>
      </c>
      <c r="BL1677" s="2">
        <v>0</v>
      </c>
      <c r="BM1677" s="2">
        <v>2</v>
      </c>
      <c r="BN1677" s="2">
        <v>1</v>
      </c>
      <c r="BO1677" s="2">
        <v>0</v>
      </c>
      <c r="BP1677" s="2">
        <v>0</v>
      </c>
      <c r="BQ1677" s="2">
        <v>0</v>
      </c>
      <c r="BR1677" s="2">
        <v>3</v>
      </c>
      <c r="BS1677" s="2">
        <v>0</v>
      </c>
      <c r="BT1677" s="2">
        <v>0</v>
      </c>
      <c r="BU1677" s="2">
        <v>0</v>
      </c>
      <c r="BV1677" s="2">
        <f t="shared" si="109"/>
        <v>9</v>
      </c>
      <c r="BW1677" s="16">
        <f t="shared" si="107"/>
        <v>0.47368421052631576</v>
      </c>
      <c r="BX1677" s="16">
        <f>COUNTIF($BC$6:BU1677, "=0") / COUNTIF($BC$6:BU1677, "&gt;-1")</f>
        <v>0.41771594056912614</v>
      </c>
      <c r="BY1677" s="18">
        <f>SUM($BC$6:BU1677) / $BY$4</f>
        <v>0.98753370858106404</v>
      </c>
      <c r="BZ1677" s="14">
        <f t="shared" si="108"/>
        <v>13</v>
      </c>
      <c r="CA1677" t="s">
        <v>5832</v>
      </c>
      <c r="CZ1677" t="s">
        <v>8198</v>
      </c>
      <c r="DA1677" t="s">
        <v>5904</v>
      </c>
      <c r="DB1677">
        <v>359</v>
      </c>
      <c r="DC1677" t="s">
        <v>20963</v>
      </c>
      <c r="DD1677" t="s">
        <v>13772</v>
      </c>
      <c r="DE1677" t="s">
        <v>20964</v>
      </c>
      <c r="DF1677" t="s">
        <v>20965</v>
      </c>
      <c r="DG1677" t="s">
        <v>20966</v>
      </c>
      <c r="DH1677" t="str">
        <f>"FAM3D"</f>
        <v>FAM3D</v>
      </c>
      <c r="DI1677" t="s">
        <v>13772</v>
      </c>
      <c r="DJ1677" t="s">
        <v>13777</v>
      </c>
      <c r="DK1677">
        <v>9606</v>
      </c>
      <c r="DL1677" s="34" t="str">
        <f>HYPERLINK("http://www.uniprot.org/uniprot/Q96BQ1", "Q96BQ1")</f>
        <v>Q96BQ1</v>
      </c>
      <c r="DM1677" t="s">
        <v>20967</v>
      </c>
      <c r="DN1677" t="s">
        <v>13772</v>
      </c>
      <c r="DO1677" t="s">
        <v>14321</v>
      </c>
      <c r="DP1677" t="s">
        <v>13793</v>
      </c>
      <c r="DQ1677" t="s">
        <v>13772</v>
      </c>
      <c r="DR1677" t="s">
        <v>13772</v>
      </c>
      <c r="DS1677" t="s">
        <v>13808</v>
      </c>
      <c r="DT1677" t="s">
        <v>13772</v>
      </c>
      <c r="DU1677" t="s">
        <v>13772</v>
      </c>
      <c r="DV1677" t="s">
        <v>13796</v>
      </c>
      <c r="DW1677" t="s">
        <v>13772</v>
      </c>
      <c r="DX1677" t="s">
        <v>20968</v>
      </c>
      <c r="DY1677" t="s">
        <v>15346</v>
      </c>
      <c r="DZ1677" t="s">
        <v>14339</v>
      </c>
      <c r="EA1677" t="s">
        <v>13772</v>
      </c>
      <c r="EB1677" t="s">
        <v>13772</v>
      </c>
    </row>
    <row r="1678" spans="1:132" hidden="1">
      <c r="A1678">
        <v>831</v>
      </c>
      <c r="B1678">
        <v>1</v>
      </c>
      <c r="C1678" t="s">
        <v>2035</v>
      </c>
      <c r="D1678" t="s">
        <v>73</v>
      </c>
      <c r="E1678" t="s">
        <v>73</v>
      </c>
      <c r="F1678" t="s">
        <v>73</v>
      </c>
      <c r="G1678" t="s">
        <v>73</v>
      </c>
      <c r="H1678">
        <v>45.2</v>
      </c>
      <c r="I1678">
        <v>62</v>
      </c>
      <c r="J1678">
        <v>6791</v>
      </c>
      <c r="K1678" t="s">
        <v>2036</v>
      </c>
      <c r="L1678">
        <f t="shared" si="106"/>
        <v>9</v>
      </c>
      <c r="N1678">
        <v>9</v>
      </c>
      <c r="O1678">
        <v>9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5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2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5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2</v>
      </c>
      <c r="AY1678">
        <v>1</v>
      </c>
      <c r="AZ1678">
        <v>0</v>
      </c>
      <c r="BA1678">
        <v>0</v>
      </c>
      <c r="BB1678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5</v>
      </c>
      <c r="BL1678" s="2">
        <v>0</v>
      </c>
      <c r="BM1678" s="2">
        <v>1</v>
      </c>
      <c r="BN1678" s="2">
        <v>0</v>
      </c>
      <c r="BO1678" s="2">
        <v>0</v>
      </c>
      <c r="BP1678" s="2">
        <v>0</v>
      </c>
      <c r="BQ1678" s="2">
        <v>2</v>
      </c>
      <c r="BR1678" s="2">
        <v>1</v>
      </c>
      <c r="BS1678" s="2">
        <v>0</v>
      </c>
      <c r="BT1678" s="2">
        <v>0</v>
      </c>
      <c r="BU1678" s="2">
        <v>0</v>
      </c>
      <c r="BV1678" s="2">
        <f t="shared" si="109"/>
        <v>9</v>
      </c>
      <c r="BW1678" s="16">
        <f t="shared" si="107"/>
        <v>0.47368421052631576</v>
      </c>
      <c r="BX1678" s="16">
        <f>COUNTIF($BC$6:BU1678, "=0") / COUNTIF($BC$6:BU1678, "&gt;-1")</f>
        <v>0.41793815081637148</v>
      </c>
      <c r="BY1678" s="18">
        <f>SUM($BC$6:BU1678) / $BY$4</f>
        <v>0.98757226131288234</v>
      </c>
      <c r="BZ1678" s="14">
        <f t="shared" si="108"/>
        <v>15</v>
      </c>
      <c r="CA1678" t="s">
        <v>5832</v>
      </c>
      <c r="CZ1678" t="s">
        <v>8545</v>
      </c>
      <c r="DA1678" t="s">
        <v>5904</v>
      </c>
      <c r="DB1678">
        <v>123.6</v>
      </c>
      <c r="DC1678" t="s">
        <v>21988</v>
      </c>
      <c r="DD1678" t="s">
        <v>21989</v>
      </c>
      <c r="DE1678" t="s">
        <v>21990</v>
      </c>
      <c r="DF1678" t="s">
        <v>21991</v>
      </c>
      <c r="DG1678" t="s">
        <v>21992</v>
      </c>
      <c r="DH1678" t="str">
        <f>"PCP4"</f>
        <v>PCP4</v>
      </c>
      <c r="DI1678" t="s">
        <v>13772</v>
      </c>
      <c r="DJ1678" t="s">
        <v>13777</v>
      </c>
      <c r="DK1678">
        <v>9606</v>
      </c>
      <c r="DL1678" s="34" t="str">
        <f>HYPERLINK("http://www.uniprot.org/uniprot/P48539", "P48539")</f>
        <v>P48539</v>
      </c>
      <c r="DM1678" t="s">
        <v>21993</v>
      </c>
      <c r="DN1678" t="s">
        <v>13772</v>
      </c>
      <c r="DO1678" t="s">
        <v>13772</v>
      </c>
      <c r="DP1678" t="s">
        <v>13772</v>
      </c>
      <c r="DQ1678" t="s">
        <v>13772</v>
      </c>
      <c r="DR1678" t="s">
        <v>13772</v>
      </c>
      <c r="DS1678" t="s">
        <v>13772</v>
      </c>
      <c r="DT1678" t="s">
        <v>13772</v>
      </c>
      <c r="DU1678" t="s">
        <v>14969</v>
      </c>
      <c r="DV1678" t="s">
        <v>13772</v>
      </c>
      <c r="DW1678" t="s">
        <v>13812</v>
      </c>
      <c r="DX1678" t="s">
        <v>21994</v>
      </c>
      <c r="DY1678" t="s">
        <v>21995</v>
      </c>
      <c r="DZ1678" t="s">
        <v>21996</v>
      </c>
      <c r="EA1678" t="s">
        <v>13772</v>
      </c>
      <c r="EB1678" t="s">
        <v>13772</v>
      </c>
    </row>
    <row r="1679" spans="1:132" hidden="1">
      <c r="A1679">
        <v>913</v>
      </c>
      <c r="B1679">
        <v>1</v>
      </c>
      <c r="C1679" t="s">
        <v>2224</v>
      </c>
      <c r="D1679" t="s">
        <v>2225</v>
      </c>
      <c r="E1679" t="s">
        <v>73</v>
      </c>
      <c r="F1679" t="s">
        <v>73</v>
      </c>
      <c r="G1679" t="s">
        <v>73</v>
      </c>
      <c r="H1679">
        <v>12.2</v>
      </c>
      <c r="I1679">
        <v>476</v>
      </c>
      <c r="J1679">
        <v>48190</v>
      </c>
      <c r="K1679" t="s">
        <v>2226</v>
      </c>
      <c r="L1679">
        <f t="shared" si="106"/>
        <v>9</v>
      </c>
      <c r="N1679">
        <v>9</v>
      </c>
      <c r="O1679">
        <v>9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1</v>
      </c>
      <c r="AF1679">
        <v>3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1</v>
      </c>
      <c r="AY1679">
        <v>3</v>
      </c>
      <c r="AZ1679">
        <v>1</v>
      </c>
      <c r="BA1679">
        <v>0</v>
      </c>
      <c r="BB1679">
        <v>0</v>
      </c>
      <c r="BC1679" s="2">
        <v>1</v>
      </c>
      <c r="BD1679" s="2">
        <v>0</v>
      </c>
      <c r="BE1679" s="2">
        <v>0</v>
      </c>
      <c r="BF1679" s="2">
        <v>0</v>
      </c>
      <c r="BG1679" s="2">
        <v>1</v>
      </c>
      <c r="BH1679" s="2">
        <v>0</v>
      </c>
      <c r="BI1679" s="2">
        <v>1</v>
      </c>
      <c r="BJ1679" s="2">
        <v>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v>0</v>
      </c>
      <c r="BQ1679" s="2">
        <v>1</v>
      </c>
      <c r="BR1679" s="2">
        <v>3</v>
      </c>
      <c r="BS1679" s="2">
        <v>1</v>
      </c>
      <c r="BT1679" s="2">
        <v>0</v>
      </c>
      <c r="BU1679" s="2">
        <v>0</v>
      </c>
      <c r="BV1679" s="2">
        <f t="shared" si="109"/>
        <v>9</v>
      </c>
      <c r="BW1679" s="16">
        <f t="shared" si="107"/>
        <v>0.47368421052631576</v>
      </c>
      <c r="BX1679" s="16">
        <f>COUNTIF($BC$6:BU1679, "=0") / COUNTIF($BC$6:BU1679, "&gt;-1")</f>
        <v>0.41806577375337989</v>
      </c>
      <c r="BY1679" s="18">
        <f>SUM($BC$6:BU1679) / $BY$4</f>
        <v>0.98761081404470064</v>
      </c>
      <c r="BZ1679" s="14">
        <f t="shared" si="108"/>
        <v>12</v>
      </c>
      <c r="CA1679" t="s">
        <v>5832</v>
      </c>
      <c r="CZ1679" t="s">
        <v>8822</v>
      </c>
      <c r="DA1679" t="s">
        <v>5904</v>
      </c>
      <c r="DB1679">
        <v>584.70000000000005</v>
      </c>
      <c r="DC1679" t="s">
        <v>22786</v>
      </c>
      <c r="DD1679" t="s">
        <v>22787</v>
      </c>
      <c r="DE1679" t="s">
        <v>22788</v>
      </c>
      <c r="DF1679" t="s">
        <v>22789</v>
      </c>
      <c r="DG1679" t="s">
        <v>22790</v>
      </c>
      <c r="DH1679" t="str">
        <f>"MARCO"</f>
        <v>MARCO</v>
      </c>
      <c r="DI1679" t="s">
        <v>22791</v>
      </c>
      <c r="DJ1679" t="s">
        <v>13777</v>
      </c>
      <c r="DK1679">
        <v>9606</v>
      </c>
      <c r="DL1679" s="34" t="str">
        <f>HYPERLINK("http://www.uniprot.org/uniprot/Q9UEW3", "Q9UEW3")</f>
        <v>Q9UEW3</v>
      </c>
      <c r="DM1679" t="s">
        <v>22792</v>
      </c>
      <c r="DN1679" t="s">
        <v>22793</v>
      </c>
      <c r="DO1679" t="s">
        <v>13792</v>
      </c>
      <c r="DP1679" t="s">
        <v>13780</v>
      </c>
      <c r="DQ1679" t="s">
        <v>13772</v>
      </c>
      <c r="DR1679" t="s">
        <v>13772</v>
      </c>
      <c r="DS1679" t="s">
        <v>22794</v>
      </c>
      <c r="DT1679" t="s">
        <v>13772</v>
      </c>
      <c r="DU1679" t="s">
        <v>13795</v>
      </c>
      <c r="DV1679" t="s">
        <v>13796</v>
      </c>
      <c r="DW1679" t="s">
        <v>13772</v>
      </c>
      <c r="DX1679" t="s">
        <v>22795</v>
      </c>
      <c r="DY1679" t="s">
        <v>22796</v>
      </c>
      <c r="DZ1679" t="s">
        <v>22797</v>
      </c>
      <c r="EA1679" t="s">
        <v>13772</v>
      </c>
      <c r="EB1679" t="s">
        <v>22798</v>
      </c>
    </row>
    <row r="1680" spans="1:132" hidden="1">
      <c r="A1680">
        <v>942</v>
      </c>
      <c r="B1680">
        <v>1</v>
      </c>
      <c r="C1680" t="s">
        <v>2293</v>
      </c>
      <c r="D1680" t="s">
        <v>73</v>
      </c>
      <c r="E1680" t="s">
        <v>73</v>
      </c>
      <c r="F1680" t="s">
        <v>73</v>
      </c>
      <c r="G1680" t="s">
        <v>73</v>
      </c>
      <c r="H1680">
        <v>11</v>
      </c>
      <c r="I1680">
        <v>953</v>
      </c>
      <c r="J1680">
        <v>105871</v>
      </c>
      <c r="K1680" t="s">
        <v>2294</v>
      </c>
      <c r="L1680">
        <f t="shared" si="106"/>
        <v>9</v>
      </c>
      <c r="N1680">
        <v>9</v>
      </c>
      <c r="O1680">
        <v>9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4</v>
      </c>
      <c r="AB1680">
        <v>1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4</v>
      </c>
      <c r="AU1680">
        <v>1</v>
      </c>
      <c r="AV1680">
        <v>1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1</v>
      </c>
      <c r="BI1680" s="2">
        <v>0</v>
      </c>
      <c r="BJ1680" s="2">
        <v>0</v>
      </c>
      <c r="BK1680" s="2">
        <v>1</v>
      </c>
      <c r="BL1680" s="2">
        <v>0</v>
      </c>
      <c r="BM1680" s="2">
        <v>4</v>
      </c>
      <c r="BN1680" s="2">
        <v>1</v>
      </c>
      <c r="BO1680" s="2">
        <v>1</v>
      </c>
      <c r="BP1680" s="2">
        <v>0</v>
      </c>
      <c r="BQ1680" s="2">
        <v>0</v>
      </c>
      <c r="BR1680" s="2">
        <v>1</v>
      </c>
      <c r="BS1680" s="2">
        <v>0</v>
      </c>
      <c r="BT1680" s="2">
        <v>0</v>
      </c>
      <c r="BU1680" s="2">
        <v>0</v>
      </c>
      <c r="BV1680" s="2">
        <f t="shared" si="109"/>
        <v>9</v>
      </c>
      <c r="BW1680" s="16">
        <f t="shared" si="107"/>
        <v>0.47368421052631576</v>
      </c>
      <c r="BX1680" s="16">
        <f>COUNTIF($BC$6:BU1680, "=0") / COUNTIF($BC$6:BU1680, "&gt;-1")</f>
        <v>0.41822466614296938</v>
      </c>
      <c r="BY1680" s="18">
        <f>SUM($BC$6:BU1680) / $BY$4</f>
        <v>0.98764936677651893</v>
      </c>
      <c r="BZ1680" s="14">
        <f t="shared" si="108"/>
        <v>13</v>
      </c>
      <c r="CA1680" t="s">
        <v>5832</v>
      </c>
      <c r="CZ1680" t="s">
        <v>8927</v>
      </c>
      <c r="DA1680" t="s">
        <v>5904</v>
      </c>
      <c r="DB1680">
        <v>1968.4</v>
      </c>
      <c r="DC1680" t="s">
        <v>23079</v>
      </c>
      <c r="DD1680" t="s">
        <v>23080</v>
      </c>
      <c r="DE1680" t="s">
        <v>23081</v>
      </c>
      <c r="DF1680" t="s">
        <v>23082</v>
      </c>
      <c r="DG1680" t="s">
        <v>23083</v>
      </c>
      <c r="DH1680" t="str">
        <f>"PSMD1"</f>
        <v>PSMD1</v>
      </c>
      <c r="DI1680" t="s">
        <v>13772</v>
      </c>
      <c r="DJ1680" t="s">
        <v>13777</v>
      </c>
      <c r="DK1680">
        <v>9606</v>
      </c>
      <c r="DL1680" s="34" t="str">
        <f>HYPERLINK("http://www.uniprot.org/uniprot/Q99460", "Q99460")</f>
        <v>Q99460</v>
      </c>
      <c r="DM1680" t="s">
        <v>23084</v>
      </c>
      <c r="DN1680" t="s">
        <v>13772</v>
      </c>
      <c r="DO1680" t="s">
        <v>14145</v>
      </c>
      <c r="DP1680" t="s">
        <v>13841</v>
      </c>
      <c r="DQ1680" t="s">
        <v>13772</v>
      </c>
      <c r="DR1680" t="s">
        <v>13772</v>
      </c>
      <c r="DS1680" t="s">
        <v>14096</v>
      </c>
      <c r="DT1680" t="s">
        <v>13772</v>
      </c>
      <c r="DU1680" t="s">
        <v>13772</v>
      </c>
      <c r="DV1680" t="s">
        <v>13886</v>
      </c>
      <c r="DW1680" t="s">
        <v>13812</v>
      </c>
      <c r="DX1680" t="s">
        <v>22042</v>
      </c>
      <c r="DY1680" t="s">
        <v>23085</v>
      </c>
      <c r="DZ1680" t="s">
        <v>23086</v>
      </c>
      <c r="EA1680" t="s">
        <v>13772</v>
      </c>
      <c r="EB1680" t="s">
        <v>14149</v>
      </c>
    </row>
    <row r="1681" spans="1:132" hidden="1">
      <c r="A1681">
        <v>990</v>
      </c>
      <c r="B1681">
        <v>1</v>
      </c>
      <c r="C1681" t="s">
        <v>2402</v>
      </c>
      <c r="D1681" t="s">
        <v>2403</v>
      </c>
      <c r="E1681" t="s">
        <v>73</v>
      </c>
      <c r="F1681" t="s">
        <v>73</v>
      </c>
      <c r="G1681" t="s">
        <v>73</v>
      </c>
      <c r="H1681">
        <v>33.299999999999997</v>
      </c>
      <c r="I1681">
        <v>99</v>
      </c>
      <c r="J1681">
        <v>11401</v>
      </c>
      <c r="K1681" t="s">
        <v>2404</v>
      </c>
      <c r="L1681">
        <f t="shared" si="106"/>
        <v>9</v>
      </c>
      <c r="N1681">
        <v>9</v>
      </c>
      <c r="O1681">
        <v>9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2</v>
      </c>
      <c r="W1681">
        <v>1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2</v>
      </c>
      <c r="AP1681">
        <v>1</v>
      </c>
      <c r="AQ1681">
        <v>2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2</v>
      </c>
      <c r="BI1681" s="2">
        <v>1</v>
      </c>
      <c r="BJ1681" s="2">
        <v>2</v>
      </c>
      <c r="BK1681" s="2">
        <v>1</v>
      </c>
      <c r="BL1681" s="2">
        <v>0</v>
      </c>
      <c r="BM1681" s="2">
        <v>0</v>
      </c>
      <c r="BN1681" s="2">
        <v>1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1</v>
      </c>
      <c r="BV1681" s="2">
        <f t="shared" si="109"/>
        <v>9</v>
      </c>
      <c r="BW1681" s="16">
        <f t="shared" si="107"/>
        <v>0.47368421052631576</v>
      </c>
      <c r="BX1681" s="16">
        <f>COUNTIF($BC$6:BU1681, "=0") / COUNTIF($BC$6:BU1681, "&gt;-1")</f>
        <v>0.41835196583343803</v>
      </c>
      <c r="BY1681" s="18">
        <f>SUM($BC$6:BU1681) / $BY$4</f>
        <v>0.98768791950833723</v>
      </c>
      <c r="BZ1681" s="14">
        <f t="shared" si="108"/>
        <v>12</v>
      </c>
      <c r="CA1681" t="s">
        <v>5832</v>
      </c>
      <c r="CZ1681" t="s">
        <v>9088</v>
      </c>
      <c r="DA1681" t="s">
        <v>5904</v>
      </c>
      <c r="DB1681">
        <v>162.9</v>
      </c>
      <c r="DC1681" t="s">
        <v>23530</v>
      </c>
      <c r="DD1681" t="s">
        <v>23531</v>
      </c>
      <c r="DE1681" t="s">
        <v>23532</v>
      </c>
      <c r="DF1681" t="s">
        <v>23533</v>
      </c>
      <c r="DG1681" t="s">
        <v>23534</v>
      </c>
      <c r="DH1681" t="str">
        <f>"ATP5IF1 ATPIF1"</f>
        <v>ATP5IF1 ATPIF1</v>
      </c>
      <c r="DI1681" t="s">
        <v>13772</v>
      </c>
      <c r="DJ1681" t="s">
        <v>13777</v>
      </c>
      <c r="DK1681">
        <v>9606</v>
      </c>
      <c r="DL1681" s="34" t="str">
        <f>HYPERLINK("http://www.uniprot.org/uniprot/Q9UII2", "Q9UII2")</f>
        <v>Q9UII2</v>
      </c>
      <c r="DM1681" t="s">
        <v>23535</v>
      </c>
      <c r="DN1681" t="s">
        <v>13772</v>
      </c>
      <c r="DO1681" t="s">
        <v>14491</v>
      </c>
      <c r="DP1681" t="s">
        <v>13841</v>
      </c>
      <c r="DQ1681" t="s">
        <v>13772</v>
      </c>
      <c r="DR1681" t="s">
        <v>13772</v>
      </c>
      <c r="DS1681" t="s">
        <v>23536</v>
      </c>
      <c r="DT1681" t="s">
        <v>13772</v>
      </c>
      <c r="DU1681" t="s">
        <v>13772</v>
      </c>
      <c r="DV1681" t="s">
        <v>13782</v>
      </c>
      <c r="DW1681" t="s">
        <v>13772</v>
      </c>
      <c r="DX1681" t="s">
        <v>23537</v>
      </c>
      <c r="DY1681" t="s">
        <v>23538</v>
      </c>
      <c r="DZ1681" t="s">
        <v>23539</v>
      </c>
      <c r="EA1681" t="s">
        <v>13772</v>
      </c>
      <c r="EB1681" t="s">
        <v>13772</v>
      </c>
    </row>
    <row r="1682" spans="1:132" hidden="1">
      <c r="A1682">
        <v>1018</v>
      </c>
      <c r="B1682">
        <v>1</v>
      </c>
      <c r="C1682" t="s">
        <v>2461</v>
      </c>
      <c r="D1682" t="s">
        <v>2462</v>
      </c>
      <c r="E1682" t="s">
        <v>73</v>
      </c>
      <c r="F1682" t="s">
        <v>73</v>
      </c>
      <c r="G1682" t="s">
        <v>73</v>
      </c>
      <c r="H1682">
        <v>3.4</v>
      </c>
      <c r="I1682">
        <v>1038</v>
      </c>
      <c r="J1682">
        <v>114992</v>
      </c>
      <c r="K1682" t="s">
        <v>2463</v>
      </c>
      <c r="L1682">
        <f t="shared" si="106"/>
        <v>9</v>
      </c>
      <c r="N1682">
        <v>9</v>
      </c>
      <c r="O1682">
        <v>9</v>
      </c>
      <c r="P1682">
        <v>1</v>
      </c>
      <c r="Q1682">
        <v>0</v>
      </c>
      <c r="R1682">
        <v>1</v>
      </c>
      <c r="S1682">
        <v>1</v>
      </c>
      <c r="T1682">
        <v>3</v>
      </c>
      <c r="U1682">
        <v>1</v>
      </c>
      <c r="V1682">
        <v>2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3</v>
      </c>
      <c r="AN1682">
        <v>1</v>
      </c>
      <c r="AO1682">
        <v>2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 s="2">
        <v>0</v>
      </c>
      <c r="BD1682" s="2">
        <v>1</v>
      </c>
      <c r="BE1682" s="2">
        <v>1</v>
      </c>
      <c r="BF1682" s="2">
        <v>3</v>
      </c>
      <c r="BG1682" s="2">
        <v>1</v>
      </c>
      <c r="BH1682" s="2">
        <v>2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f t="shared" si="109"/>
        <v>9</v>
      </c>
      <c r="BW1682" s="16">
        <f t="shared" si="107"/>
        <v>0.47368421052631576</v>
      </c>
      <c r="BX1682" s="16">
        <f>COUNTIF($BC$6:BU1682, "=0") / COUNTIF($BC$6:BU1682, "&gt;-1")</f>
        <v>0.41851049806986157</v>
      </c>
      <c r="BY1682" s="18">
        <f>SUM($BC$6:BU1682) / $BY$4</f>
        <v>0.98772647224015553</v>
      </c>
      <c r="BZ1682" s="14">
        <f t="shared" si="108"/>
        <v>13</v>
      </c>
      <c r="CA1682" t="s">
        <v>5832</v>
      </c>
      <c r="CZ1682" t="s">
        <v>9168</v>
      </c>
      <c r="DA1682" t="s">
        <v>5904</v>
      </c>
      <c r="DB1682">
        <v>2105.5</v>
      </c>
      <c r="DC1682" t="s">
        <v>23761</v>
      </c>
      <c r="DD1682" t="s">
        <v>23762</v>
      </c>
      <c r="DE1682" t="s">
        <v>23763</v>
      </c>
      <c r="DF1682" t="s">
        <v>23764</v>
      </c>
      <c r="DG1682" t="s">
        <v>23765</v>
      </c>
      <c r="DH1682" t="str">
        <f>"BMPR2"</f>
        <v>BMPR2</v>
      </c>
      <c r="DI1682" t="s">
        <v>23766</v>
      </c>
      <c r="DJ1682" t="s">
        <v>13777</v>
      </c>
      <c r="DK1682">
        <v>9606</v>
      </c>
      <c r="DL1682" s="34" t="str">
        <f>HYPERLINK("http://www.uniprot.org/uniprot/Q13873", "Q13873")</f>
        <v>Q13873</v>
      </c>
      <c r="DM1682" t="s">
        <v>23767</v>
      </c>
      <c r="DN1682" t="s">
        <v>13772</v>
      </c>
      <c r="DO1682" t="s">
        <v>13792</v>
      </c>
      <c r="DP1682" t="s">
        <v>13780</v>
      </c>
      <c r="DQ1682" t="s">
        <v>13772</v>
      </c>
      <c r="DR1682" t="s">
        <v>13807</v>
      </c>
      <c r="DS1682" t="s">
        <v>13855</v>
      </c>
      <c r="DT1682" t="s">
        <v>23768</v>
      </c>
      <c r="DU1682" t="s">
        <v>23769</v>
      </c>
      <c r="DV1682" t="s">
        <v>13964</v>
      </c>
      <c r="DW1682" t="s">
        <v>13812</v>
      </c>
      <c r="DX1682" t="s">
        <v>23770</v>
      </c>
      <c r="DY1682" t="s">
        <v>23771</v>
      </c>
      <c r="DZ1682" t="s">
        <v>23772</v>
      </c>
      <c r="EA1682" t="s">
        <v>13772</v>
      </c>
      <c r="EB1682" t="s">
        <v>23773</v>
      </c>
    </row>
    <row r="1683" spans="1:132" hidden="1">
      <c r="A1683">
        <v>1019</v>
      </c>
      <c r="B1683">
        <v>1</v>
      </c>
      <c r="C1683" t="s">
        <v>2464</v>
      </c>
      <c r="D1683" t="s">
        <v>73</v>
      </c>
      <c r="E1683" t="s">
        <v>73</v>
      </c>
      <c r="F1683" t="s">
        <v>73</v>
      </c>
      <c r="G1683" t="s">
        <v>73</v>
      </c>
      <c r="H1683">
        <v>14.1</v>
      </c>
      <c r="I1683">
        <v>467</v>
      </c>
      <c r="J1683">
        <v>51266</v>
      </c>
      <c r="K1683" t="s">
        <v>2465</v>
      </c>
      <c r="L1683">
        <f t="shared" si="106"/>
        <v>9</v>
      </c>
      <c r="N1683">
        <v>9</v>
      </c>
      <c r="O1683">
        <v>9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8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8</v>
      </c>
      <c r="AY1683">
        <v>0</v>
      </c>
      <c r="AZ1683">
        <v>1</v>
      </c>
      <c r="BA1683">
        <v>0</v>
      </c>
      <c r="BB1683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8</v>
      </c>
      <c r="BR1683" s="2">
        <v>0</v>
      </c>
      <c r="BS1683" s="2">
        <v>1</v>
      </c>
      <c r="BT1683" s="2">
        <v>0</v>
      </c>
      <c r="BU1683" s="2">
        <v>0</v>
      </c>
      <c r="BV1683" s="2">
        <f t="shared" si="109"/>
        <v>9</v>
      </c>
      <c r="BW1683" s="16">
        <f t="shared" si="107"/>
        <v>0.47368421052631576</v>
      </c>
      <c r="BX1683" s="16">
        <f>COUNTIF($BC$6:BU1683, "=0") / COUNTIF($BC$6:BU1683, "&gt;-1")</f>
        <v>0.41879430399598522</v>
      </c>
      <c r="BY1683" s="18">
        <f>SUM($BC$6:BU1683) / $BY$4</f>
        <v>0.98776502497197383</v>
      </c>
      <c r="BZ1683" s="14">
        <f t="shared" si="108"/>
        <v>17</v>
      </c>
      <c r="CA1683" t="s">
        <v>5832</v>
      </c>
      <c r="CZ1683" t="s">
        <v>9171</v>
      </c>
      <c r="DA1683" t="s">
        <v>5904</v>
      </c>
      <c r="DB1683">
        <v>835.1</v>
      </c>
      <c r="DC1683" t="s">
        <v>23774</v>
      </c>
      <c r="DD1683" t="s">
        <v>13772</v>
      </c>
      <c r="DE1683" t="s">
        <v>23775</v>
      </c>
      <c r="DF1683" t="s">
        <v>23776</v>
      </c>
      <c r="DG1683" t="s">
        <v>23777</v>
      </c>
      <c r="DH1683" t="str">
        <f>"PNLIPRP1"</f>
        <v>PNLIPRP1</v>
      </c>
      <c r="DI1683" t="s">
        <v>23778</v>
      </c>
      <c r="DJ1683" t="s">
        <v>13777</v>
      </c>
      <c r="DK1683">
        <v>9606</v>
      </c>
      <c r="DL1683" s="34" t="str">
        <f>HYPERLINK("http://www.uniprot.org/uniprot/P54315", "P54315")</f>
        <v>P54315</v>
      </c>
      <c r="DM1683" t="s">
        <v>23779</v>
      </c>
      <c r="DN1683" t="s">
        <v>13772</v>
      </c>
      <c r="DO1683" t="s">
        <v>14321</v>
      </c>
      <c r="DP1683" t="s">
        <v>13780</v>
      </c>
      <c r="DQ1683" t="s">
        <v>13772</v>
      </c>
      <c r="DR1683" t="s">
        <v>13772</v>
      </c>
      <c r="DS1683" t="s">
        <v>13808</v>
      </c>
      <c r="DT1683" t="s">
        <v>13873</v>
      </c>
      <c r="DU1683" t="s">
        <v>13772</v>
      </c>
      <c r="DV1683" t="s">
        <v>14506</v>
      </c>
      <c r="DW1683" t="s">
        <v>13812</v>
      </c>
      <c r="DX1683" t="s">
        <v>23780</v>
      </c>
      <c r="DY1683" t="s">
        <v>15346</v>
      </c>
      <c r="DZ1683" t="s">
        <v>23781</v>
      </c>
      <c r="EA1683" t="s">
        <v>13772</v>
      </c>
      <c r="EB1683" t="s">
        <v>23782</v>
      </c>
    </row>
    <row r="1684" spans="1:132" hidden="1">
      <c r="A1684">
        <v>1058</v>
      </c>
      <c r="B1684">
        <v>1</v>
      </c>
      <c r="C1684" t="s">
        <v>2541</v>
      </c>
      <c r="D1684" t="s">
        <v>2542</v>
      </c>
      <c r="E1684" t="s">
        <v>73</v>
      </c>
      <c r="F1684" t="s">
        <v>73</v>
      </c>
      <c r="G1684" t="s">
        <v>73</v>
      </c>
      <c r="H1684">
        <v>40.299999999999997</v>
      </c>
      <c r="I1684">
        <v>221</v>
      </c>
      <c r="J1684">
        <v>23934</v>
      </c>
      <c r="K1684" t="s">
        <v>2543</v>
      </c>
      <c r="L1684">
        <f t="shared" si="106"/>
        <v>9</v>
      </c>
      <c r="N1684">
        <v>9</v>
      </c>
      <c r="O1684">
        <v>9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4</v>
      </c>
      <c r="AB1684">
        <v>0</v>
      </c>
      <c r="AC1684">
        <v>0</v>
      </c>
      <c r="AD1684">
        <v>0</v>
      </c>
      <c r="AE1684">
        <v>2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4</v>
      </c>
      <c r="AU1684">
        <v>0</v>
      </c>
      <c r="AV1684">
        <v>0</v>
      </c>
      <c r="AW1684">
        <v>0</v>
      </c>
      <c r="AX1684">
        <v>2</v>
      </c>
      <c r="AY1684">
        <v>1</v>
      </c>
      <c r="AZ1684">
        <v>0</v>
      </c>
      <c r="BA1684">
        <v>0</v>
      </c>
      <c r="BB1684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2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4</v>
      </c>
      <c r="BN1684" s="2">
        <v>0</v>
      </c>
      <c r="BO1684" s="2">
        <v>0</v>
      </c>
      <c r="BP1684" s="2">
        <v>0</v>
      </c>
      <c r="BQ1684" s="2">
        <v>2</v>
      </c>
      <c r="BR1684" s="2">
        <v>1</v>
      </c>
      <c r="BS1684" s="2">
        <v>0</v>
      </c>
      <c r="BT1684" s="2">
        <v>0</v>
      </c>
      <c r="BU1684" s="2">
        <v>0</v>
      </c>
      <c r="BV1684" s="2">
        <f t="shared" si="109"/>
        <v>9</v>
      </c>
      <c r="BW1684" s="16">
        <f t="shared" si="107"/>
        <v>0.47368421052631576</v>
      </c>
      <c r="BX1684" s="16">
        <f>COUNTIF($BC$6:BU1684, "=0") / COUNTIF($BC$6:BU1684, "&gt;-1")</f>
        <v>0.41901507789724463</v>
      </c>
      <c r="BY1684" s="18">
        <f>SUM($BC$6:BU1684) / $BY$4</f>
        <v>0.98780357770379212</v>
      </c>
      <c r="BZ1684" s="14">
        <f t="shared" si="108"/>
        <v>15</v>
      </c>
      <c r="CA1684" t="s">
        <v>5832</v>
      </c>
      <c r="CZ1684" t="s">
        <v>9251</v>
      </c>
      <c r="DA1684" t="s">
        <v>5904</v>
      </c>
      <c r="DB1684">
        <v>381.7</v>
      </c>
      <c r="DC1684" t="s">
        <v>24012</v>
      </c>
      <c r="DD1684" t="s">
        <v>24013</v>
      </c>
      <c r="DE1684" t="s">
        <v>24014</v>
      </c>
      <c r="DF1684" t="s">
        <v>24015</v>
      </c>
      <c r="DG1684" t="s">
        <v>24016</v>
      </c>
      <c r="DH1684" t="str">
        <f>"CSRP2"</f>
        <v>CSRP2</v>
      </c>
      <c r="DI1684" t="s">
        <v>24017</v>
      </c>
      <c r="DJ1684" t="s">
        <v>13777</v>
      </c>
      <c r="DK1684">
        <v>9606</v>
      </c>
      <c r="DL1684" s="34" t="str">
        <f>HYPERLINK("http://www.uniprot.org/uniprot/Q16527", "Q16527")</f>
        <v>Q16527</v>
      </c>
      <c r="DM1684" t="s">
        <v>24018</v>
      </c>
      <c r="DN1684" t="s">
        <v>15591</v>
      </c>
      <c r="DO1684" t="s">
        <v>14825</v>
      </c>
      <c r="DP1684" t="s">
        <v>13772</v>
      </c>
      <c r="DQ1684" t="s">
        <v>13772</v>
      </c>
      <c r="DR1684" t="s">
        <v>13772</v>
      </c>
      <c r="DS1684" t="s">
        <v>15529</v>
      </c>
      <c r="DT1684" t="s">
        <v>13856</v>
      </c>
      <c r="DU1684" t="s">
        <v>14727</v>
      </c>
      <c r="DV1684" t="s">
        <v>14312</v>
      </c>
      <c r="DW1684" t="s">
        <v>13772</v>
      </c>
      <c r="DX1684" t="s">
        <v>24019</v>
      </c>
      <c r="DY1684" t="s">
        <v>24020</v>
      </c>
      <c r="DZ1684" t="s">
        <v>24021</v>
      </c>
      <c r="EA1684" t="s">
        <v>13772</v>
      </c>
      <c r="EB1684" t="s">
        <v>13772</v>
      </c>
    </row>
    <row r="1685" spans="1:132" hidden="1">
      <c r="A1685">
        <v>1076</v>
      </c>
      <c r="B1685">
        <v>1</v>
      </c>
      <c r="C1685" t="s">
        <v>2586</v>
      </c>
      <c r="D1685" t="s">
        <v>73</v>
      </c>
      <c r="E1685" t="s">
        <v>73</v>
      </c>
      <c r="F1685" t="s">
        <v>73</v>
      </c>
      <c r="G1685" t="s">
        <v>73</v>
      </c>
      <c r="H1685">
        <v>4.2</v>
      </c>
      <c r="I1685">
        <v>529</v>
      </c>
      <c r="J1685">
        <v>59308</v>
      </c>
      <c r="K1685" t="s">
        <v>2587</v>
      </c>
      <c r="L1685">
        <f t="shared" si="106"/>
        <v>9</v>
      </c>
      <c r="N1685">
        <v>9</v>
      </c>
      <c r="O1685">
        <v>9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2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1</v>
      </c>
      <c r="AX1685">
        <v>0</v>
      </c>
      <c r="AY1685">
        <v>1</v>
      </c>
      <c r="AZ1685">
        <v>1</v>
      </c>
      <c r="BA1685">
        <v>0</v>
      </c>
      <c r="BB1685">
        <v>2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1</v>
      </c>
      <c r="BJ1685" s="2">
        <v>0</v>
      </c>
      <c r="BK1685" s="2">
        <v>0</v>
      </c>
      <c r="BL1685" s="2">
        <v>0</v>
      </c>
      <c r="BM1685" s="2">
        <v>1</v>
      </c>
      <c r="BN1685" s="2">
        <v>0</v>
      </c>
      <c r="BO1685" s="2">
        <v>1</v>
      </c>
      <c r="BP1685" s="2">
        <v>1</v>
      </c>
      <c r="BQ1685" s="2">
        <v>0</v>
      </c>
      <c r="BR1685" s="2">
        <v>1</v>
      </c>
      <c r="BS1685" s="2">
        <v>1</v>
      </c>
      <c r="BT1685" s="2">
        <v>0</v>
      </c>
      <c r="BU1685" s="2">
        <v>2</v>
      </c>
      <c r="BV1685" s="2">
        <f t="shared" si="109"/>
        <v>9</v>
      </c>
      <c r="BW1685" s="16">
        <f t="shared" si="107"/>
        <v>0.47368421052631576</v>
      </c>
      <c r="BX1685" s="16">
        <f>COUNTIF($BC$6:BU1685, "=0") / COUNTIF($BC$6:BU1685, "&gt;-1")</f>
        <v>0.41911027568922304</v>
      </c>
      <c r="BY1685" s="18">
        <f>SUM($BC$6:BU1685) / $BY$4</f>
        <v>0.98784213043561042</v>
      </c>
      <c r="BZ1685" s="14">
        <f t="shared" si="108"/>
        <v>11</v>
      </c>
      <c r="CA1685" t="s">
        <v>5832</v>
      </c>
      <c r="CZ1685" t="s">
        <v>9314</v>
      </c>
      <c r="DA1685" t="s">
        <v>5904</v>
      </c>
      <c r="DB1685">
        <v>994.2</v>
      </c>
      <c r="DC1685" t="s">
        <v>24192</v>
      </c>
      <c r="DD1685" t="s">
        <v>24193</v>
      </c>
      <c r="DE1685" t="s">
        <v>24194</v>
      </c>
      <c r="DF1685" t="s">
        <v>24195</v>
      </c>
      <c r="DG1685" t="s">
        <v>24196</v>
      </c>
      <c r="DH1685" t="str">
        <f>"PLXDC2"</f>
        <v>PLXDC2</v>
      </c>
      <c r="DI1685" t="s">
        <v>24197</v>
      </c>
      <c r="DJ1685" t="s">
        <v>13777</v>
      </c>
      <c r="DK1685">
        <v>9606</v>
      </c>
      <c r="DL1685" s="34" t="str">
        <f>HYPERLINK("http://www.uniprot.org/uniprot/Q6UX71", "Q6UX71")</f>
        <v>Q6UX71</v>
      </c>
      <c r="DM1685" t="s">
        <v>15377</v>
      </c>
      <c r="DN1685" t="s">
        <v>13772</v>
      </c>
      <c r="DO1685" t="s">
        <v>13825</v>
      </c>
      <c r="DP1685" t="s">
        <v>13780</v>
      </c>
      <c r="DQ1685" t="s">
        <v>13772</v>
      </c>
      <c r="DR1685" t="s">
        <v>13772</v>
      </c>
      <c r="DS1685" t="s">
        <v>13855</v>
      </c>
      <c r="DT1685" t="s">
        <v>13772</v>
      </c>
      <c r="DU1685" t="s">
        <v>13772</v>
      </c>
      <c r="DV1685" t="s">
        <v>13978</v>
      </c>
      <c r="DW1685" t="s">
        <v>13772</v>
      </c>
      <c r="DX1685" t="s">
        <v>13772</v>
      </c>
      <c r="DY1685" t="s">
        <v>15378</v>
      </c>
      <c r="DZ1685" t="s">
        <v>13772</v>
      </c>
      <c r="EA1685" t="s">
        <v>13772</v>
      </c>
      <c r="EB1685" t="s">
        <v>13772</v>
      </c>
    </row>
    <row r="1686" spans="1:132" hidden="1">
      <c r="A1686">
        <v>1187</v>
      </c>
      <c r="B1686">
        <v>1</v>
      </c>
      <c r="C1686" t="s">
        <v>2850</v>
      </c>
      <c r="D1686" t="s">
        <v>73</v>
      </c>
      <c r="E1686" t="s">
        <v>73</v>
      </c>
      <c r="F1686" t="s">
        <v>73</v>
      </c>
      <c r="G1686" t="s">
        <v>73</v>
      </c>
      <c r="H1686">
        <v>11.3</v>
      </c>
      <c r="I1686">
        <v>194</v>
      </c>
      <c r="J1686">
        <v>20891</v>
      </c>
      <c r="K1686" t="s">
        <v>2851</v>
      </c>
      <c r="L1686">
        <f t="shared" si="106"/>
        <v>9</v>
      </c>
      <c r="N1686">
        <v>9</v>
      </c>
      <c r="O1686">
        <v>9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3</v>
      </c>
      <c r="AS1686">
        <v>0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 s="2">
        <v>0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3</v>
      </c>
      <c r="BL1686" s="2">
        <v>0</v>
      </c>
      <c r="BM1686" s="2">
        <v>1</v>
      </c>
      <c r="BN1686" s="2">
        <v>1</v>
      </c>
      <c r="BO1686" s="2">
        <v>1</v>
      </c>
      <c r="BP1686" s="2">
        <v>0</v>
      </c>
      <c r="BQ1686" s="2">
        <v>1</v>
      </c>
      <c r="BR1686" s="2">
        <v>1</v>
      </c>
      <c r="BS1686" s="2">
        <v>0</v>
      </c>
      <c r="BT1686" s="2">
        <v>0</v>
      </c>
      <c r="BU1686" s="2">
        <v>0</v>
      </c>
      <c r="BV1686" s="2">
        <f t="shared" si="109"/>
        <v>9</v>
      </c>
      <c r="BW1686" s="16">
        <f t="shared" si="107"/>
        <v>0.47368421052631576</v>
      </c>
      <c r="BX1686" s="16">
        <f>COUNTIF($BC$6:BU1686, "=0") / COUNTIF($BC$6:BU1686, "&gt;-1")</f>
        <v>0.4192366699020007</v>
      </c>
      <c r="BY1686" s="18">
        <f>SUM($BC$6:BU1686) / $BY$4</f>
        <v>0.98788068316742872</v>
      </c>
      <c r="BZ1686" s="14">
        <f t="shared" si="108"/>
        <v>12</v>
      </c>
      <c r="CA1686" t="s">
        <v>5832</v>
      </c>
      <c r="CZ1686" t="s">
        <v>9680</v>
      </c>
      <c r="DA1686" t="s">
        <v>5904</v>
      </c>
      <c r="DB1686">
        <v>342.8</v>
      </c>
      <c r="DC1686" t="s">
        <v>25220</v>
      </c>
      <c r="DD1686" t="s">
        <v>25221</v>
      </c>
      <c r="DE1686" t="s">
        <v>25222</v>
      </c>
      <c r="DF1686" t="s">
        <v>25223</v>
      </c>
      <c r="DG1686" t="s">
        <v>25224</v>
      </c>
      <c r="DH1686" t="str">
        <f>"H1F0"</f>
        <v>H1F0</v>
      </c>
      <c r="DI1686" t="s">
        <v>25225</v>
      </c>
      <c r="DJ1686" t="s">
        <v>13777</v>
      </c>
      <c r="DK1686">
        <v>9606</v>
      </c>
      <c r="DL1686" s="34" t="str">
        <f>HYPERLINK("http://www.uniprot.org/uniprot/P07305", "P07305")</f>
        <v>P07305</v>
      </c>
      <c r="DM1686" t="s">
        <v>25226</v>
      </c>
      <c r="DN1686" t="s">
        <v>13772</v>
      </c>
      <c r="DO1686" t="s">
        <v>19917</v>
      </c>
      <c r="DP1686" t="s">
        <v>25227</v>
      </c>
      <c r="DQ1686" t="s">
        <v>13772</v>
      </c>
      <c r="DR1686" t="s">
        <v>13772</v>
      </c>
      <c r="DS1686" t="s">
        <v>13772</v>
      </c>
      <c r="DT1686" t="s">
        <v>13772</v>
      </c>
      <c r="DU1686" t="s">
        <v>15871</v>
      </c>
      <c r="DV1686" t="s">
        <v>25228</v>
      </c>
      <c r="DW1686" t="s">
        <v>13812</v>
      </c>
      <c r="DX1686" t="s">
        <v>25229</v>
      </c>
      <c r="DY1686" t="s">
        <v>25230</v>
      </c>
      <c r="DZ1686" t="s">
        <v>25231</v>
      </c>
      <c r="EA1686" t="s">
        <v>13772</v>
      </c>
      <c r="EB1686" t="s">
        <v>20213</v>
      </c>
    </row>
    <row r="1687" spans="1:132" hidden="1">
      <c r="A1687">
        <v>1207</v>
      </c>
      <c r="B1687">
        <v>1</v>
      </c>
      <c r="C1687" t="s">
        <v>2897</v>
      </c>
      <c r="D1687" t="s">
        <v>73</v>
      </c>
      <c r="E1687" t="s">
        <v>73</v>
      </c>
      <c r="F1687" t="s">
        <v>73</v>
      </c>
      <c r="G1687" t="s">
        <v>73</v>
      </c>
      <c r="H1687">
        <v>49</v>
      </c>
      <c r="I1687">
        <v>104</v>
      </c>
      <c r="J1687">
        <v>12013</v>
      </c>
      <c r="K1687" t="s">
        <v>2898</v>
      </c>
      <c r="L1687">
        <f t="shared" si="106"/>
        <v>9</v>
      </c>
      <c r="N1687">
        <v>9</v>
      </c>
      <c r="O1687">
        <v>9</v>
      </c>
      <c r="P1687">
        <v>1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4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4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 s="2">
        <v>1</v>
      </c>
      <c r="BD1687" s="2">
        <v>1</v>
      </c>
      <c r="BE1687" s="2">
        <v>0</v>
      </c>
      <c r="BF1687" s="2">
        <v>0</v>
      </c>
      <c r="BG1687" s="2">
        <v>1</v>
      </c>
      <c r="BH1687" s="2">
        <v>0</v>
      </c>
      <c r="BI1687" s="2">
        <v>1</v>
      </c>
      <c r="BJ1687" s="2">
        <v>0</v>
      </c>
      <c r="BK1687" s="2">
        <v>4</v>
      </c>
      <c r="BL1687" s="2">
        <v>0</v>
      </c>
      <c r="BM1687" s="2">
        <v>1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f t="shared" si="109"/>
        <v>9</v>
      </c>
      <c r="BW1687" s="16">
        <f t="shared" si="107"/>
        <v>0.47368421052631576</v>
      </c>
      <c r="BX1687" s="16">
        <f>COUNTIF($BC$6:BU1687, "=0") / COUNTIF($BC$6:BU1687, "&gt;-1")</f>
        <v>0.41939420489392326</v>
      </c>
      <c r="BY1687" s="18">
        <f>SUM($BC$6:BU1687) / $BY$4</f>
        <v>0.98791923589924702</v>
      </c>
      <c r="BZ1687" s="14">
        <f t="shared" si="108"/>
        <v>13</v>
      </c>
      <c r="CA1687" t="s">
        <v>5832</v>
      </c>
      <c r="CZ1687" t="s">
        <v>9749</v>
      </c>
      <c r="DA1687" t="s">
        <v>5904</v>
      </c>
      <c r="DB1687">
        <v>217.2</v>
      </c>
      <c r="DC1687" t="s">
        <v>25421</v>
      </c>
      <c r="DD1687" t="s">
        <v>25422</v>
      </c>
      <c r="DE1687" t="s">
        <v>25423</v>
      </c>
      <c r="DF1687" t="s">
        <v>25424</v>
      </c>
      <c r="DG1687" t="s">
        <v>25425</v>
      </c>
      <c r="DH1687" t="str">
        <f>"PCBD1"</f>
        <v>PCBD1</v>
      </c>
      <c r="DI1687" t="s">
        <v>25426</v>
      </c>
      <c r="DJ1687" t="s">
        <v>13777</v>
      </c>
      <c r="DK1687">
        <v>9606</v>
      </c>
      <c r="DL1687" s="34" t="str">
        <f>HYPERLINK("http://www.uniprot.org/uniprot/P61457", "P61457")</f>
        <v>P61457</v>
      </c>
      <c r="DM1687" t="s">
        <v>25427</v>
      </c>
      <c r="DN1687" t="s">
        <v>25428</v>
      </c>
      <c r="DO1687" t="s">
        <v>13912</v>
      </c>
      <c r="DP1687" t="s">
        <v>13772</v>
      </c>
      <c r="DQ1687" t="s">
        <v>13772</v>
      </c>
      <c r="DR1687" t="s">
        <v>13807</v>
      </c>
      <c r="DS1687" t="s">
        <v>13772</v>
      </c>
      <c r="DT1687" t="s">
        <v>13772</v>
      </c>
      <c r="DU1687" t="s">
        <v>25429</v>
      </c>
      <c r="DV1687" t="s">
        <v>14020</v>
      </c>
      <c r="DW1687" t="s">
        <v>13772</v>
      </c>
      <c r="DX1687" t="s">
        <v>25430</v>
      </c>
      <c r="DY1687" t="s">
        <v>18925</v>
      </c>
      <c r="DZ1687" t="s">
        <v>25431</v>
      </c>
      <c r="EA1687" t="s">
        <v>13772</v>
      </c>
      <c r="EB1687" t="s">
        <v>15713</v>
      </c>
    </row>
    <row r="1688" spans="1:132" hidden="1">
      <c r="A1688">
        <v>1248</v>
      </c>
      <c r="B1688">
        <v>1</v>
      </c>
      <c r="C1688" t="s">
        <v>2994</v>
      </c>
      <c r="D1688" t="s">
        <v>73</v>
      </c>
      <c r="E1688" t="s">
        <v>73</v>
      </c>
      <c r="F1688" t="s">
        <v>1677</v>
      </c>
      <c r="G1688" t="s">
        <v>73</v>
      </c>
      <c r="H1688">
        <v>37.299999999999997</v>
      </c>
      <c r="I1688">
        <v>193</v>
      </c>
      <c r="J1688">
        <v>22006</v>
      </c>
      <c r="K1688" t="s">
        <v>2995</v>
      </c>
      <c r="L1688">
        <f t="shared" si="106"/>
        <v>31</v>
      </c>
      <c r="N1688">
        <v>31</v>
      </c>
      <c r="O1688">
        <v>5</v>
      </c>
      <c r="P1688">
        <v>0.161</v>
      </c>
      <c r="Q1688">
        <v>0</v>
      </c>
      <c r="R1688">
        <v>2</v>
      </c>
      <c r="S1688">
        <v>0</v>
      </c>
      <c r="T1688">
        <v>0</v>
      </c>
      <c r="U1688">
        <v>6</v>
      </c>
      <c r="V1688">
        <v>3</v>
      </c>
      <c r="W1688">
        <v>3</v>
      </c>
      <c r="X1688">
        <v>4</v>
      </c>
      <c r="Y1688">
        <v>4</v>
      </c>
      <c r="Z1688">
        <v>0</v>
      </c>
      <c r="AA1688">
        <v>4</v>
      </c>
      <c r="AB1688">
        <v>4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2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 s="2">
        <v>0</v>
      </c>
      <c r="BD1688" s="2">
        <v>1.333</v>
      </c>
      <c r="BE1688" s="2">
        <v>0</v>
      </c>
      <c r="BF1688" s="2">
        <v>0</v>
      </c>
      <c r="BG1688" s="2">
        <v>4</v>
      </c>
      <c r="BH1688" s="2">
        <v>1.667</v>
      </c>
      <c r="BI1688" s="2">
        <v>0</v>
      </c>
      <c r="BJ1688" s="2">
        <v>2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f t="shared" si="109"/>
        <v>9</v>
      </c>
      <c r="BW1688" s="16">
        <f t="shared" si="107"/>
        <v>0.47368421052631576</v>
      </c>
      <c r="BX1688" s="16">
        <f>COUNTIF($BC$6:BU1688, "=0") / COUNTIF($BC$6:BU1688, "&gt;-1")</f>
        <v>0.41961409763267349</v>
      </c>
      <c r="BY1688" s="18">
        <f>SUM($BC$6:BU1688) / $BY$4</f>
        <v>0.98795778863106531</v>
      </c>
      <c r="BZ1688" s="14">
        <f t="shared" si="108"/>
        <v>15</v>
      </c>
      <c r="CA1688" t="s">
        <v>5832</v>
      </c>
      <c r="CZ1688" t="s">
        <v>9891</v>
      </c>
      <c r="DA1688" t="s">
        <v>5904</v>
      </c>
      <c r="DB1688">
        <v>400.6</v>
      </c>
      <c r="DC1688" t="s">
        <v>25827</v>
      </c>
      <c r="DD1688" t="s">
        <v>25828</v>
      </c>
      <c r="DE1688" t="s">
        <v>25829</v>
      </c>
      <c r="DF1688" t="s">
        <v>25830</v>
      </c>
      <c r="DG1688" t="s">
        <v>25831</v>
      </c>
      <c r="DH1688" t="str">
        <f>"RHOC"</f>
        <v>RHOC</v>
      </c>
      <c r="DI1688" t="s">
        <v>25832</v>
      </c>
      <c r="DJ1688" t="s">
        <v>13777</v>
      </c>
      <c r="DK1688">
        <v>9606</v>
      </c>
      <c r="DL1688" s="34" t="str">
        <f>HYPERLINK("http://www.uniprot.org/uniprot/P08134", "P08134")</f>
        <v>P08134</v>
      </c>
      <c r="DM1688" t="s">
        <v>25833</v>
      </c>
      <c r="DN1688" t="s">
        <v>13772</v>
      </c>
      <c r="DO1688" t="s">
        <v>13792</v>
      </c>
      <c r="DP1688" t="s">
        <v>13793</v>
      </c>
      <c r="DQ1688" t="s">
        <v>13772</v>
      </c>
      <c r="DR1688" t="s">
        <v>13772</v>
      </c>
      <c r="DS1688" t="s">
        <v>13772</v>
      </c>
      <c r="DT1688" t="s">
        <v>14216</v>
      </c>
      <c r="DU1688" t="s">
        <v>13772</v>
      </c>
      <c r="DV1688" t="s">
        <v>25834</v>
      </c>
      <c r="DW1688" t="s">
        <v>13812</v>
      </c>
      <c r="DX1688" t="s">
        <v>25835</v>
      </c>
      <c r="DY1688" t="s">
        <v>25836</v>
      </c>
      <c r="DZ1688" t="s">
        <v>20116</v>
      </c>
      <c r="EA1688" t="s">
        <v>13772</v>
      </c>
      <c r="EB1688" t="s">
        <v>25837</v>
      </c>
    </row>
    <row r="1689" spans="1:132" hidden="1">
      <c r="A1689">
        <v>1321</v>
      </c>
      <c r="B1689">
        <v>1</v>
      </c>
      <c r="C1689" t="s">
        <v>3168</v>
      </c>
      <c r="D1689" t="s">
        <v>73</v>
      </c>
      <c r="E1689" t="s">
        <v>73</v>
      </c>
      <c r="F1689" t="s">
        <v>73</v>
      </c>
      <c r="G1689" t="s">
        <v>73</v>
      </c>
      <c r="H1689">
        <v>53.7</v>
      </c>
      <c r="I1689">
        <v>121</v>
      </c>
      <c r="J1689">
        <v>13389</v>
      </c>
      <c r="K1689" t="s">
        <v>3169</v>
      </c>
      <c r="L1689">
        <f t="shared" si="106"/>
        <v>9</v>
      </c>
      <c r="N1689">
        <v>9</v>
      </c>
      <c r="O1689">
        <v>9</v>
      </c>
      <c r="P1689">
        <v>1</v>
      </c>
      <c r="Q1689">
        <v>0</v>
      </c>
      <c r="R1689">
        <v>0</v>
      </c>
      <c r="S1689">
        <v>0</v>
      </c>
      <c r="T1689">
        <v>1</v>
      </c>
      <c r="U1689">
        <v>4</v>
      </c>
      <c r="V1689">
        <v>0</v>
      </c>
      <c r="W1689">
        <v>0</v>
      </c>
      <c r="X1689">
        <v>0</v>
      </c>
      <c r="Y1689">
        <v>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4</v>
      </c>
      <c r="AO1689">
        <v>0</v>
      </c>
      <c r="AP1689">
        <v>0</v>
      </c>
      <c r="AQ1689">
        <v>0</v>
      </c>
      <c r="AR1689">
        <v>4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s="2">
        <v>0</v>
      </c>
      <c r="BD1689" s="2">
        <v>0</v>
      </c>
      <c r="BE1689" s="2">
        <v>0</v>
      </c>
      <c r="BF1689" s="2">
        <v>1</v>
      </c>
      <c r="BG1689" s="2">
        <v>4</v>
      </c>
      <c r="BH1689" s="2">
        <v>0</v>
      </c>
      <c r="BI1689" s="2">
        <v>0</v>
      </c>
      <c r="BJ1689" s="2">
        <v>0</v>
      </c>
      <c r="BK1689" s="2">
        <v>4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f t="shared" si="109"/>
        <v>9</v>
      </c>
      <c r="BW1689" s="16">
        <f t="shared" si="107"/>
        <v>0.47368421052631576</v>
      </c>
      <c r="BX1689" s="16">
        <f>COUNTIF($BC$6:BU1689, "=0") / COUNTIF($BC$6:BU1689, "&gt;-1")</f>
        <v>0.41986498312289033</v>
      </c>
      <c r="BY1689" s="18">
        <f>SUM($BC$6:BU1689) / $BY$4</f>
        <v>0.98799634136288372</v>
      </c>
      <c r="BZ1689" s="14">
        <f t="shared" si="108"/>
        <v>16</v>
      </c>
      <c r="CA1689" t="s">
        <v>5832</v>
      </c>
      <c r="CZ1689" t="s">
        <v>10146</v>
      </c>
      <c r="DA1689" t="s">
        <v>5904</v>
      </c>
      <c r="DB1689">
        <v>243</v>
      </c>
      <c r="DC1689" t="s">
        <v>26554</v>
      </c>
      <c r="DD1689" t="s">
        <v>26555</v>
      </c>
      <c r="DE1689" t="s">
        <v>26556</v>
      </c>
      <c r="DF1689" t="s">
        <v>26557</v>
      </c>
      <c r="DG1689" t="s">
        <v>26558</v>
      </c>
      <c r="DH1689" t="str">
        <f>"ENSA"</f>
        <v>ENSA</v>
      </c>
      <c r="DI1689" t="s">
        <v>13772</v>
      </c>
      <c r="DJ1689" t="s">
        <v>13777</v>
      </c>
      <c r="DK1689">
        <v>9606</v>
      </c>
      <c r="DL1689" s="34" t="str">
        <f>HYPERLINK("http://www.uniprot.org/uniprot/O43768", "O43768")</f>
        <v>O43768</v>
      </c>
      <c r="DM1689" t="s">
        <v>26559</v>
      </c>
      <c r="DN1689" t="s">
        <v>14600</v>
      </c>
      <c r="DO1689" t="s">
        <v>13899</v>
      </c>
      <c r="DP1689" t="s">
        <v>13841</v>
      </c>
      <c r="DQ1689" t="s">
        <v>13772</v>
      </c>
      <c r="DR1689" t="s">
        <v>13772</v>
      </c>
      <c r="DS1689" t="s">
        <v>13772</v>
      </c>
      <c r="DT1689" t="s">
        <v>13772</v>
      </c>
      <c r="DU1689" t="s">
        <v>20572</v>
      </c>
      <c r="DV1689" t="s">
        <v>13886</v>
      </c>
      <c r="DW1689" t="s">
        <v>13772</v>
      </c>
      <c r="DX1689" t="s">
        <v>26560</v>
      </c>
      <c r="DY1689" t="s">
        <v>26561</v>
      </c>
      <c r="DZ1689" t="s">
        <v>26562</v>
      </c>
      <c r="EA1689" t="s">
        <v>13772</v>
      </c>
      <c r="EB1689" t="s">
        <v>26563</v>
      </c>
    </row>
    <row r="1690" spans="1:132" hidden="1">
      <c r="A1690">
        <v>1347</v>
      </c>
      <c r="B1690">
        <v>1</v>
      </c>
      <c r="C1690" t="s">
        <v>3223</v>
      </c>
      <c r="D1690" t="s">
        <v>73</v>
      </c>
      <c r="E1690" t="s">
        <v>73</v>
      </c>
      <c r="F1690" t="s">
        <v>73</v>
      </c>
      <c r="G1690" t="s">
        <v>73</v>
      </c>
      <c r="H1690">
        <v>2.2000000000000002</v>
      </c>
      <c r="I1690">
        <v>1089</v>
      </c>
      <c r="J1690">
        <v>123019</v>
      </c>
      <c r="K1690" t="s">
        <v>3224</v>
      </c>
      <c r="L1690">
        <f t="shared" si="106"/>
        <v>9</v>
      </c>
      <c r="N1690">
        <v>9</v>
      </c>
      <c r="O1690">
        <v>9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6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6</v>
      </c>
      <c r="AO1690">
        <v>2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 s="2">
        <v>0</v>
      </c>
      <c r="BD1690" s="2">
        <v>0</v>
      </c>
      <c r="BE1690" s="2">
        <v>0</v>
      </c>
      <c r="BF1690" s="2">
        <v>1</v>
      </c>
      <c r="BG1690" s="2">
        <v>6</v>
      </c>
      <c r="BH1690" s="2">
        <v>2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f t="shared" si="109"/>
        <v>9</v>
      </c>
      <c r="BW1690" s="16">
        <f t="shared" si="107"/>
        <v>0.47368421052631576</v>
      </c>
      <c r="BX1690" s="16">
        <f>COUNTIF($BC$6:BU1690, "=0") / COUNTIF($BC$6:BU1690, "&gt;-1")</f>
        <v>0.42011557082617523</v>
      </c>
      <c r="BY1690" s="18">
        <f>SUM($BC$6:BU1690) / $BY$4</f>
        <v>0.98803489409470202</v>
      </c>
      <c r="BZ1690" s="14">
        <f t="shared" si="108"/>
        <v>16</v>
      </c>
      <c r="CA1690" t="s">
        <v>5832</v>
      </c>
      <c r="CZ1690" t="s">
        <v>10236</v>
      </c>
      <c r="DA1690" t="s">
        <v>5904</v>
      </c>
      <c r="DB1690">
        <v>2117.4</v>
      </c>
      <c r="DC1690" t="s">
        <v>26803</v>
      </c>
      <c r="DD1690" t="s">
        <v>26804</v>
      </c>
      <c r="DE1690" t="s">
        <v>26805</v>
      </c>
      <c r="DF1690" t="s">
        <v>26806</v>
      </c>
      <c r="DG1690" t="s">
        <v>26807</v>
      </c>
      <c r="DH1690" t="str">
        <f>"PDGFRA"</f>
        <v>PDGFRA</v>
      </c>
      <c r="DI1690" t="s">
        <v>26808</v>
      </c>
      <c r="DJ1690" t="s">
        <v>13777</v>
      </c>
      <c r="DK1690">
        <v>9606</v>
      </c>
      <c r="DL1690" s="34" t="str">
        <f>HYPERLINK("http://www.uniprot.org/uniprot/P16234", "P16234")</f>
        <v>P16234</v>
      </c>
      <c r="DM1690" t="s">
        <v>26809</v>
      </c>
      <c r="DN1690" t="s">
        <v>23266</v>
      </c>
      <c r="DO1690" t="s">
        <v>26810</v>
      </c>
      <c r="DP1690" t="s">
        <v>13780</v>
      </c>
      <c r="DQ1690" t="s">
        <v>13772</v>
      </c>
      <c r="DR1690" t="s">
        <v>14244</v>
      </c>
      <c r="DS1690" t="s">
        <v>13951</v>
      </c>
      <c r="DT1690" t="s">
        <v>14005</v>
      </c>
      <c r="DU1690" t="s">
        <v>20102</v>
      </c>
      <c r="DV1690" t="s">
        <v>14640</v>
      </c>
      <c r="DW1690" t="s">
        <v>13812</v>
      </c>
      <c r="DX1690" t="s">
        <v>26811</v>
      </c>
      <c r="DY1690" t="s">
        <v>26812</v>
      </c>
      <c r="DZ1690" t="s">
        <v>26813</v>
      </c>
      <c r="EA1690" t="s">
        <v>13772</v>
      </c>
      <c r="EB1690" t="s">
        <v>26814</v>
      </c>
    </row>
    <row r="1691" spans="1:132" hidden="1">
      <c r="A1691">
        <v>1410</v>
      </c>
      <c r="B1691">
        <v>1</v>
      </c>
      <c r="C1691" t="s">
        <v>3367</v>
      </c>
      <c r="D1691" t="s">
        <v>73</v>
      </c>
      <c r="E1691" t="s">
        <v>73</v>
      </c>
      <c r="F1691" t="s">
        <v>73</v>
      </c>
      <c r="G1691" t="s">
        <v>73</v>
      </c>
      <c r="H1691">
        <v>6.6</v>
      </c>
      <c r="I1691">
        <v>1113</v>
      </c>
      <c r="J1691">
        <v>122335</v>
      </c>
      <c r="K1691" t="s">
        <v>3368</v>
      </c>
      <c r="L1691">
        <f t="shared" si="106"/>
        <v>9</v>
      </c>
      <c r="N1691">
        <v>9</v>
      </c>
      <c r="O1691">
        <v>9</v>
      </c>
      <c r="P1691">
        <v>1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2</v>
      </c>
      <c r="X1691">
        <v>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2</v>
      </c>
      <c r="AQ1691">
        <v>4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 s="2">
        <v>2</v>
      </c>
      <c r="BD1691" s="2">
        <v>0</v>
      </c>
      <c r="BE1691" s="2">
        <v>0</v>
      </c>
      <c r="BF1691" s="2">
        <v>0</v>
      </c>
      <c r="BG1691" s="2">
        <v>0</v>
      </c>
      <c r="BH1691" s="2">
        <v>1</v>
      </c>
      <c r="BI1691" s="2">
        <v>2</v>
      </c>
      <c r="BJ1691" s="2">
        <v>4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f t="shared" si="109"/>
        <v>9</v>
      </c>
      <c r="BW1691" s="16">
        <f t="shared" si="107"/>
        <v>0.47368421052631576</v>
      </c>
      <c r="BX1691" s="16">
        <f>COUNTIF($BC$6:BU1691, "=0") / COUNTIF($BC$6:BU1691, "&gt;-1")</f>
        <v>0.42033464444028218</v>
      </c>
      <c r="BY1691" s="18">
        <f>SUM($BC$6:BU1691) / $BY$4</f>
        <v>0.98807344682652032</v>
      </c>
      <c r="BZ1691" s="14">
        <f t="shared" si="108"/>
        <v>15</v>
      </c>
      <c r="CA1691" t="s">
        <v>5832</v>
      </c>
      <c r="CZ1691" t="s">
        <v>10444</v>
      </c>
      <c r="DA1691" t="s">
        <v>5904</v>
      </c>
      <c r="DB1691">
        <v>2050.4</v>
      </c>
      <c r="DC1691" t="s">
        <v>27393</v>
      </c>
      <c r="DD1691" t="s">
        <v>13772</v>
      </c>
      <c r="DE1691" t="s">
        <v>27394</v>
      </c>
      <c r="DF1691" t="s">
        <v>27395</v>
      </c>
      <c r="DG1691" t="s">
        <v>27396</v>
      </c>
      <c r="DH1691" t="str">
        <f>"TIE1"</f>
        <v>TIE1</v>
      </c>
      <c r="DI1691" t="s">
        <v>27397</v>
      </c>
      <c r="DJ1691" t="s">
        <v>13777</v>
      </c>
      <c r="DK1691">
        <v>9606</v>
      </c>
      <c r="DL1691" s="34" t="str">
        <f>HYPERLINK("http://www.uniprot.org/uniprot/P35590", "P35590")</f>
        <v>P35590</v>
      </c>
      <c r="DM1691" t="s">
        <v>27398</v>
      </c>
      <c r="DN1691" t="s">
        <v>22082</v>
      </c>
      <c r="DO1691" t="s">
        <v>13792</v>
      </c>
      <c r="DP1691" t="s">
        <v>13780</v>
      </c>
      <c r="DQ1691" t="s">
        <v>13772</v>
      </c>
      <c r="DR1691" t="s">
        <v>13772</v>
      </c>
      <c r="DS1691" t="s">
        <v>27399</v>
      </c>
      <c r="DT1691" t="s">
        <v>14005</v>
      </c>
      <c r="DU1691" t="s">
        <v>16809</v>
      </c>
      <c r="DV1691" t="s">
        <v>13964</v>
      </c>
      <c r="DW1691" t="s">
        <v>13812</v>
      </c>
      <c r="DX1691" t="s">
        <v>27400</v>
      </c>
      <c r="DY1691" t="s">
        <v>27401</v>
      </c>
      <c r="DZ1691" t="s">
        <v>27402</v>
      </c>
      <c r="EA1691" t="s">
        <v>13772</v>
      </c>
      <c r="EB1691" t="s">
        <v>13772</v>
      </c>
    </row>
    <row r="1692" spans="1:132" hidden="1">
      <c r="A1692">
        <v>1429</v>
      </c>
      <c r="B1692">
        <v>1</v>
      </c>
      <c r="C1692" t="s">
        <v>3406</v>
      </c>
      <c r="D1692" t="s">
        <v>73</v>
      </c>
      <c r="E1692" t="s">
        <v>73</v>
      </c>
      <c r="F1692" t="s">
        <v>73</v>
      </c>
      <c r="G1692" t="s">
        <v>73</v>
      </c>
      <c r="H1692">
        <v>26</v>
      </c>
      <c r="I1692">
        <v>208</v>
      </c>
      <c r="J1692">
        <v>24205</v>
      </c>
      <c r="K1692" t="s">
        <v>3407</v>
      </c>
      <c r="L1692">
        <f t="shared" si="106"/>
        <v>9</v>
      </c>
      <c r="N1692">
        <v>9</v>
      </c>
      <c r="O1692">
        <v>9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5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5</v>
      </c>
      <c r="AV1692">
        <v>0</v>
      </c>
      <c r="AW1692">
        <v>0</v>
      </c>
      <c r="AX1692">
        <v>0</v>
      </c>
      <c r="AY1692">
        <v>2</v>
      </c>
      <c r="AZ1692">
        <v>0</v>
      </c>
      <c r="BA1692">
        <v>0</v>
      </c>
      <c r="BB169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1</v>
      </c>
      <c r="BL1692" s="2">
        <v>0</v>
      </c>
      <c r="BM1692" s="2">
        <v>1</v>
      </c>
      <c r="BN1692" s="2">
        <v>5</v>
      </c>
      <c r="BO1692" s="2">
        <v>0</v>
      </c>
      <c r="BP1692" s="2">
        <v>0</v>
      </c>
      <c r="BQ1692" s="2">
        <v>0</v>
      </c>
      <c r="BR1692" s="2">
        <v>2</v>
      </c>
      <c r="BS1692" s="2">
        <v>0</v>
      </c>
      <c r="BT1692" s="2">
        <v>0</v>
      </c>
      <c r="BU1692" s="2">
        <v>0</v>
      </c>
      <c r="BV1692" s="2">
        <f t="shared" si="109"/>
        <v>9</v>
      </c>
      <c r="BW1692" s="16">
        <f t="shared" si="107"/>
        <v>0.47368421052631576</v>
      </c>
      <c r="BX1692" s="16">
        <f>COUNTIF($BC$6:BU1692, "=0") / COUNTIF($BC$6:BU1692, "&gt;-1")</f>
        <v>0.42055345833463326</v>
      </c>
      <c r="BY1692" s="18">
        <f>SUM($BC$6:BU1692) / $BY$4</f>
        <v>0.98811199955833862</v>
      </c>
      <c r="BZ1692" s="14">
        <f t="shared" si="108"/>
        <v>15</v>
      </c>
      <c r="CA1692" t="s">
        <v>5832</v>
      </c>
      <c r="CZ1692" t="s">
        <v>10498</v>
      </c>
      <c r="DA1692" t="s">
        <v>5904</v>
      </c>
      <c r="DB1692">
        <v>423.7</v>
      </c>
      <c r="DC1692" t="s">
        <v>27532</v>
      </c>
      <c r="DD1692" t="s">
        <v>27533</v>
      </c>
      <c r="DE1692" t="s">
        <v>27534</v>
      </c>
      <c r="DF1692" t="s">
        <v>27535</v>
      </c>
      <c r="DG1692" t="s">
        <v>27536</v>
      </c>
      <c r="DH1692" t="str">
        <f>"RPS8"</f>
        <v>RPS8</v>
      </c>
      <c r="DI1692" t="s">
        <v>13772</v>
      </c>
      <c r="DJ1692" t="s">
        <v>13777</v>
      </c>
      <c r="DK1692">
        <v>9606</v>
      </c>
      <c r="DL1692" s="34" t="str">
        <f>HYPERLINK("http://www.uniprot.org/uniprot/P62241", "P62241")</f>
        <v>P62241</v>
      </c>
      <c r="DM1692" t="s">
        <v>27537</v>
      </c>
      <c r="DN1692" t="s">
        <v>13772</v>
      </c>
      <c r="DO1692" t="s">
        <v>15896</v>
      </c>
      <c r="DP1692" t="s">
        <v>13793</v>
      </c>
      <c r="DQ1692" t="s">
        <v>13772</v>
      </c>
      <c r="DR1692" t="s">
        <v>13772</v>
      </c>
      <c r="DS1692" t="s">
        <v>13772</v>
      </c>
      <c r="DT1692" t="s">
        <v>13772</v>
      </c>
      <c r="DU1692" t="s">
        <v>13937</v>
      </c>
      <c r="DV1692" t="s">
        <v>27538</v>
      </c>
      <c r="DW1692" t="s">
        <v>13812</v>
      </c>
      <c r="DX1692" t="s">
        <v>27539</v>
      </c>
      <c r="DY1692" t="s">
        <v>27540</v>
      </c>
      <c r="DZ1692" t="s">
        <v>14268</v>
      </c>
      <c r="EA1692" t="s">
        <v>13772</v>
      </c>
      <c r="EB1692" t="s">
        <v>17828</v>
      </c>
    </row>
    <row r="1693" spans="1:132" hidden="1">
      <c r="A1693">
        <v>1535</v>
      </c>
      <c r="B1693">
        <v>1</v>
      </c>
      <c r="C1693" t="s">
        <v>3645</v>
      </c>
      <c r="D1693" t="s">
        <v>73</v>
      </c>
      <c r="E1693" t="s">
        <v>73</v>
      </c>
      <c r="F1693" t="s">
        <v>73</v>
      </c>
      <c r="G1693" t="s">
        <v>73</v>
      </c>
      <c r="H1693">
        <v>11.7</v>
      </c>
      <c r="I1693">
        <v>1086</v>
      </c>
      <c r="J1693">
        <v>113613</v>
      </c>
      <c r="K1693" t="s">
        <v>3646</v>
      </c>
      <c r="L1693">
        <f t="shared" si="106"/>
        <v>9</v>
      </c>
      <c r="N1693">
        <v>9</v>
      </c>
      <c r="O1693">
        <v>9</v>
      </c>
      <c r="P1693">
        <v>1</v>
      </c>
      <c r="Q1693">
        <v>0</v>
      </c>
      <c r="R1693">
        <v>4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4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3</v>
      </c>
      <c r="AU1693">
        <v>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 s="2">
        <v>0</v>
      </c>
      <c r="BD1693" s="2">
        <v>4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3</v>
      </c>
      <c r="BN1693" s="2">
        <v>2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f t="shared" si="109"/>
        <v>9</v>
      </c>
      <c r="BW1693" s="16">
        <f t="shared" si="107"/>
        <v>0.47368421052631576</v>
      </c>
      <c r="BX1693" s="16">
        <f>COUNTIF($BC$6:BU1693, "=0") / COUNTIF($BC$6:BU1693, "&gt;-1")</f>
        <v>0.42080319281616363</v>
      </c>
      <c r="BY1693" s="18">
        <f>SUM($BC$6:BU1693) / $BY$4</f>
        <v>0.98815055229015691</v>
      </c>
      <c r="BZ1693" s="14">
        <f t="shared" si="108"/>
        <v>16</v>
      </c>
      <c r="CA1693" t="s">
        <v>5832</v>
      </c>
      <c r="CZ1693" t="s">
        <v>10853</v>
      </c>
      <c r="DA1693" t="s">
        <v>5904</v>
      </c>
      <c r="DB1693">
        <v>2130.5</v>
      </c>
      <c r="DC1693" t="s">
        <v>28523</v>
      </c>
      <c r="DD1693" t="s">
        <v>28524</v>
      </c>
      <c r="DE1693" t="s">
        <v>28525</v>
      </c>
      <c r="DF1693" t="s">
        <v>28526</v>
      </c>
      <c r="DG1693" t="s">
        <v>28527</v>
      </c>
      <c r="DH1693" t="str">
        <f>"NNT"</f>
        <v>NNT</v>
      </c>
      <c r="DI1693" t="s">
        <v>13772</v>
      </c>
      <c r="DJ1693" t="s">
        <v>13777</v>
      </c>
      <c r="DK1693">
        <v>9606</v>
      </c>
      <c r="DL1693" s="34" t="str">
        <f>HYPERLINK("http://www.uniprot.org/uniprot/Q13423", "Q13423")</f>
        <v>Q13423</v>
      </c>
      <c r="DM1693" t="s">
        <v>28528</v>
      </c>
      <c r="DN1693" t="s">
        <v>13772</v>
      </c>
      <c r="DO1693" t="s">
        <v>15507</v>
      </c>
      <c r="DP1693" t="s">
        <v>13772</v>
      </c>
      <c r="DQ1693" t="s">
        <v>13772</v>
      </c>
      <c r="DR1693" t="s">
        <v>13807</v>
      </c>
      <c r="DS1693" t="s">
        <v>27043</v>
      </c>
      <c r="DT1693" t="s">
        <v>26523</v>
      </c>
      <c r="DU1693" t="s">
        <v>16605</v>
      </c>
      <c r="DV1693" t="s">
        <v>14020</v>
      </c>
      <c r="DW1693" t="s">
        <v>13812</v>
      </c>
      <c r="DX1693" t="s">
        <v>28529</v>
      </c>
      <c r="DY1693" t="s">
        <v>28530</v>
      </c>
      <c r="DZ1693" t="s">
        <v>28531</v>
      </c>
      <c r="EA1693" t="s">
        <v>13772</v>
      </c>
      <c r="EB1693" t="s">
        <v>21128</v>
      </c>
    </row>
    <row r="1694" spans="1:132" hidden="1">
      <c r="A1694">
        <v>1544</v>
      </c>
      <c r="B1694">
        <v>1</v>
      </c>
      <c r="C1694" t="s">
        <v>3667</v>
      </c>
      <c r="D1694" t="s">
        <v>73</v>
      </c>
      <c r="E1694" t="s">
        <v>73</v>
      </c>
      <c r="F1694" t="s">
        <v>73</v>
      </c>
      <c r="G1694" t="s">
        <v>73</v>
      </c>
      <c r="H1694">
        <v>2.1</v>
      </c>
      <c r="I1694">
        <v>3982</v>
      </c>
      <c r="J1694">
        <v>440393</v>
      </c>
      <c r="K1694" t="s">
        <v>3668</v>
      </c>
      <c r="L1694">
        <f t="shared" si="106"/>
        <v>9</v>
      </c>
      <c r="N1694">
        <v>9</v>
      </c>
      <c r="O1694">
        <v>9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2</v>
      </c>
      <c r="AB1694">
        <v>1</v>
      </c>
      <c r="AC1694">
        <v>0</v>
      </c>
      <c r="AD1694">
        <v>0</v>
      </c>
      <c r="AE1694">
        <v>2</v>
      </c>
      <c r="AF1694">
        <v>2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2</v>
      </c>
      <c r="AU1694">
        <v>1</v>
      </c>
      <c r="AV1694">
        <v>0</v>
      </c>
      <c r="AW1694">
        <v>0</v>
      </c>
      <c r="AX1694">
        <v>2</v>
      </c>
      <c r="AY1694">
        <v>2</v>
      </c>
      <c r="AZ1694">
        <v>0</v>
      </c>
      <c r="BA1694">
        <v>0</v>
      </c>
      <c r="BB1694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1</v>
      </c>
      <c r="BL1694" s="2">
        <v>1</v>
      </c>
      <c r="BM1694" s="2">
        <v>2</v>
      </c>
      <c r="BN1694" s="2">
        <v>1</v>
      </c>
      <c r="BO1694" s="2">
        <v>0</v>
      </c>
      <c r="BP1694" s="2">
        <v>0</v>
      </c>
      <c r="BQ1694" s="2">
        <v>2</v>
      </c>
      <c r="BR1694" s="2">
        <v>2</v>
      </c>
      <c r="BS1694" s="2">
        <v>0</v>
      </c>
      <c r="BT1694" s="2">
        <v>0</v>
      </c>
      <c r="BU1694" s="2">
        <v>0</v>
      </c>
      <c r="BV1694" s="2">
        <f t="shared" si="109"/>
        <v>9</v>
      </c>
      <c r="BW1694" s="16">
        <f t="shared" si="107"/>
        <v>0.47368421052631576</v>
      </c>
      <c r="BX1694" s="16">
        <f>COUNTIF($BC$6:BU1694, "=0") / COUNTIF($BC$6:BU1694, "&gt;-1")</f>
        <v>0.42095914742451157</v>
      </c>
      <c r="BY1694" s="18">
        <f>SUM($BC$6:BU1694) / $BY$4</f>
        <v>0.98818910502197521</v>
      </c>
      <c r="BZ1694" s="14">
        <f t="shared" si="108"/>
        <v>13</v>
      </c>
      <c r="CA1694" t="s">
        <v>5832</v>
      </c>
      <c r="CZ1694" t="s">
        <v>10884</v>
      </c>
      <c r="DA1694" t="s">
        <v>5904</v>
      </c>
      <c r="DB1694">
        <v>3221.4</v>
      </c>
      <c r="DC1694" t="s">
        <v>28609</v>
      </c>
      <c r="DD1694" t="s">
        <v>28610</v>
      </c>
      <c r="DE1694" t="s">
        <v>28611</v>
      </c>
      <c r="DF1694" t="s">
        <v>28612</v>
      </c>
      <c r="DG1694" t="s">
        <v>28613</v>
      </c>
      <c r="DH1694" t="str">
        <f>"CMYA5"</f>
        <v>CMYA5</v>
      </c>
      <c r="DI1694" t="s">
        <v>28614</v>
      </c>
      <c r="DJ1694" t="s">
        <v>13777</v>
      </c>
      <c r="DK1694">
        <v>9606</v>
      </c>
      <c r="DL1694" s="34" t="str">
        <f>HYPERLINK("http://www.uniprot.org/uniprot/Q8N3K9", "Q8N3K9")</f>
        <v>Q8N3K9</v>
      </c>
      <c r="DM1694" t="s">
        <v>28615</v>
      </c>
      <c r="DN1694" t="s">
        <v>13772</v>
      </c>
      <c r="DO1694" t="s">
        <v>28616</v>
      </c>
      <c r="DP1694" t="s">
        <v>13793</v>
      </c>
      <c r="DQ1694" t="s">
        <v>13772</v>
      </c>
      <c r="DR1694" t="s">
        <v>13772</v>
      </c>
      <c r="DS1694" t="s">
        <v>14048</v>
      </c>
      <c r="DT1694" t="s">
        <v>13772</v>
      </c>
      <c r="DU1694" t="s">
        <v>13772</v>
      </c>
      <c r="DV1694" t="s">
        <v>13782</v>
      </c>
      <c r="DW1694" t="s">
        <v>13772</v>
      </c>
      <c r="DX1694" t="s">
        <v>13772</v>
      </c>
      <c r="DY1694" t="s">
        <v>28617</v>
      </c>
      <c r="DZ1694" t="s">
        <v>13772</v>
      </c>
      <c r="EA1694" t="s">
        <v>13772</v>
      </c>
      <c r="EB1694" t="s">
        <v>13772</v>
      </c>
    </row>
    <row r="1695" spans="1:132" hidden="1">
      <c r="A1695">
        <v>1569</v>
      </c>
      <c r="B1695">
        <v>1</v>
      </c>
      <c r="C1695" t="s">
        <v>3720</v>
      </c>
      <c r="D1695" t="s">
        <v>73</v>
      </c>
      <c r="E1695" t="s">
        <v>73</v>
      </c>
      <c r="F1695" t="s">
        <v>73</v>
      </c>
      <c r="G1695" t="s">
        <v>73</v>
      </c>
      <c r="H1695">
        <v>7.3</v>
      </c>
      <c r="I1695">
        <v>822</v>
      </c>
      <c r="J1695">
        <v>85921</v>
      </c>
      <c r="K1695" t="s">
        <v>3721</v>
      </c>
      <c r="L1695">
        <f t="shared" si="106"/>
        <v>9</v>
      </c>
      <c r="N1695">
        <v>9</v>
      </c>
      <c r="O1695">
        <v>9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3</v>
      </c>
      <c r="V1695">
        <v>2</v>
      </c>
      <c r="W1695">
        <v>1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3</v>
      </c>
      <c r="AO1695">
        <v>2</v>
      </c>
      <c r="AP1695">
        <v>1</v>
      </c>
      <c r="AQ1695">
        <v>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3</v>
      </c>
      <c r="BH1695" s="2">
        <v>2</v>
      </c>
      <c r="BI1695" s="2">
        <v>1</v>
      </c>
      <c r="BJ1695" s="2">
        <v>3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f t="shared" si="109"/>
        <v>9</v>
      </c>
      <c r="BW1695" s="16">
        <f t="shared" si="107"/>
        <v>0.47368421052631576</v>
      </c>
      <c r="BX1695" s="16">
        <f>COUNTIF($BC$6:BU1695, "=0") / COUNTIF($BC$6:BU1695, "&gt;-1")</f>
        <v>0.42117720336343817</v>
      </c>
      <c r="BY1695" s="18">
        <f>SUM($BC$6:BU1695) / $BY$4</f>
        <v>0.98822765775379351</v>
      </c>
      <c r="BZ1695" s="14">
        <f t="shared" si="108"/>
        <v>15</v>
      </c>
      <c r="CA1695" t="s">
        <v>5832</v>
      </c>
      <c r="CZ1695" t="s">
        <v>10970</v>
      </c>
      <c r="DA1695" t="s">
        <v>5904</v>
      </c>
      <c r="DB1695">
        <v>1286.2</v>
      </c>
      <c r="DC1695" t="s">
        <v>28854</v>
      </c>
      <c r="DD1695" t="s">
        <v>13772</v>
      </c>
      <c r="DE1695" t="s">
        <v>28855</v>
      </c>
      <c r="DF1695" t="s">
        <v>28856</v>
      </c>
      <c r="DG1695" t="s">
        <v>28857</v>
      </c>
      <c r="DH1695" t="str">
        <f>"PCDHGB1"</f>
        <v>PCDHGB1</v>
      </c>
      <c r="DI1695" t="s">
        <v>13772</v>
      </c>
      <c r="DJ1695" t="s">
        <v>13777</v>
      </c>
      <c r="DK1695">
        <v>9606</v>
      </c>
      <c r="DL1695" s="34" t="str">
        <f>HYPERLINK("http://www.uniprot.org/uniprot/Q9Y5G3", "Q9Y5G3")</f>
        <v>Q9Y5G3</v>
      </c>
      <c r="DM1695" t="s">
        <v>28844</v>
      </c>
      <c r="DN1695" t="s">
        <v>13949</v>
      </c>
      <c r="DO1695" t="s">
        <v>13792</v>
      </c>
      <c r="DP1695" t="s">
        <v>13841</v>
      </c>
      <c r="DQ1695" t="s">
        <v>13772</v>
      </c>
      <c r="DR1695" t="s">
        <v>13772</v>
      </c>
      <c r="DS1695" t="s">
        <v>13826</v>
      </c>
      <c r="DT1695" t="s">
        <v>14465</v>
      </c>
      <c r="DU1695" t="s">
        <v>13772</v>
      </c>
      <c r="DV1695" t="s">
        <v>13858</v>
      </c>
      <c r="DW1695" t="s">
        <v>13772</v>
      </c>
      <c r="DX1695" t="s">
        <v>28858</v>
      </c>
      <c r="DY1695" t="s">
        <v>28859</v>
      </c>
      <c r="DZ1695" t="s">
        <v>15899</v>
      </c>
      <c r="EA1695" t="s">
        <v>13772</v>
      </c>
      <c r="EB1695" t="s">
        <v>13772</v>
      </c>
    </row>
    <row r="1696" spans="1:132" hidden="1">
      <c r="A1696">
        <v>1578</v>
      </c>
      <c r="B1696">
        <v>1</v>
      </c>
      <c r="C1696" t="s">
        <v>3740</v>
      </c>
      <c r="D1696" t="s">
        <v>3741</v>
      </c>
      <c r="E1696" t="s">
        <v>73</v>
      </c>
      <c r="F1696" t="s">
        <v>73</v>
      </c>
      <c r="G1696" t="s">
        <v>73</v>
      </c>
      <c r="H1696">
        <v>5.0999999999999996</v>
      </c>
      <c r="I1696">
        <v>897</v>
      </c>
      <c r="J1696">
        <v>100111</v>
      </c>
      <c r="K1696" t="s">
        <v>3742</v>
      </c>
      <c r="L1696">
        <f t="shared" si="106"/>
        <v>9</v>
      </c>
      <c r="N1696">
        <v>9</v>
      </c>
      <c r="O1696">
        <v>9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1</v>
      </c>
      <c r="Z1696">
        <v>0</v>
      </c>
      <c r="AA1696">
        <v>0</v>
      </c>
      <c r="AB1696">
        <v>5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5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5</v>
      </c>
      <c r="BO1696" s="2">
        <v>1</v>
      </c>
      <c r="BP1696" s="2">
        <v>0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f t="shared" si="109"/>
        <v>9</v>
      </c>
      <c r="BW1696" s="16">
        <f t="shared" si="107"/>
        <v>0.47368421052631576</v>
      </c>
      <c r="BX1696" s="16">
        <f>COUNTIF($BC$6:BU1696, "=0") / COUNTIF($BC$6:BU1696, "&gt;-1")</f>
        <v>0.42136387687136234</v>
      </c>
      <c r="BY1696" s="18">
        <f>SUM($BC$6:BU1696) / $BY$4</f>
        <v>0.98826621048561181</v>
      </c>
      <c r="BZ1696" s="14">
        <f t="shared" si="108"/>
        <v>14</v>
      </c>
      <c r="CA1696" t="s">
        <v>5832</v>
      </c>
      <c r="CZ1696" t="s">
        <v>11001</v>
      </c>
      <c r="DA1696" t="s">
        <v>5904</v>
      </c>
      <c r="DB1696">
        <v>1711.8</v>
      </c>
      <c r="DC1696" t="s">
        <v>28931</v>
      </c>
      <c r="DD1696" t="s">
        <v>13772</v>
      </c>
      <c r="DE1696" t="s">
        <v>28932</v>
      </c>
      <c r="DF1696" t="s">
        <v>28933</v>
      </c>
      <c r="DG1696" t="s">
        <v>28934</v>
      </c>
      <c r="DH1696" t="str">
        <f>"MATR3"</f>
        <v>MATR3</v>
      </c>
      <c r="DI1696" t="s">
        <v>28935</v>
      </c>
      <c r="DJ1696" t="s">
        <v>13777</v>
      </c>
      <c r="DK1696">
        <v>9606</v>
      </c>
      <c r="DL1696" s="34" t="str">
        <f>HYPERLINK("http://www.uniprot.org/uniprot/P43243", "P43243")</f>
        <v>P43243</v>
      </c>
      <c r="DM1696" t="s">
        <v>28936</v>
      </c>
      <c r="DN1696" t="s">
        <v>22793</v>
      </c>
      <c r="DO1696" t="s">
        <v>14825</v>
      </c>
      <c r="DP1696" t="s">
        <v>13780</v>
      </c>
      <c r="DQ1696" t="s">
        <v>13772</v>
      </c>
      <c r="DR1696" t="s">
        <v>13989</v>
      </c>
      <c r="DS1696" t="s">
        <v>17779</v>
      </c>
      <c r="DT1696" t="s">
        <v>13856</v>
      </c>
      <c r="DU1696" t="s">
        <v>14826</v>
      </c>
      <c r="DV1696" t="s">
        <v>13991</v>
      </c>
      <c r="DW1696" t="s">
        <v>13772</v>
      </c>
      <c r="DX1696" t="s">
        <v>28937</v>
      </c>
      <c r="DY1696" t="s">
        <v>28938</v>
      </c>
      <c r="DZ1696" t="s">
        <v>28939</v>
      </c>
      <c r="EA1696" t="s">
        <v>13772</v>
      </c>
      <c r="EB1696" t="s">
        <v>13772</v>
      </c>
    </row>
    <row r="1697" spans="1:132" hidden="1">
      <c r="A1697">
        <v>1620</v>
      </c>
      <c r="B1697">
        <v>1</v>
      </c>
      <c r="C1697" t="s">
        <v>3839</v>
      </c>
      <c r="D1697" t="s">
        <v>73</v>
      </c>
      <c r="E1697" t="s">
        <v>73</v>
      </c>
      <c r="F1697" t="s">
        <v>73</v>
      </c>
      <c r="G1697" t="s">
        <v>73</v>
      </c>
      <c r="H1697">
        <v>31.9</v>
      </c>
      <c r="I1697">
        <v>226</v>
      </c>
      <c r="J1697">
        <v>24525</v>
      </c>
      <c r="K1697" t="s">
        <v>3840</v>
      </c>
      <c r="L1697">
        <f t="shared" si="106"/>
        <v>9</v>
      </c>
      <c r="N1697">
        <v>9</v>
      </c>
      <c r="O1697">
        <v>9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>
        <v>1</v>
      </c>
      <c r="Z1697">
        <v>0</v>
      </c>
      <c r="AA1697">
        <v>2</v>
      </c>
      <c r="AB1697">
        <v>1</v>
      </c>
      <c r="AC1697">
        <v>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</v>
      </c>
      <c r="AR1697">
        <v>1</v>
      </c>
      <c r="AS1697">
        <v>0</v>
      </c>
      <c r="AT1697">
        <v>2</v>
      </c>
      <c r="AU1697">
        <v>1</v>
      </c>
      <c r="AV1697">
        <v>2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2</v>
      </c>
      <c r="BK1697" s="2">
        <v>1</v>
      </c>
      <c r="BL1697" s="2">
        <v>0</v>
      </c>
      <c r="BM1697" s="2">
        <v>2</v>
      </c>
      <c r="BN1697" s="2">
        <v>1</v>
      </c>
      <c r="BO1697" s="2">
        <v>2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1</v>
      </c>
      <c r="BV1697" s="2">
        <f t="shared" si="109"/>
        <v>9</v>
      </c>
      <c r="BW1697" s="16">
        <f t="shared" si="107"/>
        <v>0.47368421052631576</v>
      </c>
      <c r="BX1697" s="16">
        <f>COUNTIF($BC$6:BU1697, "=0") / COUNTIF($BC$6:BU1697, "&gt;-1")</f>
        <v>0.42151922359089211</v>
      </c>
      <c r="BY1697" s="18">
        <f>SUM($BC$6:BU1697) / $BY$4</f>
        <v>0.9883047632174301</v>
      </c>
      <c r="BZ1697" s="14">
        <f t="shared" si="108"/>
        <v>13</v>
      </c>
      <c r="CA1697" t="s">
        <v>5832</v>
      </c>
      <c r="CZ1697" t="s">
        <v>11146</v>
      </c>
      <c r="DA1697" t="s">
        <v>5904</v>
      </c>
      <c r="DB1697">
        <v>461.5</v>
      </c>
      <c r="DC1697" t="s">
        <v>29326</v>
      </c>
      <c r="DD1697" t="s">
        <v>29327</v>
      </c>
      <c r="DE1697" t="s">
        <v>29328</v>
      </c>
      <c r="DF1697" t="s">
        <v>29329</v>
      </c>
      <c r="DG1697" t="s">
        <v>29330</v>
      </c>
      <c r="DH1697" t="str">
        <f>"PSMD10"</f>
        <v>PSMD10</v>
      </c>
      <c r="DI1697" t="s">
        <v>13772</v>
      </c>
      <c r="DJ1697" t="s">
        <v>13777</v>
      </c>
      <c r="DK1697">
        <v>9606</v>
      </c>
      <c r="DL1697" s="34" t="str">
        <f>HYPERLINK("http://www.uniprot.org/uniprot/O75832", "O75832")</f>
        <v>O75832</v>
      </c>
      <c r="DM1697" t="s">
        <v>29331</v>
      </c>
      <c r="DN1697" t="s">
        <v>17109</v>
      </c>
      <c r="DO1697" t="s">
        <v>13912</v>
      </c>
      <c r="DP1697" t="s">
        <v>13841</v>
      </c>
      <c r="DQ1697" t="s">
        <v>13772</v>
      </c>
      <c r="DR1697" t="s">
        <v>13772</v>
      </c>
      <c r="DS1697" t="s">
        <v>16840</v>
      </c>
      <c r="DT1697" t="s">
        <v>13772</v>
      </c>
      <c r="DU1697" t="s">
        <v>14477</v>
      </c>
      <c r="DV1697" t="s">
        <v>13772</v>
      </c>
      <c r="DW1697" t="s">
        <v>13812</v>
      </c>
      <c r="DX1697" t="s">
        <v>29332</v>
      </c>
      <c r="DY1697" t="s">
        <v>29333</v>
      </c>
      <c r="DZ1697" t="s">
        <v>29334</v>
      </c>
      <c r="EA1697" t="s">
        <v>13772</v>
      </c>
      <c r="EB1697" t="s">
        <v>14208</v>
      </c>
    </row>
    <row r="1698" spans="1:132" hidden="1">
      <c r="A1698">
        <v>1632</v>
      </c>
      <c r="B1698">
        <v>1</v>
      </c>
      <c r="C1698" t="s">
        <v>3869</v>
      </c>
      <c r="D1698" t="s">
        <v>3870</v>
      </c>
      <c r="E1698" t="s">
        <v>73</v>
      </c>
      <c r="F1698" t="s">
        <v>73</v>
      </c>
      <c r="G1698" t="s">
        <v>73</v>
      </c>
      <c r="H1698">
        <v>22.1</v>
      </c>
      <c r="I1698">
        <v>231</v>
      </c>
      <c r="J1698">
        <v>25837</v>
      </c>
      <c r="K1698" t="s">
        <v>3871</v>
      </c>
      <c r="L1698">
        <f t="shared" si="106"/>
        <v>9</v>
      </c>
      <c r="N1698">
        <v>9</v>
      </c>
      <c r="O1698">
        <v>9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2</v>
      </c>
      <c r="Z1698">
        <v>0</v>
      </c>
      <c r="AA1698">
        <v>4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0</v>
      </c>
      <c r="AT1698">
        <v>4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 s="2">
        <v>0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1</v>
      </c>
      <c r="BK1698" s="2">
        <v>2</v>
      </c>
      <c r="BL1698" s="2">
        <v>0</v>
      </c>
      <c r="BM1698" s="2">
        <v>4</v>
      </c>
      <c r="BN1698" s="2">
        <v>1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f t="shared" si="109"/>
        <v>9</v>
      </c>
      <c r="BW1698" s="16">
        <f t="shared" si="107"/>
        <v>0.47368421052631576</v>
      </c>
      <c r="BX1698" s="16">
        <f>COUNTIF($BC$6:BU1698, "=0") / COUNTIF($BC$6:BU1698, "&gt;-1")</f>
        <v>0.42170547455466784</v>
      </c>
      <c r="BY1698" s="18">
        <f>SUM($BC$6:BU1698) / $BY$4</f>
        <v>0.9883433159492484</v>
      </c>
      <c r="BZ1698" s="14">
        <f t="shared" si="108"/>
        <v>14</v>
      </c>
      <c r="CA1698" t="s">
        <v>5832</v>
      </c>
      <c r="CZ1698" t="s">
        <v>11187</v>
      </c>
      <c r="DA1698" t="s">
        <v>5904</v>
      </c>
      <c r="DB1698">
        <v>407.9</v>
      </c>
      <c r="DC1698" t="s">
        <v>29441</v>
      </c>
      <c r="DD1698" t="s">
        <v>29442</v>
      </c>
      <c r="DE1698" t="s">
        <v>29443</v>
      </c>
      <c r="DF1698" t="s">
        <v>29444</v>
      </c>
      <c r="DG1698" t="s">
        <v>29445</v>
      </c>
      <c r="DH1698" t="str">
        <f>"PUDP"</f>
        <v>PUDP</v>
      </c>
      <c r="DI1698" t="s">
        <v>13772</v>
      </c>
      <c r="DJ1698" t="s">
        <v>13777</v>
      </c>
      <c r="DK1698">
        <v>9606</v>
      </c>
      <c r="DL1698" s="34" t="str">
        <f>HYPERLINK("http://www.uniprot.org/uniprot/Q08623", "Q08623")</f>
        <v>Q08623</v>
      </c>
      <c r="DM1698" t="s">
        <v>29446</v>
      </c>
      <c r="DN1698" t="s">
        <v>14061</v>
      </c>
      <c r="DO1698" t="s">
        <v>13772</v>
      </c>
      <c r="DP1698" t="s">
        <v>13780</v>
      </c>
      <c r="DQ1698" t="s">
        <v>13772</v>
      </c>
      <c r="DR1698" t="s">
        <v>13772</v>
      </c>
      <c r="DS1698" t="s">
        <v>13772</v>
      </c>
      <c r="DT1698" t="s">
        <v>14784</v>
      </c>
      <c r="DU1698" t="s">
        <v>13857</v>
      </c>
      <c r="DV1698" t="s">
        <v>13772</v>
      </c>
      <c r="DW1698" t="s">
        <v>13812</v>
      </c>
      <c r="DX1698" t="s">
        <v>29447</v>
      </c>
      <c r="DY1698" t="s">
        <v>13902</v>
      </c>
      <c r="DZ1698" t="s">
        <v>29448</v>
      </c>
      <c r="EA1698" t="s">
        <v>13772</v>
      </c>
      <c r="EB1698" t="s">
        <v>29449</v>
      </c>
    </row>
    <row r="1699" spans="1:132" hidden="1">
      <c r="A1699">
        <v>1642</v>
      </c>
      <c r="B1699">
        <v>1</v>
      </c>
      <c r="C1699" t="s">
        <v>3893</v>
      </c>
      <c r="D1699" t="s">
        <v>73</v>
      </c>
      <c r="E1699" t="s">
        <v>73</v>
      </c>
      <c r="F1699" t="s">
        <v>73</v>
      </c>
      <c r="G1699" t="s">
        <v>73</v>
      </c>
      <c r="H1699">
        <v>11.9</v>
      </c>
      <c r="I1699">
        <v>420</v>
      </c>
      <c r="J1699">
        <v>47948</v>
      </c>
      <c r="K1699" t="s">
        <v>3894</v>
      </c>
      <c r="L1699">
        <f t="shared" si="106"/>
        <v>9</v>
      </c>
      <c r="N1699">
        <v>9</v>
      </c>
      <c r="O1699">
        <v>9</v>
      </c>
      <c r="P1699">
        <v>1</v>
      </c>
      <c r="Q1699">
        <v>0</v>
      </c>
      <c r="R1699">
        <v>2</v>
      </c>
      <c r="S1699">
        <v>0</v>
      </c>
      <c r="T1699">
        <v>1</v>
      </c>
      <c r="U1699">
        <v>5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L1699">
        <v>0</v>
      </c>
      <c r="AM1699">
        <v>1</v>
      </c>
      <c r="AN1699">
        <v>5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 s="2">
        <v>0</v>
      </c>
      <c r="BD1699" s="2">
        <v>2</v>
      </c>
      <c r="BE1699" s="2">
        <v>0</v>
      </c>
      <c r="BF1699" s="2">
        <v>1</v>
      </c>
      <c r="BG1699" s="2">
        <v>5</v>
      </c>
      <c r="BH1699" s="2">
        <v>0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f t="shared" si="109"/>
        <v>9</v>
      </c>
      <c r="BW1699" s="16">
        <f t="shared" si="107"/>
        <v>0.47368421052631576</v>
      </c>
      <c r="BX1699" s="16">
        <f>COUNTIF($BC$6:BU1699, "=0") / COUNTIF($BC$6:BU1699, "&gt;-1")</f>
        <v>0.42192257503262287</v>
      </c>
      <c r="BY1699" s="18">
        <f>SUM($BC$6:BU1699) / $BY$4</f>
        <v>0.9883818686810667</v>
      </c>
      <c r="BZ1699" s="14">
        <f t="shared" si="108"/>
        <v>15</v>
      </c>
      <c r="CA1699" t="s">
        <v>5832</v>
      </c>
      <c r="CZ1699" t="s">
        <v>11219</v>
      </c>
      <c r="DA1699" t="s">
        <v>5904</v>
      </c>
      <c r="DB1699">
        <v>742.7</v>
      </c>
      <c r="DC1699" t="s">
        <v>29527</v>
      </c>
      <c r="DD1699" t="s">
        <v>29528</v>
      </c>
      <c r="DE1699" t="s">
        <v>29529</v>
      </c>
      <c r="DF1699" t="s">
        <v>29530</v>
      </c>
      <c r="DG1699" t="s">
        <v>29531</v>
      </c>
      <c r="DH1699" t="str">
        <f>"GLA"</f>
        <v>GLA</v>
      </c>
      <c r="DI1699" t="s">
        <v>13772</v>
      </c>
      <c r="DJ1699" t="s">
        <v>13777</v>
      </c>
      <c r="DK1699">
        <v>9606</v>
      </c>
      <c r="DL1699" s="34" t="str">
        <f>HYPERLINK("http://www.uniprot.org/uniprot/P06280", "P06280")</f>
        <v>P06280</v>
      </c>
      <c r="DM1699" t="s">
        <v>29532</v>
      </c>
      <c r="DN1699" t="s">
        <v>13772</v>
      </c>
      <c r="DO1699" t="s">
        <v>13806</v>
      </c>
      <c r="DP1699" t="s">
        <v>29533</v>
      </c>
      <c r="DQ1699" t="s">
        <v>13772</v>
      </c>
      <c r="DR1699" t="s">
        <v>13807</v>
      </c>
      <c r="DS1699" t="s">
        <v>13808</v>
      </c>
      <c r="DT1699" t="s">
        <v>13772</v>
      </c>
      <c r="DU1699" t="s">
        <v>15471</v>
      </c>
      <c r="DV1699" t="s">
        <v>13796</v>
      </c>
      <c r="DW1699" t="s">
        <v>14324</v>
      </c>
      <c r="DX1699" t="s">
        <v>29534</v>
      </c>
      <c r="DY1699" t="s">
        <v>29535</v>
      </c>
      <c r="DZ1699" t="s">
        <v>29536</v>
      </c>
      <c r="EA1699" t="s">
        <v>13772</v>
      </c>
      <c r="EB1699" t="s">
        <v>26606</v>
      </c>
    </row>
    <row r="1700" spans="1:132" hidden="1">
      <c r="A1700">
        <v>1704</v>
      </c>
      <c r="B1700">
        <v>1</v>
      </c>
      <c r="C1700" t="s">
        <v>4043</v>
      </c>
      <c r="D1700" t="s">
        <v>4044</v>
      </c>
      <c r="E1700" t="s">
        <v>73</v>
      </c>
      <c r="F1700" t="s">
        <v>73</v>
      </c>
      <c r="G1700" t="s">
        <v>73</v>
      </c>
      <c r="H1700">
        <v>6.2</v>
      </c>
      <c r="I1700">
        <v>1233</v>
      </c>
      <c r="J1700">
        <v>139374</v>
      </c>
      <c r="K1700" t="s">
        <v>4045</v>
      </c>
      <c r="L1700">
        <f t="shared" si="106"/>
        <v>9</v>
      </c>
      <c r="N1700">
        <v>9</v>
      </c>
      <c r="O1700">
        <v>9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3</v>
      </c>
      <c r="BN1700" s="2">
        <v>6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f t="shared" si="109"/>
        <v>9</v>
      </c>
      <c r="BW1700" s="16">
        <f t="shared" si="107"/>
        <v>0.47368421052631576</v>
      </c>
      <c r="BX1700" s="16">
        <f>COUNTIF($BC$6:BU1700, "=0") / COUNTIF($BC$6:BU1700, "&gt;-1")</f>
        <v>0.42220152150287221</v>
      </c>
      <c r="BY1700" s="18">
        <f>SUM($BC$6:BU1700) / $BY$4</f>
        <v>0.988420421412885</v>
      </c>
      <c r="BZ1700" s="14">
        <f t="shared" si="108"/>
        <v>17</v>
      </c>
      <c r="CA1700" t="s">
        <v>5832</v>
      </c>
      <c r="CZ1700" t="s">
        <v>11437</v>
      </c>
      <c r="DA1700" t="s">
        <v>5904</v>
      </c>
      <c r="DB1700">
        <v>2528.4</v>
      </c>
      <c r="DC1700" t="s">
        <v>30148</v>
      </c>
      <c r="DD1700" t="s">
        <v>30149</v>
      </c>
      <c r="DE1700" t="s">
        <v>30150</v>
      </c>
      <c r="DF1700" t="s">
        <v>30151</v>
      </c>
      <c r="DG1700" t="s">
        <v>30152</v>
      </c>
      <c r="DH1700" t="str">
        <f>"COPA"</f>
        <v>COPA</v>
      </c>
      <c r="DI1700" t="s">
        <v>13772</v>
      </c>
      <c r="DJ1700" t="s">
        <v>13777</v>
      </c>
      <c r="DK1700">
        <v>9606</v>
      </c>
      <c r="DL1700" s="34" t="str">
        <f>HYPERLINK("http://www.uniprot.org/uniprot/P53621", "P53621")</f>
        <v>P53621</v>
      </c>
      <c r="DM1700" t="s">
        <v>30153</v>
      </c>
      <c r="DN1700" t="s">
        <v>15450</v>
      </c>
      <c r="DO1700" t="s">
        <v>30154</v>
      </c>
      <c r="DP1700" t="s">
        <v>26009</v>
      </c>
      <c r="DQ1700" t="s">
        <v>13772</v>
      </c>
      <c r="DR1700" t="s">
        <v>13807</v>
      </c>
      <c r="DS1700" t="s">
        <v>23494</v>
      </c>
      <c r="DT1700" t="s">
        <v>13772</v>
      </c>
      <c r="DU1700" t="s">
        <v>14322</v>
      </c>
      <c r="DV1700" t="s">
        <v>14478</v>
      </c>
      <c r="DW1700" t="s">
        <v>13772</v>
      </c>
      <c r="DX1700" t="s">
        <v>30155</v>
      </c>
      <c r="DY1700" t="s">
        <v>30156</v>
      </c>
      <c r="DZ1700" t="s">
        <v>30157</v>
      </c>
      <c r="EA1700" t="s">
        <v>13772</v>
      </c>
      <c r="EB1700" t="s">
        <v>16533</v>
      </c>
    </row>
    <row r="1701" spans="1:132" hidden="1">
      <c r="A1701">
        <v>1788</v>
      </c>
      <c r="B1701">
        <v>1</v>
      </c>
      <c r="C1701" t="s">
        <v>4229</v>
      </c>
      <c r="D1701" t="s">
        <v>73</v>
      </c>
      <c r="E1701" t="s">
        <v>73</v>
      </c>
      <c r="F1701" t="s">
        <v>73</v>
      </c>
      <c r="G1701" t="s">
        <v>73</v>
      </c>
      <c r="H1701">
        <v>46.7</v>
      </c>
      <c r="I1701">
        <v>199</v>
      </c>
      <c r="J1701">
        <v>19872</v>
      </c>
      <c r="K1701" t="s">
        <v>4230</v>
      </c>
      <c r="L1701">
        <f t="shared" si="106"/>
        <v>9</v>
      </c>
      <c r="N1701">
        <v>9</v>
      </c>
      <c r="O1701">
        <v>9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3</v>
      </c>
      <c r="Z1701">
        <v>0</v>
      </c>
      <c r="AA1701">
        <v>3</v>
      </c>
      <c r="AB1701">
        <v>2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3</v>
      </c>
      <c r="AS1701">
        <v>0</v>
      </c>
      <c r="AT1701">
        <v>3</v>
      </c>
      <c r="AU1701">
        <v>2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3</v>
      </c>
      <c r="BL1701" s="2">
        <v>0</v>
      </c>
      <c r="BM1701" s="2">
        <v>3</v>
      </c>
      <c r="BN1701" s="2">
        <v>2</v>
      </c>
      <c r="BO1701" s="2">
        <v>1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f t="shared" si="109"/>
        <v>9</v>
      </c>
      <c r="BW1701" s="16">
        <f t="shared" si="107"/>
        <v>0.47368421052631576</v>
      </c>
      <c r="BX1701" s="16">
        <f>COUNTIF($BC$6:BU1701, "=0") / COUNTIF($BC$6:BU1701, "&gt;-1")</f>
        <v>0.42241807348560079</v>
      </c>
      <c r="BY1701" s="18">
        <f>SUM($BC$6:BU1701) / $BY$4</f>
        <v>0.9884589741447033</v>
      </c>
      <c r="BZ1701" s="14">
        <f t="shared" si="108"/>
        <v>15</v>
      </c>
      <c r="CA1701" t="s">
        <v>5832</v>
      </c>
      <c r="CZ1701" t="s">
        <v>11712</v>
      </c>
      <c r="DA1701" t="s">
        <v>5904</v>
      </c>
      <c r="DB1701">
        <v>251.9</v>
      </c>
      <c r="DC1701" t="s">
        <v>30959</v>
      </c>
      <c r="DD1701" t="s">
        <v>30960</v>
      </c>
      <c r="DE1701" t="s">
        <v>30961</v>
      </c>
      <c r="DF1701" t="s">
        <v>30962</v>
      </c>
      <c r="DG1701" t="s">
        <v>30963</v>
      </c>
      <c r="DH1701" t="str">
        <f>"MARCKSL1"</f>
        <v>MARCKSL1</v>
      </c>
      <c r="DI1701" t="s">
        <v>30964</v>
      </c>
      <c r="DJ1701" t="s">
        <v>13777</v>
      </c>
      <c r="DK1701">
        <v>9606</v>
      </c>
      <c r="DL1701" s="34" t="str">
        <f>HYPERLINK("http://www.uniprot.org/uniprot/P49006", "P49006")</f>
        <v>P49006</v>
      </c>
      <c r="DM1701" t="s">
        <v>30965</v>
      </c>
      <c r="DN1701" t="s">
        <v>13772</v>
      </c>
      <c r="DO1701" t="s">
        <v>17663</v>
      </c>
      <c r="DP1701" t="s">
        <v>13772</v>
      </c>
      <c r="DQ1701" t="s">
        <v>13772</v>
      </c>
      <c r="DR1701" t="s">
        <v>13772</v>
      </c>
      <c r="DS1701" t="s">
        <v>13772</v>
      </c>
      <c r="DT1701" t="s">
        <v>13772</v>
      </c>
      <c r="DU1701" t="s">
        <v>15941</v>
      </c>
      <c r="DV1701" t="s">
        <v>21052</v>
      </c>
      <c r="DW1701" t="s">
        <v>13772</v>
      </c>
      <c r="DX1701" t="s">
        <v>30966</v>
      </c>
      <c r="DY1701" t="s">
        <v>30967</v>
      </c>
      <c r="DZ1701" t="s">
        <v>30968</v>
      </c>
      <c r="EA1701" t="s">
        <v>13772</v>
      </c>
      <c r="EB1701" t="s">
        <v>13772</v>
      </c>
    </row>
    <row r="1702" spans="1:132" hidden="1">
      <c r="A1702">
        <v>1792</v>
      </c>
      <c r="B1702">
        <v>1</v>
      </c>
      <c r="C1702" t="s">
        <v>4238</v>
      </c>
      <c r="D1702" t="s">
        <v>4239</v>
      </c>
      <c r="E1702" t="s">
        <v>73</v>
      </c>
      <c r="F1702" t="s">
        <v>73</v>
      </c>
      <c r="G1702" t="s">
        <v>73</v>
      </c>
      <c r="H1702">
        <v>6.4</v>
      </c>
      <c r="I1702">
        <v>517</v>
      </c>
      <c r="J1702">
        <v>52597</v>
      </c>
      <c r="K1702" t="s">
        <v>4240</v>
      </c>
      <c r="L1702">
        <f t="shared" si="106"/>
        <v>9</v>
      </c>
      <c r="N1702">
        <v>9</v>
      </c>
      <c r="O1702">
        <v>9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5</v>
      </c>
      <c r="Z1702">
        <v>0</v>
      </c>
      <c r="AA1702">
        <v>2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</v>
      </c>
      <c r="AS1702">
        <v>0</v>
      </c>
      <c r="AT1702">
        <v>2</v>
      </c>
      <c r="AU1702">
        <v>1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5</v>
      </c>
      <c r="BL1702" s="2">
        <v>0</v>
      </c>
      <c r="BM1702" s="2">
        <v>2</v>
      </c>
      <c r="BN1702" s="2">
        <v>1</v>
      </c>
      <c r="BO1702" s="2">
        <v>0</v>
      </c>
      <c r="BP1702" s="2">
        <v>0</v>
      </c>
      <c r="BQ1702" s="2">
        <v>0</v>
      </c>
      <c r="BR1702" s="2">
        <v>1</v>
      </c>
      <c r="BS1702" s="2">
        <v>0</v>
      </c>
      <c r="BT1702" s="2">
        <v>0</v>
      </c>
      <c r="BU1702" s="2">
        <v>0</v>
      </c>
      <c r="BV1702" s="2">
        <f t="shared" si="109"/>
        <v>9</v>
      </c>
      <c r="BW1702" s="16">
        <f t="shared" si="107"/>
        <v>0.47368421052631576</v>
      </c>
      <c r="BX1702" s="16">
        <f>COUNTIF($BC$6:BU1702, "=0") / COUNTIF($BC$6:BU1702, "&gt;-1")</f>
        <v>0.42263437025090717</v>
      </c>
      <c r="BY1702" s="18">
        <f>SUM($BC$6:BU1702) / $BY$4</f>
        <v>0.98849752687652159</v>
      </c>
      <c r="BZ1702" s="14">
        <f t="shared" si="108"/>
        <v>15</v>
      </c>
      <c r="CA1702" t="s">
        <v>5832</v>
      </c>
      <c r="CZ1702" t="s">
        <v>11725</v>
      </c>
      <c r="DA1702" t="s">
        <v>5904</v>
      </c>
      <c r="DB1702">
        <v>334</v>
      </c>
      <c r="DC1702" t="s">
        <v>30997</v>
      </c>
      <c r="DD1702" t="s">
        <v>30998</v>
      </c>
      <c r="DE1702" t="s">
        <v>30999</v>
      </c>
      <c r="DF1702" t="s">
        <v>31000</v>
      </c>
      <c r="DG1702" t="s">
        <v>31001</v>
      </c>
      <c r="DH1702" t="str">
        <f>"FUS"</f>
        <v>FUS</v>
      </c>
      <c r="DI1702" t="s">
        <v>31002</v>
      </c>
      <c r="DJ1702" t="s">
        <v>13777</v>
      </c>
      <c r="DK1702">
        <v>9606</v>
      </c>
      <c r="DL1702" s="34" t="str">
        <f>HYPERLINK("http://www.uniprot.org/uniprot/P35637", "P35637")</f>
        <v>P35637</v>
      </c>
      <c r="DM1702" t="s">
        <v>31003</v>
      </c>
      <c r="DN1702" t="s">
        <v>13772</v>
      </c>
      <c r="DO1702" t="s">
        <v>14825</v>
      </c>
      <c r="DP1702" t="s">
        <v>20333</v>
      </c>
      <c r="DQ1702" t="s">
        <v>13772</v>
      </c>
      <c r="DR1702" t="s">
        <v>31004</v>
      </c>
      <c r="DS1702" t="s">
        <v>17779</v>
      </c>
      <c r="DT1702" t="s">
        <v>13856</v>
      </c>
      <c r="DU1702" t="s">
        <v>20764</v>
      </c>
      <c r="DV1702" t="s">
        <v>26854</v>
      </c>
      <c r="DW1702" t="s">
        <v>13812</v>
      </c>
      <c r="DX1702" t="s">
        <v>31005</v>
      </c>
      <c r="DY1702" t="s">
        <v>31006</v>
      </c>
      <c r="DZ1702" t="s">
        <v>31007</v>
      </c>
      <c r="EA1702" t="s">
        <v>13772</v>
      </c>
      <c r="EB1702" t="s">
        <v>15157</v>
      </c>
    </row>
    <row r="1703" spans="1:132" hidden="1">
      <c r="A1703">
        <v>1813</v>
      </c>
      <c r="B1703">
        <v>1</v>
      </c>
      <c r="C1703" t="s">
        <v>4286</v>
      </c>
      <c r="D1703" t="s">
        <v>4287</v>
      </c>
      <c r="E1703" t="s">
        <v>73</v>
      </c>
      <c r="F1703" t="s">
        <v>73</v>
      </c>
      <c r="G1703" t="s">
        <v>73</v>
      </c>
      <c r="H1703">
        <v>4.2</v>
      </c>
      <c r="I1703">
        <v>2516</v>
      </c>
      <c r="J1703">
        <v>283336</v>
      </c>
      <c r="K1703" t="s">
        <v>4288</v>
      </c>
      <c r="L1703">
        <f t="shared" si="106"/>
        <v>9</v>
      </c>
      <c r="N1703">
        <v>9</v>
      </c>
      <c r="O1703">
        <v>9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4</v>
      </c>
      <c r="AB1703">
        <v>0</v>
      </c>
      <c r="AC1703">
        <v>1</v>
      </c>
      <c r="AD1703">
        <v>0</v>
      </c>
      <c r="AE1703">
        <v>1</v>
      </c>
      <c r="AF1703">
        <v>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4</v>
      </c>
      <c r="AU1703">
        <v>0</v>
      </c>
      <c r="AV1703">
        <v>1</v>
      </c>
      <c r="AW1703">
        <v>0</v>
      </c>
      <c r="AX1703">
        <v>1</v>
      </c>
      <c r="AY1703">
        <v>2</v>
      </c>
      <c r="AZ1703">
        <v>0</v>
      </c>
      <c r="BA1703">
        <v>0</v>
      </c>
      <c r="BB1703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0</v>
      </c>
      <c r="BM1703" s="2">
        <v>4</v>
      </c>
      <c r="BN1703" s="2">
        <v>0</v>
      </c>
      <c r="BO1703" s="2">
        <v>1</v>
      </c>
      <c r="BP1703" s="2">
        <v>0</v>
      </c>
      <c r="BQ1703" s="2">
        <v>1</v>
      </c>
      <c r="BR1703" s="2">
        <v>2</v>
      </c>
      <c r="BS1703" s="2">
        <v>0</v>
      </c>
      <c r="BT1703" s="2">
        <v>0</v>
      </c>
      <c r="BU1703" s="2">
        <v>0</v>
      </c>
      <c r="BV1703" s="2">
        <f t="shared" si="109"/>
        <v>9</v>
      </c>
      <c r="BW1703" s="16">
        <f t="shared" si="107"/>
        <v>0.47368421052631576</v>
      </c>
      <c r="BX1703" s="16">
        <f>COUNTIF($BC$6:BU1703, "=0") / COUNTIF($BC$6:BU1703, "&gt;-1")</f>
        <v>0.42281941603124418</v>
      </c>
      <c r="BY1703" s="18">
        <f>SUM($BC$6:BU1703) / $BY$4</f>
        <v>0.98853607960833989</v>
      </c>
      <c r="BZ1703" s="14">
        <f t="shared" si="108"/>
        <v>14</v>
      </c>
      <c r="CA1703" t="s">
        <v>5832</v>
      </c>
      <c r="CZ1703" t="s">
        <v>11799</v>
      </c>
      <c r="DA1703" t="s">
        <v>5904</v>
      </c>
      <c r="DB1703">
        <v>4632.3999999999996</v>
      </c>
      <c r="DC1703" t="s">
        <v>31207</v>
      </c>
      <c r="DD1703" t="s">
        <v>31208</v>
      </c>
      <c r="DE1703" t="s">
        <v>31209</v>
      </c>
      <c r="DF1703" t="s">
        <v>31210</v>
      </c>
      <c r="DG1703" t="s">
        <v>31211</v>
      </c>
      <c r="DH1703" t="str">
        <f>"TPR"</f>
        <v>TPR</v>
      </c>
      <c r="DI1703" t="s">
        <v>13772</v>
      </c>
      <c r="DJ1703" t="s">
        <v>13777</v>
      </c>
      <c r="DK1703">
        <v>9606</v>
      </c>
      <c r="DL1703" s="34" t="str">
        <f>HYPERLINK("http://www.uniprot.org/uniprot/P12270", "P12270")</f>
        <v>P12270</v>
      </c>
      <c r="DM1703" t="s">
        <v>31212</v>
      </c>
      <c r="DN1703" t="s">
        <v>31213</v>
      </c>
      <c r="DO1703" t="s">
        <v>31214</v>
      </c>
      <c r="DP1703" t="s">
        <v>20333</v>
      </c>
      <c r="DQ1703" t="s">
        <v>13772</v>
      </c>
      <c r="DR1703" t="s">
        <v>14244</v>
      </c>
      <c r="DS1703" t="s">
        <v>14245</v>
      </c>
      <c r="DT1703" t="s">
        <v>13772</v>
      </c>
      <c r="DU1703" t="s">
        <v>13772</v>
      </c>
      <c r="DV1703" t="s">
        <v>14098</v>
      </c>
      <c r="DW1703" t="s">
        <v>13812</v>
      </c>
      <c r="DX1703" t="s">
        <v>31215</v>
      </c>
      <c r="DY1703" t="s">
        <v>31216</v>
      </c>
      <c r="DZ1703" t="s">
        <v>31217</v>
      </c>
      <c r="EA1703" t="s">
        <v>13772</v>
      </c>
      <c r="EB1703" t="s">
        <v>21512</v>
      </c>
    </row>
    <row r="1704" spans="1:132" hidden="1">
      <c r="A1704">
        <v>1929</v>
      </c>
      <c r="B1704">
        <v>1</v>
      </c>
      <c r="C1704" t="s">
        <v>4543</v>
      </c>
      <c r="D1704" t="s">
        <v>4544</v>
      </c>
      <c r="E1704" t="s">
        <v>73</v>
      </c>
      <c r="F1704" t="s">
        <v>73</v>
      </c>
      <c r="G1704" t="s">
        <v>73</v>
      </c>
      <c r="H1704">
        <v>10.4</v>
      </c>
      <c r="I1704">
        <v>444</v>
      </c>
      <c r="J1704">
        <v>49617</v>
      </c>
      <c r="K1704" t="s">
        <v>4545</v>
      </c>
      <c r="L1704">
        <f t="shared" si="106"/>
        <v>9</v>
      </c>
      <c r="N1704">
        <v>9</v>
      </c>
      <c r="O1704">
        <v>9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2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2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4</v>
      </c>
      <c r="BA1704">
        <v>0</v>
      </c>
      <c r="BB1704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1</v>
      </c>
      <c r="BH1704" s="2">
        <v>2</v>
      </c>
      <c r="BI1704" s="2">
        <v>1</v>
      </c>
      <c r="BJ1704" s="2">
        <v>0</v>
      </c>
      <c r="BK1704" s="2">
        <v>0</v>
      </c>
      <c r="BL1704" s="2">
        <v>0</v>
      </c>
      <c r="BM1704" s="2">
        <v>1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4</v>
      </c>
      <c r="BT1704" s="2">
        <v>0</v>
      </c>
      <c r="BU1704" s="2">
        <v>0</v>
      </c>
      <c r="BV1704" s="2">
        <f t="shared" si="109"/>
        <v>9</v>
      </c>
      <c r="BW1704" s="16">
        <f t="shared" si="107"/>
        <v>0.47368421052631576</v>
      </c>
      <c r="BX1704" s="16">
        <f>COUNTIF($BC$6:BU1704, "=0") / COUNTIF($BC$6:BU1704, "&gt;-1")</f>
        <v>0.42300424398252845</v>
      </c>
      <c r="BY1704" s="18">
        <f>SUM($BC$6:BU1704) / $BY$4</f>
        <v>0.98857463234015819</v>
      </c>
      <c r="BZ1704" s="14">
        <f t="shared" si="108"/>
        <v>14</v>
      </c>
      <c r="CA1704" t="s">
        <v>5832</v>
      </c>
      <c r="CZ1704" t="s">
        <v>12182</v>
      </c>
      <c r="DA1704" t="s">
        <v>5904</v>
      </c>
      <c r="DB1704">
        <v>732.2</v>
      </c>
      <c r="DC1704" t="s">
        <v>32264</v>
      </c>
      <c r="DD1704" t="s">
        <v>32265</v>
      </c>
      <c r="DE1704" t="s">
        <v>32266</v>
      </c>
      <c r="DF1704" t="s">
        <v>32267</v>
      </c>
      <c r="DG1704" t="s">
        <v>32268</v>
      </c>
      <c r="DH1704" t="str">
        <f>"KYAT1"</f>
        <v>KYAT1</v>
      </c>
      <c r="DI1704" t="s">
        <v>32269</v>
      </c>
      <c r="DJ1704" t="s">
        <v>13777</v>
      </c>
      <c r="DK1704">
        <v>9606</v>
      </c>
      <c r="DL1704" s="34" t="str">
        <f>HYPERLINK("http://www.uniprot.org/uniprot/Q16773", "Q16773")</f>
        <v>Q16773</v>
      </c>
      <c r="DM1704" t="s">
        <v>32270</v>
      </c>
      <c r="DN1704" t="s">
        <v>13772</v>
      </c>
      <c r="DO1704" t="s">
        <v>13899</v>
      </c>
      <c r="DP1704" t="s">
        <v>13841</v>
      </c>
      <c r="DQ1704" t="s">
        <v>13772</v>
      </c>
      <c r="DR1704" t="s">
        <v>13772</v>
      </c>
      <c r="DS1704" t="s">
        <v>13772</v>
      </c>
      <c r="DT1704" t="s">
        <v>14133</v>
      </c>
      <c r="DU1704" t="s">
        <v>32271</v>
      </c>
      <c r="DV1704" t="s">
        <v>13772</v>
      </c>
      <c r="DW1704" t="s">
        <v>13812</v>
      </c>
      <c r="DX1704" t="s">
        <v>32272</v>
      </c>
      <c r="DY1704" t="s">
        <v>32273</v>
      </c>
      <c r="DZ1704" t="s">
        <v>32274</v>
      </c>
      <c r="EA1704" t="s">
        <v>32275</v>
      </c>
      <c r="EB1704" t="s">
        <v>32276</v>
      </c>
    </row>
    <row r="1705" spans="1:132" hidden="1">
      <c r="A1705">
        <v>1943</v>
      </c>
      <c r="B1705">
        <v>1</v>
      </c>
      <c r="C1705" t="s">
        <v>4578</v>
      </c>
      <c r="D1705" t="s">
        <v>4579</v>
      </c>
      <c r="E1705" t="s">
        <v>73</v>
      </c>
      <c r="F1705" t="s">
        <v>73</v>
      </c>
      <c r="G1705" t="s">
        <v>73</v>
      </c>
      <c r="H1705">
        <v>4.5</v>
      </c>
      <c r="I1705">
        <v>1202</v>
      </c>
      <c r="J1705">
        <v>134927</v>
      </c>
      <c r="K1705" t="s">
        <v>4580</v>
      </c>
      <c r="L1705">
        <f t="shared" si="106"/>
        <v>9</v>
      </c>
      <c r="N1705">
        <v>9</v>
      </c>
      <c r="O1705">
        <v>9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0</v>
      </c>
      <c r="AA1705">
        <v>3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5</v>
      </c>
      <c r="AS1705">
        <v>0</v>
      </c>
      <c r="AT1705">
        <v>3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5</v>
      </c>
      <c r="BL1705" s="2">
        <v>0</v>
      </c>
      <c r="BM1705" s="2">
        <v>3</v>
      </c>
      <c r="BN1705" s="2">
        <v>0</v>
      </c>
      <c r="BO1705" s="2">
        <v>1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f t="shared" si="109"/>
        <v>9</v>
      </c>
      <c r="BW1705" s="16">
        <f t="shared" si="107"/>
        <v>0.47368421052631576</v>
      </c>
      <c r="BX1705" s="16">
        <f>COUNTIF($BC$6:BU1705, "=0") / COUNTIF($BC$6:BU1705, "&gt;-1")</f>
        <v>0.42325077399380806</v>
      </c>
      <c r="BY1705" s="18">
        <f>SUM($BC$6:BU1705) / $BY$4</f>
        <v>0.9886131850719766</v>
      </c>
      <c r="BZ1705" s="14">
        <f t="shared" si="108"/>
        <v>16</v>
      </c>
      <c r="CA1705" t="s">
        <v>5832</v>
      </c>
      <c r="CZ1705" t="s">
        <v>12231</v>
      </c>
      <c r="DA1705" t="s">
        <v>5904</v>
      </c>
      <c r="DB1705">
        <v>2028.5</v>
      </c>
      <c r="DC1705" t="s">
        <v>32411</v>
      </c>
      <c r="DD1705" t="s">
        <v>32412</v>
      </c>
      <c r="DE1705" t="s">
        <v>32413</v>
      </c>
      <c r="DF1705" t="s">
        <v>32414</v>
      </c>
      <c r="DG1705" t="s">
        <v>32415</v>
      </c>
      <c r="DH1705" t="str">
        <f>"TJP2"</f>
        <v>TJP2</v>
      </c>
      <c r="DI1705" t="s">
        <v>32416</v>
      </c>
      <c r="DJ1705" t="s">
        <v>13777</v>
      </c>
      <c r="DK1705">
        <v>9606</v>
      </c>
      <c r="DL1705" s="34" t="str">
        <f>HYPERLINK("http://www.uniprot.org/uniprot/Q9UDY2", "Q9UDY2")</f>
        <v>Q9UDY2</v>
      </c>
      <c r="DM1705" t="s">
        <v>32417</v>
      </c>
      <c r="DN1705" t="s">
        <v>13772</v>
      </c>
      <c r="DO1705" t="s">
        <v>32418</v>
      </c>
      <c r="DP1705" t="s">
        <v>14942</v>
      </c>
      <c r="DQ1705" t="s">
        <v>13772</v>
      </c>
      <c r="DR1705" t="s">
        <v>16668</v>
      </c>
      <c r="DS1705" t="s">
        <v>15028</v>
      </c>
      <c r="DT1705" t="s">
        <v>13772</v>
      </c>
      <c r="DU1705" t="s">
        <v>13772</v>
      </c>
      <c r="DV1705" t="s">
        <v>13782</v>
      </c>
      <c r="DW1705" t="s">
        <v>13812</v>
      </c>
      <c r="DX1705" t="s">
        <v>32419</v>
      </c>
      <c r="DY1705" t="s">
        <v>32420</v>
      </c>
      <c r="DZ1705" t="s">
        <v>32421</v>
      </c>
      <c r="EA1705" t="s">
        <v>13772</v>
      </c>
      <c r="EB1705" t="s">
        <v>32422</v>
      </c>
    </row>
    <row r="1706" spans="1:132" hidden="1">
      <c r="A1706">
        <v>2033</v>
      </c>
      <c r="B1706">
        <v>1</v>
      </c>
      <c r="C1706" t="s">
        <v>4777</v>
      </c>
      <c r="D1706" t="s">
        <v>73</v>
      </c>
      <c r="E1706" t="s">
        <v>73</v>
      </c>
      <c r="F1706" t="s">
        <v>73</v>
      </c>
      <c r="G1706" t="s">
        <v>73</v>
      </c>
      <c r="H1706">
        <v>31.1</v>
      </c>
      <c r="I1706">
        <v>180</v>
      </c>
      <c r="J1706">
        <v>19577</v>
      </c>
      <c r="K1706" t="s">
        <v>4778</v>
      </c>
      <c r="L1706">
        <f t="shared" si="106"/>
        <v>9</v>
      </c>
      <c r="N1706">
        <v>9</v>
      </c>
      <c r="O1706">
        <v>9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4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4</v>
      </c>
      <c r="AO1706">
        <v>1</v>
      </c>
      <c r="AP1706">
        <v>0</v>
      </c>
      <c r="AQ1706">
        <v>0</v>
      </c>
      <c r="AR1706">
        <v>1</v>
      </c>
      <c r="AS1706">
        <v>0</v>
      </c>
      <c r="AT1706">
        <v>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4</v>
      </c>
      <c r="BH1706" s="2">
        <v>1</v>
      </c>
      <c r="BI1706" s="2">
        <v>0</v>
      </c>
      <c r="BJ1706" s="2">
        <v>0</v>
      </c>
      <c r="BK1706" s="2">
        <v>1</v>
      </c>
      <c r="BL1706" s="2">
        <v>0</v>
      </c>
      <c r="BM1706" s="2">
        <v>3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f t="shared" si="109"/>
        <v>9</v>
      </c>
      <c r="BW1706" s="16">
        <f t="shared" si="107"/>
        <v>0.47368421052631576</v>
      </c>
      <c r="BX1706" s="16">
        <f>COUNTIF($BC$6:BU1706, "=0") / COUNTIF($BC$6:BU1706, "&gt;-1")</f>
        <v>0.42346607258887958</v>
      </c>
      <c r="BY1706" s="18">
        <f>SUM($BC$6:BU1706) / $BY$4</f>
        <v>0.98865173780379489</v>
      </c>
      <c r="BZ1706" s="14">
        <f t="shared" si="108"/>
        <v>15</v>
      </c>
      <c r="CA1706" t="s">
        <v>5832</v>
      </c>
      <c r="CZ1706" t="s">
        <v>12524</v>
      </c>
      <c r="DA1706" t="s">
        <v>5904</v>
      </c>
      <c r="DB1706">
        <v>318.5</v>
      </c>
      <c r="DC1706" t="s">
        <v>33234</v>
      </c>
      <c r="DD1706" t="s">
        <v>13772</v>
      </c>
      <c r="DE1706" t="s">
        <v>33235</v>
      </c>
      <c r="DF1706" t="s">
        <v>33236</v>
      </c>
      <c r="DG1706" t="s">
        <v>33237</v>
      </c>
      <c r="DH1706" t="str">
        <f>"APRT"</f>
        <v>APRT</v>
      </c>
      <c r="DI1706" t="s">
        <v>13772</v>
      </c>
      <c r="DJ1706" t="s">
        <v>13777</v>
      </c>
      <c r="DK1706">
        <v>9606</v>
      </c>
      <c r="DL1706" s="34" t="str">
        <f>HYPERLINK("http://www.uniprot.org/uniprot/P07741", "P07741")</f>
        <v>P07741</v>
      </c>
      <c r="DM1706" t="s">
        <v>33238</v>
      </c>
      <c r="DN1706" t="s">
        <v>25364</v>
      </c>
      <c r="DO1706" t="s">
        <v>13899</v>
      </c>
      <c r="DP1706" t="s">
        <v>13780</v>
      </c>
      <c r="DQ1706" t="s">
        <v>13772</v>
      </c>
      <c r="DR1706" t="s">
        <v>13807</v>
      </c>
      <c r="DS1706" t="s">
        <v>13772</v>
      </c>
      <c r="DT1706" t="s">
        <v>13772</v>
      </c>
      <c r="DU1706" t="s">
        <v>15995</v>
      </c>
      <c r="DV1706" t="s">
        <v>13886</v>
      </c>
      <c r="DW1706" t="s">
        <v>13812</v>
      </c>
      <c r="DX1706" t="s">
        <v>33239</v>
      </c>
      <c r="DY1706" t="s">
        <v>33240</v>
      </c>
      <c r="DZ1706" t="s">
        <v>33241</v>
      </c>
      <c r="EA1706" t="s">
        <v>33242</v>
      </c>
      <c r="EB1706" t="s">
        <v>33243</v>
      </c>
    </row>
    <row r="1707" spans="1:132" hidden="1">
      <c r="A1707">
        <v>2059</v>
      </c>
      <c r="B1707">
        <v>1</v>
      </c>
      <c r="C1707" t="s">
        <v>4841</v>
      </c>
      <c r="D1707" t="s">
        <v>73</v>
      </c>
      <c r="E1707" t="s">
        <v>73</v>
      </c>
      <c r="F1707" t="s">
        <v>73</v>
      </c>
      <c r="G1707" t="s">
        <v>73</v>
      </c>
      <c r="H1707">
        <v>36.4</v>
      </c>
      <c r="I1707">
        <v>187</v>
      </c>
      <c r="J1707">
        <v>21991</v>
      </c>
      <c r="K1707" t="s">
        <v>4842</v>
      </c>
      <c r="L1707">
        <f t="shared" si="106"/>
        <v>9</v>
      </c>
      <c r="N1707">
        <v>9</v>
      </c>
      <c r="O1707">
        <v>9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2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4</v>
      </c>
      <c r="AU1707">
        <v>0</v>
      </c>
      <c r="AV1707">
        <v>2</v>
      </c>
      <c r="AW1707">
        <v>0</v>
      </c>
      <c r="AX1707">
        <v>1</v>
      </c>
      <c r="AY1707">
        <v>1</v>
      </c>
      <c r="AZ1707">
        <v>1</v>
      </c>
      <c r="BA1707">
        <v>0</v>
      </c>
      <c r="BB1707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4</v>
      </c>
      <c r="BN1707" s="2">
        <v>0</v>
      </c>
      <c r="BO1707" s="2">
        <v>2</v>
      </c>
      <c r="BP1707" s="2">
        <v>0</v>
      </c>
      <c r="BQ1707" s="2">
        <v>1</v>
      </c>
      <c r="BR1707" s="2">
        <v>1</v>
      </c>
      <c r="BS1707" s="2">
        <v>1</v>
      </c>
      <c r="BT1707" s="2">
        <v>0</v>
      </c>
      <c r="BU1707" s="2">
        <v>0</v>
      </c>
      <c r="BV1707" s="2">
        <f t="shared" si="109"/>
        <v>9</v>
      </c>
      <c r="BW1707" s="16">
        <f t="shared" si="107"/>
        <v>0.47368421052631576</v>
      </c>
      <c r="BX1707" s="16">
        <f>COUNTIF($BC$6:BU1707, "=0") / COUNTIF($BC$6:BU1707, "&gt;-1")</f>
        <v>0.42365019481724286</v>
      </c>
      <c r="BY1707" s="18">
        <f>SUM($BC$6:BU1707) / $BY$4</f>
        <v>0.98869029053561319</v>
      </c>
      <c r="BZ1707" s="14">
        <f t="shared" si="108"/>
        <v>14</v>
      </c>
      <c r="CA1707" t="s">
        <v>5832</v>
      </c>
      <c r="CZ1707" t="s">
        <v>12617</v>
      </c>
      <c r="DA1707" t="s">
        <v>5904</v>
      </c>
      <c r="DB1707">
        <v>342.4</v>
      </c>
      <c r="DC1707" t="s">
        <v>33493</v>
      </c>
      <c r="DD1707" t="s">
        <v>33494</v>
      </c>
      <c r="DE1707" t="s">
        <v>33495</v>
      </c>
      <c r="DF1707" t="s">
        <v>33496</v>
      </c>
      <c r="DG1707" t="s">
        <v>33497</v>
      </c>
      <c r="DH1707" t="str">
        <f>"CBFB"</f>
        <v>CBFB</v>
      </c>
      <c r="DI1707" t="s">
        <v>13772</v>
      </c>
      <c r="DJ1707" t="s">
        <v>13777</v>
      </c>
      <c r="DK1707">
        <v>9606</v>
      </c>
      <c r="DL1707" s="34" t="str">
        <f>HYPERLINK("http://www.uniprot.org/uniprot/Q13951", "Q13951")</f>
        <v>Q13951</v>
      </c>
      <c r="DM1707" t="s">
        <v>33498</v>
      </c>
      <c r="DN1707" t="s">
        <v>13772</v>
      </c>
      <c r="DO1707" t="s">
        <v>14825</v>
      </c>
      <c r="DP1707" t="s">
        <v>20333</v>
      </c>
      <c r="DQ1707" t="s">
        <v>13772</v>
      </c>
      <c r="DR1707" t="s">
        <v>14244</v>
      </c>
      <c r="DS1707" t="s">
        <v>13772</v>
      </c>
      <c r="DT1707" t="s">
        <v>13772</v>
      </c>
      <c r="DU1707" t="s">
        <v>13772</v>
      </c>
      <c r="DV1707" t="s">
        <v>13782</v>
      </c>
      <c r="DW1707" t="s">
        <v>13812</v>
      </c>
      <c r="DX1707" t="s">
        <v>33499</v>
      </c>
      <c r="DY1707" t="s">
        <v>33500</v>
      </c>
      <c r="DZ1707" t="s">
        <v>33501</v>
      </c>
      <c r="EA1707" t="s">
        <v>13772</v>
      </c>
      <c r="EB1707" t="s">
        <v>33502</v>
      </c>
    </row>
    <row r="1708" spans="1:132" hidden="1">
      <c r="A1708">
        <v>2113</v>
      </c>
      <c r="B1708">
        <v>1</v>
      </c>
      <c r="C1708" t="s">
        <v>4960</v>
      </c>
      <c r="D1708" t="s">
        <v>73</v>
      </c>
      <c r="E1708" t="s">
        <v>73</v>
      </c>
      <c r="F1708" t="s">
        <v>73</v>
      </c>
      <c r="G1708" t="s">
        <v>73</v>
      </c>
      <c r="H1708">
        <v>38.6</v>
      </c>
      <c r="I1708">
        <v>158</v>
      </c>
      <c r="J1708">
        <v>18431</v>
      </c>
      <c r="K1708" t="s">
        <v>4961</v>
      </c>
      <c r="L1708">
        <f t="shared" si="106"/>
        <v>9</v>
      </c>
      <c r="N1708">
        <v>9</v>
      </c>
      <c r="O1708">
        <v>9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5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5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0</v>
      </c>
      <c r="BJ1708" s="2">
        <v>1</v>
      </c>
      <c r="BK1708" s="2">
        <v>0</v>
      </c>
      <c r="BL1708" s="2">
        <v>0</v>
      </c>
      <c r="BM1708" s="2">
        <v>1</v>
      </c>
      <c r="BN1708" s="2">
        <v>5</v>
      </c>
      <c r="BO1708" s="2">
        <v>1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f t="shared" si="109"/>
        <v>9</v>
      </c>
      <c r="BW1708" s="16">
        <f t="shared" si="107"/>
        <v>0.47368421052631576</v>
      </c>
      <c r="BX1708" s="16">
        <f>COUNTIF($BC$6:BU1708, "=0") / COUNTIF($BC$6:BU1708, "&gt;-1")</f>
        <v>0.42383410081280715</v>
      </c>
      <c r="BY1708" s="18">
        <f>SUM($BC$6:BU1708) / $BY$4</f>
        <v>0.98872884326743149</v>
      </c>
      <c r="BZ1708" s="14">
        <f t="shared" si="108"/>
        <v>14</v>
      </c>
      <c r="CA1708" t="s">
        <v>5832</v>
      </c>
      <c r="CZ1708" t="s">
        <v>12791</v>
      </c>
      <c r="DA1708" t="s">
        <v>5904</v>
      </c>
      <c r="DB1708">
        <v>325.5</v>
      </c>
      <c r="DC1708" t="s">
        <v>33992</v>
      </c>
      <c r="DD1708" t="s">
        <v>33993</v>
      </c>
      <c r="DE1708" t="s">
        <v>33994</v>
      </c>
      <c r="DF1708" t="s">
        <v>33995</v>
      </c>
      <c r="DG1708" t="s">
        <v>33996</v>
      </c>
      <c r="DH1708" t="str">
        <f>"RPS11"</f>
        <v>RPS11</v>
      </c>
      <c r="DI1708" t="s">
        <v>13772</v>
      </c>
      <c r="DJ1708" t="s">
        <v>13777</v>
      </c>
      <c r="DK1708">
        <v>9606</v>
      </c>
      <c r="DL1708" s="34" t="str">
        <f>HYPERLINK("http://www.uniprot.org/uniprot/P62280", "P62280")</f>
        <v>P62280</v>
      </c>
      <c r="DM1708" t="s">
        <v>33997</v>
      </c>
      <c r="DN1708" t="s">
        <v>13772</v>
      </c>
      <c r="DO1708" t="s">
        <v>13772</v>
      </c>
      <c r="DP1708" t="s">
        <v>13772</v>
      </c>
      <c r="DQ1708" t="s">
        <v>13772</v>
      </c>
      <c r="DR1708" t="s">
        <v>13772</v>
      </c>
      <c r="DS1708" t="s">
        <v>13772</v>
      </c>
      <c r="DT1708" t="s">
        <v>13772</v>
      </c>
      <c r="DU1708" t="s">
        <v>26065</v>
      </c>
      <c r="DV1708" t="s">
        <v>33998</v>
      </c>
      <c r="DW1708" t="s">
        <v>13812</v>
      </c>
      <c r="DX1708" t="s">
        <v>15972</v>
      </c>
      <c r="DY1708" t="s">
        <v>33999</v>
      </c>
      <c r="DZ1708" t="s">
        <v>29738</v>
      </c>
      <c r="EA1708" t="s">
        <v>13772</v>
      </c>
      <c r="EB1708" t="s">
        <v>17828</v>
      </c>
    </row>
    <row r="1709" spans="1:132" hidden="1">
      <c r="A1709">
        <v>2120</v>
      </c>
      <c r="B1709">
        <v>1</v>
      </c>
      <c r="C1709" t="s">
        <v>4974</v>
      </c>
      <c r="D1709" t="s">
        <v>73</v>
      </c>
      <c r="E1709" t="s">
        <v>73</v>
      </c>
      <c r="F1709" t="s">
        <v>73</v>
      </c>
      <c r="G1709" t="s">
        <v>73</v>
      </c>
      <c r="H1709">
        <v>18.600000000000001</v>
      </c>
      <c r="I1709">
        <v>231</v>
      </c>
      <c r="J1709">
        <v>25834</v>
      </c>
      <c r="K1709" t="s">
        <v>4975</v>
      </c>
      <c r="L1709">
        <f t="shared" si="106"/>
        <v>9</v>
      </c>
      <c r="N1709">
        <v>9</v>
      </c>
      <c r="O1709">
        <v>9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0</v>
      </c>
      <c r="AA1709">
        <v>5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3</v>
      </c>
      <c r="AS1709">
        <v>0</v>
      </c>
      <c r="AT1709">
        <v>5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3</v>
      </c>
      <c r="BL1709" s="2">
        <v>0</v>
      </c>
      <c r="BM1709" s="2">
        <v>5</v>
      </c>
      <c r="BN1709" s="2">
        <v>1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f t="shared" si="109"/>
        <v>9</v>
      </c>
      <c r="BW1709" s="16">
        <f t="shared" si="107"/>
        <v>0.47368421052631576</v>
      </c>
      <c r="BX1709" s="16">
        <f>COUNTIF($BC$6:BU1709, "=0") / COUNTIF($BC$6:BU1709, "&gt;-1")</f>
        <v>0.42407956510995798</v>
      </c>
      <c r="BY1709" s="18">
        <f>SUM($BC$6:BU1709) / $BY$4</f>
        <v>0.98876739599924979</v>
      </c>
      <c r="BZ1709" s="14">
        <f t="shared" si="108"/>
        <v>16</v>
      </c>
      <c r="CA1709" t="s">
        <v>5832</v>
      </c>
      <c r="CZ1709" t="s">
        <v>12813</v>
      </c>
      <c r="DA1709" t="s">
        <v>5904</v>
      </c>
      <c r="DB1709">
        <v>458.4</v>
      </c>
      <c r="DC1709" t="s">
        <v>34046</v>
      </c>
      <c r="DD1709" t="s">
        <v>34047</v>
      </c>
      <c r="DE1709" t="s">
        <v>34048</v>
      </c>
      <c r="DF1709" t="s">
        <v>34049</v>
      </c>
      <c r="DG1709" t="s">
        <v>34050</v>
      </c>
      <c r="DH1709" t="str">
        <f>"PAFAH1B3"</f>
        <v>PAFAH1B3</v>
      </c>
      <c r="DI1709" t="s">
        <v>34051</v>
      </c>
      <c r="DJ1709" t="s">
        <v>13777</v>
      </c>
      <c r="DK1709">
        <v>9606</v>
      </c>
      <c r="DL1709" s="34" t="str">
        <f>HYPERLINK("http://www.uniprot.org/uniprot/Q15102", "Q15102")</f>
        <v>Q15102</v>
      </c>
      <c r="DM1709" t="s">
        <v>34052</v>
      </c>
      <c r="DN1709" t="s">
        <v>17548</v>
      </c>
      <c r="DO1709" t="s">
        <v>13899</v>
      </c>
      <c r="DP1709" t="s">
        <v>13793</v>
      </c>
      <c r="DQ1709" t="s">
        <v>13772</v>
      </c>
      <c r="DR1709" t="s">
        <v>13772</v>
      </c>
      <c r="DS1709" t="s">
        <v>13772</v>
      </c>
      <c r="DT1709" t="s">
        <v>13772</v>
      </c>
      <c r="DU1709" t="s">
        <v>13857</v>
      </c>
      <c r="DV1709" t="s">
        <v>13886</v>
      </c>
      <c r="DW1709" t="s">
        <v>13772</v>
      </c>
      <c r="DX1709" t="s">
        <v>34053</v>
      </c>
      <c r="DY1709" t="s">
        <v>27826</v>
      </c>
      <c r="DZ1709" t="s">
        <v>34054</v>
      </c>
      <c r="EA1709" t="s">
        <v>13772</v>
      </c>
      <c r="EB1709" t="s">
        <v>34055</v>
      </c>
    </row>
    <row r="1710" spans="1:132" hidden="1">
      <c r="A1710">
        <v>2150</v>
      </c>
      <c r="B1710">
        <v>1</v>
      </c>
      <c r="C1710" t="s">
        <v>5040</v>
      </c>
      <c r="D1710" t="s">
        <v>5041</v>
      </c>
      <c r="E1710" t="s">
        <v>73</v>
      </c>
      <c r="F1710" t="s">
        <v>73</v>
      </c>
      <c r="G1710" t="s">
        <v>73</v>
      </c>
      <c r="H1710">
        <v>13.4</v>
      </c>
      <c r="I1710">
        <v>680</v>
      </c>
      <c r="J1710">
        <v>73865</v>
      </c>
      <c r="K1710" t="s">
        <v>5042</v>
      </c>
      <c r="L1710">
        <f t="shared" si="106"/>
        <v>9</v>
      </c>
      <c r="N1710">
        <v>9</v>
      </c>
      <c r="O1710">
        <v>9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3</v>
      </c>
      <c r="AC1710">
        <v>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3</v>
      </c>
      <c r="AV1710">
        <v>5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1</v>
      </c>
      <c r="BN1710" s="2">
        <v>3</v>
      </c>
      <c r="BO1710" s="2">
        <v>5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f t="shared" si="109"/>
        <v>9</v>
      </c>
      <c r="BW1710" s="16">
        <f t="shared" si="107"/>
        <v>0.47368421052631576</v>
      </c>
      <c r="BX1710" s="16">
        <f>COUNTIF($BC$6:BU1710, "=0") / COUNTIF($BC$6:BU1710, "&gt;-1")</f>
        <v>0.42432474147244947</v>
      </c>
      <c r="BY1710" s="18">
        <f>SUM($BC$6:BU1710) / $BY$4</f>
        <v>0.98880594873106809</v>
      </c>
      <c r="BZ1710" s="14">
        <f t="shared" si="108"/>
        <v>16</v>
      </c>
      <c r="CA1710" t="s">
        <v>5832</v>
      </c>
      <c r="CZ1710" t="s">
        <v>12916</v>
      </c>
      <c r="DA1710" t="s">
        <v>5904</v>
      </c>
      <c r="DB1710">
        <v>1097.4000000000001</v>
      </c>
      <c r="DC1710" t="s">
        <v>34329</v>
      </c>
      <c r="DD1710" t="s">
        <v>34330</v>
      </c>
      <c r="DE1710" t="s">
        <v>34331</v>
      </c>
      <c r="DF1710" t="s">
        <v>34332</v>
      </c>
      <c r="DG1710" t="s">
        <v>34333</v>
      </c>
      <c r="DH1710" t="str">
        <f>"ACSS1"</f>
        <v>ACSS1</v>
      </c>
      <c r="DI1710" t="s">
        <v>34334</v>
      </c>
      <c r="DJ1710" t="s">
        <v>13777</v>
      </c>
      <c r="DK1710">
        <v>9606</v>
      </c>
      <c r="DL1710" s="34" t="str">
        <f>HYPERLINK("http://www.uniprot.org/uniprot/Q9NUB1", "Q9NUB1")</f>
        <v>Q9NUB1</v>
      </c>
      <c r="DM1710" t="s">
        <v>34335</v>
      </c>
      <c r="DN1710" t="s">
        <v>13772</v>
      </c>
      <c r="DO1710" t="s">
        <v>14491</v>
      </c>
      <c r="DP1710" t="s">
        <v>13780</v>
      </c>
      <c r="DQ1710" t="s">
        <v>13772</v>
      </c>
      <c r="DR1710" t="s">
        <v>13772</v>
      </c>
      <c r="DS1710" t="s">
        <v>14391</v>
      </c>
      <c r="DT1710" t="s">
        <v>14005</v>
      </c>
      <c r="DU1710" t="s">
        <v>21123</v>
      </c>
      <c r="DV1710" t="s">
        <v>14020</v>
      </c>
      <c r="DW1710" t="s">
        <v>13812</v>
      </c>
      <c r="DX1710" t="s">
        <v>34336</v>
      </c>
      <c r="DY1710" t="s">
        <v>14494</v>
      </c>
      <c r="DZ1710" t="s">
        <v>34304</v>
      </c>
      <c r="EA1710" t="s">
        <v>13772</v>
      </c>
      <c r="EB1710" t="s">
        <v>26699</v>
      </c>
    </row>
    <row r="1711" spans="1:132" hidden="1">
      <c r="A1711">
        <v>2255</v>
      </c>
      <c r="B1711">
        <v>1</v>
      </c>
      <c r="C1711" t="s">
        <v>5270</v>
      </c>
      <c r="D1711" t="s">
        <v>73</v>
      </c>
      <c r="E1711" t="s">
        <v>73</v>
      </c>
      <c r="F1711" t="s">
        <v>73</v>
      </c>
      <c r="G1711" t="s">
        <v>73</v>
      </c>
      <c r="H1711">
        <v>17.899999999999999</v>
      </c>
      <c r="I1711">
        <v>543</v>
      </c>
      <c r="J1711">
        <v>59360</v>
      </c>
      <c r="K1711" t="s">
        <v>5271</v>
      </c>
      <c r="L1711">
        <f t="shared" si="106"/>
        <v>9</v>
      </c>
      <c r="N1711">
        <v>9</v>
      </c>
      <c r="O1711">
        <v>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>
        <v>0</v>
      </c>
      <c r="AA1711">
        <v>3</v>
      </c>
      <c r="AB1711">
        <v>1</v>
      </c>
      <c r="AC1711">
        <v>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3</v>
      </c>
      <c r="AS1711">
        <v>0</v>
      </c>
      <c r="AT1711">
        <v>3</v>
      </c>
      <c r="AU1711">
        <v>1</v>
      </c>
      <c r="AV1711">
        <v>2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3</v>
      </c>
      <c r="BL1711" s="2">
        <v>0</v>
      </c>
      <c r="BM1711" s="2">
        <v>3</v>
      </c>
      <c r="BN1711" s="2">
        <v>1</v>
      </c>
      <c r="BO1711" s="2">
        <v>2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f t="shared" si="109"/>
        <v>9</v>
      </c>
      <c r="BW1711" s="16">
        <f t="shared" si="107"/>
        <v>0.47368421052631576</v>
      </c>
      <c r="BX1711" s="16">
        <f>COUNTIF($BC$6:BU1711, "=0") / COUNTIF($BC$6:BU1711, "&gt;-1")</f>
        <v>0.42453877953970509</v>
      </c>
      <c r="BY1711" s="18">
        <f>SUM($BC$6:BU1711) / $BY$4</f>
        <v>0.98884450146288638</v>
      </c>
      <c r="BZ1711" s="14">
        <f t="shared" si="108"/>
        <v>15</v>
      </c>
      <c r="CA1711" t="s">
        <v>5832</v>
      </c>
      <c r="CZ1711" t="s">
        <v>13260</v>
      </c>
      <c r="DA1711" t="s">
        <v>5904</v>
      </c>
      <c r="DB1711">
        <v>1096.3</v>
      </c>
      <c r="DC1711" t="s">
        <v>35302</v>
      </c>
      <c r="DD1711" t="s">
        <v>35303</v>
      </c>
      <c r="DE1711" t="s">
        <v>35304</v>
      </c>
      <c r="DF1711" t="s">
        <v>35305</v>
      </c>
      <c r="DG1711" t="s">
        <v>35306</v>
      </c>
      <c r="DH1711" t="str">
        <f>"CCT7"</f>
        <v>CCT7</v>
      </c>
      <c r="DI1711" t="s">
        <v>35307</v>
      </c>
      <c r="DJ1711" t="s">
        <v>13777</v>
      </c>
      <c r="DK1711">
        <v>9606</v>
      </c>
      <c r="DL1711" s="34" t="str">
        <f>HYPERLINK("http://www.uniprot.org/uniprot/Q99832", "Q99832")</f>
        <v>Q99832</v>
      </c>
      <c r="DM1711" t="s">
        <v>35308</v>
      </c>
      <c r="DN1711" t="s">
        <v>13772</v>
      </c>
      <c r="DO1711" t="s">
        <v>13899</v>
      </c>
      <c r="DP1711" t="s">
        <v>13780</v>
      </c>
      <c r="DQ1711" t="s">
        <v>13772</v>
      </c>
      <c r="DR1711" t="s">
        <v>13772</v>
      </c>
      <c r="DS1711" t="s">
        <v>13772</v>
      </c>
      <c r="DT1711" t="s">
        <v>14005</v>
      </c>
      <c r="DU1711" t="s">
        <v>14477</v>
      </c>
      <c r="DV1711" t="s">
        <v>35309</v>
      </c>
      <c r="DW1711" t="s">
        <v>13772</v>
      </c>
      <c r="DX1711" t="s">
        <v>35310</v>
      </c>
      <c r="DY1711" t="s">
        <v>35311</v>
      </c>
      <c r="DZ1711" t="s">
        <v>35312</v>
      </c>
      <c r="EA1711" t="s">
        <v>13772</v>
      </c>
      <c r="EB1711" t="s">
        <v>15499</v>
      </c>
    </row>
    <row r="1712" spans="1:132" hidden="1">
      <c r="A1712">
        <v>2260</v>
      </c>
      <c r="B1712">
        <v>1</v>
      </c>
      <c r="C1712" t="s">
        <v>5281</v>
      </c>
      <c r="D1712" t="s">
        <v>5282</v>
      </c>
      <c r="E1712" t="s">
        <v>73</v>
      </c>
      <c r="F1712" t="s">
        <v>73</v>
      </c>
      <c r="G1712" t="s">
        <v>73</v>
      </c>
      <c r="H1712">
        <v>21.4</v>
      </c>
      <c r="I1712">
        <v>313</v>
      </c>
      <c r="J1712">
        <v>34536</v>
      </c>
      <c r="K1712" t="s">
        <v>5283</v>
      </c>
      <c r="L1712">
        <f t="shared" si="106"/>
        <v>9</v>
      </c>
      <c r="N1712">
        <v>9</v>
      </c>
      <c r="O1712">
        <v>9</v>
      </c>
      <c r="P1712">
        <v>1</v>
      </c>
      <c r="Q1712">
        <v>1</v>
      </c>
      <c r="R1712">
        <v>2</v>
      </c>
      <c r="S1712">
        <v>0</v>
      </c>
      <c r="T1712">
        <v>0</v>
      </c>
      <c r="U1712">
        <v>3</v>
      </c>
      <c r="V1712">
        <v>2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0</v>
      </c>
      <c r="AN1712">
        <v>3</v>
      </c>
      <c r="AO1712">
        <v>2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 s="2">
        <v>1</v>
      </c>
      <c r="BD1712" s="2">
        <v>2</v>
      </c>
      <c r="BE1712" s="2">
        <v>0</v>
      </c>
      <c r="BF1712" s="2">
        <v>0</v>
      </c>
      <c r="BG1712" s="2">
        <v>3</v>
      </c>
      <c r="BH1712" s="2">
        <v>2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f t="shared" si="109"/>
        <v>9</v>
      </c>
      <c r="BW1712" s="16">
        <f t="shared" si="107"/>
        <v>0.47368421052631576</v>
      </c>
      <c r="BX1712" s="16">
        <f>COUNTIF($BC$6:BU1712, "=0") / COUNTIF($BC$6:BU1712, "&gt;-1")</f>
        <v>0.42472173403632102</v>
      </c>
      <c r="BY1712" s="18">
        <f>SUM($BC$6:BU1712) / $BY$4</f>
        <v>0.98888305419470468</v>
      </c>
      <c r="BZ1712" s="14">
        <f t="shared" si="108"/>
        <v>14</v>
      </c>
      <c r="CA1712" t="s">
        <v>5832</v>
      </c>
      <c r="CZ1712" t="s">
        <v>13279</v>
      </c>
      <c r="DA1712" t="s">
        <v>5904</v>
      </c>
      <c r="DB1712">
        <v>614.79999999999995</v>
      </c>
      <c r="DC1712" t="s">
        <v>35358</v>
      </c>
      <c r="DD1712" t="s">
        <v>13772</v>
      </c>
      <c r="DE1712" t="s">
        <v>35359</v>
      </c>
      <c r="DF1712" t="s">
        <v>35360</v>
      </c>
      <c r="DG1712" t="s">
        <v>35361</v>
      </c>
      <c r="DH1712" t="str">
        <f>"FAHD2A"</f>
        <v>FAHD2A</v>
      </c>
      <c r="DI1712" t="s">
        <v>13772</v>
      </c>
      <c r="DJ1712" t="s">
        <v>13777</v>
      </c>
      <c r="DK1712">
        <v>9606</v>
      </c>
      <c r="DL1712" s="34" t="str">
        <f>HYPERLINK("http://www.uniprot.org/uniprot/Q96GK7", "Q96GK7")</f>
        <v>Q96GK7</v>
      </c>
      <c r="DM1712" t="s">
        <v>35362</v>
      </c>
      <c r="DN1712" t="s">
        <v>13772</v>
      </c>
      <c r="DO1712" t="s">
        <v>13772</v>
      </c>
      <c r="DP1712" t="s">
        <v>13793</v>
      </c>
      <c r="DQ1712" t="s">
        <v>13772</v>
      </c>
      <c r="DR1712" t="s">
        <v>13772</v>
      </c>
      <c r="DS1712" t="s">
        <v>13772</v>
      </c>
      <c r="DT1712" t="s">
        <v>15709</v>
      </c>
      <c r="DU1712" t="s">
        <v>13857</v>
      </c>
      <c r="DV1712" t="s">
        <v>13772</v>
      </c>
      <c r="DW1712" t="s">
        <v>13772</v>
      </c>
      <c r="DX1712" t="s">
        <v>13772</v>
      </c>
      <c r="DY1712" t="s">
        <v>13772</v>
      </c>
      <c r="DZ1712" t="s">
        <v>30215</v>
      </c>
      <c r="EA1712" t="s">
        <v>13772</v>
      </c>
      <c r="EB1712" t="s">
        <v>13772</v>
      </c>
    </row>
    <row r="1713" spans="1:132" hidden="1">
      <c r="A1713">
        <v>2273</v>
      </c>
      <c r="B1713">
        <v>1</v>
      </c>
      <c r="C1713" t="s">
        <v>5311</v>
      </c>
      <c r="D1713" t="s">
        <v>73</v>
      </c>
      <c r="E1713" t="s">
        <v>73</v>
      </c>
      <c r="F1713" t="s">
        <v>73</v>
      </c>
      <c r="G1713" t="s">
        <v>73</v>
      </c>
      <c r="H1713">
        <v>12</v>
      </c>
      <c r="I1713">
        <v>117</v>
      </c>
      <c r="J1713">
        <v>13450</v>
      </c>
      <c r="K1713" t="s">
        <v>5312</v>
      </c>
      <c r="L1713">
        <f t="shared" si="106"/>
        <v>9</v>
      </c>
      <c r="N1713">
        <v>9</v>
      </c>
      <c r="O1713">
        <v>9</v>
      </c>
      <c r="P1713">
        <v>1</v>
      </c>
      <c r="Q1713">
        <v>0</v>
      </c>
      <c r="R1713">
        <v>1</v>
      </c>
      <c r="S1713">
        <v>0</v>
      </c>
      <c r="T1713">
        <v>6</v>
      </c>
      <c r="U1713">
        <v>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6</v>
      </c>
      <c r="AN1713">
        <v>2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s="2">
        <v>0</v>
      </c>
      <c r="BD1713" s="2">
        <v>1</v>
      </c>
      <c r="BE1713" s="2">
        <v>0</v>
      </c>
      <c r="BF1713" s="2">
        <v>6</v>
      </c>
      <c r="BG1713" s="2">
        <v>2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f t="shared" si="109"/>
        <v>9</v>
      </c>
      <c r="BW1713" s="16">
        <f t="shared" si="107"/>
        <v>0.47368421052631576</v>
      </c>
      <c r="BX1713" s="16">
        <f>COUNTIF($BC$6:BU1713, "=0") / COUNTIF($BC$6:BU1713, "&gt;-1")</f>
        <v>0.42496610378405031</v>
      </c>
      <c r="BY1713" s="18">
        <f>SUM($BC$6:BU1713) / $BY$4</f>
        <v>0.98892160692652298</v>
      </c>
      <c r="BZ1713" s="14">
        <f t="shared" si="108"/>
        <v>16</v>
      </c>
      <c r="CA1713" t="s">
        <v>5832</v>
      </c>
      <c r="CZ1713" t="s">
        <v>13320</v>
      </c>
      <c r="DA1713" t="s">
        <v>6759</v>
      </c>
      <c r="DB1713">
        <v>38.9</v>
      </c>
      <c r="DC1713" t="s">
        <v>35461</v>
      </c>
      <c r="DD1713" t="s">
        <v>13772</v>
      </c>
      <c r="DE1713" t="s">
        <v>35462</v>
      </c>
      <c r="DF1713" t="s">
        <v>35463</v>
      </c>
      <c r="DG1713" t="s">
        <v>35464</v>
      </c>
      <c r="DH1713" t="str">
        <f>"WFDC11"</f>
        <v>WFDC11</v>
      </c>
      <c r="DI1713" t="s">
        <v>35465</v>
      </c>
      <c r="DJ1713" t="s">
        <v>13777</v>
      </c>
      <c r="DK1713">
        <v>9606</v>
      </c>
      <c r="DL1713" s="34" t="str">
        <f>HYPERLINK("http://www.uniprot.org/uniprot/Q8NEX6", "Q8NEX6")</f>
        <v>Q8NEX6</v>
      </c>
      <c r="DM1713" t="s">
        <v>35466</v>
      </c>
      <c r="DN1713" t="s">
        <v>13772</v>
      </c>
      <c r="DO1713" t="s">
        <v>14321</v>
      </c>
      <c r="DP1713" t="s">
        <v>13772</v>
      </c>
      <c r="DQ1713" t="s">
        <v>13772</v>
      </c>
      <c r="DR1713" t="s">
        <v>13772</v>
      </c>
      <c r="DS1713" t="s">
        <v>13808</v>
      </c>
      <c r="DT1713" t="s">
        <v>13772</v>
      </c>
      <c r="DU1713" t="s">
        <v>13772</v>
      </c>
      <c r="DV1713" t="s">
        <v>13772</v>
      </c>
      <c r="DW1713" t="s">
        <v>13772</v>
      </c>
      <c r="DX1713" t="s">
        <v>13772</v>
      </c>
      <c r="DY1713" t="s">
        <v>15346</v>
      </c>
      <c r="DZ1713" t="s">
        <v>13772</v>
      </c>
      <c r="EA1713" t="s">
        <v>13772</v>
      </c>
      <c r="EB1713" t="s">
        <v>13772</v>
      </c>
    </row>
    <row r="1714" spans="1:132" hidden="1">
      <c r="A1714">
        <v>2358</v>
      </c>
      <c r="B1714">
        <v>1</v>
      </c>
      <c r="C1714" t="s">
        <v>5496</v>
      </c>
      <c r="D1714" t="s">
        <v>73</v>
      </c>
      <c r="E1714" t="s">
        <v>73</v>
      </c>
      <c r="F1714" t="s">
        <v>73</v>
      </c>
      <c r="G1714" t="s">
        <v>73</v>
      </c>
      <c r="H1714">
        <v>4.5</v>
      </c>
      <c r="I1714">
        <v>1328</v>
      </c>
      <c r="J1714">
        <v>148098</v>
      </c>
      <c r="K1714" t="s">
        <v>5497</v>
      </c>
      <c r="L1714">
        <f t="shared" si="106"/>
        <v>9</v>
      </c>
      <c r="N1714">
        <v>9</v>
      </c>
      <c r="O1714">
        <v>9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3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1</v>
      </c>
      <c r="BH1714" s="2">
        <v>1</v>
      </c>
      <c r="BI1714" s="2">
        <v>0</v>
      </c>
      <c r="BJ1714" s="2">
        <v>1</v>
      </c>
      <c r="BK1714" s="2">
        <v>1</v>
      </c>
      <c r="BL1714" s="2">
        <v>0</v>
      </c>
      <c r="BM1714" s="2">
        <v>0</v>
      </c>
      <c r="BN1714" s="2">
        <v>3</v>
      </c>
      <c r="BO1714" s="2">
        <v>0</v>
      </c>
      <c r="BP1714" s="2">
        <v>0</v>
      </c>
      <c r="BQ1714" s="2">
        <v>1</v>
      </c>
      <c r="BR1714" s="2">
        <v>1</v>
      </c>
      <c r="BS1714" s="2">
        <v>0</v>
      </c>
      <c r="BT1714" s="2">
        <v>0</v>
      </c>
      <c r="BU1714" s="2">
        <v>0</v>
      </c>
      <c r="BV1714" s="2">
        <f t="shared" si="109"/>
        <v>9</v>
      </c>
      <c r="BW1714" s="16">
        <f t="shared" si="107"/>
        <v>0.47368421052631576</v>
      </c>
      <c r="BX1714" s="16">
        <f>COUNTIF($BC$6:BU1714, "=0") / COUNTIF($BC$6:BU1714, "&gt;-1")</f>
        <v>0.42508700070832434</v>
      </c>
      <c r="BY1714" s="18">
        <f>SUM($BC$6:BU1714) / $BY$4</f>
        <v>0.98896015965834128</v>
      </c>
      <c r="BZ1714" s="14">
        <f t="shared" si="108"/>
        <v>12</v>
      </c>
      <c r="CA1714" t="s">
        <v>5832</v>
      </c>
      <c r="CZ1714" t="s">
        <v>13586</v>
      </c>
      <c r="DA1714" t="s">
        <v>5904</v>
      </c>
      <c r="DB1714">
        <v>1904.4</v>
      </c>
      <c r="DC1714" t="s">
        <v>36218</v>
      </c>
      <c r="DD1714" t="s">
        <v>13772</v>
      </c>
      <c r="DE1714" t="s">
        <v>36219</v>
      </c>
      <c r="DF1714" t="s">
        <v>36220</v>
      </c>
      <c r="DG1714" t="s">
        <v>36221</v>
      </c>
      <c r="DH1714" t="str">
        <f>"MYBBP1A"</f>
        <v>MYBBP1A</v>
      </c>
      <c r="DI1714" t="s">
        <v>36222</v>
      </c>
      <c r="DJ1714" t="s">
        <v>13777</v>
      </c>
      <c r="DK1714">
        <v>9606</v>
      </c>
      <c r="DL1714" s="34" t="str">
        <f>HYPERLINK("http://www.uniprot.org/uniprot/Q9BQG0", "Q9BQG0")</f>
        <v>Q9BQG0</v>
      </c>
      <c r="DM1714" t="s">
        <v>36223</v>
      </c>
      <c r="DN1714" t="s">
        <v>36224</v>
      </c>
      <c r="DO1714" t="s">
        <v>13912</v>
      </c>
      <c r="DP1714" t="s">
        <v>13780</v>
      </c>
      <c r="DQ1714" t="s">
        <v>13772</v>
      </c>
      <c r="DR1714" t="s">
        <v>13772</v>
      </c>
      <c r="DS1714" t="s">
        <v>13772</v>
      </c>
      <c r="DT1714" t="s">
        <v>13772</v>
      </c>
      <c r="DU1714" t="s">
        <v>18635</v>
      </c>
      <c r="DV1714" t="s">
        <v>22883</v>
      </c>
      <c r="DW1714" t="s">
        <v>13772</v>
      </c>
      <c r="DX1714" t="s">
        <v>36225</v>
      </c>
      <c r="DY1714" t="s">
        <v>36226</v>
      </c>
      <c r="DZ1714" t="s">
        <v>36227</v>
      </c>
      <c r="EA1714" t="s">
        <v>13772</v>
      </c>
      <c r="EB1714" t="s">
        <v>36228</v>
      </c>
    </row>
    <row r="1715" spans="1:132" hidden="1">
      <c r="A1715">
        <v>2379</v>
      </c>
      <c r="B1715">
        <v>1</v>
      </c>
      <c r="C1715" t="s">
        <v>5543</v>
      </c>
      <c r="D1715" t="s">
        <v>5544</v>
      </c>
      <c r="E1715" t="s">
        <v>73</v>
      </c>
      <c r="F1715" t="s">
        <v>73</v>
      </c>
      <c r="G1715" t="s">
        <v>73</v>
      </c>
      <c r="H1715">
        <v>12.9</v>
      </c>
      <c r="I1715">
        <v>556</v>
      </c>
      <c r="J1715">
        <v>61381</v>
      </c>
      <c r="K1715" t="s">
        <v>5545</v>
      </c>
      <c r="L1715">
        <f t="shared" si="106"/>
        <v>9</v>
      </c>
      <c r="N1715">
        <v>9</v>
      </c>
      <c r="O1715">
        <v>9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2</v>
      </c>
      <c r="AC1715">
        <v>0</v>
      </c>
      <c r="AD1715">
        <v>0</v>
      </c>
      <c r="AE1715">
        <v>0</v>
      </c>
      <c r="AF1715">
        <v>0</v>
      </c>
      <c r="AG1715">
        <v>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2</v>
      </c>
      <c r="AV1715">
        <v>0</v>
      </c>
      <c r="AW1715">
        <v>0</v>
      </c>
      <c r="AX1715">
        <v>0</v>
      </c>
      <c r="AY1715">
        <v>0</v>
      </c>
      <c r="AZ1715">
        <v>4</v>
      </c>
      <c r="BA1715">
        <v>0</v>
      </c>
      <c r="BB1715">
        <v>0</v>
      </c>
      <c r="BC1715" s="2">
        <v>0</v>
      </c>
      <c r="BD1715" s="2">
        <v>0</v>
      </c>
      <c r="BE1715" s="2">
        <v>0</v>
      </c>
      <c r="BF1715" s="2">
        <v>1</v>
      </c>
      <c r="BG1715" s="2">
        <v>1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1</v>
      </c>
      <c r="BN1715" s="2">
        <v>2</v>
      </c>
      <c r="BO1715" s="2">
        <v>0</v>
      </c>
      <c r="BP1715" s="2">
        <v>0</v>
      </c>
      <c r="BQ1715" s="2">
        <v>0</v>
      </c>
      <c r="BR1715" s="2">
        <v>0</v>
      </c>
      <c r="BS1715" s="2">
        <v>4</v>
      </c>
      <c r="BT1715" s="2">
        <v>0</v>
      </c>
      <c r="BU1715" s="2">
        <v>0</v>
      </c>
      <c r="BV1715" s="2">
        <f t="shared" si="109"/>
        <v>9</v>
      </c>
      <c r="BW1715" s="16">
        <f t="shared" si="107"/>
        <v>0.47368421052631576</v>
      </c>
      <c r="BX1715" s="16">
        <f>COUNTIF($BC$6:BU1715, "=0") / COUNTIF($BC$6:BU1715, "&gt;-1")</f>
        <v>0.42526931363496462</v>
      </c>
      <c r="BY1715" s="18">
        <f>SUM($BC$6:BU1715) / $BY$4</f>
        <v>0.98899871239015957</v>
      </c>
      <c r="BZ1715" s="14">
        <f t="shared" si="108"/>
        <v>14</v>
      </c>
      <c r="CA1715" t="s">
        <v>5832</v>
      </c>
      <c r="CZ1715" t="s">
        <v>13652</v>
      </c>
      <c r="DA1715" t="s">
        <v>5904</v>
      </c>
      <c r="DB1715">
        <v>869.4</v>
      </c>
      <c r="DC1715" t="s">
        <v>36386</v>
      </c>
      <c r="DD1715" t="s">
        <v>36387</v>
      </c>
      <c r="DE1715" t="s">
        <v>36388</v>
      </c>
      <c r="DF1715" t="s">
        <v>36389</v>
      </c>
      <c r="DG1715" t="s">
        <v>36390</v>
      </c>
      <c r="DH1715" t="str">
        <f>"ALDH3A2"</f>
        <v>ALDH3A2</v>
      </c>
      <c r="DI1715" t="s">
        <v>13772</v>
      </c>
      <c r="DJ1715" t="s">
        <v>13777</v>
      </c>
      <c r="DK1715">
        <v>9606</v>
      </c>
      <c r="DL1715" s="34" t="str">
        <f>HYPERLINK("http://www.uniprot.org/uniprot/P51648", "P51648")</f>
        <v>P51648</v>
      </c>
      <c r="DM1715" t="s">
        <v>36391</v>
      </c>
      <c r="DN1715" t="s">
        <v>14430</v>
      </c>
      <c r="DO1715" t="s">
        <v>25259</v>
      </c>
      <c r="DP1715" t="s">
        <v>13841</v>
      </c>
      <c r="DQ1715" t="s">
        <v>13772</v>
      </c>
      <c r="DR1715" t="s">
        <v>36392</v>
      </c>
      <c r="DS1715" t="s">
        <v>13925</v>
      </c>
      <c r="DT1715" t="s">
        <v>14492</v>
      </c>
      <c r="DU1715" t="s">
        <v>13885</v>
      </c>
      <c r="DV1715" t="s">
        <v>13782</v>
      </c>
      <c r="DW1715" t="s">
        <v>13812</v>
      </c>
      <c r="DX1715" t="s">
        <v>36393</v>
      </c>
      <c r="DY1715" t="s">
        <v>36394</v>
      </c>
      <c r="DZ1715" t="s">
        <v>36395</v>
      </c>
      <c r="EA1715" t="s">
        <v>13772</v>
      </c>
      <c r="EB1715" t="s">
        <v>36396</v>
      </c>
    </row>
    <row r="1716" spans="1:132" hidden="1">
      <c r="A1716">
        <v>2384</v>
      </c>
      <c r="B1716">
        <v>1</v>
      </c>
      <c r="C1716" t="s">
        <v>5553</v>
      </c>
      <c r="D1716" t="s">
        <v>5554</v>
      </c>
      <c r="E1716" t="s">
        <v>73</v>
      </c>
      <c r="F1716" t="s">
        <v>73</v>
      </c>
      <c r="G1716" t="s">
        <v>73</v>
      </c>
      <c r="H1716">
        <v>3.1</v>
      </c>
      <c r="I1716">
        <v>386</v>
      </c>
      <c r="J1716">
        <v>42593</v>
      </c>
      <c r="K1716" t="s">
        <v>5555</v>
      </c>
      <c r="L1716">
        <f t="shared" si="106"/>
        <v>9</v>
      </c>
      <c r="N1716">
        <v>9</v>
      </c>
      <c r="O1716">
        <v>9</v>
      </c>
      <c r="P1716">
        <v>1</v>
      </c>
      <c r="Q1716">
        <v>0</v>
      </c>
      <c r="R1716">
        <v>2</v>
      </c>
      <c r="S1716">
        <v>0</v>
      </c>
      <c r="T1716">
        <v>4</v>
      </c>
      <c r="U1716">
        <v>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</v>
      </c>
      <c r="AL1716">
        <v>0</v>
      </c>
      <c r="AM1716">
        <v>4</v>
      </c>
      <c r="AN1716">
        <v>3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 s="2">
        <v>0</v>
      </c>
      <c r="BD1716" s="2">
        <v>2</v>
      </c>
      <c r="BE1716" s="2">
        <v>0</v>
      </c>
      <c r="BF1716" s="2">
        <v>4</v>
      </c>
      <c r="BG1716" s="2">
        <v>3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f t="shared" si="109"/>
        <v>9</v>
      </c>
      <c r="BW1716" s="16">
        <f t="shared" si="107"/>
        <v>0.47368421052631576</v>
      </c>
      <c r="BX1716" s="16">
        <f>COUNTIF($BC$6:BU1716, "=0") / COUNTIF($BC$6:BU1716, "&gt;-1")</f>
        <v>0.42551293487957181</v>
      </c>
      <c r="BY1716" s="18">
        <f>SUM($BC$6:BU1716) / $BY$4</f>
        <v>0.98903726512197787</v>
      </c>
      <c r="BZ1716" s="14">
        <f t="shared" si="108"/>
        <v>16</v>
      </c>
      <c r="CA1716" t="s">
        <v>5832</v>
      </c>
      <c r="CZ1716" t="s">
        <v>13666</v>
      </c>
      <c r="DA1716" t="s">
        <v>5904</v>
      </c>
      <c r="DB1716">
        <v>637.9</v>
      </c>
      <c r="DC1716" t="s">
        <v>36427</v>
      </c>
      <c r="DD1716" t="s">
        <v>36428</v>
      </c>
      <c r="DE1716" t="s">
        <v>36429</v>
      </c>
      <c r="DF1716" t="s">
        <v>36430</v>
      </c>
      <c r="DG1716" t="s">
        <v>36431</v>
      </c>
      <c r="DH1716" t="str">
        <f>"SGCA"</f>
        <v>SGCA</v>
      </c>
      <c r="DI1716" t="s">
        <v>36432</v>
      </c>
      <c r="DJ1716" t="s">
        <v>13777</v>
      </c>
      <c r="DK1716">
        <v>9606</v>
      </c>
      <c r="DL1716" s="34" t="str">
        <f>HYPERLINK("http://www.uniprot.org/uniprot/Q16586", "Q16586")</f>
        <v>Q16586</v>
      </c>
      <c r="DM1716" t="s">
        <v>36433</v>
      </c>
      <c r="DN1716" t="s">
        <v>13772</v>
      </c>
      <c r="DO1716" t="s">
        <v>17663</v>
      </c>
      <c r="DP1716" t="s">
        <v>13841</v>
      </c>
      <c r="DQ1716" t="s">
        <v>13772</v>
      </c>
      <c r="DR1716" t="s">
        <v>36434</v>
      </c>
      <c r="DS1716" t="s">
        <v>13855</v>
      </c>
      <c r="DT1716" t="s">
        <v>13772</v>
      </c>
      <c r="DU1716" t="s">
        <v>13772</v>
      </c>
      <c r="DV1716" t="s">
        <v>13978</v>
      </c>
      <c r="DW1716" t="s">
        <v>13772</v>
      </c>
      <c r="DX1716" t="s">
        <v>36435</v>
      </c>
      <c r="DY1716" t="s">
        <v>36436</v>
      </c>
      <c r="DZ1716" t="s">
        <v>15899</v>
      </c>
      <c r="EA1716" t="s">
        <v>13772</v>
      </c>
      <c r="EB1716" t="s">
        <v>13772</v>
      </c>
    </row>
    <row r="1717" spans="1:132" hidden="1">
      <c r="A1717">
        <v>2392</v>
      </c>
      <c r="B1717">
        <v>1</v>
      </c>
      <c r="C1717" t="s">
        <v>5573</v>
      </c>
      <c r="D1717" t="s">
        <v>5574</v>
      </c>
      <c r="E1717" t="s">
        <v>73</v>
      </c>
      <c r="F1717" t="s">
        <v>73</v>
      </c>
      <c r="G1717" t="s">
        <v>73</v>
      </c>
      <c r="H1717">
        <v>12.7</v>
      </c>
      <c r="I1717">
        <v>589</v>
      </c>
      <c r="J1717">
        <v>64426</v>
      </c>
      <c r="K1717" t="s">
        <v>5575</v>
      </c>
      <c r="L1717">
        <f t="shared" si="106"/>
        <v>9</v>
      </c>
      <c r="N1717">
        <v>9</v>
      </c>
      <c r="O1717">
        <v>9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4</v>
      </c>
      <c r="V1717">
        <v>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4</v>
      </c>
      <c r="AO1717">
        <v>4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 s="2">
        <v>0</v>
      </c>
      <c r="BD1717" s="2">
        <v>0</v>
      </c>
      <c r="BE1717" s="2">
        <v>0</v>
      </c>
      <c r="BF1717" s="2">
        <v>1</v>
      </c>
      <c r="BG1717" s="2">
        <v>4</v>
      </c>
      <c r="BH1717" s="2">
        <v>4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f t="shared" si="109"/>
        <v>9</v>
      </c>
      <c r="BW1717" s="16">
        <f t="shared" si="107"/>
        <v>0.47368421052631576</v>
      </c>
      <c r="BX1717" s="16">
        <f>COUNTIF($BC$6:BU1717, "=0") / COUNTIF($BC$6:BU1717, "&gt;-1")</f>
        <v>0.42575627151992129</v>
      </c>
      <c r="BY1717" s="18">
        <f>SUM($BC$6:BU1717) / $BY$4</f>
        <v>0.98907581785379617</v>
      </c>
      <c r="BZ1717" s="14">
        <f t="shared" si="108"/>
        <v>16</v>
      </c>
      <c r="CA1717" t="s">
        <v>5832</v>
      </c>
      <c r="CZ1717" t="s">
        <v>13687</v>
      </c>
      <c r="DA1717" t="s">
        <v>5904</v>
      </c>
      <c r="DB1717">
        <v>901</v>
      </c>
      <c r="DC1717" t="s">
        <v>36484</v>
      </c>
      <c r="DD1717" t="s">
        <v>36485</v>
      </c>
      <c r="DE1717" t="s">
        <v>36486</v>
      </c>
      <c r="DF1717" t="s">
        <v>36487</v>
      </c>
      <c r="DG1717" t="s">
        <v>36488</v>
      </c>
      <c r="DH1717" t="str">
        <f>"SLC13A2"</f>
        <v>SLC13A2</v>
      </c>
      <c r="DI1717" t="s">
        <v>36489</v>
      </c>
      <c r="DJ1717" t="s">
        <v>13777</v>
      </c>
      <c r="DK1717">
        <v>9606</v>
      </c>
      <c r="DL1717" s="34" t="str">
        <f>HYPERLINK("http://www.uniprot.org/uniprot/Q13183", "Q13183")</f>
        <v>Q13183</v>
      </c>
      <c r="DM1717" t="s">
        <v>36490</v>
      </c>
      <c r="DN1717" t="s">
        <v>19486</v>
      </c>
      <c r="DO1717" t="s">
        <v>13825</v>
      </c>
      <c r="DP1717" t="s">
        <v>13780</v>
      </c>
      <c r="DQ1717" t="s">
        <v>13772</v>
      </c>
      <c r="DR1717" t="s">
        <v>13772</v>
      </c>
      <c r="DS1717" t="s">
        <v>13925</v>
      </c>
      <c r="DT1717" t="s">
        <v>13926</v>
      </c>
      <c r="DU1717" t="s">
        <v>13772</v>
      </c>
      <c r="DV1717" t="s">
        <v>13772</v>
      </c>
      <c r="DW1717" t="s">
        <v>13772</v>
      </c>
      <c r="DX1717" t="s">
        <v>13772</v>
      </c>
      <c r="DY1717" t="s">
        <v>36491</v>
      </c>
      <c r="DZ1717" t="s">
        <v>36492</v>
      </c>
      <c r="EA1717" t="s">
        <v>13772</v>
      </c>
      <c r="EB1717" t="s">
        <v>16911</v>
      </c>
    </row>
    <row r="1718" spans="1:132" hidden="1">
      <c r="A1718">
        <v>2406</v>
      </c>
      <c r="B1718">
        <v>1</v>
      </c>
      <c r="C1718" t="s">
        <v>5605</v>
      </c>
      <c r="D1718" t="s">
        <v>73</v>
      </c>
      <c r="E1718" t="s">
        <v>73</v>
      </c>
      <c r="F1718" t="s">
        <v>73</v>
      </c>
      <c r="G1718" t="s">
        <v>73</v>
      </c>
      <c r="H1718">
        <v>23.3</v>
      </c>
      <c r="I1718">
        <v>227</v>
      </c>
      <c r="J1718">
        <v>25966</v>
      </c>
      <c r="K1718" t="s">
        <v>5606</v>
      </c>
      <c r="L1718">
        <f t="shared" si="106"/>
        <v>9</v>
      </c>
      <c r="N1718">
        <v>9</v>
      </c>
      <c r="O1718">
        <v>9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2</v>
      </c>
      <c r="AU1718">
        <v>3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s="2">
        <v>1</v>
      </c>
      <c r="BD1718" s="2">
        <v>1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2</v>
      </c>
      <c r="BN1718" s="2">
        <v>3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f t="shared" si="109"/>
        <v>9</v>
      </c>
      <c r="BW1718" s="16">
        <f t="shared" si="107"/>
        <v>0.47368421052631576</v>
      </c>
      <c r="BX1718" s="16">
        <f>COUNTIF($BC$6:BU1718, "=0") / COUNTIF($BC$6:BU1718, "&gt;-1")</f>
        <v>0.42590714966049098</v>
      </c>
      <c r="BY1718" s="18">
        <f>SUM($BC$6:BU1718) / $BY$4</f>
        <v>0.98911437058561447</v>
      </c>
      <c r="BZ1718" s="14">
        <f t="shared" si="108"/>
        <v>13</v>
      </c>
      <c r="CA1718" t="s">
        <v>5832</v>
      </c>
      <c r="CZ1718" t="s">
        <v>13733</v>
      </c>
      <c r="DA1718" t="s">
        <v>5904</v>
      </c>
      <c r="DB1718">
        <v>330.1</v>
      </c>
      <c r="DC1718" t="s">
        <v>36628</v>
      </c>
      <c r="DD1718" t="s">
        <v>36629</v>
      </c>
      <c r="DE1718" t="s">
        <v>36630</v>
      </c>
      <c r="DF1718" t="s">
        <v>36631</v>
      </c>
      <c r="DG1718" t="s">
        <v>36632</v>
      </c>
      <c r="DH1718" t="str">
        <f>"MT-CO2"</f>
        <v>MT-CO2</v>
      </c>
      <c r="DI1718" t="s">
        <v>13772</v>
      </c>
      <c r="DJ1718" t="s">
        <v>13777</v>
      </c>
      <c r="DK1718">
        <v>9606</v>
      </c>
      <c r="DL1718" s="34" t="str">
        <f>HYPERLINK("http://www.uniprot.org/uniprot/P00403", "P00403")</f>
        <v>P00403</v>
      </c>
      <c r="DM1718" t="s">
        <v>36633</v>
      </c>
      <c r="DN1718" t="s">
        <v>21478</v>
      </c>
      <c r="DO1718" t="s">
        <v>15507</v>
      </c>
      <c r="DP1718" t="s">
        <v>13793</v>
      </c>
      <c r="DQ1718" t="s">
        <v>13772</v>
      </c>
      <c r="DR1718" t="s">
        <v>14390</v>
      </c>
      <c r="DS1718" t="s">
        <v>13925</v>
      </c>
      <c r="DT1718" t="s">
        <v>15982</v>
      </c>
      <c r="DU1718" t="s">
        <v>13772</v>
      </c>
      <c r="DV1718" t="s">
        <v>13772</v>
      </c>
      <c r="DW1718" t="s">
        <v>13812</v>
      </c>
      <c r="DX1718" t="s">
        <v>36634</v>
      </c>
      <c r="DY1718" t="s">
        <v>36635</v>
      </c>
      <c r="DZ1718" t="s">
        <v>36636</v>
      </c>
      <c r="EA1718" t="s">
        <v>13772</v>
      </c>
      <c r="EB1718" t="s">
        <v>16035</v>
      </c>
    </row>
    <row r="1719" spans="1:132" hidden="1">
      <c r="A1719">
        <v>319</v>
      </c>
      <c r="B1719">
        <v>1</v>
      </c>
      <c r="C1719" t="s">
        <v>800</v>
      </c>
      <c r="D1719" t="s">
        <v>73</v>
      </c>
      <c r="E1719" t="s">
        <v>73</v>
      </c>
      <c r="F1719" t="s">
        <v>801</v>
      </c>
      <c r="G1719" t="s">
        <v>73</v>
      </c>
      <c r="H1719">
        <v>15</v>
      </c>
      <c r="I1719">
        <v>286</v>
      </c>
      <c r="J1719">
        <v>32967</v>
      </c>
      <c r="K1719" t="s">
        <v>802</v>
      </c>
      <c r="L1719">
        <f t="shared" si="106"/>
        <v>10</v>
      </c>
      <c r="N1719">
        <v>10</v>
      </c>
      <c r="O1719">
        <v>8</v>
      </c>
      <c r="P1719">
        <v>0.8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2</v>
      </c>
      <c r="AB1719">
        <v>3</v>
      </c>
      <c r="AC1719">
        <v>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</v>
      </c>
      <c r="AR1719">
        <v>1</v>
      </c>
      <c r="AS1719">
        <v>0</v>
      </c>
      <c r="AT1719">
        <v>1</v>
      </c>
      <c r="AU1719">
        <v>2</v>
      </c>
      <c r="AV1719">
        <v>2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</v>
      </c>
      <c r="BI1719" s="2">
        <v>0</v>
      </c>
      <c r="BJ1719" s="2">
        <v>1</v>
      </c>
      <c r="BK1719" s="2">
        <v>1</v>
      </c>
      <c r="BL1719" s="2">
        <v>0</v>
      </c>
      <c r="BM1719" s="2">
        <v>1.143</v>
      </c>
      <c r="BN1719" s="2">
        <v>2.25</v>
      </c>
      <c r="BO1719" s="2">
        <v>2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f t="shared" si="109"/>
        <v>8.3930000000000007</v>
      </c>
      <c r="BW1719" s="16">
        <f t="shared" si="107"/>
        <v>0.44173684210526321</v>
      </c>
      <c r="BX1719" s="16">
        <f>COUNTIF($BC$6:BU1719, "=0") / COUNTIF($BC$6:BU1719, "&gt;-1")</f>
        <v>0.42605785174722105</v>
      </c>
      <c r="BY1719" s="18">
        <f>SUM($BC$6:BU1719) / $BY$4</f>
        <v>0.98915032314985352</v>
      </c>
      <c r="BZ1719" s="14">
        <f t="shared" si="108"/>
        <v>13</v>
      </c>
      <c r="CA1719" t="s">
        <v>5832</v>
      </c>
      <c r="CZ1719" t="s">
        <v>6802</v>
      </c>
      <c r="DA1719" t="s">
        <v>5904</v>
      </c>
      <c r="DB1719">
        <v>593.20000000000005</v>
      </c>
      <c r="DC1719" t="s">
        <v>16740</v>
      </c>
      <c r="DD1719" t="s">
        <v>16741</v>
      </c>
      <c r="DE1719" t="s">
        <v>16742</v>
      </c>
      <c r="DF1719" t="s">
        <v>16743</v>
      </c>
      <c r="DG1719" t="s">
        <v>16744</v>
      </c>
      <c r="DH1719" t="str">
        <f>"CAPZA2"</f>
        <v>CAPZA2</v>
      </c>
      <c r="DI1719" t="s">
        <v>13772</v>
      </c>
      <c r="DJ1719" t="s">
        <v>13777</v>
      </c>
      <c r="DK1719">
        <v>9606</v>
      </c>
      <c r="DL1719" s="34" t="str">
        <f>HYPERLINK("http://www.uniprot.org/uniprot/P47755", "P47755")</f>
        <v>P47755</v>
      </c>
      <c r="DM1719" t="s">
        <v>16745</v>
      </c>
      <c r="DN1719" t="s">
        <v>13772</v>
      </c>
      <c r="DO1719" t="s">
        <v>13772</v>
      </c>
      <c r="DP1719" t="s">
        <v>13841</v>
      </c>
      <c r="DQ1719" t="s">
        <v>13772</v>
      </c>
      <c r="DR1719" t="s">
        <v>13772</v>
      </c>
      <c r="DS1719" t="s">
        <v>13772</v>
      </c>
      <c r="DT1719" t="s">
        <v>13772</v>
      </c>
      <c r="DU1719" t="s">
        <v>14589</v>
      </c>
      <c r="DV1719" t="s">
        <v>13886</v>
      </c>
      <c r="DW1719" t="s">
        <v>13772</v>
      </c>
      <c r="DX1719" t="s">
        <v>16746</v>
      </c>
      <c r="DY1719" t="s">
        <v>16747</v>
      </c>
      <c r="DZ1719" t="s">
        <v>15847</v>
      </c>
      <c r="EA1719" t="s">
        <v>13772</v>
      </c>
      <c r="EB1719" t="s">
        <v>16748</v>
      </c>
    </row>
    <row r="1720" spans="1:132" hidden="1">
      <c r="A1720">
        <v>842</v>
      </c>
      <c r="B1720">
        <v>1</v>
      </c>
      <c r="C1720" t="s">
        <v>2065</v>
      </c>
      <c r="D1720" t="s">
        <v>2066</v>
      </c>
      <c r="E1720" t="s">
        <v>73</v>
      </c>
      <c r="F1720" t="s">
        <v>2067</v>
      </c>
      <c r="G1720" t="s">
        <v>73</v>
      </c>
      <c r="H1720">
        <v>14.3</v>
      </c>
      <c r="I1720">
        <v>363</v>
      </c>
      <c r="J1720">
        <v>39678</v>
      </c>
      <c r="K1720" t="s">
        <v>2068</v>
      </c>
      <c r="L1720">
        <f t="shared" si="106"/>
        <v>10</v>
      </c>
      <c r="N1720">
        <v>10</v>
      </c>
      <c r="O1720">
        <v>8</v>
      </c>
      <c r="P1720">
        <v>0.8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</v>
      </c>
      <c r="Y1720">
        <v>1</v>
      </c>
      <c r="Z1720">
        <v>0</v>
      </c>
      <c r="AA1720">
        <v>4</v>
      </c>
      <c r="AB1720">
        <v>0</v>
      </c>
      <c r="AC1720">
        <v>0</v>
      </c>
      <c r="AD1720">
        <v>0</v>
      </c>
      <c r="AE1720">
        <v>1</v>
      </c>
      <c r="AF1720">
        <v>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2</v>
      </c>
      <c r="AR1720">
        <v>0</v>
      </c>
      <c r="AS1720">
        <v>0</v>
      </c>
      <c r="AT1720">
        <v>3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2</v>
      </c>
      <c r="BK1720" s="2">
        <v>0</v>
      </c>
      <c r="BL1720" s="2">
        <v>0</v>
      </c>
      <c r="BM1720" s="2">
        <v>3.3330000000000002</v>
      </c>
      <c r="BN1720" s="2">
        <v>0</v>
      </c>
      <c r="BO1720" s="2">
        <v>0</v>
      </c>
      <c r="BP1720" s="2">
        <v>0</v>
      </c>
      <c r="BQ1720" s="2">
        <v>1</v>
      </c>
      <c r="BR1720" s="2">
        <v>2</v>
      </c>
      <c r="BS1720" s="2">
        <v>0</v>
      </c>
      <c r="BT1720" s="2">
        <v>0</v>
      </c>
      <c r="BU1720" s="2">
        <v>0</v>
      </c>
      <c r="BV1720" s="2">
        <f t="shared" si="109"/>
        <v>8.3330000000000002</v>
      </c>
      <c r="BW1720" s="16">
        <f t="shared" si="107"/>
        <v>0.43857894736842107</v>
      </c>
      <c r="BX1720" s="16">
        <f>COUNTIF($BC$6:BU1720, "=0") / COUNTIF($BC$6:BU1720, "&gt;-1")</f>
        <v>0.42626975602270983</v>
      </c>
      <c r="BY1720" s="18">
        <f>SUM($BC$6:BU1720) / $BY$4</f>
        <v>0.98918601869588052</v>
      </c>
      <c r="BZ1720" s="14">
        <f t="shared" si="108"/>
        <v>15</v>
      </c>
      <c r="CA1720" t="s">
        <v>5832</v>
      </c>
      <c r="CZ1720" t="s">
        <v>8587</v>
      </c>
      <c r="DA1720" t="s">
        <v>5904</v>
      </c>
      <c r="DB1720">
        <v>715.7</v>
      </c>
      <c r="DC1720" t="s">
        <v>22095</v>
      </c>
      <c r="DD1720" t="s">
        <v>13772</v>
      </c>
      <c r="DE1720" t="s">
        <v>22096</v>
      </c>
      <c r="DF1720" t="s">
        <v>22097</v>
      </c>
      <c r="DG1720" t="s">
        <v>22098</v>
      </c>
      <c r="DH1720" t="str">
        <f>"RAD23A"</f>
        <v>RAD23A</v>
      </c>
      <c r="DI1720" t="s">
        <v>13772</v>
      </c>
      <c r="DJ1720" t="s">
        <v>13777</v>
      </c>
      <c r="DK1720">
        <v>9606</v>
      </c>
      <c r="DL1720" s="34" t="str">
        <f>HYPERLINK("http://www.uniprot.org/uniprot/P54725", "P54725")</f>
        <v>P54725</v>
      </c>
      <c r="DM1720" t="s">
        <v>22099</v>
      </c>
      <c r="DN1720" t="s">
        <v>22100</v>
      </c>
      <c r="DO1720" t="s">
        <v>22101</v>
      </c>
      <c r="DP1720" t="s">
        <v>13780</v>
      </c>
      <c r="DQ1720" t="s">
        <v>13772</v>
      </c>
      <c r="DR1720" t="s">
        <v>13772</v>
      </c>
      <c r="DS1720" t="s">
        <v>14096</v>
      </c>
      <c r="DT1720" t="s">
        <v>13772</v>
      </c>
      <c r="DU1720" t="s">
        <v>13772</v>
      </c>
      <c r="DV1720" t="s">
        <v>13938</v>
      </c>
      <c r="DW1720" t="s">
        <v>13812</v>
      </c>
      <c r="DX1720" t="s">
        <v>22102</v>
      </c>
      <c r="DY1720" t="s">
        <v>22103</v>
      </c>
      <c r="DZ1720" t="s">
        <v>22104</v>
      </c>
      <c r="EA1720" t="s">
        <v>13772</v>
      </c>
      <c r="EB1720" t="s">
        <v>22105</v>
      </c>
    </row>
    <row r="1721" spans="1:132" hidden="1">
      <c r="A1721">
        <v>2309</v>
      </c>
      <c r="B1721">
        <v>1</v>
      </c>
      <c r="C1721" t="s">
        <v>5391</v>
      </c>
      <c r="D1721" t="s">
        <v>73</v>
      </c>
      <c r="E1721" t="s">
        <v>73</v>
      </c>
      <c r="F1721" t="s">
        <v>545</v>
      </c>
      <c r="G1721" t="s">
        <v>73</v>
      </c>
      <c r="H1721">
        <v>34.5</v>
      </c>
      <c r="I1721">
        <v>116</v>
      </c>
      <c r="J1721">
        <v>12649</v>
      </c>
      <c r="K1721" t="s">
        <v>5392</v>
      </c>
      <c r="L1721">
        <f t="shared" si="106"/>
        <v>15</v>
      </c>
      <c r="N1721">
        <v>15</v>
      </c>
      <c r="O1721">
        <v>7</v>
      </c>
      <c r="P1721">
        <v>0.46700000000000003</v>
      </c>
      <c r="Q1721">
        <v>0</v>
      </c>
      <c r="R1721">
        <v>1</v>
      </c>
      <c r="S1721">
        <v>1</v>
      </c>
      <c r="T1721">
        <v>2</v>
      </c>
      <c r="U1721">
        <v>3</v>
      </c>
      <c r="V1721">
        <v>2</v>
      </c>
      <c r="W1721">
        <v>0</v>
      </c>
      <c r="X1721">
        <v>1</v>
      </c>
      <c r="Y1721">
        <v>0</v>
      </c>
      <c r="Z1721">
        <v>0</v>
      </c>
      <c r="AA1721">
        <v>2</v>
      </c>
      <c r="AB1721">
        <v>2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2</v>
      </c>
      <c r="AN1721">
        <v>2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s="2">
        <v>0</v>
      </c>
      <c r="BD1721" s="2">
        <v>0.5</v>
      </c>
      <c r="BE1721" s="2">
        <v>1</v>
      </c>
      <c r="BF1721" s="2">
        <v>2</v>
      </c>
      <c r="BG1721" s="2">
        <v>2.5</v>
      </c>
      <c r="BH1721" s="2">
        <v>1.2</v>
      </c>
      <c r="BI1721" s="2">
        <v>0</v>
      </c>
      <c r="BJ1721" s="2">
        <v>1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f t="shared" si="109"/>
        <v>8.1999999999999993</v>
      </c>
      <c r="BW1721" s="16">
        <f t="shared" si="107"/>
        <v>0.43157894736842101</v>
      </c>
      <c r="BX1721" s="16">
        <f>COUNTIF($BC$6:BU1721, "=0") / COUNTIF($BC$6:BU1721, "&gt;-1")</f>
        <v>0.42642007115691327</v>
      </c>
      <c r="BY1721" s="18">
        <f>SUM($BC$6:BU1721) / $BY$4</f>
        <v>0.98922114451820387</v>
      </c>
      <c r="BZ1721" s="14">
        <f t="shared" si="108"/>
        <v>13</v>
      </c>
      <c r="CA1721" t="s">
        <v>5832</v>
      </c>
      <c r="CZ1721" t="s">
        <v>13432</v>
      </c>
      <c r="DA1721" t="s">
        <v>5904</v>
      </c>
      <c r="DB1721">
        <v>235.7</v>
      </c>
      <c r="DC1721" t="s">
        <v>35804</v>
      </c>
      <c r="DD1721" t="s">
        <v>35805</v>
      </c>
      <c r="DE1721" t="s">
        <v>35806</v>
      </c>
      <c r="DF1721" t="s">
        <v>35807</v>
      </c>
      <c r="DG1721" t="s">
        <v>35808</v>
      </c>
      <c r="DH1721" t="str">
        <f>"VAMP2"</f>
        <v>VAMP2</v>
      </c>
      <c r="DI1721" t="s">
        <v>35809</v>
      </c>
      <c r="DJ1721" t="s">
        <v>13777</v>
      </c>
      <c r="DK1721">
        <v>9606</v>
      </c>
      <c r="DL1721" s="34" t="str">
        <f>HYPERLINK("http://www.uniprot.org/uniprot/P63027", "P63027")</f>
        <v>P63027</v>
      </c>
      <c r="DM1721" t="s">
        <v>35810</v>
      </c>
      <c r="DN1721" t="s">
        <v>13772</v>
      </c>
      <c r="DO1721" t="s">
        <v>35811</v>
      </c>
      <c r="DP1721" t="s">
        <v>13772</v>
      </c>
      <c r="DQ1721" t="s">
        <v>13772</v>
      </c>
      <c r="DR1721" t="s">
        <v>13772</v>
      </c>
      <c r="DS1721" t="s">
        <v>15628</v>
      </c>
      <c r="DT1721" t="s">
        <v>13772</v>
      </c>
      <c r="DU1721" t="s">
        <v>13772</v>
      </c>
      <c r="DV1721" t="s">
        <v>13886</v>
      </c>
      <c r="DW1721" t="s">
        <v>13812</v>
      </c>
      <c r="DX1721" t="s">
        <v>35812</v>
      </c>
      <c r="DY1721" t="s">
        <v>35813</v>
      </c>
      <c r="DZ1721" t="s">
        <v>35814</v>
      </c>
      <c r="EA1721" t="s">
        <v>13772</v>
      </c>
      <c r="EB1721" t="s">
        <v>35815</v>
      </c>
    </row>
    <row r="1722" spans="1:132" hidden="1">
      <c r="A1722">
        <v>88</v>
      </c>
      <c r="B1722">
        <v>1</v>
      </c>
      <c r="C1722" t="s">
        <v>241</v>
      </c>
      <c r="D1722" t="s">
        <v>73</v>
      </c>
      <c r="E1722" t="s">
        <v>73</v>
      </c>
      <c r="F1722" t="s">
        <v>73</v>
      </c>
      <c r="G1722" t="s">
        <v>73</v>
      </c>
      <c r="H1722">
        <v>29.1</v>
      </c>
      <c r="I1722">
        <v>309</v>
      </c>
      <c r="J1722">
        <v>34294</v>
      </c>
      <c r="K1722" t="s">
        <v>242</v>
      </c>
      <c r="L1722">
        <f t="shared" si="106"/>
        <v>8</v>
      </c>
      <c r="N1722">
        <v>8</v>
      </c>
      <c r="O1722">
        <v>8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0</v>
      </c>
      <c r="AA1722">
        <v>4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4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1</v>
      </c>
      <c r="BK1722" s="2">
        <v>1</v>
      </c>
      <c r="BL1722" s="2">
        <v>0</v>
      </c>
      <c r="BM1722" s="2">
        <v>4</v>
      </c>
      <c r="BN1722" s="2">
        <v>1</v>
      </c>
      <c r="BO1722" s="2">
        <v>0</v>
      </c>
      <c r="BP1722" s="2">
        <v>0</v>
      </c>
      <c r="BQ1722" s="2">
        <v>0</v>
      </c>
      <c r="BR1722" s="2">
        <v>1</v>
      </c>
      <c r="BS1722" s="2">
        <v>0</v>
      </c>
      <c r="BT1722" s="2">
        <v>0</v>
      </c>
      <c r="BU1722" s="2">
        <v>0</v>
      </c>
      <c r="BV1722" s="2">
        <f t="shared" si="109"/>
        <v>8</v>
      </c>
      <c r="BW1722" s="16">
        <f t="shared" si="107"/>
        <v>0.42105263157894735</v>
      </c>
      <c r="BX1722" s="16">
        <f>COUNTIF($BC$6:BU1722, "=0") / COUNTIF($BC$6:BU1722, "&gt;-1")</f>
        <v>0.42660086442080741</v>
      </c>
      <c r="BY1722" s="18">
        <f>SUM($BC$6:BU1722) / $BY$4</f>
        <v>0.9892554136131535</v>
      </c>
      <c r="BZ1722" s="14">
        <f t="shared" si="108"/>
        <v>14</v>
      </c>
      <c r="CA1722" t="s">
        <v>5832</v>
      </c>
      <c r="CZ1722" t="s">
        <v>6002</v>
      </c>
      <c r="DA1722" t="s">
        <v>5904</v>
      </c>
      <c r="DB1722">
        <v>582</v>
      </c>
      <c r="DC1722" t="s">
        <v>14164</v>
      </c>
      <c r="DD1722" t="s">
        <v>14165</v>
      </c>
      <c r="DE1722" t="s">
        <v>14166</v>
      </c>
      <c r="DF1722" t="s">
        <v>14167</v>
      </c>
      <c r="DG1722" t="s">
        <v>14168</v>
      </c>
      <c r="DH1722" t="str">
        <f>"FN3KRP"</f>
        <v>FN3KRP</v>
      </c>
      <c r="DI1722" t="s">
        <v>13772</v>
      </c>
      <c r="DJ1722" t="s">
        <v>13777</v>
      </c>
      <c r="DK1722">
        <v>9606</v>
      </c>
      <c r="DL1722" s="34" t="str">
        <f>HYPERLINK("http://www.uniprot.org/uniprot/Q9HA64", "Q9HA64")</f>
        <v>Q9HA64</v>
      </c>
      <c r="DM1722" t="s">
        <v>14169</v>
      </c>
      <c r="DN1722" t="s">
        <v>13772</v>
      </c>
      <c r="DO1722" t="s">
        <v>13772</v>
      </c>
      <c r="DP1722" t="s">
        <v>13793</v>
      </c>
      <c r="DQ1722" t="s">
        <v>13772</v>
      </c>
      <c r="DR1722" t="s">
        <v>13772</v>
      </c>
      <c r="DS1722" t="s">
        <v>13772</v>
      </c>
      <c r="DT1722" t="s">
        <v>13772</v>
      </c>
      <c r="DU1722" t="s">
        <v>14006</v>
      </c>
      <c r="DV1722" t="s">
        <v>13782</v>
      </c>
      <c r="DW1722" t="s">
        <v>13772</v>
      </c>
      <c r="DX1722" t="s">
        <v>14170</v>
      </c>
      <c r="DY1722" t="s">
        <v>13902</v>
      </c>
      <c r="DZ1722" t="s">
        <v>14171</v>
      </c>
      <c r="EA1722" t="s">
        <v>13772</v>
      </c>
      <c r="EB1722" t="s">
        <v>14172</v>
      </c>
    </row>
    <row r="1723" spans="1:132" hidden="1">
      <c r="A1723">
        <v>113</v>
      </c>
      <c r="B1723">
        <v>1</v>
      </c>
      <c r="C1723" t="s">
        <v>295</v>
      </c>
      <c r="D1723" t="s">
        <v>296</v>
      </c>
      <c r="E1723" t="s">
        <v>73</v>
      </c>
      <c r="F1723" t="s">
        <v>73</v>
      </c>
      <c r="G1723" t="s">
        <v>73</v>
      </c>
      <c r="H1723">
        <v>13.5</v>
      </c>
      <c r="I1723">
        <v>1024</v>
      </c>
      <c r="J1723">
        <v>110809</v>
      </c>
      <c r="K1723" t="s">
        <v>297</v>
      </c>
      <c r="L1723">
        <f t="shared" si="106"/>
        <v>8</v>
      </c>
      <c r="N1723">
        <v>8</v>
      </c>
      <c r="O1723">
        <v>8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5</v>
      </c>
      <c r="Z1723">
        <v>0</v>
      </c>
      <c r="AA1723">
        <v>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5</v>
      </c>
      <c r="AS1723">
        <v>0</v>
      </c>
      <c r="AT1723">
        <v>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5</v>
      </c>
      <c r="BL1723" s="2">
        <v>0</v>
      </c>
      <c r="BM1723" s="2">
        <v>3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f t="shared" si="109"/>
        <v>8</v>
      </c>
      <c r="BW1723" s="16">
        <f t="shared" si="107"/>
        <v>0.42105263157894735</v>
      </c>
      <c r="BX1723" s="16">
        <f>COUNTIF($BC$6:BU1723, "=0") / COUNTIF($BC$6:BU1723, "&gt;-1")</f>
        <v>0.42687335334844678</v>
      </c>
      <c r="BY1723" s="18">
        <f>SUM($BC$6:BU1723) / $BY$4</f>
        <v>0.98928968270810314</v>
      </c>
      <c r="BZ1723" s="14">
        <f t="shared" si="108"/>
        <v>17</v>
      </c>
      <c r="CA1723" t="s">
        <v>5832</v>
      </c>
      <c r="CZ1723" t="s">
        <v>6083</v>
      </c>
      <c r="DA1723" t="s">
        <v>5904</v>
      </c>
      <c r="DB1723">
        <v>818.1</v>
      </c>
      <c r="DC1723" t="s">
        <v>14439</v>
      </c>
      <c r="DD1723" t="s">
        <v>14440</v>
      </c>
      <c r="DE1723" t="s">
        <v>14441</v>
      </c>
      <c r="DF1723" t="s">
        <v>14442</v>
      </c>
      <c r="DG1723" t="s">
        <v>14443</v>
      </c>
      <c r="DH1723" t="str">
        <f>"RSC1A1"</f>
        <v>RSC1A1</v>
      </c>
      <c r="DI1723" t="s">
        <v>13772</v>
      </c>
      <c r="DJ1723" t="s">
        <v>13777</v>
      </c>
      <c r="DK1723">
        <v>9606</v>
      </c>
      <c r="DL1723" s="34" t="str">
        <f>HYPERLINK("http://www.uniprot.org/uniprot/Q92681", "Q92681")</f>
        <v>Q92681</v>
      </c>
      <c r="DM1723" t="s">
        <v>14444</v>
      </c>
      <c r="DN1723" t="s">
        <v>14445</v>
      </c>
      <c r="DO1723" t="s">
        <v>14446</v>
      </c>
      <c r="DP1723" t="s">
        <v>13793</v>
      </c>
      <c r="DQ1723" t="s">
        <v>13772</v>
      </c>
      <c r="DR1723" t="s">
        <v>13772</v>
      </c>
      <c r="DS1723" t="s">
        <v>13772</v>
      </c>
      <c r="DT1723" t="s">
        <v>13772</v>
      </c>
      <c r="DU1723" t="s">
        <v>13772</v>
      </c>
      <c r="DV1723" t="s">
        <v>13772</v>
      </c>
      <c r="DW1723" t="s">
        <v>13772</v>
      </c>
      <c r="DX1723" t="s">
        <v>14447</v>
      </c>
      <c r="DY1723" t="s">
        <v>14448</v>
      </c>
      <c r="DZ1723" t="s">
        <v>14449</v>
      </c>
      <c r="EA1723" t="s">
        <v>13772</v>
      </c>
      <c r="EB1723" t="s">
        <v>14450</v>
      </c>
    </row>
    <row r="1724" spans="1:132" hidden="1">
      <c r="A1724">
        <v>201</v>
      </c>
      <c r="B1724">
        <v>1</v>
      </c>
      <c r="C1724" t="s">
        <v>506</v>
      </c>
      <c r="D1724" t="s">
        <v>73</v>
      </c>
      <c r="E1724" t="s">
        <v>73</v>
      </c>
      <c r="F1724" t="s">
        <v>73</v>
      </c>
      <c r="G1724" t="s">
        <v>73</v>
      </c>
      <c r="H1724">
        <v>11</v>
      </c>
      <c r="I1724">
        <v>529</v>
      </c>
      <c r="J1724">
        <v>60590</v>
      </c>
      <c r="K1724" t="s">
        <v>507</v>
      </c>
      <c r="L1724">
        <f t="shared" si="106"/>
        <v>8</v>
      </c>
      <c r="N1724">
        <v>8</v>
      </c>
      <c r="O1724">
        <v>8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2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2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 s="2">
        <v>0</v>
      </c>
      <c r="BD1724" s="2">
        <v>1</v>
      </c>
      <c r="BE1724" s="2">
        <v>0</v>
      </c>
      <c r="BF1724" s="2">
        <v>0</v>
      </c>
      <c r="BG1724" s="2">
        <v>1</v>
      </c>
      <c r="BH1724" s="2">
        <v>1</v>
      </c>
      <c r="BI1724" s="2">
        <v>0</v>
      </c>
      <c r="BJ1724" s="2">
        <v>2</v>
      </c>
      <c r="BK1724" s="2">
        <v>0</v>
      </c>
      <c r="BL1724" s="2">
        <v>0</v>
      </c>
      <c r="BM1724" s="2">
        <v>1</v>
      </c>
      <c r="BN1724" s="2">
        <v>1</v>
      </c>
      <c r="BO1724" s="2">
        <v>0</v>
      </c>
      <c r="BP1724" s="2">
        <v>0</v>
      </c>
      <c r="BQ1724" s="2">
        <v>0</v>
      </c>
      <c r="BR1724" s="2">
        <v>1</v>
      </c>
      <c r="BS1724" s="2">
        <v>0</v>
      </c>
      <c r="BT1724" s="2">
        <v>0</v>
      </c>
      <c r="BU1724" s="2">
        <v>0</v>
      </c>
      <c r="BV1724" s="2">
        <f t="shared" si="109"/>
        <v>8</v>
      </c>
      <c r="BW1724" s="16">
        <f t="shared" si="107"/>
        <v>0.42105263157894735</v>
      </c>
      <c r="BX1724" s="16">
        <f>COUNTIF($BC$6:BU1724, "=0") / COUNTIF($BC$6:BU1724, "&gt;-1")</f>
        <v>0.42699243746364163</v>
      </c>
      <c r="BY1724" s="18">
        <f>SUM($BC$6:BU1724) / $BY$4</f>
        <v>0.98932395180305266</v>
      </c>
      <c r="BZ1724" s="14">
        <f t="shared" si="108"/>
        <v>12</v>
      </c>
      <c r="CA1724" t="s">
        <v>5832</v>
      </c>
      <c r="CZ1724" t="s">
        <v>6389</v>
      </c>
      <c r="DA1724" t="s">
        <v>5904</v>
      </c>
      <c r="DB1724">
        <v>918.7</v>
      </c>
      <c r="DC1724" t="s">
        <v>15464</v>
      </c>
      <c r="DD1724" t="s">
        <v>15465</v>
      </c>
      <c r="DE1724" t="s">
        <v>15466</v>
      </c>
      <c r="DF1724" t="s">
        <v>15467</v>
      </c>
      <c r="DG1724" t="s">
        <v>15468</v>
      </c>
      <c r="DH1724" t="str">
        <f>"HEXA"</f>
        <v>HEXA</v>
      </c>
      <c r="DI1724" t="s">
        <v>13772</v>
      </c>
      <c r="DJ1724" t="s">
        <v>13777</v>
      </c>
      <c r="DK1724">
        <v>9606</v>
      </c>
      <c r="DL1724" s="34" t="str">
        <f>HYPERLINK("http://www.uniprot.org/uniprot/P06865", "P06865")</f>
        <v>P06865</v>
      </c>
      <c r="DM1724" t="s">
        <v>15469</v>
      </c>
      <c r="DN1724" t="s">
        <v>13772</v>
      </c>
      <c r="DO1724" t="s">
        <v>13806</v>
      </c>
      <c r="DP1724" t="s">
        <v>13780</v>
      </c>
      <c r="DQ1724" t="s">
        <v>13772</v>
      </c>
      <c r="DR1724" t="s">
        <v>15470</v>
      </c>
      <c r="DS1724" t="s">
        <v>13808</v>
      </c>
      <c r="DT1724" t="s">
        <v>13772</v>
      </c>
      <c r="DU1724" t="s">
        <v>15471</v>
      </c>
      <c r="DV1724" t="s">
        <v>15472</v>
      </c>
      <c r="DW1724" t="s">
        <v>13812</v>
      </c>
      <c r="DX1724" t="s">
        <v>15473</v>
      </c>
      <c r="DY1724" t="s">
        <v>15474</v>
      </c>
      <c r="DZ1724" t="s">
        <v>15475</v>
      </c>
      <c r="EA1724" t="s">
        <v>13772</v>
      </c>
      <c r="EB1724" t="s">
        <v>15476</v>
      </c>
    </row>
    <row r="1725" spans="1:132" hidden="1">
      <c r="A1725">
        <v>267</v>
      </c>
      <c r="B1725">
        <v>1</v>
      </c>
      <c r="C1725" t="s">
        <v>675</v>
      </c>
      <c r="D1725" t="s">
        <v>676</v>
      </c>
      <c r="E1725" t="s">
        <v>73</v>
      </c>
      <c r="F1725" t="s">
        <v>73</v>
      </c>
      <c r="G1725" t="s">
        <v>73</v>
      </c>
      <c r="H1725">
        <v>16.7</v>
      </c>
      <c r="I1725">
        <v>317</v>
      </c>
      <c r="J1725">
        <v>36823</v>
      </c>
      <c r="K1725" t="s">
        <v>677</v>
      </c>
      <c r="L1725">
        <f t="shared" si="106"/>
        <v>8</v>
      </c>
      <c r="N1725">
        <v>8</v>
      </c>
      <c r="O1725">
        <v>8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5</v>
      </c>
      <c r="AB1725">
        <v>2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5</v>
      </c>
      <c r="AU1725">
        <v>2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5</v>
      </c>
      <c r="BN1725" s="2">
        <v>2</v>
      </c>
      <c r="BO1725" s="2">
        <v>0</v>
      </c>
      <c r="BP1725" s="2">
        <v>0</v>
      </c>
      <c r="BQ1725" s="2">
        <v>0</v>
      </c>
      <c r="BR1725" s="2">
        <v>1</v>
      </c>
      <c r="BS1725" s="2">
        <v>0</v>
      </c>
      <c r="BT1725" s="2">
        <v>0</v>
      </c>
      <c r="BU1725" s="2">
        <v>0</v>
      </c>
      <c r="BV1725" s="2">
        <f t="shared" si="109"/>
        <v>8</v>
      </c>
      <c r="BW1725" s="16">
        <f t="shared" si="107"/>
        <v>0.42105263157894735</v>
      </c>
      <c r="BX1725" s="16">
        <f>COUNTIF($BC$6:BU1725, "=0") / COUNTIF($BC$6:BU1725, "&gt;-1")</f>
        <v>0.42723378212974294</v>
      </c>
      <c r="BY1725" s="18">
        <f>SUM($BC$6:BU1725) / $BY$4</f>
        <v>0.98935822089800229</v>
      </c>
      <c r="BZ1725" s="14">
        <f t="shared" si="108"/>
        <v>16</v>
      </c>
      <c r="CA1725" t="s">
        <v>5832</v>
      </c>
      <c r="CZ1725" t="s">
        <v>6624</v>
      </c>
      <c r="DA1725" t="s">
        <v>5904</v>
      </c>
      <c r="DB1725">
        <v>545.4</v>
      </c>
      <c r="DC1725" t="s">
        <v>16194</v>
      </c>
      <c r="DD1725" t="s">
        <v>16195</v>
      </c>
      <c r="DE1725" t="s">
        <v>16196</v>
      </c>
      <c r="DF1725" t="s">
        <v>16197</v>
      </c>
      <c r="DG1725" t="s">
        <v>16198</v>
      </c>
      <c r="DH1725" t="str">
        <f>"RCN2"</f>
        <v>RCN2</v>
      </c>
      <c r="DI1725" t="s">
        <v>16199</v>
      </c>
      <c r="DJ1725" t="s">
        <v>13777</v>
      </c>
      <c r="DK1725">
        <v>9606</v>
      </c>
      <c r="DL1725" s="34" t="str">
        <f>HYPERLINK("http://www.uniprot.org/uniprot/Q14257", "Q14257")</f>
        <v>Q14257</v>
      </c>
      <c r="DM1725" t="s">
        <v>16200</v>
      </c>
      <c r="DN1725" t="s">
        <v>13772</v>
      </c>
      <c r="DO1725" t="s">
        <v>14908</v>
      </c>
      <c r="DP1725" t="s">
        <v>13841</v>
      </c>
      <c r="DQ1725" t="s">
        <v>13772</v>
      </c>
      <c r="DR1725" t="s">
        <v>13772</v>
      </c>
      <c r="DS1725" t="s">
        <v>14404</v>
      </c>
      <c r="DT1725" t="s">
        <v>13873</v>
      </c>
      <c r="DU1725" t="s">
        <v>13772</v>
      </c>
      <c r="DV1725" t="s">
        <v>13782</v>
      </c>
      <c r="DW1725" t="s">
        <v>13772</v>
      </c>
      <c r="DX1725" t="s">
        <v>13772</v>
      </c>
      <c r="DY1725" t="s">
        <v>16201</v>
      </c>
      <c r="DZ1725" t="s">
        <v>15899</v>
      </c>
      <c r="EA1725" t="s">
        <v>13772</v>
      </c>
      <c r="EB1725" t="s">
        <v>13772</v>
      </c>
    </row>
    <row r="1726" spans="1:132" hidden="1">
      <c r="A1726">
        <v>281</v>
      </c>
      <c r="B1726">
        <v>1</v>
      </c>
      <c r="C1726" t="s">
        <v>712</v>
      </c>
      <c r="D1726" t="s">
        <v>73</v>
      </c>
      <c r="E1726" t="s">
        <v>73</v>
      </c>
      <c r="F1726" t="s">
        <v>73</v>
      </c>
      <c r="G1726" t="s">
        <v>73</v>
      </c>
      <c r="H1726">
        <v>4</v>
      </c>
      <c r="I1726">
        <v>449</v>
      </c>
      <c r="J1726">
        <v>50216</v>
      </c>
      <c r="K1726" t="s">
        <v>713</v>
      </c>
      <c r="L1726">
        <f t="shared" si="106"/>
        <v>8</v>
      </c>
      <c r="N1726">
        <v>8</v>
      </c>
      <c r="O1726">
        <v>8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2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 s="2">
        <v>1</v>
      </c>
      <c r="BD1726" s="2">
        <v>0</v>
      </c>
      <c r="BE1726" s="2">
        <v>0</v>
      </c>
      <c r="BF1726" s="2">
        <v>0</v>
      </c>
      <c r="BG1726" s="2">
        <v>2</v>
      </c>
      <c r="BH1726" s="2">
        <v>0</v>
      </c>
      <c r="BI1726" s="2">
        <v>1</v>
      </c>
      <c r="BJ1726" s="2">
        <v>0</v>
      </c>
      <c r="BK1726" s="2">
        <v>0</v>
      </c>
      <c r="BL1726" s="2">
        <v>0</v>
      </c>
      <c r="BM1726" s="2">
        <v>1</v>
      </c>
      <c r="BN1726" s="2">
        <v>1</v>
      </c>
      <c r="BO1726" s="2">
        <v>0</v>
      </c>
      <c r="BP1726" s="2">
        <v>0</v>
      </c>
      <c r="BQ1726" s="2">
        <v>1</v>
      </c>
      <c r="BR1726" s="2">
        <v>1</v>
      </c>
      <c r="BS1726" s="2">
        <v>0</v>
      </c>
      <c r="BT1726" s="2">
        <v>0</v>
      </c>
      <c r="BU1726" s="2">
        <v>0</v>
      </c>
      <c r="BV1726" s="2">
        <f t="shared" si="109"/>
        <v>8</v>
      </c>
      <c r="BW1726" s="16">
        <f t="shared" si="107"/>
        <v>0.42105263157894735</v>
      </c>
      <c r="BX1726" s="16">
        <f>COUNTIF($BC$6:BU1726, "=0") / COUNTIF($BC$6:BU1726, "&gt;-1")</f>
        <v>0.42735251842563993</v>
      </c>
      <c r="BY1726" s="18">
        <f>SUM($BC$6:BU1726) / $BY$4</f>
        <v>0.98939248999295193</v>
      </c>
      <c r="BZ1726" s="14">
        <f t="shared" si="108"/>
        <v>12</v>
      </c>
      <c r="CA1726" t="s">
        <v>5832</v>
      </c>
      <c r="CZ1726" t="s">
        <v>6672</v>
      </c>
      <c r="DA1726" t="s">
        <v>5904</v>
      </c>
      <c r="DB1726">
        <v>500</v>
      </c>
      <c r="DC1726" t="s">
        <v>16346</v>
      </c>
      <c r="DD1726" t="s">
        <v>16347</v>
      </c>
      <c r="DE1726" t="s">
        <v>16348</v>
      </c>
      <c r="DF1726" t="s">
        <v>16349</v>
      </c>
      <c r="DG1726" t="s">
        <v>16350</v>
      </c>
      <c r="DH1726" t="str">
        <f>"PGC"</f>
        <v>PGC</v>
      </c>
      <c r="DI1726" t="s">
        <v>13772</v>
      </c>
      <c r="DJ1726" t="s">
        <v>13777</v>
      </c>
      <c r="DK1726">
        <v>9606</v>
      </c>
      <c r="DL1726" s="34" t="str">
        <f>HYPERLINK("http://www.uniprot.org/uniprot/P20142", "P20142")</f>
        <v>P20142</v>
      </c>
      <c r="DM1726" t="s">
        <v>16351</v>
      </c>
      <c r="DN1726" t="s">
        <v>15385</v>
      </c>
      <c r="DO1726" t="s">
        <v>14321</v>
      </c>
      <c r="DP1726" t="s">
        <v>13841</v>
      </c>
      <c r="DQ1726" t="s">
        <v>13772</v>
      </c>
      <c r="DR1726" t="s">
        <v>13772</v>
      </c>
      <c r="DS1726" t="s">
        <v>13808</v>
      </c>
      <c r="DT1726" t="s">
        <v>13772</v>
      </c>
      <c r="DU1726" t="s">
        <v>15386</v>
      </c>
      <c r="DV1726" t="s">
        <v>15387</v>
      </c>
      <c r="DW1726" t="s">
        <v>13812</v>
      </c>
      <c r="DX1726" t="s">
        <v>16352</v>
      </c>
      <c r="DY1726" t="s">
        <v>14508</v>
      </c>
      <c r="DZ1726" t="s">
        <v>15390</v>
      </c>
      <c r="EA1726" t="s">
        <v>13772</v>
      </c>
      <c r="EB1726" t="s">
        <v>13772</v>
      </c>
    </row>
    <row r="1727" spans="1:132" hidden="1">
      <c r="A1727">
        <v>310</v>
      </c>
      <c r="B1727">
        <v>1</v>
      </c>
      <c r="C1727" t="s">
        <v>778</v>
      </c>
      <c r="D1727" t="s">
        <v>73</v>
      </c>
      <c r="E1727" t="s">
        <v>73</v>
      </c>
      <c r="F1727" t="s">
        <v>73</v>
      </c>
      <c r="G1727" t="s">
        <v>73</v>
      </c>
      <c r="H1727">
        <v>29.7</v>
      </c>
      <c r="I1727">
        <v>175</v>
      </c>
      <c r="J1727">
        <v>19830</v>
      </c>
      <c r="K1727" t="s">
        <v>779</v>
      </c>
      <c r="L1727">
        <f t="shared" si="106"/>
        <v>8</v>
      </c>
      <c r="N1727">
        <v>8</v>
      </c>
      <c r="O1727">
        <v>8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</v>
      </c>
      <c r="AC1727">
        <v>0</v>
      </c>
      <c r="AD1727">
        <v>0</v>
      </c>
      <c r="AE1727">
        <v>0</v>
      </c>
      <c r="AF1727">
        <v>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2</v>
      </c>
      <c r="AZ1727">
        <v>0</v>
      </c>
      <c r="BA1727">
        <v>0</v>
      </c>
      <c r="BB1727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6</v>
      </c>
      <c r="BO1727" s="2">
        <v>0</v>
      </c>
      <c r="BP1727" s="2">
        <v>0</v>
      </c>
      <c r="BQ1727" s="2">
        <v>0</v>
      </c>
      <c r="BR1727" s="2">
        <v>2</v>
      </c>
      <c r="BS1727" s="2">
        <v>0</v>
      </c>
      <c r="BT1727" s="2">
        <v>0</v>
      </c>
      <c r="BU1727" s="2">
        <v>0</v>
      </c>
      <c r="BV1727" s="2">
        <f t="shared" si="109"/>
        <v>8</v>
      </c>
      <c r="BW1727" s="16">
        <f t="shared" si="107"/>
        <v>0.42105263157894735</v>
      </c>
      <c r="BX1727" s="16">
        <f>COUNTIF($BC$6:BU1727, "=0") / COUNTIF($BC$6:BU1727, "&gt;-1")</f>
        <v>0.42762393789351427</v>
      </c>
      <c r="BY1727" s="18">
        <f>SUM($BC$6:BU1727) / $BY$4</f>
        <v>0.98942675908790156</v>
      </c>
      <c r="BZ1727" s="14">
        <f t="shared" si="108"/>
        <v>17</v>
      </c>
      <c r="CA1727" t="s">
        <v>5832</v>
      </c>
      <c r="CZ1727" t="s">
        <v>6767</v>
      </c>
      <c r="DA1727" t="s">
        <v>5904</v>
      </c>
      <c r="DB1727">
        <v>343.6</v>
      </c>
      <c r="DC1727" t="s">
        <v>16640</v>
      </c>
      <c r="DD1727" t="s">
        <v>16641</v>
      </c>
      <c r="DE1727" t="s">
        <v>16642</v>
      </c>
      <c r="DF1727" t="s">
        <v>16643</v>
      </c>
      <c r="DG1727" t="s">
        <v>13772</v>
      </c>
      <c r="DH1727" t="str">
        <f>"AGR2"</f>
        <v>AGR2</v>
      </c>
      <c r="DI1727" t="s">
        <v>16644</v>
      </c>
      <c r="DJ1727" t="s">
        <v>13777</v>
      </c>
      <c r="DK1727">
        <v>9606</v>
      </c>
      <c r="DL1727" s="34" t="str">
        <f>HYPERLINK("http://www.uniprot.org/uniprot/O95994", "O95994")</f>
        <v>O95994</v>
      </c>
      <c r="DM1727" t="s">
        <v>16645</v>
      </c>
      <c r="DN1727" t="s">
        <v>13772</v>
      </c>
      <c r="DO1727" t="s">
        <v>16646</v>
      </c>
      <c r="DP1727" t="s">
        <v>13772</v>
      </c>
      <c r="DQ1727" t="s">
        <v>13772</v>
      </c>
      <c r="DR1727" t="s">
        <v>14244</v>
      </c>
      <c r="DS1727" t="s">
        <v>13808</v>
      </c>
      <c r="DT1727" t="s">
        <v>13772</v>
      </c>
      <c r="DU1727" t="s">
        <v>13772</v>
      </c>
      <c r="DV1727" t="s">
        <v>14506</v>
      </c>
      <c r="DW1727" t="s">
        <v>13812</v>
      </c>
      <c r="DX1727" t="s">
        <v>16647</v>
      </c>
      <c r="DY1727" t="s">
        <v>16648</v>
      </c>
      <c r="DZ1727" t="s">
        <v>16649</v>
      </c>
      <c r="EA1727" t="s">
        <v>13772</v>
      </c>
      <c r="EB1727" t="s">
        <v>13772</v>
      </c>
    </row>
    <row r="1728" spans="1:132" hidden="1">
      <c r="A1728">
        <v>337</v>
      </c>
      <c r="B1728">
        <v>1</v>
      </c>
      <c r="C1728" t="s">
        <v>846</v>
      </c>
      <c r="D1728" t="s">
        <v>73</v>
      </c>
      <c r="E1728" t="s">
        <v>73</v>
      </c>
      <c r="F1728" t="s">
        <v>73</v>
      </c>
      <c r="G1728" t="s">
        <v>73</v>
      </c>
      <c r="H1728">
        <v>23.5</v>
      </c>
      <c r="I1728">
        <v>234</v>
      </c>
      <c r="J1728">
        <v>25898</v>
      </c>
      <c r="K1728" t="s">
        <v>847</v>
      </c>
      <c r="L1728">
        <f t="shared" si="106"/>
        <v>8</v>
      </c>
      <c r="N1728">
        <v>8</v>
      </c>
      <c r="O1728">
        <v>8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0</v>
      </c>
      <c r="AB1728">
        <v>3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3</v>
      </c>
      <c r="AV1728">
        <v>0</v>
      </c>
      <c r="AW1728">
        <v>0</v>
      </c>
      <c r="AX1728">
        <v>0</v>
      </c>
      <c r="AY1728">
        <v>0</v>
      </c>
      <c r="AZ1728">
        <v>2</v>
      </c>
      <c r="BA1728">
        <v>0</v>
      </c>
      <c r="BB1728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1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3</v>
      </c>
      <c r="BO1728" s="2">
        <v>0</v>
      </c>
      <c r="BP1728" s="2">
        <v>0</v>
      </c>
      <c r="BQ1728" s="2">
        <v>0</v>
      </c>
      <c r="BR1728" s="2">
        <v>0</v>
      </c>
      <c r="BS1728" s="2">
        <v>2</v>
      </c>
      <c r="BT1728" s="2">
        <v>0</v>
      </c>
      <c r="BU1728" s="2">
        <v>0</v>
      </c>
      <c r="BV1728" s="2">
        <f t="shared" si="109"/>
        <v>8</v>
      </c>
      <c r="BW1728" s="16">
        <f t="shared" si="107"/>
        <v>0.42105263157894735</v>
      </c>
      <c r="BX1728" s="16">
        <f>COUNTIF($BC$6:BU1728, "=0") / COUNTIF($BC$6:BU1728, "&gt;-1")</f>
        <v>0.42780340287747809</v>
      </c>
      <c r="BY1728" s="18">
        <f>SUM($BC$6:BU1728) / $BY$4</f>
        <v>0.98946102818285109</v>
      </c>
      <c r="BZ1728" s="14">
        <f t="shared" si="108"/>
        <v>14</v>
      </c>
      <c r="CA1728" t="s">
        <v>5832</v>
      </c>
      <c r="CZ1728" t="s">
        <v>6868</v>
      </c>
      <c r="DA1728" t="s">
        <v>5904</v>
      </c>
      <c r="DB1728">
        <v>486.1</v>
      </c>
      <c r="DC1728" t="s">
        <v>16933</v>
      </c>
      <c r="DD1728" t="s">
        <v>16934</v>
      </c>
      <c r="DE1728" t="s">
        <v>16935</v>
      </c>
      <c r="DF1728" t="s">
        <v>16936</v>
      </c>
      <c r="DG1728" t="s">
        <v>16937</v>
      </c>
      <c r="DH1728" t="str">
        <f>"PSMA2"</f>
        <v>PSMA2</v>
      </c>
      <c r="DI1728" t="s">
        <v>16938</v>
      </c>
      <c r="DJ1728" t="s">
        <v>13777</v>
      </c>
      <c r="DK1728">
        <v>9606</v>
      </c>
      <c r="DL1728" s="34" t="str">
        <f>HYPERLINK("http://www.uniprot.org/uniprot/P25787", "P25787")</f>
        <v>P25787</v>
      </c>
      <c r="DM1728" t="s">
        <v>16939</v>
      </c>
      <c r="DN1728" t="s">
        <v>13772</v>
      </c>
      <c r="DO1728" t="s">
        <v>14204</v>
      </c>
      <c r="DP1728" t="s">
        <v>13793</v>
      </c>
      <c r="DQ1728" t="s">
        <v>13772</v>
      </c>
      <c r="DR1728" t="s">
        <v>13772</v>
      </c>
      <c r="DS1728" t="s">
        <v>13772</v>
      </c>
      <c r="DT1728" t="s">
        <v>13772</v>
      </c>
      <c r="DU1728" t="s">
        <v>14564</v>
      </c>
      <c r="DV1728" t="s">
        <v>13886</v>
      </c>
      <c r="DW1728" t="s">
        <v>13812</v>
      </c>
      <c r="DX1728" t="s">
        <v>16940</v>
      </c>
      <c r="DY1728" t="s">
        <v>16941</v>
      </c>
      <c r="DZ1728" t="s">
        <v>15932</v>
      </c>
      <c r="EA1728" t="s">
        <v>13772</v>
      </c>
      <c r="EB1728" t="s">
        <v>14149</v>
      </c>
    </row>
    <row r="1729" spans="1:132" hidden="1">
      <c r="A1729">
        <v>354</v>
      </c>
      <c r="B1729">
        <v>1</v>
      </c>
      <c r="C1729" t="s">
        <v>886</v>
      </c>
      <c r="D1729" t="s">
        <v>73</v>
      </c>
      <c r="E1729" t="s">
        <v>73</v>
      </c>
      <c r="F1729" t="s">
        <v>73</v>
      </c>
      <c r="G1729" t="s">
        <v>73</v>
      </c>
      <c r="H1729">
        <v>5.4</v>
      </c>
      <c r="I1729">
        <v>589</v>
      </c>
      <c r="J1729">
        <v>64143</v>
      </c>
      <c r="K1729" t="s">
        <v>887</v>
      </c>
      <c r="L1729">
        <f t="shared" si="106"/>
        <v>8</v>
      </c>
      <c r="N1729">
        <v>8</v>
      </c>
      <c r="O1729">
        <v>8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2</v>
      </c>
      <c r="V1729">
        <v>2</v>
      </c>
      <c r="W1729">
        <v>2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2</v>
      </c>
      <c r="AO1729">
        <v>2</v>
      </c>
      <c r="AP1729">
        <v>2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 s="2">
        <v>0</v>
      </c>
      <c r="BD1729" s="2">
        <v>1</v>
      </c>
      <c r="BE1729" s="2">
        <v>0</v>
      </c>
      <c r="BF1729" s="2">
        <v>0</v>
      </c>
      <c r="BG1729" s="2">
        <v>2</v>
      </c>
      <c r="BH1729" s="2">
        <v>2</v>
      </c>
      <c r="BI1729" s="2">
        <v>2</v>
      </c>
      <c r="BJ1729" s="2">
        <v>1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f t="shared" si="109"/>
        <v>8</v>
      </c>
      <c r="BW1729" s="16">
        <f t="shared" si="107"/>
        <v>0.42105263157894735</v>
      </c>
      <c r="BX1729" s="16">
        <f>COUNTIF($BC$6:BU1729, "=0") / COUNTIF($BC$6:BU1729, "&gt;-1")</f>
        <v>0.42798265966540483</v>
      </c>
      <c r="BY1729" s="18">
        <f>SUM($BC$6:BU1729) / $BY$4</f>
        <v>0.98949529727780072</v>
      </c>
      <c r="BZ1729" s="14">
        <f t="shared" si="108"/>
        <v>14</v>
      </c>
      <c r="CA1729" t="s">
        <v>5832</v>
      </c>
      <c r="CZ1729" t="s">
        <v>6925</v>
      </c>
      <c r="DA1729" t="s">
        <v>5904</v>
      </c>
      <c r="DB1729">
        <v>852</v>
      </c>
      <c r="DC1729" t="s">
        <v>17114</v>
      </c>
      <c r="DD1729" t="s">
        <v>13772</v>
      </c>
      <c r="DE1729" t="s">
        <v>17115</v>
      </c>
      <c r="DF1729" t="s">
        <v>17116</v>
      </c>
      <c r="DG1729" t="s">
        <v>17117</v>
      </c>
      <c r="DH1729" t="str">
        <f>"FAM151A"</f>
        <v>FAM151A</v>
      </c>
      <c r="DI1729" t="s">
        <v>17118</v>
      </c>
      <c r="DJ1729" t="s">
        <v>13777</v>
      </c>
      <c r="DK1729">
        <v>9606</v>
      </c>
      <c r="DL1729" s="34" t="str">
        <f>HYPERLINK("http://www.uniprot.org/uniprot/Q8WW52", "Q8WW52")</f>
        <v>Q8WW52</v>
      </c>
      <c r="DM1729" t="s">
        <v>17119</v>
      </c>
      <c r="DN1729" t="s">
        <v>13772</v>
      </c>
      <c r="DO1729" t="s">
        <v>13825</v>
      </c>
      <c r="DP1729" t="s">
        <v>13780</v>
      </c>
      <c r="DQ1729" t="s">
        <v>13772</v>
      </c>
      <c r="DR1729" t="s">
        <v>13772</v>
      </c>
      <c r="DS1729" t="s">
        <v>13925</v>
      </c>
      <c r="DT1729" t="s">
        <v>13772</v>
      </c>
      <c r="DU1729" t="s">
        <v>13772</v>
      </c>
      <c r="DV1729" t="s">
        <v>13772</v>
      </c>
      <c r="DW1729" t="s">
        <v>13772</v>
      </c>
      <c r="DX1729" t="s">
        <v>13772</v>
      </c>
      <c r="DY1729" t="s">
        <v>17120</v>
      </c>
      <c r="DZ1729" t="s">
        <v>13772</v>
      </c>
      <c r="EA1729" t="s">
        <v>13772</v>
      </c>
      <c r="EB1729" t="s">
        <v>13772</v>
      </c>
    </row>
    <row r="1730" spans="1:132" hidden="1">
      <c r="A1730">
        <v>388</v>
      </c>
      <c r="B1730">
        <v>1</v>
      </c>
      <c r="C1730" t="s">
        <v>969</v>
      </c>
      <c r="D1730" t="s">
        <v>970</v>
      </c>
      <c r="E1730" t="s">
        <v>73</v>
      </c>
      <c r="F1730" t="s">
        <v>73</v>
      </c>
      <c r="G1730" t="s">
        <v>73</v>
      </c>
      <c r="H1730">
        <v>19.3</v>
      </c>
      <c r="I1730">
        <v>507</v>
      </c>
      <c r="J1730">
        <v>57188</v>
      </c>
      <c r="K1730" t="s">
        <v>971</v>
      </c>
      <c r="L1730">
        <f t="shared" si="106"/>
        <v>8</v>
      </c>
      <c r="N1730">
        <v>8</v>
      </c>
      <c r="O1730">
        <v>8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3</v>
      </c>
      <c r="V1730">
        <v>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</v>
      </c>
      <c r="AO1730">
        <v>3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</v>
      </c>
      <c r="BA1730">
        <v>0</v>
      </c>
      <c r="BB1730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3</v>
      </c>
      <c r="BH1730" s="2">
        <v>3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2</v>
      </c>
      <c r="BT1730" s="2">
        <v>0</v>
      </c>
      <c r="BU1730" s="2">
        <v>0</v>
      </c>
      <c r="BV1730" s="2">
        <f t="shared" si="109"/>
        <v>8</v>
      </c>
      <c r="BW1730" s="16">
        <f t="shared" si="107"/>
        <v>0.42105263157894735</v>
      </c>
      <c r="BX1730" s="16">
        <f>COUNTIF($BC$6:BU1730, "=0") / COUNTIF($BC$6:BU1730, "&gt;-1")</f>
        <v>0.4282227307398932</v>
      </c>
      <c r="BY1730" s="18">
        <f>SUM($BC$6:BU1730) / $BY$4</f>
        <v>0.98952956637275036</v>
      </c>
      <c r="BZ1730" s="14">
        <f t="shared" si="108"/>
        <v>16</v>
      </c>
      <c r="CA1730" t="s">
        <v>5832</v>
      </c>
      <c r="CZ1730" t="s">
        <v>7047</v>
      </c>
      <c r="DA1730" t="s">
        <v>5904</v>
      </c>
      <c r="DB1730">
        <v>865.5</v>
      </c>
      <c r="DC1730" t="s">
        <v>17484</v>
      </c>
      <c r="DD1730" t="s">
        <v>17485</v>
      </c>
      <c r="DE1730" t="s">
        <v>17486</v>
      </c>
      <c r="DF1730" t="s">
        <v>17487</v>
      </c>
      <c r="DG1730" t="s">
        <v>17488</v>
      </c>
      <c r="DH1730" t="str">
        <f>"CNDP1"</f>
        <v>CNDP1</v>
      </c>
      <c r="DI1730" t="s">
        <v>17489</v>
      </c>
      <c r="DJ1730" t="s">
        <v>13777</v>
      </c>
      <c r="DK1730">
        <v>9606</v>
      </c>
      <c r="DL1730" s="34" t="str">
        <f>HYPERLINK("http://www.uniprot.org/uniprot/Q96KN2", "Q96KN2")</f>
        <v>Q96KN2</v>
      </c>
      <c r="DM1730" t="s">
        <v>17490</v>
      </c>
      <c r="DN1730" t="s">
        <v>13772</v>
      </c>
      <c r="DO1730" t="s">
        <v>14321</v>
      </c>
      <c r="DP1730" t="s">
        <v>13793</v>
      </c>
      <c r="DQ1730" t="s">
        <v>13772</v>
      </c>
      <c r="DR1730" t="s">
        <v>13772</v>
      </c>
      <c r="DS1730" t="s">
        <v>13808</v>
      </c>
      <c r="DT1730" t="s">
        <v>13856</v>
      </c>
      <c r="DU1730" t="s">
        <v>16539</v>
      </c>
      <c r="DV1730" t="s">
        <v>13978</v>
      </c>
      <c r="DW1730" t="s">
        <v>13812</v>
      </c>
      <c r="DX1730" t="s">
        <v>17491</v>
      </c>
      <c r="DY1730" t="s">
        <v>17492</v>
      </c>
      <c r="DZ1730" t="s">
        <v>17493</v>
      </c>
      <c r="EA1730" t="s">
        <v>13772</v>
      </c>
      <c r="EB1730" t="s">
        <v>13772</v>
      </c>
    </row>
    <row r="1731" spans="1:132" hidden="1">
      <c r="A1731">
        <v>412</v>
      </c>
      <c r="B1731">
        <v>1</v>
      </c>
      <c r="C1731" t="s">
        <v>1033</v>
      </c>
      <c r="D1731" t="s">
        <v>73</v>
      </c>
      <c r="E1731" t="s">
        <v>73</v>
      </c>
      <c r="F1731" t="s">
        <v>73</v>
      </c>
      <c r="G1731" t="s">
        <v>73</v>
      </c>
      <c r="H1731">
        <v>25.2</v>
      </c>
      <c r="I1731">
        <v>397</v>
      </c>
      <c r="J1731">
        <v>45145</v>
      </c>
      <c r="K1731" t="s">
        <v>1034</v>
      </c>
      <c r="L1731">
        <f t="shared" si="106"/>
        <v>8</v>
      </c>
      <c r="N1731">
        <v>8</v>
      </c>
      <c r="O1731">
        <v>8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7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7</v>
      </c>
      <c r="BN1731" s="2">
        <v>0</v>
      </c>
      <c r="BO1731" s="2">
        <v>1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f t="shared" si="109"/>
        <v>8</v>
      </c>
      <c r="BW1731" s="16">
        <f t="shared" si="107"/>
        <v>0.42105263157894735</v>
      </c>
      <c r="BX1731" s="16">
        <f>COUNTIF($BC$6:BU1731, "=0") / COUNTIF($BC$6:BU1731, "&gt;-1")</f>
        <v>0.42849301701530768</v>
      </c>
      <c r="BY1731" s="18">
        <f>SUM($BC$6:BU1731) / $BY$4</f>
        <v>0.98956383546769988</v>
      </c>
      <c r="BZ1731" s="14">
        <f t="shared" si="108"/>
        <v>17</v>
      </c>
      <c r="CA1731" t="s">
        <v>5832</v>
      </c>
      <c r="CZ1731" t="s">
        <v>7130</v>
      </c>
      <c r="DA1731" t="s">
        <v>5904</v>
      </c>
      <c r="DB1731">
        <v>678.3</v>
      </c>
      <c r="DC1731" t="s">
        <v>17750</v>
      </c>
      <c r="DD1731" t="s">
        <v>17751</v>
      </c>
      <c r="DE1731" t="s">
        <v>17752</v>
      </c>
      <c r="DF1731" t="s">
        <v>17753</v>
      </c>
      <c r="DG1731" t="s">
        <v>17754</v>
      </c>
      <c r="DH1731" t="str">
        <f>"SERPINB10"</f>
        <v>SERPINB10</v>
      </c>
      <c r="DI1731" t="s">
        <v>17755</v>
      </c>
      <c r="DJ1731" t="s">
        <v>13777</v>
      </c>
      <c r="DK1731">
        <v>9606</v>
      </c>
      <c r="DL1731" s="34" t="str">
        <f>HYPERLINK("http://www.uniprot.org/uniprot/P48595", "P48595")</f>
        <v>P48595</v>
      </c>
      <c r="DM1731" t="s">
        <v>17756</v>
      </c>
      <c r="DN1731" t="s">
        <v>13772</v>
      </c>
      <c r="DO1731" t="s">
        <v>13912</v>
      </c>
      <c r="DP1731" t="s">
        <v>13793</v>
      </c>
      <c r="DQ1731" t="s">
        <v>13772</v>
      </c>
      <c r="DR1731" t="s">
        <v>13772</v>
      </c>
      <c r="DS1731" t="s">
        <v>13772</v>
      </c>
      <c r="DT1731" t="s">
        <v>13772</v>
      </c>
      <c r="DU1731" t="s">
        <v>14375</v>
      </c>
      <c r="DV1731" t="s">
        <v>14506</v>
      </c>
      <c r="DW1731" t="s">
        <v>13772</v>
      </c>
      <c r="DX1731" t="s">
        <v>17757</v>
      </c>
      <c r="DY1731" t="s">
        <v>17758</v>
      </c>
      <c r="DZ1731" t="s">
        <v>16362</v>
      </c>
      <c r="EA1731" t="s">
        <v>13772</v>
      </c>
      <c r="EB1731" t="s">
        <v>13890</v>
      </c>
    </row>
    <row r="1732" spans="1:132" hidden="1">
      <c r="A1732">
        <v>524</v>
      </c>
      <c r="B1732">
        <v>1</v>
      </c>
      <c r="C1732" t="s">
        <v>1320</v>
      </c>
      <c r="D1732" t="s">
        <v>73</v>
      </c>
      <c r="E1732" t="s">
        <v>73</v>
      </c>
      <c r="F1732" t="s">
        <v>73</v>
      </c>
      <c r="G1732" t="s">
        <v>73</v>
      </c>
      <c r="H1732">
        <v>3.7</v>
      </c>
      <c r="I1732">
        <v>916</v>
      </c>
      <c r="J1732">
        <v>99977</v>
      </c>
      <c r="K1732" t="s">
        <v>1321</v>
      </c>
      <c r="L1732">
        <f t="shared" si="106"/>
        <v>8</v>
      </c>
      <c r="N1732">
        <v>8</v>
      </c>
      <c r="O1732">
        <v>8</v>
      </c>
      <c r="P1732">
        <v>1</v>
      </c>
      <c r="Q1732">
        <v>0</v>
      </c>
      <c r="R1732">
        <v>2</v>
      </c>
      <c r="S1732">
        <v>0</v>
      </c>
      <c r="T1732">
        <v>0</v>
      </c>
      <c r="U1732">
        <v>1</v>
      </c>
      <c r="V1732">
        <v>3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2</v>
      </c>
      <c r="AL1732">
        <v>0</v>
      </c>
      <c r="AM1732">
        <v>0</v>
      </c>
      <c r="AN1732">
        <v>1</v>
      </c>
      <c r="AO1732">
        <v>3</v>
      </c>
      <c r="AP1732">
        <v>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 s="2">
        <v>0</v>
      </c>
      <c r="BD1732" s="2">
        <v>2</v>
      </c>
      <c r="BE1732" s="2">
        <v>0</v>
      </c>
      <c r="BF1732" s="2">
        <v>0</v>
      </c>
      <c r="BG1732" s="2">
        <v>1</v>
      </c>
      <c r="BH1732" s="2">
        <v>3</v>
      </c>
      <c r="BI1732" s="2">
        <v>2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f t="shared" si="109"/>
        <v>8</v>
      </c>
      <c r="BW1732" s="16">
        <f t="shared" si="107"/>
        <v>0.42105263157894735</v>
      </c>
      <c r="BX1732" s="16">
        <f>COUNTIF($BC$6:BU1732, "=0") / COUNTIF($BC$6:BU1732, "&gt;-1")</f>
        <v>0.42870203882607505</v>
      </c>
      <c r="BY1732" s="18">
        <f>SUM($BC$6:BU1732) / $BY$4</f>
        <v>0.98959810456264952</v>
      </c>
      <c r="BZ1732" s="14">
        <f t="shared" si="108"/>
        <v>15</v>
      </c>
      <c r="CA1732" t="s">
        <v>5832</v>
      </c>
      <c r="CZ1732" t="s">
        <v>7531</v>
      </c>
      <c r="DA1732" t="s">
        <v>5904</v>
      </c>
      <c r="DB1732">
        <v>1590.9</v>
      </c>
      <c r="DC1732" t="s">
        <v>18958</v>
      </c>
      <c r="DD1732" t="s">
        <v>18959</v>
      </c>
      <c r="DE1732" t="s">
        <v>18960</v>
      </c>
      <c r="DF1732" t="s">
        <v>18961</v>
      </c>
      <c r="DG1732" t="s">
        <v>18962</v>
      </c>
      <c r="DH1732" t="str">
        <f>"ADAMTS8"</f>
        <v>ADAMTS8</v>
      </c>
      <c r="DI1732" t="s">
        <v>18963</v>
      </c>
      <c r="DJ1732" t="s">
        <v>13777</v>
      </c>
      <c r="DK1732">
        <v>9606</v>
      </c>
      <c r="DL1732" s="34" t="str">
        <f>HYPERLINK("http://www.uniprot.org/uniprot/Q9UP79", "Q9UP79")</f>
        <v>Q9UP79</v>
      </c>
      <c r="DM1732" t="s">
        <v>18964</v>
      </c>
      <c r="DN1732" t="s">
        <v>13772</v>
      </c>
      <c r="DO1732" t="s">
        <v>13869</v>
      </c>
      <c r="DP1732" t="s">
        <v>13772</v>
      </c>
      <c r="DQ1732" t="s">
        <v>13772</v>
      </c>
      <c r="DR1732" t="s">
        <v>13772</v>
      </c>
      <c r="DS1732" t="s">
        <v>14404</v>
      </c>
      <c r="DT1732" t="s">
        <v>13856</v>
      </c>
      <c r="DU1732" t="s">
        <v>18965</v>
      </c>
      <c r="DV1732" t="s">
        <v>18956</v>
      </c>
      <c r="DW1732" t="s">
        <v>13772</v>
      </c>
      <c r="DX1732" t="s">
        <v>17039</v>
      </c>
      <c r="DY1732" t="s">
        <v>18966</v>
      </c>
      <c r="DZ1732" t="s">
        <v>18967</v>
      </c>
      <c r="EA1732" t="s">
        <v>13772</v>
      </c>
      <c r="EB1732" t="s">
        <v>18968</v>
      </c>
    </row>
    <row r="1733" spans="1:132" hidden="1">
      <c r="A1733">
        <v>594</v>
      </c>
      <c r="B1733">
        <v>1</v>
      </c>
      <c r="C1733" t="s">
        <v>1472</v>
      </c>
      <c r="D1733" t="s">
        <v>73</v>
      </c>
      <c r="E1733" t="s">
        <v>73</v>
      </c>
      <c r="F1733" t="s">
        <v>73</v>
      </c>
      <c r="G1733" t="s">
        <v>73</v>
      </c>
      <c r="H1733">
        <v>12.5</v>
      </c>
      <c r="I1733">
        <v>545</v>
      </c>
      <c r="J1733">
        <v>60887</v>
      </c>
      <c r="K1733" t="s">
        <v>1473</v>
      </c>
      <c r="L1733">
        <f t="shared" si="106"/>
        <v>8</v>
      </c>
      <c r="N1733">
        <v>8</v>
      </c>
      <c r="O1733">
        <v>8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3</v>
      </c>
      <c r="V1733">
        <v>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3</v>
      </c>
      <c r="AO1733">
        <v>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 s="2">
        <v>0</v>
      </c>
      <c r="BD1733" s="2">
        <v>1</v>
      </c>
      <c r="BE1733" s="2">
        <v>0</v>
      </c>
      <c r="BF1733" s="2">
        <v>0</v>
      </c>
      <c r="BG1733" s="2">
        <v>3</v>
      </c>
      <c r="BH1733" s="2">
        <v>4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f t="shared" si="109"/>
        <v>8</v>
      </c>
      <c r="BW1733" s="16">
        <f t="shared" si="107"/>
        <v>0.42105263157894735</v>
      </c>
      <c r="BX1733" s="16">
        <f>COUNTIF($BC$6:BU1733, "=0") / COUNTIF($BC$6:BU1733, "&gt;-1")</f>
        <v>0.42894127680311889</v>
      </c>
      <c r="BY1733" s="18">
        <f>SUM($BC$6:BU1733) / $BY$4</f>
        <v>0.98963237365759915</v>
      </c>
      <c r="BZ1733" s="14">
        <f t="shared" si="108"/>
        <v>16</v>
      </c>
      <c r="CA1733" t="s">
        <v>5832</v>
      </c>
      <c r="CZ1733" t="s">
        <v>7752</v>
      </c>
      <c r="DA1733" t="s">
        <v>5904</v>
      </c>
      <c r="DB1733">
        <v>774.6</v>
      </c>
      <c r="DC1733" t="s">
        <v>19640</v>
      </c>
      <c r="DD1733" t="s">
        <v>19641</v>
      </c>
      <c r="DE1733" t="s">
        <v>19642</v>
      </c>
      <c r="DF1733" t="s">
        <v>19643</v>
      </c>
      <c r="DG1733" t="s">
        <v>19644</v>
      </c>
      <c r="DH1733" t="str">
        <f>"SLC22A10"</f>
        <v>SLC22A10</v>
      </c>
      <c r="DI1733" t="s">
        <v>19645</v>
      </c>
      <c r="DJ1733" t="s">
        <v>13777</v>
      </c>
      <c r="DK1733">
        <v>9606</v>
      </c>
      <c r="DL1733" s="34" t="str">
        <f>HYPERLINK("http://www.uniprot.org/uniprot/Q63ZE4", "Q63ZE4")</f>
        <v>Q63ZE4</v>
      </c>
      <c r="DM1733" t="s">
        <v>19646</v>
      </c>
      <c r="DN1733" t="s">
        <v>14192</v>
      </c>
      <c r="DO1733" t="s">
        <v>13825</v>
      </c>
      <c r="DP1733" t="s">
        <v>13841</v>
      </c>
      <c r="DQ1733" t="s">
        <v>13772</v>
      </c>
      <c r="DR1733" t="s">
        <v>13772</v>
      </c>
      <c r="DS1733" t="s">
        <v>13925</v>
      </c>
      <c r="DT1733" t="s">
        <v>13772</v>
      </c>
      <c r="DU1733" t="s">
        <v>13772</v>
      </c>
      <c r="DV1733" t="s">
        <v>13858</v>
      </c>
      <c r="DW1733" t="s">
        <v>13772</v>
      </c>
      <c r="DX1733" t="s">
        <v>19647</v>
      </c>
      <c r="DY1733" t="s">
        <v>13798</v>
      </c>
      <c r="DZ1733" t="s">
        <v>19648</v>
      </c>
      <c r="EA1733" t="s">
        <v>13772</v>
      </c>
      <c r="EB1733" t="s">
        <v>13772</v>
      </c>
    </row>
    <row r="1734" spans="1:132" hidden="1">
      <c r="A1734">
        <v>608</v>
      </c>
      <c r="B1734">
        <v>1</v>
      </c>
      <c r="C1734" t="s">
        <v>1505</v>
      </c>
      <c r="D1734" t="s">
        <v>73</v>
      </c>
      <c r="E1734" t="s">
        <v>73</v>
      </c>
      <c r="F1734" t="s">
        <v>73</v>
      </c>
      <c r="G1734" t="s">
        <v>73</v>
      </c>
      <c r="H1734">
        <v>18</v>
      </c>
      <c r="I1734">
        <v>295</v>
      </c>
      <c r="J1734">
        <v>34150</v>
      </c>
      <c r="K1734" t="s">
        <v>1506</v>
      </c>
      <c r="L1734">
        <f t="shared" ref="L1734:L1797" si="110">N1734</f>
        <v>8</v>
      </c>
      <c r="N1734">
        <v>8</v>
      </c>
      <c r="O1734">
        <v>8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5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5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s="2">
        <v>1</v>
      </c>
      <c r="BD1734" s="2">
        <v>1</v>
      </c>
      <c r="BE1734" s="2">
        <v>0</v>
      </c>
      <c r="BF1734" s="2">
        <v>0</v>
      </c>
      <c r="BG1734" s="2">
        <v>5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f t="shared" si="109"/>
        <v>8</v>
      </c>
      <c r="BW1734" s="16">
        <f t="shared" ref="BW1734:BW1797" si="111">AVERAGE(BC1734:BU1734)</f>
        <v>0.42105263157894735</v>
      </c>
      <c r="BX1734" s="16">
        <f>COUNTIF($BC$6:BU1734, "=0") / COUNTIF($BC$6:BU1734, "&gt;-1")</f>
        <v>0.4291497975708502</v>
      </c>
      <c r="BY1734" s="18">
        <f>SUM($BC$6:BU1734) / $BY$4</f>
        <v>0.98966664275254879</v>
      </c>
      <c r="BZ1734" s="14">
        <f t="shared" ref="BZ1734:BZ1797" si="112">19-COUNTIF(BC1734:BU1734, "&gt;0")</f>
        <v>15</v>
      </c>
      <c r="CA1734" t="s">
        <v>5832</v>
      </c>
      <c r="CZ1734" t="s">
        <v>7797</v>
      </c>
      <c r="DA1734" t="s">
        <v>5904</v>
      </c>
      <c r="DB1734">
        <v>485.3</v>
      </c>
      <c r="DC1734" t="s">
        <v>19791</v>
      </c>
      <c r="DD1734" t="s">
        <v>19792</v>
      </c>
      <c r="DE1734" t="s">
        <v>19793</v>
      </c>
      <c r="DF1734" t="s">
        <v>19794</v>
      </c>
      <c r="DG1734" t="s">
        <v>19795</v>
      </c>
      <c r="DH1734" t="str">
        <f>"GLYAT"</f>
        <v>GLYAT</v>
      </c>
      <c r="DI1734" t="s">
        <v>19796</v>
      </c>
      <c r="DJ1734" t="s">
        <v>13777</v>
      </c>
      <c r="DK1734">
        <v>9606</v>
      </c>
      <c r="DL1734" s="34" t="str">
        <f>HYPERLINK("http://www.uniprot.org/uniprot/Q6IB77", "Q6IB77")</f>
        <v>Q6IB77</v>
      </c>
      <c r="DM1734" t="s">
        <v>19797</v>
      </c>
      <c r="DN1734" t="s">
        <v>19798</v>
      </c>
      <c r="DO1734" t="s">
        <v>14491</v>
      </c>
      <c r="DP1734" t="s">
        <v>13780</v>
      </c>
      <c r="DQ1734" t="s">
        <v>13772</v>
      </c>
      <c r="DR1734" t="s">
        <v>13772</v>
      </c>
      <c r="DS1734" t="s">
        <v>13772</v>
      </c>
      <c r="DT1734" t="s">
        <v>13772</v>
      </c>
      <c r="DU1734" t="s">
        <v>15096</v>
      </c>
      <c r="DV1734" t="s">
        <v>14020</v>
      </c>
      <c r="DW1734" t="s">
        <v>13772</v>
      </c>
      <c r="DX1734" t="s">
        <v>19799</v>
      </c>
      <c r="DY1734" t="s">
        <v>15582</v>
      </c>
      <c r="DZ1734" t="s">
        <v>19800</v>
      </c>
      <c r="EA1734" t="s">
        <v>13772</v>
      </c>
      <c r="EB1734" t="s">
        <v>19801</v>
      </c>
    </row>
    <row r="1735" spans="1:132" hidden="1">
      <c r="A1735">
        <v>612</v>
      </c>
      <c r="B1735">
        <v>1</v>
      </c>
      <c r="C1735" t="s">
        <v>1515</v>
      </c>
      <c r="D1735" t="s">
        <v>1516</v>
      </c>
      <c r="E1735" t="s">
        <v>73</v>
      </c>
      <c r="F1735" t="s">
        <v>73</v>
      </c>
      <c r="G1735" t="s">
        <v>73</v>
      </c>
      <c r="H1735">
        <v>4.5999999999999996</v>
      </c>
      <c r="I1735">
        <v>2108</v>
      </c>
      <c r="J1735">
        <v>236230</v>
      </c>
      <c r="K1735" t="s">
        <v>1517</v>
      </c>
      <c r="L1735">
        <f t="shared" si="110"/>
        <v>8</v>
      </c>
      <c r="N1735">
        <v>8</v>
      </c>
      <c r="O1735">
        <v>8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6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6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1</v>
      </c>
      <c r="BN1735" s="2">
        <v>6</v>
      </c>
      <c r="BO1735" s="2">
        <v>0</v>
      </c>
      <c r="BP1735" s="2">
        <v>0</v>
      </c>
      <c r="BQ1735" s="2">
        <v>0</v>
      </c>
      <c r="BR1735" s="2">
        <v>1</v>
      </c>
      <c r="BS1735" s="2">
        <v>0</v>
      </c>
      <c r="BT1735" s="2">
        <v>0</v>
      </c>
      <c r="BU1735" s="2">
        <v>0</v>
      </c>
      <c r="BV1735" s="2">
        <f t="shared" ref="BV1735:BV1798" si="113">SUM(BC1735:BU1735)</f>
        <v>8</v>
      </c>
      <c r="BW1735" s="16">
        <f t="shared" si="111"/>
        <v>0.42105263157894735</v>
      </c>
      <c r="BX1735" s="16">
        <f>COUNTIF($BC$6:BU1735, "=0") / COUNTIF($BC$6:BU1735, "&gt;-1")</f>
        <v>0.42938850015211438</v>
      </c>
      <c r="BY1735" s="18">
        <f>SUM($BC$6:BU1735) / $BY$4</f>
        <v>0.98970091184749831</v>
      </c>
      <c r="BZ1735" s="14">
        <f t="shared" si="112"/>
        <v>16</v>
      </c>
      <c r="CA1735" t="s">
        <v>5832</v>
      </c>
      <c r="CZ1735" t="s">
        <v>7813</v>
      </c>
      <c r="DA1735" t="s">
        <v>5904</v>
      </c>
      <c r="DB1735">
        <v>3498.4</v>
      </c>
      <c r="DC1735" t="s">
        <v>19829</v>
      </c>
      <c r="DD1735" t="s">
        <v>19830</v>
      </c>
      <c r="DE1735" t="s">
        <v>19831</v>
      </c>
      <c r="DF1735" t="s">
        <v>19832</v>
      </c>
      <c r="DG1735" t="s">
        <v>19833</v>
      </c>
      <c r="DH1735" t="str">
        <f>"NUMA1"</f>
        <v>NUMA1</v>
      </c>
      <c r="DI1735" t="s">
        <v>13772</v>
      </c>
      <c r="DJ1735" t="s">
        <v>13777</v>
      </c>
      <c r="DK1735">
        <v>9606</v>
      </c>
      <c r="DL1735" s="34" t="str">
        <f>HYPERLINK("http://www.uniprot.org/uniprot/Q14980", "Q14980")</f>
        <v>Q14980</v>
      </c>
      <c r="DM1735" t="s">
        <v>19834</v>
      </c>
      <c r="DN1735" t="s">
        <v>19835</v>
      </c>
      <c r="DO1735" t="s">
        <v>19836</v>
      </c>
      <c r="DP1735" t="s">
        <v>13780</v>
      </c>
      <c r="DQ1735" t="s">
        <v>13772</v>
      </c>
      <c r="DR1735" t="s">
        <v>13772</v>
      </c>
      <c r="DS1735" t="s">
        <v>14245</v>
      </c>
      <c r="DT1735" t="s">
        <v>13900</v>
      </c>
      <c r="DU1735" t="s">
        <v>13772</v>
      </c>
      <c r="DV1735" t="s">
        <v>19837</v>
      </c>
      <c r="DW1735" t="s">
        <v>13812</v>
      </c>
      <c r="DX1735" t="s">
        <v>19838</v>
      </c>
      <c r="DY1735" t="s">
        <v>19839</v>
      </c>
      <c r="DZ1735" t="s">
        <v>19840</v>
      </c>
      <c r="EA1735" t="s">
        <v>13772</v>
      </c>
      <c r="EB1735" t="s">
        <v>19841</v>
      </c>
    </row>
    <row r="1736" spans="1:132" hidden="1">
      <c r="A1736">
        <v>746</v>
      </c>
      <c r="B1736">
        <v>1</v>
      </c>
      <c r="C1736" t="s">
        <v>1832</v>
      </c>
      <c r="D1736" t="s">
        <v>1833</v>
      </c>
      <c r="E1736" t="s">
        <v>73</v>
      </c>
      <c r="F1736" t="s">
        <v>73</v>
      </c>
      <c r="G1736" t="s">
        <v>73</v>
      </c>
      <c r="H1736">
        <v>17.399999999999999</v>
      </c>
      <c r="I1736">
        <v>413</v>
      </c>
      <c r="J1736">
        <v>44734</v>
      </c>
      <c r="K1736" t="s">
        <v>1834</v>
      </c>
      <c r="L1736">
        <f t="shared" si="110"/>
        <v>8</v>
      </c>
      <c r="N1736">
        <v>8</v>
      </c>
      <c r="O1736">
        <v>8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 s="2">
        <v>0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1</v>
      </c>
      <c r="BN1736" s="2">
        <v>6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f t="shared" si="113"/>
        <v>8</v>
      </c>
      <c r="BW1736" s="16">
        <f t="shared" si="111"/>
        <v>0.42105263157894735</v>
      </c>
      <c r="BX1736" s="16">
        <f>COUNTIF($BC$6:BU1736, "=0") / COUNTIF($BC$6:BU1736, "&gt;-1")</f>
        <v>0.42962692693605764</v>
      </c>
      <c r="BY1736" s="18">
        <f>SUM($BC$6:BU1736) / $BY$4</f>
        <v>0.98973518094244795</v>
      </c>
      <c r="BZ1736" s="14">
        <f t="shared" si="112"/>
        <v>16</v>
      </c>
      <c r="CA1736" t="s">
        <v>5832</v>
      </c>
      <c r="CZ1736" t="s">
        <v>8253</v>
      </c>
      <c r="DA1736" t="s">
        <v>5904</v>
      </c>
      <c r="DB1736">
        <v>771.5</v>
      </c>
      <c r="DC1736" t="s">
        <v>21117</v>
      </c>
      <c r="DD1736" t="s">
        <v>21118</v>
      </c>
      <c r="DE1736" t="s">
        <v>21119</v>
      </c>
      <c r="DF1736" t="s">
        <v>21120</v>
      </c>
      <c r="DG1736" t="s">
        <v>21121</v>
      </c>
      <c r="DH1736" t="str">
        <f>"SUCLG2"</f>
        <v>SUCLG2</v>
      </c>
      <c r="DI1736" t="s">
        <v>13772</v>
      </c>
      <c r="DJ1736" t="s">
        <v>13777</v>
      </c>
      <c r="DK1736">
        <v>9606</v>
      </c>
      <c r="DL1736" s="34" t="str">
        <f>HYPERLINK("http://www.uniprot.org/uniprot/Q96I99", "Q96I99")</f>
        <v>Q96I99</v>
      </c>
      <c r="DM1736" t="s">
        <v>21122</v>
      </c>
      <c r="DN1736" t="s">
        <v>15224</v>
      </c>
      <c r="DO1736" t="s">
        <v>14491</v>
      </c>
      <c r="DP1736" t="s">
        <v>13780</v>
      </c>
      <c r="DQ1736" t="s">
        <v>13772</v>
      </c>
      <c r="DR1736" t="s">
        <v>13772</v>
      </c>
      <c r="DS1736" t="s">
        <v>14391</v>
      </c>
      <c r="DT1736" t="s">
        <v>16882</v>
      </c>
      <c r="DU1736" t="s">
        <v>21123</v>
      </c>
      <c r="DV1736" t="s">
        <v>13886</v>
      </c>
      <c r="DW1736" t="s">
        <v>13772</v>
      </c>
      <c r="DX1736" t="s">
        <v>21124</v>
      </c>
      <c r="DY1736" t="s">
        <v>21125</v>
      </c>
      <c r="DZ1736" t="s">
        <v>21126</v>
      </c>
      <c r="EA1736" t="s">
        <v>21127</v>
      </c>
      <c r="EB1736" t="s">
        <v>21128</v>
      </c>
    </row>
    <row r="1737" spans="1:132" hidden="1">
      <c r="A1737">
        <v>879</v>
      </c>
      <c r="B1737">
        <v>1</v>
      </c>
      <c r="C1737" t="s">
        <v>2145</v>
      </c>
      <c r="D1737" t="s">
        <v>2146</v>
      </c>
      <c r="E1737" t="s">
        <v>73</v>
      </c>
      <c r="F1737" t="s">
        <v>73</v>
      </c>
      <c r="G1737" t="s">
        <v>73</v>
      </c>
      <c r="H1737">
        <v>17.5</v>
      </c>
      <c r="I1737">
        <v>456</v>
      </c>
      <c r="J1737">
        <v>50227</v>
      </c>
      <c r="K1737" t="s">
        <v>2147</v>
      </c>
      <c r="L1737">
        <f t="shared" si="110"/>
        <v>8</v>
      </c>
      <c r="N1737">
        <v>8</v>
      </c>
      <c r="O1737">
        <v>8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</v>
      </c>
      <c r="AB1737">
        <v>0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6</v>
      </c>
      <c r="AU1737">
        <v>0</v>
      </c>
      <c r="AV1737">
        <v>2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6</v>
      </c>
      <c r="BN1737" s="2">
        <v>0</v>
      </c>
      <c r="BO1737" s="2">
        <v>2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f t="shared" si="113"/>
        <v>8</v>
      </c>
      <c r="BW1737" s="16">
        <f t="shared" si="111"/>
        <v>0.42105263157894735</v>
      </c>
      <c r="BX1737" s="16">
        <f>COUNTIF($BC$6:BU1737, "=0") / COUNTIF($BC$6:BU1737, "&gt;-1")</f>
        <v>0.42989546614804913</v>
      </c>
      <c r="BY1737" s="18">
        <f>SUM($BC$6:BU1737) / $BY$4</f>
        <v>0.98976945003739758</v>
      </c>
      <c r="BZ1737" s="14">
        <f t="shared" si="112"/>
        <v>17</v>
      </c>
      <c r="CA1737" t="s">
        <v>5832</v>
      </c>
      <c r="CZ1737" t="s">
        <v>8704</v>
      </c>
      <c r="DA1737" t="s">
        <v>5904</v>
      </c>
      <c r="DB1737">
        <v>929.5</v>
      </c>
      <c r="DC1737" t="s">
        <v>22438</v>
      </c>
      <c r="DD1737" t="s">
        <v>22439</v>
      </c>
      <c r="DE1737" t="s">
        <v>22440</v>
      </c>
      <c r="DF1737" t="s">
        <v>22441</v>
      </c>
      <c r="DG1737" t="s">
        <v>22442</v>
      </c>
      <c r="DH1737" t="str">
        <f>"RUVBL1"</f>
        <v>RUVBL1</v>
      </c>
      <c r="DI1737" t="s">
        <v>22443</v>
      </c>
      <c r="DJ1737" t="s">
        <v>13777</v>
      </c>
      <c r="DK1737">
        <v>9606</v>
      </c>
      <c r="DL1737" s="34" t="str">
        <f>HYPERLINK("http://www.uniprot.org/uniprot/Q9Y265", "Q9Y265")</f>
        <v>Q9Y265</v>
      </c>
      <c r="DM1737" t="s">
        <v>22444</v>
      </c>
      <c r="DN1737" t="s">
        <v>22445</v>
      </c>
      <c r="DO1737" t="s">
        <v>22446</v>
      </c>
      <c r="DP1737" t="s">
        <v>13841</v>
      </c>
      <c r="DQ1737" t="s">
        <v>13772</v>
      </c>
      <c r="DR1737" t="s">
        <v>13772</v>
      </c>
      <c r="DS1737" t="s">
        <v>13772</v>
      </c>
      <c r="DT1737" t="s">
        <v>14005</v>
      </c>
      <c r="DU1737" t="s">
        <v>22447</v>
      </c>
      <c r="DV1737" t="s">
        <v>14312</v>
      </c>
      <c r="DW1737" t="s">
        <v>13812</v>
      </c>
      <c r="DX1737" t="s">
        <v>22448</v>
      </c>
      <c r="DY1737" t="s">
        <v>22449</v>
      </c>
      <c r="DZ1737" t="s">
        <v>22450</v>
      </c>
      <c r="EA1737" t="s">
        <v>13772</v>
      </c>
      <c r="EB1737" t="s">
        <v>22451</v>
      </c>
    </row>
    <row r="1738" spans="1:132" hidden="1">
      <c r="A1738">
        <v>923</v>
      </c>
      <c r="B1738">
        <v>1</v>
      </c>
      <c r="C1738" t="s">
        <v>2244</v>
      </c>
      <c r="D1738" t="s">
        <v>73</v>
      </c>
      <c r="E1738" t="s">
        <v>73</v>
      </c>
      <c r="F1738" t="s">
        <v>73</v>
      </c>
      <c r="G1738" t="s">
        <v>73</v>
      </c>
      <c r="H1738">
        <v>5.6</v>
      </c>
      <c r="I1738">
        <v>1360</v>
      </c>
      <c r="J1738">
        <v>151764</v>
      </c>
      <c r="K1738" t="s">
        <v>2245</v>
      </c>
      <c r="L1738">
        <f t="shared" si="110"/>
        <v>8</v>
      </c>
      <c r="N1738">
        <v>8</v>
      </c>
      <c r="O1738">
        <v>8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1</v>
      </c>
      <c r="AC1738">
        <v>0</v>
      </c>
      <c r="AD1738">
        <v>0</v>
      </c>
      <c r="AE1738">
        <v>2</v>
      </c>
      <c r="AF1738">
        <v>2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</v>
      </c>
      <c r="AU1738">
        <v>1</v>
      </c>
      <c r="AV1738">
        <v>0</v>
      </c>
      <c r="AW1738">
        <v>0</v>
      </c>
      <c r="AX1738">
        <v>2</v>
      </c>
      <c r="AY1738">
        <v>2</v>
      </c>
      <c r="AZ1738">
        <v>0</v>
      </c>
      <c r="BA1738">
        <v>0</v>
      </c>
      <c r="BB1738">
        <v>0</v>
      </c>
      <c r="BC1738" s="2">
        <v>0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2</v>
      </c>
      <c r="BN1738" s="2">
        <v>1</v>
      </c>
      <c r="BO1738" s="2">
        <v>0</v>
      </c>
      <c r="BP1738" s="2">
        <v>0</v>
      </c>
      <c r="BQ1738" s="2">
        <v>2</v>
      </c>
      <c r="BR1738" s="2">
        <v>2</v>
      </c>
      <c r="BS1738" s="2">
        <v>0</v>
      </c>
      <c r="BT1738" s="2">
        <v>0</v>
      </c>
      <c r="BU1738" s="2">
        <v>0</v>
      </c>
      <c r="BV1738" s="2">
        <f t="shared" si="113"/>
        <v>8</v>
      </c>
      <c r="BW1738" s="16">
        <f t="shared" si="111"/>
        <v>0.42105263157894735</v>
      </c>
      <c r="BX1738" s="16">
        <f>COUNTIF($BC$6:BU1738, "=0") / COUNTIF($BC$6:BU1738, "&gt;-1")</f>
        <v>0.43007258480881949</v>
      </c>
      <c r="BY1738" s="18">
        <f>SUM($BC$6:BU1738) / $BY$4</f>
        <v>0.9898037191323471</v>
      </c>
      <c r="BZ1738" s="14">
        <f t="shared" si="112"/>
        <v>14</v>
      </c>
      <c r="CA1738" t="s">
        <v>5832</v>
      </c>
      <c r="CZ1738" t="s">
        <v>8855</v>
      </c>
      <c r="DA1738" t="s">
        <v>5904</v>
      </c>
      <c r="DB1738">
        <v>2701.8</v>
      </c>
      <c r="DC1738" t="s">
        <v>22876</v>
      </c>
      <c r="DD1738" t="s">
        <v>22877</v>
      </c>
      <c r="DE1738" t="s">
        <v>22878</v>
      </c>
      <c r="DF1738" t="s">
        <v>22879</v>
      </c>
      <c r="DG1738" t="s">
        <v>22880</v>
      </c>
      <c r="DH1738" t="str">
        <f>"SF3B1"</f>
        <v>SF3B1</v>
      </c>
      <c r="DI1738" t="s">
        <v>22881</v>
      </c>
      <c r="DJ1738" t="s">
        <v>13777</v>
      </c>
      <c r="DK1738">
        <v>9606</v>
      </c>
      <c r="DL1738" s="34" t="str">
        <f>HYPERLINK("http://www.uniprot.org/uniprot/O75533", "O75533")</f>
        <v>O75533</v>
      </c>
      <c r="DM1738" t="s">
        <v>22882</v>
      </c>
      <c r="DN1738" t="s">
        <v>15152</v>
      </c>
      <c r="DO1738" t="s">
        <v>16088</v>
      </c>
      <c r="DP1738" t="s">
        <v>13841</v>
      </c>
      <c r="DQ1738" t="s">
        <v>13772</v>
      </c>
      <c r="DR1738" t="s">
        <v>13772</v>
      </c>
      <c r="DS1738" t="s">
        <v>14096</v>
      </c>
      <c r="DT1738" t="s">
        <v>13772</v>
      </c>
      <c r="DU1738" t="s">
        <v>14826</v>
      </c>
      <c r="DV1738" t="s">
        <v>22883</v>
      </c>
      <c r="DW1738" t="s">
        <v>13812</v>
      </c>
      <c r="DX1738" t="s">
        <v>22884</v>
      </c>
      <c r="DY1738" t="s">
        <v>22885</v>
      </c>
      <c r="DZ1738" t="s">
        <v>18088</v>
      </c>
      <c r="EA1738" t="s">
        <v>13772</v>
      </c>
      <c r="EB1738" t="s">
        <v>22886</v>
      </c>
    </row>
    <row r="1739" spans="1:132" hidden="1">
      <c r="A1739">
        <v>959</v>
      </c>
      <c r="B1739">
        <v>1</v>
      </c>
      <c r="C1739" t="s">
        <v>2329</v>
      </c>
      <c r="D1739" t="s">
        <v>73</v>
      </c>
      <c r="E1739" t="s">
        <v>73</v>
      </c>
      <c r="F1739" t="s">
        <v>73</v>
      </c>
      <c r="G1739" t="s">
        <v>73</v>
      </c>
      <c r="H1739">
        <v>1.7</v>
      </c>
      <c r="I1739">
        <v>1875</v>
      </c>
      <c r="J1739">
        <v>214932</v>
      </c>
      <c r="K1739" t="s">
        <v>2330</v>
      </c>
      <c r="L1739">
        <f t="shared" si="110"/>
        <v>8</v>
      </c>
      <c r="N1739">
        <v>8</v>
      </c>
      <c r="O1739">
        <v>8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1</v>
      </c>
      <c r="AD1739">
        <v>0</v>
      </c>
      <c r="AE1739">
        <v>1</v>
      </c>
      <c r="AF1739">
        <v>2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</v>
      </c>
      <c r="AU1739">
        <v>0</v>
      </c>
      <c r="AV1739">
        <v>1</v>
      </c>
      <c r="AW1739">
        <v>0</v>
      </c>
      <c r="AX1739">
        <v>1</v>
      </c>
      <c r="AY1739">
        <v>2</v>
      </c>
      <c r="AZ1739">
        <v>1</v>
      </c>
      <c r="BA1739">
        <v>0</v>
      </c>
      <c r="BB1739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1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2</v>
      </c>
      <c r="BN1739" s="2">
        <v>0</v>
      </c>
      <c r="BO1739" s="2">
        <v>1</v>
      </c>
      <c r="BP1739" s="2">
        <v>0</v>
      </c>
      <c r="BQ1739" s="2">
        <v>1</v>
      </c>
      <c r="BR1739" s="2">
        <v>2</v>
      </c>
      <c r="BS1739" s="2">
        <v>1</v>
      </c>
      <c r="BT1739" s="2">
        <v>0</v>
      </c>
      <c r="BU1739" s="2">
        <v>0</v>
      </c>
      <c r="BV1739" s="2">
        <f t="shared" si="113"/>
        <v>8</v>
      </c>
      <c r="BW1739" s="16">
        <f t="shared" si="111"/>
        <v>0.42105263157894735</v>
      </c>
      <c r="BX1739" s="16">
        <f>COUNTIF($BC$6:BU1739, "=0") / COUNTIF($BC$6:BU1739, "&gt;-1")</f>
        <v>0.43021914648212228</v>
      </c>
      <c r="BY1739" s="18">
        <f>SUM($BC$6:BU1739) / $BY$4</f>
        <v>0.98983798822729674</v>
      </c>
      <c r="BZ1739" s="14">
        <f t="shared" si="112"/>
        <v>13</v>
      </c>
      <c r="CA1739" t="s">
        <v>5832</v>
      </c>
      <c r="CZ1739" t="s">
        <v>8980</v>
      </c>
      <c r="DA1739" t="s">
        <v>5904</v>
      </c>
      <c r="DB1739">
        <v>2914.4</v>
      </c>
      <c r="DC1739" t="s">
        <v>23223</v>
      </c>
      <c r="DD1739" t="s">
        <v>23224</v>
      </c>
      <c r="DE1739" t="s">
        <v>23225</v>
      </c>
      <c r="DF1739" t="s">
        <v>23226</v>
      </c>
      <c r="DG1739" t="s">
        <v>23227</v>
      </c>
      <c r="DH1739" t="str">
        <f>"LY75"</f>
        <v>LY75</v>
      </c>
      <c r="DI1739" t="s">
        <v>23228</v>
      </c>
      <c r="DJ1739" t="s">
        <v>13777</v>
      </c>
      <c r="DK1739">
        <v>9606</v>
      </c>
      <c r="DL1739" s="34" t="str">
        <f>HYPERLINK("http://www.uniprot.org/uniprot/O60449", "O60449")</f>
        <v>O60449</v>
      </c>
      <c r="DM1739" t="s">
        <v>23229</v>
      </c>
      <c r="DN1739" t="s">
        <v>13824</v>
      </c>
      <c r="DO1739" t="s">
        <v>13825</v>
      </c>
      <c r="DP1739" t="s">
        <v>13780</v>
      </c>
      <c r="DQ1739" t="s">
        <v>13772</v>
      </c>
      <c r="DR1739" t="s">
        <v>13772</v>
      </c>
      <c r="DS1739" t="s">
        <v>13826</v>
      </c>
      <c r="DT1739" t="s">
        <v>14277</v>
      </c>
      <c r="DU1739" t="s">
        <v>13795</v>
      </c>
      <c r="DV1739" t="s">
        <v>13964</v>
      </c>
      <c r="DW1739" t="s">
        <v>13772</v>
      </c>
      <c r="DX1739" t="s">
        <v>23230</v>
      </c>
      <c r="DY1739" t="s">
        <v>22534</v>
      </c>
      <c r="DZ1739" t="s">
        <v>23231</v>
      </c>
      <c r="EA1739" t="s">
        <v>13772</v>
      </c>
      <c r="EB1739" t="s">
        <v>13772</v>
      </c>
    </row>
    <row r="1740" spans="1:132" hidden="1">
      <c r="A1740">
        <v>994</v>
      </c>
      <c r="B1740">
        <v>1</v>
      </c>
      <c r="C1740" t="s">
        <v>2409</v>
      </c>
      <c r="D1740" t="s">
        <v>73</v>
      </c>
      <c r="E1740" t="s">
        <v>73</v>
      </c>
      <c r="F1740" t="s">
        <v>73</v>
      </c>
      <c r="G1740" t="s">
        <v>73</v>
      </c>
      <c r="H1740">
        <v>1.3</v>
      </c>
      <c r="I1740">
        <v>1592</v>
      </c>
      <c r="J1740">
        <v>153633</v>
      </c>
      <c r="K1740" t="s">
        <v>2410</v>
      </c>
      <c r="L1740">
        <f t="shared" si="110"/>
        <v>8</v>
      </c>
      <c r="N1740">
        <v>8</v>
      </c>
      <c r="O1740">
        <v>8</v>
      </c>
      <c r="P1740">
        <v>1</v>
      </c>
      <c r="Q1740">
        <v>2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2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2</v>
      </c>
      <c r="AV1740">
        <v>1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 s="2">
        <v>2</v>
      </c>
      <c r="BD1740" s="2">
        <v>0</v>
      </c>
      <c r="BE1740" s="2">
        <v>0</v>
      </c>
      <c r="BF1740" s="2">
        <v>0</v>
      </c>
      <c r="BG1740" s="2">
        <v>0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1</v>
      </c>
      <c r="BN1740" s="2">
        <v>2</v>
      </c>
      <c r="BO1740" s="2">
        <v>1</v>
      </c>
      <c r="BP1740" s="2">
        <v>0</v>
      </c>
      <c r="BQ1740" s="2">
        <v>0</v>
      </c>
      <c r="BR1740" s="2">
        <v>1</v>
      </c>
      <c r="BS1740" s="2">
        <v>0</v>
      </c>
      <c r="BT1740" s="2">
        <v>0</v>
      </c>
      <c r="BU1740" s="2">
        <v>0</v>
      </c>
      <c r="BV1740" s="2">
        <f t="shared" si="113"/>
        <v>8</v>
      </c>
      <c r="BW1740" s="16">
        <f t="shared" si="111"/>
        <v>0.42105263157894735</v>
      </c>
      <c r="BX1740" s="16">
        <f>COUNTIF($BC$6:BU1740, "=0") / COUNTIF($BC$6:BU1740, "&gt;-1")</f>
        <v>0.43036553920825116</v>
      </c>
      <c r="BY1740" s="18">
        <f>SUM($BC$6:BU1740) / $BY$4</f>
        <v>0.98987225732224637</v>
      </c>
      <c r="BZ1740" s="14">
        <f t="shared" si="112"/>
        <v>13</v>
      </c>
      <c r="CA1740" t="s">
        <v>5832</v>
      </c>
      <c r="CZ1740" t="s">
        <v>9097</v>
      </c>
      <c r="DA1740" t="s">
        <v>5904</v>
      </c>
      <c r="DB1740">
        <v>1736.8</v>
      </c>
      <c r="DC1740" t="s">
        <v>23562</v>
      </c>
      <c r="DD1740" t="s">
        <v>13772</v>
      </c>
      <c r="DE1740" t="s">
        <v>23563</v>
      </c>
      <c r="DF1740" t="s">
        <v>23564</v>
      </c>
      <c r="DG1740" t="s">
        <v>23565</v>
      </c>
      <c r="DH1740" t="str">
        <f>"COL4A2"</f>
        <v>COL4A2</v>
      </c>
      <c r="DI1740" t="s">
        <v>13772</v>
      </c>
      <c r="DJ1740" t="s">
        <v>13777</v>
      </c>
      <c r="DK1740">
        <v>9606</v>
      </c>
      <c r="DL1740" s="34" t="str">
        <f>HYPERLINK("http://www.uniprot.org/uniprot/P08572", "P08572")</f>
        <v>P08572</v>
      </c>
      <c r="DM1740" t="s">
        <v>23566</v>
      </c>
      <c r="DN1740" t="s">
        <v>22082</v>
      </c>
      <c r="DO1740" t="s">
        <v>15002</v>
      </c>
      <c r="DP1740" t="s">
        <v>13793</v>
      </c>
      <c r="DQ1740" t="s">
        <v>13772</v>
      </c>
      <c r="DR1740" t="s">
        <v>13807</v>
      </c>
      <c r="DS1740" t="s">
        <v>13872</v>
      </c>
      <c r="DT1740" t="s">
        <v>13772</v>
      </c>
      <c r="DU1740" t="s">
        <v>13772</v>
      </c>
      <c r="DV1740" t="s">
        <v>22002</v>
      </c>
      <c r="DW1740" t="s">
        <v>13812</v>
      </c>
      <c r="DX1740" t="s">
        <v>23567</v>
      </c>
      <c r="DY1740" t="s">
        <v>23568</v>
      </c>
      <c r="DZ1740" t="s">
        <v>23569</v>
      </c>
      <c r="EA1740" t="s">
        <v>13772</v>
      </c>
      <c r="EB1740" t="s">
        <v>23570</v>
      </c>
    </row>
    <row r="1741" spans="1:132" hidden="1">
      <c r="A1741">
        <v>1022</v>
      </c>
      <c r="B1741">
        <v>1</v>
      </c>
      <c r="C1741" t="s">
        <v>2472</v>
      </c>
      <c r="D1741" t="s">
        <v>2473</v>
      </c>
      <c r="E1741" t="s">
        <v>73</v>
      </c>
      <c r="F1741" t="s">
        <v>73</v>
      </c>
      <c r="G1741" t="s">
        <v>73</v>
      </c>
      <c r="H1741">
        <v>18.3</v>
      </c>
      <c r="I1741">
        <v>535</v>
      </c>
      <c r="J1741">
        <v>57389</v>
      </c>
      <c r="K1741" t="s">
        <v>2474</v>
      </c>
      <c r="L1741">
        <f t="shared" si="110"/>
        <v>8</v>
      </c>
      <c r="N1741">
        <v>8</v>
      </c>
      <c r="O1741">
        <v>8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4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4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4</v>
      </c>
      <c r="BL1741" s="2">
        <v>0</v>
      </c>
      <c r="BM1741" s="2">
        <v>1</v>
      </c>
      <c r="BN1741" s="2">
        <v>0</v>
      </c>
      <c r="BO1741" s="2">
        <v>1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f t="shared" si="113"/>
        <v>8</v>
      </c>
      <c r="BW1741" s="16">
        <f t="shared" si="111"/>
        <v>0.42105263157894735</v>
      </c>
      <c r="BX1741" s="16">
        <f>COUNTIF($BC$6:BU1741, "=0") / COUNTIF($BC$6:BU1741, "&gt;-1")</f>
        <v>0.43054208100897406</v>
      </c>
      <c r="BY1741" s="18">
        <f>SUM($BC$6:BU1741) / $BY$4</f>
        <v>0.98990652641719601</v>
      </c>
      <c r="BZ1741" s="14">
        <f t="shared" si="112"/>
        <v>14</v>
      </c>
      <c r="CA1741" t="s">
        <v>5832</v>
      </c>
      <c r="CZ1741" t="s">
        <v>9184</v>
      </c>
      <c r="DA1741" t="s">
        <v>5904</v>
      </c>
      <c r="DB1741">
        <v>1072.4000000000001</v>
      </c>
      <c r="DC1741" t="s">
        <v>23804</v>
      </c>
      <c r="DD1741" t="s">
        <v>23805</v>
      </c>
      <c r="DE1741" t="s">
        <v>23806</v>
      </c>
      <c r="DF1741" t="s">
        <v>23807</v>
      </c>
      <c r="DG1741" t="s">
        <v>23808</v>
      </c>
      <c r="DH1741" t="str">
        <f>"CCT2"</f>
        <v>CCT2</v>
      </c>
      <c r="DI1741" t="s">
        <v>23809</v>
      </c>
      <c r="DJ1741" t="s">
        <v>13777</v>
      </c>
      <c r="DK1741">
        <v>9606</v>
      </c>
      <c r="DL1741" s="34" t="str">
        <f>HYPERLINK("http://www.uniprot.org/uniprot/P78371", "P78371")</f>
        <v>P78371</v>
      </c>
      <c r="DM1741" t="s">
        <v>23810</v>
      </c>
      <c r="DN1741" t="s">
        <v>13772</v>
      </c>
      <c r="DO1741" t="s">
        <v>13899</v>
      </c>
      <c r="DP1741" t="s">
        <v>13841</v>
      </c>
      <c r="DQ1741" t="s">
        <v>13772</v>
      </c>
      <c r="DR1741" t="s">
        <v>13772</v>
      </c>
      <c r="DS1741" t="s">
        <v>13772</v>
      </c>
      <c r="DT1741" t="s">
        <v>14005</v>
      </c>
      <c r="DU1741" t="s">
        <v>14477</v>
      </c>
      <c r="DV1741" t="s">
        <v>13991</v>
      </c>
      <c r="DW1741" t="s">
        <v>13772</v>
      </c>
      <c r="DX1741" t="s">
        <v>23811</v>
      </c>
      <c r="DY1741" t="s">
        <v>23812</v>
      </c>
      <c r="DZ1741" t="s">
        <v>23813</v>
      </c>
      <c r="EA1741" t="s">
        <v>13772</v>
      </c>
      <c r="EB1741" t="s">
        <v>22259</v>
      </c>
    </row>
    <row r="1742" spans="1:132" hidden="1">
      <c r="A1742">
        <v>1029</v>
      </c>
      <c r="B1742">
        <v>1</v>
      </c>
      <c r="C1742" t="s">
        <v>2489</v>
      </c>
      <c r="D1742" t="s">
        <v>73</v>
      </c>
      <c r="E1742" t="s">
        <v>73</v>
      </c>
      <c r="F1742" t="s">
        <v>73</v>
      </c>
      <c r="G1742" t="s">
        <v>73</v>
      </c>
      <c r="H1742">
        <v>1.4</v>
      </c>
      <c r="I1742">
        <v>4544</v>
      </c>
      <c r="J1742">
        <v>504618</v>
      </c>
      <c r="K1742" t="s">
        <v>2490</v>
      </c>
      <c r="L1742">
        <f t="shared" si="110"/>
        <v>8</v>
      </c>
      <c r="N1742">
        <v>8</v>
      </c>
      <c r="O1742">
        <v>8</v>
      </c>
      <c r="P1742">
        <v>1</v>
      </c>
      <c r="Q1742">
        <v>1</v>
      </c>
      <c r="R1742">
        <v>0</v>
      </c>
      <c r="S1742">
        <v>0</v>
      </c>
      <c r="T1742">
        <v>1</v>
      </c>
      <c r="U1742">
        <v>2</v>
      </c>
      <c r="V1742">
        <v>0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2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2</v>
      </c>
      <c r="AO1742">
        <v>0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2</v>
      </c>
      <c r="AZ1742">
        <v>0</v>
      </c>
      <c r="BA1742">
        <v>0</v>
      </c>
      <c r="BB1742">
        <v>0</v>
      </c>
      <c r="BC1742" s="2">
        <v>1</v>
      </c>
      <c r="BD1742" s="2">
        <v>0</v>
      </c>
      <c r="BE1742" s="2">
        <v>0</v>
      </c>
      <c r="BF1742" s="2">
        <v>1</v>
      </c>
      <c r="BG1742" s="2">
        <v>2</v>
      </c>
      <c r="BH1742" s="2">
        <v>0</v>
      </c>
      <c r="BI1742" s="2">
        <v>2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2</v>
      </c>
      <c r="BS1742" s="2">
        <v>0</v>
      </c>
      <c r="BT1742" s="2">
        <v>0</v>
      </c>
      <c r="BU1742" s="2">
        <v>0</v>
      </c>
      <c r="BV1742" s="2">
        <f t="shared" si="113"/>
        <v>8</v>
      </c>
      <c r="BW1742" s="16">
        <f t="shared" si="111"/>
        <v>0.42105263157894735</v>
      </c>
      <c r="BX1742" s="16">
        <f>COUNTIF($BC$6:BU1742, "=0") / COUNTIF($BC$6:BU1742, "&gt;-1")</f>
        <v>0.4307184195376178</v>
      </c>
      <c r="BY1742" s="18">
        <f>SUM($BC$6:BU1742) / $BY$4</f>
        <v>0.98994079551214553</v>
      </c>
      <c r="BZ1742" s="14">
        <f t="shared" si="112"/>
        <v>14</v>
      </c>
      <c r="CA1742" t="s">
        <v>5832</v>
      </c>
      <c r="CZ1742" t="s">
        <v>9207</v>
      </c>
      <c r="DA1742" t="s">
        <v>5904</v>
      </c>
      <c r="DB1742">
        <v>9290.6</v>
      </c>
      <c r="DC1742" t="s">
        <v>23885</v>
      </c>
      <c r="DD1742" t="s">
        <v>23886</v>
      </c>
      <c r="DE1742" t="s">
        <v>23887</v>
      </c>
      <c r="DF1742" t="s">
        <v>23888</v>
      </c>
      <c r="DG1742" t="s">
        <v>23889</v>
      </c>
      <c r="DH1742" t="str">
        <f>"LRP1"</f>
        <v>LRP1</v>
      </c>
      <c r="DI1742" t="s">
        <v>23890</v>
      </c>
      <c r="DJ1742" t="s">
        <v>13777</v>
      </c>
      <c r="DK1742">
        <v>9606</v>
      </c>
      <c r="DL1742" s="34" t="str">
        <f>HYPERLINK("http://www.uniprot.org/uniprot/Q07954", "Q07954")</f>
        <v>Q07954</v>
      </c>
      <c r="DM1742" t="s">
        <v>23891</v>
      </c>
      <c r="DN1742" t="s">
        <v>13824</v>
      </c>
      <c r="DO1742" t="s">
        <v>23892</v>
      </c>
      <c r="DP1742" t="s">
        <v>13780</v>
      </c>
      <c r="DQ1742" t="s">
        <v>13772</v>
      </c>
      <c r="DR1742" t="s">
        <v>13807</v>
      </c>
      <c r="DS1742" t="s">
        <v>13963</v>
      </c>
      <c r="DT1742" t="s">
        <v>13873</v>
      </c>
      <c r="DU1742" t="s">
        <v>15919</v>
      </c>
      <c r="DV1742" t="s">
        <v>23893</v>
      </c>
      <c r="DW1742" t="s">
        <v>13812</v>
      </c>
      <c r="DX1742" t="s">
        <v>23894</v>
      </c>
      <c r="DY1742" t="s">
        <v>23895</v>
      </c>
      <c r="DZ1742" t="s">
        <v>23896</v>
      </c>
      <c r="EA1742" t="s">
        <v>13772</v>
      </c>
      <c r="EB1742" t="s">
        <v>23897</v>
      </c>
    </row>
    <row r="1743" spans="1:132" hidden="1">
      <c r="A1743">
        <v>1108</v>
      </c>
      <c r="B1743">
        <v>1</v>
      </c>
      <c r="C1743" t="s">
        <v>2666</v>
      </c>
      <c r="D1743" t="s">
        <v>73</v>
      </c>
      <c r="E1743" t="s">
        <v>73</v>
      </c>
      <c r="F1743" t="s">
        <v>73</v>
      </c>
      <c r="G1743" t="s">
        <v>73</v>
      </c>
      <c r="H1743">
        <v>23.3</v>
      </c>
      <c r="I1743">
        <v>103</v>
      </c>
      <c r="J1743">
        <v>12240</v>
      </c>
      <c r="K1743" t="s">
        <v>2667</v>
      </c>
      <c r="L1743">
        <f t="shared" si="110"/>
        <v>8</v>
      </c>
      <c r="N1743">
        <v>8</v>
      </c>
      <c r="O1743">
        <v>8</v>
      </c>
      <c r="P1743">
        <v>1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2</v>
      </c>
      <c r="AZ1743">
        <v>0</v>
      </c>
      <c r="BA1743">
        <v>0</v>
      </c>
      <c r="BB1743">
        <v>0</v>
      </c>
      <c r="BC1743" s="2">
        <v>0</v>
      </c>
      <c r="BD1743" s="2">
        <v>0</v>
      </c>
      <c r="BE1743" s="2">
        <v>1</v>
      </c>
      <c r="BF1743" s="2">
        <v>1</v>
      </c>
      <c r="BG1743" s="2">
        <v>1</v>
      </c>
      <c r="BH1743" s="2">
        <v>1</v>
      </c>
      <c r="BI1743" s="2">
        <v>1</v>
      </c>
      <c r="BJ1743" s="2">
        <v>0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2</v>
      </c>
      <c r="BS1743" s="2">
        <v>0</v>
      </c>
      <c r="BT1743" s="2">
        <v>0</v>
      </c>
      <c r="BU1743" s="2">
        <v>0</v>
      </c>
      <c r="BV1743" s="2">
        <f t="shared" si="113"/>
        <v>8</v>
      </c>
      <c r="BW1743" s="16">
        <f t="shared" si="111"/>
        <v>0.42105263157894735</v>
      </c>
      <c r="BX1743" s="16">
        <f>COUNTIF($BC$6:BU1743, "=0") / COUNTIF($BC$6:BU1743, "&gt;-1")</f>
        <v>0.43083398946157109</v>
      </c>
      <c r="BY1743" s="18">
        <f>SUM($BC$6:BU1743) / $BY$4</f>
        <v>0.98997506460709517</v>
      </c>
      <c r="BZ1743" s="14">
        <f t="shared" si="112"/>
        <v>12</v>
      </c>
      <c r="CA1743" t="s">
        <v>5832</v>
      </c>
      <c r="CZ1743" t="s">
        <v>9429</v>
      </c>
      <c r="DA1743" t="s">
        <v>5904</v>
      </c>
      <c r="DB1743">
        <v>161.4</v>
      </c>
      <c r="DC1743" t="s">
        <v>24523</v>
      </c>
      <c r="DD1743" t="s">
        <v>24524</v>
      </c>
      <c r="DE1743" t="s">
        <v>24525</v>
      </c>
      <c r="DF1743" t="s">
        <v>24526</v>
      </c>
      <c r="DG1743" t="s">
        <v>24527</v>
      </c>
      <c r="DH1743" t="str">
        <f>"MGP"</f>
        <v>MGP</v>
      </c>
      <c r="DI1743" t="s">
        <v>24528</v>
      </c>
      <c r="DJ1743" t="s">
        <v>13777</v>
      </c>
      <c r="DK1743">
        <v>9606</v>
      </c>
      <c r="DL1743" s="34" t="str">
        <f>HYPERLINK("http://www.uniprot.org/uniprot/P08493", "P08493")</f>
        <v>P08493</v>
      </c>
      <c r="DM1743" t="s">
        <v>24529</v>
      </c>
      <c r="DN1743" t="s">
        <v>24530</v>
      </c>
      <c r="DO1743" t="s">
        <v>14321</v>
      </c>
      <c r="DP1743" t="s">
        <v>13780</v>
      </c>
      <c r="DQ1743" t="s">
        <v>13772</v>
      </c>
      <c r="DR1743" t="s">
        <v>24531</v>
      </c>
      <c r="DS1743" t="s">
        <v>13808</v>
      </c>
      <c r="DT1743" t="s">
        <v>13772</v>
      </c>
      <c r="DU1743" t="s">
        <v>14727</v>
      </c>
      <c r="DV1743" t="s">
        <v>24532</v>
      </c>
      <c r="DW1743" t="s">
        <v>13772</v>
      </c>
      <c r="DX1743" t="s">
        <v>24533</v>
      </c>
      <c r="DY1743" t="s">
        <v>24534</v>
      </c>
      <c r="DZ1743" t="s">
        <v>24535</v>
      </c>
      <c r="EA1743" t="s">
        <v>13772</v>
      </c>
      <c r="EB1743" t="s">
        <v>13772</v>
      </c>
    </row>
    <row r="1744" spans="1:132" hidden="1">
      <c r="A1744">
        <v>1189</v>
      </c>
      <c r="B1744">
        <v>1</v>
      </c>
      <c r="C1744" t="s">
        <v>2855</v>
      </c>
      <c r="D1744" t="s">
        <v>73</v>
      </c>
      <c r="E1744" t="s">
        <v>73</v>
      </c>
      <c r="F1744" t="s">
        <v>73</v>
      </c>
      <c r="G1744" t="s">
        <v>73</v>
      </c>
      <c r="H1744">
        <v>3.2</v>
      </c>
      <c r="I1744">
        <v>691</v>
      </c>
      <c r="J1744">
        <v>73200</v>
      </c>
      <c r="K1744" t="s">
        <v>2856</v>
      </c>
      <c r="L1744">
        <f t="shared" si="110"/>
        <v>8</v>
      </c>
      <c r="N1744">
        <v>8</v>
      </c>
      <c r="O1744">
        <v>8</v>
      </c>
      <c r="P1744">
        <v>1</v>
      </c>
      <c r="Q1744">
        <v>0</v>
      </c>
      <c r="R1744">
        <v>1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2</v>
      </c>
      <c r="AM1744">
        <v>1</v>
      </c>
      <c r="AN1744">
        <v>1</v>
      </c>
      <c r="AO1744">
        <v>1</v>
      </c>
      <c r="AP1744">
        <v>2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 s="2">
        <v>0</v>
      </c>
      <c r="BD1744" s="2">
        <v>1</v>
      </c>
      <c r="BE1744" s="2">
        <v>2</v>
      </c>
      <c r="BF1744" s="2">
        <v>1</v>
      </c>
      <c r="BG1744" s="2">
        <v>1</v>
      </c>
      <c r="BH1744" s="2">
        <v>1</v>
      </c>
      <c r="BI1744" s="2">
        <v>2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f t="shared" si="113"/>
        <v>8</v>
      </c>
      <c r="BW1744" s="16">
        <f t="shared" si="111"/>
        <v>0.42105263157894735</v>
      </c>
      <c r="BX1744" s="16">
        <f>COUNTIF($BC$6:BU1744, "=0") / COUNTIF($BC$6:BU1744, "&gt;-1")</f>
        <v>0.43097969189794499</v>
      </c>
      <c r="BY1744" s="18">
        <f>SUM($BC$6:BU1744) / $BY$4</f>
        <v>0.9900093337020448</v>
      </c>
      <c r="BZ1744" s="14">
        <f t="shared" si="112"/>
        <v>13</v>
      </c>
      <c r="CA1744" t="s">
        <v>5832</v>
      </c>
      <c r="CZ1744" t="s">
        <v>9686</v>
      </c>
      <c r="DA1744" t="s">
        <v>5904</v>
      </c>
      <c r="DB1744">
        <v>1349.7</v>
      </c>
      <c r="DC1744" t="s">
        <v>25246</v>
      </c>
      <c r="DD1744" t="s">
        <v>13772</v>
      </c>
      <c r="DE1744" t="s">
        <v>25247</v>
      </c>
      <c r="DF1744" t="s">
        <v>25248</v>
      </c>
      <c r="DG1744" t="s">
        <v>13772</v>
      </c>
      <c r="DH1744" t="str">
        <f>"FZD8"</f>
        <v>FZD8</v>
      </c>
      <c r="DI1744" t="s">
        <v>13772</v>
      </c>
      <c r="DJ1744" t="s">
        <v>13777</v>
      </c>
      <c r="DK1744">
        <v>9606</v>
      </c>
      <c r="DL1744" s="34" t="str">
        <f>HYPERLINK("http://www.uniprot.org/uniprot/Q9H461", "Q9H461")</f>
        <v>Q9H461</v>
      </c>
      <c r="DM1744" t="s">
        <v>25249</v>
      </c>
      <c r="DN1744" t="s">
        <v>14072</v>
      </c>
      <c r="DO1744" t="s">
        <v>15136</v>
      </c>
      <c r="DP1744" t="s">
        <v>13772</v>
      </c>
      <c r="DQ1744" t="s">
        <v>13772</v>
      </c>
      <c r="DR1744" t="s">
        <v>13772</v>
      </c>
      <c r="DS1744" t="s">
        <v>13855</v>
      </c>
      <c r="DT1744" t="s">
        <v>13772</v>
      </c>
      <c r="DU1744" t="s">
        <v>14639</v>
      </c>
      <c r="DV1744" t="s">
        <v>18697</v>
      </c>
      <c r="DW1744" t="s">
        <v>13812</v>
      </c>
      <c r="DX1744" t="s">
        <v>25250</v>
      </c>
      <c r="DY1744" t="s">
        <v>25251</v>
      </c>
      <c r="DZ1744" t="s">
        <v>25252</v>
      </c>
      <c r="EA1744" t="s">
        <v>13772</v>
      </c>
      <c r="EB1744" t="s">
        <v>25253</v>
      </c>
    </row>
    <row r="1745" spans="1:132" hidden="1">
      <c r="A1745">
        <v>1238</v>
      </c>
      <c r="B1745">
        <v>1</v>
      </c>
      <c r="C1745" t="s">
        <v>2972</v>
      </c>
      <c r="D1745" t="s">
        <v>73</v>
      </c>
      <c r="E1745" t="s">
        <v>73</v>
      </c>
      <c r="F1745" t="s">
        <v>73</v>
      </c>
      <c r="G1745" t="s">
        <v>73</v>
      </c>
      <c r="H1745">
        <v>8</v>
      </c>
      <c r="I1745">
        <v>375</v>
      </c>
      <c r="J1745">
        <v>37843</v>
      </c>
      <c r="K1745" t="s">
        <v>2973</v>
      </c>
      <c r="L1745">
        <f t="shared" si="110"/>
        <v>8</v>
      </c>
      <c r="N1745">
        <v>8</v>
      </c>
      <c r="O1745">
        <v>8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3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3</v>
      </c>
      <c r="BA1745">
        <v>0</v>
      </c>
      <c r="BB1745">
        <v>0</v>
      </c>
      <c r="BC1745" s="2">
        <v>0</v>
      </c>
      <c r="BD1745" s="2">
        <v>1</v>
      </c>
      <c r="BE1745" s="2">
        <v>0</v>
      </c>
      <c r="BF1745" s="2">
        <v>0</v>
      </c>
      <c r="BG1745" s="2">
        <v>0</v>
      </c>
      <c r="BH1745" s="2">
        <v>2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1</v>
      </c>
      <c r="BP1745" s="2">
        <v>1</v>
      </c>
      <c r="BQ1745" s="2">
        <v>0</v>
      </c>
      <c r="BR1745" s="2">
        <v>0</v>
      </c>
      <c r="BS1745" s="2">
        <v>3</v>
      </c>
      <c r="BT1745" s="2">
        <v>0</v>
      </c>
      <c r="BU1745" s="2">
        <v>0</v>
      </c>
      <c r="BV1745" s="2">
        <f t="shared" si="113"/>
        <v>8</v>
      </c>
      <c r="BW1745" s="16">
        <f t="shared" si="111"/>
        <v>0.42105263157894735</v>
      </c>
      <c r="BX1745" s="16">
        <f>COUNTIF($BC$6:BU1745, "=0") / COUNTIF($BC$6:BU1745, "&gt;-1")</f>
        <v>0.43115547489413186</v>
      </c>
      <c r="BY1745" s="18">
        <f>SUM($BC$6:BU1745) / $BY$4</f>
        <v>0.99004360279699433</v>
      </c>
      <c r="BZ1745" s="14">
        <f t="shared" si="112"/>
        <v>14</v>
      </c>
      <c r="CA1745" t="s">
        <v>5832</v>
      </c>
      <c r="CZ1745" t="s">
        <v>9856</v>
      </c>
      <c r="DA1745" t="s">
        <v>5904</v>
      </c>
      <c r="DB1745">
        <v>502.3</v>
      </c>
      <c r="DC1745" t="s">
        <v>25722</v>
      </c>
      <c r="DD1745" t="s">
        <v>25723</v>
      </c>
      <c r="DE1745" t="s">
        <v>25724</v>
      </c>
      <c r="DF1745" t="s">
        <v>25725</v>
      </c>
      <c r="DG1745" t="s">
        <v>25726</v>
      </c>
      <c r="DH1745" t="str">
        <f>"SFTPD"</f>
        <v>SFTPD</v>
      </c>
      <c r="DI1745" t="s">
        <v>25727</v>
      </c>
      <c r="DJ1745" t="s">
        <v>13777</v>
      </c>
      <c r="DK1745">
        <v>9606</v>
      </c>
      <c r="DL1745" s="34" t="str">
        <f>HYPERLINK("http://www.uniprot.org/uniprot/P35247", "P35247")</f>
        <v>P35247</v>
      </c>
      <c r="DM1745" t="s">
        <v>25728</v>
      </c>
      <c r="DN1745" t="s">
        <v>25729</v>
      </c>
      <c r="DO1745" t="s">
        <v>25730</v>
      </c>
      <c r="DP1745" t="s">
        <v>13793</v>
      </c>
      <c r="DQ1745" t="s">
        <v>13772</v>
      </c>
      <c r="DR1745" t="s">
        <v>13772</v>
      </c>
      <c r="DS1745" t="s">
        <v>25731</v>
      </c>
      <c r="DT1745" t="s">
        <v>13827</v>
      </c>
      <c r="DU1745" t="s">
        <v>13772</v>
      </c>
      <c r="DV1745" t="s">
        <v>25732</v>
      </c>
      <c r="DW1745" t="s">
        <v>13812</v>
      </c>
      <c r="DX1745" t="s">
        <v>25733</v>
      </c>
      <c r="DY1745" t="s">
        <v>25734</v>
      </c>
      <c r="DZ1745" t="s">
        <v>25735</v>
      </c>
      <c r="EA1745" t="s">
        <v>13772</v>
      </c>
      <c r="EB1745" t="s">
        <v>25736</v>
      </c>
    </row>
    <row r="1746" spans="1:132" hidden="1">
      <c r="A1746">
        <v>1244</v>
      </c>
      <c r="B1746">
        <v>1</v>
      </c>
      <c r="C1746" t="s">
        <v>2983</v>
      </c>
      <c r="D1746" t="s">
        <v>2984</v>
      </c>
      <c r="E1746" t="s">
        <v>73</v>
      </c>
      <c r="F1746" t="s">
        <v>73</v>
      </c>
      <c r="G1746" t="s">
        <v>73</v>
      </c>
      <c r="H1746">
        <v>10.5</v>
      </c>
      <c r="I1746">
        <v>343</v>
      </c>
      <c r="J1746">
        <v>38772</v>
      </c>
      <c r="K1746" t="s">
        <v>2985</v>
      </c>
      <c r="L1746">
        <f t="shared" si="110"/>
        <v>8</v>
      </c>
      <c r="N1746">
        <v>8</v>
      </c>
      <c r="O1746">
        <v>8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0</v>
      </c>
      <c r="AA1746">
        <v>5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2</v>
      </c>
      <c r="AS1746">
        <v>0</v>
      </c>
      <c r="AT1746">
        <v>5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2</v>
      </c>
      <c r="BL1746" s="2">
        <v>0</v>
      </c>
      <c r="BM1746" s="2">
        <v>5</v>
      </c>
      <c r="BN1746" s="2">
        <v>1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f t="shared" si="113"/>
        <v>8</v>
      </c>
      <c r="BW1746" s="16">
        <f t="shared" si="111"/>
        <v>0.42105263157894735</v>
      </c>
      <c r="BX1746" s="16">
        <f>COUNTIF($BC$6:BU1746, "=0") / COUNTIF($BC$6:BU1746, "&gt;-1")</f>
        <v>0.43139151727682218</v>
      </c>
      <c r="BY1746" s="18">
        <f>SUM($BC$6:BU1746) / $BY$4</f>
        <v>0.99007787189194396</v>
      </c>
      <c r="BZ1746" s="14">
        <f t="shared" si="112"/>
        <v>16</v>
      </c>
      <c r="CA1746" t="s">
        <v>5832</v>
      </c>
      <c r="CZ1746" t="s">
        <v>9877</v>
      </c>
      <c r="DA1746" t="s">
        <v>5904</v>
      </c>
      <c r="DB1746">
        <v>708.4</v>
      </c>
      <c r="DC1746" t="s">
        <v>25790</v>
      </c>
      <c r="DD1746" t="s">
        <v>25791</v>
      </c>
      <c r="DE1746" t="s">
        <v>25792</v>
      </c>
      <c r="DF1746" t="s">
        <v>25793</v>
      </c>
      <c r="DG1746" t="s">
        <v>25794</v>
      </c>
      <c r="DH1746" t="str">
        <f>"ACTR1A"</f>
        <v>ACTR1A</v>
      </c>
      <c r="DI1746" t="s">
        <v>25795</v>
      </c>
      <c r="DJ1746" t="s">
        <v>13777</v>
      </c>
      <c r="DK1746">
        <v>9606</v>
      </c>
      <c r="DL1746" s="34" t="str">
        <f>HYPERLINK("http://www.uniprot.org/uniprot/P61163", "P61163")</f>
        <v>P61163</v>
      </c>
      <c r="DM1746" t="s">
        <v>25796</v>
      </c>
      <c r="DN1746" t="s">
        <v>13772</v>
      </c>
      <c r="DO1746" t="s">
        <v>13988</v>
      </c>
      <c r="DP1746" t="s">
        <v>13772</v>
      </c>
      <c r="DQ1746" t="s">
        <v>13772</v>
      </c>
      <c r="DR1746" t="s">
        <v>13772</v>
      </c>
      <c r="DS1746" t="s">
        <v>13772</v>
      </c>
      <c r="DT1746" t="s">
        <v>14005</v>
      </c>
      <c r="DU1746" t="s">
        <v>13772</v>
      </c>
      <c r="DV1746" t="s">
        <v>14020</v>
      </c>
      <c r="DW1746" t="s">
        <v>13772</v>
      </c>
      <c r="DX1746" t="s">
        <v>25797</v>
      </c>
      <c r="DY1746" t="s">
        <v>25798</v>
      </c>
      <c r="DZ1746" t="s">
        <v>25799</v>
      </c>
      <c r="EA1746" t="s">
        <v>13772</v>
      </c>
      <c r="EB1746" t="s">
        <v>24899</v>
      </c>
    </row>
    <row r="1747" spans="1:132" hidden="1">
      <c r="A1747">
        <v>1291</v>
      </c>
      <c r="B1747">
        <v>1</v>
      </c>
      <c r="C1747" t="s">
        <v>3098</v>
      </c>
      <c r="D1747" t="s">
        <v>3099</v>
      </c>
      <c r="E1747" t="s">
        <v>73</v>
      </c>
      <c r="F1747" t="s">
        <v>73</v>
      </c>
      <c r="G1747" t="s">
        <v>73</v>
      </c>
      <c r="H1747">
        <v>26.4</v>
      </c>
      <c r="I1747">
        <v>148</v>
      </c>
      <c r="J1747">
        <v>16785</v>
      </c>
      <c r="K1747" t="s">
        <v>3100</v>
      </c>
      <c r="L1747">
        <f t="shared" si="110"/>
        <v>8</v>
      </c>
      <c r="N1747">
        <v>8</v>
      </c>
      <c r="O1747">
        <v>8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5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5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1</v>
      </c>
      <c r="BL1747" s="2">
        <v>0</v>
      </c>
      <c r="BM1747" s="2">
        <v>5</v>
      </c>
      <c r="BN1747" s="2">
        <v>1</v>
      </c>
      <c r="BO1747" s="2">
        <v>1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f t="shared" si="113"/>
        <v>8</v>
      </c>
      <c r="BW1747" s="16">
        <f t="shared" si="111"/>
        <v>0.42105263157894735</v>
      </c>
      <c r="BX1747" s="16">
        <f>COUNTIF($BC$6:BU1747, "=0") / COUNTIF($BC$6:BU1747, "&gt;-1")</f>
        <v>0.43159707535198499</v>
      </c>
      <c r="BY1747" s="18">
        <f>SUM($BC$6:BU1747) / $BY$4</f>
        <v>0.9901121409868936</v>
      </c>
      <c r="BZ1747" s="14">
        <f t="shared" si="112"/>
        <v>15</v>
      </c>
      <c r="CA1747" t="s">
        <v>5832</v>
      </c>
      <c r="CZ1747" t="s">
        <v>10043</v>
      </c>
      <c r="DA1747" t="s">
        <v>5904</v>
      </c>
      <c r="DB1747">
        <v>305.10000000000002</v>
      </c>
      <c r="DC1747" t="s">
        <v>26263</v>
      </c>
      <c r="DD1747" t="s">
        <v>26264</v>
      </c>
      <c r="DE1747" t="s">
        <v>26265</v>
      </c>
      <c r="DF1747" t="s">
        <v>26266</v>
      </c>
      <c r="DG1747" t="s">
        <v>26267</v>
      </c>
      <c r="DH1747" t="str">
        <f>"UBE2D3"</f>
        <v>UBE2D3</v>
      </c>
      <c r="DI1747" t="s">
        <v>26268</v>
      </c>
      <c r="DJ1747" t="s">
        <v>13777</v>
      </c>
      <c r="DK1747">
        <v>9606</v>
      </c>
      <c r="DL1747" s="34" t="str">
        <f>HYPERLINK("http://www.uniprot.org/uniprot/P61077", "P61077")</f>
        <v>P61077</v>
      </c>
      <c r="DM1747" t="s">
        <v>26269</v>
      </c>
      <c r="DN1747" t="s">
        <v>26270</v>
      </c>
      <c r="DO1747" t="s">
        <v>14348</v>
      </c>
      <c r="DP1747" t="s">
        <v>13841</v>
      </c>
      <c r="DQ1747" t="s">
        <v>13772</v>
      </c>
      <c r="DR1747" t="s">
        <v>13772</v>
      </c>
      <c r="DS1747" t="s">
        <v>13772</v>
      </c>
      <c r="DT1747" t="s">
        <v>14005</v>
      </c>
      <c r="DU1747" t="s">
        <v>14111</v>
      </c>
      <c r="DV1747" t="s">
        <v>15554</v>
      </c>
      <c r="DW1747" t="s">
        <v>13812</v>
      </c>
      <c r="DX1747" t="s">
        <v>26271</v>
      </c>
      <c r="DY1747" t="s">
        <v>26272</v>
      </c>
      <c r="DZ1747" t="s">
        <v>26273</v>
      </c>
      <c r="EA1747" t="s">
        <v>14116</v>
      </c>
      <c r="EB1747" t="s">
        <v>26274</v>
      </c>
    </row>
    <row r="1748" spans="1:132" hidden="1">
      <c r="A1748">
        <v>1318</v>
      </c>
      <c r="B1748">
        <v>1</v>
      </c>
      <c r="C1748" t="s">
        <v>3161</v>
      </c>
      <c r="D1748" t="s">
        <v>73</v>
      </c>
      <c r="E1748" t="s">
        <v>73</v>
      </c>
      <c r="F1748" t="s">
        <v>73</v>
      </c>
      <c r="G1748" t="s">
        <v>73</v>
      </c>
      <c r="H1748">
        <v>48.3</v>
      </c>
      <c r="I1748">
        <v>118</v>
      </c>
      <c r="J1748">
        <v>12586</v>
      </c>
      <c r="K1748" t="s">
        <v>3162</v>
      </c>
      <c r="L1748">
        <f t="shared" si="110"/>
        <v>8</v>
      </c>
      <c r="N1748">
        <v>8</v>
      </c>
      <c r="O1748">
        <v>8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0</v>
      </c>
      <c r="AA1748">
        <v>2</v>
      </c>
      <c r="AB1748">
        <v>1</v>
      </c>
      <c r="AC1748">
        <v>0</v>
      </c>
      <c r="AD1748">
        <v>0</v>
      </c>
      <c r="AE1748">
        <v>1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</v>
      </c>
      <c r="AS1748">
        <v>0</v>
      </c>
      <c r="AT1748">
        <v>2</v>
      </c>
      <c r="AU1748">
        <v>1</v>
      </c>
      <c r="AV1748">
        <v>0</v>
      </c>
      <c r="AW1748">
        <v>0</v>
      </c>
      <c r="AX1748">
        <v>1</v>
      </c>
      <c r="AY1748">
        <v>2</v>
      </c>
      <c r="AZ1748">
        <v>0</v>
      </c>
      <c r="BA1748">
        <v>0</v>
      </c>
      <c r="BB1748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2</v>
      </c>
      <c r="BL1748" s="2">
        <v>0</v>
      </c>
      <c r="BM1748" s="2">
        <v>2</v>
      </c>
      <c r="BN1748" s="2">
        <v>1</v>
      </c>
      <c r="BO1748" s="2">
        <v>0</v>
      </c>
      <c r="BP1748" s="2">
        <v>0</v>
      </c>
      <c r="BQ1748" s="2">
        <v>1</v>
      </c>
      <c r="BR1748" s="2">
        <v>2</v>
      </c>
      <c r="BS1748" s="2">
        <v>0</v>
      </c>
      <c r="BT1748" s="2">
        <v>0</v>
      </c>
      <c r="BU1748" s="2">
        <v>0</v>
      </c>
      <c r="BV1748" s="2">
        <f t="shared" si="113"/>
        <v>8</v>
      </c>
      <c r="BW1748" s="16">
        <f t="shared" si="111"/>
        <v>0.42105263157894735</v>
      </c>
      <c r="BX1748" s="16">
        <f>COUNTIF($BC$6:BU1748, "=0") / COUNTIF($BC$6:BU1748, "&gt;-1")</f>
        <v>0.43177220158830815</v>
      </c>
      <c r="BY1748" s="18">
        <f>SUM($BC$6:BU1748) / $BY$4</f>
        <v>0.99014641008184323</v>
      </c>
      <c r="BZ1748" s="14">
        <f t="shared" si="112"/>
        <v>14</v>
      </c>
      <c r="CA1748" t="s">
        <v>5832</v>
      </c>
      <c r="CZ1748" t="s">
        <v>10136</v>
      </c>
      <c r="DA1748" t="s">
        <v>5904</v>
      </c>
      <c r="DB1748">
        <v>224.6</v>
      </c>
      <c r="DC1748" t="s">
        <v>26527</v>
      </c>
      <c r="DD1748" t="s">
        <v>26528</v>
      </c>
      <c r="DE1748" t="s">
        <v>26529</v>
      </c>
      <c r="DF1748" t="s">
        <v>26530</v>
      </c>
      <c r="DG1748" t="s">
        <v>26531</v>
      </c>
      <c r="DH1748" t="str">
        <f>"EIF4EBP1"</f>
        <v>EIF4EBP1</v>
      </c>
      <c r="DI1748" t="s">
        <v>13772</v>
      </c>
      <c r="DJ1748" t="s">
        <v>13777</v>
      </c>
      <c r="DK1748">
        <v>9606</v>
      </c>
      <c r="DL1748" s="34" t="str">
        <f>HYPERLINK("http://www.uniprot.org/uniprot/Q13541", "Q13541")</f>
        <v>Q13541</v>
      </c>
      <c r="DM1748" t="s">
        <v>26532</v>
      </c>
      <c r="DN1748" t="s">
        <v>24672</v>
      </c>
      <c r="DO1748" t="s">
        <v>13772</v>
      </c>
      <c r="DP1748" t="s">
        <v>13772</v>
      </c>
      <c r="DQ1748" t="s">
        <v>13772</v>
      </c>
      <c r="DR1748" t="s">
        <v>13772</v>
      </c>
      <c r="DS1748" t="s">
        <v>13772</v>
      </c>
      <c r="DT1748" t="s">
        <v>13772</v>
      </c>
      <c r="DU1748" t="s">
        <v>26533</v>
      </c>
      <c r="DV1748" t="s">
        <v>13991</v>
      </c>
      <c r="DW1748" t="s">
        <v>13812</v>
      </c>
      <c r="DX1748" t="s">
        <v>26534</v>
      </c>
      <c r="DY1748" t="s">
        <v>26535</v>
      </c>
      <c r="DZ1748" t="s">
        <v>26536</v>
      </c>
      <c r="EA1748" t="s">
        <v>13772</v>
      </c>
      <c r="EB1748" t="s">
        <v>26537</v>
      </c>
    </row>
    <row r="1749" spans="1:132" hidden="1">
      <c r="A1749">
        <v>1421</v>
      </c>
      <c r="B1749">
        <v>1</v>
      </c>
      <c r="C1749" t="s">
        <v>3389</v>
      </c>
      <c r="D1749" t="s">
        <v>73</v>
      </c>
      <c r="E1749" t="s">
        <v>73</v>
      </c>
      <c r="F1749" t="s">
        <v>73</v>
      </c>
      <c r="G1749" t="s">
        <v>73</v>
      </c>
      <c r="H1749">
        <v>31.8</v>
      </c>
      <c r="I1749">
        <v>132</v>
      </c>
      <c r="J1749">
        <v>14515</v>
      </c>
      <c r="K1749" t="s">
        <v>3390</v>
      </c>
      <c r="L1749">
        <f t="shared" si="110"/>
        <v>8</v>
      </c>
      <c r="N1749">
        <v>8</v>
      </c>
      <c r="O1749">
        <v>8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3</v>
      </c>
      <c r="AB1749">
        <v>2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</v>
      </c>
      <c r="AS1749">
        <v>0</v>
      </c>
      <c r="AT1749">
        <v>3</v>
      </c>
      <c r="AU1749">
        <v>2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2</v>
      </c>
      <c r="BL1749" s="2">
        <v>0</v>
      </c>
      <c r="BM1749" s="2">
        <v>3</v>
      </c>
      <c r="BN1749" s="2">
        <v>2</v>
      </c>
      <c r="BO1749" s="2">
        <v>1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f t="shared" si="113"/>
        <v>8</v>
      </c>
      <c r="BW1749" s="16">
        <f t="shared" si="111"/>
        <v>0.42105263157894735</v>
      </c>
      <c r="BX1749" s="16">
        <f>COUNTIF($BC$6:BU1749, "=0") / COUNTIF($BC$6:BU1749, "&gt;-1")</f>
        <v>0.4319773056494447</v>
      </c>
      <c r="BY1749" s="18">
        <f>SUM($BC$6:BU1749) / $BY$4</f>
        <v>0.99018067917679276</v>
      </c>
      <c r="BZ1749" s="14">
        <f t="shared" si="112"/>
        <v>15</v>
      </c>
      <c r="CA1749" t="s">
        <v>5832</v>
      </c>
      <c r="CZ1749" t="s">
        <v>10472</v>
      </c>
      <c r="DA1749" t="s">
        <v>5904</v>
      </c>
      <c r="DB1749">
        <v>265.8</v>
      </c>
      <c r="DC1749" t="s">
        <v>27460</v>
      </c>
      <c r="DD1749" t="s">
        <v>27461</v>
      </c>
      <c r="DE1749" t="s">
        <v>27462</v>
      </c>
      <c r="DF1749" t="s">
        <v>27463</v>
      </c>
      <c r="DG1749" t="s">
        <v>27464</v>
      </c>
      <c r="DH1749" t="str">
        <f>"RPS12"</f>
        <v>RPS12</v>
      </c>
      <c r="DI1749" t="s">
        <v>13772</v>
      </c>
      <c r="DJ1749" t="s">
        <v>13777</v>
      </c>
      <c r="DK1749">
        <v>9606</v>
      </c>
      <c r="DL1749" s="34" t="str">
        <f>HYPERLINK("http://www.uniprot.org/uniprot/P25398", "P25398")</f>
        <v>P25398</v>
      </c>
      <c r="DM1749" t="s">
        <v>27465</v>
      </c>
      <c r="DN1749" t="s">
        <v>13772</v>
      </c>
      <c r="DO1749" t="s">
        <v>13899</v>
      </c>
      <c r="DP1749" t="s">
        <v>13772</v>
      </c>
      <c r="DQ1749" t="s">
        <v>13772</v>
      </c>
      <c r="DR1749" t="s">
        <v>13772</v>
      </c>
      <c r="DS1749" t="s">
        <v>13772</v>
      </c>
      <c r="DT1749" t="s">
        <v>13772</v>
      </c>
      <c r="DU1749" t="s">
        <v>13937</v>
      </c>
      <c r="DV1749" t="s">
        <v>14020</v>
      </c>
      <c r="DW1749" t="s">
        <v>13812</v>
      </c>
      <c r="DX1749" t="s">
        <v>15972</v>
      </c>
      <c r="DY1749" t="s">
        <v>27466</v>
      </c>
      <c r="DZ1749" t="s">
        <v>14268</v>
      </c>
      <c r="EA1749" t="s">
        <v>13772</v>
      </c>
      <c r="EB1749" t="s">
        <v>17828</v>
      </c>
    </row>
    <row r="1750" spans="1:132" hidden="1">
      <c r="A1750">
        <v>1556</v>
      </c>
      <c r="B1750">
        <v>1</v>
      </c>
      <c r="C1750" t="s">
        <v>3689</v>
      </c>
      <c r="D1750" t="s">
        <v>3690</v>
      </c>
      <c r="E1750" t="s">
        <v>73</v>
      </c>
      <c r="F1750" t="s">
        <v>73</v>
      </c>
      <c r="G1750" t="s">
        <v>73</v>
      </c>
      <c r="H1750">
        <v>12.7</v>
      </c>
      <c r="I1750">
        <v>520</v>
      </c>
      <c r="J1750">
        <v>56432</v>
      </c>
      <c r="K1750" t="s">
        <v>3691</v>
      </c>
      <c r="L1750">
        <f t="shared" si="110"/>
        <v>8</v>
      </c>
      <c r="N1750">
        <v>8</v>
      </c>
      <c r="O1750">
        <v>8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3</v>
      </c>
      <c r="AC1750">
        <v>3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3</v>
      </c>
      <c r="AV1750">
        <v>3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1</v>
      </c>
      <c r="BN1750" s="2">
        <v>3</v>
      </c>
      <c r="BO1750" s="2">
        <v>3</v>
      </c>
      <c r="BP1750" s="2">
        <v>0</v>
      </c>
      <c r="BQ1750" s="2">
        <v>0</v>
      </c>
      <c r="BR1750" s="2">
        <v>1</v>
      </c>
      <c r="BS1750" s="2">
        <v>0</v>
      </c>
      <c r="BT1750" s="2">
        <v>0</v>
      </c>
      <c r="BU1750" s="2">
        <v>0</v>
      </c>
      <c r="BV1750" s="2">
        <f t="shared" si="113"/>
        <v>8</v>
      </c>
      <c r="BW1750" s="16">
        <f t="shared" si="111"/>
        <v>0.42105263157894735</v>
      </c>
      <c r="BX1750" s="16">
        <f>COUNTIF($BC$6:BU1750, "=0") / COUNTIF($BC$6:BU1750, "&gt;-1")</f>
        <v>0.43218217463429348</v>
      </c>
      <c r="BY1750" s="18">
        <f>SUM($BC$6:BU1750) / $BY$4</f>
        <v>0.99021494827174239</v>
      </c>
      <c r="BZ1750" s="14">
        <f t="shared" si="112"/>
        <v>15</v>
      </c>
      <c r="CA1750" t="s">
        <v>5832</v>
      </c>
      <c r="CZ1750" t="s">
        <v>10925</v>
      </c>
      <c r="DA1750" t="s">
        <v>5904</v>
      </c>
      <c r="DB1750">
        <v>988.8</v>
      </c>
      <c r="DC1750" t="s">
        <v>28725</v>
      </c>
      <c r="DD1750" t="s">
        <v>28726</v>
      </c>
      <c r="DE1750" t="s">
        <v>28727</v>
      </c>
      <c r="DF1750" t="s">
        <v>28728</v>
      </c>
      <c r="DG1750" t="s">
        <v>28729</v>
      </c>
      <c r="DH1750" t="str">
        <f>"OXCT1"</f>
        <v>OXCT1</v>
      </c>
      <c r="DI1750" t="s">
        <v>28730</v>
      </c>
      <c r="DJ1750" t="s">
        <v>13777</v>
      </c>
      <c r="DK1750">
        <v>9606</v>
      </c>
      <c r="DL1750" s="34" t="str">
        <f>HYPERLINK("http://www.uniprot.org/uniprot/P55809", "P55809")</f>
        <v>P55809</v>
      </c>
      <c r="DM1750" t="s">
        <v>28731</v>
      </c>
      <c r="DN1750" t="s">
        <v>13772</v>
      </c>
      <c r="DO1750" t="s">
        <v>14491</v>
      </c>
      <c r="DP1750" t="s">
        <v>13780</v>
      </c>
      <c r="DQ1750" t="s">
        <v>13772</v>
      </c>
      <c r="DR1750" t="s">
        <v>13807</v>
      </c>
      <c r="DS1750" t="s">
        <v>14391</v>
      </c>
      <c r="DT1750" t="s">
        <v>13772</v>
      </c>
      <c r="DU1750" t="s">
        <v>14111</v>
      </c>
      <c r="DV1750" t="s">
        <v>13782</v>
      </c>
      <c r="DW1750" t="s">
        <v>13812</v>
      </c>
      <c r="DX1750" t="s">
        <v>28732</v>
      </c>
      <c r="DY1750" t="s">
        <v>14982</v>
      </c>
      <c r="DZ1750" t="s">
        <v>28733</v>
      </c>
      <c r="EA1750" t="s">
        <v>28734</v>
      </c>
      <c r="EB1750" t="s">
        <v>28735</v>
      </c>
    </row>
    <row r="1751" spans="1:132" hidden="1">
      <c r="A1751">
        <v>1607</v>
      </c>
      <c r="B1751">
        <v>1</v>
      </c>
      <c r="C1751" t="s">
        <v>3809</v>
      </c>
      <c r="D1751" t="s">
        <v>73</v>
      </c>
      <c r="E1751" t="s">
        <v>73</v>
      </c>
      <c r="F1751" t="s">
        <v>73</v>
      </c>
      <c r="G1751" t="s">
        <v>73</v>
      </c>
      <c r="H1751">
        <v>7</v>
      </c>
      <c r="I1751">
        <v>842</v>
      </c>
      <c r="J1751">
        <v>92692</v>
      </c>
      <c r="K1751" t="s">
        <v>3810</v>
      </c>
      <c r="L1751">
        <f t="shared" si="110"/>
        <v>8</v>
      </c>
      <c r="N1751">
        <v>8</v>
      </c>
      <c r="O1751">
        <v>8</v>
      </c>
      <c r="P1751">
        <v>1</v>
      </c>
      <c r="Q1751">
        <v>0</v>
      </c>
      <c r="R1751">
        <v>3</v>
      </c>
      <c r="S1751">
        <v>1</v>
      </c>
      <c r="T1751">
        <v>1</v>
      </c>
      <c r="U1751">
        <v>1</v>
      </c>
      <c r="V1751">
        <v>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</v>
      </c>
      <c r="AL1751">
        <v>1</v>
      </c>
      <c r="AM1751">
        <v>1</v>
      </c>
      <c r="AN1751">
        <v>1</v>
      </c>
      <c r="AO1751">
        <v>2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s="2">
        <v>0</v>
      </c>
      <c r="BD1751" s="2">
        <v>3</v>
      </c>
      <c r="BE1751" s="2">
        <v>1</v>
      </c>
      <c r="BF1751" s="2">
        <v>1</v>
      </c>
      <c r="BG1751" s="2">
        <v>1</v>
      </c>
      <c r="BH1751" s="2">
        <v>2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f t="shared" si="113"/>
        <v>8</v>
      </c>
      <c r="BW1751" s="16">
        <f t="shared" si="111"/>
        <v>0.42105263157894735</v>
      </c>
      <c r="BX1751" s="16">
        <f>COUNTIF($BC$6:BU1751, "=0") / COUNTIF($BC$6:BU1751, "&gt;-1")</f>
        <v>0.43235666485802132</v>
      </c>
      <c r="BY1751" s="18">
        <f>SUM($BC$6:BU1751) / $BY$4</f>
        <v>0.99024921736669202</v>
      </c>
      <c r="BZ1751" s="14">
        <f t="shared" si="112"/>
        <v>14</v>
      </c>
      <c r="CA1751" t="s">
        <v>5832</v>
      </c>
      <c r="CZ1751" t="s">
        <v>11099</v>
      </c>
      <c r="DA1751" t="s">
        <v>5904</v>
      </c>
      <c r="DB1751">
        <v>1501.5</v>
      </c>
      <c r="DC1751" t="s">
        <v>29203</v>
      </c>
      <c r="DD1751" t="s">
        <v>29204</v>
      </c>
      <c r="DE1751" t="s">
        <v>29205</v>
      </c>
      <c r="DF1751" t="s">
        <v>29206</v>
      </c>
      <c r="DG1751" t="s">
        <v>29207</v>
      </c>
      <c r="DH1751" t="str">
        <f>"FSTL4"</f>
        <v>FSTL4</v>
      </c>
      <c r="DI1751" t="s">
        <v>29208</v>
      </c>
      <c r="DJ1751" t="s">
        <v>13777</v>
      </c>
      <c r="DK1751">
        <v>9606</v>
      </c>
      <c r="DL1751" s="34" t="str">
        <f>HYPERLINK("http://www.uniprot.org/uniprot/Q6MZW2", "Q6MZW2")</f>
        <v>Q6MZW2</v>
      </c>
      <c r="DM1751" t="s">
        <v>29209</v>
      </c>
      <c r="DN1751" t="s">
        <v>13772</v>
      </c>
      <c r="DO1751" t="s">
        <v>14321</v>
      </c>
      <c r="DP1751" t="s">
        <v>13780</v>
      </c>
      <c r="DQ1751" t="s">
        <v>13772</v>
      </c>
      <c r="DR1751" t="s">
        <v>13772</v>
      </c>
      <c r="DS1751" t="s">
        <v>16182</v>
      </c>
      <c r="DT1751" t="s">
        <v>13873</v>
      </c>
      <c r="DU1751" t="s">
        <v>13772</v>
      </c>
      <c r="DV1751" t="s">
        <v>13796</v>
      </c>
      <c r="DW1751" t="s">
        <v>13772</v>
      </c>
      <c r="DX1751" t="s">
        <v>29210</v>
      </c>
      <c r="DY1751" t="s">
        <v>16344</v>
      </c>
      <c r="DZ1751" t="s">
        <v>29211</v>
      </c>
      <c r="EA1751" t="s">
        <v>13772</v>
      </c>
      <c r="EB1751" t="s">
        <v>13772</v>
      </c>
    </row>
    <row r="1752" spans="1:132" hidden="1">
      <c r="A1752">
        <v>1756</v>
      </c>
      <c r="B1752">
        <v>1</v>
      </c>
      <c r="C1752" t="s">
        <v>4154</v>
      </c>
      <c r="D1752" t="s">
        <v>73</v>
      </c>
      <c r="E1752" t="s">
        <v>73</v>
      </c>
      <c r="F1752" t="s">
        <v>73</v>
      </c>
      <c r="G1752" t="s">
        <v>73</v>
      </c>
      <c r="H1752">
        <v>11.6</v>
      </c>
      <c r="I1752">
        <v>508</v>
      </c>
      <c r="J1752">
        <v>54720</v>
      </c>
      <c r="K1752" t="s">
        <v>4155</v>
      </c>
      <c r="L1752">
        <f t="shared" si="110"/>
        <v>8</v>
      </c>
      <c r="N1752">
        <v>8</v>
      </c>
      <c r="O1752">
        <v>8</v>
      </c>
      <c r="P1752">
        <v>1</v>
      </c>
      <c r="Q1752">
        <v>0</v>
      </c>
      <c r="R1752">
        <v>2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>
        <v>2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s="2">
        <v>0</v>
      </c>
      <c r="BD1752" s="2">
        <v>2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2</v>
      </c>
      <c r="BN1752" s="2">
        <v>2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f t="shared" si="113"/>
        <v>8</v>
      </c>
      <c r="BW1752" s="16">
        <f t="shared" si="111"/>
        <v>0.42105263157894735</v>
      </c>
      <c r="BX1752" s="16">
        <f>COUNTIF($BC$6:BU1752, "=0") / COUNTIF($BC$6:BU1752, "&gt;-1")</f>
        <v>0.43253095532190522</v>
      </c>
      <c r="BY1752" s="18">
        <f>SUM($BC$6:BU1752) / $BY$4</f>
        <v>0.99028348646164166</v>
      </c>
      <c r="BZ1752" s="14">
        <f t="shared" si="112"/>
        <v>14</v>
      </c>
      <c r="CA1752" t="s">
        <v>5832</v>
      </c>
      <c r="CZ1752" t="s">
        <v>11608</v>
      </c>
      <c r="DA1752" t="s">
        <v>5904</v>
      </c>
      <c r="DB1752">
        <v>950.7</v>
      </c>
      <c r="DC1752" t="s">
        <v>30640</v>
      </c>
      <c r="DD1752" t="s">
        <v>13772</v>
      </c>
      <c r="DE1752" t="s">
        <v>30641</v>
      </c>
      <c r="DF1752" t="s">
        <v>30642</v>
      </c>
      <c r="DG1752" t="s">
        <v>30643</v>
      </c>
      <c r="DH1752" t="str">
        <f>"FH"</f>
        <v>FH</v>
      </c>
      <c r="DI1752" t="s">
        <v>13772</v>
      </c>
      <c r="DJ1752" t="s">
        <v>13777</v>
      </c>
      <c r="DK1752">
        <v>9606</v>
      </c>
      <c r="DL1752" s="34" t="str">
        <f>HYPERLINK("http://www.uniprot.org/uniprot/P07954", "P07954")</f>
        <v>P07954</v>
      </c>
      <c r="DM1752" t="s">
        <v>30644</v>
      </c>
      <c r="DN1752" t="s">
        <v>30645</v>
      </c>
      <c r="DO1752" t="s">
        <v>30646</v>
      </c>
      <c r="DP1752" t="s">
        <v>26316</v>
      </c>
      <c r="DQ1752" t="s">
        <v>13772</v>
      </c>
      <c r="DR1752" t="s">
        <v>20101</v>
      </c>
      <c r="DS1752" t="s">
        <v>14391</v>
      </c>
      <c r="DT1752" t="s">
        <v>13772</v>
      </c>
      <c r="DU1752" t="s">
        <v>15788</v>
      </c>
      <c r="DV1752" t="s">
        <v>13886</v>
      </c>
      <c r="DW1752" t="s">
        <v>13812</v>
      </c>
      <c r="DX1752" t="s">
        <v>30647</v>
      </c>
      <c r="DY1752" t="s">
        <v>30648</v>
      </c>
      <c r="DZ1752" t="s">
        <v>30649</v>
      </c>
      <c r="EA1752" t="s">
        <v>30650</v>
      </c>
      <c r="EB1752" t="s">
        <v>21128</v>
      </c>
    </row>
    <row r="1753" spans="1:132" hidden="1">
      <c r="A1753">
        <v>1821</v>
      </c>
      <c r="B1753">
        <v>1</v>
      </c>
      <c r="C1753" t="s">
        <v>4306</v>
      </c>
      <c r="D1753" t="s">
        <v>73</v>
      </c>
      <c r="E1753" t="s">
        <v>73</v>
      </c>
      <c r="F1753" t="s">
        <v>73</v>
      </c>
      <c r="G1753" t="s">
        <v>73</v>
      </c>
      <c r="H1753">
        <v>5.6</v>
      </c>
      <c r="I1753">
        <v>679</v>
      </c>
      <c r="J1753">
        <v>73567</v>
      </c>
      <c r="K1753" t="s">
        <v>4307</v>
      </c>
      <c r="L1753">
        <f t="shared" si="110"/>
        <v>8</v>
      </c>
      <c r="N1753">
        <v>8</v>
      </c>
      <c r="O1753">
        <v>8</v>
      </c>
      <c r="P1753">
        <v>1</v>
      </c>
      <c r="Q1753">
        <v>0</v>
      </c>
      <c r="R1753">
        <v>2</v>
      </c>
      <c r="S1753">
        <v>0</v>
      </c>
      <c r="T1753">
        <v>0</v>
      </c>
      <c r="U1753">
        <v>2</v>
      </c>
      <c r="V1753">
        <v>3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2</v>
      </c>
      <c r="AO1753">
        <v>3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s="2">
        <v>0</v>
      </c>
      <c r="BD1753" s="2">
        <v>2</v>
      </c>
      <c r="BE1753" s="2">
        <v>0</v>
      </c>
      <c r="BF1753" s="2">
        <v>0</v>
      </c>
      <c r="BG1753" s="2">
        <v>2</v>
      </c>
      <c r="BH1753" s="2">
        <v>3</v>
      </c>
      <c r="BI1753" s="2">
        <v>0</v>
      </c>
      <c r="BJ1753" s="2">
        <v>1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f t="shared" si="113"/>
        <v>8</v>
      </c>
      <c r="BW1753" s="16">
        <f t="shared" si="111"/>
        <v>0.42105263157894735</v>
      </c>
      <c r="BX1753" s="16">
        <f>COUNTIF($BC$6:BU1753, "=0") / COUNTIF($BC$6:BU1753, "&gt;-1")</f>
        <v>0.4327351559677225</v>
      </c>
      <c r="BY1753" s="18">
        <f>SUM($BC$6:BU1753) / $BY$4</f>
        <v>0.99031775555659118</v>
      </c>
      <c r="BZ1753" s="14">
        <f t="shared" si="112"/>
        <v>15</v>
      </c>
      <c r="CA1753" t="s">
        <v>5832</v>
      </c>
      <c r="CZ1753" t="s">
        <v>11827</v>
      </c>
      <c r="DA1753" t="s">
        <v>5904</v>
      </c>
      <c r="DB1753">
        <v>1156.3</v>
      </c>
      <c r="DC1753" t="s">
        <v>31283</v>
      </c>
      <c r="DD1753" t="s">
        <v>31284</v>
      </c>
      <c r="DE1753" t="s">
        <v>31285</v>
      </c>
      <c r="DF1753" t="s">
        <v>31286</v>
      </c>
      <c r="DG1753" t="s">
        <v>31287</v>
      </c>
      <c r="DH1753" t="str">
        <f>"SLC5A9"</f>
        <v>SLC5A9</v>
      </c>
      <c r="DI1753" t="s">
        <v>31288</v>
      </c>
      <c r="DJ1753" t="s">
        <v>13777</v>
      </c>
      <c r="DK1753">
        <v>9606</v>
      </c>
      <c r="DL1753" s="34" t="str">
        <f>HYPERLINK("http://www.uniprot.org/uniprot/Q2M3M2", "Q2M3M2")</f>
        <v>Q2M3M2</v>
      </c>
      <c r="DM1753" t="s">
        <v>31289</v>
      </c>
      <c r="DN1753" t="s">
        <v>31290</v>
      </c>
      <c r="DO1753" t="s">
        <v>13825</v>
      </c>
      <c r="DP1753" t="s">
        <v>13780</v>
      </c>
      <c r="DQ1753" t="s">
        <v>13772</v>
      </c>
      <c r="DR1753" t="s">
        <v>13772</v>
      </c>
      <c r="DS1753" t="s">
        <v>13925</v>
      </c>
      <c r="DT1753" t="s">
        <v>13926</v>
      </c>
      <c r="DU1753" t="s">
        <v>13772</v>
      </c>
      <c r="DV1753" t="s">
        <v>13978</v>
      </c>
      <c r="DW1753" t="s">
        <v>13772</v>
      </c>
      <c r="DX1753" t="s">
        <v>31291</v>
      </c>
      <c r="DY1753" t="s">
        <v>17329</v>
      </c>
      <c r="DZ1753" t="s">
        <v>30672</v>
      </c>
      <c r="EA1753" t="s">
        <v>13772</v>
      </c>
      <c r="EB1753" t="s">
        <v>31292</v>
      </c>
    </row>
    <row r="1754" spans="1:132" hidden="1">
      <c r="A1754">
        <v>1822</v>
      </c>
      <c r="B1754">
        <v>1</v>
      </c>
      <c r="C1754" t="s">
        <v>4308</v>
      </c>
      <c r="D1754" t="s">
        <v>73</v>
      </c>
      <c r="E1754" t="s">
        <v>73</v>
      </c>
      <c r="F1754" t="s">
        <v>73</v>
      </c>
      <c r="G1754" t="s">
        <v>73</v>
      </c>
      <c r="H1754">
        <v>9.6</v>
      </c>
      <c r="I1754">
        <v>617</v>
      </c>
      <c r="J1754">
        <v>69905</v>
      </c>
      <c r="K1754" t="s">
        <v>4309</v>
      </c>
      <c r="L1754">
        <f t="shared" si="110"/>
        <v>8</v>
      </c>
      <c r="N1754">
        <v>8</v>
      </c>
      <c r="O1754">
        <v>8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2</v>
      </c>
      <c r="AC1754">
        <v>1</v>
      </c>
      <c r="AD1754">
        <v>0</v>
      </c>
      <c r="AE1754">
        <v>0</v>
      </c>
      <c r="AF1754">
        <v>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1</v>
      </c>
      <c r="AU1754">
        <v>2</v>
      </c>
      <c r="AV1754">
        <v>1</v>
      </c>
      <c r="AW1754">
        <v>0</v>
      </c>
      <c r="AX1754">
        <v>0</v>
      </c>
      <c r="AY1754">
        <v>2</v>
      </c>
      <c r="AZ1754">
        <v>0</v>
      </c>
      <c r="BA1754">
        <v>0</v>
      </c>
      <c r="BB1754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1</v>
      </c>
      <c r="BN1754" s="2">
        <v>2</v>
      </c>
      <c r="BO1754" s="2">
        <v>1</v>
      </c>
      <c r="BP1754" s="2">
        <v>0</v>
      </c>
      <c r="BQ1754" s="2">
        <v>0</v>
      </c>
      <c r="BR1754" s="2">
        <v>2</v>
      </c>
      <c r="BS1754" s="2">
        <v>0</v>
      </c>
      <c r="BT1754" s="2">
        <v>0</v>
      </c>
      <c r="BU1754" s="2">
        <v>0</v>
      </c>
      <c r="BV1754" s="2">
        <f t="shared" si="113"/>
        <v>8</v>
      </c>
      <c r="BW1754" s="16">
        <f t="shared" si="111"/>
        <v>0.42105263157894735</v>
      </c>
      <c r="BX1754" s="16">
        <f>COUNTIF($BC$6:BU1754, "=0") / COUNTIF($BC$6:BU1754, "&gt;-1")</f>
        <v>0.43287893834070595</v>
      </c>
      <c r="BY1754" s="18">
        <f>SUM($BC$6:BU1754) / $BY$4</f>
        <v>0.99035202465154082</v>
      </c>
      <c r="BZ1754" s="14">
        <f t="shared" si="112"/>
        <v>13</v>
      </c>
      <c r="CA1754" t="s">
        <v>5832</v>
      </c>
      <c r="CZ1754" t="s">
        <v>11831</v>
      </c>
      <c r="DA1754" t="s">
        <v>5904</v>
      </c>
      <c r="DB1754">
        <v>972.2</v>
      </c>
      <c r="DC1754" t="s">
        <v>31293</v>
      </c>
      <c r="DD1754" t="s">
        <v>31294</v>
      </c>
      <c r="DE1754" t="s">
        <v>31295</v>
      </c>
      <c r="DF1754" t="s">
        <v>31296</v>
      </c>
      <c r="DG1754" t="s">
        <v>31297</v>
      </c>
      <c r="DH1754" t="str">
        <f>"LBR"</f>
        <v>LBR</v>
      </c>
      <c r="DI1754" t="s">
        <v>13772</v>
      </c>
      <c r="DJ1754" t="s">
        <v>13777</v>
      </c>
      <c r="DK1754">
        <v>9606</v>
      </c>
      <c r="DL1754" s="34" t="str">
        <f>HYPERLINK("http://www.uniprot.org/uniprot/Q14739", "Q14739")</f>
        <v>Q14739</v>
      </c>
      <c r="DM1754" t="s">
        <v>31298</v>
      </c>
      <c r="DN1754" t="s">
        <v>24907</v>
      </c>
      <c r="DO1754" t="s">
        <v>31299</v>
      </c>
      <c r="DP1754" t="s">
        <v>13793</v>
      </c>
      <c r="DQ1754" t="s">
        <v>13772</v>
      </c>
      <c r="DR1754" t="s">
        <v>14517</v>
      </c>
      <c r="DS1754" t="s">
        <v>13925</v>
      </c>
      <c r="DT1754" t="s">
        <v>13772</v>
      </c>
      <c r="DU1754" t="s">
        <v>31300</v>
      </c>
      <c r="DV1754" t="s">
        <v>13886</v>
      </c>
      <c r="DW1754" t="s">
        <v>13812</v>
      </c>
      <c r="DX1754" t="s">
        <v>31301</v>
      </c>
      <c r="DY1754" t="s">
        <v>31302</v>
      </c>
      <c r="DZ1754" t="s">
        <v>31303</v>
      </c>
      <c r="EA1754" t="s">
        <v>31304</v>
      </c>
      <c r="EB1754" t="s">
        <v>31305</v>
      </c>
    </row>
    <row r="1755" spans="1:132" hidden="1">
      <c r="A1755">
        <v>1837</v>
      </c>
      <c r="B1755">
        <v>1</v>
      </c>
      <c r="C1755" t="s">
        <v>4342</v>
      </c>
      <c r="D1755" t="s">
        <v>4343</v>
      </c>
      <c r="E1755" t="s">
        <v>73</v>
      </c>
      <c r="F1755" t="s">
        <v>1008</v>
      </c>
      <c r="G1755" t="s">
        <v>73</v>
      </c>
      <c r="H1755">
        <v>10.1</v>
      </c>
      <c r="I1755">
        <v>1000</v>
      </c>
      <c r="J1755">
        <v>110320</v>
      </c>
      <c r="K1755" t="s">
        <v>4344</v>
      </c>
      <c r="L1755">
        <f t="shared" si="110"/>
        <v>15</v>
      </c>
      <c r="N1755">
        <v>15</v>
      </c>
      <c r="O1755">
        <v>3</v>
      </c>
      <c r="P1755">
        <v>0.2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0</v>
      </c>
      <c r="Y1755">
        <v>0</v>
      </c>
      <c r="Z1755">
        <v>0</v>
      </c>
      <c r="AA1755">
        <v>4</v>
      </c>
      <c r="AB1755">
        <v>3</v>
      </c>
      <c r="AC1755">
        <v>0</v>
      </c>
      <c r="AD1755">
        <v>0</v>
      </c>
      <c r="AE1755">
        <v>3</v>
      </c>
      <c r="AF1755">
        <v>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2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2</v>
      </c>
      <c r="BJ1755" s="2">
        <v>0</v>
      </c>
      <c r="BK1755" s="2">
        <v>0</v>
      </c>
      <c r="BL1755" s="2">
        <v>0</v>
      </c>
      <c r="BM1755" s="2">
        <v>4</v>
      </c>
      <c r="BN1755" s="2">
        <v>0.5</v>
      </c>
      <c r="BO1755" s="2">
        <v>0</v>
      </c>
      <c r="BP1755" s="2">
        <v>0</v>
      </c>
      <c r="BQ1755" s="2">
        <v>0</v>
      </c>
      <c r="BR1755" s="2">
        <v>1.5</v>
      </c>
      <c r="BS1755" s="2">
        <v>0</v>
      </c>
      <c r="BT1755" s="2">
        <v>0</v>
      </c>
      <c r="BU1755" s="2">
        <v>0</v>
      </c>
      <c r="BV1755" s="2">
        <f t="shared" si="113"/>
        <v>8</v>
      </c>
      <c r="BW1755" s="16">
        <f t="shared" si="111"/>
        <v>0.42105263157894735</v>
      </c>
      <c r="BX1755" s="16">
        <f>COUNTIF($BC$6:BU1755, "=0") / COUNTIF($BC$6:BU1755, "&gt;-1")</f>
        <v>0.43308270676691729</v>
      </c>
      <c r="BY1755" s="18">
        <f>SUM($BC$6:BU1755) / $BY$4</f>
        <v>0.99038629374649045</v>
      </c>
      <c r="BZ1755" s="14">
        <f t="shared" si="112"/>
        <v>15</v>
      </c>
      <c r="CA1755" t="s">
        <v>5832</v>
      </c>
      <c r="CZ1755" t="s">
        <v>11884</v>
      </c>
      <c r="DA1755" t="s">
        <v>5904</v>
      </c>
      <c r="DB1755">
        <v>1939.8</v>
      </c>
      <c r="DC1755" t="s">
        <v>31443</v>
      </c>
      <c r="DD1755" t="s">
        <v>31444</v>
      </c>
      <c r="DE1755" t="s">
        <v>31445</v>
      </c>
      <c r="DF1755" t="s">
        <v>31446</v>
      </c>
      <c r="DG1755" t="s">
        <v>31447</v>
      </c>
      <c r="DH1755" t="str">
        <f>"ATP2A1"</f>
        <v>ATP2A1</v>
      </c>
      <c r="DI1755" t="s">
        <v>13772</v>
      </c>
      <c r="DJ1755" t="s">
        <v>13777</v>
      </c>
      <c r="DK1755">
        <v>9606</v>
      </c>
      <c r="DL1755" s="34" t="str">
        <f>HYPERLINK("http://www.uniprot.org/uniprot/O14983", "O14983")</f>
        <v>O14983</v>
      </c>
      <c r="DM1755" t="s">
        <v>31448</v>
      </c>
      <c r="DN1755" t="s">
        <v>16775</v>
      </c>
      <c r="DO1755" t="s">
        <v>17648</v>
      </c>
      <c r="DP1755" t="s">
        <v>13841</v>
      </c>
      <c r="DQ1755" t="s">
        <v>13772</v>
      </c>
      <c r="DR1755" t="s">
        <v>13807</v>
      </c>
      <c r="DS1755" t="s">
        <v>13925</v>
      </c>
      <c r="DT1755" t="s">
        <v>17650</v>
      </c>
      <c r="DU1755" t="s">
        <v>16605</v>
      </c>
      <c r="DV1755" t="s">
        <v>15554</v>
      </c>
      <c r="DW1755" t="s">
        <v>13772</v>
      </c>
      <c r="DX1755" t="s">
        <v>31449</v>
      </c>
      <c r="DY1755" t="s">
        <v>31450</v>
      </c>
      <c r="DZ1755" t="s">
        <v>31451</v>
      </c>
      <c r="EA1755" t="s">
        <v>13772</v>
      </c>
      <c r="EB1755" t="s">
        <v>17655</v>
      </c>
    </row>
    <row r="1756" spans="1:132" hidden="1">
      <c r="A1756">
        <v>1875</v>
      </c>
      <c r="B1756">
        <v>1</v>
      </c>
      <c r="C1756" t="s">
        <v>4426</v>
      </c>
      <c r="D1756" t="s">
        <v>4427</v>
      </c>
      <c r="E1756" t="s">
        <v>73</v>
      </c>
      <c r="F1756" t="s">
        <v>73</v>
      </c>
      <c r="G1756" t="s">
        <v>73</v>
      </c>
      <c r="H1756">
        <v>11.2</v>
      </c>
      <c r="I1756">
        <v>197</v>
      </c>
      <c r="J1756">
        <v>22352</v>
      </c>
      <c r="K1756" t="s">
        <v>4428</v>
      </c>
      <c r="L1756">
        <f t="shared" si="110"/>
        <v>8</v>
      </c>
      <c r="N1756">
        <v>8</v>
      </c>
      <c r="O1756">
        <v>8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1</v>
      </c>
      <c r="AC1756">
        <v>1</v>
      </c>
      <c r="AD1756">
        <v>0</v>
      </c>
      <c r="AE1756">
        <v>1</v>
      </c>
      <c r="AF1756">
        <v>2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1</v>
      </c>
      <c r="AY1756">
        <v>2</v>
      </c>
      <c r="AZ1756">
        <v>0</v>
      </c>
      <c r="BA1756">
        <v>0</v>
      </c>
      <c r="BB1756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1</v>
      </c>
      <c r="BL1756" s="2">
        <v>0</v>
      </c>
      <c r="BM1756" s="2">
        <v>1</v>
      </c>
      <c r="BN1756" s="2">
        <v>1</v>
      </c>
      <c r="BO1756" s="2">
        <v>1</v>
      </c>
      <c r="BP1756" s="2">
        <v>0</v>
      </c>
      <c r="BQ1756" s="2">
        <v>1</v>
      </c>
      <c r="BR1756" s="2">
        <v>2</v>
      </c>
      <c r="BS1756" s="2">
        <v>0</v>
      </c>
      <c r="BT1756" s="2">
        <v>0</v>
      </c>
      <c r="BU1756" s="2">
        <v>1</v>
      </c>
      <c r="BV1756" s="2">
        <f t="shared" si="113"/>
        <v>8</v>
      </c>
      <c r="BW1756" s="16">
        <f t="shared" si="111"/>
        <v>0.42105263157894735</v>
      </c>
      <c r="BX1756" s="16">
        <f>COUNTIF($BC$6:BU1756, "=0") / COUNTIF($BC$6:BU1756, "&gt;-1")</f>
        <v>0.43319606841203523</v>
      </c>
      <c r="BY1756" s="18">
        <f>SUM($BC$6:BU1756) / $BY$4</f>
        <v>0.99042056284143998</v>
      </c>
      <c r="BZ1756" s="14">
        <f t="shared" si="112"/>
        <v>12</v>
      </c>
      <c r="CA1756" t="s">
        <v>5832</v>
      </c>
      <c r="CZ1756" t="s">
        <v>12006</v>
      </c>
      <c r="DA1756" t="s">
        <v>5904</v>
      </c>
      <c r="DB1756">
        <v>245</v>
      </c>
      <c r="DC1756" t="s">
        <v>31785</v>
      </c>
      <c r="DD1756" t="s">
        <v>31786</v>
      </c>
      <c r="DE1756" t="s">
        <v>31787</v>
      </c>
      <c r="DF1756" t="s">
        <v>31788</v>
      </c>
      <c r="DG1756" t="s">
        <v>31789</v>
      </c>
      <c r="DH1756" t="str">
        <f>"TNFRSF17"</f>
        <v>TNFRSF17</v>
      </c>
      <c r="DI1756" t="s">
        <v>31790</v>
      </c>
      <c r="DJ1756" t="s">
        <v>13777</v>
      </c>
      <c r="DK1756">
        <v>9606</v>
      </c>
      <c r="DL1756" s="34" t="str">
        <f>HYPERLINK("http://www.uniprot.org/uniprot/Q02223", "Q02223")</f>
        <v>Q02223</v>
      </c>
      <c r="DM1756" t="s">
        <v>31791</v>
      </c>
      <c r="DN1756" t="s">
        <v>15290</v>
      </c>
      <c r="DO1756" t="s">
        <v>13792</v>
      </c>
      <c r="DP1756" t="s">
        <v>20333</v>
      </c>
      <c r="DQ1756" t="s">
        <v>13772</v>
      </c>
      <c r="DR1756" t="s">
        <v>14244</v>
      </c>
      <c r="DS1756" t="s">
        <v>14417</v>
      </c>
      <c r="DT1756" t="s">
        <v>13772</v>
      </c>
      <c r="DU1756" t="s">
        <v>13795</v>
      </c>
      <c r="DV1756" t="s">
        <v>14506</v>
      </c>
      <c r="DW1756" t="s">
        <v>13812</v>
      </c>
      <c r="DX1756" t="s">
        <v>31792</v>
      </c>
      <c r="DY1756" t="s">
        <v>31793</v>
      </c>
      <c r="DZ1756" t="s">
        <v>19331</v>
      </c>
      <c r="EA1756" t="s">
        <v>13772</v>
      </c>
      <c r="EB1756" t="s">
        <v>24565</v>
      </c>
    </row>
    <row r="1757" spans="1:132" hidden="1">
      <c r="A1757">
        <v>1899</v>
      </c>
      <c r="B1757">
        <v>1</v>
      </c>
      <c r="C1757" t="s">
        <v>4479</v>
      </c>
      <c r="D1757" t="s">
        <v>73</v>
      </c>
      <c r="E1757" t="s">
        <v>73</v>
      </c>
      <c r="F1757" t="s">
        <v>73</v>
      </c>
      <c r="G1757" t="s">
        <v>73</v>
      </c>
      <c r="H1757">
        <v>27.2</v>
      </c>
      <c r="I1757">
        <v>147</v>
      </c>
      <c r="J1757">
        <v>16665</v>
      </c>
      <c r="K1757" t="s">
        <v>4480</v>
      </c>
      <c r="L1757">
        <f t="shared" si="110"/>
        <v>8</v>
      </c>
      <c r="N1757">
        <v>8</v>
      </c>
      <c r="O1757">
        <v>8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3</v>
      </c>
      <c r="AB1757">
        <v>2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3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0</v>
      </c>
      <c r="BL1757" s="2">
        <v>0</v>
      </c>
      <c r="BM1757" s="2">
        <v>3</v>
      </c>
      <c r="BN1757" s="2">
        <v>2</v>
      </c>
      <c r="BO1757" s="2">
        <v>0</v>
      </c>
      <c r="BP1757" s="2">
        <v>0</v>
      </c>
      <c r="BQ1757" s="2">
        <v>1</v>
      </c>
      <c r="BR1757" s="2">
        <v>1</v>
      </c>
      <c r="BS1757" s="2">
        <v>0</v>
      </c>
      <c r="BT1757" s="2">
        <v>0</v>
      </c>
      <c r="BU1757" s="2">
        <v>0</v>
      </c>
      <c r="BV1757" s="2">
        <f t="shared" si="113"/>
        <v>8</v>
      </c>
      <c r="BW1757" s="16">
        <f t="shared" si="111"/>
        <v>0.42105263157894735</v>
      </c>
      <c r="BX1757" s="16">
        <f>COUNTIF($BC$6:BU1757, "=0") / COUNTIF($BC$6:BU1757, "&gt;-1")</f>
        <v>0.4333693823600096</v>
      </c>
      <c r="BY1757" s="18">
        <f>SUM($BC$6:BU1757) / $BY$4</f>
        <v>0.99045483193638961</v>
      </c>
      <c r="BZ1757" s="14">
        <f t="shared" si="112"/>
        <v>14</v>
      </c>
      <c r="CA1757" t="s">
        <v>5832</v>
      </c>
      <c r="CZ1757" t="s">
        <v>12083</v>
      </c>
      <c r="DA1757" t="s">
        <v>5904</v>
      </c>
      <c r="DB1757">
        <v>277.3</v>
      </c>
      <c r="DC1757" t="s">
        <v>31977</v>
      </c>
      <c r="DD1757" t="s">
        <v>31978</v>
      </c>
      <c r="DE1757" t="s">
        <v>31979</v>
      </c>
      <c r="DF1757" t="s">
        <v>31980</v>
      </c>
      <c r="DG1757" t="s">
        <v>31981</v>
      </c>
      <c r="DH1757" t="str">
        <f>"NUDT2"</f>
        <v>NUDT2</v>
      </c>
      <c r="DI1757" t="s">
        <v>31982</v>
      </c>
      <c r="DJ1757" t="s">
        <v>13777</v>
      </c>
      <c r="DK1757">
        <v>9606</v>
      </c>
      <c r="DL1757" s="34" t="str">
        <f>HYPERLINK("http://www.uniprot.org/uniprot/P50583", "P50583")</f>
        <v>P50583</v>
      </c>
      <c r="DM1757" t="s">
        <v>31983</v>
      </c>
      <c r="DN1757" t="s">
        <v>13772</v>
      </c>
      <c r="DO1757" t="s">
        <v>13772</v>
      </c>
      <c r="DP1757" t="s">
        <v>13772</v>
      </c>
      <c r="DQ1757" t="s">
        <v>13772</v>
      </c>
      <c r="DR1757" t="s">
        <v>13772</v>
      </c>
      <c r="DS1757" t="s">
        <v>13772</v>
      </c>
      <c r="DT1757" t="s">
        <v>14216</v>
      </c>
      <c r="DU1757" t="s">
        <v>13857</v>
      </c>
      <c r="DV1757" t="s">
        <v>14020</v>
      </c>
      <c r="DW1757" t="s">
        <v>13812</v>
      </c>
      <c r="DX1757" t="s">
        <v>31984</v>
      </c>
      <c r="DY1757" t="s">
        <v>14494</v>
      </c>
      <c r="DZ1757" t="s">
        <v>31985</v>
      </c>
      <c r="EA1757" t="s">
        <v>13772</v>
      </c>
      <c r="EB1757" t="s">
        <v>17385</v>
      </c>
    </row>
    <row r="1758" spans="1:132" hidden="1">
      <c r="A1758">
        <v>1970</v>
      </c>
      <c r="B1758">
        <v>1</v>
      </c>
      <c r="C1758" t="s">
        <v>4642</v>
      </c>
      <c r="D1758" t="s">
        <v>73</v>
      </c>
      <c r="E1758" t="s">
        <v>73</v>
      </c>
      <c r="F1758" t="s">
        <v>73</v>
      </c>
      <c r="G1758" t="s">
        <v>73</v>
      </c>
      <c r="H1758">
        <v>12.5</v>
      </c>
      <c r="I1758">
        <v>598</v>
      </c>
      <c r="J1758">
        <v>62317</v>
      </c>
      <c r="K1758" t="s">
        <v>4643</v>
      </c>
      <c r="L1758">
        <f t="shared" si="110"/>
        <v>8</v>
      </c>
      <c r="N1758">
        <v>8</v>
      </c>
      <c r="O1758">
        <v>8</v>
      </c>
      <c r="P1758">
        <v>1</v>
      </c>
      <c r="Q1758">
        <v>0</v>
      </c>
      <c r="R1758">
        <v>0</v>
      </c>
      <c r="S1758">
        <v>0</v>
      </c>
      <c r="T1758">
        <v>3</v>
      </c>
      <c r="U1758">
        <v>2</v>
      </c>
      <c r="V1758">
        <v>0</v>
      </c>
      <c r="W1758">
        <v>3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</v>
      </c>
      <c r="AN1758">
        <v>2</v>
      </c>
      <c r="AO1758">
        <v>0</v>
      </c>
      <c r="AP1758">
        <v>3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 s="2">
        <v>0</v>
      </c>
      <c r="BD1758" s="2">
        <v>0</v>
      </c>
      <c r="BE1758" s="2">
        <v>0</v>
      </c>
      <c r="BF1758" s="2">
        <v>3</v>
      </c>
      <c r="BG1758" s="2">
        <v>2</v>
      </c>
      <c r="BH1758" s="2">
        <v>0</v>
      </c>
      <c r="BI1758" s="2">
        <v>3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f t="shared" si="113"/>
        <v>8</v>
      </c>
      <c r="BW1758" s="16">
        <f t="shared" si="111"/>
        <v>0.42105263157894735</v>
      </c>
      <c r="BX1758" s="16">
        <f>COUNTIF($BC$6:BU1758, "=0") / COUNTIF($BC$6:BU1758, "&gt;-1")</f>
        <v>0.43360254601134895</v>
      </c>
      <c r="BY1758" s="18">
        <f>SUM($BC$6:BU1758) / $BY$4</f>
        <v>0.99048910103133925</v>
      </c>
      <c r="BZ1758" s="14">
        <f t="shared" si="112"/>
        <v>16</v>
      </c>
      <c r="CA1758" t="s">
        <v>5832</v>
      </c>
      <c r="CZ1758" t="s">
        <v>12323</v>
      </c>
      <c r="DA1758" t="s">
        <v>5904</v>
      </c>
      <c r="DB1758">
        <v>918.7</v>
      </c>
      <c r="DC1758" t="s">
        <v>32661</v>
      </c>
      <c r="DD1758" t="s">
        <v>32662</v>
      </c>
      <c r="DE1758" t="s">
        <v>32663</v>
      </c>
      <c r="DF1758" t="s">
        <v>32664</v>
      </c>
      <c r="DG1758" t="s">
        <v>32665</v>
      </c>
      <c r="DH1758" t="str">
        <f>"MEGF9"</f>
        <v>MEGF9</v>
      </c>
      <c r="DI1758" t="s">
        <v>32666</v>
      </c>
      <c r="DJ1758" t="s">
        <v>13777</v>
      </c>
      <c r="DK1758">
        <v>9606</v>
      </c>
      <c r="DL1758" s="34" t="str">
        <f>HYPERLINK("http://www.uniprot.org/uniprot/Q9H1U4", "Q9H1U4")</f>
        <v>Q9H1U4</v>
      </c>
      <c r="DM1758" t="s">
        <v>32667</v>
      </c>
      <c r="DN1758" t="s">
        <v>13772</v>
      </c>
      <c r="DO1758" t="s">
        <v>13825</v>
      </c>
      <c r="DP1758" t="s">
        <v>13793</v>
      </c>
      <c r="DQ1758" t="s">
        <v>13772</v>
      </c>
      <c r="DR1758" t="s">
        <v>13772</v>
      </c>
      <c r="DS1758" t="s">
        <v>32668</v>
      </c>
      <c r="DT1758" t="s">
        <v>13772</v>
      </c>
      <c r="DU1758" t="s">
        <v>13772</v>
      </c>
      <c r="DV1758" t="s">
        <v>13796</v>
      </c>
      <c r="DW1758" t="s">
        <v>13772</v>
      </c>
      <c r="DX1758" t="s">
        <v>32669</v>
      </c>
      <c r="DY1758" t="s">
        <v>32670</v>
      </c>
      <c r="DZ1758" t="s">
        <v>13772</v>
      </c>
      <c r="EA1758" t="s">
        <v>13772</v>
      </c>
      <c r="EB1758" t="s">
        <v>13772</v>
      </c>
    </row>
    <row r="1759" spans="1:132" hidden="1">
      <c r="A1759">
        <v>2056</v>
      </c>
      <c r="B1759">
        <v>1</v>
      </c>
      <c r="C1759" t="s">
        <v>4833</v>
      </c>
      <c r="D1759" t="s">
        <v>4834</v>
      </c>
      <c r="E1759" t="s">
        <v>73</v>
      </c>
      <c r="F1759" t="s">
        <v>73</v>
      </c>
      <c r="G1759" t="s">
        <v>73</v>
      </c>
      <c r="H1759">
        <v>7.5</v>
      </c>
      <c r="I1759">
        <v>438</v>
      </c>
      <c r="J1759">
        <v>51444</v>
      </c>
      <c r="K1759" t="s">
        <v>4835</v>
      </c>
      <c r="L1759">
        <f t="shared" si="110"/>
        <v>8</v>
      </c>
      <c r="N1759">
        <v>8</v>
      </c>
      <c r="O1759">
        <v>8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3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3</v>
      </c>
      <c r="AY1759">
        <v>1</v>
      </c>
      <c r="AZ1759">
        <v>0</v>
      </c>
      <c r="BA1759">
        <v>0</v>
      </c>
      <c r="BB1759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2</v>
      </c>
      <c r="BL1759" s="2">
        <v>0</v>
      </c>
      <c r="BM1759" s="2">
        <v>1</v>
      </c>
      <c r="BN1759" s="2">
        <v>1</v>
      </c>
      <c r="BO1759" s="2">
        <v>0</v>
      </c>
      <c r="BP1759" s="2">
        <v>0</v>
      </c>
      <c r="BQ1759" s="2">
        <v>3</v>
      </c>
      <c r="BR1759" s="2">
        <v>1</v>
      </c>
      <c r="BS1759" s="2">
        <v>0</v>
      </c>
      <c r="BT1759" s="2">
        <v>0</v>
      </c>
      <c r="BU1759" s="2">
        <v>0</v>
      </c>
      <c r="BV1759" s="2">
        <f t="shared" si="113"/>
        <v>8</v>
      </c>
      <c r="BW1759" s="16">
        <f t="shared" si="111"/>
        <v>0.42105263157894735</v>
      </c>
      <c r="BX1759" s="16">
        <f>COUNTIF($BC$6:BU1759, "=0") / COUNTIF($BC$6:BU1759, "&gt;-1")</f>
        <v>0.43377543059473084</v>
      </c>
      <c r="BY1759" s="18">
        <f>SUM($BC$6:BU1759) / $BY$4</f>
        <v>0.99052337012628888</v>
      </c>
      <c r="BZ1759" s="14">
        <f t="shared" si="112"/>
        <v>14</v>
      </c>
      <c r="CA1759" t="s">
        <v>5832</v>
      </c>
      <c r="CZ1759" t="s">
        <v>12607</v>
      </c>
      <c r="DA1759" t="s">
        <v>5904</v>
      </c>
      <c r="DB1759">
        <v>815.1</v>
      </c>
      <c r="DC1759" t="s">
        <v>33460</v>
      </c>
      <c r="DD1759" t="s">
        <v>13772</v>
      </c>
      <c r="DE1759" t="s">
        <v>33461</v>
      </c>
      <c r="DF1759" t="s">
        <v>33462</v>
      </c>
      <c r="DG1759" t="s">
        <v>33463</v>
      </c>
      <c r="DH1759" t="str">
        <f>"SNRNP70"</f>
        <v>SNRNP70</v>
      </c>
      <c r="DI1759" t="s">
        <v>33464</v>
      </c>
      <c r="DJ1759" t="s">
        <v>13777</v>
      </c>
      <c r="DK1759">
        <v>9606</v>
      </c>
      <c r="DL1759" s="34" t="str">
        <f>HYPERLINK("http://www.uniprot.org/uniprot/P08621", "P08621")</f>
        <v>P08621</v>
      </c>
      <c r="DM1759" t="s">
        <v>33465</v>
      </c>
      <c r="DN1759" t="s">
        <v>25660</v>
      </c>
      <c r="DO1759" t="s">
        <v>14825</v>
      </c>
      <c r="DP1759" t="s">
        <v>13841</v>
      </c>
      <c r="DQ1759" t="s">
        <v>13772</v>
      </c>
      <c r="DR1759" t="s">
        <v>13772</v>
      </c>
      <c r="DS1759" t="s">
        <v>13772</v>
      </c>
      <c r="DT1759" t="s">
        <v>13772</v>
      </c>
      <c r="DU1759" t="s">
        <v>16089</v>
      </c>
      <c r="DV1759" t="s">
        <v>13991</v>
      </c>
      <c r="DW1759" t="s">
        <v>13812</v>
      </c>
      <c r="DX1759" t="s">
        <v>33466</v>
      </c>
      <c r="DY1759" t="s">
        <v>33467</v>
      </c>
      <c r="DZ1759" t="s">
        <v>33468</v>
      </c>
      <c r="EA1759" t="s">
        <v>13772</v>
      </c>
      <c r="EB1759" t="s">
        <v>15157</v>
      </c>
    </row>
    <row r="1760" spans="1:132" hidden="1">
      <c r="A1760">
        <v>2156</v>
      </c>
      <c r="B1760">
        <v>1</v>
      </c>
      <c r="C1760" t="s">
        <v>5052</v>
      </c>
      <c r="D1760" t="s">
        <v>5053</v>
      </c>
      <c r="E1760" t="s">
        <v>73</v>
      </c>
      <c r="F1760" t="s">
        <v>73</v>
      </c>
      <c r="G1760" t="s">
        <v>73</v>
      </c>
      <c r="H1760">
        <v>15</v>
      </c>
      <c r="I1760">
        <v>647</v>
      </c>
      <c r="J1760">
        <v>70814</v>
      </c>
      <c r="K1760" t="s">
        <v>5054</v>
      </c>
      <c r="L1760">
        <f t="shared" si="110"/>
        <v>8</v>
      </c>
      <c r="N1760">
        <v>8</v>
      </c>
      <c r="O1760">
        <v>8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3</v>
      </c>
      <c r="AU1760">
        <v>5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3</v>
      </c>
      <c r="BN1760" s="2">
        <v>5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f t="shared" si="113"/>
        <v>8</v>
      </c>
      <c r="BW1760" s="16">
        <f t="shared" si="111"/>
        <v>0.42105263157894735</v>
      </c>
      <c r="BX1760" s="16">
        <f>COUNTIF($BC$6:BU1760, "=0") / COUNTIF($BC$6:BU1760, "&gt;-1")</f>
        <v>0.43403808666966559</v>
      </c>
      <c r="BY1760" s="18">
        <f>SUM($BC$6:BU1760) / $BY$4</f>
        <v>0.99055763922123841</v>
      </c>
      <c r="BZ1760" s="14">
        <f t="shared" si="112"/>
        <v>17</v>
      </c>
      <c r="CA1760" t="s">
        <v>5832</v>
      </c>
      <c r="CZ1760" t="s">
        <v>12935</v>
      </c>
      <c r="DA1760" t="s">
        <v>5904</v>
      </c>
      <c r="DB1760">
        <v>1192.2</v>
      </c>
      <c r="DC1760" t="s">
        <v>34378</v>
      </c>
      <c r="DD1760" t="s">
        <v>34379</v>
      </c>
      <c r="DE1760" t="s">
        <v>34380</v>
      </c>
      <c r="DF1760" t="s">
        <v>34381</v>
      </c>
      <c r="DG1760" t="s">
        <v>34382</v>
      </c>
      <c r="DH1760" t="str">
        <f>"RPN2"</f>
        <v>RPN2</v>
      </c>
      <c r="DI1760" t="s">
        <v>13772</v>
      </c>
      <c r="DJ1760" t="s">
        <v>13777</v>
      </c>
      <c r="DK1760">
        <v>9606</v>
      </c>
      <c r="DL1760" s="34" t="str">
        <f>HYPERLINK("http://www.uniprot.org/uniprot/P04844", "P04844")</f>
        <v>P04844</v>
      </c>
      <c r="DM1760" t="s">
        <v>34383</v>
      </c>
      <c r="DN1760" t="s">
        <v>13772</v>
      </c>
      <c r="DO1760" t="s">
        <v>14714</v>
      </c>
      <c r="DP1760" t="s">
        <v>13780</v>
      </c>
      <c r="DQ1760" t="s">
        <v>13772</v>
      </c>
      <c r="DR1760" t="s">
        <v>13772</v>
      </c>
      <c r="DS1760" t="s">
        <v>13855</v>
      </c>
      <c r="DT1760" t="s">
        <v>13772</v>
      </c>
      <c r="DU1760" t="s">
        <v>13772</v>
      </c>
      <c r="DV1760" t="s">
        <v>34384</v>
      </c>
      <c r="DW1760" t="s">
        <v>13772</v>
      </c>
      <c r="DX1760" t="s">
        <v>34385</v>
      </c>
      <c r="DY1760" t="s">
        <v>34386</v>
      </c>
      <c r="DZ1760" t="s">
        <v>34387</v>
      </c>
      <c r="EA1760" t="s">
        <v>22195</v>
      </c>
      <c r="EB1760" t="s">
        <v>22196</v>
      </c>
    </row>
    <row r="1761" spans="1:132" hidden="1">
      <c r="A1761">
        <v>2215</v>
      </c>
      <c r="B1761">
        <v>1</v>
      </c>
      <c r="C1761" t="s">
        <v>5180</v>
      </c>
      <c r="D1761" t="s">
        <v>5181</v>
      </c>
      <c r="E1761" t="s">
        <v>73</v>
      </c>
      <c r="F1761" t="s">
        <v>73</v>
      </c>
      <c r="G1761" t="s">
        <v>73</v>
      </c>
      <c r="H1761">
        <v>17.600000000000001</v>
      </c>
      <c r="I1761">
        <v>238</v>
      </c>
      <c r="J1761">
        <v>27379</v>
      </c>
      <c r="K1761" t="s">
        <v>5182</v>
      </c>
      <c r="L1761">
        <f t="shared" si="110"/>
        <v>8</v>
      </c>
      <c r="N1761">
        <v>8</v>
      </c>
      <c r="O1761">
        <v>8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2</v>
      </c>
      <c r="AB1761">
        <v>1</v>
      </c>
      <c r="AC1761">
        <v>1</v>
      </c>
      <c r="AD1761">
        <v>0</v>
      </c>
      <c r="AE1761">
        <v>1</v>
      </c>
      <c r="AF1761">
        <v>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2</v>
      </c>
      <c r="AU1761">
        <v>1</v>
      </c>
      <c r="AV1761">
        <v>1</v>
      </c>
      <c r="AW1761">
        <v>0</v>
      </c>
      <c r="AX1761">
        <v>1</v>
      </c>
      <c r="AY1761">
        <v>2</v>
      </c>
      <c r="AZ1761">
        <v>0</v>
      </c>
      <c r="BA1761">
        <v>0</v>
      </c>
      <c r="BB1761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1</v>
      </c>
      <c r="BL1761" s="2">
        <v>0</v>
      </c>
      <c r="BM1761" s="2">
        <v>2</v>
      </c>
      <c r="BN1761" s="2">
        <v>1</v>
      </c>
      <c r="BO1761" s="2">
        <v>1</v>
      </c>
      <c r="BP1761" s="2">
        <v>0</v>
      </c>
      <c r="BQ1761" s="2">
        <v>1</v>
      </c>
      <c r="BR1761" s="2">
        <v>2</v>
      </c>
      <c r="BS1761" s="2">
        <v>0</v>
      </c>
      <c r="BT1761" s="2">
        <v>0</v>
      </c>
      <c r="BU1761" s="2">
        <v>0</v>
      </c>
      <c r="BV1761" s="2">
        <f t="shared" si="113"/>
        <v>8</v>
      </c>
      <c r="BW1761" s="16">
        <f t="shared" si="111"/>
        <v>0.42105263157894735</v>
      </c>
      <c r="BX1761" s="16">
        <f>COUNTIF($BC$6:BU1761, "=0") / COUNTIF($BC$6:BU1761, "&gt;-1")</f>
        <v>0.43418055389042082</v>
      </c>
      <c r="BY1761" s="18">
        <f>SUM($BC$6:BU1761) / $BY$4</f>
        <v>0.99059190831618804</v>
      </c>
      <c r="BZ1761" s="14">
        <f t="shared" si="112"/>
        <v>13</v>
      </c>
      <c r="CA1761" t="s">
        <v>5832</v>
      </c>
      <c r="CZ1761" t="s">
        <v>13131</v>
      </c>
      <c r="DA1761" t="s">
        <v>5904</v>
      </c>
      <c r="DB1761">
        <v>435.3</v>
      </c>
      <c r="DC1761" t="s">
        <v>34927</v>
      </c>
      <c r="DD1761" t="s">
        <v>34928</v>
      </c>
      <c r="DE1761" t="s">
        <v>34929</v>
      </c>
      <c r="DF1761" t="s">
        <v>34930</v>
      </c>
      <c r="DG1761" t="s">
        <v>34931</v>
      </c>
      <c r="DH1761" t="str">
        <f>"SRSF7"</f>
        <v>SRSF7</v>
      </c>
      <c r="DI1761" t="s">
        <v>34932</v>
      </c>
      <c r="DJ1761" t="s">
        <v>13777</v>
      </c>
      <c r="DK1761">
        <v>9606</v>
      </c>
      <c r="DL1761" s="34" t="str">
        <f>HYPERLINK("http://www.uniprot.org/uniprot/Q16629", "Q16629")</f>
        <v>Q16629</v>
      </c>
      <c r="DM1761" t="s">
        <v>34933</v>
      </c>
      <c r="DN1761" t="s">
        <v>16723</v>
      </c>
      <c r="DO1761" t="s">
        <v>13912</v>
      </c>
      <c r="DP1761" t="s">
        <v>13841</v>
      </c>
      <c r="DQ1761" t="s">
        <v>13772</v>
      </c>
      <c r="DR1761" t="s">
        <v>13772</v>
      </c>
      <c r="DS1761" t="s">
        <v>17779</v>
      </c>
      <c r="DT1761" t="s">
        <v>13856</v>
      </c>
      <c r="DU1761" t="s">
        <v>15484</v>
      </c>
      <c r="DV1761" t="s">
        <v>13991</v>
      </c>
      <c r="DW1761" t="s">
        <v>13812</v>
      </c>
      <c r="DX1761" t="s">
        <v>34934</v>
      </c>
      <c r="DY1761" t="s">
        <v>34935</v>
      </c>
      <c r="DZ1761" t="s">
        <v>34936</v>
      </c>
      <c r="EA1761" t="s">
        <v>13772</v>
      </c>
      <c r="EB1761" t="s">
        <v>34937</v>
      </c>
    </row>
    <row r="1762" spans="1:132" hidden="1">
      <c r="A1762">
        <v>2297</v>
      </c>
      <c r="B1762">
        <v>1</v>
      </c>
      <c r="C1762" t="s">
        <v>5365</v>
      </c>
      <c r="D1762" t="s">
        <v>73</v>
      </c>
      <c r="E1762" t="s">
        <v>73</v>
      </c>
      <c r="F1762" t="s">
        <v>73</v>
      </c>
      <c r="G1762" t="s">
        <v>73</v>
      </c>
      <c r="H1762">
        <v>6.6</v>
      </c>
      <c r="I1762">
        <v>580</v>
      </c>
      <c r="J1762">
        <v>62234</v>
      </c>
      <c r="K1762" t="s">
        <v>5366</v>
      </c>
      <c r="L1762">
        <f t="shared" si="110"/>
        <v>8</v>
      </c>
      <c r="N1762">
        <v>8</v>
      </c>
      <c r="O1762">
        <v>8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4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2</v>
      </c>
      <c r="AU1762">
        <v>0</v>
      </c>
      <c r="AV1762">
        <v>0</v>
      </c>
      <c r="AW1762">
        <v>0</v>
      </c>
      <c r="AX1762">
        <v>4</v>
      </c>
      <c r="AY1762">
        <v>1</v>
      </c>
      <c r="AZ1762">
        <v>0</v>
      </c>
      <c r="BA1762">
        <v>0</v>
      </c>
      <c r="BB176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1</v>
      </c>
      <c r="BK1762" s="2">
        <v>0</v>
      </c>
      <c r="BL1762" s="2">
        <v>0</v>
      </c>
      <c r="BM1762" s="2">
        <v>2</v>
      </c>
      <c r="BN1762" s="2">
        <v>0</v>
      </c>
      <c r="BO1762" s="2">
        <v>0</v>
      </c>
      <c r="BP1762" s="2">
        <v>0</v>
      </c>
      <c r="BQ1762" s="2">
        <v>4</v>
      </c>
      <c r="BR1762" s="2">
        <v>1</v>
      </c>
      <c r="BS1762" s="2">
        <v>0</v>
      </c>
      <c r="BT1762" s="2">
        <v>0</v>
      </c>
      <c r="BU1762" s="2">
        <v>0</v>
      </c>
      <c r="BV1762" s="2">
        <f t="shared" si="113"/>
        <v>8</v>
      </c>
      <c r="BW1762" s="16">
        <f t="shared" si="111"/>
        <v>0.42105263157894735</v>
      </c>
      <c r="BX1762" s="16">
        <f>COUNTIF($BC$6:BU1762, "=0") / COUNTIF($BC$6:BU1762, "&gt;-1")</f>
        <v>0.43438276967318695</v>
      </c>
      <c r="BY1762" s="18">
        <f>SUM($BC$6:BU1762) / $BY$4</f>
        <v>0.99062617741113768</v>
      </c>
      <c r="BZ1762" s="14">
        <f t="shared" si="112"/>
        <v>15</v>
      </c>
      <c r="CA1762" t="s">
        <v>5832</v>
      </c>
      <c r="CZ1762" t="s">
        <v>13399</v>
      </c>
      <c r="DA1762" t="s">
        <v>5896</v>
      </c>
      <c r="DB1762">
        <v>756.9</v>
      </c>
      <c r="DC1762" t="s">
        <v>35700</v>
      </c>
      <c r="DD1762" t="s">
        <v>35701</v>
      </c>
      <c r="DE1762" t="s">
        <v>35702</v>
      </c>
      <c r="DF1762" t="s">
        <v>35703</v>
      </c>
      <c r="DG1762" t="s">
        <v>35704</v>
      </c>
      <c r="DH1762" t="str">
        <f>"OBSCN"</f>
        <v>OBSCN</v>
      </c>
      <c r="DI1762" t="s">
        <v>35705</v>
      </c>
      <c r="DJ1762" t="s">
        <v>13777</v>
      </c>
      <c r="DK1762">
        <v>9606</v>
      </c>
      <c r="DL1762" s="34" t="str">
        <f>HYPERLINK("http://www.uniprot.org/uniprot/Q5VST9", "Q5VST9")</f>
        <v>Q5VST9</v>
      </c>
      <c r="DM1762" t="s">
        <v>35706</v>
      </c>
      <c r="DN1762" t="s">
        <v>15591</v>
      </c>
      <c r="DO1762" t="s">
        <v>14968</v>
      </c>
      <c r="DP1762" t="s">
        <v>20333</v>
      </c>
      <c r="DQ1762" t="s">
        <v>13772</v>
      </c>
      <c r="DR1762" t="s">
        <v>13772</v>
      </c>
      <c r="DS1762" t="s">
        <v>35707</v>
      </c>
      <c r="DT1762" t="s">
        <v>35708</v>
      </c>
      <c r="DU1762" t="s">
        <v>35709</v>
      </c>
      <c r="DV1762" t="s">
        <v>15554</v>
      </c>
      <c r="DW1762" t="s">
        <v>13812</v>
      </c>
      <c r="DX1762" t="s">
        <v>35710</v>
      </c>
      <c r="DY1762" t="s">
        <v>35711</v>
      </c>
      <c r="DZ1762" t="s">
        <v>35712</v>
      </c>
      <c r="EA1762" t="s">
        <v>13772</v>
      </c>
      <c r="EB1762" t="s">
        <v>35713</v>
      </c>
    </row>
    <row r="1763" spans="1:132" hidden="1">
      <c r="A1763">
        <v>2340</v>
      </c>
      <c r="B1763">
        <v>1</v>
      </c>
      <c r="C1763" t="s">
        <v>5458</v>
      </c>
      <c r="D1763" t="s">
        <v>5459</v>
      </c>
      <c r="E1763" t="s">
        <v>73</v>
      </c>
      <c r="F1763" t="s">
        <v>73</v>
      </c>
      <c r="G1763" t="s">
        <v>73</v>
      </c>
      <c r="H1763">
        <v>4.9000000000000004</v>
      </c>
      <c r="I1763">
        <v>877</v>
      </c>
      <c r="J1763">
        <v>97412</v>
      </c>
      <c r="K1763" t="s">
        <v>5460</v>
      </c>
      <c r="L1763">
        <f t="shared" si="110"/>
        <v>8</v>
      </c>
      <c r="N1763">
        <v>8</v>
      </c>
      <c r="O1763">
        <v>8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2</v>
      </c>
      <c r="AC1763">
        <v>3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2</v>
      </c>
      <c r="AV1763">
        <v>3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1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1</v>
      </c>
      <c r="BN1763" s="2">
        <v>2</v>
      </c>
      <c r="BO1763" s="2">
        <v>3</v>
      </c>
      <c r="BP1763" s="2">
        <v>0</v>
      </c>
      <c r="BQ1763" s="2">
        <v>0</v>
      </c>
      <c r="BR1763" s="2">
        <v>0</v>
      </c>
      <c r="BS1763" s="2">
        <v>1</v>
      </c>
      <c r="BT1763" s="2">
        <v>0</v>
      </c>
      <c r="BU1763" s="2">
        <v>0</v>
      </c>
      <c r="BV1763" s="2">
        <f t="shared" si="113"/>
        <v>8</v>
      </c>
      <c r="BW1763" s="16">
        <f t="shared" si="111"/>
        <v>0.42105263157894735</v>
      </c>
      <c r="BX1763" s="16">
        <f>COUNTIF($BC$6:BU1763, "=0") / COUNTIF($BC$6:BU1763, "&gt;-1")</f>
        <v>0.43455481707682175</v>
      </c>
      <c r="BY1763" s="18">
        <f>SUM($BC$6:BU1763) / $BY$4</f>
        <v>0.9906604465060872</v>
      </c>
      <c r="BZ1763" s="14">
        <f t="shared" si="112"/>
        <v>14</v>
      </c>
      <c r="CA1763" t="s">
        <v>5832</v>
      </c>
      <c r="CZ1763" t="s">
        <v>13529</v>
      </c>
      <c r="DA1763" t="s">
        <v>5904</v>
      </c>
      <c r="DB1763">
        <v>1801.2</v>
      </c>
      <c r="DC1763" t="s">
        <v>36055</v>
      </c>
      <c r="DD1763" t="s">
        <v>36056</v>
      </c>
      <c r="DE1763" t="s">
        <v>36057</v>
      </c>
      <c r="DF1763" t="s">
        <v>36058</v>
      </c>
      <c r="DG1763" t="s">
        <v>36059</v>
      </c>
      <c r="DH1763" t="str">
        <f>"KPNB1"</f>
        <v>KPNB1</v>
      </c>
      <c r="DI1763" t="s">
        <v>36060</v>
      </c>
      <c r="DJ1763" t="s">
        <v>13777</v>
      </c>
      <c r="DK1763">
        <v>9606</v>
      </c>
      <c r="DL1763" s="34" t="str">
        <f>HYPERLINK("http://www.uniprot.org/uniprot/Q14974", "Q14974")</f>
        <v>Q14974</v>
      </c>
      <c r="DM1763" t="s">
        <v>36061</v>
      </c>
      <c r="DN1763" t="s">
        <v>18065</v>
      </c>
      <c r="DO1763" t="s">
        <v>13912</v>
      </c>
      <c r="DP1763" t="s">
        <v>13841</v>
      </c>
      <c r="DQ1763" t="s">
        <v>13772</v>
      </c>
      <c r="DR1763" t="s">
        <v>13772</v>
      </c>
      <c r="DS1763" t="s">
        <v>14096</v>
      </c>
      <c r="DT1763" t="s">
        <v>13772</v>
      </c>
      <c r="DU1763" t="s">
        <v>13772</v>
      </c>
      <c r="DV1763" t="s">
        <v>24257</v>
      </c>
      <c r="DW1763" t="s">
        <v>13812</v>
      </c>
      <c r="DX1763" t="s">
        <v>36062</v>
      </c>
      <c r="DY1763" t="s">
        <v>36063</v>
      </c>
      <c r="DZ1763" t="s">
        <v>36064</v>
      </c>
      <c r="EA1763" t="s">
        <v>13772</v>
      </c>
      <c r="EB1763" t="s">
        <v>36065</v>
      </c>
    </row>
    <row r="1764" spans="1:132" hidden="1">
      <c r="A1764">
        <v>2357</v>
      </c>
      <c r="B1764">
        <v>1</v>
      </c>
      <c r="C1764" t="s">
        <v>5494</v>
      </c>
      <c r="D1764" t="s">
        <v>73</v>
      </c>
      <c r="E1764" t="s">
        <v>73</v>
      </c>
      <c r="F1764" t="s">
        <v>73</v>
      </c>
      <c r="G1764" t="s">
        <v>73</v>
      </c>
      <c r="H1764">
        <v>18.399999999999999</v>
      </c>
      <c r="I1764">
        <v>196</v>
      </c>
      <c r="J1764">
        <v>23466</v>
      </c>
      <c r="K1764" t="s">
        <v>5495</v>
      </c>
      <c r="L1764">
        <f t="shared" si="110"/>
        <v>8</v>
      </c>
      <c r="N1764">
        <v>8</v>
      </c>
      <c r="O1764">
        <v>8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</v>
      </c>
      <c r="AB1764">
        <v>4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</v>
      </c>
      <c r="AU1764">
        <v>4</v>
      </c>
      <c r="AV1764">
        <v>0</v>
      </c>
      <c r="AW1764">
        <v>0</v>
      </c>
      <c r="AX1764">
        <v>0</v>
      </c>
      <c r="AY1764">
        <v>2</v>
      </c>
      <c r="AZ1764">
        <v>0</v>
      </c>
      <c r="BA1764">
        <v>0</v>
      </c>
      <c r="BB1764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2</v>
      </c>
      <c r="BN1764" s="2">
        <v>4</v>
      </c>
      <c r="BO1764" s="2">
        <v>0</v>
      </c>
      <c r="BP1764" s="2">
        <v>0</v>
      </c>
      <c r="BQ1764" s="2">
        <v>0</v>
      </c>
      <c r="BR1764" s="2">
        <v>2</v>
      </c>
      <c r="BS1764" s="2">
        <v>0</v>
      </c>
      <c r="BT1764" s="2">
        <v>0</v>
      </c>
      <c r="BU1764" s="2">
        <v>0</v>
      </c>
      <c r="BV1764" s="2">
        <f t="shared" si="113"/>
        <v>8</v>
      </c>
      <c r="BW1764" s="16">
        <f t="shared" si="111"/>
        <v>0.42105263157894735</v>
      </c>
      <c r="BX1764" s="16">
        <f>COUNTIF($BC$6:BU1764, "=0") / COUNTIF($BC$6:BU1764, "&gt;-1")</f>
        <v>0.43478651147482122</v>
      </c>
      <c r="BY1764" s="18">
        <f>SUM($BC$6:BU1764) / $BY$4</f>
        <v>0.99069471560103683</v>
      </c>
      <c r="BZ1764" s="14">
        <f t="shared" si="112"/>
        <v>16</v>
      </c>
      <c r="CA1764" t="s">
        <v>5832</v>
      </c>
      <c r="CZ1764" t="s">
        <v>13583</v>
      </c>
      <c r="DA1764" t="s">
        <v>5904</v>
      </c>
      <c r="DB1764">
        <v>388.7</v>
      </c>
      <c r="DC1764" t="s">
        <v>36210</v>
      </c>
      <c r="DD1764" t="s">
        <v>36211</v>
      </c>
      <c r="DE1764" t="s">
        <v>36212</v>
      </c>
      <c r="DF1764" t="s">
        <v>36213</v>
      </c>
      <c r="DG1764" t="s">
        <v>36214</v>
      </c>
      <c r="DH1764" t="str">
        <f>"RPL19"</f>
        <v>RPL19</v>
      </c>
      <c r="DI1764" t="s">
        <v>13772</v>
      </c>
      <c r="DJ1764" t="s">
        <v>13777</v>
      </c>
      <c r="DK1764">
        <v>9606</v>
      </c>
      <c r="DL1764" s="34" t="str">
        <f>HYPERLINK("http://www.uniprot.org/uniprot/P84098", "P84098")</f>
        <v>P84098</v>
      </c>
      <c r="DM1764" t="s">
        <v>36215</v>
      </c>
      <c r="DN1764" t="s">
        <v>13772</v>
      </c>
      <c r="DO1764" t="s">
        <v>13772</v>
      </c>
      <c r="DP1764" t="s">
        <v>13772</v>
      </c>
      <c r="DQ1764" t="s">
        <v>13772</v>
      </c>
      <c r="DR1764" t="s">
        <v>13772</v>
      </c>
      <c r="DS1764" t="s">
        <v>13772</v>
      </c>
      <c r="DT1764" t="s">
        <v>13772</v>
      </c>
      <c r="DU1764" t="s">
        <v>13937</v>
      </c>
      <c r="DV1764" t="s">
        <v>36216</v>
      </c>
      <c r="DW1764" t="s">
        <v>13812</v>
      </c>
      <c r="DX1764" t="s">
        <v>17184</v>
      </c>
      <c r="DY1764" t="s">
        <v>36217</v>
      </c>
      <c r="DZ1764" t="s">
        <v>14268</v>
      </c>
      <c r="EA1764" t="s">
        <v>13772</v>
      </c>
      <c r="EB1764" t="s">
        <v>13942</v>
      </c>
    </row>
    <row r="1765" spans="1:132" hidden="1">
      <c r="A1765">
        <v>1722</v>
      </c>
      <c r="B1765">
        <v>1</v>
      </c>
      <c r="C1765" t="s">
        <v>4074</v>
      </c>
      <c r="D1765" t="s">
        <v>73</v>
      </c>
      <c r="E1765" t="s">
        <v>73</v>
      </c>
      <c r="F1765" t="s">
        <v>579</v>
      </c>
      <c r="G1765" t="s">
        <v>73</v>
      </c>
      <c r="H1765">
        <v>14.4</v>
      </c>
      <c r="I1765">
        <v>542</v>
      </c>
      <c r="J1765">
        <v>58565</v>
      </c>
      <c r="K1765" t="s">
        <v>4075</v>
      </c>
      <c r="L1765">
        <f t="shared" si="110"/>
        <v>16</v>
      </c>
      <c r="N1765">
        <v>16</v>
      </c>
      <c r="O1765">
        <v>7</v>
      </c>
      <c r="P1765">
        <v>0.438</v>
      </c>
      <c r="Q1765">
        <v>1</v>
      </c>
      <c r="R1765">
        <v>0</v>
      </c>
      <c r="S1765">
        <v>0</v>
      </c>
      <c r="T1765">
        <v>1</v>
      </c>
      <c r="U1765">
        <v>3</v>
      </c>
      <c r="V1765">
        <v>5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2</v>
      </c>
      <c r="AO1765">
        <v>4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 s="2">
        <v>1</v>
      </c>
      <c r="BD1765" s="2">
        <v>0</v>
      </c>
      <c r="BE1765" s="2">
        <v>0</v>
      </c>
      <c r="BF1765" s="2">
        <v>0</v>
      </c>
      <c r="BG1765" s="2">
        <v>2.286</v>
      </c>
      <c r="BH1765" s="2">
        <v>4.4000000000000004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f t="shared" si="113"/>
        <v>7.6859999999999999</v>
      </c>
      <c r="BW1765" s="16">
        <f t="shared" si="111"/>
        <v>0.40452631578947368</v>
      </c>
      <c r="BX1765" s="16">
        <f>COUNTIF($BC$6:BU1765, "=0") / COUNTIF($BC$6:BU1765, "&gt;-1")</f>
        <v>0.43501794258373205</v>
      </c>
      <c r="BY1765" s="18">
        <f>SUM($BC$6:BU1765) / $BY$4</f>
        <v>0.99072763963400967</v>
      </c>
      <c r="BZ1765" s="14">
        <f t="shared" si="112"/>
        <v>16</v>
      </c>
      <c r="CA1765" t="s">
        <v>5832</v>
      </c>
      <c r="CZ1765" t="s">
        <v>11488</v>
      </c>
      <c r="DA1765" t="s">
        <v>5904</v>
      </c>
      <c r="DB1765">
        <v>1026.2</v>
      </c>
      <c r="DC1765" t="s">
        <v>30300</v>
      </c>
      <c r="DD1765" t="s">
        <v>30301</v>
      </c>
      <c r="DE1765" t="s">
        <v>30302</v>
      </c>
      <c r="DF1765" t="s">
        <v>30303</v>
      </c>
      <c r="DG1765" t="s">
        <v>30304</v>
      </c>
      <c r="DH1765" t="str">
        <f>"PKLR"</f>
        <v>PKLR</v>
      </c>
      <c r="DI1765" t="s">
        <v>30305</v>
      </c>
      <c r="DJ1765" t="s">
        <v>13777</v>
      </c>
      <c r="DK1765">
        <v>9606</v>
      </c>
      <c r="DL1765" s="34" t="str">
        <f>HYPERLINK("http://www.uniprot.org/uniprot/P30613", "P30613")</f>
        <v>P30613</v>
      </c>
      <c r="DM1765" t="s">
        <v>30306</v>
      </c>
      <c r="DN1765" t="s">
        <v>15772</v>
      </c>
      <c r="DO1765" t="s">
        <v>13772</v>
      </c>
      <c r="DP1765" t="s">
        <v>13780</v>
      </c>
      <c r="DQ1765" t="s">
        <v>13772</v>
      </c>
      <c r="DR1765" t="s">
        <v>17205</v>
      </c>
      <c r="DS1765" t="s">
        <v>13772</v>
      </c>
      <c r="DT1765" t="s">
        <v>15773</v>
      </c>
      <c r="DU1765" t="s">
        <v>15774</v>
      </c>
      <c r="DV1765" t="s">
        <v>13782</v>
      </c>
      <c r="DW1765" t="s">
        <v>13812</v>
      </c>
      <c r="DX1765" t="s">
        <v>30307</v>
      </c>
      <c r="DY1765" t="s">
        <v>14194</v>
      </c>
      <c r="DZ1765" t="s">
        <v>30308</v>
      </c>
      <c r="EA1765" t="s">
        <v>15779</v>
      </c>
      <c r="EB1765" t="s">
        <v>30309</v>
      </c>
    </row>
    <row r="1766" spans="1:132" hidden="1">
      <c r="A1766">
        <v>2182</v>
      </c>
      <c r="B1766">
        <v>1</v>
      </c>
      <c r="C1766" t="s">
        <v>5104</v>
      </c>
      <c r="D1766" t="s">
        <v>73</v>
      </c>
      <c r="E1766" t="s">
        <v>73</v>
      </c>
      <c r="F1766" t="s">
        <v>474</v>
      </c>
      <c r="G1766" t="s">
        <v>73</v>
      </c>
      <c r="H1766">
        <v>29</v>
      </c>
      <c r="I1766">
        <v>200</v>
      </c>
      <c r="J1766">
        <v>22541</v>
      </c>
      <c r="K1766" t="s">
        <v>5105</v>
      </c>
      <c r="L1766">
        <f t="shared" si="110"/>
        <v>21</v>
      </c>
      <c r="N1766">
        <v>21</v>
      </c>
      <c r="O1766">
        <v>4</v>
      </c>
      <c r="P1766">
        <v>0.19</v>
      </c>
      <c r="Q1766">
        <v>1</v>
      </c>
      <c r="R1766">
        <v>4</v>
      </c>
      <c r="S1766">
        <v>2</v>
      </c>
      <c r="T1766">
        <v>3</v>
      </c>
      <c r="U1766">
        <v>3</v>
      </c>
      <c r="V1766">
        <v>2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2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 s="2">
        <v>0</v>
      </c>
      <c r="BD1766" s="2">
        <v>2.952</v>
      </c>
      <c r="BE1766" s="2">
        <v>2</v>
      </c>
      <c r="BF1766" s="2">
        <v>2.5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0.16700000000000001</v>
      </c>
      <c r="BR1766" s="2">
        <v>0</v>
      </c>
      <c r="BS1766" s="2">
        <v>0</v>
      </c>
      <c r="BT1766" s="2">
        <v>0</v>
      </c>
      <c r="BU1766" s="2">
        <v>0</v>
      </c>
      <c r="BV1766" s="2">
        <f t="shared" si="113"/>
        <v>7.6189999999999998</v>
      </c>
      <c r="BW1766" s="16">
        <f t="shared" si="111"/>
        <v>0.40099999999999997</v>
      </c>
      <c r="BX1766" s="16">
        <f>COUNTIF($BC$6:BU1766, "=0") / COUNTIF($BC$6:BU1766, "&gt;-1")</f>
        <v>0.43521922352730208</v>
      </c>
      <c r="BY1766" s="18">
        <f>SUM($BC$6:BU1766) / $BY$4</f>
        <v>0.99076027666331212</v>
      </c>
      <c r="BZ1766" s="14">
        <f t="shared" si="112"/>
        <v>15</v>
      </c>
      <c r="CA1766" t="s">
        <v>5832</v>
      </c>
      <c r="CZ1766" t="s">
        <v>13018</v>
      </c>
      <c r="DA1766" t="s">
        <v>5904</v>
      </c>
      <c r="DB1766">
        <v>412.5</v>
      </c>
      <c r="DC1766" t="s">
        <v>34614</v>
      </c>
      <c r="DD1766" t="s">
        <v>13772</v>
      </c>
      <c r="DE1766" t="s">
        <v>34615</v>
      </c>
      <c r="DF1766" t="s">
        <v>34616</v>
      </c>
      <c r="DG1766" t="s">
        <v>34617</v>
      </c>
      <c r="DH1766" t="str">
        <f>"RAB10"</f>
        <v>RAB10</v>
      </c>
      <c r="DI1766" t="s">
        <v>13772</v>
      </c>
      <c r="DJ1766" t="s">
        <v>13777</v>
      </c>
      <c r="DK1766">
        <v>9606</v>
      </c>
      <c r="DL1766" s="34" t="str">
        <f>HYPERLINK("http://www.uniprot.org/uniprot/P61026", "P61026")</f>
        <v>P61026</v>
      </c>
      <c r="DM1766" t="s">
        <v>34618</v>
      </c>
      <c r="DN1766" t="s">
        <v>14347</v>
      </c>
      <c r="DO1766" t="s">
        <v>34619</v>
      </c>
      <c r="DP1766" t="s">
        <v>13772</v>
      </c>
      <c r="DQ1766" t="s">
        <v>13772</v>
      </c>
      <c r="DR1766" t="s">
        <v>13772</v>
      </c>
      <c r="DS1766" t="s">
        <v>13772</v>
      </c>
      <c r="DT1766" t="s">
        <v>14216</v>
      </c>
      <c r="DU1766" t="s">
        <v>13772</v>
      </c>
      <c r="DV1766" t="s">
        <v>23961</v>
      </c>
      <c r="DW1766" t="s">
        <v>13812</v>
      </c>
      <c r="DX1766" t="s">
        <v>34620</v>
      </c>
      <c r="DY1766" t="s">
        <v>34621</v>
      </c>
      <c r="DZ1766" t="s">
        <v>34622</v>
      </c>
      <c r="EA1766" t="s">
        <v>13772</v>
      </c>
      <c r="EB1766" t="s">
        <v>34623</v>
      </c>
    </row>
    <row r="1767" spans="1:132" hidden="1">
      <c r="A1767">
        <v>1469</v>
      </c>
      <c r="B1767">
        <v>1</v>
      </c>
      <c r="C1767" t="s">
        <v>3494</v>
      </c>
      <c r="D1767" t="s">
        <v>73</v>
      </c>
      <c r="E1767" t="s">
        <v>73</v>
      </c>
      <c r="F1767" t="s">
        <v>2635</v>
      </c>
      <c r="G1767" t="s">
        <v>73</v>
      </c>
      <c r="H1767">
        <v>34.299999999999997</v>
      </c>
      <c r="I1767">
        <v>172</v>
      </c>
      <c r="J1767">
        <v>19469</v>
      </c>
      <c r="K1767" t="s">
        <v>3495</v>
      </c>
      <c r="L1767">
        <f t="shared" si="110"/>
        <v>8</v>
      </c>
      <c r="N1767">
        <v>8</v>
      </c>
      <c r="O1767">
        <v>7</v>
      </c>
      <c r="P1767">
        <v>0.875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</v>
      </c>
      <c r="AB1767">
        <v>1</v>
      </c>
      <c r="AC1767">
        <v>0</v>
      </c>
      <c r="AD1767">
        <v>0</v>
      </c>
      <c r="AE1767">
        <v>1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</v>
      </c>
      <c r="AU1767">
        <v>1</v>
      </c>
      <c r="AV1767">
        <v>0</v>
      </c>
      <c r="AW1767">
        <v>0</v>
      </c>
      <c r="AX1767">
        <v>1</v>
      </c>
      <c r="AY1767">
        <v>2</v>
      </c>
      <c r="AZ1767">
        <v>0</v>
      </c>
      <c r="BA1767">
        <v>0</v>
      </c>
      <c r="BB1767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3.6</v>
      </c>
      <c r="BN1767" s="2">
        <v>1</v>
      </c>
      <c r="BO1767" s="2">
        <v>0</v>
      </c>
      <c r="BP1767" s="2">
        <v>0</v>
      </c>
      <c r="BQ1767" s="2">
        <v>1</v>
      </c>
      <c r="BR1767" s="2">
        <v>2</v>
      </c>
      <c r="BS1767" s="2">
        <v>0</v>
      </c>
      <c r="BT1767" s="2">
        <v>0</v>
      </c>
      <c r="BU1767" s="2">
        <v>0</v>
      </c>
      <c r="BV1767" s="2">
        <f t="shared" si="113"/>
        <v>7.6</v>
      </c>
      <c r="BW1767" s="16">
        <f t="shared" si="111"/>
        <v>0.39999999999999997</v>
      </c>
      <c r="BX1767" s="16">
        <f>COUNTIF($BC$6:BU1767, "=0") / COUNTIF($BC$6:BU1767, "&gt;-1")</f>
        <v>0.43542027600215066</v>
      </c>
      <c r="BY1767" s="18">
        <f>SUM($BC$6:BU1767) / $BY$4</f>
        <v>0.99079283230351434</v>
      </c>
      <c r="BZ1767" s="14">
        <f t="shared" si="112"/>
        <v>15</v>
      </c>
      <c r="CA1767" t="s">
        <v>5832</v>
      </c>
      <c r="CZ1767" t="s">
        <v>10626</v>
      </c>
      <c r="DA1767" t="s">
        <v>5904</v>
      </c>
      <c r="DB1767">
        <v>352.8</v>
      </c>
      <c r="DC1767" t="s">
        <v>27910</v>
      </c>
      <c r="DD1767" t="s">
        <v>27911</v>
      </c>
      <c r="DE1767" t="s">
        <v>27912</v>
      </c>
      <c r="DF1767" t="s">
        <v>27913</v>
      </c>
      <c r="DG1767" t="s">
        <v>27914</v>
      </c>
      <c r="DH1767" t="str">
        <f>"NUDT3 DIPP1"</f>
        <v>NUDT3 DIPP1</v>
      </c>
      <c r="DI1767" t="s">
        <v>13772</v>
      </c>
      <c r="DJ1767" t="s">
        <v>13777</v>
      </c>
      <c r="DK1767">
        <v>9606</v>
      </c>
      <c r="DL1767" s="34" t="str">
        <f>HYPERLINK("http://www.uniprot.org/uniprot/O95989", "O95989")</f>
        <v>O95989</v>
      </c>
      <c r="DM1767" t="s">
        <v>27915</v>
      </c>
      <c r="DN1767" t="s">
        <v>13772</v>
      </c>
      <c r="DO1767" t="s">
        <v>13899</v>
      </c>
      <c r="DP1767" t="s">
        <v>13772</v>
      </c>
      <c r="DQ1767" t="s">
        <v>13772</v>
      </c>
      <c r="DR1767" t="s">
        <v>13772</v>
      </c>
      <c r="DS1767" t="s">
        <v>13772</v>
      </c>
      <c r="DT1767" t="s">
        <v>14784</v>
      </c>
      <c r="DU1767" t="s">
        <v>13857</v>
      </c>
      <c r="DV1767" t="s">
        <v>14020</v>
      </c>
      <c r="DW1767" t="s">
        <v>13812</v>
      </c>
      <c r="DX1767" t="s">
        <v>27916</v>
      </c>
      <c r="DY1767" t="s">
        <v>13914</v>
      </c>
      <c r="DZ1767" t="s">
        <v>27917</v>
      </c>
      <c r="EA1767" t="s">
        <v>13772</v>
      </c>
      <c r="EB1767" t="s">
        <v>27918</v>
      </c>
    </row>
    <row r="1768" spans="1:132" hidden="1">
      <c r="A1768">
        <v>1309</v>
      </c>
      <c r="B1768">
        <v>1</v>
      </c>
      <c r="C1768" t="s">
        <v>3139</v>
      </c>
      <c r="D1768" t="s">
        <v>73</v>
      </c>
      <c r="E1768" t="s">
        <v>73</v>
      </c>
      <c r="F1768" t="s">
        <v>3140</v>
      </c>
      <c r="G1768" t="s">
        <v>73</v>
      </c>
      <c r="H1768">
        <v>25.8</v>
      </c>
      <c r="I1768">
        <v>298</v>
      </c>
      <c r="J1768">
        <v>32870</v>
      </c>
      <c r="K1768" t="s">
        <v>3141</v>
      </c>
      <c r="L1768">
        <f t="shared" si="110"/>
        <v>28</v>
      </c>
      <c r="N1768">
        <v>28</v>
      </c>
      <c r="O1768">
        <v>4</v>
      </c>
      <c r="P1768">
        <v>0.14299999999999999</v>
      </c>
      <c r="Q1768">
        <v>1</v>
      </c>
      <c r="R1768">
        <v>5</v>
      </c>
      <c r="S1768">
        <v>1</v>
      </c>
      <c r="T1768">
        <v>2</v>
      </c>
      <c r="U1768">
        <v>3</v>
      </c>
      <c r="V1768">
        <v>2</v>
      </c>
      <c r="W1768">
        <v>0</v>
      </c>
      <c r="X1768">
        <v>2</v>
      </c>
      <c r="Y1768">
        <v>0</v>
      </c>
      <c r="Z1768">
        <v>0</v>
      </c>
      <c r="AA1768">
        <v>4</v>
      </c>
      <c r="AB1768">
        <v>3</v>
      </c>
      <c r="AC1768">
        <v>2</v>
      </c>
      <c r="AD1768">
        <v>0</v>
      </c>
      <c r="AE1768">
        <v>0</v>
      </c>
      <c r="AF1768">
        <v>2</v>
      </c>
      <c r="AG1768">
        <v>1</v>
      </c>
      <c r="AH1768">
        <v>0</v>
      </c>
      <c r="AI1768">
        <v>0</v>
      </c>
      <c r="AJ1768">
        <v>0</v>
      </c>
      <c r="AK1768">
        <v>2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 s="2">
        <v>0.33300000000000002</v>
      </c>
      <c r="BD1768" s="2">
        <v>3.2</v>
      </c>
      <c r="BE1768" s="2">
        <v>0.33300000000000002</v>
      </c>
      <c r="BF1768" s="2">
        <v>0.66700000000000004</v>
      </c>
      <c r="BG1768" s="2">
        <v>1.5</v>
      </c>
      <c r="BH1768" s="2">
        <v>1.5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f t="shared" si="113"/>
        <v>7.5330000000000004</v>
      </c>
      <c r="BW1768" s="16">
        <f t="shared" si="111"/>
        <v>0.39647368421052631</v>
      </c>
      <c r="BX1768" s="16">
        <f>COUNTIF($BC$6:BU1768, "=0") / COUNTIF($BC$6:BU1768, "&gt;-1")</f>
        <v>0.43556139355763202</v>
      </c>
      <c r="BY1768" s="18">
        <f>SUM($BC$6:BU1768) / $BY$4</f>
        <v>0.99082510094004639</v>
      </c>
      <c r="BZ1768" s="14">
        <f t="shared" si="112"/>
        <v>13</v>
      </c>
      <c r="CA1768" t="s">
        <v>5832</v>
      </c>
      <c r="CZ1768" t="s">
        <v>10107</v>
      </c>
      <c r="DA1768" t="s">
        <v>5904</v>
      </c>
      <c r="DB1768">
        <v>593.6</v>
      </c>
      <c r="DC1768" t="s">
        <v>26442</v>
      </c>
      <c r="DD1768" t="s">
        <v>26443</v>
      </c>
      <c r="DE1768" t="s">
        <v>26444</v>
      </c>
      <c r="DF1768" t="s">
        <v>26445</v>
      </c>
      <c r="DG1768" t="s">
        <v>26446</v>
      </c>
      <c r="DH1768" t="str">
        <f>"SLC25A4"</f>
        <v>SLC25A4</v>
      </c>
      <c r="DI1768" t="s">
        <v>26447</v>
      </c>
      <c r="DJ1768" t="s">
        <v>13777</v>
      </c>
      <c r="DK1768">
        <v>9606</v>
      </c>
      <c r="DL1768" s="34" t="str">
        <f>HYPERLINK("http://www.uniprot.org/uniprot/P12235", "P12235")</f>
        <v>P12235</v>
      </c>
      <c r="DM1768" t="s">
        <v>26448</v>
      </c>
      <c r="DN1768" t="s">
        <v>19766</v>
      </c>
      <c r="DO1768" t="s">
        <v>15507</v>
      </c>
      <c r="DP1768" t="s">
        <v>13772</v>
      </c>
      <c r="DQ1768" t="s">
        <v>13772</v>
      </c>
      <c r="DR1768" t="s">
        <v>26449</v>
      </c>
      <c r="DS1768" t="s">
        <v>16604</v>
      </c>
      <c r="DT1768" t="s">
        <v>13772</v>
      </c>
      <c r="DU1768" t="s">
        <v>13772</v>
      </c>
      <c r="DV1768" t="s">
        <v>26450</v>
      </c>
      <c r="DW1768" t="s">
        <v>13772</v>
      </c>
      <c r="DX1768" t="s">
        <v>26451</v>
      </c>
      <c r="DY1768" t="s">
        <v>26452</v>
      </c>
      <c r="DZ1768" t="s">
        <v>26453</v>
      </c>
      <c r="EA1768" t="s">
        <v>13772</v>
      </c>
      <c r="EB1768" t="s">
        <v>26454</v>
      </c>
    </row>
    <row r="1769" spans="1:132" hidden="1">
      <c r="A1769">
        <v>125</v>
      </c>
      <c r="B1769">
        <v>1</v>
      </c>
      <c r="C1769" t="s">
        <v>324</v>
      </c>
      <c r="D1769" t="s">
        <v>325</v>
      </c>
      <c r="E1769" t="s">
        <v>73</v>
      </c>
      <c r="F1769" t="s">
        <v>326</v>
      </c>
      <c r="G1769" t="s">
        <v>73</v>
      </c>
      <c r="H1769">
        <v>2.5</v>
      </c>
      <c r="I1769">
        <v>2326</v>
      </c>
      <c r="J1769">
        <v>267895</v>
      </c>
      <c r="K1769" t="s">
        <v>327</v>
      </c>
      <c r="L1769">
        <f t="shared" si="110"/>
        <v>15</v>
      </c>
      <c r="N1769">
        <v>15</v>
      </c>
      <c r="O1769">
        <v>7</v>
      </c>
      <c r="P1769">
        <v>0.46700000000000003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</v>
      </c>
      <c r="W1769">
        <v>1</v>
      </c>
      <c r="X1769">
        <v>0</v>
      </c>
      <c r="Y1769">
        <v>2</v>
      </c>
      <c r="Z1769">
        <v>0</v>
      </c>
      <c r="AA1769">
        <v>7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4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1.056</v>
      </c>
      <c r="BL1769" s="2">
        <v>0</v>
      </c>
      <c r="BM1769" s="2">
        <v>4.4290000000000003</v>
      </c>
      <c r="BN1769" s="2">
        <v>0</v>
      </c>
      <c r="BO1769" s="2">
        <v>0</v>
      </c>
      <c r="BP1769" s="2">
        <v>0</v>
      </c>
      <c r="BQ1769" s="2">
        <v>1</v>
      </c>
      <c r="BR1769" s="2">
        <v>1</v>
      </c>
      <c r="BS1769" s="2">
        <v>0</v>
      </c>
      <c r="BT1769" s="2">
        <v>0</v>
      </c>
      <c r="BU1769" s="2">
        <v>0</v>
      </c>
      <c r="BV1769" s="2">
        <f t="shared" si="113"/>
        <v>7.4850000000000003</v>
      </c>
      <c r="BW1769" s="16">
        <f t="shared" si="111"/>
        <v>0.39394736842105266</v>
      </c>
      <c r="BX1769" s="16">
        <f>COUNTIF($BC$6:BU1769, "=0") / COUNTIF($BC$6:BU1769, "&gt;-1")</f>
        <v>0.43576202410788878</v>
      </c>
      <c r="BY1769" s="18">
        <f>SUM($BC$6:BU1769) / $BY$4</f>
        <v>0.99085716396200862</v>
      </c>
      <c r="BZ1769" s="14">
        <f t="shared" si="112"/>
        <v>15</v>
      </c>
      <c r="CA1769" t="s">
        <v>5832</v>
      </c>
      <c r="CZ1769" t="s">
        <v>6124</v>
      </c>
      <c r="DA1769" t="s">
        <v>5904</v>
      </c>
      <c r="DB1769">
        <v>3919.4</v>
      </c>
      <c r="DC1769" t="s">
        <v>14581</v>
      </c>
      <c r="DD1769" t="s">
        <v>14582</v>
      </c>
      <c r="DE1769" t="s">
        <v>14583</v>
      </c>
      <c r="DF1769" t="s">
        <v>14584</v>
      </c>
      <c r="DG1769" t="s">
        <v>14585</v>
      </c>
      <c r="DH1769" t="str">
        <f>"SPTB"</f>
        <v>SPTB</v>
      </c>
      <c r="DI1769" t="s">
        <v>14586</v>
      </c>
      <c r="DJ1769" t="s">
        <v>13777</v>
      </c>
      <c r="DK1769">
        <v>9606</v>
      </c>
      <c r="DL1769" s="34" t="str">
        <f>HYPERLINK("http://www.uniprot.org/uniprot/P11277", "P11277")</f>
        <v>P11277</v>
      </c>
      <c r="DM1769" t="s">
        <v>14587</v>
      </c>
      <c r="DN1769" t="s">
        <v>13772</v>
      </c>
      <c r="DO1769" t="s">
        <v>13988</v>
      </c>
      <c r="DP1769" t="s">
        <v>13780</v>
      </c>
      <c r="DQ1769" t="s">
        <v>13772</v>
      </c>
      <c r="DR1769" t="s">
        <v>14588</v>
      </c>
      <c r="DS1769" t="s">
        <v>14096</v>
      </c>
      <c r="DT1769" t="s">
        <v>13772</v>
      </c>
      <c r="DU1769" t="s">
        <v>14589</v>
      </c>
      <c r="DV1769" t="s">
        <v>13782</v>
      </c>
      <c r="DW1769" t="s">
        <v>13812</v>
      </c>
      <c r="DX1769" t="s">
        <v>14590</v>
      </c>
      <c r="DY1769" t="s">
        <v>14591</v>
      </c>
      <c r="DZ1769" t="s">
        <v>14592</v>
      </c>
      <c r="EA1769" t="s">
        <v>13772</v>
      </c>
      <c r="EB1769" t="s">
        <v>14593</v>
      </c>
    </row>
    <row r="1770" spans="1:132" hidden="1">
      <c r="A1770">
        <v>2210</v>
      </c>
      <c r="B1770">
        <v>1</v>
      </c>
      <c r="C1770" t="s">
        <v>5169</v>
      </c>
      <c r="D1770" t="s">
        <v>5170</v>
      </c>
      <c r="E1770" t="s">
        <v>73</v>
      </c>
      <c r="F1770" t="s">
        <v>1603</v>
      </c>
      <c r="G1770" t="s">
        <v>73</v>
      </c>
      <c r="H1770">
        <v>12.3</v>
      </c>
      <c r="I1770">
        <v>456</v>
      </c>
      <c r="J1770">
        <v>49998</v>
      </c>
      <c r="K1770" t="s">
        <v>5171</v>
      </c>
      <c r="L1770">
        <f t="shared" si="110"/>
        <v>26</v>
      </c>
      <c r="N1770">
        <v>26</v>
      </c>
      <c r="O1770">
        <v>5</v>
      </c>
      <c r="P1770">
        <v>0.192</v>
      </c>
      <c r="Q1770">
        <v>1</v>
      </c>
      <c r="R1770">
        <v>2</v>
      </c>
      <c r="S1770">
        <v>0</v>
      </c>
      <c r="T1770">
        <v>1</v>
      </c>
      <c r="U1770">
        <v>1</v>
      </c>
      <c r="V1770">
        <v>1</v>
      </c>
      <c r="W1770">
        <v>0</v>
      </c>
      <c r="X1770">
        <v>2</v>
      </c>
      <c r="Y1770">
        <v>4</v>
      </c>
      <c r="Z1770">
        <v>0</v>
      </c>
      <c r="AA1770">
        <v>7</v>
      </c>
      <c r="AB1770">
        <v>6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2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 s="2">
        <v>1</v>
      </c>
      <c r="BD1770" s="2">
        <v>0.217</v>
      </c>
      <c r="BE1770" s="2">
        <v>0</v>
      </c>
      <c r="BF1770" s="2">
        <v>0.109</v>
      </c>
      <c r="BG1770" s="2">
        <v>0.109</v>
      </c>
      <c r="BH1770" s="2">
        <v>0.109</v>
      </c>
      <c r="BI1770" s="2">
        <v>0</v>
      </c>
      <c r="BJ1770" s="2">
        <v>1.109</v>
      </c>
      <c r="BK1770" s="2">
        <v>0.435</v>
      </c>
      <c r="BL1770" s="2">
        <v>0</v>
      </c>
      <c r="BM1770" s="2">
        <v>2.5430000000000001</v>
      </c>
      <c r="BN1770" s="2">
        <v>0.65200000000000002</v>
      </c>
      <c r="BO1770" s="2">
        <v>0</v>
      </c>
      <c r="BP1770" s="2">
        <v>0</v>
      </c>
      <c r="BQ1770" s="2">
        <v>0</v>
      </c>
      <c r="BR1770" s="2">
        <v>1</v>
      </c>
      <c r="BS1770" s="2">
        <v>0</v>
      </c>
      <c r="BT1770" s="2">
        <v>0</v>
      </c>
      <c r="BU1770" s="2">
        <v>0</v>
      </c>
      <c r="BV1770" s="2">
        <f t="shared" si="113"/>
        <v>7.2830000000000004</v>
      </c>
      <c r="BW1770" s="16">
        <f t="shared" si="111"/>
        <v>0.38331578947368422</v>
      </c>
      <c r="BX1770" s="16">
        <f>COUNTIF($BC$6:BU1770, "=0") / COUNTIF($BC$6:BU1770, "&gt;-1")</f>
        <v>0.43578350976591623</v>
      </c>
      <c r="BY1770" s="18">
        <f>SUM($BC$6:BU1770) / $BY$4</f>
        <v>0.99088836168932337</v>
      </c>
      <c r="BZ1770" s="14">
        <f t="shared" si="112"/>
        <v>9</v>
      </c>
      <c r="CA1770" t="s">
        <v>5832</v>
      </c>
      <c r="CZ1770" t="s">
        <v>13114</v>
      </c>
      <c r="DA1770" t="s">
        <v>5904</v>
      </c>
      <c r="DB1770">
        <v>753.4</v>
      </c>
      <c r="DC1770" t="s">
        <v>34881</v>
      </c>
      <c r="DD1770" t="s">
        <v>13772</v>
      </c>
      <c r="DE1770" t="s">
        <v>34882</v>
      </c>
      <c r="DF1770" t="s">
        <v>34883</v>
      </c>
      <c r="DG1770" t="s">
        <v>13772</v>
      </c>
      <c r="DH1770" t="str">
        <f>"TUBB1"</f>
        <v>TUBB1</v>
      </c>
      <c r="DI1770" t="s">
        <v>13772</v>
      </c>
      <c r="DJ1770" t="s">
        <v>13777</v>
      </c>
      <c r="DK1770">
        <v>9606</v>
      </c>
      <c r="DL1770" s="34" t="str">
        <f>HYPERLINK("http://www.uniprot.org/uniprot/Q9H4B7", "Q9H4B7")</f>
        <v>Q9H4B7</v>
      </c>
      <c r="DM1770" t="s">
        <v>34884</v>
      </c>
      <c r="DN1770" t="s">
        <v>13772</v>
      </c>
      <c r="DO1770" t="s">
        <v>20183</v>
      </c>
      <c r="DP1770" t="s">
        <v>13793</v>
      </c>
      <c r="DQ1770" t="s">
        <v>13772</v>
      </c>
      <c r="DR1770" t="s">
        <v>13807</v>
      </c>
      <c r="DS1770" t="s">
        <v>13772</v>
      </c>
      <c r="DT1770" t="s">
        <v>14216</v>
      </c>
      <c r="DU1770" t="s">
        <v>13772</v>
      </c>
      <c r="DV1770" t="s">
        <v>33024</v>
      </c>
      <c r="DW1770" t="s">
        <v>13772</v>
      </c>
      <c r="DX1770" t="s">
        <v>34885</v>
      </c>
      <c r="DY1770" t="s">
        <v>34886</v>
      </c>
      <c r="DZ1770" t="s">
        <v>34887</v>
      </c>
      <c r="EA1770" t="s">
        <v>13772</v>
      </c>
      <c r="EB1770" t="s">
        <v>24735</v>
      </c>
    </row>
    <row r="1771" spans="1:132" hidden="1">
      <c r="A1771">
        <v>2394</v>
      </c>
      <c r="B1771">
        <v>1</v>
      </c>
      <c r="C1771" t="s">
        <v>5579</v>
      </c>
      <c r="D1771" t="s">
        <v>73</v>
      </c>
      <c r="E1771" t="s">
        <v>73</v>
      </c>
      <c r="F1771" t="s">
        <v>5577</v>
      </c>
      <c r="G1771" t="s">
        <v>73</v>
      </c>
      <c r="H1771">
        <v>31.6</v>
      </c>
      <c r="I1771">
        <v>152</v>
      </c>
      <c r="J1771">
        <v>17095</v>
      </c>
      <c r="K1771" t="s">
        <v>5580</v>
      </c>
      <c r="L1771">
        <f t="shared" si="110"/>
        <v>18</v>
      </c>
      <c r="N1771">
        <v>18</v>
      </c>
      <c r="O1771">
        <v>4</v>
      </c>
      <c r="P1771">
        <v>0.222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2</v>
      </c>
      <c r="W1771">
        <v>0</v>
      </c>
      <c r="X1771">
        <v>2</v>
      </c>
      <c r="Y1771">
        <v>6</v>
      </c>
      <c r="Z1771">
        <v>0</v>
      </c>
      <c r="AA1771">
        <v>2</v>
      </c>
      <c r="AB1771">
        <v>2</v>
      </c>
      <c r="AC1771">
        <v>1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2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1.5</v>
      </c>
      <c r="BI1771" s="2">
        <v>0</v>
      </c>
      <c r="BJ1771" s="2">
        <v>1</v>
      </c>
      <c r="BK1771" s="2">
        <v>2.6669999999999998</v>
      </c>
      <c r="BL1771" s="2">
        <v>0</v>
      </c>
      <c r="BM1771" s="2">
        <v>0</v>
      </c>
      <c r="BN1771" s="2">
        <v>0</v>
      </c>
      <c r="BO1771" s="2">
        <v>1</v>
      </c>
      <c r="BP1771" s="2">
        <v>0</v>
      </c>
      <c r="BQ1771" s="2">
        <v>1</v>
      </c>
      <c r="BR1771" s="2">
        <v>0</v>
      </c>
      <c r="BS1771" s="2">
        <v>0</v>
      </c>
      <c r="BT1771" s="2">
        <v>0</v>
      </c>
      <c r="BU1771" s="2">
        <v>0</v>
      </c>
      <c r="BV1771" s="2">
        <f t="shared" si="113"/>
        <v>7.1669999999999998</v>
      </c>
      <c r="BW1771" s="16">
        <f t="shared" si="111"/>
        <v>0.37721052631578944</v>
      </c>
      <c r="BX1771" s="16">
        <f>COUNTIF($BC$6:BU1771, "=0") / COUNTIF($BC$6:BU1771, "&gt;-1")</f>
        <v>0.43595398462180368</v>
      </c>
      <c r="BY1771" s="18">
        <f>SUM($BC$6:BU1771) / $BY$4</f>
        <v>0.99091906251476125</v>
      </c>
      <c r="BZ1771" s="14">
        <f t="shared" si="112"/>
        <v>14</v>
      </c>
      <c r="CA1771" t="s">
        <v>5832</v>
      </c>
      <c r="CZ1771" t="s">
        <v>13694</v>
      </c>
      <c r="DA1771" t="s">
        <v>5904</v>
      </c>
      <c r="DB1771">
        <v>294.7</v>
      </c>
      <c r="DC1771" t="s">
        <v>36506</v>
      </c>
      <c r="DD1771" t="s">
        <v>36507</v>
      </c>
      <c r="DE1771" t="s">
        <v>36508</v>
      </c>
      <c r="DF1771" t="s">
        <v>36509</v>
      </c>
      <c r="DG1771" t="s">
        <v>36510</v>
      </c>
      <c r="DH1771" t="str">
        <f>"NME1"</f>
        <v>NME1</v>
      </c>
      <c r="DI1771" t="s">
        <v>36511</v>
      </c>
      <c r="DJ1771" t="s">
        <v>13777</v>
      </c>
      <c r="DK1771">
        <v>9606</v>
      </c>
      <c r="DL1771" s="34" t="str">
        <f>HYPERLINK("http://www.uniprot.org/uniprot/P15531", "P15531")</f>
        <v>P15531</v>
      </c>
      <c r="DM1771" t="s">
        <v>36512</v>
      </c>
      <c r="DN1771" t="s">
        <v>36513</v>
      </c>
      <c r="DO1771" t="s">
        <v>13912</v>
      </c>
      <c r="DP1771" t="s">
        <v>13780</v>
      </c>
      <c r="DQ1771" t="s">
        <v>13772</v>
      </c>
      <c r="DR1771" t="s">
        <v>13772</v>
      </c>
      <c r="DS1771" t="s">
        <v>13772</v>
      </c>
      <c r="DT1771" t="s">
        <v>17602</v>
      </c>
      <c r="DU1771" t="s">
        <v>14006</v>
      </c>
      <c r="DV1771" t="s">
        <v>13938</v>
      </c>
      <c r="DW1771" t="s">
        <v>13812</v>
      </c>
      <c r="DX1771" t="s">
        <v>36514</v>
      </c>
      <c r="DY1771" t="s">
        <v>36515</v>
      </c>
      <c r="DZ1771" t="s">
        <v>36516</v>
      </c>
      <c r="EA1771" t="s">
        <v>13772</v>
      </c>
      <c r="EB1771" t="s">
        <v>16974</v>
      </c>
    </row>
    <row r="1772" spans="1:132" hidden="1">
      <c r="A1772">
        <v>781</v>
      </c>
      <c r="B1772">
        <v>1</v>
      </c>
      <c r="C1772" t="s">
        <v>1919</v>
      </c>
      <c r="D1772" t="s">
        <v>73</v>
      </c>
      <c r="E1772" t="s">
        <v>73</v>
      </c>
      <c r="F1772" t="s">
        <v>1920</v>
      </c>
      <c r="G1772" t="s">
        <v>73</v>
      </c>
      <c r="H1772">
        <v>42.8</v>
      </c>
      <c r="I1772">
        <v>180</v>
      </c>
      <c r="J1772">
        <v>20527</v>
      </c>
      <c r="K1772" t="s">
        <v>1921</v>
      </c>
      <c r="L1772">
        <f t="shared" si="110"/>
        <v>11</v>
      </c>
      <c r="N1772">
        <v>11</v>
      </c>
      <c r="O1772">
        <v>5</v>
      </c>
      <c r="P1772">
        <v>0.45500000000000002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3</v>
      </c>
      <c r="Z1772">
        <v>0</v>
      </c>
      <c r="AA1772">
        <v>4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1</v>
      </c>
      <c r="AS1772">
        <v>0</v>
      </c>
      <c r="AT1772">
        <v>2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0</v>
      </c>
      <c r="BK1772" s="2">
        <v>1.333</v>
      </c>
      <c r="BL1772" s="2">
        <v>0</v>
      </c>
      <c r="BM1772" s="2">
        <v>3.3330000000000002</v>
      </c>
      <c r="BN1772" s="2">
        <v>1</v>
      </c>
      <c r="BO1772" s="2">
        <v>0</v>
      </c>
      <c r="BP1772" s="2">
        <v>0</v>
      </c>
      <c r="BQ1772" s="2">
        <v>0</v>
      </c>
      <c r="BR1772" s="2">
        <v>0</v>
      </c>
      <c r="BS1772" s="2">
        <v>0.5</v>
      </c>
      <c r="BT1772" s="2">
        <v>0</v>
      </c>
      <c r="BU1772" s="2">
        <v>0</v>
      </c>
      <c r="BV1772" s="2">
        <f t="shared" si="113"/>
        <v>7.1660000000000004</v>
      </c>
      <c r="BW1772" s="16">
        <f t="shared" si="111"/>
        <v>0.37715789473684214</v>
      </c>
      <c r="BX1772" s="16">
        <f>COUNTIF($BC$6:BU1772, "=0") / COUNTIF($BC$6:BU1772, "&gt;-1")</f>
        <v>0.43612426652369463</v>
      </c>
      <c r="BY1772" s="18">
        <f>SUM($BC$6:BU1772) / $BY$4</f>
        <v>0.99094975905656246</v>
      </c>
      <c r="BZ1772" s="14">
        <f t="shared" si="112"/>
        <v>14</v>
      </c>
      <c r="CA1772" t="s">
        <v>5832</v>
      </c>
      <c r="CZ1772" t="s">
        <v>8375</v>
      </c>
      <c r="DA1772" t="s">
        <v>5904</v>
      </c>
      <c r="DB1772">
        <v>359</v>
      </c>
      <c r="DC1772" t="s">
        <v>21482</v>
      </c>
      <c r="DD1772" t="s">
        <v>13772</v>
      </c>
      <c r="DE1772" t="s">
        <v>21483</v>
      </c>
      <c r="DF1772" t="s">
        <v>21484</v>
      </c>
      <c r="DG1772" t="s">
        <v>21485</v>
      </c>
      <c r="DH1772" t="str">
        <f>"ARF4"</f>
        <v>ARF4</v>
      </c>
      <c r="DI1772" t="s">
        <v>21486</v>
      </c>
      <c r="DJ1772" t="s">
        <v>13777</v>
      </c>
      <c r="DK1772">
        <v>9606</v>
      </c>
      <c r="DL1772" s="34" t="str">
        <f>HYPERLINK("http://www.uniprot.org/uniprot/P18085", "P18085")</f>
        <v>P18085</v>
      </c>
      <c r="DM1772" t="s">
        <v>21487</v>
      </c>
      <c r="DN1772" t="s">
        <v>15450</v>
      </c>
      <c r="DO1772" t="s">
        <v>18298</v>
      </c>
      <c r="DP1772" t="s">
        <v>13793</v>
      </c>
      <c r="DQ1772" t="s">
        <v>13772</v>
      </c>
      <c r="DR1772" t="s">
        <v>13772</v>
      </c>
      <c r="DS1772" t="s">
        <v>13772</v>
      </c>
      <c r="DT1772" t="s">
        <v>14216</v>
      </c>
      <c r="DU1772" t="s">
        <v>13772</v>
      </c>
      <c r="DV1772" t="s">
        <v>21052</v>
      </c>
      <c r="DW1772" t="s">
        <v>13812</v>
      </c>
      <c r="DX1772" t="s">
        <v>21488</v>
      </c>
      <c r="DY1772" t="s">
        <v>21489</v>
      </c>
      <c r="DZ1772" t="s">
        <v>21490</v>
      </c>
      <c r="EA1772" t="s">
        <v>13772</v>
      </c>
      <c r="EB1772" t="s">
        <v>21491</v>
      </c>
    </row>
    <row r="1773" spans="1:132" hidden="1">
      <c r="A1773">
        <v>408</v>
      </c>
      <c r="B1773">
        <v>1</v>
      </c>
      <c r="C1773" t="s">
        <v>1023</v>
      </c>
      <c r="D1773" t="s">
        <v>73</v>
      </c>
      <c r="E1773" t="s">
        <v>73</v>
      </c>
      <c r="F1773" t="s">
        <v>1024</v>
      </c>
      <c r="G1773" t="s">
        <v>73</v>
      </c>
      <c r="H1773">
        <v>3.1</v>
      </c>
      <c r="I1773">
        <v>785</v>
      </c>
      <c r="J1773">
        <v>87113</v>
      </c>
      <c r="K1773" t="s">
        <v>1025</v>
      </c>
      <c r="L1773">
        <f t="shared" si="110"/>
        <v>12</v>
      </c>
      <c r="N1773">
        <v>12</v>
      </c>
      <c r="O1773">
        <v>7</v>
      </c>
      <c r="P1773">
        <v>0.58299999999999996</v>
      </c>
      <c r="Q1773">
        <v>3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2</v>
      </c>
      <c r="X1773">
        <v>1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 s="2">
        <v>1.111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1.0449999999999999</v>
      </c>
      <c r="BJ1773" s="2">
        <v>0</v>
      </c>
      <c r="BK1773" s="2">
        <v>1</v>
      </c>
      <c r="BL1773" s="2">
        <v>0</v>
      </c>
      <c r="BM1773" s="2">
        <v>1</v>
      </c>
      <c r="BN1773" s="2">
        <v>1</v>
      </c>
      <c r="BO1773" s="2">
        <v>0</v>
      </c>
      <c r="BP1773" s="2">
        <v>1</v>
      </c>
      <c r="BQ1773" s="2">
        <v>0</v>
      </c>
      <c r="BR1773" s="2">
        <v>1</v>
      </c>
      <c r="BS1773" s="2">
        <v>0</v>
      </c>
      <c r="BT1773" s="2">
        <v>0</v>
      </c>
      <c r="BU1773" s="2">
        <v>0</v>
      </c>
      <c r="BV1773" s="2">
        <f t="shared" si="113"/>
        <v>7.1559999999999997</v>
      </c>
      <c r="BW1773" s="16">
        <f t="shared" si="111"/>
        <v>0.37663157894736843</v>
      </c>
      <c r="BX1773" s="16">
        <f>COUNTIF($BC$6:BU1773, "=0") / COUNTIF($BC$6:BU1773, "&gt;-1")</f>
        <v>0.43623481781376516</v>
      </c>
      <c r="BY1773" s="18">
        <f>SUM($BC$6:BU1773) / $BY$4</f>
        <v>0.990980412761995</v>
      </c>
      <c r="BZ1773" s="14">
        <f t="shared" si="112"/>
        <v>12</v>
      </c>
      <c r="CA1773" t="s">
        <v>5832</v>
      </c>
      <c r="CZ1773" t="s">
        <v>7117</v>
      </c>
      <c r="DA1773" t="s">
        <v>5904</v>
      </c>
      <c r="DB1773">
        <v>1605.1</v>
      </c>
      <c r="DC1773" t="s">
        <v>17707</v>
      </c>
      <c r="DD1773" t="s">
        <v>13772</v>
      </c>
      <c r="DE1773" t="s">
        <v>17708</v>
      </c>
      <c r="DF1773" t="s">
        <v>17709</v>
      </c>
      <c r="DG1773" t="s">
        <v>17710</v>
      </c>
      <c r="DH1773" t="str">
        <f>"CDH7"</f>
        <v>CDH7</v>
      </c>
      <c r="DI1773" t="s">
        <v>17711</v>
      </c>
      <c r="DJ1773" t="s">
        <v>13777</v>
      </c>
      <c r="DK1773">
        <v>9606</v>
      </c>
      <c r="DL1773" s="34" t="str">
        <f>HYPERLINK("http://www.uniprot.org/uniprot/Q9ULB5", "Q9ULB5")</f>
        <v>Q9ULB5</v>
      </c>
      <c r="DM1773" t="s">
        <v>17712</v>
      </c>
      <c r="DN1773" t="s">
        <v>13949</v>
      </c>
      <c r="DO1773" t="s">
        <v>13792</v>
      </c>
      <c r="DP1773" t="s">
        <v>13793</v>
      </c>
      <c r="DQ1773" t="s">
        <v>13772</v>
      </c>
      <c r="DR1773" t="s">
        <v>13772</v>
      </c>
      <c r="DS1773" t="s">
        <v>13826</v>
      </c>
      <c r="DT1773" t="s">
        <v>13873</v>
      </c>
      <c r="DU1773" t="s">
        <v>13772</v>
      </c>
      <c r="DV1773" t="s">
        <v>17713</v>
      </c>
      <c r="DW1773" t="s">
        <v>13772</v>
      </c>
      <c r="DX1773" t="s">
        <v>17714</v>
      </c>
      <c r="DY1773" t="s">
        <v>17715</v>
      </c>
      <c r="DZ1773" t="s">
        <v>17716</v>
      </c>
      <c r="EA1773" t="s">
        <v>13772</v>
      </c>
      <c r="EB1773" t="s">
        <v>15361</v>
      </c>
    </row>
    <row r="1774" spans="1:132" hidden="1">
      <c r="A1774">
        <v>436</v>
      </c>
      <c r="B1774">
        <v>1</v>
      </c>
      <c r="C1774" t="s">
        <v>1092</v>
      </c>
      <c r="D1774" t="s">
        <v>73</v>
      </c>
      <c r="E1774" t="s">
        <v>73</v>
      </c>
      <c r="F1774" t="s">
        <v>474</v>
      </c>
      <c r="G1774" t="s">
        <v>73</v>
      </c>
      <c r="H1774">
        <v>20.9</v>
      </c>
      <c r="I1774">
        <v>201</v>
      </c>
      <c r="J1774">
        <v>23025</v>
      </c>
      <c r="K1774" t="s">
        <v>1093</v>
      </c>
      <c r="L1774">
        <f t="shared" si="110"/>
        <v>21</v>
      </c>
      <c r="N1774">
        <v>21</v>
      </c>
      <c r="O1774">
        <v>4</v>
      </c>
      <c r="P1774">
        <v>0.19</v>
      </c>
      <c r="Q1774">
        <v>2</v>
      </c>
      <c r="R1774">
        <v>2</v>
      </c>
      <c r="S1774">
        <v>1</v>
      </c>
      <c r="T1774">
        <v>2</v>
      </c>
      <c r="U1774">
        <v>4</v>
      </c>
      <c r="V1774">
        <v>3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 s="2">
        <v>2</v>
      </c>
      <c r="BD1774" s="2">
        <v>0</v>
      </c>
      <c r="BE1774" s="2">
        <v>0</v>
      </c>
      <c r="BF1774" s="2">
        <v>0</v>
      </c>
      <c r="BG1774" s="2">
        <v>2.2000000000000002</v>
      </c>
      <c r="BH1774" s="2">
        <v>1.667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0.16700000000000001</v>
      </c>
      <c r="BR1774" s="2">
        <v>0</v>
      </c>
      <c r="BS1774" s="2">
        <v>0</v>
      </c>
      <c r="BT1774" s="2">
        <v>0</v>
      </c>
      <c r="BU1774" s="2">
        <v>0</v>
      </c>
      <c r="BV1774" s="2">
        <f t="shared" si="113"/>
        <v>7.0339999999999998</v>
      </c>
      <c r="BW1774" s="16">
        <f t="shared" si="111"/>
        <v>0.37021052631578949</v>
      </c>
      <c r="BX1774" s="16">
        <f>COUNTIF($BC$6:BU1774, "=0") / COUNTIF($BC$6:BU1774, "&gt;-1")</f>
        <v>0.43640474844544941</v>
      </c>
      <c r="BY1774" s="18">
        <f>SUM($BC$6:BU1774) / $BY$4</f>
        <v>0.99101054386372933</v>
      </c>
      <c r="BZ1774" s="14">
        <f t="shared" si="112"/>
        <v>14</v>
      </c>
      <c r="CA1774" t="s">
        <v>5832</v>
      </c>
      <c r="CZ1774" t="s">
        <v>7212</v>
      </c>
      <c r="DA1774" t="s">
        <v>5904</v>
      </c>
      <c r="DB1774">
        <v>415.6</v>
      </c>
      <c r="DC1774" t="s">
        <v>18014</v>
      </c>
      <c r="DD1774" t="s">
        <v>18015</v>
      </c>
      <c r="DE1774" t="s">
        <v>18016</v>
      </c>
      <c r="DF1774" t="s">
        <v>18017</v>
      </c>
      <c r="DG1774" t="s">
        <v>18018</v>
      </c>
      <c r="DH1774" t="str">
        <f>"RAB35"</f>
        <v>RAB35</v>
      </c>
      <c r="DI1774" t="s">
        <v>18019</v>
      </c>
      <c r="DJ1774" t="s">
        <v>13777</v>
      </c>
      <c r="DK1774">
        <v>9606</v>
      </c>
      <c r="DL1774" s="34" t="str">
        <f>HYPERLINK("http://www.uniprot.org/uniprot/Q15286", "Q15286")</f>
        <v>Q15286</v>
      </c>
      <c r="DM1774" t="s">
        <v>18020</v>
      </c>
      <c r="DN1774" t="s">
        <v>14347</v>
      </c>
      <c r="DO1774" t="s">
        <v>18021</v>
      </c>
      <c r="DP1774" t="s">
        <v>13841</v>
      </c>
      <c r="DQ1774" t="s">
        <v>13772</v>
      </c>
      <c r="DR1774" t="s">
        <v>13772</v>
      </c>
      <c r="DS1774" t="s">
        <v>13772</v>
      </c>
      <c r="DT1774" t="s">
        <v>14216</v>
      </c>
      <c r="DU1774" t="s">
        <v>13772</v>
      </c>
      <c r="DV1774" t="s">
        <v>18022</v>
      </c>
      <c r="DW1774" t="s">
        <v>13812</v>
      </c>
      <c r="DX1774" t="s">
        <v>18023</v>
      </c>
      <c r="DY1774" t="s">
        <v>18024</v>
      </c>
      <c r="DZ1774" t="s">
        <v>18025</v>
      </c>
      <c r="EA1774" t="s">
        <v>13772</v>
      </c>
      <c r="EB1774" t="s">
        <v>15337</v>
      </c>
    </row>
    <row r="1775" spans="1:132" hidden="1">
      <c r="A1775">
        <v>996</v>
      </c>
      <c r="B1775">
        <v>1</v>
      </c>
      <c r="C1775" t="s">
        <v>2412</v>
      </c>
      <c r="D1775" t="s">
        <v>2413</v>
      </c>
      <c r="E1775" t="s">
        <v>73</v>
      </c>
      <c r="F1775" t="s">
        <v>2414</v>
      </c>
      <c r="G1775" t="s">
        <v>73</v>
      </c>
      <c r="H1775">
        <v>5.8</v>
      </c>
      <c r="I1775">
        <v>1096</v>
      </c>
      <c r="J1775">
        <v>122664</v>
      </c>
      <c r="K1775" t="s">
        <v>2415</v>
      </c>
      <c r="L1775">
        <f t="shared" si="110"/>
        <v>14</v>
      </c>
      <c r="N1775">
        <v>14</v>
      </c>
      <c r="O1775">
        <v>7</v>
      </c>
      <c r="P1775">
        <v>0.5</v>
      </c>
      <c r="Q1775">
        <v>0</v>
      </c>
      <c r="R1775">
        <v>0</v>
      </c>
      <c r="S1775">
        <v>0</v>
      </c>
      <c r="T1775">
        <v>1</v>
      </c>
      <c r="U1775">
        <v>3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0</v>
      </c>
      <c r="AE1775">
        <v>2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3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1</v>
      </c>
      <c r="BB1775">
        <v>0</v>
      </c>
      <c r="BC1775" s="2">
        <v>0</v>
      </c>
      <c r="BD1775" s="2">
        <v>0</v>
      </c>
      <c r="BE1775" s="2">
        <v>0</v>
      </c>
      <c r="BF1775" s="2">
        <v>1</v>
      </c>
      <c r="BG1775" s="2">
        <v>3</v>
      </c>
      <c r="BH1775" s="2">
        <v>0</v>
      </c>
      <c r="BI1775" s="2">
        <v>0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1.0329999999999999</v>
      </c>
      <c r="BR1775" s="2">
        <v>0</v>
      </c>
      <c r="BS1775" s="2">
        <v>0</v>
      </c>
      <c r="BT1775" s="2">
        <v>1</v>
      </c>
      <c r="BU1775" s="2">
        <v>0</v>
      </c>
      <c r="BV1775" s="2">
        <f t="shared" si="113"/>
        <v>7.0329999999999995</v>
      </c>
      <c r="BW1775" s="16">
        <f t="shared" si="111"/>
        <v>0.37015789473684207</v>
      </c>
      <c r="BX1775" s="16">
        <f>COUNTIF($BC$6:BU1775, "=0") / COUNTIF($BC$6:BU1775, "&gt;-1")</f>
        <v>0.43657448706512042</v>
      </c>
      <c r="BY1775" s="18">
        <f>SUM($BC$6:BU1775) / $BY$4</f>
        <v>0.99104067068182689</v>
      </c>
      <c r="BZ1775" s="14">
        <f t="shared" si="112"/>
        <v>14</v>
      </c>
      <c r="CA1775" t="s">
        <v>5832</v>
      </c>
      <c r="CZ1775" t="s">
        <v>9102</v>
      </c>
      <c r="DA1775" t="s">
        <v>5904</v>
      </c>
      <c r="DB1775">
        <v>2209.9</v>
      </c>
      <c r="DC1775" t="s">
        <v>23571</v>
      </c>
      <c r="DD1775" t="s">
        <v>23572</v>
      </c>
      <c r="DE1775" t="s">
        <v>23573</v>
      </c>
      <c r="DF1775" t="s">
        <v>23574</v>
      </c>
      <c r="DG1775" t="s">
        <v>23575</v>
      </c>
      <c r="DH1775" t="str">
        <f>"PLCL1"</f>
        <v>PLCL1</v>
      </c>
      <c r="DI1775" t="s">
        <v>13772</v>
      </c>
      <c r="DJ1775" t="s">
        <v>13777</v>
      </c>
      <c r="DK1775">
        <v>9606</v>
      </c>
      <c r="DL1775" s="34" t="str">
        <f>HYPERLINK("http://www.uniprot.org/uniprot/Q15111", "Q15111")</f>
        <v>Q15111</v>
      </c>
      <c r="DM1775" t="s">
        <v>23576</v>
      </c>
      <c r="DN1775" t="s">
        <v>13772</v>
      </c>
      <c r="DO1775" t="s">
        <v>13899</v>
      </c>
      <c r="DP1775" t="s">
        <v>13780</v>
      </c>
      <c r="DQ1775" t="s">
        <v>13772</v>
      </c>
      <c r="DR1775" t="s">
        <v>13772</v>
      </c>
      <c r="DS1775" t="s">
        <v>14245</v>
      </c>
      <c r="DT1775" t="s">
        <v>13772</v>
      </c>
      <c r="DU1775" t="s">
        <v>16883</v>
      </c>
      <c r="DV1775" t="s">
        <v>13782</v>
      </c>
      <c r="DW1775" t="s">
        <v>13772</v>
      </c>
      <c r="DX1775" t="s">
        <v>23577</v>
      </c>
      <c r="DY1775" t="s">
        <v>23578</v>
      </c>
      <c r="DZ1775" t="s">
        <v>23579</v>
      </c>
      <c r="EA1775" t="s">
        <v>13772</v>
      </c>
      <c r="EB1775" t="s">
        <v>13772</v>
      </c>
    </row>
    <row r="1776" spans="1:132" hidden="1">
      <c r="A1776">
        <v>64</v>
      </c>
      <c r="B1776">
        <v>1</v>
      </c>
      <c r="C1776" t="s">
        <v>183</v>
      </c>
      <c r="D1776" t="s">
        <v>184</v>
      </c>
      <c r="E1776" t="s">
        <v>73</v>
      </c>
      <c r="F1776" t="s">
        <v>73</v>
      </c>
      <c r="G1776" t="s">
        <v>73</v>
      </c>
      <c r="H1776">
        <v>8.4</v>
      </c>
      <c r="I1776">
        <v>214</v>
      </c>
      <c r="J1776">
        <v>25057</v>
      </c>
      <c r="K1776" t="s">
        <v>185</v>
      </c>
      <c r="L1776">
        <f t="shared" si="110"/>
        <v>7</v>
      </c>
      <c r="N1776">
        <v>7</v>
      </c>
      <c r="O1776">
        <v>7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</v>
      </c>
      <c r="Y1776">
        <v>2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2</v>
      </c>
      <c r="AR1776">
        <v>2</v>
      </c>
      <c r="AS1776">
        <v>0</v>
      </c>
      <c r="AT1776">
        <v>2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2</v>
      </c>
      <c r="BK1776" s="2">
        <v>2</v>
      </c>
      <c r="BL1776" s="2">
        <v>0</v>
      </c>
      <c r="BM1776" s="2">
        <v>2</v>
      </c>
      <c r="BN1776" s="2">
        <v>0</v>
      </c>
      <c r="BO1776" s="2">
        <v>0</v>
      </c>
      <c r="BP1776" s="2">
        <v>0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f t="shared" si="113"/>
        <v>7</v>
      </c>
      <c r="BW1776" s="16">
        <f t="shared" si="111"/>
        <v>0.36842105263157893</v>
      </c>
      <c r="BX1776" s="16">
        <f>COUNTIF($BC$6:BU1776, "=0") / COUNTIF($BC$6:BU1776, "&gt;-1")</f>
        <v>0.43677375256322626</v>
      </c>
      <c r="BY1776" s="18">
        <f>SUM($BC$6:BU1776) / $BY$4</f>
        <v>0.99107065613990786</v>
      </c>
      <c r="BZ1776" s="14">
        <f t="shared" si="112"/>
        <v>15</v>
      </c>
      <c r="CA1776" t="s">
        <v>5832</v>
      </c>
      <c r="CZ1776" t="s">
        <v>5927</v>
      </c>
      <c r="DA1776" t="s">
        <v>5904</v>
      </c>
      <c r="DB1776">
        <v>364.8</v>
      </c>
      <c r="DC1776" t="s">
        <v>13891</v>
      </c>
      <c r="DD1776" t="s">
        <v>13892</v>
      </c>
      <c r="DE1776" t="s">
        <v>13893</v>
      </c>
      <c r="DF1776" t="s">
        <v>13894</v>
      </c>
      <c r="DG1776" t="s">
        <v>13895</v>
      </c>
      <c r="DH1776" t="str">
        <f>"PCTP"</f>
        <v>PCTP</v>
      </c>
      <c r="DI1776" t="s">
        <v>13896</v>
      </c>
      <c r="DJ1776" t="s">
        <v>13777</v>
      </c>
      <c r="DK1776">
        <v>9606</v>
      </c>
      <c r="DL1776" s="34" t="str">
        <f>HYPERLINK("http://www.uniprot.org/uniprot/Q9UKL6", "Q9UKL6")</f>
        <v>Q9UKL6</v>
      </c>
      <c r="DM1776" t="s">
        <v>13897</v>
      </c>
      <c r="DN1776" t="s">
        <v>13898</v>
      </c>
      <c r="DO1776" t="s">
        <v>13899</v>
      </c>
      <c r="DP1776" t="s">
        <v>13780</v>
      </c>
      <c r="DQ1776" t="s">
        <v>13772</v>
      </c>
      <c r="DR1776" t="s">
        <v>13772</v>
      </c>
      <c r="DS1776" t="s">
        <v>13772</v>
      </c>
      <c r="DT1776" t="s">
        <v>13900</v>
      </c>
      <c r="DU1776" t="s">
        <v>13772</v>
      </c>
      <c r="DV1776" t="s">
        <v>13886</v>
      </c>
      <c r="DW1776" t="s">
        <v>13812</v>
      </c>
      <c r="DX1776" t="s">
        <v>13901</v>
      </c>
      <c r="DY1776" t="s">
        <v>13902</v>
      </c>
      <c r="DZ1776" t="s">
        <v>13903</v>
      </c>
      <c r="EA1776" t="s">
        <v>13772</v>
      </c>
      <c r="EB1776" t="s">
        <v>13904</v>
      </c>
    </row>
    <row r="1777" spans="1:132" hidden="1">
      <c r="A1777">
        <v>79</v>
      </c>
      <c r="B1777">
        <v>1</v>
      </c>
      <c r="C1777" t="s">
        <v>218</v>
      </c>
      <c r="D1777" t="s">
        <v>73</v>
      </c>
      <c r="E1777" t="s">
        <v>73</v>
      </c>
      <c r="F1777" t="s">
        <v>73</v>
      </c>
      <c r="G1777" t="s">
        <v>73</v>
      </c>
      <c r="H1777">
        <v>7.7</v>
      </c>
      <c r="I1777">
        <v>455</v>
      </c>
      <c r="J1777">
        <v>52433</v>
      </c>
      <c r="K1777" t="s">
        <v>219</v>
      </c>
      <c r="L1777">
        <f t="shared" si="110"/>
        <v>7</v>
      </c>
      <c r="N1777">
        <v>7</v>
      </c>
      <c r="O1777">
        <v>7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4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4</v>
      </c>
      <c r="BA1777">
        <v>0</v>
      </c>
      <c r="BB1777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1</v>
      </c>
      <c r="BN1777" s="2">
        <v>0</v>
      </c>
      <c r="BO1777" s="2">
        <v>1</v>
      </c>
      <c r="BP1777" s="2">
        <v>0</v>
      </c>
      <c r="BQ1777" s="2">
        <v>0</v>
      </c>
      <c r="BR1777" s="2">
        <v>0</v>
      </c>
      <c r="BS1777" s="2">
        <v>4</v>
      </c>
      <c r="BT1777" s="2">
        <v>0</v>
      </c>
      <c r="BU1777" s="2">
        <v>1</v>
      </c>
      <c r="BV1777" s="2">
        <f t="shared" si="113"/>
        <v>7</v>
      </c>
      <c r="BW1777" s="16">
        <f t="shared" si="111"/>
        <v>0.36842105263157893</v>
      </c>
      <c r="BX1777" s="16">
        <f>COUNTIF($BC$6:BU1777, "=0") / COUNTIF($BC$6:BU1777, "&gt;-1")</f>
        <v>0.43697279315670667</v>
      </c>
      <c r="BY1777" s="18">
        <f>SUM($BC$6:BU1777) / $BY$4</f>
        <v>0.99110064159798872</v>
      </c>
      <c r="BZ1777" s="14">
        <f t="shared" si="112"/>
        <v>15</v>
      </c>
      <c r="CA1777" t="s">
        <v>5832</v>
      </c>
      <c r="CZ1777" t="s">
        <v>5976</v>
      </c>
      <c r="DA1777" t="s">
        <v>5904</v>
      </c>
      <c r="DB1777">
        <v>925.6</v>
      </c>
      <c r="DC1777" t="s">
        <v>14078</v>
      </c>
      <c r="DD1777" t="s">
        <v>13772</v>
      </c>
      <c r="DE1777" t="s">
        <v>14079</v>
      </c>
      <c r="DF1777" t="s">
        <v>14080</v>
      </c>
      <c r="DG1777" t="s">
        <v>14081</v>
      </c>
      <c r="DH1777" t="str">
        <f>"BLMH"</f>
        <v>BLMH</v>
      </c>
      <c r="DI1777" t="s">
        <v>13772</v>
      </c>
      <c r="DJ1777" t="s">
        <v>13777</v>
      </c>
      <c r="DK1777">
        <v>9606</v>
      </c>
      <c r="DL1777" s="34" t="str">
        <f>HYPERLINK("http://www.uniprot.org/uniprot/Q13867", "Q13867")</f>
        <v>Q13867</v>
      </c>
      <c r="DM1777" t="s">
        <v>14082</v>
      </c>
      <c r="DN1777" t="s">
        <v>13772</v>
      </c>
      <c r="DO1777" t="s">
        <v>13899</v>
      </c>
      <c r="DP1777" t="s">
        <v>13793</v>
      </c>
      <c r="DQ1777" t="s">
        <v>13772</v>
      </c>
      <c r="DR1777" t="s">
        <v>13772</v>
      </c>
      <c r="DS1777" t="s">
        <v>13772</v>
      </c>
      <c r="DT1777" t="s">
        <v>13772</v>
      </c>
      <c r="DU1777" t="s">
        <v>14083</v>
      </c>
      <c r="DV1777" t="s">
        <v>14020</v>
      </c>
      <c r="DW1777" t="s">
        <v>13812</v>
      </c>
      <c r="DX1777" t="s">
        <v>14084</v>
      </c>
      <c r="DY1777" t="s">
        <v>14085</v>
      </c>
      <c r="DZ1777" t="s">
        <v>14086</v>
      </c>
      <c r="EA1777" t="s">
        <v>13772</v>
      </c>
      <c r="EB1777" t="s">
        <v>14087</v>
      </c>
    </row>
    <row r="1778" spans="1:132" hidden="1">
      <c r="A1778">
        <v>81</v>
      </c>
      <c r="B1778">
        <v>1</v>
      </c>
      <c r="C1778" t="s">
        <v>224</v>
      </c>
      <c r="D1778" t="s">
        <v>225</v>
      </c>
      <c r="E1778" t="s">
        <v>73</v>
      </c>
      <c r="F1778" t="s">
        <v>73</v>
      </c>
      <c r="G1778" t="s">
        <v>73</v>
      </c>
      <c r="H1778">
        <v>4.5999999999999996</v>
      </c>
      <c r="I1778">
        <v>348</v>
      </c>
      <c r="J1778">
        <v>37682</v>
      </c>
      <c r="K1778" t="s">
        <v>226</v>
      </c>
      <c r="L1778">
        <f t="shared" si="110"/>
        <v>7</v>
      </c>
      <c r="N1778">
        <v>7</v>
      </c>
      <c r="O1778">
        <v>7</v>
      </c>
      <c r="P1778">
        <v>1</v>
      </c>
      <c r="Q1778">
        <v>0</v>
      </c>
      <c r="R1778">
        <v>3</v>
      </c>
      <c r="S1778">
        <v>1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</v>
      </c>
      <c r="AL1778">
        <v>1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 s="2">
        <v>0</v>
      </c>
      <c r="BD1778" s="2">
        <v>3</v>
      </c>
      <c r="BE1778" s="2">
        <v>1</v>
      </c>
      <c r="BF1778" s="2">
        <v>1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f t="shared" si="113"/>
        <v>7</v>
      </c>
      <c r="BW1778" s="16">
        <f t="shared" si="111"/>
        <v>0.36842105263157893</v>
      </c>
      <c r="BX1778" s="16">
        <f>COUNTIF($BC$6:BU1778, "=0") / COUNTIF($BC$6:BU1778, "&gt;-1")</f>
        <v>0.43714192418440345</v>
      </c>
      <c r="BY1778" s="18">
        <f>SUM($BC$6:BU1778) / $BY$4</f>
        <v>0.99113062705606958</v>
      </c>
      <c r="BZ1778" s="14">
        <f t="shared" si="112"/>
        <v>14</v>
      </c>
      <c r="CA1778" t="s">
        <v>5832</v>
      </c>
      <c r="CZ1778" t="s">
        <v>5985</v>
      </c>
      <c r="DA1778" t="s">
        <v>5904</v>
      </c>
      <c r="DB1778">
        <v>604.4</v>
      </c>
      <c r="DC1778" t="s">
        <v>14103</v>
      </c>
      <c r="DD1778" t="s">
        <v>14104</v>
      </c>
      <c r="DE1778" t="s">
        <v>14105</v>
      </c>
      <c r="DF1778" t="s">
        <v>14106</v>
      </c>
      <c r="DG1778" t="s">
        <v>14107</v>
      </c>
      <c r="DH1778" t="str">
        <f>"RNF167"</f>
        <v>RNF167</v>
      </c>
      <c r="DI1778" t="s">
        <v>13772</v>
      </c>
      <c r="DJ1778" t="s">
        <v>13777</v>
      </c>
      <c r="DK1778">
        <v>9606</v>
      </c>
      <c r="DL1778" s="34" t="str">
        <f>HYPERLINK("http://www.uniprot.org/uniprot/Q9H6Y7", "Q9H6Y7")</f>
        <v>Q9H6Y7</v>
      </c>
      <c r="DM1778" t="s">
        <v>14108</v>
      </c>
      <c r="DN1778" t="s">
        <v>14109</v>
      </c>
      <c r="DO1778" t="s">
        <v>13825</v>
      </c>
      <c r="DP1778" t="s">
        <v>13793</v>
      </c>
      <c r="DQ1778" t="s">
        <v>13772</v>
      </c>
      <c r="DR1778" t="s">
        <v>13772</v>
      </c>
      <c r="DS1778" t="s">
        <v>14110</v>
      </c>
      <c r="DT1778" t="s">
        <v>13856</v>
      </c>
      <c r="DU1778" t="s">
        <v>14111</v>
      </c>
      <c r="DV1778" t="s">
        <v>14112</v>
      </c>
      <c r="DW1778" t="s">
        <v>13772</v>
      </c>
      <c r="DX1778" t="s">
        <v>14113</v>
      </c>
      <c r="DY1778" t="s">
        <v>14114</v>
      </c>
      <c r="DZ1778" t="s">
        <v>14115</v>
      </c>
      <c r="EA1778" t="s">
        <v>14116</v>
      </c>
      <c r="EB1778" t="s">
        <v>13772</v>
      </c>
    </row>
    <row r="1779" spans="1:132" hidden="1">
      <c r="A1779">
        <v>130</v>
      </c>
      <c r="B1779">
        <v>1</v>
      </c>
      <c r="C1779" t="s">
        <v>339</v>
      </c>
      <c r="D1779" t="s">
        <v>340</v>
      </c>
      <c r="E1779" t="s">
        <v>73</v>
      </c>
      <c r="F1779" t="s">
        <v>73</v>
      </c>
      <c r="G1779" t="s">
        <v>73</v>
      </c>
      <c r="H1779">
        <v>10.4</v>
      </c>
      <c r="I1779">
        <v>498</v>
      </c>
      <c r="J1779">
        <v>54364</v>
      </c>
      <c r="K1779" t="s">
        <v>341</v>
      </c>
      <c r="L1779">
        <f t="shared" si="110"/>
        <v>7</v>
      </c>
      <c r="N1779">
        <v>7</v>
      </c>
      <c r="O1779">
        <v>7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3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3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1</v>
      </c>
      <c r="BL1779" s="2">
        <v>0</v>
      </c>
      <c r="BM1779" s="2">
        <v>3</v>
      </c>
      <c r="BN1779" s="2">
        <v>0</v>
      </c>
      <c r="BO1779" s="2">
        <v>1</v>
      </c>
      <c r="BP1779" s="2">
        <v>0</v>
      </c>
      <c r="BQ1779" s="2">
        <v>1</v>
      </c>
      <c r="BR1779" s="2">
        <v>0</v>
      </c>
      <c r="BS1779" s="2">
        <v>0</v>
      </c>
      <c r="BT1779" s="2">
        <v>0</v>
      </c>
      <c r="BU1779" s="2">
        <v>1</v>
      </c>
      <c r="BV1779" s="2">
        <f t="shared" si="113"/>
        <v>7</v>
      </c>
      <c r="BW1779" s="16">
        <f t="shared" si="111"/>
        <v>0.36842105263157893</v>
      </c>
      <c r="BX1779" s="16">
        <f>COUNTIF($BC$6:BU1779, "=0") / COUNTIF($BC$6:BU1779, "&gt;-1")</f>
        <v>0.43731086453450424</v>
      </c>
      <c r="BY1779" s="18">
        <f>SUM($BC$6:BU1779) / $BY$4</f>
        <v>0.99116061251415055</v>
      </c>
      <c r="BZ1779" s="14">
        <f t="shared" si="112"/>
        <v>14</v>
      </c>
      <c r="CA1779" t="s">
        <v>5832</v>
      </c>
      <c r="CZ1779" t="s">
        <v>6143</v>
      </c>
      <c r="DA1779" t="s">
        <v>5904</v>
      </c>
      <c r="DB1779">
        <v>771.5</v>
      </c>
      <c r="DC1779" t="s">
        <v>14645</v>
      </c>
      <c r="DD1779" t="s">
        <v>14646</v>
      </c>
      <c r="DE1779" t="s">
        <v>14647</v>
      </c>
      <c r="DF1779" t="s">
        <v>14648</v>
      </c>
      <c r="DG1779" t="s">
        <v>14649</v>
      </c>
      <c r="DH1779" t="str">
        <f>"PLEKHO2"</f>
        <v>PLEKHO2</v>
      </c>
      <c r="DI1779" t="s">
        <v>14650</v>
      </c>
      <c r="DJ1779" t="s">
        <v>13777</v>
      </c>
      <c r="DK1779">
        <v>9606</v>
      </c>
      <c r="DL1779" s="34" t="str">
        <f>HYPERLINK("http://www.uniprot.org/uniprot/Q8TD55", "Q8TD55")</f>
        <v>Q8TD55</v>
      </c>
      <c r="DM1779" t="s">
        <v>14455</v>
      </c>
      <c r="DN1779" t="s">
        <v>13772</v>
      </c>
      <c r="DO1779" t="s">
        <v>13772</v>
      </c>
      <c r="DP1779" t="s">
        <v>13780</v>
      </c>
      <c r="DQ1779" t="s">
        <v>13772</v>
      </c>
      <c r="DR1779" t="s">
        <v>13772</v>
      </c>
      <c r="DS1779" t="s">
        <v>14245</v>
      </c>
      <c r="DT1779" t="s">
        <v>13772</v>
      </c>
      <c r="DU1779" t="s">
        <v>13772</v>
      </c>
      <c r="DV1779" t="s">
        <v>13782</v>
      </c>
      <c r="DW1779" t="s">
        <v>13772</v>
      </c>
      <c r="DX1779" t="s">
        <v>14651</v>
      </c>
      <c r="DY1779" t="s">
        <v>14652</v>
      </c>
      <c r="DZ1779" t="s">
        <v>13772</v>
      </c>
      <c r="EA1779" t="s">
        <v>13772</v>
      </c>
      <c r="EB1779" t="s">
        <v>13890</v>
      </c>
    </row>
    <row r="1780" spans="1:132" hidden="1">
      <c r="A1780">
        <v>178</v>
      </c>
      <c r="B1780">
        <v>1</v>
      </c>
      <c r="C1780" t="s">
        <v>450</v>
      </c>
      <c r="D1780" t="s">
        <v>73</v>
      </c>
      <c r="E1780" t="s">
        <v>73</v>
      </c>
      <c r="F1780" t="s">
        <v>73</v>
      </c>
      <c r="G1780" t="s">
        <v>73</v>
      </c>
      <c r="H1780">
        <v>24.6</v>
      </c>
      <c r="I1780">
        <v>175</v>
      </c>
      <c r="J1780">
        <v>20082</v>
      </c>
      <c r="K1780" t="s">
        <v>451</v>
      </c>
      <c r="L1780">
        <f t="shared" si="110"/>
        <v>7</v>
      </c>
      <c r="N1780">
        <v>7</v>
      </c>
      <c r="O1780">
        <v>7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2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2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s="2">
        <v>0</v>
      </c>
      <c r="BD1780" s="2">
        <v>1</v>
      </c>
      <c r="BE1780" s="2">
        <v>0</v>
      </c>
      <c r="BF1780" s="2">
        <v>0</v>
      </c>
      <c r="BG1780" s="2">
        <v>1</v>
      </c>
      <c r="BH1780" s="2">
        <v>1</v>
      </c>
      <c r="BI1780" s="2">
        <v>1</v>
      </c>
      <c r="BJ1780" s="2">
        <v>0</v>
      </c>
      <c r="BK1780" s="2">
        <v>0</v>
      </c>
      <c r="BL1780" s="2">
        <v>0</v>
      </c>
      <c r="BM1780" s="2">
        <v>2</v>
      </c>
      <c r="BN1780" s="2">
        <v>0</v>
      </c>
      <c r="BO1780" s="2">
        <v>1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f t="shared" si="113"/>
        <v>7</v>
      </c>
      <c r="BW1780" s="16">
        <f t="shared" si="111"/>
        <v>0.36842105263157893</v>
      </c>
      <c r="BX1780" s="16">
        <f>COUNTIF($BC$6:BU1780, "=0") / COUNTIF($BC$6:BU1780, "&gt;-1")</f>
        <v>0.43744996293550781</v>
      </c>
      <c r="BY1780" s="18">
        <f>SUM($BC$6:BU1780) / $BY$4</f>
        <v>0.99119059797223141</v>
      </c>
      <c r="BZ1780" s="14">
        <f t="shared" si="112"/>
        <v>13</v>
      </c>
      <c r="CA1780" t="s">
        <v>5832</v>
      </c>
      <c r="CZ1780" t="s">
        <v>6311</v>
      </c>
      <c r="DA1780" t="s">
        <v>5904</v>
      </c>
      <c r="DB1780">
        <v>364.4</v>
      </c>
      <c r="DC1780" t="s">
        <v>15205</v>
      </c>
      <c r="DD1780" t="s">
        <v>13772</v>
      </c>
      <c r="DE1780" t="s">
        <v>15206</v>
      </c>
      <c r="DF1780" t="s">
        <v>15207</v>
      </c>
      <c r="DG1780" t="s">
        <v>15208</v>
      </c>
      <c r="DH1780" t="str">
        <f>"ARF6"</f>
        <v>ARF6</v>
      </c>
      <c r="DI1780" t="s">
        <v>13772</v>
      </c>
      <c r="DJ1780" t="s">
        <v>13777</v>
      </c>
      <c r="DK1780">
        <v>9606</v>
      </c>
      <c r="DL1780" s="34" t="str">
        <f>HYPERLINK("http://www.uniprot.org/uniprot/P62330", "P62330")</f>
        <v>P62330</v>
      </c>
      <c r="DM1780" t="s">
        <v>15209</v>
      </c>
      <c r="DN1780" t="s">
        <v>15210</v>
      </c>
      <c r="DO1780" t="s">
        <v>15211</v>
      </c>
      <c r="DP1780" t="s">
        <v>13772</v>
      </c>
      <c r="DQ1780" t="s">
        <v>13772</v>
      </c>
      <c r="DR1780" t="s">
        <v>13772</v>
      </c>
      <c r="DS1780" t="s">
        <v>13772</v>
      </c>
      <c r="DT1780" t="s">
        <v>14216</v>
      </c>
      <c r="DU1780" t="s">
        <v>13772</v>
      </c>
      <c r="DV1780" t="s">
        <v>15212</v>
      </c>
      <c r="DW1780" t="s">
        <v>13812</v>
      </c>
      <c r="DX1780" t="s">
        <v>15213</v>
      </c>
      <c r="DY1780" t="s">
        <v>15214</v>
      </c>
      <c r="DZ1780" t="s">
        <v>15215</v>
      </c>
      <c r="EA1780" t="s">
        <v>13772</v>
      </c>
      <c r="EB1780" t="s">
        <v>15216</v>
      </c>
    </row>
    <row r="1781" spans="1:132" hidden="1">
      <c r="A1781">
        <v>192</v>
      </c>
      <c r="B1781">
        <v>1</v>
      </c>
      <c r="C1781" t="s">
        <v>484</v>
      </c>
      <c r="D1781" t="s">
        <v>485</v>
      </c>
      <c r="E1781" t="s">
        <v>73</v>
      </c>
      <c r="F1781" t="s">
        <v>73</v>
      </c>
      <c r="G1781" t="s">
        <v>73</v>
      </c>
      <c r="H1781">
        <v>4.5</v>
      </c>
      <c r="I1781">
        <v>779</v>
      </c>
      <c r="J1781">
        <v>84646</v>
      </c>
      <c r="K1781" t="s">
        <v>486</v>
      </c>
      <c r="L1781">
        <f t="shared" si="110"/>
        <v>7</v>
      </c>
      <c r="N1781">
        <v>7</v>
      </c>
      <c r="O1781">
        <v>7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1</v>
      </c>
      <c r="V1781">
        <v>1</v>
      </c>
      <c r="W1781">
        <v>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1</v>
      </c>
      <c r="AO1781">
        <v>1</v>
      </c>
      <c r="AP1781">
        <v>3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 s="2">
        <v>1</v>
      </c>
      <c r="BD1781" s="2">
        <v>1</v>
      </c>
      <c r="BE1781" s="2">
        <v>0</v>
      </c>
      <c r="BF1781" s="2">
        <v>0</v>
      </c>
      <c r="BG1781" s="2">
        <v>1</v>
      </c>
      <c r="BH1781" s="2">
        <v>1</v>
      </c>
      <c r="BI1781" s="2">
        <v>3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f t="shared" si="113"/>
        <v>7</v>
      </c>
      <c r="BW1781" s="16">
        <f t="shared" si="111"/>
        <v>0.36842105263157893</v>
      </c>
      <c r="BX1781" s="16">
        <f>COUNTIF($BC$6:BU1781, "=0") / COUNTIF($BC$6:BU1781, "&gt;-1")</f>
        <v>0.4376185395922238</v>
      </c>
      <c r="BY1781" s="18">
        <f>SUM($BC$6:BU1781) / $BY$4</f>
        <v>0.99122058343031239</v>
      </c>
      <c r="BZ1781" s="14">
        <f t="shared" si="112"/>
        <v>14</v>
      </c>
      <c r="CA1781" t="s">
        <v>5832</v>
      </c>
      <c r="CZ1781" t="s">
        <v>6361</v>
      </c>
      <c r="DA1781" t="s">
        <v>5904</v>
      </c>
      <c r="DB1781">
        <v>1047.3</v>
      </c>
      <c r="DC1781" t="s">
        <v>15373</v>
      </c>
      <c r="DD1781" t="s">
        <v>13772</v>
      </c>
      <c r="DE1781" t="s">
        <v>15374</v>
      </c>
      <c r="DF1781" t="s">
        <v>15375</v>
      </c>
      <c r="DG1781" t="s">
        <v>15376</v>
      </c>
      <c r="DH1781" t="str">
        <f>"ARMH4"</f>
        <v>ARMH4</v>
      </c>
      <c r="DI1781" t="s">
        <v>13772</v>
      </c>
      <c r="DJ1781" t="s">
        <v>13777</v>
      </c>
      <c r="DK1781">
        <v>9606</v>
      </c>
      <c r="DL1781" s="34" t="str">
        <f>HYPERLINK("http://www.uniprot.org/uniprot/Q86TY3", "Q86TY3")</f>
        <v>Q86TY3</v>
      </c>
      <c r="DM1781" t="s">
        <v>15377</v>
      </c>
      <c r="DN1781" t="s">
        <v>13772</v>
      </c>
      <c r="DO1781" t="s">
        <v>13825</v>
      </c>
      <c r="DP1781" t="s">
        <v>13780</v>
      </c>
      <c r="DQ1781" t="s">
        <v>13772</v>
      </c>
      <c r="DR1781" t="s">
        <v>13772</v>
      </c>
      <c r="DS1781" t="s">
        <v>13855</v>
      </c>
      <c r="DT1781" t="s">
        <v>13772</v>
      </c>
      <c r="DU1781" t="s">
        <v>13772</v>
      </c>
      <c r="DV1781" t="s">
        <v>13978</v>
      </c>
      <c r="DW1781" t="s">
        <v>13772</v>
      </c>
      <c r="DX1781" t="s">
        <v>13772</v>
      </c>
      <c r="DY1781" t="s">
        <v>15378</v>
      </c>
      <c r="DZ1781" t="s">
        <v>13772</v>
      </c>
      <c r="EA1781" t="s">
        <v>13772</v>
      </c>
      <c r="EB1781" t="s">
        <v>13772</v>
      </c>
    </row>
    <row r="1782" spans="1:132" hidden="1">
      <c r="A1782">
        <v>199</v>
      </c>
      <c r="B1782">
        <v>1</v>
      </c>
      <c r="C1782" t="s">
        <v>502</v>
      </c>
      <c r="D1782" t="s">
        <v>73</v>
      </c>
      <c r="E1782" t="s">
        <v>73</v>
      </c>
      <c r="F1782" t="s">
        <v>73</v>
      </c>
      <c r="G1782" t="s">
        <v>73</v>
      </c>
      <c r="H1782">
        <v>28.8</v>
      </c>
      <c r="I1782">
        <v>219</v>
      </c>
      <c r="J1782">
        <v>24788</v>
      </c>
      <c r="K1782" t="s">
        <v>503</v>
      </c>
      <c r="L1782">
        <f t="shared" si="110"/>
        <v>7</v>
      </c>
      <c r="N1782">
        <v>7</v>
      </c>
      <c r="O1782">
        <v>7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4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4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1</v>
      </c>
      <c r="BL1782" s="2">
        <v>1</v>
      </c>
      <c r="BM1782" s="2">
        <v>1</v>
      </c>
      <c r="BN1782" s="2">
        <v>4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f t="shared" si="113"/>
        <v>7</v>
      </c>
      <c r="BW1782" s="16">
        <f t="shared" si="111"/>
        <v>0.36842105263157893</v>
      </c>
      <c r="BX1782" s="16">
        <f>COUNTIF($BC$6:BU1782, "=0") / COUNTIF($BC$6:BU1782, "&gt;-1")</f>
        <v>0.43781654473832304</v>
      </c>
      <c r="BY1782" s="18">
        <f>SUM($BC$6:BU1782) / $BY$4</f>
        <v>0.99125056888839325</v>
      </c>
      <c r="BZ1782" s="14">
        <f t="shared" si="112"/>
        <v>15</v>
      </c>
      <c r="CA1782" t="s">
        <v>5832</v>
      </c>
      <c r="CZ1782" t="s">
        <v>6383</v>
      </c>
      <c r="DA1782" t="s">
        <v>5904</v>
      </c>
      <c r="DB1782">
        <v>435.6</v>
      </c>
      <c r="DC1782" t="s">
        <v>15443</v>
      </c>
      <c r="DD1782" t="s">
        <v>15444</v>
      </c>
      <c r="DE1782" t="s">
        <v>15445</v>
      </c>
      <c r="DF1782" t="s">
        <v>15446</v>
      </c>
      <c r="DG1782" t="s">
        <v>15447</v>
      </c>
      <c r="DH1782" t="str">
        <f>"TMED10"</f>
        <v>TMED10</v>
      </c>
      <c r="DI1782" t="s">
        <v>15448</v>
      </c>
      <c r="DJ1782" t="s">
        <v>13777</v>
      </c>
      <c r="DK1782">
        <v>9606</v>
      </c>
      <c r="DL1782" s="34" t="str">
        <f>HYPERLINK("http://www.uniprot.org/uniprot/P49755", "P49755")</f>
        <v>P49755</v>
      </c>
      <c r="DM1782" t="s">
        <v>15449</v>
      </c>
      <c r="DN1782" t="s">
        <v>15450</v>
      </c>
      <c r="DO1782" t="s">
        <v>15451</v>
      </c>
      <c r="DP1782" t="s">
        <v>13793</v>
      </c>
      <c r="DQ1782" t="s">
        <v>13772</v>
      </c>
      <c r="DR1782" t="s">
        <v>13772</v>
      </c>
      <c r="DS1782" t="s">
        <v>13855</v>
      </c>
      <c r="DT1782" t="s">
        <v>13772</v>
      </c>
      <c r="DU1782" t="s">
        <v>13772</v>
      </c>
      <c r="DV1782" t="s">
        <v>15452</v>
      </c>
      <c r="DW1782" t="s">
        <v>13772</v>
      </c>
      <c r="DX1782" t="s">
        <v>15453</v>
      </c>
      <c r="DY1782" t="s">
        <v>15454</v>
      </c>
      <c r="DZ1782" t="s">
        <v>15455</v>
      </c>
      <c r="EA1782" t="s">
        <v>13772</v>
      </c>
      <c r="EB1782" t="s">
        <v>15456</v>
      </c>
    </row>
    <row r="1783" spans="1:132" hidden="1">
      <c r="A1783">
        <v>211</v>
      </c>
      <c r="B1783">
        <v>1</v>
      </c>
      <c r="C1783" t="s">
        <v>533</v>
      </c>
      <c r="D1783" t="s">
        <v>73</v>
      </c>
      <c r="E1783" t="s">
        <v>73</v>
      </c>
      <c r="F1783" t="s">
        <v>73</v>
      </c>
      <c r="G1783" t="s">
        <v>73</v>
      </c>
      <c r="H1783">
        <v>12.9</v>
      </c>
      <c r="I1783">
        <v>426</v>
      </c>
      <c r="J1783">
        <v>46589</v>
      </c>
      <c r="K1783" t="s">
        <v>534</v>
      </c>
      <c r="L1783">
        <f t="shared" si="110"/>
        <v>7</v>
      </c>
      <c r="N1783">
        <v>7</v>
      </c>
      <c r="O1783">
        <v>7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3</v>
      </c>
      <c r="V1783">
        <v>1</v>
      </c>
      <c r="W1783">
        <v>0</v>
      </c>
      <c r="X1783">
        <v>2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3</v>
      </c>
      <c r="AO1783">
        <v>1</v>
      </c>
      <c r="AP1783">
        <v>0</v>
      </c>
      <c r="AQ1783">
        <v>2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3</v>
      </c>
      <c r="BH1783" s="2">
        <v>1</v>
      </c>
      <c r="BI1783" s="2">
        <v>0</v>
      </c>
      <c r="BJ1783" s="2">
        <v>2</v>
      </c>
      <c r="BK1783" s="2">
        <v>0</v>
      </c>
      <c r="BL1783" s="2">
        <v>0</v>
      </c>
      <c r="BM1783" s="2">
        <v>0</v>
      </c>
      <c r="BN1783" s="2">
        <v>1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f t="shared" si="113"/>
        <v>7</v>
      </c>
      <c r="BW1783" s="16">
        <f t="shared" si="111"/>
        <v>0.36842105263157893</v>
      </c>
      <c r="BX1783" s="16">
        <f>COUNTIF($BC$6:BU1783, "=0") / COUNTIF($BC$6:BU1783, "&gt;-1")</f>
        <v>0.43801432715647387</v>
      </c>
      <c r="BY1783" s="18">
        <f>SUM($BC$6:BU1783) / $BY$4</f>
        <v>0.99128055434647411</v>
      </c>
      <c r="BZ1783" s="14">
        <f t="shared" si="112"/>
        <v>15</v>
      </c>
      <c r="CA1783" t="s">
        <v>5832</v>
      </c>
      <c r="CZ1783" t="s">
        <v>6425</v>
      </c>
      <c r="DA1783" t="s">
        <v>5904</v>
      </c>
      <c r="DB1783">
        <v>822.8</v>
      </c>
      <c r="DC1783" t="s">
        <v>15575</v>
      </c>
      <c r="DD1783" t="s">
        <v>13772</v>
      </c>
      <c r="DE1783" t="s">
        <v>15576</v>
      </c>
      <c r="DF1783" t="s">
        <v>15577</v>
      </c>
      <c r="DG1783" t="s">
        <v>15578</v>
      </c>
      <c r="DH1783" t="str">
        <f>"IVD"</f>
        <v>IVD</v>
      </c>
      <c r="DI1783" t="s">
        <v>13772</v>
      </c>
      <c r="DJ1783" t="s">
        <v>13777</v>
      </c>
      <c r="DK1783">
        <v>9606</v>
      </c>
      <c r="DL1783" s="34" t="str">
        <f>HYPERLINK("http://www.uniprot.org/uniprot/P26440", "P26440")</f>
        <v>P26440</v>
      </c>
      <c r="DM1783" t="s">
        <v>15579</v>
      </c>
      <c r="DN1783" t="s">
        <v>13772</v>
      </c>
      <c r="DO1783" t="s">
        <v>14491</v>
      </c>
      <c r="DP1783" t="s">
        <v>13841</v>
      </c>
      <c r="DQ1783" t="s">
        <v>13772</v>
      </c>
      <c r="DR1783" t="s">
        <v>13807</v>
      </c>
      <c r="DS1783" t="s">
        <v>14391</v>
      </c>
      <c r="DT1783" t="s">
        <v>15580</v>
      </c>
      <c r="DU1783" t="s">
        <v>13885</v>
      </c>
      <c r="DV1783" t="s">
        <v>14020</v>
      </c>
      <c r="DW1783" t="s">
        <v>13812</v>
      </c>
      <c r="DX1783" t="s">
        <v>15581</v>
      </c>
      <c r="DY1783" t="s">
        <v>15582</v>
      </c>
      <c r="DZ1783" t="s">
        <v>15583</v>
      </c>
      <c r="EA1783" t="s">
        <v>15584</v>
      </c>
      <c r="EB1783" t="s">
        <v>14984</v>
      </c>
    </row>
    <row r="1784" spans="1:132" hidden="1">
      <c r="A1784">
        <v>249</v>
      </c>
      <c r="B1784">
        <v>1</v>
      </c>
      <c r="C1784" t="s">
        <v>633</v>
      </c>
      <c r="D1784" t="s">
        <v>73</v>
      </c>
      <c r="E1784" t="s">
        <v>73</v>
      </c>
      <c r="F1784" t="s">
        <v>73</v>
      </c>
      <c r="G1784" t="s">
        <v>73</v>
      </c>
      <c r="H1784">
        <v>6.1</v>
      </c>
      <c r="I1784">
        <v>819</v>
      </c>
      <c r="J1784">
        <v>89804</v>
      </c>
      <c r="K1784" t="s">
        <v>634</v>
      </c>
      <c r="L1784">
        <f t="shared" si="110"/>
        <v>7</v>
      </c>
      <c r="N1784">
        <v>7</v>
      </c>
      <c r="O1784">
        <v>7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2</v>
      </c>
      <c r="AB1784">
        <v>2</v>
      </c>
      <c r="AC1784">
        <v>0</v>
      </c>
      <c r="AD1784">
        <v>0</v>
      </c>
      <c r="AE1784">
        <v>0</v>
      </c>
      <c r="AF1784">
        <v>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2</v>
      </c>
      <c r="AU1784">
        <v>2</v>
      </c>
      <c r="AV1784">
        <v>0</v>
      </c>
      <c r="AW1784">
        <v>0</v>
      </c>
      <c r="AX1784">
        <v>0</v>
      </c>
      <c r="AY1784">
        <v>2</v>
      </c>
      <c r="AZ1784">
        <v>0</v>
      </c>
      <c r="BA1784">
        <v>0</v>
      </c>
      <c r="BB1784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1</v>
      </c>
      <c r="BL1784" s="2">
        <v>0</v>
      </c>
      <c r="BM1784" s="2">
        <v>2</v>
      </c>
      <c r="BN1784" s="2">
        <v>2</v>
      </c>
      <c r="BO1784" s="2">
        <v>0</v>
      </c>
      <c r="BP1784" s="2">
        <v>0</v>
      </c>
      <c r="BQ1784" s="2">
        <v>0</v>
      </c>
      <c r="BR1784" s="2">
        <v>2</v>
      </c>
      <c r="BS1784" s="2">
        <v>0</v>
      </c>
      <c r="BT1784" s="2">
        <v>0</v>
      </c>
      <c r="BU1784" s="2">
        <v>0</v>
      </c>
      <c r="BV1784" s="2">
        <f t="shared" si="113"/>
        <v>7</v>
      </c>
      <c r="BW1784" s="16">
        <f t="shared" si="111"/>
        <v>0.36842105263157893</v>
      </c>
      <c r="BX1784" s="16">
        <f>COUNTIF($BC$6:BU1784, "=0") / COUNTIF($BC$6:BU1784, "&gt;-1")</f>
        <v>0.43821188722227156</v>
      </c>
      <c r="BY1784" s="18">
        <f>SUM($BC$6:BU1784) / $BY$4</f>
        <v>0.99131053980455508</v>
      </c>
      <c r="BZ1784" s="14">
        <f t="shared" si="112"/>
        <v>15</v>
      </c>
      <c r="CA1784" t="s">
        <v>5832</v>
      </c>
      <c r="CZ1784" t="s">
        <v>6562</v>
      </c>
      <c r="DA1784" t="s">
        <v>5904</v>
      </c>
      <c r="DB1784">
        <v>1486.5</v>
      </c>
      <c r="DC1784" t="s">
        <v>16011</v>
      </c>
      <c r="DD1784" t="s">
        <v>16012</v>
      </c>
      <c r="DE1784" t="s">
        <v>16013</v>
      </c>
      <c r="DF1784" t="s">
        <v>16014</v>
      </c>
      <c r="DG1784" t="s">
        <v>16015</v>
      </c>
      <c r="DH1784" t="str">
        <f>"TGM1"</f>
        <v>TGM1</v>
      </c>
      <c r="DI1784" t="s">
        <v>16016</v>
      </c>
      <c r="DJ1784" t="s">
        <v>13777</v>
      </c>
      <c r="DK1784">
        <v>9606</v>
      </c>
      <c r="DL1784" s="34" t="str">
        <f>HYPERLINK("http://www.uniprot.org/uniprot/P22735", "P22735")</f>
        <v>P22735</v>
      </c>
      <c r="DM1784" t="s">
        <v>16017</v>
      </c>
      <c r="DN1784" t="s">
        <v>16018</v>
      </c>
      <c r="DO1784" t="s">
        <v>13825</v>
      </c>
      <c r="DP1784" t="s">
        <v>13780</v>
      </c>
      <c r="DQ1784" t="s">
        <v>13772</v>
      </c>
      <c r="DR1784" t="s">
        <v>16019</v>
      </c>
      <c r="DS1784" t="s">
        <v>13772</v>
      </c>
      <c r="DT1784" t="s">
        <v>13873</v>
      </c>
      <c r="DU1784" t="s">
        <v>15096</v>
      </c>
      <c r="DV1784" t="s">
        <v>16020</v>
      </c>
      <c r="DW1784" t="s">
        <v>13812</v>
      </c>
      <c r="DX1784" t="s">
        <v>16021</v>
      </c>
      <c r="DY1784" t="s">
        <v>16022</v>
      </c>
      <c r="DZ1784" t="s">
        <v>16023</v>
      </c>
      <c r="EA1784" t="s">
        <v>13772</v>
      </c>
      <c r="EB1784" t="s">
        <v>16024</v>
      </c>
    </row>
    <row r="1785" spans="1:132" hidden="1">
      <c r="A1785">
        <v>250</v>
      </c>
      <c r="B1785">
        <v>1</v>
      </c>
      <c r="C1785" t="s">
        <v>635</v>
      </c>
      <c r="D1785" t="s">
        <v>73</v>
      </c>
      <c r="E1785" t="s">
        <v>73</v>
      </c>
      <c r="F1785" t="s">
        <v>73</v>
      </c>
      <c r="G1785" t="s">
        <v>73</v>
      </c>
      <c r="H1785">
        <v>29.6</v>
      </c>
      <c r="I1785">
        <v>152</v>
      </c>
      <c r="J1785">
        <v>16748</v>
      </c>
      <c r="K1785" t="s">
        <v>636</v>
      </c>
      <c r="L1785">
        <f t="shared" si="110"/>
        <v>7</v>
      </c>
      <c r="N1785">
        <v>7</v>
      </c>
      <c r="O1785">
        <v>7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4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4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4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1</v>
      </c>
      <c r="BO1785" s="2">
        <v>0</v>
      </c>
      <c r="BP1785" s="2">
        <v>0</v>
      </c>
      <c r="BQ1785" s="2">
        <v>1</v>
      </c>
      <c r="BR1785" s="2">
        <v>0</v>
      </c>
      <c r="BS1785" s="2">
        <v>0</v>
      </c>
      <c r="BT1785" s="2">
        <v>0</v>
      </c>
      <c r="BU1785" s="2">
        <v>0</v>
      </c>
      <c r="BV1785" s="2">
        <f t="shared" si="113"/>
        <v>7</v>
      </c>
      <c r="BW1785" s="16">
        <f t="shared" si="111"/>
        <v>0.36842105263157893</v>
      </c>
      <c r="BX1785" s="16">
        <f>COUNTIF($BC$6:BU1785, "=0") / COUNTIF($BC$6:BU1785, "&gt;-1")</f>
        <v>0.43840922531046717</v>
      </c>
      <c r="BY1785" s="18">
        <f>SUM($BC$6:BU1785) / $BY$4</f>
        <v>0.99134052526263594</v>
      </c>
      <c r="BZ1785" s="14">
        <f t="shared" si="112"/>
        <v>15</v>
      </c>
      <c r="CA1785" t="s">
        <v>5832</v>
      </c>
      <c r="CZ1785" t="s">
        <v>6565</v>
      </c>
      <c r="DA1785" t="s">
        <v>5904</v>
      </c>
      <c r="DB1785">
        <v>279.3</v>
      </c>
      <c r="DC1785" t="s">
        <v>16025</v>
      </c>
      <c r="DD1785" t="s">
        <v>16026</v>
      </c>
      <c r="DE1785" t="s">
        <v>16027</v>
      </c>
      <c r="DF1785" t="s">
        <v>16028</v>
      </c>
      <c r="DG1785" t="s">
        <v>16029</v>
      </c>
      <c r="DH1785" t="str">
        <f>"COX5A"</f>
        <v>COX5A</v>
      </c>
      <c r="DI1785" t="s">
        <v>13772</v>
      </c>
      <c r="DJ1785" t="s">
        <v>13777</v>
      </c>
      <c r="DK1785">
        <v>9606</v>
      </c>
      <c r="DL1785" s="34" t="str">
        <f>HYPERLINK("http://www.uniprot.org/uniprot/P20674", "P20674")</f>
        <v>P20674</v>
      </c>
      <c r="DM1785" t="s">
        <v>16030</v>
      </c>
      <c r="DN1785" t="s">
        <v>13772</v>
      </c>
      <c r="DO1785" t="s">
        <v>15507</v>
      </c>
      <c r="DP1785" t="s">
        <v>13772</v>
      </c>
      <c r="DQ1785" t="s">
        <v>13772</v>
      </c>
      <c r="DR1785" t="s">
        <v>14390</v>
      </c>
      <c r="DS1785" t="s">
        <v>14391</v>
      </c>
      <c r="DT1785" t="s">
        <v>16031</v>
      </c>
      <c r="DU1785" t="s">
        <v>13772</v>
      </c>
      <c r="DV1785" t="s">
        <v>13886</v>
      </c>
      <c r="DW1785" t="s">
        <v>13812</v>
      </c>
      <c r="DX1785" t="s">
        <v>16032</v>
      </c>
      <c r="DY1785" t="s">
        <v>16033</v>
      </c>
      <c r="DZ1785" t="s">
        <v>16034</v>
      </c>
      <c r="EA1785" t="s">
        <v>13772</v>
      </c>
      <c r="EB1785" t="s">
        <v>16035</v>
      </c>
    </row>
    <row r="1786" spans="1:132" hidden="1">
      <c r="A1786">
        <v>301</v>
      </c>
      <c r="B1786">
        <v>1</v>
      </c>
      <c r="C1786" t="s">
        <v>755</v>
      </c>
      <c r="D1786" t="s">
        <v>756</v>
      </c>
      <c r="E1786" t="s">
        <v>73</v>
      </c>
      <c r="F1786" t="s">
        <v>73</v>
      </c>
      <c r="G1786" t="s">
        <v>73</v>
      </c>
      <c r="H1786">
        <v>6.9</v>
      </c>
      <c r="I1786">
        <v>1038</v>
      </c>
      <c r="J1786">
        <v>117540</v>
      </c>
      <c r="K1786" t="s">
        <v>757</v>
      </c>
      <c r="L1786">
        <f t="shared" si="110"/>
        <v>7</v>
      </c>
      <c r="N1786">
        <v>7</v>
      </c>
      <c r="O1786">
        <v>7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3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3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</v>
      </c>
      <c r="BH1786" s="2">
        <v>1</v>
      </c>
      <c r="BI1786" s="2">
        <v>0</v>
      </c>
      <c r="BJ1786" s="2">
        <v>0</v>
      </c>
      <c r="BK1786" s="2">
        <v>0</v>
      </c>
      <c r="BL1786" s="2">
        <v>0</v>
      </c>
      <c r="BM1786" s="2">
        <v>1</v>
      </c>
      <c r="BN1786" s="2">
        <v>3</v>
      </c>
      <c r="BO1786" s="2">
        <v>0</v>
      </c>
      <c r="BP1786" s="2">
        <v>0</v>
      </c>
      <c r="BQ1786" s="2">
        <v>0</v>
      </c>
      <c r="BR1786" s="2">
        <v>1</v>
      </c>
      <c r="BS1786" s="2">
        <v>0</v>
      </c>
      <c r="BT1786" s="2">
        <v>0</v>
      </c>
      <c r="BU1786" s="2">
        <v>0</v>
      </c>
      <c r="BV1786" s="2">
        <f t="shared" si="113"/>
        <v>7</v>
      </c>
      <c r="BW1786" s="16">
        <f t="shared" si="111"/>
        <v>0.36842105263157893</v>
      </c>
      <c r="BX1786" s="16">
        <f>COUNTIF($BC$6:BU1786, "=0") / COUNTIF($BC$6:BU1786, "&gt;-1")</f>
        <v>0.43857679009426992</v>
      </c>
      <c r="BY1786" s="18">
        <f>SUM($BC$6:BU1786) / $BY$4</f>
        <v>0.9913705107207168</v>
      </c>
      <c r="BZ1786" s="14">
        <f t="shared" si="112"/>
        <v>14</v>
      </c>
      <c r="CA1786" t="s">
        <v>5832</v>
      </c>
      <c r="CZ1786" t="s">
        <v>6733</v>
      </c>
      <c r="DA1786" t="s">
        <v>5904</v>
      </c>
      <c r="DB1786">
        <v>2081.6</v>
      </c>
      <c r="DC1786" t="s">
        <v>16543</v>
      </c>
      <c r="DD1786" t="s">
        <v>16544</v>
      </c>
      <c r="DE1786" t="s">
        <v>16545</v>
      </c>
      <c r="DF1786" t="s">
        <v>16546</v>
      </c>
      <c r="DG1786" t="s">
        <v>16547</v>
      </c>
      <c r="DH1786" t="str">
        <f>"OGDH"</f>
        <v>OGDH</v>
      </c>
      <c r="DI1786" t="s">
        <v>13772</v>
      </c>
      <c r="DJ1786" t="s">
        <v>13777</v>
      </c>
      <c r="DK1786">
        <v>9606</v>
      </c>
      <c r="DL1786" s="34" t="str">
        <f>HYPERLINK("http://www.uniprot.org/uniprot/Q02218", "Q02218")</f>
        <v>Q02218</v>
      </c>
      <c r="DM1786" t="s">
        <v>16548</v>
      </c>
      <c r="DN1786" t="s">
        <v>15772</v>
      </c>
      <c r="DO1786" t="s">
        <v>15225</v>
      </c>
      <c r="DP1786" t="s">
        <v>13780</v>
      </c>
      <c r="DQ1786" t="s">
        <v>13772</v>
      </c>
      <c r="DR1786" t="s">
        <v>13772</v>
      </c>
      <c r="DS1786" t="s">
        <v>14391</v>
      </c>
      <c r="DT1786" t="s">
        <v>16549</v>
      </c>
      <c r="DU1786" t="s">
        <v>13885</v>
      </c>
      <c r="DV1786" t="s">
        <v>13991</v>
      </c>
      <c r="DW1786" t="s">
        <v>13812</v>
      </c>
      <c r="DX1786" t="s">
        <v>16550</v>
      </c>
      <c r="DY1786" t="s">
        <v>16551</v>
      </c>
      <c r="DZ1786" t="s">
        <v>16552</v>
      </c>
      <c r="EA1786" t="s">
        <v>13772</v>
      </c>
      <c r="EB1786" t="s">
        <v>15231</v>
      </c>
    </row>
    <row r="1787" spans="1:132" hidden="1">
      <c r="A1787">
        <v>322</v>
      </c>
      <c r="B1787">
        <v>1</v>
      </c>
      <c r="C1787" t="s">
        <v>808</v>
      </c>
      <c r="D1787" t="s">
        <v>809</v>
      </c>
      <c r="E1787" t="s">
        <v>73</v>
      </c>
      <c r="F1787" t="s">
        <v>73</v>
      </c>
      <c r="G1787" t="s">
        <v>73</v>
      </c>
      <c r="H1787">
        <v>5.4</v>
      </c>
      <c r="I1787">
        <v>1105</v>
      </c>
      <c r="J1787">
        <v>124786</v>
      </c>
      <c r="K1787" t="s">
        <v>810</v>
      </c>
      <c r="L1787">
        <f t="shared" si="110"/>
        <v>7</v>
      </c>
      <c r="N1787">
        <v>7</v>
      </c>
      <c r="O1787">
        <v>7</v>
      </c>
      <c r="P1787">
        <v>1</v>
      </c>
      <c r="Q1787">
        <v>1</v>
      </c>
      <c r="R1787">
        <v>2</v>
      </c>
      <c r="S1787">
        <v>0</v>
      </c>
      <c r="T1787">
        <v>0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2</v>
      </c>
      <c r="AL1787">
        <v>0</v>
      </c>
      <c r="AM1787">
        <v>0</v>
      </c>
      <c r="AN1787">
        <v>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 s="2">
        <v>1</v>
      </c>
      <c r="BD1787" s="2">
        <v>2</v>
      </c>
      <c r="BE1787" s="2">
        <v>0</v>
      </c>
      <c r="BF1787" s="2">
        <v>0</v>
      </c>
      <c r="BG1787" s="2">
        <v>2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1</v>
      </c>
      <c r="BN1787" s="2">
        <v>0</v>
      </c>
      <c r="BO1787" s="2">
        <v>0</v>
      </c>
      <c r="BP1787" s="2">
        <v>0</v>
      </c>
      <c r="BQ1787" s="2">
        <v>0</v>
      </c>
      <c r="BR1787" s="2">
        <v>1</v>
      </c>
      <c r="BS1787" s="2">
        <v>0</v>
      </c>
      <c r="BT1787" s="2">
        <v>0</v>
      </c>
      <c r="BU1787" s="2">
        <v>0</v>
      </c>
      <c r="BV1787" s="2">
        <f t="shared" si="113"/>
        <v>7</v>
      </c>
      <c r="BW1787" s="16">
        <f t="shared" si="111"/>
        <v>0.36842105263157893</v>
      </c>
      <c r="BX1787" s="16">
        <f>COUNTIF($BC$6:BU1787, "=0") / COUNTIF($BC$6:BU1787, "&gt;-1")</f>
        <v>0.43874416681434225</v>
      </c>
      <c r="BY1787" s="18">
        <f>SUM($BC$6:BU1787) / $BY$4</f>
        <v>0.99140049617879777</v>
      </c>
      <c r="BZ1787" s="14">
        <f t="shared" si="112"/>
        <v>14</v>
      </c>
      <c r="CA1787" t="s">
        <v>5832</v>
      </c>
      <c r="CZ1787" t="s">
        <v>6814</v>
      </c>
      <c r="DA1787" t="s">
        <v>5904</v>
      </c>
      <c r="DB1787">
        <v>2221.4</v>
      </c>
      <c r="DC1787" t="s">
        <v>16768</v>
      </c>
      <c r="DD1787" t="s">
        <v>16769</v>
      </c>
      <c r="DE1787" t="s">
        <v>16770</v>
      </c>
      <c r="DF1787" t="s">
        <v>16771</v>
      </c>
      <c r="DG1787" t="s">
        <v>16772</v>
      </c>
      <c r="DH1787" t="str">
        <f>"CACNA2D1"</f>
        <v>CACNA2D1</v>
      </c>
      <c r="DI1787" t="s">
        <v>16773</v>
      </c>
      <c r="DJ1787" t="s">
        <v>13777</v>
      </c>
      <c r="DK1787">
        <v>9606</v>
      </c>
      <c r="DL1787" s="34" t="str">
        <f>HYPERLINK("http://www.uniprot.org/uniprot/P54289", "P54289")</f>
        <v>P54289</v>
      </c>
      <c r="DM1787" t="s">
        <v>16774</v>
      </c>
      <c r="DN1787" t="s">
        <v>16775</v>
      </c>
      <c r="DO1787" t="s">
        <v>13825</v>
      </c>
      <c r="DP1787" t="s">
        <v>13780</v>
      </c>
      <c r="DQ1787" t="s">
        <v>13772</v>
      </c>
      <c r="DR1787" t="s">
        <v>13772</v>
      </c>
      <c r="DS1787" t="s">
        <v>13855</v>
      </c>
      <c r="DT1787" t="s">
        <v>13873</v>
      </c>
      <c r="DU1787" t="s">
        <v>16776</v>
      </c>
      <c r="DV1787" t="s">
        <v>13964</v>
      </c>
      <c r="DW1787" t="s">
        <v>13772</v>
      </c>
      <c r="DX1787" t="s">
        <v>16777</v>
      </c>
      <c r="DY1787" t="s">
        <v>16778</v>
      </c>
      <c r="DZ1787" t="s">
        <v>16779</v>
      </c>
      <c r="EA1787" t="s">
        <v>13772</v>
      </c>
      <c r="EB1787" t="s">
        <v>16780</v>
      </c>
    </row>
    <row r="1788" spans="1:132" hidden="1">
      <c r="A1788">
        <v>361</v>
      </c>
      <c r="B1788">
        <v>1</v>
      </c>
      <c r="C1788" t="s">
        <v>902</v>
      </c>
      <c r="D1788" t="s">
        <v>903</v>
      </c>
      <c r="E1788" t="s">
        <v>73</v>
      </c>
      <c r="F1788" t="s">
        <v>73</v>
      </c>
      <c r="G1788" t="s">
        <v>73</v>
      </c>
      <c r="H1788">
        <v>8.3000000000000007</v>
      </c>
      <c r="I1788">
        <v>659</v>
      </c>
      <c r="J1788">
        <v>73946</v>
      </c>
      <c r="K1788" t="s">
        <v>904</v>
      </c>
      <c r="L1788">
        <f t="shared" si="110"/>
        <v>7</v>
      </c>
      <c r="N1788">
        <v>7</v>
      </c>
      <c r="O1788">
        <v>7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</v>
      </c>
      <c r="AB1788">
        <v>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</v>
      </c>
      <c r="AU1788">
        <v>4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 s="2">
        <v>0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2</v>
      </c>
      <c r="BN1788" s="2">
        <v>4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f t="shared" si="113"/>
        <v>7</v>
      </c>
      <c r="BW1788" s="16">
        <f t="shared" si="111"/>
        <v>0.36842105263157893</v>
      </c>
      <c r="BX1788" s="16">
        <f>COUNTIF($BC$6:BU1788, "=0") / COUNTIF($BC$6:BU1788, "&gt;-1")</f>
        <v>0.43897039289193257</v>
      </c>
      <c r="BY1788" s="18">
        <f>SUM($BC$6:BU1788) / $BY$4</f>
        <v>0.99143048163687864</v>
      </c>
      <c r="BZ1788" s="14">
        <f t="shared" si="112"/>
        <v>16</v>
      </c>
      <c r="CA1788" t="s">
        <v>5832</v>
      </c>
      <c r="CZ1788" t="s">
        <v>6949</v>
      </c>
      <c r="DA1788" t="s">
        <v>5904</v>
      </c>
      <c r="DB1788">
        <v>1237.5999999999999</v>
      </c>
      <c r="DC1788" t="s">
        <v>17186</v>
      </c>
      <c r="DD1788" t="s">
        <v>17187</v>
      </c>
      <c r="DE1788" t="s">
        <v>17188</v>
      </c>
      <c r="DF1788" t="s">
        <v>17189</v>
      </c>
      <c r="DG1788" t="s">
        <v>17190</v>
      </c>
      <c r="DH1788" t="str">
        <f>"CPT2"</f>
        <v>CPT2</v>
      </c>
      <c r="DI1788" t="s">
        <v>17191</v>
      </c>
      <c r="DJ1788" t="s">
        <v>13777</v>
      </c>
      <c r="DK1788">
        <v>9606</v>
      </c>
      <c r="DL1788" s="34" t="str">
        <f>HYPERLINK("http://www.uniprot.org/uniprot/P23786", "P23786")</f>
        <v>P23786</v>
      </c>
      <c r="DM1788" t="s">
        <v>17192</v>
      </c>
      <c r="DN1788" t="s">
        <v>17193</v>
      </c>
      <c r="DO1788" t="s">
        <v>15507</v>
      </c>
      <c r="DP1788" t="s">
        <v>13793</v>
      </c>
      <c r="DQ1788" t="s">
        <v>13772</v>
      </c>
      <c r="DR1788" t="s">
        <v>13807</v>
      </c>
      <c r="DS1788" t="s">
        <v>14391</v>
      </c>
      <c r="DT1788" t="s">
        <v>13772</v>
      </c>
      <c r="DU1788" t="s">
        <v>15096</v>
      </c>
      <c r="DV1788" t="s">
        <v>14020</v>
      </c>
      <c r="DW1788" t="s">
        <v>13772</v>
      </c>
      <c r="DX1788" t="s">
        <v>17194</v>
      </c>
      <c r="DY1788" t="s">
        <v>17195</v>
      </c>
      <c r="DZ1788" t="s">
        <v>17196</v>
      </c>
      <c r="EA1788" t="s">
        <v>17197</v>
      </c>
      <c r="EB1788" t="s">
        <v>17198</v>
      </c>
    </row>
    <row r="1789" spans="1:132" hidden="1">
      <c r="A1789">
        <v>476</v>
      </c>
      <c r="B1789">
        <v>1</v>
      </c>
      <c r="C1789" t="s">
        <v>1196</v>
      </c>
      <c r="D1789" t="s">
        <v>73</v>
      </c>
      <c r="E1789" t="s">
        <v>73</v>
      </c>
      <c r="F1789" t="s">
        <v>73</v>
      </c>
      <c r="G1789" t="s">
        <v>73</v>
      </c>
      <c r="H1789">
        <v>17.3</v>
      </c>
      <c r="I1789">
        <v>405</v>
      </c>
      <c r="J1789">
        <v>44607</v>
      </c>
      <c r="K1789" t="s">
        <v>1197</v>
      </c>
      <c r="L1789">
        <f t="shared" si="110"/>
        <v>7</v>
      </c>
      <c r="N1789">
        <v>7</v>
      </c>
      <c r="O1789">
        <v>7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2</v>
      </c>
      <c r="V1789">
        <v>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2</v>
      </c>
      <c r="AO1789">
        <v>3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s="2">
        <v>1</v>
      </c>
      <c r="BD1789" s="2">
        <v>1</v>
      </c>
      <c r="BE1789" s="2">
        <v>0</v>
      </c>
      <c r="BF1789" s="2">
        <v>0</v>
      </c>
      <c r="BG1789" s="2">
        <v>2</v>
      </c>
      <c r="BH1789" s="2">
        <v>3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f t="shared" si="113"/>
        <v>7</v>
      </c>
      <c r="BW1789" s="16">
        <f t="shared" si="111"/>
        <v>0.36842105263157893</v>
      </c>
      <c r="BX1789" s="16">
        <f>COUNTIF($BC$6:BU1789, "=0") / COUNTIF($BC$6:BU1789, "&gt;-1")</f>
        <v>0.43916686334670757</v>
      </c>
      <c r="BY1789" s="18">
        <f>SUM($BC$6:BU1789) / $BY$4</f>
        <v>0.99146046709495961</v>
      </c>
      <c r="BZ1789" s="14">
        <f t="shared" si="112"/>
        <v>15</v>
      </c>
      <c r="CA1789" t="s">
        <v>5832</v>
      </c>
      <c r="CZ1789" t="s">
        <v>7356</v>
      </c>
      <c r="DA1789" t="s">
        <v>5904</v>
      </c>
      <c r="DB1789">
        <v>750.4</v>
      </c>
      <c r="DC1789" t="s">
        <v>18442</v>
      </c>
      <c r="DD1789" t="s">
        <v>18443</v>
      </c>
      <c r="DE1789" t="s">
        <v>18444</v>
      </c>
      <c r="DF1789" t="s">
        <v>18445</v>
      </c>
      <c r="DG1789" t="s">
        <v>18446</v>
      </c>
      <c r="DH1789" t="str">
        <f>"CTH"</f>
        <v>CTH</v>
      </c>
      <c r="DI1789" t="s">
        <v>13772</v>
      </c>
      <c r="DJ1789" t="s">
        <v>13777</v>
      </c>
      <c r="DK1789">
        <v>9606</v>
      </c>
      <c r="DL1789" s="34" t="str">
        <f>HYPERLINK("http://www.uniprot.org/uniprot/P32929", "P32929")</f>
        <v>P32929</v>
      </c>
      <c r="DM1789" t="s">
        <v>18447</v>
      </c>
      <c r="DN1789" t="s">
        <v>18448</v>
      </c>
      <c r="DO1789" t="s">
        <v>13899</v>
      </c>
      <c r="DP1789" t="s">
        <v>13780</v>
      </c>
      <c r="DQ1789" t="s">
        <v>13772</v>
      </c>
      <c r="DR1789" t="s">
        <v>13807</v>
      </c>
      <c r="DS1789" t="s">
        <v>13772</v>
      </c>
      <c r="DT1789" t="s">
        <v>14133</v>
      </c>
      <c r="DU1789" t="s">
        <v>18449</v>
      </c>
      <c r="DV1789" t="s">
        <v>13772</v>
      </c>
      <c r="DW1789" t="s">
        <v>13812</v>
      </c>
      <c r="DX1789" t="s">
        <v>18450</v>
      </c>
      <c r="DY1789" t="s">
        <v>14194</v>
      </c>
      <c r="DZ1789" t="s">
        <v>18451</v>
      </c>
      <c r="EA1789" t="s">
        <v>18452</v>
      </c>
      <c r="EB1789" t="s">
        <v>18453</v>
      </c>
    </row>
    <row r="1790" spans="1:132" hidden="1">
      <c r="A1790">
        <v>482</v>
      </c>
      <c r="B1790">
        <v>1</v>
      </c>
      <c r="C1790" t="s">
        <v>1210</v>
      </c>
      <c r="D1790" t="s">
        <v>1211</v>
      </c>
      <c r="E1790" t="s">
        <v>73</v>
      </c>
      <c r="F1790" t="s">
        <v>73</v>
      </c>
      <c r="G1790" t="s">
        <v>73</v>
      </c>
      <c r="H1790">
        <v>1.1000000000000001</v>
      </c>
      <c r="I1790">
        <v>3339</v>
      </c>
      <c r="J1790">
        <v>350730</v>
      </c>
      <c r="K1790" t="s">
        <v>1212</v>
      </c>
      <c r="L1790">
        <f t="shared" si="110"/>
        <v>7</v>
      </c>
      <c r="N1790">
        <v>7</v>
      </c>
      <c r="O1790">
        <v>7</v>
      </c>
      <c r="P1790">
        <v>1</v>
      </c>
      <c r="Q1790">
        <v>0</v>
      </c>
      <c r="R1790">
        <v>0</v>
      </c>
      <c r="S1790">
        <v>2</v>
      </c>
      <c r="T1790">
        <v>0</v>
      </c>
      <c r="U1790">
        <v>2</v>
      </c>
      <c r="V1790">
        <v>2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2</v>
      </c>
      <c r="AM1790">
        <v>0</v>
      </c>
      <c r="AN1790">
        <v>2</v>
      </c>
      <c r="AO1790">
        <v>2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s="2">
        <v>0</v>
      </c>
      <c r="BD1790" s="2">
        <v>0</v>
      </c>
      <c r="BE1790" s="2">
        <v>2</v>
      </c>
      <c r="BF1790" s="2">
        <v>0</v>
      </c>
      <c r="BG1790" s="2">
        <v>2</v>
      </c>
      <c r="BH1790" s="2">
        <v>2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f t="shared" si="113"/>
        <v>7</v>
      </c>
      <c r="BW1790" s="16">
        <f t="shared" si="111"/>
        <v>0.36842105263157893</v>
      </c>
      <c r="BX1790" s="16">
        <f>COUNTIF($BC$6:BU1790, "=0") / COUNTIF($BC$6:BU1790, "&gt;-1")</f>
        <v>0.43936311366651926</v>
      </c>
      <c r="BY1790" s="18">
        <f>SUM($BC$6:BU1790) / $BY$4</f>
        <v>0.99149045255304047</v>
      </c>
      <c r="BZ1790" s="14">
        <f t="shared" si="112"/>
        <v>15</v>
      </c>
      <c r="CA1790" t="s">
        <v>5832</v>
      </c>
      <c r="CZ1790" t="s">
        <v>7376</v>
      </c>
      <c r="DA1790" t="s">
        <v>5904</v>
      </c>
      <c r="DB1790">
        <v>5919.4</v>
      </c>
      <c r="DC1790" t="s">
        <v>18507</v>
      </c>
      <c r="DD1790" t="s">
        <v>18508</v>
      </c>
      <c r="DE1790" t="s">
        <v>18509</v>
      </c>
      <c r="DF1790" t="s">
        <v>18510</v>
      </c>
      <c r="DG1790" t="s">
        <v>18511</v>
      </c>
      <c r="DH1790" t="str">
        <f>"DCHS1"</f>
        <v>DCHS1</v>
      </c>
      <c r="DI1790" t="s">
        <v>18512</v>
      </c>
      <c r="DJ1790" t="s">
        <v>13777</v>
      </c>
      <c r="DK1790">
        <v>9606</v>
      </c>
      <c r="DL1790" s="34" t="str">
        <f>HYPERLINK("http://www.uniprot.org/uniprot/Q96JQ0", "Q96JQ0")</f>
        <v>Q96JQ0</v>
      </c>
      <c r="DM1790" t="s">
        <v>18513</v>
      </c>
      <c r="DN1790" t="s">
        <v>13949</v>
      </c>
      <c r="DO1790" t="s">
        <v>13792</v>
      </c>
      <c r="DP1790" t="s">
        <v>13793</v>
      </c>
      <c r="DQ1790" t="s">
        <v>13772</v>
      </c>
      <c r="DR1790" t="s">
        <v>18514</v>
      </c>
      <c r="DS1790" t="s">
        <v>13826</v>
      </c>
      <c r="DT1790" t="s">
        <v>14465</v>
      </c>
      <c r="DU1790" t="s">
        <v>13772</v>
      </c>
      <c r="DV1790" t="s">
        <v>13978</v>
      </c>
      <c r="DW1790" t="s">
        <v>13772</v>
      </c>
      <c r="DX1790" t="s">
        <v>18515</v>
      </c>
      <c r="DY1790" t="s">
        <v>18516</v>
      </c>
      <c r="DZ1790" t="s">
        <v>15899</v>
      </c>
      <c r="EA1790" t="s">
        <v>13772</v>
      </c>
      <c r="EB1790" t="s">
        <v>13772</v>
      </c>
    </row>
    <row r="1791" spans="1:132" hidden="1">
      <c r="A1791">
        <v>488</v>
      </c>
      <c r="B1791">
        <v>1</v>
      </c>
      <c r="C1791" t="s">
        <v>1227</v>
      </c>
      <c r="D1791" t="s">
        <v>73</v>
      </c>
      <c r="E1791" t="s">
        <v>73</v>
      </c>
      <c r="F1791" t="s">
        <v>73</v>
      </c>
      <c r="G1791" t="s">
        <v>73</v>
      </c>
      <c r="H1791">
        <v>9.1</v>
      </c>
      <c r="I1791">
        <v>647</v>
      </c>
      <c r="J1791">
        <v>68991</v>
      </c>
      <c r="K1791" t="s">
        <v>1228</v>
      </c>
      <c r="L1791">
        <f t="shared" si="110"/>
        <v>7</v>
      </c>
      <c r="N1791">
        <v>7</v>
      </c>
      <c r="O1791">
        <v>7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2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2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 s="2">
        <v>0</v>
      </c>
      <c r="BD1791" s="2">
        <v>1</v>
      </c>
      <c r="BE1791" s="2">
        <v>0</v>
      </c>
      <c r="BF1791" s="2">
        <v>0</v>
      </c>
      <c r="BG1791" s="2">
        <v>2</v>
      </c>
      <c r="BH1791" s="2">
        <v>0</v>
      </c>
      <c r="BI1791" s="2">
        <v>0</v>
      </c>
      <c r="BJ1791" s="2">
        <v>0</v>
      </c>
      <c r="BK1791" s="2">
        <v>1</v>
      </c>
      <c r="BL1791" s="2">
        <v>0</v>
      </c>
      <c r="BM1791" s="2">
        <v>0</v>
      </c>
      <c r="BN1791" s="2">
        <v>1</v>
      </c>
      <c r="BO1791" s="2">
        <v>1</v>
      </c>
      <c r="BP1791" s="2">
        <v>0</v>
      </c>
      <c r="BQ1791" s="2">
        <v>0</v>
      </c>
      <c r="BR1791" s="2">
        <v>1</v>
      </c>
      <c r="BS1791" s="2">
        <v>0</v>
      </c>
      <c r="BT1791" s="2">
        <v>0</v>
      </c>
      <c r="BU1791" s="2">
        <v>0</v>
      </c>
      <c r="BV1791" s="2">
        <f t="shared" si="113"/>
        <v>7</v>
      </c>
      <c r="BW1791" s="16">
        <f t="shared" si="111"/>
        <v>0.36842105263157893</v>
      </c>
      <c r="BX1791" s="16">
        <f>COUNTIF($BC$6:BU1791, "=0") / COUNTIF($BC$6:BU1791, "&gt;-1")</f>
        <v>0.43950020628278424</v>
      </c>
      <c r="BY1791" s="18">
        <f>SUM($BC$6:BU1791) / $BY$4</f>
        <v>0.99152043801112133</v>
      </c>
      <c r="BZ1791" s="14">
        <f t="shared" si="112"/>
        <v>13</v>
      </c>
      <c r="CA1791" t="s">
        <v>5832</v>
      </c>
      <c r="CZ1791" t="s">
        <v>7397</v>
      </c>
      <c r="DA1791" t="s">
        <v>5904</v>
      </c>
      <c r="DB1791">
        <v>1085.0999999999999</v>
      </c>
      <c r="DC1791" t="s">
        <v>18562</v>
      </c>
      <c r="DD1791" t="s">
        <v>18563</v>
      </c>
      <c r="DE1791" t="s">
        <v>18564</v>
      </c>
      <c r="DF1791" t="s">
        <v>18565</v>
      </c>
      <c r="DG1791" t="s">
        <v>18566</v>
      </c>
      <c r="DH1791" t="str">
        <f>"DLAT"</f>
        <v>DLAT</v>
      </c>
      <c r="DI1791" t="s">
        <v>18567</v>
      </c>
      <c r="DJ1791" t="s">
        <v>13777</v>
      </c>
      <c r="DK1791">
        <v>9606</v>
      </c>
      <c r="DL1791" s="34" t="str">
        <f>HYPERLINK("http://www.uniprot.org/uniprot/P10515", "P10515")</f>
        <v>P10515</v>
      </c>
      <c r="DM1791" t="s">
        <v>18568</v>
      </c>
      <c r="DN1791" t="s">
        <v>18569</v>
      </c>
      <c r="DO1791" t="s">
        <v>14491</v>
      </c>
      <c r="DP1791" t="s">
        <v>13793</v>
      </c>
      <c r="DQ1791" t="s">
        <v>13772</v>
      </c>
      <c r="DR1791" t="s">
        <v>13772</v>
      </c>
      <c r="DS1791" t="s">
        <v>18570</v>
      </c>
      <c r="DT1791" t="s">
        <v>13772</v>
      </c>
      <c r="DU1791" t="s">
        <v>15096</v>
      </c>
      <c r="DV1791" t="s">
        <v>13886</v>
      </c>
      <c r="DW1791" t="s">
        <v>13812</v>
      </c>
      <c r="DX1791" t="s">
        <v>18571</v>
      </c>
      <c r="DY1791" t="s">
        <v>18572</v>
      </c>
      <c r="DZ1791" t="s">
        <v>18573</v>
      </c>
      <c r="EA1791" t="s">
        <v>13772</v>
      </c>
      <c r="EB1791" t="s">
        <v>18574</v>
      </c>
    </row>
    <row r="1792" spans="1:132" hidden="1">
      <c r="A1792">
        <v>513</v>
      </c>
      <c r="B1792">
        <v>1</v>
      </c>
      <c r="C1792" t="s">
        <v>1294</v>
      </c>
      <c r="D1792" t="s">
        <v>1295</v>
      </c>
      <c r="E1792" t="s">
        <v>73</v>
      </c>
      <c r="F1792" t="s">
        <v>73</v>
      </c>
      <c r="G1792" t="s">
        <v>73</v>
      </c>
      <c r="H1792">
        <v>9.9</v>
      </c>
      <c r="I1792">
        <v>403</v>
      </c>
      <c r="J1792">
        <v>45344</v>
      </c>
      <c r="K1792" t="s">
        <v>1296</v>
      </c>
      <c r="L1792">
        <f t="shared" si="110"/>
        <v>7</v>
      </c>
      <c r="N1792">
        <v>7</v>
      </c>
      <c r="O1792">
        <v>7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2</v>
      </c>
      <c r="AB1792">
        <v>1</v>
      </c>
      <c r="AC1792">
        <v>0</v>
      </c>
      <c r="AD1792">
        <v>0</v>
      </c>
      <c r="AE1792">
        <v>2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2</v>
      </c>
      <c r="AU1792">
        <v>1</v>
      </c>
      <c r="AV1792">
        <v>0</v>
      </c>
      <c r="AW1792">
        <v>0</v>
      </c>
      <c r="AX1792">
        <v>2</v>
      </c>
      <c r="AY1792">
        <v>1</v>
      </c>
      <c r="AZ1792">
        <v>0</v>
      </c>
      <c r="BA1792">
        <v>0</v>
      </c>
      <c r="BB179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0</v>
      </c>
      <c r="BL1792" s="2">
        <v>0</v>
      </c>
      <c r="BM1792" s="2">
        <v>2</v>
      </c>
      <c r="BN1792" s="2">
        <v>1</v>
      </c>
      <c r="BO1792" s="2">
        <v>0</v>
      </c>
      <c r="BP1792" s="2">
        <v>0</v>
      </c>
      <c r="BQ1792" s="2">
        <v>2</v>
      </c>
      <c r="BR1792" s="2">
        <v>1</v>
      </c>
      <c r="BS1792" s="2">
        <v>0</v>
      </c>
      <c r="BT1792" s="2">
        <v>0</v>
      </c>
      <c r="BU1792" s="2">
        <v>0</v>
      </c>
      <c r="BV1792" s="2">
        <f t="shared" si="113"/>
        <v>7</v>
      </c>
      <c r="BW1792" s="16">
        <f t="shared" si="111"/>
        <v>0.36842105263157893</v>
      </c>
      <c r="BX1792" s="16">
        <f>COUNTIF($BC$6:BU1792, "=0") / COUNTIF($BC$6:BU1792, "&gt;-1")</f>
        <v>0.43966659794421703</v>
      </c>
      <c r="BY1792" s="18">
        <f>SUM($BC$6:BU1792) / $BY$4</f>
        <v>0.9915504234692023</v>
      </c>
      <c r="BZ1792" s="14">
        <f t="shared" si="112"/>
        <v>14</v>
      </c>
      <c r="CA1792" t="s">
        <v>5832</v>
      </c>
      <c r="CZ1792" t="s">
        <v>7493</v>
      </c>
      <c r="DA1792" t="s">
        <v>5904</v>
      </c>
      <c r="DB1792">
        <v>451.1</v>
      </c>
      <c r="DC1792" t="s">
        <v>18839</v>
      </c>
      <c r="DD1792" t="s">
        <v>18840</v>
      </c>
      <c r="DE1792" t="s">
        <v>18841</v>
      </c>
      <c r="DF1792" t="s">
        <v>18842</v>
      </c>
      <c r="DG1792" t="s">
        <v>18843</v>
      </c>
      <c r="DH1792" t="str">
        <f>"JAML"</f>
        <v>JAML</v>
      </c>
      <c r="DI1792" t="s">
        <v>18844</v>
      </c>
      <c r="DJ1792" t="s">
        <v>13777</v>
      </c>
      <c r="DK1792">
        <v>9606</v>
      </c>
      <c r="DL1792" s="34" t="str">
        <f>HYPERLINK("http://www.uniprot.org/uniprot/Q86YT9", "Q86YT9")</f>
        <v>Q86YT9</v>
      </c>
      <c r="DM1792" t="s">
        <v>18845</v>
      </c>
      <c r="DN1792" t="s">
        <v>18846</v>
      </c>
      <c r="DO1792" t="s">
        <v>17424</v>
      </c>
      <c r="DP1792" t="s">
        <v>13780</v>
      </c>
      <c r="DQ1792" t="s">
        <v>13772</v>
      </c>
      <c r="DR1792" t="s">
        <v>13772</v>
      </c>
      <c r="DS1792" t="s">
        <v>13951</v>
      </c>
      <c r="DT1792" t="s">
        <v>13772</v>
      </c>
      <c r="DU1792" t="s">
        <v>13772</v>
      </c>
      <c r="DV1792" t="s">
        <v>13796</v>
      </c>
      <c r="DW1792" t="s">
        <v>13772</v>
      </c>
      <c r="DX1792" t="s">
        <v>18847</v>
      </c>
      <c r="DY1792" t="s">
        <v>18848</v>
      </c>
      <c r="DZ1792" t="s">
        <v>18849</v>
      </c>
      <c r="EA1792" t="s">
        <v>13772</v>
      </c>
      <c r="EB1792" t="s">
        <v>18850</v>
      </c>
    </row>
    <row r="1793" spans="1:132" hidden="1">
      <c r="A1793">
        <v>609</v>
      </c>
      <c r="B1793">
        <v>1</v>
      </c>
      <c r="C1793" t="s">
        <v>1507</v>
      </c>
      <c r="D1793" t="s">
        <v>73</v>
      </c>
      <c r="E1793" t="s">
        <v>73</v>
      </c>
      <c r="F1793" t="s">
        <v>73</v>
      </c>
      <c r="G1793" t="s">
        <v>73</v>
      </c>
      <c r="H1793">
        <v>18.2</v>
      </c>
      <c r="I1793">
        <v>516</v>
      </c>
      <c r="J1793">
        <v>57000</v>
      </c>
      <c r="K1793" t="s">
        <v>1508</v>
      </c>
      <c r="L1793">
        <f t="shared" si="110"/>
        <v>7</v>
      </c>
      <c r="N1793">
        <v>7</v>
      </c>
      <c r="O1793">
        <v>7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2</v>
      </c>
      <c r="W1793">
        <v>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2</v>
      </c>
      <c r="AP1793">
        <v>3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s="2">
        <v>0</v>
      </c>
      <c r="BD1793" s="2">
        <v>0</v>
      </c>
      <c r="BE1793" s="2">
        <v>0</v>
      </c>
      <c r="BF1793" s="2">
        <v>1</v>
      </c>
      <c r="BG1793" s="2">
        <v>1</v>
      </c>
      <c r="BH1793" s="2">
        <v>2</v>
      </c>
      <c r="BI1793" s="2">
        <v>3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f t="shared" si="113"/>
        <v>7</v>
      </c>
      <c r="BW1793" s="16">
        <f t="shared" si="111"/>
        <v>0.36842105263157893</v>
      </c>
      <c r="BX1793" s="16">
        <f>COUNTIF($BC$6:BU1793, "=0") / COUNTIF($BC$6:BU1793, "&gt;-1")</f>
        <v>0.43986223949134584</v>
      </c>
      <c r="BY1793" s="18">
        <f>SUM($BC$6:BU1793) / $BY$4</f>
        <v>0.99158040892728316</v>
      </c>
      <c r="BZ1793" s="14">
        <f t="shared" si="112"/>
        <v>15</v>
      </c>
      <c r="CA1793" t="s">
        <v>5832</v>
      </c>
      <c r="CZ1793" t="s">
        <v>7800</v>
      </c>
      <c r="DA1793" t="s">
        <v>5904</v>
      </c>
      <c r="DB1793">
        <v>1047.3</v>
      </c>
      <c r="DC1793" t="s">
        <v>19802</v>
      </c>
      <c r="DD1793" t="s">
        <v>19803</v>
      </c>
      <c r="DE1793" t="s">
        <v>19804</v>
      </c>
      <c r="DF1793" t="s">
        <v>19805</v>
      </c>
      <c r="DG1793" t="s">
        <v>19806</v>
      </c>
      <c r="DH1793" t="str">
        <f>"NECTIN1 PVRL1"</f>
        <v>NECTIN1 PVRL1</v>
      </c>
      <c r="DI1793" t="s">
        <v>13772</v>
      </c>
      <c r="DJ1793" t="s">
        <v>13777</v>
      </c>
      <c r="DK1793">
        <v>9606</v>
      </c>
      <c r="DL1793" s="34" t="str">
        <f>HYPERLINK("http://www.uniprot.org/uniprot/Q15223", "Q15223")</f>
        <v>Q15223</v>
      </c>
      <c r="DM1793" t="s">
        <v>19807</v>
      </c>
      <c r="DN1793" t="s">
        <v>16592</v>
      </c>
      <c r="DO1793" t="s">
        <v>19808</v>
      </c>
      <c r="DP1793" t="s">
        <v>13841</v>
      </c>
      <c r="DQ1793" t="s">
        <v>13772</v>
      </c>
      <c r="DR1793" t="s">
        <v>19809</v>
      </c>
      <c r="DS1793" t="s">
        <v>13951</v>
      </c>
      <c r="DT1793" t="s">
        <v>13772</v>
      </c>
      <c r="DU1793" t="s">
        <v>18791</v>
      </c>
      <c r="DV1793" t="s">
        <v>13964</v>
      </c>
      <c r="DW1793" t="s">
        <v>13812</v>
      </c>
      <c r="DX1793" t="s">
        <v>19810</v>
      </c>
      <c r="DY1793" t="s">
        <v>19811</v>
      </c>
      <c r="DZ1793" t="s">
        <v>19812</v>
      </c>
      <c r="EA1793" t="s">
        <v>13772</v>
      </c>
      <c r="EB1793" t="s">
        <v>18872</v>
      </c>
    </row>
    <row r="1794" spans="1:132" hidden="1">
      <c r="A1794">
        <v>676</v>
      </c>
      <c r="B1794">
        <v>1</v>
      </c>
      <c r="C1794" t="s">
        <v>1663</v>
      </c>
      <c r="D1794" t="s">
        <v>73</v>
      </c>
      <c r="E1794" t="s">
        <v>73</v>
      </c>
      <c r="F1794" t="s">
        <v>73</v>
      </c>
      <c r="G1794" t="s">
        <v>73</v>
      </c>
      <c r="H1794">
        <v>16.100000000000001</v>
      </c>
      <c r="I1794">
        <v>249</v>
      </c>
      <c r="J1794">
        <v>26098</v>
      </c>
      <c r="K1794" t="s">
        <v>1664</v>
      </c>
      <c r="L1794">
        <f t="shared" si="110"/>
        <v>7</v>
      </c>
      <c r="N1794">
        <v>7</v>
      </c>
      <c r="O1794">
        <v>7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2</v>
      </c>
      <c r="AE1794">
        <v>0</v>
      </c>
      <c r="AF1794">
        <v>0</v>
      </c>
      <c r="AG1794">
        <v>1</v>
      </c>
      <c r="AH1794">
        <v>1</v>
      </c>
      <c r="AI1794">
        <v>2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2</v>
      </c>
      <c r="AX1794">
        <v>0</v>
      </c>
      <c r="AY1794">
        <v>0</v>
      </c>
      <c r="AZ1794">
        <v>1</v>
      </c>
      <c r="BA1794">
        <v>1</v>
      </c>
      <c r="BB1794">
        <v>2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1</v>
      </c>
      <c r="BM1794" s="2">
        <v>0</v>
      </c>
      <c r="BN1794" s="2">
        <v>0</v>
      </c>
      <c r="BO1794" s="2">
        <v>0</v>
      </c>
      <c r="BP1794" s="2">
        <v>2</v>
      </c>
      <c r="BQ1794" s="2">
        <v>0</v>
      </c>
      <c r="BR1794" s="2">
        <v>0</v>
      </c>
      <c r="BS1794" s="2">
        <v>1</v>
      </c>
      <c r="BT1794" s="2">
        <v>1</v>
      </c>
      <c r="BU1794" s="2">
        <v>2</v>
      </c>
      <c r="BV1794" s="2">
        <f t="shared" si="113"/>
        <v>7</v>
      </c>
      <c r="BW1794" s="16">
        <f t="shared" si="111"/>
        <v>0.36842105263157893</v>
      </c>
      <c r="BX1794" s="16">
        <f>COUNTIF($BC$6:BU1794, "=0") / COUNTIF($BC$6:BU1794, "&gt;-1")</f>
        <v>0.44002824277014502</v>
      </c>
      <c r="BY1794" s="18">
        <f>SUM($BC$6:BU1794) / $BY$4</f>
        <v>0.99161039438536414</v>
      </c>
      <c r="BZ1794" s="14">
        <f t="shared" si="112"/>
        <v>14</v>
      </c>
      <c r="CA1794" t="s">
        <v>5832</v>
      </c>
      <c r="CZ1794" t="s">
        <v>8021</v>
      </c>
      <c r="DA1794" t="s">
        <v>5904</v>
      </c>
      <c r="DB1794">
        <v>365.9</v>
      </c>
      <c r="DC1794" t="s">
        <v>20452</v>
      </c>
      <c r="DD1794" t="s">
        <v>13772</v>
      </c>
      <c r="DE1794" t="s">
        <v>20453</v>
      </c>
      <c r="DF1794" t="s">
        <v>20454</v>
      </c>
      <c r="DG1794" t="s">
        <v>20455</v>
      </c>
      <c r="DH1794" t="str">
        <f>"C1QB"</f>
        <v>C1QB</v>
      </c>
      <c r="DI1794" t="s">
        <v>13772</v>
      </c>
      <c r="DJ1794" t="s">
        <v>13777</v>
      </c>
      <c r="DK1794">
        <v>9606</v>
      </c>
      <c r="DL1794" s="34" t="str">
        <f>HYPERLINK("http://www.uniprot.org/uniprot/P02746", "P02746")</f>
        <v>P02746</v>
      </c>
      <c r="DM1794" t="s">
        <v>20456</v>
      </c>
      <c r="DN1794" t="s">
        <v>20457</v>
      </c>
      <c r="DO1794" t="s">
        <v>14321</v>
      </c>
      <c r="DP1794" t="s">
        <v>13793</v>
      </c>
      <c r="DQ1794" t="s">
        <v>13772</v>
      </c>
      <c r="DR1794" t="s">
        <v>13807</v>
      </c>
      <c r="DS1794" t="s">
        <v>13872</v>
      </c>
      <c r="DT1794" t="s">
        <v>13772</v>
      </c>
      <c r="DU1794" t="s">
        <v>13772</v>
      </c>
      <c r="DV1794" t="s">
        <v>16461</v>
      </c>
      <c r="DW1794" t="s">
        <v>13812</v>
      </c>
      <c r="DX1794" t="s">
        <v>20458</v>
      </c>
      <c r="DY1794" t="s">
        <v>20459</v>
      </c>
      <c r="DZ1794" t="s">
        <v>20460</v>
      </c>
      <c r="EA1794" t="s">
        <v>13772</v>
      </c>
      <c r="EB1794" t="s">
        <v>20461</v>
      </c>
    </row>
    <row r="1795" spans="1:132" hidden="1">
      <c r="A1795">
        <v>791</v>
      </c>
      <c r="B1795">
        <v>1</v>
      </c>
      <c r="C1795" t="s">
        <v>1942</v>
      </c>
      <c r="D1795" t="s">
        <v>73</v>
      </c>
      <c r="E1795" t="s">
        <v>73</v>
      </c>
      <c r="F1795" t="s">
        <v>73</v>
      </c>
      <c r="G1795" t="s">
        <v>73</v>
      </c>
      <c r="H1795">
        <v>17.3</v>
      </c>
      <c r="I1795">
        <v>342</v>
      </c>
      <c r="J1795">
        <v>37490</v>
      </c>
      <c r="K1795" t="s">
        <v>1943</v>
      </c>
      <c r="L1795">
        <f t="shared" si="110"/>
        <v>7</v>
      </c>
      <c r="N1795">
        <v>7</v>
      </c>
      <c r="O1795">
        <v>7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5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5</v>
      </c>
      <c r="AS1795">
        <v>0</v>
      </c>
      <c r="AT1795">
        <v>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5</v>
      </c>
      <c r="BL1795" s="2">
        <v>0</v>
      </c>
      <c r="BM1795" s="2">
        <v>2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f t="shared" si="113"/>
        <v>7</v>
      </c>
      <c r="BW1795" s="16">
        <f t="shared" si="111"/>
        <v>0.36842105263157893</v>
      </c>
      <c r="BX1795" s="16">
        <f>COUNTIF($BC$6:BU1795, "=0") / COUNTIF($BC$6:BU1795, "&gt;-1")</f>
        <v>0.44028226992061159</v>
      </c>
      <c r="BY1795" s="18">
        <f>SUM($BC$6:BU1795) / $BY$4</f>
        <v>0.991640379843445</v>
      </c>
      <c r="BZ1795" s="14">
        <f t="shared" si="112"/>
        <v>17</v>
      </c>
      <c r="CA1795" t="s">
        <v>5832</v>
      </c>
      <c r="CZ1795" t="s">
        <v>8409</v>
      </c>
      <c r="DA1795" t="s">
        <v>5904</v>
      </c>
      <c r="DB1795">
        <v>522.70000000000005</v>
      </c>
      <c r="DC1795" t="s">
        <v>21590</v>
      </c>
      <c r="DD1795" t="s">
        <v>21591</v>
      </c>
      <c r="DE1795" t="s">
        <v>21592</v>
      </c>
      <c r="DF1795" t="s">
        <v>21593</v>
      </c>
      <c r="DG1795" t="s">
        <v>21594</v>
      </c>
      <c r="DH1795" t="str">
        <f>"COPE"</f>
        <v>COPE</v>
      </c>
      <c r="DI1795" t="s">
        <v>13772</v>
      </c>
      <c r="DJ1795" t="s">
        <v>13777</v>
      </c>
      <c r="DK1795">
        <v>9606</v>
      </c>
      <c r="DL1795" s="34" t="str">
        <f>HYPERLINK("http://www.uniprot.org/uniprot/O14579", "O14579")</f>
        <v>O14579</v>
      </c>
      <c r="DM1795" t="s">
        <v>21595</v>
      </c>
      <c r="DN1795" t="s">
        <v>15450</v>
      </c>
      <c r="DO1795" t="s">
        <v>16529</v>
      </c>
      <c r="DP1795" t="s">
        <v>13780</v>
      </c>
      <c r="DQ1795" t="s">
        <v>13772</v>
      </c>
      <c r="DR1795" t="s">
        <v>13772</v>
      </c>
      <c r="DS1795" t="s">
        <v>13772</v>
      </c>
      <c r="DT1795" t="s">
        <v>13772</v>
      </c>
      <c r="DU1795" t="s">
        <v>13772</v>
      </c>
      <c r="DV1795" t="s">
        <v>18636</v>
      </c>
      <c r="DW1795" t="s">
        <v>13772</v>
      </c>
      <c r="DX1795" t="s">
        <v>21596</v>
      </c>
      <c r="DY1795" t="s">
        <v>21597</v>
      </c>
      <c r="DZ1795" t="s">
        <v>16532</v>
      </c>
      <c r="EA1795" t="s">
        <v>13772</v>
      </c>
      <c r="EB1795" t="s">
        <v>16533</v>
      </c>
    </row>
    <row r="1796" spans="1:132" hidden="1">
      <c r="A1796">
        <v>881</v>
      </c>
      <c r="B1796">
        <v>1</v>
      </c>
      <c r="C1796" t="s">
        <v>2151</v>
      </c>
      <c r="D1796" t="s">
        <v>2152</v>
      </c>
      <c r="E1796" t="s">
        <v>73</v>
      </c>
      <c r="F1796" t="s">
        <v>73</v>
      </c>
      <c r="G1796" t="s">
        <v>73</v>
      </c>
      <c r="H1796">
        <v>7.8</v>
      </c>
      <c r="I1796">
        <v>870</v>
      </c>
      <c r="J1796">
        <v>97996</v>
      </c>
      <c r="K1796" t="s">
        <v>2153</v>
      </c>
      <c r="L1796">
        <f t="shared" si="110"/>
        <v>7</v>
      </c>
      <c r="N1796">
        <v>7</v>
      </c>
      <c r="O1796">
        <v>7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3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3</v>
      </c>
      <c r="AS1796">
        <v>0</v>
      </c>
      <c r="AT1796">
        <v>3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3</v>
      </c>
      <c r="BL1796" s="2">
        <v>0</v>
      </c>
      <c r="BM1796" s="2">
        <v>3</v>
      </c>
      <c r="BN1796" s="2">
        <v>0</v>
      </c>
      <c r="BO1796" s="2">
        <v>0</v>
      </c>
      <c r="BP1796" s="2">
        <v>0</v>
      </c>
      <c r="BQ1796" s="2">
        <v>0</v>
      </c>
      <c r="BR1796" s="2">
        <v>1</v>
      </c>
      <c r="BS1796" s="2">
        <v>0</v>
      </c>
      <c r="BT1796" s="2">
        <v>0</v>
      </c>
      <c r="BU1796" s="2">
        <v>0</v>
      </c>
      <c r="BV1796" s="2">
        <f t="shared" si="113"/>
        <v>7</v>
      </c>
      <c r="BW1796" s="16">
        <f t="shared" si="111"/>
        <v>0.36842105263157893</v>
      </c>
      <c r="BX1796" s="16">
        <f>COUNTIF($BC$6:BU1796, "=0") / COUNTIF($BC$6:BU1796, "&gt;-1")</f>
        <v>0.44050662670075524</v>
      </c>
      <c r="BY1796" s="18">
        <f>SUM($BC$6:BU1796) / $BY$4</f>
        <v>0.99167036530152586</v>
      </c>
      <c r="BZ1796" s="14">
        <f t="shared" si="112"/>
        <v>16</v>
      </c>
      <c r="CA1796" t="s">
        <v>5832</v>
      </c>
      <c r="CZ1796" t="s">
        <v>8712</v>
      </c>
      <c r="DA1796" t="s">
        <v>5904</v>
      </c>
      <c r="DB1796">
        <v>1744.5</v>
      </c>
      <c r="DC1796" t="s">
        <v>22461</v>
      </c>
      <c r="DD1796" t="s">
        <v>13772</v>
      </c>
      <c r="DE1796" t="s">
        <v>22462</v>
      </c>
      <c r="DF1796" t="s">
        <v>22463</v>
      </c>
      <c r="DG1796" t="s">
        <v>22464</v>
      </c>
      <c r="DH1796" t="str">
        <f>"DNM2"</f>
        <v>DNM2</v>
      </c>
      <c r="DI1796" t="s">
        <v>22465</v>
      </c>
      <c r="DJ1796" t="s">
        <v>13777</v>
      </c>
      <c r="DK1796">
        <v>9606</v>
      </c>
      <c r="DL1796" s="34" t="str">
        <f>HYPERLINK("http://www.uniprot.org/uniprot/P50570", "P50570")</f>
        <v>P50570</v>
      </c>
      <c r="DM1796" t="s">
        <v>22466</v>
      </c>
      <c r="DN1796" t="s">
        <v>22467</v>
      </c>
      <c r="DO1796" t="s">
        <v>22468</v>
      </c>
      <c r="DP1796" t="s">
        <v>13780</v>
      </c>
      <c r="DQ1796" t="s">
        <v>13772</v>
      </c>
      <c r="DR1796" t="s">
        <v>21970</v>
      </c>
      <c r="DS1796" t="s">
        <v>13772</v>
      </c>
      <c r="DT1796" t="s">
        <v>14216</v>
      </c>
      <c r="DU1796" t="s">
        <v>22469</v>
      </c>
      <c r="DV1796" t="s">
        <v>13886</v>
      </c>
      <c r="DW1796" t="s">
        <v>13812</v>
      </c>
      <c r="DX1796" t="s">
        <v>22470</v>
      </c>
      <c r="DY1796" t="s">
        <v>22471</v>
      </c>
      <c r="DZ1796" t="s">
        <v>22472</v>
      </c>
      <c r="EA1796" t="s">
        <v>13772</v>
      </c>
      <c r="EB1796" t="s">
        <v>22473</v>
      </c>
    </row>
    <row r="1797" spans="1:132" hidden="1">
      <c r="A1797">
        <v>890</v>
      </c>
      <c r="B1797">
        <v>1</v>
      </c>
      <c r="C1797" t="s">
        <v>2176</v>
      </c>
      <c r="D1797" t="s">
        <v>73</v>
      </c>
      <c r="E1797" t="s">
        <v>73</v>
      </c>
      <c r="F1797" t="s">
        <v>73</v>
      </c>
      <c r="G1797" t="s">
        <v>73</v>
      </c>
      <c r="H1797">
        <v>25.2</v>
      </c>
      <c r="I1797">
        <v>310</v>
      </c>
      <c r="J1797">
        <v>33728</v>
      </c>
      <c r="K1797" t="s">
        <v>2177</v>
      </c>
      <c r="L1797">
        <f t="shared" si="110"/>
        <v>7</v>
      </c>
      <c r="N1797">
        <v>7</v>
      </c>
      <c r="O1797">
        <v>7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3</v>
      </c>
      <c r="Z1797">
        <v>0</v>
      </c>
      <c r="AA1797">
        <v>2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3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3</v>
      </c>
      <c r="BL1797" s="2">
        <v>0</v>
      </c>
      <c r="BM1797" s="2">
        <v>2</v>
      </c>
      <c r="BN1797" s="2">
        <v>0</v>
      </c>
      <c r="BO1797" s="2">
        <v>0</v>
      </c>
      <c r="BP1797" s="2">
        <v>0</v>
      </c>
      <c r="BQ1797" s="2">
        <v>1</v>
      </c>
      <c r="BR1797" s="2">
        <v>1</v>
      </c>
      <c r="BS1797" s="2">
        <v>0</v>
      </c>
      <c r="BT1797" s="2">
        <v>0</v>
      </c>
      <c r="BU1797" s="2">
        <v>0</v>
      </c>
      <c r="BV1797" s="2">
        <f t="shared" si="113"/>
        <v>7</v>
      </c>
      <c r="BW1797" s="16">
        <f t="shared" si="111"/>
        <v>0.36842105263157893</v>
      </c>
      <c r="BX1797" s="16">
        <f>COUNTIF($BC$6:BU1797, "=0") / COUNTIF($BC$6:BU1797, "&gt;-1")</f>
        <v>0.44070136278195488</v>
      </c>
      <c r="BY1797" s="18">
        <f>SUM($BC$6:BU1797) / $BY$4</f>
        <v>0.99170035075960683</v>
      </c>
      <c r="BZ1797" s="14">
        <f t="shared" si="112"/>
        <v>15</v>
      </c>
      <c r="CA1797" t="s">
        <v>5832</v>
      </c>
      <c r="CZ1797" t="s">
        <v>8747</v>
      </c>
      <c r="DA1797" t="s">
        <v>5904</v>
      </c>
      <c r="DB1797">
        <v>614.4</v>
      </c>
      <c r="DC1797" t="s">
        <v>22557</v>
      </c>
      <c r="DD1797" t="s">
        <v>22558</v>
      </c>
      <c r="DE1797" t="s">
        <v>22559</v>
      </c>
      <c r="DF1797" t="s">
        <v>22560</v>
      </c>
      <c r="DG1797" t="s">
        <v>22561</v>
      </c>
      <c r="DH1797" t="str">
        <f>"CNN2"</f>
        <v>CNN2</v>
      </c>
      <c r="DI1797" t="s">
        <v>13772</v>
      </c>
      <c r="DJ1797" t="s">
        <v>13777</v>
      </c>
      <c r="DK1797">
        <v>9606</v>
      </c>
      <c r="DL1797" s="34" t="str">
        <f>HYPERLINK("http://www.uniprot.org/uniprot/Q99439", "Q99439")</f>
        <v>Q99439</v>
      </c>
      <c r="DM1797" t="s">
        <v>22562</v>
      </c>
      <c r="DN1797" t="s">
        <v>13772</v>
      </c>
      <c r="DO1797" t="s">
        <v>13772</v>
      </c>
      <c r="DP1797" t="s">
        <v>13841</v>
      </c>
      <c r="DQ1797" t="s">
        <v>13772</v>
      </c>
      <c r="DR1797" t="s">
        <v>13772</v>
      </c>
      <c r="DS1797" t="s">
        <v>14096</v>
      </c>
      <c r="DT1797" t="s">
        <v>13772</v>
      </c>
      <c r="DU1797" t="s">
        <v>15941</v>
      </c>
      <c r="DV1797" t="s">
        <v>13886</v>
      </c>
      <c r="DW1797" t="s">
        <v>13812</v>
      </c>
      <c r="DX1797" t="s">
        <v>22563</v>
      </c>
      <c r="DY1797" t="s">
        <v>22564</v>
      </c>
      <c r="DZ1797" t="s">
        <v>22565</v>
      </c>
      <c r="EA1797" t="s">
        <v>13772</v>
      </c>
      <c r="EB1797" t="s">
        <v>22566</v>
      </c>
    </row>
    <row r="1798" spans="1:132" hidden="1">
      <c r="A1798">
        <v>941</v>
      </c>
      <c r="B1798">
        <v>1</v>
      </c>
      <c r="C1798" t="s">
        <v>2290</v>
      </c>
      <c r="D1798" t="s">
        <v>2291</v>
      </c>
      <c r="E1798" t="s">
        <v>73</v>
      </c>
      <c r="F1798" t="s">
        <v>73</v>
      </c>
      <c r="G1798" t="s">
        <v>73</v>
      </c>
      <c r="H1798">
        <v>5.4</v>
      </c>
      <c r="I1798">
        <v>1399</v>
      </c>
      <c r="J1798">
        <v>159323</v>
      </c>
      <c r="K1798" t="s">
        <v>2292</v>
      </c>
      <c r="L1798">
        <f t="shared" ref="L1798:L1861" si="114">N1798</f>
        <v>7</v>
      </c>
      <c r="N1798">
        <v>7</v>
      </c>
      <c r="O1798">
        <v>7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5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2</v>
      </c>
      <c r="AZ1798">
        <v>0</v>
      </c>
      <c r="BA1798">
        <v>0</v>
      </c>
      <c r="BB1798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5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2</v>
      </c>
      <c r="BS1798" s="2">
        <v>0</v>
      </c>
      <c r="BT1798" s="2">
        <v>0</v>
      </c>
      <c r="BU1798" s="2">
        <v>0</v>
      </c>
      <c r="BV1798" s="2">
        <f t="shared" si="113"/>
        <v>7</v>
      </c>
      <c r="BW1798" s="16">
        <f t="shared" ref="BW1798:BW1861" si="115">AVERAGE(BC1798:BU1798)</f>
        <v>0.36842105263157893</v>
      </c>
      <c r="BX1798" s="16">
        <f>COUNTIF($BC$6:BU1798, "=0") / COUNTIF($BC$6:BU1798, "&gt;-1")</f>
        <v>0.44095458948542576</v>
      </c>
      <c r="BY1798" s="18">
        <f>SUM($BC$6:BU1798) / $BY$4</f>
        <v>0.99173033621768769</v>
      </c>
      <c r="BZ1798" s="14">
        <f t="shared" ref="BZ1798:BZ1861" si="116">19-COUNTIF(BC1798:BU1798, "&gt;0")</f>
        <v>17</v>
      </c>
      <c r="CA1798" t="s">
        <v>5832</v>
      </c>
      <c r="CZ1798" t="s">
        <v>8924</v>
      </c>
      <c r="DA1798" t="s">
        <v>5904</v>
      </c>
      <c r="DB1798">
        <v>2097</v>
      </c>
      <c r="DC1798" t="s">
        <v>23068</v>
      </c>
      <c r="DD1798" t="s">
        <v>23069</v>
      </c>
      <c r="DE1798" t="s">
        <v>23070</v>
      </c>
      <c r="DF1798" t="s">
        <v>23071</v>
      </c>
      <c r="DG1798" t="s">
        <v>23072</v>
      </c>
      <c r="DH1798" t="str">
        <f>"LMO7"</f>
        <v>LMO7</v>
      </c>
      <c r="DI1798" t="s">
        <v>23073</v>
      </c>
      <c r="DJ1798" t="s">
        <v>13777</v>
      </c>
      <c r="DK1798">
        <v>9606</v>
      </c>
      <c r="DL1798" s="34" t="str">
        <f>HYPERLINK("http://www.uniprot.org/uniprot/Q8WWI1", "Q8WWI1")</f>
        <v>Q8WWI1</v>
      </c>
      <c r="DM1798" t="s">
        <v>23074</v>
      </c>
      <c r="DN1798" t="s">
        <v>13772</v>
      </c>
      <c r="DO1798" t="s">
        <v>13772</v>
      </c>
      <c r="DP1798" t="s">
        <v>13780</v>
      </c>
      <c r="DQ1798" t="s">
        <v>13772</v>
      </c>
      <c r="DR1798" t="s">
        <v>13772</v>
      </c>
      <c r="DS1798" t="s">
        <v>14576</v>
      </c>
      <c r="DT1798" t="s">
        <v>13856</v>
      </c>
      <c r="DU1798" t="s">
        <v>13772</v>
      </c>
      <c r="DV1798" t="s">
        <v>13991</v>
      </c>
      <c r="DW1798" t="s">
        <v>13812</v>
      </c>
      <c r="DX1798" t="s">
        <v>23075</v>
      </c>
      <c r="DY1798" t="s">
        <v>23076</v>
      </c>
      <c r="DZ1798" t="s">
        <v>23077</v>
      </c>
      <c r="EA1798" t="s">
        <v>13772</v>
      </c>
      <c r="EB1798" t="s">
        <v>23078</v>
      </c>
    </row>
    <row r="1799" spans="1:132" hidden="1">
      <c r="A1799">
        <v>953</v>
      </c>
      <c r="B1799">
        <v>1</v>
      </c>
      <c r="C1799" t="s">
        <v>2319</v>
      </c>
      <c r="D1799" t="s">
        <v>2320</v>
      </c>
      <c r="E1799" t="s">
        <v>73</v>
      </c>
      <c r="F1799" t="s">
        <v>222</v>
      </c>
      <c r="G1799" t="s">
        <v>73</v>
      </c>
      <c r="H1799">
        <v>6.4</v>
      </c>
      <c r="I1799">
        <v>1136</v>
      </c>
      <c r="J1799">
        <v>131869</v>
      </c>
      <c r="K1799" t="s">
        <v>2321</v>
      </c>
      <c r="L1799">
        <f t="shared" si="114"/>
        <v>9</v>
      </c>
      <c r="N1799">
        <v>9</v>
      </c>
      <c r="O1799">
        <v>6</v>
      </c>
      <c r="P1799">
        <v>0.66700000000000004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4</v>
      </c>
      <c r="AB1799">
        <v>2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4</v>
      </c>
      <c r="AU1799">
        <v>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 s="2">
        <v>0</v>
      </c>
      <c r="BD1799" s="2">
        <v>0</v>
      </c>
      <c r="BE1799" s="2">
        <v>0</v>
      </c>
      <c r="BF1799" s="2">
        <v>0.5</v>
      </c>
      <c r="BG1799" s="2">
        <v>0</v>
      </c>
      <c r="BH1799" s="2">
        <v>0</v>
      </c>
      <c r="BI1799" s="2">
        <v>0.5</v>
      </c>
      <c r="BJ1799" s="2">
        <v>0</v>
      </c>
      <c r="BK1799" s="2">
        <v>0</v>
      </c>
      <c r="BL1799" s="2">
        <v>0</v>
      </c>
      <c r="BM1799" s="2">
        <v>4</v>
      </c>
      <c r="BN1799" s="2">
        <v>2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f t="shared" ref="BV1799:BV1862" si="117">SUM(BC1799:BU1799)</f>
        <v>7</v>
      </c>
      <c r="BW1799" s="16">
        <f t="shared" si="115"/>
        <v>0.36842105263157893</v>
      </c>
      <c r="BX1799" s="16">
        <f>COUNTIF($BC$6:BU1799, "=0") / COUNTIF($BC$6:BU1799, "&gt;-1")</f>
        <v>0.44114885876899607</v>
      </c>
      <c r="BY1799" s="18">
        <f>SUM($BC$6:BU1799) / $BY$4</f>
        <v>0.99176032167576855</v>
      </c>
      <c r="BZ1799" s="14">
        <f t="shared" si="116"/>
        <v>15</v>
      </c>
      <c r="CA1799" t="s">
        <v>5832</v>
      </c>
      <c r="CZ1799" t="s">
        <v>8962</v>
      </c>
      <c r="DA1799" t="s">
        <v>5904</v>
      </c>
      <c r="DB1799">
        <v>2322.3000000000002</v>
      </c>
      <c r="DC1799" t="s">
        <v>23174</v>
      </c>
      <c r="DD1799" t="s">
        <v>23175</v>
      </c>
      <c r="DE1799" t="s">
        <v>23176</v>
      </c>
      <c r="DF1799" t="s">
        <v>23177</v>
      </c>
      <c r="DG1799" t="s">
        <v>23178</v>
      </c>
      <c r="DH1799" t="str">
        <f>"MYO1B"</f>
        <v>MYO1B</v>
      </c>
      <c r="DI1799" t="s">
        <v>13772</v>
      </c>
      <c r="DJ1799" t="s">
        <v>13777</v>
      </c>
      <c r="DK1799">
        <v>9606</v>
      </c>
      <c r="DL1799" s="34" t="str">
        <f>HYPERLINK("http://www.uniprot.org/uniprot/O43795", "O43795")</f>
        <v>O43795</v>
      </c>
      <c r="DM1799" t="s">
        <v>23179</v>
      </c>
      <c r="DN1799" t="s">
        <v>13772</v>
      </c>
      <c r="DO1799" t="s">
        <v>13772</v>
      </c>
      <c r="DP1799" t="s">
        <v>13780</v>
      </c>
      <c r="DQ1799" t="s">
        <v>13772</v>
      </c>
      <c r="DR1799" t="s">
        <v>13772</v>
      </c>
      <c r="DS1799" t="s">
        <v>14096</v>
      </c>
      <c r="DT1799" t="s">
        <v>14005</v>
      </c>
      <c r="DU1799" t="s">
        <v>14097</v>
      </c>
      <c r="DV1799" t="s">
        <v>13938</v>
      </c>
      <c r="DW1799" t="s">
        <v>13772</v>
      </c>
      <c r="DX1799" t="s">
        <v>23180</v>
      </c>
      <c r="DY1799" t="s">
        <v>23181</v>
      </c>
      <c r="DZ1799" t="s">
        <v>23182</v>
      </c>
      <c r="EA1799" t="s">
        <v>13772</v>
      </c>
      <c r="EB1799" t="s">
        <v>13772</v>
      </c>
    </row>
    <row r="1800" spans="1:132" hidden="1">
      <c r="A1800">
        <v>1004</v>
      </c>
      <c r="B1800">
        <v>1</v>
      </c>
      <c r="C1800" t="s">
        <v>2434</v>
      </c>
      <c r="D1800" t="s">
        <v>73</v>
      </c>
      <c r="E1800" t="s">
        <v>73</v>
      </c>
      <c r="F1800" t="s">
        <v>73</v>
      </c>
      <c r="G1800" t="s">
        <v>73</v>
      </c>
      <c r="H1800">
        <v>11</v>
      </c>
      <c r="I1800">
        <v>748</v>
      </c>
      <c r="J1800">
        <v>81859</v>
      </c>
      <c r="K1800" t="s">
        <v>2435</v>
      </c>
      <c r="L1800">
        <f t="shared" si="114"/>
        <v>7</v>
      </c>
      <c r="N1800">
        <v>7</v>
      </c>
      <c r="O1800">
        <v>7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7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7</v>
      </c>
      <c r="BA1800">
        <v>0</v>
      </c>
      <c r="BB1800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7</v>
      </c>
      <c r="BT1800" s="2">
        <v>0</v>
      </c>
      <c r="BU1800" s="2">
        <v>0</v>
      </c>
      <c r="BV1800" s="2">
        <f t="shared" si="117"/>
        <v>7</v>
      </c>
      <c r="BW1800" s="16">
        <f t="shared" si="115"/>
        <v>0.36842105263157893</v>
      </c>
      <c r="BX1800" s="16">
        <f>COUNTIF($BC$6:BU1800, "=0") / COUNTIF($BC$6:BU1800, "&gt;-1")</f>
        <v>0.44143087523823488</v>
      </c>
      <c r="BY1800" s="18">
        <f>SUM($BC$6:BU1800) / $BY$4</f>
        <v>0.99179030713384952</v>
      </c>
      <c r="BZ1800" s="14">
        <f t="shared" si="116"/>
        <v>18</v>
      </c>
      <c r="CA1800" t="s">
        <v>5832</v>
      </c>
      <c r="CZ1800" t="s">
        <v>9127</v>
      </c>
      <c r="DA1800" t="s">
        <v>5904</v>
      </c>
      <c r="DB1800">
        <v>1328.2</v>
      </c>
      <c r="DC1800" t="s">
        <v>23648</v>
      </c>
      <c r="DD1800" t="s">
        <v>23649</v>
      </c>
      <c r="DE1800" t="s">
        <v>23650</v>
      </c>
      <c r="DF1800" t="s">
        <v>23651</v>
      </c>
      <c r="DG1800" t="s">
        <v>23652</v>
      </c>
      <c r="DH1800" t="str">
        <f>"ASAH2"</f>
        <v>ASAH2</v>
      </c>
      <c r="DI1800" t="s">
        <v>23653</v>
      </c>
      <c r="DJ1800" t="s">
        <v>13777</v>
      </c>
      <c r="DK1800">
        <v>9606</v>
      </c>
      <c r="DL1800" s="34" t="str">
        <f>HYPERLINK("http://www.uniprot.org/uniprot/Q9NR71", "Q9NR71")</f>
        <v>Q9NR71</v>
      </c>
      <c r="DM1800" t="s">
        <v>23654</v>
      </c>
      <c r="DN1800" t="s">
        <v>23655</v>
      </c>
      <c r="DO1800" t="s">
        <v>23656</v>
      </c>
      <c r="DP1800" t="s">
        <v>13780</v>
      </c>
      <c r="DQ1800" t="s">
        <v>13772</v>
      </c>
      <c r="DR1800" t="s">
        <v>13772</v>
      </c>
      <c r="DS1800" t="s">
        <v>14417</v>
      </c>
      <c r="DT1800" t="s">
        <v>14628</v>
      </c>
      <c r="DU1800" t="s">
        <v>13857</v>
      </c>
      <c r="DV1800" t="s">
        <v>14640</v>
      </c>
      <c r="DW1800" t="s">
        <v>13812</v>
      </c>
      <c r="DX1800" t="s">
        <v>23657</v>
      </c>
      <c r="DY1800" t="s">
        <v>23658</v>
      </c>
      <c r="DZ1800" t="s">
        <v>23659</v>
      </c>
      <c r="EA1800" t="s">
        <v>18302</v>
      </c>
      <c r="EB1800" t="s">
        <v>13862</v>
      </c>
    </row>
    <row r="1801" spans="1:132" hidden="1">
      <c r="A1801">
        <v>1010</v>
      </c>
      <c r="B1801">
        <v>1</v>
      </c>
      <c r="C1801" t="s">
        <v>2441</v>
      </c>
      <c r="D1801" t="s">
        <v>73</v>
      </c>
      <c r="E1801" t="s">
        <v>73</v>
      </c>
      <c r="F1801" t="s">
        <v>73</v>
      </c>
      <c r="G1801" t="s">
        <v>73</v>
      </c>
      <c r="H1801">
        <v>17.8</v>
      </c>
      <c r="I1801">
        <v>337</v>
      </c>
      <c r="J1801">
        <v>38356</v>
      </c>
      <c r="K1801" t="s">
        <v>2442</v>
      </c>
      <c r="L1801">
        <f t="shared" si="114"/>
        <v>7</v>
      </c>
      <c r="N1801">
        <v>7</v>
      </c>
      <c r="O1801">
        <v>7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4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0</v>
      </c>
      <c r="BA1801">
        <v>0</v>
      </c>
      <c r="BB1801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4</v>
      </c>
      <c r="BL1801" s="2">
        <v>0</v>
      </c>
      <c r="BM1801" s="2">
        <v>1</v>
      </c>
      <c r="BN1801" s="2">
        <v>0</v>
      </c>
      <c r="BO1801" s="2">
        <v>0</v>
      </c>
      <c r="BP1801" s="2">
        <v>0</v>
      </c>
      <c r="BQ1801" s="2">
        <v>2</v>
      </c>
      <c r="BR1801" s="2">
        <v>0</v>
      </c>
      <c r="BS1801" s="2">
        <v>0</v>
      </c>
      <c r="BT1801" s="2">
        <v>0</v>
      </c>
      <c r="BU1801" s="2">
        <v>0</v>
      </c>
      <c r="BV1801" s="2">
        <f t="shared" si="117"/>
        <v>7</v>
      </c>
      <c r="BW1801" s="16">
        <f t="shared" si="115"/>
        <v>0.36842105263157893</v>
      </c>
      <c r="BX1801" s="16">
        <f>COUNTIF($BC$6:BU1801, "=0") / COUNTIF($BC$6:BU1801, "&gt;-1")</f>
        <v>0.44165396788184269</v>
      </c>
      <c r="BY1801" s="18">
        <f>SUM($BC$6:BU1801) / $BY$4</f>
        <v>0.99182029259193039</v>
      </c>
      <c r="BZ1801" s="14">
        <f t="shared" si="116"/>
        <v>16</v>
      </c>
      <c r="CA1801" t="s">
        <v>5832</v>
      </c>
      <c r="CZ1801" t="s">
        <v>9137</v>
      </c>
      <c r="DA1801" t="s">
        <v>5904</v>
      </c>
      <c r="DB1801">
        <v>575.5</v>
      </c>
      <c r="DC1801" t="s">
        <v>23681</v>
      </c>
      <c r="DD1801" t="s">
        <v>23682</v>
      </c>
      <c r="DE1801" t="s">
        <v>23683</v>
      </c>
      <c r="DF1801" t="s">
        <v>23684</v>
      </c>
      <c r="DG1801" t="s">
        <v>23685</v>
      </c>
      <c r="DH1801" t="str">
        <f>"SUGT1"</f>
        <v>SUGT1</v>
      </c>
      <c r="DI1801" t="s">
        <v>13772</v>
      </c>
      <c r="DJ1801" t="s">
        <v>13777</v>
      </c>
      <c r="DK1801">
        <v>9606</v>
      </c>
      <c r="DL1801" s="34" t="str">
        <f>HYPERLINK("http://www.uniprot.org/uniprot/Q9Y2Z0", "Q9Y2Z0")</f>
        <v>Q9Y2Z0</v>
      </c>
      <c r="DM1801" t="s">
        <v>23686</v>
      </c>
      <c r="DN1801" t="s">
        <v>14109</v>
      </c>
      <c r="DO1801" t="s">
        <v>13912</v>
      </c>
      <c r="DP1801" t="s">
        <v>13841</v>
      </c>
      <c r="DQ1801" t="s">
        <v>13772</v>
      </c>
      <c r="DR1801" t="s">
        <v>13772</v>
      </c>
      <c r="DS1801" t="s">
        <v>19076</v>
      </c>
      <c r="DT1801" t="s">
        <v>13772</v>
      </c>
      <c r="DU1801" t="s">
        <v>13772</v>
      </c>
      <c r="DV1801" t="s">
        <v>13991</v>
      </c>
      <c r="DW1801" t="s">
        <v>13812</v>
      </c>
      <c r="DX1801" t="s">
        <v>23687</v>
      </c>
      <c r="DY1801" t="s">
        <v>23688</v>
      </c>
      <c r="DZ1801" t="s">
        <v>13772</v>
      </c>
      <c r="EA1801" t="s">
        <v>13772</v>
      </c>
      <c r="EB1801" t="s">
        <v>23689</v>
      </c>
    </row>
    <row r="1802" spans="1:132" hidden="1">
      <c r="A1802">
        <v>1066</v>
      </c>
      <c r="B1802">
        <v>1</v>
      </c>
      <c r="C1802" t="s">
        <v>2561</v>
      </c>
      <c r="D1802" t="s">
        <v>2562</v>
      </c>
      <c r="E1802" t="s">
        <v>73</v>
      </c>
      <c r="F1802" t="s">
        <v>73</v>
      </c>
      <c r="G1802" t="s">
        <v>73</v>
      </c>
      <c r="H1802">
        <v>12</v>
      </c>
      <c r="I1802">
        <v>616</v>
      </c>
      <c r="J1802">
        <v>69518</v>
      </c>
      <c r="K1802" t="s">
        <v>2563</v>
      </c>
      <c r="L1802">
        <f t="shared" si="114"/>
        <v>7</v>
      </c>
      <c r="N1802">
        <v>7</v>
      </c>
      <c r="O1802">
        <v>7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4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2</v>
      </c>
      <c r="AY1802">
        <v>0</v>
      </c>
      <c r="AZ1802">
        <v>0</v>
      </c>
      <c r="BA1802">
        <v>0</v>
      </c>
      <c r="BB180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4</v>
      </c>
      <c r="BL1802" s="2">
        <v>0</v>
      </c>
      <c r="BM1802" s="2">
        <v>1</v>
      </c>
      <c r="BN1802" s="2">
        <v>0</v>
      </c>
      <c r="BO1802" s="2">
        <v>0</v>
      </c>
      <c r="BP1802" s="2">
        <v>0</v>
      </c>
      <c r="BQ1802" s="2">
        <v>2</v>
      </c>
      <c r="BR1802" s="2">
        <v>0</v>
      </c>
      <c r="BS1802" s="2">
        <v>0</v>
      </c>
      <c r="BT1802" s="2">
        <v>0</v>
      </c>
      <c r="BU1802" s="2">
        <v>0</v>
      </c>
      <c r="BV1802" s="2">
        <f t="shared" si="117"/>
        <v>7</v>
      </c>
      <c r="BW1802" s="16">
        <f t="shared" si="115"/>
        <v>0.36842105263157893</v>
      </c>
      <c r="BX1802" s="16">
        <f>COUNTIF($BC$6:BU1802, "=0") / COUNTIF($BC$6:BU1802, "&gt;-1")</f>
        <v>0.44187681223091119</v>
      </c>
      <c r="BY1802" s="18">
        <f>SUM($BC$6:BU1802) / $BY$4</f>
        <v>0.99185027805001136</v>
      </c>
      <c r="BZ1802" s="14">
        <f t="shared" si="116"/>
        <v>16</v>
      </c>
      <c r="CA1802" t="s">
        <v>5832</v>
      </c>
      <c r="CZ1802" t="s">
        <v>9279</v>
      </c>
      <c r="DA1802" t="s">
        <v>5904</v>
      </c>
      <c r="DB1802">
        <v>1015</v>
      </c>
      <c r="DC1802" t="s">
        <v>24090</v>
      </c>
      <c r="DD1802" t="s">
        <v>13772</v>
      </c>
      <c r="DE1802" t="s">
        <v>24091</v>
      </c>
      <c r="DF1802" t="s">
        <v>24092</v>
      </c>
      <c r="DG1802" t="s">
        <v>24093</v>
      </c>
      <c r="DH1802" t="str">
        <f>"EIF4B"</f>
        <v>EIF4B</v>
      </c>
      <c r="DI1802" t="s">
        <v>13772</v>
      </c>
      <c r="DJ1802" t="s">
        <v>13777</v>
      </c>
      <c r="DK1802">
        <v>9606</v>
      </c>
      <c r="DL1802" s="34" t="str">
        <f>HYPERLINK("http://www.uniprot.org/uniprot/P23588", "P23588")</f>
        <v>P23588</v>
      </c>
      <c r="DM1802" t="s">
        <v>24094</v>
      </c>
      <c r="DN1802" t="s">
        <v>17925</v>
      </c>
      <c r="DO1802" t="s">
        <v>13772</v>
      </c>
      <c r="DP1802" t="s">
        <v>13780</v>
      </c>
      <c r="DQ1802" t="s">
        <v>13772</v>
      </c>
      <c r="DR1802" t="s">
        <v>13772</v>
      </c>
      <c r="DS1802" t="s">
        <v>13772</v>
      </c>
      <c r="DT1802" t="s">
        <v>13772</v>
      </c>
      <c r="DU1802" t="s">
        <v>15189</v>
      </c>
      <c r="DV1802" t="s">
        <v>13991</v>
      </c>
      <c r="DW1802" t="s">
        <v>13812</v>
      </c>
      <c r="DX1802" t="s">
        <v>24095</v>
      </c>
      <c r="DY1802" t="s">
        <v>24096</v>
      </c>
      <c r="DZ1802" t="s">
        <v>24097</v>
      </c>
      <c r="EA1802" t="s">
        <v>13772</v>
      </c>
      <c r="EB1802" t="s">
        <v>24098</v>
      </c>
    </row>
    <row r="1803" spans="1:132" hidden="1">
      <c r="A1803">
        <v>1157</v>
      </c>
      <c r="B1803">
        <v>1</v>
      </c>
      <c r="C1803" t="s">
        <v>2780</v>
      </c>
      <c r="D1803" t="s">
        <v>2781</v>
      </c>
      <c r="E1803" t="s">
        <v>73</v>
      </c>
      <c r="F1803" t="s">
        <v>73</v>
      </c>
      <c r="G1803" t="s">
        <v>73</v>
      </c>
      <c r="H1803">
        <v>16.8</v>
      </c>
      <c r="I1803">
        <v>513</v>
      </c>
      <c r="J1803">
        <v>55926</v>
      </c>
      <c r="K1803" t="s">
        <v>2782</v>
      </c>
      <c r="L1803">
        <f t="shared" si="114"/>
        <v>7</v>
      </c>
      <c r="N1803">
        <v>7</v>
      </c>
      <c r="O1803">
        <v>7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3</v>
      </c>
      <c r="AB1803">
        <v>0</v>
      </c>
      <c r="AC1803">
        <v>0</v>
      </c>
      <c r="AD1803">
        <v>0</v>
      </c>
      <c r="AE1803">
        <v>0</v>
      </c>
      <c r="AF1803">
        <v>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3</v>
      </c>
      <c r="AU1803">
        <v>0</v>
      </c>
      <c r="AV1803">
        <v>0</v>
      </c>
      <c r="AW1803">
        <v>0</v>
      </c>
      <c r="AX1803">
        <v>0</v>
      </c>
      <c r="AY1803">
        <v>3</v>
      </c>
      <c r="AZ1803">
        <v>0</v>
      </c>
      <c r="BA1803">
        <v>0</v>
      </c>
      <c r="BB1803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1</v>
      </c>
      <c r="BL1803" s="2">
        <v>0</v>
      </c>
      <c r="BM1803" s="2">
        <v>3</v>
      </c>
      <c r="BN1803" s="2">
        <v>0</v>
      </c>
      <c r="BO1803" s="2">
        <v>0</v>
      </c>
      <c r="BP1803" s="2">
        <v>0</v>
      </c>
      <c r="BQ1803" s="2">
        <v>0</v>
      </c>
      <c r="BR1803" s="2">
        <v>3</v>
      </c>
      <c r="BS1803" s="2">
        <v>0</v>
      </c>
      <c r="BT1803" s="2">
        <v>0</v>
      </c>
      <c r="BU1803" s="2">
        <v>0</v>
      </c>
      <c r="BV1803" s="2">
        <f t="shared" si="117"/>
        <v>7</v>
      </c>
      <c r="BW1803" s="16">
        <f t="shared" si="115"/>
        <v>0.36842105263157893</v>
      </c>
      <c r="BX1803" s="16">
        <f>COUNTIF($BC$6:BU1803, "=0") / COUNTIF($BC$6:BU1803, "&gt;-1")</f>
        <v>0.44209940869972486</v>
      </c>
      <c r="BY1803" s="18">
        <f>SUM($BC$6:BU1803) / $BY$4</f>
        <v>0.99188026350809222</v>
      </c>
      <c r="BZ1803" s="14">
        <f t="shared" si="116"/>
        <v>16</v>
      </c>
      <c r="CA1803" t="s">
        <v>5832</v>
      </c>
      <c r="CZ1803" t="s">
        <v>9575</v>
      </c>
      <c r="DA1803" t="s">
        <v>5904</v>
      </c>
      <c r="DB1803">
        <v>870.9</v>
      </c>
      <c r="DC1803" t="s">
        <v>24930</v>
      </c>
      <c r="DD1803" t="s">
        <v>13772</v>
      </c>
      <c r="DE1803" t="s">
        <v>24931</v>
      </c>
      <c r="DF1803" t="s">
        <v>24932</v>
      </c>
      <c r="DG1803" t="s">
        <v>24933</v>
      </c>
      <c r="DH1803" t="str">
        <f>"TOM1"</f>
        <v>TOM1</v>
      </c>
      <c r="DI1803" t="s">
        <v>13772</v>
      </c>
      <c r="DJ1803" t="s">
        <v>13777</v>
      </c>
      <c r="DK1803">
        <v>9606</v>
      </c>
      <c r="DL1803" s="34" t="str">
        <f>HYPERLINK("http://www.uniprot.org/uniprot/O60784", "O60784")</f>
        <v>O60784</v>
      </c>
      <c r="DM1803" t="s">
        <v>24934</v>
      </c>
      <c r="DN1803" t="s">
        <v>14347</v>
      </c>
      <c r="DO1803" t="s">
        <v>15896</v>
      </c>
      <c r="DP1803" t="s">
        <v>13780</v>
      </c>
      <c r="DQ1803" t="s">
        <v>13772</v>
      </c>
      <c r="DR1803" t="s">
        <v>13772</v>
      </c>
      <c r="DS1803" t="s">
        <v>13772</v>
      </c>
      <c r="DT1803" t="s">
        <v>13772</v>
      </c>
      <c r="DU1803" t="s">
        <v>13772</v>
      </c>
      <c r="DV1803" t="s">
        <v>13991</v>
      </c>
      <c r="DW1803" t="s">
        <v>13812</v>
      </c>
      <c r="DX1803" t="s">
        <v>24935</v>
      </c>
      <c r="DY1803" t="s">
        <v>24936</v>
      </c>
      <c r="DZ1803" t="s">
        <v>24937</v>
      </c>
      <c r="EA1803" t="s">
        <v>13772</v>
      </c>
      <c r="EB1803" t="s">
        <v>13890</v>
      </c>
    </row>
    <row r="1804" spans="1:132" hidden="1">
      <c r="A1804">
        <v>1200</v>
      </c>
      <c r="B1804">
        <v>1</v>
      </c>
      <c r="C1804" t="s">
        <v>2878</v>
      </c>
      <c r="D1804" t="s">
        <v>2879</v>
      </c>
      <c r="E1804" t="s">
        <v>73</v>
      </c>
      <c r="F1804" t="s">
        <v>73</v>
      </c>
      <c r="G1804" t="s">
        <v>73</v>
      </c>
      <c r="H1804">
        <v>9.9</v>
      </c>
      <c r="I1804">
        <v>362</v>
      </c>
      <c r="J1804">
        <v>40526</v>
      </c>
      <c r="K1804" t="s">
        <v>2880</v>
      </c>
      <c r="L1804">
        <f t="shared" si="114"/>
        <v>7</v>
      </c>
      <c r="N1804">
        <v>7</v>
      </c>
      <c r="O1804">
        <v>7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2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4</v>
      </c>
      <c r="AO1804">
        <v>2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4</v>
      </c>
      <c r="BH1804" s="2">
        <v>2</v>
      </c>
      <c r="BI1804" s="2">
        <v>0</v>
      </c>
      <c r="BJ1804" s="2">
        <v>1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f t="shared" si="117"/>
        <v>7</v>
      </c>
      <c r="BW1804" s="16">
        <f t="shared" si="115"/>
        <v>0.36842105263157893</v>
      </c>
      <c r="BX1804" s="16">
        <f>COUNTIF($BC$6:BU1804, "=0") / COUNTIF($BC$6:BU1804, "&gt;-1")</f>
        <v>0.44232175770164711</v>
      </c>
      <c r="BY1804" s="18">
        <f>SUM($BC$6:BU1804) / $BY$4</f>
        <v>0.99191024896617308</v>
      </c>
      <c r="BZ1804" s="14">
        <f t="shared" si="116"/>
        <v>16</v>
      </c>
      <c r="CA1804" t="s">
        <v>5832</v>
      </c>
      <c r="CZ1804" t="s">
        <v>9724</v>
      </c>
      <c r="DA1804" t="s">
        <v>5904</v>
      </c>
      <c r="DB1804">
        <v>703.7</v>
      </c>
      <c r="DC1804" t="s">
        <v>25358</v>
      </c>
      <c r="DD1804" t="s">
        <v>25359</v>
      </c>
      <c r="DE1804" t="s">
        <v>25360</v>
      </c>
      <c r="DF1804" t="s">
        <v>25361</v>
      </c>
      <c r="DG1804" t="s">
        <v>25362</v>
      </c>
      <c r="DH1804" t="str">
        <f>"ADK"</f>
        <v>ADK</v>
      </c>
      <c r="DI1804" t="s">
        <v>13772</v>
      </c>
      <c r="DJ1804" t="s">
        <v>13777</v>
      </c>
      <c r="DK1804">
        <v>9606</v>
      </c>
      <c r="DL1804" s="34" t="str">
        <f>HYPERLINK("http://www.uniprot.org/uniprot/P55263", "P55263")</f>
        <v>P55263</v>
      </c>
      <c r="DM1804" t="s">
        <v>25363</v>
      </c>
      <c r="DN1804" t="s">
        <v>25364</v>
      </c>
      <c r="DO1804" t="s">
        <v>13912</v>
      </c>
      <c r="DP1804" t="s">
        <v>13841</v>
      </c>
      <c r="DQ1804" t="s">
        <v>13772</v>
      </c>
      <c r="DR1804" t="s">
        <v>13807</v>
      </c>
      <c r="DS1804" t="s">
        <v>13772</v>
      </c>
      <c r="DT1804" t="s">
        <v>17602</v>
      </c>
      <c r="DU1804" t="s">
        <v>14006</v>
      </c>
      <c r="DV1804" t="s">
        <v>13886</v>
      </c>
      <c r="DW1804" t="s">
        <v>13812</v>
      </c>
      <c r="DX1804" t="s">
        <v>25365</v>
      </c>
      <c r="DY1804" t="s">
        <v>16871</v>
      </c>
      <c r="DZ1804" t="s">
        <v>25366</v>
      </c>
      <c r="EA1804" t="s">
        <v>25367</v>
      </c>
      <c r="EB1804" t="s">
        <v>16304</v>
      </c>
    </row>
    <row r="1805" spans="1:132" hidden="1">
      <c r="A1805">
        <v>1204</v>
      </c>
      <c r="B1805">
        <v>1</v>
      </c>
      <c r="C1805" t="s">
        <v>2888</v>
      </c>
      <c r="D1805" t="s">
        <v>2889</v>
      </c>
      <c r="E1805" t="s">
        <v>73</v>
      </c>
      <c r="F1805" t="s">
        <v>73</v>
      </c>
      <c r="G1805" t="s">
        <v>73</v>
      </c>
      <c r="H1805">
        <v>6.6</v>
      </c>
      <c r="I1805">
        <v>666</v>
      </c>
      <c r="J1805">
        <v>75256</v>
      </c>
      <c r="K1805" t="s">
        <v>2890</v>
      </c>
      <c r="L1805">
        <f t="shared" si="114"/>
        <v>7</v>
      </c>
      <c r="N1805">
        <v>7</v>
      </c>
      <c r="O1805">
        <v>7</v>
      </c>
      <c r="P1805">
        <v>1</v>
      </c>
      <c r="Q1805">
        <v>1</v>
      </c>
      <c r="R1805">
        <v>2</v>
      </c>
      <c r="S1805">
        <v>0</v>
      </c>
      <c r="T1805">
        <v>0</v>
      </c>
      <c r="U1805">
        <v>2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2</v>
      </c>
      <c r="AL1805">
        <v>0</v>
      </c>
      <c r="AM1805">
        <v>0</v>
      </c>
      <c r="AN1805">
        <v>2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 s="2">
        <v>1</v>
      </c>
      <c r="BD1805" s="2">
        <v>2</v>
      </c>
      <c r="BE1805" s="2">
        <v>0</v>
      </c>
      <c r="BF1805" s="2">
        <v>0</v>
      </c>
      <c r="BG1805" s="2">
        <v>2</v>
      </c>
      <c r="BH1805" s="2">
        <v>0</v>
      </c>
      <c r="BI1805" s="2">
        <v>1</v>
      </c>
      <c r="BJ1805" s="2">
        <v>1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f t="shared" si="117"/>
        <v>7</v>
      </c>
      <c r="BW1805" s="16">
        <f t="shared" si="115"/>
        <v>0.36842105263157893</v>
      </c>
      <c r="BX1805" s="16">
        <f>COUNTIF($BC$6:BU1805, "=0") / COUNTIF($BC$6:BU1805, "&gt;-1")</f>
        <v>0.44248538011695904</v>
      </c>
      <c r="BY1805" s="18">
        <f>SUM($BC$6:BU1805) / $BY$4</f>
        <v>0.99194023442425405</v>
      </c>
      <c r="BZ1805" s="14">
        <f t="shared" si="116"/>
        <v>14</v>
      </c>
      <c r="CA1805" t="s">
        <v>5832</v>
      </c>
      <c r="CZ1805" t="s">
        <v>9738</v>
      </c>
      <c r="DA1805" t="s">
        <v>5904</v>
      </c>
      <c r="DB1805">
        <v>1053.0999999999999</v>
      </c>
      <c r="DC1805" t="s">
        <v>25394</v>
      </c>
      <c r="DD1805" t="s">
        <v>25395</v>
      </c>
      <c r="DE1805" t="s">
        <v>25396</v>
      </c>
      <c r="DF1805" t="s">
        <v>25397</v>
      </c>
      <c r="DG1805" t="s">
        <v>25398</v>
      </c>
      <c r="DH1805" t="str">
        <f>"MAN1C1"</f>
        <v>MAN1C1</v>
      </c>
      <c r="DI1805" t="s">
        <v>25399</v>
      </c>
      <c r="DJ1805" t="s">
        <v>13777</v>
      </c>
      <c r="DK1805">
        <v>9606</v>
      </c>
      <c r="DL1805" s="34" t="str">
        <f>HYPERLINK("http://www.uniprot.org/uniprot/Q9NR34", "Q9NR34")</f>
        <v>Q9NR34</v>
      </c>
      <c r="DM1805" t="s">
        <v>25400</v>
      </c>
      <c r="DN1805" t="s">
        <v>13772</v>
      </c>
      <c r="DO1805" t="s">
        <v>18298</v>
      </c>
      <c r="DP1805" t="s">
        <v>13772</v>
      </c>
      <c r="DQ1805" t="s">
        <v>13772</v>
      </c>
      <c r="DR1805" t="s">
        <v>13772</v>
      </c>
      <c r="DS1805" t="s">
        <v>14417</v>
      </c>
      <c r="DT1805" t="s">
        <v>13873</v>
      </c>
      <c r="DU1805" t="s">
        <v>15471</v>
      </c>
      <c r="DV1805" t="s">
        <v>13964</v>
      </c>
      <c r="DW1805" t="s">
        <v>13772</v>
      </c>
      <c r="DX1805" t="s">
        <v>25401</v>
      </c>
      <c r="DY1805" t="s">
        <v>25402</v>
      </c>
      <c r="DZ1805" t="s">
        <v>25403</v>
      </c>
      <c r="EA1805" t="s">
        <v>22195</v>
      </c>
      <c r="EB1805" t="s">
        <v>25404</v>
      </c>
    </row>
    <row r="1806" spans="1:132" hidden="1">
      <c r="A1806">
        <v>1210</v>
      </c>
      <c r="B1806">
        <v>1</v>
      </c>
      <c r="C1806" t="s">
        <v>2904</v>
      </c>
      <c r="D1806" t="s">
        <v>2905</v>
      </c>
      <c r="E1806" t="s">
        <v>73</v>
      </c>
      <c r="F1806" t="s">
        <v>73</v>
      </c>
      <c r="G1806" t="s">
        <v>73</v>
      </c>
      <c r="H1806">
        <v>20.8</v>
      </c>
      <c r="I1806">
        <v>288</v>
      </c>
      <c r="J1806">
        <v>31855</v>
      </c>
      <c r="K1806" t="s">
        <v>2906</v>
      </c>
      <c r="L1806">
        <f t="shared" si="114"/>
        <v>7</v>
      </c>
      <c r="N1806">
        <v>7</v>
      </c>
      <c r="O1806">
        <v>7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2</v>
      </c>
      <c r="V1806">
        <v>2</v>
      </c>
      <c r="W1806">
        <v>0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2</v>
      </c>
      <c r="AO1806">
        <v>2</v>
      </c>
      <c r="AP1806">
        <v>0</v>
      </c>
      <c r="AQ1806">
        <v>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s="2">
        <v>0</v>
      </c>
      <c r="BD1806" s="2">
        <v>1</v>
      </c>
      <c r="BE1806" s="2">
        <v>0</v>
      </c>
      <c r="BF1806" s="2">
        <v>0</v>
      </c>
      <c r="BG1806" s="2">
        <v>2</v>
      </c>
      <c r="BH1806" s="2">
        <v>2</v>
      </c>
      <c r="BI1806" s="2">
        <v>0</v>
      </c>
      <c r="BJ1806" s="2">
        <v>2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f t="shared" si="117"/>
        <v>7</v>
      </c>
      <c r="BW1806" s="16">
        <f t="shared" si="115"/>
        <v>0.36842105263157893</v>
      </c>
      <c r="BX1806" s="16">
        <f>COUNTIF($BC$6:BU1806, "=0") / COUNTIF($BC$6:BU1806, "&gt;-1")</f>
        <v>0.44267804436131974</v>
      </c>
      <c r="BY1806" s="18">
        <f>SUM($BC$6:BU1806) / $BY$4</f>
        <v>0.99197021988233491</v>
      </c>
      <c r="BZ1806" s="14">
        <f t="shared" si="116"/>
        <v>15</v>
      </c>
      <c r="CA1806" t="s">
        <v>5832</v>
      </c>
      <c r="CZ1806" t="s">
        <v>9760</v>
      </c>
      <c r="DA1806" t="s">
        <v>5904</v>
      </c>
      <c r="DB1806">
        <v>555.79999999999995</v>
      </c>
      <c r="DC1806" t="s">
        <v>25453</v>
      </c>
      <c r="DD1806" t="s">
        <v>25454</v>
      </c>
      <c r="DE1806" t="s">
        <v>25455</v>
      </c>
      <c r="DF1806" t="s">
        <v>25456</v>
      </c>
      <c r="DG1806" t="s">
        <v>25457</v>
      </c>
      <c r="DH1806" t="str">
        <f>"PBLD"</f>
        <v>PBLD</v>
      </c>
      <c r="DI1806" t="s">
        <v>25458</v>
      </c>
      <c r="DJ1806" t="s">
        <v>13777</v>
      </c>
      <c r="DK1806">
        <v>9606</v>
      </c>
      <c r="DL1806" s="34" t="str">
        <f>HYPERLINK("http://www.uniprot.org/uniprot/P30039", "P30039")</f>
        <v>P30039</v>
      </c>
      <c r="DM1806" t="s">
        <v>25459</v>
      </c>
      <c r="DN1806" t="s">
        <v>13772</v>
      </c>
      <c r="DO1806" t="s">
        <v>13772</v>
      </c>
      <c r="DP1806" t="s">
        <v>13780</v>
      </c>
      <c r="DQ1806" t="s">
        <v>13772</v>
      </c>
      <c r="DR1806" t="s">
        <v>13772</v>
      </c>
      <c r="DS1806" t="s">
        <v>13772</v>
      </c>
      <c r="DT1806" t="s">
        <v>13772</v>
      </c>
      <c r="DU1806" t="s">
        <v>14910</v>
      </c>
      <c r="DV1806" t="s">
        <v>13772</v>
      </c>
      <c r="DW1806" t="s">
        <v>13772</v>
      </c>
      <c r="DX1806" t="s">
        <v>25460</v>
      </c>
      <c r="DY1806" t="s">
        <v>25461</v>
      </c>
      <c r="DZ1806" t="s">
        <v>25462</v>
      </c>
      <c r="EA1806" t="s">
        <v>13772</v>
      </c>
      <c r="EB1806" t="s">
        <v>13772</v>
      </c>
    </row>
    <row r="1807" spans="1:132" hidden="1">
      <c r="A1807">
        <v>1228</v>
      </c>
      <c r="B1807">
        <v>1</v>
      </c>
      <c r="C1807" t="s">
        <v>2950</v>
      </c>
      <c r="D1807" t="s">
        <v>2951</v>
      </c>
      <c r="E1807" t="s">
        <v>73</v>
      </c>
      <c r="F1807" t="s">
        <v>73</v>
      </c>
      <c r="G1807" t="s">
        <v>73</v>
      </c>
      <c r="H1807">
        <v>35.1</v>
      </c>
      <c r="I1807">
        <v>271</v>
      </c>
      <c r="J1807">
        <v>29635</v>
      </c>
      <c r="K1807" t="s">
        <v>2952</v>
      </c>
      <c r="L1807">
        <f t="shared" si="114"/>
        <v>7</v>
      </c>
      <c r="N1807">
        <v>7</v>
      </c>
      <c r="O1807">
        <v>7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5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5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1</v>
      </c>
      <c r="BK1807" s="2">
        <v>0</v>
      </c>
      <c r="BL1807" s="2">
        <v>0</v>
      </c>
      <c r="BM1807" s="2">
        <v>5</v>
      </c>
      <c r="BN1807" s="2">
        <v>0</v>
      </c>
      <c r="BO1807" s="2">
        <v>0</v>
      </c>
      <c r="BP1807" s="2">
        <v>0</v>
      </c>
      <c r="BQ1807" s="2">
        <v>1</v>
      </c>
      <c r="BR1807" s="2">
        <v>0</v>
      </c>
      <c r="BS1807" s="2">
        <v>0</v>
      </c>
      <c r="BT1807" s="2">
        <v>0</v>
      </c>
      <c r="BU1807" s="2">
        <v>0</v>
      </c>
      <c r="BV1807" s="2">
        <f t="shared" si="117"/>
        <v>7</v>
      </c>
      <c r="BW1807" s="16">
        <f t="shared" si="115"/>
        <v>0.36842105263157893</v>
      </c>
      <c r="BX1807" s="16">
        <f>COUNTIF($BC$6:BU1807, "=0") / COUNTIF($BC$6:BU1807, "&gt;-1")</f>
        <v>0.44289970208540219</v>
      </c>
      <c r="BY1807" s="18">
        <f>SUM($BC$6:BU1807) / $BY$4</f>
        <v>0.99200020534041577</v>
      </c>
      <c r="BZ1807" s="14">
        <f t="shared" si="116"/>
        <v>16</v>
      </c>
      <c r="CA1807" t="s">
        <v>5832</v>
      </c>
      <c r="CZ1807" t="s">
        <v>9821</v>
      </c>
      <c r="DA1807" t="s">
        <v>5904</v>
      </c>
      <c r="DB1807">
        <v>441.4</v>
      </c>
      <c r="DC1807" t="s">
        <v>25627</v>
      </c>
      <c r="DD1807" t="s">
        <v>25628</v>
      </c>
      <c r="DE1807" t="s">
        <v>25629</v>
      </c>
      <c r="DF1807" t="s">
        <v>25630</v>
      </c>
      <c r="DG1807" t="s">
        <v>25631</v>
      </c>
      <c r="DH1807" t="str">
        <f>"ADO"</f>
        <v>ADO</v>
      </c>
      <c r="DI1807" t="s">
        <v>25632</v>
      </c>
      <c r="DJ1807" t="s">
        <v>13777</v>
      </c>
      <c r="DK1807">
        <v>9606</v>
      </c>
      <c r="DL1807" s="34" t="str">
        <f>HYPERLINK("http://www.uniprot.org/uniprot/Q96SZ5", "Q96SZ5")</f>
        <v>Q96SZ5</v>
      </c>
      <c r="DM1807" t="s">
        <v>25633</v>
      </c>
      <c r="DN1807" t="s">
        <v>13772</v>
      </c>
      <c r="DO1807" t="s">
        <v>13772</v>
      </c>
      <c r="DP1807" t="s">
        <v>13793</v>
      </c>
      <c r="DQ1807" t="s">
        <v>13772</v>
      </c>
      <c r="DR1807" t="s">
        <v>13772</v>
      </c>
      <c r="DS1807" t="s">
        <v>13772</v>
      </c>
      <c r="DT1807" t="s">
        <v>17802</v>
      </c>
      <c r="DU1807" t="s">
        <v>14433</v>
      </c>
      <c r="DV1807" t="s">
        <v>13772</v>
      </c>
      <c r="DW1807" t="s">
        <v>13772</v>
      </c>
      <c r="DX1807" t="s">
        <v>25634</v>
      </c>
      <c r="DY1807" t="s">
        <v>13902</v>
      </c>
      <c r="DZ1807" t="s">
        <v>25635</v>
      </c>
      <c r="EA1807" t="s">
        <v>13772</v>
      </c>
      <c r="EB1807" t="s">
        <v>23803</v>
      </c>
    </row>
    <row r="1808" spans="1:132" hidden="1">
      <c r="A1808">
        <v>1282</v>
      </c>
      <c r="B1808">
        <v>1</v>
      </c>
      <c r="C1808" t="s">
        <v>3076</v>
      </c>
      <c r="D1808" t="s">
        <v>73</v>
      </c>
      <c r="E1808" t="s">
        <v>73</v>
      </c>
      <c r="F1808" t="s">
        <v>73</v>
      </c>
      <c r="G1808" t="s">
        <v>73</v>
      </c>
      <c r="H1808">
        <v>9.1999999999999993</v>
      </c>
      <c r="I1808">
        <v>519</v>
      </c>
      <c r="J1808">
        <v>56196</v>
      </c>
      <c r="K1808" t="s">
        <v>3077</v>
      </c>
      <c r="L1808">
        <f t="shared" si="114"/>
        <v>7</v>
      </c>
      <c r="N1808">
        <v>7</v>
      </c>
      <c r="O1808">
        <v>7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1</v>
      </c>
      <c r="AB1808">
        <v>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</v>
      </c>
      <c r="AS1808">
        <v>0</v>
      </c>
      <c r="AT1808">
        <v>1</v>
      </c>
      <c r="AU1808">
        <v>4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2</v>
      </c>
      <c r="BL1808" s="2">
        <v>0</v>
      </c>
      <c r="BM1808" s="2">
        <v>1</v>
      </c>
      <c r="BN1808" s="2">
        <v>4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f t="shared" si="117"/>
        <v>7</v>
      </c>
      <c r="BW1808" s="16">
        <f t="shared" si="115"/>
        <v>0.36842105263157893</v>
      </c>
      <c r="BX1808" s="16">
        <f>COUNTIF($BC$6:BU1808, "=0") / COUNTIF($BC$6:BU1808, "&gt;-1")</f>
        <v>0.44312111393291881</v>
      </c>
      <c r="BY1808" s="18">
        <f>SUM($BC$6:BU1808) / $BY$4</f>
        <v>0.99203019079849675</v>
      </c>
      <c r="BZ1808" s="14">
        <f t="shared" si="116"/>
        <v>16</v>
      </c>
      <c r="CA1808" t="s">
        <v>5832</v>
      </c>
      <c r="CZ1808" t="s">
        <v>10010</v>
      </c>
      <c r="DA1808" t="s">
        <v>5904</v>
      </c>
      <c r="DB1808">
        <v>911</v>
      </c>
      <c r="DC1808" t="s">
        <v>26166</v>
      </c>
      <c r="DD1808" t="s">
        <v>13772</v>
      </c>
      <c r="DE1808" t="s">
        <v>26167</v>
      </c>
      <c r="DF1808" t="s">
        <v>26168</v>
      </c>
      <c r="DG1808" t="s">
        <v>26169</v>
      </c>
      <c r="DH1808" t="str">
        <f>"GSR"</f>
        <v>GSR</v>
      </c>
      <c r="DI1808" t="s">
        <v>26170</v>
      </c>
      <c r="DJ1808" t="s">
        <v>13777</v>
      </c>
      <c r="DK1808">
        <v>9606</v>
      </c>
      <c r="DL1808" s="34" t="str">
        <f>HYPERLINK("http://www.uniprot.org/uniprot/P00390", "P00390")</f>
        <v>P00390</v>
      </c>
      <c r="DM1808" t="s">
        <v>26171</v>
      </c>
      <c r="DN1808" t="s">
        <v>13772</v>
      </c>
      <c r="DO1808" t="s">
        <v>21204</v>
      </c>
      <c r="DP1808" t="s">
        <v>19227</v>
      </c>
      <c r="DQ1808" t="s">
        <v>13772</v>
      </c>
      <c r="DR1808" t="s">
        <v>13772</v>
      </c>
      <c r="DS1808" t="s">
        <v>17158</v>
      </c>
      <c r="DT1808" t="s">
        <v>17381</v>
      </c>
      <c r="DU1808" t="s">
        <v>13885</v>
      </c>
      <c r="DV1808" t="s">
        <v>16929</v>
      </c>
      <c r="DW1808" t="s">
        <v>13812</v>
      </c>
      <c r="DX1808" t="s">
        <v>26172</v>
      </c>
      <c r="DY1808" t="s">
        <v>26173</v>
      </c>
      <c r="DZ1808" t="s">
        <v>26174</v>
      </c>
      <c r="EA1808" t="s">
        <v>13772</v>
      </c>
      <c r="EB1808" t="s">
        <v>26175</v>
      </c>
    </row>
    <row r="1809" spans="1:132" hidden="1">
      <c r="A1809">
        <v>1332</v>
      </c>
      <c r="B1809">
        <v>1</v>
      </c>
      <c r="C1809" t="s">
        <v>3193</v>
      </c>
      <c r="D1809" t="s">
        <v>73</v>
      </c>
      <c r="E1809" t="s">
        <v>73</v>
      </c>
      <c r="F1809" t="s">
        <v>73</v>
      </c>
      <c r="G1809" t="s">
        <v>73</v>
      </c>
      <c r="H1809">
        <v>9</v>
      </c>
      <c r="I1809">
        <v>324</v>
      </c>
      <c r="J1809">
        <v>37145</v>
      </c>
      <c r="K1809" t="s">
        <v>3194</v>
      </c>
      <c r="L1809">
        <f t="shared" si="114"/>
        <v>7</v>
      </c>
      <c r="N1809">
        <v>7</v>
      </c>
      <c r="O1809">
        <v>7</v>
      </c>
      <c r="P1809">
        <v>1</v>
      </c>
      <c r="Q1809">
        <v>0</v>
      </c>
      <c r="R1809">
        <v>2</v>
      </c>
      <c r="S1809">
        <v>0</v>
      </c>
      <c r="T1809">
        <v>1</v>
      </c>
      <c r="U1809">
        <v>0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</v>
      </c>
      <c r="AL1809">
        <v>0</v>
      </c>
      <c r="AM1809">
        <v>1</v>
      </c>
      <c r="AN1809">
        <v>0</v>
      </c>
      <c r="AO1809">
        <v>0</v>
      </c>
      <c r="AP1809">
        <v>2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 s="2">
        <v>0</v>
      </c>
      <c r="BD1809" s="2">
        <v>2</v>
      </c>
      <c r="BE1809" s="2">
        <v>0</v>
      </c>
      <c r="BF1809" s="2">
        <v>1</v>
      </c>
      <c r="BG1809" s="2">
        <v>0</v>
      </c>
      <c r="BH1809" s="2">
        <v>0</v>
      </c>
      <c r="BI1809" s="2">
        <v>2</v>
      </c>
      <c r="BJ1809" s="2">
        <v>0</v>
      </c>
      <c r="BK1809" s="2">
        <v>0</v>
      </c>
      <c r="BL1809" s="2">
        <v>0</v>
      </c>
      <c r="BM1809" s="2">
        <v>0</v>
      </c>
      <c r="BN1809" s="2">
        <v>1</v>
      </c>
      <c r="BO1809" s="2">
        <v>0</v>
      </c>
      <c r="BP1809" s="2">
        <v>0</v>
      </c>
      <c r="BQ1809" s="2">
        <v>1</v>
      </c>
      <c r="BR1809" s="2">
        <v>0</v>
      </c>
      <c r="BS1809" s="2">
        <v>0</v>
      </c>
      <c r="BT1809" s="2">
        <v>0</v>
      </c>
      <c r="BU1809" s="2">
        <v>0</v>
      </c>
      <c r="BV1809" s="2">
        <f t="shared" si="117"/>
        <v>7</v>
      </c>
      <c r="BW1809" s="16">
        <f t="shared" si="115"/>
        <v>0.36842105263157893</v>
      </c>
      <c r="BX1809" s="16">
        <f>COUNTIF($BC$6:BU1809, "=0") / COUNTIF($BC$6:BU1809, "&gt;-1")</f>
        <v>0.44328393044695996</v>
      </c>
      <c r="BY1809" s="18">
        <f>SUM($BC$6:BU1809) / $BY$4</f>
        <v>0.99206017625657761</v>
      </c>
      <c r="BZ1809" s="14">
        <f t="shared" si="116"/>
        <v>14</v>
      </c>
      <c r="CA1809" t="s">
        <v>5832</v>
      </c>
      <c r="CZ1809" t="s">
        <v>10184</v>
      </c>
      <c r="DA1809" t="s">
        <v>5904</v>
      </c>
      <c r="DB1809">
        <v>650.20000000000005</v>
      </c>
      <c r="DC1809" t="s">
        <v>26663</v>
      </c>
      <c r="DD1809" t="s">
        <v>26664</v>
      </c>
      <c r="DE1809" t="s">
        <v>26665</v>
      </c>
      <c r="DF1809" t="s">
        <v>26666</v>
      </c>
      <c r="DG1809" t="s">
        <v>26667</v>
      </c>
      <c r="DH1809" t="str">
        <f>"ANXA10"</f>
        <v>ANXA10</v>
      </c>
      <c r="DI1809" t="s">
        <v>26668</v>
      </c>
      <c r="DJ1809" t="s">
        <v>13777</v>
      </c>
      <c r="DK1809">
        <v>9606</v>
      </c>
      <c r="DL1809" s="34" t="str">
        <f>HYPERLINK("http://www.uniprot.org/uniprot/Q9UJ72", "Q9UJ72")</f>
        <v>Q9UJ72</v>
      </c>
      <c r="DM1809" t="s">
        <v>26669</v>
      </c>
      <c r="DN1809" t="s">
        <v>13772</v>
      </c>
      <c r="DO1809" t="s">
        <v>13772</v>
      </c>
      <c r="DP1809" t="s">
        <v>13793</v>
      </c>
      <c r="DQ1809" t="s">
        <v>13772</v>
      </c>
      <c r="DR1809" t="s">
        <v>13772</v>
      </c>
      <c r="DS1809" t="s">
        <v>15322</v>
      </c>
      <c r="DT1809" t="s">
        <v>13772</v>
      </c>
      <c r="DU1809" t="s">
        <v>13772</v>
      </c>
      <c r="DV1809" t="s">
        <v>13772</v>
      </c>
      <c r="DW1809" t="s">
        <v>13772</v>
      </c>
      <c r="DX1809" t="s">
        <v>13772</v>
      </c>
      <c r="DY1809" t="s">
        <v>13772</v>
      </c>
      <c r="DZ1809" t="s">
        <v>26670</v>
      </c>
      <c r="EA1809" t="s">
        <v>13772</v>
      </c>
      <c r="EB1809" t="s">
        <v>13772</v>
      </c>
    </row>
    <row r="1810" spans="1:132" hidden="1">
      <c r="A1810">
        <v>1408</v>
      </c>
      <c r="B1810">
        <v>1</v>
      </c>
      <c r="C1810" t="s">
        <v>3362</v>
      </c>
      <c r="D1810" t="s">
        <v>3363</v>
      </c>
      <c r="E1810" t="s">
        <v>73</v>
      </c>
      <c r="F1810" t="s">
        <v>73</v>
      </c>
      <c r="G1810" t="s">
        <v>73</v>
      </c>
      <c r="H1810">
        <v>5.4</v>
      </c>
      <c r="I1810">
        <v>497</v>
      </c>
      <c r="J1810">
        <v>54259</v>
      </c>
      <c r="K1810" t="s">
        <v>3364</v>
      </c>
      <c r="L1810">
        <f t="shared" si="114"/>
        <v>7</v>
      </c>
      <c r="N1810">
        <v>7</v>
      </c>
      <c r="O1810">
        <v>7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2</v>
      </c>
      <c r="V1810">
        <v>2</v>
      </c>
      <c r="W1810">
        <v>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2</v>
      </c>
      <c r="AO1810">
        <v>2</v>
      </c>
      <c r="AP1810">
        <v>2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 s="2">
        <v>0</v>
      </c>
      <c r="BD1810" s="2">
        <v>1</v>
      </c>
      <c r="BE1810" s="2">
        <v>0</v>
      </c>
      <c r="BF1810" s="2">
        <v>0</v>
      </c>
      <c r="BG1810" s="2">
        <v>2</v>
      </c>
      <c r="BH1810" s="2">
        <v>2</v>
      </c>
      <c r="BI1810" s="2">
        <v>2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f t="shared" si="117"/>
        <v>7</v>
      </c>
      <c r="BW1810" s="16">
        <f t="shared" si="115"/>
        <v>0.36842105263157893</v>
      </c>
      <c r="BX1810" s="16">
        <f>COUNTIF($BC$6:BU1810, "=0") / COUNTIF($BC$6:BU1810, "&gt;-1")</f>
        <v>0.44347572532439133</v>
      </c>
      <c r="BY1810" s="18">
        <f>SUM($BC$6:BU1810) / $BY$4</f>
        <v>0.99209016171465858</v>
      </c>
      <c r="BZ1810" s="14">
        <f t="shared" si="116"/>
        <v>15</v>
      </c>
      <c r="CA1810" t="s">
        <v>5832</v>
      </c>
      <c r="CZ1810" t="s">
        <v>10438</v>
      </c>
      <c r="DA1810" t="s">
        <v>5904</v>
      </c>
      <c r="DB1810">
        <v>495.7</v>
      </c>
      <c r="DC1810" t="s">
        <v>27376</v>
      </c>
      <c r="DD1810" t="s">
        <v>27377</v>
      </c>
      <c r="DE1810" t="s">
        <v>27378</v>
      </c>
      <c r="DF1810" t="s">
        <v>27379</v>
      </c>
      <c r="DG1810" t="s">
        <v>27380</v>
      </c>
      <c r="DH1810" t="str">
        <f>"SLC17A3"</f>
        <v>SLC17A3</v>
      </c>
      <c r="DI1810" t="s">
        <v>27381</v>
      </c>
      <c r="DJ1810" t="s">
        <v>13777</v>
      </c>
      <c r="DK1810">
        <v>9606</v>
      </c>
      <c r="DL1810" s="34" t="str">
        <f>HYPERLINK("http://www.uniprot.org/uniprot/O00476", "O00476")</f>
        <v>O00476</v>
      </c>
      <c r="DM1810" t="s">
        <v>27382</v>
      </c>
      <c r="DN1810" t="s">
        <v>19486</v>
      </c>
      <c r="DO1810" t="s">
        <v>24225</v>
      </c>
      <c r="DP1810" t="s">
        <v>13780</v>
      </c>
      <c r="DQ1810" t="s">
        <v>13772</v>
      </c>
      <c r="DR1810" t="s">
        <v>13772</v>
      </c>
      <c r="DS1810" t="s">
        <v>13925</v>
      </c>
      <c r="DT1810" t="s">
        <v>13926</v>
      </c>
      <c r="DU1810" t="s">
        <v>13772</v>
      </c>
      <c r="DV1810" t="s">
        <v>13858</v>
      </c>
      <c r="DW1810" t="s">
        <v>13772</v>
      </c>
      <c r="DX1810" t="s">
        <v>27383</v>
      </c>
      <c r="DY1810" t="s">
        <v>27384</v>
      </c>
      <c r="DZ1810" t="s">
        <v>27385</v>
      </c>
      <c r="EA1810" t="s">
        <v>13772</v>
      </c>
      <c r="EB1810" t="s">
        <v>14293</v>
      </c>
    </row>
    <row r="1811" spans="1:132" hidden="1">
      <c r="A1811">
        <v>1426</v>
      </c>
      <c r="B1811">
        <v>1</v>
      </c>
      <c r="C1811" t="s">
        <v>3399</v>
      </c>
      <c r="D1811" t="s">
        <v>73</v>
      </c>
      <c r="E1811" t="s">
        <v>73</v>
      </c>
      <c r="F1811" t="s">
        <v>73</v>
      </c>
      <c r="G1811" t="s">
        <v>73</v>
      </c>
      <c r="H1811">
        <v>6.4</v>
      </c>
      <c r="I1811">
        <v>624</v>
      </c>
      <c r="J1811">
        <v>69243</v>
      </c>
      <c r="K1811" t="s">
        <v>3400</v>
      </c>
      <c r="L1811">
        <f t="shared" si="114"/>
        <v>7</v>
      </c>
      <c r="N1811">
        <v>7</v>
      </c>
      <c r="O1811">
        <v>7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1</v>
      </c>
      <c r="AF1811">
        <v>3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3</v>
      </c>
      <c r="AU1811">
        <v>0</v>
      </c>
      <c r="AV1811">
        <v>0</v>
      </c>
      <c r="AW1811">
        <v>0</v>
      </c>
      <c r="AX1811">
        <v>1</v>
      </c>
      <c r="AY1811">
        <v>3</v>
      </c>
      <c r="AZ1811">
        <v>0</v>
      </c>
      <c r="BA1811">
        <v>0</v>
      </c>
      <c r="BB1811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3</v>
      </c>
      <c r="BN1811" s="2">
        <v>0</v>
      </c>
      <c r="BO1811" s="2">
        <v>0</v>
      </c>
      <c r="BP1811" s="2">
        <v>0</v>
      </c>
      <c r="BQ1811" s="2">
        <v>1</v>
      </c>
      <c r="BR1811" s="2">
        <v>3</v>
      </c>
      <c r="BS1811" s="2">
        <v>0</v>
      </c>
      <c r="BT1811" s="2">
        <v>0</v>
      </c>
      <c r="BU1811" s="2">
        <v>0</v>
      </c>
      <c r="BV1811" s="2">
        <f t="shared" si="117"/>
        <v>7</v>
      </c>
      <c r="BW1811" s="16">
        <f t="shared" si="115"/>
        <v>0.36842105263157893</v>
      </c>
      <c r="BX1811" s="16">
        <f>COUNTIF($BC$6:BU1811, "=0") / COUNTIF($BC$6:BU1811, "&gt;-1")</f>
        <v>0.44369645042839656</v>
      </c>
      <c r="BY1811" s="18">
        <f>SUM($BC$6:BU1811) / $BY$4</f>
        <v>0.99212014717273944</v>
      </c>
      <c r="BZ1811" s="14">
        <f t="shared" si="116"/>
        <v>16</v>
      </c>
      <c r="CA1811" t="s">
        <v>5832</v>
      </c>
      <c r="CZ1811" t="s">
        <v>10487</v>
      </c>
      <c r="DA1811" t="s">
        <v>5904</v>
      </c>
      <c r="DB1811">
        <v>857.4</v>
      </c>
      <c r="DC1811" t="s">
        <v>27503</v>
      </c>
      <c r="DD1811" t="s">
        <v>27504</v>
      </c>
      <c r="DE1811" t="s">
        <v>27505</v>
      </c>
      <c r="DF1811" t="s">
        <v>27506</v>
      </c>
      <c r="DG1811" t="s">
        <v>27507</v>
      </c>
      <c r="DH1811" t="str">
        <f>"PPP1R18"</f>
        <v>PPP1R18</v>
      </c>
      <c r="DI1811" t="s">
        <v>27508</v>
      </c>
      <c r="DJ1811" t="s">
        <v>13777</v>
      </c>
      <c r="DK1811">
        <v>9606</v>
      </c>
      <c r="DL1811" s="34" t="str">
        <f>HYPERLINK("http://www.uniprot.org/uniprot/Q6NYC8", "Q6NYC8")</f>
        <v>Q6NYC8</v>
      </c>
      <c r="DM1811" t="s">
        <v>27509</v>
      </c>
      <c r="DN1811" t="s">
        <v>13772</v>
      </c>
      <c r="DO1811" t="s">
        <v>13988</v>
      </c>
      <c r="DP1811" t="s">
        <v>13780</v>
      </c>
      <c r="DQ1811" t="s">
        <v>13772</v>
      </c>
      <c r="DR1811" t="s">
        <v>13772</v>
      </c>
      <c r="DS1811" t="s">
        <v>13772</v>
      </c>
      <c r="DT1811" t="s">
        <v>13772</v>
      </c>
      <c r="DU1811" t="s">
        <v>13990</v>
      </c>
      <c r="DV1811" t="s">
        <v>13886</v>
      </c>
      <c r="DW1811" t="s">
        <v>13772</v>
      </c>
      <c r="DX1811" t="s">
        <v>13772</v>
      </c>
      <c r="DY1811" t="s">
        <v>19477</v>
      </c>
      <c r="DZ1811" t="s">
        <v>27510</v>
      </c>
      <c r="EA1811" t="s">
        <v>13772</v>
      </c>
      <c r="EB1811" t="s">
        <v>13772</v>
      </c>
    </row>
    <row r="1812" spans="1:132" hidden="1">
      <c r="A1812">
        <v>1457</v>
      </c>
      <c r="B1812">
        <v>1</v>
      </c>
      <c r="C1812" t="s">
        <v>3468</v>
      </c>
      <c r="D1812" t="s">
        <v>73</v>
      </c>
      <c r="E1812" t="s">
        <v>73</v>
      </c>
      <c r="F1812" t="s">
        <v>73</v>
      </c>
      <c r="G1812" t="s">
        <v>73</v>
      </c>
      <c r="H1812">
        <v>21.1</v>
      </c>
      <c r="I1812">
        <v>166</v>
      </c>
      <c r="J1812">
        <v>18247</v>
      </c>
      <c r="K1812" t="s">
        <v>3469</v>
      </c>
      <c r="L1812">
        <f t="shared" si="114"/>
        <v>7</v>
      </c>
      <c r="N1812">
        <v>7</v>
      </c>
      <c r="O1812">
        <v>7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2</v>
      </c>
      <c r="Z1812">
        <v>0</v>
      </c>
      <c r="AA1812">
        <v>3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2</v>
      </c>
      <c r="AS1812">
        <v>0</v>
      </c>
      <c r="AT1812">
        <v>3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1</v>
      </c>
      <c r="BK1812" s="2">
        <v>2</v>
      </c>
      <c r="BL1812" s="2">
        <v>0</v>
      </c>
      <c r="BM1812" s="2">
        <v>3</v>
      </c>
      <c r="BN1812" s="2">
        <v>1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f t="shared" si="117"/>
        <v>7</v>
      </c>
      <c r="BW1812" s="16">
        <f t="shared" si="115"/>
        <v>0.36842105263157893</v>
      </c>
      <c r="BX1812" s="16">
        <f>COUNTIF($BC$6:BU1812, "=0") / COUNTIF($BC$6:BU1812, "&gt;-1")</f>
        <v>0.44388780473596828</v>
      </c>
      <c r="BY1812" s="18">
        <f>SUM($BC$6:BU1812) / $BY$4</f>
        <v>0.9921501326308203</v>
      </c>
      <c r="BZ1812" s="14">
        <f t="shared" si="116"/>
        <v>15</v>
      </c>
      <c r="CA1812" t="s">
        <v>5832</v>
      </c>
      <c r="CZ1812" t="s">
        <v>10588</v>
      </c>
      <c r="DA1812" t="s">
        <v>5904</v>
      </c>
      <c r="DB1812">
        <v>345.9</v>
      </c>
      <c r="DC1812" t="s">
        <v>27788</v>
      </c>
      <c r="DD1812" t="s">
        <v>27789</v>
      </c>
      <c r="DE1812" t="s">
        <v>27790</v>
      </c>
      <c r="DF1812" t="s">
        <v>27791</v>
      </c>
      <c r="DG1812" t="s">
        <v>27792</v>
      </c>
      <c r="DH1812" t="str">
        <f>"PPIL1"</f>
        <v>PPIL1</v>
      </c>
      <c r="DI1812" t="s">
        <v>27793</v>
      </c>
      <c r="DJ1812" t="s">
        <v>13777</v>
      </c>
      <c r="DK1812">
        <v>9606</v>
      </c>
      <c r="DL1812" s="34" t="str">
        <f>HYPERLINK("http://www.uniprot.org/uniprot/Q9Y3C6", "Q9Y3C6")</f>
        <v>Q9Y3C6</v>
      </c>
      <c r="DM1812" t="s">
        <v>27794</v>
      </c>
      <c r="DN1812" t="s">
        <v>15152</v>
      </c>
      <c r="DO1812" t="s">
        <v>16088</v>
      </c>
      <c r="DP1812" t="s">
        <v>13793</v>
      </c>
      <c r="DQ1812" t="s">
        <v>13772</v>
      </c>
      <c r="DR1812" t="s">
        <v>13772</v>
      </c>
      <c r="DS1812" t="s">
        <v>13772</v>
      </c>
      <c r="DT1812" t="s">
        <v>13772</v>
      </c>
      <c r="DU1812" t="s">
        <v>15050</v>
      </c>
      <c r="DV1812" t="s">
        <v>13782</v>
      </c>
      <c r="DW1812" t="s">
        <v>13812</v>
      </c>
      <c r="DX1812" t="s">
        <v>27795</v>
      </c>
      <c r="DY1812" t="s">
        <v>27796</v>
      </c>
      <c r="DZ1812" t="s">
        <v>27797</v>
      </c>
      <c r="EA1812" t="s">
        <v>13772</v>
      </c>
      <c r="EB1812" t="s">
        <v>15157</v>
      </c>
    </row>
    <row r="1813" spans="1:132" hidden="1">
      <c r="A1813">
        <v>1484</v>
      </c>
      <c r="B1813">
        <v>1</v>
      </c>
      <c r="C1813" t="s">
        <v>3532</v>
      </c>
      <c r="D1813" t="s">
        <v>73</v>
      </c>
      <c r="E1813" t="s">
        <v>73</v>
      </c>
      <c r="F1813" t="s">
        <v>73</v>
      </c>
      <c r="G1813" t="s">
        <v>73</v>
      </c>
      <c r="H1813">
        <v>15.9</v>
      </c>
      <c r="I1813">
        <v>428</v>
      </c>
      <c r="J1813">
        <v>49005</v>
      </c>
      <c r="K1813" t="s">
        <v>3533</v>
      </c>
      <c r="L1813">
        <f t="shared" si="114"/>
        <v>7</v>
      </c>
      <c r="N1813">
        <v>7</v>
      </c>
      <c r="O1813">
        <v>7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3</v>
      </c>
      <c r="AB1813">
        <v>2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3</v>
      </c>
      <c r="AU1813">
        <v>2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0</v>
      </c>
      <c r="BL1813" s="2">
        <v>0</v>
      </c>
      <c r="BM1813" s="2">
        <v>3</v>
      </c>
      <c r="BN1813" s="2">
        <v>2</v>
      </c>
      <c r="BO1813" s="2">
        <v>0</v>
      </c>
      <c r="BP1813" s="2">
        <v>0</v>
      </c>
      <c r="BQ1813" s="2">
        <v>0</v>
      </c>
      <c r="BR1813" s="2">
        <v>1</v>
      </c>
      <c r="BS1813" s="2">
        <v>0</v>
      </c>
      <c r="BT1813" s="2">
        <v>0</v>
      </c>
      <c r="BU1813" s="2">
        <v>0</v>
      </c>
      <c r="BV1813" s="2">
        <f t="shared" si="117"/>
        <v>7</v>
      </c>
      <c r="BW1813" s="16">
        <f t="shared" si="115"/>
        <v>0.36842105263157893</v>
      </c>
      <c r="BX1813" s="16">
        <f>COUNTIF($BC$6:BU1813, "=0") / COUNTIF($BC$6:BU1813, "&gt;-1")</f>
        <v>0.44407894736842107</v>
      </c>
      <c r="BY1813" s="18">
        <f>SUM($BC$6:BU1813) / $BY$4</f>
        <v>0.99218011808890128</v>
      </c>
      <c r="BZ1813" s="14">
        <f t="shared" si="116"/>
        <v>15</v>
      </c>
      <c r="CA1813" t="s">
        <v>5832</v>
      </c>
      <c r="CZ1813" t="s">
        <v>10679</v>
      </c>
      <c r="DA1813" t="s">
        <v>5904</v>
      </c>
      <c r="DB1813">
        <v>882.1</v>
      </c>
      <c r="DC1813" t="s">
        <v>28057</v>
      </c>
      <c r="DD1813" t="s">
        <v>28058</v>
      </c>
      <c r="DE1813" t="s">
        <v>28059</v>
      </c>
      <c r="DF1813" t="s">
        <v>28060</v>
      </c>
      <c r="DG1813" t="s">
        <v>28061</v>
      </c>
      <c r="DH1813" t="str">
        <f>"DDX39B"</f>
        <v>DDX39B</v>
      </c>
      <c r="DI1813" t="s">
        <v>28062</v>
      </c>
      <c r="DJ1813" t="s">
        <v>13777</v>
      </c>
      <c r="DK1813">
        <v>9606</v>
      </c>
      <c r="DL1813" s="34" t="str">
        <f>HYPERLINK("http://www.uniprot.org/uniprot/Q13838", "Q13838")</f>
        <v>Q13838</v>
      </c>
      <c r="DM1813" t="s">
        <v>28063</v>
      </c>
      <c r="DN1813" t="s">
        <v>16723</v>
      </c>
      <c r="DO1813" t="s">
        <v>14230</v>
      </c>
      <c r="DP1813" t="s">
        <v>13841</v>
      </c>
      <c r="DQ1813" t="s">
        <v>13772</v>
      </c>
      <c r="DR1813" t="s">
        <v>13772</v>
      </c>
      <c r="DS1813" t="s">
        <v>13772</v>
      </c>
      <c r="DT1813" t="s">
        <v>14005</v>
      </c>
      <c r="DU1813" t="s">
        <v>25031</v>
      </c>
      <c r="DV1813" t="s">
        <v>13991</v>
      </c>
      <c r="DW1813" t="s">
        <v>13812</v>
      </c>
      <c r="DX1813" t="s">
        <v>28064</v>
      </c>
      <c r="DY1813" t="s">
        <v>28065</v>
      </c>
      <c r="DZ1813" t="s">
        <v>28066</v>
      </c>
      <c r="EA1813" t="s">
        <v>13772</v>
      </c>
      <c r="EB1813" t="s">
        <v>24001</v>
      </c>
    </row>
    <row r="1814" spans="1:132" hidden="1">
      <c r="A1814">
        <v>1571</v>
      </c>
      <c r="B1814">
        <v>1</v>
      </c>
      <c r="C1814" t="s">
        <v>3724</v>
      </c>
      <c r="D1814" t="s">
        <v>73</v>
      </c>
      <c r="E1814" t="s">
        <v>73</v>
      </c>
      <c r="F1814" t="s">
        <v>73</v>
      </c>
      <c r="G1814" t="s">
        <v>73</v>
      </c>
      <c r="H1814">
        <v>17.5</v>
      </c>
      <c r="I1814">
        <v>189</v>
      </c>
      <c r="J1814">
        <v>21486</v>
      </c>
      <c r="K1814" t="s">
        <v>3725</v>
      </c>
      <c r="L1814">
        <f t="shared" si="114"/>
        <v>7</v>
      </c>
      <c r="N1814">
        <v>7</v>
      </c>
      <c r="O1814">
        <v>7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5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5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1</v>
      </c>
      <c r="BN1814" s="2">
        <v>5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f t="shared" si="117"/>
        <v>7</v>
      </c>
      <c r="BW1814" s="16">
        <f t="shared" si="115"/>
        <v>0.36842105263157893</v>
      </c>
      <c r="BX1814" s="16">
        <f>COUNTIF($BC$6:BU1814, "=0") / COUNTIF($BC$6:BU1814, "&gt;-1")</f>
        <v>0.44429897297140031</v>
      </c>
      <c r="BY1814" s="18">
        <f>SUM($BC$6:BU1814) / $BY$4</f>
        <v>0.99221010354698214</v>
      </c>
      <c r="BZ1814" s="14">
        <f t="shared" si="116"/>
        <v>16</v>
      </c>
      <c r="CA1814" t="s">
        <v>5832</v>
      </c>
      <c r="CZ1814" t="s">
        <v>10976</v>
      </c>
      <c r="DA1814" t="s">
        <v>5904</v>
      </c>
      <c r="DB1814">
        <v>361.7</v>
      </c>
      <c r="DC1814" t="s">
        <v>28870</v>
      </c>
      <c r="DD1814" t="s">
        <v>28871</v>
      </c>
      <c r="DE1814" t="s">
        <v>28872</v>
      </c>
      <c r="DF1814" t="s">
        <v>28873</v>
      </c>
      <c r="DG1814" t="s">
        <v>28874</v>
      </c>
      <c r="DH1814" t="str">
        <f>"REEP5"</f>
        <v>REEP5</v>
      </c>
      <c r="DI1814" t="s">
        <v>28875</v>
      </c>
      <c r="DJ1814" t="s">
        <v>13777</v>
      </c>
      <c r="DK1814">
        <v>9606</v>
      </c>
      <c r="DL1814" s="34" t="str">
        <f>HYPERLINK("http://www.uniprot.org/uniprot/Q00765", "Q00765")</f>
        <v>Q00765</v>
      </c>
      <c r="DM1814" t="s">
        <v>28876</v>
      </c>
      <c r="DN1814" t="s">
        <v>13772</v>
      </c>
      <c r="DO1814" t="s">
        <v>14714</v>
      </c>
      <c r="DP1814" t="s">
        <v>13841</v>
      </c>
      <c r="DQ1814" t="s">
        <v>13772</v>
      </c>
      <c r="DR1814" t="s">
        <v>13772</v>
      </c>
      <c r="DS1814" t="s">
        <v>13925</v>
      </c>
      <c r="DT1814" t="s">
        <v>13772</v>
      </c>
      <c r="DU1814" t="s">
        <v>13772</v>
      </c>
      <c r="DV1814" t="s">
        <v>13772</v>
      </c>
      <c r="DW1814" t="s">
        <v>13772</v>
      </c>
      <c r="DX1814" t="s">
        <v>13772</v>
      </c>
      <c r="DY1814" t="s">
        <v>28877</v>
      </c>
      <c r="DZ1814" t="s">
        <v>13772</v>
      </c>
      <c r="EA1814" t="s">
        <v>13772</v>
      </c>
      <c r="EB1814" t="s">
        <v>28878</v>
      </c>
    </row>
    <row r="1815" spans="1:132" hidden="1">
      <c r="A1815">
        <v>1574</v>
      </c>
      <c r="B1815">
        <v>1</v>
      </c>
      <c r="C1815" t="s">
        <v>3730</v>
      </c>
      <c r="D1815" t="s">
        <v>73</v>
      </c>
      <c r="E1815" t="s">
        <v>73</v>
      </c>
      <c r="F1815" t="s">
        <v>73</v>
      </c>
      <c r="G1815" t="s">
        <v>73</v>
      </c>
      <c r="H1815">
        <v>19.600000000000001</v>
      </c>
      <c r="I1815">
        <v>189</v>
      </c>
      <c r="J1815">
        <v>20648</v>
      </c>
      <c r="K1815" t="s">
        <v>3731</v>
      </c>
      <c r="L1815">
        <f t="shared" si="114"/>
        <v>7</v>
      </c>
      <c r="N1815">
        <v>7</v>
      </c>
      <c r="O1815">
        <v>7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2</v>
      </c>
      <c r="AF1815">
        <v>1</v>
      </c>
      <c r="AG1815">
        <v>1</v>
      </c>
      <c r="AH1815">
        <v>0</v>
      </c>
      <c r="AI1815">
        <v>2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2</v>
      </c>
      <c r="AY1815">
        <v>1</v>
      </c>
      <c r="AZ1815">
        <v>1</v>
      </c>
      <c r="BA1815">
        <v>0</v>
      </c>
      <c r="BB1815">
        <v>2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1</v>
      </c>
      <c r="BN1815" s="2">
        <v>0</v>
      </c>
      <c r="BO1815" s="2">
        <v>0</v>
      </c>
      <c r="BP1815" s="2">
        <v>0</v>
      </c>
      <c r="BQ1815" s="2">
        <v>2</v>
      </c>
      <c r="BR1815" s="2">
        <v>1</v>
      </c>
      <c r="BS1815" s="2">
        <v>1</v>
      </c>
      <c r="BT1815" s="2">
        <v>0</v>
      </c>
      <c r="BU1815" s="2">
        <v>2</v>
      </c>
      <c r="BV1815" s="2">
        <f t="shared" si="117"/>
        <v>7</v>
      </c>
      <c r="BW1815" s="16">
        <f t="shared" si="115"/>
        <v>0.36842105263157893</v>
      </c>
      <c r="BX1815" s="16">
        <f>COUNTIF($BC$6:BU1815, "=0") / COUNTIF($BC$6:BU1815, "&gt;-1")</f>
        <v>0.4444605990113405</v>
      </c>
      <c r="BY1815" s="18">
        <f>SUM($BC$6:BU1815) / $BY$4</f>
        <v>0.99224008900506311</v>
      </c>
      <c r="BZ1815" s="14">
        <f t="shared" si="116"/>
        <v>14</v>
      </c>
      <c r="CA1815" t="s">
        <v>5832</v>
      </c>
      <c r="CZ1815" t="s">
        <v>10985</v>
      </c>
      <c r="DA1815" t="s">
        <v>5904</v>
      </c>
      <c r="DB1815">
        <v>312.8</v>
      </c>
      <c r="DC1815" t="s">
        <v>28896</v>
      </c>
      <c r="DD1815" t="s">
        <v>28897</v>
      </c>
      <c r="DE1815" t="s">
        <v>28898</v>
      </c>
      <c r="DF1815" t="s">
        <v>28899</v>
      </c>
      <c r="DG1815" t="s">
        <v>28900</v>
      </c>
      <c r="DH1815" t="str">
        <f>"MZB1"</f>
        <v>MZB1</v>
      </c>
      <c r="DI1815" t="s">
        <v>28901</v>
      </c>
      <c r="DJ1815" t="s">
        <v>13777</v>
      </c>
      <c r="DK1815">
        <v>9606</v>
      </c>
      <c r="DL1815" s="34" t="str">
        <f>HYPERLINK("http://www.uniprot.org/uniprot/Q8WU39", "Q8WU39")</f>
        <v>Q8WU39</v>
      </c>
      <c r="DM1815" t="s">
        <v>28902</v>
      </c>
      <c r="DN1815" t="s">
        <v>17109</v>
      </c>
      <c r="DO1815" t="s">
        <v>28903</v>
      </c>
      <c r="DP1815" t="s">
        <v>13841</v>
      </c>
      <c r="DQ1815" t="s">
        <v>13772</v>
      </c>
      <c r="DR1815" t="s">
        <v>13772</v>
      </c>
      <c r="DS1815" t="s">
        <v>13808</v>
      </c>
      <c r="DT1815" t="s">
        <v>13772</v>
      </c>
      <c r="DU1815" t="s">
        <v>13772</v>
      </c>
      <c r="DV1815" t="s">
        <v>14506</v>
      </c>
      <c r="DW1815" t="s">
        <v>13772</v>
      </c>
      <c r="DX1815" t="s">
        <v>28904</v>
      </c>
      <c r="DY1815" t="s">
        <v>28905</v>
      </c>
      <c r="DZ1815" t="s">
        <v>13772</v>
      </c>
      <c r="EA1815" t="s">
        <v>13772</v>
      </c>
      <c r="EB1815" t="s">
        <v>13772</v>
      </c>
    </row>
    <row r="1816" spans="1:132" hidden="1">
      <c r="A1816">
        <v>1647</v>
      </c>
      <c r="B1816">
        <v>1</v>
      </c>
      <c r="C1816" t="s">
        <v>3906</v>
      </c>
      <c r="D1816" t="s">
        <v>73</v>
      </c>
      <c r="E1816" t="s">
        <v>73</v>
      </c>
      <c r="F1816" t="s">
        <v>73</v>
      </c>
      <c r="G1816" t="s">
        <v>73</v>
      </c>
      <c r="H1816">
        <v>27.4</v>
      </c>
      <c r="I1816">
        <v>318</v>
      </c>
      <c r="J1816">
        <v>34821</v>
      </c>
      <c r="K1816" t="s">
        <v>3907</v>
      </c>
      <c r="L1816">
        <f t="shared" si="114"/>
        <v>7</v>
      </c>
      <c r="N1816">
        <v>7</v>
      </c>
      <c r="O1816">
        <v>7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2</v>
      </c>
      <c r="AB1816">
        <v>0</v>
      </c>
      <c r="AC1816">
        <v>2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2</v>
      </c>
      <c r="AU1816">
        <v>0</v>
      </c>
      <c r="AV1816">
        <v>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s="2">
        <v>1</v>
      </c>
      <c r="BD1816" s="2">
        <v>0</v>
      </c>
      <c r="BE1816" s="2">
        <v>0</v>
      </c>
      <c r="BF1816" s="2">
        <v>0</v>
      </c>
      <c r="BG1816" s="2">
        <v>1</v>
      </c>
      <c r="BH1816" s="2">
        <v>0</v>
      </c>
      <c r="BI1816" s="2">
        <v>0</v>
      </c>
      <c r="BJ1816" s="2">
        <v>0</v>
      </c>
      <c r="BK1816" s="2">
        <v>1</v>
      </c>
      <c r="BL1816" s="2">
        <v>0</v>
      </c>
      <c r="BM1816" s="2">
        <v>2</v>
      </c>
      <c r="BN1816" s="2">
        <v>0</v>
      </c>
      <c r="BO1816" s="2">
        <v>2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f t="shared" si="117"/>
        <v>7</v>
      </c>
      <c r="BW1816" s="16">
        <f t="shared" si="115"/>
        <v>0.36842105263157893</v>
      </c>
      <c r="BX1816" s="16">
        <f>COUNTIF($BC$6:BU1816, "=0") / COUNTIF($BC$6:BU1816, "&gt;-1")</f>
        <v>0.44462204655758669</v>
      </c>
      <c r="BY1816" s="18">
        <f>SUM($BC$6:BU1816) / $BY$4</f>
        <v>0.99227007446314397</v>
      </c>
      <c r="BZ1816" s="14">
        <f t="shared" si="116"/>
        <v>14</v>
      </c>
      <c r="CA1816" t="s">
        <v>5832</v>
      </c>
      <c r="CZ1816" t="s">
        <v>11238</v>
      </c>
      <c r="DA1816" t="s">
        <v>5904</v>
      </c>
      <c r="DB1816">
        <v>650.20000000000005</v>
      </c>
      <c r="DC1816" t="s">
        <v>29584</v>
      </c>
      <c r="DD1816" t="s">
        <v>29585</v>
      </c>
      <c r="DE1816" t="s">
        <v>29586</v>
      </c>
      <c r="DF1816" t="s">
        <v>29587</v>
      </c>
      <c r="DG1816" t="s">
        <v>29588</v>
      </c>
      <c r="DH1816" t="str">
        <f>"PRPS2"</f>
        <v>PRPS2</v>
      </c>
      <c r="DI1816" t="s">
        <v>13772</v>
      </c>
      <c r="DJ1816" t="s">
        <v>13777</v>
      </c>
      <c r="DK1816">
        <v>9606</v>
      </c>
      <c r="DL1816" s="34" t="str">
        <f>HYPERLINK("http://www.uniprot.org/uniprot/P11908", "P11908")</f>
        <v>P11908</v>
      </c>
      <c r="DM1816" t="s">
        <v>29589</v>
      </c>
      <c r="DN1816" t="s">
        <v>29590</v>
      </c>
      <c r="DO1816" t="s">
        <v>13772</v>
      </c>
      <c r="DP1816" t="s">
        <v>13841</v>
      </c>
      <c r="DQ1816" t="s">
        <v>13772</v>
      </c>
      <c r="DR1816" t="s">
        <v>13772</v>
      </c>
      <c r="DS1816" t="s">
        <v>13772</v>
      </c>
      <c r="DT1816" t="s">
        <v>17602</v>
      </c>
      <c r="DU1816" t="s">
        <v>14006</v>
      </c>
      <c r="DV1816" t="s">
        <v>13772</v>
      </c>
      <c r="DW1816" t="s">
        <v>13772</v>
      </c>
      <c r="DX1816" t="s">
        <v>29591</v>
      </c>
      <c r="DY1816" t="s">
        <v>29592</v>
      </c>
      <c r="DZ1816" t="s">
        <v>29593</v>
      </c>
      <c r="EA1816" t="s">
        <v>29594</v>
      </c>
      <c r="EB1816" t="s">
        <v>29595</v>
      </c>
    </row>
    <row r="1817" spans="1:132" hidden="1">
      <c r="A1817">
        <v>1672</v>
      </c>
      <c r="B1817">
        <v>1</v>
      </c>
      <c r="C1817" t="s">
        <v>3963</v>
      </c>
      <c r="D1817" t="s">
        <v>3964</v>
      </c>
      <c r="E1817" t="s">
        <v>73</v>
      </c>
      <c r="F1817" t="s">
        <v>73</v>
      </c>
      <c r="G1817" t="s">
        <v>73</v>
      </c>
      <c r="H1817">
        <v>5.7</v>
      </c>
      <c r="I1817">
        <v>968</v>
      </c>
      <c r="J1817">
        <v>107853</v>
      </c>
      <c r="K1817" t="s">
        <v>3965</v>
      </c>
      <c r="L1817">
        <f t="shared" si="114"/>
        <v>7</v>
      </c>
      <c r="N1817">
        <v>7</v>
      </c>
      <c r="O1817">
        <v>7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4</v>
      </c>
      <c r="X1817">
        <v>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4</v>
      </c>
      <c r="AQ1817">
        <v>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4</v>
      </c>
      <c r="BJ1817" s="2">
        <v>3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f t="shared" si="117"/>
        <v>7</v>
      </c>
      <c r="BW1817" s="16">
        <f t="shared" si="115"/>
        <v>0.36842105263157893</v>
      </c>
      <c r="BX1817" s="16">
        <f>COUNTIF($BC$6:BU1817, "=0") / COUNTIF($BC$6:BU1817, "&gt;-1")</f>
        <v>0.44487045428139887</v>
      </c>
      <c r="BY1817" s="18">
        <f>SUM($BC$6:BU1817) / $BY$4</f>
        <v>0.99230005992122483</v>
      </c>
      <c r="BZ1817" s="14">
        <f t="shared" si="116"/>
        <v>17</v>
      </c>
      <c r="CA1817" t="s">
        <v>5832</v>
      </c>
      <c r="CZ1817" t="s">
        <v>11323</v>
      </c>
      <c r="DA1817" t="s">
        <v>5904</v>
      </c>
      <c r="DB1817">
        <v>1667.9</v>
      </c>
      <c r="DC1817" t="s">
        <v>29840</v>
      </c>
      <c r="DD1817" t="s">
        <v>13772</v>
      </c>
      <c r="DE1817" t="s">
        <v>29841</v>
      </c>
      <c r="DF1817" t="s">
        <v>29842</v>
      </c>
      <c r="DG1817" t="s">
        <v>29843</v>
      </c>
      <c r="DH1817" t="str">
        <f>"SLITRK4"</f>
        <v>SLITRK4</v>
      </c>
      <c r="DI1817" t="s">
        <v>13772</v>
      </c>
      <c r="DJ1817" t="s">
        <v>13777</v>
      </c>
      <c r="DK1817">
        <v>9606</v>
      </c>
      <c r="DL1817" s="34" t="str">
        <f>HYPERLINK("http://www.uniprot.org/uniprot/Q8IW52", "Q8IW52")</f>
        <v>Q8IW52</v>
      </c>
      <c r="DM1817" t="s">
        <v>29844</v>
      </c>
      <c r="DN1817" t="s">
        <v>13772</v>
      </c>
      <c r="DO1817" t="s">
        <v>13792</v>
      </c>
      <c r="DP1817" t="s">
        <v>13793</v>
      </c>
      <c r="DQ1817" t="s">
        <v>13772</v>
      </c>
      <c r="DR1817" t="s">
        <v>13772</v>
      </c>
      <c r="DS1817" t="s">
        <v>14158</v>
      </c>
      <c r="DT1817" t="s">
        <v>13772</v>
      </c>
      <c r="DU1817" t="s">
        <v>13772</v>
      </c>
      <c r="DV1817" t="s">
        <v>13858</v>
      </c>
      <c r="DW1817" t="s">
        <v>13772</v>
      </c>
      <c r="DX1817" t="s">
        <v>29845</v>
      </c>
      <c r="DY1817" t="s">
        <v>29846</v>
      </c>
      <c r="DZ1817" t="s">
        <v>13772</v>
      </c>
      <c r="EA1817" t="s">
        <v>13772</v>
      </c>
      <c r="EB1817" t="s">
        <v>29847</v>
      </c>
    </row>
    <row r="1818" spans="1:132" hidden="1">
      <c r="A1818">
        <v>1736</v>
      </c>
      <c r="B1818">
        <v>1</v>
      </c>
      <c r="C1818" t="s">
        <v>4106</v>
      </c>
      <c r="D1818" t="s">
        <v>73</v>
      </c>
      <c r="E1818" t="s">
        <v>73</v>
      </c>
      <c r="F1818" t="s">
        <v>73</v>
      </c>
      <c r="G1818" t="s">
        <v>73</v>
      </c>
      <c r="H1818">
        <v>4.9000000000000004</v>
      </c>
      <c r="I1818">
        <v>841</v>
      </c>
      <c r="J1818">
        <v>90244</v>
      </c>
      <c r="K1818" t="s">
        <v>4107</v>
      </c>
      <c r="L1818">
        <f t="shared" si="114"/>
        <v>7</v>
      </c>
      <c r="N1818">
        <v>7</v>
      </c>
      <c r="O1818">
        <v>7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2</v>
      </c>
      <c r="AC1818">
        <v>1</v>
      </c>
      <c r="AD1818">
        <v>0</v>
      </c>
      <c r="AE1818">
        <v>1</v>
      </c>
      <c r="AF1818">
        <v>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2</v>
      </c>
      <c r="AV1818">
        <v>1</v>
      </c>
      <c r="AW1818">
        <v>0</v>
      </c>
      <c r="AX1818">
        <v>1</v>
      </c>
      <c r="AY1818">
        <v>2</v>
      </c>
      <c r="AZ1818">
        <v>0</v>
      </c>
      <c r="BA1818">
        <v>0</v>
      </c>
      <c r="BB1818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1</v>
      </c>
      <c r="BN1818" s="2">
        <v>2</v>
      </c>
      <c r="BO1818" s="2">
        <v>1</v>
      </c>
      <c r="BP1818" s="2">
        <v>0</v>
      </c>
      <c r="BQ1818" s="2">
        <v>1</v>
      </c>
      <c r="BR1818" s="2">
        <v>2</v>
      </c>
      <c r="BS1818" s="2">
        <v>0</v>
      </c>
      <c r="BT1818" s="2">
        <v>0</v>
      </c>
      <c r="BU1818" s="2">
        <v>0</v>
      </c>
      <c r="BV1818" s="2">
        <f t="shared" si="117"/>
        <v>7</v>
      </c>
      <c r="BW1818" s="16">
        <f t="shared" si="115"/>
        <v>0.36842105263157893</v>
      </c>
      <c r="BX1818" s="16">
        <f>COUNTIF($BC$6:BU1818, "=0") / COUNTIF($BC$6:BU1818, "&gt;-1")</f>
        <v>0.44503149766307659</v>
      </c>
      <c r="BY1818" s="18">
        <f>SUM($BC$6:BU1818) / $BY$4</f>
        <v>0.9923300453793058</v>
      </c>
      <c r="BZ1818" s="14">
        <f t="shared" si="116"/>
        <v>14</v>
      </c>
      <c r="CA1818" t="s">
        <v>5832</v>
      </c>
      <c r="CZ1818" t="s">
        <v>11535</v>
      </c>
      <c r="DA1818" t="s">
        <v>5904</v>
      </c>
      <c r="DB1818">
        <v>1499.2</v>
      </c>
      <c r="DC1818" t="s">
        <v>30443</v>
      </c>
      <c r="DD1818" t="s">
        <v>30444</v>
      </c>
      <c r="DE1818" t="s">
        <v>30445</v>
      </c>
      <c r="DF1818" t="s">
        <v>30446</v>
      </c>
      <c r="DG1818" t="s">
        <v>30447</v>
      </c>
      <c r="DH1818" t="str">
        <f>"ADAMTS4"</f>
        <v>ADAMTS4</v>
      </c>
      <c r="DI1818" t="s">
        <v>30448</v>
      </c>
      <c r="DJ1818" t="s">
        <v>13777</v>
      </c>
      <c r="DK1818">
        <v>9606</v>
      </c>
      <c r="DL1818" s="34" t="str">
        <f>HYPERLINK("http://www.uniprot.org/uniprot/O75173", "O75173")</f>
        <v>O75173</v>
      </c>
      <c r="DM1818" t="s">
        <v>30449</v>
      </c>
      <c r="DN1818" t="s">
        <v>13772</v>
      </c>
      <c r="DO1818" t="s">
        <v>13869</v>
      </c>
      <c r="DP1818" t="s">
        <v>13780</v>
      </c>
      <c r="DQ1818" t="s">
        <v>13772</v>
      </c>
      <c r="DR1818" t="s">
        <v>13772</v>
      </c>
      <c r="DS1818" t="s">
        <v>13808</v>
      </c>
      <c r="DT1818" t="s">
        <v>13856</v>
      </c>
      <c r="DU1818" t="s">
        <v>15139</v>
      </c>
      <c r="DV1818" t="s">
        <v>18956</v>
      </c>
      <c r="DW1818" t="s">
        <v>13812</v>
      </c>
      <c r="DX1818" t="s">
        <v>30450</v>
      </c>
      <c r="DY1818" t="s">
        <v>30451</v>
      </c>
      <c r="DZ1818" t="s">
        <v>30452</v>
      </c>
      <c r="EA1818" t="s">
        <v>13772</v>
      </c>
      <c r="EB1818" t="s">
        <v>18968</v>
      </c>
    </row>
    <row r="1819" spans="1:132" hidden="1">
      <c r="A1819">
        <v>1763</v>
      </c>
      <c r="B1819">
        <v>1</v>
      </c>
      <c r="C1819" t="s">
        <v>4170</v>
      </c>
      <c r="D1819" t="s">
        <v>4171</v>
      </c>
      <c r="E1819" t="s">
        <v>73</v>
      </c>
      <c r="F1819" t="s">
        <v>73</v>
      </c>
      <c r="G1819" t="s">
        <v>73</v>
      </c>
      <c r="H1819">
        <v>6.6</v>
      </c>
      <c r="I1819">
        <v>847</v>
      </c>
      <c r="J1819">
        <v>91684</v>
      </c>
      <c r="K1819" t="s">
        <v>4172</v>
      </c>
      <c r="L1819">
        <f t="shared" si="114"/>
        <v>7</v>
      </c>
      <c r="N1819">
        <v>7</v>
      </c>
      <c r="O1819">
        <v>7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4</v>
      </c>
      <c r="AS1819">
        <v>0</v>
      </c>
      <c r="AT1819">
        <v>2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4</v>
      </c>
      <c r="BL1819" s="2">
        <v>0</v>
      </c>
      <c r="BM1819" s="2">
        <v>2</v>
      </c>
      <c r="BN1819" s="2">
        <v>0</v>
      </c>
      <c r="BO1819" s="2">
        <v>0</v>
      </c>
      <c r="BP1819" s="2">
        <v>0</v>
      </c>
      <c r="BQ1819" s="2">
        <v>0</v>
      </c>
      <c r="BR1819" s="2">
        <v>1</v>
      </c>
      <c r="BS1819" s="2">
        <v>0</v>
      </c>
      <c r="BT1819" s="2">
        <v>0</v>
      </c>
      <c r="BU1819" s="2">
        <v>0</v>
      </c>
      <c r="BV1819" s="2">
        <f t="shared" si="117"/>
        <v>7</v>
      </c>
      <c r="BW1819" s="16">
        <f t="shared" si="115"/>
        <v>0.36842105263157893</v>
      </c>
      <c r="BX1819" s="16">
        <f>COUNTIF($BC$6:BU1819, "=0") / COUNTIF($BC$6:BU1819, "&gt;-1")</f>
        <v>0.44525039169036151</v>
      </c>
      <c r="BY1819" s="18">
        <f>SUM($BC$6:BU1819) / $BY$4</f>
        <v>0.99236003083738666</v>
      </c>
      <c r="BZ1819" s="14">
        <f t="shared" si="116"/>
        <v>16</v>
      </c>
      <c r="CA1819" t="s">
        <v>5832</v>
      </c>
      <c r="CZ1819" t="s">
        <v>11632</v>
      </c>
      <c r="DA1819" t="s">
        <v>5900</v>
      </c>
      <c r="DB1819">
        <v>461.5</v>
      </c>
      <c r="DC1819" t="s">
        <v>30714</v>
      </c>
      <c r="DD1819" t="s">
        <v>13772</v>
      </c>
      <c r="DE1819" t="s">
        <v>30715</v>
      </c>
      <c r="DF1819" t="s">
        <v>30716</v>
      </c>
      <c r="DG1819" t="s">
        <v>30717</v>
      </c>
      <c r="DH1819" t="str">
        <f>"ENAH"</f>
        <v>ENAH</v>
      </c>
      <c r="DI1819" t="s">
        <v>30718</v>
      </c>
      <c r="DJ1819" t="s">
        <v>13777</v>
      </c>
      <c r="DK1819">
        <v>9606</v>
      </c>
      <c r="DL1819" s="34" t="str">
        <f>HYPERLINK("http://www.uniprot.org/uniprot/Q8N8S7", "Q8N8S7")</f>
        <v>Q8N8S7</v>
      </c>
      <c r="DM1819" t="s">
        <v>30719</v>
      </c>
      <c r="DN1819" t="s">
        <v>13772</v>
      </c>
      <c r="DO1819" t="s">
        <v>30720</v>
      </c>
      <c r="DP1819" t="s">
        <v>13841</v>
      </c>
      <c r="DQ1819" t="s">
        <v>13772</v>
      </c>
      <c r="DR1819" t="s">
        <v>13772</v>
      </c>
      <c r="DS1819" t="s">
        <v>30721</v>
      </c>
      <c r="DT1819" t="s">
        <v>13772</v>
      </c>
      <c r="DU1819" t="s">
        <v>13990</v>
      </c>
      <c r="DV1819" t="s">
        <v>13782</v>
      </c>
      <c r="DW1819" t="s">
        <v>13812</v>
      </c>
      <c r="DX1819" t="s">
        <v>30722</v>
      </c>
      <c r="DY1819" t="s">
        <v>30723</v>
      </c>
      <c r="DZ1819" t="s">
        <v>30724</v>
      </c>
      <c r="EA1819" t="s">
        <v>13772</v>
      </c>
      <c r="EB1819" t="s">
        <v>30725</v>
      </c>
    </row>
    <row r="1820" spans="1:132" hidden="1">
      <c r="A1820">
        <v>1770</v>
      </c>
      <c r="B1820">
        <v>1</v>
      </c>
      <c r="C1820" t="s">
        <v>4189</v>
      </c>
      <c r="D1820" t="s">
        <v>73</v>
      </c>
      <c r="E1820" t="s">
        <v>73</v>
      </c>
      <c r="F1820" t="s">
        <v>73</v>
      </c>
      <c r="G1820" t="s">
        <v>73</v>
      </c>
      <c r="H1820">
        <v>36.9</v>
      </c>
      <c r="I1820">
        <v>130</v>
      </c>
      <c r="J1820">
        <v>15109</v>
      </c>
      <c r="K1820" t="s">
        <v>4190</v>
      </c>
      <c r="L1820">
        <f t="shared" si="114"/>
        <v>7</v>
      </c>
      <c r="N1820">
        <v>7</v>
      </c>
      <c r="O1820">
        <v>7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</v>
      </c>
      <c r="Z1820">
        <v>0</v>
      </c>
      <c r="AA1820">
        <v>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3</v>
      </c>
      <c r="AS1820">
        <v>0</v>
      </c>
      <c r="AT1820">
        <v>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3</v>
      </c>
      <c r="BL1820" s="2">
        <v>0</v>
      </c>
      <c r="BM1820" s="2">
        <v>3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1</v>
      </c>
      <c r="BV1820" s="2">
        <f t="shared" si="117"/>
        <v>7</v>
      </c>
      <c r="BW1820" s="16">
        <f t="shared" si="115"/>
        <v>0.36842105263157893</v>
      </c>
      <c r="BX1820" s="16">
        <f>COUNTIF($BC$6:BU1820, "=0") / COUNTIF($BC$6:BU1820, "&gt;-1")</f>
        <v>0.44546904451210673</v>
      </c>
      <c r="BY1820" s="18">
        <f>SUM($BC$6:BU1820) / $BY$4</f>
        <v>0.99239001629546753</v>
      </c>
      <c r="BZ1820" s="14">
        <f t="shared" si="116"/>
        <v>16</v>
      </c>
      <c r="CA1820" t="s">
        <v>5832</v>
      </c>
      <c r="CZ1820" t="s">
        <v>11656</v>
      </c>
      <c r="DA1820" t="s">
        <v>5904</v>
      </c>
      <c r="DB1820">
        <v>260.8</v>
      </c>
      <c r="DC1820" t="s">
        <v>30792</v>
      </c>
      <c r="DD1820" t="s">
        <v>30793</v>
      </c>
      <c r="DE1820" t="s">
        <v>30794</v>
      </c>
      <c r="DF1820" t="s">
        <v>30795</v>
      </c>
      <c r="DG1820" t="s">
        <v>30796</v>
      </c>
      <c r="DH1820" t="str">
        <f>"PEA15"</f>
        <v>PEA15</v>
      </c>
      <c r="DI1820" t="s">
        <v>13772</v>
      </c>
      <c r="DJ1820" t="s">
        <v>13777</v>
      </c>
      <c r="DK1820">
        <v>9606</v>
      </c>
      <c r="DL1820" s="34" t="str">
        <f>HYPERLINK("http://www.uniprot.org/uniprot/Q15121", "Q15121")</f>
        <v>Q15121</v>
      </c>
      <c r="DM1820" t="s">
        <v>30797</v>
      </c>
      <c r="DN1820" t="s">
        <v>30798</v>
      </c>
      <c r="DO1820" t="s">
        <v>13899</v>
      </c>
      <c r="DP1820" t="s">
        <v>13841</v>
      </c>
      <c r="DQ1820" t="s">
        <v>13772</v>
      </c>
      <c r="DR1820" t="s">
        <v>13772</v>
      </c>
      <c r="DS1820" t="s">
        <v>13772</v>
      </c>
      <c r="DT1820" t="s">
        <v>13772</v>
      </c>
      <c r="DU1820" t="s">
        <v>13772</v>
      </c>
      <c r="DV1820" t="s">
        <v>13782</v>
      </c>
      <c r="DW1820" t="s">
        <v>13812</v>
      </c>
      <c r="DX1820" t="s">
        <v>30799</v>
      </c>
      <c r="DY1820" t="s">
        <v>30800</v>
      </c>
      <c r="DZ1820" t="s">
        <v>13772</v>
      </c>
      <c r="EA1820" t="s">
        <v>13772</v>
      </c>
      <c r="EB1820" t="s">
        <v>30801</v>
      </c>
    </row>
    <row r="1821" spans="1:132" hidden="1">
      <c r="A1821">
        <v>1786</v>
      </c>
      <c r="B1821">
        <v>1</v>
      </c>
      <c r="C1821" t="s">
        <v>4225</v>
      </c>
      <c r="D1821" t="s">
        <v>73</v>
      </c>
      <c r="E1821" t="s">
        <v>73</v>
      </c>
      <c r="F1821" t="s">
        <v>73</v>
      </c>
      <c r="G1821" t="s">
        <v>73</v>
      </c>
      <c r="H1821">
        <v>26.4</v>
      </c>
      <c r="I1821">
        <v>382</v>
      </c>
      <c r="J1821">
        <v>41964</v>
      </c>
      <c r="K1821" t="s">
        <v>4226</v>
      </c>
      <c r="L1821">
        <f t="shared" si="114"/>
        <v>7</v>
      </c>
      <c r="N1821">
        <v>7</v>
      </c>
      <c r="O1821">
        <v>7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2</v>
      </c>
      <c r="X1821">
        <v>2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2</v>
      </c>
      <c r="AQ1821">
        <v>2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s="2">
        <v>0</v>
      </c>
      <c r="BD1821" s="2">
        <v>0</v>
      </c>
      <c r="BE1821" s="2">
        <v>0</v>
      </c>
      <c r="BF1821" s="2">
        <v>1</v>
      </c>
      <c r="BG1821" s="2">
        <v>1</v>
      </c>
      <c r="BH1821" s="2">
        <v>0</v>
      </c>
      <c r="BI1821" s="2">
        <v>2</v>
      </c>
      <c r="BJ1821" s="2">
        <v>2</v>
      </c>
      <c r="BK1821" s="2">
        <v>0</v>
      </c>
      <c r="BL1821" s="2">
        <v>0</v>
      </c>
      <c r="BM1821" s="2">
        <v>1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f t="shared" si="117"/>
        <v>7</v>
      </c>
      <c r="BW1821" s="16">
        <f t="shared" si="115"/>
        <v>0.36842105263157893</v>
      </c>
      <c r="BX1821" s="16">
        <f>COUNTIF($BC$6:BU1821, "=0") / COUNTIF($BC$6:BU1821, "&gt;-1")</f>
        <v>0.44562949223278459</v>
      </c>
      <c r="BY1821" s="18">
        <f>SUM($BC$6:BU1821) / $BY$4</f>
        <v>0.9924200017535485</v>
      </c>
      <c r="BZ1821" s="14">
        <f t="shared" si="116"/>
        <v>14</v>
      </c>
      <c r="CA1821" t="s">
        <v>5832</v>
      </c>
      <c r="CZ1821" t="s">
        <v>11706</v>
      </c>
      <c r="DA1821" t="s">
        <v>5904</v>
      </c>
      <c r="DB1821">
        <v>700.7</v>
      </c>
      <c r="DC1821" t="s">
        <v>30937</v>
      </c>
      <c r="DD1821" t="s">
        <v>30938</v>
      </c>
      <c r="DE1821" t="s">
        <v>30939</v>
      </c>
      <c r="DF1821" t="s">
        <v>30940</v>
      </c>
      <c r="DG1821" t="s">
        <v>30941</v>
      </c>
      <c r="DH1821" t="str">
        <f>"CCN1"</f>
        <v>CCN1</v>
      </c>
      <c r="DI1821" t="s">
        <v>13772</v>
      </c>
      <c r="DJ1821" t="s">
        <v>13777</v>
      </c>
      <c r="DK1821">
        <v>9606</v>
      </c>
      <c r="DL1821" s="34" t="str">
        <f>HYPERLINK("http://www.uniprot.org/uniprot/O00622", "O00622")</f>
        <v>O00622</v>
      </c>
      <c r="DM1821" t="s">
        <v>30942</v>
      </c>
      <c r="DN1821" t="s">
        <v>30943</v>
      </c>
      <c r="DO1821" t="s">
        <v>14321</v>
      </c>
      <c r="DP1821" t="s">
        <v>13793</v>
      </c>
      <c r="DQ1821" t="s">
        <v>13772</v>
      </c>
      <c r="DR1821" t="s">
        <v>13772</v>
      </c>
      <c r="DS1821" t="s">
        <v>13808</v>
      </c>
      <c r="DT1821" t="s">
        <v>13772</v>
      </c>
      <c r="DU1821" t="s">
        <v>14769</v>
      </c>
      <c r="DV1821" t="s">
        <v>15554</v>
      </c>
      <c r="DW1821" t="s">
        <v>13812</v>
      </c>
      <c r="DX1821" t="s">
        <v>30944</v>
      </c>
      <c r="DY1821" t="s">
        <v>30945</v>
      </c>
      <c r="DZ1821" t="s">
        <v>30946</v>
      </c>
      <c r="EA1821" t="s">
        <v>13772</v>
      </c>
      <c r="EB1821" t="s">
        <v>17241</v>
      </c>
    </row>
    <row r="1822" spans="1:132" hidden="1">
      <c r="A1822">
        <v>1834</v>
      </c>
      <c r="B1822">
        <v>1</v>
      </c>
      <c r="C1822" t="s">
        <v>4335</v>
      </c>
      <c r="D1822" t="s">
        <v>73</v>
      </c>
      <c r="E1822" t="s">
        <v>73</v>
      </c>
      <c r="F1822" t="s">
        <v>73</v>
      </c>
      <c r="G1822" t="s">
        <v>73</v>
      </c>
      <c r="H1822">
        <v>12.9</v>
      </c>
      <c r="I1822">
        <v>489</v>
      </c>
      <c r="J1822">
        <v>56054</v>
      </c>
      <c r="K1822" t="s">
        <v>4336</v>
      </c>
      <c r="L1822">
        <f t="shared" si="114"/>
        <v>7</v>
      </c>
      <c r="N1822">
        <v>7</v>
      </c>
      <c r="O1822">
        <v>7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7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7</v>
      </c>
      <c r="BA1822">
        <v>0</v>
      </c>
      <c r="BB182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7</v>
      </c>
      <c r="BT1822" s="2">
        <v>0</v>
      </c>
      <c r="BU1822" s="2">
        <v>0</v>
      </c>
      <c r="BV1822" s="2">
        <f t="shared" si="117"/>
        <v>7</v>
      </c>
      <c r="BW1822" s="16">
        <f t="shared" si="115"/>
        <v>0.36842105263157893</v>
      </c>
      <c r="BX1822" s="16">
        <f>COUNTIF($BC$6:BU1822, "=0") / COUNTIF($BC$6:BU1822, "&gt;-1")</f>
        <v>0.44590562813196999</v>
      </c>
      <c r="BY1822" s="18">
        <f>SUM($BC$6:BU1822) / $BY$4</f>
        <v>0.99244998721162936</v>
      </c>
      <c r="BZ1822" s="14">
        <f t="shared" si="116"/>
        <v>18</v>
      </c>
      <c r="CA1822" t="s">
        <v>5832</v>
      </c>
      <c r="CZ1822" t="s">
        <v>5917</v>
      </c>
      <c r="DA1822" t="s">
        <v>5904</v>
      </c>
      <c r="DB1822">
        <v>501.9</v>
      </c>
      <c r="DC1822" t="s">
        <v>13848</v>
      </c>
      <c r="DD1822" t="s">
        <v>13849</v>
      </c>
      <c r="DE1822" t="s">
        <v>13850</v>
      </c>
      <c r="DF1822" t="s">
        <v>13851</v>
      </c>
      <c r="DG1822" t="s">
        <v>13852</v>
      </c>
      <c r="DH1822" t="str">
        <f>"ENPP7"</f>
        <v>ENPP7</v>
      </c>
      <c r="DI1822" t="s">
        <v>13772</v>
      </c>
      <c r="DJ1822" t="s">
        <v>13777</v>
      </c>
      <c r="DK1822">
        <v>9606</v>
      </c>
      <c r="DL1822" s="34" t="str">
        <f>HYPERLINK("http://www.uniprot.org/uniprot/Q6UWV6", "Q6UWV6")</f>
        <v>Q6UWV6</v>
      </c>
      <c r="DM1822" t="s">
        <v>13853</v>
      </c>
      <c r="DN1822" t="s">
        <v>13854</v>
      </c>
      <c r="DO1822" t="s">
        <v>13792</v>
      </c>
      <c r="DP1822" t="s">
        <v>13793</v>
      </c>
      <c r="DQ1822" t="s">
        <v>13772</v>
      </c>
      <c r="DR1822" t="s">
        <v>13772</v>
      </c>
      <c r="DS1822" t="s">
        <v>13855</v>
      </c>
      <c r="DT1822" t="s">
        <v>13856</v>
      </c>
      <c r="DU1822" t="s">
        <v>13857</v>
      </c>
      <c r="DV1822" t="s">
        <v>13858</v>
      </c>
      <c r="DW1822" t="s">
        <v>13812</v>
      </c>
      <c r="DX1822" t="s">
        <v>13859</v>
      </c>
      <c r="DY1822" t="s">
        <v>13860</v>
      </c>
      <c r="DZ1822" t="s">
        <v>13861</v>
      </c>
      <c r="EA1822" t="s">
        <v>13772</v>
      </c>
      <c r="EB1822" t="s">
        <v>13862</v>
      </c>
    </row>
    <row r="1823" spans="1:132" hidden="1">
      <c r="A1823">
        <v>1852</v>
      </c>
      <c r="B1823">
        <v>1</v>
      </c>
      <c r="C1823" t="s">
        <v>4376</v>
      </c>
      <c r="D1823" t="s">
        <v>73</v>
      </c>
      <c r="E1823" t="s">
        <v>73</v>
      </c>
      <c r="F1823" t="s">
        <v>73</v>
      </c>
      <c r="G1823" t="s">
        <v>73</v>
      </c>
      <c r="H1823">
        <v>9.8000000000000007</v>
      </c>
      <c r="I1823">
        <v>377</v>
      </c>
      <c r="J1823">
        <v>43277</v>
      </c>
      <c r="K1823" t="s">
        <v>4377</v>
      </c>
      <c r="L1823">
        <f t="shared" si="114"/>
        <v>7</v>
      </c>
      <c r="N1823">
        <v>7</v>
      </c>
      <c r="O1823">
        <v>7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4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4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1</v>
      </c>
      <c r="BH1823" s="2">
        <v>1</v>
      </c>
      <c r="BI1823" s="2">
        <v>0</v>
      </c>
      <c r="BJ1823" s="2">
        <v>0</v>
      </c>
      <c r="BK1823" s="2">
        <v>4</v>
      </c>
      <c r="BL1823" s="2">
        <v>0</v>
      </c>
      <c r="BM1823" s="2">
        <v>1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f t="shared" si="117"/>
        <v>7</v>
      </c>
      <c r="BW1823" s="16">
        <f t="shared" si="115"/>
        <v>0.36842105263157893</v>
      </c>
      <c r="BX1823" s="16">
        <f>COUNTIF($BC$6:BU1823, "=0") / COUNTIF($BC$6:BU1823, "&gt;-1")</f>
        <v>0.44609460946094609</v>
      </c>
      <c r="BY1823" s="18">
        <f>SUM($BC$6:BU1823) / $BY$4</f>
        <v>0.99247997266971033</v>
      </c>
      <c r="BZ1823" s="14">
        <f t="shared" si="116"/>
        <v>15</v>
      </c>
      <c r="CA1823" t="s">
        <v>5832</v>
      </c>
      <c r="CZ1823" t="s">
        <v>11934</v>
      </c>
      <c r="DA1823" t="s">
        <v>5904</v>
      </c>
      <c r="DB1823">
        <v>601.29999999999995</v>
      </c>
      <c r="DC1823" t="s">
        <v>31596</v>
      </c>
      <c r="DD1823" t="s">
        <v>31597</v>
      </c>
      <c r="DE1823" t="s">
        <v>31598</v>
      </c>
      <c r="DF1823" t="s">
        <v>31599</v>
      </c>
      <c r="DG1823" t="s">
        <v>31600</v>
      </c>
      <c r="DH1823" t="str">
        <f>"PRELP"</f>
        <v>PRELP</v>
      </c>
      <c r="DI1823" t="s">
        <v>31601</v>
      </c>
      <c r="DJ1823" t="s">
        <v>13777</v>
      </c>
      <c r="DK1823">
        <v>9606</v>
      </c>
      <c r="DL1823" s="34" t="str">
        <f>HYPERLINK("http://www.uniprot.org/uniprot/P51888", "P51888")</f>
        <v>P51888</v>
      </c>
      <c r="DM1823" t="s">
        <v>31602</v>
      </c>
      <c r="DN1823" t="s">
        <v>13772</v>
      </c>
      <c r="DO1823" t="s">
        <v>13869</v>
      </c>
      <c r="DP1823" t="s">
        <v>13793</v>
      </c>
      <c r="DQ1823" t="s">
        <v>13772</v>
      </c>
      <c r="DR1823" t="s">
        <v>13772</v>
      </c>
      <c r="DS1823" t="s">
        <v>19328</v>
      </c>
      <c r="DT1823" t="s">
        <v>13772</v>
      </c>
      <c r="DU1823" t="s">
        <v>13772</v>
      </c>
      <c r="DV1823" t="s">
        <v>13796</v>
      </c>
      <c r="DW1823" t="s">
        <v>13772</v>
      </c>
      <c r="DX1823" t="s">
        <v>31603</v>
      </c>
      <c r="DY1823" t="s">
        <v>31604</v>
      </c>
      <c r="DZ1823" t="s">
        <v>31605</v>
      </c>
      <c r="EA1823" t="s">
        <v>13772</v>
      </c>
      <c r="EB1823" t="s">
        <v>31606</v>
      </c>
    </row>
    <row r="1824" spans="1:132" hidden="1">
      <c r="A1824">
        <v>1932</v>
      </c>
      <c r="B1824">
        <v>1</v>
      </c>
      <c r="C1824" t="s">
        <v>4550</v>
      </c>
      <c r="D1824" t="s">
        <v>4551</v>
      </c>
      <c r="E1824" t="s">
        <v>73</v>
      </c>
      <c r="F1824" t="s">
        <v>73</v>
      </c>
      <c r="G1824" t="s">
        <v>73</v>
      </c>
      <c r="H1824">
        <v>8.3000000000000007</v>
      </c>
      <c r="I1824">
        <v>703</v>
      </c>
      <c r="J1824">
        <v>76372</v>
      </c>
      <c r="K1824" t="s">
        <v>4552</v>
      </c>
      <c r="L1824">
        <f t="shared" si="114"/>
        <v>7</v>
      </c>
      <c r="N1824">
        <v>7</v>
      </c>
      <c r="O1824">
        <v>7</v>
      </c>
      <c r="P1824">
        <v>1</v>
      </c>
      <c r="Q1824">
        <v>0</v>
      </c>
      <c r="R1824">
        <v>2</v>
      </c>
      <c r="S1824">
        <v>0</v>
      </c>
      <c r="T1824">
        <v>3</v>
      </c>
      <c r="U1824">
        <v>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</v>
      </c>
      <c r="AL1824">
        <v>0</v>
      </c>
      <c r="AM1824">
        <v>3</v>
      </c>
      <c r="AN1824">
        <v>2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 s="2">
        <v>0</v>
      </c>
      <c r="BD1824" s="2">
        <v>2</v>
      </c>
      <c r="BE1824" s="2">
        <v>0</v>
      </c>
      <c r="BF1824" s="2">
        <v>3</v>
      </c>
      <c r="BG1824" s="2">
        <v>2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f t="shared" si="117"/>
        <v>7</v>
      </c>
      <c r="BW1824" s="16">
        <f t="shared" si="115"/>
        <v>0.36842105263157893</v>
      </c>
      <c r="BX1824" s="16">
        <f>COUNTIF($BC$6:BU1824, "=0") / COUNTIF($BC$6:BU1824, "&gt;-1")</f>
        <v>0.4463123173519285</v>
      </c>
      <c r="BY1824" s="18">
        <f>SUM($BC$6:BU1824) / $BY$4</f>
        <v>0.99250995812779119</v>
      </c>
      <c r="BZ1824" s="14">
        <f t="shared" si="116"/>
        <v>16</v>
      </c>
      <c r="CA1824" t="s">
        <v>5832</v>
      </c>
      <c r="CZ1824" t="s">
        <v>12192</v>
      </c>
      <c r="DA1824" t="s">
        <v>5904</v>
      </c>
      <c r="DB1824">
        <v>1010.4</v>
      </c>
      <c r="DC1824" t="s">
        <v>32298</v>
      </c>
      <c r="DD1824" t="s">
        <v>13772</v>
      </c>
      <c r="DE1824" t="s">
        <v>32299</v>
      </c>
      <c r="DF1824" t="s">
        <v>32300</v>
      </c>
      <c r="DG1824" t="s">
        <v>32301</v>
      </c>
      <c r="DH1824" t="str">
        <f>"KIF12"</f>
        <v>KIF12</v>
      </c>
      <c r="DI1824" t="s">
        <v>13772</v>
      </c>
      <c r="DJ1824" t="s">
        <v>13777</v>
      </c>
      <c r="DK1824">
        <v>9606</v>
      </c>
      <c r="DL1824" s="34" t="str">
        <f>HYPERLINK("http://www.uniprot.org/uniprot/Q96FN5", "Q96FN5")</f>
        <v>Q96FN5</v>
      </c>
      <c r="DM1824" t="s">
        <v>32302</v>
      </c>
      <c r="DN1824" t="s">
        <v>13772</v>
      </c>
      <c r="DO1824" t="s">
        <v>20183</v>
      </c>
      <c r="DP1824" t="s">
        <v>13772</v>
      </c>
      <c r="DQ1824" t="s">
        <v>13772</v>
      </c>
      <c r="DR1824" t="s">
        <v>13772</v>
      </c>
      <c r="DS1824" t="s">
        <v>14245</v>
      </c>
      <c r="DT1824" t="s">
        <v>14005</v>
      </c>
      <c r="DU1824" t="s">
        <v>14678</v>
      </c>
      <c r="DV1824" t="s">
        <v>13782</v>
      </c>
      <c r="DW1824" t="s">
        <v>13772</v>
      </c>
      <c r="DX1824" t="s">
        <v>32303</v>
      </c>
      <c r="DY1824" t="s">
        <v>32304</v>
      </c>
      <c r="DZ1824" t="s">
        <v>32305</v>
      </c>
      <c r="EA1824" t="s">
        <v>13772</v>
      </c>
      <c r="EB1824" t="s">
        <v>26102</v>
      </c>
    </row>
    <row r="1825" spans="1:132" hidden="1">
      <c r="A1825">
        <v>2046</v>
      </c>
      <c r="B1825">
        <v>1</v>
      </c>
      <c r="C1825" t="s">
        <v>4810</v>
      </c>
      <c r="D1825" t="s">
        <v>73</v>
      </c>
      <c r="E1825" t="s">
        <v>73</v>
      </c>
      <c r="F1825" t="s">
        <v>73</v>
      </c>
      <c r="G1825" t="s">
        <v>73</v>
      </c>
      <c r="H1825">
        <v>25.2</v>
      </c>
      <c r="I1825">
        <v>250</v>
      </c>
      <c r="J1825">
        <v>28777</v>
      </c>
      <c r="K1825" t="s">
        <v>4811</v>
      </c>
      <c r="L1825">
        <f t="shared" si="114"/>
        <v>7</v>
      </c>
      <c r="N1825">
        <v>7</v>
      </c>
      <c r="O1825">
        <v>7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3</v>
      </c>
      <c r="Z1825">
        <v>0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3</v>
      </c>
      <c r="AS1825">
        <v>0</v>
      </c>
      <c r="AT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 s="2">
        <v>0</v>
      </c>
      <c r="BD1825" s="2">
        <v>1</v>
      </c>
      <c r="BE1825" s="2">
        <v>0</v>
      </c>
      <c r="BF1825" s="2">
        <v>0</v>
      </c>
      <c r="BG1825" s="2">
        <v>1</v>
      </c>
      <c r="BH1825" s="2">
        <v>0</v>
      </c>
      <c r="BI1825" s="2">
        <v>0</v>
      </c>
      <c r="BJ1825" s="2">
        <v>0</v>
      </c>
      <c r="BK1825" s="2">
        <v>3</v>
      </c>
      <c r="BL1825" s="2">
        <v>0</v>
      </c>
      <c r="BM1825" s="2">
        <v>2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f t="shared" si="117"/>
        <v>7</v>
      </c>
      <c r="BW1825" s="16">
        <f t="shared" si="115"/>
        <v>0.36842105263157893</v>
      </c>
      <c r="BX1825" s="16">
        <f>COUNTIF($BC$6:BU1825, "=0") / COUNTIF($BC$6:BU1825, "&gt;-1")</f>
        <v>0.44650086755349916</v>
      </c>
      <c r="BY1825" s="18">
        <f>SUM($BC$6:BU1825) / $BY$4</f>
        <v>0.99253994358587205</v>
      </c>
      <c r="BZ1825" s="14">
        <f t="shared" si="116"/>
        <v>15</v>
      </c>
      <c r="CA1825" t="s">
        <v>5832</v>
      </c>
      <c r="CZ1825" t="s">
        <v>12572</v>
      </c>
      <c r="DA1825" t="s">
        <v>5904</v>
      </c>
      <c r="DB1825">
        <v>504.2</v>
      </c>
      <c r="DC1825" t="s">
        <v>33365</v>
      </c>
      <c r="DD1825" t="s">
        <v>33366</v>
      </c>
      <c r="DE1825" t="s">
        <v>33367</v>
      </c>
      <c r="DF1825" t="s">
        <v>33368</v>
      </c>
      <c r="DG1825" t="s">
        <v>33369</v>
      </c>
      <c r="DH1825" t="str">
        <f>"SBDS"</f>
        <v>SBDS</v>
      </c>
      <c r="DI1825" t="s">
        <v>13772</v>
      </c>
      <c r="DJ1825" t="s">
        <v>13777</v>
      </c>
      <c r="DK1825">
        <v>9606</v>
      </c>
      <c r="DL1825" s="34" t="str">
        <f>HYPERLINK("http://www.uniprot.org/uniprot/Q9Y3A5", "Q9Y3A5")</f>
        <v>Q9Y3A5</v>
      </c>
      <c r="DM1825" t="s">
        <v>33370</v>
      </c>
      <c r="DN1825" t="s">
        <v>33371</v>
      </c>
      <c r="DO1825" t="s">
        <v>15843</v>
      </c>
      <c r="DP1825" t="s">
        <v>13793</v>
      </c>
      <c r="DQ1825" t="s">
        <v>13772</v>
      </c>
      <c r="DR1825" t="s">
        <v>13807</v>
      </c>
      <c r="DS1825" t="s">
        <v>13772</v>
      </c>
      <c r="DT1825" t="s">
        <v>13772</v>
      </c>
      <c r="DU1825" t="s">
        <v>13772</v>
      </c>
      <c r="DV1825" t="s">
        <v>14020</v>
      </c>
      <c r="DW1825" t="s">
        <v>13812</v>
      </c>
      <c r="DX1825" t="s">
        <v>33372</v>
      </c>
      <c r="DY1825" t="s">
        <v>33373</v>
      </c>
      <c r="DZ1825" t="s">
        <v>33374</v>
      </c>
      <c r="EA1825" t="s">
        <v>13772</v>
      </c>
      <c r="EB1825" t="s">
        <v>13772</v>
      </c>
    </row>
    <row r="1826" spans="1:132" hidden="1">
      <c r="A1826">
        <v>2199</v>
      </c>
      <c r="B1826">
        <v>1</v>
      </c>
      <c r="C1826" t="s">
        <v>5141</v>
      </c>
      <c r="D1826" t="s">
        <v>73</v>
      </c>
      <c r="E1826" t="s">
        <v>73</v>
      </c>
      <c r="F1826" t="s">
        <v>73</v>
      </c>
      <c r="G1826" t="s">
        <v>73</v>
      </c>
      <c r="H1826">
        <v>19.3</v>
      </c>
      <c r="I1826">
        <v>327</v>
      </c>
      <c r="J1826">
        <v>37186</v>
      </c>
      <c r="K1826" t="s">
        <v>5142</v>
      </c>
      <c r="L1826">
        <f t="shared" si="114"/>
        <v>7</v>
      </c>
      <c r="N1826">
        <v>7</v>
      </c>
      <c r="O1826">
        <v>7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0</v>
      </c>
      <c r="AA1826">
        <v>2</v>
      </c>
      <c r="AB1826">
        <v>0</v>
      </c>
      <c r="AC1826">
        <v>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2</v>
      </c>
      <c r="AU1826">
        <v>0</v>
      </c>
      <c r="AV1826">
        <v>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1</v>
      </c>
      <c r="BK1826" s="2">
        <v>1</v>
      </c>
      <c r="BL1826" s="2">
        <v>0</v>
      </c>
      <c r="BM1826" s="2">
        <v>2</v>
      </c>
      <c r="BN1826" s="2">
        <v>0</v>
      </c>
      <c r="BO1826" s="2">
        <v>3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f t="shared" si="117"/>
        <v>7</v>
      </c>
      <c r="BW1826" s="16">
        <f t="shared" si="115"/>
        <v>0.36842105263157893</v>
      </c>
      <c r="BX1826" s="16">
        <f>COUNTIF($BC$6:BU1826, "=0") / COUNTIF($BC$6:BU1826, "&gt;-1")</f>
        <v>0.44668921067082862</v>
      </c>
      <c r="BY1826" s="18">
        <f>SUM($BC$6:BU1826) / $BY$4</f>
        <v>0.99256992904395303</v>
      </c>
      <c r="BZ1826" s="14">
        <f t="shared" si="116"/>
        <v>15</v>
      </c>
      <c r="CA1826" t="s">
        <v>5832</v>
      </c>
      <c r="CZ1826" t="s">
        <v>13074</v>
      </c>
      <c r="DA1826" t="s">
        <v>5904</v>
      </c>
      <c r="DB1826">
        <v>677.6</v>
      </c>
      <c r="DC1826" t="s">
        <v>34779</v>
      </c>
      <c r="DD1826" t="s">
        <v>13772</v>
      </c>
      <c r="DE1826" t="s">
        <v>34780</v>
      </c>
      <c r="DF1826" t="s">
        <v>34781</v>
      </c>
      <c r="DG1826" t="s">
        <v>34782</v>
      </c>
      <c r="DH1826" t="str">
        <f>"PPP1CB"</f>
        <v>PPP1CB</v>
      </c>
      <c r="DI1826" t="s">
        <v>13772</v>
      </c>
      <c r="DJ1826" t="s">
        <v>13777</v>
      </c>
      <c r="DK1826">
        <v>9606</v>
      </c>
      <c r="DL1826" s="34" t="str">
        <f>HYPERLINK("http://www.uniprot.org/uniprot/P62140", "P62140")</f>
        <v>P62140</v>
      </c>
      <c r="DM1826" t="s">
        <v>34783</v>
      </c>
      <c r="DN1826" t="s">
        <v>34784</v>
      </c>
      <c r="DO1826" t="s">
        <v>13912</v>
      </c>
      <c r="DP1826" t="s">
        <v>13772</v>
      </c>
      <c r="DQ1826" t="s">
        <v>13772</v>
      </c>
      <c r="DR1826" t="s">
        <v>13807</v>
      </c>
      <c r="DS1826" t="s">
        <v>13772</v>
      </c>
      <c r="DT1826" t="s">
        <v>15674</v>
      </c>
      <c r="DU1826" t="s">
        <v>16320</v>
      </c>
      <c r="DV1826" t="s">
        <v>13886</v>
      </c>
      <c r="DW1826" t="s">
        <v>13772</v>
      </c>
      <c r="DX1826" t="s">
        <v>34785</v>
      </c>
      <c r="DY1826" t="s">
        <v>34786</v>
      </c>
      <c r="DZ1826" t="s">
        <v>34787</v>
      </c>
      <c r="EA1826" t="s">
        <v>13772</v>
      </c>
      <c r="EB1826" t="s">
        <v>34788</v>
      </c>
    </row>
    <row r="1827" spans="1:132" hidden="1">
      <c r="A1827">
        <v>2270</v>
      </c>
      <c r="B1827">
        <v>1</v>
      </c>
      <c r="C1827" t="s">
        <v>5304</v>
      </c>
      <c r="D1827" t="s">
        <v>73</v>
      </c>
      <c r="E1827" t="s">
        <v>73</v>
      </c>
      <c r="F1827" t="s">
        <v>73</v>
      </c>
      <c r="G1827" t="s">
        <v>73</v>
      </c>
      <c r="H1827">
        <v>22.2</v>
      </c>
      <c r="I1827">
        <v>257</v>
      </c>
      <c r="J1827">
        <v>28024</v>
      </c>
      <c r="K1827" t="s">
        <v>5305</v>
      </c>
      <c r="L1827">
        <f t="shared" si="114"/>
        <v>7</v>
      </c>
      <c r="N1827">
        <v>7</v>
      </c>
      <c r="O1827">
        <v>7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2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</v>
      </c>
      <c r="AU1827">
        <v>2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3</v>
      </c>
      <c r="BN1827" s="2">
        <v>2</v>
      </c>
      <c r="BO1827" s="2">
        <v>1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f t="shared" si="117"/>
        <v>7</v>
      </c>
      <c r="BW1827" s="16">
        <f t="shared" si="115"/>
        <v>0.36842105263157893</v>
      </c>
      <c r="BX1827" s="16">
        <f>COUNTIF($BC$6:BU1827, "=0") / COUNTIF($BC$6:BU1827, "&gt;-1")</f>
        <v>0.44687734704488996</v>
      </c>
      <c r="BY1827" s="18">
        <f>SUM($BC$6:BU1827) / $BY$4</f>
        <v>0.99259991450203389</v>
      </c>
      <c r="BZ1827" s="14">
        <f t="shared" si="116"/>
        <v>15</v>
      </c>
      <c r="CA1827" t="s">
        <v>5832</v>
      </c>
      <c r="CZ1827" t="s">
        <v>13313</v>
      </c>
      <c r="DA1827" t="s">
        <v>5904</v>
      </c>
      <c r="DB1827">
        <v>517.70000000000005</v>
      </c>
      <c r="DC1827" t="s">
        <v>35443</v>
      </c>
      <c r="DD1827" t="s">
        <v>35444</v>
      </c>
      <c r="DE1827" t="s">
        <v>35445</v>
      </c>
      <c r="DF1827" t="s">
        <v>35446</v>
      </c>
      <c r="DG1827" t="s">
        <v>35447</v>
      </c>
      <c r="DH1827" t="str">
        <f>"RPL8"</f>
        <v>RPL8</v>
      </c>
      <c r="DI1827" t="s">
        <v>13772</v>
      </c>
      <c r="DJ1827" t="s">
        <v>13777</v>
      </c>
      <c r="DK1827">
        <v>9606</v>
      </c>
      <c r="DL1827" s="34" t="str">
        <f>HYPERLINK("http://www.uniprot.org/uniprot/P62917", "P62917")</f>
        <v>P62917</v>
      </c>
      <c r="DM1827" t="s">
        <v>35448</v>
      </c>
      <c r="DN1827" t="s">
        <v>13772</v>
      </c>
      <c r="DO1827" t="s">
        <v>13899</v>
      </c>
      <c r="DP1827" t="s">
        <v>13793</v>
      </c>
      <c r="DQ1827" t="s">
        <v>13772</v>
      </c>
      <c r="DR1827" t="s">
        <v>13772</v>
      </c>
      <c r="DS1827" t="s">
        <v>13772</v>
      </c>
      <c r="DT1827" t="s">
        <v>13772</v>
      </c>
      <c r="DU1827" t="s">
        <v>26065</v>
      </c>
      <c r="DV1827" t="s">
        <v>35449</v>
      </c>
      <c r="DW1827" t="s">
        <v>13812</v>
      </c>
      <c r="DX1827" t="s">
        <v>35450</v>
      </c>
      <c r="DY1827" t="s">
        <v>35451</v>
      </c>
      <c r="DZ1827" t="s">
        <v>35452</v>
      </c>
      <c r="EA1827" t="s">
        <v>13772</v>
      </c>
      <c r="EB1827" t="s">
        <v>13942</v>
      </c>
    </row>
    <row r="1828" spans="1:132" hidden="1">
      <c r="A1828">
        <v>2275</v>
      </c>
      <c r="B1828">
        <v>1</v>
      </c>
      <c r="C1828" t="s">
        <v>5315</v>
      </c>
      <c r="D1828" t="s">
        <v>73</v>
      </c>
      <c r="E1828" t="s">
        <v>73</v>
      </c>
      <c r="F1828" t="s">
        <v>73</v>
      </c>
      <c r="G1828" t="s">
        <v>73</v>
      </c>
      <c r="H1828">
        <v>4.8</v>
      </c>
      <c r="I1828">
        <v>1325</v>
      </c>
      <c r="J1828">
        <v>143097</v>
      </c>
      <c r="K1828" t="s">
        <v>5316</v>
      </c>
      <c r="L1828">
        <f t="shared" si="114"/>
        <v>7</v>
      </c>
      <c r="N1828">
        <v>7</v>
      </c>
      <c r="O1828">
        <v>7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5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1</v>
      </c>
      <c r="BI1828" s="2">
        <v>0</v>
      </c>
      <c r="BJ1828" s="2">
        <v>0</v>
      </c>
      <c r="BK1828" s="2">
        <v>1</v>
      </c>
      <c r="BL1828" s="2">
        <v>0</v>
      </c>
      <c r="BM1828" s="2">
        <v>0</v>
      </c>
      <c r="BN1828" s="2">
        <v>5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f t="shared" si="117"/>
        <v>7</v>
      </c>
      <c r="BW1828" s="16">
        <f t="shared" si="115"/>
        <v>0.36842105263157893</v>
      </c>
      <c r="BX1828" s="16">
        <f>COUNTIF($BC$6:BU1828, "=0") / COUNTIF($BC$6:BU1828, "&gt;-1")</f>
        <v>0.44709414787654822</v>
      </c>
      <c r="BY1828" s="18">
        <f>SUM($BC$6:BU1828) / $BY$4</f>
        <v>0.99262989996011475</v>
      </c>
      <c r="BZ1828" s="14">
        <f t="shared" si="116"/>
        <v>16</v>
      </c>
      <c r="CA1828" t="s">
        <v>5832</v>
      </c>
      <c r="CZ1828" t="s">
        <v>13326</v>
      </c>
      <c r="DA1828" t="s">
        <v>5904</v>
      </c>
      <c r="DB1828">
        <v>1922.1</v>
      </c>
      <c r="DC1828" t="s">
        <v>35476</v>
      </c>
      <c r="DD1828" t="s">
        <v>35477</v>
      </c>
      <c r="DE1828" t="s">
        <v>35478</v>
      </c>
      <c r="DF1828" t="s">
        <v>35479</v>
      </c>
      <c r="DG1828" t="s">
        <v>35480</v>
      </c>
      <c r="DH1828" t="str">
        <f>"RRBP1"</f>
        <v>RRBP1</v>
      </c>
      <c r="DI1828" t="s">
        <v>35481</v>
      </c>
      <c r="DJ1828" t="s">
        <v>13777</v>
      </c>
      <c r="DK1828">
        <v>9606</v>
      </c>
      <c r="DL1828" s="34" t="str">
        <f>HYPERLINK("http://www.uniprot.org/uniprot/Q9P2E9", "Q9P2E9")</f>
        <v>Q9P2E9</v>
      </c>
      <c r="DM1828" t="s">
        <v>35482</v>
      </c>
      <c r="DN1828" t="s">
        <v>35483</v>
      </c>
      <c r="DO1828" t="s">
        <v>14714</v>
      </c>
      <c r="DP1828" t="s">
        <v>13780</v>
      </c>
      <c r="DQ1828" t="s">
        <v>13772</v>
      </c>
      <c r="DR1828" t="s">
        <v>13772</v>
      </c>
      <c r="DS1828" t="s">
        <v>16604</v>
      </c>
      <c r="DT1828" t="s">
        <v>13772</v>
      </c>
      <c r="DU1828" t="s">
        <v>13772</v>
      </c>
      <c r="DV1828" t="s">
        <v>13991</v>
      </c>
      <c r="DW1828" t="s">
        <v>13772</v>
      </c>
      <c r="DX1828" t="s">
        <v>35484</v>
      </c>
      <c r="DY1828" t="s">
        <v>35485</v>
      </c>
      <c r="DZ1828" t="s">
        <v>35486</v>
      </c>
      <c r="EA1828" t="s">
        <v>13772</v>
      </c>
      <c r="EB1828" t="s">
        <v>13772</v>
      </c>
    </row>
    <row r="1829" spans="1:132" hidden="1">
      <c r="A1829">
        <v>2283</v>
      </c>
      <c r="B1829">
        <v>1</v>
      </c>
      <c r="C1829" t="s">
        <v>5334</v>
      </c>
      <c r="D1829" t="s">
        <v>73</v>
      </c>
      <c r="E1829" t="s">
        <v>73</v>
      </c>
      <c r="F1829" t="s">
        <v>73</v>
      </c>
      <c r="G1829" t="s">
        <v>73</v>
      </c>
      <c r="H1829">
        <v>16.399999999999999</v>
      </c>
      <c r="I1829">
        <v>311</v>
      </c>
      <c r="J1829">
        <v>33213</v>
      </c>
      <c r="K1829" t="s">
        <v>5335</v>
      </c>
      <c r="L1829">
        <f t="shared" si="114"/>
        <v>7</v>
      </c>
      <c r="N1829">
        <v>7</v>
      </c>
      <c r="O1829">
        <v>7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5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5</v>
      </c>
      <c r="BL1829" s="2">
        <v>0</v>
      </c>
      <c r="BM1829" s="2">
        <v>0</v>
      </c>
      <c r="BN1829" s="2">
        <v>0</v>
      </c>
      <c r="BO1829" s="2">
        <v>1</v>
      </c>
      <c r="BP1829" s="2">
        <v>0</v>
      </c>
      <c r="BQ1829" s="2">
        <v>0</v>
      </c>
      <c r="BR1829" s="2">
        <v>0</v>
      </c>
      <c r="BS1829" s="2">
        <v>1</v>
      </c>
      <c r="BT1829" s="2">
        <v>0</v>
      </c>
      <c r="BU1829" s="2">
        <v>0</v>
      </c>
      <c r="BV1829" s="2">
        <f t="shared" si="117"/>
        <v>7</v>
      </c>
      <c r="BW1829" s="16">
        <f t="shared" si="115"/>
        <v>0.36842105263157893</v>
      </c>
      <c r="BX1829" s="16">
        <f>COUNTIF($BC$6:BU1829, "=0") / COUNTIF($BC$6:BU1829, "&gt;-1")</f>
        <v>0.4473107109879963</v>
      </c>
      <c r="BY1829" s="18">
        <f>SUM($BC$6:BU1829) / $BY$4</f>
        <v>0.99265988541819572</v>
      </c>
      <c r="BZ1829" s="14">
        <f t="shared" si="116"/>
        <v>16</v>
      </c>
      <c r="CA1829" t="s">
        <v>5832</v>
      </c>
      <c r="CZ1829" t="s">
        <v>13353</v>
      </c>
      <c r="DA1829" t="s">
        <v>5904</v>
      </c>
      <c r="DB1829">
        <v>580.9</v>
      </c>
      <c r="DC1829" t="s">
        <v>35558</v>
      </c>
      <c r="DD1829" t="s">
        <v>35559</v>
      </c>
      <c r="DE1829" t="s">
        <v>35560</v>
      </c>
      <c r="DF1829" t="s">
        <v>35561</v>
      </c>
      <c r="DG1829" t="s">
        <v>35562</v>
      </c>
      <c r="DH1829" t="str">
        <f>"RPIA"</f>
        <v>RPIA</v>
      </c>
      <c r="DI1829" t="s">
        <v>35563</v>
      </c>
      <c r="DJ1829" t="s">
        <v>13777</v>
      </c>
      <c r="DK1829">
        <v>9606</v>
      </c>
      <c r="DL1829" s="34" t="str">
        <f>HYPERLINK("http://www.uniprot.org/uniprot/P49247", "P49247")</f>
        <v>P49247</v>
      </c>
      <c r="DM1829" t="s">
        <v>35564</v>
      </c>
      <c r="DN1829" t="s">
        <v>13772</v>
      </c>
      <c r="DO1829" t="s">
        <v>13772</v>
      </c>
      <c r="DP1829" t="s">
        <v>13772</v>
      </c>
      <c r="DQ1829" t="s">
        <v>13772</v>
      </c>
      <c r="DR1829" t="s">
        <v>13807</v>
      </c>
      <c r="DS1829" t="s">
        <v>13772</v>
      </c>
      <c r="DT1829" t="s">
        <v>13772</v>
      </c>
      <c r="DU1829" t="s">
        <v>14910</v>
      </c>
      <c r="DV1829" t="s">
        <v>14478</v>
      </c>
      <c r="DW1829" t="s">
        <v>13772</v>
      </c>
      <c r="DX1829" t="s">
        <v>35565</v>
      </c>
      <c r="DY1829" t="s">
        <v>35566</v>
      </c>
      <c r="DZ1829" t="s">
        <v>35567</v>
      </c>
      <c r="EA1829" t="s">
        <v>35568</v>
      </c>
      <c r="EB1829" t="s">
        <v>35569</v>
      </c>
    </row>
    <row r="1830" spans="1:132" hidden="1">
      <c r="A1830">
        <v>2287</v>
      </c>
      <c r="B1830">
        <v>1</v>
      </c>
      <c r="C1830" t="s">
        <v>5343</v>
      </c>
      <c r="D1830" t="s">
        <v>73</v>
      </c>
      <c r="E1830" t="s">
        <v>73</v>
      </c>
      <c r="F1830" t="s">
        <v>73</v>
      </c>
      <c r="G1830" t="s">
        <v>73</v>
      </c>
      <c r="H1830">
        <v>18.3</v>
      </c>
      <c r="I1830">
        <v>693</v>
      </c>
      <c r="J1830">
        <v>73423</v>
      </c>
      <c r="K1830" t="s">
        <v>5344</v>
      </c>
      <c r="L1830">
        <f t="shared" si="114"/>
        <v>7</v>
      </c>
      <c r="N1830">
        <v>7</v>
      </c>
      <c r="O1830">
        <v>7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5</v>
      </c>
      <c r="AY1830">
        <v>1</v>
      </c>
      <c r="AZ1830">
        <v>0</v>
      </c>
      <c r="BA1830">
        <v>0</v>
      </c>
      <c r="BB1830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1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5</v>
      </c>
      <c r="BR1830" s="2">
        <v>1</v>
      </c>
      <c r="BS1830" s="2">
        <v>0</v>
      </c>
      <c r="BT1830" s="2">
        <v>0</v>
      </c>
      <c r="BU1830" s="2">
        <v>0</v>
      </c>
      <c r="BV1830" s="2">
        <f t="shared" si="117"/>
        <v>7</v>
      </c>
      <c r="BW1830" s="16">
        <f t="shared" si="115"/>
        <v>0.36842105263157893</v>
      </c>
      <c r="BX1830" s="16">
        <f>COUNTIF($BC$6:BU1830, "=0") / COUNTIF($BC$6:BU1830, "&gt;-1")</f>
        <v>0.44752703677000721</v>
      </c>
      <c r="BY1830" s="18">
        <f>SUM($BC$6:BU1830) / $BY$4</f>
        <v>0.99268987087627658</v>
      </c>
      <c r="BZ1830" s="14">
        <f t="shared" si="116"/>
        <v>16</v>
      </c>
      <c r="CA1830" t="s">
        <v>5832</v>
      </c>
      <c r="CZ1830" t="s">
        <v>13366</v>
      </c>
      <c r="DA1830" t="s">
        <v>5904</v>
      </c>
      <c r="DB1830">
        <v>1074.7</v>
      </c>
      <c r="DC1830" t="s">
        <v>35598</v>
      </c>
      <c r="DD1830" t="s">
        <v>35599</v>
      </c>
      <c r="DE1830" t="s">
        <v>35600</v>
      </c>
      <c r="DF1830" t="s">
        <v>35601</v>
      </c>
      <c r="DG1830" t="s">
        <v>35602</v>
      </c>
      <c r="DH1830" t="str">
        <f>"JPH2"</f>
        <v>JPH2</v>
      </c>
      <c r="DI1830" t="s">
        <v>13772</v>
      </c>
      <c r="DJ1830" t="s">
        <v>13777</v>
      </c>
      <c r="DK1830">
        <v>9606</v>
      </c>
      <c r="DL1830" s="34" t="str">
        <f>HYPERLINK("http://www.uniprot.org/uniprot/Q9BR39", "Q9BR39")</f>
        <v>Q9BR39</v>
      </c>
      <c r="DM1830" t="s">
        <v>35603</v>
      </c>
      <c r="DN1830" t="s">
        <v>14445</v>
      </c>
      <c r="DO1830" t="s">
        <v>35604</v>
      </c>
      <c r="DP1830" t="s">
        <v>13780</v>
      </c>
      <c r="DQ1830" t="s">
        <v>13772</v>
      </c>
      <c r="DR1830" t="s">
        <v>14848</v>
      </c>
      <c r="DS1830" t="s">
        <v>16604</v>
      </c>
      <c r="DT1830" t="s">
        <v>13772</v>
      </c>
      <c r="DU1830" t="s">
        <v>35605</v>
      </c>
      <c r="DV1830" t="s">
        <v>13782</v>
      </c>
      <c r="DW1830" t="s">
        <v>13772</v>
      </c>
      <c r="DX1830" t="s">
        <v>35606</v>
      </c>
      <c r="DY1830" t="s">
        <v>35607</v>
      </c>
      <c r="DZ1830" t="s">
        <v>35608</v>
      </c>
      <c r="EA1830" t="s">
        <v>13772</v>
      </c>
      <c r="EB1830" t="s">
        <v>13772</v>
      </c>
    </row>
    <row r="1831" spans="1:132" hidden="1">
      <c r="A1831">
        <v>2353</v>
      </c>
      <c r="B1831">
        <v>1</v>
      </c>
      <c r="C1831" t="s">
        <v>5490</v>
      </c>
      <c r="D1831" t="s">
        <v>73</v>
      </c>
      <c r="E1831" t="s">
        <v>73</v>
      </c>
      <c r="F1831" t="s">
        <v>73</v>
      </c>
      <c r="G1831" t="s">
        <v>73</v>
      </c>
      <c r="H1831">
        <v>22.3</v>
      </c>
      <c r="I1831">
        <v>269</v>
      </c>
      <c r="J1831">
        <v>28736</v>
      </c>
      <c r="K1831" t="s">
        <v>5491</v>
      </c>
      <c r="L1831">
        <f t="shared" si="114"/>
        <v>7</v>
      </c>
      <c r="N1831">
        <v>7</v>
      </c>
      <c r="O1831">
        <v>7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3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3</v>
      </c>
      <c r="AU1831">
        <v>0</v>
      </c>
      <c r="AV1831">
        <v>1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3</v>
      </c>
      <c r="BN1831" s="2">
        <v>0</v>
      </c>
      <c r="BO1831" s="2">
        <v>1</v>
      </c>
      <c r="BP1831" s="2">
        <v>0</v>
      </c>
      <c r="BQ1831" s="2">
        <v>0</v>
      </c>
      <c r="BR1831" s="2">
        <v>1</v>
      </c>
      <c r="BS1831" s="2">
        <v>0</v>
      </c>
      <c r="BT1831" s="2">
        <v>0</v>
      </c>
      <c r="BU1831" s="2">
        <v>0</v>
      </c>
      <c r="BV1831" s="2">
        <f t="shared" si="117"/>
        <v>7</v>
      </c>
      <c r="BW1831" s="16">
        <f t="shared" si="115"/>
        <v>0.36842105263157893</v>
      </c>
      <c r="BX1831" s="16">
        <f>COUNTIF($BC$6:BU1831, "=0") / COUNTIF($BC$6:BU1831, "&gt;-1")</f>
        <v>0.44768547875713383</v>
      </c>
      <c r="BY1831" s="18">
        <f>SUM($BC$6:BU1831) / $BY$4</f>
        <v>0.99271985633435755</v>
      </c>
      <c r="BZ1831" s="14">
        <f t="shared" si="116"/>
        <v>14</v>
      </c>
      <c r="CA1831" t="s">
        <v>5832</v>
      </c>
      <c r="CZ1831" t="s">
        <v>13573</v>
      </c>
      <c r="DA1831" t="s">
        <v>5904</v>
      </c>
      <c r="DB1831">
        <v>345.1</v>
      </c>
      <c r="DC1831" t="s">
        <v>36185</v>
      </c>
      <c r="DD1831" t="s">
        <v>36186</v>
      </c>
      <c r="DE1831" t="s">
        <v>36187</v>
      </c>
      <c r="DF1831" t="s">
        <v>36188</v>
      </c>
      <c r="DG1831" t="s">
        <v>36189</v>
      </c>
      <c r="DH1831" t="str">
        <f>"OVCA2"</f>
        <v>OVCA2</v>
      </c>
      <c r="DI1831" t="s">
        <v>13772</v>
      </c>
      <c r="DJ1831" t="s">
        <v>13777</v>
      </c>
      <c r="DK1831">
        <v>9606</v>
      </c>
      <c r="DL1831" s="34" t="str">
        <f>HYPERLINK("http://www.uniprot.org/uniprot/Q8WZ82", "Q8WZ82")</f>
        <v>Q8WZ82</v>
      </c>
      <c r="DM1831" t="s">
        <v>13857</v>
      </c>
      <c r="DN1831" t="s">
        <v>13772</v>
      </c>
      <c r="DO1831" t="s">
        <v>13772</v>
      </c>
      <c r="DP1831" t="s">
        <v>13772</v>
      </c>
      <c r="DQ1831" t="s">
        <v>13772</v>
      </c>
      <c r="DR1831" t="s">
        <v>13772</v>
      </c>
      <c r="DS1831" t="s">
        <v>13772</v>
      </c>
      <c r="DT1831" t="s">
        <v>13772</v>
      </c>
      <c r="DU1831" t="s">
        <v>13857</v>
      </c>
      <c r="DV1831" t="s">
        <v>13772</v>
      </c>
      <c r="DW1831" t="s">
        <v>13772</v>
      </c>
      <c r="DX1831" t="s">
        <v>36190</v>
      </c>
      <c r="DY1831" t="s">
        <v>23727</v>
      </c>
      <c r="DZ1831" t="s">
        <v>16563</v>
      </c>
      <c r="EA1831" t="s">
        <v>13772</v>
      </c>
      <c r="EB1831" t="s">
        <v>13772</v>
      </c>
    </row>
    <row r="1832" spans="1:132" hidden="1">
      <c r="A1832">
        <v>2381</v>
      </c>
      <c r="B1832">
        <v>1</v>
      </c>
      <c r="C1832" t="s">
        <v>5548</v>
      </c>
      <c r="D1832" t="s">
        <v>5549</v>
      </c>
      <c r="E1832" t="s">
        <v>73</v>
      </c>
      <c r="F1832" t="s">
        <v>73</v>
      </c>
      <c r="G1832" t="s">
        <v>73</v>
      </c>
      <c r="H1832">
        <v>42.9</v>
      </c>
      <c r="I1832">
        <v>112</v>
      </c>
      <c r="J1832">
        <v>12852</v>
      </c>
      <c r="K1832" t="s">
        <v>5550</v>
      </c>
      <c r="L1832">
        <f t="shared" si="114"/>
        <v>7</v>
      </c>
      <c r="N1832">
        <v>7</v>
      </c>
      <c r="O1832">
        <v>7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4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4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1</v>
      </c>
      <c r="BL1832" s="2">
        <v>0</v>
      </c>
      <c r="BM1832" s="2">
        <v>4</v>
      </c>
      <c r="BN1832" s="2">
        <v>0</v>
      </c>
      <c r="BO1832" s="2">
        <v>1</v>
      </c>
      <c r="BP1832" s="2">
        <v>0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f t="shared" si="117"/>
        <v>7</v>
      </c>
      <c r="BW1832" s="16">
        <f t="shared" si="115"/>
        <v>0.36842105263157893</v>
      </c>
      <c r="BX1832" s="16">
        <f>COUNTIF($BC$6:BU1832, "=0") / COUNTIF($BC$6:BU1832, "&gt;-1")</f>
        <v>0.44787255495059486</v>
      </c>
      <c r="BY1832" s="18">
        <f>SUM($BC$6:BU1832) / $BY$4</f>
        <v>0.99274984179243841</v>
      </c>
      <c r="BZ1832" s="14">
        <f t="shared" si="116"/>
        <v>15</v>
      </c>
      <c r="CA1832" t="s">
        <v>5832</v>
      </c>
      <c r="CZ1832" t="s">
        <v>13659</v>
      </c>
      <c r="DA1832" t="s">
        <v>5904</v>
      </c>
      <c r="DB1832">
        <v>90.9</v>
      </c>
      <c r="DC1832" t="s">
        <v>36406</v>
      </c>
      <c r="DD1832" t="s">
        <v>36407</v>
      </c>
      <c r="DE1832" t="s">
        <v>36408</v>
      </c>
      <c r="DF1832" t="s">
        <v>36409</v>
      </c>
      <c r="DG1832" t="s">
        <v>36410</v>
      </c>
      <c r="DH1832" t="str">
        <f>"CCL15"</f>
        <v>CCL15</v>
      </c>
      <c r="DI1832" t="s">
        <v>36411</v>
      </c>
      <c r="DJ1832" t="s">
        <v>13777</v>
      </c>
      <c r="DK1832">
        <v>9606</v>
      </c>
      <c r="DL1832" s="34" t="str">
        <f>HYPERLINK("http://www.uniprot.org/uniprot/Q16663", "Q16663")</f>
        <v>Q16663</v>
      </c>
      <c r="DM1832" t="s">
        <v>36412</v>
      </c>
      <c r="DN1832" t="s">
        <v>35939</v>
      </c>
      <c r="DO1832" t="s">
        <v>14321</v>
      </c>
      <c r="DP1832" t="s">
        <v>13793</v>
      </c>
      <c r="DQ1832" t="s">
        <v>13772</v>
      </c>
      <c r="DR1832" t="s">
        <v>13772</v>
      </c>
      <c r="DS1832" t="s">
        <v>13808</v>
      </c>
      <c r="DT1832" t="s">
        <v>13772</v>
      </c>
      <c r="DU1832" t="s">
        <v>36413</v>
      </c>
      <c r="DV1832" t="s">
        <v>14506</v>
      </c>
      <c r="DW1832" t="s">
        <v>13812</v>
      </c>
      <c r="DX1832" t="s">
        <v>36414</v>
      </c>
      <c r="DY1832" t="s">
        <v>36415</v>
      </c>
      <c r="DZ1832" t="s">
        <v>36416</v>
      </c>
      <c r="EA1832" t="s">
        <v>13772</v>
      </c>
      <c r="EB1832" t="s">
        <v>13772</v>
      </c>
    </row>
    <row r="1833" spans="1:132" hidden="1">
      <c r="A1833">
        <v>2407</v>
      </c>
      <c r="B1833">
        <v>1</v>
      </c>
      <c r="C1833" t="s">
        <v>5607</v>
      </c>
      <c r="D1833" t="s">
        <v>73</v>
      </c>
      <c r="E1833" t="s">
        <v>73</v>
      </c>
      <c r="F1833" t="s">
        <v>73</v>
      </c>
      <c r="G1833" t="s">
        <v>73</v>
      </c>
      <c r="H1833">
        <v>49.3</v>
      </c>
      <c r="I1833">
        <v>67</v>
      </c>
      <c r="J1833">
        <v>7846</v>
      </c>
      <c r="K1833" t="s">
        <v>5608</v>
      </c>
      <c r="L1833">
        <f t="shared" si="114"/>
        <v>7</v>
      </c>
      <c r="N1833">
        <v>7</v>
      </c>
      <c r="O1833">
        <v>7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4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4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 s="2">
        <v>0</v>
      </c>
      <c r="BD1833" s="2">
        <v>1</v>
      </c>
      <c r="BE1833" s="2">
        <v>0</v>
      </c>
      <c r="BF1833" s="2">
        <v>0</v>
      </c>
      <c r="BG1833" s="2">
        <v>1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4</v>
      </c>
      <c r="BO1833" s="2">
        <v>0</v>
      </c>
      <c r="BP1833" s="2">
        <v>0</v>
      </c>
      <c r="BQ1833" s="2">
        <v>0</v>
      </c>
      <c r="BR1833" s="2">
        <v>1</v>
      </c>
      <c r="BS1833" s="2">
        <v>0</v>
      </c>
      <c r="BT1833" s="2">
        <v>0</v>
      </c>
      <c r="BU1833" s="2">
        <v>0</v>
      </c>
      <c r="BV1833" s="2">
        <f t="shared" si="117"/>
        <v>7</v>
      </c>
      <c r="BW1833" s="16">
        <f t="shared" si="115"/>
        <v>0.36842105263157893</v>
      </c>
      <c r="BX1833" s="16">
        <f>COUNTIF($BC$6:BU1833, "=0") / COUNTIF($BC$6:BU1833, "&gt;-1")</f>
        <v>0.44805942646550734</v>
      </c>
      <c r="BY1833" s="18">
        <f>SUM($BC$6:BU1833) / $BY$4</f>
        <v>0.99277982725051928</v>
      </c>
      <c r="BZ1833" s="14">
        <f t="shared" si="116"/>
        <v>15</v>
      </c>
      <c r="CA1833" t="s">
        <v>5832</v>
      </c>
      <c r="CZ1833" t="s">
        <v>13736</v>
      </c>
      <c r="DA1833" t="s">
        <v>5904</v>
      </c>
      <c r="DB1833">
        <v>60.8</v>
      </c>
      <c r="DC1833" t="s">
        <v>36637</v>
      </c>
      <c r="DD1833" t="s">
        <v>36638</v>
      </c>
      <c r="DE1833" t="s">
        <v>36639</v>
      </c>
      <c r="DF1833" t="s">
        <v>36640</v>
      </c>
      <c r="DG1833" t="s">
        <v>36641</v>
      </c>
      <c r="DH1833" t="str">
        <f>"MT-ATP8"</f>
        <v>MT-ATP8</v>
      </c>
      <c r="DI1833" t="s">
        <v>36642</v>
      </c>
      <c r="DJ1833" t="s">
        <v>13777</v>
      </c>
      <c r="DK1833">
        <v>9606</v>
      </c>
      <c r="DL1833" s="34" t="str">
        <f>HYPERLINK("http://www.uniprot.org/uniprot/P03928", "P03928")</f>
        <v>P03928</v>
      </c>
      <c r="DM1833" t="s">
        <v>36643</v>
      </c>
      <c r="DN1833" t="s">
        <v>17568</v>
      </c>
      <c r="DO1833" t="s">
        <v>36644</v>
      </c>
      <c r="DP1833" t="s">
        <v>13793</v>
      </c>
      <c r="DQ1833" t="s">
        <v>13772</v>
      </c>
      <c r="DR1833" t="s">
        <v>36645</v>
      </c>
      <c r="DS1833" t="s">
        <v>13925</v>
      </c>
      <c r="DT1833" t="s">
        <v>13772</v>
      </c>
      <c r="DU1833" t="s">
        <v>13772</v>
      </c>
      <c r="DV1833" t="s">
        <v>14020</v>
      </c>
      <c r="DW1833" t="s">
        <v>13772</v>
      </c>
      <c r="DX1833" t="s">
        <v>36646</v>
      </c>
      <c r="DY1833" t="s">
        <v>36647</v>
      </c>
      <c r="DZ1833" t="s">
        <v>19897</v>
      </c>
      <c r="EA1833" t="s">
        <v>13772</v>
      </c>
      <c r="EB1833" t="s">
        <v>19898</v>
      </c>
    </row>
    <row r="1834" spans="1:132" hidden="1">
      <c r="A1834">
        <v>75</v>
      </c>
      <c r="B1834">
        <v>1</v>
      </c>
      <c r="C1834" t="s">
        <v>208</v>
      </c>
      <c r="D1834" t="s">
        <v>209</v>
      </c>
      <c r="E1834" t="s">
        <v>73</v>
      </c>
      <c r="F1834" t="s">
        <v>210</v>
      </c>
      <c r="G1834" t="s">
        <v>73</v>
      </c>
      <c r="H1834">
        <v>7.7</v>
      </c>
      <c r="I1834">
        <v>845</v>
      </c>
      <c r="J1834">
        <v>97192</v>
      </c>
      <c r="K1834" t="s">
        <v>211</v>
      </c>
      <c r="L1834">
        <f t="shared" si="114"/>
        <v>7</v>
      </c>
      <c r="N1834">
        <v>7</v>
      </c>
      <c r="O1834">
        <v>6</v>
      </c>
      <c r="P1834">
        <v>0.85699999999999998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4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</v>
      </c>
      <c r="AO1834">
        <v>3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2</v>
      </c>
      <c r="BH1834" s="2">
        <v>3.75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f t="shared" si="117"/>
        <v>6.75</v>
      </c>
      <c r="BW1834" s="16">
        <f t="shared" si="115"/>
        <v>0.35526315789473684</v>
      </c>
      <c r="BX1834" s="16">
        <f>COUNTIF($BC$6:BU1834, "=0") / COUNTIF($BC$6:BU1834, "&gt;-1")</f>
        <v>0.44827486978791975</v>
      </c>
      <c r="BY1834" s="18">
        <f>SUM($BC$6:BU1834) / $BY$4</f>
        <v>0.99280874179938305</v>
      </c>
      <c r="BZ1834" s="14">
        <f t="shared" si="116"/>
        <v>16</v>
      </c>
      <c r="CA1834" t="s">
        <v>5832</v>
      </c>
      <c r="CZ1834" t="s">
        <v>5964</v>
      </c>
      <c r="DA1834" t="s">
        <v>5904</v>
      </c>
      <c r="DB1834">
        <v>1686</v>
      </c>
      <c r="DC1834" t="s">
        <v>14025</v>
      </c>
      <c r="DD1834" t="s">
        <v>14026</v>
      </c>
      <c r="DE1834" t="s">
        <v>14027</v>
      </c>
      <c r="DF1834" t="s">
        <v>14028</v>
      </c>
      <c r="DG1834" t="s">
        <v>14029</v>
      </c>
      <c r="DH1834" t="str">
        <f>"ATP6V0A1"</f>
        <v>ATP6V0A1</v>
      </c>
      <c r="DI1834" t="s">
        <v>14030</v>
      </c>
      <c r="DJ1834" t="s">
        <v>13777</v>
      </c>
      <c r="DK1834">
        <v>9606</v>
      </c>
      <c r="DL1834" s="34" t="str">
        <f>HYPERLINK("http://www.uniprot.org/uniprot/Q93050", "Q93050")</f>
        <v>Q93050</v>
      </c>
      <c r="DM1834" t="s">
        <v>14031</v>
      </c>
      <c r="DN1834" t="s">
        <v>14032</v>
      </c>
      <c r="DO1834" t="s">
        <v>14033</v>
      </c>
      <c r="DP1834" t="s">
        <v>13841</v>
      </c>
      <c r="DQ1834" t="s">
        <v>13772</v>
      </c>
      <c r="DR1834" t="s">
        <v>13772</v>
      </c>
      <c r="DS1834" t="s">
        <v>13925</v>
      </c>
      <c r="DT1834" t="s">
        <v>13772</v>
      </c>
      <c r="DU1834" t="s">
        <v>13772</v>
      </c>
      <c r="DV1834" t="s">
        <v>13782</v>
      </c>
      <c r="DW1834" t="s">
        <v>13772</v>
      </c>
      <c r="DX1834" t="s">
        <v>14034</v>
      </c>
      <c r="DY1834" t="s">
        <v>14035</v>
      </c>
      <c r="DZ1834" t="s">
        <v>14036</v>
      </c>
      <c r="EA1834" t="s">
        <v>13772</v>
      </c>
      <c r="EB1834" t="s">
        <v>14037</v>
      </c>
    </row>
    <row r="1835" spans="1:132" hidden="1">
      <c r="A1835">
        <v>807</v>
      </c>
      <c r="B1835">
        <v>1</v>
      </c>
      <c r="C1835" t="s">
        <v>1979</v>
      </c>
      <c r="D1835" t="s">
        <v>73</v>
      </c>
      <c r="E1835" t="s">
        <v>73</v>
      </c>
      <c r="F1835" t="s">
        <v>244</v>
      </c>
      <c r="G1835" t="s">
        <v>73</v>
      </c>
      <c r="H1835">
        <v>13.2</v>
      </c>
      <c r="I1835">
        <v>781</v>
      </c>
      <c r="J1835">
        <v>85510</v>
      </c>
      <c r="K1835" t="s">
        <v>1980</v>
      </c>
      <c r="L1835">
        <f t="shared" si="114"/>
        <v>11</v>
      </c>
      <c r="N1835">
        <v>11</v>
      </c>
      <c r="O1835">
        <v>6</v>
      </c>
      <c r="P1835">
        <v>0.54500000000000004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4</v>
      </c>
      <c r="AB1835">
        <v>6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5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1.333</v>
      </c>
      <c r="BN1835" s="2">
        <v>5.4169999999999998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f t="shared" si="117"/>
        <v>6.75</v>
      </c>
      <c r="BW1835" s="16">
        <f t="shared" si="115"/>
        <v>0.35526315789473684</v>
      </c>
      <c r="BX1835" s="16">
        <f>COUNTIF($BC$6:BU1835, "=0") / COUNTIF($BC$6:BU1835, "&gt;-1")</f>
        <v>0.44851883807880355</v>
      </c>
      <c r="BY1835" s="18">
        <f>SUM($BC$6:BU1835) / $BY$4</f>
        <v>0.99283765634824672</v>
      </c>
      <c r="BZ1835" s="14">
        <f t="shared" si="116"/>
        <v>17</v>
      </c>
      <c r="CA1835" t="s">
        <v>5832</v>
      </c>
      <c r="CZ1835" t="s">
        <v>8464</v>
      </c>
      <c r="DA1835" t="s">
        <v>5904</v>
      </c>
      <c r="DB1835">
        <v>1616.3</v>
      </c>
      <c r="DC1835" t="s">
        <v>21745</v>
      </c>
      <c r="DD1835" t="s">
        <v>21746</v>
      </c>
      <c r="DE1835" t="s">
        <v>21747</v>
      </c>
      <c r="DF1835" t="s">
        <v>21748</v>
      </c>
      <c r="DG1835" t="s">
        <v>21749</v>
      </c>
      <c r="DH1835" t="str">
        <f>"CTNNB1"</f>
        <v>CTNNB1</v>
      </c>
      <c r="DI1835" t="s">
        <v>21750</v>
      </c>
      <c r="DJ1835" t="s">
        <v>13777</v>
      </c>
      <c r="DK1835">
        <v>9606</v>
      </c>
      <c r="DL1835" s="34" t="str">
        <f>HYPERLINK("http://www.uniprot.org/uniprot/P35222", "P35222")</f>
        <v>P35222</v>
      </c>
      <c r="DM1835" t="s">
        <v>21751</v>
      </c>
      <c r="DN1835" t="s">
        <v>21752</v>
      </c>
      <c r="DO1835" t="s">
        <v>21753</v>
      </c>
      <c r="DP1835" t="s">
        <v>13870</v>
      </c>
      <c r="DQ1835" t="s">
        <v>13772</v>
      </c>
      <c r="DR1835" t="s">
        <v>17801</v>
      </c>
      <c r="DS1835" t="s">
        <v>14096</v>
      </c>
      <c r="DT1835" t="s">
        <v>13772</v>
      </c>
      <c r="DU1835" t="s">
        <v>21754</v>
      </c>
      <c r="DV1835" t="s">
        <v>21755</v>
      </c>
      <c r="DW1835" t="s">
        <v>13812</v>
      </c>
      <c r="DX1835" t="s">
        <v>21756</v>
      </c>
      <c r="DY1835" t="s">
        <v>21757</v>
      </c>
      <c r="DZ1835" t="s">
        <v>21758</v>
      </c>
      <c r="EA1835" t="s">
        <v>13772</v>
      </c>
      <c r="EB1835" t="s">
        <v>21759</v>
      </c>
    </row>
    <row r="1836" spans="1:132" hidden="1">
      <c r="A1836">
        <v>1476</v>
      </c>
      <c r="B1836">
        <v>1</v>
      </c>
      <c r="C1836" t="s">
        <v>3512</v>
      </c>
      <c r="D1836" t="s">
        <v>3513</v>
      </c>
      <c r="E1836" t="s">
        <v>73</v>
      </c>
      <c r="F1836" t="s">
        <v>3286</v>
      </c>
      <c r="G1836" t="s">
        <v>73</v>
      </c>
      <c r="H1836">
        <v>10.199999999999999</v>
      </c>
      <c r="I1836">
        <v>636</v>
      </c>
      <c r="J1836">
        <v>71214</v>
      </c>
      <c r="K1836" t="s">
        <v>3514</v>
      </c>
      <c r="L1836">
        <f t="shared" si="114"/>
        <v>10</v>
      </c>
      <c r="N1836">
        <v>10</v>
      </c>
      <c r="O1836">
        <v>5</v>
      </c>
      <c r="P1836">
        <v>0.5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</v>
      </c>
      <c r="AB1836">
        <v>2</v>
      </c>
      <c r="AC1836">
        <v>0</v>
      </c>
      <c r="AD1836">
        <v>0</v>
      </c>
      <c r="AE1836">
        <v>0</v>
      </c>
      <c r="AF1836">
        <v>3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</v>
      </c>
      <c r="AU1836">
        <v>2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4.5</v>
      </c>
      <c r="BN1836" s="2">
        <v>2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f t="shared" si="117"/>
        <v>6.5</v>
      </c>
      <c r="BW1836" s="16">
        <f t="shared" si="115"/>
        <v>0.34210526315789475</v>
      </c>
      <c r="BX1836" s="16">
        <f>COUNTIF($BC$6:BU1836, "=0") / COUNTIF($BC$6:BU1836, "&gt;-1")</f>
        <v>0.44876253988329645</v>
      </c>
      <c r="BY1836" s="18">
        <f>SUM($BC$6:BU1836) / $BY$4</f>
        <v>0.99286549998789331</v>
      </c>
      <c r="BZ1836" s="14">
        <f t="shared" si="116"/>
        <v>17</v>
      </c>
      <c r="CA1836" t="s">
        <v>5832</v>
      </c>
      <c r="CZ1836" t="s">
        <v>10652</v>
      </c>
      <c r="DA1836" t="s">
        <v>5904</v>
      </c>
      <c r="DB1836">
        <v>1290</v>
      </c>
      <c r="DC1836" t="s">
        <v>27977</v>
      </c>
      <c r="DD1836" t="s">
        <v>13772</v>
      </c>
      <c r="DE1836" t="s">
        <v>27978</v>
      </c>
      <c r="DF1836" t="s">
        <v>27979</v>
      </c>
      <c r="DG1836" t="s">
        <v>27980</v>
      </c>
      <c r="DH1836" t="str">
        <f>"HNRNPR"</f>
        <v>HNRNPR</v>
      </c>
      <c r="DI1836" t="s">
        <v>27981</v>
      </c>
      <c r="DJ1836" t="s">
        <v>13777</v>
      </c>
      <c r="DK1836">
        <v>9606</v>
      </c>
      <c r="DL1836" s="34" t="str">
        <f>HYPERLINK("http://www.uniprot.org/uniprot/O43390", "O43390")</f>
        <v>O43390</v>
      </c>
      <c r="DM1836" t="s">
        <v>27982</v>
      </c>
      <c r="DN1836" t="s">
        <v>15152</v>
      </c>
      <c r="DO1836" t="s">
        <v>27065</v>
      </c>
      <c r="DP1836" t="s">
        <v>13841</v>
      </c>
      <c r="DQ1836" t="s">
        <v>13772</v>
      </c>
      <c r="DR1836" t="s">
        <v>13772</v>
      </c>
      <c r="DS1836" t="s">
        <v>14096</v>
      </c>
      <c r="DT1836" t="s">
        <v>13772</v>
      </c>
      <c r="DU1836" t="s">
        <v>16089</v>
      </c>
      <c r="DV1836" t="s">
        <v>14312</v>
      </c>
      <c r="DW1836" t="s">
        <v>13812</v>
      </c>
      <c r="DX1836" t="s">
        <v>27983</v>
      </c>
      <c r="DY1836" t="s">
        <v>27984</v>
      </c>
      <c r="DZ1836" t="s">
        <v>27985</v>
      </c>
      <c r="EA1836" t="s">
        <v>13772</v>
      </c>
      <c r="EB1836" t="s">
        <v>22927</v>
      </c>
    </row>
    <row r="1837" spans="1:132" hidden="1">
      <c r="A1837">
        <v>565</v>
      </c>
      <c r="B1837">
        <v>1</v>
      </c>
      <c r="C1837" t="s">
        <v>1409</v>
      </c>
      <c r="D1837" t="s">
        <v>73</v>
      </c>
      <c r="E1837" t="s">
        <v>73</v>
      </c>
      <c r="F1837" t="s">
        <v>1410</v>
      </c>
      <c r="G1837" t="s">
        <v>73</v>
      </c>
      <c r="H1837">
        <v>18.399999999999999</v>
      </c>
      <c r="I1837">
        <v>473</v>
      </c>
      <c r="J1837">
        <v>51970</v>
      </c>
      <c r="K1837" t="s">
        <v>1411</v>
      </c>
      <c r="L1837">
        <f t="shared" si="114"/>
        <v>13</v>
      </c>
      <c r="N1837">
        <v>13</v>
      </c>
      <c r="O1837">
        <v>4</v>
      </c>
      <c r="P1837">
        <v>0.308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8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3</v>
      </c>
      <c r="BA1837">
        <v>0</v>
      </c>
      <c r="BB1837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1</v>
      </c>
      <c r="BH1837" s="2">
        <v>0</v>
      </c>
      <c r="BI1837" s="2">
        <v>0</v>
      </c>
      <c r="BJ1837" s="2">
        <v>0</v>
      </c>
      <c r="BK1837" s="2">
        <v>0.5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0.5</v>
      </c>
      <c r="BR1837" s="2">
        <v>0</v>
      </c>
      <c r="BS1837" s="2">
        <v>4.3639999999999999</v>
      </c>
      <c r="BT1837" s="2">
        <v>0</v>
      </c>
      <c r="BU1837" s="2">
        <v>0</v>
      </c>
      <c r="BV1837" s="2">
        <f t="shared" si="117"/>
        <v>6.3639999999999999</v>
      </c>
      <c r="BW1837" s="16">
        <f t="shared" si="115"/>
        <v>0.3349473684210526</v>
      </c>
      <c r="BX1837" s="16">
        <f>COUNTIF($BC$6:BU1837, "=0") / COUNTIF($BC$6:BU1837, "&gt;-1")</f>
        <v>0.44894851758216503</v>
      </c>
      <c r="BY1837" s="18">
        <f>SUM($BC$6:BU1837) / $BY$4</f>
        <v>0.99289276105292579</v>
      </c>
      <c r="BZ1837" s="14">
        <f t="shared" si="116"/>
        <v>15</v>
      </c>
      <c r="CA1837" t="s">
        <v>5832</v>
      </c>
      <c r="CZ1837" t="s">
        <v>7654</v>
      </c>
      <c r="DA1837" t="s">
        <v>5904</v>
      </c>
      <c r="DB1837">
        <v>869.4</v>
      </c>
      <c r="DC1837" t="s">
        <v>19341</v>
      </c>
      <c r="DD1837" t="s">
        <v>13772</v>
      </c>
      <c r="DE1837" t="s">
        <v>19342</v>
      </c>
      <c r="DF1837" t="s">
        <v>19343</v>
      </c>
      <c r="DG1837" t="s">
        <v>19344</v>
      </c>
      <c r="DH1837" t="str">
        <f>"DNPEP"</f>
        <v>DNPEP</v>
      </c>
      <c r="DI1837" t="s">
        <v>19345</v>
      </c>
      <c r="DJ1837" t="s">
        <v>13777</v>
      </c>
      <c r="DK1837">
        <v>9606</v>
      </c>
      <c r="DL1837" s="34" t="str">
        <f>HYPERLINK("http://www.uniprot.org/uniprot/Q9ULA0", "Q9ULA0")</f>
        <v>Q9ULA0</v>
      </c>
      <c r="DM1837" t="s">
        <v>19346</v>
      </c>
      <c r="DN1837" t="s">
        <v>13772</v>
      </c>
      <c r="DO1837" t="s">
        <v>13899</v>
      </c>
      <c r="DP1837" t="s">
        <v>13772</v>
      </c>
      <c r="DQ1837" t="s">
        <v>13772</v>
      </c>
      <c r="DR1837" t="s">
        <v>13772</v>
      </c>
      <c r="DS1837" t="s">
        <v>13772</v>
      </c>
      <c r="DT1837" t="s">
        <v>13856</v>
      </c>
      <c r="DU1837" t="s">
        <v>19025</v>
      </c>
      <c r="DV1837" t="s">
        <v>13886</v>
      </c>
      <c r="DW1837" t="s">
        <v>13812</v>
      </c>
      <c r="DX1837" t="s">
        <v>19347</v>
      </c>
      <c r="DY1837" t="s">
        <v>19348</v>
      </c>
      <c r="DZ1837" t="s">
        <v>19349</v>
      </c>
      <c r="EA1837" t="s">
        <v>13772</v>
      </c>
      <c r="EB1837" t="s">
        <v>13772</v>
      </c>
    </row>
    <row r="1838" spans="1:132" hidden="1">
      <c r="A1838">
        <v>1482</v>
      </c>
      <c r="B1838">
        <v>1</v>
      </c>
      <c r="C1838" t="s">
        <v>3526</v>
      </c>
      <c r="D1838" t="s">
        <v>3527</v>
      </c>
      <c r="E1838" t="s">
        <v>73</v>
      </c>
      <c r="F1838" t="s">
        <v>3528</v>
      </c>
      <c r="G1838" t="s">
        <v>73</v>
      </c>
      <c r="H1838">
        <v>17.5</v>
      </c>
      <c r="I1838">
        <v>661</v>
      </c>
      <c r="J1838">
        <v>72976</v>
      </c>
      <c r="K1838" t="s">
        <v>3529</v>
      </c>
      <c r="L1838">
        <f t="shared" si="114"/>
        <v>87</v>
      </c>
      <c r="N1838">
        <v>87</v>
      </c>
      <c r="O1838">
        <v>0</v>
      </c>
      <c r="P1838">
        <v>0</v>
      </c>
      <c r="Q1838">
        <v>3</v>
      </c>
      <c r="R1838">
        <v>6</v>
      </c>
      <c r="S1838">
        <v>4</v>
      </c>
      <c r="T1838">
        <v>3</v>
      </c>
      <c r="U1838">
        <v>5</v>
      </c>
      <c r="V1838">
        <v>7</v>
      </c>
      <c r="W1838">
        <v>6</v>
      </c>
      <c r="X1838">
        <v>3</v>
      </c>
      <c r="Y1838">
        <v>6</v>
      </c>
      <c r="Z1838">
        <v>2</v>
      </c>
      <c r="AA1838">
        <v>7</v>
      </c>
      <c r="AB1838">
        <v>9</v>
      </c>
      <c r="AC1838">
        <v>5</v>
      </c>
      <c r="AD1838">
        <v>4</v>
      </c>
      <c r="AE1838">
        <v>8</v>
      </c>
      <c r="AF1838">
        <v>4</v>
      </c>
      <c r="AG1838">
        <v>2</v>
      </c>
      <c r="AH1838">
        <v>2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 s="2">
        <v>0.5</v>
      </c>
      <c r="BD1838" s="2">
        <v>0.5</v>
      </c>
      <c r="BE1838" s="2">
        <v>1</v>
      </c>
      <c r="BF1838" s="2">
        <v>0.5</v>
      </c>
      <c r="BG1838" s="2">
        <v>0</v>
      </c>
      <c r="BH1838" s="2">
        <v>0.5</v>
      </c>
      <c r="BI1838" s="2">
        <v>0</v>
      </c>
      <c r="BJ1838" s="2">
        <v>0.5</v>
      </c>
      <c r="BK1838" s="2">
        <v>0</v>
      </c>
      <c r="BL1838" s="2">
        <v>0.5</v>
      </c>
      <c r="BM1838" s="2">
        <v>0.5</v>
      </c>
      <c r="BN1838" s="2">
        <v>0</v>
      </c>
      <c r="BO1838" s="2">
        <v>0</v>
      </c>
      <c r="BP1838" s="2">
        <v>0</v>
      </c>
      <c r="BQ1838" s="2">
        <v>0.5</v>
      </c>
      <c r="BR1838" s="2">
        <v>1</v>
      </c>
      <c r="BS1838" s="2">
        <v>0</v>
      </c>
      <c r="BT1838" s="2">
        <v>0.2</v>
      </c>
      <c r="BU1838" s="2">
        <v>0</v>
      </c>
      <c r="BV1838" s="2">
        <f t="shared" si="117"/>
        <v>6.2</v>
      </c>
      <c r="BW1838" s="16">
        <f t="shared" si="115"/>
        <v>0.32631578947368423</v>
      </c>
      <c r="BX1838" s="16">
        <f>COUNTIF($BC$6:BU1838, "=0") / COUNTIF($BC$6:BU1838, "&gt;-1")</f>
        <v>0.44893329887730782</v>
      </c>
      <c r="BY1838" s="18">
        <f>SUM($BC$6:BU1838) / $BY$4</f>
        <v>0.9929193196015117</v>
      </c>
      <c r="BZ1838" s="14">
        <f t="shared" si="116"/>
        <v>8</v>
      </c>
      <c r="CA1838" t="s">
        <v>5832</v>
      </c>
      <c r="CZ1838" t="s">
        <v>10672</v>
      </c>
      <c r="DA1838" t="s">
        <v>5904</v>
      </c>
      <c r="DB1838">
        <v>1280.8</v>
      </c>
      <c r="DC1838" t="s">
        <v>28036</v>
      </c>
      <c r="DD1838" t="s">
        <v>28037</v>
      </c>
      <c r="DE1838" t="s">
        <v>28038</v>
      </c>
      <c r="DF1838" t="s">
        <v>28039</v>
      </c>
      <c r="DG1838" t="s">
        <v>28040</v>
      </c>
      <c r="DH1838" t="str">
        <f>"HSPA1L"</f>
        <v>HSPA1L</v>
      </c>
      <c r="DI1838" t="s">
        <v>13772</v>
      </c>
      <c r="DJ1838" t="s">
        <v>13777</v>
      </c>
      <c r="DK1838">
        <v>9606</v>
      </c>
      <c r="DL1838" s="34" t="str">
        <f>HYPERLINK("http://www.uniprot.org/uniprot/P34931", "P34931")</f>
        <v>P34931</v>
      </c>
      <c r="DM1838" t="s">
        <v>28041</v>
      </c>
      <c r="DN1838" t="s">
        <v>13772</v>
      </c>
      <c r="DO1838" t="s">
        <v>13772</v>
      </c>
      <c r="DP1838" t="s">
        <v>13793</v>
      </c>
      <c r="DQ1838" t="s">
        <v>13772</v>
      </c>
      <c r="DR1838" t="s">
        <v>13772</v>
      </c>
      <c r="DS1838" t="s">
        <v>13772</v>
      </c>
      <c r="DT1838" t="s">
        <v>14005</v>
      </c>
      <c r="DU1838" t="s">
        <v>13772</v>
      </c>
      <c r="DV1838" t="s">
        <v>13772</v>
      </c>
      <c r="DW1838" t="s">
        <v>13812</v>
      </c>
      <c r="DX1838" t="s">
        <v>28042</v>
      </c>
      <c r="DY1838" t="s">
        <v>28043</v>
      </c>
      <c r="DZ1838" t="s">
        <v>28044</v>
      </c>
      <c r="EA1838" t="s">
        <v>13772</v>
      </c>
      <c r="EB1838" t="s">
        <v>28045</v>
      </c>
    </row>
    <row r="1839" spans="1:132" hidden="1">
      <c r="A1839">
        <v>2141</v>
      </c>
      <c r="B1839">
        <v>1</v>
      </c>
      <c r="C1839" t="s">
        <v>5020</v>
      </c>
      <c r="D1839" t="s">
        <v>73</v>
      </c>
      <c r="E1839" t="s">
        <v>73</v>
      </c>
      <c r="F1839" t="s">
        <v>359</v>
      </c>
      <c r="G1839" t="s">
        <v>73</v>
      </c>
      <c r="H1839">
        <v>23.4</v>
      </c>
      <c r="I1839">
        <v>145</v>
      </c>
      <c r="J1839">
        <v>16356</v>
      </c>
      <c r="K1839" t="s">
        <v>5021</v>
      </c>
      <c r="L1839">
        <f t="shared" si="114"/>
        <v>9</v>
      </c>
      <c r="N1839">
        <v>9</v>
      </c>
      <c r="O1839">
        <v>6</v>
      </c>
      <c r="P1839">
        <v>0.66700000000000004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3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2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2.1819999999999999</v>
      </c>
      <c r="BK1839" s="2">
        <v>1</v>
      </c>
      <c r="BL1839" s="2">
        <v>0</v>
      </c>
      <c r="BM1839" s="2">
        <v>0</v>
      </c>
      <c r="BN1839" s="2">
        <v>1</v>
      </c>
      <c r="BO1839" s="2">
        <v>0</v>
      </c>
      <c r="BP1839" s="2">
        <v>1</v>
      </c>
      <c r="BQ1839" s="2">
        <v>1</v>
      </c>
      <c r="BR1839" s="2">
        <v>0</v>
      </c>
      <c r="BS1839" s="2">
        <v>0</v>
      </c>
      <c r="BT1839" s="2">
        <v>0</v>
      </c>
      <c r="BU1839" s="2">
        <v>0</v>
      </c>
      <c r="BV1839" s="2">
        <f t="shared" si="117"/>
        <v>6.1820000000000004</v>
      </c>
      <c r="BW1839" s="16">
        <f t="shared" si="115"/>
        <v>0.32536842105263158</v>
      </c>
      <c r="BX1839" s="16">
        <f>COUNTIF($BC$6:BU1839, "=0") / COUNTIF($BC$6:BU1839, "&gt;-1")</f>
        <v>0.44909028295930664</v>
      </c>
      <c r="BY1839" s="18">
        <f>SUM($BC$6:BU1839) / $BY$4</f>
        <v>0.99294580104463404</v>
      </c>
      <c r="BZ1839" s="14">
        <f t="shared" si="116"/>
        <v>14</v>
      </c>
      <c r="CA1839" t="s">
        <v>5832</v>
      </c>
      <c r="CZ1839" t="s">
        <v>12883</v>
      </c>
      <c r="DA1839" t="s">
        <v>5904</v>
      </c>
      <c r="DB1839">
        <v>283.10000000000002</v>
      </c>
      <c r="DC1839" t="s">
        <v>34242</v>
      </c>
      <c r="DD1839" t="s">
        <v>13772</v>
      </c>
      <c r="DE1839" t="s">
        <v>34243</v>
      </c>
      <c r="DF1839" t="s">
        <v>34244</v>
      </c>
      <c r="DG1839" t="s">
        <v>34245</v>
      </c>
      <c r="DH1839" t="str">
        <f>"TNNC2"</f>
        <v>TNNC2</v>
      </c>
      <c r="DI1839" t="s">
        <v>13772</v>
      </c>
      <c r="DJ1839" t="s">
        <v>13777</v>
      </c>
      <c r="DK1839">
        <v>9606</v>
      </c>
      <c r="DL1839" s="34" t="str">
        <f>HYPERLINK("http://www.uniprot.org/uniprot/P02585", "P02585")</f>
        <v>P02585</v>
      </c>
      <c r="DM1839" t="s">
        <v>34246</v>
      </c>
      <c r="DN1839" t="s">
        <v>13772</v>
      </c>
      <c r="DO1839" t="s">
        <v>13772</v>
      </c>
      <c r="DP1839" t="s">
        <v>13772</v>
      </c>
      <c r="DQ1839" t="s">
        <v>13772</v>
      </c>
      <c r="DR1839" t="s">
        <v>13772</v>
      </c>
      <c r="DS1839" t="s">
        <v>14096</v>
      </c>
      <c r="DT1839" t="s">
        <v>13873</v>
      </c>
      <c r="DU1839" t="s">
        <v>17512</v>
      </c>
      <c r="DV1839" t="s">
        <v>14020</v>
      </c>
      <c r="DW1839" t="s">
        <v>13772</v>
      </c>
      <c r="DX1839" t="s">
        <v>34247</v>
      </c>
      <c r="DY1839" t="s">
        <v>18826</v>
      </c>
      <c r="DZ1839" t="s">
        <v>34248</v>
      </c>
      <c r="EA1839" t="s">
        <v>13772</v>
      </c>
      <c r="EB1839" t="s">
        <v>15657</v>
      </c>
    </row>
    <row r="1840" spans="1:132" hidden="1">
      <c r="A1840">
        <v>91</v>
      </c>
      <c r="B1840">
        <v>1</v>
      </c>
      <c r="C1840" t="s">
        <v>249</v>
      </c>
      <c r="D1840" t="s">
        <v>250</v>
      </c>
      <c r="E1840" t="s">
        <v>73</v>
      </c>
      <c r="F1840" t="s">
        <v>73</v>
      </c>
      <c r="G1840" t="s">
        <v>73</v>
      </c>
      <c r="H1840">
        <v>12.6</v>
      </c>
      <c r="I1840">
        <v>406</v>
      </c>
      <c r="J1840">
        <v>45626</v>
      </c>
      <c r="K1840" t="s">
        <v>251</v>
      </c>
      <c r="L1840">
        <f t="shared" si="114"/>
        <v>6</v>
      </c>
      <c r="N1840">
        <v>6</v>
      </c>
      <c r="O1840">
        <v>6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3</v>
      </c>
      <c r="Z1840">
        <v>0</v>
      </c>
      <c r="AA1840">
        <v>1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3</v>
      </c>
      <c r="AS1840">
        <v>0</v>
      </c>
      <c r="AT1840">
        <v>1</v>
      </c>
      <c r="AU1840">
        <v>0</v>
      </c>
      <c r="AV1840">
        <v>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3</v>
      </c>
      <c r="BL1840" s="2">
        <v>0</v>
      </c>
      <c r="BM1840" s="2">
        <v>1</v>
      </c>
      <c r="BN1840" s="2">
        <v>0</v>
      </c>
      <c r="BO1840" s="2">
        <v>2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f t="shared" si="117"/>
        <v>6</v>
      </c>
      <c r="BW1840" s="16">
        <f t="shared" si="115"/>
        <v>0.31578947368421051</v>
      </c>
      <c r="BX1840" s="16">
        <f>COUNTIF($BC$6:BU1840, "=0") / COUNTIF($BC$6:BU1840, "&gt;-1")</f>
        <v>0.44930446006023234</v>
      </c>
      <c r="BY1840" s="18">
        <f>SUM($BC$6:BU1840) / $BY$4</f>
        <v>0.99297150286584623</v>
      </c>
      <c r="BZ1840" s="14">
        <f t="shared" si="116"/>
        <v>16</v>
      </c>
      <c r="CA1840" t="s">
        <v>5832</v>
      </c>
      <c r="CZ1840" t="s">
        <v>6013</v>
      </c>
      <c r="DA1840" t="s">
        <v>5904</v>
      </c>
      <c r="DB1840">
        <v>827</v>
      </c>
      <c r="DC1840" t="s">
        <v>14197</v>
      </c>
      <c r="DD1840" t="s">
        <v>14198</v>
      </c>
      <c r="DE1840" t="s">
        <v>14199</v>
      </c>
      <c r="DF1840" t="s">
        <v>14200</v>
      </c>
      <c r="DG1840" t="s">
        <v>14201</v>
      </c>
      <c r="DH1840" t="str">
        <f>"PSMC5"</f>
        <v>PSMC5</v>
      </c>
      <c r="DI1840" t="s">
        <v>14202</v>
      </c>
      <c r="DJ1840" t="s">
        <v>13777</v>
      </c>
      <c r="DK1840">
        <v>9606</v>
      </c>
      <c r="DL1840" s="34" t="str">
        <f>HYPERLINK("http://www.uniprot.org/uniprot/P62195", "P62195")</f>
        <v>P62195</v>
      </c>
      <c r="DM1840" t="s">
        <v>14203</v>
      </c>
      <c r="DN1840" t="s">
        <v>13772</v>
      </c>
      <c r="DO1840" t="s">
        <v>14204</v>
      </c>
      <c r="DP1840" t="s">
        <v>13780</v>
      </c>
      <c r="DQ1840" t="s">
        <v>13772</v>
      </c>
      <c r="DR1840" t="s">
        <v>13772</v>
      </c>
      <c r="DS1840" t="s">
        <v>13772</v>
      </c>
      <c r="DT1840" t="s">
        <v>14005</v>
      </c>
      <c r="DU1840" t="s">
        <v>13772</v>
      </c>
      <c r="DV1840" t="s">
        <v>13886</v>
      </c>
      <c r="DW1840" t="s">
        <v>13812</v>
      </c>
      <c r="DX1840" t="s">
        <v>14205</v>
      </c>
      <c r="DY1840" t="s">
        <v>14206</v>
      </c>
      <c r="DZ1840" t="s">
        <v>14207</v>
      </c>
      <c r="EA1840" t="s">
        <v>13772</v>
      </c>
      <c r="EB1840" t="s">
        <v>14208</v>
      </c>
    </row>
    <row r="1841" spans="1:132" hidden="1">
      <c r="A1841">
        <v>103</v>
      </c>
      <c r="B1841">
        <v>1</v>
      </c>
      <c r="C1841" t="s">
        <v>276</v>
      </c>
      <c r="D1841" t="s">
        <v>73</v>
      </c>
      <c r="E1841" t="s">
        <v>73</v>
      </c>
      <c r="F1841" t="s">
        <v>73</v>
      </c>
      <c r="G1841" t="s">
        <v>73</v>
      </c>
      <c r="H1841">
        <v>34.299999999999997</v>
      </c>
      <c r="I1841">
        <v>70</v>
      </c>
      <c r="J1841">
        <v>8218</v>
      </c>
      <c r="K1841" t="s">
        <v>277</v>
      </c>
      <c r="L1841">
        <f t="shared" si="114"/>
        <v>6</v>
      </c>
      <c r="N1841">
        <v>6</v>
      </c>
      <c r="O1841">
        <v>6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3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</v>
      </c>
      <c r="AS1841">
        <v>0</v>
      </c>
      <c r="AT1841">
        <v>0</v>
      </c>
      <c r="AU1841">
        <v>3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2</v>
      </c>
      <c r="BL1841" s="2">
        <v>0</v>
      </c>
      <c r="BM1841" s="2">
        <v>0</v>
      </c>
      <c r="BN1841" s="2">
        <v>3</v>
      </c>
      <c r="BO1841" s="2">
        <v>1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f t="shared" si="117"/>
        <v>6</v>
      </c>
      <c r="BW1841" s="16">
        <f t="shared" si="115"/>
        <v>0.31578947368421051</v>
      </c>
      <c r="BX1841" s="16">
        <f>COUNTIF($BC$6:BU1841, "=0") / COUNTIF($BC$6:BU1841, "&gt;-1")</f>
        <v>0.4495184038527692</v>
      </c>
      <c r="BY1841" s="18">
        <f>SUM($BC$6:BU1841) / $BY$4</f>
        <v>0.99299720468705843</v>
      </c>
      <c r="BZ1841" s="14">
        <f t="shared" si="116"/>
        <v>16</v>
      </c>
      <c r="CA1841" t="s">
        <v>5832</v>
      </c>
      <c r="CZ1841" t="s">
        <v>6044</v>
      </c>
      <c r="DA1841" t="s">
        <v>5904</v>
      </c>
      <c r="DB1841">
        <v>137.5</v>
      </c>
      <c r="DC1841" t="s">
        <v>14306</v>
      </c>
      <c r="DD1841" t="s">
        <v>14307</v>
      </c>
      <c r="DE1841" t="s">
        <v>14308</v>
      </c>
      <c r="DF1841" t="s">
        <v>14309</v>
      </c>
      <c r="DG1841" t="s">
        <v>14310</v>
      </c>
      <c r="DH1841" t="str">
        <f>"RPL38"</f>
        <v>RPL38</v>
      </c>
      <c r="DI1841" t="s">
        <v>13772</v>
      </c>
      <c r="DJ1841" t="s">
        <v>13777</v>
      </c>
      <c r="DK1841">
        <v>9606</v>
      </c>
      <c r="DL1841" s="34" t="str">
        <f>HYPERLINK("http://www.uniprot.org/uniprot/P63173", "P63173")</f>
        <v>P63173</v>
      </c>
      <c r="DM1841" t="s">
        <v>14311</v>
      </c>
      <c r="DN1841" t="s">
        <v>13772</v>
      </c>
      <c r="DO1841" t="s">
        <v>13772</v>
      </c>
      <c r="DP1841" t="s">
        <v>13772</v>
      </c>
      <c r="DQ1841" t="s">
        <v>13772</v>
      </c>
      <c r="DR1841" t="s">
        <v>13772</v>
      </c>
      <c r="DS1841" t="s">
        <v>13772</v>
      </c>
      <c r="DT1841" t="s">
        <v>13772</v>
      </c>
      <c r="DU1841" t="s">
        <v>13937</v>
      </c>
      <c r="DV1841" t="s">
        <v>14312</v>
      </c>
      <c r="DW1841" t="s">
        <v>13812</v>
      </c>
      <c r="DX1841" t="s">
        <v>14313</v>
      </c>
      <c r="DY1841" t="s">
        <v>14314</v>
      </c>
      <c r="DZ1841" t="s">
        <v>14268</v>
      </c>
      <c r="EA1841" t="s">
        <v>13772</v>
      </c>
      <c r="EB1841" t="s">
        <v>13942</v>
      </c>
    </row>
    <row r="1842" spans="1:132" hidden="1">
      <c r="A1842">
        <v>208</v>
      </c>
      <c r="B1842">
        <v>1</v>
      </c>
      <c r="C1842" t="s">
        <v>525</v>
      </c>
      <c r="D1842" t="s">
        <v>526</v>
      </c>
      <c r="E1842" t="s">
        <v>73</v>
      </c>
      <c r="F1842" t="s">
        <v>73</v>
      </c>
      <c r="G1842" t="s">
        <v>73</v>
      </c>
      <c r="H1842">
        <v>5.2</v>
      </c>
      <c r="I1842">
        <v>1757</v>
      </c>
      <c r="J1842">
        <v>186244</v>
      </c>
      <c r="K1842" t="s">
        <v>527</v>
      </c>
      <c r="L1842">
        <f t="shared" si="114"/>
        <v>6</v>
      </c>
      <c r="N1842">
        <v>6</v>
      </c>
      <c r="O1842">
        <v>6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4</v>
      </c>
      <c r="AF1842">
        <v>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4</v>
      </c>
      <c r="AY1842">
        <v>2</v>
      </c>
      <c r="AZ1842">
        <v>0</v>
      </c>
      <c r="BA1842">
        <v>0</v>
      </c>
      <c r="BB184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4</v>
      </c>
      <c r="BR1842" s="2">
        <v>2</v>
      </c>
      <c r="BS1842" s="2">
        <v>0</v>
      </c>
      <c r="BT1842" s="2">
        <v>0</v>
      </c>
      <c r="BU1842" s="2">
        <v>0</v>
      </c>
      <c r="BV1842" s="2">
        <f t="shared" si="117"/>
        <v>6</v>
      </c>
      <c r="BW1842" s="16">
        <f t="shared" si="115"/>
        <v>0.31578947368421051</v>
      </c>
      <c r="BX1842" s="16">
        <f>COUNTIF($BC$6:BU1842, "=0") / COUNTIF($BC$6:BU1842, "&gt;-1")</f>
        <v>0.44976076555023925</v>
      </c>
      <c r="BY1842" s="18">
        <f>SUM($BC$6:BU1842) / $BY$4</f>
        <v>0.99302290650827063</v>
      </c>
      <c r="BZ1842" s="14">
        <f t="shared" si="116"/>
        <v>17</v>
      </c>
      <c r="CA1842" t="s">
        <v>5832</v>
      </c>
      <c r="CZ1842" t="s">
        <v>6415</v>
      </c>
      <c r="DA1842" t="s">
        <v>5904</v>
      </c>
      <c r="DB1842">
        <v>2307.3000000000002</v>
      </c>
      <c r="DC1842" t="s">
        <v>15546</v>
      </c>
      <c r="DD1842" t="s">
        <v>15547</v>
      </c>
      <c r="DE1842" t="s">
        <v>15548</v>
      </c>
      <c r="DF1842" t="s">
        <v>15549</v>
      </c>
      <c r="DG1842" t="s">
        <v>15550</v>
      </c>
      <c r="DH1842" t="str">
        <f>"ALPK3"</f>
        <v>ALPK3</v>
      </c>
      <c r="DI1842" t="s">
        <v>13772</v>
      </c>
      <c r="DJ1842" t="s">
        <v>13777</v>
      </c>
      <c r="DK1842">
        <v>9606</v>
      </c>
      <c r="DL1842" s="34" t="str">
        <f>HYPERLINK("http://www.uniprot.org/uniprot/Q96L96", "Q96L96")</f>
        <v>Q96L96</v>
      </c>
      <c r="DM1842" t="s">
        <v>15551</v>
      </c>
      <c r="DN1842" t="s">
        <v>13772</v>
      </c>
      <c r="DO1842" t="s">
        <v>14825</v>
      </c>
      <c r="DP1842" t="s">
        <v>13793</v>
      </c>
      <c r="DQ1842" t="s">
        <v>13772</v>
      </c>
      <c r="DR1842" t="s">
        <v>14848</v>
      </c>
      <c r="DS1842" t="s">
        <v>15552</v>
      </c>
      <c r="DT1842" t="s">
        <v>13772</v>
      </c>
      <c r="DU1842" t="s">
        <v>15553</v>
      </c>
      <c r="DV1842" t="s">
        <v>15554</v>
      </c>
      <c r="DW1842" t="s">
        <v>13772</v>
      </c>
      <c r="DX1842" t="s">
        <v>15555</v>
      </c>
      <c r="DY1842" t="s">
        <v>15556</v>
      </c>
      <c r="DZ1842" t="s">
        <v>15557</v>
      </c>
      <c r="EA1842" t="s">
        <v>13772</v>
      </c>
      <c r="EB1842" t="s">
        <v>13772</v>
      </c>
    </row>
    <row r="1843" spans="1:132" hidden="1">
      <c r="A1843">
        <v>248</v>
      </c>
      <c r="B1843">
        <v>1</v>
      </c>
      <c r="C1843" t="s">
        <v>630</v>
      </c>
      <c r="D1843" t="s">
        <v>631</v>
      </c>
      <c r="E1843" t="s">
        <v>73</v>
      </c>
      <c r="F1843" t="s">
        <v>73</v>
      </c>
      <c r="G1843" t="s">
        <v>73</v>
      </c>
      <c r="H1843">
        <v>12.4</v>
      </c>
      <c r="I1843">
        <v>338</v>
      </c>
      <c r="J1843">
        <v>38311</v>
      </c>
      <c r="K1843" t="s">
        <v>632</v>
      </c>
      <c r="L1843">
        <f t="shared" si="114"/>
        <v>6</v>
      </c>
      <c r="N1843">
        <v>6</v>
      </c>
      <c r="O1843">
        <v>6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2</v>
      </c>
      <c r="AB1843">
        <v>0</v>
      </c>
      <c r="AC1843">
        <v>0</v>
      </c>
      <c r="AD1843">
        <v>0</v>
      </c>
      <c r="AE1843">
        <v>1</v>
      </c>
      <c r="AF1843">
        <v>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2</v>
      </c>
      <c r="AU1843">
        <v>0</v>
      </c>
      <c r="AV1843">
        <v>0</v>
      </c>
      <c r="AW1843">
        <v>0</v>
      </c>
      <c r="AX1843">
        <v>1</v>
      </c>
      <c r="AY1843">
        <v>2</v>
      </c>
      <c r="AZ1843">
        <v>0</v>
      </c>
      <c r="BA1843">
        <v>0</v>
      </c>
      <c r="BB1843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1</v>
      </c>
      <c r="BL1843" s="2">
        <v>0</v>
      </c>
      <c r="BM1843" s="2">
        <v>2</v>
      </c>
      <c r="BN1843" s="2">
        <v>0</v>
      </c>
      <c r="BO1843" s="2">
        <v>0</v>
      </c>
      <c r="BP1843" s="2">
        <v>0</v>
      </c>
      <c r="BQ1843" s="2">
        <v>1</v>
      </c>
      <c r="BR1843" s="2">
        <v>2</v>
      </c>
      <c r="BS1843" s="2">
        <v>0</v>
      </c>
      <c r="BT1843" s="2">
        <v>0</v>
      </c>
      <c r="BU1843" s="2">
        <v>0</v>
      </c>
      <c r="BV1843" s="2">
        <f t="shared" si="117"/>
        <v>6</v>
      </c>
      <c r="BW1843" s="16">
        <f t="shared" si="115"/>
        <v>0.31578947368421051</v>
      </c>
      <c r="BX1843" s="16">
        <f>COUNTIF($BC$6:BU1843, "=0") / COUNTIF($BC$6:BU1843, "&gt;-1")</f>
        <v>0.44994559303590859</v>
      </c>
      <c r="BY1843" s="18">
        <f>SUM($BC$6:BU1843) / $BY$4</f>
        <v>0.99304860832948283</v>
      </c>
      <c r="BZ1843" s="14">
        <f t="shared" si="116"/>
        <v>15</v>
      </c>
      <c r="CA1843" t="s">
        <v>5832</v>
      </c>
      <c r="CZ1843" t="s">
        <v>6558</v>
      </c>
      <c r="DA1843" t="s">
        <v>5904</v>
      </c>
      <c r="DB1843">
        <v>679.1</v>
      </c>
      <c r="DC1843" t="s">
        <v>16001</v>
      </c>
      <c r="DD1843" t="s">
        <v>16002</v>
      </c>
      <c r="DE1843" t="s">
        <v>16003</v>
      </c>
      <c r="DF1843" t="s">
        <v>16004</v>
      </c>
      <c r="DG1843" t="s">
        <v>16005</v>
      </c>
      <c r="DH1843" t="str">
        <f>"AHSA1"</f>
        <v>AHSA1</v>
      </c>
      <c r="DI1843" t="s">
        <v>16006</v>
      </c>
      <c r="DJ1843" t="s">
        <v>13777</v>
      </c>
      <c r="DK1843">
        <v>9606</v>
      </c>
      <c r="DL1843" s="34" t="str">
        <f>HYPERLINK("http://www.uniprot.org/uniprot/O95433", "O95433")</f>
        <v>O95433</v>
      </c>
      <c r="DM1843" t="s">
        <v>16007</v>
      </c>
      <c r="DN1843" t="s">
        <v>15280</v>
      </c>
      <c r="DO1843" t="s">
        <v>14265</v>
      </c>
      <c r="DP1843" t="s">
        <v>13841</v>
      </c>
      <c r="DQ1843" t="s">
        <v>13772</v>
      </c>
      <c r="DR1843" t="s">
        <v>13772</v>
      </c>
      <c r="DS1843" t="s">
        <v>13772</v>
      </c>
      <c r="DT1843" t="s">
        <v>13772</v>
      </c>
      <c r="DU1843" t="s">
        <v>14477</v>
      </c>
      <c r="DV1843" t="s">
        <v>13991</v>
      </c>
      <c r="DW1843" t="s">
        <v>13812</v>
      </c>
      <c r="DX1843" t="s">
        <v>16008</v>
      </c>
      <c r="DY1843" t="s">
        <v>16009</v>
      </c>
      <c r="DZ1843" t="s">
        <v>16010</v>
      </c>
      <c r="EA1843" t="s">
        <v>13772</v>
      </c>
      <c r="EB1843" t="s">
        <v>13772</v>
      </c>
    </row>
    <row r="1844" spans="1:132" hidden="1">
      <c r="A1844">
        <v>273</v>
      </c>
      <c r="B1844">
        <v>1</v>
      </c>
      <c r="C1844" t="s">
        <v>692</v>
      </c>
      <c r="D1844" t="s">
        <v>693</v>
      </c>
      <c r="E1844" t="s">
        <v>73</v>
      </c>
      <c r="F1844" t="s">
        <v>73</v>
      </c>
      <c r="G1844" t="s">
        <v>73</v>
      </c>
      <c r="H1844">
        <v>24.3</v>
      </c>
      <c r="I1844">
        <v>148</v>
      </c>
      <c r="J1844">
        <v>16548</v>
      </c>
      <c r="K1844" t="s">
        <v>694</v>
      </c>
      <c r="L1844">
        <f t="shared" si="114"/>
        <v>6</v>
      </c>
      <c r="N1844">
        <v>6</v>
      </c>
      <c r="O1844">
        <v>6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2</v>
      </c>
      <c r="AB1844">
        <v>2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2</v>
      </c>
      <c r="AU1844">
        <v>2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0</v>
      </c>
      <c r="BM1844" s="2">
        <v>2</v>
      </c>
      <c r="BN1844" s="2">
        <v>2</v>
      </c>
      <c r="BO1844" s="2">
        <v>0</v>
      </c>
      <c r="BP1844" s="2">
        <v>0</v>
      </c>
      <c r="BQ1844" s="2">
        <v>1</v>
      </c>
      <c r="BR1844" s="2">
        <v>0</v>
      </c>
      <c r="BS1844" s="2">
        <v>0</v>
      </c>
      <c r="BT1844" s="2">
        <v>0</v>
      </c>
      <c r="BU1844" s="2">
        <v>0</v>
      </c>
      <c r="BV1844" s="2">
        <f t="shared" si="117"/>
        <v>6</v>
      </c>
      <c r="BW1844" s="16">
        <f t="shared" si="115"/>
        <v>0.31578947368421051</v>
      </c>
      <c r="BX1844" s="16">
        <f>COUNTIF($BC$6:BU1844, "=0") / COUNTIF($BC$6:BU1844, "&gt;-1")</f>
        <v>0.45013021951289317</v>
      </c>
      <c r="BY1844" s="18">
        <f>SUM($BC$6:BU1844) / $BY$4</f>
        <v>0.99307431015069503</v>
      </c>
      <c r="BZ1844" s="14">
        <f t="shared" si="116"/>
        <v>15</v>
      </c>
      <c r="CA1844" t="s">
        <v>5832</v>
      </c>
      <c r="CZ1844" t="s">
        <v>6646</v>
      </c>
      <c r="DA1844" t="s">
        <v>5904</v>
      </c>
      <c r="DB1844">
        <v>288.10000000000002</v>
      </c>
      <c r="DC1844" t="s">
        <v>16260</v>
      </c>
      <c r="DD1844" t="s">
        <v>16261</v>
      </c>
      <c r="DE1844" t="s">
        <v>16262</v>
      </c>
      <c r="DF1844" t="s">
        <v>16263</v>
      </c>
      <c r="DG1844" t="s">
        <v>16264</v>
      </c>
      <c r="DH1844" t="str">
        <f>"RPL27A"</f>
        <v>RPL27A</v>
      </c>
      <c r="DI1844" t="s">
        <v>13772</v>
      </c>
      <c r="DJ1844" t="s">
        <v>13777</v>
      </c>
      <c r="DK1844">
        <v>9606</v>
      </c>
      <c r="DL1844" s="34" t="str">
        <f>HYPERLINK("http://www.uniprot.org/uniprot/P46776", "P46776")</f>
        <v>P46776</v>
      </c>
      <c r="DM1844" t="s">
        <v>16265</v>
      </c>
      <c r="DN1844" t="s">
        <v>13772</v>
      </c>
      <c r="DO1844" t="s">
        <v>13772</v>
      </c>
      <c r="DP1844" t="s">
        <v>13772</v>
      </c>
      <c r="DQ1844" t="s">
        <v>13772</v>
      </c>
      <c r="DR1844" t="s">
        <v>13772</v>
      </c>
      <c r="DS1844" t="s">
        <v>13772</v>
      </c>
      <c r="DT1844" t="s">
        <v>13772</v>
      </c>
      <c r="DU1844" t="s">
        <v>13937</v>
      </c>
      <c r="DV1844" t="s">
        <v>16266</v>
      </c>
      <c r="DW1844" t="s">
        <v>13812</v>
      </c>
      <c r="DX1844" t="s">
        <v>15972</v>
      </c>
      <c r="DY1844" t="s">
        <v>16267</v>
      </c>
      <c r="DZ1844" t="s">
        <v>14268</v>
      </c>
      <c r="EA1844" t="s">
        <v>13772</v>
      </c>
      <c r="EB1844" t="s">
        <v>13942</v>
      </c>
    </row>
    <row r="1845" spans="1:132" hidden="1">
      <c r="A1845">
        <v>314</v>
      </c>
      <c r="B1845">
        <v>1</v>
      </c>
      <c r="C1845" t="s">
        <v>788</v>
      </c>
      <c r="D1845" t="s">
        <v>73</v>
      </c>
      <c r="E1845" t="s">
        <v>73</v>
      </c>
      <c r="F1845" t="s">
        <v>73</v>
      </c>
      <c r="G1845" t="s">
        <v>73</v>
      </c>
      <c r="H1845">
        <v>20.399999999999999</v>
      </c>
      <c r="I1845">
        <v>226</v>
      </c>
      <c r="J1845">
        <v>25485</v>
      </c>
      <c r="K1845" t="s">
        <v>789</v>
      </c>
      <c r="L1845">
        <f t="shared" si="114"/>
        <v>6</v>
      </c>
      <c r="N1845">
        <v>6</v>
      </c>
      <c r="O1845">
        <v>6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4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s="2">
        <v>0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4</v>
      </c>
      <c r="BN1845" s="2">
        <v>1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f t="shared" si="117"/>
        <v>6</v>
      </c>
      <c r="BW1845" s="16">
        <f t="shared" si="115"/>
        <v>0.31578947368421051</v>
      </c>
      <c r="BX1845" s="16">
        <f>COUNTIF($BC$6:BU1845, "=0") / COUNTIF($BC$6:BU1845, "&gt;-1")</f>
        <v>0.45034324942791765</v>
      </c>
      <c r="BY1845" s="18">
        <f>SUM($BC$6:BU1845) / $BY$4</f>
        <v>0.99310001197190723</v>
      </c>
      <c r="BZ1845" s="14">
        <f t="shared" si="116"/>
        <v>16</v>
      </c>
      <c r="CA1845" t="s">
        <v>5832</v>
      </c>
      <c r="CZ1845" t="s">
        <v>6783</v>
      </c>
      <c r="DA1845" t="s">
        <v>5904</v>
      </c>
      <c r="DB1845">
        <v>416.4</v>
      </c>
      <c r="DC1845" t="s">
        <v>16683</v>
      </c>
      <c r="DD1845" t="s">
        <v>16684</v>
      </c>
      <c r="DE1845" t="s">
        <v>16685</v>
      </c>
      <c r="DF1845" t="s">
        <v>16686</v>
      </c>
      <c r="DG1845" t="s">
        <v>16687</v>
      </c>
      <c r="DH1845" t="str">
        <f>"GSTK1"</f>
        <v>GSTK1</v>
      </c>
      <c r="DI1845" t="s">
        <v>13772</v>
      </c>
      <c r="DJ1845" t="s">
        <v>13777</v>
      </c>
      <c r="DK1845">
        <v>9606</v>
      </c>
      <c r="DL1845" s="34" t="str">
        <f>HYPERLINK("http://www.uniprot.org/uniprot/Q9Y2Q3", "Q9Y2Q3")</f>
        <v>Q9Y2Q3</v>
      </c>
      <c r="DM1845" t="s">
        <v>16688</v>
      </c>
      <c r="DN1845" t="s">
        <v>13772</v>
      </c>
      <c r="DO1845" t="s">
        <v>16689</v>
      </c>
      <c r="DP1845" t="s">
        <v>13841</v>
      </c>
      <c r="DQ1845" t="s">
        <v>13772</v>
      </c>
      <c r="DR1845" t="s">
        <v>13772</v>
      </c>
      <c r="DS1845" t="s">
        <v>13772</v>
      </c>
      <c r="DT1845" t="s">
        <v>13772</v>
      </c>
      <c r="DU1845" t="s">
        <v>14111</v>
      </c>
      <c r="DV1845" t="s">
        <v>14020</v>
      </c>
      <c r="DW1845" t="s">
        <v>13812</v>
      </c>
      <c r="DX1845" t="s">
        <v>16690</v>
      </c>
      <c r="DY1845" t="s">
        <v>16691</v>
      </c>
      <c r="DZ1845" t="s">
        <v>16692</v>
      </c>
      <c r="EA1845" t="s">
        <v>13772</v>
      </c>
      <c r="EB1845" t="s">
        <v>16693</v>
      </c>
    </row>
    <row r="1846" spans="1:132" hidden="1">
      <c r="A1846">
        <v>327</v>
      </c>
      <c r="B1846">
        <v>1</v>
      </c>
      <c r="C1846" t="s">
        <v>822</v>
      </c>
      <c r="D1846" t="s">
        <v>73</v>
      </c>
      <c r="E1846" t="s">
        <v>73</v>
      </c>
      <c r="F1846" t="s">
        <v>73</v>
      </c>
      <c r="G1846" t="s">
        <v>73</v>
      </c>
      <c r="H1846">
        <v>40.200000000000003</v>
      </c>
      <c r="I1846">
        <v>97</v>
      </c>
      <c r="J1846">
        <v>10840</v>
      </c>
      <c r="K1846" t="s">
        <v>823</v>
      </c>
      <c r="L1846">
        <f t="shared" si="114"/>
        <v>6</v>
      </c>
      <c r="N1846">
        <v>6</v>
      </c>
      <c r="O1846">
        <v>6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4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4</v>
      </c>
      <c r="AZ1846">
        <v>0</v>
      </c>
      <c r="BA1846">
        <v>0</v>
      </c>
      <c r="BB1846">
        <v>0</v>
      </c>
      <c r="BC1846" s="2">
        <v>0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1</v>
      </c>
      <c r="BN1846" s="2">
        <v>0</v>
      </c>
      <c r="BO1846" s="2">
        <v>0</v>
      </c>
      <c r="BP1846" s="2">
        <v>0</v>
      </c>
      <c r="BQ1846" s="2">
        <v>0</v>
      </c>
      <c r="BR1846" s="2">
        <v>4</v>
      </c>
      <c r="BS1846" s="2">
        <v>0</v>
      </c>
      <c r="BT1846" s="2">
        <v>0</v>
      </c>
      <c r="BU1846" s="2">
        <v>0</v>
      </c>
      <c r="BV1846" s="2">
        <f t="shared" si="117"/>
        <v>6</v>
      </c>
      <c r="BW1846" s="16">
        <f t="shared" si="115"/>
        <v>0.31578947368421051</v>
      </c>
      <c r="BX1846" s="16">
        <f>COUNTIF($BC$6:BU1846, "=0") / COUNTIF($BC$6:BU1846, "&gt;-1")</f>
        <v>0.45055604791446296</v>
      </c>
      <c r="BY1846" s="18">
        <f>SUM($BC$6:BU1846) / $BY$4</f>
        <v>0.99312571379311942</v>
      </c>
      <c r="BZ1846" s="14">
        <f t="shared" si="116"/>
        <v>16</v>
      </c>
      <c r="CA1846" t="s">
        <v>5832</v>
      </c>
      <c r="CZ1846" t="s">
        <v>6833</v>
      </c>
      <c r="DA1846" t="s">
        <v>5904</v>
      </c>
      <c r="DB1846">
        <v>194.1</v>
      </c>
      <c r="DC1846" t="s">
        <v>16824</v>
      </c>
      <c r="DD1846" t="s">
        <v>16825</v>
      </c>
      <c r="DE1846" t="s">
        <v>16826</v>
      </c>
      <c r="DF1846" t="s">
        <v>16827</v>
      </c>
      <c r="DG1846" t="s">
        <v>13772</v>
      </c>
      <c r="DH1846" t="str">
        <f>"NPY"</f>
        <v>NPY</v>
      </c>
      <c r="DI1846" t="s">
        <v>13772</v>
      </c>
      <c r="DJ1846" t="s">
        <v>13777</v>
      </c>
      <c r="DK1846">
        <v>9606</v>
      </c>
      <c r="DL1846" s="34" t="str">
        <f>HYPERLINK("http://www.uniprot.org/uniprot/P01303", "P01303")</f>
        <v>P01303</v>
      </c>
      <c r="DM1846" t="s">
        <v>16828</v>
      </c>
      <c r="DN1846" t="s">
        <v>13772</v>
      </c>
      <c r="DO1846" t="s">
        <v>14321</v>
      </c>
      <c r="DP1846" t="s">
        <v>13793</v>
      </c>
      <c r="DQ1846" t="s">
        <v>13772</v>
      </c>
      <c r="DR1846" t="s">
        <v>13772</v>
      </c>
      <c r="DS1846" t="s">
        <v>13808</v>
      </c>
      <c r="DT1846" t="s">
        <v>13772</v>
      </c>
      <c r="DU1846" t="s">
        <v>16829</v>
      </c>
      <c r="DV1846" t="s">
        <v>16830</v>
      </c>
      <c r="DW1846" t="s">
        <v>13812</v>
      </c>
      <c r="DX1846" t="s">
        <v>16831</v>
      </c>
      <c r="DY1846" t="s">
        <v>16832</v>
      </c>
      <c r="DZ1846" t="s">
        <v>16833</v>
      </c>
      <c r="EA1846" t="s">
        <v>13772</v>
      </c>
      <c r="EB1846" t="s">
        <v>16834</v>
      </c>
    </row>
    <row r="1847" spans="1:132" hidden="1">
      <c r="A1847">
        <v>346</v>
      </c>
      <c r="B1847">
        <v>1</v>
      </c>
      <c r="C1847" t="s">
        <v>868</v>
      </c>
      <c r="D1847" t="s">
        <v>73</v>
      </c>
      <c r="E1847" t="s">
        <v>73</v>
      </c>
      <c r="F1847" t="s">
        <v>73</v>
      </c>
      <c r="G1847" t="s">
        <v>73</v>
      </c>
      <c r="H1847">
        <v>12.4</v>
      </c>
      <c r="I1847">
        <v>421</v>
      </c>
      <c r="J1847">
        <v>48000</v>
      </c>
      <c r="K1847" t="s">
        <v>869</v>
      </c>
      <c r="L1847">
        <f t="shared" si="114"/>
        <v>6</v>
      </c>
      <c r="N1847">
        <v>6</v>
      </c>
      <c r="O1847">
        <v>6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</v>
      </c>
      <c r="Z1847">
        <v>0</v>
      </c>
      <c r="AA1847">
        <v>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0</v>
      </c>
      <c r="AT1847">
        <v>3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3</v>
      </c>
      <c r="BL1847" s="2">
        <v>0</v>
      </c>
      <c r="BM1847" s="2">
        <v>3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f t="shared" si="117"/>
        <v>6</v>
      </c>
      <c r="BW1847" s="16">
        <f t="shared" si="115"/>
        <v>0.31578947368421051</v>
      </c>
      <c r="BX1847" s="16">
        <f>COUNTIF($BC$6:BU1847, "=0") / COUNTIF($BC$6:BU1847, "&gt;-1")</f>
        <v>0.45079718841076633</v>
      </c>
      <c r="BY1847" s="18">
        <f>SUM($BC$6:BU1847) / $BY$4</f>
        <v>0.99315141561433162</v>
      </c>
      <c r="BZ1847" s="14">
        <f t="shared" si="116"/>
        <v>17</v>
      </c>
      <c r="CA1847" t="s">
        <v>5832</v>
      </c>
      <c r="CZ1847" t="s">
        <v>6900</v>
      </c>
      <c r="DA1847" t="s">
        <v>5904</v>
      </c>
      <c r="DB1847">
        <v>829.3</v>
      </c>
      <c r="DC1847" t="s">
        <v>17032</v>
      </c>
      <c r="DD1847" t="s">
        <v>17033</v>
      </c>
      <c r="DE1847" t="s">
        <v>17034</v>
      </c>
      <c r="DF1847" t="s">
        <v>17035</v>
      </c>
      <c r="DG1847" t="s">
        <v>17036</v>
      </c>
      <c r="DH1847" t="str">
        <f>"TES"</f>
        <v>TES</v>
      </c>
      <c r="DI1847" t="s">
        <v>13772</v>
      </c>
      <c r="DJ1847" t="s">
        <v>13777</v>
      </c>
      <c r="DK1847">
        <v>9606</v>
      </c>
      <c r="DL1847" s="34" t="str">
        <f>HYPERLINK("http://www.uniprot.org/uniprot/Q9UGI8", "Q9UGI8")</f>
        <v>Q9UGI8</v>
      </c>
      <c r="DM1847" t="s">
        <v>17037</v>
      </c>
      <c r="DN1847" t="s">
        <v>13772</v>
      </c>
      <c r="DO1847" t="s">
        <v>17038</v>
      </c>
      <c r="DP1847" t="s">
        <v>13780</v>
      </c>
      <c r="DQ1847" t="s">
        <v>13772</v>
      </c>
      <c r="DR1847" t="s">
        <v>13772</v>
      </c>
      <c r="DS1847" t="s">
        <v>15529</v>
      </c>
      <c r="DT1847" t="s">
        <v>13856</v>
      </c>
      <c r="DU1847" t="s">
        <v>13772</v>
      </c>
      <c r="DV1847" t="s">
        <v>13772</v>
      </c>
      <c r="DW1847" t="s">
        <v>13812</v>
      </c>
      <c r="DX1847" t="s">
        <v>17039</v>
      </c>
      <c r="DY1847" t="s">
        <v>17040</v>
      </c>
      <c r="DZ1847" t="s">
        <v>17041</v>
      </c>
      <c r="EA1847" t="s">
        <v>13772</v>
      </c>
      <c r="EB1847" t="s">
        <v>13772</v>
      </c>
    </row>
    <row r="1848" spans="1:132" hidden="1">
      <c r="A1848">
        <v>444</v>
      </c>
      <c r="B1848">
        <v>1</v>
      </c>
      <c r="C1848" t="s">
        <v>1112</v>
      </c>
      <c r="D1848" t="s">
        <v>73</v>
      </c>
      <c r="E1848" t="s">
        <v>73</v>
      </c>
      <c r="F1848" t="s">
        <v>73</v>
      </c>
      <c r="G1848" t="s">
        <v>73</v>
      </c>
      <c r="H1848">
        <v>6.8</v>
      </c>
      <c r="I1848">
        <v>571</v>
      </c>
      <c r="J1848">
        <v>59882</v>
      </c>
      <c r="K1848" t="s">
        <v>1113</v>
      </c>
      <c r="L1848">
        <f t="shared" si="114"/>
        <v>6</v>
      </c>
      <c r="N1848">
        <v>6</v>
      </c>
      <c r="O1848">
        <v>6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1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</v>
      </c>
      <c r="AP1848">
        <v>1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2</v>
      </c>
      <c r="BI1848" s="2">
        <v>1</v>
      </c>
      <c r="BJ1848" s="2">
        <v>3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f t="shared" si="117"/>
        <v>6</v>
      </c>
      <c r="BW1848" s="16">
        <f t="shared" si="115"/>
        <v>0.31578947368421051</v>
      </c>
      <c r="BX1848" s="16">
        <f>COUNTIF($BC$6:BU1848, "=0") / COUNTIF($BC$6:BU1848, "&gt;-1")</f>
        <v>0.45100950966673331</v>
      </c>
      <c r="BY1848" s="18">
        <f>SUM($BC$6:BU1848) / $BY$4</f>
        <v>0.99317711743554382</v>
      </c>
      <c r="BZ1848" s="14">
        <f t="shared" si="116"/>
        <v>16</v>
      </c>
      <c r="CA1848" t="s">
        <v>5832</v>
      </c>
      <c r="CZ1848" t="s">
        <v>7240</v>
      </c>
      <c r="DA1848" t="s">
        <v>5904</v>
      </c>
      <c r="DB1848">
        <v>776.9</v>
      </c>
      <c r="DC1848" t="s">
        <v>18101</v>
      </c>
      <c r="DD1848" t="s">
        <v>18102</v>
      </c>
      <c r="DE1848" t="s">
        <v>18103</v>
      </c>
      <c r="DF1848" t="s">
        <v>18104</v>
      </c>
      <c r="DG1848" t="s">
        <v>18105</v>
      </c>
      <c r="DH1848" t="str">
        <f>"TNFRSF11A"</f>
        <v>TNFRSF11A</v>
      </c>
      <c r="DI1848" t="s">
        <v>18106</v>
      </c>
      <c r="DJ1848" t="s">
        <v>13777</v>
      </c>
      <c r="DK1848">
        <v>9606</v>
      </c>
      <c r="DL1848" s="34" t="str">
        <f>HYPERLINK("http://www.uniprot.org/uniprot/Q9Y6Q6", "Q9Y6Q6")</f>
        <v>Q9Y6Q6</v>
      </c>
      <c r="DM1848" t="s">
        <v>18107</v>
      </c>
      <c r="DN1848" t="s">
        <v>13772</v>
      </c>
      <c r="DO1848" t="s">
        <v>13792</v>
      </c>
      <c r="DP1848" t="s">
        <v>13780</v>
      </c>
      <c r="DQ1848" t="s">
        <v>13772</v>
      </c>
      <c r="DR1848" t="s">
        <v>18108</v>
      </c>
      <c r="DS1848" t="s">
        <v>13826</v>
      </c>
      <c r="DT1848" t="s">
        <v>18109</v>
      </c>
      <c r="DU1848" t="s">
        <v>13795</v>
      </c>
      <c r="DV1848" t="s">
        <v>13964</v>
      </c>
      <c r="DW1848" t="s">
        <v>13812</v>
      </c>
      <c r="DX1848" t="s">
        <v>18110</v>
      </c>
      <c r="DY1848" t="s">
        <v>18111</v>
      </c>
      <c r="DZ1848" t="s">
        <v>18112</v>
      </c>
      <c r="EA1848" t="s">
        <v>13772</v>
      </c>
      <c r="EB1848" t="s">
        <v>18113</v>
      </c>
    </row>
    <row r="1849" spans="1:132" hidden="1">
      <c r="A1849">
        <v>466</v>
      </c>
      <c r="B1849">
        <v>1</v>
      </c>
      <c r="C1849" t="s">
        <v>1168</v>
      </c>
      <c r="D1849" t="s">
        <v>73</v>
      </c>
      <c r="E1849" t="s">
        <v>73</v>
      </c>
      <c r="F1849" t="s">
        <v>73</v>
      </c>
      <c r="G1849" t="s">
        <v>73</v>
      </c>
      <c r="H1849">
        <v>13.1</v>
      </c>
      <c r="I1849">
        <v>312</v>
      </c>
      <c r="J1849">
        <v>34603</v>
      </c>
      <c r="K1849" t="s">
        <v>1169</v>
      </c>
      <c r="L1849">
        <f t="shared" si="114"/>
        <v>6</v>
      </c>
      <c r="N1849">
        <v>6</v>
      </c>
      <c r="O1849">
        <v>6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</v>
      </c>
      <c r="AU1849">
        <v>3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3</v>
      </c>
      <c r="BN1849" s="2">
        <v>3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f t="shared" si="117"/>
        <v>6</v>
      </c>
      <c r="BW1849" s="16">
        <f t="shared" si="115"/>
        <v>0.31578947368421051</v>
      </c>
      <c r="BX1849" s="16">
        <f>COUNTIF($BC$6:BU1849, "=0") / COUNTIF($BC$6:BU1849, "&gt;-1")</f>
        <v>0.45125014271035507</v>
      </c>
      <c r="BY1849" s="18">
        <f>SUM($BC$6:BU1849) / $BY$4</f>
        <v>0.99320281925675613</v>
      </c>
      <c r="BZ1849" s="14">
        <f t="shared" si="116"/>
        <v>17</v>
      </c>
      <c r="CA1849" t="s">
        <v>5832</v>
      </c>
      <c r="CZ1849" t="s">
        <v>7318</v>
      </c>
      <c r="DA1849" t="s">
        <v>5904</v>
      </c>
      <c r="DB1849">
        <v>550.4</v>
      </c>
      <c r="DC1849" t="s">
        <v>18339</v>
      </c>
      <c r="DD1849" t="s">
        <v>18340</v>
      </c>
      <c r="DE1849" t="s">
        <v>18341</v>
      </c>
      <c r="DF1849" t="s">
        <v>18342</v>
      </c>
      <c r="DG1849" t="s">
        <v>18343</v>
      </c>
      <c r="DH1849" t="str">
        <f>"HSD17B12"</f>
        <v>HSD17B12</v>
      </c>
      <c r="DI1849" t="s">
        <v>18344</v>
      </c>
      <c r="DJ1849" t="s">
        <v>13777</v>
      </c>
      <c r="DK1849">
        <v>9606</v>
      </c>
      <c r="DL1849" s="34" t="str">
        <f>HYPERLINK("http://www.uniprot.org/uniprot/Q53GQ0", "Q53GQ0")</f>
        <v>Q53GQ0</v>
      </c>
      <c r="DM1849" t="s">
        <v>18345</v>
      </c>
      <c r="DN1849" t="s">
        <v>18346</v>
      </c>
      <c r="DO1849" t="s">
        <v>14714</v>
      </c>
      <c r="DP1849" t="s">
        <v>13780</v>
      </c>
      <c r="DQ1849" t="s">
        <v>13772</v>
      </c>
      <c r="DR1849" t="s">
        <v>13772</v>
      </c>
      <c r="DS1849" t="s">
        <v>13925</v>
      </c>
      <c r="DT1849" t="s">
        <v>15759</v>
      </c>
      <c r="DU1849" t="s">
        <v>13885</v>
      </c>
      <c r="DV1849" t="s">
        <v>13772</v>
      </c>
      <c r="DW1849" t="s">
        <v>13772</v>
      </c>
      <c r="DX1849" t="s">
        <v>18347</v>
      </c>
      <c r="DY1849" t="s">
        <v>18348</v>
      </c>
      <c r="DZ1849" t="s">
        <v>18349</v>
      </c>
      <c r="EA1849" t="s">
        <v>18350</v>
      </c>
      <c r="EB1849" t="s">
        <v>18351</v>
      </c>
    </row>
    <row r="1850" spans="1:132" hidden="1">
      <c r="A1850">
        <v>468</v>
      </c>
      <c r="B1850">
        <v>1</v>
      </c>
      <c r="C1850" t="s">
        <v>1173</v>
      </c>
      <c r="D1850" t="s">
        <v>1174</v>
      </c>
      <c r="E1850" t="s">
        <v>73</v>
      </c>
      <c r="F1850" t="s">
        <v>73</v>
      </c>
      <c r="G1850" t="s">
        <v>73</v>
      </c>
      <c r="H1850">
        <v>13.7</v>
      </c>
      <c r="I1850">
        <v>578</v>
      </c>
      <c r="J1850">
        <v>59301</v>
      </c>
      <c r="K1850" t="s">
        <v>1175</v>
      </c>
      <c r="L1850">
        <f t="shared" si="114"/>
        <v>6</v>
      </c>
      <c r="N1850">
        <v>6</v>
      </c>
      <c r="O1850">
        <v>6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2</v>
      </c>
      <c r="V1850">
        <v>0</v>
      </c>
      <c r="W1850">
        <v>0</v>
      </c>
      <c r="X1850">
        <v>0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</v>
      </c>
      <c r="AO1850">
        <v>0</v>
      </c>
      <c r="AP1850">
        <v>0</v>
      </c>
      <c r="AQ1850">
        <v>0</v>
      </c>
      <c r="AR1850">
        <v>4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2</v>
      </c>
      <c r="BH1850" s="2">
        <v>0</v>
      </c>
      <c r="BI1850" s="2">
        <v>0</v>
      </c>
      <c r="BJ1850" s="2">
        <v>0</v>
      </c>
      <c r="BK1850" s="2">
        <v>4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f t="shared" si="117"/>
        <v>6</v>
      </c>
      <c r="BW1850" s="16">
        <f t="shared" si="115"/>
        <v>0.31578947368421051</v>
      </c>
      <c r="BX1850" s="16">
        <f>COUNTIF($BC$6:BU1850, "=0") / COUNTIF($BC$6:BU1850, "&gt;-1")</f>
        <v>0.45149051490514908</v>
      </c>
      <c r="BY1850" s="18">
        <f>SUM($BC$6:BU1850) / $BY$4</f>
        <v>0.99322852107796833</v>
      </c>
      <c r="BZ1850" s="14">
        <f t="shared" si="116"/>
        <v>17</v>
      </c>
      <c r="CA1850" t="s">
        <v>5832</v>
      </c>
      <c r="CZ1850" t="s">
        <v>7327</v>
      </c>
      <c r="DA1850" t="s">
        <v>5904</v>
      </c>
      <c r="DB1850">
        <v>1006.5</v>
      </c>
      <c r="DC1850" t="s">
        <v>18364</v>
      </c>
      <c r="DD1850" t="s">
        <v>18365</v>
      </c>
      <c r="DE1850" t="s">
        <v>18366</v>
      </c>
      <c r="DF1850" t="s">
        <v>18367</v>
      </c>
      <c r="DG1850" t="s">
        <v>18368</v>
      </c>
      <c r="DH1850" t="str">
        <f>"TKFC"</f>
        <v>TKFC</v>
      </c>
      <c r="DI1850" t="s">
        <v>13772</v>
      </c>
      <c r="DJ1850" t="s">
        <v>13777</v>
      </c>
      <c r="DK1850">
        <v>9606</v>
      </c>
      <c r="DL1850" s="34" t="str">
        <f>HYPERLINK("http://www.uniprot.org/uniprot/Q3LXA3", "Q3LXA3")</f>
        <v>Q3LXA3</v>
      </c>
      <c r="DM1850" t="s">
        <v>18369</v>
      </c>
      <c r="DN1850" t="s">
        <v>13772</v>
      </c>
      <c r="DO1850" t="s">
        <v>13772</v>
      </c>
      <c r="DP1850" t="s">
        <v>13780</v>
      </c>
      <c r="DQ1850" t="s">
        <v>13772</v>
      </c>
      <c r="DR1850" t="s">
        <v>13772</v>
      </c>
      <c r="DS1850" t="s">
        <v>13772</v>
      </c>
      <c r="DT1850" t="s">
        <v>18370</v>
      </c>
      <c r="DU1850" t="s">
        <v>18371</v>
      </c>
      <c r="DV1850" t="s">
        <v>13782</v>
      </c>
      <c r="DW1850" t="s">
        <v>13772</v>
      </c>
      <c r="DX1850" t="s">
        <v>18372</v>
      </c>
      <c r="DY1850" t="s">
        <v>14135</v>
      </c>
      <c r="DZ1850" t="s">
        <v>18373</v>
      </c>
      <c r="EA1850" t="s">
        <v>13772</v>
      </c>
      <c r="EB1850" t="s">
        <v>18374</v>
      </c>
    </row>
    <row r="1851" spans="1:132" hidden="1">
      <c r="A1851">
        <v>474</v>
      </c>
      <c r="B1851">
        <v>1</v>
      </c>
      <c r="C1851" t="s">
        <v>1191</v>
      </c>
      <c r="D1851" t="s">
        <v>1192</v>
      </c>
      <c r="E1851" t="s">
        <v>73</v>
      </c>
      <c r="F1851" t="s">
        <v>73</v>
      </c>
      <c r="G1851" t="s">
        <v>73</v>
      </c>
      <c r="H1851">
        <v>23.1</v>
      </c>
      <c r="I1851">
        <v>134</v>
      </c>
      <c r="J1851">
        <v>15488</v>
      </c>
      <c r="K1851" t="s">
        <v>1193</v>
      </c>
      <c r="L1851">
        <f t="shared" si="114"/>
        <v>6</v>
      </c>
      <c r="N1851">
        <v>6</v>
      </c>
      <c r="O1851">
        <v>6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4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4</v>
      </c>
      <c r="BN1851" s="2">
        <v>0</v>
      </c>
      <c r="BO1851" s="2">
        <v>1</v>
      </c>
      <c r="BP1851" s="2">
        <v>0</v>
      </c>
      <c r="BQ1851" s="2">
        <v>1</v>
      </c>
      <c r="BR1851" s="2">
        <v>0</v>
      </c>
      <c r="BS1851" s="2">
        <v>0</v>
      </c>
      <c r="BT1851" s="2">
        <v>0</v>
      </c>
      <c r="BU1851" s="2">
        <v>0</v>
      </c>
      <c r="BV1851" s="2">
        <f t="shared" si="117"/>
        <v>6</v>
      </c>
      <c r="BW1851" s="16">
        <f t="shared" si="115"/>
        <v>0.31578947368421051</v>
      </c>
      <c r="BX1851" s="16">
        <f>COUNTIF($BC$6:BU1851, "=0") / COUNTIF($BC$6:BU1851, "&gt;-1")</f>
        <v>0.4517021155271711</v>
      </c>
      <c r="BY1851" s="18">
        <f>SUM($BC$6:BU1851) / $BY$4</f>
        <v>0.99325422289918053</v>
      </c>
      <c r="BZ1851" s="14">
        <f t="shared" si="116"/>
        <v>16</v>
      </c>
      <c r="CA1851" t="s">
        <v>5832</v>
      </c>
      <c r="CZ1851" t="s">
        <v>7350</v>
      </c>
      <c r="DA1851" t="s">
        <v>5904</v>
      </c>
      <c r="DB1851">
        <v>265.8</v>
      </c>
      <c r="DC1851" t="s">
        <v>18423</v>
      </c>
      <c r="DD1851" t="s">
        <v>18424</v>
      </c>
      <c r="DE1851" t="s">
        <v>18425</v>
      </c>
      <c r="DF1851" t="s">
        <v>18426</v>
      </c>
      <c r="DG1851" t="s">
        <v>18427</v>
      </c>
      <c r="DH1851" t="str">
        <f>"RBP7"</f>
        <v>RBP7</v>
      </c>
      <c r="DI1851" t="s">
        <v>13772</v>
      </c>
      <c r="DJ1851" t="s">
        <v>13777</v>
      </c>
      <c r="DK1851">
        <v>9606</v>
      </c>
      <c r="DL1851" s="34" t="str">
        <f>HYPERLINK("http://www.uniprot.org/uniprot/Q96R05", "Q96R05")</f>
        <v>Q96R05</v>
      </c>
      <c r="DM1851" t="s">
        <v>18428</v>
      </c>
      <c r="DN1851" t="s">
        <v>14192</v>
      </c>
      <c r="DO1851" t="s">
        <v>13899</v>
      </c>
      <c r="DP1851" t="s">
        <v>13772</v>
      </c>
      <c r="DQ1851" t="s">
        <v>13772</v>
      </c>
      <c r="DR1851" t="s">
        <v>13772</v>
      </c>
      <c r="DS1851" t="s">
        <v>13772</v>
      </c>
      <c r="DT1851" t="s">
        <v>15687</v>
      </c>
      <c r="DU1851" t="s">
        <v>13772</v>
      </c>
      <c r="DV1851" t="s">
        <v>13772</v>
      </c>
      <c r="DW1851" t="s">
        <v>13812</v>
      </c>
      <c r="DX1851" t="s">
        <v>13772</v>
      </c>
      <c r="DY1851" t="s">
        <v>14579</v>
      </c>
      <c r="DZ1851" t="s">
        <v>18429</v>
      </c>
      <c r="EA1851" t="s">
        <v>13772</v>
      </c>
      <c r="EB1851" t="s">
        <v>13772</v>
      </c>
    </row>
    <row r="1852" spans="1:132" hidden="1">
      <c r="A1852">
        <v>479</v>
      </c>
      <c r="B1852">
        <v>1</v>
      </c>
      <c r="C1852" t="s">
        <v>1203</v>
      </c>
      <c r="D1852" t="s">
        <v>73</v>
      </c>
      <c r="E1852" t="s">
        <v>73</v>
      </c>
      <c r="F1852" t="s">
        <v>73</v>
      </c>
      <c r="G1852" t="s">
        <v>73</v>
      </c>
      <c r="H1852">
        <v>12.1</v>
      </c>
      <c r="I1852">
        <v>256</v>
      </c>
      <c r="J1852">
        <v>28502</v>
      </c>
      <c r="K1852" t="s">
        <v>1204</v>
      </c>
      <c r="L1852">
        <f t="shared" si="114"/>
        <v>6</v>
      </c>
      <c r="N1852">
        <v>6</v>
      </c>
      <c r="O1852">
        <v>6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3</v>
      </c>
      <c r="Z1852">
        <v>0</v>
      </c>
      <c r="AA1852">
        <v>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3</v>
      </c>
      <c r="AS1852">
        <v>0</v>
      </c>
      <c r="AT1852">
        <v>3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3</v>
      </c>
      <c r="BL1852" s="2">
        <v>0</v>
      </c>
      <c r="BM1852" s="2">
        <v>3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f t="shared" si="117"/>
        <v>6</v>
      </c>
      <c r="BW1852" s="16">
        <f t="shared" si="115"/>
        <v>0.31578947368421051</v>
      </c>
      <c r="BX1852" s="16">
        <f>COUNTIF($BC$6:BU1852, "=0") / COUNTIF($BC$6:BU1852, "&gt;-1")</f>
        <v>0.45194198273159891</v>
      </c>
      <c r="BY1852" s="18">
        <f>SUM($BC$6:BU1852) / $BY$4</f>
        <v>0.99327992472039273</v>
      </c>
      <c r="BZ1852" s="14">
        <f t="shared" si="116"/>
        <v>17</v>
      </c>
      <c r="CA1852" t="s">
        <v>5832</v>
      </c>
      <c r="CZ1852" t="s">
        <v>7365</v>
      </c>
      <c r="DA1852" t="s">
        <v>5904</v>
      </c>
      <c r="DB1852">
        <v>472.6</v>
      </c>
      <c r="DC1852" t="s">
        <v>18479</v>
      </c>
      <c r="DD1852" t="s">
        <v>18480</v>
      </c>
      <c r="DE1852" t="s">
        <v>18481</v>
      </c>
      <c r="DF1852" t="s">
        <v>18482</v>
      </c>
      <c r="DG1852" t="s">
        <v>18483</v>
      </c>
      <c r="DH1852" t="str">
        <f>"PAFAH1B2"</f>
        <v>PAFAH1B2</v>
      </c>
      <c r="DI1852" t="s">
        <v>18484</v>
      </c>
      <c r="DJ1852" t="s">
        <v>13777</v>
      </c>
      <c r="DK1852">
        <v>9606</v>
      </c>
      <c r="DL1852" s="34" t="str">
        <f>HYPERLINK("http://www.uniprot.org/uniprot/P68402", "P68402")</f>
        <v>P68402</v>
      </c>
      <c r="DM1852" t="s">
        <v>18485</v>
      </c>
      <c r="DN1852" t="s">
        <v>17548</v>
      </c>
      <c r="DO1852" t="s">
        <v>13899</v>
      </c>
      <c r="DP1852" t="s">
        <v>13841</v>
      </c>
      <c r="DQ1852" t="s">
        <v>13772</v>
      </c>
      <c r="DR1852" t="s">
        <v>13772</v>
      </c>
      <c r="DS1852" t="s">
        <v>13772</v>
      </c>
      <c r="DT1852" t="s">
        <v>13772</v>
      </c>
      <c r="DU1852" t="s">
        <v>13857</v>
      </c>
      <c r="DV1852" t="s">
        <v>13886</v>
      </c>
      <c r="DW1852" t="s">
        <v>13812</v>
      </c>
      <c r="DX1852" t="s">
        <v>18486</v>
      </c>
      <c r="DY1852" t="s">
        <v>18487</v>
      </c>
      <c r="DZ1852" t="s">
        <v>18488</v>
      </c>
      <c r="EA1852" t="s">
        <v>13772</v>
      </c>
      <c r="EB1852" t="s">
        <v>18489</v>
      </c>
    </row>
    <row r="1853" spans="1:132" hidden="1">
      <c r="A1853">
        <v>501</v>
      </c>
      <c r="B1853">
        <v>1</v>
      </c>
      <c r="C1853" t="s">
        <v>1262</v>
      </c>
      <c r="D1853" t="s">
        <v>1263</v>
      </c>
      <c r="E1853" t="s">
        <v>73</v>
      </c>
      <c r="F1853" t="s">
        <v>73</v>
      </c>
      <c r="G1853" t="s">
        <v>73</v>
      </c>
      <c r="H1853">
        <v>12.3</v>
      </c>
      <c r="I1853">
        <v>302</v>
      </c>
      <c r="J1853">
        <v>34649</v>
      </c>
      <c r="K1853" t="s">
        <v>1264</v>
      </c>
      <c r="L1853">
        <f t="shared" si="114"/>
        <v>6</v>
      </c>
      <c r="N1853">
        <v>6</v>
      </c>
      <c r="O1853">
        <v>6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3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3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 s="2">
        <v>0</v>
      </c>
      <c r="BD1853" s="2">
        <v>1</v>
      </c>
      <c r="BE1853" s="2">
        <v>0</v>
      </c>
      <c r="BF1853" s="2">
        <v>0</v>
      </c>
      <c r="BG1853" s="2">
        <v>0</v>
      </c>
      <c r="BH1853" s="2">
        <v>3</v>
      </c>
      <c r="BI1853" s="2">
        <v>1</v>
      </c>
      <c r="BJ1853" s="2">
        <v>0</v>
      </c>
      <c r="BK1853" s="2">
        <v>0</v>
      </c>
      <c r="BL1853" s="2">
        <v>0</v>
      </c>
      <c r="BM1853" s="2">
        <v>1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f t="shared" si="117"/>
        <v>6</v>
      </c>
      <c r="BW1853" s="16">
        <f t="shared" si="115"/>
        <v>0.31578947368421051</v>
      </c>
      <c r="BX1853" s="16">
        <f>COUNTIF($BC$6:BU1853, "=0") / COUNTIF($BC$6:BU1853, "&gt;-1")</f>
        <v>0.45212462975620871</v>
      </c>
      <c r="BY1853" s="18">
        <f>SUM($BC$6:BU1853) / $BY$4</f>
        <v>0.99330562654160492</v>
      </c>
      <c r="BZ1853" s="14">
        <f t="shared" si="116"/>
        <v>15</v>
      </c>
      <c r="CA1853" t="s">
        <v>5832</v>
      </c>
      <c r="CZ1853" t="s">
        <v>7448</v>
      </c>
      <c r="DA1853" t="s">
        <v>5904</v>
      </c>
      <c r="DB1853">
        <v>459.9</v>
      </c>
      <c r="DC1853" t="s">
        <v>18714</v>
      </c>
      <c r="DD1853" t="s">
        <v>13772</v>
      </c>
      <c r="DE1853" t="s">
        <v>18715</v>
      </c>
      <c r="DF1853" t="s">
        <v>18716</v>
      </c>
      <c r="DG1853" t="s">
        <v>18717</v>
      </c>
      <c r="DH1853" t="str">
        <f>"STX3"</f>
        <v>STX3</v>
      </c>
      <c r="DI1853" t="s">
        <v>18718</v>
      </c>
      <c r="DJ1853" t="s">
        <v>13777</v>
      </c>
      <c r="DK1853">
        <v>9606</v>
      </c>
      <c r="DL1853" s="34" t="str">
        <f>HYPERLINK("http://www.uniprot.org/uniprot/Q13277", "Q13277")</f>
        <v>Q13277</v>
      </c>
      <c r="DM1853" t="s">
        <v>18719</v>
      </c>
      <c r="DN1853" t="s">
        <v>18720</v>
      </c>
      <c r="DO1853" t="s">
        <v>13825</v>
      </c>
      <c r="DP1853" t="s">
        <v>13780</v>
      </c>
      <c r="DQ1853" t="s">
        <v>13772</v>
      </c>
      <c r="DR1853" t="s">
        <v>13772</v>
      </c>
      <c r="DS1853" t="s">
        <v>15628</v>
      </c>
      <c r="DT1853" t="s">
        <v>13772</v>
      </c>
      <c r="DU1853" t="s">
        <v>13772</v>
      </c>
      <c r="DV1853" t="s">
        <v>13772</v>
      </c>
      <c r="DW1853" t="s">
        <v>13772</v>
      </c>
      <c r="DX1853" t="s">
        <v>18721</v>
      </c>
      <c r="DY1853" t="s">
        <v>18722</v>
      </c>
      <c r="DZ1853" t="s">
        <v>18723</v>
      </c>
      <c r="EA1853" t="s">
        <v>13772</v>
      </c>
      <c r="EB1853" t="s">
        <v>14946</v>
      </c>
    </row>
    <row r="1854" spans="1:132" hidden="1">
      <c r="A1854">
        <v>669</v>
      </c>
      <c r="B1854">
        <v>1</v>
      </c>
      <c r="C1854" t="s">
        <v>1648</v>
      </c>
      <c r="D1854" t="s">
        <v>73</v>
      </c>
      <c r="E1854" t="s">
        <v>73</v>
      </c>
      <c r="F1854" t="s">
        <v>73</v>
      </c>
      <c r="G1854" t="s">
        <v>73</v>
      </c>
      <c r="H1854">
        <v>9.9</v>
      </c>
      <c r="I1854">
        <v>152</v>
      </c>
      <c r="J1854">
        <v>17270</v>
      </c>
      <c r="K1854" t="s">
        <v>1649</v>
      </c>
      <c r="L1854">
        <f t="shared" si="114"/>
        <v>6</v>
      </c>
      <c r="N1854">
        <v>6</v>
      </c>
      <c r="O1854">
        <v>6</v>
      </c>
      <c r="P1854">
        <v>1</v>
      </c>
      <c r="Q1854">
        <v>0</v>
      </c>
      <c r="R1854">
        <v>0</v>
      </c>
      <c r="S1854">
        <v>1</v>
      </c>
      <c r="T1854">
        <v>2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2</v>
      </c>
      <c r="AN1854">
        <v>1</v>
      </c>
      <c r="AO1854">
        <v>2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s="2">
        <v>0</v>
      </c>
      <c r="BD1854" s="2">
        <v>0</v>
      </c>
      <c r="BE1854" s="2">
        <v>1</v>
      </c>
      <c r="BF1854" s="2">
        <v>2</v>
      </c>
      <c r="BG1854" s="2">
        <v>1</v>
      </c>
      <c r="BH1854" s="2">
        <v>2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f t="shared" si="117"/>
        <v>6</v>
      </c>
      <c r="BW1854" s="16">
        <f t="shared" si="115"/>
        <v>0.31578947368421051</v>
      </c>
      <c r="BX1854" s="16">
        <f>COUNTIF($BC$6:BU1854, "=0") / COUNTIF($BC$6:BU1854, "&gt;-1")</f>
        <v>0.45230707921778485</v>
      </c>
      <c r="BY1854" s="18">
        <f>SUM($BC$6:BU1854) / $BY$4</f>
        <v>0.99333132836281712</v>
      </c>
      <c r="BZ1854" s="14">
        <f t="shared" si="116"/>
        <v>15</v>
      </c>
      <c r="CA1854" t="s">
        <v>5832</v>
      </c>
      <c r="CZ1854" t="s">
        <v>7999</v>
      </c>
      <c r="DA1854" t="s">
        <v>5904</v>
      </c>
      <c r="DB1854">
        <v>304.7</v>
      </c>
      <c r="DC1854" t="s">
        <v>20382</v>
      </c>
      <c r="DD1854" t="s">
        <v>20383</v>
      </c>
      <c r="DE1854" t="s">
        <v>20384</v>
      </c>
      <c r="DF1854" t="s">
        <v>20385</v>
      </c>
      <c r="DG1854" t="s">
        <v>20386</v>
      </c>
      <c r="DH1854" t="str">
        <f>"EFNA2"</f>
        <v>EFNA2</v>
      </c>
      <c r="DI1854" t="s">
        <v>20387</v>
      </c>
      <c r="DJ1854" t="s">
        <v>13777</v>
      </c>
      <c r="DK1854">
        <v>9606</v>
      </c>
      <c r="DL1854" s="34" t="str">
        <f>HYPERLINK("http://www.uniprot.org/uniprot/O43921", "O43921")</f>
        <v>O43921</v>
      </c>
      <c r="DM1854" t="s">
        <v>20388</v>
      </c>
      <c r="DN1854" t="s">
        <v>13772</v>
      </c>
      <c r="DO1854" t="s">
        <v>13792</v>
      </c>
      <c r="DP1854" t="s">
        <v>13772</v>
      </c>
      <c r="DQ1854" t="s">
        <v>13772</v>
      </c>
      <c r="DR1854" t="s">
        <v>13772</v>
      </c>
      <c r="DS1854" t="s">
        <v>13808</v>
      </c>
      <c r="DT1854" t="s">
        <v>13772</v>
      </c>
      <c r="DU1854" t="s">
        <v>13772</v>
      </c>
      <c r="DV1854" t="s">
        <v>15699</v>
      </c>
      <c r="DW1854" t="s">
        <v>13812</v>
      </c>
      <c r="DX1854" t="s">
        <v>20389</v>
      </c>
      <c r="DY1854" t="s">
        <v>20390</v>
      </c>
      <c r="DZ1854" t="s">
        <v>20391</v>
      </c>
      <c r="EA1854" t="s">
        <v>13772</v>
      </c>
      <c r="EB1854" t="s">
        <v>20392</v>
      </c>
    </row>
    <row r="1855" spans="1:132" hidden="1">
      <c r="A1855">
        <v>743</v>
      </c>
      <c r="B1855">
        <v>1</v>
      </c>
      <c r="C1855" t="s">
        <v>1825</v>
      </c>
      <c r="D1855" t="s">
        <v>1826</v>
      </c>
      <c r="E1855" t="s">
        <v>73</v>
      </c>
      <c r="F1855" t="s">
        <v>73</v>
      </c>
      <c r="G1855" t="s">
        <v>73</v>
      </c>
      <c r="H1855">
        <v>4.5</v>
      </c>
      <c r="I1855">
        <v>1611</v>
      </c>
      <c r="J1855">
        <v>177141</v>
      </c>
      <c r="K1855" t="s">
        <v>1827</v>
      </c>
      <c r="L1855">
        <f t="shared" si="114"/>
        <v>6</v>
      </c>
      <c r="N1855">
        <v>6</v>
      </c>
      <c r="O1855">
        <v>6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4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4</v>
      </c>
      <c r="BL1855" s="2">
        <v>0</v>
      </c>
      <c r="BM1855" s="2">
        <v>1</v>
      </c>
      <c r="BN1855" s="2">
        <v>0</v>
      </c>
      <c r="BO1855" s="2">
        <v>0</v>
      </c>
      <c r="BP1855" s="2">
        <v>0</v>
      </c>
      <c r="BQ1855" s="2">
        <v>1</v>
      </c>
      <c r="BR1855" s="2">
        <v>0</v>
      </c>
      <c r="BS1855" s="2">
        <v>0</v>
      </c>
      <c r="BT1855" s="2">
        <v>0</v>
      </c>
      <c r="BU1855" s="2">
        <v>0</v>
      </c>
      <c r="BV1855" s="2">
        <f t="shared" si="117"/>
        <v>6</v>
      </c>
      <c r="BW1855" s="16">
        <f t="shared" si="115"/>
        <v>0.31578947368421051</v>
      </c>
      <c r="BX1855" s="16">
        <f>COUNTIF($BC$6:BU1855, "=0") / COUNTIF($BC$6:BU1855, "&gt;-1")</f>
        <v>0.45251778093883355</v>
      </c>
      <c r="BY1855" s="18">
        <f>SUM($BC$6:BU1855) / $BY$4</f>
        <v>0.99335703018402932</v>
      </c>
      <c r="BZ1855" s="14">
        <f t="shared" si="116"/>
        <v>16</v>
      </c>
      <c r="CA1855" t="s">
        <v>5832</v>
      </c>
      <c r="CZ1855" t="s">
        <v>8242</v>
      </c>
      <c r="DA1855" t="s">
        <v>5904</v>
      </c>
      <c r="DB1855">
        <v>2822.3</v>
      </c>
      <c r="DC1855" t="s">
        <v>21085</v>
      </c>
      <c r="DD1855" t="s">
        <v>21086</v>
      </c>
      <c r="DE1855" t="s">
        <v>21087</v>
      </c>
      <c r="DF1855" t="s">
        <v>21088</v>
      </c>
      <c r="DG1855" t="s">
        <v>21089</v>
      </c>
      <c r="DH1855" t="str">
        <f>"EIF4G1"</f>
        <v>EIF4G1</v>
      </c>
      <c r="DI1855" t="s">
        <v>21090</v>
      </c>
      <c r="DJ1855" t="s">
        <v>13777</v>
      </c>
      <c r="DK1855">
        <v>9606</v>
      </c>
      <c r="DL1855" s="34" t="str">
        <f>HYPERLINK("http://www.uniprot.org/uniprot/Q04637", "Q04637")</f>
        <v>Q04637</v>
      </c>
      <c r="DM1855" t="s">
        <v>21091</v>
      </c>
      <c r="DN1855" t="s">
        <v>21092</v>
      </c>
      <c r="DO1855" t="s">
        <v>13772</v>
      </c>
      <c r="DP1855" t="s">
        <v>19227</v>
      </c>
      <c r="DQ1855" t="s">
        <v>13772</v>
      </c>
      <c r="DR1855" t="s">
        <v>21093</v>
      </c>
      <c r="DS1855" t="s">
        <v>13772</v>
      </c>
      <c r="DT1855" t="s">
        <v>13772</v>
      </c>
      <c r="DU1855" t="s">
        <v>21094</v>
      </c>
      <c r="DV1855" t="s">
        <v>14098</v>
      </c>
      <c r="DW1855" t="s">
        <v>13812</v>
      </c>
      <c r="DX1855" t="s">
        <v>21095</v>
      </c>
      <c r="DY1855" t="s">
        <v>21096</v>
      </c>
      <c r="DZ1855" t="s">
        <v>21097</v>
      </c>
      <c r="EA1855" t="s">
        <v>13772</v>
      </c>
      <c r="EB1855" t="s">
        <v>21098</v>
      </c>
    </row>
    <row r="1856" spans="1:132" hidden="1">
      <c r="A1856">
        <v>753</v>
      </c>
      <c r="B1856">
        <v>1</v>
      </c>
      <c r="C1856" t="s">
        <v>1850</v>
      </c>
      <c r="D1856" t="s">
        <v>73</v>
      </c>
      <c r="E1856" t="s">
        <v>73</v>
      </c>
      <c r="F1856" t="s">
        <v>73</v>
      </c>
      <c r="G1856" t="s">
        <v>73</v>
      </c>
      <c r="H1856">
        <v>16.399999999999999</v>
      </c>
      <c r="I1856">
        <v>140</v>
      </c>
      <c r="J1856">
        <v>14314</v>
      </c>
      <c r="K1856" t="s">
        <v>1851</v>
      </c>
      <c r="L1856">
        <f t="shared" si="114"/>
        <v>6</v>
      </c>
      <c r="N1856">
        <v>6</v>
      </c>
      <c r="O1856">
        <v>6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2</v>
      </c>
      <c r="AZ1856">
        <v>0</v>
      </c>
      <c r="BA1856">
        <v>0</v>
      </c>
      <c r="BB1856">
        <v>2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0</v>
      </c>
      <c r="BL1856" s="2">
        <v>0</v>
      </c>
      <c r="BM1856" s="2">
        <v>1</v>
      </c>
      <c r="BN1856" s="2">
        <v>0</v>
      </c>
      <c r="BO1856" s="2">
        <v>0</v>
      </c>
      <c r="BP1856" s="2">
        <v>0</v>
      </c>
      <c r="BQ1856" s="2">
        <v>0</v>
      </c>
      <c r="BR1856" s="2">
        <v>2</v>
      </c>
      <c r="BS1856" s="2">
        <v>0</v>
      </c>
      <c r="BT1856" s="2">
        <v>0</v>
      </c>
      <c r="BU1856" s="2">
        <v>2</v>
      </c>
      <c r="BV1856" s="2">
        <f t="shared" si="117"/>
        <v>6</v>
      </c>
      <c r="BW1856" s="16">
        <f t="shared" si="115"/>
        <v>0.31578947368421051</v>
      </c>
      <c r="BX1856" s="16">
        <f>COUNTIF($BC$6:BU1856, "=0") / COUNTIF($BC$6:BU1856, "&gt;-1")</f>
        <v>0.4526998208649663</v>
      </c>
      <c r="BY1856" s="18">
        <f>SUM($BC$6:BU1856) / $BY$4</f>
        <v>0.99338273200524152</v>
      </c>
      <c r="BZ1856" s="14">
        <f t="shared" si="116"/>
        <v>15</v>
      </c>
      <c r="CA1856" t="s">
        <v>5832</v>
      </c>
      <c r="CZ1856" t="s">
        <v>8278</v>
      </c>
      <c r="DA1856" t="s">
        <v>5904</v>
      </c>
      <c r="DB1856">
        <v>215.3</v>
      </c>
      <c r="DC1856" t="s">
        <v>21191</v>
      </c>
      <c r="DD1856" t="s">
        <v>13772</v>
      </c>
      <c r="DE1856" t="s">
        <v>21192</v>
      </c>
      <c r="DF1856" t="s">
        <v>21193</v>
      </c>
      <c r="DG1856" t="s">
        <v>21194</v>
      </c>
      <c r="DH1856" t="str">
        <f>"LY6H"</f>
        <v>LY6H</v>
      </c>
      <c r="DI1856" t="s">
        <v>13772</v>
      </c>
      <c r="DJ1856" t="s">
        <v>13777</v>
      </c>
      <c r="DK1856">
        <v>9606</v>
      </c>
      <c r="DL1856" s="34" t="str">
        <f>HYPERLINK("http://www.uniprot.org/uniprot/O94772", "O94772")</f>
        <v>O94772</v>
      </c>
      <c r="DM1856" t="s">
        <v>21195</v>
      </c>
      <c r="DN1856" t="s">
        <v>13772</v>
      </c>
      <c r="DO1856" t="s">
        <v>13792</v>
      </c>
      <c r="DP1856" t="s">
        <v>13841</v>
      </c>
      <c r="DQ1856" t="s">
        <v>13772</v>
      </c>
      <c r="DR1856" t="s">
        <v>13772</v>
      </c>
      <c r="DS1856" t="s">
        <v>13808</v>
      </c>
      <c r="DT1856" t="s">
        <v>13772</v>
      </c>
      <c r="DU1856" t="s">
        <v>13772</v>
      </c>
      <c r="DV1856" t="s">
        <v>15699</v>
      </c>
      <c r="DW1856" t="s">
        <v>13772</v>
      </c>
      <c r="DX1856" t="s">
        <v>21196</v>
      </c>
      <c r="DY1856" t="s">
        <v>19453</v>
      </c>
      <c r="DZ1856" t="s">
        <v>21197</v>
      </c>
      <c r="EA1856" t="s">
        <v>13772</v>
      </c>
      <c r="EB1856" t="s">
        <v>16280</v>
      </c>
    </row>
    <row r="1857" spans="1:132" hidden="1">
      <c r="A1857">
        <v>803</v>
      </c>
      <c r="B1857">
        <v>1</v>
      </c>
      <c r="C1857" t="s">
        <v>1971</v>
      </c>
      <c r="D1857" t="s">
        <v>73</v>
      </c>
      <c r="E1857" t="s">
        <v>73</v>
      </c>
      <c r="F1857" t="s">
        <v>73</v>
      </c>
      <c r="G1857" t="s">
        <v>73</v>
      </c>
      <c r="H1857">
        <v>29.2</v>
      </c>
      <c r="I1857">
        <v>113</v>
      </c>
      <c r="J1857">
        <v>12531</v>
      </c>
      <c r="K1857" t="s">
        <v>1972</v>
      </c>
      <c r="L1857">
        <f t="shared" si="114"/>
        <v>6</v>
      </c>
      <c r="N1857">
        <v>6</v>
      </c>
      <c r="O1857">
        <v>6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2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2</v>
      </c>
      <c r="AW1857">
        <v>0</v>
      </c>
      <c r="AX1857">
        <v>2</v>
      </c>
      <c r="AY1857">
        <v>0</v>
      </c>
      <c r="AZ1857">
        <v>0</v>
      </c>
      <c r="BA1857">
        <v>0</v>
      </c>
      <c r="BB1857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1</v>
      </c>
      <c r="BN1857" s="2">
        <v>1</v>
      </c>
      <c r="BO1857" s="2">
        <v>2</v>
      </c>
      <c r="BP1857" s="2">
        <v>0</v>
      </c>
      <c r="BQ1857" s="2">
        <v>2</v>
      </c>
      <c r="BR1857" s="2">
        <v>0</v>
      </c>
      <c r="BS1857" s="2">
        <v>0</v>
      </c>
      <c r="BT1857" s="2">
        <v>0</v>
      </c>
      <c r="BU1857" s="2">
        <v>0</v>
      </c>
      <c r="BV1857" s="2">
        <f t="shared" si="117"/>
        <v>6</v>
      </c>
      <c r="BW1857" s="16">
        <f t="shared" si="115"/>
        <v>0.31578947368421051</v>
      </c>
      <c r="BX1857" s="16">
        <f>COUNTIF($BC$6:BU1857, "=0") / COUNTIF($BC$6:BU1857, "&gt;-1")</f>
        <v>0.45288166420370579</v>
      </c>
      <c r="BY1857" s="18">
        <f>SUM($BC$6:BU1857) / $BY$4</f>
        <v>0.99340843382645372</v>
      </c>
      <c r="BZ1857" s="14">
        <f t="shared" si="116"/>
        <v>15</v>
      </c>
      <c r="CA1857" t="s">
        <v>5832</v>
      </c>
      <c r="CZ1857" t="s">
        <v>8451</v>
      </c>
      <c r="DA1857" t="s">
        <v>5904</v>
      </c>
      <c r="DB1857">
        <v>210.7</v>
      </c>
      <c r="DC1857" t="s">
        <v>21707</v>
      </c>
      <c r="DD1857" t="s">
        <v>21708</v>
      </c>
      <c r="DE1857" t="s">
        <v>21709</v>
      </c>
      <c r="DF1857" t="s">
        <v>21710</v>
      </c>
      <c r="DG1857" t="s">
        <v>13772</v>
      </c>
      <c r="DH1857" t="str">
        <f>"NDUFA7"</f>
        <v>NDUFA7</v>
      </c>
      <c r="DI1857" t="s">
        <v>13772</v>
      </c>
      <c r="DJ1857" t="s">
        <v>13777</v>
      </c>
      <c r="DK1857">
        <v>9606</v>
      </c>
      <c r="DL1857" s="34" t="str">
        <f>HYPERLINK("http://www.uniprot.org/uniprot/O95182", "O95182")</f>
        <v>O95182</v>
      </c>
      <c r="DM1857" t="s">
        <v>21711</v>
      </c>
      <c r="DN1857" t="s">
        <v>21478</v>
      </c>
      <c r="DO1857" t="s">
        <v>15507</v>
      </c>
      <c r="DP1857" t="s">
        <v>13793</v>
      </c>
      <c r="DQ1857" t="s">
        <v>13772</v>
      </c>
      <c r="DR1857" t="s">
        <v>13772</v>
      </c>
      <c r="DS1857" t="s">
        <v>13772</v>
      </c>
      <c r="DT1857" t="s">
        <v>13772</v>
      </c>
      <c r="DU1857" t="s">
        <v>13772</v>
      </c>
      <c r="DV1857" t="s">
        <v>13886</v>
      </c>
      <c r="DW1857" t="s">
        <v>13812</v>
      </c>
      <c r="DX1857" t="s">
        <v>21712</v>
      </c>
      <c r="DY1857" t="s">
        <v>21713</v>
      </c>
      <c r="DZ1857" t="s">
        <v>21714</v>
      </c>
      <c r="EA1857" t="s">
        <v>13772</v>
      </c>
      <c r="EB1857" t="s">
        <v>21715</v>
      </c>
    </row>
    <row r="1858" spans="1:132" hidden="1">
      <c r="A1858">
        <v>869</v>
      </c>
      <c r="B1858">
        <v>1</v>
      </c>
      <c r="C1858" t="s">
        <v>2123</v>
      </c>
      <c r="D1858" t="s">
        <v>2124</v>
      </c>
      <c r="E1858" t="s">
        <v>73</v>
      </c>
      <c r="F1858" t="s">
        <v>73</v>
      </c>
      <c r="G1858" t="s">
        <v>73</v>
      </c>
      <c r="H1858">
        <v>12.4</v>
      </c>
      <c r="I1858">
        <v>671</v>
      </c>
      <c r="J1858">
        <v>77150</v>
      </c>
      <c r="K1858" t="s">
        <v>2125</v>
      </c>
      <c r="L1858">
        <f t="shared" si="114"/>
        <v>6</v>
      </c>
      <c r="N1858">
        <v>6</v>
      </c>
      <c r="O1858">
        <v>6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5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5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</v>
      </c>
      <c r="BV1858" s="2">
        <f t="shared" si="117"/>
        <v>6</v>
      </c>
      <c r="BW1858" s="16">
        <f t="shared" si="115"/>
        <v>0.31578947368421051</v>
      </c>
      <c r="BX1858" s="16">
        <f>COUNTIF($BC$6:BU1858, "=0") / COUNTIF($BC$6:BU1858, "&gt;-1")</f>
        <v>0.45312011815832076</v>
      </c>
      <c r="BY1858" s="18">
        <f>SUM($BC$6:BU1858) / $BY$4</f>
        <v>0.99343413564766592</v>
      </c>
      <c r="BZ1858" s="14">
        <f t="shared" si="116"/>
        <v>17</v>
      </c>
      <c r="CA1858" t="s">
        <v>5832</v>
      </c>
      <c r="CZ1858" t="s">
        <v>8673</v>
      </c>
      <c r="DA1858" t="s">
        <v>5904</v>
      </c>
      <c r="DB1858">
        <v>1275.4000000000001</v>
      </c>
      <c r="DC1858" t="s">
        <v>22345</v>
      </c>
      <c r="DD1858" t="s">
        <v>22346</v>
      </c>
      <c r="DE1858" t="s">
        <v>22347</v>
      </c>
      <c r="DF1858" t="s">
        <v>22348</v>
      </c>
      <c r="DG1858" t="s">
        <v>22349</v>
      </c>
      <c r="DH1858" t="str">
        <f>"PRKCD"</f>
        <v>PRKCD</v>
      </c>
      <c r="DI1858" t="s">
        <v>13772</v>
      </c>
      <c r="DJ1858" t="s">
        <v>13777</v>
      </c>
      <c r="DK1858">
        <v>9606</v>
      </c>
      <c r="DL1858" s="34" t="str">
        <f>HYPERLINK("http://www.uniprot.org/uniprot/Q05655", "Q05655")</f>
        <v>Q05655</v>
      </c>
      <c r="DM1858" t="s">
        <v>22350</v>
      </c>
      <c r="DN1858" t="s">
        <v>22351</v>
      </c>
      <c r="DO1858" t="s">
        <v>14968</v>
      </c>
      <c r="DP1858" t="s">
        <v>13780</v>
      </c>
      <c r="DQ1858" t="s">
        <v>13772</v>
      </c>
      <c r="DR1858" t="s">
        <v>14505</v>
      </c>
      <c r="DS1858" t="s">
        <v>17779</v>
      </c>
      <c r="DT1858" t="s">
        <v>21106</v>
      </c>
      <c r="DU1858" t="s">
        <v>20891</v>
      </c>
      <c r="DV1858" t="s">
        <v>13782</v>
      </c>
      <c r="DW1858" t="s">
        <v>13812</v>
      </c>
      <c r="DX1858" t="s">
        <v>22352</v>
      </c>
      <c r="DY1858" t="s">
        <v>22353</v>
      </c>
      <c r="DZ1858" t="s">
        <v>22354</v>
      </c>
      <c r="EA1858" t="s">
        <v>13772</v>
      </c>
      <c r="EB1858" t="s">
        <v>22355</v>
      </c>
    </row>
    <row r="1859" spans="1:132" hidden="1">
      <c r="A1859">
        <v>886</v>
      </c>
      <c r="B1859">
        <v>1</v>
      </c>
      <c r="C1859" t="s">
        <v>2166</v>
      </c>
      <c r="D1859" t="s">
        <v>73</v>
      </c>
      <c r="E1859" t="s">
        <v>73</v>
      </c>
      <c r="F1859" t="s">
        <v>73</v>
      </c>
      <c r="G1859" t="s">
        <v>73</v>
      </c>
      <c r="H1859">
        <v>3</v>
      </c>
      <c r="I1859">
        <v>2939</v>
      </c>
      <c r="J1859">
        <v>294116</v>
      </c>
      <c r="K1859" t="s">
        <v>2167</v>
      </c>
      <c r="L1859">
        <f t="shared" si="114"/>
        <v>6</v>
      </c>
      <c r="N1859">
        <v>6</v>
      </c>
      <c r="O1859">
        <v>6</v>
      </c>
      <c r="P1859">
        <v>1</v>
      </c>
      <c r="Q1859">
        <v>0</v>
      </c>
      <c r="R1859">
        <v>2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L1859">
        <v>0</v>
      </c>
      <c r="AM1859">
        <v>1</v>
      </c>
      <c r="AN1859">
        <v>1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 s="2">
        <v>0</v>
      </c>
      <c r="BD1859" s="2">
        <v>2</v>
      </c>
      <c r="BE1859" s="2">
        <v>0</v>
      </c>
      <c r="BF1859" s="2">
        <v>1</v>
      </c>
      <c r="BG1859" s="2">
        <v>1</v>
      </c>
      <c r="BH1859" s="2">
        <v>1</v>
      </c>
      <c r="BI1859" s="2">
        <v>1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f t="shared" si="117"/>
        <v>6</v>
      </c>
      <c r="BW1859" s="16">
        <f t="shared" si="115"/>
        <v>0.31578947368421051</v>
      </c>
      <c r="BX1859" s="16">
        <f>COUNTIF($BC$6:BU1859, "=0") / COUNTIF($BC$6:BU1859, "&gt;-1")</f>
        <v>0.453273150513825</v>
      </c>
      <c r="BY1859" s="18">
        <f>SUM($BC$6:BU1859) / $BY$4</f>
        <v>0.99345983746887812</v>
      </c>
      <c r="BZ1859" s="14">
        <f t="shared" si="116"/>
        <v>14</v>
      </c>
      <c r="CA1859" t="s">
        <v>5832</v>
      </c>
      <c r="CZ1859" t="s">
        <v>8733</v>
      </c>
      <c r="DA1859" t="s">
        <v>5904</v>
      </c>
      <c r="DB1859">
        <v>4134.3</v>
      </c>
      <c r="DC1859" t="s">
        <v>22516</v>
      </c>
      <c r="DD1859" t="s">
        <v>22517</v>
      </c>
      <c r="DE1859" t="s">
        <v>22518</v>
      </c>
      <c r="DF1859" t="s">
        <v>22519</v>
      </c>
      <c r="DG1859" t="s">
        <v>22520</v>
      </c>
      <c r="DH1859" t="str">
        <f>"COL7A1"</f>
        <v>COL7A1</v>
      </c>
      <c r="DI1859" t="s">
        <v>13772</v>
      </c>
      <c r="DJ1859" t="s">
        <v>13777</v>
      </c>
      <c r="DK1859">
        <v>9606</v>
      </c>
      <c r="DL1859" s="34" t="str">
        <f>HYPERLINK("http://www.uniprot.org/uniprot/Q02388", "Q02388")</f>
        <v>Q02388</v>
      </c>
      <c r="DM1859" t="s">
        <v>22521</v>
      </c>
      <c r="DN1859" t="s">
        <v>13949</v>
      </c>
      <c r="DO1859" t="s">
        <v>15002</v>
      </c>
      <c r="DP1859" t="s">
        <v>13780</v>
      </c>
      <c r="DQ1859" t="s">
        <v>13772</v>
      </c>
      <c r="DR1859" t="s">
        <v>22522</v>
      </c>
      <c r="DS1859" t="s">
        <v>13872</v>
      </c>
      <c r="DT1859" t="s">
        <v>13772</v>
      </c>
      <c r="DU1859" t="s">
        <v>14375</v>
      </c>
      <c r="DV1859" t="s">
        <v>22002</v>
      </c>
      <c r="DW1859" t="s">
        <v>13772</v>
      </c>
      <c r="DX1859" t="s">
        <v>22523</v>
      </c>
      <c r="DY1859" t="s">
        <v>22524</v>
      </c>
      <c r="DZ1859" t="s">
        <v>22525</v>
      </c>
      <c r="EA1859" t="s">
        <v>13772</v>
      </c>
      <c r="EB1859" t="s">
        <v>22526</v>
      </c>
    </row>
    <row r="1860" spans="1:132" hidden="1">
      <c r="A1860">
        <v>891</v>
      </c>
      <c r="B1860">
        <v>1</v>
      </c>
      <c r="C1860" t="s">
        <v>2178</v>
      </c>
      <c r="D1860" t="s">
        <v>73</v>
      </c>
      <c r="E1860" t="s">
        <v>73</v>
      </c>
      <c r="F1860" t="s">
        <v>73</v>
      </c>
      <c r="G1860" t="s">
        <v>73</v>
      </c>
      <c r="H1860">
        <v>16.2</v>
      </c>
      <c r="I1860">
        <v>358</v>
      </c>
      <c r="J1860">
        <v>37693</v>
      </c>
      <c r="K1860" t="s">
        <v>2179</v>
      </c>
      <c r="L1860">
        <f t="shared" si="114"/>
        <v>6</v>
      </c>
      <c r="N1860">
        <v>6</v>
      </c>
      <c r="O1860">
        <v>6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5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5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5</v>
      </c>
      <c r="BK1860" s="2">
        <v>0</v>
      </c>
      <c r="BL1860" s="2">
        <v>0</v>
      </c>
      <c r="BM1860" s="2">
        <v>1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f t="shared" si="117"/>
        <v>6</v>
      </c>
      <c r="BW1860" s="16">
        <f t="shared" si="115"/>
        <v>0.31578947368421051</v>
      </c>
      <c r="BX1860" s="16">
        <f>COUNTIF($BC$6:BU1860, "=0") / COUNTIF($BC$6:BU1860, "&gt;-1")</f>
        <v>0.4535111363313945</v>
      </c>
      <c r="BY1860" s="18">
        <f>SUM($BC$6:BU1860) / $BY$4</f>
        <v>0.99348553929009031</v>
      </c>
      <c r="BZ1860" s="14">
        <f t="shared" si="116"/>
        <v>17</v>
      </c>
      <c r="CA1860" t="s">
        <v>5832</v>
      </c>
      <c r="CZ1860" t="s">
        <v>8751</v>
      </c>
      <c r="DA1860" t="s">
        <v>5904</v>
      </c>
      <c r="DB1860">
        <v>642.9</v>
      </c>
      <c r="DC1860" t="s">
        <v>22567</v>
      </c>
      <c r="DD1860" t="s">
        <v>22568</v>
      </c>
      <c r="DE1860" t="s">
        <v>22569</v>
      </c>
      <c r="DF1860" t="s">
        <v>22570</v>
      </c>
      <c r="DG1860" t="s">
        <v>22571</v>
      </c>
      <c r="DH1860" t="str">
        <f>"MRI1"</f>
        <v>MRI1</v>
      </c>
      <c r="DI1860" t="s">
        <v>22572</v>
      </c>
      <c r="DJ1860" t="s">
        <v>13777</v>
      </c>
      <c r="DK1860">
        <v>9606</v>
      </c>
      <c r="DL1860" s="34" t="str">
        <f>HYPERLINK("http://www.uniprot.org/uniprot/Q9BV20", "Q9BV20")</f>
        <v>Q9BV20</v>
      </c>
      <c r="DM1860" t="s">
        <v>22573</v>
      </c>
      <c r="DN1860" t="s">
        <v>22574</v>
      </c>
      <c r="DO1860" t="s">
        <v>22575</v>
      </c>
      <c r="DP1860" t="s">
        <v>13780</v>
      </c>
      <c r="DQ1860" t="s">
        <v>13772</v>
      </c>
      <c r="DR1860" t="s">
        <v>13772</v>
      </c>
      <c r="DS1860" t="s">
        <v>13772</v>
      </c>
      <c r="DT1860" t="s">
        <v>13772</v>
      </c>
      <c r="DU1860" t="s">
        <v>14910</v>
      </c>
      <c r="DV1860" t="s">
        <v>14020</v>
      </c>
      <c r="DW1860" t="s">
        <v>13812</v>
      </c>
      <c r="DX1860" t="s">
        <v>22576</v>
      </c>
      <c r="DY1860" t="s">
        <v>22577</v>
      </c>
      <c r="DZ1860" t="s">
        <v>22578</v>
      </c>
      <c r="EA1860" t="s">
        <v>22579</v>
      </c>
      <c r="EB1860" t="s">
        <v>22580</v>
      </c>
    </row>
    <row r="1861" spans="1:132" hidden="1">
      <c r="A1861">
        <v>902</v>
      </c>
      <c r="B1861">
        <v>1</v>
      </c>
      <c r="C1861" t="s">
        <v>2199</v>
      </c>
      <c r="D1861" t="s">
        <v>73</v>
      </c>
      <c r="E1861" t="s">
        <v>73</v>
      </c>
      <c r="F1861" t="s">
        <v>73</v>
      </c>
      <c r="G1861" t="s">
        <v>73</v>
      </c>
      <c r="H1861">
        <v>11.4</v>
      </c>
      <c r="I1861">
        <v>210</v>
      </c>
      <c r="J1861">
        <v>22958</v>
      </c>
      <c r="K1861" t="s">
        <v>2200</v>
      </c>
      <c r="L1861">
        <f t="shared" si="114"/>
        <v>6</v>
      </c>
      <c r="N1861">
        <v>6</v>
      </c>
      <c r="O1861">
        <v>6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3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2</v>
      </c>
      <c r="AU1861">
        <v>3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2</v>
      </c>
      <c r="BN1861" s="2">
        <v>3</v>
      </c>
      <c r="BO1861" s="2">
        <v>1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f t="shared" si="117"/>
        <v>6</v>
      </c>
      <c r="BW1861" s="16">
        <f t="shared" si="115"/>
        <v>0.31578947368421051</v>
      </c>
      <c r="BX1861" s="16">
        <f>COUNTIF($BC$6:BU1861, "=0") / COUNTIF($BC$6:BU1861, "&gt;-1")</f>
        <v>0.45372050816696913</v>
      </c>
      <c r="BY1861" s="18">
        <f>SUM($BC$6:BU1861) / $BY$4</f>
        <v>0.99351124111130251</v>
      </c>
      <c r="BZ1861" s="14">
        <f t="shared" si="116"/>
        <v>16</v>
      </c>
      <c r="CA1861" t="s">
        <v>5832</v>
      </c>
      <c r="CZ1861" t="s">
        <v>8784</v>
      </c>
      <c r="DA1861" t="s">
        <v>5904</v>
      </c>
      <c r="DB1861">
        <v>364.8</v>
      </c>
      <c r="DC1861" t="s">
        <v>22685</v>
      </c>
      <c r="DD1861" t="s">
        <v>22686</v>
      </c>
      <c r="DE1861" t="s">
        <v>22687</v>
      </c>
      <c r="DF1861" t="s">
        <v>22688</v>
      </c>
      <c r="DG1861" t="s">
        <v>22689</v>
      </c>
      <c r="DH1861" t="str">
        <f>"RPL14"</f>
        <v>RPL14</v>
      </c>
      <c r="DI1861" t="s">
        <v>13772</v>
      </c>
      <c r="DJ1861" t="s">
        <v>13777</v>
      </c>
      <c r="DK1861">
        <v>9606</v>
      </c>
      <c r="DL1861" s="34" t="str">
        <f>HYPERLINK("http://www.uniprot.org/uniprot/P50914", "P50914")</f>
        <v>P50914</v>
      </c>
      <c r="DM1861" t="s">
        <v>22690</v>
      </c>
      <c r="DN1861" t="s">
        <v>13772</v>
      </c>
      <c r="DO1861" t="s">
        <v>13772</v>
      </c>
      <c r="DP1861" t="s">
        <v>22691</v>
      </c>
      <c r="DQ1861" t="s">
        <v>13772</v>
      </c>
      <c r="DR1861" t="s">
        <v>13772</v>
      </c>
      <c r="DS1861" t="s">
        <v>14096</v>
      </c>
      <c r="DT1861" t="s">
        <v>13772</v>
      </c>
      <c r="DU1861" t="s">
        <v>13937</v>
      </c>
      <c r="DV1861" t="s">
        <v>13991</v>
      </c>
      <c r="DW1861" t="s">
        <v>13812</v>
      </c>
      <c r="DX1861" t="s">
        <v>22692</v>
      </c>
      <c r="DY1861" t="s">
        <v>22693</v>
      </c>
      <c r="DZ1861" t="s">
        <v>20451</v>
      </c>
      <c r="EA1861" t="s">
        <v>13772</v>
      </c>
      <c r="EB1861" t="s">
        <v>13942</v>
      </c>
    </row>
    <row r="1862" spans="1:132" hidden="1">
      <c r="A1862">
        <v>937</v>
      </c>
      <c r="B1862">
        <v>1</v>
      </c>
      <c r="C1862" t="s">
        <v>2278</v>
      </c>
      <c r="D1862" t="s">
        <v>2279</v>
      </c>
      <c r="E1862" t="s">
        <v>73</v>
      </c>
      <c r="F1862" t="s">
        <v>2280</v>
      </c>
      <c r="G1862" t="s">
        <v>73</v>
      </c>
      <c r="H1862">
        <v>10.199999999999999</v>
      </c>
      <c r="I1862">
        <v>362</v>
      </c>
      <c r="J1862">
        <v>41607</v>
      </c>
      <c r="K1862" t="s">
        <v>2281</v>
      </c>
      <c r="L1862">
        <f t="shared" ref="L1862:L1925" si="118">N1862</f>
        <v>7</v>
      </c>
      <c r="N1862">
        <v>7</v>
      </c>
      <c r="O1862">
        <v>6</v>
      </c>
      <c r="P1862">
        <v>0.85699999999999998</v>
      </c>
      <c r="Q1862">
        <v>0</v>
      </c>
      <c r="R1862">
        <v>0</v>
      </c>
      <c r="S1862">
        <v>0</v>
      </c>
      <c r="T1862">
        <v>0</v>
      </c>
      <c r="U1862">
        <v>2</v>
      </c>
      <c r="V1862">
        <v>0</v>
      </c>
      <c r="W1862">
        <v>0</v>
      </c>
      <c r="X1862">
        <v>2</v>
      </c>
      <c r="Y1862">
        <v>1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</v>
      </c>
      <c r="AO1862">
        <v>0</v>
      </c>
      <c r="AP1862">
        <v>0</v>
      </c>
      <c r="AQ1862">
        <v>2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2</v>
      </c>
      <c r="BH1862" s="2">
        <v>0</v>
      </c>
      <c r="BI1862" s="2">
        <v>0</v>
      </c>
      <c r="BJ1862" s="2">
        <v>2</v>
      </c>
      <c r="BK1862" s="2">
        <v>1</v>
      </c>
      <c r="BL1862" s="2">
        <v>0</v>
      </c>
      <c r="BM1862" s="2">
        <v>0</v>
      </c>
      <c r="BN1862" s="2">
        <v>1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f t="shared" si="117"/>
        <v>6</v>
      </c>
      <c r="BW1862" s="16">
        <f t="shared" ref="BW1862:BW1925" si="119">AVERAGE(BC1862:BU1862)</f>
        <v>0.31578947368421051</v>
      </c>
      <c r="BX1862" s="16">
        <f>COUNTIF($BC$6:BU1862, "=0") / COUNTIF($BC$6:BU1862, "&gt;-1")</f>
        <v>0.45390131224669106</v>
      </c>
      <c r="BY1862" s="18">
        <f>SUM($BC$6:BU1862) / $BY$4</f>
        <v>0.99353694293251471</v>
      </c>
      <c r="BZ1862" s="14">
        <f t="shared" ref="BZ1862:BZ1925" si="120">19-COUNTIF(BC1862:BU1862, "&gt;0")</f>
        <v>15</v>
      </c>
      <c r="CA1862" t="s">
        <v>5832</v>
      </c>
      <c r="CZ1862" t="s">
        <v>8910</v>
      </c>
      <c r="DA1862" t="s">
        <v>5904</v>
      </c>
      <c r="DB1862">
        <v>734.2</v>
      </c>
      <c r="DC1862" t="s">
        <v>23024</v>
      </c>
      <c r="DD1862" t="s">
        <v>23025</v>
      </c>
      <c r="DE1862" t="s">
        <v>23026</v>
      </c>
      <c r="DF1862" t="s">
        <v>23027</v>
      </c>
      <c r="DG1862" t="s">
        <v>23028</v>
      </c>
      <c r="DH1862" t="str">
        <f>"SEPT2"</f>
        <v>SEPT2</v>
      </c>
      <c r="DI1862" t="s">
        <v>23029</v>
      </c>
      <c r="DJ1862" t="s">
        <v>13777</v>
      </c>
      <c r="DK1862">
        <v>9606</v>
      </c>
      <c r="DL1862" s="34" t="str">
        <f>HYPERLINK("http://www.uniprot.org/uniprot/Q15019", "Q15019")</f>
        <v>Q15019</v>
      </c>
      <c r="DM1862" t="s">
        <v>23030</v>
      </c>
      <c r="DN1862" t="s">
        <v>17226</v>
      </c>
      <c r="DO1862" t="s">
        <v>23031</v>
      </c>
      <c r="DP1862" t="s">
        <v>13841</v>
      </c>
      <c r="DQ1862" t="s">
        <v>13772</v>
      </c>
      <c r="DR1862" t="s">
        <v>13772</v>
      </c>
      <c r="DS1862" t="s">
        <v>13772</v>
      </c>
      <c r="DT1862" t="s">
        <v>14216</v>
      </c>
      <c r="DU1862" t="s">
        <v>13772</v>
      </c>
      <c r="DV1862" t="s">
        <v>13886</v>
      </c>
      <c r="DW1862" t="s">
        <v>13812</v>
      </c>
      <c r="DX1862" t="s">
        <v>23032</v>
      </c>
      <c r="DY1862" t="s">
        <v>23033</v>
      </c>
      <c r="DZ1862" t="s">
        <v>23034</v>
      </c>
      <c r="EA1862" t="s">
        <v>13772</v>
      </c>
      <c r="EB1862" t="s">
        <v>23035</v>
      </c>
    </row>
    <row r="1863" spans="1:132" hidden="1">
      <c r="A1863">
        <v>967</v>
      </c>
      <c r="B1863">
        <v>1</v>
      </c>
      <c r="C1863" t="s">
        <v>2348</v>
      </c>
      <c r="D1863" t="s">
        <v>73</v>
      </c>
      <c r="E1863" t="s">
        <v>73</v>
      </c>
      <c r="F1863" t="s">
        <v>73</v>
      </c>
      <c r="G1863" t="s">
        <v>73</v>
      </c>
      <c r="H1863">
        <v>10.9</v>
      </c>
      <c r="I1863">
        <v>727</v>
      </c>
      <c r="J1863">
        <v>79462</v>
      </c>
      <c r="K1863" t="s">
        <v>2349</v>
      </c>
      <c r="L1863">
        <f t="shared" si="118"/>
        <v>6</v>
      </c>
      <c r="N1863">
        <v>6</v>
      </c>
      <c r="O1863">
        <v>6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3</v>
      </c>
      <c r="AU1863">
        <v>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1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3</v>
      </c>
      <c r="BN1863" s="2">
        <v>2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f t="shared" ref="BV1863:BV1926" si="121">SUM(BC1863:BU1863)</f>
        <v>6</v>
      </c>
      <c r="BW1863" s="16">
        <f t="shared" si="119"/>
        <v>0.31578947368421051</v>
      </c>
      <c r="BX1863" s="16">
        <f>COUNTIF($BC$6:BU1863, "=0") / COUNTIF($BC$6:BU1863, "&gt;-1")</f>
        <v>0.45411024871112116</v>
      </c>
      <c r="BY1863" s="18">
        <f>SUM($BC$6:BU1863) / $BY$4</f>
        <v>0.99356264475372691</v>
      </c>
      <c r="BZ1863" s="14">
        <f t="shared" si="120"/>
        <v>16</v>
      </c>
      <c r="CA1863" t="s">
        <v>5832</v>
      </c>
      <c r="CZ1863" t="s">
        <v>9009</v>
      </c>
      <c r="DA1863" t="s">
        <v>5904</v>
      </c>
      <c r="DB1863">
        <v>1472.6</v>
      </c>
      <c r="DC1863" t="s">
        <v>23307</v>
      </c>
      <c r="DD1863" t="s">
        <v>23308</v>
      </c>
      <c r="DE1863" t="s">
        <v>23309</v>
      </c>
      <c r="DF1863" t="s">
        <v>23310</v>
      </c>
      <c r="DG1863" t="s">
        <v>23311</v>
      </c>
      <c r="DH1863" t="str">
        <f>"NDUFS1"</f>
        <v>NDUFS1</v>
      </c>
      <c r="DI1863" t="s">
        <v>13772</v>
      </c>
      <c r="DJ1863" t="s">
        <v>13777</v>
      </c>
      <c r="DK1863">
        <v>9606</v>
      </c>
      <c r="DL1863" s="34" t="str">
        <f>HYPERLINK("http://www.uniprot.org/uniprot/P28331", "P28331")</f>
        <v>P28331</v>
      </c>
      <c r="DM1863" t="s">
        <v>23312</v>
      </c>
      <c r="DN1863" t="s">
        <v>21478</v>
      </c>
      <c r="DO1863" t="s">
        <v>15507</v>
      </c>
      <c r="DP1863" t="s">
        <v>13780</v>
      </c>
      <c r="DQ1863" t="s">
        <v>13772</v>
      </c>
      <c r="DR1863" t="s">
        <v>14390</v>
      </c>
      <c r="DS1863" t="s">
        <v>14391</v>
      </c>
      <c r="DT1863" t="s">
        <v>23313</v>
      </c>
      <c r="DU1863" t="s">
        <v>23314</v>
      </c>
      <c r="DV1863" t="s">
        <v>14020</v>
      </c>
      <c r="DW1863" t="s">
        <v>13812</v>
      </c>
      <c r="DX1863" t="s">
        <v>23315</v>
      </c>
      <c r="DY1863" t="s">
        <v>23316</v>
      </c>
      <c r="DZ1863" t="s">
        <v>23317</v>
      </c>
      <c r="EA1863" t="s">
        <v>13772</v>
      </c>
      <c r="EB1863" t="s">
        <v>21715</v>
      </c>
    </row>
    <row r="1864" spans="1:132" hidden="1">
      <c r="A1864">
        <v>969</v>
      </c>
      <c r="B1864">
        <v>1</v>
      </c>
      <c r="C1864" t="s">
        <v>2352</v>
      </c>
      <c r="D1864" t="s">
        <v>73</v>
      </c>
      <c r="E1864" t="s">
        <v>73</v>
      </c>
      <c r="F1864" t="s">
        <v>73</v>
      </c>
      <c r="G1864" t="s">
        <v>73</v>
      </c>
      <c r="H1864">
        <v>18.8</v>
      </c>
      <c r="I1864">
        <v>101</v>
      </c>
      <c r="J1864">
        <v>11571</v>
      </c>
      <c r="K1864" t="s">
        <v>2353</v>
      </c>
      <c r="L1864">
        <f t="shared" si="118"/>
        <v>6</v>
      </c>
      <c r="N1864">
        <v>6</v>
      </c>
      <c r="O1864">
        <v>6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2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2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1</v>
      </c>
      <c r="BK1864" s="2">
        <v>1</v>
      </c>
      <c r="BL1864" s="2">
        <v>0</v>
      </c>
      <c r="BM1864" s="2">
        <v>2</v>
      </c>
      <c r="BN1864" s="2">
        <v>0</v>
      </c>
      <c r="BO1864" s="2">
        <v>0</v>
      </c>
      <c r="BP1864" s="2">
        <v>0</v>
      </c>
      <c r="BQ1864" s="2">
        <v>1</v>
      </c>
      <c r="BR1864" s="2">
        <v>1</v>
      </c>
      <c r="BS1864" s="2">
        <v>0</v>
      </c>
      <c r="BT1864" s="2">
        <v>0</v>
      </c>
      <c r="BU1864" s="2">
        <v>0</v>
      </c>
      <c r="BV1864" s="2">
        <f t="shared" si="121"/>
        <v>6</v>
      </c>
      <c r="BW1864" s="16">
        <f t="shared" si="119"/>
        <v>0.31578947368421051</v>
      </c>
      <c r="BX1864" s="16">
        <f>COUNTIF($BC$6:BU1864, "=0") / COUNTIF($BC$6:BU1864, "&gt;-1")</f>
        <v>0.45426233685342998</v>
      </c>
      <c r="BY1864" s="18">
        <f>SUM($BC$6:BU1864) / $BY$4</f>
        <v>0.99358834657493911</v>
      </c>
      <c r="BZ1864" s="14">
        <f t="shared" si="120"/>
        <v>14</v>
      </c>
      <c r="CA1864" t="s">
        <v>5832</v>
      </c>
      <c r="CZ1864" t="s">
        <v>9015</v>
      </c>
      <c r="DA1864" t="s">
        <v>5904</v>
      </c>
      <c r="DB1864">
        <v>208.4</v>
      </c>
      <c r="DC1864" t="s">
        <v>23330</v>
      </c>
      <c r="DD1864" t="s">
        <v>23331</v>
      </c>
      <c r="DE1864" t="s">
        <v>23332</v>
      </c>
      <c r="DF1864" t="s">
        <v>23333</v>
      </c>
      <c r="DG1864" t="s">
        <v>23334</v>
      </c>
      <c r="DH1864" t="str">
        <f>"SUMO1"</f>
        <v>SUMO1</v>
      </c>
      <c r="DI1864" t="s">
        <v>23335</v>
      </c>
      <c r="DJ1864" t="s">
        <v>13777</v>
      </c>
      <c r="DK1864">
        <v>9606</v>
      </c>
      <c r="DL1864" s="34" t="str">
        <f>HYPERLINK("http://www.uniprot.org/uniprot/P63165", "P63165")</f>
        <v>P63165</v>
      </c>
      <c r="DM1864" t="s">
        <v>23336</v>
      </c>
      <c r="DN1864" t="s">
        <v>21585</v>
      </c>
      <c r="DO1864" t="s">
        <v>14968</v>
      </c>
      <c r="DP1864" t="s">
        <v>14661</v>
      </c>
      <c r="DQ1864" t="s">
        <v>13772</v>
      </c>
      <c r="DR1864" t="s">
        <v>13772</v>
      </c>
      <c r="DS1864" t="s">
        <v>13772</v>
      </c>
      <c r="DT1864" t="s">
        <v>13772</v>
      </c>
      <c r="DU1864" t="s">
        <v>13772</v>
      </c>
      <c r="DV1864" t="s">
        <v>13991</v>
      </c>
      <c r="DW1864" t="s">
        <v>13812</v>
      </c>
      <c r="DX1864" t="s">
        <v>23337</v>
      </c>
      <c r="DY1864" t="s">
        <v>23338</v>
      </c>
      <c r="DZ1864" t="s">
        <v>23339</v>
      </c>
      <c r="EA1864" t="s">
        <v>13772</v>
      </c>
      <c r="EB1864" t="s">
        <v>23340</v>
      </c>
    </row>
    <row r="1865" spans="1:132" hidden="1">
      <c r="A1865">
        <v>1035</v>
      </c>
      <c r="B1865">
        <v>1</v>
      </c>
      <c r="C1865" t="s">
        <v>2504</v>
      </c>
      <c r="D1865" t="s">
        <v>2505</v>
      </c>
      <c r="E1865" t="s">
        <v>73</v>
      </c>
      <c r="F1865" t="s">
        <v>73</v>
      </c>
      <c r="G1865" t="s">
        <v>73</v>
      </c>
      <c r="H1865">
        <v>4.9000000000000004</v>
      </c>
      <c r="I1865">
        <v>963</v>
      </c>
      <c r="J1865">
        <v>109761</v>
      </c>
      <c r="K1865" t="s">
        <v>2506</v>
      </c>
      <c r="L1865">
        <f t="shared" si="118"/>
        <v>6</v>
      </c>
      <c r="N1865">
        <v>6</v>
      </c>
      <c r="O1865">
        <v>6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2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2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1</v>
      </c>
      <c r="BL1865" s="2">
        <v>0</v>
      </c>
      <c r="BM1865" s="2">
        <v>2</v>
      </c>
      <c r="BN1865" s="2">
        <v>1</v>
      </c>
      <c r="BO1865" s="2">
        <v>1</v>
      </c>
      <c r="BP1865" s="2">
        <v>0</v>
      </c>
      <c r="BQ1865" s="2">
        <v>1</v>
      </c>
      <c r="BR1865" s="2">
        <v>0</v>
      </c>
      <c r="BS1865" s="2">
        <v>0</v>
      </c>
      <c r="BT1865" s="2">
        <v>0</v>
      </c>
      <c r="BU1865" s="2">
        <v>0</v>
      </c>
      <c r="BV1865" s="2">
        <f t="shared" si="121"/>
        <v>6</v>
      </c>
      <c r="BW1865" s="16">
        <f t="shared" si="119"/>
        <v>0.31578947368421051</v>
      </c>
      <c r="BX1865" s="16">
        <f>COUNTIF($BC$6:BU1865, "=0") / COUNTIF($BC$6:BU1865, "&gt;-1")</f>
        <v>0.45441426146010189</v>
      </c>
      <c r="BY1865" s="18">
        <f>SUM($BC$6:BU1865) / $BY$4</f>
        <v>0.99361404839615131</v>
      </c>
      <c r="BZ1865" s="14">
        <f t="shared" si="120"/>
        <v>14</v>
      </c>
      <c r="CA1865" t="s">
        <v>5832</v>
      </c>
      <c r="CZ1865" t="s">
        <v>9231</v>
      </c>
      <c r="DA1865" t="s">
        <v>5904</v>
      </c>
      <c r="DB1865">
        <v>1961.8</v>
      </c>
      <c r="DC1865" t="s">
        <v>23945</v>
      </c>
      <c r="DD1865" t="s">
        <v>23946</v>
      </c>
      <c r="DE1865" t="s">
        <v>23947</v>
      </c>
      <c r="DF1865" t="s">
        <v>23948</v>
      </c>
      <c r="DG1865" t="s">
        <v>23949</v>
      </c>
      <c r="DH1865" t="str">
        <f>"KIF5B"</f>
        <v>KIF5B</v>
      </c>
      <c r="DI1865" t="s">
        <v>23950</v>
      </c>
      <c r="DJ1865" t="s">
        <v>13777</v>
      </c>
      <c r="DK1865">
        <v>9606</v>
      </c>
      <c r="DL1865" s="34" t="str">
        <f>HYPERLINK("http://www.uniprot.org/uniprot/P33176", "P33176")</f>
        <v>P33176</v>
      </c>
      <c r="DM1865" t="s">
        <v>23951</v>
      </c>
      <c r="DN1865" t="s">
        <v>13772</v>
      </c>
      <c r="DO1865" t="s">
        <v>20183</v>
      </c>
      <c r="DP1865" t="s">
        <v>13772</v>
      </c>
      <c r="DQ1865" t="s">
        <v>13772</v>
      </c>
      <c r="DR1865" t="s">
        <v>13772</v>
      </c>
      <c r="DS1865" t="s">
        <v>14245</v>
      </c>
      <c r="DT1865" t="s">
        <v>14005</v>
      </c>
      <c r="DU1865" t="s">
        <v>14678</v>
      </c>
      <c r="DV1865" t="s">
        <v>14663</v>
      </c>
      <c r="DW1865" t="s">
        <v>13812</v>
      </c>
      <c r="DX1865" t="s">
        <v>23952</v>
      </c>
      <c r="DY1865" t="s">
        <v>23953</v>
      </c>
      <c r="DZ1865" t="s">
        <v>23954</v>
      </c>
      <c r="EA1865" t="s">
        <v>13772</v>
      </c>
      <c r="EB1865" t="s">
        <v>23955</v>
      </c>
    </row>
    <row r="1866" spans="1:132" hidden="1">
      <c r="A1866">
        <v>1039</v>
      </c>
      <c r="B1866">
        <v>1</v>
      </c>
      <c r="C1866" t="s">
        <v>2514</v>
      </c>
      <c r="D1866" t="s">
        <v>73</v>
      </c>
      <c r="E1866" t="s">
        <v>73</v>
      </c>
      <c r="F1866" t="s">
        <v>73</v>
      </c>
      <c r="G1866" t="s">
        <v>73</v>
      </c>
      <c r="H1866">
        <v>14.3</v>
      </c>
      <c r="I1866">
        <v>210</v>
      </c>
      <c r="J1866">
        <v>23588</v>
      </c>
      <c r="K1866" t="s">
        <v>2515</v>
      </c>
      <c r="L1866">
        <f t="shared" si="118"/>
        <v>6</v>
      </c>
      <c r="N1866">
        <v>6</v>
      </c>
      <c r="O1866">
        <v>6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</v>
      </c>
      <c r="Z1866">
        <v>0</v>
      </c>
      <c r="AA1866">
        <v>1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</v>
      </c>
      <c r="AS1866">
        <v>0</v>
      </c>
      <c r="AT1866">
        <v>1</v>
      </c>
      <c r="AU1866">
        <v>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3</v>
      </c>
      <c r="BL1866" s="2">
        <v>0</v>
      </c>
      <c r="BM1866" s="2">
        <v>1</v>
      </c>
      <c r="BN1866" s="2">
        <v>2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f t="shared" si="121"/>
        <v>6</v>
      </c>
      <c r="BW1866" s="16">
        <f t="shared" si="119"/>
        <v>0.31578947368421051</v>
      </c>
      <c r="BX1866" s="16">
        <f>COUNTIF($BC$6:BU1866, "=0") / COUNTIF($BC$6:BU1866, "&gt;-1")</f>
        <v>0.45462258548035861</v>
      </c>
      <c r="BY1866" s="18">
        <f>SUM($BC$6:BU1866) / $BY$4</f>
        <v>0.9936397502173635</v>
      </c>
      <c r="BZ1866" s="14">
        <f t="shared" si="120"/>
        <v>16</v>
      </c>
      <c r="CA1866" t="s">
        <v>5832</v>
      </c>
      <c r="CZ1866" t="s">
        <v>9244</v>
      </c>
      <c r="DA1866" t="s">
        <v>5904</v>
      </c>
      <c r="DB1866">
        <v>403.7</v>
      </c>
      <c r="DC1866" t="s">
        <v>23990</v>
      </c>
      <c r="DD1866" t="s">
        <v>23991</v>
      </c>
      <c r="DE1866" t="s">
        <v>23992</v>
      </c>
      <c r="DF1866" t="s">
        <v>23993</v>
      </c>
      <c r="DG1866" t="s">
        <v>23994</v>
      </c>
      <c r="DH1866" t="str">
        <f>"SARNP"</f>
        <v>SARNP</v>
      </c>
      <c r="DI1866" t="s">
        <v>23995</v>
      </c>
      <c r="DJ1866" t="s">
        <v>13777</v>
      </c>
      <c r="DK1866">
        <v>9606</v>
      </c>
      <c r="DL1866" s="34" t="str">
        <f>HYPERLINK("http://www.uniprot.org/uniprot/P82979", "P82979")</f>
        <v>P82979</v>
      </c>
      <c r="DM1866" t="s">
        <v>23996</v>
      </c>
      <c r="DN1866" t="s">
        <v>23997</v>
      </c>
      <c r="DO1866" t="s">
        <v>14825</v>
      </c>
      <c r="DP1866" t="s">
        <v>13772</v>
      </c>
      <c r="DQ1866" t="s">
        <v>13772</v>
      </c>
      <c r="DR1866" t="s">
        <v>13772</v>
      </c>
      <c r="DS1866" t="s">
        <v>13772</v>
      </c>
      <c r="DT1866" t="s">
        <v>13772</v>
      </c>
      <c r="DU1866" t="s">
        <v>20764</v>
      </c>
      <c r="DV1866" t="s">
        <v>13886</v>
      </c>
      <c r="DW1866" t="s">
        <v>13812</v>
      </c>
      <c r="DX1866" t="s">
        <v>23998</v>
      </c>
      <c r="DY1866" t="s">
        <v>23999</v>
      </c>
      <c r="DZ1866" t="s">
        <v>24000</v>
      </c>
      <c r="EA1866" t="s">
        <v>13772</v>
      </c>
      <c r="EB1866" t="s">
        <v>24001</v>
      </c>
    </row>
    <row r="1867" spans="1:132" hidden="1">
      <c r="A1867">
        <v>1136</v>
      </c>
      <c r="B1867">
        <v>1</v>
      </c>
      <c r="C1867" t="s">
        <v>2736</v>
      </c>
      <c r="D1867" t="s">
        <v>73</v>
      </c>
      <c r="E1867" t="s">
        <v>73</v>
      </c>
      <c r="F1867" t="s">
        <v>73</v>
      </c>
      <c r="G1867" t="s">
        <v>73</v>
      </c>
      <c r="H1867">
        <v>2.2000000000000002</v>
      </c>
      <c r="I1867">
        <v>1575</v>
      </c>
      <c r="J1867">
        <v>176803</v>
      </c>
      <c r="K1867" t="s">
        <v>2737</v>
      </c>
      <c r="L1867">
        <f t="shared" si="118"/>
        <v>6</v>
      </c>
      <c r="N1867">
        <v>6</v>
      </c>
      <c r="O1867">
        <v>6</v>
      </c>
      <c r="P1867">
        <v>1</v>
      </c>
      <c r="Q1867">
        <v>0</v>
      </c>
      <c r="R1867">
        <v>2</v>
      </c>
      <c r="S1867">
        <v>0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</v>
      </c>
      <c r="AL1867">
        <v>0</v>
      </c>
      <c r="AM1867">
        <v>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 s="2">
        <v>0</v>
      </c>
      <c r="BD1867" s="2">
        <v>2</v>
      </c>
      <c r="BE1867" s="2">
        <v>0</v>
      </c>
      <c r="BF1867" s="2">
        <v>2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1</v>
      </c>
      <c r="BP1867" s="2">
        <v>1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f t="shared" si="121"/>
        <v>6</v>
      </c>
      <c r="BW1867" s="16">
        <f t="shared" si="119"/>
        <v>0.31578947368421051</v>
      </c>
      <c r="BX1867" s="16">
        <f>COUNTIF($BC$6:BU1867, "=0") / COUNTIF($BC$6:BU1867, "&gt;-1")</f>
        <v>0.45480241958279155</v>
      </c>
      <c r="BY1867" s="18">
        <f>SUM($BC$6:BU1867) / $BY$4</f>
        <v>0.9936654520385757</v>
      </c>
      <c r="BZ1867" s="14">
        <f t="shared" si="120"/>
        <v>15</v>
      </c>
      <c r="CA1867" t="s">
        <v>5832</v>
      </c>
      <c r="CZ1867" t="s">
        <v>9511</v>
      </c>
      <c r="DA1867" t="s">
        <v>5904</v>
      </c>
      <c r="DB1867">
        <v>2811.6</v>
      </c>
      <c r="DC1867" t="s">
        <v>24736</v>
      </c>
      <c r="DD1867" t="s">
        <v>24737</v>
      </c>
      <c r="DE1867" t="s">
        <v>24738</v>
      </c>
      <c r="DF1867" t="s">
        <v>24739</v>
      </c>
      <c r="DG1867" t="s">
        <v>24740</v>
      </c>
      <c r="DH1867" t="str">
        <f>"PLXNC1"</f>
        <v>PLXNC1</v>
      </c>
      <c r="DI1867" t="s">
        <v>24741</v>
      </c>
      <c r="DJ1867" t="s">
        <v>13777</v>
      </c>
      <c r="DK1867">
        <v>9606</v>
      </c>
      <c r="DL1867" s="34" t="str">
        <f>HYPERLINK("http://www.uniprot.org/uniprot/O60486", "O60486")</f>
        <v>O60486</v>
      </c>
      <c r="DM1867" t="s">
        <v>24742</v>
      </c>
      <c r="DN1867" t="s">
        <v>13772</v>
      </c>
      <c r="DO1867" t="s">
        <v>13825</v>
      </c>
      <c r="DP1867" t="s">
        <v>13793</v>
      </c>
      <c r="DQ1867" t="s">
        <v>13772</v>
      </c>
      <c r="DR1867" t="s">
        <v>13772</v>
      </c>
      <c r="DS1867" t="s">
        <v>13855</v>
      </c>
      <c r="DT1867" t="s">
        <v>13772</v>
      </c>
      <c r="DU1867" t="s">
        <v>13772</v>
      </c>
      <c r="DV1867" t="s">
        <v>13964</v>
      </c>
      <c r="DW1867" t="s">
        <v>13812</v>
      </c>
      <c r="DX1867" t="s">
        <v>24743</v>
      </c>
      <c r="DY1867" t="s">
        <v>24744</v>
      </c>
      <c r="DZ1867" t="s">
        <v>24745</v>
      </c>
      <c r="EA1867" t="s">
        <v>13772</v>
      </c>
      <c r="EB1867" t="s">
        <v>24746</v>
      </c>
    </row>
    <row r="1868" spans="1:132" hidden="1">
      <c r="A1868">
        <v>1178</v>
      </c>
      <c r="B1868">
        <v>1</v>
      </c>
      <c r="C1868" t="s">
        <v>2828</v>
      </c>
      <c r="D1868" t="s">
        <v>2829</v>
      </c>
      <c r="E1868" t="s">
        <v>73</v>
      </c>
      <c r="F1868" t="s">
        <v>73</v>
      </c>
      <c r="G1868" t="s">
        <v>73</v>
      </c>
      <c r="H1868">
        <v>9</v>
      </c>
      <c r="I1868">
        <v>391</v>
      </c>
      <c r="J1868">
        <v>45364</v>
      </c>
      <c r="K1868" t="s">
        <v>2830</v>
      </c>
      <c r="L1868">
        <f t="shared" si="118"/>
        <v>6</v>
      </c>
      <c r="N1868">
        <v>6</v>
      </c>
      <c r="O1868">
        <v>6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0</v>
      </c>
      <c r="AA1868">
        <v>3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2</v>
      </c>
      <c r="AS1868">
        <v>0</v>
      </c>
      <c r="AT1868">
        <v>3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2</v>
      </c>
      <c r="BL1868" s="2">
        <v>0</v>
      </c>
      <c r="BM1868" s="2">
        <v>3</v>
      </c>
      <c r="BN1868" s="2">
        <v>1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f t="shared" si="121"/>
        <v>6</v>
      </c>
      <c r="BW1868" s="16">
        <f t="shared" si="119"/>
        <v>0.31578947368421051</v>
      </c>
      <c r="BX1868" s="16">
        <f>COUNTIF($BC$6:BU1868, "=0") / COUNTIF($BC$6:BU1868, "&gt;-1")</f>
        <v>0.45501031160832839</v>
      </c>
      <c r="BY1868" s="18">
        <f>SUM($BC$6:BU1868) / $BY$4</f>
        <v>0.9936911538597879</v>
      </c>
      <c r="BZ1868" s="14">
        <f t="shared" si="120"/>
        <v>16</v>
      </c>
      <c r="CA1868" t="s">
        <v>5832</v>
      </c>
      <c r="CZ1868" t="s">
        <v>9653</v>
      </c>
      <c r="DA1868" t="s">
        <v>5904</v>
      </c>
      <c r="DB1868">
        <v>789.6</v>
      </c>
      <c r="DC1868" t="s">
        <v>25146</v>
      </c>
      <c r="DD1868" t="s">
        <v>25147</v>
      </c>
      <c r="DE1868" t="s">
        <v>25148</v>
      </c>
      <c r="DF1868" t="s">
        <v>25149</v>
      </c>
      <c r="DG1868" t="s">
        <v>25150</v>
      </c>
      <c r="DH1868" t="str">
        <f>"NAP1L1"</f>
        <v>NAP1L1</v>
      </c>
      <c r="DI1868" t="s">
        <v>25151</v>
      </c>
      <c r="DJ1868" t="s">
        <v>13777</v>
      </c>
      <c r="DK1868">
        <v>9606</v>
      </c>
      <c r="DL1868" s="34" t="str">
        <f>HYPERLINK("http://www.uniprot.org/uniprot/P55209", "P55209")</f>
        <v>P55209</v>
      </c>
      <c r="DM1868" t="s">
        <v>25152</v>
      </c>
      <c r="DN1868" t="s">
        <v>20100</v>
      </c>
      <c r="DO1868" t="s">
        <v>13912</v>
      </c>
      <c r="DP1868" t="s">
        <v>13841</v>
      </c>
      <c r="DQ1868" t="s">
        <v>13772</v>
      </c>
      <c r="DR1868" t="s">
        <v>13772</v>
      </c>
      <c r="DS1868" t="s">
        <v>13772</v>
      </c>
      <c r="DT1868" t="s">
        <v>13772</v>
      </c>
      <c r="DU1868" t="s">
        <v>13772</v>
      </c>
      <c r="DV1868" t="s">
        <v>19929</v>
      </c>
      <c r="DW1868" t="s">
        <v>13772</v>
      </c>
      <c r="DX1868" t="s">
        <v>25153</v>
      </c>
      <c r="DY1868" t="s">
        <v>25154</v>
      </c>
      <c r="DZ1868" t="s">
        <v>14235</v>
      </c>
      <c r="EA1868" t="s">
        <v>13772</v>
      </c>
      <c r="EB1868" t="s">
        <v>13772</v>
      </c>
    </row>
    <row r="1869" spans="1:132" hidden="1">
      <c r="A1869">
        <v>1201</v>
      </c>
      <c r="B1869">
        <v>1</v>
      </c>
      <c r="C1869" t="s">
        <v>2881</v>
      </c>
      <c r="D1869" t="s">
        <v>2882</v>
      </c>
      <c r="E1869" t="s">
        <v>73</v>
      </c>
      <c r="F1869" t="s">
        <v>73</v>
      </c>
      <c r="G1869" t="s">
        <v>73</v>
      </c>
      <c r="H1869">
        <v>15.3</v>
      </c>
      <c r="I1869">
        <v>470</v>
      </c>
      <c r="J1869">
        <v>52358</v>
      </c>
      <c r="K1869" t="s">
        <v>2883</v>
      </c>
      <c r="L1869">
        <f t="shared" si="118"/>
        <v>6</v>
      </c>
      <c r="N1869">
        <v>6</v>
      </c>
      <c r="O1869">
        <v>6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5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5</v>
      </c>
      <c r="BA1869">
        <v>0</v>
      </c>
      <c r="BB1869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1</v>
      </c>
      <c r="BR1869" s="2">
        <v>0</v>
      </c>
      <c r="BS1869" s="2">
        <v>5</v>
      </c>
      <c r="BT1869" s="2">
        <v>0</v>
      </c>
      <c r="BU1869" s="2">
        <v>0</v>
      </c>
      <c r="BV1869" s="2">
        <f t="shared" si="121"/>
        <v>6</v>
      </c>
      <c r="BW1869" s="16">
        <f t="shared" si="119"/>
        <v>0.31578947368421051</v>
      </c>
      <c r="BX1869" s="16">
        <f>COUNTIF($BC$6:BU1869, "=0") / COUNTIF($BC$6:BU1869, "&gt;-1")</f>
        <v>0.45524621639936752</v>
      </c>
      <c r="BY1869" s="18">
        <f>SUM($BC$6:BU1869) / $BY$4</f>
        <v>0.9937168556810001</v>
      </c>
      <c r="BZ1869" s="14">
        <f t="shared" si="120"/>
        <v>17</v>
      </c>
      <c r="CA1869" t="s">
        <v>5832</v>
      </c>
      <c r="CZ1869" t="s">
        <v>9728</v>
      </c>
      <c r="DA1869" t="s">
        <v>5904</v>
      </c>
      <c r="DB1869">
        <v>824.7</v>
      </c>
      <c r="DC1869" t="s">
        <v>25368</v>
      </c>
      <c r="DD1869" t="s">
        <v>13772</v>
      </c>
      <c r="DE1869" t="s">
        <v>25369</v>
      </c>
      <c r="DF1869" t="s">
        <v>25370</v>
      </c>
      <c r="DG1869" t="s">
        <v>25371</v>
      </c>
      <c r="DH1869" t="str">
        <f>"PNLIP"</f>
        <v>PNLIP</v>
      </c>
      <c r="DI1869" t="s">
        <v>13772</v>
      </c>
      <c r="DJ1869" t="s">
        <v>13777</v>
      </c>
      <c r="DK1869">
        <v>9606</v>
      </c>
      <c r="DL1869" s="34" t="str">
        <f>HYPERLINK("http://www.uniprot.org/uniprot/P16233", "P16233")</f>
        <v>P16233</v>
      </c>
      <c r="DM1869" t="s">
        <v>25372</v>
      </c>
      <c r="DN1869" t="s">
        <v>17548</v>
      </c>
      <c r="DO1869" t="s">
        <v>14321</v>
      </c>
      <c r="DP1869" t="s">
        <v>13772</v>
      </c>
      <c r="DQ1869" t="s">
        <v>13772</v>
      </c>
      <c r="DR1869" t="s">
        <v>13807</v>
      </c>
      <c r="DS1869" t="s">
        <v>13808</v>
      </c>
      <c r="DT1869" t="s">
        <v>13873</v>
      </c>
      <c r="DU1869" t="s">
        <v>13857</v>
      </c>
      <c r="DV1869" t="s">
        <v>13796</v>
      </c>
      <c r="DW1869" t="s">
        <v>13812</v>
      </c>
      <c r="DX1869" t="s">
        <v>25373</v>
      </c>
      <c r="DY1869" t="s">
        <v>22023</v>
      </c>
      <c r="DZ1869" t="s">
        <v>25374</v>
      </c>
      <c r="EA1869" t="s">
        <v>13772</v>
      </c>
      <c r="EB1869" t="s">
        <v>25375</v>
      </c>
    </row>
    <row r="1870" spans="1:132" hidden="1">
      <c r="A1870">
        <v>1212</v>
      </c>
      <c r="B1870">
        <v>1</v>
      </c>
      <c r="C1870" t="s">
        <v>2909</v>
      </c>
      <c r="D1870" t="s">
        <v>2910</v>
      </c>
      <c r="E1870" t="s">
        <v>73</v>
      </c>
      <c r="F1870" t="s">
        <v>73</v>
      </c>
      <c r="G1870" t="s">
        <v>73</v>
      </c>
      <c r="H1870">
        <v>14.1</v>
      </c>
      <c r="I1870">
        <v>334</v>
      </c>
      <c r="J1870">
        <v>37318</v>
      </c>
      <c r="K1870" t="s">
        <v>2911</v>
      </c>
      <c r="L1870">
        <f t="shared" si="118"/>
        <v>6</v>
      </c>
      <c r="N1870">
        <v>6</v>
      </c>
      <c r="O1870">
        <v>6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3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3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1</v>
      </c>
      <c r="BK1870" s="2">
        <v>1</v>
      </c>
      <c r="BL1870" s="2">
        <v>0</v>
      </c>
      <c r="BM1870" s="2">
        <v>3</v>
      </c>
      <c r="BN1870" s="2">
        <v>0</v>
      </c>
      <c r="BO1870" s="2">
        <v>0</v>
      </c>
      <c r="BP1870" s="2">
        <v>0</v>
      </c>
      <c r="BQ1870" s="2">
        <v>0</v>
      </c>
      <c r="BR1870" s="2">
        <v>1</v>
      </c>
      <c r="BS1870" s="2">
        <v>0</v>
      </c>
      <c r="BT1870" s="2">
        <v>0</v>
      </c>
      <c r="BU1870" s="2">
        <v>0</v>
      </c>
      <c r="BV1870" s="2">
        <f t="shared" si="121"/>
        <v>6</v>
      </c>
      <c r="BW1870" s="16">
        <f t="shared" si="119"/>
        <v>0.31578947368421051</v>
      </c>
      <c r="BX1870" s="16">
        <f>COUNTIF($BC$6:BU1870, "=0") / COUNTIF($BC$6:BU1870, "&gt;-1")</f>
        <v>0.45542542683787218</v>
      </c>
      <c r="BY1870" s="18">
        <f>SUM($BC$6:BU1870) / $BY$4</f>
        <v>0.9937425575022123</v>
      </c>
      <c r="BZ1870" s="14">
        <f t="shared" si="120"/>
        <v>15</v>
      </c>
      <c r="CA1870" t="s">
        <v>5832</v>
      </c>
      <c r="CZ1870" t="s">
        <v>9767</v>
      </c>
      <c r="DA1870" t="s">
        <v>5904</v>
      </c>
      <c r="DB1870">
        <v>617.5</v>
      </c>
      <c r="DC1870" t="s">
        <v>25473</v>
      </c>
      <c r="DD1870" t="s">
        <v>25474</v>
      </c>
      <c r="DE1870" t="s">
        <v>25475</v>
      </c>
      <c r="DF1870" t="s">
        <v>25476</v>
      </c>
      <c r="DG1870" t="s">
        <v>25477</v>
      </c>
      <c r="DH1870" t="str">
        <f>"GLRX3"</f>
        <v>GLRX3</v>
      </c>
      <c r="DI1870" t="s">
        <v>25478</v>
      </c>
      <c r="DJ1870" t="s">
        <v>13777</v>
      </c>
      <c r="DK1870">
        <v>9606</v>
      </c>
      <c r="DL1870" s="34" t="str">
        <f>HYPERLINK("http://www.uniprot.org/uniprot/O76003", "O76003")</f>
        <v>O76003</v>
      </c>
      <c r="DM1870" t="s">
        <v>25479</v>
      </c>
      <c r="DN1870" t="s">
        <v>13772</v>
      </c>
      <c r="DO1870" t="s">
        <v>13899</v>
      </c>
      <c r="DP1870" t="s">
        <v>13793</v>
      </c>
      <c r="DQ1870" t="s">
        <v>13772</v>
      </c>
      <c r="DR1870" t="s">
        <v>13772</v>
      </c>
      <c r="DS1870" t="s">
        <v>14096</v>
      </c>
      <c r="DT1870" t="s">
        <v>25480</v>
      </c>
      <c r="DU1870" t="s">
        <v>13772</v>
      </c>
      <c r="DV1870" t="s">
        <v>13886</v>
      </c>
      <c r="DW1870" t="s">
        <v>13812</v>
      </c>
      <c r="DX1870" t="s">
        <v>25481</v>
      </c>
      <c r="DY1870" t="s">
        <v>25482</v>
      </c>
      <c r="DZ1870" t="s">
        <v>25483</v>
      </c>
      <c r="EA1870" t="s">
        <v>13772</v>
      </c>
      <c r="EB1870" t="s">
        <v>25484</v>
      </c>
    </row>
    <row r="1871" spans="1:132" hidden="1">
      <c r="A1871">
        <v>1226</v>
      </c>
      <c r="B1871">
        <v>1</v>
      </c>
      <c r="C1871" t="s">
        <v>2946</v>
      </c>
      <c r="D1871" t="s">
        <v>73</v>
      </c>
      <c r="E1871" t="s">
        <v>73</v>
      </c>
      <c r="F1871" t="s">
        <v>73</v>
      </c>
      <c r="G1871" t="s">
        <v>73</v>
      </c>
      <c r="H1871">
        <v>7.4</v>
      </c>
      <c r="I1871">
        <v>511</v>
      </c>
      <c r="J1871">
        <v>57217</v>
      </c>
      <c r="K1871" t="s">
        <v>2947</v>
      </c>
      <c r="L1871">
        <f t="shared" si="118"/>
        <v>6</v>
      </c>
      <c r="N1871">
        <v>6</v>
      </c>
      <c r="O1871">
        <v>6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3</v>
      </c>
      <c r="AB1871">
        <v>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3</v>
      </c>
      <c r="AU1871">
        <v>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1</v>
      </c>
      <c r="BK1871" s="2">
        <v>0</v>
      </c>
      <c r="BL1871" s="2">
        <v>0</v>
      </c>
      <c r="BM1871" s="2">
        <v>3</v>
      </c>
      <c r="BN1871" s="2">
        <v>2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f t="shared" si="121"/>
        <v>6</v>
      </c>
      <c r="BW1871" s="16">
        <f t="shared" si="119"/>
        <v>0.31578947368421051</v>
      </c>
      <c r="BX1871" s="16">
        <f>COUNTIF($BC$6:BU1871, "=0") / COUNTIF($BC$6:BU1871, "&gt;-1")</f>
        <v>0.45563265075872961</v>
      </c>
      <c r="BY1871" s="18">
        <f>SUM($BC$6:BU1871) / $BY$4</f>
        <v>0.9937682593234245</v>
      </c>
      <c r="BZ1871" s="14">
        <f t="shared" si="120"/>
        <v>16</v>
      </c>
      <c r="CA1871" t="s">
        <v>5832</v>
      </c>
      <c r="CZ1871" t="s">
        <v>9813</v>
      </c>
      <c r="DA1871" t="s">
        <v>5904</v>
      </c>
      <c r="DB1871">
        <v>1038.0999999999999</v>
      </c>
      <c r="DC1871" t="s">
        <v>25608</v>
      </c>
      <c r="DD1871" t="s">
        <v>25609</v>
      </c>
      <c r="DE1871" t="s">
        <v>25610</v>
      </c>
      <c r="DF1871" t="s">
        <v>25611</v>
      </c>
      <c r="DG1871" t="s">
        <v>25612</v>
      </c>
      <c r="DH1871" t="str">
        <f>"ARCN1"</f>
        <v>ARCN1</v>
      </c>
      <c r="DI1871" t="s">
        <v>25613</v>
      </c>
      <c r="DJ1871" t="s">
        <v>13777</v>
      </c>
      <c r="DK1871">
        <v>9606</v>
      </c>
      <c r="DL1871" s="34" t="str">
        <f>HYPERLINK("http://www.uniprot.org/uniprot/P48444", "P48444")</f>
        <v>P48444</v>
      </c>
      <c r="DM1871" t="s">
        <v>25614</v>
      </c>
      <c r="DN1871" t="s">
        <v>15450</v>
      </c>
      <c r="DO1871" t="s">
        <v>16529</v>
      </c>
      <c r="DP1871" t="s">
        <v>13780</v>
      </c>
      <c r="DQ1871" t="s">
        <v>13772</v>
      </c>
      <c r="DR1871" t="s">
        <v>19357</v>
      </c>
      <c r="DS1871" t="s">
        <v>13772</v>
      </c>
      <c r="DT1871" t="s">
        <v>13772</v>
      </c>
      <c r="DU1871" t="s">
        <v>13772</v>
      </c>
      <c r="DV1871" t="s">
        <v>13886</v>
      </c>
      <c r="DW1871" t="s">
        <v>13772</v>
      </c>
      <c r="DX1871" t="s">
        <v>25615</v>
      </c>
      <c r="DY1871" t="s">
        <v>25616</v>
      </c>
      <c r="DZ1871" t="s">
        <v>14235</v>
      </c>
      <c r="EA1871" t="s">
        <v>13772</v>
      </c>
      <c r="EB1871" t="s">
        <v>16533</v>
      </c>
    </row>
    <row r="1872" spans="1:132" hidden="1">
      <c r="A1872">
        <v>1275</v>
      </c>
      <c r="B1872">
        <v>1</v>
      </c>
      <c r="C1872" t="s">
        <v>3058</v>
      </c>
      <c r="D1872" t="s">
        <v>3059</v>
      </c>
      <c r="E1872" t="s">
        <v>73</v>
      </c>
      <c r="F1872" t="s">
        <v>73</v>
      </c>
      <c r="G1872" t="s">
        <v>73</v>
      </c>
      <c r="H1872">
        <v>4.7</v>
      </c>
      <c r="I1872">
        <v>1929</v>
      </c>
      <c r="J1872">
        <v>212665</v>
      </c>
      <c r="K1872" t="s">
        <v>3060</v>
      </c>
      <c r="L1872">
        <f t="shared" si="118"/>
        <v>6</v>
      </c>
      <c r="N1872">
        <v>6</v>
      </c>
      <c r="O1872">
        <v>6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2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2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1</v>
      </c>
      <c r="BJ1872" s="2">
        <v>1</v>
      </c>
      <c r="BK1872" s="2">
        <v>2</v>
      </c>
      <c r="BL1872" s="2">
        <v>0</v>
      </c>
      <c r="BM1872" s="2">
        <v>1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f t="shared" si="121"/>
        <v>6</v>
      </c>
      <c r="BW1872" s="16">
        <f t="shared" si="119"/>
        <v>0.31578947368421051</v>
      </c>
      <c r="BX1872" s="16">
        <f>COUNTIF($BC$6:BU1872, "=0") / COUNTIF($BC$6:BU1872, "&gt;-1")</f>
        <v>0.45578327178417388</v>
      </c>
      <c r="BY1872" s="18">
        <f>SUM($BC$6:BU1872) / $BY$4</f>
        <v>0.99379396114463669</v>
      </c>
      <c r="BZ1872" s="14">
        <f t="shared" si="120"/>
        <v>14</v>
      </c>
      <c r="CA1872" t="s">
        <v>5832</v>
      </c>
      <c r="CZ1872" t="s">
        <v>9984</v>
      </c>
      <c r="DA1872" t="s">
        <v>5904</v>
      </c>
      <c r="DB1872">
        <v>3002.6</v>
      </c>
      <c r="DC1872" t="s">
        <v>26091</v>
      </c>
      <c r="DD1872" t="s">
        <v>26092</v>
      </c>
      <c r="DE1872" t="s">
        <v>26093</v>
      </c>
      <c r="DF1872" t="s">
        <v>26094</v>
      </c>
      <c r="DG1872" t="s">
        <v>26095</v>
      </c>
      <c r="DH1872" t="str">
        <f>"KIF13B"</f>
        <v>KIF13B</v>
      </c>
      <c r="DI1872" t="s">
        <v>26096</v>
      </c>
      <c r="DJ1872" t="s">
        <v>13777</v>
      </c>
      <c r="DK1872">
        <v>9606</v>
      </c>
      <c r="DL1872" s="34" t="str">
        <f>HYPERLINK("http://www.uniprot.org/uniprot/Q9NQT8", "Q9NQT8")</f>
        <v>Q9NQT8</v>
      </c>
      <c r="DM1872" t="s">
        <v>26097</v>
      </c>
      <c r="DN1872" t="s">
        <v>13772</v>
      </c>
      <c r="DO1872" t="s">
        <v>26098</v>
      </c>
      <c r="DP1872" t="s">
        <v>13780</v>
      </c>
      <c r="DQ1872" t="s">
        <v>13772</v>
      </c>
      <c r="DR1872" t="s">
        <v>13772</v>
      </c>
      <c r="DS1872" t="s">
        <v>14245</v>
      </c>
      <c r="DT1872" t="s">
        <v>14005</v>
      </c>
      <c r="DU1872" t="s">
        <v>14678</v>
      </c>
      <c r="DV1872" t="s">
        <v>13782</v>
      </c>
      <c r="DW1872" t="s">
        <v>13812</v>
      </c>
      <c r="DX1872" t="s">
        <v>26099</v>
      </c>
      <c r="DY1872" t="s">
        <v>26100</v>
      </c>
      <c r="DZ1872" t="s">
        <v>26101</v>
      </c>
      <c r="EA1872" t="s">
        <v>13772</v>
      </c>
      <c r="EB1872" t="s">
        <v>26102</v>
      </c>
    </row>
    <row r="1873" spans="1:132" hidden="1">
      <c r="A1873">
        <v>1293</v>
      </c>
      <c r="B1873">
        <v>1</v>
      </c>
      <c r="C1873" t="s">
        <v>3103</v>
      </c>
      <c r="D1873" t="s">
        <v>73</v>
      </c>
      <c r="E1873" t="s">
        <v>73</v>
      </c>
      <c r="F1873" t="s">
        <v>73</v>
      </c>
      <c r="G1873" t="s">
        <v>73</v>
      </c>
      <c r="H1873">
        <v>11.3</v>
      </c>
      <c r="I1873">
        <v>425</v>
      </c>
      <c r="J1873">
        <v>47292</v>
      </c>
      <c r="K1873" t="s">
        <v>3104</v>
      </c>
      <c r="L1873">
        <f t="shared" si="118"/>
        <v>6</v>
      </c>
      <c r="N1873">
        <v>6</v>
      </c>
      <c r="O1873">
        <v>6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6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6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f t="shared" si="121"/>
        <v>6</v>
      </c>
      <c r="BW1873" s="16">
        <f t="shared" si="119"/>
        <v>0.31578947368421051</v>
      </c>
      <c r="BX1873" s="16">
        <f>COUNTIF($BC$6:BU1873, "=0") / COUNTIF($BC$6:BU1873, "&gt;-1")</f>
        <v>0.45604643299898567</v>
      </c>
      <c r="BY1873" s="18">
        <f>SUM($BC$6:BU1873) / $BY$4</f>
        <v>0.993819662965849</v>
      </c>
      <c r="BZ1873" s="14">
        <f t="shared" si="120"/>
        <v>18</v>
      </c>
      <c r="CA1873" t="s">
        <v>5832</v>
      </c>
      <c r="CZ1873" t="s">
        <v>10051</v>
      </c>
      <c r="DA1873" t="s">
        <v>5904</v>
      </c>
      <c r="DB1873">
        <v>788.1</v>
      </c>
      <c r="DC1873" t="s">
        <v>26281</v>
      </c>
      <c r="DD1873" t="s">
        <v>26282</v>
      </c>
      <c r="DE1873" t="s">
        <v>26283</v>
      </c>
      <c r="DF1873" t="s">
        <v>26284</v>
      </c>
      <c r="DG1873" t="s">
        <v>13772</v>
      </c>
      <c r="DH1873" t="str">
        <f>"PLEKHA2"</f>
        <v>PLEKHA2</v>
      </c>
      <c r="DI1873" t="s">
        <v>26285</v>
      </c>
      <c r="DJ1873" t="s">
        <v>13777</v>
      </c>
      <c r="DK1873">
        <v>9606</v>
      </c>
      <c r="DL1873" s="34" t="str">
        <f>HYPERLINK("http://www.uniprot.org/uniprot/Q9HB19", "Q9HB19")</f>
        <v>Q9HB19</v>
      </c>
      <c r="DM1873" t="s">
        <v>26286</v>
      </c>
      <c r="DN1873" t="s">
        <v>13772</v>
      </c>
      <c r="DO1873" t="s">
        <v>14968</v>
      </c>
      <c r="DP1873" t="s">
        <v>13793</v>
      </c>
      <c r="DQ1873" t="s">
        <v>13772</v>
      </c>
      <c r="DR1873" t="s">
        <v>13772</v>
      </c>
      <c r="DS1873" t="s">
        <v>14096</v>
      </c>
      <c r="DT1873" t="s">
        <v>13900</v>
      </c>
      <c r="DU1873" t="s">
        <v>13772</v>
      </c>
      <c r="DV1873" t="s">
        <v>13938</v>
      </c>
      <c r="DW1873" t="s">
        <v>13772</v>
      </c>
      <c r="DX1873" t="s">
        <v>26287</v>
      </c>
      <c r="DY1873" t="s">
        <v>26288</v>
      </c>
      <c r="DZ1873" t="s">
        <v>26289</v>
      </c>
      <c r="EA1873" t="s">
        <v>13772</v>
      </c>
      <c r="EB1873" t="s">
        <v>26290</v>
      </c>
    </row>
    <row r="1874" spans="1:132" hidden="1">
      <c r="A1874">
        <v>1302</v>
      </c>
      <c r="B1874">
        <v>1</v>
      </c>
      <c r="C1874" t="s">
        <v>3121</v>
      </c>
      <c r="D1874" t="s">
        <v>3122</v>
      </c>
      <c r="E1874" t="s">
        <v>73</v>
      </c>
      <c r="F1874" t="s">
        <v>73</v>
      </c>
      <c r="G1874" t="s">
        <v>73</v>
      </c>
      <c r="H1874">
        <v>15.9</v>
      </c>
      <c r="I1874">
        <v>353</v>
      </c>
      <c r="J1874">
        <v>39419</v>
      </c>
      <c r="K1874" t="s">
        <v>3123</v>
      </c>
      <c r="L1874">
        <f t="shared" si="118"/>
        <v>6</v>
      </c>
      <c r="N1874">
        <v>6</v>
      </c>
      <c r="O1874">
        <v>6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5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1</v>
      </c>
      <c r="BN1874" s="2">
        <v>5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f t="shared" si="121"/>
        <v>6</v>
      </c>
      <c r="BW1874" s="16">
        <f t="shared" si="119"/>
        <v>0.31578947368421051</v>
      </c>
      <c r="BX1874" s="16">
        <f>COUNTIF($BC$6:BU1874, "=0") / COUNTIF($BC$6:BU1874, "&gt;-1")</f>
        <v>0.45628115231899974</v>
      </c>
      <c r="BY1874" s="18">
        <f>SUM($BC$6:BU1874) / $BY$4</f>
        <v>0.9938453647870612</v>
      </c>
      <c r="BZ1874" s="14">
        <f t="shared" si="120"/>
        <v>17</v>
      </c>
      <c r="CA1874" t="s">
        <v>5832</v>
      </c>
      <c r="CZ1874" t="s">
        <v>10083</v>
      </c>
      <c r="DA1874" t="s">
        <v>5904</v>
      </c>
      <c r="DB1874">
        <v>664.5</v>
      </c>
      <c r="DC1874" t="s">
        <v>26373</v>
      </c>
      <c r="DD1874" t="s">
        <v>26374</v>
      </c>
      <c r="DE1874" t="s">
        <v>26375</v>
      </c>
      <c r="DF1874" t="s">
        <v>26376</v>
      </c>
      <c r="DG1874" t="s">
        <v>26377</v>
      </c>
      <c r="DH1874" t="str">
        <f>"ERLIN2"</f>
        <v>ERLIN2</v>
      </c>
      <c r="DI1874" t="s">
        <v>26378</v>
      </c>
      <c r="DJ1874" t="s">
        <v>13777</v>
      </c>
      <c r="DK1874">
        <v>9606</v>
      </c>
      <c r="DL1874" s="34" t="str">
        <f>HYPERLINK("http://www.uniprot.org/uniprot/O94905", "O94905")</f>
        <v>O94905</v>
      </c>
      <c r="DM1874" t="s">
        <v>26379</v>
      </c>
      <c r="DN1874" t="s">
        <v>24693</v>
      </c>
      <c r="DO1874" t="s">
        <v>14714</v>
      </c>
      <c r="DP1874" t="s">
        <v>13780</v>
      </c>
      <c r="DQ1874" t="s">
        <v>13772</v>
      </c>
      <c r="DR1874" t="s">
        <v>26380</v>
      </c>
      <c r="DS1874" t="s">
        <v>14417</v>
      </c>
      <c r="DT1874" t="s">
        <v>13772</v>
      </c>
      <c r="DU1874" t="s">
        <v>13772</v>
      </c>
      <c r="DV1874" t="s">
        <v>26381</v>
      </c>
      <c r="DW1874" t="s">
        <v>13772</v>
      </c>
      <c r="DX1874" t="s">
        <v>26382</v>
      </c>
      <c r="DY1874" t="s">
        <v>26383</v>
      </c>
      <c r="DZ1874" t="s">
        <v>26384</v>
      </c>
      <c r="EA1874" t="s">
        <v>13772</v>
      </c>
      <c r="EB1874" t="s">
        <v>26385</v>
      </c>
    </row>
    <row r="1875" spans="1:132" hidden="1">
      <c r="A1875">
        <v>1338</v>
      </c>
      <c r="B1875">
        <v>1</v>
      </c>
      <c r="C1875" t="s">
        <v>3206</v>
      </c>
      <c r="D1875" t="s">
        <v>3207</v>
      </c>
      <c r="E1875" t="s">
        <v>73</v>
      </c>
      <c r="F1875" t="s">
        <v>73</v>
      </c>
      <c r="G1875" t="s">
        <v>73</v>
      </c>
      <c r="H1875">
        <v>2.2000000000000002</v>
      </c>
      <c r="I1875">
        <v>495</v>
      </c>
      <c r="J1875">
        <v>52810</v>
      </c>
      <c r="K1875" t="s">
        <v>3208</v>
      </c>
      <c r="L1875">
        <f t="shared" si="118"/>
        <v>6</v>
      </c>
      <c r="N1875">
        <v>6</v>
      </c>
      <c r="O1875">
        <v>6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1</v>
      </c>
      <c r="AO1875">
        <v>2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 s="2">
        <v>0</v>
      </c>
      <c r="BD1875" s="2">
        <v>1</v>
      </c>
      <c r="BE1875" s="2">
        <v>1</v>
      </c>
      <c r="BF1875" s="2">
        <v>1</v>
      </c>
      <c r="BG1875" s="2">
        <v>1</v>
      </c>
      <c r="BH1875" s="2">
        <v>2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f t="shared" si="121"/>
        <v>6</v>
      </c>
      <c r="BW1875" s="16">
        <f t="shared" si="119"/>
        <v>0.31578947368421051</v>
      </c>
      <c r="BX1875" s="16">
        <f>COUNTIF($BC$6:BU1875, "=0") / COUNTIF($BC$6:BU1875, "&gt;-1")</f>
        <v>0.45643118491415707</v>
      </c>
      <c r="BY1875" s="18">
        <f>SUM($BC$6:BU1875) / $BY$4</f>
        <v>0.9938710666082734</v>
      </c>
      <c r="BZ1875" s="14">
        <f t="shared" si="120"/>
        <v>14</v>
      </c>
      <c r="CA1875" t="s">
        <v>5832</v>
      </c>
      <c r="CZ1875" t="s">
        <v>10205</v>
      </c>
      <c r="DA1875" t="s">
        <v>5904</v>
      </c>
      <c r="DB1875">
        <v>833.9</v>
      </c>
      <c r="DC1875" t="s">
        <v>26720</v>
      </c>
      <c r="DD1875" t="s">
        <v>26721</v>
      </c>
      <c r="DE1875" t="s">
        <v>26722</v>
      </c>
      <c r="DF1875" t="s">
        <v>26723</v>
      </c>
      <c r="DG1875" t="s">
        <v>26724</v>
      </c>
      <c r="DH1875" t="str">
        <f>"HTRA3"</f>
        <v>HTRA3</v>
      </c>
      <c r="DI1875" t="s">
        <v>26725</v>
      </c>
      <c r="DJ1875" t="s">
        <v>13777</v>
      </c>
      <c r="DK1875">
        <v>9606</v>
      </c>
      <c r="DL1875" s="34" t="str">
        <f>HYPERLINK("http://www.uniprot.org/uniprot/P83110", "P83110")</f>
        <v>P83110</v>
      </c>
      <c r="DM1875" t="s">
        <v>26726</v>
      </c>
      <c r="DN1875" t="s">
        <v>13772</v>
      </c>
      <c r="DO1875" t="s">
        <v>14321</v>
      </c>
      <c r="DP1875" t="s">
        <v>13841</v>
      </c>
      <c r="DQ1875" t="s">
        <v>13772</v>
      </c>
      <c r="DR1875" t="s">
        <v>13772</v>
      </c>
      <c r="DS1875" t="s">
        <v>13808</v>
      </c>
      <c r="DT1875" t="s">
        <v>13772</v>
      </c>
      <c r="DU1875" t="s">
        <v>15176</v>
      </c>
      <c r="DV1875" t="s">
        <v>14506</v>
      </c>
      <c r="DW1875" t="s">
        <v>13812</v>
      </c>
      <c r="DX1875" t="s">
        <v>26727</v>
      </c>
      <c r="DY1875" t="s">
        <v>15346</v>
      </c>
      <c r="DZ1875" t="s">
        <v>26728</v>
      </c>
      <c r="EA1875" t="s">
        <v>13772</v>
      </c>
      <c r="EB1875" t="s">
        <v>13772</v>
      </c>
    </row>
    <row r="1876" spans="1:132" hidden="1">
      <c r="A1876">
        <v>1383</v>
      </c>
      <c r="B1876">
        <v>1</v>
      </c>
      <c r="C1876" t="s">
        <v>3304</v>
      </c>
      <c r="D1876" t="s">
        <v>73</v>
      </c>
      <c r="E1876" t="s">
        <v>73</v>
      </c>
      <c r="F1876" t="s">
        <v>73</v>
      </c>
      <c r="G1876" t="s">
        <v>73</v>
      </c>
      <c r="H1876">
        <v>6.6</v>
      </c>
      <c r="I1876">
        <v>921</v>
      </c>
      <c r="J1876">
        <v>104876</v>
      </c>
      <c r="K1876" t="s">
        <v>3305</v>
      </c>
      <c r="L1876">
        <f t="shared" si="118"/>
        <v>6</v>
      </c>
      <c r="N1876">
        <v>6</v>
      </c>
      <c r="O1876">
        <v>6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4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4</v>
      </c>
      <c r="BN1876" s="2">
        <v>0</v>
      </c>
      <c r="BO1876" s="2">
        <v>1</v>
      </c>
      <c r="BP1876" s="2">
        <v>0</v>
      </c>
      <c r="BQ1876" s="2">
        <v>1</v>
      </c>
      <c r="BR1876" s="2">
        <v>0</v>
      </c>
      <c r="BS1876" s="2">
        <v>0</v>
      </c>
      <c r="BT1876" s="2">
        <v>0</v>
      </c>
      <c r="BU1876" s="2">
        <v>0</v>
      </c>
      <c r="BV1876" s="2">
        <f t="shared" si="121"/>
        <v>6</v>
      </c>
      <c r="BW1876" s="16">
        <f t="shared" si="119"/>
        <v>0.31578947368421051</v>
      </c>
      <c r="BX1876" s="16">
        <f>COUNTIF($BC$6:BU1876, "=0") / COUNTIF($BC$6:BU1876, "&gt;-1")</f>
        <v>0.45663731750541509</v>
      </c>
      <c r="BY1876" s="18">
        <f>SUM($BC$6:BU1876) / $BY$4</f>
        <v>0.9938967684294856</v>
      </c>
      <c r="BZ1876" s="14">
        <f t="shared" si="120"/>
        <v>16</v>
      </c>
      <c r="CA1876" t="s">
        <v>5832</v>
      </c>
      <c r="CZ1876" t="s">
        <v>10354</v>
      </c>
      <c r="DA1876" t="s">
        <v>5904</v>
      </c>
      <c r="DB1876">
        <v>1788.5</v>
      </c>
      <c r="DC1876" t="s">
        <v>27137</v>
      </c>
      <c r="DD1876" t="s">
        <v>27138</v>
      </c>
      <c r="DE1876" t="s">
        <v>27139</v>
      </c>
      <c r="DF1876" t="s">
        <v>27140</v>
      </c>
      <c r="DG1876" t="s">
        <v>27141</v>
      </c>
      <c r="DH1876" t="str">
        <f>"BCLAF1"</f>
        <v>BCLAF1</v>
      </c>
      <c r="DI1876" t="s">
        <v>27142</v>
      </c>
      <c r="DJ1876" t="s">
        <v>13777</v>
      </c>
      <c r="DK1876">
        <v>9606</v>
      </c>
      <c r="DL1876" s="34" t="str">
        <f>HYPERLINK("http://www.uniprot.org/uniprot/Q9NYF8", "Q9NYF8")</f>
        <v>Q9NYF8</v>
      </c>
      <c r="DM1876" t="s">
        <v>27143</v>
      </c>
      <c r="DN1876" t="s">
        <v>14445</v>
      </c>
      <c r="DO1876" t="s">
        <v>13912</v>
      </c>
      <c r="DP1876" t="s">
        <v>13780</v>
      </c>
      <c r="DQ1876" t="s">
        <v>13772</v>
      </c>
      <c r="DR1876" t="s">
        <v>13772</v>
      </c>
      <c r="DS1876" t="s">
        <v>13772</v>
      </c>
      <c r="DT1876" t="s">
        <v>13772</v>
      </c>
      <c r="DU1876" t="s">
        <v>22954</v>
      </c>
      <c r="DV1876" t="s">
        <v>15971</v>
      </c>
      <c r="DW1876" t="s">
        <v>13772</v>
      </c>
      <c r="DX1876" t="s">
        <v>27144</v>
      </c>
      <c r="DY1876" t="s">
        <v>27145</v>
      </c>
      <c r="DZ1876" t="s">
        <v>27146</v>
      </c>
      <c r="EA1876" t="s">
        <v>13772</v>
      </c>
      <c r="EB1876" t="s">
        <v>13772</v>
      </c>
    </row>
    <row r="1877" spans="1:132" hidden="1">
      <c r="A1877">
        <v>1394</v>
      </c>
      <c r="B1877">
        <v>1</v>
      </c>
      <c r="C1877" t="s">
        <v>3330</v>
      </c>
      <c r="D1877" t="s">
        <v>73</v>
      </c>
      <c r="E1877" t="s">
        <v>73</v>
      </c>
      <c r="F1877" t="s">
        <v>3331</v>
      </c>
      <c r="G1877" t="s">
        <v>73</v>
      </c>
      <c r="H1877">
        <v>41.1</v>
      </c>
      <c r="I1877">
        <v>107</v>
      </c>
      <c r="J1877">
        <v>11676</v>
      </c>
      <c r="K1877" t="s">
        <v>3332</v>
      </c>
      <c r="L1877">
        <f t="shared" si="118"/>
        <v>10</v>
      </c>
      <c r="N1877">
        <v>10</v>
      </c>
      <c r="O1877">
        <v>4</v>
      </c>
      <c r="P1877">
        <v>0.4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0</v>
      </c>
      <c r="AA1877">
        <v>1</v>
      </c>
      <c r="AB1877">
        <v>4</v>
      </c>
      <c r="AC1877">
        <v>0</v>
      </c>
      <c r="AD1877">
        <v>0</v>
      </c>
      <c r="AE1877">
        <v>1</v>
      </c>
      <c r="AF1877">
        <v>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3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1</v>
      </c>
      <c r="BN1877" s="2">
        <v>4</v>
      </c>
      <c r="BO1877" s="2">
        <v>0</v>
      </c>
      <c r="BP1877" s="2">
        <v>0</v>
      </c>
      <c r="BQ1877" s="2">
        <v>0</v>
      </c>
      <c r="BR1877" s="2">
        <v>1</v>
      </c>
      <c r="BS1877" s="2">
        <v>0</v>
      </c>
      <c r="BT1877" s="2">
        <v>0</v>
      </c>
      <c r="BU1877" s="2">
        <v>0</v>
      </c>
      <c r="BV1877" s="2">
        <f t="shared" si="121"/>
        <v>6</v>
      </c>
      <c r="BW1877" s="16">
        <f t="shared" si="119"/>
        <v>0.31578947368421051</v>
      </c>
      <c r="BX1877" s="16">
        <f>COUNTIF($BC$6:BU1877, "=0") / COUNTIF($BC$6:BU1877, "&gt;-1")</f>
        <v>0.45684322986954568</v>
      </c>
      <c r="BY1877" s="18">
        <f>SUM($BC$6:BU1877) / $BY$4</f>
        <v>0.9939224702506978</v>
      </c>
      <c r="BZ1877" s="14">
        <f t="shared" si="120"/>
        <v>16</v>
      </c>
      <c r="CA1877" t="s">
        <v>5832</v>
      </c>
      <c r="CZ1877" t="s">
        <v>10393</v>
      </c>
      <c r="DA1877" t="s">
        <v>5904</v>
      </c>
      <c r="DB1877">
        <v>196.8</v>
      </c>
      <c r="DC1877" t="s">
        <v>27245</v>
      </c>
      <c r="DD1877" t="s">
        <v>27246</v>
      </c>
      <c r="DE1877" t="s">
        <v>27247</v>
      </c>
      <c r="DF1877" t="s">
        <v>27248</v>
      </c>
      <c r="DG1877" t="s">
        <v>27249</v>
      </c>
      <c r="DH1877" t="str">
        <f>"HMGA1"</f>
        <v>HMGA1</v>
      </c>
      <c r="DI1877" t="s">
        <v>27250</v>
      </c>
      <c r="DJ1877" t="s">
        <v>13777</v>
      </c>
      <c r="DK1877">
        <v>9606</v>
      </c>
      <c r="DL1877" s="34" t="str">
        <f>HYPERLINK("http://www.uniprot.org/uniprot/P17096", "P17096")</f>
        <v>P17096</v>
      </c>
      <c r="DM1877" t="s">
        <v>27251</v>
      </c>
      <c r="DN1877" t="s">
        <v>14445</v>
      </c>
      <c r="DO1877" t="s">
        <v>19917</v>
      </c>
      <c r="DP1877" t="s">
        <v>14661</v>
      </c>
      <c r="DQ1877" t="s">
        <v>13772</v>
      </c>
      <c r="DR1877" t="s">
        <v>13772</v>
      </c>
      <c r="DS1877" t="s">
        <v>14096</v>
      </c>
      <c r="DT1877" t="s">
        <v>13772</v>
      </c>
      <c r="DU1877" t="s">
        <v>15871</v>
      </c>
      <c r="DV1877" t="s">
        <v>20675</v>
      </c>
      <c r="DW1877" t="s">
        <v>13812</v>
      </c>
      <c r="DX1877" t="s">
        <v>27252</v>
      </c>
      <c r="DY1877" t="s">
        <v>27253</v>
      </c>
      <c r="DZ1877" t="s">
        <v>27254</v>
      </c>
      <c r="EA1877" t="s">
        <v>13772</v>
      </c>
      <c r="EB1877" t="s">
        <v>27255</v>
      </c>
    </row>
    <row r="1878" spans="1:132" hidden="1">
      <c r="A1878">
        <v>1395</v>
      </c>
      <c r="B1878">
        <v>1</v>
      </c>
      <c r="C1878" t="s">
        <v>3333</v>
      </c>
      <c r="D1878" t="s">
        <v>73</v>
      </c>
      <c r="E1878" t="s">
        <v>73</v>
      </c>
      <c r="F1878" t="s">
        <v>3331</v>
      </c>
      <c r="G1878" t="s">
        <v>73</v>
      </c>
      <c r="H1878">
        <v>34.4</v>
      </c>
      <c r="I1878">
        <v>96</v>
      </c>
      <c r="J1878">
        <v>10679</v>
      </c>
      <c r="K1878" t="s">
        <v>3334</v>
      </c>
      <c r="L1878">
        <f t="shared" si="118"/>
        <v>8</v>
      </c>
      <c r="N1878">
        <v>8</v>
      </c>
      <c r="O1878">
        <v>2</v>
      </c>
      <c r="P1878">
        <v>0.25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3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2</v>
      </c>
      <c r="AF1878">
        <v>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3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2</v>
      </c>
      <c r="BR1878" s="2">
        <v>1</v>
      </c>
      <c r="BS1878" s="2">
        <v>0</v>
      </c>
      <c r="BT1878" s="2">
        <v>0</v>
      </c>
      <c r="BU1878" s="2">
        <v>0</v>
      </c>
      <c r="BV1878" s="2">
        <f t="shared" si="121"/>
        <v>6</v>
      </c>
      <c r="BW1878" s="16">
        <f t="shared" si="119"/>
        <v>0.31578947368421051</v>
      </c>
      <c r="BX1878" s="16">
        <f>COUNTIF($BC$6:BU1878, "=0") / COUNTIF($BC$6:BU1878, "&gt;-1")</f>
        <v>0.45704892235928851</v>
      </c>
      <c r="BY1878" s="18">
        <f>SUM($BC$6:BU1878) / $BY$4</f>
        <v>0.99394817207191</v>
      </c>
      <c r="BZ1878" s="14">
        <f t="shared" si="120"/>
        <v>16</v>
      </c>
      <c r="CA1878" t="s">
        <v>5832</v>
      </c>
      <c r="CZ1878" t="s">
        <v>10393</v>
      </c>
      <c r="DA1878" t="s">
        <v>5904</v>
      </c>
      <c r="DB1878">
        <v>166.4</v>
      </c>
      <c r="DC1878" t="s">
        <v>27245</v>
      </c>
      <c r="DD1878" t="s">
        <v>27246</v>
      </c>
      <c r="DE1878" t="s">
        <v>27247</v>
      </c>
      <c r="DF1878" t="s">
        <v>27248</v>
      </c>
      <c r="DG1878" t="s">
        <v>27249</v>
      </c>
      <c r="DH1878" t="str">
        <f>"HMGA1"</f>
        <v>HMGA1</v>
      </c>
      <c r="DI1878" t="s">
        <v>27250</v>
      </c>
      <c r="DJ1878" t="s">
        <v>13777</v>
      </c>
      <c r="DK1878">
        <v>9606</v>
      </c>
      <c r="DL1878" s="34" t="str">
        <f>HYPERLINK("http://www.uniprot.org/uniprot/P17096", "P17096")</f>
        <v>P17096</v>
      </c>
      <c r="DM1878" t="s">
        <v>27251</v>
      </c>
      <c r="DN1878" t="s">
        <v>14445</v>
      </c>
      <c r="DO1878" t="s">
        <v>19917</v>
      </c>
      <c r="DP1878" t="s">
        <v>14661</v>
      </c>
      <c r="DQ1878" t="s">
        <v>13772</v>
      </c>
      <c r="DR1878" t="s">
        <v>13772</v>
      </c>
      <c r="DS1878" t="s">
        <v>14096</v>
      </c>
      <c r="DT1878" t="s">
        <v>13772</v>
      </c>
      <c r="DU1878" t="s">
        <v>15871</v>
      </c>
      <c r="DV1878" t="s">
        <v>20675</v>
      </c>
      <c r="DW1878" t="s">
        <v>13812</v>
      </c>
      <c r="DX1878" t="s">
        <v>27252</v>
      </c>
      <c r="DY1878" t="s">
        <v>27253</v>
      </c>
      <c r="DZ1878" t="s">
        <v>27254</v>
      </c>
      <c r="EA1878" t="s">
        <v>13772</v>
      </c>
      <c r="EB1878" t="s">
        <v>27255</v>
      </c>
    </row>
    <row r="1879" spans="1:132" hidden="1">
      <c r="A1879">
        <v>1460</v>
      </c>
      <c r="B1879">
        <v>1</v>
      </c>
      <c r="C1879" t="s">
        <v>3474</v>
      </c>
      <c r="D1879" t="s">
        <v>3475</v>
      </c>
      <c r="E1879" t="s">
        <v>73</v>
      </c>
      <c r="F1879" t="s">
        <v>73</v>
      </c>
      <c r="G1879" t="s">
        <v>73</v>
      </c>
      <c r="H1879">
        <v>7.6</v>
      </c>
      <c r="I1879">
        <v>710</v>
      </c>
      <c r="J1879">
        <v>80781</v>
      </c>
      <c r="K1879" t="s">
        <v>3476</v>
      </c>
      <c r="L1879">
        <f t="shared" si="118"/>
        <v>6</v>
      </c>
      <c r="N1879">
        <v>6</v>
      </c>
      <c r="O1879">
        <v>6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3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3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1</v>
      </c>
      <c r="BL1879" s="2">
        <v>0</v>
      </c>
      <c r="BM1879" s="2">
        <v>3</v>
      </c>
      <c r="BN1879" s="2">
        <v>0</v>
      </c>
      <c r="BO1879" s="2">
        <v>0</v>
      </c>
      <c r="BP1879" s="2">
        <v>1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f t="shared" si="121"/>
        <v>6</v>
      </c>
      <c r="BW1879" s="16">
        <f t="shared" si="119"/>
        <v>0.31578947368421051</v>
      </c>
      <c r="BX1879" s="16">
        <f>COUNTIF($BC$6:BU1879, "=0") / COUNTIF($BC$6:BU1879, "&gt;-1")</f>
        <v>0.45722631017244286</v>
      </c>
      <c r="BY1879" s="18">
        <f>SUM($BC$6:BU1879) / $BY$4</f>
        <v>0.9939738738931222</v>
      </c>
      <c r="BZ1879" s="14">
        <f t="shared" si="120"/>
        <v>15</v>
      </c>
      <c r="CA1879" t="s">
        <v>5832</v>
      </c>
      <c r="CZ1879" t="s">
        <v>10599</v>
      </c>
      <c r="DA1879" t="s">
        <v>5904</v>
      </c>
      <c r="DB1879">
        <v>1443.3</v>
      </c>
      <c r="DC1879" t="s">
        <v>27819</v>
      </c>
      <c r="DD1879" t="s">
        <v>27820</v>
      </c>
      <c r="DE1879" t="s">
        <v>27821</v>
      </c>
      <c r="DF1879" t="s">
        <v>27822</v>
      </c>
      <c r="DG1879" t="s">
        <v>27823</v>
      </c>
      <c r="DH1879" t="str">
        <f>"PREP"</f>
        <v>PREP</v>
      </c>
      <c r="DI1879" t="s">
        <v>27824</v>
      </c>
      <c r="DJ1879" t="s">
        <v>13777</v>
      </c>
      <c r="DK1879">
        <v>9606</v>
      </c>
      <c r="DL1879" s="34" t="str">
        <f>HYPERLINK("http://www.uniprot.org/uniprot/P48147", "P48147")</f>
        <v>P48147</v>
      </c>
      <c r="DM1879" t="s">
        <v>27825</v>
      </c>
      <c r="DN1879" t="s">
        <v>13772</v>
      </c>
      <c r="DO1879" t="s">
        <v>13899</v>
      </c>
      <c r="DP1879" t="s">
        <v>13793</v>
      </c>
      <c r="DQ1879" t="s">
        <v>13772</v>
      </c>
      <c r="DR1879" t="s">
        <v>13772</v>
      </c>
      <c r="DS1879" t="s">
        <v>13772</v>
      </c>
      <c r="DT1879" t="s">
        <v>13772</v>
      </c>
      <c r="DU1879" t="s">
        <v>15176</v>
      </c>
      <c r="DV1879" t="s">
        <v>14020</v>
      </c>
      <c r="DW1879" t="s">
        <v>13812</v>
      </c>
      <c r="DX1879" t="s">
        <v>17126</v>
      </c>
      <c r="DY1879" t="s">
        <v>27826</v>
      </c>
      <c r="DZ1879" t="s">
        <v>27827</v>
      </c>
      <c r="EA1879" t="s">
        <v>13772</v>
      </c>
      <c r="EB1879" t="s">
        <v>13772</v>
      </c>
    </row>
    <row r="1880" spans="1:132" hidden="1">
      <c r="A1880">
        <v>1581</v>
      </c>
      <c r="B1880">
        <v>1</v>
      </c>
      <c r="C1880" t="s">
        <v>3747</v>
      </c>
      <c r="D1880" t="s">
        <v>73</v>
      </c>
      <c r="E1880" t="s">
        <v>73</v>
      </c>
      <c r="F1880" t="s">
        <v>73</v>
      </c>
      <c r="G1880" t="s">
        <v>73</v>
      </c>
      <c r="H1880">
        <v>12</v>
      </c>
      <c r="I1880">
        <v>541</v>
      </c>
      <c r="J1880">
        <v>59650</v>
      </c>
      <c r="K1880" t="s">
        <v>3748</v>
      </c>
      <c r="L1880">
        <f t="shared" si="118"/>
        <v>6</v>
      </c>
      <c r="N1880">
        <v>6</v>
      </c>
      <c r="O1880">
        <v>6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0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0</v>
      </c>
      <c r="AT1880">
        <v>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2</v>
      </c>
      <c r="BL1880" s="2">
        <v>0</v>
      </c>
      <c r="BM1880" s="2">
        <v>4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f t="shared" si="121"/>
        <v>6</v>
      </c>
      <c r="BW1880" s="16">
        <f t="shared" si="119"/>
        <v>0.31578947368421051</v>
      </c>
      <c r="BX1880" s="16">
        <f>COUNTIF($BC$6:BU1880, "=0") / COUNTIF($BC$6:BU1880, "&gt;-1")</f>
        <v>0.45745964912280701</v>
      </c>
      <c r="BY1880" s="18">
        <f>SUM($BC$6:BU1880) / $BY$4</f>
        <v>0.99399957571433439</v>
      </c>
      <c r="BZ1880" s="14">
        <f t="shared" si="120"/>
        <v>17</v>
      </c>
      <c r="CA1880" t="s">
        <v>5832</v>
      </c>
      <c r="CZ1880" t="s">
        <v>11010</v>
      </c>
      <c r="DA1880" t="s">
        <v>5904</v>
      </c>
      <c r="DB1880">
        <v>1090.9000000000001</v>
      </c>
      <c r="DC1880" t="s">
        <v>28958</v>
      </c>
      <c r="DD1880" t="s">
        <v>28959</v>
      </c>
      <c r="DE1880" t="s">
        <v>28960</v>
      </c>
      <c r="DF1880" t="s">
        <v>28961</v>
      </c>
      <c r="DG1880" t="s">
        <v>28962</v>
      </c>
      <c r="DH1880" t="str">
        <f>"CCT5"</f>
        <v>CCT5</v>
      </c>
      <c r="DI1880" t="s">
        <v>28963</v>
      </c>
      <c r="DJ1880" t="s">
        <v>13777</v>
      </c>
      <c r="DK1880">
        <v>9606</v>
      </c>
      <c r="DL1880" s="34" t="str">
        <f>HYPERLINK("http://www.uniprot.org/uniprot/P48643", "P48643")</f>
        <v>P48643</v>
      </c>
      <c r="DM1880" t="s">
        <v>28964</v>
      </c>
      <c r="DN1880" t="s">
        <v>13772</v>
      </c>
      <c r="DO1880" t="s">
        <v>13988</v>
      </c>
      <c r="DP1880" t="s">
        <v>13780</v>
      </c>
      <c r="DQ1880" t="s">
        <v>13772</v>
      </c>
      <c r="DR1880" t="s">
        <v>28965</v>
      </c>
      <c r="DS1880" t="s">
        <v>13772</v>
      </c>
      <c r="DT1880" t="s">
        <v>14005</v>
      </c>
      <c r="DU1880" t="s">
        <v>14477</v>
      </c>
      <c r="DV1880" t="s">
        <v>13991</v>
      </c>
      <c r="DW1880" t="s">
        <v>13812</v>
      </c>
      <c r="DX1880" t="s">
        <v>28966</v>
      </c>
      <c r="DY1880" t="s">
        <v>28967</v>
      </c>
      <c r="DZ1880" t="s">
        <v>28968</v>
      </c>
      <c r="EA1880" t="s">
        <v>13772</v>
      </c>
      <c r="EB1880" t="s">
        <v>28969</v>
      </c>
    </row>
    <row r="1881" spans="1:132" hidden="1">
      <c r="A1881">
        <v>1599</v>
      </c>
      <c r="B1881">
        <v>1</v>
      </c>
      <c r="C1881" t="s">
        <v>3789</v>
      </c>
      <c r="D1881" t="s">
        <v>3790</v>
      </c>
      <c r="E1881" t="s">
        <v>73</v>
      </c>
      <c r="F1881" t="s">
        <v>73</v>
      </c>
      <c r="G1881" t="s">
        <v>73</v>
      </c>
      <c r="H1881">
        <v>4.4000000000000004</v>
      </c>
      <c r="I1881">
        <v>427</v>
      </c>
      <c r="J1881">
        <v>45017</v>
      </c>
      <c r="K1881" t="s">
        <v>3791</v>
      </c>
      <c r="L1881">
        <f t="shared" si="118"/>
        <v>6</v>
      </c>
      <c r="N1881">
        <v>6</v>
      </c>
      <c r="O1881">
        <v>6</v>
      </c>
      <c r="P1881">
        <v>1</v>
      </c>
      <c r="Q1881">
        <v>0</v>
      </c>
      <c r="R1881">
        <v>2</v>
      </c>
      <c r="S1881">
        <v>0</v>
      </c>
      <c r="T1881">
        <v>0</v>
      </c>
      <c r="U1881">
        <v>2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</v>
      </c>
      <c r="AL1881">
        <v>0</v>
      </c>
      <c r="AM1881">
        <v>0</v>
      </c>
      <c r="AN1881">
        <v>2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 s="2">
        <v>0</v>
      </c>
      <c r="BD1881" s="2">
        <v>2</v>
      </c>
      <c r="BE1881" s="2">
        <v>0</v>
      </c>
      <c r="BF1881" s="2">
        <v>0</v>
      </c>
      <c r="BG1881" s="2">
        <v>2</v>
      </c>
      <c r="BH1881" s="2">
        <v>1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1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f t="shared" si="121"/>
        <v>6</v>
      </c>
      <c r="BW1881" s="16">
        <f t="shared" si="119"/>
        <v>0.31578947368421051</v>
      </c>
      <c r="BX1881" s="16">
        <f>COUNTIF($BC$6:BU1881, "=0") / COUNTIF($BC$6:BU1881, "&gt;-1")</f>
        <v>0.45763662888564693</v>
      </c>
      <c r="BY1881" s="18">
        <f>SUM($BC$6:BU1881) / $BY$4</f>
        <v>0.99402527753554659</v>
      </c>
      <c r="BZ1881" s="14">
        <f t="shared" si="120"/>
        <v>15</v>
      </c>
      <c r="CA1881" t="s">
        <v>5832</v>
      </c>
      <c r="CZ1881" t="s">
        <v>11072</v>
      </c>
      <c r="DA1881" t="s">
        <v>5904</v>
      </c>
      <c r="DB1881">
        <v>685.6</v>
      </c>
      <c r="DC1881" t="s">
        <v>29126</v>
      </c>
      <c r="DD1881" t="s">
        <v>29127</v>
      </c>
      <c r="DE1881" t="s">
        <v>29128</v>
      </c>
      <c r="DF1881" t="s">
        <v>29129</v>
      </c>
      <c r="DG1881" t="s">
        <v>29130</v>
      </c>
      <c r="DH1881" t="str">
        <f>"HJV RGMC"</f>
        <v>HJV RGMC</v>
      </c>
      <c r="DI1881" t="s">
        <v>13772</v>
      </c>
      <c r="DJ1881" t="s">
        <v>13777</v>
      </c>
      <c r="DK1881">
        <v>9606</v>
      </c>
      <c r="DL1881" s="34" t="str">
        <f>HYPERLINK("http://www.uniprot.org/uniprot/Q6ZVN8", "Q6ZVN8")</f>
        <v>Q6ZVN8</v>
      </c>
      <c r="DM1881" t="s">
        <v>29131</v>
      </c>
      <c r="DN1881" t="s">
        <v>13772</v>
      </c>
      <c r="DO1881" t="s">
        <v>13792</v>
      </c>
      <c r="DP1881" t="s">
        <v>13780</v>
      </c>
      <c r="DQ1881" t="s">
        <v>13772</v>
      </c>
      <c r="DR1881" t="s">
        <v>13807</v>
      </c>
      <c r="DS1881" t="s">
        <v>13808</v>
      </c>
      <c r="DT1881" t="s">
        <v>13772</v>
      </c>
      <c r="DU1881" t="s">
        <v>13772</v>
      </c>
      <c r="DV1881" t="s">
        <v>29132</v>
      </c>
      <c r="DW1881" t="s">
        <v>13812</v>
      </c>
      <c r="DX1881" t="s">
        <v>29133</v>
      </c>
      <c r="DY1881" t="s">
        <v>29134</v>
      </c>
      <c r="DZ1881" t="s">
        <v>29135</v>
      </c>
      <c r="EA1881" t="s">
        <v>13772</v>
      </c>
      <c r="EB1881" t="s">
        <v>29136</v>
      </c>
    </row>
    <row r="1882" spans="1:132" hidden="1">
      <c r="A1882">
        <v>1667</v>
      </c>
      <c r="B1882">
        <v>1</v>
      </c>
      <c r="C1882" t="s">
        <v>3952</v>
      </c>
      <c r="D1882" t="s">
        <v>73</v>
      </c>
      <c r="E1882" t="s">
        <v>73</v>
      </c>
      <c r="F1882" t="s">
        <v>73</v>
      </c>
      <c r="G1882" t="s">
        <v>73</v>
      </c>
      <c r="H1882">
        <v>12.5</v>
      </c>
      <c r="I1882">
        <v>617</v>
      </c>
      <c r="J1882">
        <v>69258</v>
      </c>
      <c r="K1882" t="s">
        <v>3953</v>
      </c>
      <c r="L1882">
        <f t="shared" si="118"/>
        <v>6</v>
      </c>
      <c r="N1882">
        <v>6</v>
      </c>
      <c r="O1882">
        <v>6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6</v>
      </c>
      <c r="BA1882">
        <v>0</v>
      </c>
      <c r="BB188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6</v>
      </c>
      <c r="BT1882" s="2">
        <v>0</v>
      </c>
      <c r="BU1882" s="2">
        <v>0</v>
      </c>
      <c r="BV1882" s="2">
        <f t="shared" si="121"/>
        <v>6</v>
      </c>
      <c r="BW1882" s="16">
        <f t="shared" si="119"/>
        <v>0.31578947368421051</v>
      </c>
      <c r="BX1882" s="16">
        <f>COUNTIF($BC$6:BU1882, "=0") / COUNTIF($BC$6:BU1882, "&gt;-1")</f>
        <v>0.45789754086868745</v>
      </c>
      <c r="BY1882" s="18">
        <f>SUM($BC$6:BU1882) / $BY$4</f>
        <v>0.99405097935675879</v>
      </c>
      <c r="BZ1882" s="14">
        <f t="shared" si="120"/>
        <v>18</v>
      </c>
      <c r="CA1882" t="s">
        <v>5832</v>
      </c>
      <c r="CZ1882" t="s">
        <v>11305</v>
      </c>
      <c r="DA1882" t="s">
        <v>5904</v>
      </c>
      <c r="DB1882">
        <v>906.7</v>
      </c>
      <c r="DC1882" t="s">
        <v>29790</v>
      </c>
      <c r="DD1882" t="s">
        <v>13772</v>
      </c>
      <c r="DE1882" t="s">
        <v>29791</v>
      </c>
      <c r="DF1882" t="s">
        <v>29792</v>
      </c>
      <c r="DG1882" t="s">
        <v>29793</v>
      </c>
      <c r="DH1882" t="str">
        <f>"ARSF"</f>
        <v>ARSF</v>
      </c>
      <c r="DI1882" t="s">
        <v>13772</v>
      </c>
      <c r="DJ1882" t="s">
        <v>13777</v>
      </c>
      <c r="DK1882">
        <v>9606</v>
      </c>
      <c r="DL1882" s="34" t="str">
        <f>HYPERLINK("http://www.uniprot.org/uniprot/P54793", "P54793")</f>
        <v>P54793</v>
      </c>
      <c r="DM1882" t="s">
        <v>29794</v>
      </c>
      <c r="DN1882" t="s">
        <v>13772</v>
      </c>
      <c r="DO1882" t="s">
        <v>14321</v>
      </c>
      <c r="DP1882" t="s">
        <v>13793</v>
      </c>
      <c r="DQ1882" t="s">
        <v>13772</v>
      </c>
      <c r="DR1882" t="s">
        <v>13772</v>
      </c>
      <c r="DS1882" t="s">
        <v>13808</v>
      </c>
      <c r="DT1882" t="s">
        <v>13873</v>
      </c>
      <c r="DU1882" t="s">
        <v>13857</v>
      </c>
      <c r="DV1882" t="s">
        <v>13858</v>
      </c>
      <c r="DW1882" t="s">
        <v>13772</v>
      </c>
      <c r="DX1882" t="s">
        <v>13772</v>
      </c>
      <c r="DY1882" t="s">
        <v>29795</v>
      </c>
      <c r="DZ1882" t="s">
        <v>29796</v>
      </c>
      <c r="EA1882" t="s">
        <v>13772</v>
      </c>
      <c r="EB1882" t="s">
        <v>22074</v>
      </c>
    </row>
    <row r="1883" spans="1:132" hidden="1">
      <c r="A1883">
        <v>1675</v>
      </c>
      <c r="B1883">
        <v>1</v>
      </c>
      <c r="C1883" t="s">
        <v>3970</v>
      </c>
      <c r="D1883" t="s">
        <v>73</v>
      </c>
      <c r="E1883" t="s">
        <v>73</v>
      </c>
      <c r="F1883" t="s">
        <v>73</v>
      </c>
      <c r="G1883" t="s">
        <v>73</v>
      </c>
      <c r="H1883">
        <v>18.399999999999999</v>
      </c>
      <c r="I1883">
        <v>152</v>
      </c>
      <c r="J1883">
        <v>16679</v>
      </c>
      <c r="K1883" t="s">
        <v>3971</v>
      </c>
      <c r="L1883">
        <f t="shared" si="118"/>
        <v>6</v>
      </c>
      <c r="N1883">
        <v>6</v>
      </c>
      <c r="O1883">
        <v>6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2</v>
      </c>
      <c r="AC1883">
        <v>2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2</v>
      </c>
      <c r="AV1883">
        <v>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1</v>
      </c>
      <c r="BJ1883" s="2">
        <v>0</v>
      </c>
      <c r="BK1883" s="2">
        <v>0</v>
      </c>
      <c r="BL1883" s="2">
        <v>0</v>
      </c>
      <c r="BM1883" s="2">
        <v>1</v>
      </c>
      <c r="BN1883" s="2">
        <v>2</v>
      </c>
      <c r="BO1883" s="2">
        <v>2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f t="shared" si="121"/>
        <v>6</v>
      </c>
      <c r="BW1883" s="16">
        <f t="shared" si="119"/>
        <v>0.31578947368421051</v>
      </c>
      <c r="BX1883" s="16">
        <f>COUNTIF($BC$6:BU1883, "=0") / COUNTIF($BC$6:BU1883, "&gt;-1")</f>
        <v>0.4580740989854829</v>
      </c>
      <c r="BY1883" s="18">
        <f>SUM($BC$6:BU1883) / $BY$4</f>
        <v>0.99407668117797099</v>
      </c>
      <c r="BZ1883" s="14">
        <f t="shared" si="120"/>
        <v>15</v>
      </c>
      <c r="CA1883" t="s">
        <v>5832</v>
      </c>
      <c r="CZ1883" t="s">
        <v>11333</v>
      </c>
      <c r="DA1883" t="s">
        <v>5904</v>
      </c>
      <c r="DB1883">
        <v>295</v>
      </c>
      <c r="DC1883" t="s">
        <v>29867</v>
      </c>
      <c r="DD1883" t="s">
        <v>29868</v>
      </c>
      <c r="DE1883" t="s">
        <v>29869</v>
      </c>
      <c r="DF1883" t="s">
        <v>29870</v>
      </c>
      <c r="DG1883" t="s">
        <v>29871</v>
      </c>
      <c r="DH1883" t="str">
        <f>"PLP2"</f>
        <v>PLP2</v>
      </c>
      <c r="DI1883" t="s">
        <v>29872</v>
      </c>
      <c r="DJ1883" t="s">
        <v>13777</v>
      </c>
      <c r="DK1883">
        <v>9606</v>
      </c>
      <c r="DL1883" s="34" t="str">
        <f>HYPERLINK("http://www.uniprot.org/uniprot/Q04941", "Q04941")</f>
        <v>Q04941</v>
      </c>
      <c r="DM1883" t="s">
        <v>22393</v>
      </c>
      <c r="DN1883" t="s">
        <v>13772</v>
      </c>
      <c r="DO1883" t="s">
        <v>13825</v>
      </c>
      <c r="DP1883" t="s">
        <v>13780</v>
      </c>
      <c r="DQ1883" t="s">
        <v>13772</v>
      </c>
      <c r="DR1883" t="s">
        <v>13772</v>
      </c>
      <c r="DS1883" t="s">
        <v>13925</v>
      </c>
      <c r="DT1883" t="s">
        <v>13772</v>
      </c>
      <c r="DU1883" t="s">
        <v>13772</v>
      </c>
      <c r="DV1883" t="s">
        <v>13858</v>
      </c>
      <c r="DW1883" t="s">
        <v>13772</v>
      </c>
      <c r="DX1883" t="s">
        <v>29873</v>
      </c>
      <c r="DY1883" t="s">
        <v>29874</v>
      </c>
      <c r="DZ1883" t="s">
        <v>29875</v>
      </c>
      <c r="EA1883" t="s">
        <v>13772</v>
      </c>
      <c r="EB1883" t="s">
        <v>13772</v>
      </c>
    </row>
    <row r="1884" spans="1:132" hidden="1">
      <c r="A1884">
        <v>1705</v>
      </c>
      <c r="B1884">
        <v>1</v>
      </c>
      <c r="C1884" t="s">
        <v>4046</v>
      </c>
      <c r="D1884" t="s">
        <v>73</v>
      </c>
      <c r="E1884" t="s">
        <v>73</v>
      </c>
      <c r="F1884" t="s">
        <v>73</v>
      </c>
      <c r="G1884" t="s">
        <v>73</v>
      </c>
      <c r="H1884">
        <v>5.6</v>
      </c>
      <c r="I1884">
        <v>709</v>
      </c>
      <c r="J1884">
        <v>78396</v>
      </c>
      <c r="K1884" t="s">
        <v>4047</v>
      </c>
      <c r="L1884">
        <f t="shared" si="118"/>
        <v>6</v>
      </c>
      <c r="N1884">
        <v>6</v>
      </c>
      <c r="O1884">
        <v>6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4</v>
      </c>
      <c r="BA1884">
        <v>0</v>
      </c>
      <c r="BB1884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4</v>
      </c>
      <c r="BT1884" s="2">
        <v>0</v>
      </c>
      <c r="BU1884" s="2">
        <v>0</v>
      </c>
      <c r="BV1884" s="2">
        <f t="shared" si="121"/>
        <v>6</v>
      </c>
      <c r="BW1884" s="16">
        <f t="shared" si="119"/>
        <v>0.31578947368421051</v>
      </c>
      <c r="BX1884" s="16">
        <f>COUNTIF($BC$6:BU1884, "=0") / COUNTIF($BC$6:BU1884, "&gt;-1")</f>
        <v>0.45827847959440909</v>
      </c>
      <c r="BY1884" s="18">
        <f>SUM($BC$6:BU1884) / $BY$4</f>
        <v>0.99410238299918319</v>
      </c>
      <c r="BZ1884" s="14">
        <f t="shared" si="120"/>
        <v>16</v>
      </c>
      <c r="CA1884" t="s">
        <v>5832</v>
      </c>
      <c r="CZ1884" t="s">
        <v>11440</v>
      </c>
      <c r="DA1884" t="s">
        <v>5904</v>
      </c>
      <c r="DB1884">
        <v>1351.3</v>
      </c>
      <c r="DC1884" t="s">
        <v>30158</v>
      </c>
      <c r="DD1884" t="s">
        <v>13772</v>
      </c>
      <c r="DE1884" t="s">
        <v>30159</v>
      </c>
      <c r="DF1884" t="s">
        <v>30160</v>
      </c>
      <c r="DG1884" t="s">
        <v>30161</v>
      </c>
      <c r="DH1884" t="str">
        <f>"NCSTN"</f>
        <v>NCSTN</v>
      </c>
      <c r="DI1884" t="s">
        <v>30162</v>
      </c>
      <c r="DJ1884" t="s">
        <v>13777</v>
      </c>
      <c r="DK1884">
        <v>9606</v>
      </c>
      <c r="DL1884" s="34" t="str">
        <f>HYPERLINK("http://www.uniprot.org/uniprot/Q92542", "Q92542")</f>
        <v>Q92542</v>
      </c>
      <c r="DM1884" t="s">
        <v>30163</v>
      </c>
      <c r="DN1884" t="s">
        <v>15135</v>
      </c>
      <c r="DO1884" t="s">
        <v>14033</v>
      </c>
      <c r="DP1884" t="s">
        <v>13780</v>
      </c>
      <c r="DQ1884" t="s">
        <v>13772</v>
      </c>
      <c r="DR1884" t="s">
        <v>13807</v>
      </c>
      <c r="DS1884" t="s">
        <v>13855</v>
      </c>
      <c r="DT1884" t="s">
        <v>13772</v>
      </c>
      <c r="DU1884" t="s">
        <v>13772</v>
      </c>
      <c r="DV1884" t="s">
        <v>13796</v>
      </c>
      <c r="DW1884" t="s">
        <v>13812</v>
      </c>
      <c r="DX1884" t="s">
        <v>30164</v>
      </c>
      <c r="DY1884" t="s">
        <v>30165</v>
      </c>
      <c r="DZ1884" t="s">
        <v>30166</v>
      </c>
      <c r="EA1884" t="s">
        <v>13772</v>
      </c>
      <c r="EB1884" t="s">
        <v>30167</v>
      </c>
    </row>
    <row r="1885" spans="1:132" hidden="1">
      <c r="A1885">
        <v>1730</v>
      </c>
      <c r="B1885">
        <v>1</v>
      </c>
      <c r="C1885" t="s">
        <v>4093</v>
      </c>
      <c r="D1885" t="s">
        <v>73</v>
      </c>
      <c r="E1885" t="s">
        <v>73</v>
      </c>
      <c r="F1885" t="s">
        <v>73</v>
      </c>
      <c r="G1885" t="s">
        <v>73</v>
      </c>
      <c r="H1885">
        <v>3</v>
      </c>
      <c r="I1885">
        <v>642</v>
      </c>
      <c r="J1885">
        <v>69239</v>
      </c>
      <c r="K1885" t="s">
        <v>4094</v>
      </c>
      <c r="L1885">
        <f t="shared" si="118"/>
        <v>6</v>
      </c>
      <c r="N1885">
        <v>6</v>
      </c>
      <c r="O1885">
        <v>6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2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2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2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2</v>
      </c>
      <c r="BH1885" s="2">
        <v>0</v>
      </c>
      <c r="BI1885" s="2">
        <v>0</v>
      </c>
      <c r="BJ1885" s="2">
        <v>1</v>
      </c>
      <c r="BK1885" s="2">
        <v>0</v>
      </c>
      <c r="BL1885" s="2">
        <v>0</v>
      </c>
      <c r="BM1885" s="2">
        <v>2</v>
      </c>
      <c r="BN1885" s="2">
        <v>0</v>
      </c>
      <c r="BO1885" s="2">
        <v>0</v>
      </c>
      <c r="BP1885" s="2">
        <v>0</v>
      </c>
      <c r="BQ1885" s="2">
        <v>1</v>
      </c>
      <c r="BR1885" s="2">
        <v>0</v>
      </c>
      <c r="BS1885" s="2">
        <v>0</v>
      </c>
      <c r="BT1885" s="2">
        <v>0</v>
      </c>
      <c r="BU1885" s="2">
        <v>0</v>
      </c>
      <c r="BV1885" s="2">
        <f t="shared" si="121"/>
        <v>6</v>
      </c>
      <c r="BW1885" s="16">
        <f t="shared" si="119"/>
        <v>0.31578947368421051</v>
      </c>
      <c r="BX1885" s="16">
        <f>COUNTIF($BC$6:BU1885, "=0") / COUNTIF($BC$6:BU1885, "&gt;-1")</f>
        <v>0.45845464725643897</v>
      </c>
      <c r="BY1885" s="18">
        <f>SUM($BC$6:BU1885) / $BY$4</f>
        <v>0.99412808482039539</v>
      </c>
      <c r="BZ1885" s="14">
        <f t="shared" si="120"/>
        <v>15</v>
      </c>
      <c r="CA1885" t="s">
        <v>5832</v>
      </c>
      <c r="CZ1885" t="s">
        <v>11516</v>
      </c>
      <c r="DA1885" t="s">
        <v>5904</v>
      </c>
      <c r="DB1885">
        <v>1083.2</v>
      </c>
      <c r="DC1885" t="s">
        <v>30378</v>
      </c>
      <c r="DD1885" t="s">
        <v>30379</v>
      </c>
      <c r="DE1885" t="s">
        <v>30380</v>
      </c>
      <c r="DF1885" t="s">
        <v>30381</v>
      </c>
      <c r="DG1885" t="s">
        <v>30382</v>
      </c>
      <c r="DH1885" t="str">
        <f>"GSPT2"</f>
        <v>GSPT2</v>
      </c>
      <c r="DI1885" t="s">
        <v>30383</v>
      </c>
      <c r="DJ1885" t="s">
        <v>13777</v>
      </c>
      <c r="DK1885">
        <v>9606</v>
      </c>
      <c r="DL1885" s="34" t="str">
        <f>HYPERLINK("http://www.uniprot.org/uniprot/Q8IYD1", "Q8IYD1")</f>
        <v>Q8IYD1</v>
      </c>
      <c r="DM1885" t="s">
        <v>30384</v>
      </c>
      <c r="DN1885" t="s">
        <v>30385</v>
      </c>
      <c r="DO1885" t="s">
        <v>13899</v>
      </c>
      <c r="DP1885" t="s">
        <v>13793</v>
      </c>
      <c r="DQ1885" t="s">
        <v>13772</v>
      </c>
      <c r="DR1885" t="s">
        <v>13772</v>
      </c>
      <c r="DS1885" t="s">
        <v>13772</v>
      </c>
      <c r="DT1885" t="s">
        <v>14216</v>
      </c>
      <c r="DU1885" t="s">
        <v>13772</v>
      </c>
      <c r="DV1885" t="s">
        <v>13772</v>
      </c>
      <c r="DW1885" t="s">
        <v>13812</v>
      </c>
      <c r="DX1885" t="s">
        <v>30386</v>
      </c>
      <c r="DY1885" t="s">
        <v>30387</v>
      </c>
      <c r="DZ1885" t="s">
        <v>30388</v>
      </c>
      <c r="EA1885" t="s">
        <v>13772</v>
      </c>
      <c r="EB1885" t="s">
        <v>30389</v>
      </c>
    </row>
    <row r="1886" spans="1:132" hidden="1">
      <c r="A1886">
        <v>1735</v>
      </c>
      <c r="B1886">
        <v>1</v>
      </c>
      <c r="C1886" t="s">
        <v>4103</v>
      </c>
      <c r="D1886" t="s">
        <v>4104</v>
      </c>
      <c r="E1886" t="s">
        <v>73</v>
      </c>
      <c r="F1886" t="s">
        <v>73</v>
      </c>
      <c r="G1886" t="s">
        <v>73</v>
      </c>
      <c r="H1886">
        <v>8.9</v>
      </c>
      <c r="I1886">
        <v>548</v>
      </c>
      <c r="J1886">
        <v>60012</v>
      </c>
      <c r="K1886" t="s">
        <v>4105</v>
      </c>
      <c r="L1886">
        <f t="shared" si="118"/>
        <v>6</v>
      </c>
      <c r="N1886">
        <v>6</v>
      </c>
      <c r="O1886">
        <v>6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s="2">
        <v>1</v>
      </c>
      <c r="BD1886" s="2">
        <v>0</v>
      </c>
      <c r="BE1886" s="2">
        <v>0</v>
      </c>
      <c r="BF1886" s="2">
        <v>0</v>
      </c>
      <c r="BG1886" s="2">
        <v>1</v>
      </c>
      <c r="BH1886" s="2">
        <v>0</v>
      </c>
      <c r="BI1886" s="2">
        <v>4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f t="shared" si="121"/>
        <v>6</v>
      </c>
      <c r="BW1886" s="16">
        <f t="shared" si="119"/>
        <v>0.31578947368421051</v>
      </c>
      <c r="BX1886" s="16">
        <f>COUNTIF($BC$6:BU1886, "=0") / COUNTIF($BC$6:BU1886, "&gt;-1")</f>
        <v>0.45865860824309579</v>
      </c>
      <c r="BY1886" s="18">
        <f>SUM($BC$6:BU1886) / $BY$4</f>
        <v>0.99415378664160758</v>
      </c>
      <c r="BZ1886" s="14">
        <f t="shared" si="120"/>
        <v>16</v>
      </c>
      <c r="CA1886" t="s">
        <v>5832</v>
      </c>
      <c r="CZ1886" t="s">
        <v>11532</v>
      </c>
      <c r="DA1886" t="s">
        <v>5904</v>
      </c>
      <c r="DB1886">
        <v>530.79999999999995</v>
      </c>
      <c r="DC1886" t="s">
        <v>30434</v>
      </c>
      <c r="DD1886" t="s">
        <v>30435</v>
      </c>
      <c r="DE1886" t="s">
        <v>30436</v>
      </c>
      <c r="DF1886" t="s">
        <v>30437</v>
      </c>
      <c r="DG1886" t="s">
        <v>30438</v>
      </c>
      <c r="DH1886" t="str">
        <f>"FCRL1"</f>
        <v>FCRL1</v>
      </c>
      <c r="DI1886" t="s">
        <v>30439</v>
      </c>
      <c r="DJ1886" t="s">
        <v>13777</v>
      </c>
      <c r="DK1886">
        <v>9606</v>
      </c>
      <c r="DL1886" s="34" t="str">
        <f>HYPERLINK("http://www.uniprot.org/uniprot/Q96LA6", "Q96LA6")</f>
        <v>Q96LA6</v>
      </c>
      <c r="DM1886" t="s">
        <v>30440</v>
      </c>
      <c r="DN1886" t="s">
        <v>13772</v>
      </c>
      <c r="DO1886" t="s">
        <v>13792</v>
      </c>
      <c r="DP1886" t="s">
        <v>13780</v>
      </c>
      <c r="DQ1886" t="s">
        <v>13772</v>
      </c>
      <c r="DR1886" t="s">
        <v>13772</v>
      </c>
      <c r="DS1886" t="s">
        <v>13951</v>
      </c>
      <c r="DT1886" t="s">
        <v>13772</v>
      </c>
      <c r="DU1886" t="s">
        <v>13795</v>
      </c>
      <c r="DV1886" t="s">
        <v>13964</v>
      </c>
      <c r="DW1886" t="s">
        <v>13772</v>
      </c>
      <c r="DX1886" t="s">
        <v>30441</v>
      </c>
      <c r="DY1886" t="s">
        <v>30078</v>
      </c>
      <c r="DZ1886" t="s">
        <v>30442</v>
      </c>
      <c r="EA1886" t="s">
        <v>13772</v>
      </c>
      <c r="EB1886" t="s">
        <v>13772</v>
      </c>
    </row>
    <row r="1887" spans="1:132" hidden="1">
      <c r="A1887">
        <v>1737</v>
      </c>
      <c r="B1887">
        <v>1</v>
      </c>
      <c r="C1887" t="s">
        <v>4108</v>
      </c>
      <c r="D1887" t="s">
        <v>73</v>
      </c>
      <c r="E1887" t="s">
        <v>73</v>
      </c>
      <c r="F1887" t="s">
        <v>73</v>
      </c>
      <c r="G1887" t="s">
        <v>73</v>
      </c>
      <c r="H1887">
        <v>27.5</v>
      </c>
      <c r="I1887">
        <v>167</v>
      </c>
      <c r="J1887">
        <v>19458</v>
      </c>
      <c r="K1887" t="s">
        <v>4109</v>
      </c>
      <c r="L1887">
        <f t="shared" si="118"/>
        <v>6</v>
      </c>
      <c r="N1887">
        <v>6</v>
      </c>
      <c r="O1887">
        <v>6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0</v>
      </c>
      <c r="AF1887">
        <v>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0</v>
      </c>
      <c r="AY1887">
        <v>2</v>
      </c>
      <c r="AZ1887">
        <v>0</v>
      </c>
      <c r="BA1887">
        <v>0</v>
      </c>
      <c r="BB1887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1</v>
      </c>
      <c r="BK1887" s="2">
        <v>1</v>
      </c>
      <c r="BL1887" s="2">
        <v>0</v>
      </c>
      <c r="BM1887" s="2">
        <v>1</v>
      </c>
      <c r="BN1887" s="2">
        <v>0</v>
      </c>
      <c r="BO1887" s="2">
        <v>1</v>
      </c>
      <c r="BP1887" s="2">
        <v>0</v>
      </c>
      <c r="BQ1887" s="2">
        <v>0</v>
      </c>
      <c r="BR1887" s="2">
        <v>2</v>
      </c>
      <c r="BS1887" s="2">
        <v>0</v>
      </c>
      <c r="BT1887" s="2">
        <v>0</v>
      </c>
      <c r="BU1887" s="2">
        <v>0</v>
      </c>
      <c r="BV1887" s="2">
        <f t="shared" si="121"/>
        <v>6</v>
      </c>
      <c r="BW1887" s="16">
        <f t="shared" si="119"/>
        <v>0.31578947368421051</v>
      </c>
      <c r="BX1887" s="16">
        <f>COUNTIF($BC$6:BU1887, "=0") / COUNTIF($BC$6:BU1887, "&gt;-1")</f>
        <v>0.45880642094076851</v>
      </c>
      <c r="BY1887" s="18">
        <f>SUM($BC$6:BU1887) / $BY$4</f>
        <v>0.99417948846281978</v>
      </c>
      <c r="BZ1887" s="14">
        <f t="shared" si="120"/>
        <v>14</v>
      </c>
      <c r="CA1887" t="s">
        <v>5832</v>
      </c>
      <c r="CZ1887" t="s">
        <v>11538</v>
      </c>
      <c r="DA1887" t="s">
        <v>5904</v>
      </c>
      <c r="DB1887">
        <v>349.7</v>
      </c>
      <c r="DC1887" t="s">
        <v>30453</v>
      </c>
      <c r="DD1887" t="s">
        <v>13772</v>
      </c>
      <c r="DE1887" t="s">
        <v>30454</v>
      </c>
      <c r="DF1887" t="s">
        <v>30455</v>
      </c>
      <c r="DG1887" t="s">
        <v>30456</v>
      </c>
      <c r="DH1887" t="str">
        <f>"UFC1"</f>
        <v>UFC1</v>
      </c>
      <c r="DI1887" t="s">
        <v>13772</v>
      </c>
      <c r="DJ1887" t="s">
        <v>13777</v>
      </c>
      <c r="DK1887">
        <v>9606</v>
      </c>
      <c r="DL1887" s="34" t="str">
        <f>HYPERLINK("http://www.uniprot.org/uniprot/Q9Y3C8", "Q9Y3C8")</f>
        <v>Q9Y3C8</v>
      </c>
      <c r="DM1887" t="s">
        <v>30457</v>
      </c>
      <c r="DN1887" t="s">
        <v>14109</v>
      </c>
      <c r="DO1887" t="s">
        <v>13772</v>
      </c>
      <c r="DP1887" t="s">
        <v>13793</v>
      </c>
      <c r="DQ1887" t="s">
        <v>13772</v>
      </c>
      <c r="DR1887" t="s">
        <v>13807</v>
      </c>
      <c r="DS1887" t="s">
        <v>13772</v>
      </c>
      <c r="DT1887" t="s">
        <v>13772</v>
      </c>
      <c r="DU1887" t="s">
        <v>13772</v>
      </c>
      <c r="DV1887" t="s">
        <v>13772</v>
      </c>
      <c r="DW1887" t="s">
        <v>13812</v>
      </c>
      <c r="DX1887" t="s">
        <v>30458</v>
      </c>
      <c r="DY1887" t="s">
        <v>15835</v>
      </c>
      <c r="DZ1887" t="s">
        <v>27200</v>
      </c>
      <c r="EA1887" t="s">
        <v>13772</v>
      </c>
      <c r="EB1887" t="s">
        <v>13772</v>
      </c>
    </row>
    <row r="1888" spans="1:132" hidden="1">
      <c r="A1888">
        <v>1817</v>
      </c>
      <c r="B1888">
        <v>1</v>
      </c>
      <c r="C1888" t="s">
        <v>4295</v>
      </c>
      <c r="D1888" t="s">
        <v>73</v>
      </c>
      <c r="E1888" t="s">
        <v>73</v>
      </c>
      <c r="F1888" t="s">
        <v>73</v>
      </c>
      <c r="G1888" t="s">
        <v>73</v>
      </c>
      <c r="H1888">
        <v>32.1</v>
      </c>
      <c r="I1888">
        <v>84</v>
      </c>
      <c r="J1888">
        <v>9461</v>
      </c>
      <c r="K1888" t="s">
        <v>4296</v>
      </c>
      <c r="L1888">
        <f t="shared" si="118"/>
        <v>6</v>
      </c>
      <c r="N1888">
        <v>6</v>
      </c>
      <c r="O1888">
        <v>6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0</v>
      </c>
      <c r="AA1888">
        <v>2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2</v>
      </c>
      <c r="AS1888">
        <v>0</v>
      </c>
      <c r="AT1888">
        <v>2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2</v>
      </c>
      <c r="BL1888" s="2">
        <v>0</v>
      </c>
      <c r="BM1888" s="2">
        <v>2</v>
      </c>
      <c r="BN1888" s="2">
        <v>1</v>
      </c>
      <c r="BO1888" s="2">
        <v>1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f t="shared" si="121"/>
        <v>6</v>
      </c>
      <c r="BW1888" s="16">
        <f t="shared" si="119"/>
        <v>0.31578947368421051</v>
      </c>
      <c r="BX1888" s="16">
        <f>COUNTIF($BC$6:BU1888, "=0") / COUNTIF($BC$6:BU1888, "&gt;-1")</f>
        <v>0.45898202755960532</v>
      </c>
      <c r="BY1888" s="18">
        <f>SUM($BC$6:BU1888) / $BY$4</f>
        <v>0.99420519028403198</v>
      </c>
      <c r="BZ1888" s="14">
        <f t="shared" si="120"/>
        <v>15</v>
      </c>
      <c r="CA1888" t="s">
        <v>5832</v>
      </c>
      <c r="CZ1888" t="s">
        <v>11813</v>
      </c>
      <c r="DA1888" t="s">
        <v>5904</v>
      </c>
      <c r="DB1888">
        <v>175.3</v>
      </c>
      <c r="DC1888" t="s">
        <v>31245</v>
      </c>
      <c r="DD1888" t="s">
        <v>31246</v>
      </c>
      <c r="DE1888" t="s">
        <v>31247</v>
      </c>
      <c r="DF1888" t="s">
        <v>31248</v>
      </c>
      <c r="DG1888" t="s">
        <v>31249</v>
      </c>
      <c r="DH1888" t="str">
        <f>"RPS27"</f>
        <v>RPS27</v>
      </c>
      <c r="DI1888" t="s">
        <v>31250</v>
      </c>
      <c r="DJ1888" t="s">
        <v>13777</v>
      </c>
      <c r="DK1888">
        <v>9606</v>
      </c>
      <c r="DL1888" s="34" t="str">
        <f>HYPERLINK("http://www.uniprot.org/uniprot/P42677", "P42677")</f>
        <v>P42677</v>
      </c>
      <c r="DM1888" t="s">
        <v>31251</v>
      </c>
      <c r="DN1888" t="s">
        <v>13772</v>
      </c>
      <c r="DO1888" t="s">
        <v>13772</v>
      </c>
      <c r="DP1888" t="s">
        <v>13772</v>
      </c>
      <c r="DQ1888" t="s">
        <v>13772</v>
      </c>
      <c r="DR1888" t="s">
        <v>13936</v>
      </c>
      <c r="DS1888" t="s">
        <v>28818</v>
      </c>
      <c r="DT1888" t="s">
        <v>13856</v>
      </c>
      <c r="DU1888" t="s">
        <v>13937</v>
      </c>
      <c r="DV1888" t="s">
        <v>13782</v>
      </c>
      <c r="DW1888" t="s">
        <v>13812</v>
      </c>
      <c r="DX1888" t="s">
        <v>31252</v>
      </c>
      <c r="DY1888" t="s">
        <v>31253</v>
      </c>
      <c r="DZ1888" t="s">
        <v>31254</v>
      </c>
      <c r="EA1888" t="s">
        <v>13772</v>
      </c>
      <c r="EB1888" t="s">
        <v>31255</v>
      </c>
    </row>
    <row r="1889" spans="1:132" hidden="1">
      <c r="A1889">
        <v>1934</v>
      </c>
      <c r="B1889">
        <v>1</v>
      </c>
      <c r="C1889" t="s">
        <v>4555</v>
      </c>
      <c r="D1889" t="s">
        <v>73</v>
      </c>
      <c r="E1889" t="s">
        <v>73</v>
      </c>
      <c r="F1889" t="s">
        <v>73</v>
      </c>
      <c r="G1889" t="s">
        <v>73</v>
      </c>
      <c r="H1889">
        <v>22.8</v>
      </c>
      <c r="I1889">
        <v>123</v>
      </c>
      <c r="J1889">
        <v>14565</v>
      </c>
      <c r="K1889" t="s">
        <v>4556</v>
      </c>
      <c r="L1889">
        <f t="shared" si="118"/>
        <v>6</v>
      </c>
      <c r="N1889">
        <v>6</v>
      </c>
      <c r="O1889">
        <v>6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1</v>
      </c>
      <c r="AD1889">
        <v>0</v>
      </c>
      <c r="AE1889">
        <v>0</v>
      </c>
      <c r="AF1889">
        <v>2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2</v>
      </c>
      <c r="AZ1889">
        <v>0</v>
      </c>
      <c r="BA1889">
        <v>0</v>
      </c>
      <c r="BB1889">
        <v>0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1</v>
      </c>
      <c r="BN1889" s="2">
        <v>1</v>
      </c>
      <c r="BO1889" s="2">
        <v>1</v>
      </c>
      <c r="BP1889" s="2">
        <v>0</v>
      </c>
      <c r="BQ1889" s="2">
        <v>0</v>
      </c>
      <c r="BR1889" s="2">
        <v>2</v>
      </c>
      <c r="BS1889" s="2">
        <v>0</v>
      </c>
      <c r="BT1889" s="2">
        <v>0</v>
      </c>
      <c r="BU1889" s="2">
        <v>0</v>
      </c>
      <c r="BV1889" s="2">
        <f t="shared" si="121"/>
        <v>6</v>
      </c>
      <c r="BW1889" s="16">
        <f t="shared" si="119"/>
        <v>0.31578947368421051</v>
      </c>
      <c r="BX1889" s="16">
        <f>COUNTIF($BC$6:BU1889, "=0") / COUNTIF($BC$6:BU1889, "&gt;-1")</f>
        <v>0.45912951167728239</v>
      </c>
      <c r="BY1889" s="18">
        <f>SUM($BC$6:BU1889) / $BY$4</f>
        <v>0.99423089210524418</v>
      </c>
      <c r="BZ1889" s="14">
        <f t="shared" si="120"/>
        <v>14</v>
      </c>
      <c r="CA1889" t="s">
        <v>5832</v>
      </c>
      <c r="CZ1889" t="s">
        <v>12199</v>
      </c>
      <c r="DA1889" t="s">
        <v>5904</v>
      </c>
      <c r="DB1889">
        <v>235.7</v>
      </c>
      <c r="DC1889" t="s">
        <v>32318</v>
      </c>
      <c r="DD1889" t="s">
        <v>32319</v>
      </c>
      <c r="DE1889" t="s">
        <v>32320</v>
      </c>
      <c r="DF1889" t="s">
        <v>32321</v>
      </c>
      <c r="DG1889" t="s">
        <v>32322</v>
      </c>
      <c r="DH1889" t="str">
        <f>"RPL35"</f>
        <v>RPL35</v>
      </c>
      <c r="DI1889" t="s">
        <v>13772</v>
      </c>
      <c r="DJ1889" t="s">
        <v>13777</v>
      </c>
      <c r="DK1889">
        <v>9606</v>
      </c>
      <c r="DL1889" s="34" t="str">
        <f>HYPERLINK("http://www.uniprot.org/uniprot/P42766", "P42766")</f>
        <v>P42766</v>
      </c>
      <c r="DM1889" t="s">
        <v>15074</v>
      </c>
      <c r="DN1889" t="s">
        <v>13772</v>
      </c>
      <c r="DO1889" t="s">
        <v>13772</v>
      </c>
      <c r="DP1889" t="s">
        <v>13772</v>
      </c>
      <c r="DQ1889" t="s">
        <v>13772</v>
      </c>
      <c r="DR1889" t="s">
        <v>13772</v>
      </c>
      <c r="DS1889" t="s">
        <v>13772</v>
      </c>
      <c r="DT1889" t="s">
        <v>13772</v>
      </c>
      <c r="DU1889" t="s">
        <v>13937</v>
      </c>
      <c r="DV1889" t="s">
        <v>13991</v>
      </c>
      <c r="DW1889" t="s">
        <v>13812</v>
      </c>
      <c r="DX1889" t="s">
        <v>32323</v>
      </c>
      <c r="DY1889" t="s">
        <v>32324</v>
      </c>
      <c r="DZ1889" t="s">
        <v>32325</v>
      </c>
      <c r="EA1889" t="s">
        <v>13772</v>
      </c>
      <c r="EB1889" t="s">
        <v>13942</v>
      </c>
    </row>
    <row r="1890" spans="1:132" hidden="1">
      <c r="A1890">
        <v>2004</v>
      </c>
      <c r="B1890">
        <v>1</v>
      </c>
      <c r="C1890" t="s">
        <v>4715</v>
      </c>
      <c r="D1890" t="s">
        <v>73</v>
      </c>
      <c r="E1890" t="s">
        <v>73</v>
      </c>
      <c r="F1890" t="s">
        <v>73</v>
      </c>
      <c r="G1890" t="s">
        <v>73</v>
      </c>
      <c r="H1890">
        <v>22</v>
      </c>
      <c r="I1890">
        <v>246</v>
      </c>
      <c r="J1890">
        <v>27151</v>
      </c>
      <c r="K1890" t="s">
        <v>4716</v>
      </c>
      <c r="L1890">
        <f t="shared" si="118"/>
        <v>6</v>
      </c>
      <c r="N1890">
        <v>6</v>
      </c>
      <c r="O1890">
        <v>6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4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4</v>
      </c>
      <c r="BN1890" s="2">
        <v>0</v>
      </c>
      <c r="BO1890" s="2">
        <v>0</v>
      </c>
      <c r="BP1890" s="2">
        <v>0</v>
      </c>
      <c r="BQ1890" s="2">
        <v>0</v>
      </c>
      <c r="BR1890" s="2">
        <v>1</v>
      </c>
      <c r="BS1890" s="2">
        <v>0</v>
      </c>
      <c r="BT1890" s="2">
        <v>0</v>
      </c>
      <c r="BU1890" s="2">
        <v>1</v>
      </c>
      <c r="BV1890" s="2">
        <f t="shared" si="121"/>
        <v>6</v>
      </c>
      <c r="BW1890" s="16">
        <f t="shared" si="119"/>
        <v>0.31578947368421051</v>
      </c>
      <c r="BX1890" s="16">
        <f>COUNTIF($BC$6:BU1890, "=0") / COUNTIF($BC$6:BU1890, "&gt;-1")</f>
        <v>0.45933268183721904</v>
      </c>
      <c r="BY1890" s="18">
        <f>SUM($BC$6:BU1890) / $BY$4</f>
        <v>0.99425659392645638</v>
      </c>
      <c r="BZ1890" s="14">
        <f t="shared" si="120"/>
        <v>16</v>
      </c>
      <c r="CA1890" t="s">
        <v>5832</v>
      </c>
      <c r="CZ1890" t="s">
        <v>12430</v>
      </c>
      <c r="DA1890" t="s">
        <v>5904</v>
      </c>
      <c r="DB1890">
        <v>439.1</v>
      </c>
      <c r="DC1890" t="s">
        <v>32976</v>
      </c>
      <c r="DD1890" t="s">
        <v>32977</v>
      </c>
      <c r="DE1890" t="s">
        <v>32978</v>
      </c>
      <c r="DF1890" t="s">
        <v>32979</v>
      </c>
      <c r="DG1890" t="s">
        <v>32980</v>
      </c>
      <c r="DH1890" t="str">
        <f>"KLK6"</f>
        <v>KLK6</v>
      </c>
      <c r="DI1890" t="s">
        <v>32981</v>
      </c>
      <c r="DJ1890" t="s">
        <v>13777</v>
      </c>
      <c r="DK1890">
        <v>9606</v>
      </c>
      <c r="DL1890" s="34" t="str">
        <f>HYPERLINK("http://www.uniprot.org/uniprot/Q92876", "Q92876")</f>
        <v>Q92876</v>
      </c>
      <c r="DM1890" t="s">
        <v>32982</v>
      </c>
      <c r="DN1890" t="s">
        <v>13772</v>
      </c>
      <c r="DO1890" t="s">
        <v>32983</v>
      </c>
      <c r="DP1890" t="s">
        <v>13780</v>
      </c>
      <c r="DQ1890" t="s">
        <v>13772</v>
      </c>
      <c r="DR1890" t="s">
        <v>13772</v>
      </c>
      <c r="DS1890" t="s">
        <v>13808</v>
      </c>
      <c r="DT1890" t="s">
        <v>13772</v>
      </c>
      <c r="DU1890" t="s">
        <v>15176</v>
      </c>
      <c r="DV1890" t="s">
        <v>32984</v>
      </c>
      <c r="DW1890" t="s">
        <v>13812</v>
      </c>
      <c r="DX1890" t="s">
        <v>32985</v>
      </c>
      <c r="DY1890" t="s">
        <v>32986</v>
      </c>
      <c r="DZ1890" t="s">
        <v>25219</v>
      </c>
      <c r="EA1890" t="s">
        <v>13772</v>
      </c>
      <c r="EB1890" t="s">
        <v>13772</v>
      </c>
    </row>
    <row r="1891" spans="1:132" hidden="1">
      <c r="A1891">
        <v>2013</v>
      </c>
      <c r="B1891">
        <v>1</v>
      </c>
      <c r="C1891" t="s">
        <v>4736</v>
      </c>
      <c r="D1891" t="s">
        <v>4737</v>
      </c>
      <c r="E1891" t="s">
        <v>73</v>
      </c>
      <c r="F1891" t="s">
        <v>73</v>
      </c>
      <c r="G1891" t="s">
        <v>73</v>
      </c>
      <c r="H1891">
        <v>0.8</v>
      </c>
      <c r="I1891">
        <v>5048</v>
      </c>
      <c r="J1891">
        <v>566000</v>
      </c>
      <c r="K1891" t="s">
        <v>4738</v>
      </c>
      <c r="L1891">
        <f t="shared" si="118"/>
        <v>6</v>
      </c>
      <c r="N1891">
        <v>6</v>
      </c>
      <c r="O1891">
        <v>6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2</v>
      </c>
      <c r="AY1891">
        <v>2</v>
      </c>
      <c r="AZ1891">
        <v>0</v>
      </c>
      <c r="BA1891">
        <v>0</v>
      </c>
      <c r="BB1891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2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2</v>
      </c>
      <c r="BR1891" s="2">
        <v>2</v>
      </c>
      <c r="BS1891" s="2">
        <v>0</v>
      </c>
      <c r="BT1891" s="2">
        <v>0</v>
      </c>
      <c r="BU1891" s="2">
        <v>0</v>
      </c>
      <c r="BV1891" s="2">
        <f t="shared" si="121"/>
        <v>6</v>
      </c>
      <c r="BW1891" s="16">
        <f t="shared" si="119"/>
        <v>0.31578947368421051</v>
      </c>
      <c r="BX1891" s="16">
        <f>COUNTIF($BC$6:BU1891, "=0") / COUNTIF($BC$6:BU1891, "&gt;-1")</f>
        <v>0.45953563654629681</v>
      </c>
      <c r="BY1891" s="18">
        <f>SUM($BC$6:BU1891) / $BY$4</f>
        <v>0.99428229574766858</v>
      </c>
      <c r="BZ1891" s="14">
        <f t="shared" si="120"/>
        <v>16</v>
      </c>
      <c r="CA1891" t="s">
        <v>5832</v>
      </c>
      <c r="CZ1891" t="s">
        <v>12461</v>
      </c>
      <c r="DA1891" t="s">
        <v>5904</v>
      </c>
      <c r="DB1891">
        <v>10067.9</v>
      </c>
      <c r="DC1891" t="s">
        <v>33066</v>
      </c>
      <c r="DD1891" t="s">
        <v>33067</v>
      </c>
      <c r="DE1891" t="s">
        <v>33068</v>
      </c>
      <c r="DF1891" t="s">
        <v>33069</v>
      </c>
      <c r="DG1891" t="s">
        <v>33070</v>
      </c>
      <c r="DH1891" t="str">
        <f>"RYR1"</f>
        <v>RYR1</v>
      </c>
      <c r="DI1891" t="s">
        <v>33071</v>
      </c>
      <c r="DJ1891" t="s">
        <v>13777</v>
      </c>
      <c r="DK1891">
        <v>9606</v>
      </c>
      <c r="DL1891" s="34" t="str">
        <f>HYPERLINK("http://www.uniprot.org/uniprot/P21817", "P21817")</f>
        <v>P21817</v>
      </c>
      <c r="DM1891" t="s">
        <v>33072</v>
      </c>
      <c r="DN1891" t="s">
        <v>16775</v>
      </c>
      <c r="DO1891" t="s">
        <v>33073</v>
      </c>
      <c r="DP1891" t="s">
        <v>13780</v>
      </c>
      <c r="DQ1891" t="s">
        <v>13772</v>
      </c>
      <c r="DR1891" t="s">
        <v>13807</v>
      </c>
      <c r="DS1891" t="s">
        <v>16604</v>
      </c>
      <c r="DT1891" t="s">
        <v>15398</v>
      </c>
      <c r="DU1891" t="s">
        <v>33074</v>
      </c>
      <c r="DV1891" t="s">
        <v>33075</v>
      </c>
      <c r="DW1891" t="s">
        <v>13772</v>
      </c>
      <c r="DX1891" t="s">
        <v>33076</v>
      </c>
      <c r="DY1891" t="s">
        <v>33077</v>
      </c>
      <c r="DZ1891" t="s">
        <v>33078</v>
      </c>
      <c r="EA1891" t="s">
        <v>13772</v>
      </c>
      <c r="EB1891" t="s">
        <v>33079</v>
      </c>
    </row>
    <row r="1892" spans="1:132" hidden="1">
      <c r="A1892">
        <v>2103</v>
      </c>
      <c r="B1892">
        <v>1</v>
      </c>
      <c r="C1892" t="s">
        <v>4938</v>
      </c>
      <c r="D1892" t="s">
        <v>73</v>
      </c>
      <c r="E1892" t="s">
        <v>73</v>
      </c>
      <c r="F1892" t="s">
        <v>73</v>
      </c>
      <c r="G1892" t="s">
        <v>73</v>
      </c>
      <c r="H1892">
        <v>23.5</v>
      </c>
      <c r="I1892">
        <v>204</v>
      </c>
      <c r="J1892">
        <v>22876</v>
      </c>
      <c r="K1892" t="s">
        <v>4939</v>
      </c>
      <c r="L1892">
        <f t="shared" si="118"/>
        <v>6</v>
      </c>
      <c r="N1892">
        <v>6</v>
      </c>
      <c r="O1892">
        <v>6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2</v>
      </c>
      <c r="AB1892">
        <v>2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2</v>
      </c>
      <c r="AU1892">
        <v>2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1</v>
      </c>
      <c r="BL1892" s="2">
        <v>0</v>
      </c>
      <c r="BM1892" s="2">
        <v>2</v>
      </c>
      <c r="BN1892" s="2">
        <v>2</v>
      </c>
      <c r="BO1892" s="2">
        <v>0</v>
      </c>
      <c r="BP1892" s="2">
        <v>0</v>
      </c>
      <c r="BQ1892" s="2">
        <v>0</v>
      </c>
      <c r="BR1892" s="2">
        <v>1</v>
      </c>
      <c r="BS1892" s="2">
        <v>0</v>
      </c>
      <c r="BT1892" s="2">
        <v>0</v>
      </c>
      <c r="BU1892" s="2">
        <v>0</v>
      </c>
      <c r="BV1892" s="2">
        <f t="shared" si="121"/>
        <v>6</v>
      </c>
      <c r="BW1892" s="16">
        <f t="shared" si="119"/>
        <v>0.31578947368421051</v>
      </c>
      <c r="BX1892" s="16">
        <f>COUNTIF($BC$6:BU1892, "=0") / COUNTIF($BC$6:BU1892, "&gt;-1")</f>
        <v>0.45971048447828633</v>
      </c>
      <c r="BY1892" s="18">
        <f>SUM($BC$6:BU1892) / $BY$4</f>
        <v>0.99430799756888077</v>
      </c>
      <c r="BZ1892" s="14">
        <f t="shared" si="120"/>
        <v>15</v>
      </c>
      <c r="CA1892" t="s">
        <v>5832</v>
      </c>
      <c r="CZ1892" t="s">
        <v>12760</v>
      </c>
      <c r="DA1892" t="s">
        <v>5904</v>
      </c>
      <c r="DB1892">
        <v>424.1</v>
      </c>
      <c r="DC1892" t="s">
        <v>33908</v>
      </c>
      <c r="DD1892" t="s">
        <v>33909</v>
      </c>
      <c r="DE1892" t="s">
        <v>33910</v>
      </c>
      <c r="DF1892" t="s">
        <v>33911</v>
      </c>
      <c r="DG1892" t="s">
        <v>33912</v>
      </c>
      <c r="DH1892" t="str">
        <f>"RPS5"</f>
        <v>RPS5</v>
      </c>
      <c r="DI1892" t="s">
        <v>13772</v>
      </c>
      <c r="DJ1892" t="s">
        <v>13777</v>
      </c>
      <c r="DK1892">
        <v>9606</v>
      </c>
      <c r="DL1892" s="34" t="str">
        <f>HYPERLINK("http://www.uniprot.org/uniprot/P46782", "P46782")</f>
        <v>P46782</v>
      </c>
      <c r="DM1892" t="s">
        <v>15074</v>
      </c>
      <c r="DN1892" t="s">
        <v>13772</v>
      </c>
      <c r="DO1892" t="s">
        <v>13772</v>
      </c>
      <c r="DP1892" t="s">
        <v>13772</v>
      </c>
      <c r="DQ1892" t="s">
        <v>13772</v>
      </c>
      <c r="DR1892" t="s">
        <v>13772</v>
      </c>
      <c r="DS1892" t="s">
        <v>13772</v>
      </c>
      <c r="DT1892" t="s">
        <v>13772</v>
      </c>
      <c r="DU1892" t="s">
        <v>13937</v>
      </c>
      <c r="DV1892" t="s">
        <v>13991</v>
      </c>
      <c r="DW1892" t="s">
        <v>13812</v>
      </c>
      <c r="DX1892" t="s">
        <v>33913</v>
      </c>
      <c r="DY1892" t="s">
        <v>33914</v>
      </c>
      <c r="DZ1892" t="s">
        <v>33915</v>
      </c>
      <c r="EA1892" t="s">
        <v>13772</v>
      </c>
      <c r="EB1892" t="s">
        <v>17828</v>
      </c>
    </row>
    <row r="1893" spans="1:132" hidden="1">
      <c r="A1893">
        <v>2122</v>
      </c>
      <c r="B1893">
        <v>1</v>
      </c>
      <c r="C1893" t="s">
        <v>4978</v>
      </c>
      <c r="D1893" t="s">
        <v>73</v>
      </c>
      <c r="E1893" t="s">
        <v>73</v>
      </c>
      <c r="F1893" t="s">
        <v>73</v>
      </c>
      <c r="G1893" t="s">
        <v>73</v>
      </c>
      <c r="H1893">
        <v>8.3000000000000007</v>
      </c>
      <c r="I1893">
        <v>351</v>
      </c>
      <c r="J1893">
        <v>40374</v>
      </c>
      <c r="K1893" t="s">
        <v>4979</v>
      </c>
      <c r="L1893">
        <f t="shared" si="118"/>
        <v>6</v>
      </c>
      <c r="N1893">
        <v>6</v>
      </c>
      <c r="O1893">
        <v>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3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3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3</v>
      </c>
      <c r="BH1893" s="2">
        <v>1</v>
      </c>
      <c r="BI1893" s="2">
        <v>1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1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f t="shared" si="121"/>
        <v>6</v>
      </c>
      <c r="BW1893" s="16">
        <f t="shared" si="119"/>
        <v>0.31578947368421051</v>
      </c>
      <c r="BX1893" s="16">
        <f>COUNTIF($BC$6:BU1893, "=0") / COUNTIF($BC$6:BU1893, "&gt;-1")</f>
        <v>0.45988514719000895</v>
      </c>
      <c r="BY1893" s="18">
        <f>SUM($BC$6:BU1893) / $BY$4</f>
        <v>0.99433369939009297</v>
      </c>
      <c r="BZ1893" s="14">
        <f t="shared" si="120"/>
        <v>15</v>
      </c>
      <c r="CA1893" t="s">
        <v>5832</v>
      </c>
      <c r="CZ1893" t="s">
        <v>12819</v>
      </c>
      <c r="DA1893" t="s">
        <v>5904</v>
      </c>
      <c r="DB1893">
        <v>723</v>
      </c>
      <c r="DC1893" t="s">
        <v>34066</v>
      </c>
      <c r="DD1893" t="s">
        <v>34067</v>
      </c>
      <c r="DE1893" t="s">
        <v>34068</v>
      </c>
      <c r="DF1893" t="s">
        <v>34069</v>
      </c>
      <c r="DG1893" t="s">
        <v>34070</v>
      </c>
      <c r="DH1893" t="str">
        <f>"ATP6V0D1"</f>
        <v>ATP6V0D1</v>
      </c>
      <c r="DI1893" t="s">
        <v>34071</v>
      </c>
      <c r="DJ1893" t="s">
        <v>13777</v>
      </c>
      <c r="DK1893">
        <v>9606</v>
      </c>
      <c r="DL1893" s="34" t="str">
        <f>HYPERLINK("http://www.uniprot.org/uniprot/P61421", "P61421")</f>
        <v>P61421</v>
      </c>
      <c r="DM1893" t="s">
        <v>34072</v>
      </c>
      <c r="DN1893" t="s">
        <v>15201</v>
      </c>
      <c r="DO1893" t="s">
        <v>13825</v>
      </c>
      <c r="DP1893" t="s">
        <v>13772</v>
      </c>
      <c r="DQ1893" t="s">
        <v>13772</v>
      </c>
      <c r="DR1893" t="s">
        <v>13772</v>
      </c>
      <c r="DS1893" t="s">
        <v>13772</v>
      </c>
      <c r="DT1893" t="s">
        <v>13772</v>
      </c>
      <c r="DU1893" t="s">
        <v>13772</v>
      </c>
      <c r="DV1893" t="s">
        <v>13782</v>
      </c>
      <c r="DW1893" t="s">
        <v>13772</v>
      </c>
      <c r="DX1893" t="s">
        <v>34073</v>
      </c>
      <c r="DY1893" t="s">
        <v>34074</v>
      </c>
      <c r="DZ1893" t="s">
        <v>34075</v>
      </c>
      <c r="EA1893" t="s">
        <v>13772</v>
      </c>
      <c r="EB1893" t="s">
        <v>34076</v>
      </c>
    </row>
    <row r="1894" spans="1:132" hidden="1">
      <c r="A1894">
        <v>2148</v>
      </c>
      <c r="B1894">
        <v>1</v>
      </c>
      <c r="C1894" t="s">
        <v>5036</v>
      </c>
      <c r="D1894" t="s">
        <v>73</v>
      </c>
      <c r="E1894" t="s">
        <v>73</v>
      </c>
      <c r="F1894" t="s">
        <v>73</v>
      </c>
      <c r="G1894" t="s">
        <v>73</v>
      </c>
      <c r="H1894">
        <v>11.2</v>
      </c>
      <c r="I1894">
        <v>473</v>
      </c>
      <c r="J1894">
        <v>52106</v>
      </c>
      <c r="K1894" t="s">
        <v>5037</v>
      </c>
      <c r="L1894">
        <f t="shared" si="118"/>
        <v>6</v>
      </c>
      <c r="N1894">
        <v>6</v>
      </c>
      <c r="O1894">
        <v>6</v>
      </c>
      <c r="P1894">
        <v>1</v>
      </c>
      <c r="Q1894">
        <v>0</v>
      </c>
      <c r="R1894">
        <v>2</v>
      </c>
      <c r="S1894">
        <v>0</v>
      </c>
      <c r="T1894">
        <v>0</v>
      </c>
      <c r="U1894">
        <v>3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</v>
      </c>
      <c r="AL1894">
        <v>0</v>
      </c>
      <c r="AM1894">
        <v>0</v>
      </c>
      <c r="AN1894">
        <v>3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 s="2">
        <v>0</v>
      </c>
      <c r="BD1894" s="2">
        <v>2</v>
      </c>
      <c r="BE1894" s="2">
        <v>0</v>
      </c>
      <c r="BF1894" s="2">
        <v>0</v>
      </c>
      <c r="BG1894" s="2">
        <v>3</v>
      </c>
      <c r="BH1894" s="2">
        <v>1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f t="shared" si="121"/>
        <v>6</v>
      </c>
      <c r="BW1894" s="16">
        <f t="shared" si="119"/>
        <v>0.31578947368421051</v>
      </c>
      <c r="BX1894" s="16">
        <f>COUNTIF($BC$6:BU1894, "=0") / COUNTIF($BC$6:BU1894, "&gt;-1")</f>
        <v>0.46008748711376113</v>
      </c>
      <c r="BY1894" s="18">
        <f>SUM($BC$6:BU1894) / $BY$4</f>
        <v>0.99435940121130517</v>
      </c>
      <c r="BZ1894" s="14">
        <f t="shared" si="120"/>
        <v>16</v>
      </c>
      <c r="CA1894" t="s">
        <v>5832</v>
      </c>
      <c r="CZ1894" t="s">
        <v>12909</v>
      </c>
      <c r="DA1894" t="s">
        <v>5904</v>
      </c>
      <c r="DB1894">
        <v>887.5</v>
      </c>
      <c r="DC1894" t="s">
        <v>34306</v>
      </c>
      <c r="DD1894" t="s">
        <v>34307</v>
      </c>
      <c r="DE1894" t="s">
        <v>34308</v>
      </c>
      <c r="DF1894" t="s">
        <v>34309</v>
      </c>
      <c r="DG1894" t="s">
        <v>34310</v>
      </c>
      <c r="DH1894" t="str">
        <f>"GSS"</f>
        <v>GSS</v>
      </c>
      <c r="DI1894" t="s">
        <v>13772</v>
      </c>
      <c r="DJ1894" t="s">
        <v>13777</v>
      </c>
      <c r="DK1894">
        <v>9606</v>
      </c>
      <c r="DL1894" s="34" t="str">
        <f>HYPERLINK("http://www.uniprot.org/uniprot/P48637", "P48637")</f>
        <v>P48637</v>
      </c>
      <c r="DM1894" t="s">
        <v>34311</v>
      </c>
      <c r="DN1894" t="s">
        <v>17533</v>
      </c>
      <c r="DO1894" t="s">
        <v>13772</v>
      </c>
      <c r="DP1894" t="s">
        <v>13780</v>
      </c>
      <c r="DQ1894" t="s">
        <v>13772</v>
      </c>
      <c r="DR1894" t="s">
        <v>17205</v>
      </c>
      <c r="DS1894" t="s">
        <v>13772</v>
      </c>
      <c r="DT1894" t="s">
        <v>17602</v>
      </c>
      <c r="DU1894" t="s">
        <v>21123</v>
      </c>
      <c r="DV1894" t="s">
        <v>13886</v>
      </c>
      <c r="DW1894" t="s">
        <v>13812</v>
      </c>
      <c r="DX1894" t="s">
        <v>34312</v>
      </c>
      <c r="DY1894" t="s">
        <v>15111</v>
      </c>
      <c r="DZ1894" t="s">
        <v>34313</v>
      </c>
      <c r="EA1894" t="s">
        <v>34314</v>
      </c>
      <c r="EB1894" t="s">
        <v>34315</v>
      </c>
    </row>
    <row r="1895" spans="1:132" hidden="1">
      <c r="A1895">
        <v>2160</v>
      </c>
      <c r="B1895">
        <v>1</v>
      </c>
      <c r="C1895" t="s">
        <v>5065</v>
      </c>
      <c r="D1895" t="s">
        <v>73</v>
      </c>
      <c r="E1895" t="s">
        <v>73</v>
      </c>
      <c r="F1895" t="s">
        <v>73</v>
      </c>
      <c r="G1895" t="s">
        <v>73</v>
      </c>
      <c r="H1895">
        <v>28</v>
      </c>
      <c r="I1895">
        <v>186</v>
      </c>
      <c r="J1895">
        <v>20881</v>
      </c>
      <c r="K1895" t="s">
        <v>5066</v>
      </c>
      <c r="L1895">
        <f t="shared" si="118"/>
        <v>6</v>
      </c>
      <c r="N1895">
        <v>6</v>
      </c>
      <c r="O1895">
        <v>6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</v>
      </c>
      <c r="Y1895">
        <v>0</v>
      </c>
      <c r="Z1895">
        <v>0</v>
      </c>
      <c r="AA1895">
        <v>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</v>
      </c>
      <c r="AR1895">
        <v>0</v>
      </c>
      <c r="AS1895">
        <v>0</v>
      </c>
      <c r="AT1895">
        <v>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3</v>
      </c>
      <c r="BK1895" s="2">
        <v>0</v>
      </c>
      <c r="BL1895" s="2">
        <v>0</v>
      </c>
      <c r="BM1895" s="2">
        <v>3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f t="shared" si="121"/>
        <v>6</v>
      </c>
      <c r="BW1895" s="16">
        <f t="shared" si="119"/>
        <v>0.31578947368421051</v>
      </c>
      <c r="BX1895" s="16">
        <f>COUNTIF($BC$6:BU1895, "=0") / COUNTIF($BC$6:BU1895, "&gt;-1")</f>
        <v>0.46031746031746029</v>
      </c>
      <c r="BY1895" s="18">
        <f>SUM($BC$6:BU1895) / $BY$4</f>
        <v>0.99438510303251737</v>
      </c>
      <c r="BZ1895" s="14">
        <f t="shared" si="120"/>
        <v>17</v>
      </c>
      <c r="CA1895" t="s">
        <v>5832</v>
      </c>
      <c r="CZ1895" t="s">
        <v>12951</v>
      </c>
      <c r="DA1895" t="s">
        <v>5904</v>
      </c>
      <c r="DB1895">
        <v>369.8</v>
      </c>
      <c r="DC1895" t="s">
        <v>34419</v>
      </c>
      <c r="DD1895" t="s">
        <v>34420</v>
      </c>
      <c r="DE1895" t="s">
        <v>34421</v>
      </c>
      <c r="DF1895" t="s">
        <v>34422</v>
      </c>
      <c r="DG1895" t="s">
        <v>34423</v>
      </c>
      <c r="DH1895" t="str">
        <f>"RBBP9"</f>
        <v>RBBP9</v>
      </c>
      <c r="DI1895" t="s">
        <v>34424</v>
      </c>
      <c r="DJ1895" t="s">
        <v>13777</v>
      </c>
      <c r="DK1895">
        <v>9606</v>
      </c>
      <c r="DL1895" s="34" t="str">
        <f>HYPERLINK("http://www.uniprot.org/uniprot/O75884", "O75884")</f>
        <v>O75884</v>
      </c>
      <c r="DM1895" t="s">
        <v>34425</v>
      </c>
      <c r="DN1895" t="s">
        <v>13772</v>
      </c>
      <c r="DO1895" t="s">
        <v>13912</v>
      </c>
      <c r="DP1895" t="s">
        <v>13841</v>
      </c>
      <c r="DQ1895" t="s">
        <v>13772</v>
      </c>
      <c r="DR1895" t="s">
        <v>13772</v>
      </c>
      <c r="DS1895" t="s">
        <v>13772</v>
      </c>
      <c r="DT1895" t="s">
        <v>13772</v>
      </c>
      <c r="DU1895" t="s">
        <v>13857</v>
      </c>
      <c r="DV1895" t="s">
        <v>13782</v>
      </c>
      <c r="DW1895" t="s">
        <v>13812</v>
      </c>
      <c r="DX1895" t="s">
        <v>34426</v>
      </c>
      <c r="DY1895" t="s">
        <v>26561</v>
      </c>
      <c r="DZ1895" t="s">
        <v>16563</v>
      </c>
      <c r="EA1895" t="s">
        <v>13772</v>
      </c>
      <c r="EB1895" t="s">
        <v>13772</v>
      </c>
    </row>
    <row r="1896" spans="1:132" hidden="1">
      <c r="A1896">
        <v>2262</v>
      </c>
      <c r="B1896">
        <v>1</v>
      </c>
      <c r="C1896" t="s">
        <v>5286</v>
      </c>
      <c r="D1896" t="s">
        <v>73</v>
      </c>
      <c r="E1896" t="s">
        <v>73</v>
      </c>
      <c r="F1896" t="s">
        <v>73</v>
      </c>
      <c r="G1896" t="s">
        <v>73</v>
      </c>
      <c r="H1896">
        <v>45.8</v>
      </c>
      <c r="I1896">
        <v>83</v>
      </c>
      <c r="J1896">
        <v>9111</v>
      </c>
      <c r="K1896" t="s">
        <v>5287</v>
      </c>
      <c r="L1896">
        <f t="shared" si="118"/>
        <v>6</v>
      </c>
      <c r="N1896">
        <v>6</v>
      </c>
      <c r="O1896">
        <v>6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2</v>
      </c>
      <c r="AC1896">
        <v>0</v>
      </c>
      <c r="AD1896">
        <v>0</v>
      </c>
      <c r="AE1896">
        <v>2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1</v>
      </c>
      <c r="AU1896">
        <v>2</v>
      </c>
      <c r="AV1896">
        <v>0</v>
      </c>
      <c r="AW1896">
        <v>0</v>
      </c>
      <c r="AX1896">
        <v>2</v>
      </c>
      <c r="AY1896">
        <v>0</v>
      </c>
      <c r="AZ1896">
        <v>0</v>
      </c>
      <c r="BA1896">
        <v>0</v>
      </c>
      <c r="BB1896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0</v>
      </c>
      <c r="BM1896" s="2">
        <v>1</v>
      </c>
      <c r="BN1896" s="2">
        <v>2</v>
      </c>
      <c r="BO1896" s="2">
        <v>0</v>
      </c>
      <c r="BP1896" s="2">
        <v>0</v>
      </c>
      <c r="BQ1896" s="2">
        <v>2</v>
      </c>
      <c r="BR1896" s="2">
        <v>0</v>
      </c>
      <c r="BS1896" s="2">
        <v>0</v>
      </c>
      <c r="BT1896" s="2">
        <v>0</v>
      </c>
      <c r="BU1896" s="2">
        <v>0</v>
      </c>
      <c r="BV1896" s="2">
        <f t="shared" si="121"/>
        <v>6</v>
      </c>
      <c r="BW1896" s="16">
        <f t="shared" si="119"/>
        <v>0.31578947368421051</v>
      </c>
      <c r="BX1896" s="16">
        <f>COUNTIF($BC$6:BU1896, "=0") / COUNTIF($BC$6:BU1896, "&gt;-1")</f>
        <v>0.46049152495198864</v>
      </c>
      <c r="BY1896" s="18">
        <f>SUM($BC$6:BU1896) / $BY$4</f>
        <v>0.99441080485372957</v>
      </c>
      <c r="BZ1896" s="14">
        <f t="shared" si="120"/>
        <v>15</v>
      </c>
      <c r="CA1896" t="s">
        <v>5832</v>
      </c>
      <c r="CZ1896" t="s">
        <v>13285</v>
      </c>
      <c r="DA1896" t="s">
        <v>5904</v>
      </c>
      <c r="DB1896">
        <v>172.2</v>
      </c>
      <c r="DC1896" t="s">
        <v>35371</v>
      </c>
      <c r="DD1896" t="s">
        <v>35372</v>
      </c>
      <c r="DE1896" t="s">
        <v>35373</v>
      </c>
      <c r="DF1896" t="s">
        <v>35374</v>
      </c>
      <c r="DG1896" t="s">
        <v>35375</v>
      </c>
      <c r="DH1896" t="str">
        <f>"RPS21"</f>
        <v>RPS21</v>
      </c>
      <c r="DI1896" t="s">
        <v>13772</v>
      </c>
      <c r="DJ1896" t="s">
        <v>13777</v>
      </c>
      <c r="DK1896">
        <v>9606</v>
      </c>
      <c r="DL1896" s="34" t="str">
        <f>HYPERLINK("http://www.uniprot.org/uniprot/P63220", "P63220")</f>
        <v>P63220</v>
      </c>
      <c r="DM1896" t="s">
        <v>35376</v>
      </c>
      <c r="DN1896" t="s">
        <v>13772</v>
      </c>
      <c r="DO1896" t="s">
        <v>14265</v>
      </c>
      <c r="DP1896" t="s">
        <v>13772</v>
      </c>
      <c r="DQ1896" t="s">
        <v>13772</v>
      </c>
      <c r="DR1896" t="s">
        <v>13772</v>
      </c>
      <c r="DS1896" t="s">
        <v>13772</v>
      </c>
      <c r="DT1896" t="s">
        <v>13772</v>
      </c>
      <c r="DU1896" t="s">
        <v>13937</v>
      </c>
      <c r="DV1896" t="s">
        <v>14312</v>
      </c>
      <c r="DW1896" t="s">
        <v>13812</v>
      </c>
      <c r="DX1896" t="s">
        <v>35377</v>
      </c>
      <c r="DY1896" t="s">
        <v>35378</v>
      </c>
      <c r="DZ1896" t="s">
        <v>35379</v>
      </c>
      <c r="EA1896" t="s">
        <v>13772</v>
      </c>
      <c r="EB1896" t="s">
        <v>17828</v>
      </c>
    </row>
    <row r="1897" spans="1:132" hidden="1">
      <c r="A1897">
        <v>2288</v>
      </c>
      <c r="B1897">
        <v>1</v>
      </c>
      <c r="C1897" t="s">
        <v>5345</v>
      </c>
      <c r="D1897" t="s">
        <v>5346</v>
      </c>
      <c r="E1897" t="s">
        <v>73</v>
      </c>
      <c r="F1897" t="s">
        <v>73</v>
      </c>
      <c r="G1897" t="s">
        <v>73</v>
      </c>
      <c r="H1897">
        <v>10.5</v>
      </c>
      <c r="I1897">
        <v>275</v>
      </c>
      <c r="J1897">
        <v>29969</v>
      </c>
      <c r="K1897" t="s">
        <v>5347</v>
      </c>
      <c r="L1897">
        <f t="shared" si="118"/>
        <v>6</v>
      </c>
      <c r="N1897">
        <v>6</v>
      </c>
      <c r="O1897">
        <v>6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3</v>
      </c>
      <c r="BK1897" s="2">
        <v>1</v>
      </c>
      <c r="BL1897" s="2">
        <v>0</v>
      </c>
      <c r="BM1897" s="2">
        <v>0</v>
      </c>
      <c r="BN1897" s="2">
        <v>0</v>
      </c>
      <c r="BO1897" s="2">
        <v>1</v>
      </c>
      <c r="BP1897" s="2">
        <v>0</v>
      </c>
      <c r="BQ1897" s="2">
        <v>1</v>
      </c>
      <c r="BR1897" s="2">
        <v>0</v>
      </c>
      <c r="BS1897" s="2">
        <v>0</v>
      </c>
      <c r="BT1897" s="2">
        <v>0</v>
      </c>
      <c r="BU1897" s="2">
        <v>0</v>
      </c>
      <c r="BV1897" s="2">
        <f t="shared" si="121"/>
        <v>6</v>
      </c>
      <c r="BW1897" s="16">
        <f t="shared" si="119"/>
        <v>0.31578947368421051</v>
      </c>
      <c r="BX1897" s="16">
        <f>COUNTIF($BC$6:BU1897, "=0") / COUNTIF($BC$6:BU1897, "&gt;-1")</f>
        <v>0.46066540558584623</v>
      </c>
      <c r="BY1897" s="18">
        <f>SUM($BC$6:BU1897) / $BY$4</f>
        <v>0.99443650667494177</v>
      </c>
      <c r="BZ1897" s="14">
        <f t="shared" si="120"/>
        <v>15</v>
      </c>
      <c r="CA1897" t="s">
        <v>5832</v>
      </c>
      <c r="CZ1897" t="s">
        <v>13371</v>
      </c>
      <c r="DA1897" t="s">
        <v>5904</v>
      </c>
      <c r="DB1897">
        <v>263.10000000000002</v>
      </c>
      <c r="DC1897" t="s">
        <v>35609</v>
      </c>
      <c r="DD1897" t="s">
        <v>35610</v>
      </c>
      <c r="DE1897" t="s">
        <v>35611</v>
      </c>
      <c r="DF1897" t="s">
        <v>35612</v>
      </c>
      <c r="DG1897" t="s">
        <v>35613</v>
      </c>
      <c r="DH1897" t="str">
        <f>"CD8A"</f>
        <v>CD8A</v>
      </c>
      <c r="DI1897" t="s">
        <v>35614</v>
      </c>
      <c r="DJ1897" t="s">
        <v>13777</v>
      </c>
      <c r="DK1897">
        <v>9606</v>
      </c>
      <c r="DL1897" s="34" t="str">
        <f>HYPERLINK("http://www.uniprot.org/uniprot/P01732", "P01732")</f>
        <v>P01732</v>
      </c>
      <c r="DM1897" t="s">
        <v>35615</v>
      </c>
      <c r="DN1897" t="s">
        <v>15290</v>
      </c>
      <c r="DO1897" t="s">
        <v>14336</v>
      </c>
      <c r="DP1897" t="s">
        <v>13841</v>
      </c>
      <c r="DQ1897" t="s">
        <v>13772</v>
      </c>
      <c r="DR1897" t="s">
        <v>13807</v>
      </c>
      <c r="DS1897" t="s">
        <v>13794</v>
      </c>
      <c r="DT1897" t="s">
        <v>13772</v>
      </c>
      <c r="DU1897" t="s">
        <v>13772</v>
      </c>
      <c r="DV1897" t="s">
        <v>19014</v>
      </c>
      <c r="DW1897" t="s">
        <v>13812</v>
      </c>
      <c r="DX1897" t="s">
        <v>35616</v>
      </c>
      <c r="DY1897" t="s">
        <v>35617</v>
      </c>
      <c r="DZ1897" t="s">
        <v>35618</v>
      </c>
      <c r="EA1897" t="s">
        <v>13772</v>
      </c>
      <c r="EB1897" t="s">
        <v>13799</v>
      </c>
    </row>
    <row r="1898" spans="1:132" hidden="1">
      <c r="A1898">
        <v>2326</v>
      </c>
      <c r="B1898">
        <v>1</v>
      </c>
      <c r="C1898" t="s">
        <v>5423</v>
      </c>
      <c r="D1898" t="s">
        <v>5424</v>
      </c>
      <c r="E1898" t="s">
        <v>73</v>
      </c>
      <c r="F1898" t="s">
        <v>73</v>
      </c>
      <c r="G1898" t="s">
        <v>73</v>
      </c>
      <c r="H1898">
        <v>5.3</v>
      </c>
      <c r="I1898">
        <v>1007</v>
      </c>
      <c r="J1898">
        <v>115678</v>
      </c>
      <c r="K1898" t="s">
        <v>5425</v>
      </c>
      <c r="L1898">
        <f t="shared" si="118"/>
        <v>6</v>
      </c>
      <c r="N1898">
        <v>6</v>
      </c>
      <c r="O1898">
        <v>6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4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 s="2">
        <v>0</v>
      </c>
      <c r="BD1898" s="2">
        <v>1</v>
      </c>
      <c r="BE1898" s="2">
        <v>0</v>
      </c>
      <c r="BF1898" s="2">
        <v>0</v>
      </c>
      <c r="BG1898" s="2">
        <v>0</v>
      </c>
      <c r="BH1898" s="2">
        <v>4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1</v>
      </c>
      <c r="BS1898" s="2">
        <v>0</v>
      </c>
      <c r="BT1898" s="2">
        <v>0</v>
      </c>
      <c r="BU1898" s="2">
        <v>0</v>
      </c>
      <c r="BV1898" s="2">
        <f t="shared" si="121"/>
        <v>6</v>
      </c>
      <c r="BW1898" s="16">
        <f t="shared" si="119"/>
        <v>0.31578947368421051</v>
      </c>
      <c r="BX1898" s="16">
        <f>COUNTIF($BC$6:BU1898, "=0") / COUNTIF($BC$6:BU1898, "&gt;-1")</f>
        <v>0.46086690577473793</v>
      </c>
      <c r="BY1898" s="18">
        <f>SUM($BC$6:BU1898) / $BY$4</f>
        <v>0.99446220849615408</v>
      </c>
      <c r="BZ1898" s="14">
        <f t="shared" si="120"/>
        <v>16</v>
      </c>
      <c r="CA1898" t="s">
        <v>5832</v>
      </c>
      <c r="CZ1898" t="s">
        <v>13479</v>
      </c>
      <c r="DA1898" t="s">
        <v>5904</v>
      </c>
      <c r="DB1898">
        <v>1986.5</v>
      </c>
      <c r="DC1898" t="s">
        <v>35922</v>
      </c>
      <c r="DD1898" t="s">
        <v>13772</v>
      </c>
      <c r="DE1898" t="s">
        <v>35923</v>
      </c>
      <c r="DF1898" t="s">
        <v>35924</v>
      </c>
      <c r="DG1898" t="s">
        <v>35925</v>
      </c>
      <c r="DH1898" t="str">
        <f>"MYO1D"</f>
        <v>MYO1D</v>
      </c>
      <c r="DI1898" t="s">
        <v>35926</v>
      </c>
      <c r="DJ1898" t="s">
        <v>13777</v>
      </c>
      <c r="DK1898">
        <v>9606</v>
      </c>
      <c r="DL1898" s="34" t="str">
        <f>HYPERLINK("http://www.uniprot.org/uniprot/O94832", "O94832")</f>
        <v>O94832</v>
      </c>
      <c r="DM1898" t="s">
        <v>35927</v>
      </c>
      <c r="DN1898" t="s">
        <v>14347</v>
      </c>
      <c r="DO1898" t="s">
        <v>35928</v>
      </c>
      <c r="DP1898" t="s">
        <v>13793</v>
      </c>
      <c r="DQ1898" t="s">
        <v>13772</v>
      </c>
      <c r="DR1898" t="s">
        <v>13772</v>
      </c>
      <c r="DS1898" t="s">
        <v>14096</v>
      </c>
      <c r="DT1898" t="s">
        <v>14005</v>
      </c>
      <c r="DU1898" t="s">
        <v>14097</v>
      </c>
      <c r="DV1898" t="s">
        <v>13886</v>
      </c>
      <c r="DW1898" t="s">
        <v>13772</v>
      </c>
      <c r="DX1898" t="s">
        <v>35929</v>
      </c>
      <c r="DY1898" t="s">
        <v>35930</v>
      </c>
      <c r="DZ1898" t="s">
        <v>35931</v>
      </c>
      <c r="EA1898" t="s">
        <v>13772</v>
      </c>
      <c r="EB1898" t="s">
        <v>13772</v>
      </c>
    </row>
    <row r="1899" spans="1:132" hidden="1">
      <c r="A1899">
        <v>2387</v>
      </c>
      <c r="B1899">
        <v>1</v>
      </c>
      <c r="C1899" t="s">
        <v>5561</v>
      </c>
      <c r="D1899" t="s">
        <v>73</v>
      </c>
      <c r="E1899" t="s">
        <v>73</v>
      </c>
      <c r="F1899" t="s">
        <v>73</v>
      </c>
      <c r="G1899" t="s">
        <v>73</v>
      </c>
      <c r="H1899">
        <v>6.4</v>
      </c>
      <c r="I1899">
        <v>500</v>
      </c>
      <c r="J1899">
        <v>55574</v>
      </c>
      <c r="K1899" t="s">
        <v>5562</v>
      </c>
      <c r="L1899">
        <f t="shared" si="118"/>
        <v>6</v>
      </c>
      <c r="N1899">
        <v>6</v>
      </c>
      <c r="O1899">
        <v>6</v>
      </c>
      <c r="P1899">
        <v>1</v>
      </c>
      <c r="Q1899">
        <v>0</v>
      </c>
      <c r="R1899">
        <v>0</v>
      </c>
      <c r="S1899">
        <v>0</v>
      </c>
      <c r="T1899">
        <v>3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3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 s="2">
        <v>0</v>
      </c>
      <c r="BD1899" s="2">
        <v>0</v>
      </c>
      <c r="BE1899" s="2">
        <v>0</v>
      </c>
      <c r="BF1899" s="2">
        <v>3</v>
      </c>
      <c r="BG1899" s="2">
        <v>1</v>
      </c>
      <c r="BH1899" s="2">
        <v>1</v>
      </c>
      <c r="BI1899" s="2">
        <v>1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f t="shared" si="121"/>
        <v>6</v>
      </c>
      <c r="BW1899" s="16">
        <f t="shared" si="119"/>
        <v>0.31578947368421051</v>
      </c>
      <c r="BX1899" s="16">
        <f>COUNTIF($BC$6:BU1899, "=0") / COUNTIF($BC$6:BU1899, "&gt;-1")</f>
        <v>0.46104040460178958</v>
      </c>
      <c r="BY1899" s="18">
        <f>SUM($BC$6:BU1899) / $BY$4</f>
        <v>0.99448791031736627</v>
      </c>
      <c r="BZ1899" s="14">
        <f t="shared" si="120"/>
        <v>15</v>
      </c>
      <c r="CA1899" t="s">
        <v>5832</v>
      </c>
      <c r="CZ1899" t="s">
        <v>13673</v>
      </c>
      <c r="DA1899" t="s">
        <v>5904</v>
      </c>
      <c r="DB1899">
        <v>926.8</v>
      </c>
      <c r="DC1899" t="s">
        <v>36447</v>
      </c>
      <c r="DD1899" t="s">
        <v>36448</v>
      </c>
      <c r="DE1899" t="s">
        <v>36449</v>
      </c>
      <c r="DF1899" t="s">
        <v>36450</v>
      </c>
      <c r="DG1899" t="s">
        <v>36451</v>
      </c>
      <c r="DH1899" t="str">
        <f>"PLXDC1"</f>
        <v>PLXDC1</v>
      </c>
      <c r="DI1899" t="s">
        <v>36452</v>
      </c>
      <c r="DJ1899" t="s">
        <v>13777</v>
      </c>
      <c r="DK1899">
        <v>9606</v>
      </c>
      <c r="DL1899" s="34" t="str">
        <f>HYPERLINK("http://www.uniprot.org/uniprot/Q8IUK5", "Q8IUK5")</f>
        <v>Q8IUK5</v>
      </c>
      <c r="DM1899" t="s">
        <v>36453</v>
      </c>
      <c r="DN1899" t="s">
        <v>13772</v>
      </c>
      <c r="DO1899" t="s">
        <v>36454</v>
      </c>
      <c r="DP1899" t="s">
        <v>13780</v>
      </c>
      <c r="DQ1899" t="s">
        <v>13772</v>
      </c>
      <c r="DR1899" t="s">
        <v>13772</v>
      </c>
      <c r="DS1899" t="s">
        <v>13855</v>
      </c>
      <c r="DT1899" t="s">
        <v>13772</v>
      </c>
      <c r="DU1899" t="s">
        <v>13772</v>
      </c>
      <c r="DV1899" t="s">
        <v>13858</v>
      </c>
      <c r="DW1899" t="s">
        <v>13772</v>
      </c>
      <c r="DX1899" t="s">
        <v>36455</v>
      </c>
      <c r="DY1899" t="s">
        <v>36456</v>
      </c>
      <c r="DZ1899" t="s">
        <v>13772</v>
      </c>
      <c r="EA1899" t="s">
        <v>13772</v>
      </c>
      <c r="EB1899" t="s">
        <v>13772</v>
      </c>
    </row>
    <row r="1900" spans="1:132" hidden="1">
      <c r="A1900">
        <v>2404</v>
      </c>
      <c r="B1900">
        <v>1</v>
      </c>
      <c r="C1900" t="s">
        <v>5600</v>
      </c>
      <c r="D1900" t="s">
        <v>5601</v>
      </c>
      <c r="E1900" t="s">
        <v>73</v>
      </c>
      <c r="F1900" t="s">
        <v>73</v>
      </c>
      <c r="G1900" t="s">
        <v>73</v>
      </c>
      <c r="H1900">
        <v>10.9</v>
      </c>
      <c r="I1900">
        <v>422</v>
      </c>
      <c r="J1900">
        <v>47463</v>
      </c>
      <c r="K1900" t="s">
        <v>5602</v>
      </c>
      <c r="L1900">
        <f t="shared" si="118"/>
        <v>6</v>
      </c>
      <c r="N1900">
        <v>6</v>
      </c>
      <c r="O1900">
        <v>6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0</v>
      </c>
      <c r="AA1900">
        <v>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2</v>
      </c>
      <c r="AS1900">
        <v>0</v>
      </c>
      <c r="AT1900">
        <v>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2</v>
      </c>
      <c r="BL1900" s="2">
        <v>0</v>
      </c>
      <c r="BM1900" s="2">
        <v>4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f t="shared" si="121"/>
        <v>6</v>
      </c>
      <c r="BW1900" s="16">
        <f t="shared" si="119"/>
        <v>0.31578947368421051</v>
      </c>
      <c r="BX1900" s="16">
        <f>COUNTIF($BC$6:BU1900, "=0") / COUNTIF($BC$6:BU1900, "&gt;-1")</f>
        <v>0.46126926815720037</v>
      </c>
      <c r="BY1900" s="18">
        <f>SUM($BC$6:BU1900) / $BY$4</f>
        <v>0.99451361213857847</v>
      </c>
      <c r="BZ1900" s="14">
        <f t="shared" si="120"/>
        <v>17</v>
      </c>
      <c r="CA1900" t="s">
        <v>5832</v>
      </c>
      <c r="CZ1900" t="s">
        <v>13727</v>
      </c>
      <c r="DA1900" t="s">
        <v>5904</v>
      </c>
      <c r="DB1900">
        <v>856.7</v>
      </c>
      <c r="DC1900" t="s">
        <v>36610</v>
      </c>
      <c r="DD1900" t="s">
        <v>36611</v>
      </c>
      <c r="DE1900" t="s">
        <v>36612</v>
      </c>
      <c r="DF1900" t="s">
        <v>36613</v>
      </c>
      <c r="DG1900" t="s">
        <v>36614</v>
      </c>
      <c r="DH1900" t="str">
        <f>"PSMD11"</f>
        <v>PSMD11</v>
      </c>
      <c r="DI1900" t="s">
        <v>13772</v>
      </c>
      <c r="DJ1900" t="s">
        <v>13777</v>
      </c>
      <c r="DK1900">
        <v>9606</v>
      </c>
      <c r="DL1900" s="34" t="str">
        <f>HYPERLINK("http://www.uniprot.org/uniprot/O00231", "O00231")</f>
        <v>O00231</v>
      </c>
      <c r="DM1900" t="s">
        <v>36615</v>
      </c>
      <c r="DN1900" t="s">
        <v>13772</v>
      </c>
      <c r="DO1900" t="s">
        <v>14204</v>
      </c>
      <c r="DP1900" t="s">
        <v>13841</v>
      </c>
      <c r="DQ1900" t="s">
        <v>13772</v>
      </c>
      <c r="DR1900" t="s">
        <v>13772</v>
      </c>
      <c r="DS1900" t="s">
        <v>13772</v>
      </c>
      <c r="DT1900" t="s">
        <v>13772</v>
      </c>
      <c r="DU1900" t="s">
        <v>13772</v>
      </c>
      <c r="DV1900" t="s">
        <v>13991</v>
      </c>
      <c r="DW1900" t="s">
        <v>13812</v>
      </c>
      <c r="DX1900" t="s">
        <v>36616</v>
      </c>
      <c r="DY1900" t="s">
        <v>36617</v>
      </c>
      <c r="DZ1900" t="s">
        <v>16532</v>
      </c>
      <c r="EA1900" t="s">
        <v>13772</v>
      </c>
      <c r="EB1900" t="s">
        <v>14149</v>
      </c>
    </row>
    <row r="1901" spans="1:132" hidden="1">
      <c r="A1901">
        <v>2008</v>
      </c>
      <c r="B1901">
        <v>1</v>
      </c>
      <c r="C1901" t="s">
        <v>4723</v>
      </c>
      <c r="D1901" t="s">
        <v>73</v>
      </c>
      <c r="E1901" t="s">
        <v>73</v>
      </c>
      <c r="F1901" t="s">
        <v>3424</v>
      </c>
      <c r="G1901" t="s">
        <v>73</v>
      </c>
      <c r="H1901">
        <v>14.3</v>
      </c>
      <c r="I1901">
        <v>851</v>
      </c>
      <c r="J1901">
        <v>93645</v>
      </c>
      <c r="K1901" t="s">
        <v>4724</v>
      </c>
      <c r="L1901">
        <f t="shared" si="118"/>
        <v>95</v>
      </c>
      <c r="N1901">
        <v>95</v>
      </c>
      <c r="O1901">
        <v>1</v>
      </c>
      <c r="P1901">
        <v>1.0999999999999999E-2</v>
      </c>
      <c r="Q1901">
        <v>1</v>
      </c>
      <c r="R1901">
        <v>8</v>
      </c>
      <c r="S1901">
        <v>2</v>
      </c>
      <c r="T1901">
        <v>2</v>
      </c>
      <c r="U1901">
        <v>4</v>
      </c>
      <c r="V1901">
        <v>2</v>
      </c>
      <c r="W1901">
        <v>1</v>
      </c>
      <c r="X1901">
        <v>3</v>
      </c>
      <c r="Y1901">
        <v>14</v>
      </c>
      <c r="Z1901">
        <v>0</v>
      </c>
      <c r="AA1901">
        <v>20</v>
      </c>
      <c r="AB1901">
        <v>21</v>
      </c>
      <c r="AC1901">
        <v>5</v>
      </c>
      <c r="AD1901">
        <v>1</v>
      </c>
      <c r="AE1901">
        <v>3</v>
      </c>
      <c r="AF1901">
        <v>3</v>
      </c>
      <c r="AG1901">
        <v>3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 s="2">
        <v>0.04</v>
      </c>
      <c r="BD1901" s="2">
        <v>0.27100000000000002</v>
      </c>
      <c r="BE1901" s="2">
        <v>6.4000000000000001E-2</v>
      </c>
      <c r="BF1901" s="2">
        <v>6.2E-2</v>
      </c>
      <c r="BG1901" s="2">
        <v>0.122</v>
      </c>
      <c r="BH1901" s="2">
        <v>6.2E-2</v>
      </c>
      <c r="BI1901" s="2">
        <v>0.04</v>
      </c>
      <c r="BJ1901" s="2">
        <v>0.312</v>
      </c>
      <c r="BK1901" s="2">
        <v>0.42299999999999999</v>
      </c>
      <c r="BL1901" s="2">
        <v>0</v>
      </c>
      <c r="BM1901" s="2">
        <v>0.84899999999999998</v>
      </c>
      <c r="BN1901" s="2">
        <v>2.4820000000000002</v>
      </c>
      <c r="BO1901" s="2">
        <v>0.38600000000000001</v>
      </c>
      <c r="BP1901" s="2">
        <v>3.5999999999999997E-2</v>
      </c>
      <c r="BQ1901" s="2">
        <v>0.1</v>
      </c>
      <c r="BR1901" s="2">
        <v>0.31</v>
      </c>
      <c r="BS1901" s="2">
        <v>0.111</v>
      </c>
      <c r="BT1901" s="2">
        <v>0</v>
      </c>
      <c r="BU1901" s="2">
        <v>7.0999999999999994E-2</v>
      </c>
      <c r="BV1901" s="2">
        <f t="shared" si="121"/>
        <v>5.7409999999999988</v>
      </c>
      <c r="BW1901" s="16">
        <f t="shared" si="119"/>
        <v>0.30215789473684201</v>
      </c>
      <c r="BX1901" s="16">
        <f>COUNTIF($BC$6:BU1901, "=0") / COUNTIF($BC$6:BU1901, "&gt;-1")</f>
        <v>0.46108150122140795</v>
      </c>
      <c r="BY1901" s="18">
        <f>SUM($BC$6:BU1901) / $BY$4</f>
        <v>0.9945382044978418</v>
      </c>
      <c r="BZ1901" s="14">
        <f t="shared" si="120"/>
        <v>2</v>
      </c>
      <c r="CA1901" t="s">
        <v>5832</v>
      </c>
      <c r="CZ1901" t="s">
        <v>12443</v>
      </c>
      <c r="DA1901" t="s">
        <v>5904</v>
      </c>
      <c r="DB1901">
        <v>949.5</v>
      </c>
      <c r="DC1901" t="s">
        <v>33017</v>
      </c>
      <c r="DD1901" t="s">
        <v>33018</v>
      </c>
      <c r="DE1901" t="s">
        <v>33019</v>
      </c>
      <c r="DF1901" t="s">
        <v>33020</v>
      </c>
      <c r="DG1901" t="s">
        <v>33021</v>
      </c>
      <c r="DH1901" t="str">
        <f>"TUBB3"</f>
        <v>TUBB3</v>
      </c>
      <c r="DI1901" t="s">
        <v>33022</v>
      </c>
      <c r="DJ1901" t="s">
        <v>13777</v>
      </c>
      <c r="DK1901">
        <v>9606</v>
      </c>
      <c r="DL1901" s="34" t="str">
        <f>HYPERLINK("http://www.uniprot.org/uniprot/Q13509", "Q13509")</f>
        <v>Q13509</v>
      </c>
      <c r="DM1901" t="s">
        <v>33023</v>
      </c>
      <c r="DN1901" t="s">
        <v>13772</v>
      </c>
      <c r="DO1901" t="s">
        <v>26098</v>
      </c>
      <c r="DP1901" t="s">
        <v>13841</v>
      </c>
      <c r="DQ1901" t="s">
        <v>13772</v>
      </c>
      <c r="DR1901" t="s">
        <v>13807</v>
      </c>
      <c r="DS1901" t="s">
        <v>13772</v>
      </c>
      <c r="DT1901" t="s">
        <v>14216</v>
      </c>
      <c r="DU1901" t="s">
        <v>13772</v>
      </c>
      <c r="DV1901" t="s">
        <v>33024</v>
      </c>
      <c r="DW1901" t="s">
        <v>13812</v>
      </c>
      <c r="DX1901" t="s">
        <v>33025</v>
      </c>
      <c r="DY1901" t="s">
        <v>33026</v>
      </c>
      <c r="DZ1901" t="s">
        <v>33027</v>
      </c>
      <c r="EA1901" t="s">
        <v>13772</v>
      </c>
      <c r="EB1901" t="s">
        <v>24735</v>
      </c>
    </row>
    <row r="1902" spans="1:132" hidden="1">
      <c r="A1902">
        <v>1357</v>
      </c>
      <c r="B1902">
        <v>1</v>
      </c>
      <c r="C1902" t="s">
        <v>3244</v>
      </c>
      <c r="D1902" t="s">
        <v>73</v>
      </c>
      <c r="E1902" t="s">
        <v>73</v>
      </c>
      <c r="F1902" t="s">
        <v>3245</v>
      </c>
      <c r="G1902" t="s">
        <v>73</v>
      </c>
      <c r="H1902">
        <v>41.8</v>
      </c>
      <c r="I1902">
        <v>352</v>
      </c>
      <c r="J1902">
        <v>38134</v>
      </c>
      <c r="K1902" t="s">
        <v>3246</v>
      </c>
      <c r="L1902">
        <f t="shared" si="118"/>
        <v>49</v>
      </c>
      <c r="N1902">
        <v>49</v>
      </c>
      <c r="O1902">
        <v>4</v>
      </c>
      <c r="P1902">
        <v>8.2000000000000003E-2</v>
      </c>
      <c r="Q1902">
        <v>1</v>
      </c>
      <c r="R1902">
        <v>2</v>
      </c>
      <c r="S1902">
        <v>1</v>
      </c>
      <c r="T1902">
        <v>1</v>
      </c>
      <c r="U1902">
        <v>1</v>
      </c>
      <c r="V1902">
        <v>2</v>
      </c>
      <c r="W1902">
        <v>1</v>
      </c>
      <c r="X1902">
        <v>2</v>
      </c>
      <c r="Y1902">
        <v>8</v>
      </c>
      <c r="Z1902">
        <v>1</v>
      </c>
      <c r="AA1902">
        <v>10</v>
      </c>
      <c r="AB1902">
        <v>3</v>
      </c>
      <c r="AC1902">
        <v>2</v>
      </c>
      <c r="AD1902">
        <v>0</v>
      </c>
      <c r="AE1902">
        <v>7</v>
      </c>
      <c r="AF1902">
        <v>2</v>
      </c>
      <c r="AG1902">
        <v>2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 s="2">
        <v>3.1E-2</v>
      </c>
      <c r="BD1902" s="2">
        <v>6.2E-2</v>
      </c>
      <c r="BE1902" s="2">
        <v>3.1E-2</v>
      </c>
      <c r="BF1902" s="2">
        <v>3.1E-2</v>
      </c>
      <c r="BG1902" s="2">
        <v>3.1E-2</v>
      </c>
      <c r="BH1902" s="2">
        <v>6.2E-2</v>
      </c>
      <c r="BI1902" s="2">
        <v>3.1E-2</v>
      </c>
      <c r="BJ1902" s="2">
        <v>6.2E-2</v>
      </c>
      <c r="BK1902" s="2">
        <v>1.3540000000000001</v>
      </c>
      <c r="BL1902" s="2">
        <v>3.1E-2</v>
      </c>
      <c r="BM1902" s="2">
        <v>3.2559999999999998</v>
      </c>
      <c r="BN1902" s="2">
        <v>0.1</v>
      </c>
      <c r="BO1902" s="2">
        <v>7.0000000000000007E-2</v>
      </c>
      <c r="BP1902" s="2">
        <v>0</v>
      </c>
      <c r="BQ1902" s="2">
        <v>0.248</v>
      </c>
      <c r="BR1902" s="2">
        <v>6.2E-2</v>
      </c>
      <c r="BS1902" s="2">
        <v>6.2E-2</v>
      </c>
      <c r="BT1902" s="2">
        <v>0</v>
      </c>
      <c r="BU1902" s="2">
        <v>0.108</v>
      </c>
      <c r="BV1902" s="2">
        <f t="shared" si="121"/>
        <v>5.6319999999999997</v>
      </c>
      <c r="BW1902" s="16">
        <f t="shared" si="119"/>
        <v>0.29642105263157892</v>
      </c>
      <c r="BX1902" s="16">
        <f>COUNTIF($BC$6:BU1902, "=0") / COUNTIF($BC$6:BU1902, "&gt;-1")</f>
        <v>0.46089393224759317</v>
      </c>
      <c r="BY1902" s="18">
        <f>SUM($BC$6:BU1902) / $BY$4</f>
        <v>0.99456232994068616</v>
      </c>
      <c r="BZ1902" s="14">
        <f t="shared" si="120"/>
        <v>2</v>
      </c>
      <c r="CA1902" t="s">
        <v>5832</v>
      </c>
      <c r="CZ1902" t="s">
        <v>10267</v>
      </c>
      <c r="DA1902" t="s">
        <v>5904</v>
      </c>
      <c r="DB1902">
        <v>521.20000000000005</v>
      </c>
      <c r="DC1902" t="s">
        <v>26901</v>
      </c>
      <c r="DD1902" t="s">
        <v>26902</v>
      </c>
      <c r="DE1902" t="s">
        <v>26903</v>
      </c>
      <c r="DF1902" t="s">
        <v>26904</v>
      </c>
      <c r="DG1902" t="s">
        <v>26905</v>
      </c>
      <c r="DH1902" t="str">
        <f>"EEF1A1"</f>
        <v>EEF1A1</v>
      </c>
      <c r="DI1902" t="s">
        <v>26906</v>
      </c>
      <c r="DJ1902" t="s">
        <v>13777</v>
      </c>
      <c r="DK1902">
        <v>9606</v>
      </c>
      <c r="DL1902" s="34" t="str">
        <f>HYPERLINK("http://www.uniprot.org/uniprot/P68104", "P68104")</f>
        <v>P68104</v>
      </c>
      <c r="DM1902" t="s">
        <v>26907</v>
      </c>
      <c r="DN1902" t="s">
        <v>17814</v>
      </c>
      <c r="DO1902" t="s">
        <v>14968</v>
      </c>
      <c r="DP1902" t="s">
        <v>13841</v>
      </c>
      <c r="DQ1902" t="s">
        <v>13772</v>
      </c>
      <c r="DR1902" t="s">
        <v>13772</v>
      </c>
      <c r="DS1902" t="s">
        <v>13772</v>
      </c>
      <c r="DT1902" t="s">
        <v>14216</v>
      </c>
      <c r="DU1902" t="s">
        <v>19001</v>
      </c>
      <c r="DV1902" t="s">
        <v>23880</v>
      </c>
      <c r="DW1902" t="s">
        <v>13812</v>
      </c>
      <c r="DX1902" t="s">
        <v>26908</v>
      </c>
      <c r="DY1902" t="s">
        <v>26909</v>
      </c>
      <c r="DZ1902" t="s">
        <v>26910</v>
      </c>
      <c r="EA1902" t="s">
        <v>13772</v>
      </c>
      <c r="EB1902" t="s">
        <v>26911</v>
      </c>
    </row>
    <row r="1903" spans="1:132" hidden="1">
      <c r="A1903">
        <v>1186</v>
      </c>
      <c r="B1903">
        <v>1</v>
      </c>
      <c r="C1903" t="s">
        <v>2847</v>
      </c>
      <c r="D1903" t="s">
        <v>73</v>
      </c>
      <c r="E1903" t="s">
        <v>73</v>
      </c>
      <c r="F1903" t="s">
        <v>2848</v>
      </c>
      <c r="G1903" t="s">
        <v>73</v>
      </c>
      <c r="H1903">
        <v>10.199999999999999</v>
      </c>
      <c r="I1903">
        <v>491</v>
      </c>
      <c r="J1903">
        <v>54395</v>
      </c>
      <c r="K1903" t="s">
        <v>2849</v>
      </c>
      <c r="L1903">
        <f t="shared" si="118"/>
        <v>10</v>
      </c>
      <c r="N1903">
        <v>10</v>
      </c>
      <c r="O1903">
        <v>5</v>
      </c>
      <c r="P1903">
        <v>0.5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2</v>
      </c>
      <c r="AC1903">
        <v>0</v>
      </c>
      <c r="AD1903">
        <v>0</v>
      </c>
      <c r="AE1903">
        <v>2</v>
      </c>
      <c r="AF1903">
        <v>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0</v>
      </c>
      <c r="BB1903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2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1.2</v>
      </c>
      <c r="BO1903" s="2">
        <v>0</v>
      </c>
      <c r="BP1903" s="2">
        <v>0</v>
      </c>
      <c r="BQ1903" s="2">
        <v>1.143</v>
      </c>
      <c r="BR1903" s="2">
        <v>1.167</v>
      </c>
      <c r="BS1903" s="2">
        <v>0</v>
      </c>
      <c r="BT1903" s="2">
        <v>0</v>
      </c>
      <c r="BU1903" s="2">
        <v>0</v>
      </c>
      <c r="BV1903" s="2">
        <f t="shared" si="121"/>
        <v>5.51</v>
      </c>
      <c r="BW1903" s="16">
        <f t="shared" si="119"/>
        <v>0.28999999999999998</v>
      </c>
      <c r="BX1903" s="16">
        <f>COUNTIF($BC$6:BU1903, "=0") / COUNTIF($BC$6:BU1903, "&gt;-1")</f>
        <v>0.46106705118961788</v>
      </c>
      <c r="BY1903" s="18">
        <f>SUM($BC$6:BU1903) / $BY$4</f>
        <v>0.99458593277983276</v>
      </c>
      <c r="BZ1903" s="14">
        <f t="shared" si="120"/>
        <v>15</v>
      </c>
      <c r="CA1903" t="s">
        <v>5832</v>
      </c>
      <c r="CZ1903" t="s">
        <v>9677</v>
      </c>
      <c r="DA1903" t="s">
        <v>5904</v>
      </c>
      <c r="DB1903">
        <v>770.8</v>
      </c>
      <c r="DC1903" t="s">
        <v>25211</v>
      </c>
      <c r="DD1903" t="s">
        <v>25212</v>
      </c>
      <c r="DE1903" t="s">
        <v>25213</v>
      </c>
      <c r="DF1903" t="s">
        <v>25214</v>
      </c>
      <c r="DG1903" t="s">
        <v>25215</v>
      </c>
      <c r="DH1903" t="str">
        <f>"C1RL"</f>
        <v>C1RL</v>
      </c>
      <c r="DI1903" t="s">
        <v>25216</v>
      </c>
      <c r="DJ1903" t="s">
        <v>13777</v>
      </c>
      <c r="DK1903">
        <v>9606</v>
      </c>
      <c r="DL1903" s="34" t="str">
        <f>HYPERLINK("http://www.uniprot.org/uniprot/Q9NZP8", "Q9NZP8")</f>
        <v>Q9NZP8</v>
      </c>
      <c r="DM1903" t="s">
        <v>25217</v>
      </c>
      <c r="DN1903" t="s">
        <v>20457</v>
      </c>
      <c r="DO1903" t="s">
        <v>14321</v>
      </c>
      <c r="DP1903" t="s">
        <v>13793</v>
      </c>
      <c r="DQ1903" t="s">
        <v>13772</v>
      </c>
      <c r="DR1903" t="s">
        <v>13772</v>
      </c>
      <c r="DS1903" t="s">
        <v>13808</v>
      </c>
      <c r="DT1903" t="s">
        <v>13772</v>
      </c>
      <c r="DU1903" t="s">
        <v>15176</v>
      </c>
      <c r="DV1903" t="s">
        <v>13796</v>
      </c>
      <c r="DW1903" t="s">
        <v>13772</v>
      </c>
      <c r="DX1903" t="s">
        <v>25218</v>
      </c>
      <c r="DY1903" t="s">
        <v>15733</v>
      </c>
      <c r="DZ1903" t="s">
        <v>25219</v>
      </c>
      <c r="EA1903" t="s">
        <v>13772</v>
      </c>
      <c r="EB1903" t="s">
        <v>13772</v>
      </c>
    </row>
    <row r="1904" spans="1:132" hidden="1">
      <c r="A1904">
        <v>642</v>
      </c>
      <c r="B1904">
        <v>1</v>
      </c>
      <c r="C1904" t="s">
        <v>1587</v>
      </c>
      <c r="D1904" t="s">
        <v>73</v>
      </c>
      <c r="E1904" t="s">
        <v>73</v>
      </c>
      <c r="F1904" t="s">
        <v>1496</v>
      </c>
      <c r="G1904" t="s">
        <v>73</v>
      </c>
      <c r="H1904">
        <v>12.4</v>
      </c>
      <c r="I1904">
        <v>466</v>
      </c>
      <c r="J1904">
        <v>53664</v>
      </c>
      <c r="K1904" t="s">
        <v>1588</v>
      </c>
      <c r="L1904">
        <f t="shared" si="118"/>
        <v>9</v>
      </c>
      <c r="N1904">
        <v>9</v>
      </c>
      <c r="O1904">
        <v>5</v>
      </c>
      <c r="P1904">
        <v>0.55600000000000005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3</v>
      </c>
      <c r="AG1904">
        <v>1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3</v>
      </c>
      <c r="AZ1904">
        <v>1</v>
      </c>
      <c r="BA1904">
        <v>0</v>
      </c>
      <c r="BB1904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1</v>
      </c>
      <c r="BN1904" s="2">
        <v>0</v>
      </c>
      <c r="BO1904" s="2">
        <v>0</v>
      </c>
      <c r="BP1904" s="2">
        <v>0.5</v>
      </c>
      <c r="BQ1904" s="2">
        <v>0</v>
      </c>
      <c r="BR1904" s="2">
        <v>3</v>
      </c>
      <c r="BS1904" s="2">
        <v>1</v>
      </c>
      <c r="BT1904" s="2">
        <v>0</v>
      </c>
      <c r="BU1904" s="2">
        <v>0</v>
      </c>
      <c r="BV1904" s="2">
        <f t="shared" si="121"/>
        <v>5.5</v>
      </c>
      <c r="BW1904" s="16">
        <f t="shared" si="119"/>
        <v>0.28947368421052633</v>
      </c>
      <c r="BX1904" s="16">
        <f>COUNTIF($BC$6:BU1904, "=0") / COUNTIF($BC$6:BU1904, "&gt;-1")</f>
        <v>0.46123998780521602</v>
      </c>
      <c r="BY1904" s="18">
        <f>SUM($BC$6:BU1904) / $BY$4</f>
        <v>0.99460949278261057</v>
      </c>
      <c r="BZ1904" s="14">
        <f t="shared" si="120"/>
        <v>15</v>
      </c>
      <c r="CA1904" t="s">
        <v>5832</v>
      </c>
      <c r="CZ1904" t="s">
        <v>7910</v>
      </c>
      <c r="DA1904" t="s">
        <v>5904</v>
      </c>
      <c r="DB1904">
        <v>760</v>
      </c>
      <c r="DC1904" t="s">
        <v>20129</v>
      </c>
      <c r="DD1904" t="s">
        <v>20130</v>
      </c>
      <c r="DE1904" t="s">
        <v>20131</v>
      </c>
      <c r="DF1904" t="s">
        <v>20132</v>
      </c>
      <c r="DG1904" t="s">
        <v>20133</v>
      </c>
      <c r="DH1904" t="str">
        <f>"MMP1"</f>
        <v>MMP1</v>
      </c>
      <c r="DI1904" t="s">
        <v>20134</v>
      </c>
      <c r="DJ1904" t="s">
        <v>13777</v>
      </c>
      <c r="DK1904">
        <v>9606</v>
      </c>
      <c r="DL1904" s="34" t="str">
        <f>HYPERLINK("http://www.uniprot.org/uniprot/P03956", "P03956")</f>
        <v>P03956</v>
      </c>
      <c r="DM1904" t="s">
        <v>20135</v>
      </c>
      <c r="DN1904" t="s">
        <v>20136</v>
      </c>
      <c r="DO1904" t="s">
        <v>13869</v>
      </c>
      <c r="DP1904" t="s">
        <v>13793</v>
      </c>
      <c r="DQ1904" t="s">
        <v>13772</v>
      </c>
      <c r="DR1904" t="s">
        <v>13772</v>
      </c>
      <c r="DS1904" t="s">
        <v>14404</v>
      </c>
      <c r="DT1904" t="s">
        <v>14628</v>
      </c>
      <c r="DU1904" t="s">
        <v>15139</v>
      </c>
      <c r="DV1904" t="s">
        <v>20137</v>
      </c>
      <c r="DW1904" t="s">
        <v>13812</v>
      </c>
      <c r="DX1904" t="s">
        <v>20138</v>
      </c>
      <c r="DY1904" t="s">
        <v>19065</v>
      </c>
      <c r="DZ1904" t="s">
        <v>19758</v>
      </c>
      <c r="EA1904" t="s">
        <v>13772</v>
      </c>
      <c r="EB1904" t="s">
        <v>20139</v>
      </c>
    </row>
    <row r="1905" spans="1:132" hidden="1">
      <c r="A1905">
        <v>1473</v>
      </c>
      <c r="B1905">
        <v>1</v>
      </c>
      <c r="C1905" t="s">
        <v>3503</v>
      </c>
      <c r="D1905" t="s">
        <v>3504</v>
      </c>
      <c r="E1905" t="s">
        <v>73</v>
      </c>
      <c r="F1905" t="s">
        <v>3505</v>
      </c>
      <c r="G1905" t="s">
        <v>73</v>
      </c>
      <c r="H1905">
        <v>7.4</v>
      </c>
      <c r="I1905">
        <v>204</v>
      </c>
      <c r="J1905">
        <v>21666</v>
      </c>
      <c r="K1905" t="s">
        <v>3506</v>
      </c>
      <c r="L1905">
        <f t="shared" si="118"/>
        <v>12</v>
      </c>
      <c r="N1905">
        <v>12</v>
      </c>
      <c r="O1905">
        <v>5</v>
      </c>
      <c r="P1905">
        <v>0.41699999999999998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4</v>
      </c>
      <c r="AB1905">
        <v>1</v>
      </c>
      <c r="AC1905">
        <v>1</v>
      </c>
      <c r="AD1905">
        <v>0</v>
      </c>
      <c r="AE1905">
        <v>0</v>
      </c>
      <c r="AF1905">
        <v>2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3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3.3330000000000002</v>
      </c>
      <c r="BN1905" s="2">
        <v>0</v>
      </c>
      <c r="BO1905" s="2">
        <v>1</v>
      </c>
      <c r="BP1905" s="2">
        <v>0</v>
      </c>
      <c r="BQ1905" s="2">
        <v>0</v>
      </c>
      <c r="BR1905" s="2">
        <v>1.143</v>
      </c>
      <c r="BS1905" s="2">
        <v>0</v>
      </c>
      <c r="BT1905" s="2">
        <v>0</v>
      </c>
      <c r="BU1905" s="2">
        <v>0</v>
      </c>
      <c r="BV1905" s="2">
        <f t="shared" si="121"/>
        <v>5.476</v>
      </c>
      <c r="BW1905" s="16">
        <f t="shared" si="119"/>
        <v>0.28821052631578947</v>
      </c>
      <c r="BX1905" s="16">
        <f>COUNTIF($BC$6:BU1905, "=0") / COUNTIF($BC$6:BU1905, "&gt;-1")</f>
        <v>0.46144044321329641</v>
      </c>
      <c r="BY1905" s="18">
        <f>SUM($BC$6:BU1905) / $BY$4</f>
        <v>0.9946329499781037</v>
      </c>
      <c r="BZ1905" s="14">
        <f t="shared" si="120"/>
        <v>16</v>
      </c>
      <c r="CA1905" t="s">
        <v>5832</v>
      </c>
      <c r="CZ1905" t="s">
        <v>10640</v>
      </c>
      <c r="DA1905" t="s">
        <v>5904</v>
      </c>
      <c r="DB1905">
        <v>133.69999999999999</v>
      </c>
      <c r="DC1905" t="s">
        <v>27947</v>
      </c>
      <c r="DD1905" t="s">
        <v>27948</v>
      </c>
      <c r="DE1905" t="s">
        <v>27949</v>
      </c>
      <c r="DF1905" t="s">
        <v>27950</v>
      </c>
      <c r="DG1905" t="s">
        <v>27951</v>
      </c>
      <c r="DH1905" t="str">
        <f>"HMGN3"</f>
        <v>HMGN3</v>
      </c>
      <c r="DI1905" t="s">
        <v>27952</v>
      </c>
      <c r="DJ1905" t="s">
        <v>13777</v>
      </c>
      <c r="DK1905">
        <v>9606</v>
      </c>
      <c r="DL1905" s="34" t="str">
        <f>HYPERLINK("http://www.uniprot.org/uniprot/Q15651", "Q15651")</f>
        <v>Q15651</v>
      </c>
      <c r="DM1905" t="s">
        <v>27953</v>
      </c>
      <c r="DN1905" t="s">
        <v>13772</v>
      </c>
      <c r="DO1905" t="s">
        <v>14825</v>
      </c>
      <c r="DP1905" t="s">
        <v>13841</v>
      </c>
      <c r="DQ1905" t="s">
        <v>13772</v>
      </c>
      <c r="DR1905" t="s">
        <v>13772</v>
      </c>
      <c r="DS1905" t="s">
        <v>13772</v>
      </c>
      <c r="DT1905" t="s">
        <v>13772</v>
      </c>
      <c r="DU1905" t="s">
        <v>27954</v>
      </c>
      <c r="DV1905" t="s">
        <v>13782</v>
      </c>
      <c r="DW1905" t="s">
        <v>13772</v>
      </c>
      <c r="DX1905" t="s">
        <v>27955</v>
      </c>
      <c r="DY1905" t="s">
        <v>27956</v>
      </c>
      <c r="DZ1905" t="s">
        <v>27957</v>
      </c>
      <c r="EA1905" t="s">
        <v>13772</v>
      </c>
      <c r="EB1905" t="s">
        <v>13772</v>
      </c>
    </row>
    <row r="1906" spans="1:132" hidden="1">
      <c r="A1906">
        <v>1641</v>
      </c>
      <c r="B1906">
        <v>1</v>
      </c>
      <c r="C1906" t="s">
        <v>3891</v>
      </c>
      <c r="D1906" t="s">
        <v>73</v>
      </c>
      <c r="E1906" t="s">
        <v>73</v>
      </c>
      <c r="F1906" t="s">
        <v>2323</v>
      </c>
      <c r="G1906" t="s">
        <v>73</v>
      </c>
      <c r="H1906">
        <v>23.4</v>
      </c>
      <c r="I1906">
        <v>449</v>
      </c>
      <c r="J1906">
        <v>49249</v>
      </c>
      <c r="K1906" t="s">
        <v>3892</v>
      </c>
      <c r="L1906">
        <f t="shared" si="118"/>
        <v>17</v>
      </c>
      <c r="N1906">
        <v>17</v>
      </c>
      <c r="O1906">
        <v>2</v>
      </c>
      <c r="P1906">
        <v>0.11799999999999999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3</v>
      </c>
      <c r="Z1906">
        <v>0</v>
      </c>
      <c r="AA1906">
        <v>5</v>
      </c>
      <c r="AB1906">
        <v>4</v>
      </c>
      <c r="AC1906">
        <v>0</v>
      </c>
      <c r="AD1906">
        <v>0</v>
      </c>
      <c r="AE1906">
        <v>2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 s="2">
        <v>0</v>
      </c>
      <c r="BD1906" s="2">
        <v>0.33300000000000002</v>
      </c>
      <c r="BE1906" s="2">
        <v>0</v>
      </c>
      <c r="BF1906" s="2">
        <v>1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2.5</v>
      </c>
      <c r="BO1906" s="2">
        <v>0</v>
      </c>
      <c r="BP1906" s="2">
        <v>0</v>
      </c>
      <c r="BQ1906" s="2">
        <v>1</v>
      </c>
      <c r="BR1906" s="2">
        <v>0.5</v>
      </c>
      <c r="BS1906" s="2">
        <v>0</v>
      </c>
      <c r="BT1906" s="2">
        <v>0</v>
      </c>
      <c r="BU1906" s="2">
        <v>0</v>
      </c>
      <c r="BV1906" s="2">
        <f t="shared" si="121"/>
        <v>5.3330000000000002</v>
      </c>
      <c r="BW1906" s="16">
        <f t="shared" si="119"/>
        <v>0.28068421052631581</v>
      </c>
      <c r="BX1906" s="16">
        <f>COUNTIF($BC$6:BU1906, "=0") / COUNTIF($BC$6:BU1906, "&gt;-1")</f>
        <v>0.46158531520806223</v>
      </c>
      <c r="BY1906" s="18">
        <f>SUM($BC$6:BU1906) / $BY$4</f>
        <v>0.99465579461352449</v>
      </c>
      <c r="BZ1906" s="14">
        <f t="shared" si="120"/>
        <v>14</v>
      </c>
      <c r="CA1906" t="s">
        <v>5832</v>
      </c>
      <c r="CZ1906" t="s">
        <v>11216</v>
      </c>
      <c r="DA1906" t="s">
        <v>5904</v>
      </c>
      <c r="DB1906">
        <v>924.1</v>
      </c>
      <c r="DC1906" t="s">
        <v>29518</v>
      </c>
      <c r="DD1906" t="s">
        <v>29519</v>
      </c>
      <c r="DE1906" t="s">
        <v>29520</v>
      </c>
      <c r="DF1906" t="s">
        <v>29521</v>
      </c>
      <c r="DG1906" t="s">
        <v>29522</v>
      </c>
      <c r="DH1906" t="str">
        <f>"HNRNPH2"</f>
        <v>HNRNPH2</v>
      </c>
      <c r="DI1906" t="s">
        <v>29523</v>
      </c>
      <c r="DJ1906" t="s">
        <v>13777</v>
      </c>
      <c r="DK1906">
        <v>9606</v>
      </c>
      <c r="DL1906" s="34" t="str">
        <f>HYPERLINK("http://www.uniprot.org/uniprot/P55795", "P55795")</f>
        <v>P55795</v>
      </c>
      <c r="DM1906" t="s">
        <v>29524</v>
      </c>
      <c r="DN1906" t="s">
        <v>13772</v>
      </c>
      <c r="DO1906" t="s">
        <v>14825</v>
      </c>
      <c r="DP1906" t="s">
        <v>13772</v>
      </c>
      <c r="DQ1906" t="s">
        <v>13772</v>
      </c>
      <c r="DR1906" t="s">
        <v>17801</v>
      </c>
      <c r="DS1906" t="s">
        <v>14096</v>
      </c>
      <c r="DT1906" t="s">
        <v>13772</v>
      </c>
      <c r="DU1906" t="s">
        <v>16089</v>
      </c>
      <c r="DV1906" t="s">
        <v>14663</v>
      </c>
      <c r="DW1906" t="s">
        <v>13812</v>
      </c>
      <c r="DX1906" t="s">
        <v>29525</v>
      </c>
      <c r="DY1906" t="s">
        <v>29526</v>
      </c>
      <c r="DZ1906" t="s">
        <v>14235</v>
      </c>
      <c r="EA1906" t="s">
        <v>13772</v>
      </c>
      <c r="EB1906" t="s">
        <v>22927</v>
      </c>
    </row>
    <row r="1907" spans="1:132" hidden="1">
      <c r="A1907">
        <v>2267</v>
      </c>
      <c r="B1907">
        <v>1</v>
      </c>
      <c r="C1907" t="s">
        <v>5297</v>
      </c>
      <c r="D1907" t="s">
        <v>5298</v>
      </c>
      <c r="E1907" t="s">
        <v>73</v>
      </c>
      <c r="F1907" t="s">
        <v>5063</v>
      </c>
      <c r="G1907" t="s">
        <v>73</v>
      </c>
      <c r="H1907">
        <v>15.8</v>
      </c>
      <c r="I1907">
        <v>442</v>
      </c>
      <c r="J1907">
        <v>48328</v>
      </c>
      <c r="K1907" t="s">
        <v>5299</v>
      </c>
      <c r="L1907">
        <f t="shared" si="118"/>
        <v>11</v>
      </c>
      <c r="N1907">
        <v>11</v>
      </c>
      <c r="O1907">
        <v>3</v>
      </c>
      <c r="P1907">
        <v>0.27300000000000002</v>
      </c>
      <c r="Q1907">
        <v>1</v>
      </c>
      <c r="R1907">
        <v>2</v>
      </c>
      <c r="S1907">
        <v>1</v>
      </c>
      <c r="T1907">
        <v>2</v>
      </c>
      <c r="U1907">
        <v>1</v>
      </c>
      <c r="V1907">
        <v>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s="2">
        <v>0</v>
      </c>
      <c r="BD1907" s="2">
        <v>2</v>
      </c>
      <c r="BE1907" s="2">
        <v>0.5</v>
      </c>
      <c r="BF1907" s="2">
        <v>1.25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0.5</v>
      </c>
      <c r="BO1907" s="2">
        <v>1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f t="shared" si="121"/>
        <v>5.25</v>
      </c>
      <c r="BW1907" s="16">
        <f t="shared" si="119"/>
        <v>0.27631578947368424</v>
      </c>
      <c r="BX1907" s="16">
        <f>COUNTIF($BC$6:BU1907, "=0") / COUNTIF($BC$6:BU1907, "&gt;-1")</f>
        <v>0.46173003486634567</v>
      </c>
      <c r="BY1907" s="18">
        <f>SUM($BC$6:BU1907) / $BY$4</f>
        <v>0.99467828370708522</v>
      </c>
      <c r="BZ1907" s="14">
        <f t="shared" si="120"/>
        <v>14</v>
      </c>
      <c r="CA1907" t="s">
        <v>5832</v>
      </c>
      <c r="CZ1907" t="s">
        <v>13304</v>
      </c>
      <c r="DA1907" t="s">
        <v>5904</v>
      </c>
      <c r="DB1907">
        <v>488</v>
      </c>
      <c r="DC1907" t="s">
        <v>35415</v>
      </c>
      <c r="DD1907" t="s">
        <v>35416</v>
      </c>
      <c r="DE1907" t="s">
        <v>35417</v>
      </c>
      <c r="DF1907" t="s">
        <v>35418</v>
      </c>
      <c r="DG1907" t="s">
        <v>35419</v>
      </c>
      <c r="DH1907" t="str">
        <f>"SIRPB1"</f>
        <v>SIRPB1</v>
      </c>
      <c r="DI1907" t="s">
        <v>13772</v>
      </c>
      <c r="DJ1907" t="s">
        <v>13777</v>
      </c>
      <c r="DK1907">
        <v>9606</v>
      </c>
      <c r="DL1907" s="34" t="str">
        <f>HYPERLINK("http://www.uniprot.org/uniprot/O00241", "O00241")</f>
        <v>O00241</v>
      </c>
      <c r="DM1907" t="s">
        <v>35420</v>
      </c>
      <c r="DN1907" t="s">
        <v>13772</v>
      </c>
      <c r="DO1907" t="s">
        <v>13792</v>
      </c>
      <c r="DP1907" t="s">
        <v>13780</v>
      </c>
      <c r="DQ1907" t="s">
        <v>13772</v>
      </c>
      <c r="DR1907" t="s">
        <v>13772</v>
      </c>
      <c r="DS1907" t="s">
        <v>13951</v>
      </c>
      <c r="DT1907" t="s">
        <v>13772</v>
      </c>
      <c r="DU1907" t="s">
        <v>13772</v>
      </c>
      <c r="DV1907" t="s">
        <v>13796</v>
      </c>
      <c r="DW1907" t="s">
        <v>13812</v>
      </c>
      <c r="DX1907" t="s">
        <v>35421</v>
      </c>
      <c r="DY1907" t="s">
        <v>35422</v>
      </c>
      <c r="DZ1907" t="s">
        <v>13772</v>
      </c>
      <c r="EA1907" t="s">
        <v>13772</v>
      </c>
      <c r="EB1907" t="s">
        <v>35423</v>
      </c>
    </row>
    <row r="1908" spans="1:132" hidden="1">
      <c r="A1908">
        <v>272</v>
      </c>
      <c r="B1908">
        <v>1</v>
      </c>
      <c r="C1908" t="s">
        <v>688</v>
      </c>
      <c r="D1908" t="s">
        <v>689</v>
      </c>
      <c r="E1908" t="s">
        <v>73</v>
      </c>
      <c r="F1908" t="s">
        <v>690</v>
      </c>
      <c r="G1908" t="s">
        <v>73</v>
      </c>
      <c r="H1908">
        <v>24.9</v>
      </c>
      <c r="I1908">
        <v>285</v>
      </c>
      <c r="J1908">
        <v>31321</v>
      </c>
      <c r="K1908" t="s">
        <v>691</v>
      </c>
      <c r="L1908">
        <f t="shared" si="118"/>
        <v>10</v>
      </c>
      <c r="N1908">
        <v>10</v>
      </c>
      <c r="O1908">
        <v>5</v>
      </c>
      <c r="P1908">
        <v>0.5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4</v>
      </c>
      <c r="W1908">
        <v>0</v>
      </c>
      <c r="X1908">
        <v>3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</v>
      </c>
      <c r="AP1908">
        <v>0</v>
      </c>
      <c r="AQ1908">
        <v>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3.1110000000000002</v>
      </c>
      <c r="BI1908" s="2">
        <v>0</v>
      </c>
      <c r="BJ1908" s="2">
        <v>2.0910000000000002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f t="shared" si="121"/>
        <v>5.202</v>
      </c>
      <c r="BW1908" s="16">
        <f t="shared" si="119"/>
        <v>0.27378947368421053</v>
      </c>
      <c r="BX1908" s="16">
        <f>COUNTIF($BC$6:BU1908, "=0") / COUNTIF($BC$6:BU1908, "&gt;-1")</f>
        <v>0.46195757391376496</v>
      </c>
      <c r="BY1908" s="18">
        <f>SUM($BC$6:BU1908) / $BY$4</f>
        <v>0.99470056718607613</v>
      </c>
      <c r="BZ1908" s="14">
        <f t="shared" si="120"/>
        <v>17</v>
      </c>
      <c r="CA1908" t="s">
        <v>5832</v>
      </c>
      <c r="CZ1908" t="s">
        <v>6642</v>
      </c>
      <c r="DA1908" t="s">
        <v>5904</v>
      </c>
      <c r="DB1908">
        <v>557.79999999999995</v>
      </c>
      <c r="DC1908" t="s">
        <v>16249</v>
      </c>
      <c r="DD1908" t="s">
        <v>16250</v>
      </c>
      <c r="DE1908" t="s">
        <v>16251</v>
      </c>
      <c r="DF1908" t="s">
        <v>16252</v>
      </c>
      <c r="DG1908" t="s">
        <v>16253</v>
      </c>
      <c r="DH1908" t="str">
        <f>"DDAH1"</f>
        <v>DDAH1</v>
      </c>
      <c r="DI1908" t="s">
        <v>16254</v>
      </c>
      <c r="DJ1908" t="s">
        <v>13777</v>
      </c>
      <c r="DK1908">
        <v>9606</v>
      </c>
      <c r="DL1908" s="34" t="str">
        <f>HYPERLINK("http://www.uniprot.org/uniprot/O94760", "O94760")</f>
        <v>O94760</v>
      </c>
      <c r="DM1908" t="s">
        <v>16255</v>
      </c>
      <c r="DN1908" t="s">
        <v>13772</v>
      </c>
      <c r="DO1908" t="s">
        <v>13772</v>
      </c>
      <c r="DP1908" t="s">
        <v>13841</v>
      </c>
      <c r="DQ1908" t="s">
        <v>13772</v>
      </c>
      <c r="DR1908" t="s">
        <v>13772</v>
      </c>
      <c r="DS1908" t="s">
        <v>13772</v>
      </c>
      <c r="DT1908" t="s">
        <v>13856</v>
      </c>
      <c r="DU1908" t="s">
        <v>13857</v>
      </c>
      <c r="DV1908" t="s">
        <v>16256</v>
      </c>
      <c r="DW1908" t="s">
        <v>13812</v>
      </c>
      <c r="DX1908" t="s">
        <v>16257</v>
      </c>
      <c r="DY1908" t="s">
        <v>15111</v>
      </c>
      <c r="DZ1908" t="s">
        <v>16258</v>
      </c>
      <c r="EA1908" t="s">
        <v>13772</v>
      </c>
      <c r="EB1908" t="s">
        <v>16259</v>
      </c>
    </row>
    <row r="1909" spans="1:132" hidden="1">
      <c r="A1909">
        <v>67</v>
      </c>
      <c r="B1909">
        <v>1</v>
      </c>
      <c r="C1909" t="s">
        <v>191</v>
      </c>
      <c r="D1909" t="s">
        <v>192</v>
      </c>
      <c r="E1909" t="s">
        <v>73</v>
      </c>
      <c r="F1909" t="s">
        <v>73</v>
      </c>
      <c r="G1909" t="s">
        <v>73</v>
      </c>
      <c r="H1909">
        <v>24.1</v>
      </c>
      <c r="I1909">
        <v>145</v>
      </c>
      <c r="J1909">
        <v>17258</v>
      </c>
      <c r="K1909" t="s">
        <v>193</v>
      </c>
      <c r="L1909">
        <f t="shared" si="118"/>
        <v>5</v>
      </c>
      <c r="N1909">
        <v>5</v>
      </c>
      <c r="O1909">
        <v>5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2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2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1</v>
      </c>
      <c r="BL1909" s="2">
        <v>0</v>
      </c>
      <c r="BM1909" s="2">
        <v>2</v>
      </c>
      <c r="BN1909" s="2">
        <v>0</v>
      </c>
      <c r="BO1909" s="2">
        <v>1</v>
      </c>
      <c r="BP1909" s="2">
        <v>0</v>
      </c>
      <c r="BQ1909" s="2">
        <v>1</v>
      </c>
      <c r="BR1909" s="2">
        <v>0</v>
      </c>
      <c r="BS1909" s="2">
        <v>0</v>
      </c>
      <c r="BT1909" s="2">
        <v>0</v>
      </c>
      <c r="BU1909" s="2">
        <v>0</v>
      </c>
      <c r="BV1909" s="2">
        <f t="shared" si="121"/>
        <v>5</v>
      </c>
      <c r="BW1909" s="16">
        <f t="shared" si="119"/>
        <v>0.26315789473684209</v>
      </c>
      <c r="BX1909" s="16">
        <f>COUNTIF($BC$6:BU1909, "=0") / COUNTIF($BC$6:BU1909, "&gt;-1")</f>
        <v>0.46212958867757631</v>
      </c>
      <c r="BY1909" s="18">
        <f>SUM($BC$6:BU1909) / $BY$4</f>
        <v>0.99472198537041967</v>
      </c>
      <c r="BZ1909" s="14">
        <f t="shared" si="120"/>
        <v>15</v>
      </c>
      <c r="CA1909" t="s">
        <v>5832</v>
      </c>
      <c r="CZ1909" t="s">
        <v>5938</v>
      </c>
      <c r="DA1909" t="s">
        <v>5904</v>
      </c>
      <c r="DB1909">
        <v>290.39999999999998</v>
      </c>
      <c r="DC1909" t="s">
        <v>13930</v>
      </c>
      <c r="DD1909" t="s">
        <v>13931</v>
      </c>
      <c r="DE1909" t="s">
        <v>13932</v>
      </c>
      <c r="DF1909" t="s">
        <v>13933</v>
      </c>
      <c r="DG1909" t="s">
        <v>13934</v>
      </c>
      <c r="DH1909" t="str">
        <f>"RPL26"</f>
        <v>RPL26</v>
      </c>
      <c r="DI1909" t="s">
        <v>13772</v>
      </c>
      <c r="DJ1909" t="s">
        <v>13777</v>
      </c>
      <c r="DK1909">
        <v>9606</v>
      </c>
      <c r="DL1909" s="34" t="str">
        <f>HYPERLINK("http://www.uniprot.org/uniprot/P61254", "P61254")</f>
        <v>P61254</v>
      </c>
      <c r="DM1909" t="s">
        <v>13935</v>
      </c>
      <c r="DN1909" t="s">
        <v>13772</v>
      </c>
      <c r="DO1909" t="s">
        <v>13772</v>
      </c>
      <c r="DP1909" t="s">
        <v>13772</v>
      </c>
      <c r="DQ1909" t="s">
        <v>13772</v>
      </c>
      <c r="DR1909" t="s">
        <v>13936</v>
      </c>
      <c r="DS1909" t="s">
        <v>13772</v>
      </c>
      <c r="DT1909" t="s">
        <v>13772</v>
      </c>
      <c r="DU1909" t="s">
        <v>13937</v>
      </c>
      <c r="DV1909" t="s">
        <v>13938</v>
      </c>
      <c r="DW1909" t="s">
        <v>13812</v>
      </c>
      <c r="DX1909" t="s">
        <v>13939</v>
      </c>
      <c r="DY1909" t="s">
        <v>13940</v>
      </c>
      <c r="DZ1909" t="s">
        <v>13941</v>
      </c>
      <c r="EA1909" t="s">
        <v>13772</v>
      </c>
      <c r="EB1909" t="s">
        <v>13942</v>
      </c>
    </row>
    <row r="1910" spans="1:132" hidden="1">
      <c r="A1910">
        <v>135</v>
      </c>
      <c r="B1910">
        <v>1</v>
      </c>
      <c r="C1910" t="s">
        <v>353</v>
      </c>
      <c r="D1910" t="s">
        <v>354</v>
      </c>
      <c r="E1910" t="s">
        <v>73</v>
      </c>
      <c r="F1910" t="s">
        <v>73</v>
      </c>
      <c r="G1910" t="s">
        <v>73</v>
      </c>
      <c r="H1910">
        <v>3.7</v>
      </c>
      <c r="I1910">
        <v>1368</v>
      </c>
      <c r="J1910">
        <v>157889</v>
      </c>
      <c r="K1910" t="s">
        <v>355</v>
      </c>
      <c r="L1910">
        <f t="shared" si="118"/>
        <v>5</v>
      </c>
      <c r="N1910">
        <v>5</v>
      </c>
      <c r="O1910">
        <v>5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0</v>
      </c>
      <c r="AE1910">
        <v>2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2</v>
      </c>
      <c r="AY1910">
        <v>1</v>
      </c>
      <c r="AZ1910">
        <v>0</v>
      </c>
      <c r="BA1910">
        <v>0</v>
      </c>
      <c r="BB1910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1</v>
      </c>
      <c r="BO1910" s="2">
        <v>1</v>
      </c>
      <c r="BP1910" s="2">
        <v>0</v>
      </c>
      <c r="BQ1910" s="2">
        <v>2</v>
      </c>
      <c r="BR1910" s="2">
        <v>1</v>
      </c>
      <c r="BS1910" s="2">
        <v>0</v>
      </c>
      <c r="BT1910" s="2">
        <v>0</v>
      </c>
      <c r="BU1910" s="2">
        <v>0</v>
      </c>
      <c r="BV1910" s="2">
        <f t="shared" si="121"/>
        <v>5</v>
      </c>
      <c r="BW1910" s="16">
        <f t="shared" si="119"/>
        <v>0.26315789473684209</v>
      </c>
      <c r="BX1910" s="16">
        <f>COUNTIF($BC$6:BU1910, "=0") / COUNTIF($BC$6:BU1910, "&gt;-1")</f>
        <v>0.46230142284845971</v>
      </c>
      <c r="BY1910" s="18">
        <f>SUM($BC$6:BU1910) / $BY$4</f>
        <v>0.99474340355476309</v>
      </c>
      <c r="BZ1910" s="14">
        <f t="shared" si="120"/>
        <v>15</v>
      </c>
      <c r="CA1910" t="s">
        <v>5832</v>
      </c>
      <c r="CZ1910" t="s">
        <v>6162</v>
      </c>
      <c r="DA1910" t="s">
        <v>5904</v>
      </c>
      <c r="DB1910">
        <v>2377.1</v>
      </c>
      <c r="DC1910" t="s">
        <v>14707</v>
      </c>
      <c r="DD1910" t="s">
        <v>14708</v>
      </c>
      <c r="DE1910" t="s">
        <v>14709</v>
      </c>
      <c r="DF1910" t="s">
        <v>14710</v>
      </c>
      <c r="DG1910" t="s">
        <v>14711</v>
      </c>
      <c r="DH1910" t="str">
        <f>"KTN1"</f>
        <v>KTN1</v>
      </c>
      <c r="DI1910" t="s">
        <v>14712</v>
      </c>
      <c r="DJ1910" t="s">
        <v>13777</v>
      </c>
      <c r="DK1910">
        <v>9606</v>
      </c>
      <c r="DL1910" s="34" t="str">
        <f>HYPERLINK("http://www.uniprot.org/uniprot/Q86UP2", "Q86UP2")</f>
        <v>Q86UP2</v>
      </c>
      <c r="DM1910" t="s">
        <v>14713</v>
      </c>
      <c r="DN1910" t="s">
        <v>13772</v>
      </c>
      <c r="DO1910" t="s">
        <v>14714</v>
      </c>
      <c r="DP1910" t="s">
        <v>13780</v>
      </c>
      <c r="DQ1910" t="s">
        <v>13772</v>
      </c>
      <c r="DR1910" t="s">
        <v>13772</v>
      </c>
      <c r="DS1910" t="s">
        <v>14715</v>
      </c>
      <c r="DT1910" t="s">
        <v>13772</v>
      </c>
      <c r="DU1910" t="s">
        <v>13772</v>
      </c>
      <c r="DV1910" t="s">
        <v>13978</v>
      </c>
      <c r="DW1910" t="s">
        <v>13772</v>
      </c>
      <c r="DX1910" t="s">
        <v>14716</v>
      </c>
      <c r="DY1910" t="s">
        <v>14717</v>
      </c>
      <c r="DZ1910" t="s">
        <v>14718</v>
      </c>
      <c r="EA1910" t="s">
        <v>13772</v>
      </c>
      <c r="EB1910" t="s">
        <v>14719</v>
      </c>
    </row>
    <row r="1911" spans="1:132" hidden="1">
      <c r="A1911">
        <v>163</v>
      </c>
      <c r="B1911">
        <v>1</v>
      </c>
      <c r="C1911" t="s">
        <v>414</v>
      </c>
      <c r="D1911" t="s">
        <v>415</v>
      </c>
      <c r="E1911" t="s">
        <v>73</v>
      </c>
      <c r="F1911" t="s">
        <v>73</v>
      </c>
      <c r="G1911" t="s">
        <v>73</v>
      </c>
      <c r="H1911">
        <v>4.4000000000000004</v>
      </c>
      <c r="I1911">
        <v>1863</v>
      </c>
      <c r="J1911">
        <v>208207</v>
      </c>
      <c r="K1911" t="s">
        <v>416</v>
      </c>
      <c r="L1911">
        <f t="shared" si="118"/>
        <v>5</v>
      </c>
      <c r="N1911">
        <v>5</v>
      </c>
      <c r="O1911">
        <v>5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2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2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0</v>
      </c>
      <c r="BM1911" s="2">
        <v>2</v>
      </c>
      <c r="BN1911" s="2">
        <v>1</v>
      </c>
      <c r="BO1911" s="2">
        <v>1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f t="shared" si="121"/>
        <v>5</v>
      </c>
      <c r="BW1911" s="16">
        <f t="shared" si="119"/>
        <v>0.26315789473684209</v>
      </c>
      <c r="BX1911" s="16">
        <f>COUNTIF($BC$6:BU1911, "=0") / COUNTIF($BC$6:BU1911, "&gt;-1")</f>
        <v>0.4624730767106644</v>
      </c>
      <c r="BY1911" s="18">
        <f>SUM($BC$6:BU1911) / $BY$4</f>
        <v>0.99476482173910663</v>
      </c>
      <c r="BZ1911" s="14">
        <f t="shared" si="120"/>
        <v>15</v>
      </c>
      <c r="CA1911" t="s">
        <v>5832</v>
      </c>
      <c r="CZ1911" t="s">
        <v>6258</v>
      </c>
      <c r="DA1911" t="s">
        <v>5904</v>
      </c>
      <c r="DB1911">
        <v>3259.9</v>
      </c>
      <c r="DC1911" t="s">
        <v>15020</v>
      </c>
      <c r="DD1911" t="s">
        <v>15021</v>
      </c>
      <c r="DE1911" t="s">
        <v>15022</v>
      </c>
      <c r="DF1911" t="s">
        <v>15023</v>
      </c>
      <c r="DG1911" t="s">
        <v>15024</v>
      </c>
      <c r="DH1911" t="str">
        <f>"TJP1"</f>
        <v>TJP1</v>
      </c>
      <c r="DI1911" t="s">
        <v>15025</v>
      </c>
      <c r="DJ1911" t="s">
        <v>13777</v>
      </c>
      <c r="DK1911">
        <v>9606</v>
      </c>
      <c r="DL1911" s="34" t="str">
        <f>HYPERLINK("http://www.uniprot.org/uniprot/Q07157", "Q07157")</f>
        <v>Q07157</v>
      </c>
      <c r="DM1911" t="s">
        <v>15026</v>
      </c>
      <c r="DN1911" t="s">
        <v>13772</v>
      </c>
      <c r="DO1911" t="s">
        <v>15027</v>
      </c>
      <c r="DP1911" t="s">
        <v>13780</v>
      </c>
      <c r="DQ1911" t="s">
        <v>13772</v>
      </c>
      <c r="DR1911" t="s">
        <v>13772</v>
      </c>
      <c r="DS1911" t="s">
        <v>15028</v>
      </c>
      <c r="DT1911" t="s">
        <v>13772</v>
      </c>
      <c r="DU1911" t="s">
        <v>14969</v>
      </c>
      <c r="DV1911" t="s">
        <v>13782</v>
      </c>
      <c r="DW1911" t="s">
        <v>13812</v>
      </c>
      <c r="DX1911" t="s">
        <v>15029</v>
      </c>
      <c r="DY1911" t="s">
        <v>15030</v>
      </c>
      <c r="DZ1911" t="s">
        <v>15031</v>
      </c>
      <c r="EA1911" t="s">
        <v>13772</v>
      </c>
      <c r="EB1911" t="s">
        <v>15032</v>
      </c>
    </row>
    <row r="1912" spans="1:132" hidden="1">
      <c r="A1912">
        <v>229</v>
      </c>
      <c r="B1912">
        <v>1</v>
      </c>
      <c r="C1912" t="s">
        <v>581</v>
      </c>
      <c r="D1912" t="s">
        <v>73</v>
      </c>
      <c r="E1912" t="s">
        <v>73</v>
      </c>
      <c r="F1912" t="s">
        <v>73</v>
      </c>
      <c r="G1912" t="s">
        <v>73</v>
      </c>
      <c r="H1912">
        <v>8.5</v>
      </c>
      <c r="I1912">
        <v>363</v>
      </c>
      <c r="J1912">
        <v>39199</v>
      </c>
      <c r="K1912" t="s">
        <v>582</v>
      </c>
      <c r="L1912">
        <f t="shared" si="118"/>
        <v>5</v>
      </c>
      <c r="N1912">
        <v>5</v>
      </c>
      <c r="O1912">
        <v>5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2</v>
      </c>
      <c r="V1912">
        <v>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3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2</v>
      </c>
      <c r="BH1912" s="2">
        <v>3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f t="shared" si="121"/>
        <v>5</v>
      </c>
      <c r="BW1912" s="16">
        <f t="shared" si="119"/>
        <v>0.26315789473684209</v>
      </c>
      <c r="BX1912" s="16">
        <f>COUNTIF($BC$6:BU1912, "=0") / COUNTIF($BC$6:BU1912, "&gt;-1")</f>
        <v>0.46269974884773551</v>
      </c>
      <c r="BY1912" s="18">
        <f>SUM($BC$6:BU1912) / $BY$4</f>
        <v>0.99478623992345017</v>
      </c>
      <c r="BZ1912" s="14">
        <f t="shared" si="120"/>
        <v>17</v>
      </c>
      <c r="CA1912" t="s">
        <v>5832</v>
      </c>
      <c r="CZ1912" t="s">
        <v>6488</v>
      </c>
      <c r="DA1912" t="s">
        <v>5904</v>
      </c>
      <c r="DB1912">
        <v>671.4</v>
      </c>
      <c r="DC1912" t="s">
        <v>15781</v>
      </c>
      <c r="DD1912" t="s">
        <v>15782</v>
      </c>
      <c r="DE1912" t="s">
        <v>15783</v>
      </c>
      <c r="DF1912" t="s">
        <v>15784</v>
      </c>
      <c r="DG1912" t="s">
        <v>15785</v>
      </c>
      <c r="DH1912" t="str">
        <f>"L3HYPDH"</f>
        <v>L3HYPDH</v>
      </c>
      <c r="DI1912" t="s">
        <v>15786</v>
      </c>
      <c r="DJ1912" t="s">
        <v>13777</v>
      </c>
      <c r="DK1912">
        <v>9606</v>
      </c>
      <c r="DL1912" s="34" t="str">
        <f>HYPERLINK("http://www.uniprot.org/uniprot/Q96EM0", "Q96EM0")</f>
        <v>Q96EM0</v>
      </c>
      <c r="DM1912" t="s">
        <v>15787</v>
      </c>
      <c r="DN1912" t="s">
        <v>13772</v>
      </c>
      <c r="DO1912" t="s">
        <v>13772</v>
      </c>
      <c r="DP1912" t="s">
        <v>13793</v>
      </c>
      <c r="DQ1912" t="s">
        <v>13772</v>
      </c>
      <c r="DR1912" t="s">
        <v>13772</v>
      </c>
      <c r="DS1912" t="s">
        <v>13772</v>
      </c>
      <c r="DT1912" t="s">
        <v>13772</v>
      </c>
      <c r="DU1912" t="s">
        <v>15788</v>
      </c>
      <c r="DV1912" t="s">
        <v>13772</v>
      </c>
      <c r="DW1912" t="s">
        <v>13772</v>
      </c>
      <c r="DX1912" t="s">
        <v>13772</v>
      </c>
      <c r="DY1912" t="s">
        <v>13772</v>
      </c>
      <c r="DZ1912" t="s">
        <v>15789</v>
      </c>
      <c r="EA1912" t="s">
        <v>13772</v>
      </c>
      <c r="EB1912" t="s">
        <v>13772</v>
      </c>
    </row>
    <row r="1913" spans="1:132" hidden="1">
      <c r="A1913">
        <v>242</v>
      </c>
      <c r="B1913">
        <v>1</v>
      </c>
      <c r="C1913" t="s">
        <v>616</v>
      </c>
      <c r="D1913" t="s">
        <v>617</v>
      </c>
      <c r="E1913" t="s">
        <v>73</v>
      </c>
      <c r="F1913" t="s">
        <v>73</v>
      </c>
      <c r="G1913" t="s">
        <v>73</v>
      </c>
      <c r="H1913">
        <v>2.7</v>
      </c>
      <c r="I1913">
        <v>1079</v>
      </c>
      <c r="J1913">
        <v>119952</v>
      </c>
      <c r="K1913" t="s">
        <v>618</v>
      </c>
      <c r="L1913">
        <f t="shared" si="118"/>
        <v>5</v>
      </c>
      <c r="N1913">
        <v>5</v>
      </c>
      <c r="O1913">
        <v>5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2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2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1</v>
      </c>
      <c r="BL1913" s="2">
        <v>0</v>
      </c>
      <c r="BM1913" s="2">
        <v>2</v>
      </c>
      <c r="BN1913" s="2">
        <v>1</v>
      </c>
      <c r="BO1913" s="2">
        <v>0</v>
      </c>
      <c r="BP1913" s="2">
        <v>0</v>
      </c>
      <c r="BQ1913" s="2">
        <v>0</v>
      </c>
      <c r="BR1913" s="2">
        <v>1</v>
      </c>
      <c r="BS1913" s="2">
        <v>0</v>
      </c>
      <c r="BT1913" s="2">
        <v>0</v>
      </c>
      <c r="BU1913" s="2">
        <v>0</v>
      </c>
      <c r="BV1913" s="2">
        <f t="shared" si="121"/>
        <v>5</v>
      </c>
      <c r="BW1913" s="16">
        <f t="shared" si="119"/>
        <v>0.26315789473684209</v>
      </c>
      <c r="BX1913" s="16">
        <f>COUNTIF($BC$6:BU1913, "=0") / COUNTIF($BC$6:BU1913, "&gt;-1")</f>
        <v>0.46287101401302</v>
      </c>
      <c r="BY1913" s="18">
        <f>SUM($BC$6:BU1913) / $BY$4</f>
        <v>0.99480765810779359</v>
      </c>
      <c r="BZ1913" s="14">
        <f t="shared" si="120"/>
        <v>15</v>
      </c>
      <c r="CA1913" t="s">
        <v>5832</v>
      </c>
      <c r="CZ1913" t="s">
        <v>6538</v>
      </c>
      <c r="DA1913" t="s">
        <v>5904</v>
      </c>
      <c r="DB1913">
        <v>1341.2</v>
      </c>
      <c r="DC1913" t="s">
        <v>15933</v>
      </c>
      <c r="DD1913" t="s">
        <v>15934</v>
      </c>
      <c r="DE1913" t="s">
        <v>15935</v>
      </c>
      <c r="DF1913" t="s">
        <v>15936</v>
      </c>
      <c r="DG1913" t="s">
        <v>15937</v>
      </c>
      <c r="DH1913" t="str">
        <f>"EPB41"</f>
        <v>EPB41</v>
      </c>
      <c r="DI1913" t="s">
        <v>15938</v>
      </c>
      <c r="DJ1913" t="s">
        <v>13777</v>
      </c>
      <c r="DK1913">
        <v>9606</v>
      </c>
      <c r="DL1913" s="34" t="str">
        <f>HYPERLINK("http://www.uniprot.org/uniprot/P11171", "P11171")</f>
        <v>P11171</v>
      </c>
      <c r="DM1913" t="s">
        <v>15939</v>
      </c>
      <c r="DN1913" t="s">
        <v>14675</v>
      </c>
      <c r="DO1913" t="s">
        <v>15843</v>
      </c>
      <c r="DP1913" t="s">
        <v>13780</v>
      </c>
      <c r="DQ1913" t="s">
        <v>13772</v>
      </c>
      <c r="DR1913" t="s">
        <v>15940</v>
      </c>
      <c r="DS1913" t="s">
        <v>13772</v>
      </c>
      <c r="DT1913" t="s">
        <v>13772</v>
      </c>
      <c r="DU1913" t="s">
        <v>15941</v>
      </c>
      <c r="DV1913" t="s">
        <v>13978</v>
      </c>
      <c r="DW1913" t="s">
        <v>13812</v>
      </c>
      <c r="DX1913" t="s">
        <v>15942</v>
      </c>
      <c r="DY1913" t="s">
        <v>15943</v>
      </c>
      <c r="DZ1913" t="s">
        <v>15944</v>
      </c>
      <c r="EA1913" t="s">
        <v>13772</v>
      </c>
      <c r="EB1913" t="s">
        <v>15945</v>
      </c>
    </row>
    <row r="1914" spans="1:132" hidden="1">
      <c r="A1914">
        <v>258</v>
      </c>
      <c r="B1914">
        <v>1</v>
      </c>
      <c r="C1914" t="s">
        <v>656</v>
      </c>
      <c r="D1914" t="s">
        <v>73</v>
      </c>
      <c r="E1914" t="s">
        <v>73</v>
      </c>
      <c r="F1914" t="s">
        <v>73</v>
      </c>
      <c r="G1914" t="s">
        <v>73</v>
      </c>
      <c r="H1914">
        <v>20.9</v>
      </c>
      <c r="I1914">
        <v>263</v>
      </c>
      <c r="J1914">
        <v>28474</v>
      </c>
      <c r="K1914" t="s">
        <v>657</v>
      </c>
      <c r="L1914">
        <f t="shared" si="118"/>
        <v>5</v>
      </c>
      <c r="N1914">
        <v>5</v>
      </c>
      <c r="O1914">
        <v>5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4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4</v>
      </c>
      <c r="BL1914" s="2">
        <v>0</v>
      </c>
      <c r="BM1914" s="2">
        <v>1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f t="shared" si="121"/>
        <v>5</v>
      </c>
      <c r="BW1914" s="16">
        <f t="shared" si="119"/>
        <v>0.26315789473684209</v>
      </c>
      <c r="BX1914" s="16">
        <f>COUNTIF($BC$6:BU1914, "=0") / COUNTIF($BC$6:BU1914, "&gt;-1")</f>
        <v>0.46309724021945908</v>
      </c>
      <c r="BY1914" s="18">
        <f>SUM($BC$6:BU1914) / $BY$4</f>
        <v>0.99482907629213713</v>
      </c>
      <c r="BZ1914" s="14">
        <f t="shared" si="120"/>
        <v>17</v>
      </c>
      <c r="CA1914" t="s">
        <v>5832</v>
      </c>
      <c r="CZ1914" t="s">
        <v>6592</v>
      </c>
      <c r="DA1914" t="s">
        <v>5904</v>
      </c>
      <c r="DB1914">
        <v>514.20000000000005</v>
      </c>
      <c r="DC1914" t="s">
        <v>16094</v>
      </c>
      <c r="DD1914" t="s">
        <v>16095</v>
      </c>
      <c r="DE1914" t="s">
        <v>16096</v>
      </c>
      <c r="DF1914" t="s">
        <v>16097</v>
      </c>
      <c r="DG1914" t="s">
        <v>16098</v>
      </c>
      <c r="DH1914" t="str">
        <f>"PSMB5"</f>
        <v>PSMB5</v>
      </c>
      <c r="DI1914" t="s">
        <v>16099</v>
      </c>
      <c r="DJ1914" t="s">
        <v>13777</v>
      </c>
      <c r="DK1914">
        <v>9606</v>
      </c>
      <c r="DL1914" s="34" t="str">
        <f>HYPERLINK("http://www.uniprot.org/uniprot/P28074", "P28074")</f>
        <v>P28074</v>
      </c>
      <c r="DM1914" t="s">
        <v>16100</v>
      </c>
      <c r="DN1914" t="s">
        <v>14563</v>
      </c>
      <c r="DO1914" t="s">
        <v>14204</v>
      </c>
      <c r="DP1914" t="s">
        <v>13780</v>
      </c>
      <c r="DQ1914" t="s">
        <v>13772</v>
      </c>
      <c r="DR1914" t="s">
        <v>13772</v>
      </c>
      <c r="DS1914" t="s">
        <v>13772</v>
      </c>
      <c r="DT1914" t="s">
        <v>13772</v>
      </c>
      <c r="DU1914" t="s">
        <v>14564</v>
      </c>
      <c r="DV1914" t="s">
        <v>16101</v>
      </c>
      <c r="DW1914" t="s">
        <v>13812</v>
      </c>
      <c r="DX1914" t="s">
        <v>16102</v>
      </c>
      <c r="DY1914" t="s">
        <v>16103</v>
      </c>
      <c r="DZ1914" t="s">
        <v>16104</v>
      </c>
      <c r="EA1914" t="s">
        <v>13772</v>
      </c>
      <c r="EB1914" t="s">
        <v>14208</v>
      </c>
    </row>
    <row r="1915" spans="1:132" hidden="1">
      <c r="A1915">
        <v>331</v>
      </c>
      <c r="B1915">
        <v>1</v>
      </c>
      <c r="C1915" t="s">
        <v>832</v>
      </c>
      <c r="D1915" t="s">
        <v>73</v>
      </c>
      <c r="E1915" t="s">
        <v>73</v>
      </c>
      <c r="F1915" t="s">
        <v>73</v>
      </c>
      <c r="G1915" t="s">
        <v>73</v>
      </c>
      <c r="H1915">
        <v>21.2</v>
      </c>
      <c r="I1915">
        <v>316</v>
      </c>
      <c r="J1915">
        <v>34472</v>
      </c>
      <c r="K1915" t="s">
        <v>833</v>
      </c>
      <c r="L1915">
        <f t="shared" si="118"/>
        <v>5</v>
      </c>
      <c r="N1915">
        <v>5</v>
      </c>
      <c r="O1915">
        <v>5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5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5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f t="shared" si="121"/>
        <v>5</v>
      </c>
      <c r="BW1915" s="16">
        <f t="shared" si="119"/>
        <v>0.26315789473684209</v>
      </c>
      <c r="BX1915" s="16">
        <f>COUNTIF($BC$6:BU1915, "=0") / COUNTIF($BC$6:BU1915, "&gt;-1")</f>
        <v>0.46335078534031415</v>
      </c>
      <c r="BY1915" s="18">
        <f>SUM($BC$6:BU1915) / $BY$4</f>
        <v>0.99485049447648066</v>
      </c>
      <c r="BZ1915" s="14">
        <f t="shared" si="120"/>
        <v>18</v>
      </c>
      <c r="CA1915" t="s">
        <v>5832</v>
      </c>
      <c r="CZ1915" t="s">
        <v>6848</v>
      </c>
      <c r="DA1915" t="s">
        <v>5904</v>
      </c>
      <c r="DB1915">
        <v>478.8</v>
      </c>
      <c r="DC1915" t="s">
        <v>16864</v>
      </c>
      <c r="DD1915" t="s">
        <v>13772</v>
      </c>
      <c r="DE1915" t="s">
        <v>16865</v>
      </c>
      <c r="DF1915" t="s">
        <v>16866</v>
      </c>
      <c r="DG1915" t="s">
        <v>16867</v>
      </c>
      <c r="DH1915" t="str">
        <f>"UPP1"</f>
        <v>UPP1</v>
      </c>
      <c r="DI1915" t="s">
        <v>16868</v>
      </c>
      <c r="DJ1915" t="s">
        <v>13777</v>
      </c>
      <c r="DK1915">
        <v>9606</v>
      </c>
      <c r="DL1915" s="34" t="str">
        <f>HYPERLINK("http://www.uniprot.org/uniprot/Q16831", "Q16831")</f>
        <v>Q16831</v>
      </c>
      <c r="DM1915" t="s">
        <v>16869</v>
      </c>
      <c r="DN1915" t="s">
        <v>13772</v>
      </c>
      <c r="DO1915" t="s">
        <v>13772</v>
      </c>
      <c r="DP1915" t="s">
        <v>13841</v>
      </c>
      <c r="DQ1915" t="s">
        <v>13772</v>
      </c>
      <c r="DR1915" t="s">
        <v>13772</v>
      </c>
      <c r="DS1915" t="s">
        <v>13772</v>
      </c>
      <c r="DT1915" t="s">
        <v>13772</v>
      </c>
      <c r="DU1915" t="s">
        <v>15995</v>
      </c>
      <c r="DV1915" t="s">
        <v>13772</v>
      </c>
      <c r="DW1915" t="s">
        <v>13812</v>
      </c>
      <c r="DX1915" t="s">
        <v>16870</v>
      </c>
      <c r="DY1915" t="s">
        <v>16871</v>
      </c>
      <c r="DZ1915" t="s">
        <v>16872</v>
      </c>
      <c r="EA1915" t="s">
        <v>16873</v>
      </c>
      <c r="EB1915" t="s">
        <v>16874</v>
      </c>
    </row>
    <row r="1916" spans="1:132" hidden="1">
      <c r="A1916">
        <v>334</v>
      </c>
      <c r="B1916">
        <v>1</v>
      </c>
      <c r="C1916" t="s">
        <v>839</v>
      </c>
      <c r="D1916" t="s">
        <v>840</v>
      </c>
      <c r="E1916" t="s">
        <v>73</v>
      </c>
      <c r="F1916" t="s">
        <v>73</v>
      </c>
      <c r="G1916" t="s">
        <v>73</v>
      </c>
      <c r="H1916">
        <v>4.2</v>
      </c>
      <c r="I1916">
        <v>592</v>
      </c>
      <c r="J1916">
        <v>65396</v>
      </c>
      <c r="K1916" t="s">
        <v>841</v>
      </c>
      <c r="L1916">
        <f t="shared" si="118"/>
        <v>5</v>
      </c>
      <c r="N1916">
        <v>5</v>
      </c>
      <c r="O1916">
        <v>5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3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3</v>
      </c>
      <c r="BH1916" s="2">
        <v>2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f t="shared" si="121"/>
        <v>5</v>
      </c>
      <c r="BW1916" s="16">
        <f t="shared" si="119"/>
        <v>0.26315789473684209</v>
      </c>
      <c r="BX1916" s="16">
        <f>COUNTIF($BC$6:BU1916, "=0") / COUNTIF($BC$6:BU1916, "&gt;-1")</f>
        <v>0.46357652372689967</v>
      </c>
      <c r="BY1916" s="18">
        <f>SUM($BC$6:BU1916) / $BY$4</f>
        <v>0.99487191266082409</v>
      </c>
      <c r="BZ1916" s="14">
        <f t="shared" si="120"/>
        <v>17</v>
      </c>
      <c r="CA1916" t="s">
        <v>5832</v>
      </c>
      <c r="CZ1916" t="s">
        <v>6859</v>
      </c>
      <c r="DA1916" t="s">
        <v>5904</v>
      </c>
      <c r="DB1916">
        <v>1027.3</v>
      </c>
      <c r="DC1916" t="s">
        <v>16901</v>
      </c>
      <c r="DD1916" t="s">
        <v>16902</v>
      </c>
      <c r="DE1916" t="s">
        <v>16903</v>
      </c>
      <c r="DF1916" t="s">
        <v>16904</v>
      </c>
      <c r="DG1916" t="s">
        <v>16905</v>
      </c>
      <c r="DH1916" t="str">
        <f>"SLC13A1"</f>
        <v>SLC13A1</v>
      </c>
      <c r="DI1916" t="s">
        <v>16906</v>
      </c>
      <c r="DJ1916" t="s">
        <v>13777</v>
      </c>
      <c r="DK1916">
        <v>9606</v>
      </c>
      <c r="DL1916" s="34" t="str">
        <f>HYPERLINK("http://www.uniprot.org/uniprot/Q9BZW2", "Q9BZW2")</f>
        <v>Q9BZW2</v>
      </c>
      <c r="DM1916" t="s">
        <v>16907</v>
      </c>
      <c r="DN1916" t="s">
        <v>16908</v>
      </c>
      <c r="DO1916" t="s">
        <v>13825</v>
      </c>
      <c r="DP1916" t="s">
        <v>13793</v>
      </c>
      <c r="DQ1916" t="s">
        <v>13772</v>
      </c>
      <c r="DR1916" t="s">
        <v>13772</v>
      </c>
      <c r="DS1916" t="s">
        <v>13925</v>
      </c>
      <c r="DT1916" t="s">
        <v>13926</v>
      </c>
      <c r="DU1916" t="s">
        <v>13772</v>
      </c>
      <c r="DV1916" t="s">
        <v>13858</v>
      </c>
      <c r="DW1916" t="s">
        <v>13772</v>
      </c>
      <c r="DX1916" t="s">
        <v>16909</v>
      </c>
      <c r="DY1916" t="s">
        <v>13798</v>
      </c>
      <c r="DZ1916" t="s">
        <v>16910</v>
      </c>
      <c r="EA1916" t="s">
        <v>13772</v>
      </c>
      <c r="EB1916" t="s">
        <v>16911</v>
      </c>
    </row>
    <row r="1917" spans="1:132" hidden="1">
      <c r="A1917">
        <v>411</v>
      </c>
      <c r="B1917">
        <v>1</v>
      </c>
      <c r="C1917" t="s">
        <v>1030</v>
      </c>
      <c r="D1917" t="s">
        <v>1031</v>
      </c>
      <c r="E1917" t="s">
        <v>73</v>
      </c>
      <c r="F1917" t="s">
        <v>73</v>
      </c>
      <c r="G1917" t="s">
        <v>73</v>
      </c>
      <c r="H1917">
        <v>2.9</v>
      </c>
      <c r="I1917">
        <v>870</v>
      </c>
      <c r="J1917">
        <v>91802</v>
      </c>
      <c r="K1917" t="s">
        <v>1032</v>
      </c>
      <c r="L1917">
        <f t="shared" si="118"/>
        <v>5</v>
      </c>
      <c r="N1917">
        <v>5</v>
      </c>
      <c r="O1917">
        <v>5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2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2</v>
      </c>
      <c r="AO1917">
        <v>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s="2">
        <v>0</v>
      </c>
      <c r="BD1917" s="2">
        <v>1</v>
      </c>
      <c r="BE1917" s="2">
        <v>0</v>
      </c>
      <c r="BF1917" s="2">
        <v>0</v>
      </c>
      <c r="BG1917" s="2">
        <v>2</v>
      </c>
      <c r="BH1917" s="2">
        <v>2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f t="shared" si="121"/>
        <v>5</v>
      </c>
      <c r="BW1917" s="16">
        <f t="shared" si="119"/>
        <v>0.26315789473684209</v>
      </c>
      <c r="BX1917" s="16">
        <f>COUNTIF($BC$6:BU1917, "=0") / COUNTIF($BC$6:BU1917, "&gt;-1")</f>
        <v>0.46377449900902884</v>
      </c>
      <c r="BY1917" s="18">
        <f>SUM($BC$6:BU1917) / $BY$4</f>
        <v>0.99489333084516762</v>
      </c>
      <c r="BZ1917" s="14">
        <f t="shared" si="120"/>
        <v>16</v>
      </c>
      <c r="CA1917" t="s">
        <v>5832</v>
      </c>
      <c r="CZ1917" t="s">
        <v>7127</v>
      </c>
      <c r="DA1917" t="s">
        <v>5904</v>
      </c>
      <c r="DB1917">
        <v>1362.8</v>
      </c>
      <c r="DC1917" t="s">
        <v>17741</v>
      </c>
      <c r="DD1917" t="s">
        <v>17742</v>
      </c>
      <c r="DE1917" t="s">
        <v>17743</v>
      </c>
      <c r="DF1917" t="s">
        <v>17744</v>
      </c>
      <c r="DG1917" t="s">
        <v>17745</v>
      </c>
      <c r="DH1917" t="str">
        <f>"SCARF2"</f>
        <v>SCARF2</v>
      </c>
      <c r="DI1917" t="s">
        <v>17746</v>
      </c>
      <c r="DJ1917" t="s">
        <v>13777</v>
      </c>
      <c r="DK1917">
        <v>9606</v>
      </c>
      <c r="DL1917" s="34" t="str">
        <f>HYPERLINK("http://www.uniprot.org/uniprot/Q96GP6", "Q96GP6")</f>
        <v>Q96GP6</v>
      </c>
      <c r="DM1917" t="s">
        <v>17747</v>
      </c>
      <c r="DN1917" t="s">
        <v>13949</v>
      </c>
      <c r="DO1917" t="s">
        <v>13825</v>
      </c>
      <c r="DP1917" t="s">
        <v>13780</v>
      </c>
      <c r="DQ1917" t="s">
        <v>13772</v>
      </c>
      <c r="DR1917" t="s">
        <v>13807</v>
      </c>
      <c r="DS1917" t="s">
        <v>13963</v>
      </c>
      <c r="DT1917" t="s">
        <v>13772</v>
      </c>
      <c r="DU1917" t="s">
        <v>13795</v>
      </c>
      <c r="DV1917" t="s">
        <v>13964</v>
      </c>
      <c r="DW1917" t="s">
        <v>13772</v>
      </c>
      <c r="DX1917" t="s">
        <v>17748</v>
      </c>
      <c r="DY1917" t="s">
        <v>17749</v>
      </c>
      <c r="DZ1917" t="s">
        <v>13772</v>
      </c>
      <c r="EA1917" t="s">
        <v>13772</v>
      </c>
      <c r="EB1917" t="s">
        <v>13772</v>
      </c>
    </row>
    <row r="1918" spans="1:132" hidden="1">
      <c r="A1918">
        <v>417</v>
      </c>
      <c r="B1918">
        <v>1</v>
      </c>
      <c r="C1918" t="s">
        <v>1045</v>
      </c>
      <c r="D1918" t="s">
        <v>73</v>
      </c>
      <c r="E1918" t="s">
        <v>73</v>
      </c>
      <c r="F1918" t="s">
        <v>73</v>
      </c>
      <c r="G1918" t="s">
        <v>73</v>
      </c>
      <c r="H1918">
        <v>12.9</v>
      </c>
      <c r="I1918">
        <v>513</v>
      </c>
      <c r="J1918">
        <v>58556</v>
      </c>
      <c r="K1918" t="s">
        <v>1046</v>
      </c>
      <c r="L1918">
        <f t="shared" si="118"/>
        <v>5</v>
      </c>
      <c r="N1918">
        <v>5</v>
      </c>
      <c r="O1918">
        <v>5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2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2</v>
      </c>
      <c r="AS1918">
        <v>0</v>
      </c>
      <c r="AT1918">
        <v>2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2</v>
      </c>
      <c r="BL1918" s="2">
        <v>0</v>
      </c>
      <c r="BM1918" s="2">
        <v>2</v>
      </c>
      <c r="BN1918" s="2">
        <v>0</v>
      </c>
      <c r="BO1918" s="2">
        <v>1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f t="shared" si="121"/>
        <v>5</v>
      </c>
      <c r="BW1918" s="16">
        <f t="shared" si="119"/>
        <v>0.26315789473684209</v>
      </c>
      <c r="BX1918" s="16">
        <f>COUNTIF($BC$6:BU1918, "=0") / COUNTIF($BC$6:BU1918, "&gt;-1")</f>
        <v>0.46397226731229535</v>
      </c>
      <c r="BY1918" s="18">
        <f>SUM($BC$6:BU1918) / $BY$4</f>
        <v>0.99491474902951116</v>
      </c>
      <c r="BZ1918" s="14">
        <f t="shared" si="120"/>
        <v>16</v>
      </c>
      <c r="CA1918" t="s">
        <v>5832</v>
      </c>
      <c r="CZ1918" t="s">
        <v>7147</v>
      </c>
      <c r="DA1918" t="s">
        <v>5904</v>
      </c>
      <c r="DB1918">
        <v>1035.8</v>
      </c>
      <c r="DC1918" t="s">
        <v>17807</v>
      </c>
      <c r="DD1918" t="s">
        <v>17808</v>
      </c>
      <c r="DE1918" t="s">
        <v>17809</v>
      </c>
      <c r="DF1918" t="s">
        <v>17810</v>
      </c>
      <c r="DG1918" t="s">
        <v>17811</v>
      </c>
      <c r="DH1918" t="str">
        <f>"SARS"</f>
        <v>SARS</v>
      </c>
      <c r="DI1918" t="s">
        <v>17812</v>
      </c>
      <c r="DJ1918" t="s">
        <v>13777</v>
      </c>
      <c r="DK1918">
        <v>9606</v>
      </c>
      <c r="DL1918" s="34" t="str">
        <f>HYPERLINK("http://www.uniprot.org/uniprot/P49591", "P49591")</f>
        <v>P49591</v>
      </c>
      <c r="DM1918" t="s">
        <v>17813</v>
      </c>
      <c r="DN1918" t="s">
        <v>17814</v>
      </c>
      <c r="DO1918" t="s">
        <v>13912</v>
      </c>
      <c r="DP1918" t="s">
        <v>13772</v>
      </c>
      <c r="DQ1918" t="s">
        <v>13772</v>
      </c>
      <c r="DR1918" t="s">
        <v>17815</v>
      </c>
      <c r="DS1918" t="s">
        <v>13772</v>
      </c>
      <c r="DT1918" t="s">
        <v>14005</v>
      </c>
      <c r="DU1918" t="s">
        <v>17816</v>
      </c>
      <c r="DV1918" t="s">
        <v>13886</v>
      </c>
      <c r="DW1918" t="s">
        <v>13812</v>
      </c>
      <c r="DX1918" t="s">
        <v>17817</v>
      </c>
      <c r="DY1918" t="s">
        <v>14085</v>
      </c>
      <c r="DZ1918" t="s">
        <v>17818</v>
      </c>
      <c r="EA1918" t="s">
        <v>17819</v>
      </c>
      <c r="EB1918" t="s">
        <v>17820</v>
      </c>
    </row>
    <row r="1919" spans="1:132" hidden="1">
      <c r="A1919">
        <v>418</v>
      </c>
      <c r="B1919">
        <v>1</v>
      </c>
      <c r="C1919" t="s">
        <v>1047</v>
      </c>
      <c r="D1919" t="s">
        <v>1048</v>
      </c>
      <c r="E1919" t="s">
        <v>73</v>
      </c>
      <c r="F1919" t="s">
        <v>73</v>
      </c>
      <c r="G1919" t="s">
        <v>73</v>
      </c>
      <c r="H1919">
        <v>15.2</v>
      </c>
      <c r="I1919">
        <v>125</v>
      </c>
      <c r="J1919">
        <v>13758</v>
      </c>
      <c r="K1919" t="s">
        <v>1049</v>
      </c>
      <c r="L1919">
        <f t="shared" si="118"/>
        <v>5</v>
      </c>
      <c r="N1919">
        <v>5</v>
      </c>
      <c r="O1919">
        <v>5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2</v>
      </c>
      <c r="AB1919">
        <v>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2</v>
      </c>
      <c r="AU1919">
        <v>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1</v>
      </c>
      <c r="BL1919" s="2">
        <v>0</v>
      </c>
      <c r="BM1919" s="2">
        <v>2</v>
      </c>
      <c r="BN1919" s="2">
        <v>2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f t="shared" si="121"/>
        <v>5</v>
      </c>
      <c r="BW1919" s="16">
        <f t="shared" si="119"/>
        <v>0.26315789473684209</v>
      </c>
      <c r="BX1919" s="16">
        <f>COUNTIF($BC$6:BU1919, "=0") / COUNTIF($BC$6:BU1919, "&gt;-1")</f>
        <v>0.46416982896111753</v>
      </c>
      <c r="BY1919" s="18">
        <f>SUM($BC$6:BU1919) / $BY$4</f>
        <v>0.99493616721385469</v>
      </c>
      <c r="BZ1919" s="14">
        <f t="shared" si="120"/>
        <v>16</v>
      </c>
      <c r="CA1919" t="s">
        <v>5832</v>
      </c>
      <c r="CZ1919" t="s">
        <v>7152</v>
      </c>
      <c r="DA1919" t="s">
        <v>5904</v>
      </c>
      <c r="DB1919">
        <v>244.6</v>
      </c>
      <c r="DC1919" t="s">
        <v>17821</v>
      </c>
      <c r="DD1919" t="s">
        <v>17822</v>
      </c>
      <c r="DE1919" t="s">
        <v>17823</v>
      </c>
      <c r="DF1919" t="s">
        <v>17824</v>
      </c>
      <c r="DG1919" t="s">
        <v>17825</v>
      </c>
      <c r="DH1919" t="str">
        <f>"RPS25"</f>
        <v>RPS25</v>
      </c>
      <c r="DI1919" t="s">
        <v>13772</v>
      </c>
      <c r="DJ1919" t="s">
        <v>13777</v>
      </c>
      <c r="DK1919">
        <v>9606</v>
      </c>
      <c r="DL1919" s="34" t="str">
        <f>HYPERLINK("http://www.uniprot.org/uniprot/P62851", "P62851")</f>
        <v>P62851</v>
      </c>
      <c r="DM1919" t="s">
        <v>17826</v>
      </c>
      <c r="DN1919" t="s">
        <v>13772</v>
      </c>
      <c r="DO1919" t="s">
        <v>13772</v>
      </c>
      <c r="DP1919" t="s">
        <v>13772</v>
      </c>
      <c r="DQ1919" t="s">
        <v>13772</v>
      </c>
      <c r="DR1919" t="s">
        <v>13772</v>
      </c>
      <c r="DS1919" t="s">
        <v>13772</v>
      </c>
      <c r="DT1919" t="s">
        <v>13772</v>
      </c>
      <c r="DU1919" t="s">
        <v>13937</v>
      </c>
      <c r="DV1919" t="s">
        <v>14020</v>
      </c>
      <c r="DW1919" t="s">
        <v>13812</v>
      </c>
      <c r="DX1919" t="s">
        <v>15972</v>
      </c>
      <c r="DY1919" t="s">
        <v>17827</v>
      </c>
      <c r="DZ1919" t="s">
        <v>14268</v>
      </c>
      <c r="EA1919" t="s">
        <v>13772</v>
      </c>
      <c r="EB1919" t="s">
        <v>17828</v>
      </c>
    </row>
    <row r="1920" spans="1:132" hidden="1">
      <c r="A1920">
        <v>434</v>
      </c>
      <c r="B1920">
        <v>1</v>
      </c>
      <c r="C1920" t="s">
        <v>1088</v>
      </c>
      <c r="D1920" t="s">
        <v>73</v>
      </c>
      <c r="E1920" t="s">
        <v>73</v>
      </c>
      <c r="F1920" t="s">
        <v>73</v>
      </c>
      <c r="G1920" t="s">
        <v>73</v>
      </c>
      <c r="H1920">
        <v>3.1</v>
      </c>
      <c r="I1920">
        <v>3334</v>
      </c>
      <c r="J1920">
        <v>366641</v>
      </c>
      <c r="K1920" t="s">
        <v>1089</v>
      </c>
      <c r="L1920">
        <f t="shared" si="118"/>
        <v>5</v>
      </c>
      <c r="N1920">
        <v>5</v>
      </c>
      <c r="O1920">
        <v>5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1</v>
      </c>
      <c r="AW1920">
        <v>2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1</v>
      </c>
      <c r="BN1920" s="2">
        <v>0</v>
      </c>
      <c r="BO1920" s="2">
        <v>1</v>
      </c>
      <c r="BP1920" s="2">
        <v>2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f t="shared" si="121"/>
        <v>5</v>
      </c>
      <c r="BW1920" s="16">
        <f t="shared" si="119"/>
        <v>0.26315789473684209</v>
      </c>
      <c r="BX1920" s="16">
        <f>COUNTIF($BC$6:BU1920, "=0") / COUNTIF($BC$6:BU1920, "&gt;-1")</f>
        <v>0.4643397004259997</v>
      </c>
      <c r="BY1920" s="18">
        <f>SUM($BC$6:BU1920) / $BY$4</f>
        <v>0.99495758539819812</v>
      </c>
      <c r="BZ1920" s="14">
        <f t="shared" si="120"/>
        <v>15</v>
      </c>
      <c r="CA1920" t="s">
        <v>5832</v>
      </c>
      <c r="CZ1920" t="s">
        <v>7206</v>
      </c>
      <c r="DA1920" t="s">
        <v>5904</v>
      </c>
      <c r="DB1920">
        <v>5684</v>
      </c>
      <c r="DC1920" t="s">
        <v>17990</v>
      </c>
      <c r="DD1920" t="s">
        <v>17991</v>
      </c>
      <c r="DE1920" t="s">
        <v>17992</v>
      </c>
      <c r="DF1920" t="s">
        <v>17993</v>
      </c>
      <c r="DG1920" t="s">
        <v>17994</v>
      </c>
      <c r="DH1920" t="str">
        <f>"LAMA3"</f>
        <v>LAMA3</v>
      </c>
      <c r="DI1920" t="s">
        <v>17995</v>
      </c>
      <c r="DJ1920" t="s">
        <v>13777</v>
      </c>
      <c r="DK1920">
        <v>9606</v>
      </c>
      <c r="DL1920" s="34" t="str">
        <f>HYPERLINK("http://www.uniprot.org/uniprot/Q16787", "Q16787")</f>
        <v>Q16787</v>
      </c>
      <c r="DM1920" t="s">
        <v>17996</v>
      </c>
      <c r="DN1920" t="s">
        <v>13949</v>
      </c>
      <c r="DO1920" t="s">
        <v>15002</v>
      </c>
      <c r="DP1920" t="s">
        <v>13780</v>
      </c>
      <c r="DQ1920" t="s">
        <v>13772</v>
      </c>
      <c r="DR1920" t="s">
        <v>17997</v>
      </c>
      <c r="DS1920" t="s">
        <v>17145</v>
      </c>
      <c r="DT1920" t="s">
        <v>13772</v>
      </c>
      <c r="DU1920" t="s">
        <v>13772</v>
      </c>
      <c r="DV1920" t="s">
        <v>13796</v>
      </c>
      <c r="DW1920" t="s">
        <v>13772</v>
      </c>
      <c r="DX1920" t="s">
        <v>17998</v>
      </c>
      <c r="DY1920" t="s">
        <v>17999</v>
      </c>
      <c r="DZ1920" t="s">
        <v>18000</v>
      </c>
      <c r="EA1920" t="s">
        <v>13772</v>
      </c>
      <c r="EB1920" t="s">
        <v>18001</v>
      </c>
    </row>
    <row r="1921" spans="1:132" hidden="1">
      <c r="A1921">
        <v>437</v>
      </c>
      <c r="B1921">
        <v>1</v>
      </c>
      <c r="C1921" t="s">
        <v>1094</v>
      </c>
      <c r="D1921" t="s">
        <v>73</v>
      </c>
      <c r="E1921" t="s">
        <v>73</v>
      </c>
      <c r="F1921" t="s">
        <v>73</v>
      </c>
      <c r="G1921" t="s">
        <v>73</v>
      </c>
      <c r="H1921">
        <v>12.1</v>
      </c>
      <c r="I1921">
        <v>388</v>
      </c>
      <c r="J1921">
        <v>43403</v>
      </c>
      <c r="K1921" t="s">
        <v>1095</v>
      </c>
      <c r="L1921">
        <f t="shared" si="118"/>
        <v>5</v>
      </c>
      <c r="N1921">
        <v>5</v>
      </c>
      <c r="O1921">
        <v>5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4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4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f t="shared" si="121"/>
        <v>5</v>
      </c>
      <c r="BW1921" s="16">
        <f t="shared" si="119"/>
        <v>0.26315789473684209</v>
      </c>
      <c r="BX1921" s="16">
        <f>COUNTIF($BC$6:BU1921, "=0") / COUNTIF($BC$6:BU1921, "&gt;-1")</f>
        <v>0.46456433358971544</v>
      </c>
      <c r="BY1921" s="18">
        <f>SUM($BC$6:BU1921) / $BY$4</f>
        <v>0.99497900358254165</v>
      </c>
      <c r="BZ1921" s="14">
        <f t="shared" si="120"/>
        <v>17</v>
      </c>
      <c r="CA1921" t="s">
        <v>5832</v>
      </c>
      <c r="CZ1921" t="s">
        <v>7215</v>
      </c>
      <c r="DA1921" t="s">
        <v>5904</v>
      </c>
      <c r="DB1921">
        <v>748</v>
      </c>
      <c r="DC1921" t="s">
        <v>18026</v>
      </c>
      <c r="DD1921" t="s">
        <v>18027</v>
      </c>
      <c r="DE1921" t="s">
        <v>18028</v>
      </c>
      <c r="DF1921" t="s">
        <v>18029</v>
      </c>
      <c r="DG1921" t="s">
        <v>18030</v>
      </c>
      <c r="DH1921" t="str">
        <f>"P2RX4"</f>
        <v>P2RX4</v>
      </c>
      <c r="DI1921" t="s">
        <v>13772</v>
      </c>
      <c r="DJ1921" t="s">
        <v>13777</v>
      </c>
      <c r="DK1921">
        <v>9606</v>
      </c>
      <c r="DL1921" s="34" t="str">
        <f>HYPERLINK("http://www.uniprot.org/uniprot/Q99571", "Q99571")</f>
        <v>Q99571</v>
      </c>
      <c r="DM1921" t="s">
        <v>18031</v>
      </c>
      <c r="DN1921" t="s">
        <v>14288</v>
      </c>
      <c r="DO1921" t="s">
        <v>13825</v>
      </c>
      <c r="DP1921" t="s">
        <v>13780</v>
      </c>
      <c r="DQ1921" t="s">
        <v>13772</v>
      </c>
      <c r="DR1921" t="s">
        <v>13772</v>
      </c>
      <c r="DS1921" t="s">
        <v>13925</v>
      </c>
      <c r="DT1921" t="s">
        <v>13772</v>
      </c>
      <c r="DU1921" t="s">
        <v>18032</v>
      </c>
      <c r="DV1921" t="s">
        <v>13796</v>
      </c>
      <c r="DW1921" t="s">
        <v>13772</v>
      </c>
      <c r="DX1921" t="s">
        <v>18033</v>
      </c>
      <c r="DY1921" t="s">
        <v>18034</v>
      </c>
      <c r="DZ1921" t="s">
        <v>18035</v>
      </c>
      <c r="EA1921" t="s">
        <v>13772</v>
      </c>
      <c r="EB1921" t="s">
        <v>18036</v>
      </c>
    </row>
    <row r="1922" spans="1:132" hidden="1">
      <c r="A1922">
        <v>455</v>
      </c>
      <c r="B1922">
        <v>1</v>
      </c>
      <c r="C1922" t="s">
        <v>1139</v>
      </c>
      <c r="D1922" t="s">
        <v>1140</v>
      </c>
      <c r="E1922" t="s">
        <v>73</v>
      </c>
      <c r="F1922" t="s">
        <v>73</v>
      </c>
      <c r="G1922" t="s">
        <v>73</v>
      </c>
      <c r="H1922">
        <v>4.0999999999999996</v>
      </c>
      <c r="I1922">
        <v>1440</v>
      </c>
      <c r="J1922">
        <v>161640</v>
      </c>
      <c r="K1922" t="s">
        <v>1141</v>
      </c>
      <c r="L1922">
        <f t="shared" si="118"/>
        <v>5</v>
      </c>
      <c r="N1922">
        <v>5</v>
      </c>
      <c r="O1922">
        <v>5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5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f t="shared" si="121"/>
        <v>5</v>
      </c>
      <c r="BW1922" s="16">
        <f t="shared" si="119"/>
        <v>0.26315789473684209</v>
      </c>
      <c r="BX1922" s="16">
        <f>COUNTIF($BC$6:BU1922, "=0") / COUNTIF($BC$6:BU1922, "&gt;-1")</f>
        <v>0.46481618757378579</v>
      </c>
      <c r="BY1922" s="18">
        <f>SUM($BC$6:BU1922) / $BY$4</f>
        <v>0.99500042176688519</v>
      </c>
      <c r="BZ1922" s="14">
        <f t="shared" si="120"/>
        <v>18</v>
      </c>
      <c r="CA1922" t="s">
        <v>5832</v>
      </c>
      <c r="CZ1922" t="s">
        <v>7280</v>
      </c>
      <c r="DA1922" t="s">
        <v>5904</v>
      </c>
      <c r="DB1922">
        <v>2587.4</v>
      </c>
      <c r="DC1922" t="s">
        <v>18214</v>
      </c>
      <c r="DD1922" t="s">
        <v>18215</v>
      </c>
      <c r="DE1922" t="s">
        <v>18216</v>
      </c>
      <c r="DF1922" t="s">
        <v>18217</v>
      </c>
      <c r="DG1922" t="s">
        <v>18218</v>
      </c>
      <c r="DH1922" t="str">
        <f>"CLIP1"</f>
        <v>CLIP1</v>
      </c>
      <c r="DI1922" t="s">
        <v>18219</v>
      </c>
      <c r="DJ1922" t="s">
        <v>13777</v>
      </c>
      <c r="DK1922">
        <v>9606</v>
      </c>
      <c r="DL1922" s="34" t="str">
        <f>HYPERLINK("http://www.uniprot.org/uniprot/P30622", "P30622")</f>
        <v>P30622</v>
      </c>
      <c r="DM1922" t="s">
        <v>18220</v>
      </c>
      <c r="DN1922" t="s">
        <v>14192</v>
      </c>
      <c r="DO1922" t="s">
        <v>18221</v>
      </c>
      <c r="DP1922" t="s">
        <v>13780</v>
      </c>
      <c r="DQ1922" t="s">
        <v>13772</v>
      </c>
      <c r="DR1922" t="s">
        <v>13772</v>
      </c>
      <c r="DS1922" t="s">
        <v>18222</v>
      </c>
      <c r="DT1922" t="s">
        <v>13856</v>
      </c>
      <c r="DU1922" t="s">
        <v>13772</v>
      </c>
      <c r="DV1922" t="s">
        <v>13782</v>
      </c>
      <c r="DW1922" t="s">
        <v>13812</v>
      </c>
      <c r="DX1922" t="s">
        <v>18223</v>
      </c>
      <c r="DY1922" t="s">
        <v>18224</v>
      </c>
      <c r="DZ1922" t="s">
        <v>18225</v>
      </c>
      <c r="EA1922" t="s">
        <v>13772</v>
      </c>
      <c r="EB1922" t="s">
        <v>18226</v>
      </c>
    </row>
    <row r="1923" spans="1:132" hidden="1">
      <c r="A1923">
        <v>492</v>
      </c>
      <c r="B1923">
        <v>1</v>
      </c>
      <c r="C1923" t="s">
        <v>1236</v>
      </c>
      <c r="D1923" t="s">
        <v>1237</v>
      </c>
      <c r="E1923" t="s">
        <v>73</v>
      </c>
      <c r="F1923" t="s">
        <v>73</v>
      </c>
      <c r="G1923" t="s">
        <v>73</v>
      </c>
      <c r="H1923">
        <v>7.3</v>
      </c>
      <c r="I1923">
        <v>450</v>
      </c>
      <c r="J1923">
        <v>50862</v>
      </c>
      <c r="K1923" t="s">
        <v>1238</v>
      </c>
      <c r="L1923">
        <f t="shared" si="118"/>
        <v>5</v>
      </c>
      <c r="N1923">
        <v>5</v>
      </c>
      <c r="O1923">
        <v>5</v>
      </c>
      <c r="P1923">
        <v>1</v>
      </c>
      <c r="Q1923">
        <v>1</v>
      </c>
      <c r="R1923">
        <v>0</v>
      </c>
      <c r="S1923">
        <v>0</v>
      </c>
      <c r="T1923">
        <v>2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2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 s="2">
        <v>1</v>
      </c>
      <c r="BD1923" s="2">
        <v>0</v>
      </c>
      <c r="BE1923" s="2">
        <v>0</v>
      </c>
      <c r="BF1923" s="2">
        <v>2</v>
      </c>
      <c r="BG1923" s="2">
        <v>1</v>
      </c>
      <c r="BH1923" s="2">
        <v>1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f t="shared" si="121"/>
        <v>5</v>
      </c>
      <c r="BW1923" s="16">
        <f t="shared" si="119"/>
        <v>0.26315789473684209</v>
      </c>
      <c r="BX1923" s="16">
        <f>COUNTIF($BC$6:BU1923, "=0") / COUNTIF($BC$6:BU1923, "&gt;-1")</f>
        <v>0.46498545634158389</v>
      </c>
      <c r="BY1923" s="18">
        <f>SUM($BC$6:BU1923) / $BY$4</f>
        <v>0.99502183995122861</v>
      </c>
      <c r="BZ1923" s="14">
        <f t="shared" si="120"/>
        <v>15</v>
      </c>
      <c r="CA1923" t="s">
        <v>5832</v>
      </c>
      <c r="CZ1923" t="s">
        <v>7412</v>
      </c>
      <c r="DA1923" t="s">
        <v>5904</v>
      </c>
      <c r="DB1923">
        <v>716.1</v>
      </c>
      <c r="DC1923" t="s">
        <v>18608</v>
      </c>
      <c r="DD1923" t="s">
        <v>13772</v>
      </c>
      <c r="DE1923" t="s">
        <v>18609</v>
      </c>
      <c r="DF1923" t="s">
        <v>18610</v>
      </c>
      <c r="DG1923" t="s">
        <v>18611</v>
      </c>
      <c r="DH1923" t="str">
        <f>"ACP2"</f>
        <v>ACP2</v>
      </c>
      <c r="DI1923" t="s">
        <v>13772</v>
      </c>
      <c r="DJ1923" t="s">
        <v>13777</v>
      </c>
      <c r="DK1923">
        <v>9606</v>
      </c>
      <c r="DL1923" s="34" t="str">
        <f>HYPERLINK("http://www.uniprot.org/uniprot/P11117", "P11117")</f>
        <v>P11117</v>
      </c>
      <c r="DM1923" t="s">
        <v>18612</v>
      </c>
      <c r="DN1923" t="s">
        <v>13772</v>
      </c>
      <c r="DO1923" t="s">
        <v>18613</v>
      </c>
      <c r="DP1923" t="s">
        <v>13780</v>
      </c>
      <c r="DQ1923" t="s">
        <v>13772</v>
      </c>
      <c r="DR1923" t="s">
        <v>13772</v>
      </c>
      <c r="DS1923" t="s">
        <v>13855</v>
      </c>
      <c r="DT1923" t="s">
        <v>13772</v>
      </c>
      <c r="DU1923" t="s">
        <v>13857</v>
      </c>
      <c r="DV1923" t="s">
        <v>13796</v>
      </c>
      <c r="DW1923" t="s">
        <v>13772</v>
      </c>
      <c r="DX1923" t="s">
        <v>18614</v>
      </c>
      <c r="DY1923" t="s">
        <v>18615</v>
      </c>
      <c r="DZ1923" t="s">
        <v>18616</v>
      </c>
      <c r="EA1923" t="s">
        <v>13772</v>
      </c>
      <c r="EB1923" t="s">
        <v>13772</v>
      </c>
    </row>
    <row r="1924" spans="1:132" hidden="1">
      <c r="A1924">
        <v>494</v>
      </c>
      <c r="B1924">
        <v>1</v>
      </c>
      <c r="C1924" t="s">
        <v>1242</v>
      </c>
      <c r="D1924" t="s">
        <v>1243</v>
      </c>
      <c r="E1924" t="s">
        <v>73</v>
      </c>
      <c r="F1924" t="s">
        <v>73</v>
      </c>
      <c r="G1924" t="s">
        <v>73</v>
      </c>
      <c r="H1924">
        <v>10</v>
      </c>
      <c r="I1924">
        <v>512</v>
      </c>
      <c r="J1924">
        <v>54680</v>
      </c>
      <c r="K1924" t="s">
        <v>1244</v>
      </c>
      <c r="L1924">
        <f t="shared" si="118"/>
        <v>5</v>
      </c>
      <c r="N1924">
        <v>5</v>
      </c>
      <c r="O1924">
        <v>5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2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2</v>
      </c>
      <c r="BL1924" s="2">
        <v>0</v>
      </c>
      <c r="BM1924" s="2">
        <v>0</v>
      </c>
      <c r="BN1924" s="2">
        <v>0</v>
      </c>
      <c r="BO1924" s="2">
        <v>1</v>
      </c>
      <c r="BP1924" s="2">
        <v>0</v>
      </c>
      <c r="BQ1924" s="2">
        <v>1</v>
      </c>
      <c r="BR1924" s="2">
        <v>1</v>
      </c>
      <c r="BS1924" s="2">
        <v>0</v>
      </c>
      <c r="BT1924" s="2">
        <v>0</v>
      </c>
      <c r="BU1924" s="2">
        <v>0</v>
      </c>
      <c r="BV1924" s="2">
        <f t="shared" si="121"/>
        <v>5</v>
      </c>
      <c r="BW1924" s="16">
        <f t="shared" si="119"/>
        <v>0.26315789473684209</v>
      </c>
      <c r="BX1924" s="16">
        <f>COUNTIF($BC$6:BU1924, "=0") / COUNTIF($BC$6:BU1924, "&gt;-1")</f>
        <v>0.46515454869586681</v>
      </c>
      <c r="BY1924" s="18">
        <f>SUM($BC$6:BU1924) / $BY$4</f>
        <v>0.99504325813557215</v>
      </c>
      <c r="BZ1924" s="14">
        <f t="shared" si="120"/>
        <v>15</v>
      </c>
      <c r="CA1924" t="s">
        <v>5832</v>
      </c>
      <c r="CZ1924" t="s">
        <v>7420</v>
      </c>
      <c r="DA1924" t="s">
        <v>5904</v>
      </c>
      <c r="DB1924">
        <v>859.8</v>
      </c>
      <c r="DC1924" t="s">
        <v>18628</v>
      </c>
      <c r="DD1924" t="s">
        <v>18629</v>
      </c>
      <c r="DE1924" t="s">
        <v>18630</v>
      </c>
      <c r="DF1924" t="s">
        <v>18631</v>
      </c>
      <c r="DG1924" t="s">
        <v>18632</v>
      </c>
      <c r="DH1924" t="str">
        <f>"YAP1"</f>
        <v>YAP1</v>
      </c>
      <c r="DI1924" t="s">
        <v>18633</v>
      </c>
      <c r="DJ1924" t="s">
        <v>13777</v>
      </c>
      <c r="DK1924">
        <v>9606</v>
      </c>
      <c r="DL1924" s="34" t="str">
        <f>HYPERLINK("http://www.uniprot.org/uniprot/P46937", "P46937")</f>
        <v>P46937</v>
      </c>
      <c r="DM1924" t="s">
        <v>18634</v>
      </c>
      <c r="DN1924" t="s">
        <v>14445</v>
      </c>
      <c r="DO1924" t="s">
        <v>13912</v>
      </c>
      <c r="DP1924" t="s">
        <v>13780</v>
      </c>
      <c r="DQ1924" t="s">
        <v>13772</v>
      </c>
      <c r="DR1924" t="s">
        <v>14244</v>
      </c>
      <c r="DS1924" t="s">
        <v>14048</v>
      </c>
      <c r="DT1924" t="s">
        <v>13772</v>
      </c>
      <c r="DU1924" t="s">
        <v>18635</v>
      </c>
      <c r="DV1924" t="s">
        <v>18636</v>
      </c>
      <c r="DW1924" t="s">
        <v>13812</v>
      </c>
      <c r="DX1924" t="s">
        <v>18637</v>
      </c>
      <c r="DY1924" t="s">
        <v>18638</v>
      </c>
      <c r="DZ1924" t="s">
        <v>18639</v>
      </c>
      <c r="EA1924" t="s">
        <v>13772</v>
      </c>
      <c r="EB1924" t="s">
        <v>18640</v>
      </c>
    </row>
    <row r="1925" spans="1:132" hidden="1">
      <c r="A1925">
        <v>502</v>
      </c>
      <c r="B1925">
        <v>1</v>
      </c>
      <c r="C1925" t="s">
        <v>1265</v>
      </c>
      <c r="D1925" t="s">
        <v>1266</v>
      </c>
      <c r="E1925" t="s">
        <v>73</v>
      </c>
      <c r="F1925" t="s">
        <v>1267</v>
      </c>
      <c r="G1925" t="s">
        <v>73</v>
      </c>
      <c r="H1925">
        <v>4.0999999999999996</v>
      </c>
      <c r="I1925">
        <v>1215</v>
      </c>
      <c r="J1925">
        <v>133488</v>
      </c>
      <c r="K1925" t="s">
        <v>1268</v>
      </c>
      <c r="L1925">
        <f t="shared" si="118"/>
        <v>6</v>
      </c>
      <c r="N1925">
        <v>6</v>
      </c>
      <c r="O1925">
        <v>5</v>
      </c>
      <c r="P1925">
        <v>0.83299999999999996</v>
      </c>
      <c r="Q1925">
        <v>1</v>
      </c>
      <c r="R1925">
        <v>1</v>
      </c>
      <c r="S1925">
        <v>0</v>
      </c>
      <c r="T1925">
        <v>0</v>
      </c>
      <c r="U1925">
        <v>2</v>
      </c>
      <c r="V1925">
        <v>1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2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 s="2">
        <v>1</v>
      </c>
      <c r="BD1925" s="2">
        <v>0</v>
      </c>
      <c r="BE1925" s="2">
        <v>0</v>
      </c>
      <c r="BF1925" s="2">
        <v>0</v>
      </c>
      <c r="BG1925" s="2">
        <v>2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f t="shared" si="121"/>
        <v>5</v>
      </c>
      <c r="BW1925" s="16">
        <f t="shared" si="119"/>
        <v>0.26315789473684209</v>
      </c>
      <c r="BX1925" s="16">
        <f>COUNTIF($BC$6:BU1925, "=0") / COUNTIF($BC$6:BU1925, "&gt;-1")</f>
        <v>0.46532346491228072</v>
      </c>
      <c r="BY1925" s="18">
        <f>SUM($BC$6:BU1925) / $BY$4</f>
        <v>0.99506467631991569</v>
      </c>
      <c r="BZ1925" s="14">
        <f t="shared" si="120"/>
        <v>15</v>
      </c>
      <c r="CA1925" t="s">
        <v>5832</v>
      </c>
      <c r="CZ1925" t="s">
        <v>7452</v>
      </c>
      <c r="DA1925" t="s">
        <v>5904</v>
      </c>
      <c r="DB1925">
        <v>1778.5</v>
      </c>
      <c r="DC1925" t="s">
        <v>18724</v>
      </c>
      <c r="DD1925" t="s">
        <v>18725</v>
      </c>
      <c r="DE1925" t="s">
        <v>18726</v>
      </c>
      <c r="DF1925" t="s">
        <v>18727</v>
      </c>
      <c r="DG1925" t="s">
        <v>18728</v>
      </c>
      <c r="DH1925" t="str">
        <f>"PTPRJ"</f>
        <v>PTPRJ</v>
      </c>
      <c r="DI1925" t="s">
        <v>18729</v>
      </c>
      <c r="DJ1925" t="s">
        <v>13777</v>
      </c>
      <c r="DK1925">
        <v>9606</v>
      </c>
      <c r="DL1925" s="34" t="str">
        <f>HYPERLINK("http://www.uniprot.org/uniprot/Q12913", "Q12913")</f>
        <v>Q12913</v>
      </c>
      <c r="DM1925" t="s">
        <v>18730</v>
      </c>
      <c r="DN1925" t="s">
        <v>13772</v>
      </c>
      <c r="DO1925" t="s">
        <v>18731</v>
      </c>
      <c r="DP1925" t="s">
        <v>13780</v>
      </c>
      <c r="DQ1925" t="s">
        <v>13772</v>
      </c>
      <c r="DR1925" t="s">
        <v>13772</v>
      </c>
      <c r="DS1925" t="s">
        <v>13826</v>
      </c>
      <c r="DT1925" t="s">
        <v>13772</v>
      </c>
      <c r="DU1925" t="s">
        <v>16320</v>
      </c>
      <c r="DV1925" t="s">
        <v>13978</v>
      </c>
      <c r="DW1925" t="s">
        <v>13812</v>
      </c>
      <c r="DX1925" t="s">
        <v>18732</v>
      </c>
      <c r="DY1925" t="s">
        <v>18733</v>
      </c>
      <c r="DZ1925" t="s">
        <v>18734</v>
      </c>
      <c r="EA1925" t="s">
        <v>13772</v>
      </c>
      <c r="EB1925" t="s">
        <v>18735</v>
      </c>
    </row>
    <row r="1926" spans="1:132" hidden="1">
      <c r="A1926">
        <v>519</v>
      </c>
      <c r="B1926">
        <v>1</v>
      </c>
      <c r="C1926" t="s">
        <v>1308</v>
      </c>
      <c r="D1926" t="s">
        <v>1309</v>
      </c>
      <c r="E1926" t="s">
        <v>73</v>
      </c>
      <c r="F1926" t="s">
        <v>73</v>
      </c>
      <c r="G1926" t="s">
        <v>73</v>
      </c>
      <c r="H1926">
        <v>6</v>
      </c>
      <c r="I1926">
        <v>368</v>
      </c>
      <c r="J1926">
        <v>40608</v>
      </c>
      <c r="K1926" t="s">
        <v>1310</v>
      </c>
      <c r="L1926">
        <f t="shared" ref="L1926:L1989" si="122">N1926</f>
        <v>5</v>
      </c>
      <c r="N1926">
        <v>5</v>
      </c>
      <c r="O1926">
        <v>5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2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2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2</v>
      </c>
      <c r="BK1926" s="2">
        <v>0</v>
      </c>
      <c r="BL1926" s="2">
        <v>0</v>
      </c>
      <c r="BM1926" s="2">
        <v>0</v>
      </c>
      <c r="BN1926" s="2">
        <v>1</v>
      </c>
      <c r="BO1926" s="2">
        <v>0</v>
      </c>
      <c r="BP1926" s="2">
        <v>0</v>
      </c>
      <c r="BQ1926" s="2">
        <v>0</v>
      </c>
      <c r="BR1926" s="2">
        <v>1</v>
      </c>
      <c r="BS1926" s="2">
        <v>0</v>
      </c>
      <c r="BT1926" s="2">
        <v>0</v>
      </c>
      <c r="BU1926" s="2">
        <v>0</v>
      </c>
      <c r="BV1926" s="2">
        <f t="shared" si="121"/>
        <v>5</v>
      </c>
      <c r="BW1926" s="16">
        <f t="shared" ref="BW1926:BW1989" si="123">AVERAGE(BC1926:BU1926)</f>
        <v>0.26315789473684209</v>
      </c>
      <c r="BX1926" s="16">
        <f>COUNTIF($BC$6:BU1926, "=0") / COUNTIF($BC$6:BU1926, "&gt;-1")</f>
        <v>0.46549220526589768</v>
      </c>
      <c r="BY1926" s="18">
        <f>SUM($BC$6:BU1926) / $BY$4</f>
        <v>0.99508609450425911</v>
      </c>
      <c r="BZ1926" s="14">
        <f t="shared" ref="BZ1926:BZ1989" si="124">19-COUNTIF(BC1926:BU1926, "&gt;0")</f>
        <v>15</v>
      </c>
      <c r="CA1926" t="s">
        <v>5832</v>
      </c>
      <c r="CZ1926" t="s">
        <v>7514</v>
      </c>
      <c r="DA1926" t="s">
        <v>5904</v>
      </c>
      <c r="DB1926">
        <v>610.5</v>
      </c>
      <c r="DC1926" t="s">
        <v>18907</v>
      </c>
      <c r="DD1926" t="s">
        <v>18908</v>
      </c>
      <c r="DE1926" t="s">
        <v>18909</v>
      </c>
      <c r="DF1926" t="s">
        <v>18910</v>
      </c>
      <c r="DG1926" t="s">
        <v>13772</v>
      </c>
      <c r="DH1926" t="str">
        <f>"CLMP"</f>
        <v>CLMP</v>
      </c>
      <c r="DI1926" t="s">
        <v>18911</v>
      </c>
      <c r="DJ1926" t="s">
        <v>13777</v>
      </c>
      <c r="DK1926">
        <v>9606</v>
      </c>
      <c r="DL1926" s="34" t="str">
        <f>HYPERLINK("http://www.uniprot.org/uniprot/Q9H6B4", "Q9H6B4")</f>
        <v>Q9H6B4</v>
      </c>
      <c r="DM1926" t="s">
        <v>18912</v>
      </c>
      <c r="DN1926" t="s">
        <v>13772</v>
      </c>
      <c r="DO1926" t="s">
        <v>18913</v>
      </c>
      <c r="DP1926" t="s">
        <v>13793</v>
      </c>
      <c r="DQ1926" t="s">
        <v>13772</v>
      </c>
      <c r="DR1926" t="s">
        <v>13807</v>
      </c>
      <c r="DS1926" t="s">
        <v>13951</v>
      </c>
      <c r="DT1926" t="s">
        <v>13772</v>
      </c>
      <c r="DU1926" t="s">
        <v>13772</v>
      </c>
      <c r="DV1926" t="s">
        <v>13796</v>
      </c>
      <c r="DW1926" t="s">
        <v>13772</v>
      </c>
      <c r="DX1926" t="s">
        <v>18914</v>
      </c>
      <c r="DY1926" t="s">
        <v>18915</v>
      </c>
      <c r="DZ1926" t="s">
        <v>13772</v>
      </c>
      <c r="EA1926" t="s">
        <v>13772</v>
      </c>
      <c r="EB1926" t="s">
        <v>13772</v>
      </c>
    </row>
    <row r="1927" spans="1:132" hidden="1">
      <c r="A1927">
        <v>548</v>
      </c>
      <c r="B1927">
        <v>1</v>
      </c>
      <c r="C1927" t="s">
        <v>1367</v>
      </c>
      <c r="D1927" t="s">
        <v>1368</v>
      </c>
      <c r="E1927" t="s">
        <v>73</v>
      </c>
      <c r="F1927" t="s">
        <v>73</v>
      </c>
      <c r="G1927" t="s">
        <v>73</v>
      </c>
      <c r="H1927">
        <v>5.6</v>
      </c>
      <c r="I1927">
        <v>944</v>
      </c>
      <c r="J1927">
        <v>104802</v>
      </c>
      <c r="K1927" t="s">
        <v>1369</v>
      </c>
      <c r="L1927">
        <f t="shared" si="122"/>
        <v>5</v>
      </c>
      <c r="N1927">
        <v>5</v>
      </c>
      <c r="O1927">
        <v>5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1</v>
      </c>
      <c r="BH1927" s="2">
        <v>1</v>
      </c>
      <c r="BI1927" s="2">
        <v>0</v>
      </c>
      <c r="BJ1927" s="2">
        <v>3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f t="shared" ref="BV1927:BV1990" si="125">SUM(BC1927:BU1927)</f>
        <v>5</v>
      </c>
      <c r="BW1927" s="16">
        <f t="shared" si="123"/>
        <v>0.26315789473684209</v>
      </c>
      <c r="BX1927" s="16">
        <f>COUNTIF($BC$6:BU1927, "=0") / COUNTIF($BC$6:BU1927, "&gt;-1")</f>
        <v>0.46568815378717343</v>
      </c>
      <c r="BY1927" s="18">
        <f>SUM($BC$6:BU1927) / $BY$4</f>
        <v>0.99510751268860265</v>
      </c>
      <c r="BZ1927" s="14">
        <f t="shared" si="124"/>
        <v>16</v>
      </c>
      <c r="CA1927" t="s">
        <v>5832</v>
      </c>
      <c r="CZ1927" t="s">
        <v>7594</v>
      </c>
      <c r="DA1927" t="s">
        <v>5904</v>
      </c>
      <c r="DB1927">
        <v>1822.8</v>
      </c>
      <c r="DC1927" t="s">
        <v>19170</v>
      </c>
      <c r="DD1927" t="s">
        <v>19171</v>
      </c>
      <c r="DE1927" t="s">
        <v>19172</v>
      </c>
      <c r="DF1927" t="s">
        <v>19173</v>
      </c>
      <c r="DG1927" t="s">
        <v>19174</v>
      </c>
      <c r="DH1927" t="str">
        <f>"AP2A2"</f>
        <v>AP2A2</v>
      </c>
      <c r="DI1927" t="s">
        <v>19175</v>
      </c>
      <c r="DJ1927" t="s">
        <v>13777</v>
      </c>
      <c r="DK1927">
        <v>9606</v>
      </c>
      <c r="DL1927" s="34" t="str">
        <f>HYPERLINK("http://www.uniprot.org/uniprot/O94973", "O94973")</f>
        <v>O94973</v>
      </c>
      <c r="DM1927" t="s">
        <v>19176</v>
      </c>
      <c r="DN1927" t="s">
        <v>19177</v>
      </c>
      <c r="DO1927" t="s">
        <v>19178</v>
      </c>
      <c r="DP1927" t="s">
        <v>13841</v>
      </c>
      <c r="DQ1927" t="s">
        <v>13772</v>
      </c>
      <c r="DR1927" t="s">
        <v>13772</v>
      </c>
      <c r="DS1927" t="s">
        <v>13772</v>
      </c>
      <c r="DT1927" t="s">
        <v>13900</v>
      </c>
      <c r="DU1927" t="s">
        <v>13772</v>
      </c>
      <c r="DV1927" t="s">
        <v>13772</v>
      </c>
      <c r="DW1927" t="s">
        <v>13772</v>
      </c>
      <c r="DX1927" t="s">
        <v>19179</v>
      </c>
      <c r="DY1927" t="s">
        <v>19180</v>
      </c>
      <c r="DZ1927" t="s">
        <v>19181</v>
      </c>
      <c r="EA1927" t="s">
        <v>13772</v>
      </c>
      <c r="EB1927" t="s">
        <v>19182</v>
      </c>
    </row>
    <row r="1928" spans="1:132" hidden="1">
      <c r="A1928">
        <v>561</v>
      </c>
      <c r="B1928">
        <v>1</v>
      </c>
      <c r="C1928" t="s">
        <v>1399</v>
      </c>
      <c r="D1928" t="s">
        <v>1400</v>
      </c>
      <c r="E1928" t="s">
        <v>73</v>
      </c>
      <c r="F1928" t="s">
        <v>73</v>
      </c>
      <c r="G1928" t="s">
        <v>73</v>
      </c>
      <c r="H1928">
        <v>13.8</v>
      </c>
      <c r="I1928">
        <v>434</v>
      </c>
      <c r="J1928">
        <v>48112</v>
      </c>
      <c r="K1928" t="s">
        <v>1401</v>
      </c>
      <c r="L1928">
        <f t="shared" si="122"/>
        <v>5</v>
      </c>
      <c r="N1928">
        <v>5</v>
      </c>
      <c r="O1928">
        <v>5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5</v>
      </c>
      <c r="BA1928">
        <v>0</v>
      </c>
      <c r="BB1928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5</v>
      </c>
      <c r="BT1928" s="2">
        <v>0</v>
      </c>
      <c r="BU1928" s="2">
        <v>0</v>
      </c>
      <c r="BV1928" s="2">
        <f t="shared" si="125"/>
        <v>5</v>
      </c>
      <c r="BW1928" s="16">
        <f t="shared" si="123"/>
        <v>0.26315789473684209</v>
      </c>
      <c r="BX1928" s="16">
        <f>COUNTIF($BC$6:BU1928, "=0") / COUNTIF($BC$6:BU1928, "&gt;-1")</f>
        <v>0.4659386375455018</v>
      </c>
      <c r="BY1928" s="18">
        <f>SUM($BC$6:BU1928) / $BY$4</f>
        <v>0.99512893087294618</v>
      </c>
      <c r="BZ1928" s="14">
        <f t="shared" si="124"/>
        <v>18</v>
      </c>
      <c r="CA1928" t="s">
        <v>5832</v>
      </c>
      <c r="CZ1928" t="s">
        <v>7641</v>
      </c>
      <c r="DA1928" t="s">
        <v>5904</v>
      </c>
      <c r="DB1928">
        <v>563.9</v>
      </c>
      <c r="DC1928" t="s">
        <v>19301</v>
      </c>
      <c r="DD1928" t="s">
        <v>19302</v>
      </c>
      <c r="DE1928" t="s">
        <v>19303</v>
      </c>
      <c r="DF1928" t="s">
        <v>19304</v>
      </c>
      <c r="DG1928" t="s">
        <v>19305</v>
      </c>
      <c r="DH1928" t="str">
        <f>"TCN1"</f>
        <v>TCN1</v>
      </c>
      <c r="DI1928" t="s">
        <v>19306</v>
      </c>
      <c r="DJ1928" t="s">
        <v>13777</v>
      </c>
      <c r="DK1928">
        <v>9606</v>
      </c>
      <c r="DL1928" s="34" t="str">
        <f>HYPERLINK("http://www.uniprot.org/uniprot/P20061", "P20061")</f>
        <v>P20061</v>
      </c>
      <c r="DM1928" t="s">
        <v>19307</v>
      </c>
      <c r="DN1928" t="s">
        <v>18708</v>
      </c>
      <c r="DO1928" t="s">
        <v>14321</v>
      </c>
      <c r="DP1928" t="s">
        <v>13793</v>
      </c>
      <c r="DQ1928" t="s">
        <v>13772</v>
      </c>
      <c r="DR1928" t="s">
        <v>13772</v>
      </c>
      <c r="DS1928" t="s">
        <v>13808</v>
      </c>
      <c r="DT1928" t="s">
        <v>18709</v>
      </c>
      <c r="DU1928" t="s">
        <v>13772</v>
      </c>
      <c r="DV1928" t="s">
        <v>13796</v>
      </c>
      <c r="DW1928" t="s">
        <v>13812</v>
      </c>
      <c r="DX1928" t="s">
        <v>19308</v>
      </c>
      <c r="DY1928" t="s">
        <v>19309</v>
      </c>
      <c r="DZ1928" t="s">
        <v>18712</v>
      </c>
      <c r="EA1928" t="s">
        <v>13772</v>
      </c>
      <c r="EB1928" t="s">
        <v>19310</v>
      </c>
    </row>
    <row r="1929" spans="1:132" hidden="1">
      <c r="A1929">
        <v>592</v>
      </c>
      <c r="B1929">
        <v>1</v>
      </c>
      <c r="C1929" t="s">
        <v>1468</v>
      </c>
      <c r="D1929" t="s">
        <v>73</v>
      </c>
      <c r="E1929" t="s">
        <v>73</v>
      </c>
      <c r="F1929" t="s">
        <v>1349</v>
      </c>
      <c r="G1929" t="s">
        <v>73</v>
      </c>
      <c r="H1929">
        <v>3.9</v>
      </c>
      <c r="I1929">
        <v>2746</v>
      </c>
      <c r="J1929">
        <v>295938</v>
      </c>
      <c r="K1929" t="s">
        <v>1469</v>
      </c>
      <c r="L1929">
        <f t="shared" si="122"/>
        <v>12</v>
      </c>
      <c r="N1929">
        <v>12</v>
      </c>
      <c r="O1929">
        <v>5</v>
      </c>
      <c r="P1929">
        <v>0.41699999999999998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2</v>
      </c>
      <c r="AA1929">
        <v>0</v>
      </c>
      <c r="AB1929">
        <v>0</v>
      </c>
      <c r="AC1929">
        <v>3</v>
      </c>
      <c r="AD1929">
        <v>1</v>
      </c>
      <c r="AE1929">
        <v>0</v>
      </c>
      <c r="AF1929">
        <v>1</v>
      </c>
      <c r="AG1929">
        <v>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4</v>
      </c>
      <c r="BA1929">
        <v>0</v>
      </c>
      <c r="BB1929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4</v>
      </c>
      <c r="BT1929" s="2">
        <v>0</v>
      </c>
      <c r="BU1929" s="2">
        <v>0</v>
      </c>
      <c r="BV1929" s="2">
        <f t="shared" si="125"/>
        <v>5</v>
      </c>
      <c r="BW1929" s="16">
        <f t="shared" si="123"/>
        <v>0.26315789473684209</v>
      </c>
      <c r="BX1929" s="16">
        <f>COUNTIF($BC$6:BU1929, "=0") / COUNTIF($BC$6:BU1929, "&gt;-1")</f>
        <v>0.46616150563518982</v>
      </c>
      <c r="BY1929" s="18">
        <f>SUM($BC$6:BU1929) / $BY$4</f>
        <v>0.99515034905728972</v>
      </c>
      <c r="BZ1929" s="14">
        <f t="shared" si="124"/>
        <v>17</v>
      </c>
      <c r="CA1929" t="s">
        <v>5832</v>
      </c>
      <c r="CZ1929" t="s">
        <v>7746</v>
      </c>
      <c r="DA1929" t="s">
        <v>5896</v>
      </c>
      <c r="DB1929">
        <v>2589.6999999999998</v>
      </c>
      <c r="DC1929" t="s">
        <v>19621</v>
      </c>
      <c r="DD1929" t="s">
        <v>19622</v>
      </c>
      <c r="DE1929" t="s">
        <v>19623</v>
      </c>
      <c r="DF1929" t="s">
        <v>19624</v>
      </c>
      <c r="DG1929" t="s">
        <v>19625</v>
      </c>
      <c r="DH1929" t="str">
        <f>"MUC5AC"</f>
        <v>MUC5AC</v>
      </c>
      <c r="DI1929" t="s">
        <v>13772</v>
      </c>
      <c r="DJ1929" t="s">
        <v>13777</v>
      </c>
      <c r="DK1929">
        <v>9606</v>
      </c>
      <c r="DL1929" s="34" t="str">
        <f>HYPERLINK("http://www.uniprot.org/uniprot/P98088", "P98088")</f>
        <v>P98088</v>
      </c>
      <c r="DM1929" t="s">
        <v>19626</v>
      </c>
      <c r="DN1929" t="s">
        <v>13772</v>
      </c>
      <c r="DO1929" t="s">
        <v>14321</v>
      </c>
      <c r="DP1929" t="s">
        <v>13793</v>
      </c>
      <c r="DQ1929" t="s">
        <v>13772</v>
      </c>
      <c r="DR1929" t="s">
        <v>13772</v>
      </c>
      <c r="DS1929" t="s">
        <v>14404</v>
      </c>
      <c r="DT1929" t="s">
        <v>13772</v>
      </c>
      <c r="DU1929" t="s">
        <v>13772</v>
      </c>
      <c r="DV1929" t="s">
        <v>13796</v>
      </c>
      <c r="DW1929" t="s">
        <v>13812</v>
      </c>
      <c r="DX1929" t="s">
        <v>19627</v>
      </c>
      <c r="DY1929" t="s">
        <v>19628</v>
      </c>
      <c r="DZ1929" t="s">
        <v>19629</v>
      </c>
      <c r="EA1929" t="s">
        <v>13772</v>
      </c>
      <c r="EB1929" t="s">
        <v>19090</v>
      </c>
    </row>
    <row r="1930" spans="1:132" hidden="1">
      <c r="A1930">
        <v>601</v>
      </c>
      <c r="B1930">
        <v>1</v>
      </c>
      <c r="C1930" t="s">
        <v>1489</v>
      </c>
      <c r="D1930" t="s">
        <v>73</v>
      </c>
      <c r="E1930" t="s">
        <v>73</v>
      </c>
      <c r="F1930" t="s">
        <v>73</v>
      </c>
      <c r="G1930" t="s">
        <v>73</v>
      </c>
      <c r="H1930">
        <v>24.8</v>
      </c>
      <c r="I1930">
        <v>226</v>
      </c>
      <c r="J1930">
        <v>25171</v>
      </c>
      <c r="K1930" t="s">
        <v>1490</v>
      </c>
      <c r="L1930">
        <f t="shared" si="122"/>
        <v>5</v>
      </c>
      <c r="N1930">
        <v>5</v>
      </c>
      <c r="O1930">
        <v>5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4</v>
      </c>
      <c r="BA1930">
        <v>0</v>
      </c>
      <c r="BB1930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4</v>
      </c>
      <c r="BT1930" s="2">
        <v>0</v>
      </c>
      <c r="BU1930" s="2">
        <v>0</v>
      </c>
      <c r="BV1930" s="2">
        <f t="shared" si="125"/>
        <v>5</v>
      </c>
      <c r="BW1930" s="16">
        <f t="shared" si="123"/>
        <v>0.26315789473684209</v>
      </c>
      <c r="BX1930" s="16">
        <f>COUNTIF($BC$6:BU1930, "=0") / COUNTIF($BC$6:BU1930, "&gt;-1")</f>
        <v>0.46638414217361585</v>
      </c>
      <c r="BY1930" s="18">
        <f>SUM($BC$6:BU1930) / $BY$4</f>
        <v>0.99517176724163314</v>
      </c>
      <c r="BZ1930" s="14">
        <f t="shared" si="124"/>
        <v>17</v>
      </c>
      <c r="CA1930" t="s">
        <v>5832</v>
      </c>
      <c r="CZ1930" t="s">
        <v>7775</v>
      </c>
      <c r="DA1930" t="s">
        <v>5904</v>
      </c>
      <c r="DB1930">
        <v>217.6</v>
      </c>
      <c r="DC1930" t="s">
        <v>19711</v>
      </c>
      <c r="DD1930" t="s">
        <v>19712</v>
      </c>
      <c r="DE1930" t="s">
        <v>19713</v>
      </c>
      <c r="DF1930" t="s">
        <v>19714</v>
      </c>
      <c r="DG1930" t="s">
        <v>19715</v>
      </c>
      <c r="DH1930" t="str">
        <f>"PRG2"</f>
        <v>PRG2</v>
      </c>
      <c r="DI1930" t="s">
        <v>19716</v>
      </c>
      <c r="DJ1930" t="s">
        <v>13777</v>
      </c>
      <c r="DK1930">
        <v>9606</v>
      </c>
      <c r="DL1930" s="34" t="str">
        <f>HYPERLINK("http://www.uniprot.org/uniprot/P13727", "P13727")</f>
        <v>P13727</v>
      </c>
      <c r="DM1930" t="s">
        <v>19717</v>
      </c>
      <c r="DN1930" t="s">
        <v>13791</v>
      </c>
      <c r="DO1930" t="s">
        <v>16982</v>
      </c>
      <c r="DP1930" t="s">
        <v>13780</v>
      </c>
      <c r="DQ1930" t="s">
        <v>13772</v>
      </c>
      <c r="DR1930" t="s">
        <v>13772</v>
      </c>
      <c r="DS1930" t="s">
        <v>13808</v>
      </c>
      <c r="DT1930" t="s">
        <v>14277</v>
      </c>
      <c r="DU1930" t="s">
        <v>19718</v>
      </c>
      <c r="DV1930" t="s">
        <v>19719</v>
      </c>
      <c r="DW1930" t="s">
        <v>13812</v>
      </c>
      <c r="DX1930" t="s">
        <v>19720</v>
      </c>
      <c r="DY1930" t="s">
        <v>19721</v>
      </c>
      <c r="DZ1930" t="s">
        <v>19722</v>
      </c>
      <c r="EA1930" t="s">
        <v>13772</v>
      </c>
      <c r="EB1930" t="s">
        <v>13890</v>
      </c>
    </row>
    <row r="1931" spans="1:132" hidden="1">
      <c r="A1931">
        <v>641</v>
      </c>
      <c r="B1931">
        <v>1</v>
      </c>
      <c r="C1931" t="s">
        <v>1585</v>
      </c>
      <c r="D1931" t="s">
        <v>73</v>
      </c>
      <c r="E1931" t="s">
        <v>73</v>
      </c>
      <c r="F1931" t="s">
        <v>73</v>
      </c>
      <c r="G1931" t="s">
        <v>73</v>
      </c>
      <c r="H1931">
        <v>48.4</v>
      </c>
      <c r="I1931">
        <v>91</v>
      </c>
      <c r="J1931">
        <v>9614</v>
      </c>
      <c r="K1931" t="s">
        <v>1586</v>
      </c>
      <c r="L1931">
        <f t="shared" si="122"/>
        <v>5</v>
      </c>
      <c r="N1931">
        <v>5</v>
      </c>
      <c r="O1931">
        <v>5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2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1</v>
      </c>
      <c r="BL1931" s="2">
        <v>0</v>
      </c>
      <c r="BM1931" s="2">
        <v>2</v>
      </c>
      <c r="BN1931" s="2">
        <v>1</v>
      </c>
      <c r="BO1931" s="2">
        <v>0</v>
      </c>
      <c r="BP1931" s="2">
        <v>0</v>
      </c>
      <c r="BQ1931" s="2">
        <v>0</v>
      </c>
      <c r="BR1931" s="2">
        <v>1</v>
      </c>
      <c r="BS1931" s="2">
        <v>0</v>
      </c>
      <c r="BT1931" s="2">
        <v>0</v>
      </c>
      <c r="BU1931" s="2">
        <v>0</v>
      </c>
      <c r="BV1931" s="2">
        <f t="shared" si="125"/>
        <v>5</v>
      </c>
      <c r="BW1931" s="16">
        <f t="shared" si="123"/>
        <v>0.26315789473684209</v>
      </c>
      <c r="BX1931" s="16">
        <f>COUNTIF($BC$6:BU1931, "=0") / COUNTIF($BC$6:BU1931, "&gt;-1")</f>
        <v>0.46655189375307426</v>
      </c>
      <c r="BY1931" s="18">
        <f>SUM($BC$6:BU1931) / $BY$4</f>
        <v>0.99519318542597668</v>
      </c>
      <c r="BZ1931" s="14">
        <f t="shared" si="124"/>
        <v>15</v>
      </c>
      <c r="CA1931" t="s">
        <v>5832</v>
      </c>
      <c r="CZ1931" t="s">
        <v>7907</v>
      </c>
      <c r="DA1931" t="s">
        <v>5904</v>
      </c>
      <c r="DB1931">
        <v>186</v>
      </c>
      <c r="DC1931" t="s">
        <v>20118</v>
      </c>
      <c r="DD1931" t="s">
        <v>20119</v>
      </c>
      <c r="DE1931" t="s">
        <v>20120</v>
      </c>
      <c r="DF1931" t="s">
        <v>20121</v>
      </c>
      <c r="DG1931" t="s">
        <v>20122</v>
      </c>
      <c r="DH1931" t="str">
        <f>"LAMTOR5"</f>
        <v>LAMTOR5</v>
      </c>
      <c r="DI1931" t="s">
        <v>20123</v>
      </c>
      <c r="DJ1931" t="s">
        <v>13777</v>
      </c>
      <c r="DK1931">
        <v>9606</v>
      </c>
      <c r="DL1931" s="34" t="str">
        <f>HYPERLINK("http://www.uniprot.org/uniprot/O43504", "O43504")</f>
        <v>O43504</v>
      </c>
      <c r="DM1931" t="s">
        <v>20124</v>
      </c>
      <c r="DN1931" t="s">
        <v>13772</v>
      </c>
      <c r="DO1931" t="s">
        <v>20125</v>
      </c>
      <c r="DP1931" t="s">
        <v>13772</v>
      </c>
      <c r="DQ1931" t="s">
        <v>13772</v>
      </c>
      <c r="DR1931" t="s">
        <v>13772</v>
      </c>
      <c r="DS1931" t="s">
        <v>13772</v>
      </c>
      <c r="DT1931" t="s">
        <v>13772</v>
      </c>
      <c r="DU1931" t="s">
        <v>13772</v>
      </c>
      <c r="DV1931" t="s">
        <v>14020</v>
      </c>
      <c r="DW1931" t="s">
        <v>13812</v>
      </c>
      <c r="DX1931" t="s">
        <v>20126</v>
      </c>
      <c r="DY1931" t="s">
        <v>20127</v>
      </c>
      <c r="DZ1931" t="s">
        <v>13772</v>
      </c>
      <c r="EA1931" t="s">
        <v>13772</v>
      </c>
      <c r="EB1931" t="s">
        <v>20128</v>
      </c>
    </row>
    <row r="1932" spans="1:132" hidden="1">
      <c r="A1932">
        <v>704</v>
      </c>
      <c r="B1932">
        <v>1</v>
      </c>
      <c r="C1932" t="s">
        <v>1735</v>
      </c>
      <c r="D1932" t="s">
        <v>73</v>
      </c>
      <c r="E1932" t="s">
        <v>73</v>
      </c>
      <c r="F1932" t="s">
        <v>73</v>
      </c>
      <c r="G1932" t="s">
        <v>73</v>
      </c>
      <c r="H1932">
        <v>1.5</v>
      </c>
      <c r="I1932">
        <v>3295</v>
      </c>
      <c r="J1932">
        <v>349009</v>
      </c>
      <c r="K1932" t="s">
        <v>1736</v>
      </c>
      <c r="L1932">
        <f t="shared" si="122"/>
        <v>5</v>
      </c>
      <c r="N1932">
        <v>5</v>
      </c>
      <c r="O1932">
        <v>5</v>
      </c>
      <c r="P1932">
        <v>1</v>
      </c>
      <c r="Q1932">
        <v>0</v>
      </c>
      <c r="R1932">
        <v>2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2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 s="2">
        <v>0</v>
      </c>
      <c r="BD1932" s="2">
        <v>2</v>
      </c>
      <c r="BE1932" s="2">
        <v>0</v>
      </c>
      <c r="BF1932" s="2">
        <v>0</v>
      </c>
      <c r="BG1932" s="2">
        <v>1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1</v>
      </c>
      <c r="BP1932" s="2">
        <v>1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f t="shared" si="125"/>
        <v>5</v>
      </c>
      <c r="BW1932" s="16">
        <f t="shared" si="123"/>
        <v>0.26315789473684209</v>
      </c>
      <c r="BX1932" s="16">
        <f>COUNTIF($BC$6:BU1932, "=0") / COUNTIF($BC$6:BU1932, "&gt;-1")</f>
        <v>0.46671947122606722</v>
      </c>
      <c r="BY1932" s="18">
        <f>SUM($BC$6:BU1932) / $BY$4</f>
        <v>0.99521460361032021</v>
      </c>
      <c r="BZ1932" s="14">
        <f t="shared" si="124"/>
        <v>15</v>
      </c>
      <c r="CA1932" t="s">
        <v>5832</v>
      </c>
      <c r="CZ1932" t="s">
        <v>8121</v>
      </c>
      <c r="DA1932" t="s">
        <v>5896</v>
      </c>
      <c r="DB1932">
        <v>2377.8000000000002</v>
      </c>
      <c r="DC1932" t="s">
        <v>20738</v>
      </c>
      <c r="DD1932" t="s">
        <v>20739</v>
      </c>
      <c r="DE1932" t="s">
        <v>20740</v>
      </c>
      <c r="DF1932" t="s">
        <v>20741</v>
      </c>
      <c r="DG1932" t="s">
        <v>20742</v>
      </c>
      <c r="DH1932" t="str">
        <f>"MUC16"</f>
        <v>MUC16</v>
      </c>
      <c r="DI1932" t="s">
        <v>13772</v>
      </c>
      <c r="DJ1932" t="s">
        <v>13777</v>
      </c>
      <c r="DK1932">
        <v>9606</v>
      </c>
      <c r="DL1932" s="34" t="str">
        <f>HYPERLINK("http://www.uniprot.org/uniprot/Q8WXI7", "Q8WXI7")</f>
        <v>Q8WXI7</v>
      </c>
      <c r="DM1932" t="s">
        <v>20743</v>
      </c>
      <c r="DN1932" t="s">
        <v>13772</v>
      </c>
      <c r="DO1932" t="s">
        <v>14336</v>
      </c>
      <c r="DP1932" t="s">
        <v>13793</v>
      </c>
      <c r="DQ1932" t="s">
        <v>13772</v>
      </c>
      <c r="DR1932" t="s">
        <v>13772</v>
      </c>
      <c r="DS1932" t="s">
        <v>16604</v>
      </c>
      <c r="DT1932" t="s">
        <v>13772</v>
      </c>
      <c r="DU1932" t="s">
        <v>13772</v>
      </c>
      <c r="DV1932" t="s">
        <v>13964</v>
      </c>
      <c r="DW1932" t="s">
        <v>13772</v>
      </c>
      <c r="DX1932" t="s">
        <v>20744</v>
      </c>
      <c r="DY1932" t="s">
        <v>20745</v>
      </c>
      <c r="DZ1932" t="s">
        <v>13772</v>
      </c>
      <c r="EA1932" t="s">
        <v>13772</v>
      </c>
      <c r="EB1932" t="s">
        <v>19090</v>
      </c>
    </row>
    <row r="1933" spans="1:132" hidden="1">
      <c r="A1933">
        <v>721</v>
      </c>
      <c r="B1933">
        <v>1</v>
      </c>
      <c r="C1933" t="s">
        <v>1764</v>
      </c>
      <c r="D1933" t="s">
        <v>1765</v>
      </c>
      <c r="E1933" t="s">
        <v>73</v>
      </c>
      <c r="F1933" t="s">
        <v>73</v>
      </c>
      <c r="G1933" t="s">
        <v>73</v>
      </c>
      <c r="H1933">
        <v>10.199999999999999</v>
      </c>
      <c r="I1933">
        <v>538</v>
      </c>
      <c r="J1933">
        <v>58309</v>
      </c>
      <c r="K1933" t="s">
        <v>1766</v>
      </c>
      <c r="L1933">
        <f t="shared" si="122"/>
        <v>5</v>
      </c>
      <c r="N1933">
        <v>5</v>
      </c>
      <c r="O1933">
        <v>5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>
        <v>0</v>
      </c>
      <c r="AA1933">
        <v>2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</v>
      </c>
      <c r="AS1933">
        <v>0</v>
      </c>
      <c r="AT1933">
        <v>2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2</v>
      </c>
      <c r="BL1933" s="2">
        <v>0</v>
      </c>
      <c r="BM1933" s="2">
        <v>2</v>
      </c>
      <c r="BN1933" s="2">
        <v>0</v>
      </c>
      <c r="BO1933" s="2">
        <v>1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f t="shared" si="125"/>
        <v>5</v>
      </c>
      <c r="BW1933" s="16">
        <f t="shared" si="123"/>
        <v>0.26315789473684209</v>
      </c>
      <c r="BX1933" s="16">
        <f>COUNTIF($BC$6:BU1933, "=0") / COUNTIF($BC$6:BU1933, "&gt;-1")</f>
        <v>0.46691417340030572</v>
      </c>
      <c r="BY1933" s="18">
        <f>SUM($BC$6:BU1933) / $BY$4</f>
        <v>0.99523602179466364</v>
      </c>
      <c r="BZ1933" s="14">
        <f t="shared" si="124"/>
        <v>16</v>
      </c>
      <c r="CA1933" t="s">
        <v>5832</v>
      </c>
      <c r="CZ1933" t="s">
        <v>8164</v>
      </c>
      <c r="DA1933" t="s">
        <v>5904</v>
      </c>
      <c r="DB1933">
        <v>1026.2</v>
      </c>
      <c r="DC1933" t="s">
        <v>20857</v>
      </c>
      <c r="DD1933" t="s">
        <v>20858</v>
      </c>
      <c r="DE1933" t="s">
        <v>20859</v>
      </c>
      <c r="DF1933" t="s">
        <v>20860</v>
      </c>
      <c r="DG1933" t="s">
        <v>20861</v>
      </c>
      <c r="DH1933" t="str">
        <f>"IMPDH2"</f>
        <v>IMPDH2</v>
      </c>
      <c r="DI1933" t="s">
        <v>20862</v>
      </c>
      <c r="DJ1933" t="s">
        <v>13777</v>
      </c>
      <c r="DK1933">
        <v>9606</v>
      </c>
      <c r="DL1933" s="34" t="str">
        <f>HYPERLINK("http://www.uniprot.org/uniprot/P12268", "P12268")</f>
        <v>P12268</v>
      </c>
      <c r="DM1933" t="s">
        <v>20863</v>
      </c>
      <c r="DN1933" t="s">
        <v>20864</v>
      </c>
      <c r="DO1933" t="s">
        <v>13912</v>
      </c>
      <c r="DP1933" t="s">
        <v>13793</v>
      </c>
      <c r="DQ1933" t="s">
        <v>13772</v>
      </c>
      <c r="DR1933" t="s">
        <v>13772</v>
      </c>
      <c r="DS1933" t="s">
        <v>20865</v>
      </c>
      <c r="DT1933" t="s">
        <v>20866</v>
      </c>
      <c r="DU1933" t="s">
        <v>20867</v>
      </c>
      <c r="DV1933" t="s">
        <v>13991</v>
      </c>
      <c r="DW1933" t="s">
        <v>13812</v>
      </c>
      <c r="DX1933" t="s">
        <v>20868</v>
      </c>
      <c r="DY1933" t="s">
        <v>20869</v>
      </c>
      <c r="DZ1933" t="s">
        <v>20870</v>
      </c>
      <c r="EA1933" t="s">
        <v>20871</v>
      </c>
      <c r="EB1933" t="s">
        <v>20872</v>
      </c>
    </row>
    <row r="1934" spans="1:132" hidden="1">
      <c r="A1934">
        <v>736</v>
      </c>
      <c r="B1934">
        <v>1</v>
      </c>
      <c r="C1934" t="s">
        <v>1804</v>
      </c>
      <c r="D1934" t="s">
        <v>1805</v>
      </c>
      <c r="E1934" t="s">
        <v>73</v>
      </c>
      <c r="F1934" t="s">
        <v>73</v>
      </c>
      <c r="G1934" t="s">
        <v>73</v>
      </c>
      <c r="H1934">
        <v>23.5</v>
      </c>
      <c r="I1934">
        <v>264</v>
      </c>
      <c r="J1934">
        <v>27765</v>
      </c>
      <c r="K1934" t="s">
        <v>1806</v>
      </c>
      <c r="L1934">
        <f t="shared" si="122"/>
        <v>5</v>
      </c>
      <c r="N1934">
        <v>5</v>
      </c>
      <c r="O1934">
        <v>5</v>
      </c>
      <c r="P1934">
        <v>1</v>
      </c>
      <c r="Q1934">
        <v>0</v>
      </c>
      <c r="R1934">
        <v>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2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 s="2">
        <v>0</v>
      </c>
      <c r="BD1934" s="2">
        <v>2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1</v>
      </c>
      <c r="BN1934" s="2">
        <v>2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f t="shared" si="125"/>
        <v>5</v>
      </c>
      <c r="BW1934" s="16">
        <f t="shared" si="123"/>
        <v>0.26315789473684209</v>
      </c>
      <c r="BX1934" s="16">
        <f>COUNTIF($BC$6:BU1934, "=0") / COUNTIF($BC$6:BU1934, "&gt;-1")</f>
        <v>0.46710867370603804</v>
      </c>
      <c r="BY1934" s="18">
        <f>SUM($BC$6:BU1934) / $BY$4</f>
        <v>0.99525743997900717</v>
      </c>
      <c r="BZ1934" s="14">
        <f t="shared" si="124"/>
        <v>16</v>
      </c>
      <c r="CA1934" t="s">
        <v>5832</v>
      </c>
      <c r="CZ1934" t="s">
        <v>8216</v>
      </c>
      <c r="DA1934" t="s">
        <v>5904</v>
      </c>
      <c r="DB1934">
        <v>469.9</v>
      </c>
      <c r="DC1934" t="s">
        <v>21009</v>
      </c>
      <c r="DD1934" t="s">
        <v>21010</v>
      </c>
      <c r="DE1934" t="s">
        <v>21011</v>
      </c>
      <c r="DF1934" t="s">
        <v>21012</v>
      </c>
      <c r="DG1934" t="s">
        <v>21013</v>
      </c>
      <c r="DH1934" t="str">
        <f>"GATD3B"</f>
        <v>GATD3B</v>
      </c>
      <c r="DI1934" t="s">
        <v>13772</v>
      </c>
      <c r="DJ1934" t="s">
        <v>13777</v>
      </c>
      <c r="DK1934">
        <v>9606</v>
      </c>
      <c r="DL1934" s="34" t="str">
        <f>HYPERLINK("http://www.uniprot.org/uniprot/A0A0B4J2D5", "A0A0B4J2D5")</f>
        <v>A0A0B4J2D5</v>
      </c>
      <c r="DM1934" t="s">
        <v>21014</v>
      </c>
      <c r="DN1934" t="s">
        <v>13772</v>
      </c>
      <c r="DO1934" t="s">
        <v>14491</v>
      </c>
      <c r="DP1934" t="s">
        <v>13841</v>
      </c>
      <c r="DQ1934" t="s">
        <v>13772</v>
      </c>
      <c r="DR1934" t="s">
        <v>13772</v>
      </c>
      <c r="DS1934" t="s">
        <v>14391</v>
      </c>
      <c r="DT1934" t="s">
        <v>13772</v>
      </c>
      <c r="DU1934" t="s">
        <v>13772</v>
      </c>
      <c r="DV1934" t="s">
        <v>14020</v>
      </c>
      <c r="DW1934" t="s">
        <v>13772</v>
      </c>
      <c r="DX1934" t="s">
        <v>13772</v>
      </c>
      <c r="DY1934" t="s">
        <v>21015</v>
      </c>
      <c r="DZ1934" t="s">
        <v>13772</v>
      </c>
      <c r="EA1934" t="s">
        <v>13772</v>
      </c>
      <c r="EB1934" t="s">
        <v>13772</v>
      </c>
    </row>
    <row r="1935" spans="1:132" hidden="1">
      <c r="A1935">
        <v>745</v>
      </c>
      <c r="B1935">
        <v>1</v>
      </c>
      <c r="C1935" t="s">
        <v>1830</v>
      </c>
      <c r="D1935" t="s">
        <v>73</v>
      </c>
      <c r="E1935" t="s">
        <v>73</v>
      </c>
      <c r="F1935" t="s">
        <v>73</v>
      </c>
      <c r="G1935" t="s">
        <v>73</v>
      </c>
      <c r="H1935">
        <v>20</v>
      </c>
      <c r="I1935">
        <v>135</v>
      </c>
      <c r="J1935">
        <v>15860</v>
      </c>
      <c r="K1935" t="s">
        <v>1831</v>
      </c>
      <c r="L1935">
        <f t="shared" si="122"/>
        <v>5</v>
      </c>
      <c r="N1935">
        <v>5</v>
      </c>
      <c r="O1935">
        <v>5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2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2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1</v>
      </c>
      <c r="BL1935" s="2">
        <v>0</v>
      </c>
      <c r="BM1935" s="2">
        <v>1</v>
      </c>
      <c r="BN1935" s="2">
        <v>0</v>
      </c>
      <c r="BO1935" s="2">
        <v>2</v>
      </c>
      <c r="BP1935" s="2">
        <v>0</v>
      </c>
      <c r="BQ1935" s="2">
        <v>1</v>
      </c>
      <c r="BR1935" s="2">
        <v>0</v>
      </c>
      <c r="BS1935" s="2">
        <v>0</v>
      </c>
      <c r="BT1935" s="2">
        <v>0</v>
      </c>
      <c r="BU1935" s="2">
        <v>0</v>
      </c>
      <c r="BV1935" s="2">
        <f t="shared" si="125"/>
        <v>5</v>
      </c>
      <c r="BW1935" s="16">
        <f t="shared" si="123"/>
        <v>0.26315789473684209</v>
      </c>
      <c r="BX1935" s="16">
        <f>COUNTIF($BC$6:BU1935, "=0") / COUNTIF($BC$6:BU1935, "&gt;-1")</f>
        <v>0.46727570220889009</v>
      </c>
      <c r="BY1935" s="18">
        <f>SUM($BC$6:BU1935) / $BY$4</f>
        <v>0.99527885816335071</v>
      </c>
      <c r="BZ1935" s="14">
        <f t="shared" si="124"/>
        <v>15</v>
      </c>
      <c r="CA1935" t="s">
        <v>5832</v>
      </c>
      <c r="CZ1935" t="s">
        <v>8249</v>
      </c>
      <c r="DA1935" t="s">
        <v>5904</v>
      </c>
      <c r="DB1935">
        <v>275.39999999999998</v>
      </c>
      <c r="DC1935" t="s">
        <v>21111</v>
      </c>
      <c r="DD1935" t="s">
        <v>21112</v>
      </c>
      <c r="DE1935" t="s">
        <v>21113</v>
      </c>
      <c r="DF1935" t="s">
        <v>21114</v>
      </c>
      <c r="DG1935" t="s">
        <v>21115</v>
      </c>
      <c r="DH1935" t="str">
        <f>"RPL32"</f>
        <v>RPL32</v>
      </c>
      <c r="DI1935" t="s">
        <v>13772</v>
      </c>
      <c r="DJ1935" t="s">
        <v>13777</v>
      </c>
      <c r="DK1935">
        <v>9606</v>
      </c>
      <c r="DL1935" s="34" t="str">
        <f>HYPERLINK("http://www.uniprot.org/uniprot/P62910", "P62910")</f>
        <v>P62910</v>
      </c>
      <c r="DM1935" t="s">
        <v>15719</v>
      </c>
      <c r="DN1935" t="s">
        <v>13772</v>
      </c>
      <c r="DO1935" t="s">
        <v>13772</v>
      </c>
      <c r="DP1935" t="s">
        <v>13772</v>
      </c>
      <c r="DQ1935" t="s">
        <v>13772</v>
      </c>
      <c r="DR1935" t="s">
        <v>13772</v>
      </c>
      <c r="DS1935" t="s">
        <v>13772</v>
      </c>
      <c r="DT1935" t="s">
        <v>13772</v>
      </c>
      <c r="DU1935" t="s">
        <v>13937</v>
      </c>
      <c r="DV1935" t="s">
        <v>13938</v>
      </c>
      <c r="DW1935" t="s">
        <v>13812</v>
      </c>
      <c r="DX1935" t="s">
        <v>17184</v>
      </c>
      <c r="DY1935" t="s">
        <v>21116</v>
      </c>
      <c r="DZ1935" t="s">
        <v>14268</v>
      </c>
      <c r="EA1935" t="s">
        <v>13772</v>
      </c>
      <c r="EB1935" t="s">
        <v>13942</v>
      </c>
    </row>
    <row r="1936" spans="1:132" hidden="1">
      <c r="A1936">
        <v>788</v>
      </c>
      <c r="B1936">
        <v>1</v>
      </c>
      <c r="C1936" t="s">
        <v>1936</v>
      </c>
      <c r="D1936" t="s">
        <v>73</v>
      </c>
      <c r="E1936" t="s">
        <v>73</v>
      </c>
      <c r="F1936" t="s">
        <v>73</v>
      </c>
      <c r="G1936" t="s">
        <v>73</v>
      </c>
      <c r="H1936">
        <v>10</v>
      </c>
      <c r="I1936">
        <v>632</v>
      </c>
      <c r="J1936">
        <v>68040</v>
      </c>
      <c r="K1936" t="s">
        <v>1937</v>
      </c>
      <c r="L1936">
        <f t="shared" si="122"/>
        <v>5</v>
      </c>
      <c r="N1936">
        <v>5</v>
      </c>
      <c r="O1936">
        <v>5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5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5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5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f t="shared" si="125"/>
        <v>5</v>
      </c>
      <c r="BW1936" s="16">
        <f t="shared" si="123"/>
        <v>0.26315789473684209</v>
      </c>
      <c r="BX1936" s="16">
        <f>COUNTIF($BC$6:BU1936, "=0") / COUNTIF($BC$6:BU1936, "&gt;-1")</f>
        <v>0.46752432609228922</v>
      </c>
      <c r="BY1936" s="18">
        <f>SUM($BC$6:BU1936) / $BY$4</f>
        <v>0.99530027634769414</v>
      </c>
      <c r="BZ1936" s="14">
        <f t="shared" si="124"/>
        <v>18</v>
      </c>
      <c r="CA1936" t="s">
        <v>5832</v>
      </c>
      <c r="CZ1936" t="s">
        <v>8399</v>
      </c>
      <c r="DA1936" t="s">
        <v>5904</v>
      </c>
      <c r="DB1936">
        <v>1175.5999999999999</v>
      </c>
      <c r="DC1936" t="s">
        <v>21559</v>
      </c>
      <c r="DD1936" t="s">
        <v>21560</v>
      </c>
      <c r="DE1936" t="s">
        <v>21561</v>
      </c>
      <c r="DF1936" t="s">
        <v>21562</v>
      </c>
      <c r="DG1936" t="s">
        <v>21563</v>
      </c>
      <c r="DH1936" t="str">
        <f>"ILVBL"</f>
        <v>ILVBL</v>
      </c>
      <c r="DI1936" t="s">
        <v>21564</v>
      </c>
      <c r="DJ1936" t="s">
        <v>13777</v>
      </c>
      <c r="DK1936">
        <v>9606</v>
      </c>
      <c r="DL1936" s="34" t="str">
        <f>HYPERLINK("http://www.uniprot.org/uniprot/A1L0T0", "A1L0T0")</f>
        <v>A1L0T0</v>
      </c>
      <c r="DM1936" t="s">
        <v>21565</v>
      </c>
      <c r="DN1936" t="s">
        <v>13772</v>
      </c>
      <c r="DO1936" t="s">
        <v>13825</v>
      </c>
      <c r="DP1936" t="s">
        <v>13793</v>
      </c>
      <c r="DQ1936" t="s">
        <v>13772</v>
      </c>
      <c r="DR1936" t="s">
        <v>13772</v>
      </c>
      <c r="DS1936" t="s">
        <v>13925</v>
      </c>
      <c r="DT1936" t="s">
        <v>20249</v>
      </c>
      <c r="DU1936" t="s">
        <v>14111</v>
      </c>
      <c r="DV1936" t="s">
        <v>13772</v>
      </c>
      <c r="DW1936" t="s">
        <v>13772</v>
      </c>
      <c r="DX1936" t="s">
        <v>13772</v>
      </c>
      <c r="DY1936" t="s">
        <v>21566</v>
      </c>
      <c r="DZ1936" t="s">
        <v>21567</v>
      </c>
      <c r="EA1936" t="s">
        <v>13772</v>
      </c>
      <c r="EB1936" t="s">
        <v>13772</v>
      </c>
    </row>
    <row r="1937" spans="1:132" hidden="1">
      <c r="A1937">
        <v>798</v>
      </c>
      <c r="B1937">
        <v>1</v>
      </c>
      <c r="C1937" t="s">
        <v>1958</v>
      </c>
      <c r="D1937" t="s">
        <v>73</v>
      </c>
      <c r="E1937" t="s">
        <v>73</v>
      </c>
      <c r="F1937" t="s">
        <v>73</v>
      </c>
      <c r="G1937" t="s">
        <v>73</v>
      </c>
      <c r="H1937">
        <v>14.7</v>
      </c>
      <c r="I1937">
        <v>382</v>
      </c>
      <c r="J1937">
        <v>41539</v>
      </c>
      <c r="K1937" t="s">
        <v>1959</v>
      </c>
      <c r="L1937">
        <f t="shared" si="122"/>
        <v>5</v>
      </c>
      <c r="N1937">
        <v>5</v>
      </c>
      <c r="O1937">
        <v>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4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4</v>
      </c>
      <c r="BA1937">
        <v>0</v>
      </c>
      <c r="BB1937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1</v>
      </c>
      <c r="BO1937" s="2">
        <v>0</v>
      </c>
      <c r="BP1937" s="2">
        <v>0</v>
      </c>
      <c r="BQ1937" s="2">
        <v>0</v>
      </c>
      <c r="BR1937" s="2">
        <v>0</v>
      </c>
      <c r="BS1937" s="2">
        <v>4</v>
      </c>
      <c r="BT1937" s="2">
        <v>0</v>
      </c>
      <c r="BU1937" s="2">
        <v>0</v>
      </c>
      <c r="BV1937" s="2">
        <f t="shared" si="125"/>
        <v>5</v>
      </c>
      <c r="BW1937" s="16">
        <f t="shared" si="123"/>
        <v>0.26315789473684209</v>
      </c>
      <c r="BX1937" s="16">
        <f>COUNTIF($BC$6:BU1937, "=0") / COUNTIF($BC$6:BU1937, "&gt;-1")</f>
        <v>0.46774545058297917</v>
      </c>
      <c r="BY1937" s="18">
        <f>SUM($BC$6:BU1937) / $BY$4</f>
        <v>0.99532169453203767</v>
      </c>
      <c r="BZ1937" s="14">
        <f t="shared" si="124"/>
        <v>17</v>
      </c>
      <c r="CA1937" t="s">
        <v>5832</v>
      </c>
      <c r="CZ1937" t="s">
        <v>8432</v>
      </c>
      <c r="DA1937" t="s">
        <v>5904</v>
      </c>
      <c r="DB1937">
        <v>412.9</v>
      </c>
      <c r="DC1937" t="s">
        <v>21660</v>
      </c>
      <c r="DD1937" t="s">
        <v>21661</v>
      </c>
      <c r="DE1937" t="s">
        <v>21662</v>
      </c>
      <c r="DF1937" t="s">
        <v>21663</v>
      </c>
      <c r="DG1937" t="s">
        <v>21664</v>
      </c>
      <c r="DH1937" t="str">
        <f>"MUC13"</f>
        <v>MUC13</v>
      </c>
      <c r="DI1937" t="s">
        <v>21665</v>
      </c>
      <c r="DJ1937" t="s">
        <v>13777</v>
      </c>
      <c r="DK1937">
        <v>9606</v>
      </c>
      <c r="DL1937" s="34" t="str">
        <f>HYPERLINK("http://www.uniprot.org/uniprot/Q9H3R2", "Q9H3R2")</f>
        <v>Q9H3R2</v>
      </c>
      <c r="DM1937" t="s">
        <v>21666</v>
      </c>
      <c r="DN1937" t="s">
        <v>13772</v>
      </c>
      <c r="DO1937" t="s">
        <v>14336</v>
      </c>
      <c r="DP1937" t="s">
        <v>13793</v>
      </c>
      <c r="DQ1937" t="s">
        <v>13772</v>
      </c>
      <c r="DR1937" t="s">
        <v>13772</v>
      </c>
      <c r="DS1937" t="s">
        <v>13963</v>
      </c>
      <c r="DT1937" t="s">
        <v>13772</v>
      </c>
      <c r="DU1937" t="s">
        <v>13772</v>
      </c>
      <c r="DV1937" t="s">
        <v>13796</v>
      </c>
      <c r="DW1937" t="s">
        <v>13772</v>
      </c>
      <c r="DX1937" t="s">
        <v>19638</v>
      </c>
      <c r="DY1937" t="s">
        <v>21667</v>
      </c>
      <c r="DZ1937" t="s">
        <v>20460</v>
      </c>
      <c r="EA1937" t="s">
        <v>13772</v>
      </c>
      <c r="EB1937" t="s">
        <v>19090</v>
      </c>
    </row>
    <row r="1938" spans="1:132" hidden="1">
      <c r="A1938">
        <v>806</v>
      </c>
      <c r="B1938">
        <v>1</v>
      </c>
      <c r="C1938" t="s">
        <v>1977</v>
      </c>
      <c r="D1938" t="s">
        <v>73</v>
      </c>
      <c r="E1938" t="s">
        <v>73</v>
      </c>
      <c r="F1938" t="s">
        <v>73</v>
      </c>
      <c r="G1938" t="s">
        <v>73</v>
      </c>
      <c r="H1938">
        <v>7.5</v>
      </c>
      <c r="I1938">
        <v>626</v>
      </c>
      <c r="J1938">
        <v>68807</v>
      </c>
      <c r="K1938" t="s">
        <v>1978</v>
      </c>
      <c r="L1938">
        <f t="shared" si="122"/>
        <v>5</v>
      </c>
      <c r="N1938">
        <v>5</v>
      </c>
      <c r="O1938">
        <v>5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</v>
      </c>
      <c r="AB1938">
        <v>3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2</v>
      </c>
      <c r="AU1938">
        <v>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2</v>
      </c>
      <c r="BN1938" s="2">
        <v>3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f t="shared" si="125"/>
        <v>5</v>
      </c>
      <c r="BW1938" s="16">
        <f t="shared" si="123"/>
        <v>0.26315789473684209</v>
      </c>
      <c r="BX1938" s="16">
        <f>COUNTIF($BC$6:BU1938, "=0") / COUNTIF($BC$6:BU1938, "&gt;-1")</f>
        <v>0.46796634628474965</v>
      </c>
      <c r="BY1938" s="18">
        <f>SUM($BC$6:BU1938) / $BY$4</f>
        <v>0.99534311271638121</v>
      </c>
      <c r="BZ1938" s="14">
        <f t="shared" si="124"/>
        <v>17</v>
      </c>
      <c r="CA1938" t="s">
        <v>5832</v>
      </c>
      <c r="CZ1938" t="s">
        <v>8460</v>
      </c>
      <c r="DA1938" t="s">
        <v>5904</v>
      </c>
      <c r="DB1938">
        <v>1126.7</v>
      </c>
      <c r="DC1938" t="s">
        <v>21736</v>
      </c>
      <c r="DD1938" t="s">
        <v>13772</v>
      </c>
      <c r="DE1938" t="s">
        <v>21737</v>
      </c>
      <c r="DF1938" t="s">
        <v>21738</v>
      </c>
      <c r="DG1938" t="s">
        <v>21739</v>
      </c>
      <c r="DH1938" t="str">
        <f>"ACAD9"</f>
        <v>ACAD9</v>
      </c>
      <c r="DI1938" t="s">
        <v>13772</v>
      </c>
      <c r="DJ1938" t="s">
        <v>13777</v>
      </c>
      <c r="DK1938">
        <v>9606</v>
      </c>
      <c r="DL1938" s="34" t="str">
        <f>HYPERLINK("http://www.uniprot.org/uniprot/Q9H845", "Q9H845")</f>
        <v>Q9H845</v>
      </c>
      <c r="DM1938" t="s">
        <v>21740</v>
      </c>
      <c r="DN1938" t="s">
        <v>13772</v>
      </c>
      <c r="DO1938" t="s">
        <v>14491</v>
      </c>
      <c r="DP1938" t="s">
        <v>13793</v>
      </c>
      <c r="DQ1938" t="s">
        <v>13772</v>
      </c>
      <c r="DR1938" t="s">
        <v>14390</v>
      </c>
      <c r="DS1938" t="s">
        <v>14391</v>
      </c>
      <c r="DT1938" t="s">
        <v>15580</v>
      </c>
      <c r="DU1938" t="s">
        <v>13885</v>
      </c>
      <c r="DV1938" t="s">
        <v>13886</v>
      </c>
      <c r="DW1938" t="s">
        <v>13772</v>
      </c>
      <c r="DX1938" t="s">
        <v>21741</v>
      </c>
      <c r="DY1938" t="s">
        <v>21742</v>
      </c>
      <c r="DZ1938" t="s">
        <v>21743</v>
      </c>
      <c r="EA1938" t="s">
        <v>13772</v>
      </c>
      <c r="EB1938" t="s">
        <v>21744</v>
      </c>
    </row>
    <row r="1939" spans="1:132" hidden="1">
      <c r="A1939">
        <v>809</v>
      </c>
      <c r="B1939">
        <v>1</v>
      </c>
      <c r="C1939" t="s">
        <v>1984</v>
      </c>
      <c r="D1939" t="s">
        <v>73</v>
      </c>
      <c r="E1939" t="s">
        <v>73</v>
      </c>
      <c r="F1939" t="s">
        <v>73</v>
      </c>
      <c r="G1939" t="s">
        <v>73</v>
      </c>
      <c r="H1939">
        <v>15.7</v>
      </c>
      <c r="I1939">
        <v>351</v>
      </c>
      <c r="J1939">
        <v>38224</v>
      </c>
      <c r="K1939" t="s">
        <v>1985</v>
      </c>
      <c r="L1939">
        <f t="shared" si="122"/>
        <v>5</v>
      </c>
      <c r="N1939">
        <v>5</v>
      </c>
      <c r="O1939">
        <v>5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5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f t="shared" si="125"/>
        <v>5</v>
      </c>
      <c r="BW1939" s="16">
        <f t="shared" si="123"/>
        <v>0.26315789473684209</v>
      </c>
      <c r="BX1939" s="16">
        <f>COUNTIF($BC$6:BU1939, "=0") / COUNTIF($BC$6:BU1939, "&gt;-1")</f>
        <v>0.46821422739890056</v>
      </c>
      <c r="BY1939" s="18">
        <f>SUM($BC$6:BU1939) / $BY$4</f>
        <v>0.99536453090072474</v>
      </c>
      <c r="BZ1939" s="14">
        <f t="shared" si="124"/>
        <v>18</v>
      </c>
      <c r="CA1939" t="s">
        <v>5832</v>
      </c>
      <c r="CZ1939" t="s">
        <v>8471</v>
      </c>
      <c r="DA1939" t="s">
        <v>5904</v>
      </c>
      <c r="DB1939">
        <v>695.7</v>
      </c>
      <c r="DC1939" t="s">
        <v>21773</v>
      </c>
      <c r="DD1939" t="s">
        <v>13772</v>
      </c>
      <c r="DE1939" t="s">
        <v>21774</v>
      </c>
      <c r="DF1939" t="s">
        <v>21775</v>
      </c>
      <c r="DG1939" t="s">
        <v>21776</v>
      </c>
      <c r="DH1939" t="str">
        <f>"GPD1L"</f>
        <v>GPD1L</v>
      </c>
      <c r="DI1939" t="s">
        <v>21777</v>
      </c>
      <c r="DJ1939" t="s">
        <v>13777</v>
      </c>
      <c r="DK1939">
        <v>9606</v>
      </c>
      <c r="DL1939" s="34" t="str">
        <f>HYPERLINK("http://www.uniprot.org/uniprot/Q8N335", "Q8N335")</f>
        <v>Q8N335</v>
      </c>
      <c r="DM1939" t="s">
        <v>21778</v>
      </c>
      <c r="DN1939" t="s">
        <v>13772</v>
      </c>
      <c r="DO1939" t="s">
        <v>13899</v>
      </c>
      <c r="DP1939" t="s">
        <v>13793</v>
      </c>
      <c r="DQ1939" t="s">
        <v>13772</v>
      </c>
      <c r="DR1939" t="s">
        <v>21779</v>
      </c>
      <c r="DS1939" t="s">
        <v>13772</v>
      </c>
      <c r="DT1939" t="s">
        <v>14492</v>
      </c>
      <c r="DU1939" t="s">
        <v>13885</v>
      </c>
      <c r="DV1939" t="s">
        <v>13772</v>
      </c>
      <c r="DW1939" t="s">
        <v>13812</v>
      </c>
      <c r="DX1939" t="s">
        <v>21780</v>
      </c>
      <c r="DY1939" t="s">
        <v>21781</v>
      </c>
      <c r="DZ1939" t="s">
        <v>21782</v>
      </c>
      <c r="EA1939" t="s">
        <v>13772</v>
      </c>
      <c r="EB1939" t="s">
        <v>16962</v>
      </c>
    </row>
    <row r="1940" spans="1:132" hidden="1">
      <c r="A1940">
        <v>838</v>
      </c>
      <c r="B1940">
        <v>1</v>
      </c>
      <c r="C1940" t="s">
        <v>2053</v>
      </c>
      <c r="D1940" t="s">
        <v>2054</v>
      </c>
      <c r="E1940" t="s">
        <v>73</v>
      </c>
      <c r="F1940" t="s">
        <v>73</v>
      </c>
      <c r="G1940" t="s">
        <v>73</v>
      </c>
      <c r="H1940">
        <v>4.7</v>
      </c>
      <c r="I1940">
        <v>758</v>
      </c>
      <c r="J1940">
        <v>87266</v>
      </c>
      <c r="K1940" t="s">
        <v>2055</v>
      </c>
      <c r="L1940">
        <f t="shared" si="122"/>
        <v>5</v>
      </c>
      <c r="N1940">
        <v>5</v>
      </c>
      <c r="O1940">
        <v>5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3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3</v>
      </c>
      <c r="BI1940" s="2">
        <v>0</v>
      </c>
      <c r="BJ1940" s="2">
        <v>0</v>
      </c>
      <c r="BK1940" s="2">
        <v>0</v>
      </c>
      <c r="BL1940" s="2">
        <v>1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f t="shared" si="125"/>
        <v>5</v>
      </c>
      <c r="BW1940" s="16">
        <f t="shared" si="123"/>
        <v>0.26315789473684209</v>
      </c>
      <c r="BX1940" s="16">
        <f>COUNTIF($BC$6:BU1940, "=0") / COUNTIF($BC$6:BU1940, "&gt;-1")</f>
        <v>0.46840745274037809</v>
      </c>
      <c r="BY1940" s="18">
        <f>SUM($BC$6:BU1940) / $BY$4</f>
        <v>0.99538594908506817</v>
      </c>
      <c r="BZ1940" s="14">
        <f t="shared" si="124"/>
        <v>16</v>
      </c>
      <c r="CA1940" t="s">
        <v>5832</v>
      </c>
      <c r="CZ1940" t="s">
        <v>8570</v>
      </c>
      <c r="DA1940" t="s">
        <v>5904</v>
      </c>
      <c r="DB1940">
        <v>1461.8</v>
      </c>
      <c r="DC1940" t="s">
        <v>22052</v>
      </c>
      <c r="DD1940" t="s">
        <v>22053</v>
      </c>
      <c r="DE1940" t="s">
        <v>22054</v>
      </c>
      <c r="DF1940" t="s">
        <v>22055</v>
      </c>
      <c r="DG1940" t="s">
        <v>22056</v>
      </c>
      <c r="DH1940" t="str">
        <f>"PLOD2"</f>
        <v>PLOD2</v>
      </c>
      <c r="DI1940" t="s">
        <v>13772</v>
      </c>
      <c r="DJ1940" t="s">
        <v>13777</v>
      </c>
      <c r="DK1940">
        <v>9606</v>
      </c>
      <c r="DL1940" s="34" t="str">
        <f>HYPERLINK("http://www.uniprot.org/uniprot/O00469", "O00469")</f>
        <v>O00469</v>
      </c>
      <c r="DM1940" t="s">
        <v>22057</v>
      </c>
      <c r="DN1940" t="s">
        <v>13772</v>
      </c>
      <c r="DO1940" t="s">
        <v>14714</v>
      </c>
      <c r="DP1940" t="s">
        <v>13841</v>
      </c>
      <c r="DQ1940" t="s">
        <v>13772</v>
      </c>
      <c r="DR1940" t="s">
        <v>22058</v>
      </c>
      <c r="DS1940" t="s">
        <v>13808</v>
      </c>
      <c r="DT1940" t="s">
        <v>15311</v>
      </c>
      <c r="DU1940" t="s">
        <v>14433</v>
      </c>
      <c r="DV1940" t="s">
        <v>13978</v>
      </c>
      <c r="DW1940" t="s">
        <v>13772</v>
      </c>
      <c r="DX1940" t="s">
        <v>22059</v>
      </c>
      <c r="DY1940" t="s">
        <v>22060</v>
      </c>
      <c r="DZ1940" t="s">
        <v>22061</v>
      </c>
      <c r="EA1940" t="s">
        <v>13772</v>
      </c>
      <c r="EB1940" t="s">
        <v>15055</v>
      </c>
    </row>
    <row r="1941" spans="1:132" hidden="1">
      <c r="A1941">
        <v>867</v>
      </c>
      <c r="B1941">
        <v>1</v>
      </c>
      <c r="C1941" t="s">
        <v>2119</v>
      </c>
      <c r="D1941" t="s">
        <v>73</v>
      </c>
      <c r="E1941" t="s">
        <v>73</v>
      </c>
      <c r="F1941" t="s">
        <v>73</v>
      </c>
      <c r="G1941" t="s">
        <v>73</v>
      </c>
      <c r="H1941">
        <v>3.1</v>
      </c>
      <c r="I1941">
        <v>716</v>
      </c>
      <c r="J1941">
        <v>80685</v>
      </c>
      <c r="K1941" t="s">
        <v>2120</v>
      </c>
      <c r="L1941">
        <f t="shared" si="122"/>
        <v>5</v>
      </c>
      <c r="N1941">
        <v>5</v>
      </c>
      <c r="O1941">
        <v>5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3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3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f t="shared" si="125"/>
        <v>5</v>
      </c>
      <c r="BW1941" s="16">
        <f t="shared" si="123"/>
        <v>0.26315789473684209</v>
      </c>
      <c r="BX1941" s="16">
        <f>COUNTIF($BC$6:BU1941, "=0") / COUNTIF($BC$6:BU1941, "&gt;-1")</f>
        <v>0.46860047846889952</v>
      </c>
      <c r="BY1941" s="18">
        <f>SUM($BC$6:BU1941) / $BY$4</f>
        <v>0.9954073672694117</v>
      </c>
      <c r="BZ1941" s="14">
        <f t="shared" si="124"/>
        <v>16</v>
      </c>
      <c r="CA1941" t="s">
        <v>5832</v>
      </c>
      <c r="CZ1941" t="s">
        <v>8665</v>
      </c>
      <c r="DA1941" t="s">
        <v>5904</v>
      </c>
      <c r="DB1941">
        <v>1445.2</v>
      </c>
      <c r="DC1941" t="s">
        <v>22325</v>
      </c>
      <c r="DD1941" t="s">
        <v>22326</v>
      </c>
      <c r="DE1941" t="s">
        <v>22327</v>
      </c>
      <c r="DF1941" t="s">
        <v>22328</v>
      </c>
      <c r="DG1941" t="s">
        <v>22329</v>
      </c>
      <c r="DH1941" t="str">
        <f>"LRRN1"</f>
        <v>LRRN1</v>
      </c>
      <c r="DI1941" t="s">
        <v>22330</v>
      </c>
      <c r="DJ1941" t="s">
        <v>13777</v>
      </c>
      <c r="DK1941">
        <v>9606</v>
      </c>
      <c r="DL1941" s="34" t="str">
        <f>HYPERLINK("http://www.uniprot.org/uniprot/Q6UXK5", "Q6UXK5")</f>
        <v>Q6UXK5</v>
      </c>
      <c r="DM1941" t="s">
        <v>22331</v>
      </c>
      <c r="DN1941" t="s">
        <v>13772</v>
      </c>
      <c r="DO1941" t="s">
        <v>13825</v>
      </c>
      <c r="DP1941" t="s">
        <v>13793</v>
      </c>
      <c r="DQ1941" t="s">
        <v>13772</v>
      </c>
      <c r="DR1941" t="s">
        <v>13772</v>
      </c>
      <c r="DS1941" t="s">
        <v>22203</v>
      </c>
      <c r="DT1941" t="s">
        <v>13772</v>
      </c>
      <c r="DU1941" t="s">
        <v>13772</v>
      </c>
      <c r="DV1941" t="s">
        <v>13796</v>
      </c>
      <c r="DW1941" t="s">
        <v>13772</v>
      </c>
      <c r="DX1941" t="s">
        <v>22332</v>
      </c>
      <c r="DY1941" t="s">
        <v>22333</v>
      </c>
      <c r="DZ1941" t="s">
        <v>13772</v>
      </c>
      <c r="EA1941" t="s">
        <v>13772</v>
      </c>
      <c r="EB1941" t="s">
        <v>13772</v>
      </c>
    </row>
    <row r="1942" spans="1:132" hidden="1">
      <c r="A1942">
        <v>874</v>
      </c>
      <c r="B1942">
        <v>1</v>
      </c>
      <c r="C1942" t="s">
        <v>2134</v>
      </c>
      <c r="D1942" t="s">
        <v>2135</v>
      </c>
      <c r="E1942" t="s">
        <v>73</v>
      </c>
      <c r="F1942" t="s">
        <v>73</v>
      </c>
      <c r="G1942" t="s">
        <v>73</v>
      </c>
      <c r="H1942">
        <v>9.9</v>
      </c>
      <c r="I1942">
        <v>294</v>
      </c>
      <c r="J1942">
        <v>33176</v>
      </c>
      <c r="K1942" t="s">
        <v>2136</v>
      </c>
      <c r="L1942">
        <f t="shared" si="122"/>
        <v>5</v>
      </c>
      <c r="N1942">
        <v>5</v>
      </c>
      <c r="O1942">
        <v>5</v>
      </c>
      <c r="P1942">
        <v>1</v>
      </c>
      <c r="Q1942">
        <v>0</v>
      </c>
      <c r="R1942">
        <v>1</v>
      </c>
      <c r="S1942">
        <v>2</v>
      </c>
      <c r="T1942">
        <v>0</v>
      </c>
      <c r="U1942">
        <v>0</v>
      </c>
      <c r="V1942">
        <v>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2</v>
      </c>
      <c r="AM1942">
        <v>0</v>
      </c>
      <c r="AN1942">
        <v>0</v>
      </c>
      <c r="AO1942">
        <v>2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 s="2">
        <v>0</v>
      </c>
      <c r="BD1942" s="2">
        <v>1</v>
      </c>
      <c r="BE1942" s="2">
        <v>2</v>
      </c>
      <c r="BF1942" s="2">
        <v>0</v>
      </c>
      <c r="BG1942" s="2">
        <v>0</v>
      </c>
      <c r="BH1942" s="2">
        <v>2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f t="shared" si="125"/>
        <v>5</v>
      </c>
      <c r="BW1942" s="16">
        <f t="shared" si="123"/>
        <v>0.26315789473684209</v>
      </c>
      <c r="BX1942" s="16">
        <f>COUNTIF($BC$6:BU1942, "=0") / COUNTIF($BC$6:BU1942, "&gt;-1")</f>
        <v>0.46879330489362281</v>
      </c>
      <c r="BY1942" s="18">
        <f>SUM($BC$6:BU1942) / $BY$4</f>
        <v>0.99542878545375524</v>
      </c>
      <c r="BZ1942" s="14">
        <f t="shared" si="124"/>
        <v>16</v>
      </c>
      <c r="CA1942" t="s">
        <v>5832</v>
      </c>
      <c r="CZ1942" t="s">
        <v>8689</v>
      </c>
      <c r="DA1942" t="s">
        <v>6759</v>
      </c>
      <c r="DB1942">
        <v>85.1</v>
      </c>
      <c r="DC1942" t="s">
        <v>22398</v>
      </c>
      <c r="DD1942" t="s">
        <v>22399</v>
      </c>
      <c r="DE1942" t="s">
        <v>22400</v>
      </c>
      <c r="DF1942" t="s">
        <v>22401</v>
      </c>
      <c r="DG1942" t="s">
        <v>22402</v>
      </c>
      <c r="DH1942" t="str">
        <f>"CD200"</f>
        <v>CD200</v>
      </c>
      <c r="DI1942" t="s">
        <v>22403</v>
      </c>
      <c r="DJ1942" t="s">
        <v>13777</v>
      </c>
      <c r="DK1942">
        <v>9606</v>
      </c>
      <c r="DL1942" s="34" t="str">
        <f>HYPERLINK("http://www.uniprot.org/uniprot/P41217", "P41217")</f>
        <v>P41217</v>
      </c>
      <c r="DM1942" t="s">
        <v>22404</v>
      </c>
      <c r="DN1942" t="s">
        <v>13772</v>
      </c>
      <c r="DO1942" t="s">
        <v>13792</v>
      </c>
      <c r="DP1942" t="s">
        <v>13780</v>
      </c>
      <c r="DQ1942" t="s">
        <v>13772</v>
      </c>
      <c r="DR1942" t="s">
        <v>13772</v>
      </c>
      <c r="DS1942" t="s">
        <v>13794</v>
      </c>
      <c r="DT1942" t="s">
        <v>13772</v>
      </c>
      <c r="DU1942" t="s">
        <v>13772</v>
      </c>
      <c r="DV1942" t="s">
        <v>13796</v>
      </c>
      <c r="DW1942" t="s">
        <v>13772</v>
      </c>
      <c r="DX1942" t="s">
        <v>22405</v>
      </c>
      <c r="DY1942" t="s">
        <v>22406</v>
      </c>
      <c r="DZ1942" t="s">
        <v>22407</v>
      </c>
      <c r="EA1942" t="s">
        <v>13772</v>
      </c>
      <c r="EB1942" t="s">
        <v>13799</v>
      </c>
    </row>
    <row r="1943" spans="1:132" hidden="1">
      <c r="A1943">
        <v>909</v>
      </c>
      <c r="B1943">
        <v>1</v>
      </c>
      <c r="C1943" t="s">
        <v>2215</v>
      </c>
      <c r="D1943" t="s">
        <v>73</v>
      </c>
      <c r="E1943" t="s">
        <v>73</v>
      </c>
      <c r="F1943" t="s">
        <v>73</v>
      </c>
      <c r="G1943" t="s">
        <v>73</v>
      </c>
      <c r="H1943">
        <v>8.3000000000000007</v>
      </c>
      <c r="I1943">
        <v>229</v>
      </c>
      <c r="J1943">
        <v>25546</v>
      </c>
      <c r="K1943" t="s">
        <v>2216</v>
      </c>
      <c r="L1943">
        <f t="shared" si="122"/>
        <v>5</v>
      </c>
      <c r="N1943">
        <v>5</v>
      </c>
      <c r="O1943">
        <v>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3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3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3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f t="shared" si="125"/>
        <v>5</v>
      </c>
      <c r="BW1943" s="16">
        <f t="shared" si="123"/>
        <v>0.26315789473684209</v>
      </c>
      <c r="BX1943" s="16">
        <f>COUNTIF($BC$6:BU1943, "=0") / COUNTIF($BC$6:BU1943, "&gt;-1")</f>
        <v>0.46898593232306773</v>
      </c>
      <c r="BY1943" s="18">
        <f>SUM($BC$6:BU1943) / $BY$4</f>
        <v>0.99545020363809866</v>
      </c>
      <c r="BZ1943" s="14">
        <f t="shared" si="124"/>
        <v>16</v>
      </c>
      <c r="CA1943" t="s">
        <v>5832</v>
      </c>
      <c r="CZ1943" t="s">
        <v>8808</v>
      </c>
      <c r="DA1943" t="s">
        <v>5904</v>
      </c>
      <c r="DB1943">
        <v>311.2</v>
      </c>
      <c r="DC1943" t="s">
        <v>22749</v>
      </c>
      <c r="DD1943" t="s">
        <v>22750</v>
      </c>
      <c r="DE1943" t="s">
        <v>22751</v>
      </c>
      <c r="DF1943" t="s">
        <v>22752</v>
      </c>
      <c r="DG1943" t="s">
        <v>22753</v>
      </c>
      <c r="DH1943" t="str">
        <f>"CLRN3"</f>
        <v>CLRN3</v>
      </c>
      <c r="DI1943" t="s">
        <v>22754</v>
      </c>
      <c r="DJ1943" t="s">
        <v>13777</v>
      </c>
      <c r="DK1943">
        <v>9606</v>
      </c>
      <c r="DL1943" s="34" t="str">
        <f>HYPERLINK("http://www.uniprot.org/uniprot/Q8NCR9", "Q8NCR9")</f>
        <v>Q8NCR9</v>
      </c>
      <c r="DM1943" t="s">
        <v>22393</v>
      </c>
      <c r="DN1943" t="s">
        <v>13772</v>
      </c>
      <c r="DO1943" t="s">
        <v>13825</v>
      </c>
      <c r="DP1943" t="s">
        <v>13780</v>
      </c>
      <c r="DQ1943" t="s">
        <v>13772</v>
      </c>
      <c r="DR1943" t="s">
        <v>13772</v>
      </c>
      <c r="DS1943" t="s">
        <v>13925</v>
      </c>
      <c r="DT1943" t="s">
        <v>13772</v>
      </c>
      <c r="DU1943" t="s">
        <v>13772</v>
      </c>
      <c r="DV1943" t="s">
        <v>13858</v>
      </c>
      <c r="DW1943" t="s">
        <v>13772</v>
      </c>
      <c r="DX1943" t="s">
        <v>13772</v>
      </c>
      <c r="DY1943" t="s">
        <v>16441</v>
      </c>
      <c r="DZ1943" t="s">
        <v>13772</v>
      </c>
      <c r="EA1943" t="s">
        <v>13772</v>
      </c>
      <c r="EB1943" t="s">
        <v>13772</v>
      </c>
    </row>
    <row r="1944" spans="1:132" hidden="1">
      <c r="A1944">
        <v>929</v>
      </c>
      <c r="B1944">
        <v>1</v>
      </c>
      <c r="C1944" t="s">
        <v>2259</v>
      </c>
      <c r="D1944" t="s">
        <v>2260</v>
      </c>
      <c r="E1944" t="s">
        <v>73</v>
      </c>
      <c r="F1944" t="s">
        <v>73</v>
      </c>
      <c r="G1944" t="s">
        <v>73</v>
      </c>
      <c r="H1944">
        <v>3.2</v>
      </c>
      <c r="I1944">
        <v>2188</v>
      </c>
      <c r="J1944">
        <v>249766</v>
      </c>
      <c r="K1944" t="s">
        <v>2261</v>
      </c>
      <c r="L1944">
        <f t="shared" si="122"/>
        <v>5</v>
      </c>
      <c r="N1944">
        <v>5</v>
      </c>
      <c r="O1944">
        <v>5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4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4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1</v>
      </c>
      <c r="BV1944" s="2">
        <f t="shared" si="125"/>
        <v>5</v>
      </c>
      <c r="BW1944" s="16">
        <f t="shared" si="123"/>
        <v>0.26315789473684209</v>
      </c>
      <c r="BX1944" s="16">
        <f>COUNTIF($BC$6:BU1944, "=0") / COUNTIF($BC$6:BU1944, "&gt;-1")</f>
        <v>0.46920550473657069</v>
      </c>
      <c r="BY1944" s="18">
        <f>SUM($BC$6:BU1944) / $BY$4</f>
        <v>0.9954716218224422</v>
      </c>
      <c r="BZ1944" s="14">
        <f t="shared" si="124"/>
        <v>17</v>
      </c>
      <c r="CA1944" t="s">
        <v>5832</v>
      </c>
      <c r="CZ1944" t="s">
        <v>8878</v>
      </c>
      <c r="DA1944" t="s">
        <v>5904</v>
      </c>
      <c r="DB1944">
        <v>3751.8</v>
      </c>
      <c r="DC1944" t="s">
        <v>22938</v>
      </c>
      <c r="DD1944" t="s">
        <v>13772</v>
      </c>
      <c r="DE1944" t="s">
        <v>22939</v>
      </c>
      <c r="DF1944" t="s">
        <v>22940</v>
      </c>
      <c r="DG1944" t="s">
        <v>22941</v>
      </c>
      <c r="DH1944" t="str">
        <f>"MYO7B"</f>
        <v>MYO7B</v>
      </c>
      <c r="DI1944" t="s">
        <v>13772</v>
      </c>
      <c r="DJ1944" t="s">
        <v>13777</v>
      </c>
      <c r="DK1944">
        <v>9606</v>
      </c>
      <c r="DL1944" s="34" t="str">
        <f>HYPERLINK("http://www.uniprot.org/uniprot/Q6PIF6", "Q6PIF6")</f>
        <v>Q6PIF6</v>
      </c>
      <c r="DM1944" t="s">
        <v>22942</v>
      </c>
      <c r="DN1944" t="s">
        <v>15591</v>
      </c>
      <c r="DO1944" t="s">
        <v>14870</v>
      </c>
      <c r="DP1944" t="s">
        <v>13780</v>
      </c>
      <c r="DQ1944" t="s">
        <v>13772</v>
      </c>
      <c r="DR1944" t="s">
        <v>13772</v>
      </c>
      <c r="DS1944" t="s">
        <v>15028</v>
      </c>
      <c r="DT1944" t="s">
        <v>14005</v>
      </c>
      <c r="DU1944" t="s">
        <v>22943</v>
      </c>
      <c r="DV1944" t="s">
        <v>13782</v>
      </c>
      <c r="DW1944" t="s">
        <v>13812</v>
      </c>
      <c r="DX1944" t="s">
        <v>22944</v>
      </c>
      <c r="DY1944" t="s">
        <v>22945</v>
      </c>
      <c r="DZ1944" t="s">
        <v>22946</v>
      </c>
      <c r="EA1944" t="s">
        <v>13772</v>
      </c>
      <c r="EB1944" t="s">
        <v>13772</v>
      </c>
    </row>
    <row r="1945" spans="1:132" hidden="1">
      <c r="A1945">
        <v>948</v>
      </c>
      <c r="B1945">
        <v>1</v>
      </c>
      <c r="C1945" t="s">
        <v>2308</v>
      </c>
      <c r="D1945" t="s">
        <v>73</v>
      </c>
      <c r="E1945" t="s">
        <v>73</v>
      </c>
      <c r="F1945" t="s">
        <v>73</v>
      </c>
      <c r="G1945" t="s">
        <v>73</v>
      </c>
      <c r="H1945">
        <v>8.4</v>
      </c>
      <c r="I1945">
        <v>741</v>
      </c>
      <c r="J1945">
        <v>84544</v>
      </c>
      <c r="K1945" t="s">
        <v>2309</v>
      </c>
      <c r="L1945">
        <f t="shared" si="122"/>
        <v>5</v>
      </c>
      <c r="N1945">
        <v>5</v>
      </c>
      <c r="O1945">
        <v>5</v>
      </c>
      <c r="P1945">
        <v>1</v>
      </c>
      <c r="Q1945">
        <v>0</v>
      </c>
      <c r="R1945">
        <v>1</v>
      </c>
      <c r="S1945">
        <v>0</v>
      </c>
      <c r="T1945">
        <v>2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2</v>
      </c>
      <c r="AN1945">
        <v>2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s="2">
        <v>0</v>
      </c>
      <c r="BD1945" s="2">
        <v>1</v>
      </c>
      <c r="BE1945" s="2">
        <v>0</v>
      </c>
      <c r="BF1945" s="2">
        <v>2</v>
      </c>
      <c r="BG1945" s="2">
        <v>2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f t="shared" si="125"/>
        <v>5</v>
      </c>
      <c r="BW1945" s="16">
        <f t="shared" si="123"/>
        <v>0.26315789473684209</v>
      </c>
      <c r="BX1945" s="16">
        <f>COUNTIF($BC$6:BU1945, "=0") / COUNTIF($BC$6:BU1945, "&gt;-1")</f>
        <v>0.46939772110689093</v>
      </c>
      <c r="BY1945" s="18">
        <f>SUM($BC$6:BU1945) / $BY$4</f>
        <v>0.99549304000678573</v>
      </c>
      <c r="BZ1945" s="14">
        <f t="shared" si="124"/>
        <v>16</v>
      </c>
      <c r="CA1945" t="s">
        <v>5832</v>
      </c>
      <c r="CZ1945" t="s">
        <v>8948</v>
      </c>
      <c r="DA1945" t="s">
        <v>5904</v>
      </c>
      <c r="DB1945">
        <v>1530.4</v>
      </c>
      <c r="DC1945" t="s">
        <v>23140</v>
      </c>
      <c r="DD1945" t="s">
        <v>23141</v>
      </c>
      <c r="DE1945" t="s">
        <v>23142</v>
      </c>
      <c r="DF1945" t="s">
        <v>23143</v>
      </c>
      <c r="DG1945" t="s">
        <v>23144</v>
      </c>
      <c r="DH1945" t="str">
        <f>"MGAT5"</f>
        <v>MGAT5</v>
      </c>
      <c r="DI1945" t="s">
        <v>23145</v>
      </c>
      <c r="DJ1945" t="s">
        <v>13777</v>
      </c>
      <c r="DK1945">
        <v>9606</v>
      </c>
      <c r="DL1945" s="34" t="str">
        <f>HYPERLINK("http://www.uniprot.org/uniprot/Q09328", "Q09328")</f>
        <v>Q09328</v>
      </c>
      <c r="DM1945" t="s">
        <v>23146</v>
      </c>
      <c r="DN1945" t="s">
        <v>13772</v>
      </c>
      <c r="DO1945" t="s">
        <v>23147</v>
      </c>
      <c r="DP1945" t="s">
        <v>13772</v>
      </c>
      <c r="DQ1945" t="s">
        <v>13772</v>
      </c>
      <c r="DR1945" t="s">
        <v>13772</v>
      </c>
      <c r="DS1945" t="s">
        <v>14417</v>
      </c>
      <c r="DT1945" t="s">
        <v>13772</v>
      </c>
      <c r="DU1945" t="s">
        <v>15995</v>
      </c>
      <c r="DV1945" t="s">
        <v>13796</v>
      </c>
      <c r="DW1945" t="s">
        <v>13812</v>
      </c>
      <c r="DX1945" t="s">
        <v>23148</v>
      </c>
      <c r="DY1945" t="s">
        <v>23149</v>
      </c>
      <c r="DZ1945" t="s">
        <v>23150</v>
      </c>
      <c r="EA1945" t="s">
        <v>19573</v>
      </c>
      <c r="EB1945" t="s">
        <v>23151</v>
      </c>
    </row>
    <row r="1946" spans="1:132" hidden="1">
      <c r="A1946">
        <v>962</v>
      </c>
      <c r="B1946">
        <v>1</v>
      </c>
      <c r="C1946" t="s">
        <v>2336</v>
      </c>
      <c r="D1946" t="s">
        <v>2337</v>
      </c>
      <c r="E1946" t="s">
        <v>73</v>
      </c>
      <c r="F1946" t="s">
        <v>73</v>
      </c>
      <c r="G1946" t="s">
        <v>73</v>
      </c>
      <c r="H1946">
        <v>4.9000000000000004</v>
      </c>
      <c r="I1946">
        <v>1244</v>
      </c>
      <c r="J1946">
        <v>135269</v>
      </c>
      <c r="K1946" t="s">
        <v>2338</v>
      </c>
      <c r="L1946">
        <f t="shared" si="122"/>
        <v>5</v>
      </c>
      <c r="N1946">
        <v>5</v>
      </c>
      <c r="O1946">
        <v>5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0</v>
      </c>
      <c r="AA1946">
        <v>2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2</v>
      </c>
      <c r="AS1946">
        <v>0</v>
      </c>
      <c r="AT1946">
        <v>2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2</v>
      </c>
      <c r="BL1946" s="2">
        <v>0</v>
      </c>
      <c r="BM1946" s="2">
        <v>2</v>
      </c>
      <c r="BN1946" s="2">
        <v>0</v>
      </c>
      <c r="BO1946" s="2">
        <v>0</v>
      </c>
      <c r="BP1946" s="2">
        <v>0</v>
      </c>
      <c r="BQ1946" s="2">
        <v>1</v>
      </c>
      <c r="BR1946" s="2">
        <v>0</v>
      </c>
      <c r="BS1946" s="2">
        <v>0</v>
      </c>
      <c r="BT1946" s="2">
        <v>0</v>
      </c>
      <c r="BU1946" s="2">
        <v>0</v>
      </c>
      <c r="BV1946" s="2">
        <f t="shared" si="125"/>
        <v>5</v>
      </c>
      <c r="BW1946" s="16">
        <f t="shared" si="123"/>
        <v>0.26315789473684209</v>
      </c>
      <c r="BX1946" s="16">
        <f>COUNTIF($BC$6:BU1946, "=0") / COUNTIF($BC$6:BU1946, "&gt;-1")</f>
        <v>0.46958973941809701</v>
      </c>
      <c r="BY1946" s="18">
        <f>SUM($BC$6:BU1946) / $BY$4</f>
        <v>0.99551445819112927</v>
      </c>
      <c r="BZ1946" s="14">
        <f t="shared" si="124"/>
        <v>16</v>
      </c>
      <c r="CA1946" t="s">
        <v>5832</v>
      </c>
      <c r="CZ1946" t="s">
        <v>8991</v>
      </c>
      <c r="DA1946" t="s">
        <v>5904</v>
      </c>
      <c r="DB1946">
        <v>1723.4</v>
      </c>
      <c r="DC1946" t="s">
        <v>23252</v>
      </c>
      <c r="DD1946" t="s">
        <v>13772</v>
      </c>
      <c r="DE1946" t="s">
        <v>23253</v>
      </c>
      <c r="DF1946" t="s">
        <v>23254</v>
      </c>
      <c r="DG1946" t="s">
        <v>23255</v>
      </c>
      <c r="DH1946" t="str">
        <f>"COBLL1"</f>
        <v>COBLL1</v>
      </c>
      <c r="DI1946" t="s">
        <v>23256</v>
      </c>
      <c r="DJ1946" t="s">
        <v>13777</v>
      </c>
      <c r="DK1946">
        <v>9606</v>
      </c>
      <c r="DL1946" s="34" t="str">
        <f>HYPERLINK("http://www.uniprot.org/uniprot/Q53SF7", "Q53SF7")</f>
        <v>Q53SF7</v>
      </c>
      <c r="DM1946" t="s">
        <v>23257</v>
      </c>
      <c r="DN1946" t="s">
        <v>13772</v>
      </c>
      <c r="DO1946" t="s">
        <v>13772</v>
      </c>
      <c r="DP1946" t="s">
        <v>13841</v>
      </c>
      <c r="DQ1946" t="s">
        <v>13772</v>
      </c>
      <c r="DR1946" t="s">
        <v>13772</v>
      </c>
      <c r="DS1946" t="s">
        <v>14096</v>
      </c>
      <c r="DT1946" t="s">
        <v>13772</v>
      </c>
      <c r="DU1946" t="s">
        <v>13772</v>
      </c>
      <c r="DV1946" t="s">
        <v>13782</v>
      </c>
      <c r="DW1946" t="s">
        <v>13812</v>
      </c>
      <c r="DX1946" t="s">
        <v>13772</v>
      </c>
      <c r="DY1946" t="s">
        <v>15835</v>
      </c>
      <c r="DZ1946" t="s">
        <v>23258</v>
      </c>
      <c r="EA1946" t="s">
        <v>13772</v>
      </c>
      <c r="EB1946" t="s">
        <v>13772</v>
      </c>
    </row>
    <row r="1947" spans="1:132" hidden="1">
      <c r="A1947">
        <v>965</v>
      </c>
      <c r="B1947">
        <v>1</v>
      </c>
      <c r="C1947" t="s">
        <v>2344</v>
      </c>
      <c r="D1947" t="s">
        <v>73</v>
      </c>
      <c r="E1947" t="s">
        <v>73</v>
      </c>
      <c r="F1947" t="s">
        <v>73</v>
      </c>
      <c r="G1947" t="s">
        <v>73</v>
      </c>
      <c r="H1947">
        <v>4.8</v>
      </c>
      <c r="I1947">
        <v>727</v>
      </c>
      <c r="J1947">
        <v>80839</v>
      </c>
      <c r="K1947" t="s">
        <v>2345</v>
      </c>
      <c r="L1947">
        <f t="shared" si="122"/>
        <v>5</v>
      </c>
      <c r="N1947">
        <v>5</v>
      </c>
      <c r="O1947">
        <v>5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</v>
      </c>
      <c r="AB1947">
        <v>2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2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2</v>
      </c>
      <c r="BN1947" s="2">
        <v>2</v>
      </c>
      <c r="BO1947" s="2">
        <v>0</v>
      </c>
      <c r="BP1947" s="2">
        <v>0</v>
      </c>
      <c r="BQ1947" s="2">
        <v>0</v>
      </c>
      <c r="BR1947" s="2">
        <v>0</v>
      </c>
      <c r="BS1947" s="2">
        <v>1</v>
      </c>
      <c r="BT1947" s="2">
        <v>0</v>
      </c>
      <c r="BU1947" s="2">
        <v>0</v>
      </c>
      <c r="BV1947" s="2">
        <f t="shared" si="125"/>
        <v>5</v>
      </c>
      <c r="BW1947" s="16">
        <f t="shared" si="123"/>
        <v>0.26315789473684209</v>
      </c>
      <c r="BX1947" s="16">
        <f>COUNTIF($BC$6:BU1947, "=0") / COUNTIF($BC$6:BU1947, "&gt;-1")</f>
        <v>0.46978155997615045</v>
      </c>
      <c r="BY1947" s="18">
        <f>SUM($BC$6:BU1947) / $BY$4</f>
        <v>0.99553587637547269</v>
      </c>
      <c r="BZ1947" s="14">
        <f t="shared" si="124"/>
        <v>16</v>
      </c>
      <c r="CA1947" t="s">
        <v>5832</v>
      </c>
      <c r="CZ1947" t="s">
        <v>9002</v>
      </c>
      <c r="DA1947" t="s">
        <v>5904</v>
      </c>
      <c r="DB1947">
        <v>1473</v>
      </c>
      <c r="DC1947" t="s">
        <v>23285</v>
      </c>
      <c r="DD1947" t="s">
        <v>23286</v>
      </c>
      <c r="DE1947" t="s">
        <v>23287</v>
      </c>
      <c r="DF1947" t="s">
        <v>23288</v>
      </c>
      <c r="DG1947" t="s">
        <v>23289</v>
      </c>
      <c r="DH1947" t="str">
        <f>"GPD2"</f>
        <v>GPD2</v>
      </c>
      <c r="DI1947" t="s">
        <v>13772</v>
      </c>
      <c r="DJ1947" t="s">
        <v>13777</v>
      </c>
      <c r="DK1947">
        <v>9606</v>
      </c>
      <c r="DL1947" s="34" t="str">
        <f>HYPERLINK("http://www.uniprot.org/uniprot/P43304", "P43304")</f>
        <v>P43304</v>
      </c>
      <c r="DM1947" t="s">
        <v>23290</v>
      </c>
      <c r="DN1947" t="s">
        <v>13772</v>
      </c>
      <c r="DO1947" t="s">
        <v>14491</v>
      </c>
      <c r="DP1947" t="s">
        <v>13780</v>
      </c>
      <c r="DQ1947" t="s">
        <v>13772</v>
      </c>
      <c r="DR1947" t="s">
        <v>13772</v>
      </c>
      <c r="DS1947" t="s">
        <v>23291</v>
      </c>
      <c r="DT1947" t="s">
        <v>23292</v>
      </c>
      <c r="DU1947" t="s">
        <v>13885</v>
      </c>
      <c r="DV1947" t="s">
        <v>13782</v>
      </c>
      <c r="DW1947" t="s">
        <v>13772</v>
      </c>
      <c r="DX1947" t="s">
        <v>23293</v>
      </c>
      <c r="DY1947" t="s">
        <v>23294</v>
      </c>
      <c r="DZ1947" t="s">
        <v>23295</v>
      </c>
      <c r="EA1947" t="s">
        <v>23296</v>
      </c>
      <c r="EB1947" t="s">
        <v>23297</v>
      </c>
    </row>
    <row r="1948" spans="1:132" hidden="1">
      <c r="A1948">
        <v>971</v>
      </c>
      <c r="B1948">
        <v>1</v>
      </c>
      <c r="C1948" t="s">
        <v>2357</v>
      </c>
      <c r="D1948" t="s">
        <v>73</v>
      </c>
      <c r="E1948" t="s">
        <v>73</v>
      </c>
      <c r="F1948" t="s">
        <v>73</v>
      </c>
      <c r="G1948" t="s">
        <v>73</v>
      </c>
      <c r="H1948">
        <v>8.4</v>
      </c>
      <c r="I1948">
        <v>663</v>
      </c>
      <c r="J1948">
        <v>75683</v>
      </c>
      <c r="K1948" t="s">
        <v>2358</v>
      </c>
      <c r="L1948">
        <f t="shared" si="122"/>
        <v>5</v>
      </c>
      <c r="N1948">
        <v>5</v>
      </c>
      <c r="O1948">
        <v>5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3</v>
      </c>
      <c r="AC1948">
        <v>0</v>
      </c>
      <c r="AD1948">
        <v>0</v>
      </c>
      <c r="AE1948">
        <v>0</v>
      </c>
      <c r="AF1948">
        <v>2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3</v>
      </c>
      <c r="AV1948">
        <v>0</v>
      </c>
      <c r="AW1948">
        <v>0</v>
      </c>
      <c r="AX1948">
        <v>0</v>
      </c>
      <c r="AY1948">
        <v>2</v>
      </c>
      <c r="AZ1948">
        <v>0</v>
      </c>
      <c r="BA1948">
        <v>0</v>
      </c>
      <c r="BB1948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3</v>
      </c>
      <c r="BO1948" s="2">
        <v>0</v>
      </c>
      <c r="BP1948" s="2">
        <v>0</v>
      </c>
      <c r="BQ1948" s="2">
        <v>0</v>
      </c>
      <c r="BR1948" s="2">
        <v>2</v>
      </c>
      <c r="BS1948" s="2">
        <v>0</v>
      </c>
      <c r="BT1948" s="2">
        <v>0</v>
      </c>
      <c r="BU1948" s="2">
        <v>0</v>
      </c>
      <c r="BV1948" s="2">
        <f t="shared" si="125"/>
        <v>5</v>
      </c>
      <c r="BW1948" s="16">
        <f t="shared" si="123"/>
        <v>0.26315789473684209</v>
      </c>
      <c r="BX1948" s="16">
        <f>COUNTIF($BC$6:BU1948, "=0") / COUNTIF($BC$6:BU1948, "&gt;-1")</f>
        <v>0.47000027087791535</v>
      </c>
      <c r="BY1948" s="18">
        <f>SUM($BC$6:BU1948) / $BY$4</f>
        <v>0.99555729455981623</v>
      </c>
      <c r="BZ1948" s="14">
        <f t="shared" si="124"/>
        <v>17</v>
      </c>
      <c r="CA1948" t="s">
        <v>5832</v>
      </c>
      <c r="CZ1948" t="s">
        <v>9021</v>
      </c>
      <c r="DA1948" t="s">
        <v>5904</v>
      </c>
      <c r="DB1948">
        <v>1333.5</v>
      </c>
      <c r="DC1948" t="s">
        <v>23352</v>
      </c>
      <c r="DD1948" t="s">
        <v>23353</v>
      </c>
      <c r="DE1948" t="s">
        <v>23354</v>
      </c>
      <c r="DF1948" t="s">
        <v>23355</v>
      </c>
      <c r="DG1948" t="s">
        <v>23356</v>
      </c>
      <c r="DH1948" t="str">
        <f>"TM9SF2"</f>
        <v>TM9SF2</v>
      </c>
      <c r="DI1948" t="s">
        <v>13772</v>
      </c>
      <c r="DJ1948" t="s">
        <v>13777</v>
      </c>
      <c r="DK1948">
        <v>9606</v>
      </c>
      <c r="DL1948" s="34" t="str">
        <f>HYPERLINK("http://www.uniprot.org/uniprot/Q99805", "Q99805")</f>
        <v>Q99805</v>
      </c>
      <c r="DM1948" t="s">
        <v>23357</v>
      </c>
      <c r="DN1948" t="s">
        <v>13772</v>
      </c>
      <c r="DO1948" t="s">
        <v>13779</v>
      </c>
      <c r="DP1948" t="s">
        <v>13772</v>
      </c>
      <c r="DQ1948" t="s">
        <v>13772</v>
      </c>
      <c r="DR1948" t="s">
        <v>13772</v>
      </c>
      <c r="DS1948" t="s">
        <v>13855</v>
      </c>
      <c r="DT1948" t="s">
        <v>13772</v>
      </c>
      <c r="DU1948" t="s">
        <v>13772</v>
      </c>
      <c r="DV1948" t="s">
        <v>13772</v>
      </c>
      <c r="DW1948" t="s">
        <v>13772</v>
      </c>
      <c r="DX1948" t="s">
        <v>23358</v>
      </c>
      <c r="DY1948" t="s">
        <v>23359</v>
      </c>
      <c r="DZ1948" t="s">
        <v>13772</v>
      </c>
      <c r="EA1948" t="s">
        <v>13772</v>
      </c>
      <c r="EB1948" t="s">
        <v>13772</v>
      </c>
    </row>
    <row r="1949" spans="1:132" hidden="1">
      <c r="A1949">
        <v>1075</v>
      </c>
      <c r="B1949">
        <v>1</v>
      </c>
      <c r="C1949" t="s">
        <v>2584</v>
      </c>
      <c r="D1949" t="s">
        <v>73</v>
      </c>
      <c r="E1949" t="s">
        <v>73</v>
      </c>
      <c r="F1949" t="s">
        <v>73</v>
      </c>
      <c r="G1949" t="s">
        <v>73</v>
      </c>
      <c r="H1949">
        <v>11.8</v>
      </c>
      <c r="I1949">
        <v>517</v>
      </c>
      <c r="J1949">
        <v>56960</v>
      </c>
      <c r="K1949" t="s">
        <v>2585</v>
      </c>
      <c r="L1949">
        <f t="shared" si="122"/>
        <v>5</v>
      </c>
      <c r="N1949">
        <v>5</v>
      </c>
      <c r="O1949">
        <v>5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3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3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1</v>
      </c>
      <c r="BR1949" s="2">
        <v>1</v>
      </c>
      <c r="BS1949" s="2">
        <v>0</v>
      </c>
      <c r="BT1949" s="2">
        <v>0</v>
      </c>
      <c r="BU1949" s="2">
        <v>0</v>
      </c>
      <c r="BV1949" s="2">
        <f t="shared" si="125"/>
        <v>5</v>
      </c>
      <c r="BW1949" s="16">
        <f t="shared" si="123"/>
        <v>0.26315789473684209</v>
      </c>
      <c r="BX1949" s="16">
        <f>COUNTIF($BC$6:BU1949, "=0") / COUNTIF($BC$6:BU1949, "&gt;-1")</f>
        <v>0.47019168291098118</v>
      </c>
      <c r="BY1949" s="18">
        <f>SUM($BC$6:BU1949) / $BY$4</f>
        <v>0.99557871274415977</v>
      </c>
      <c r="BZ1949" s="14">
        <f t="shared" si="124"/>
        <v>16</v>
      </c>
      <c r="CA1949" t="s">
        <v>5832</v>
      </c>
      <c r="CZ1949" t="s">
        <v>9311</v>
      </c>
      <c r="DA1949" t="s">
        <v>5904</v>
      </c>
      <c r="DB1949">
        <v>874.8</v>
      </c>
      <c r="DC1949" t="s">
        <v>24181</v>
      </c>
      <c r="DD1949" t="s">
        <v>13772</v>
      </c>
      <c r="DE1949" t="s">
        <v>24182</v>
      </c>
      <c r="DF1949" t="s">
        <v>24183</v>
      </c>
      <c r="DG1949" t="s">
        <v>24184</v>
      </c>
      <c r="DH1949" t="str">
        <f>"ARFGAP3"</f>
        <v>ARFGAP3</v>
      </c>
      <c r="DI1949" t="s">
        <v>24185</v>
      </c>
      <c r="DJ1949" t="s">
        <v>13777</v>
      </c>
      <c r="DK1949">
        <v>9606</v>
      </c>
      <c r="DL1949" s="34" t="str">
        <f>HYPERLINK("http://www.uniprot.org/uniprot/Q9NP61", "Q9NP61")</f>
        <v>Q9NP61</v>
      </c>
      <c r="DM1949" t="s">
        <v>24186</v>
      </c>
      <c r="DN1949" t="s">
        <v>15450</v>
      </c>
      <c r="DO1949" t="s">
        <v>24187</v>
      </c>
      <c r="DP1949" t="s">
        <v>13780</v>
      </c>
      <c r="DQ1949" t="s">
        <v>13772</v>
      </c>
      <c r="DR1949" t="s">
        <v>13772</v>
      </c>
      <c r="DS1949" t="s">
        <v>24188</v>
      </c>
      <c r="DT1949" t="s">
        <v>13856</v>
      </c>
      <c r="DU1949" t="s">
        <v>14301</v>
      </c>
      <c r="DV1949" t="s">
        <v>13782</v>
      </c>
      <c r="DW1949" t="s">
        <v>13812</v>
      </c>
      <c r="DX1949" t="s">
        <v>24189</v>
      </c>
      <c r="DY1949" t="s">
        <v>24190</v>
      </c>
      <c r="DZ1949" t="s">
        <v>24191</v>
      </c>
      <c r="EA1949" t="s">
        <v>13772</v>
      </c>
      <c r="EB1949" t="s">
        <v>16533</v>
      </c>
    </row>
    <row r="1950" spans="1:132" hidden="1">
      <c r="A1950">
        <v>1142</v>
      </c>
      <c r="B1950">
        <v>1</v>
      </c>
      <c r="C1950" t="s">
        <v>2749</v>
      </c>
      <c r="D1950" t="s">
        <v>2750</v>
      </c>
      <c r="E1950" t="s">
        <v>73</v>
      </c>
      <c r="F1950" t="s">
        <v>73</v>
      </c>
      <c r="G1950" t="s">
        <v>73</v>
      </c>
      <c r="H1950">
        <v>39.6</v>
      </c>
      <c r="I1950">
        <v>111</v>
      </c>
      <c r="J1950">
        <v>12886</v>
      </c>
      <c r="K1950" t="s">
        <v>2751</v>
      </c>
      <c r="L1950">
        <f t="shared" si="122"/>
        <v>5</v>
      </c>
      <c r="N1950">
        <v>5</v>
      </c>
      <c r="O1950">
        <v>5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1</v>
      </c>
      <c r="BN1950" s="2">
        <v>1</v>
      </c>
      <c r="BO1950" s="2">
        <v>0</v>
      </c>
      <c r="BP1950" s="2">
        <v>0</v>
      </c>
      <c r="BQ1950" s="2">
        <v>2</v>
      </c>
      <c r="BR1950" s="2">
        <v>0</v>
      </c>
      <c r="BS1950" s="2">
        <v>0</v>
      </c>
      <c r="BT1950" s="2">
        <v>0</v>
      </c>
      <c r="BU1950" s="2">
        <v>0</v>
      </c>
      <c r="BV1950" s="2">
        <f t="shared" si="125"/>
        <v>5</v>
      </c>
      <c r="BW1950" s="16">
        <f t="shared" si="123"/>
        <v>0.26315789473684209</v>
      </c>
      <c r="BX1950" s="16">
        <f>COUNTIF($BC$6:BU1950, "=0") / COUNTIF($BC$6:BU1950, "&gt;-1")</f>
        <v>0.47035583818157217</v>
      </c>
      <c r="BY1950" s="18">
        <f>SUM($BC$6:BU1950) / $BY$4</f>
        <v>0.99560013092850319</v>
      </c>
      <c r="BZ1950" s="14">
        <f t="shared" si="124"/>
        <v>15</v>
      </c>
      <c r="CA1950" t="s">
        <v>5832</v>
      </c>
      <c r="CZ1950" t="s">
        <v>9529</v>
      </c>
      <c r="DA1950" t="s">
        <v>5904</v>
      </c>
      <c r="DB1950">
        <v>204.9</v>
      </c>
      <c r="DC1950" t="s">
        <v>24789</v>
      </c>
      <c r="DD1950" t="s">
        <v>24790</v>
      </c>
      <c r="DE1950" t="s">
        <v>24791</v>
      </c>
      <c r="DF1950" t="s">
        <v>24792</v>
      </c>
      <c r="DG1950" t="s">
        <v>24793</v>
      </c>
      <c r="DH1950" t="str">
        <f>"CISD1"</f>
        <v>CISD1</v>
      </c>
      <c r="DI1950" t="s">
        <v>24794</v>
      </c>
      <c r="DJ1950" t="s">
        <v>13777</v>
      </c>
      <c r="DK1950">
        <v>9606</v>
      </c>
      <c r="DL1950" s="34" t="str">
        <f>HYPERLINK("http://www.uniprot.org/uniprot/Q9NZ45", "Q9NZ45")</f>
        <v>Q9NZ45</v>
      </c>
      <c r="DM1950" t="s">
        <v>24795</v>
      </c>
      <c r="DN1950" t="s">
        <v>13772</v>
      </c>
      <c r="DO1950" t="s">
        <v>24495</v>
      </c>
      <c r="DP1950" t="s">
        <v>13772</v>
      </c>
      <c r="DQ1950" t="s">
        <v>13772</v>
      </c>
      <c r="DR1950" t="s">
        <v>13772</v>
      </c>
      <c r="DS1950" t="s">
        <v>14417</v>
      </c>
      <c r="DT1950" t="s">
        <v>24796</v>
      </c>
      <c r="DU1950" t="s">
        <v>13772</v>
      </c>
      <c r="DV1950" t="s">
        <v>14312</v>
      </c>
      <c r="DW1950" t="s">
        <v>13812</v>
      </c>
      <c r="DX1950" t="s">
        <v>24797</v>
      </c>
      <c r="DY1950" t="s">
        <v>24798</v>
      </c>
      <c r="DZ1950" t="s">
        <v>24799</v>
      </c>
      <c r="EA1950" t="s">
        <v>13772</v>
      </c>
      <c r="EB1950" t="s">
        <v>13772</v>
      </c>
    </row>
    <row r="1951" spans="1:132" hidden="1">
      <c r="A1951">
        <v>1208</v>
      </c>
      <c r="B1951">
        <v>1</v>
      </c>
      <c r="C1951" t="s">
        <v>2899</v>
      </c>
      <c r="D1951" t="s">
        <v>2900</v>
      </c>
      <c r="E1951" t="s">
        <v>73</v>
      </c>
      <c r="F1951" t="s">
        <v>73</v>
      </c>
      <c r="G1951" t="s">
        <v>73</v>
      </c>
      <c r="H1951">
        <v>5.8</v>
      </c>
      <c r="I1951">
        <v>917</v>
      </c>
      <c r="J1951">
        <v>102526</v>
      </c>
      <c r="K1951" t="s">
        <v>2901</v>
      </c>
      <c r="L1951">
        <f t="shared" si="122"/>
        <v>5</v>
      </c>
      <c r="N1951">
        <v>5</v>
      </c>
      <c r="O1951">
        <v>5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2</v>
      </c>
      <c r="AC1951">
        <v>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2</v>
      </c>
      <c r="AV1951">
        <v>2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1</v>
      </c>
      <c r="BN1951" s="2">
        <v>2</v>
      </c>
      <c r="BO1951" s="2">
        <v>2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f t="shared" si="125"/>
        <v>5</v>
      </c>
      <c r="BW1951" s="16">
        <f t="shared" si="123"/>
        <v>0.26315789473684209</v>
      </c>
      <c r="BX1951" s="16">
        <f>COUNTIF($BC$6:BU1951, "=0") / COUNTIF($BC$6:BU1951, "&gt;-1")</f>
        <v>0.47054687077405744</v>
      </c>
      <c r="BY1951" s="18">
        <f>SUM($BC$6:BU1951) / $BY$4</f>
        <v>0.99562154911284673</v>
      </c>
      <c r="BZ1951" s="14">
        <f t="shared" si="124"/>
        <v>16</v>
      </c>
      <c r="CA1951" t="s">
        <v>5832</v>
      </c>
      <c r="CZ1951" t="s">
        <v>9753</v>
      </c>
      <c r="DA1951" t="s">
        <v>5904</v>
      </c>
      <c r="DB1951">
        <v>1828.9</v>
      </c>
      <c r="DC1951" t="s">
        <v>25432</v>
      </c>
      <c r="DD1951" t="s">
        <v>25433</v>
      </c>
      <c r="DE1951" t="s">
        <v>25434</v>
      </c>
      <c r="DF1951" t="s">
        <v>25435</v>
      </c>
      <c r="DG1951" t="s">
        <v>25436</v>
      </c>
      <c r="DH1951" t="str">
        <f>"HK1"</f>
        <v>HK1</v>
      </c>
      <c r="DI1951" t="s">
        <v>13772</v>
      </c>
      <c r="DJ1951" t="s">
        <v>13777</v>
      </c>
      <c r="DK1951">
        <v>9606</v>
      </c>
      <c r="DL1951" s="34" t="str">
        <f>HYPERLINK("http://www.uniprot.org/uniprot/P19367", "P19367")</f>
        <v>P19367</v>
      </c>
      <c r="DM1951" t="s">
        <v>25437</v>
      </c>
      <c r="DN1951" t="s">
        <v>15772</v>
      </c>
      <c r="DO1951" t="s">
        <v>24495</v>
      </c>
      <c r="DP1951" t="s">
        <v>13780</v>
      </c>
      <c r="DQ1951" t="s">
        <v>13772</v>
      </c>
      <c r="DR1951" t="s">
        <v>25438</v>
      </c>
      <c r="DS1951" t="s">
        <v>14096</v>
      </c>
      <c r="DT1951" t="s">
        <v>14005</v>
      </c>
      <c r="DU1951" t="s">
        <v>15774</v>
      </c>
      <c r="DV1951" t="s">
        <v>13886</v>
      </c>
      <c r="DW1951" t="s">
        <v>13812</v>
      </c>
      <c r="DX1951" t="s">
        <v>25439</v>
      </c>
      <c r="DY1951" t="s">
        <v>25440</v>
      </c>
      <c r="DZ1951" t="s">
        <v>25441</v>
      </c>
      <c r="EA1951" t="s">
        <v>25442</v>
      </c>
      <c r="EB1951" t="s">
        <v>25443</v>
      </c>
    </row>
    <row r="1952" spans="1:132" hidden="1">
      <c r="A1952">
        <v>1285</v>
      </c>
      <c r="B1952">
        <v>1</v>
      </c>
      <c r="C1952" t="s">
        <v>3083</v>
      </c>
      <c r="D1952" t="s">
        <v>3084</v>
      </c>
      <c r="E1952" t="s">
        <v>73</v>
      </c>
      <c r="F1952" t="s">
        <v>73</v>
      </c>
      <c r="G1952" t="s">
        <v>73</v>
      </c>
      <c r="H1952">
        <v>5.0999999999999996</v>
      </c>
      <c r="I1952">
        <v>451</v>
      </c>
      <c r="J1952">
        <v>49589</v>
      </c>
      <c r="K1952" t="s">
        <v>3085</v>
      </c>
      <c r="L1952">
        <f t="shared" si="122"/>
        <v>5</v>
      </c>
      <c r="N1952">
        <v>5</v>
      </c>
      <c r="O1952">
        <v>5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4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4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4</v>
      </c>
      <c r="BL1952" s="2">
        <v>0</v>
      </c>
      <c r="BM1952" s="2">
        <v>0</v>
      </c>
      <c r="BN1952" s="2">
        <v>0</v>
      </c>
      <c r="BO1952" s="2">
        <v>1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f t="shared" si="125"/>
        <v>5</v>
      </c>
      <c r="BW1952" s="16">
        <f t="shared" si="123"/>
        <v>0.26315789473684209</v>
      </c>
      <c r="BX1952" s="16">
        <f>COUNTIF($BC$6:BU1952, "=0") / COUNTIF($BC$6:BU1952, "&gt;-1")</f>
        <v>0.47076473927499796</v>
      </c>
      <c r="BY1952" s="18">
        <f>SUM($BC$6:BU1952) / $BY$4</f>
        <v>0.99564296729719026</v>
      </c>
      <c r="BZ1952" s="14">
        <f t="shared" si="124"/>
        <v>17</v>
      </c>
      <c r="CA1952" t="s">
        <v>5832</v>
      </c>
      <c r="CZ1952" t="s">
        <v>10021</v>
      </c>
      <c r="DA1952" t="s">
        <v>5904</v>
      </c>
      <c r="DB1952">
        <v>853.2</v>
      </c>
      <c r="DC1952" t="s">
        <v>26195</v>
      </c>
      <c r="DD1952" t="s">
        <v>26196</v>
      </c>
      <c r="DE1952" t="s">
        <v>26197</v>
      </c>
      <c r="DF1952" t="s">
        <v>26198</v>
      </c>
      <c r="DG1952" t="s">
        <v>26199</v>
      </c>
      <c r="DH1952" t="str">
        <f>"PAICS"</f>
        <v>PAICS</v>
      </c>
      <c r="DI1952" t="s">
        <v>26200</v>
      </c>
      <c r="DJ1952" t="s">
        <v>13777</v>
      </c>
      <c r="DK1952">
        <v>9606</v>
      </c>
      <c r="DL1952" s="34" t="str">
        <f>HYPERLINK("http://www.uniprot.org/uniprot/P22234", "P22234")</f>
        <v>P22234</v>
      </c>
      <c r="DM1952" t="s">
        <v>26201</v>
      </c>
      <c r="DN1952" t="s">
        <v>23278</v>
      </c>
      <c r="DO1952" t="s">
        <v>13772</v>
      </c>
      <c r="DP1952" t="s">
        <v>13780</v>
      </c>
      <c r="DQ1952" t="s">
        <v>13772</v>
      </c>
      <c r="DR1952" t="s">
        <v>13772</v>
      </c>
      <c r="DS1952" t="s">
        <v>13772</v>
      </c>
      <c r="DT1952" t="s">
        <v>14005</v>
      </c>
      <c r="DU1952" t="s">
        <v>26202</v>
      </c>
      <c r="DV1952" t="s">
        <v>13886</v>
      </c>
      <c r="DW1952" t="s">
        <v>13812</v>
      </c>
      <c r="DX1952" t="s">
        <v>26203</v>
      </c>
      <c r="DY1952" t="s">
        <v>14008</v>
      </c>
      <c r="DZ1952" t="s">
        <v>26204</v>
      </c>
      <c r="EA1952" t="s">
        <v>26205</v>
      </c>
      <c r="EB1952" t="s">
        <v>23284</v>
      </c>
    </row>
    <row r="1953" spans="1:132" hidden="1">
      <c r="A1953">
        <v>1287</v>
      </c>
      <c r="B1953">
        <v>1</v>
      </c>
      <c r="C1953" t="s">
        <v>3089</v>
      </c>
      <c r="D1953" t="s">
        <v>3090</v>
      </c>
      <c r="E1953" t="s">
        <v>73</v>
      </c>
      <c r="F1953" t="s">
        <v>73</v>
      </c>
      <c r="G1953" t="s">
        <v>73</v>
      </c>
      <c r="H1953">
        <v>11.1</v>
      </c>
      <c r="I1953">
        <v>407</v>
      </c>
      <c r="J1953">
        <v>45800</v>
      </c>
      <c r="K1953" t="s">
        <v>3091</v>
      </c>
      <c r="L1953">
        <f t="shared" si="122"/>
        <v>5</v>
      </c>
      <c r="N1953">
        <v>5</v>
      </c>
      <c r="O1953">
        <v>5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3</v>
      </c>
      <c r="BI1953" s="2">
        <v>1</v>
      </c>
      <c r="BJ1953" s="2">
        <v>0</v>
      </c>
      <c r="BK1953" s="2">
        <v>0</v>
      </c>
      <c r="BL1953" s="2">
        <v>0</v>
      </c>
      <c r="BM1953" s="2">
        <v>1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f t="shared" si="125"/>
        <v>5</v>
      </c>
      <c r="BW1953" s="16">
        <f t="shared" si="123"/>
        <v>0.26315789473684209</v>
      </c>
      <c r="BX1953" s="16">
        <f>COUNTIF($BC$6:BU1953, "=0") / COUNTIF($BC$6:BU1953, "&gt;-1")</f>
        <v>0.47095536582729924</v>
      </c>
      <c r="BY1953" s="18">
        <f>SUM($BC$6:BU1953) / $BY$4</f>
        <v>0.99566438548153369</v>
      </c>
      <c r="BZ1953" s="14">
        <f t="shared" si="124"/>
        <v>16</v>
      </c>
      <c r="CA1953" t="s">
        <v>5832</v>
      </c>
      <c r="CZ1953" t="s">
        <v>10029</v>
      </c>
      <c r="DA1953" t="s">
        <v>5904</v>
      </c>
      <c r="DB1953">
        <v>641.29999999999995</v>
      </c>
      <c r="DC1953" t="s">
        <v>26219</v>
      </c>
      <c r="DD1953" t="s">
        <v>26220</v>
      </c>
      <c r="DE1953" t="s">
        <v>26221</v>
      </c>
      <c r="DF1953" t="s">
        <v>26222</v>
      </c>
      <c r="DG1953" t="s">
        <v>26223</v>
      </c>
      <c r="DH1953" t="str">
        <f>"IDO2"</f>
        <v>IDO2</v>
      </c>
      <c r="DI1953" t="s">
        <v>26224</v>
      </c>
      <c r="DJ1953" t="s">
        <v>13777</v>
      </c>
      <c r="DK1953">
        <v>9606</v>
      </c>
      <c r="DL1953" s="34" t="str">
        <f>HYPERLINK("http://www.uniprot.org/uniprot/Q6ZQW0", "Q6ZQW0")</f>
        <v>Q6ZQW0</v>
      </c>
      <c r="DM1953" t="s">
        <v>26225</v>
      </c>
      <c r="DN1953" t="s">
        <v>26226</v>
      </c>
      <c r="DO1953" t="s">
        <v>13772</v>
      </c>
      <c r="DP1953" t="s">
        <v>13780</v>
      </c>
      <c r="DQ1953" t="s">
        <v>13772</v>
      </c>
      <c r="DR1953" t="s">
        <v>13772</v>
      </c>
      <c r="DS1953" t="s">
        <v>13772</v>
      </c>
      <c r="DT1953" t="s">
        <v>16031</v>
      </c>
      <c r="DU1953" t="s">
        <v>14433</v>
      </c>
      <c r="DV1953" t="s">
        <v>13772</v>
      </c>
      <c r="DW1953" t="s">
        <v>13772</v>
      </c>
      <c r="DX1953" t="s">
        <v>26227</v>
      </c>
      <c r="DY1953" t="s">
        <v>14064</v>
      </c>
      <c r="DZ1953" t="s">
        <v>26228</v>
      </c>
      <c r="EA1953" t="s">
        <v>26229</v>
      </c>
      <c r="EB1953" t="s">
        <v>13917</v>
      </c>
    </row>
    <row r="1954" spans="1:132" hidden="1">
      <c r="A1954">
        <v>1292</v>
      </c>
      <c r="B1954">
        <v>1</v>
      </c>
      <c r="C1954" t="s">
        <v>3101</v>
      </c>
      <c r="D1954" t="s">
        <v>73</v>
      </c>
      <c r="E1954" t="s">
        <v>73</v>
      </c>
      <c r="F1954" t="s">
        <v>73</v>
      </c>
      <c r="G1954" t="s">
        <v>73</v>
      </c>
      <c r="H1954">
        <v>24.1</v>
      </c>
      <c r="I1954">
        <v>158</v>
      </c>
      <c r="J1954">
        <v>17270</v>
      </c>
      <c r="K1954" t="s">
        <v>3102</v>
      </c>
      <c r="L1954">
        <f t="shared" si="122"/>
        <v>5</v>
      </c>
      <c r="N1954">
        <v>5</v>
      </c>
      <c r="O1954">
        <v>5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</v>
      </c>
      <c r="AY1954">
        <v>0</v>
      </c>
      <c r="AZ1954">
        <v>0</v>
      </c>
      <c r="BA1954">
        <v>0</v>
      </c>
      <c r="BB1954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3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2</v>
      </c>
      <c r="BR1954" s="2">
        <v>0</v>
      </c>
      <c r="BS1954" s="2">
        <v>0</v>
      </c>
      <c r="BT1954" s="2">
        <v>0</v>
      </c>
      <c r="BU1954" s="2">
        <v>0</v>
      </c>
      <c r="BV1954" s="2">
        <f t="shared" si="125"/>
        <v>5</v>
      </c>
      <c r="BW1954" s="16">
        <f t="shared" si="123"/>
        <v>0.26315789473684209</v>
      </c>
      <c r="BX1954" s="16">
        <f>COUNTIF($BC$6:BU1954, "=0") / COUNTIF($BC$6:BU1954, "&gt;-1")</f>
        <v>0.47117280116659016</v>
      </c>
      <c r="BY1954" s="18">
        <f>SUM($BC$6:BU1954) / $BY$4</f>
        <v>0.99568580366587722</v>
      </c>
      <c r="BZ1954" s="14">
        <f t="shared" si="124"/>
        <v>17</v>
      </c>
      <c r="CA1954" t="s">
        <v>5832</v>
      </c>
      <c r="CZ1954" t="s">
        <v>10047</v>
      </c>
      <c r="DA1954" t="s">
        <v>5904</v>
      </c>
      <c r="DB1954">
        <v>318.89999999999998</v>
      </c>
      <c r="DC1954" t="s">
        <v>26275</v>
      </c>
      <c r="DD1954" t="s">
        <v>26276</v>
      </c>
      <c r="DE1954" t="s">
        <v>26277</v>
      </c>
      <c r="DF1954" t="s">
        <v>26278</v>
      </c>
      <c r="DG1954" t="s">
        <v>26279</v>
      </c>
      <c r="DH1954" t="str">
        <f>"BTF3L4"</f>
        <v>BTF3L4</v>
      </c>
      <c r="DI1954" t="s">
        <v>13772</v>
      </c>
      <c r="DJ1954" t="s">
        <v>13777</v>
      </c>
      <c r="DK1954">
        <v>9606</v>
      </c>
      <c r="DL1954" s="34" t="str">
        <f>HYPERLINK("http://www.uniprot.org/uniprot/Q96K17", "Q96K17")</f>
        <v>Q96K17</v>
      </c>
      <c r="DM1954" t="s">
        <v>26280</v>
      </c>
      <c r="DN1954" t="s">
        <v>13772</v>
      </c>
      <c r="DO1954" t="s">
        <v>13772</v>
      </c>
      <c r="DP1954" t="s">
        <v>13841</v>
      </c>
      <c r="DQ1954" t="s">
        <v>13772</v>
      </c>
      <c r="DR1954" t="s">
        <v>13772</v>
      </c>
      <c r="DS1954" t="s">
        <v>13772</v>
      </c>
      <c r="DT1954" t="s">
        <v>13772</v>
      </c>
      <c r="DU1954" t="s">
        <v>13772</v>
      </c>
      <c r="DV1954" t="s">
        <v>14478</v>
      </c>
      <c r="DW1954" t="s">
        <v>13772</v>
      </c>
      <c r="DX1954" t="s">
        <v>13772</v>
      </c>
      <c r="DY1954" t="s">
        <v>13772</v>
      </c>
      <c r="DZ1954" t="s">
        <v>13772</v>
      </c>
      <c r="EA1954" t="s">
        <v>13772</v>
      </c>
      <c r="EB1954" t="s">
        <v>13772</v>
      </c>
    </row>
    <row r="1955" spans="1:132" hidden="1">
      <c r="A1955">
        <v>1298</v>
      </c>
      <c r="B1955">
        <v>1</v>
      </c>
      <c r="C1955" t="s">
        <v>3112</v>
      </c>
      <c r="D1955" t="s">
        <v>73</v>
      </c>
      <c r="E1955" t="s">
        <v>73</v>
      </c>
      <c r="F1955" t="s">
        <v>73</v>
      </c>
      <c r="G1955" t="s">
        <v>73</v>
      </c>
      <c r="H1955">
        <v>30.6</v>
      </c>
      <c r="I1955">
        <v>379</v>
      </c>
      <c r="J1955">
        <v>40859</v>
      </c>
      <c r="K1955" t="s">
        <v>3113</v>
      </c>
      <c r="L1955">
        <f t="shared" si="122"/>
        <v>5</v>
      </c>
      <c r="N1955">
        <v>5</v>
      </c>
      <c r="O1955">
        <v>5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3</v>
      </c>
      <c r="AY1955">
        <v>0</v>
      </c>
      <c r="AZ1955">
        <v>0</v>
      </c>
      <c r="BA1955">
        <v>0</v>
      </c>
      <c r="BB1955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2</v>
      </c>
      <c r="BN1955" s="2">
        <v>0</v>
      </c>
      <c r="BO1955" s="2">
        <v>0</v>
      </c>
      <c r="BP1955" s="2">
        <v>0</v>
      </c>
      <c r="BQ1955" s="2">
        <v>3</v>
      </c>
      <c r="BR1955" s="2">
        <v>0</v>
      </c>
      <c r="BS1955" s="2">
        <v>0</v>
      </c>
      <c r="BT1955" s="2">
        <v>0</v>
      </c>
      <c r="BU1955" s="2">
        <v>0</v>
      </c>
      <c r="BV1955" s="2">
        <f t="shared" si="125"/>
        <v>5</v>
      </c>
      <c r="BW1955" s="16">
        <f t="shared" si="123"/>
        <v>0.26315789473684209</v>
      </c>
      <c r="BX1955" s="16">
        <f>COUNTIF($BC$6:BU1955, "=0") / COUNTIF($BC$6:BU1955, "&gt;-1")</f>
        <v>0.47139001349527665</v>
      </c>
      <c r="BY1955" s="18">
        <f>SUM($BC$6:BU1955) / $BY$4</f>
        <v>0.99570722185022076</v>
      </c>
      <c r="BZ1955" s="14">
        <f t="shared" si="124"/>
        <v>17</v>
      </c>
      <c r="CA1955" t="s">
        <v>5832</v>
      </c>
      <c r="CZ1955" t="s">
        <v>10068</v>
      </c>
      <c r="DA1955" t="s">
        <v>5904</v>
      </c>
      <c r="DB1955">
        <v>503.4</v>
      </c>
      <c r="DC1955" t="s">
        <v>26333</v>
      </c>
      <c r="DD1955" t="s">
        <v>26334</v>
      </c>
      <c r="DE1955" t="s">
        <v>26335</v>
      </c>
      <c r="DF1955" t="s">
        <v>26336</v>
      </c>
      <c r="DG1955" t="s">
        <v>26337</v>
      </c>
      <c r="DH1955" t="str">
        <f>"STBD1"</f>
        <v>STBD1</v>
      </c>
      <c r="DI1955" t="s">
        <v>13772</v>
      </c>
      <c r="DJ1955" t="s">
        <v>13777</v>
      </c>
      <c r="DK1955">
        <v>9606</v>
      </c>
      <c r="DL1955" s="34" t="str">
        <f>HYPERLINK("http://www.uniprot.org/uniprot/O95210", "O95210")</f>
        <v>O95210</v>
      </c>
      <c r="DM1955" t="s">
        <v>26338</v>
      </c>
      <c r="DN1955" t="s">
        <v>26339</v>
      </c>
      <c r="DO1955" t="s">
        <v>24225</v>
      </c>
      <c r="DP1955" t="s">
        <v>13772</v>
      </c>
      <c r="DQ1955" t="s">
        <v>13772</v>
      </c>
      <c r="DR1955" t="s">
        <v>13772</v>
      </c>
      <c r="DS1955" t="s">
        <v>14417</v>
      </c>
      <c r="DT1955" t="s">
        <v>13772</v>
      </c>
      <c r="DU1955" t="s">
        <v>13772</v>
      </c>
      <c r="DV1955" t="s">
        <v>18636</v>
      </c>
      <c r="DW1955" t="s">
        <v>13772</v>
      </c>
      <c r="DX1955" t="s">
        <v>26340</v>
      </c>
      <c r="DY1955" t="s">
        <v>26341</v>
      </c>
      <c r="DZ1955" t="s">
        <v>26342</v>
      </c>
      <c r="EA1955" t="s">
        <v>13772</v>
      </c>
      <c r="EB1955" t="s">
        <v>13890</v>
      </c>
    </row>
    <row r="1956" spans="1:132" hidden="1">
      <c r="A1956">
        <v>1312</v>
      </c>
      <c r="B1956">
        <v>1</v>
      </c>
      <c r="C1956" t="s">
        <v>3147</v>
      </c>
      <c r="D1956" t="s">
        <v>73</v>
      </c>
      <c r="E1956" t="s">
        <v>73</v>
      </c>
      <c r="F1956" t="s">
        <v>73</v>
      </c>
      <c r="G1956" t="s">
        <v>73</v>
      </c>
      <c r="H1956">
        <v>29</v>
      </c>
      <c r="I1956">
        <v>107</v>
      </c>
      <c r="J1956">
        <v>11375</v>
      </c>
      <c r="K1956" t="s">
        <v>3148</v>
      </c>
      <c r="L1956">
        <f t="shared" si="122"/>
        <v>5</v>
      </c>
      <c r="N1956">
        <v>5</v>
      </c>
      <c r="O1956">
        <v>5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2</v>
      </c>
      <c r="AZ1956">
        <v>0</v>
      </c>
      <c r="BA1956">
        <v>0</v>
      </c>
      <c r="BB1956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2</v>
      </c>
      <c r="BL1956" s="2">
        <v>0</v>
      </c>
      <c r="BM1956" s="2">
        <v>0</v>
      </c>
      <c r="BN1956" s="2">
        <v>0</v>
      </c>
      <c r="BO1956" s="2">
        <v>1</v>
      </c>
      <c r="BP1956" s="2">
        <v>0</v>
      </c>
      <c r="BQ1956" s="2">
        <v>0</v>
      </c>
      <c r="BR1956" s="2">
        <v>2</v>
      </c>
      <c r="BS1956" s="2">
        <v>0</v>
      </c>
      <c r="BT1956" s="2">
        <v>0</v>
      </c>
      <c r="BU1956" s="2">
        <v>0</v>
      </c>
      <c r="BV1956" s="2">
        <f t="shared" si="125"/>
        <v>5</v>
      </c>
      <c r="BW1956" s="16">
        <f t="shared" si="123"/>
        <v>0.26315789473684209</v>
      </c>
      <c r="BX1956" s="16">
        <f>COUNTIF($BC$6:BU1956, "=0") / COUNTIF($BC$6:BU1956, "&gt;-1")</f>
        <v>0.47158002643718472</v>
      </c>
      <c r="BY1956" s="18">
        <f>SUM($BC$6:BU1956) / $BY$4</f>
        <v>0.99572864003456429</v>
      </c>
      <c r="BZ1956" s="14">
        <f t="shared" si="124"/>
        <v>16</v>
      </c>
      <c r="CA1956" t="s">
        <v>5832</v>
      </c>
      <c r="CZ1956" t="s">
        <v>10116</v>
      </c>
      <c r="DA1956" t="s">
        <v>5904</v>
      </c>
      <c r="DB1956">
        <v>132.1</v>
      </c>
      <c r="DC1956" t="s">
        <v>26473</v>
      </c>
      <c r="DD1956" t="s">
        <v>26474</v>
      </c>
      <c r="DE1956" t="s">
        <v>26475</v>
      </c>
      <c r="DF1956" t="s">
        <v>26476</v>
      </c>
      <c r="DG1956" t="s">
        <v>26477</v>
      </c>
      <c r="DH1956" t="str">
        <f>"CXCL2"</f>
        <v>CXCL2</v>
      </c>
      <c r="DI1956" t="s">
        <v>26478</v>
      </c>
      <c r="DJ1956" t="s">
        <v>13777</v>
      </c>
      <c r="DK1956">
        <v>9606</v>
      </c>
      <c r="DL1956" s="34" t="str">
        <f>HYPERLINK("http://www.uniprot.org/uniprot/P19875", "P19875")</f>
        <v>P19875</v>
      </c>
      <c r="DM1956" t="s">
        <v>26479</v>
      </c>
      <c r="DN1956" t="s">
        <v>26480</v>
      </c>
      <c r="DO1956" t="s">
        <v>14321</v>
      </c>
      <c r="DP1956" t="s">
        <v>13772</v>
      </c>
      <c r="DQ1956" t="s">
        <v>13772</v>
      </c>
      <c r="DR1956" t="s">
        <v>13772</v>
      </c>
      <c r="DS1956" t="s">
        <v>13808</v>
      </c>
      <c r="DT1956" t="s">
        <v>13772</v>
      </c>
      <c r="DU1956" t="s">
        <v>14405</v>
      </c>
      <c r="DV1956" t="s">
        <v>14506</v>
      </c>
      <c r="DW1956" t="s">
        <v>14324</v>
      </c>
      <c r="DX1956" t="s">
        <v>26481</v>
      </c>
      <c r="DY1956" t="s">
        <v>22023</v>
      </c>
      <c r="DZ1956" t="s">
        <v>26482</v>
      </c>
      <c r="EA1956" t="s">
        <v>13772</v>
      </c>
      <c r="EB1956" t="s">
        <v>26483</v>
      </c>
    </row>
    <row r="1957" spans="1:132" hidden="1">
      <c r="A1957">
        <v>1313</v>
      </c>
      <c r="B1957">
        <v>1</v>
      </c>
      <c r="C1957" t="s">
        <v>3149</v>
      </c>
      <c r="D1957" t="s">
        <v>3150</v>
      </c>
      <c r="E1957" t="s">
        <v>73</v>
      </c>
      <c r="F1957" t="s">
        <v>73</v>
      </c>
      <c r="G1957" t="s">
        <v>73</v>
      </c>
      <c r="H1957">
        <v>11.5</v>
      </c>
      <c r="I1957">
        <v>217</v>
      </c>
      <c r="J1957">
        <v>25146</v>
      </c>
      <c r="K1957" t="s">
        <v>3151</v>
      </c>
      <c r="L1957">
        <f t="shared" si="122"/>
        <v>5</v>
      </c>
      <c r="N1957">
        <v>5</v>
      </c>
      <c r="O1957">
        <v>5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3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3</v>
      </c>
      <c r="BL1957" s="2">
        <v>0</v>
      </c>
      <c r="BM1957" s="2">
        <v>1</v>
      </c>
      <c r="BN1957" s="2">
        <v>0</v>
      </c>
      <c r="BO1957" s="2">
        <v>0</v>
      </c>
      <c r="BP1957" s="2">
        <v>0</v>
      </c>
      <c r="BQ1957" s="2">
        <v>1</v>
      </c>
      <c r="BR1957" s="2">
        <v>0</v>
      </c>
      <c r="BS1957" s="2">
        <v>0</v>
      </c>
      <c r="BT1957" s="2">
        <v>0</v>
      </c>
      <c r="BU1957" s="2">
        <v>0</v>
      </c>
      <c r="BV1957" s="2">
        <f t="shared" si="125"/>
        <v>5</v>
      </c>
      <c r="BW1957" s="16">
        <f t="shared" si="123"/>
        <v>0.26315789473684209</v>
      </c>
      <c r="BX1957" s="16">
        <f>COUNTIF($BC$6:BU1957, "=0") / COUNTIF($BC$6:BU1957, "&gt;-1")</f>
        <v>0.47176984469370148</v>
      </c>
      <c r="BY1957" s="18">
        <f>SUM($BC$6:BU1957) / $BY$4</f>
        <v>0.99575005821890772</v>
      </c>
      <c r="BZ1957" s="14">
        <f t="shared" si="124"/>
        <v>16</v>
      </c>
      <c r="CA1957" t="s">
        <v>5832</v>
      </c>
      <c r="CZ1957" t="s">
        <v>10120</v>
      </c>
      <c r="DA1957" t="s">
        <v>5904</v>
      </c>
      <c r="DB1957">
        <v>449.5</v>
      </c>
      <c r="DC1957" t="s">
        <v>26484</v>
      </c>
      <c r="DD1957" t="s">
        <v>26485</v>
      </c>
      <c r="DE1957" t="s">
        <v>26486</v>
      </c>
      <c r="DF1957" t="s">
        <v>26487</v>
      </c>
      <c r="DG1957" t="s">
        <v>26488</v>
      </c>
      <c r="DH1957" t="str">
        <f>"EIF4E"</f>
        <v>EIF4E</v>
      </c>
      <c r="DI1957" t="s">
        <v>26489</v>
      </c>
      <c r="DJ1957" t="s">
        <v>13777</v>
      </c>
      <c r="DK1957">
        <v>9606</v>
      </c>
      <c r="DL1957" s="34" t="str">
        <f>HYPERLINK("http://www.uniprot.org/uniprot/P06730", "P06730")</f>
        <v>P06730</v>
      </c>
      <c r="DM1957" t="s">
        <v>26490</v>
      </c>
      <c r="DN1957" t="s">
        <v>21092</v>
      </c>
      <c r="DO1957" t="s">
        <v>13899</v>
      </c>
      <c r="DP1957" t="s">
        <v>14661</v>
      </c>
      <c r="DQ1957" t="s">
        <v>13772</v>
      </c>
      <c r="DR1957" t="s">
        <v>26491</v>
      </c>
      <c r="DS1957" t="s">
        <v>13772</v>
      </c>
      <c r="DT1957" t="s">
        <v>13772</v>
      </c>
      <c r="DU1957" t="s">
        <v>15189</v>
      </c>
      <c r="DV1957" t="s">
        <v>13886</v>
      </c>
      <c r="DW1957" t="s">
        <v>13812</v>
      </c>
      <c r="DX1957" t="s">
        <v>26492</v>
      </c>
      <c r="DY1957" t="s">
        <v>26493</v>
      </c>
      <c r="DZ1957" t="s">
        <v>26494</v>
      </c>
      <c r="EA1957" t="s">
        <v>13772</v>
      </c>
      <c r="EB1957" t="s">
        <v>26495</v>
      </c>
    </row>
    <row r="1958" spans="1:132" hidden="1">
      <c r="A1958">
        <v>1319</v>
      </c>
      <c r="B1958">
        <v>1</v>
      </c>
      <c r="C1958" t="s">
        <v>3163</v>
      </c>
      <c r="D1958" t="s">
        <v>3164</v>
      </c>
      <c r="E1958" t="s">
        <v>73</v>
      </c>
      <c r="F1958" t="s">
        <v>73</v>
      </c>
      <c r="G1958" t="s">
        <v>73</v>
      </c>
      <c r="H1958">
        <v>3.2</v>
      </c>
      <c r="I1958">
        <v>656</v>
      </c>
      <c r="J1958">
        <v>73261</v>
      </c>
      <c r="K1958" t="s">
        <v>3165</v>
      </c>
      <c r="L1958">
        <f t="shared" si="122"/>
        <v>5</v>
      </c>
      <c r="N1958">
        <v>5</v>
      </c>
      <c r="O1958">
        <v>5</v>
      </c>
      <c r="P1958">
        <v>1</v>
      </c>
      <c r="Q1958">
        <v>1</v>
      </c>
      <c r="R1958">
        <v>1</v>
      </c>
      <c r="S1958">
        <v>2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2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 s="2">
        <v>1</v>
      </c>
      <c r="BD1958" s="2">
        <v>1</v>
      </c>
      <c r="BE1958" s="2">
        <v>2</v>
      </c>
      <c r="BF1958" s="2">
        <v>0</v>
      </c>
      <c r="BG1958" s="2">
        <v>0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f t="shared" si="125"/>
        <v>5</v>
      </c>
      <c r="BW1958" s="16">
        <f t="shared" si="123"/>
        <v>0.26315789473684209</v>
      </c>
      <c r="BX1958" s="16">
        <f>COUNTIF($BC$6:BU1958, "=0") / COUNTIF($BC$6:BU1958, "&gt;-1")</f>
        <v>0.47193251947071979</v>
      </c>
      <c r="BY1958" s="18">
        <f>SUM($BC$6:BU1958) / $BY$4</f>
        <v>0.99577147640325125</v>
      </c>
      <c r="BZ1958" s="14">
        <f t="shared" si="124"/>
        <v>15</v>
      </c>
      <c r="CA1958" t="s">
        <v>5832</v>
      </c>
      <c r="CZ1958" t="s">
        <v>10140</v>
      </c>
      <c r="DA1958" t="s">
        <v>5904</v>
      </c>
      <c r="DB1958">
        <v>1165.2</v>
      </c>
      <c r="DC1958" t="s">
        <v>26538</v>
      </c>
      <c r="DD1958" t="s">
        <v>13772</v>
      </c>
      <c r="DE1958" t="s">
        <v>26539</v>
      </c>
      <c r="DF1958" t="s">
        <v>26540</v>
      </c>
      <c r="DG1958" t="s">
        <v>26541</v>
      </c>
      <c r="DH1958" t="str">
        <f>"CPZ"</f>
        <v>CPZ</v>
      </c>
      <c r="DI1958" t="s">
        <v>13772</v>
      </c>
      <c r="DJ1958" t="s">
        <v>13777</v>
      </c>
      <c r="DK1958">
        <v>9606</v>
      </c>
      <c r="DL1958" s="34" t="str">
        <f>HYPERLINK("http://www.uniprot.org/uniprot/Q66K79", "Q66K79")</f>
        <v>Q66K79</v>
      </c>
      <c r="DM1958" t="s">
        <v>26542</v>
      </c>
      <c r="DN1958" t="s">
        <v>14072</v>
      </c>
      <c r="DO1958" t="s">
        <v>13869</v>
      </c>
      <c r="DP1958" t="s">
        <v>13780</v>
      </c>
      <c r="DQ1958" t="s">
        <v>13772</v>
      </c>
      <c r="DR1958" t="s">
        <v>13772</v>
      </c>
      <c r="DS1958" t="s">
        <v>13808</v>
      </c>
      <c r="DT1958" t="s">
        <v>13856</v>
      </c>
      <c r="DU1958" t="s">
        <v>16539</v>
      </c>
      <c r="DV1958" t="s">
        <v>13796</v>
      </c>
      <c r="DW1958" t="s">
        <v>13772</v>
      </c>
      <c r="DX1958" t="s">
        <v>26543</v>
      </c>
      <c r="DY1958" t="s">
        <v>14508</v>
      </c>
      <c r="DZ1958" t="s">
        <v>17127</v>
      </c>
      <c r="EA1958" t="s">
        <v>13772</v>
      </c>
      <c r="EB1958" t="s">
        <v>13772</v>
      </c>
    </row>
    <row r="1959" spans="1:132" hidden="1">
      <c r="A1959">
        <v>1337</v>
      </c>
      <c r="B1959">
        <v>1</v>
      </c>
      <c r="C1959" t="s">
        <v>3203</v>
      </c>
      <c r="D1959" t="s">
        <v>3204</v>
      </c>
      <c r="E1959" t="s">
        <v>73</v>
      </c>
      <c r="F1959" t="s">
        <v>73</v>
      </c>
      <c r="G1959" t="s">
        <v>73</v>
      </c>
      <c r="H1959">
        <v>26.4</v>
      </c>
      <c r="I1959">
        <v>140</v>
      </c>
      <c r="J1959">
        <v>14507</v>
      </c>
      <c r="K1959" t="s">
        <v>3205</v>
      </c>
      <c r="L1959">
        <f t="shared" si="122"/>
        <v>5</v>
      </c>
      <c r="N1959">
        <v>5</v>
      </c>
      <c r="O1959">
        <v>5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5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5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f t="shared" si="125"/>
        <v>5</v>
      </c>
      <c r="BW1959" s="16">
        <f t="shared" si="123"/>
        <v>0.26315789473684209</v>
      </c>
      <c r="BX1959" s="16">
        <f>COUNTIF($BC$6:BU1959, "=0") / COUNTIF($BC$6:BU1959, "&gt;-1")</f>
        <v>0.47217583364757854</v>
      </c>
      <c r="BY1959" s="18">
        <f>SUM($BC$6:BU1959) / $BY$4</f>
        <v>0.99579289458759479</v>
      </c>
      <c r="BZ1959" s="14">
        <f t="shared" si="124"/>
        <v>18</v>
      </c>
      <c r="CA1959" t="s">
        <v>5832</v>
      </c>
      <c r="CZ1959" t="s">
        <v>10201</v>
      </c>
      <c r="DA1959" t="s">
        <v>5904</v>
      </c>
      <c r="DB1959">
        <v>256.5</v>
      </c>
      <c r="DC1959" t="s">
        <v>26708</v>
      </c>
      <c r="DD1959" t="s">
        <v>26709</v>
      </c>
      <c r="DE1959" t="s">
        <v>26710</v>
      </c>
      <c r="DF1959" t="s">
        <v>26711</v>
      </c>
      <c r="DG1959" t="s">
        <v>26712</v>
      </c>
      <c r="DH1959" t="str">
        <f>"SNCA"</f>
        <v>SNCA</v>
      </c>
      <c r="DI1959" t="s">
        <v>26713</v>
      </c>
      <c r="DJ1959" t="s">
        <v>13777</v>
      </c>
      <c r="DK1959">
        <v>9606</v>
      </c>
      <c r="DL1959" s="34" t="str">
        <f>HYPERLINK("http://www.uniprot.org/uniprot/P37840", "P37840")</f>
        <v>P37840</v>
      </c>
      <c r="DM1959" t="s">
        <v>26714</v>
      </c>
      <c r="DN1959" t="s">
        <v>13772</v>
      </c>
      <c r="DO1959" t="s">
        <v>26715</v>
      </c>
      <c r="DP1959" t="s">
        <v>13841</v>
      </c>
      <c r="DQ1959" t="s">
        <v>13772</v>
      </c>
      <c r="DR1959" t="s">
        <v>26716</v>
      </c>
      <c r="DS1959" t="s">
        <v>14096</v>
      </c>
      <c r="DT1959" t="s">
        <v>15982</v>
      </c>
      <c r="DU1959" t="s">
        <v>13772</v>
      </c>
      <c r="DV1959" t="s">
        <v>19111</v>
      </c>
      <c r="DW1959" t="s">
        <v>13812</v>
      </c>
      <c r="DX1959" t="s">
        <v>26717</v>
      </c>
      <c r="DY1959" t="s">
        <v>26718</v>
      </c>
      <c r="DZ1959" t="s">
        <v>26719</v>
      </c>
      <c r="EA1959" t="s">
        <v>13772</v>
      </c>
      <c r="EB1959" t="s">
        <v>18773</v>
      </c>
    </row>
    <row r="1960" spans="1:132" hidden="1">
      <c r="A1960">
        <v>1385</v>
      </c>
      <c r="B1960">
        <v>1</v>
      </c>
      <c r="C1960" t="s">
        <v>3309</v>
      </c>
      <c r="D1960" t="s">
        <v>3310</v>
      </c>
      <c r="E1960" t="s">
        <v>73</v>
      </c>
      <c r="F1960" t="s">
        <v>73</v>
      </c>
      <c r="G1960" t="s">
        <v>73</v>
      </c>
      <c r="H1960">
        <v>15.5</v>
      </c>
      <c r="I1960">
        <v>367</v>
      </c>
      <c r="J1960">
        <v>42100</v>
      </c>
      <c r="K1960" t="s">
        <v>3311</v>
      </c>
      <c r="L1960">
        <f t="shared" si="122"/>
        <v>5</v>
      </c>
      <c r="N1960">
        <v>5</v>
      </c>
      <c r="O1960">
        <v>5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5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f t="shared" si="125"/>
        <v>5</v>
      </c>
      <c r="BW1960" s="16">
        <f t="shared" si="123"/>
        <v>0.26315789473684209</v>
      </c>
      <c r="BX1960" s="16">
        <f>COUNTIF($BC$6:BU1960, "=0") / COUNTIF($BC$6:BU1960, "&gt;-1")</f>
        <v>0.47241889890967831</v>
      </c>
      <c r="BY1960" s="18">
        <f>SUM($BC$6:BU1960) / $BY$4</f>
        <v>0.99581431277193821</v>
      </c>
      <c r="BZ1960" s="14">
        <f t="shared" si="124"/>
        <v>18</v>
      </c>
      <c r="CA1960" t="s">
        <v>5832</v>
      </c>
      <c r="CZ1960" t="s">
        <v>10363</v>
      </c>
      <c r="DA1960" t="s">
        <v>5904</v>
      </c>
      <c r="DB1960">
        <v>662.1</v>
      </c>
      <c r="DC1960" t="s">
        <v>27159</v>
      </c>
      <c r="DD1960" t="s">
        <v>27160</v>
      </c>
      <c r="DE1960" t="s">
        <v>27161</v>
      </c>
      <c r="DF1960" t="s">
        <v>27162</v>
      </c>
      <c r="DG1960" t="s">
        <v>27163</v>
      </c>
      <c r="DH1960" t="str">
        <f>"MAPK14"</f>
        <v>MAPK14</v>
      </c>
      <c r="DI1960" t="s">
        <v>27164</v>
      </c>
      <c r="DJ1960" t="s">
        <v>13777</v>
      </c>
      <c r="DK1960">
        <v>9606</v>
      </c>
      <c r="DL1960" s="34" t="str">
        <f>HYPERLINK("http://www.uniprot.org/uniprot/Q16539", "Q16539")</f>
        <v>Q16539</v>
      </c>
      <c r="DM1960" t="s">
        <v>27165</v>
      </c>
      <c r="DN1960" t="s">
        <v>27166</v>
      </c>
      <c r="DO1960" t="s">
        <v>13912</v>
      </c>
      <c r="DP1960" t="s">
        <v>13780</v>
      </c>
      <c r="DQ1960" t="s">
        <v>13772</v>
      </c>
      <c r="DR1960" t="s">
        <v>13772</v>
      </c>
      <c r="DS1960" t="s">
        <v>13772</v>
      </c>
      <c r="DT1960" t="s">
        <v>14005</v>
      </c>
      <c r="DU1960" t="s">
        <v>20891</v>
      </c>
      <c r="DV1960" t="s">
        <v>19111</v>
      </c>
      <c r="DW1960" t="s">
        <v>13812</v>
      </c>
      <c r="DX1960" t="s">
        <v>27167</v>
      </c>
      <c r="DY1960" t="s">
        <v>27168</v>
      </c>
      <c r="DZ1960" t="s">
        <v>27169</v>
      </c>
      <c r="EA1960" t="s">
        <v>13772</v>
      </c>
      <c r="EB1960" t="s">
        <v>27170</v>
      </c>
    </row>
    <row r="1961" spans="1:132" hidden="1">
      <c r="A1961">
        <v>1492</v>
      </c>
      <c r="B1961">
        <v>1</v>
      </c>
      <c r="C1961" t="s">
        <v>3550</v>
      </c>
      <c r="D1961" t="s">
        <v>3551</v>
      </c>
      <c r="E1961" t="s">
        <v>73</v>
      </c>
      <c r="F1961" t="s">
        <v>73</v>
      </c>
      <c r="G1961" t="s">
        <v>73</v>
      </c>
      <c r="H1961">
        <v>10.6</v>
      </c>
      <c r="I1961">
        <v>349</v>
      </c>
      <c r="J1961">
        <v>40649</v>
      </c>
      <c r="K1961" t="s">
        <v>3552</v>
      </c>
      <c r="L1961">
        <f t="shared" si="122"/>
        <v>5</v>
      </c>
      <c r="N1961">
        <v>5</v>
      </c>
      <c r="O1961">
        <v>5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</v>
      </c>
      <c r="Z1961">
        <v>0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2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2</v>
      </c>
      <c r="BL1961" s="2">
        <v>0</v>
      </c>
      <c r="BM1961" s="2">
        <v>0</v>
      </c>
      <c r="BN1961" s="2">
        <v>1</v>
      </c>
      <c r="BO1961" s="2">
        <v>1</v>
      </c>
      <c r="BP1961" s="2">
        <v>0</v>
      </c>
      <c r="BQ1961" s="2">
        <v>0</v>
      </c>
      <c r="BR1961" s="2">
        <v>1</v>
      </c>
      <c r="BS1961" s="2">
        <v>0</v>
      </c>
      <c r="BT1961" s="2">
        <v>0</v>
      </c>
      <c r="BU1961" s="2">
        <v>0</v>
      </c>
      <c r="BV1961" s="2">
        <f t="shared" si="125"/>
        <v>5</v>
      </c>
      <c r="BW1961" s="16">
        <f t="shared" si="123"/>
        <v>0.26315789473684209</v>
      </c>
      <c r="BX1961" s="16">
        <f>COUNTIF($BC$6:BU1961, "=0") / COUNTIF($BC$6:BU1961, "&gt;-1")</f>
        <v>0.47258099235819612</v>
      </c>
      <c r="BY1961" s="18">
        <f>SUM($BC$6:BU1961) / $BY$4</f>
        <v>0.99583573095628175</v>
      </c>
      <c r="BZ1961" s="14">
        <f t="shared" si="124"/>
        <v>15</v>
      </c>
      <c r="CA1961" t="s">
        <v>5832</v>
      </c>
      <c r="CZ1961" t="s">
        <v>10707</v>
      </c>
      <c r="DA1961" t="s">
        <v>5904</v>
      </c>
      <c r="DB1961">
        <v>404.4</v>
      </c>
      <c r="DC1961" t="s">
        <v>28135</v>
      </c>
      <c r="DD1961" t="s">
        <v>28136</v>
      </c>
      <c r="DE1961" t="s">
        <v>28137</v>
      </c>
      <c r="DF1961" t="s">
        <v>28138</v>
      </c>
      <c r="DG1961" t="s">
        <v>28139</v>
      </c>
      <c r="DH1961" t="str">
        <f>"SET"</f>
        <v>SET</v>
      </c>
      <c r="DI1961" t="s">
        <v>13772</v>
      </c>
      <c r="DJ1961" t="s">
        <v>13777</v>
      </c>
      <c r="DK1961">
        <v>9606</v>
      </c>
      <c r="DL1961" s="34" t="str">
        <f>HYPERLINK("http://www.uniprot.org/uniprot/Q01105", "Q01105")</f>
        <v>Q01105</v>
      </c>
      <c r="DM1961" t="s">
        <v>28140</v>
      </c>
      <c r="DN1961" t="s">
        <v>14563</v>
      </c>
      <c r="DO1961" t="s">
        <v>14613</v>
      </c>
      <c r="DP1961" t="s">
        <v>20333</v>
      </c>
      <c r="DQ1961" t="s">
        <v>13772</v>
      </c>
      <c r="DR1961" t="s">
        <v>28141</v>
      </c>
      <c r="DS1961" t="s">
        <v>13772</v>
      </c>
      <c r="DT1961" t="s">
        <v>13772</v>
      </c>
      <c r="DU1961" t="s">
        <v>28142</v>
      </c>
      <c r="DV1961" t="s">
        <v>14663</v>
      </c>
      <c r="DW1961" t="s">
        <v>13812</v>
      </c>
      <c r="DX1961" t="s">
        <v>28143</v>
      </c>
      <c r="DY1961" t="s">
        <v>28144</v>
      </c>
      <c r="DZ1961" t="s">
        <v>28145</v>
      </c>
      <c r="EA1961" t="s">
        <v>13772</v>
      </c>
      <c r="EB1961" t="s">
        <v>28146</v>
      </c>
    </row>
    <row r="1962" spans="1:132" hidden="1">
      <c r="A1962">
        <v>1584</v>
      </c>
      <c r="B1962">
        <v>1</v>
      </c>
      <c r="C1962" t="s">
        <v>3753</v>
      </c>
      <c r="D1962" t="s">
        <v>73</v>
      </c>
      <c r="E1962" t="s">
        <v>73</v>
      </c>
      <c r="F1962" t="s">
        <v>73</v>
      </c>
      <c r="G1962" t="s">
        <v>73</v>
      </c>
      <c r="H1962">
        <v>7.7</v>
      </c>
      <c r="I1962">
        <v>208</v>
      </c>
      <c r="J1962">
        <v>22924</v>
      </c>
      <c r="K1962" t="s">
        <v>3754</v>
      </c>
      <c r="L1962">
        <f t="shared" si="122"/>
        <v>5</v>
      </c>
      <c r="N1962">
        <v>5</v>
      </c>
      <c r="O1962">
        <v>5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3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3</v>
      </c>
      <c r="AZ1962">
        <v>0</v>
      </c>
      <c r="BA1962">
        <v>0</v>
      </c>
      <c r="BB196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1</v>
      </c>
      <c r="BN1962" s="2">
        <v>0</v>
      </c>
      <c r="BO1962" s="2">
        <v>0</v>
      </c>
      <c r="BP1962" s="2">
        <v>0</v>
      </c>
      <c r="BQ1962" s="2">
        <v>0</v>
      </c>
      <c r="BR1962" s="2">
        <v>3</v>
      </c>
      <c r="BS1962" s="2">
        <v>0</v>
      </c>
      <c r="BT1962" s="2">
        <v>0</v>
      </c>
      <c r="BU1962" s="2">
        <v>0</v>
      </c>
      <c r="BV1962" s="2">
        <f t="shared" si="125"/>
        <v>5</v>
      </c>
      <c r="BW1962" s="16">
        <f t="shared" si="123"/>
        <v>0.26315789473684209</v>
      </c>
      <c r="BX1962" s="16">
        <f>COUNTIF($BC$6:BU1962, "=0") / COUNTIF($BC$6:BU1962, "&gt;-1")</f>
        <v>0.47276981416238606</v>
      </c>
      <c r="BY1962" s="18">
        <f>SUM($BC$6:BU1962) / $BY$4</f>
        <v>0.99585714914062529</v>
      </c>
      <c r="BZ1962" s="14">
        <f t="shared" si="124"/>
        <v>16</v>
      </c>
      <c r="CA1962" t="s">
        <v>5832</v>
      </c>
      <c r="CZ1962" t="s">
        <v>11019</v>
      </c>
      <c r="DA1962" t="s">
        <v>5904</v>
      </c>
      <c r="DB1962">
        <v>319.7</v>
      </c>
      <c r="DC1962" t="s">
        <v>28992</v>
      </c>
      <c r="DD1962" t="s">
        <v>28993</v>
      </c>
      <c r="DE1962" t="s">
        <v>28994</v>
      </c>
      <c r="DF1962" t="s">
        <v>28995</v>
      </c>
      <c r="DG1962" t="s">
        <v>28996</v>
      </c>
      <c r="DH1962" t="str">
        <f>"HBEGF"</f>
        <v>HBEGF</v>
      </c>
      <c r="DI1962" t="s">
        <v>28997</v>
      </c>
      <c r="DJ1962" t="s">
        <v>13777</v>
      </c>
      <c r="DK1962">
        <v>9606</v>
      </c>
      <c r="DL1962" s="34" t="str">
        <f>HYPERLINK("http://www.uniprot.org/uniprot/Q99075", "Q99075")</f>
        <v>Q99075</v>
      </c>
      <c r="DM1962" t="s">
        <v>28998</v>
      </c>
      <c r="DN1962" t="s">
        <v>13772</v>
      </c>
      <c r="DO1962" t="s">
        <v>14336</v>
      </c>
      <c r="DP1962" t="s">
        <v>13772</v>
      </c>
      <c r="DQ1962" t="s">
        <v>13772</v>
      </c>
      <c r="DR1962" t="s">
        <v>13772</v>
      </c>
      <c r="DS1962" t="s">
        <v>16416</v>
      </c>
      <c r="DT1962" t="s">
        <v>13772</v>
      </c>
      <c r="DU1962" t="s">
        <v>28999</v>
      </c>
      <c r="DV1962" t="s">
        <v>13796</v>
      </c>
      <c r="DW1962" t="s">
        <v>13812</v>
      </c>
      <c r="DX1962" t="s">
        <v>29000</v>
      </c>
      <c r="DY1962" t="s">
        <v>29001</v>
      </c>
      <c r="DZ1962" t="s">
        <v>29002</v>
      </c>
      <c r="EA1962" t="s">
        <v>13772</v>
      </c>
      <c r="EB1962" t="s">
        <v>29003</v>
      </c>
    </row>
    <row r="1963" spans="1:132" hidden="1">
      <c r="A1963">
        <v>1621</v>
      </c>
      <c r="B1963">
        <v>1</v>
      </c>
      <c r="C1963" t="s">
        <v>3841</v>
      </c>
      <c r="D1963" t="s">
        <v>73</v>
      </c>
      <c r="E1963" t="s">
        <v>73</v>
      </c>
      <c r="F1963" t="s">
        <v>73</v>
      </c>
      <c r="G1963" t="s">
        <v>73</v>
      </c>
      <c r="H1963">
        <v>7.4</v>
      </c>
      <c r="I1963">
        <v>570</v>
      </c>
      <c r="J1963">
        <v>65614</v>
      </c>
      <c r="K1963" t="s">
        <v>3842</v>
      </c>
      <c r="L1963">
        <f t="shared" si="122"/>
        <v>5</v>
      </c>
      <c r="N1963">
        <v>5</v>
      </c>
      <c r="O1963">
        <v>5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4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1</v>
      </c>
      <c r="BO1963" s="2">
        <v>4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f t="shared" si="125"/>
        <v>5</v>
      </c>
      <c r="BW1963" s="16">
        <f t="shared" si="123"/>
        <v>0.26315789473684209</v>
      </c>
      <c r="BX1963" s="16">
        <f>COUNTIF($BC$6:BU1963, "=0") / COUNTIF($BC$6:BU1963, "&gt;-1")</f>
        <v>0.47298532336971133</v>
      </c>
      <c r="BY1963" s="18">
        <f>SUM($BC$6:BU1963) / $BY$4</f>
        <v>0.99587856732496871</v>
      </c>
      <c r="BZ1963" s="14">
        <f t="shared" si="124"/>
        <v>17</v>
      </c>
      <c r="CA1963" t="s">
        <v>5832</v>
      </c>
      <c r="CZ1963" t="s">
        <v>11149</v>
      </c>
      <c r="DA1963" t="s">
        <v>5904</v>
      </c>
      <c r="DB1963">
        <v>1063.0999999999999</v>
      </c>
      <c r="DC1963" t="s">
        <v>29335</v>
      </c>
      <c r="DD1963" t="s">
        <v>29336</v>
      </c>
      <c r="DE1963" t="s">
        <v>29337</v>
      </c>
      <c r="DF1963" t="s">
        <v>29338</v>
      </c>
      <c r="DG1963" t="s">
        <v>29339</v>
      </c>
      <c r="DH1963" t="str">
        <f>"CYBB"</f>
        <v>CYBB</v>
      </c>
      <c r="DI1963" t="s">
        <v>29340</v>
      </c>
      <c r="DJ1963" t="s">
        <v>13777</v>
      </c>
      <c r="DK1963">
        <v>9606</v>
      </c>
      <c r="DL1963" s="34" t="str">
        <f>HYPERLINK("http://www.uniprot.org/uniprot/P04839", "P04839")</f>
        <v>P04839</v>
      </c>
      <c r="DM1963" t="s">
        <v>29341</v>
      </c>
      <c r="DN1963" t="s">
        <v>29342</v>
      </c>
      <c r="DO1963" t="s">
        <v>13792</v>
      </c>
      <c r="DP1963" t="s">
        <v>13793</v>
      </c>
      <c r="DQ1963" t="s">
        <v>13772</v>
      </c>
      <c r="DR1963" t="s">
        <v>29343</v>
      </c>
      <c r="DS1963" t="s">
        <v>13925</v>
      </c>
      <c r="DT1963" t="s">
        <v>29344</v>
      </c>
      <c r="DU1963" t="s">
        <v>29345</v>
      </c>
      <c r="DV1963" t="s">
        <v>29346</v>
      </c>
      <c r="DW1963" t="s">
        <v>13812</v>
      </c>
      <c r="DX1963" t="s">
        <v>29347</v>
      </c>
      <c r="DY1963" t="s">
        <v>29348</v>
      </c>
      <c r="DZ1963" t="s">
        <v>29349</v>
      </c>
      <c r="EA1963" t="s">
        <v>13772</v>
      </c>
      <c r="EB1963" t="s">
        <v>29350</v>
      </c>
    </row>
    <row r="1964" spans="1:132" hidden="1">
      <c r="A1964">
        <v>1625</v>
      </c>
      <c r="B1964">
        <v>1</v>
      </c>
      <c r="C1964" t="s">
        <v>3850</v>
      </c>
      <c r="D1964" t="s">
        <v>73</v>
      </c>
      <c r="E1964" t="s">
        <v>73</v>
      </c>
      <c r="F1964" t="s">
        <v>73</v>
      </c>
      <c r="G1964" t="s">
        <v>73</v>
      </c>
      <c r="H1964">
        <v>12.4</v>
      </c>
      <c r="I1964">
        <v>387</v>
      </c>
      <c r="J1964">
        <v>44402</v>
      </c>
      <c r="K1964" t="s">
        <v>3851</v>
      </c>
      <c r="L1964">
        <f t="shared" si="122"/>
        <v>5</v>
      </c>
      <c r="N1964">
        <v>5</v>
      </c>
      <c r="O1964">
        <v>5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3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 s="2">
        <v>0</v>
      </c>
      <c r="BD1964" s="2">
        <v>1</v>
      </c>
      <c r="BE1964" s="2">
        <v>0</v>
      </c>
      <c r="BF1964" s="2">
        <v>0</v>
      </c>
      <c r="BG1964" s="2">
        <v>3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1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f t="shared" si="125"/>
        <v>5</v>
      </c>
      <c r="BW1964" s="16">
        <f t="shared" si="123"/>
        <v>0.26315789473684209</v>
      </c>
      <c r="BX1964" s="16">
        <f>COUNTIF($BC$6:BU1964, "=0") / COUNTIF($BC$6:BU1964, "&gt;-1")</f>
        <v>0.47317374600360013</v>
      </c>
      <c r="BY1964" s="18">
        <f>SUM($BC$6:BU1964) / $BY$4</f>
        <v>0.99589998550931225</v>
      </c>
      <c r="BZ1964" s="14">
        <f t="shared" si="124"/>
        <v>16</v>
      </c>
      <c r="CA1964" t="s">
        <v>5832</v>
      </c>
      <c r="CZ1964" t="s">
        <v>11163</v>
      </c>
      <c r="DA1964" t="s">
        <v>5904</v>
      </c>
      <c r="DB1964">
        <v>607.4</v>
      </c>
      <c r="DC1964" t="s">
        <v>29383</v>
      </c>
      <c r="DD1964" t="s">
        <v>29384</v>
      </c>
      <c r="DE1964" t="s">
        <v>29385</v>
      </c>
      <c r="DF1964" t="s">
        <v>29386</v>
      </c>
      <c r="DG1964" t="s">
        <v>29387</v>
      </c>
      <c r="DH1964" t="str">
        <f>"RENBP"</f>
        <v>RENBP</v>
      </c>
      <c r="DI1964" t="s">
        <v>13772</v>
      </c>
      <c r="DJ1964" t="s">
        <v>13777</v>
      </c>
      <c r="DK1964">
        <v>9606</v>
      </c>
      <c r="DL1964" s="34" t="str">
        <f>HYPERLINK("http://www.uniprot.org/uniprot/P51606", "P51606")</f>
        <v>P51606</v>
      </c>
      <c r="DM1964" t="s">
        <v>25459</v>
      </c>
      <c r="DN1964" t="s">
        <v>13772</v>
      </c>
      <c r="DO1964" t="s">
        <v>13772</v>
      </c>
      <c r="DP1964" t="s">
        <v>13780</v>
      </c>
      <c r="DQ1964" t="s">
        <v>13772</v>
      </c>
      <c r="DR1964" t="s">
        <v>13772</v>
      </c>
      <c r="DS1964" t="s">
        <v>13772</v>
      </c>
      <c r="DT1964" t="s">
        <v>13772</v>
      </c>
      <c r="DU1964" t="s">
        <v>14910</v>
      </c>
      <c r="DV1964" t="s">
        <v>13772</v>
      </c>
      <c r="DW1964" t="s">
        <v>13772</v>
      </c>
      <c r="DX1964" t="s">
        <v>29388</v>
      </c>
      <c r="DY1964" t="s">
        <v>15111</v>
      </c>
      <c r="DZ1964" t="s">
        <v>29389</v>
      </c>
      <c r="EA1964" t="s">
        <v>29390</v>
      </c>
      <c r="EB1964" t="s">
        <v>15101</v>
      </c>
    </row>
    <row r="1965" spans="1:132" hidden="1">
      <c r="A1965">
        <v>1633</v>
      </c>
      <c r="B1965">
        <v>1</v>
      </c>
      <c r="C1965" t="s">
        <v>3872</v>
      </c>
      <c r="D1965" t="s">
        <v>73</v>
      </c>
      <c r="E1965" t="s">
        <v>73</v>
      </c>
      <c r="F1965" t="s">
        <v>73</v>
      </c>
      <c r="G1965" t="s">
        <v>73</v>
      </c>
      <c r="H1965">
        <v>10.4</v>
      </c>
      <c r="I1965">
        <v>613</v>
      </c>
      <c r="J1965">
        <v>66796</v>
      </c>
      <c r="K1965" t="s">
        <v>3873</v>
      </c>
      <c r="L1965">
        <f t="shared" si="122"/>
        <v>5</v>
      </c>
      <c r="N1965">
        <v>5</v>
      </c>
      <c r="O1965">
        <v>5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2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2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0</v>
      </c>
      <c r="BJ1965" s="2">
        <v>1</v>
      </c>
      <c r="BK1965" s="2">
        <v>0</v>
      </c>
      <c r="BL1965" s="2">
        <v>0</v>
      </c>
      <c r="BM1965" s="2">
        <v>2</v>
      </c>
      <c r="BN1965" s="2">
        <v>1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f t="shared" si="125"/>
        <v>5</v>
      </c>
      <c r="BW1965" s="16">
        <f t="shared" si="123"/>
        <v>0.26315789473684209</v>
      </c>
      <c r="BX1965" s="16">
        <f>COUNTIF($BC$6:BU1965, "=0") / COUNTIF($BC$6:BU1965, "&gt;-1")</f>
        <v>0.47333512352309343</v>
      </c>
      <c r="BY1965" s="18">
        <f>SUM($BC$6:BU1965) / $BY$4</f>
        <v>0.99592140369365578</v>
      </c>
      <c r="BZ1965" s="14">
        <f t="shared" si="124"/>
        <v>15</v>
      </c>
      <c r="CA1965" t="s">
        <v>5832</v>
      </c>
      <c r="CZ1965" t="s">
        <v>11190</v>
      </c>
      <c r="DA1965" t="s">
        <v>5904</v>
      </c>
      <c r="DB1965">
        <v>1154.4000000000001</v>
      </c>
      <c r="DC1965" t="s">
        <v>29450</v>
      </c>
      <c r="DD1965" t="s">
        <v>29451</v>
      </c>
      <c r="DE1965" t="s">
        <v>29452</v>
      </c>
      <c r="DF1965" t="s">
        <v>29453</v>
      </c>
      <c r="DG1965" t="s">
        <v>29454</v>
      </c>
      <c r="DH1965" t="str">
        <f>"AIFM1"</f>
        <v>AIFM1</v>
      </c>
      <c r="DI1965" t="s">
        <v>29455</v>
      </c>
      <c r="DJ1965" t="s">
        <v>13777</v>
      </c>
      <c r="DK1965">
        <v>9606</v>
      </c>
      <c r="DL1965" s="34" t="str">
        <f>HYPERLINK("http://www.uniprot.org/uniprot/O95831", "O95831")</f>
        <v>O95831</v>
      </c>
      <c r="DM1965" t="s">
        <v>29456</v>
      </c>
      <c r="DN1965" t="s">
        <v>17109</v>
      </c>
      <c r="DO1965" t="s">
        <v>24483</v>
      </c>
      <c r="DP1965" t="s">
        <v>13841</v>
      </c>
      <c r="DQ1965" t="s">
        <v>13772</v>
      </c>
      <c r="DR1965" t="s">
        <v>29457</v>
      </c>
      <c r="DS1965" t="s">
        <v>14391</v>
      </c>
      <c r="DT1965" t="s">
        <v>17159</v>
      </c>
      <c r="DU1965" t="s">
        <v>29458</v>
      </c>
      <c r="DV1965" t="s">
        <v>13991</v>
      </c>
      <c r="DW1965" t="s">
        <v>13812</v>
      </c>
      <c r="DX1965" t="s">
        <v>29459</v>
      </c>
      <c r="DY1965" t="s">
        <v>29460</v>
      </c>
      <c r="DZ1965" t="s">
        <v>29461</v>
      </c>
      <c r="EA1965" t="s">
        <v>13772</v>
      </c>
      <c r="EB1965" t="s">
        <v>13772</v>
      </c>
    </row>
    <row r="1966" spans="1:132" hidden="1">
      <c r="A1966">
        <v>1634</v>
      </c>
      <c r="B1966">
        <v>1</v>
      </c>
      <c r="C1966" t="s">
        <v>3874</v>
      </c>
      <c r="D1966" t="s">
        <v>3875</v>
      </c>
      <c r="E1966" t="s">
        <v>73</v>
      </c>
      <c r="F1966" t="s">
        <v>73</v>
      </c>
      <c r="G1966" t="s">
        <v>73</v>
      </c>
      <c r="H1966">
        <v>10.5</v>
      </c>
      <c r="I1966">
        <v>390</v>
      </c>
      <c r="J1966">
        <v>43377</v>
      </c>
      <c r="K1966" t="s">
        <v>3876</v>
      </c>
      <c r="L1966">
        <f t="shared" si="122"/>
        <v>5</v>
      </c>
      <c r="N1966">
        <v>5</v>
      </c>
      <c r="O1966">
        <v>5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3</v>
      </c>
      <c r="AU1966">
        <v>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3</v>
      </c>
      <c r="BN1966" s="2">
        <v>2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f t="shared" si="125"/>
        <v>5</v>
      </c>
      <c r="BW1966" s="16">
        <f t="shared" si="123"/>
        <v>0.26315789473684209</v>
      </c>
      <c r="BX1966" s="16">
        <f>COUNTIF($BC$6:BU1966, "=0") / COUNTIF($BC$6:BU1966, "&gt;-1")</f>
        <v>0.47355001476153413</v>
      </c>
      <c r="BY1966" s="18">
        <f>SUM($BC$6:BU1966) / $BY$4</f>
        <v>0.99594282187799932</v>
      </c>
      <c r="BZ1966" s="14">
        <f t="shared" si="124"/>
        <v>17</v>
      </c>
      <c r="CA1966" t="s">
        <v>5832</v>
      </c>
      <c r="CZ1966" t="s">
        <v>11194</v>
      </c>
      <c r="DA1966" t="s">
        <v>5904</v>
      </c>
      <c r="DB1966">
        <v>808.5</v>
      </c>
      <c r="DC1966" t="s">
        <v>29462</v>
      </c>
      <c r="DD1966" t="s">
        <v>29463</v>
      </c>
      <c r="DE1966" t="s">
        <v>29464</v>
      </c>
      <c r="DF1966" t="s">
        <v>29465</v>
      </c>
      <c r="DG1966" t="s">
        <v>29466</v>
      </c>
      <c r="DH1966" t="str">
        <f>"PDHA1"</f>
        <v>PDHA1</v>
      </c>
      <c r="DI1966" t="s">
        <v>29467</v>
      </c>
      <c r="DJ1966" t="s">
        <v>13777</v>
      </c>
      <c r="DK1966">
        <v>9606</v>
      </c>
      <c r="DL1966" s="34" t="str">
        <f>HYPERLINK("http://www.uniprot.org/uniprot/P08559", "P08559")</f>
        <v>P08559</v>
      </c>
      <c r="DM1966" t="s">
        <v>29468</v>
      </c>
      <c r="DN1966" t="s">
        <v>18569</v>
      </c>
      <c r="DO1966" t="s">
        <v>14491</v>
      </c>
      <c r="DP1966" t="s">
        <v>13780</v>
      </c>
      <c r="DQ1966" t="s">
        <v>13772</v>
      </c>
      <c r="DR1966" t="s">
        <v>29469</v>
      </c>
      <c r="DS1966" t="s">
        <v>14391</v>
      </c>
      <c r="DT1966" t="s">
        <v>20829</v>
      </c>
      <c r="DU1966" t="s">
        <v>13885</v>
      </c>
      <c r="DV1966" t="s">
        <v>13886</v>
      </c>
      <c r="DW1966" t="s">
        <v>13812</v>
      </c>
      <c r="DX1966" t="s">
        <v>20830</v>
      </c>
      <c r="DY1966" t="s">
        <v>29470</v>
      </c>
      <c r="DZ1966" t="s">
        <v>29471</v>
      </c>
      <c r="EA1966" t="s">
        <v>13772</v>
      </c>
      <c r="EB1966" t="s">
        <v>18574</v>
      </c>
    </row>
    <row r="1967" spans="1:132" hidden="1">
      <c r="A1967">
        <v>1669</v>
      </c>
      <c r="B1967">
        <v>1</v>
      </c>
      <c r="C1967" t="s">
        <v>3956</v>
      </c>
      <c r="D1967" t="s">
        <v>73</v>
      </c>
      <c r="E1967" t="s">
        <v>73</v>
      </c>
      <c r="F1967" t="s">
        <v>73</v>
      </c>
      <c r="G1967" t="s">
        <v>73</v>
      </c>
      <c r="H1967">
        <v>19.899999999999999</v>
      </c>
      <c r="I1967">
        <v>261</v>
      </c>
      <c r="J1967">
        <v>27153</v>
      </c>
      <c r="K1967" t="s">
        <v>3957</v>
      </c>
      <c r="L1967">
        <f t="shared" si="122"/>
        <v>5</v>
      </c>
      <c r="N1967">
        <v>5</v>
      </c>
      <c r="O1967">
        <v>5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</v>
      </c>
      <c r="AB1967">
        <v>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</v>
      </c>
      <c r="AU1967">
        <v>2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2</v>
      </c>
      <c r="BN1967" s="2">
        <v>2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f t="shared" si="125"/>
        <v>5</v>
      </c>
      <c r="BW1967" s="16">
        <f t="shared" si="123"/>
        <v>0.26315789473684209</v>
      </c>
      <c r="BX1967" s="16">
        <f>COUNTIF($BC$6:BU1967, "=0") / COUNTIF($BC$6:BU1967, "&gt;-1")</f>
        <v>0.47373786147325503</v>
      </c>
      <c r="BY1967" s="18">
        <f>SUM($BC$6:BU1967) / $BY$4</f>
        <v>0.99596424006234274</v>
      </c>
      <c r="BZ1967" s="14">
        <f t="shared" si="124"/>
        <v>16</v>
      </c>
      <c r="CA1967" t="s">
        <v>5832</v>
      </c>
      <c r="CZ1967" t="s">
        <v>11312</v>
      </c>
      <c r="DA1967" t="s">
        <v>5904</v>
      </c>
      <c r="DB1967">
        <v>481.5</v>
      </c>
      <c r="DC1967" t="s">
        <v>29807</v>
      </c>
      <c r="DD1967" t="s">
        <v>29808</v>
      </c>
      <c r="DE1967" t="s">
        <v>29809</v>
      </c>
      <c r="DF1967" t="s">
        <v>29810</v>
      </c>
      <c r="DG1967" t="s">
        <v>29811</v>
      </c>
      <c r="DH1967" t="str">
        <f>"HSD17B10"</f>
        <v>HSD17B10</v>
      </c>
      <c r="DI1967" t="s">
        <v>29812</v>
      </c>
      <c r="DJ1967" t="s">
        <v>13777</v>
      </c>
      <c r="DK1967">
        <v>9606</v>
      </c>
      <c r="DL1967" s="34" t="str">
        <f>HYPERLINK("http://www.uniprot.org/uniprot/Q99714", "Q99714")</f>
        <v>Q99714</v>
      </c>
      <c r="DM1967" t="s">
        <v>29813</v>
      </c>
      <c r="DN1967" t="s">
        <v>14019</v>
      </c>
      <c r="DO1967" t="s">
        <v>14491</v>
      </c>
      <c r="DP1967" t="s">
        <v>14661</v>
      </c>
      <c r="DQ1967" t="s">
        <v>13772</v>
      </c>
      <c r="DR1967" t="s">
        <v>29814</v>
      </c>
      <c r="DS1967" t="s">
        <v>13772</v>
      </c>
      <c r="DT1967" t="s">
        <v>14492</v>
      </c>
      <c r="DU1967" t="s">
        <v>13885</v>
      </c>
      <c r="DV1967" t="s">
        <v>14020</v>
      </c>
      <c r="DW1967" t="s">
        <v>13812</v>
      </c>
      <c r="DX1967" t="s">
        <v>29815</v>
      </c>
      <c r="DY1967" t="s">
        <v>29816</v>
      </c>
      <c r="DZ1967" t="s">
        <v>29817</v>
      </c>
      <c r="EA1967" t="s">
        <v>13772</v>
      </c>
      <c r="EB1967" t="s">
        <v>29818</v>
      </c>
    </row>
    <row r="1968" spans="1:132" hidden="1">
      <c r="A1968">
        <v>1750</v>
      </c>
      <c r="B1968">
        <v>1</v>
      </c>
      <c r="C1968" t="s">
        <v>4140</v>
      </c>
      <c r="D1968" t="s">
        <v>73</v>
      </c>
      <c r="E1968" t="s">
        <v>73</v>
      </c>
      <c r="F1968" t="s">
        <v>73</v>
      </c>
      <c r="G1968" t="s">
        <v>73</v>
      </c>
      <c r="H1968">
        <v>15.9</v>
      </c>
      <c r="I1968">
        <v>251</v>
      </c>
      <c r="J1968">
        <v>28404</v>
      </c>
      <c r="K1968" t="s">
        <v>4141</v>
      </c>
      <c r="L1968">
        <f t="shared" si="122"/>
        <v>5</v>
      </c>
      <c r="N1968">
        <v>5</v>
      </c>
      <c r="O1968">
        <v>5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1</v>
      </c>
      <c r="BI1968" s="2">
        <v>0</v>
      </c>
      <c r="BJ1968" s="2">
        <v>1</v>
      </c>
      <c r="BK1968" s="2">
        <v>0</v>
      </c>
      <c r="BL1968" s="2">
        <v>0</v>
      </c>
      <c r="BM1968" s="2">
        <v>3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f t="shared" si="125"/>
        <v>5</v>
      </c>
      <c r="BW1968" s="16">
        <f t="shared" si="123"/>
        <v>0.26315789473684209</v>
      </c>
      <c r="BX1968" s="16">
        <f>COUNTIF($BC$6:BU1968, "=0") / COUNTIF($BC$6:BU1968, "&gt;-1")</f>
        <v>0.47392551679759765</v>
      </c>
      <c r="BY1968" s="18">
        <f>SUM($BC$6:BU1968) / $BY$4</f>
        <v>0.99598565824668628</v>
      </c>
      <c r="BZ1968" s="14">
        <f t="shared" si="124"/>
        <v>16</v>
      </c>
      <c r="CA1968" t="s">
        <v>5832</v>
      </c>
      <c r="CZ1968" t="s">
        <v>11585</v>
      </c>
      <c r="DA1968" t="s">
        <v>5904</v>
      </c>
      <c r="DB1968">
        <v>471.1</v>
      </c>
      <c r="DC1968" t="s">
        <v>30581</v>
      </c>
      <c r="DD1968" t="s">
        <v>13772</v>
      </c>
      <c r="DE1968" t="s">
        <v>30582</v>
      </c>
      <c r="DF1968" t="s">
        <v>30583</v>
      </c>
      <c r="DG1968" t="s">
        <v>30584</v>
      </c>
      <c r="DH1968" t="str">
        <f>"PMM2"</f>
        <v>PMM2</v>
      </c>
      <c r="DI1968" t="s">
        <v>13772</v>
      </c>
      <c r="DJ1968" t="s">
        <v>13777</v>
      </c>
      <c r="DK1968">
        <v>9606</v>
      </c>
      <c r="DL1968" s="34" t="str">
        <f>HYPERLINK("http://www.uniprot.org/uniprot/O15305", "O15305")</f>
        <v>O15305</v>
      </c>
      <c r="DM1968" t="s">
        <v>30585</v>
      </c>
      <c r="DN1968" t="s">
        <v>13772</v>
      </c>
      <c r="DO1968" t="s">
        <v>13899</v>
      </c>
      <c r="DP1968" t="s">
        <v>13780</v>
      </c>
      <c r="DQ1968" t="s">
        <v>13772</v>
      </c>
      <c r="DR1968" t="s">
        <v>15109</v>
      </c>
      <c r="DS1968" t="s">
        <v>13772</v>
      </c>
      <c r="DT1968" t="s">
        <v>13772</v>
      </c>
      <c r="DU1968" t="s">
        <v>14910</v>
      </c>
      <c r="DV1968" t="s">
        <v>14020</v>
      </c>
      <c r="DW1968" t="s">
        <v>13812</v>
      </c>
      <c r="DX1968" t="s">
        <v>30586</v>
      </c>
      <c r="DY1968" t="s">
        <v>30587</v>
      </c>
      <c r="DZ1968" t="s">
        <v>30588</v>
      </c>
      <c r="EA1968" t="s">
        <v>30589</v>
      </c>
      <c r="EB1968" t="s">
        <v>30590</v>
      </c>
    </row>
    <row r="1969" spans="1:132" hidden="1">
      <c r="A1969">
        <v>1761</v>
      </c>
      <c r="B1969">
        <v>1</v>
      </c>
      <c r="C1969" t="s">
        <v>4166</v>
      </c>
      <c r="D1969" t="s">
        <v>73</v>
      </c>
      <c r="E1969" t="s">
        <v>73</v>
      </c>
      <c r="F1969" t="s">
        <v>73</v>
      </c>
      <c r="G1969" t="s">
        <v>73</v>
      </c>
      <c r="H1969">
        <v>17.600000000000001</v>
      </c>
      <c r="I1969">
        <v>511</v>
      </c>
      <c r="J1969">
        <v>56918</v>
      </c>
      <c r="K1969" t="s">
        <v>4167</v>
      </c>
      <c r="L1969">
        <f t="shared" si="122"/>
        <v>5</v>
      </c>
      <c r="N1969">
        <v>5</v>
      </c>
      <c r="O1969">
        <v>5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4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0</v>
      </c>
      <c r="BI1969" s="2">
        <v>0</v>
      </c>
      <c r="BJ1969" s="2">
        <v>0</v>
      </c>
      <c r="BK1969" s="2">
        <v>4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f t="shared" si="125"/>
        <v>5</v>
      </c>
      <c r="BW1969" s="16">
        <f t="shared" si="123"/>
        <v>0.26315789473684209</v>
      </c>
      <c r="BX1969" s="16">
        <f>COUNTIF($BC$6:BU1969, "=0") / COUNTIF($BC$6:BU1969, "&gt;-1")</f>
        <v>0.47413977918319222</v>
      </c>
      <c r="BY1969" s="18">
        <f>SUM($BC$6:BU1969) / $BY$4</f>
        <v>0.99600707643102981</v>
      </c>
      <c r="BZ1969" s="14">
        <f t="shared" si="124"/>
        <v>17</v>
      </c>
      <c r="CA1969" t="s">
        <v>5832</v>
      </c>
      <c r="CZ1969" t="s">
        <v>11625</v>
      </c>
      <c r="DA1969" t="s">
        <v>5904</v>
      </c>
      <c r="DB1969">
        <v>938.3</v>
      </c>
      <c r="DC1969" t="s">
        <v>30691</v>
      </c>
      <c r="DD1969" t="s">
        <v>30692</v>
      </c>
      <c r="DE1969" t="s">
        <v>30693</v>
      </c>
      <c r="DF1969" t="s">
        <v>30694</v>
      </c>
      <c r="DG1969" t="s">
        <v>30695</v>
      </c>
      <c r="DH1969" t="str">
        <f>"BAIAP2L1"</f>
        <v>BAIAP2L1</v>
      </c>
      <c r="DI1969" t="s">
        <v>30696</v>
      </c>
      <c r="DJ1969" t="s">
        <v>13777</v>
      </c>
      <c r="DK1969">
        <v>9606</v>
      </c>
      <c r="DL1969" s="34" t="str">
        <f>HYPERLINK("http://www.uniprot.org/uniprot/Q9UHR4", "Q9UHR4")</f>
        <v>Q9UHR4</v>
      </c>
      <c r="DM1969" t="s">
        <v>30697</v>
      </c>
      <c r="DN1969" t="s">
        <v>13772</v>
      </c>
      <c r="DO1969" t="s">
        <v>13988</v>
      </c>
      <c r="DP1969" t="s">
        <v>13793</v>
      </c>
      <c r="DQ1969" t="s">
        <v>13772</v>
      </c>
      <c r="DR1969" t="s">
        <v>13772</v>
      </c>
      <c r="DS1969" t="s">
        <v>17173</v>
      </c>
      <c r="DT1969" t="s">
        <v>13772</v>
      </c>
      <c r="DU1969" t="s">
        <v>13990</v>
      </c>
      <c r="DV1969" t="s">
        <v>13782</v>
      </c>
      <c r="DW1969" t="s">
        <v>13812</v>
      </c>
      <c r="DX1969" t="s">
        <v>30698</v>
      </c>
      <c r="DY1969" t="s">
        <v>30699</v>
      </c>
      <c r="DZ1969" t="s">
        <v>30700</v>
      </c>
      <c r="EA1969" t="s">
        <v>13772</v>
      </c>
      <c r="EB1969" t="s">
        <v>13772</v>
      </c>
    </row>
    <row r="1970" spans="1:132" hidden="1">
      <c r="A1970">
        <v>1798</v>
      </c>
      <c r="B1970">
        <v>1</v>
      </c>
      <c r="C1970" t="s">
        <v>4252</v>
      </c>
      <c r="D1970" t="s">
        <v>73</v>
      </c>
      <c r="E1970" t="s">
        <v>73</v>
      </c>
      <c r="F1970" t="s">
        <v>73</v>
      </c>
      <c r="G1970" t="s">
        <v>73</v>
      </c>
      <c r="H1970">
        <v>13.4</v>
      </c>
      <c r="I1970">
        <v>357</v>
      </c>
      <c r="J1970">
        <v>39906</v>
      </c>
      <c r="K1970" t="s">
        <v>4253</v>
      </c>
      <c r="L1970">
        <f t="shared" si="122"/>
        <v>5</v>
      </c>
      <c r="N1970">
        <v>5</v>
      </c>
      <c r="O1970">
        <v>5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2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</v>
      </c>
      <c r="AW1970">
        <v>0</v>
      </c>
      <c r="AX1970">
        <v>2</v>
      </c>
      <c r="AY1970">
        <v>1</v>
      </c>
      <c r="AZ1970">
        <v>0</v>
      </c>
      <c r="BA1970">
        <v>0</v>
      </c>
      <c r="BB1970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1</v>
      </c>
      <c r="BN1970" s="2">
        <v>0</v>
      </c>
      <c r="BO1970" s="2">
        <v>1</v>
      </c>
      <c r="BP1970" s="2">
        <v>0</v>
      </c>
      <c r="BQ1970" s="2">
        <v>2</v>
      </c>
      <c r="BR1970" s="2">
        <v>1</v>
      </c>
      <c r="BS1970" s="2">
        <v>0</v>
      </c>
      <c r="BT1970" s="2">
        <v>0</v>
      </c>
      <c r="BU1970" s="2">
        <v>0</v>
      </c>
      <c r="BV1970" s="2">
        <f t="shared" si="125"/>
        <v>5</v>
      </c>
      <c r="BW1970" s="16">
        <f t="shared" si="123"/>
        <v>0.26315789473684209</v>
      </c>
      <c r="BX1970" s="16">
        <f>COUNTIF($BC$6:BU1970, "=0") / COUNTIF($BC$6:BU1970, "&gt;-1")</f>
        <v>0.47430025445292623</v>
      </c>
      <c r="BY1970" s="18">
        <f>SUM($BC$6:BU1970) / $BY$4</f>
        <v>0.99602849461537324</v>
      </c>
      <c r="BZ1970" s="14">
        <f t="shared" si="124"/>
        <v>15</v>
      </c>
      <c r="CA1970" t="s">
        <v>5832</v>
      </c>
      <c r="CZ1970" t="s">
        <v>11746</v>
      </c>
      <c r="DA1970" t="s">
        <v>5904</v>
      </c>
      <c r="DB1970">
        <v>642.5</v>
      </c>
      <c r="DC1970" t="s">
        <v>31061</v>
      </c>
      <c r="DD1970" t="s">
        <v>13772</v>
      </c>
      <c r="DE1970" t="s">
        <v>31062</v>
      </c>
      <c r="DF1970" t="s">
        <v>31063</v>
      </c>
      <c r="DG1970" t="s">
        <v>31064</v>
      </c>
      <c r="DH1970" t="str">
        <f>"THUMPD1"</f>
        <v>THUMPD1</v>
      </c>
      <c r="DI1970" t="s">
        <v>13772</v>
      </c>
      <c r="DJ1970" t="s">
        <v>13777</v>
      </c>
      <c r="DK1970">
        <v>9606</v>
      </c>
      <c r="DL1970" s="34" t="str">
        <f>HYPERLINK("http://www.uniprot.org/uniprot/Q9NXG2", "Q9NXG2")</f>
        <v>Q9NXG2</v>
      </c>
      <c r="DM1970" t="s">
        <v>31065</v>
      </c>
      <c r="DN1970" t="s">
        <v>13772</v>
      </c>
      <c r="DO1970" t="s">
        <v>13772</v>
      </c>
      <c r="DP1970" t="s">
        <v>13793</v>
      </c>
      <c r="DQ1970" t="s">
        <v>13772</v>
      </c>
      <c r="DR1970" t="s">
        <v>13772</v>
      </c>
      <c r="DS1970" t="s">
        <v>13772</v>
      </c>
      <c r="DT1970" t="s">
        <v>13772</v>
      </c>
      <c r="DU1970" t="s">
        <v>13772</v>
      </c>
      <c r="DV1970" t="s">
        <v>13886</v>
      </c>
      <c r="DW1970" t="s">
        <v>13812</v>
      </c>
      <c r="DX1970" t="s">
        <v>31066</v>
      </c>
      <c r="DY1970" t="s">
        <v>31067</v>
      </c>
      <c r="DZ1970" t="s">
        <v>14235</v>
      </c>
      <c r="EA1970" t="s">
        <v>13772</v>
      </c>
      <c r="EB1970" t="s">
        <v>31068</v>
      </c>
    </row>
    <row r="1971" spans="1:132" hidden="1">
      <c r="A1971">
        <v>1849</v>
      </c>
      <c r="B1971">
        <v>1</v>
      </c>
      <c r="C1971" t="s">
        <v>4370</v>
      </c>
      <c r="D1971" t="s">
        <v>73</v>
      </c>
      <c r="E1971" t="s">
        <v>73</v>
      </c>
      <c r="F1971" t="s">
        <v>73</v>
      </c>
      <c r="G1971" t="s">
        <v>73</v>
      </c>
      <c r="H1971">
        <v>13.5</v>
      </c>
      <c r="I1971">
        <v>379</v>
      </c>
      <c r="J1971">
        <v>42984</v>
      </c>
      <c r="K1971" t="s">
        <v>4371</v>
      </c>
      <c r="L1971">
        <f t="shared" si="122"/>
        <v>5</v>
      </c>
      <c r="N1971">
        <v>5</v>
      </c>
      <c r="O1971">
        <v>5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3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3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1</v>
      </c>
      <c r="BL1971" s="2">
        <v>0</v>
      </c>
      <c r="BM1971" s="2">
        <v>3</v>
      </c>
      <c r="BN1971" s="2">
        <v>1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f t="shared" si="125"/>
        <v>5</v>
      </c>
      <c r="BW1971" s="16">
        <f t="shared" si="123"/>
        <v>0.26315789473684209</v>
      </c>
      <c r="BX1971" s="16">
        <f>COUNTIF($BC$6:BU1971, "=0") / COUNTIF($BC$6:BU1971, "&gt;-1")</f>
        <v>0.47448733736681481</v>
      </c>
      <c r="BY1971" s="18">
        <f>SUM($BC$6:BU1971) / $BY$4</f>
        <v>0.99604991279971677</v>
      </c>
      <c r="BZ1971" s="14">
        <f t="shared" si="124"/>
        <v>16</v>
      </c>
      <c r="CA1971" t="s">
        <v>5832</v>
      </c>
      <c r="CZ1971" t="s">
        <v>11923</v>
      </c>
      <c r="DA1971" t="s">
        <v>5904</v>
      </c>
      <c r="DB1971">
        <v>767.3</v>
      </c>
      <c r="DC1971" t="s">
        <v>31558</v>
      </c>
      <c r="DD1971" t="s">
        <v>31559</v>
      </c>
      <c r="DE1971" t="s">
        <v>31560</v>
      </c>
      <c r="DF1971" t="s">
        <v>31561</v>
      </c>
      <c r="DG1971" t="s">
        <v>31562</v>
      </c>
      <c r="DH1971" t="str">
        <f>"MAPK3"</f>
        <v>MAPK3</v>
      </c>
      <c r="DI1971" t="s">
        <v>31563</v>
      </c>
      <c r="DJ1971" t="s">
        <v>13777</v>
      </c>
      <c r="DK1971">
        <v>9606</v>
      </c>
      <c r="DL1971" s="34" t="str">
        <f>HYPERLINK("http://www.uniprot.org/uniprot/P27361", "P27361")</f>
        <v>P27361</v>
      </c>
      <c r="DM1971" t="s">
        <v>31564</v>
      </c>
      <c r="DN1971" t="s">
        <v>31565</v>
      </c>
      <c r="DO1971" t="s">
        <v>14532</v>
      </c>
      <c r="DP1971" t="s">
        <v>13780</v>
      </c>
      <c r="DQ1971" t="s">
        <v>13772</v>
      </c>
      <c r="DR1971" t="s">
        <v>13772</v>
      </c>
      <c r="DS1971" t="s">
        <v>13772</v>
      </c>
      <c r="DT1971" t="s">
        <v>14005</v>
      </c>
      <c r="DU1971" t="s">
        <v>20891</v>
      </c>
      <c r="DV1971" t="s">
        <v>13886</v>
      </c>
      <c r="DW1971" t="s">
        <v>13812</v>
      </c>
      <c r="DX1971" t="s">
        <v>31566</v>
      </c>
      <c r="DY1971" t="s">
        <v>31567</v>
      </c>
      <c r="DZ1971" t="s">
        <v>31568</v>
      </c>
      <c r="EA1971" t="s">
        <v>13772</v>
      </c>
      <c r="EB1971" t="s">
        <v>31569</v>
      </c>
    </row>
    <row r="1972" spans="1:132" hidden="1">
      <c r="A1972">
        <v>1867</v>
      </c>
      <c r="B1972">
        <v>1</v>
      </c>
      <c r="C1972" t="s">
        <v>4407</v>
      </c>
      <c r="D1972" t="s">
        <v>4408</v>
      </c>
      <c r="E1972" t="s">
        <v>73</v>
      </c>
      <c r="F1972" t="s">
        <v>73</v>
      </c>
      <c r="G1972" t="s">
        <v>73</v>
      </c>
      <c r="H1972">
        <v>23.6</v>
      </c>
      <c r="I1972">
        <v>309</v>
      </c>
      <c r="J1972">
        <v>33976</v>
      </c>
      <c r="K1972" t="s">
        <v>4409</v>
      </c>
      <c r="L1972">
        <f t="shared" si="122"/>
        <v>5</v>
      </c>
      <c r="N1972">
        <v>5</v>
      </c>
      <c r="O1972">
        <v>5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3</v>
      </c>
      <c r="V1972">
        <v>0</v>
      </c>
      <c r="W1972">
        <v>0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3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3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f t="shared" si="125"/>
        <v>5</v>
      </c>
      <c r="BW1972" s="16">
        <f t="shared" si="123"/>
        <v>0.26315789473684209</v>
      </c>
      <c r="BX1972" s="16">
        <f>COUNTIF($BC$6:BU1972, "=0") / COUNTIF($BC$6:BU1972, "&gt;-1")</f>
        <v>0.47467423005913362</v>
      </c>
      <c r="BY1972" s="18">
        <f>SUM($BC$6:BU1972) / $BY$4</f>
        <v>0.99607133098406031</v>
      </c>
      <c r="BZ1972" s="14">
        <f t="shared" si="124"/>
        <v>16</v>
      </c>
      <c r="CA1972" t="s">
        <v>5832</v>
      </c>
      <c r="CZ1972" t="s">
        <v>11982</v>
      </c>
      <c r="DA1972" t="s">
        <v>5904</v>
      </c>
      <c r="DB1972">
        <v>583.6</v>
      </c>
      <c r="DC1972" t="s">
        <v>31716</v>
      </c>
      <c r="DD1972" t="s">
        <v>31717</v>
      </c>
      <c r="DE1972" t="s">
        <v>31718</v>
      </c>
      <c r="DF1972" t="s">
        <v>31719</v>
      </c>
      <c r="DG1972" t="s">
        <v>31720</v>
      </c>
      <c r="DH1972" t="str">
        <f>"HAGH"</f>
        <v>HAGH</v>
      </c>
      <c r="DI1972" t="s">
        <v>31721</v>
      </c>
      <c r="DJ1972" t="s">
        <v>13777</v>
      </c>
      <c r="DK1972">
        <v>9606</v>
      </c>
      <c r="DL1972" s="34" t="str">
        <f>HYPERLINK("http://www.uniprot.org/uniprot/Q16775", "Q16775")</f>
        <v>Q16775</v>
      </c>
      <c r="DM1972" t="s">
        <v>31722</v>
      </c>
      <c r="DN1972" t="s">
        <v>13772</v>
      </c>
      <c r="DO1972" t="s">
        <v>21204</v>
      </c>
      <c r="DP1972" t="s">
        <v>16970</v>
      </c>
      <c r="DQ1972" t="s">
        <v>13772</v>
      </c>
      <c r="DR1972" t="s">
        <v>13772</v>
      </c>
      <c r="DS1972" t="s">
        <v>14391</v>
      </c>
      <c r="DT1972" t="s">
        <v>13856</v>
      </c>
      <c r="DU1972" t="s">
        <v>13857</v>
      </c>
      <c r="DV1972" t="s">
        <v>14020</v>
      </c>
      <c r="DW1972" t="s">
        <v>13812</v>
      </c>
      <c r="DX1972" t="s">
        <v>31723</v>
      </c>
      <c r="DY1972" t="s">
        <v>31724</v>
      </c>
      <c r="DZ1972" t="s">
        <v>31725</v>
      </c>
      <c r="EA1972" t="s">
        <v>31726</v>
      </c>
      <c r="EB1972" t="s">
        <v>19373</v>
      </c>
    </row>
    <row r="1973" spans="1:132" hidden="1">
      <c r="A1973">
        <v>1928</v>
      </c>
      <c r="B1973">
        <v>1</v>
      </c>
      <c r="C1973" t="s">
        <v>4540</v>
      </c>
      <c r="D1973" t="s">
        <v>4541</v>
      </c>
      <c r="E1973" t="s">
        <v>73</v>
      </c>
      <c r="F1973" t="s">
        <v>73</v>
      </c>
      <c r="G1973" t="s">
        <v>73</v>
      </c>
      <c r="H1973">
        <v>8.5</v>
      </c>
      <c r="I1973">
        <v>504</v>
      </c>
      <c r="J1973">
        <v>56229</v>
      </c>
      <c r="K1973" t="s">
        <v>4542</v>
      </c>
      <c r="L1973">
        <f t="shared" si="122"/>
        <v>5</v>
      </c>
      <c r="N1973">
        <v>5</v>
      </c>
      <c r="O1973">
        <v>5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1</v>
      </c>
      <c r="AB1973">
        <v>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</v>
      </c>
      <c r="AS1973">
        <v>0</v>
      </c>
      <c r="AT1973">
        <v>1</v>
      </c>
      <c r="AU1973">
        <v>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2</v>
      </c>
      <c r="BL1973" s="2">
        <v>0</v>
      </c>
      <c r="BM1973" s="2">
        <v>1</v>
      </c>
      <c r="BN1973" s="2">
        <v>2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f t="shared" si="125"/>
        <v>5</v>
      </c>
      <c r="BW1973" s="16">
        <f t="shared" si="123"/>
        <v>0.26315789473684209</v>
      </c>
      <c r="BX1973" s="16">
        <f>COUNTIF($BC$6:BU1973, "=0") / COUNTIF($BC$6:BU1973, "&gt;-1")</f>
        <v>0.47486093281985453</v>
      </c>
      <c r="BY1973" s="18">
        <f>SUM($BC$6:BU1973) / $BY$4</f>
        <v>0.99609274916840373</v>
      </c>
      <c r="BZ1973" s="14">
        <f t="shared" si="124"/>
        <v>16</v>
      </c>
      <c r="CA1973" t="s">
        <v>5832</v>
      </c>
      <c r="CZ1973" t="s">
        <v>12178</v>
      </c>
      <c r="DA1973" t="s">
        <v>5904</v>
      </c>
      <c r="DB1973">
        <v>980.7</v>
      </c>
      <c r="DC1973" t="s">
        <v>32255</v>
      </c>
      <c r="DD1973" t="s">
        <v>32256</v>
      </c>
      <c r="DE1973" t="s">
        <v>32257</v>
      </c>
      <c r="DF1973" t="s">
        <v>32258</v>
      </c>
      <c r="DG1973" t="s">
        <v>32259</v>
      </c>
      <c r="DH1973" t="str">
        <f>"PSMD5"</f>
        <v>PSMD5</v>
      </c>
      <c r="DI1973" t="s">
        <v>32260</v>
      </c>
      <c r="DJ1973" t="s">
        <v>13777</v>
      </c>
      <c r="DK1973">
        <v>9606</v>
      </c>
      <c r="DL1973" s="34" t="str">
        <f>HYPERLINK("http://www.uniprot.org/uniprot/Q16401", "Q16401")</f>
        <v>Q16401</v>
      </c>
      <c r="DM1973" t="s">
        <v>32261</v>
      </c>
      <c r="DN1973" t="s">
        <v>13772</v>
      </c>
      <c r="DO1973" t="s">
        <v>13772</v>
      </c>
      <c r="DP1973" t="s">
        <v>13780</v>
      </c>
      <c r="DQ1973" t="s">
        <v>13772</v>
      </c>
      <c r="DR1973" t="s">
        <v>13772</v>
      </c>
      <c r="DS1973" t="s">
        <v>13772</v>
      </c>
      <c r="DT1973" t="s">
        <v>13772</v>
      </c>
      <c r="DU1973" t="s">
        <v>14477</v>
      </c>
      <c r="DV1973" t="s">
        <v>14020</v>
      </c>
      <c r="DW1973" t="s">
        <v>13772</v>
      </c>
      <c r="DX1973" t="s">
        <v>32262</v>
      </c>
      <c r="DY1973" t="s">
        <v>32263</v>
      </c>
      <c r="DZ1973" t="s">
        <v>13772</v>
      </c>
      <c r="EA1973" t="s">
        <v>13772</v>
      </c>
      <c r="EB1973" t="s">
        <v>14208</v>
      </c>
    </row>
    <row r="1974" spans="1:132" hidden="1">
      <c r="A1974">
        <v>1941</v>
      </c>
      <c r="B1974">
        <v>1</v>
      </c>
      <c r="C1974" t="s">
        <v>4572</v>
      </c>
      <c r="D1974" t="s">
        <v>4573</v>
      </c>
      <c r="E1974" t="s">
        <v>73</v>
      </c>
      <c r="F1974" t="s">
        <v>73</v>
      </c>
      <c r="G1974" t="s">
        <v>73</v>
      </c>
      <c r="H1974">
        <v>8.8000000000000007</v>
      </c>
      <c r="I1974">
        <v>477</v>
      </c>
      <c r="J1974">
        <v>53410</v>
      </c>
      <c r="K1974" t="s">
        <v>4574</v>
      </c>
      <c r="L1974">
        <f t="shared" si="122"/>
        <v>5</v>
      </c>
      <c r="N1974">
        <v>5</v>
      </c>
      <c r="O1974">
        <v>5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4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1</v>
      </c>
      <c r="BN1974" s="2">
        <v>4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f t="shared" si="125"/>
        <v>5</v>
      </c>
      <c r="BW1974" s="16">
        <f t="shared" si="123"/>
        <v>0.26315789473684209</v>
      </c>
      <c r="BX1974" s="16">
        <f>COUNTIF($BC$6:BU1974, "=0") / COUNTIF($BC$6:BU1974, "&gt;-1")</f>
        <v>0.47507417604447888</v>
      </c>
      <c r="BY1974" s="18">
        <f>SUM($BC$6:BU1974) / $BY$4</f>
        <v>0.99611416735274727</v>
      </c>
      <c r="BZ1974" s="14">
        <f t="shared" si="124"/>
        <v>17</v>
      </c>
      <c r="CA1974" t="s">
        <v>5832</v>
      </c>
      <c r="CZ1974" t="s">
        <v>12224</v>
      </c>
      <c r="DA1974" t="s">
        <v>5904</v>
      </c>
      <c r="DB1974">
        <v>920.2</v>
      </c>
      <c r="DC1974" t="s">
        <v>32388</v>
      </c>
      <c r="DD1974" t="s">
        <v>32389</v>
      </c>
      <c r="DE1974" t="s">
        <v>32390</v>
      </c>
      <c r="DF1974" t="s">
        <v>32391</v>
      </c>
      <c r="DG1974" t="s">
        <v>32392</v>
      </c>
      <c r="DH1974" t="str">
        <f>"SLC25A24"</f>
        <v>SLC25A24</v>
      </c>
      <c r="DI1974" t="s">
        <v>32393</v>
      </c>
      <c r="DJ1974" t="s">
        <v>13777</v>
      </c>
      <c r="DK1974">
        <v>9606</v>
      </c>
      <c r="DL1974" s="34" t="str">
        <f>HYPERLINK("http://www.uniprot.org/uniprot/Q6NUK1", "Q6NUK1")</f>
        <v>Q6NUK1</v>
      </c>
      <c r="DM1974" t="s">
        <v>32394</v>
      </c>
      <c r="DN1974" t="s">
        <v>14192</v>
      </c>
      <c r="DO1974" t="s">
        <v>15507</v>
      </c>
      <c r="DP1974" t="s">
        <v>13841</v>
      </c>
      <c r="DQ1974" t="s">
        <v>13772</v>
      </c>
      <c r="DR1974" t="s">
        <v>13807</v>
      </c>
      <c r="DS1974" t="s">
        <v>16604</v>
      </c>
      <c r="DT1974" t="s">
        <v>13873</v>
      </c>
      <c r="DU1974" t="s">
        <v>13772</v>
      </c>
      <c r="DV1974" t="s">
        <v>14020</v>
      </c>
      <c r="DW1974" t="s">
        <v>13812</v>
      </c>
      <c r="DX1974" t="s">
        <v>32395</v>
      </c>
      <c r="DY1974" t="s">
        <v>32396</v>
      </c>
      <c r="DZ1974" t="s">
        <v>32397</v>
      </c>
      <c r="EA1974" t="s">
        <v>13772</v>
      </c>
      <c r="EB1974" t="s">
        <v>13772</v>
      </c>
    </row>
    <row r="1975" spans="1:132" hidden="1">
      <c r="A1975">
        <v>1947</v>
      </c>
      <c r="B1975">
        <v>1</v>
      </c>
      <c r="C1975" t="s">
        <v>4591</v>
      </c>
      <c r="D1975" t="s">
        <v>4592</v>
      </c>
      <c r="E1975" t="s">
        <v>73</v>
      </c>
      <c r="F1975" t="s">
        <v>73</v>
      </c>
      <c r="G1975" t="s">
        <v>73</v>
      </c>
      <c r="H1975">
        <v>12.4</v>
      </c>
      <c r="I1975">
        <v>386</v>
      </c>
      <c r="J1975">
        <v>41824</v>
      </c>
      <c r="K1975" t="s">
        <v>4593</v>
      </c>
      <c r="L1975">
        <f t="shared" si="122"/>
        <v>5</v>
      </c>
      <c r="N1975">
        <v>5</v>
      </c>
      <c r="O1975">
        <v>5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2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2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 s="2">
        <v>0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1</v>
      </c>
      <c r="BN1975" s="2">
        <v>2</v>
      </c>
      <c r="BO1975" s="2">
        <v>1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f t="shared" si="125"/>
        <v>5</v>
      </c>
      <c r="BW1975" s="16">
        <f t="shared" si="123"/>
        <v>0.26315789473684209</v>
      </c>
      <c r="BX1975" s="16">
        <f>COUNTIF($BC$6:BU1975, "=0") / COUNTIF($BC$6:BU1975, "&gt;-1")</f>
        <v>0.47523376970344644</v>
      </c>
      <c r="BY1975" s="18">
        <f>SUM($BC$6:BU1975) / $BY$4</f>
        <v>0.99613558553709081</v>
      </c>
      <c r="BZ1975" s="14">
        <f t="shared" si="124"/>
        <v>15</v>
      </c>
      <c r="CA1975" t="s">
        <v>5832</v>
      </c>
      <c r="CZ1975" t="s">
        <v>12247</v>
      </c>
      <c r="DA1975" t="s">
        <v>5904</v>
      </c>
      <c r="DB1975">
        <v>660.6</v>
      </c>
      <c r="DC1975" t="s">
        <v>32451</v>
      </c>
      <c r="DD1975" t="s">
        <v>32452</v>
      </c>
      <c r="DE1975" t="s">
        <v>32453</v>
      </c>
      <c r="DF1975" t="s">
        <v>32454</v>
      </c>
      <c r="DG1975" t="s">
        <v>32455</v>
      </c>
      <c r="DH1975" t="str">
        <f>"STOML2"</f>
        <v>STOML2</v>
      </c>
      <c r="DI1975" t="s">
        <v>32456</v>
      </c>
      <c r="DJ1975" t="s">
        <v>13777</v>
      </c>
      <c r="DK1975">
        <v>9606</v>
      </c>
      <c r="DL1975" s="34" t="str">
        <f>HYPERLINK("http://www.uniprot.org/uniprot/Q9UJZ1", "Q9UJZ1")</f>
        <v>Q9UJZ1</v>
      </c>
      <c r="DM1975" t="s">
        <v>32457</v>
      </c>
      <c r="DN1975" t="s">
        <v>13772</v>
      </c>
      <c r="DO1975" t="s">
        <v>32458</v>
      </c>
      <c r="DP1975" t="s">
        <v>13780</v>
      </c>
      <c r="DQ1975" t="s">
        <v>13772</v>
      </c>
      <c r="DR1975" t="s">
        <v>13772</v>
      </c>
      <c r="DS1975" t="s">
        <v>23536</v>
      </c>
      <c r="DT1975" t="s">
        <v>13900</v>
      </c>
      <c r="DU1975" t="s">
        <v>13772</v>
      </c>
      <c r="DV1975" t="s">
        <v>32220</v>
      </c>
      <c r="DW1975" t="s">
        <v>13772</v>
      </c>
      <c r="DX1975" t="s">
        <v>32459</v>
      </c>
      <c r="DY1975" t="s">
        <v>32460</v>
      </c>
      <c r="DZ1975" t="s">
        <v>32461</v>
      </c>
      <c r="EA1975" t="s">
        <v>13772</v>
      </c>
      <c r="EB1975" t="s">
        <v>24488</v>
      </c>
    </row>
    <row r="1976" spans="1:132" hidden="1">
      <c r="A1976">
        <v>2034</v>
      </c>
      <c r="B1976">
        <v>1</v>
      </c>
      <c r="C1976" t="s">
        <v>4779</v>
      </c>
      <c r="D1976" t="s">
        <v>4780</v>
      </c>
      <c r="E1976" t="s">
        <v>73</v>
      </c>
      <c r="F1976" t="s">
        <v>73</v>
      </c>
      <c r="G1976" t="s">
        <v>73</v>
      </c>
      <c r="H1976">
        <v>15.8</v>
      </c>
      <c r="I1976">
        <v>448</v>
      </c>
      <c r="J1976">
        <v>50467</v>
      </c>
      <c r="K1976" t="s">
        <v>4781</v>
      </c>
      <c r="L1976">
        <f t="shared" si="122"/>
        <v>5</v>
      </c>
      <c r="N1976">
        <v>5</v>
      </c>
      <c r="O1976">
        <v>5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4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4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 s="2">
        <v>0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4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f t="shared" si="125"/>
        <v>5</v>
      </c>
      <c r="BW1976" s="16">
        <f t="shared" si="123"/>
        <v>0.26315789473684209</v>
      </c>
      <c r="BX1976" s="16">
        <f>COUNTIF($BC$6:BU1976, "=0") / COUNTIF($BC$6:BU1976, "&gt;-1")</f>
        <v>0.47544660738604499</v>
      </c>
      <c r="BY1976" s="18">
        <f>SUM($BC$6:BU1976) / $BY$4</f>
        <v>0.99615700372143434</v>
      </c>
      <c r="BZ1976" s="14">
        <f t="shared" si="124"/>
        <v>17</v>
      </c>
      <c r="CA1976" t="s">
        <v>5832</v>
      </c>
      <c r="CZ1976" t="s">
        <v>12528</v>
      </c>
      <c r="DA1976" t="s">
        <v>5904</v>
      </c>
      <c r="DB1976">
        <v>846.7</v>
      </c>
      <c r="DC1976" t="s">
        <v>33244</v>
      </c>
      <c r="DD1976" t="s">
        <v>33245</v>
      </c>
      <c r="DE1976" t="s">
        <v>33246</v>
      </c>
      <c r="DF1976" t="s">
        <v>33247</v>
      </c>
      <c r="DG1976" t="s">
        <v>33248</v>
      </c>
      <c r="DH1976" t="str">
        <f>"BCKDHA"</f>
        <v>BCKDHA</v>
      </c>
      <c r="DI1976" t="s">
        <v>13772</v>
      </c>
      <c r="DJ1976" t="s">
        <v>13777</v>
      </c>
      <c r="DK1976">
        <v>9606</v>
      </c>
      <c r="DL1976" s="34" t="str">
        <f>HYPERLINK("http://www.uniprot.org/uniprot/P12694", "P12694")</f>
        <v>P12694</v>
      </c>
      <c r="DM1976" t="s">
        <v>33249</v>
      </c>
      <c r="DN1976" t="s">
        <v>13772</v>
      </c>
      <c r="DO1976" t="s">
        <v>14491</v>
      </c>
      <c r="DP1976" t="s">
        <v>13780</v>
      </c>
      <c r="DQ1976" t="s">
        <v>13772</v>
      </c>
      <c r="DR1976" t="s">
        <v>33250</v>
      </c>
      <c r="DS1976" t="s">
        <v>14391</v>
      </c>
      <c r="DT1976" t="s">
        <v>33251</v>
      </c>
      <c r="DU1976" t="s">
        <v>13885</v>
      </c>
      <c r="DV1976" t="s">
        <v>13886</v>
      </c>
      <c r="DW1976" t="s">
        <v>13812</v>
      </c>
      <c r="DX1976" t="s">
        <v>33252</v>
      </c>
      <c r="DY1976" t="s">
        <v>33253</v>
      </c>
      <c r="DZ1976" t="s">
        <v>33254</v>
      </c>
      <c r="EA1976" t="s">
        <v>13772</v>
      </c>
      <c r="EB1976" t="s">
        <v>33255</v>
      </c>
    </row>
    <row r="1977" spans="1:132" hidden="1">
      <c r="A1977">
        <v>2048</v>
      </c>
      <c r="B1977">
        <v>1</v>
      </c>
      <c r="C1977" t="s">
        <v>4814</v>
      </c>
      <c r="D1977" t="s">
        <v>73</v>
      </c>
      <c r="E1977" t="s">
        <v>73</v>
      </c>
      <c r="F1977" t="s">
        <v>73</v>
      </c>
      <c r="G1977" t="s">
        <v>73</v>
      </c>
      <c r="H1977">
        <v>21.9</v>
      </c>
      <c r="I1977">
        <v>137</v>
      </c>
      <c r="J1977">
        <v>15735</v>
      </c>
      <c r="K1977" t="s">
        <v>4815</v>
      </c>
      <c r="L1977">
        <f t="shared" si="122"/>
        <v>5</v>
      </c>
      <c r="N1977">
        <v>5</v>
      </c>
      <c r="O1977">
        <v>5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1</v>
      </c>
      <c r="AB1977">
        <v>2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1</v>
      </c>
      <c r="AU1977">
        <v>2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0</v>
      </c>
      <c r="BL1977" s="2">
        <v>0</v>
      </c>
      <c r="BM1977" s="2">
        <v>1</v>
      </c>
      <c r="BN1977" s="2">
        <v>2</v>
      </c>
      <c r="BO1977" s="2">
        <v>0</v>
      </c>
      <c r="BP1977" s="2">
        <v>0</v>
      </c>
      <c r="BQ1977" s="2">
        <v>0</v>
      </c>
      <c r="BR1977" s="2">
        <v>1</v>
      </c>
      <c r="BS1977" s="2">
        <v>0</v>
      </c>
      <c r="BT1977" s="2">
        <v>0</v>
      </c>
      <c r="BU1977" s="2">
        <v>0</v>
      </c>
      <c r="BV1977" s="2">
        <f t="shared" si="125"/>
        <v>5</v>
      </c>
      <c r="BW1977" s="16">
        <f t="shared" si="123"/>
        <v>0.26315789473684209</v>
      </c>
      <c r="BX1977" s="16">
        <f>COUNTIF($BC$6:BU1977, "=0") / COUNTIF($BC$6:BU1977, "&gt;-1")</f>
        <v>0.4756058503256112</v>
      </c>
      <c r="BY1977" s="18">
        <f>SUM($BC$6:BU1977) / $BY$4</f>
        <v>0.99617842190577777</v>
      </c>
      <c r="BZ1977" s="14">
        <f t="shared" si="124"/>
        <v>15</v>
      </c>
      <c r="CA1977" t="s">
        <v>5832</v>
      </c>
      <c r="CZ1977" t="s">
        <v>12578</v>
      </c>
      <c r="DA1977" t="s">
        <v>5904</v>
      </c>
      <c r="DB1977">
        <v>275</v>
      </c>
      <c r="DC1977" t="s">
        <v>33384</v>
      </c>
      <c r="DD1977" t="s">
        <v>33385</v>
      </c>
      <c r="DE1977" t="s">
        <v>33386</v>
      </c>
      <c r="DF1977" t="s">
        <v>33387</v>
      </c>
      <c r="DG1977" t="s">
        <v>33388</v>
      </c>
      <c r="DH1977" t="str">
        <f>"RPL28"</f>
        <v>RPL28</v>
      </c>
      <c r="DI1977" t="s">
        <v>13772</v>
      </c>
      <c r="DJ1977" t="s">
        <v>13777</v>
      </c>
      <c r="DK1977">
        <v>9606</v>
      </c>
      <c r="DL1977" s="34" t="str">
        <f>HYPERLINK("http://www.uniprot.org/uniprot/P46779", "P46779")</f>
        <v>P46779</v>
      </c>
      <c r="DM1977" t="s">
        <v>32926</v>
      </c>
      <c r="DN1977" t="s">
        <v>13772</v>
      </c>
      <c r="DO1977" t="s">
        <v>13772</v>
      </c>
      <c r="DP1977" t="s">
        <v>13780</v>
      </c>
      <c r="DQ1977" t="s">
        <v>13772</v>
      </c>
      <c r="DR1977" t="s">
        <v>13772</v>
      </c>
      <c r="DS1977" t="s">
        <v>13772</v>
      </c>
      <c r="DT1977" t="s">
        <v>13772</v>
      </c>
      <c r="DU1977" t="s">
        <v>13937</v>
      </c>
      <c r="DV1977" t="s">
        <v>13991</v>
      </c>
      <c r="DW1977" t="s">
        <v>13812</v>
      </c>
      <c r="DX1977" t="s">
        <v>15972</v>
      </c>
      <c r="DY1977" t="s">
        <v>33389</v>
      </c>
      <c r="DZ1977" t="s">
        <v>14268</v>
      </c>
      <c r="EA1977" t="s">
        <v>13772</v>
      </c>
      <c r="EB1977" t="s">
        <v>13942</v>
      </c>
    </row>
    <row r="1978" spans="1:132" hidden="1">
      <c r="A1978">
        <v>2079</v>
      </c>
      <c r="B1978">
        <v>1</v>
      </c>
      <c r="C1978" t="s">
        <v>4886</v>
      </c>
      <c r="D1978" t="s">
        <v>4887</v>
      </c>
      <c r="E1978" t="s">
        <v>73</v>
      </c>
      <c r="F1978" t="s">
        <v>73</v>
      </c>
      <c r="G1978" t="s">
        <v>73</v>
      </c>
      <c r="H1978">
        <v>4.7</v>
      </c>
      <c r="I1978">
        <v>1087</v>
      </c>
      <c r="J1978">
        <v>121054</v>
      </c>
      <c r="K1978" t="s">
        <v>4888</v>
      </c>
      <c r="L1978">
        <f t="shared" si="122"/>
        <v>5</v>
      </c>
      <c r="N1978">
        <v>5</v>
      </c>
      <c r="O1978">
        <v>5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2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0</v>
      </c>
      <c r="BB1978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1</v>
      </c>
      <c r="BJ1978" s="2">
        <v>0</v>
      </c>
      <c r="BK1978" s="2">
        <v>0</v>
      </c>
      <c r="BL1978" s="2">
        <v>0</v>
      </c>
      <c r="BM1978" s="2">
        <v>2</v>
      </c>
      <c r="BN1978" s="2">
        <v>0</v>
      </c>
      <c r="BO1978" s="2">
        <v>0</v>
      </c>
      <c r="BP1978" s="2">
        <v>0</v>
      </c>
      <c r="BQ1978" s="2">
        <v>0</v>
      </c>
      <c r="BR1978" s="2">
        <v>2</v>
      </c>
      <c r="BS1978" s="2">
        <v>0</v>
      </c>
      <c r="BT1978" s="2">
        <v>0</v>
      </c>
      <c r="BU1978" s="2">
        <v>0</v>
      </c>
      <c r="BV1978" s="2">
        <f t="shared" si="125"/>
        <v>5</v>
      </c>
      <c r="BW1978" s="16">
        <f t="shared" si="123"/>
        <v>0.26315789473684209</v>
      </c>
      <c r="BX1978" s="16">
        <f>COUNTIF($BC$6:BU1978, "=0") / COUNTIF($BC$6:BU1978, "&gt;-1")</f>
        <v>0.47579160775735591</v>
      </c>
      <c r="BY1978" s="18">
        <f>SUM($BC$6:BU1978) / $BY$4</f>
        <v>0.9961998400901213</v>
      </c>
      <c r="BZ1978" s="14">
        <f t="shared" si="124"/>
        <v>16</v>
      </c>
      <c r="CA1978" t="s">
        <v>5832</v>
      </c>
      <c r="CZ1978" t="s">
        <v>12685</v>
      </c>
      <c r="DA1978" t="s">
        <v>5904</v>
      </c>
      <c r="DB1978">
        <v>2236.1</v>
      </c>
      <c r="DC1978" t="s">
        <v>33685</v>
      </c>
      <c r="DD1978" t="s">
        <v>33686</v>
      </c>
      <c r="DE1978" t="s">
        <v>33687</v>
      </c>
      <c r="DF1978" t="s">
        <v>33688</v>
      </c>
      <c r="DG1978" t="s">
        <v>33689</v>
      </c>
      <c r="DH1978" t="str">
        <f>"SUPT5H"</f>
        <v>SUPT5H</v>
      </c>
      <c r="DI1978" t="s">
        <v>33690</v>
      </c>
      <c r="DJ1978" t="s">
        <v>13777</v>
      </c>
      <c r="DK1978">
        <v>9606</v>
      </c>
      <c r="DL1978" s="34" t="str">
        <f>HYPERLINK("http://www.uniprot.org/uniprot/O00267", "O00267")</f>
        <v>O00267</v>
      </c>
      <c r="DM1978" t="s">
        <v>33691</v>
      </c>
      <c r="DN1978" t="s">
        <v>14445</v>
      </c>
      <c r="DO1978" t="s">
        <v>14825</v>
      </c>
      <c r="DP1978" t="s">
        <v>13841</v>
      </c>
      <c r="DQ1978" t="s">
        <v>13772</v>
      </c>
      <c r="DR1978" t="s">
        <v>13772</v>
      </c>
      <c r="DS1978" t="s">
        <v>14096</v>
      </c>
      <c r="DT1978" t="s">
        <v>13772</v>
      </c>
      <c r="DU1978" t="s">
        <v>18635</v>
      </c>
      <c r="DV1978" t="s">
        <v>14663</v>
      </c>
      <c r="DW1978" t="s">
        <v>13812</v>
      </c>
      <c r="DX1978" t="s">
        <v>33692</v>
      </c>
      <c r="DY1978" t="s">
        <v>33693</v>
      </c>
      <c r="DZ1978" t="s">
        <v>33694</v>
      </c>
      <c r="EA1978" t="s">
        <v>13772</v>
      </c>
      <c r="EB1978" t="s">
        <v>33695</v>
      </c>
    </row>
    <row r="1979" spans="1:132" hidden="1">
      <c r="A1979">
        <v>2082</v>
      </c>
      <c r="B1979">
        <v>1</v>
      </c>
      <c r="C1979" t="s">
        <v>4893</v>
      </c>
      <c r="D1979" t="s">
        <v>73</v>
      </c>
      <c r="E1979" t="s">
        <v>73</v>
      </c>
      <c r="F1979" t="s">
        <v>73</v>
      </c>
      <c r="G1979" t="s">
        <v>73</v>
      </c>
      <c r="H1979">
        <v>12.7</v>
      </c>
      <c r="I1979">
        <v>393</v>
      </c>
      <c r="J1979">
        <v>44481</v>
      </c>
      <c r="K1979" t="s">
        <v>4894</v>
      </c>
      <c r="L1979">
        <f t="shared" si="122"/>
        <v>5</v>
      </c>
      <c r="N1979">
        <v>5</v>
      </c>
      <c r="O1979">
        <v>5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 s="2">
        <v>0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3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1</v>
      </c>
      <c r="BR1979" s="2">
        <v>0</v>
      </c>
      <c r="BS1979" s="2">
        <v>0</v>
      </c>
      <c r="BT1979" s="2">
        <v>0</v>
      </c>
      <c r="BU1979" s="2">
        <v>0</v>
      </c>
      <c r="BV1979" s="2">
        <f t="shared" si="125"/>
        <v>5</v>
      </c>
      <c r="BW1979" s="16">
        <f t="shared" si="123"/>
        <v>0.26315789473684209</v>
      </c>
      <c r="BX1979" s="16">
        <f>COUNTIF($BC$6:BU1979, "=0") / COUNTIF($BC$6:BU1979, "&gt;-1")</f>
        <v>0.47597717698501574</v>
      </c>
      <c r="BY1979" s="18">
        <f>SUM($BC$6:BU1979) / $BY$4</f>
        <v>0.99622125827446484</v>
      </c>
      <c r="BZ1979" s="14">
        <f t="shared" si="124"/>
        <v>16</v>
      </c>
      <c r="CA1979" t="s">
        <v>5832</v>
      </c>
      <c r="CZ1979" t="s">
        <v>12694</v>
      </c>
      <c r="DA1979" t="s">
        <v>5904</v>
      </c>
      <c r="DB1979">
        <v>704.9</v>
      </c>
      <c r="DC1979" t="s">
        <v>33720</v>
      </c>
      <c r="DD1979" t="s">
        <v>33721</v>
      </c>
      <c r="DE1979" t="s">
        <v>33722</v>
      </c>
      <c r="DF1979" t="s">
        <v>33723</v>
      </c>
      <c r="DG1979" t="s">
        <v>33724</v>
      </c>
      <c r="DH1979" t="str">
        <f>"BCAT2"</f>
        <v>BCAT2</v>
      </c>
      <c r="DI1979" t="s">
        <v>33725</v>
      </c>
      <c r="DJ1979" t="s">
        <v>13777</v>
      </c>
      <c r="DK1979">
        <v>9606</v>
      </c>
      <c r="DL1979" s="34" t="str">
        <f>HYPERLINK("http://www.uniprot.org/uniprot/O15382", "O15382")</f>
        <v>O15382</v>
      </c>
      <c r="DM1979" t="s">
        <v>33726</v>
      </c>
      <c r="DN1979" t="s">
        <v>33727</v>
      </c>
      <c r="DO1979" t="s">
        <v>21204</v>
      </c>
      <c r="DP1979" t="s">
        <v>13780</v>
      </c>
      <c r="DQ1979" t="s">
        <v>13772</v>
      </c>
      <c r="DR1979" t="s">
        <v>13772</v>
      </c>
      <c r="DS1979" t="s">
        <v>14391</v>
      </c>
      <c r="DT1979" t="s">
        <v>14133</v>
      </c>
      <c r="DU1979" t="s">
        <v>25593</v>
      </c>
      <c r="DV1979" t="s">
        <v>14020</v>
      </c>
      <c r="DW1979" t="s">
        <v>13812</v>
      </c>
      <c r="DX1979" t="s">
        <v>33728</v>
      </c>
      <c r="DY1979" t="s">
        <v>15582</v>
      </c>
      <c r="DZ1979" t="s">
        <v>33729</v>
      </c>
      <c r="EA1979" t="s">
        <v>13772</v>
      </c>
      <c r="EB1979" t="s">
        <v>14984</v>
      </c>
    </row>
    <row r="1980" spans="1:132" hidden="1">
      <c r="A1980">
        <v>2084</v>
      </c>
      <c r="B1980">
        <v>1</v>
      </c>
      <c r="C1980" t="s">
        <v>4897</v>
      </c>
      <c r="D1980" t="s">
        <v>73</v>
      </c>
      <c r="E1980" t="s">
        <v>73</v>
      </c>
      <c r="F1980" t="s">
        <v>73</v>
      </c>
      <c r="G1980" t="s">
        <v>73</v>
      </c>
      <c r="H1980">
        <v>25</v>
      </c>
      <c r="I1980">
        <v>128</v>
      </c>
      <c r="J1980">
        <v>14759</v>
      </c>
      <c r="K1980" t="s">
        <v>4898</v>
      </c>
      <c r="L1980">
        <f t="shared" si="122"/>
        <v>5</v>
      </c>
      <c r="N1980">
        <v>5</v>
      </c>
      <c r="O1980">
        <v>5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3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1</v>
      </c>
      <c r="BL1980" s="2">
        <v>0</v>
      </c>
      <c r="BM1980" s="2">
        <v>1</v>
      </c>
      <c r="BN1980" s="2">
        <v>3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f t="shared" si="125"/>
        <v>5</v>
      </c>
      <c r="BW1980" s="16">
        <f t="shared" si="123"/>
        <v>0.26315789473684209</v>
      </c>
      <c r="BX1980" s="16">
        <f>COUNTIF($BC$6:BU1980, "=0") / COUNTIF($BC$6:BU1980, "&gt;-1")</f>
        <v>0.47616255829447035</v>
      </c>
      <c r="BY1980" s="18">
        <f>SUM($BC$6:BU1980) / $BY$4</f>
        <v>0.99624267645880826</v>
      </c>
      <c r="BZ1980" s="14">
        <f t="shared" si="124"/>
        <v>16</v>
      </c>
      <c r="CA1980" t="s">
        <v>5832</v>
      </c>
      <c r="CZ1980" t="s">
        <v>12700</v>
      </c>
      <c r="DA1980" t="s">
        <v>5904</v>
      </c>
      <c r="DB1980">
        <v>260</v>
      </c>
      <c r="DC1980" t="s">
        <v>33740</v>
      </c>
      <c r="DD1980" t="s">
        <v>33741</v>
      </c>
      <c r="DE1980" t="s">
        <v>33742</v>
      </c>
      <c r="DF1980" t="s">
        <v>33743</v>
      </c>
      <c r="DG1980" t="s">
        <v>33744</v>
      </c>
      <c r="DH1980" t="str">
        <f>"RPL22"</f>
        <v>RPL22</v>
      </c>
      <c r="DI1980" t="s">
        <v>13772</v>
      </c>
      <c r="DJ1980" t="s">
        <v>13777</v>
      </c>
      <c r="DK1980">
        <v>9606</v>
      </c>
      <c r="DL1980" s="34" t="str">
        <f>HYPERLINK("http://www.uniprot.org/uniprot/P35268", "P35268")</f>
        <v>P35268</v>
      </c>
      <c r="DM1980" t="s">
        <v>33745</v>
      </c>
      <c r="DN1980" t="s">
        <v>13772</v>
      </c>
      <c r="DO1980" t="s">
        <v>13772</v>
      </c>
      <c r="DP1980" t="s">
        <v>13772</v>
      </c>
      <c r="DQ1980" t="s">
        <v>13772</v>
      </c>
      <c r="DR1980" t="s">
        <v>13772</v>
      </c>
      <c r="DS1980" t="s">
        <v>13772</v>
      </c>
      <c r="DT1980" t="s">
        <v>13772</v>
      </c>
      <c r="DU1980" t="s">
        <v>33746</v>
      </c>
      <c r="DV1980" t="s">
        <v>13782</v>
      </c>
      <c r="DW1980" t="s">
        <v>13812</v>
      </c>
      <c r="DX1980" t="s">
        <v>33747</v>
      </c>
      <c r="DY1980" t="s">
        <v>33748</v>
      </c>
      <c r="DZ1980" t="s">
        <v>33749</v>
      </c>
      <c r="EA1980" t="s">
        <v>13772</v>
      </c>
      <c r="EB1980" t="s">
        <v>13942</v>
      </c>
    </row>
    <row r="1981" spans="1:132" hidden="1">
      <c r="A1981">
        <v>2100</v>
      </c>
      <c r="B1981">
        <v>1</v>
      </c>
      <c r="C1981" t="s">
        <v>4931</v>
      </c>
      <c r="D1981" t="s">
        <v>73</v>
      </c>
      <c r="E1981" t="s">
        <v>73</v>
      </c>
      <c r="F1981" t="s">
        <v>73</v>
      </c>
      <c r="G1981" t="s">
        <v>73</v>
      </c>
      <c r="H1981">
        <v>13.5</v>
      </c>
      <c r="I1981">
        <v>834</v>
      </c>
      <c r="J1981">
        <v>88335</v>
      </c>
      <c r="K1981" t="s">
        <v>4932</v>
      </c>
      <c r="L1981">
        <f t="shared" si="122"/>
        <v>5</v>
      </c>
      <c r="N1981">
        <v>5</v>
      </c>
      <c r="O1981">
        <v>5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3</v>
      </c>
      <c r="AU1981">
        <v>2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3</v>
      </c>
      <c r="BN1981" s="2">
        <v>2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f t="shared" si="125"/>
        <v>5</v>
      </c>
      <c r="BW1981" s="16">
        <f t="shared" si="123"/>
        <v>0.26315789473684209</v>
      </c>
      <c r="BX1981" s="16">
        <f>COUNTIF($BC$6:BU1981, "=0") / COUNTIF($BC$6:BU1981, "&gt;-1")</f>
        <v>0.47637438738546772</v>
      </c>
      <c r="BY1981" s="18">
        <f>SUM($BC$6:BU1981) / $BY$4</f>
        <v>0.9962640946431518</v>
      </c>
      <c r="BZ1981" s="14">
        <f t="shared" si="124"/>
        <v>17</v>
      </c>
      <c r="CA1981" t="s">
        <v>5832</v>
      </c>
      <c r="CZ1981" t="s">
        <v>12750</v>
      </c>
      <c r="DA1981" t="s">
        <v>5904</v>
      </c>
      <c r="DB1981">
        <v>1646.7</v>
      </c>
      <c r="DC1981" t="s">
        <v>33876</v>
      </c>
      <c r="DD1981" t="s">
        <v>33877</v>
      </c>
      <c r="DE1981" t="s">
        <v>33878</v>
      </c>
      <c r="DF1981" t="s">
        <v>33879</v>
      </c>
      <c r="DG1981" t="s">
        <v>33880</v>
      </c>
      <c r="DH1981" t="str">
        <f>"TRIM28"</f>
        <v>TRIM28</v>
      </c>
      <c r="DI1981" t="s">
        <v>33881</v>
      </c>
      <c r="DJ1981" t="s">
        <v>13777</v>
      </c>
      <c r="DK1981">
        <v>9606</v>
      </c>
      <c r="DL1981" s="34" t="str">
        <f>HYPERLINK("http://www.uniprot.org/uniprot/Q13263", "Q13263")</f>
        <v>Q13263</v>
      </c>
      <c r="DM1981" t="s">
        <v>33882</v>
      </c>
      <c r="DN1981" t="s">
        <v>33231</v>
      </c>
      <c r="DO1981" t="s">
        <v>14825</v>
      </c>
      <c r="DP1981" t="s">
        <v>13780</v>
      </c>
      <c r="DQ1981" t="s">
        <v>13772</v>
      </c>
      <c r="DR1981" t="s">
        <v>13772</v>
      </c>
      <c r="DS1981" t="s">
        <v>18222</v>
      </c>
      <c r="DT1981" t="s">
        <v>13856</v>
      </c>
      <c r="DU1981" t="s">
        <v>33883</v>
      </c>
      <c r="DV1981" t="s">
        <v>22883</v>
      </c>
      <c r="DW1981" t="s">
        <v>13812</v>
      </c>
      <c r="DX1981" t="s">
        <v>33884</v>
      </c>
      <c r="DY1981" t="s">
        <v>33885</v>
      </c>
      <c r="DZ1981" t="s">
        <v>33886</v>
      </c>
      <c r="EA1981" t="s">
        <v>33887</v>
      </c>
      <c r="EB1981" t="s">
        <v>33888</v>
      </c>
    </row>
    <row r="1982" spans="1:132" hidden="1">
      <c r="A1982">
        <v>2132</v>
      </c>
      <c r="B1982">
        <v>1</v>
      </c>
      <c r="C1982" t="s">
        <v>4999</v>
      </c>
      <c r="D1982" t="s">
        <v>73</v>
      </c>
      <c r="E1982" t="s">
        <v>73</v>
      </c>
      <c r="F1982" t="s">
        <v>73</v>
      </c>
      <c r="G1982" t="s">
        <v>73</v>
      </c>
      <c r="H1982">
        <v>8.3000000000000007</v>
      </c>
      <c r="I1982">
        <v>397</v>
      </c>
      <c r="J1982">
        <v>45966</v>
      </c>
      <c r="K1982" t="s">
        <v>5000</v>
      </c>
      <c r="L1982">
        <f t="shared" si="122"/>
        <v>5</v>
      </c>
      <c r="N1982">
        <v>5</v>
      </c>
      <c r="O1982">
        <v>5</v>
      </c>
      <c r="P1982">
        <v>1</v>
      </c>
      <c r="Q1982">
        <v>1</v>
      </c>
      <c r="R1982">
        <v>0</v>
      </c>
      <c r="S1982">
        <v>0</v>
      </c>
      <c r="T1982">
        <v>2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2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 s="2">
        <v>1</v>
      </c>
      <c r="BD1982" s="2">
        <v>0</v>
      </c>
      <c r="BE1982" s="2">
        <v>0</v>
      </c>
      <c r="BF1982" s="2">
        <v>2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1</v>
      </c>
      <c r="BT1982" s="2">
        <v>0</v>
      </c>
      <c r="BU1982" s="2">
        <v>0</v>
      </c>
      <c r="BV1982" s="2">
        <f t="shared" si="125"/>
        <v>5</v>
      </c>
      <c r="BW1982" s="16">
        <f t="shared" si="123"/>
        <v>0.26315789473684209</v>
      </c>
      <c r="BX1982" s="16">
        <f>COUNTIF($BC$6:BU1982, "=0") / COUNTIF($BC$6:BU1982, "&gt;-1")</f>
        <v>0.47653275829939035</v>
      </c>
      <c r="BY1982" s="18">
        <f>SUM($BC$6:BU1982) / $BY$4</f>
        <v>0.99628551282749533</v>
      </c>
      <c r="BZ1982" s="14">
        <f t="shared" si="124"/>
        <v>15</v>
      </c>
      <c r="CA1982" t="s">
        <v>5832</v>
      </c>
      <c r="CZ1982" t="s">
        <v>12853</v>
      </c>
      <c r="DA1982" t="s">
        <v>5904</v>
      </c>
      <c r="DB1982">
        <v>757.3</v>
      </c>
      <c r="DC1982" t="s">
        <v>34150</v>
      </c>
      <c r="DD1982" t="s">
        <v>34151</v>
      </c>
      <c r="DE1982" t="s">
        <v>34152</v>
      </c>
      <c r="DF1982" t="s">
        <v>34153</v>
      </c>
      <c r="DG1982" t="s">
        <v>34154</v>
      </c>
      <c r="DH1982" t="str">
        <f>"B3GNT2"</f>
        <v>B3GNT2</v>
      </c>
      <c r="DI1982" t="s">
        <v>34155</v>
      </c>
      <c r="DJ1982" t="s">
        <v>13777</v>
      </c>
      <c r="DK1982">
        <v>9606</v>
      </c>
      <c r="DL1982" s="34" t="str">
        <f>HYPERLINK("http://www.uniprot.org/uniprot/Q9NY97", "Q9NY97")</f>
        <v>Q9NY97</v>
      </c>
      <c r="DM1982" t="s">
        <v>34156</v>
      </c>
      <c r="DN1982" t="s">
        <v>13772</v>
      </c>
      <c r="DO1982" t="s">
        <v>18298</v>
      </c>
      <c r="DP1982" t="s">
        <v>13841</v>
      </c>
      <c r="DQ1982" t="s">
        <v>13772</v>
      </c>
      <c r="DR1982" t="s">
        <v>13772</v>
      </c>
      <c r="DS1982" t="s">
        <v>14417</v>
      </c>
      <c r="DT1982" t="s">
        <v>34157</v>
      </c>
      <c r="DU1982" t="s">
        <v>15995</v>
      </c>
      <c r="DV1982" t="s">
        <v>13858</v>
      </c>
      <c r="DW1982" t="s">
        <v>13772</v>
      </c>
      <c r="DX1982" t="s">
        <v>34158</v>
      </c>
      <c r="DY1982" t="s">
        <v>34159</v>
      </c>
      <c r="DZ1982" t="s">
        <v>34160</v>
      </c>
      <c r="EA1982" t="s">
        <v>22195</v>
      </c>
      <c r="EB1982" t="s">
        <v>34161</v>
      </c>
    </row>
    <row r="1983" spans="1:132" hidden="1">
      <c r="A1983">
        <v>2137</v>
      </c>
      <c r="B1983">
        <v>1</v>
      </c>
      <c r="C1983" t="s">
        <v>5012</v>
      </c>
      <c r="D1983" t="s">
        <v>73</v>
      </c>
      <c r="E1983" t="s">
        <v>73</v>
      </c>
      <c r="F1983" t="s">
        <v>73</v>
      </c>
      <c r="G1983" t="s">
        <v>73</v>
      </c>
      <c r="H1983">
        <v>11</v>
      </c>
      <c r="I1983">
        <v>246</v>
      </c>
      <c r="J1983">
        <v>28276</v>
      </c>
      <c r="K1983" t="s">
        <v>5013</v>
      </c>
      <c r="L1983">
        <f t="shared" si="122"/>
        <v>5</v>
      </c>
      <c r="N1983">
        <v>5</v>
      </c>
      <c r="O1983">
        <v>5</v>
      </c>
      <c r="P1983">
        <v>1</v>
      </c>
      <c r="Q1983">
        <v>2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s="2">
        <v>2</v>
      </c>
      <c r="BD1983" s="2">
        <v>0</v>
      </c>
      <c r="BE1983" s="2">
        <v>1</v>
      </c>
      <c r="BF1983" s="2">
        <v>1</v>
      </c>
      <c r="BG1983" s="2">
        <v>0</v>
      </c>
      <c r="BH1983" s="2">
        <v>0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f t="shared" si="125"/>
        <v>5</v>
      </c>
      <c r="BW1983" s="16">
        <f t="shared" si="123"/>
        <v>0.26315789473684209</v>
      </c>
      <c r="BX1983" s="16">
        <f>COUNTIF($BC$6:BU1983, "=0") / COUNTIF($BC$6:BU1983, "&gt;-1")</f>
        <v>0.47669096908094299</v>
      </c>
      <c r="BY1983" s="18">
        <f>SUM($BC$6:BU1983) / $BY$4</f>
        <v>0.99630693101183876</v>
      </c>
      <c r="BZ1983" s="14">
        <f t="shared" si="124"/>
        <v>15</v>
      </c>
      <c r="CA1983" t="s">
        <v>5832</v>
      </c>
      <c r="CZ1983" t="s">
        <v>12871</v>
      </c>
      <c r="DA1983" t="s">
        <v>6054</v>
      </c>
      <c r="DB1983">
        <v>43.1</v>
      </c>
      <c r="DC1983" t="s">
        <v>34201</v>
      </c>
      <c r="DD1983" t="s">
        <v>34202</v>
      </c>
      <c r="DE1983" t="s">
        <v>34203</v>
      </c>
      <c r="DF1983" t="s">
        <v>34204</v>
      </c>
      <c r="DG1983" t="s">
        <v>34205</v>
      </c>
      <c r="DH1983" t="str">
        <f>"SLC26A8"</f>
        <v>SLC26A8</v>
      </c>
      <c r="DI1983" t="s">
        <v>13772</v>
      </c>
      <c r="DJ1983" t="s">
        <v>13777</v>
      </c>
      <c r="DK1983">
        <v>9606</v>
      </c>
      <c r="DL1983" s="34" t="str">
        <f>HYPERLINK("http://www.uniprot.org/uniprot/Q96RN1", "Q96RN1")</f>
        <v>Q96RN1</v>
      </c>
      <c r="DM1983" t="s">
        <v>34206</v>
      </c>
      <c r="DN1983" t="s">
        <v>34207</v>
      </c>
      <c r="DO1983" t="s">
        <v>13825</v>
      </c>
      <c r="DP1983" t="s">
        <v>13780</v>
      </c>
      <c r="DQ1983" t="s">
        <v>13772</v>
      </c>
      <c r="DR1983" t="s">
        <v>13772</v>
      </c>
      <c r="DS1983" t="s">
        <v>13925</v>
      </c>
      <c r="DT1983" t="s">
        <v>13772</v>
      </c>
      <c r="DU1983" t="s">
        <v>14727</v>
      </c>
      <c r="DV1983" t="s">
        <v>13858</v>
      </c>
      <c r="DW1983" t="s">
        <v>13772</v>
      </c>
      <c r="DX1983" t="s">
        <v>34208</v>
      </c>
      <c r="DY1983" t="s">
        <v>30524</v>
      </c>
      <c r="DZ1983" t="s">
        <v>34209</v>
      </c>
      <c r="EA1983" t="s">
        <v>13772</v>
      </c>
      <c r="EB1983" t="s">
        <v>13772</v>
      </c>
    </row>
    <row r="1984" spans="1:132" hidden="1">
      <c r="A1984">
        <v>2158</v>
      </c>
      <c r="B1984">
        <v>1</v>
      </c>
      <c r="C1984" t="s">
        <v>5058</v>
      </c>
      <c r="D1984" t="s">
        <v>5059</v>
      </c>
      <c r="E1984" t="s">
        <v>73</v>
      </c>
      <c r="F1984" t="s">
        <v>73</v>
      </c>
      <c r="G1984" t="s">
        <v>73</v>
      </c>
      <c r="H1984">
        <v>17.899999999999999</v>
      </c>
      <c r="I1984">
        <v>274</v>
      </c>
      <c r="J1984">
        <v>31303</v>
      </c>
      <c r="K1984" t="s">
        <v>5060</v>
      </c>
      <c r="L1984">
        <f t="shared" si="122"/>
        <v>5</v>
      </c>
      <c r="N1984">
        <v>5</v>
      </c>
      <c r="O1984">
        <v>5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2</v>
      </c>
      <c r="AU1984">
        <v>0</v>
      </c>
      <c r="AV1984">
        <v>0</v>
      </c>
      <c r="AW1984">
        <v>0</v>
      </c>
      <c r="AX1984">
        <v>2</v>
      </c>
      <c r="AY1984">
        <v>0</v>
      </c>
      <c r="AZ1984">
        <v>0</v>
      </c>
      <c r="BA1984">
        <v>0</v>
      </c>
      <c r="BB1984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1</v>
      </c>
      <c r="BL1984" s="2">
        <v>0</v>
      </c>
      <c r="BM1984" s="2">
        <v>2</v>
      </c>
      <c r="BN1984" s="2">
        <v>0</v>
      </c>
      <c r="BO1984" s="2">
        <v>0</v>
      </c>
      <c r="BP1984" s="2">
        <v>0</v>
      </c>
      <c r="BQ1984" s="2">
        <v>2</v>
      </c>
      <c r="BR1984" s="2">
        <v>0</v>
      </c>
      <c r="BS1984" s="2">
        <v>0</v>
      </c>
      <c r="BT1984" s="2">
        <v>0</v>
      </c>
      <c r="BU1984" s="2">
        <v>0</v>
      </c>
      <c r="BV1984" s="2">
        <f t="shared" si="125"/>
        <v>5</v>
      </c>
      <c r="BW1984" s="16">
        <f t="shared" si="123"/>
        <v>0.26315789473684209</v>
      </c>
      <c r="BX1984" s="16">
        <f>COUNTIF($BC$6:BU1984, "=0") / COUNTIF($BC$6:BU1984, "&gt;-1")</f>
        <v>0.47687561501023906</v>
      </c>
      <c r="BY1984" s="18">
        <f>SUM($BC$6:BU1984) / $BY$4</f>
        <v>0.99632834919618229</v>
      </c>
      <c r="BZ1984" s="14">
        <f t="shared" si="124"/>
        <v>16</v>
      </c>
      <c r="CA1984" t="s">
        <v>5832</v>
      </c>
      <c r="CZ1984" t="s">
        <v>12943</v>
      </c>
      <c r="DA1984" t="s">
        <v>5904</v>
      </c>
      <c r="DB1984">
        <v>504.6</v>
      </c>
      <c r="DC1984" t="s">
        <v>34399</v>
      </c>
      <c r="DD1984" t="s">
        <v>13772</v>
      </c>
      <c r="DE1984" t="s">
        <v>34400</v>
      </c>
      <c r="DF1984" t="s">
        <v>34401</v>
      </c>
      <c r="DG1984" t="s">
        <v>34402</v>
      </c>
      <c r="DH1984" t="str">
        <f>"STX12"</f>
        <v>STX12</v>
      </c>
      <c r="DI1984" t="s">
        <v>13772</v>
      </c>
      <c r="DJ1984" t="s">
        <v>13777</v>
      </c>
      <c r="DK1984">
        <v>9606</v>
      </c>
      <c r="DL1984" s="34" t="str">
        <f>HYPERLINK("http://www.uniprot.org/uniprot/Q86Y82", "Q86Y82")</f>
        <v>Q86Y82</v>
      </c>
      <c r="DM1984" t="s">
        <v>34403</v>
      </c>
      <c r="DN1984" t="s">
        <v>14347</v>
      </c>
      <c r="DO1984" t="s">
        <v>15095</v>
      </c>
      <c r="DP1984" t="s">
        <v>13793</v>
      </c>
      <c r="DQ1984" t="s">
        <v>13772</v>
      </c>
      <c r="DR1984" t="s">
        <v>13772</v>
      </c>
      <c r="DS1984" t="s">
        <v>15628</v>
      </c>
      <c r="DT1984" t="s">
        <v>13772</v>
      </c>
      <c r="DU1984" t="s">
        <v>13772</v>
      </c>
      <c r="DV1984" t="s">
        <v>13886</v>
      </c>
      <c r="DW1984" t="s">
        <v>13812</v>
      </c>
      <c r="DX1984" t="s">
        <v>34404</v>
      </c>
      <c r="DY1984" t="s">
        <v>34405</v>
      </c>
      <c r="DZ1984" t="s">
        <v>34406</v>
      </c>
      <c r="EA1984" t="s">
        <v>13772</v>
      </c>
      <c r="EB1984" t="s">
        <v>13772</v>
      </c>
    </row>
    <row r="1985" spans="1:132" hidden="1">
      <c r="A1985">
        <v>2164</v>
      </c>
      <c r="B1985">
        <v>1</v>
      </c>
      <c r="C1985" t="s">
        <v>5069</v>
      </c>
      <c r="D1985" t="s">
        <v>5070</v>
      </c>
      <c r="E1985" t="s">
        <v>73</v>
      </c>
      <c r="F1985" t="s">
        <v>73</v>
      </c>
      <c r="G1985" t="s">
        <v>73</v>
      </c>
      <c r="H1985">
        <v>6.2</v>
      </c>
      <c r="I1985">
        <v>753</v>
      </c>
      <c r="J1985">
        <v>83226</v>
      </c>
      <c r="K1985" t="s">
        <v>5071</v>
      </c>
      <c r="L1985">
        <f t="shared" si="122"/>
        <v>5</v>
      </c>
      <c r="N1985">
        <v>5</v>
      </c>
      <c r="O1985">
        <v>5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2</v>
      </c>
      <c r="AV1985">
        <v>1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 s="2">
        <v>0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2</v>
      </c>
      <c r="BO1985" s="2">
        <v>1</v>
      </c>
      <c r="BP1985" s="2">
        <v>0</v>
      </c>
      <c r="BQ1985" s="2">
        <v>0</v>
      </c>
      <c r="BR1985" s="2">
        <v>1</v>
      </c>
      <c r="BS1985" s="2">
        <v>0</v>
      </c>
      <c r="BT1985" s="2">
        <v>0</v>
      </c>
      <c r="BU1985" s="2">
        <v>0</v>
      </c>
      <c r="BV1985" s="2">
        <f t="shared" si="125"/>
        <v>5</v>
      </c>
      <c r="BW1985" s="16">
        <f t="shared" si="123"/>
        <v>0.26315789473684209</v>
      </c>
      <c r="BX1985" s="16">
        <f>COUNTIF($BC$6:BU1985, "=0") / COUNTIF($BC$6:BU1985, "&gt;-1")</f>
        <v>0.47703349282296653</v>
      </c>
      <c r="BY1985" s="18">
        <f>SUM($BC$6:BU1985) / $BY$4</f>
        <v>0.99634976738052583</v>
      </c>
      <c r="BZ1985" s="14">
        <f t="shared" si="124"/>
        <v>15</v>
      </c>
      <c r="CA1985" t="s">
        <v>5832</v>
      </c>
      <c r="CZ1985" t="s">
        <v>12962</v>
      </c>
      <c r="DA1985" t="s">
        <v>5904</v>
      </c>
      <c r="DB1985">
        <v>1374</v>
      </c>
      <c r="DC1985" t="s">
        <v>34443</v>
      </c>
      <c r="DD1985" t="s">
        <v>34444</v>
      </c>
      <c r="DE1985" t="s">
        <v>34445</v>
      </c>
      <c r="DF1985" t="s">
        <v>34446</v>
      </c>
      <c r="DG1985" t="s">
        <v>34447</v>
      </c>
      <c r="DH1985" t="str">
        <f>"IMMT"</f>
        <v>IMMT</v>
      </c>
      <c r="DI1985" t="s">
        <v>34448</v>
      </c>
      <c r="DJ1985" t="s">
        <v>13777</v>
      </c>
      <c r="DK1985">
        <v>9606</v>
      </c>
      <c r="DL1985" s="34" t="str">
        <f>HYPERLINK("http://www.uniprot.org/uniprot/Q16891", "Q16891")</f>
        <v>Q16891</v>
      </c>
      <c r="DM1985" t="s">
        <v>34449</v>
      </c>
      <c r="DN1985" t="s">
        <v>13772</v>
      </c>
      <c r="DO1985" t="s">
        <v>15507</v>
      </c>
      <c r="DP1985" t="s">
        <v>13780</v>
      </c>
      <c r="DQ1985" t="s">
        <v>13772</v>
      </c>
      <c r="DR1985" t="s">
        <v>13772</v>
      </c>
      <c r="DS1985" t="s">
        <v>27043</v>
      </c>
      <c r="DT1985" t="s">
        <v>13772</v>
      </c>
      <c r="DU1985" t="s">
        <v>13772</v>
      </c>
      <c r="DV1985" t="s">
        <v>13886</v>
      </c>
      <c r="DW1985" t="s">
        <v>13772</v>
      </c>
      <c r="DX1985" t="s">
        <v>34450</v>
      </c>
      <c r="DY1985" t="s">
        <v>34451</v>
      </c>
      <c r="DZ1985" t="s">
        <v>14235</v>
      </c>
      <c r="EA1985" t="s">
        <v>13772</v>
      </c>
      <c r="EB1985" t="s">
        <v>29409</v>
      </c>
    </row>
    <row r="1986" spans="1:132" hidden="1">
      <c r="A1986">
        <v>2200</v>
      </c>
      <c r="B1986">
        <v>1</v>
      </c>
      <c r="C1986" t="s">
        <v>5143</v>
      </c>
      <c r="D1986" t="s">
        <v>5144</v>
      </c>
      <c r="E1986" t="s">
        <v>73</v>
      </c>
      <c r="F1986" t="s">
        <v>73</v>
      </c>
      <c r="G1986" t="s">
        <v>73</v>
      </c>
      <c r="H1986">
        <v>33.299999999999997</v>
      </c>
      <c r="I1986">
        <v>99</v>
      </c>
      <c r="J1986">
        <v>11351</v>
      </c>
      <c r="K1986" t="s">
        <v>5145</v>
      </c>
      <c r="L1986">
        <f t="shared" si="122"/>
        <v>5</v>
      </c>
      <c r="N1986">
        <v>5</v>
      </c>
      <c r="O1986">
        <v>5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3</v>
      </c>
      <c r="BK1986" s="2">
        <v>1</v>
      </c>
      <c r="BL1986" s="2">
        <v>0</v>
      </c>
      <c r="BM1986" s="2">
        <v>1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f t="shared" si="125"/>
        <v>5</v>
      </c>
      <c r="BW1986" s="16">
        <f t="shared" si="123"/>
        <v>0.26315789473684209</v>
      </c>
      <c r="BX1986" s="16">
        <f>COUNTIF($BC$6:BU1986, "=0") / COUNTIF($BC$6:BU1986, "&gt;-1")</f>
        <v>0.47721777943090943</v>
      </c>
      <c r="BY1986" s="18">
        <f>SUM($BC$6:BU1986) / $BY$4</f>
        <v>0.99637118556486937</v>
      </c>
      <c r="BZ1986" s="14">
        <f t="shared" si="124"/>
        <v>16</v>
      </c>
      <c r="CA1986" t="s">
        <v>5832</v>
      </c>
      <c r="CZ1986" t="s">
        <v>13078</v>
      </c>
      <c r="DA1986" t="s">
        <v>5904</v>
      </c>
      <c r="DB1986">
        <v>189.9</v>
      </c>
      <c r="DC1986" t="s">
        <v>34789</v>
      </c>
      <c r="DD1986" t="s">
        <v>34790</v>
      </c>
      <c r="DE1986" t="s">
        <v>34791</v>
      </c>
      <c r="DF1986" t="s">
        <v>34792</v>
      </c>
      <c r="DG1986" t="s">
        <v>34793</v>
      </c>
      <c r="DH1986" t="str">
        <f>"DYNLRB1"</f>
        <v>DYNLRB1</v>
      </c>
      <c r="DI1986" t="s">
        <v>34794</v>
      </c>
      <c r="DJ1986" t="s">
        <v>13777</v>
      </c>
      <c r="DK1986">
        <v>9606</v>
      </c>
      <c r="DL1986" s="34" t="str">
        <f>HYPERLINK("http://www.uniprot.org/uniprot/Q9NP97", "Q9NP97")</f>
        <v>Q9NP97</v>
      </c>
      <c r="DM1986" t="s">
        <v>34795</v>
      </c>
      <c r="DN1986" t="s">
        <v>14192</v>
      </c>
      <c r="DO1986" t="s">
        <v>14676</v>
      </c>
      <c r="DP1986" t="s">
        <v>13780</v>
      </c>
      <c r="DQ1986" t="s">
        <v>13772</v>
      </c>
      <c r="DR1986" t="s">
        <v>13772</v>
      </c>
      <c r="DS1986" t="s">
        <v>13772</v>
      </c>
      <c r="DT1986" t="s">
        <v>13772</v>
      </c>
      <c r="DU1986" t="s">
        <v>14678</v>
      </c>
      <c r="DV1986" t="s">
        <v>14020</v>
      </c>
      <c r="DW1986" t="s">
        <v>13812</v>
      </c>
      <c r="DX1986" t="s">
        <v>34796</v>
      </c>
      <c r="DY1986" t="s">
        <v>34797</v>
      </c>
      <c r="DZ1986" t="s">
        <v>34798</v>
      </c>
      <c r="EA1986" t="s">
        <v>13772</v>
      </c>
      <c r="EB1986" t="s">
        <v>34799</v>
      </c>
    </row>
    <row r="1987" spans="1:132" hidden="1">
      <c r="A1987">
        <v>2201</v>
      </c>
      <c r="B1987">
        <v>1</v>
      </c>
      <c r="C1987" t="s">
        <v>5146</v>
      </c>
      <c r="D1987" t="s">
        <v>5147</v>
      </c>
      <c r="E1987" t="s">
        <v>73</v>
      </c>
      <c r="F1987" t="s">
        <v>73</v>
      </c>
      <c r="G1987" t="s">
        <v>73</v>
      </c>
      <c r="H1987">
        <v>12.5</v>
      </c>
      <c r="I1987">
        <v>305</v>
      </c>
      <c r="J1987">
        <v>33146</v>
      </c>
      <c r="K1987" t="s">
        <v>5148</v>
      </c>
      <c r="L1987">
        <f t="shared" si="122"/>
        <v>5</v>
      </c>
      <c r="N1987">
        <v>5</v>
      </c>
      <c r="O1987">
        <v>5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0</v>
      </c>
      <c r="AE1987">
        <v>1</v>
      </c>
      <c r="AF1987">
        <v>2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</v>
      </c>
      <c r="AV1987">
        <v>0</v>
      </c>
      <c r="AW1987">
        <v>0</v>
      </c>
      <c r="AX1987">
        <v>1</v>
      </c>
      <c r="AY1987">
        <v>2</v>
      </c>
      <c r="AZ1987">
        <v>0</v>
      </c>
      <c r="BA1987">
        <v>0</v>
      </c>
      <c r="BB1987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2</v>
      </c>
      <c r="BO1987" s="2">
        <v>0</v>
      </c>
      <c r="BP1987" s="2">
        <v>0</v>
      </c>
      <c r="BQ1987" s="2">
        <v>1</v>
      </c>
      <c r="BR1987" s="2">
        <v>2</v>
      </c>
      <c r="BS1987" s="2">
        <v>0</v>
      </c>
      <c r="BT1987" s="2">
        <v>0</v>
      </c>
      <c r="BU1987" s="2">
        <v>0</v>
      </c>
      <c r="BV1987" s="2">
        <f t="shared" si="125"/>
        <v>5</v>
      </c>
      <c r="BW1987" s="16">
        <f t="shared" si="123"/>
        <v>0.26315789473684209</v>
      </c>
      <c r="BX1987" s="16">
        <f>COUNTIF($BC$6:BU1987, "=0") / COUNTIF($BC$6:BU1987, "&gt;-1")</f>
        <v>0.47740188007860218</v>
      </c>
      <c r="BY1987" s="18">
        <f>SUM($BC$6:BU1987) / $BY$4</f>
        <v>0.99639260374921279</v>
      </c>
      <c r="BZ1987" s="14">
        <f t="shared" si="124"/>
        <v>16</v>
      </c>
      <c r="CA1987" t="s">
        <v>5832</v>
      </c>
      <c r="CZ1987" t="s">
        <v>13083</v>
      </c>
      <c r="DA1987" t="s">
        <v>5904</v>
      </c>
      <c r="DB1987">
        <v>435.3</v>
      </c>
      <c r="DC1987" t="s">
        <v>34800</v>
      </c>
      <c r="DD1987" t="s">
        <v>34801</v>
      </c>
      <c r="DE1987" t="s">
        <v>34802</v>
      </c>
      <c r="DF1987" t="s">
        <v>34803</v>
      </c>
      <c r="DG1987" t="s">
        <v>34804</v>
      </c>
      <c r="DH1987" t="str">
        <f>"RALY"</f>
        <v>RALY</v>
      </c>
      <c r="DI1987" t="s">
        <v>34805</v>
      </c>
      <c r="DJ1987" t="s">
        <v>13777</v>
      </c>
      <c r="DK1987">
        <v>9606</v>
      </c>
      <c r="DL1987" s="34" t="str">
        <f>HYPERLINK("http://www.uniprot.org/uniprot/Q9UKM9", "Q9UKM9")</f>
        <v>Q9UKM9</v>
      </c>
      <c r="DM1987" t="s">
        <v>34806</v>
      </c>
      <c r="DN1987" t="s">
        <v>23105</v>
      </c>
      <c r="DO1987" t="s">
        <v>16088</v>
      </c>
      <c r="DP1987" t="s">
        <v>13780</v>
      </c>
      <c r="DQ1987" t="s">
        <v>13772</v>
      </c>
      <c r="DR1987" t="s">
        <v>13772</v>
      </c>
      <c r="DS1987" t="s">
        <v>14245</v>
      </c>
      <c r="DT1987" t="s">
        <v>13772</v>
      </c>
      <c r="DU1987" t="s">
        <v>16089</v>
      </c>
      <c r="DV1987" t="s">
        <v>13991</v>
      </c>
      <c r="DW1987" t="s">
        <v>13812</v>
      </c>
      <c r="DX1987" t="s">
        <v>34807</v>
      </c>
      <c r="DY1987" t="s">
        <v>34808</v>
      </c>
      <c r="DZ1987" t="s">
        <v>34809</v>
      </c>
      <c r="EA1987" t="s">
        <v>13772</v>
      </c>
      <c r="EB1987" t="s">
        <v>13772</v>
      </c>
    </row>
    <row r="1988" spans="1:132" hidden="1">
      <c r="A1988">
        <v>2217</v>
      </c>
      <c r="B1988">
        <v>1</v>
      </c>
      <c r="C1988" t="s">
        <v>5185</v>
      </c>
      <c r="D1988" t="s">
        <v>73</v>
      </c>
      <c r="E1988" t="s">
        <v>73</v>
      </c>
      <c r="F1988" t="s">
        <v>73</v>
      </c>
      <c r="G1988" t="s">
        <v>73</v>
      </c>
      <c r="H1988">
        <v>2.1</v>
      </c>
      <c r="I1988">
        <v>1725</v>
      </c>
      <c r="J1988">
        <v>184576</v>
      </c>
      <c r="K1988" t="s">
        <v>5186</v>
      </c>
      <c r="L1988">
        <f t="shared" si="122"/>
        <v>5</v>
      </c>
      <c r="N1988">
        <v>5</v>
      </c>
      <c r="O1988">
        <v>5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4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 s="2">
        <v>0</v>
      </c>
      <c r="BD1988" s="2">
        <v>0</v>
      </c>
      <c r="BE1988" s="2">
        <v>1</v>
      </c>
      <c r="BF1988" s="2">
        <v>0</v>
      </c>
      <c r="BG1988" s="2">
        <v>0</v>
      </c>
      <c r="BH1988" s="2">
        <v>0</v>
      </c>
      <c r="BI1988" s="2">
        <v>4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f t="shared" si="125"/>
        <v>5</v>
      </c>
      <c r="BW1988" s="16">
        <f t="shared" si="123"/>
        <v>0.26315789473684209</v>
      </c>
      <c r="BX1988" s="16">
        <f>COUNTIF($BC$6:BU1988, "=0") / COUNTIF($BC$6:BU1988, "&gt;-1")</f>
        <v>0.47761233643867612</v>
      </c>
      <c r="BY1988" s="18">
        <f>SUM($BC$6:BU1988) / $BY$4</f>
        <v>0.99641402193355633</v>
      </c>
      <c r="BZ1988" s="14">
        <f t="shared" si="124"/>
        <v>17</v>
      </c>
      <c r="CA1988" t="s">
        <v>5832</v>
      </c>
      <c r="CZ1988" t="s">
        <v>13137</v>
      </c>
      <c r="DA1988" t="s">
        <v>5904</v>
      </c>
      <c r="DB1988">
        <v>2524.1999999999998</v>
      </c>
      <c r="DC1988" t="s">
        <v>34947</v>
      </c>
      <c r="DD1988" t="s">
        <v>34948</v>
      </c>
      <c r="DE1988" t="s">
        <v>34949</v>
      </c>
      <c r="DF1988" t="s">
        <v>34950</v>
      </c>
      <c r="DG1988" t="s">
        <v>34951</v>
      </c>
      <c r="DH1988" t="str">
        <f>"SIGLEC1"</f>
        <v>SIGLEC1</v>
      </c>
      <c r="DI1988" t="s">
        <v>34952</v>
      </c>
      <c r="DJ1988" t="s">
        <v>13777</v>
      </c>
      <c r="DK1988">
        <v>9606</v>
      </c>
      <c r="DL1988" s="34" t="str">
        <f>HYPERLINK("http://www.uniprot.org/uniprot/Q9BZZ2", "Q9BZZ2")</f>
        <v>Q9BZZ2</v>
      </c>
      <c r="DM1988" t="s">
        <v>34953</v>
      </c>
      <c r="DN1988" t="s">
        <v>34954</v>
      </c>
      <c r="DO1988" t="s">
        <v>14336</v>
      </c>
      <c r="DP1988" t="s">
        <v>13780</v>
      </c>
      <c r="DQ1988" t="s">
        <v>13772</v>
      </c>
      <c r="DR1988" t="s">
        <v>13772</v>
      </c>
      <c r="DS1988" t="s">
        <v>13951</v>
      </c>
      <c r="DT1988" t="s">
        <v>14277</v>
      </c>
      <c r="DU1988" t="s">
        <v>13772</v>
      </c>
      <c r="DV1988" t="s">
        <v>13796</v>
      </c>
      <c r="DW1988" t="s">
        <v>13772</v>
      </c>
      <c r="DX1988" t="s">
        <v>34955</v>
      </c>
      <c r="DY1988" t="s">
        <v>34956</v>
      </c>
      <c r="DZ1988" t="s">
        <v>20728</v>
      </c>
      <c r="EA1988" t="s">
        <v>13772</v>
      </c>
      <c r="EB1988" t="s">
        <v>13799</v>
      </c>
    </row>
    <row r="1989" spans="1:132" hidden="1">
      <c r="A1989">
        <v>995</v>
      </c>
      <c r="B1989">
        <v>1</v>
      </c>
      <c r="C1989" t="s">
        <v>2411</v>
      </c>
      <c r="D1989" t="s">
        <v>73</v>
      </c>
      <c r="E1989" t="s">
        <v>73</v>
      </c>
      <c r="F1989" t="s">
        <v>2316</v>
      </c>
      <c r="G1989" t="s">
        <v>73</v>
      </c>
      <c r="H1989">
        <v>31</v>
      </c>
      <c r="I1989">
        <v>274</v>
      </c>
      <c r="J1989">
        <v>28937</v>
      </c>
      <c r="K1989" t="s">
        <v>2314</v>
      </c>
      <c r="L1989">
        <f t="shared" si="122"/>
        <v>30</v>
      </c>
      <c r="N1989">
        <v>30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6</v>
      </c>
      <c r="Z1989">
        <v>0</v>
      </c>
      <c r="AA1989">
        <v>8</v>
      </c>
      <c r="AB1989">
        <v>8</v>
      </c>
      <c r="AC1989">
        <v>2</v>
      </c>
      <c r="AD1989">
        <v>0</v>
      </c>
      <c r="AE1989">
        <v>2</v>
      </c>
      <c r="AF1989">
        <v>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0.2</v>
      </c>
      <c r="BJ1989" s="2">
        <v>0.2</v>
      </c>
      <c r="BK1989" s="2">
        <v>0.83299999999999996</v>
      </c>
      <c r="BL1989" s="2">
        <v>0</v>
      </c>
      <c r="BM1989" s="2">
        <v>1.45</v>
      </c>
      <c r="BN1989" s="2">
        <v>1.4330000000000001</v>
      </c>
      <c r="BO1989" s="2">
        <v>0</v>
      </c>
      <c r="BP1989" s="2">
        <v>0</v>
      </c>
      <c r="BQ1989" s="2">
        <v>0.33300000000000002</v>
      </c>
      <c r="BR1989" s="2">
        <v>0.53300000000000003</v>
      </c>
      <c r="BS1989" s="2">
        <v>0</v>
      </c>
      <c r="BT1989" s="2">
        <v>0</v>
      </c>
      <c r="BU1989" s="2">
        <v>0</v>
      </c>
      <c r="BV1989" s="2">
        <f t="shared" si="125"/>
        <v>4.9820000000000002</v>
      </c>
      <c r="BW1989" s="16">
        <f t="shared" si="123"/>
        <v>0.2622105263157895</v>
      </c>
      <c r="BX1989" s="16">
        <f>COUNTIF($BC$6:BU1989, "=0") / COUNTIF($BC$6:BU1989, "&gt;-1")</f>
        <v>0.47768994057724956</v>
      </c>
      <c r="BY1989" s="18">
        <f>SUM($BC$6:BU1989) / $BY$4</f>
        <v>0.9964353630124364</v>
      </c>
      <c r="BZ1989" s="14">
        <f t="shared" si="124"/>
        <v>12</v>
      </c>
      <c r="CA1989" t="s">
        <v>5832</v>
      </c>
      <c r="CZ1989" t="s">
        <v>7232</v>
      </c>
      <c r="DA1989" t="s">
        <v>5904</v>
      </c>
      <c r="DB1989">
        <v>377.1</v>
      </c>
      <c r="DC1989" t="s">
        <v>18079</v>
      </c>
      <c r="DD1989" t="s">
        <v>18080</v>
      </c>
      <c r="DE1989" t="s">
        <v>18081</v>
      </c>
      <c r="DF1989" t="s">
        <v>18082</v>
      </c>
      <c r="DG1989" t="s">
        <v>18083</v>
      </c>
      <c r="DH1989" t="str">
        <f>"HNRNPA1L2"</f>
        <v>HNRNPA1L2</v>
      </c>
      <c r="DI1989" t="s">
        <v>18084</v>
      </c>
      <c r="DJ1989" t="s">
        <v>13777</v>
      </c>
      <c r="DK1989">
        <v>9606</v>
      </c>
      <c r="DL1989" s="34" t="str">
        <f>HYPERLINK("http://www.uniprot.org/uniprot/Q32P51", "Q32P51")</f>
        <v>Q32P51</v>
      </c>
      <c r="DM1989" t="s">
        <v>18085</v>
      </c>
      <c r="DN1989" t="s">
        <v>16723</v>
      </c>
      <c r="DO1989" t="s">
        <v>14230</v>
      </c>
      <c r="DP1989" t="s">
        <v>13793</v>
      </c>
      <c r="DQ1989" t="s">
        <v>13772</v>
      </c>
      <c r="DR1989" t="s">
        <v>13772</v>
      </c>
      <c r="DS1989" t="s">
        <v>14096</v>
      </c>
      <c r="DT1989" t="s">
        <v>13772</v>
      </c>
      <c r="DU1989" t="s">
        <v>16089</v>
      </c>
      <c r="DV1989" t="s">
        <v>14098</v>
      </c>
      <c r="DW1989" t="s">
        <v>13772</v>
      </c>
      <c r="DX1989" t="s">
        <v>18086</v>
      </c>
      <c r="DY1989" t="s">
        <v>18087</v>
      </c>
      <c r="DZ1989" t="s">
        <v>18088</v>
      </c>
      <c r="EA1989" t="s">
        <v>13772</v>
      </c>
      <c r="EB1989" t="s">
        <v>13772</v>
      </c>
    </row>
    <row r="1990" spans="1:132" hidden="1">
      <c r="A1990">
        <v>2447</v>
      </c>
      <c r="B1990">
        <v>1</v>
      </c>
      <c r="C1990" t="s">
        <v>5745</v>
      </c>
      <c r="D1990" t="s">
        <v>73</v>
      </c>
      <c r="E1990" t="s">
        <v>5746</v>
      </c>
      <c r="F1990" t="s">
        <v>5747</v>
      </c>
      <c r="G1990" t="s">
        <v>73</v>
      </c>
      <c r="H1990">
        <v>50</v>
      </c>
      <c r="I1990">
        <v>344</v>
      </c>
      <c r="J1990">
        <v>38177</v>
      </c>
      <c r="K1990" t="s">
        <v>5748</v>
      </c>
      <c r="L1990">
        <f t="shared" ref="L1990:L2053" si="126">N1990</f>
        <v>118</v>
      </c>
      <c r="N1990">
        <v>118</v>
      </c>
      <c r="O1990">
        <v>1</v>
      </c>
      <c r="P1990">
        <v>8.0000000000000002E-3</v>
      </c>
      <c r="Q1990">
        <v>4</v>
      </c>
      <c r="R1990">
        <v>8</v>
      </c>
      <c r="S1990">
        <v>3</v>
      </c>
      <c r="T1990">
        <v>5</v>
      </c>
      <c r="U1990">
        <v>11</v>
      </c>
      <c r="V1990">
        <v>7</v>
      </c>
      <c r="W1990">
        <v>5</v>
      </c>
      <c r="X1990">
        <v>7</v>
      </c>
      <c r="Y1990">
        <v>13</v>
      </c>
      <c r="Z1990">
        <v>4</v>
      </c>
      <c r="AA1990">
        <v>14</v>
      </c>
      <c r="AB1990">
        <v>14</v>
      </c>
      <c r="AC1990">
        <v>7</v>
      </c>
      <c r="AD1990">
        <v>4</v>
      </c>
      <c r="AE1990">
        <v>3</v>
      </c>
      <c r="AF1990">
        <v>6</v>
      </c>
      <c r="AG1990">
        <v>3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 s="2">
        <v>0.10100000000000001</v>
      </c>
      <c r="BD1990" s="2">
        <v>0.36299999999999999</v>
      </c>
      <c r="BE1990" s="2">
        <v>0.224</v>
      </c>
      <c r="BF1990" s="2">
        <v>0.14299999999999999</v>
      </c>
      <c r="BG1990" s="2">
        <v>0.433</v>
      </c>
      <c r="BH1990" s="2">
        <v>0.19700000000000001</v>
      </c>
      <c r="BI1990" s="2">
        <v>0.14099999999999999</v>
      </c>
      <c r="BJ1990" s="2">
        <v>0.193</v>
      </c>
      <c r="BK1990" s="2">
        <v>0.48299999999999998</v>
      </c>
      <c r="BL1990" s="2">
        <v>0.104</v>
      </c>
      <c r="BM1990" s="2">
        <v>0.495</v>
      </c>
      <c r="BN1990" s="2">
        <v>1.4710000000000001</v>
      </c>
      <c r="BO1990" s="2">
        <v>0.188</v>
      </c>
      <c r="BP1990" s="2">
        <v>0.104</v>
      </c>
      <c r="BQ1990" s="2">
        <v>8.5999999999999993E-2</v>
      </c>
      <c r="BR1990" s="2">
        <v>0.16300000000000001</v>
      </c>
      <c r="BS1990" s="2">
        <v>7.6999999999999999E-2</v>
      </c>
      <c r="BT1990" s="2">
        <v>0</v>
      </c>
      <c r="BU1990" s="2">
        <v>0</v>
      </c>
      <c r="BV1990" s="2">
        <f t="shared" si="125"/>
        <v>4.9660000000000011</v>
      </c>
      <c r="BW1990" s="16">
        <f t="shared" ref="BW1990:BW2053" si="127">AVERAGE(BC1990:BU1990)</f>
        <v>0.26136842105263164</v>
      </c>
      <c r="BX1990" s="16">
        <f>COUNTIF($BC$6:BU1990, "=0") / COUNTIF($BC$6:BU1990, "&gt;-1")</f>
        <v>0.47750232003181758</v>
      </c>
      <c r="BY1990" s="18">
        <f>SUM($BC$6:BU1990) / $BY$4</f>
        <v>0.99645663555312614</v>
      </c>
      <c r="BZ1990" s="14">
        <f t="shared" ref="BZ1990:BZ2053" si="128">19-COUNTIF(BC1990:BU1990, "&gt;0")</f>
        <v>2</v>
      </c>
      <c r="CA1990" t="s">
        <v>5832</v>
      </c>
      <c r="CZ1990" t="s">
        <v>10253</v>
      </c>
      <c r="DA1990" t="s">
        <v>5904</v>
      </c>
      <c r="DB1990">
        <v>574.29999999999995</v>
      </c>
      <c r="DC1990" t="s">
        <v>26859</v>
      </c>
      <c r="DD1990" t="s">
        <v>26860</v>
      </c>
      <c r="DE1990" t="s">
        <v>26861</v>
      </c>
      <c r="DF1990" t="s">
        <v>26862</v>
      </c>
      <c r="DG1990" t="s">
        <v>26863</v>
      </c>
      <c r="DH1990" t="str">
        <f>"TUBA1B"</f>
        <v>TUBA1B</v>
      </c>
      <c r="DI1990" t="s">
        <v>13772</v>
      </c>
      <c r="DJ1990" t="s">
        <v>13777</v>
      </c>
      <c r="DK1990">
        <v>9606</v>
      </c>
      <c r="DL1990" s="34" t="str">
        <f>HYPERLINK("http://www.uniprot.org/uniprot/P68363", "P68363")</f>
        <v>P68363</v>
      </c>
      <c r="DM1990" t="s">
        <v>26864</v>
      </c>
      <c r="DN1990" t="s">
        <v>13772</v>
      </c>
      <c r="DO1990" t="s">
        <v>20183</v>
      </c>
      <c r="DP1990" t="s">
        <v>13841</v>
      </c>
      <c r="DQ1990" t="s">
        <v>13772</v>
      </c>
      <c r="DR1990" t="s">
        <v>13772</v>
      </c>
      <c r="DS1990" t="s">
        <v>13772</v>
      </c>
      <c r="DT1990" t="s">
        <v>14216</v>
      </c>
      <c r="DU1990" t="s">
        <v>13772</v>
      </c>
      <c r="DV1990" t="s">
        <v>23845</v>
      </c>
      <c r="DW1990" t="s">
        <v>13812</v>
      </c>
      <c r="DX1990" t="s">
        <v>26865</v>
      </c>
      <c r="DY1990" t="s">
        <v>26866</v>
      </c>
      <c r="DZ1990" t="s">
        <v>26867</v>
      </c>
      <c r="EA1990" t="s">
        <v>13772</v>
      </c>
      <c r="EB1990" t="s">
        <v>26868</v>
      </c>
    </row>
    <row r="1991" spans="1:132" hidden="1">
      <c r="A1991">
        <v>1182</v>
      </c>
      <c r="B1991">
        <v>1</v>
      </c>
      <c r="C1991" t="s">
        <v>2838</v>
      </c>
      <c r="D1991" t="s">
        <v>2839</v>
      </c>
      <c r="E1991" t="s">
        <v>73</v>
      </c>
      <c r="F1991" t="s">
        <v>2046</v>
      </c>
      <c r="G1991" t="s">
        <v>73</v>
      </c>
      <c r="H1991">
        <v>9.4</v>
      </c>
      <c r="I1991">
        <v>770</v>
      </c>
      <c r="J1991">
        <v>83261</v>
      </c>
      <c r="K1991" t="s">
        <v>2840</v>
      </c>
      <c r="L1991">
        <f t="shared" si="126"/>
        <v>11</v>
      </c>
      <c r="N1991">
        <v>11</v>
      </c>
      <c r="O1991">
        <v>2</v>
      </c>
      <c r="P1991">
        <v>0.182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5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0.5</v>
      </c>
      <c r="BI1991" s="2">
        <v>0.5</v>
      </c>
      <c r="BJ1991" s="2">
        <v>0</v>
      </c>
      <c r="BK1991" s="2">
        <v>0</v>
      </c>
      <c r="BL1991" s="2">
        <v>0</v>
      </c>
      <c r="BM1991" s="2">
        <v>3</v>
      </c>
      <c r="BN1991" s="2">
        <v>0</v>
      </c>
      <c r="BO1991" s="2">
        <v>0.5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f t="shared" ref="BV1991:BV2054" si="129">SUM(BC1991:BU1991)</f>
        <v>4.5</v>
      </c>
      <c r="BW1991" s="16">
        <f t="shared" si="127"/>
        <v>0.23684210526315788</v>
      </c>
      <c r="BX1991" s="16">
        <f>COUNTIF($BC$6:BU1991, "=0") / COUNTIF($BC$6:BU1991, "&gt;-1")</f>
        <v>0.47765940531086021</v>
      </c>
      <c r="BY1991" s="18">
        <f>SUM($BC$6:BU1991) / $BY$4</f>
        <v>0.99647591191903528</v>
      </c>
      <c r="BZ1991" s="14">
        <f t="shared" si="128"/>
        <v>15</v>
      </c>
      <c r="CA1991" t="s">
        <v>5832</v>
      </c>
      <c r="CZ1991" t="s">
        <v>9667</v>
      </c>
      <c r="DA1991" t="s">
        <v>5904</v>
      </c>
      <c r="DB1991">
        <v>1228.8</v>
      </c>
      <c r="DC1991" t="s">
        <v>25180</v>
      </c>
      <c r="DD1991" t="s">
        <v>25181</v>
      </c>
      <c r="DE1991" t="s">
        <v>25182</v>
      </c>
      <c r="DF1991" t="s">
        <v>25183</v>
      </c>
      <c r="DG1991" t="s">
        <v>25184</v>
      </c>
      <c r="DH1991" t="str">
        <f>"PFKP"</f>
        <v>PFKP</v>
      </c>
      <c r="DI1991" t="s">
        <v>25185</v>
      </c>
      <c r="DJ1991" t="s">
        <v>13777</v>
      </c>
      <c r="DK1991">
        <v>9606</v>
      </c>
      <c r="DL1991" s="34" t="str">
        <f>HYPERLINK("http://www.uniprot.org/uniprot/Q01813", "Q01813")</f>
        <v>Q01813</v>
      </c>
      <c r="DM1991" t="s">
        <v>25186</v>
      </c>
      <c r="DN1991" t="s">
        <v>15772</v>
      </c>
      <c r="DO1991" t="s">
        <v>13899</v>
      </c>
      <c r="DP1991" t="s">
        <v>13841</v>
      </c>
      <c r="DQ1991" t="s">
        <v>13772</v>
      </c>
      <c r="DR1991" t="s">
        <v>13772</v>
      </c>
      <c r="DS1991" t="s">
        <v>13772</v>
      </c>
      <c r="DT1991" t="s">
        <v>17602</v>
      </c>
      <c r="DU1991" t="s">
        <v>15774</v>
      </c>
      <c r="DV1991" t="s">
        <v>14182</v>
      </c>
      <c r="DW1991" t="s">
        <v>13812</v>
      </c>
      <c r="DX1991" t="s">
        <v>25187</v>
      </c>
      <c r="DY1991" t="s">
        <v>25188</v>
      </c>
      <c r="DZ1991" t="s">
        <v>25189</v>
      </c>
      <c r="EA1991" t="s">
        <v>22034</v>
      </c>
      <c r="EB1991" t="s">
        <v>17209</v>
      </c>
    </row>
    <row r="1992" spans="1:132" hidden="1">
      <c r="A1992">
        <v>1095</v>
      </c>
      <c r="B1992">
        <v>1</v>
      </c>
      <c r="C1992" t="s">
        <v>2633</v>
      </c>
      <c r="D1992" t="s">
        <v>2634</v>
      </c>
      <c r="E1992" t="s">
        <v>73</v>
      </c>
      <c r="F1992" t="s">
        <v>2635</v>
      </c>
      <c r="G1992" t="s">
        <v>73</v>
      </c>
      <c r="H1992">
        <v>20.399999999999999</v>
      </c>
      <c r="I1992">
        <v>181</v>
      </c>
      <c r="J1992">
        <v>20508</v>
      </c>
      <c r="K1992" t="s">
        <v>2636</v>
      </c>
      <c r="L1992">
        <f t="shared" si="126"/>
        <v>5</v>
      </c>
      <c r="N1992">
        <v>5</v>
      </c>
      <c r="O1992">
        <v>4</v>
      </c>
      <c r="P1992">
        <v>0.8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</v>
      </c>
      <c r="AS1992">
        <v>0</v>
      </c>
      <c r="AT1992">
        <v>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2</v>
      </c>
      <c r="BL1992" s="2">
        <v>0</v>
      </c>
      <c r="BM1992" s="2">
        <v>2.4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f t="shared" si="129"/>
        <v>4.4000000000000004</v>
      </c>
      <c r="BW1992" s="16">
        <f t="shared" si="127"/>
        <v>0.23157894736842108</v>
      </c>
      <c r="BX1992" s="16">
        <f>COUNTIF($BC$6:BU1992, "=0") / COUNTIF($BC$6:BU1992, "&gt;-1")</f>
        <v>0.4778693083993325</v>
      </c>
      <c r="BY1992" s="18">
        <f>SUM($BC$6:BU1992) / $BY$4</f>
        <v>0.99649475992125758</v>
      </c>
      <c r="BZ1992" s="14">
        <f t="shared" si="128"/>
        <v>17</v>
      </c>
      <c r="CA1992" t="s">
        <v>5832</v>
      </c>
      <c r="CZ1992" t="s">
        <v>9384</v>
      </c>
      <c r="DA1992" t="s">
        <v>5904</v>
      </c>
      <c r="DB1992">
        <v>374.8</v>
      </c>
      <c r="DC1992" t="s">
        <v>24388</v>
      </c>
      <c r="DD1992" t="s">
        <v>24389</v>
      </c>
      <c r="DE1992" t="s">
        <v>24390</v>
      </c>
      <c r="DF1992" t="s">
        <v>24391</v>
      </c>
      <c r="DG1992" t="s">
        <v>13772</v>
      </c>
      <c r="DH1992" t="str">
        <f>"NUDT4B"</f>
        <v>NUDT4B</v>
      </c>
      <c r="DI1992" t="s">
        <v>13772</v>
      </c>
      <c r="DJ1992" t="s">
        <v>13777</v>
      </c>
      <c r="DK1992">
        <v>9606</v>
      </c>
      <c r="DL1992" s="34" t="str">
        <f>HYPERLINK("http://www.uniprot.org/uniprot/A0A024RBG1", "A0A024RBG1")</f>
        <v>A0A024RBG1</v>
      </c>
      <c r="DM1992" t="s">
        <v>24392</v>
      </c>
      <c r="DN1992" t="s">
        <v>13772</v>
      </c>
      <c r="DO1992" t="s">
        <v>13899</v>
      </c>
      <c r="DP1992" t="s">
        <v>13772</v>
      </c>
      <c r="DQ1992" t="s">
        <v>13772</v>
      </c>
      <c r="DR1992" t="s">
        <v>13772</v>
      </c>
      <c r="DS1992" t="s">
        <v>13772</v>
      </c>
      <c r="DT1992" t="s">
        <v>14784</v>
      </c>
      <c r="DU1992" t="s">
        <v>24393</v>
      </c>
      <c r="DV1992" t="s">
        <v>13772</v>
      </c>
      <c r="DW1992" t="s">
        <v>13772</v>
      </c>
      <c r="DX1992" t="s">
        <v>13772</v>
      </c>
      <c r="DY1992" t="s">
        <v>13902</v>
      </c>
      <c r="DZ1992" t="s">
        <v>24394</v>
      </c>
      <c r="EA1992" t="s">
        <v>13772</v>
      </c>
      <c r="EB1992" t="s">
        <v>13772</v>
      </c>
    </row>
    <row r="1993" spans="1:132" hidden="1">
      <c r="A1993">
        <v>188</v>
      </c>
      <c r="B1993">
        <v>1</v>
      </c>
      <c r="C1993" t="s">
        <v>473</v>
      </c>
      <c r="D1993" t="s">
        <v>73</v>
      </c>
      <c r="E1993" t="s">
        <v>73</v>
      </c>
      <c r="F1993" t="s">
        <v>474</v>
      </c>
      <c r="G1993" t="s">
        <v>73</v>
      </c>
      <c r="H1993">
        <v>27.1</v>
      </c>
      <c r="I1993">
        <v>207</v>
      </c>
      <c r="J1993">
        <v>23646</v>
      </c>
      <c r="K1993" t="s">
        <v>475</v>
      </c>
      <c r="L1993">
        <f t="shared" si="126"/>
        <v>21</v>
      </c>
      <c r="N1993">
        <v>21</v>
      </c>
      <c r="O1993">
        <v>2</v>
      </c>
      <c r="P1993">
        <v>9.5000000000000001E-2</v>
      </c>
      <c r="Q1993">
        <v>1</v>
      </c>
      <c r="R1993">
        <v>4</v>
      </c>
      <c r="S1993">
        <v>1</v>
      </c>
      <c r="T1993">
        <v>2</v>
      </c>
      <c r="U1993">
        <v>3</v>
      </c>
      <c r="V1993">
        <v>2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3</v>
      </c>
      <c r="AC1993">
        <v>1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s="2">
        <v>0</v>
      </c>
      <c r="BD1993" s="2">
        <v>2.476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1.7</v>
      </c>
      <c r="BO1993" s="2">
        <v>0</v>
      </c>
      <c r="BP1993" s="2">
        <v>0</v>
      </c>
      <c r="BQ1993" s="2">
        <v>0.16700000000000001</v>
      </c>
      <c r="BR1993" s="2">
        <v>0</v>
      </c>
      <c r="BS1993" s="2">
        <v>0</v>
      </c>
      <c r="BT1993" s="2">
        <v>0</v>
      </c>
      <c r="BU1993" s="2">
        <v>0</v>
      </c>
      <c r="BV1993" s="2">
        <f t="shared" si="129"/>
        <v>4.343</v>
      </c>
      <c r="BW1993" s="16">
        <f t="shared" si="127"/>
        <v>0.22857894736842105</v>
      </c>
      <c r="BX1993" s="16">
        <f>COUNTIF($BC$6:BU1993, "=0") / COUNTIF($BC$6:BU1993, "&gt;-1")</f>
        <v>0.47805252568039819</v>
      </c>
      <c r="BY1993" s="18">
        <f>SUM($BC$6:BU1993) / $BY$4</f>
        <v>0.99651336375617827</v>
      </c>
      <c r="BZ1993" s="14">
        <f t="shared" si="128"/>
        <v>16</v>
      </c>
      <c r="CA1993" t="s">
        <v>5832</v>
      </c>
      <c r="CZ1993" t="s">
        <v>6345</v>
      </c>
      <c r="DA1993" t="s">
        <v>5904</v>
      </c>
      <c r="DB1993">
        <v>418.7</v>
      </c>
      <c r="DC1993" t="s">
        <v>15328</v>
      </c>
      <c r="DD1993" t="s">
        <v>13772</v>
      </c>
      <c r="DE1993" t="s">
        <v>15329</v>
      </c>
      <c r="DF1993" t="s">
        <v>15330</v>
      </c>
      <c r="DG1993" t="s">
        <v>15331</v>
      </c>
      <c r="DH1993" t="str">
        <f>"RAB8B"</f>
        <v>RAB8B</v>
      </c>
      <c r="DI1993" t="s">
        <v>13772</v>
      </c>
      <c r="DJ1993" t="s">
        <v>13777</v>
      </c>
      <c r="DK1993">
        <v>9606</v>
      </c>
      <c r="DL1993" s="34" t="str">
        <f>HYPERLINK("http://www.uniprot.org/uniprot/Q92930", "Q92930")</f>
        <v>Q92930</v>
      </c>
      <c r="DM1993" t="s">
        <v>15332</v>
      </c>
      <c r="DN1993" t="s">
        <v>14347</v>
      </c>
      <c r="DO1993" t="s">
        <v>13976</v>
      </c>
      <c r="DP1993" t="s">
        <v>13772</v>
      </c>
      <c r="DQ1993" t="s">
        <v>13772</v>
      </c>
      <c r="DR1993" t="s">
        <v>13772</v>
      </c>
      <c r="DS1993" t="s">
        <v>13772</v>
      </c>
      <c r="DT1993" t="s">
        <v>14216</v>
      </c>
      <c r="DU1993" t="s">
        <v>13772</v>
      </c>
      <c r="DV1993" t="s">
        <v>15333</v>
      </c>
      <c r="DW1993" t="s">
        <v>13772</v>
      </c>
      <c r="DX1993" t="s">
        <v>15334</v>
      </c>
      <c r="DY1993" t="s">
        <v>15335</v>
      </c>
      <c r="DZ1993" t="s">
        <v>15336</v>
      </c>
      <c r="EA1993" t="s">
        <v>13772</v>
      </c>
      <c r="EB1993" t="s">
        <v>15337</v>
      </c>
    </row>
    <row r="1994" spans="1:132" hidden="1">
      <c r="A1994">
        <v>2385</v>
      </c>
      <c r="B1994">
        <v>1</v>
      </c>
      <c r="C1994" t="s">
        <v>5556</v>
      </c>
      <c r="D1994" t="s">
        <v>5557</v>
      </c>
      <c r="E1994" t="s">
        <v>73</v>
      </c>
      <c r="F1994" t="s">
        <v>331</v>
      </c>
      <c r="G1994" t="s">
        <v>73</v>
      </c>
      <c r="H1994">
        <v>14.4</v>
      </c>
      <c r="I1994">
        <v>264</v>
      </c>
      <c r="J1994">
        <v>30360</v>
      </c>
      <c r="K1994" t="s">
        <v>5558</v>
      </c>
      <c r="L1994">
        <f t="shared" si="126"/>
        <v>6</v>
      </c>
      <c r="N1994">
        <v>6</v>
      </c>
      <c r="O1994">
        <v>4</v>
      </c>
      <c r="P1994">
        <v>0.66700000000000004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</v>
      </c>
      <c r="AB1994">
        <v>0</v>
      </c>
      <c r="AC1994">
        <v>1</v>
      </c>
      <c r="AD1994">
        <v>0</v>
      </c>
      <c r="AE1994">
        <v>0</v>
      </c>
      <c r="AF1994">
        <v>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3</v>
      </c>
      <c r="BN1994" s="2">
        <v>0</v>
      </c>
      <c r="BO1994" s="2">
        <v>0</v>
      </c>
      <c r="BP1994" s="2">
        <v>0</v>
      </c>
      <c r="BQ1994" s="2">
        <v>0</v>
      </c>
      <c r="BR1994" s="2">
        <v>1.125</v>
      </c>
      <c r="BS1994" s="2">
        <v>0</v>
      </c>
      <c r="BT1994" s="2">
        <v>0</v>
      </c>
      <c r="BU1994" s="2">
        <v>0</v>
      </c>
      <c r="BV1994" s="2">
        <f t="shared" si="129"/>
        <v>4.125</v>
      </c>
      <c r="BW1994" s="16">
        <f t="shared" si="127"/>
        <v>0.21710526315789475</v>
      </c>
      <c r="BX1994" s="16">
        <f>COUNTIF($BC$6:BU1994, "=0") / COUNTIF($BC$6:BU1994, "&gt;-1")</f>
        <v>0.4782620200576857</v>
      </c>
      <c r="BY1994" s="18">
        <f>SUM($BC$6:BU1994) / $BY$4</f>
        <v>0.99653103375826169</v>
      </c>
      <c r="BZ1994" s="14">
        <f t="shared" si="128"/>
        <v>17</v>
      </c>
      <c r="CA1994" t="s">
        <v>5832</v>
      </c>
      <c r="CZ1994" t="s">
        <v>13670</v>
      </c>
      <c r="DA1994" t="s">
        <v>5904</v>
      </c>
      <c r="DB1994">
        <v>300.10000000000002</v>
      </c>
      <c r="DC1994" t="s">
        <v>36437</v>
      </c>
      <c r="DD1994" t="s">
        <v>36438</v>
      </c>
      <c r="DE1994" t="s">
        <v>36439</v>
      </c>
      <c r="DF1994" t="s">
        <v>36440</v>
      </c>
      <c r="DG1994" t="s">
        <v>36441</v>
      </c>
      <c r="DH1994" t="str">
        <f>"ANP32E"</f>
        <v>ANP32E</v>
      </c>
      <c r="DI1994" t="s">
        <v>13772</v>
      </c>
      <c r="DJ1994" t="s">
        <v>13777</v>
      </c>
      <c r="DK1994">
        <v>9606</v>
      </c>
      <c r="DL1994" s="34" t="str">
        <f>HYPERLINK("http://www.uniprot.org/uniprot/Q9BTT0", "Q9BTT0")</f>
        <v>Q9BTT0</v>
      </c>
      <c r="DM1994" t="s">
        <v>36442</v>
      </c>
      <c r="DN1994" t="s">
        <v>13772</v>
      </c>
      <c r="DO1994" t="s">
        <v>13912</v>
      </c>
      <c r="DP1994" t="s">
        <v>13841</v>
      </c>
      <c r="DQ1994" t="s">
        <v>13772</v>
      </c>
      <c r="DR1994" t="s">
        <v>13772</v>
      </c>
      <c r="DS1994" t="s">
        <v>14614</v>
      </c>
      <c r="DT1994" t="s">
        <v>13772</v>
      </c>
      <c r="DU1994" t="s">
        <v>36443</v>
      </c>
      <c r="DV1994" t="s">
        <v>13991</v>
      </c>
      <c r="DW1994" t="s">
        <v>13812</v>
      </c>
      <c r="DX1994" t="s">
        <v>36444</v>
      </c>
      <c r="DY1994" t="s">
        <v>36445</v>
      </c>
      <c r="DZ1994" t="s">
        <v>36446</v>
      </c>
      <c r="EA1994" t="s">
        <v>13772</v>
      </c>
      <c r="EB1994" t="s">
        <v>13772</v>
      </c>
    </row>
    <row r="1995" spans="1:132" hidden="1">
      <c r="A1995">
        <v>84</v>
      </c>
      <c r="B1995">
        <v>1</v>
      </c>
      <c r="C1995" t="s">
        <v>231</v>
      </c>
      <c r="D1995" t="s">
        <v>232</v>
      </c>
      <c r="E1995" t="s">
        <v>73</v>
      </c>
      <c r="F1995" t="s">
        <v>73</v>
      </c>
      <c r="G1995" t="s">
        <v>73</v>
      </c>
      <c r="H1995">
        <v>6.9</v>
      </c>
      <c r="I1995">
        <v>554</v>
      </c>
      <c r="J1995">
        <v>63009</v>
      </c>
      <c r="K1995" t="s">
        <v>233</v>
      </c>
      <c r="L1995">
        <f t="shared" si="126"/>
        <v>4</v>
      </c>
      <c r="N1995">
        <v>4</v>
      </c>
      <c r="O1995">
        <v>4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2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</v>
      </c>
      <c r="AS1995">
        <v>0</v>
      </c>
      <c r="AT1995">
        <v>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2</v>
      </c>
      <c r="BL1995" s="2">
        <v>0</v>
      </c>
      <c r="BM1995" s="2">
        <v>2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f t="shared" si="129"/>
        <v>4</v>
      </c>
      <c r="BW1995" s="16">
        <f t="shared" si="127"/>
        <v>0.21052631578947367</v>
      </c>
      <c r="BX1995" s="16">
        <f>COUNTIF($BC$6:BU1995, "=0") / COUNTIF($BC$6:BU1995, "&gt;-1")</f>
        <v>0.47847130388786036</v>
      </c>
      <c r="BY1995" s="18">
        <f>SUM($BC$6:BU1995) / $BY$4</f>
        <v>0.99654816830573656</v>
      </c>
      <c r="BZ1995" s="14">
        <f t="shared" si="128"/>
        <v>17</v>
      </c>
      <c r="CA1995" t="s">
        <v>5832</v>
      </c>
      <c r="CZ1995" t="s">
        <v>5996</v>
      </c>
      <c r="DA1995" t="s">
        <v>5904</v>
      </c>
      <c r="DB1995">
        <v>1027.3</v>
      </c>
      <c r="DC1995" t="s">
        <v>14139</v>
      </c>
      <c r="DD1995" t="s">
        <v>14140</v>
      </c>
      <c r="DE1995" t="s">
        <v>14141</v>
      </c>
      <c r="DF1995" t="s">
        <v>14142</v>
      </c>
      <c r="DG1995" t="s">
        <v>14143</v>
      </c>
      <c r="DH1995" t="str">
        <f>"PSMD3"</f>
        <v>PSMD3</v>
      </c>
      <c r="DI1995" t="s">
        <v>13772</v>
      </c>
      <c r="DJ1995" t="s">
        <v>13777</v>
      </c>
      <c r="DK1995">
        <v>9606</v>
      </c>
      <c r="DL1995" s="34" t="str">
        <f>HYPERLINK("http://www.uniprot.org/uniprot/O43242", "O43242")</f>
        <v>O43242</v>
      </c>
      <c r="DM1995" t="s">
        <v>14144</v>
      </c>
      <c r="DN1995" t="s">
        <v>13772</v>
      </c>
      <c r="DO1995" t="s">
        <v>14145</v>
      </c>
      <c r="DP1995" t="s">
        <v>13841</v>
      </c>
      <c r="DQ1995" t="s">
        <v>13772</v>
      </c>
      <c r="DR1995" t="s">
        <v>13772</v>
      </c>
      <c r="DS1995" t="s">
        <v>13772</v>
      </c>
      <c r="DT1995" t="s">
        <v>13772</v>
      </c>
      <c r="DU1995" t="s">
        <v>13772</v>
      </c>
      <c r="DV1995" t="s">
        <v>13938</v>
      </c>
      <c r="DW1995" t="s">
        <v>13812</v>
      </c>
      <c r="DX1995" t="s">
        <v>14146</v>
      </c>
      <c r="DY1995" t="s">
        <v>14147</v>
      </c>
      <c r="DZ1995" t="s">
        <v>14148</v>
      </c>
      <c r="EA1995" t="s">
        <v>13772</v>
      </c>
      <c r="EB1995" t="s">
        <v>14149</v>
      </c>
    </row>
    <row r="1996" spans="1:132" hidden="1">
      <c r="A1996">
        <v>98</v>
      </c>
      <c r="B1996">
        <v>1</v>
      </c>
      <c r="C1996" t="s">
        <v>266</v>
      </c>
      <c r="D1996" t="s">
        <v>73</v>
      </c>
      <c r="E1996" t="s">
        <v>73</v>
      </c>
      <c r="F1996" t="s">
        <v>73</v>
      </c>
      <c r="G1996" t="s">
        <v>73</v>
      </c>
      <c r="H1996">
        <v>36</v>
      </c>
      <c r="I1996">
        <v>136</v>
      </c>
      <c r="J1996">
        <v>15798</v>
      </c>
      <c r="K1996" t="s">
        <v>267</v>
      </c>
      <c r="L1996">
        <f t="shared" si="126"/>
        <v>4</v>
      </c>
      <c r="N1996">
        <v>4</v>
      </c>
      <c r="O1996">
        <v>4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2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2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1</v>
      </c>
      <c r="BN1996" s="2">
        <v>2</v>
      </c>
      <c r="BO1996" s="2">
        <v>1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f t="shared" si="129"/>
        <v>4</v>
      </c>
      <c r="BW1996" s="16">
        <f t="shared" si="127"/>
        <v>0.21052631578947367</v>
      </c>
      <c r="BX1996" s="16">
        <f>COUNTIF($BC$6:BU1996, "=0") / COUNTIF($BC$6:BU1996, "&gt;-1")</f>
        <v>0.47865394274234052</v>
      </c>
      <c r="BY1996" s="18">
        <f>SUM($BC$6:BU1996) / $BY$4</f>
        <v>0.99656530285321132</v>
      </c>
      <c r="BZ1996" s="14">
        <f t="shared" si="128"/>
        <v>16</v>
      </c>
      <c r="CA1996" t="s">
        <v>5832</v>
      </c>
      <c r="CZ1996" t="s">
        <v>6029</v>
      </c>
      <c r="DA1996" t="s">
        <v>5904</v>
      </c>
      <c r="DB1996">
        <v>273.5</v>
      </c>
      <c r="DC1996" t="s">
        <v>14259</v>
      </c>
      <c r="DD1996" t="s">
        <v>14260</v>
      </c>
      <c r="DE1996" t="s">
        <v>14261</v>
      </c>
      <c r="DF1996" t="s">
        <v>14262</v>
      </c>
      <c r="DG1996" t="s">
        <v>14263</v>
      </c>
      <c r="DH1996" t="str">
        <f>"RPL27"</f>
        <v>RPL27</v>
      </c>
      <c r="DI1996" t="s">
        <v>13772</v>
      </c>
      <c r="DJ1996" t="s">
        <v>13777</v>
      </c>
      <c r="DK1996">
        <v>9606</v>
      </c>
      <c r="DL1996" s="34" t="str">
        <f>HYPERLINK("http://www.uniprot.org/uniprot/P61353", "P61353")</f>
        <v>P61353</v>
      </c>
      <c r="DM1996" t="s">
        <v>14264</v>
      </c>
      <c r="DN1996" t="s">
        <v>13772</v>
      </c>
      <c r="DO1996" t="s">
        <v>14265</v>
      </c>
      <c r="DP1996" t="s">
        <v>13772</v>
      </c>
      <c r="DQ1996" t="s">
        <v>13772</v>
      </c>
      <c r="DR1996" t="s">
        <v>13936</v>
      </c>
      <c r="DS1996" t="s">
        <v>13772</v>
      </c>
      <c r="DT1996" t="s">
        <v>13772</v>
      </c>
      <c r="DU1996" t="s">
        <v>13937</v>
      </c>
      <c r="DV1996" t="s">
        <v>14020</v>
      </c>
      <c r="DW1996" t="s">
        <v>13812</v>
      </c>
      <c r="DX1996" t="s">
        <v>14266</v>
      </c>
      <c r="DY1996" t="s">
        <v>14267</v>
      </c>
      <c r="DZ1996" t="s">
        <v>14268</v>
      </c>
      <c r="EA1996" t="s">
        <v>13772</v>
      </c>
      <c r="EB1996" t="s">
        <v>13942</v>
      </c>
    </row>
    <row r="1997" spans="1:132" hidden="1">
      <c r="A1997">
        <v>144</v>
      </c>
      <c r="B1997">
        <v>1</v>
      </c>
      <c r="C1997" t="s">
        <v>375</v>
      </c>
      <c r="D1997" t="s">
        <v>376</v>
      </c>
      <c r="E1997" t="s">
        <v>73</v>
      </c>
      <c r="F1997" t="s">
        <v>73</v>
      </c>
      <c r="G1997" t="s">
        <v>73</v>
      </c>
      <c r="H1997">
        <v>2.2000000000000002</v>
      </c>
      <c r="I1997">
        <v>1341</v>
      </c>
      <c r="J1997">
        <v>151616</v>
      </c>
      <c r="K1997" t="s">
        <v>377</v>
      </c>
      <c r="L1997">
        <f t="shared" si="126"/>
        <v>4</v>
      </c>
      <c r="N1997">
        <v>4</v>
      </c>
      <c r="O1997">
        <v>4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2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2</v>
      </c>
      <c r="AY1997">
        <v>1</v>
      </c>
      <c r="AZ1997">
        <v>0</v>
      </c>
      <c r="BA1997">
        <v>0</v>
      </c>
      <c r="BB1997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1</v>
      </c>
      <c r="BN1997" s="2">
        <v>0</v>
      </c>
      <c r="BO1997" s="2">
        <v>0</v>
      </c>
      <c r="BP1997" s="2">
        <v>0</v>
      </c>
      <c r="BQ1997" s="2">
        <v>2</v>
      </c>
      <c r="BR1997" s="2">
        <v>1</v>
      </c>
      <c r="BS1997" s="2">
        <v>0</v>
      </c>
      <c r="BT1997" s="2">
        <v>0</v>
      </c>
      <c r="BU1997" s="2">
        <v>0</v>
      </c>
      <c r="BV1997" s="2">
        <f t="shared" si="129"/>
        <v>4</v>
      </c>
      <c r="BW1997" s="16">
        <f t="shared" si="127"/>
        <v>0.21052631578947367</v>
      </c>
      <c r="BX1997" s="16">
        <f>COUNTIF($BC$6:BU1997, "=0") / COUNTIF($BC$6:BU1997, "&gt;-1")</f>
        <v>0.47883639822447688</v>
      </c>
      <c r="BY1997" s="18">
        <f>SUM($BC$6:BU1997) / $BY$4</f>
        <v>0.99658243740068608</v>
      </c>
      <c r="BZ1997" s="14">
        <f t="shared" si="128"/>
        <v>16</v>
      </c>
      <c r="CA1997" t="s">
        <v>5832</v>
      </c>
      <c r="CZ1997" t="s">
        <v>6196</v>
      </c>
      <c r="DA1997" t="s">
        <v>5904</v>
      </c>
      <c r="DB1997">
        <v>1854.3</v>
      </c>
      <c r="DC1997" t="s">
        <v>14818</v>
      </c>
      <c r="DD1997" t="s">
        <v>13772</v>
      </c>
      <c r="DE1997" t="s">
        <v>14819</v>
      </c>
      <c r="DF1997" t="s">
        <v>14820</v>
      </c>
      <c r="DG1997" t="s">
        <v>14821</v>
      </c>
      <c r="DH1997" t="str">
        <f>"ACIN1"</f>
        <v>ACIN1</v>
      </c>
      <c r="DI1997" t="s">
        <v>14822</v>
      </c>
      <c r="DJ1997" t="s">
        <v>13777</v>
      </c>
      <c r="DK1997">
        <v>9606</v>
      </c>
      <c r="DL1997" s="34" t="str">
        <f>HYPERLINK("http://www.uniprot.org/uniprot/Q9UKV3", "Q9UKV3")</f>
        <v>Q9UKV3</v>
      </c>
      <c r="DM1997" t="s">
        <v>14823</v>
      </c>
      <c r="DN1997" t="s">
        <v>14824</v>
      </c>
      <c r="DO1997" t="s">
        <v>14825</v>
      </c>
      <c r="DP1997" t="s">
        <v>13780</v>
      </c>
      <c r="DQ1997" t="s">
        <v>13772</v>
      </c>
      <c r="DR1997" t="s">
        <v>13772</v>
      </c>
      <c r="DS1997" t="s">
        <v>13772</v>
      </c>
      <c r="DT1997" t="s">
        <v>13772</v>
      </c>
      <c r="DU1997" t="s">
        <v>14826</v>
      </c>
      <c r="DV1997" t="s">
        <v>14663</v>
      </c>
      <c r="DW1997" t="s">
        <v>13812</v>
      </c>
      <c r="DX1997" t="s">
        <v>14827</v>
      </c>
      <c r="DY1997" t="s">
        <v>14828</v>
      </c>
      <c r="DZ1997" t="s">
        <v>14829</v>
      </c>
      <c r="EA1997" t="s">
        <v>13772</v>
      </c>
      <c r="EB1997" t="s">
        <v>14830</v>
      </c>
    </row>
    <row r="1998" spans="1:132" hidden="1">
      <c r="A1998">
        <v>150</v>
      </c>
      <c r="B1998">
        <v>1</v>
      </c>
      <c r="C1998" t="s">
        <v>380</v>
      </c>
      <c r="D1998" t="s">
        <v>381</v>
      </c>
      <c r="E1998" t="s">
        <v>73</v>
      </c>
      <c r="F1998" t="s">
        <v>73</v>
      </c>
      <c r="G1998" t="s">
        <v>73</v>
      </c>
      <c r="H1998">
        <v>10.5</v>
      </c>
      <c r="I1998">
        <v>418</v>
      </c>
      <c r="J1998">
        <v>44802</v>
      </c>
      <c r="K1998" t="s">
        <v>382</v>
      </c>
      <c r="L1998">
        <f t="shared" si="126"/>
        <v>4</v>
      </c>
      <c r="N1998">
        <v>4</v>
      </c>
      <c r="O1998">
        <v>4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</v>
      </c>
      <c r="AB1998">
        <v>1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</v>
      </c>
      <c r="AU1998">
        <v>1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2</v>
      </c>
      <c r="BN1998" s="2">
        <v>1</v>
      </c>
      <c r="BO1998" s="2">
        <v>0</v>
      </c>
      <c r="BP1998" s="2">
        <v>0</v>
      </c>
      <c r="BQ1998" s="2">
        <v>0</v>
      </c>
      <c r="BR1998" s="2">
        <v>1</v>
      </c>
      <c r="BS1998" s="2">
        <v>0</v>
      </c>
      <c r="BT1998" s="2">
        <v>0</v>
      </c>
      <c r="BU1998" s="2">
        <v>0</v>
      </c>
      <c r="BV1998" s="2">
        <f t="shared" si="129"/>
        <v>4</v>
      </c>
      <c r="BW1998" s="16">
        <f t="shared" si="127"/>
        <v>0.21052631578947367</v>
      </c>
      <c r="BX1998" s="16">
        <f>COUNTIF($BC$6:BU1998, "=0") / COUNTIF($BC$6:BU1998, "&gt;-1")</f>
        <v>0.47901867061029391</v>
      </c>
      <c r="BY1998" s="18">
        <f>SUM($BC$6:BU1998) / $BY$4</f>
        <v>0.99659957194816096</v>
      </c>
      <c r="BZ1998" s="14">
        <f t="shared" si="128"/>
        <v>16</v>
      </c>
      <c r="CA1998" t="s">
        <v>5832</v>
      </c>
      <c r="CZ1998" t="s">
        <v>6211</v>
      </c>
      <c r="DA1998" t="s">
        <v>5904</v>
      </c>
      <c r="DB1998">
        <v>703</v>
      </c>
      <c r="DC1998" t="s">
        <v>14863</v>
      </c>
      <c r="DD1998" t="s">
        <v>14864</v>
      </c>
      <c r="DE1998" t="s">
        <v>14865</v>
      </c>
      <c r="DF1998" t="s">
        <v>14866</v>
      </c>
      <c r="DG1998" t="s">
        <v>14867</v>
      </c>
      <c r="DH1998" t="str">
        <f>"EVL"</f>
        <v>EVL</v>
      </c>
      <c r="DI1998" t="s">
        <v>14868</v>
      </c>
      <c r="DJ1998" t="s">
        <v>13777</v>
      </c>
      <c r="DK1998">
        <v>9606</v>
      </c>
      <c r="DL1998" s="34" t="str">
        <f>HYPERLINK("http://www.uniprot.org/uniprot/Q9UI08", "Q9UI08")</f>
        <v>Q9UI08</v>
      </c>
      <c r="DM1998" t="s">
        <v>14869</v>
      </c>
      <c r="DN1998" t="s">
        <v>13772</v>
      </c>
      <c r="DO1998" t="s">
        <v>14870</v>
      </c>
      <c r="DP1998" t="s">
        <v>13780</v>
      </c>
      <c r="DQ1998" t="s">
        <v>13772</v>
      </c>
      <c r="DR1998" t="s">
        <v>13772</v>
      </c>
      <c r="DS1998" t="s">
        <v>14871</v>
      </c>
      <c r="DT1998" t="s">
        <v>13772</v>
      </c>
      <c r="DU1998" t="s">
        <v>13990</v>
      </c>
      <c r="DV1998" t="s">
        <v>13782</v>
      </c>
      <c r="DW1998" t="s">
        <v>13772</v>
      </c>
      <c r="DX1998" t="s">
        <v>14872</v>
      </c>
      <c r="DY1998" t="s">
        <v>14873</v>
      </c>
      <c r="DZ1998" t="s">
        <v>14874</v>
      </c>
      <c r="EA1998" t="s">
        <v>13772</v>
      </c>
      <c r="EB1998" t="s">
        <v>14875</v>
      </c>
    </row>
    <row r="1999" spans="1:132" hidden="1">
      <c r="A1999">
        <v>154</v>
      </c>
      <c r="B1999">
        <v>1</v>
      </c>
      <c r="C1999" t="s">
        <v>391</v>
      </c>
      <c r="D1999" t="s">
        <v>73</v>
      </c>
      <c r="E1999" t="s">
        <v>73</v>
      </c>
      <c r="F1999" t="s">
        <v>73</v>
      </c>
      <c r="G1999" t="s">
        <v>73</v>
      </c>
      <c r="H1999">
        <v>29.8</v>
      </c>
      <c r="I1999">
        <v>121</v>
      </c>
      <c r="J1999">
        <v>13651</v>
      </c>
      <c r="K1999" t="s">
        <v>392</v>
      </c>
      <c r="L1999">
        <f t="shared" si="126"/>
        <v>4</v>
      </c>
      <c r="N1999">
        <v>4</v>
      </c>
      <c r="O1999">
        <v>4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3</v>
      </c>
      <c r="BN1999" s="2">
        <v>0</v>
      </c>
      <c r="BO1999" s="2">
        <v>1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f t="shared" si="129"/>
        <v>4</v>
      </c>
      <c r="BW1999" s="16">
        <f t="shared" si="127"/>
        <v>0.21052631578947367</v>
      </c>
      <c r="BX1999" s="16">
        <f>COUNTIF($BC$6:BU1999, "=0") / COUNTIF($BC$6:BU1999, "&gt;-1")</f>
        <v>0.47922715514965952</v>
      </c>
      <c r="BY1999" s="18">
        <f>SUM($BC$6:BU1999) / $BY$4</f>
        <v>0.99661670649563572</v>
      </c>
      <c r="BZ1999" s="14">
        <f t="shared" si="128"/>
        <v>17</v>
      </c>
      <c r="CA1999" t="s">
        <v>5832</v>
      </c>
      <c r="CZ1999" t="s">
        <v>6224</v>
      </c>
      <c r="DA1999" t="s">
        <v>5904</v>
      </c>
      <c r="DB1999">
        <v>238</v>
      </c>
      <c r="DC1999" t="s">
        <v>14916</v>
      </c>
      <c r="DD1999" t="s">
        <v>14917</v>
      </c>
      <c r="DE1999" t="s">
        <v>14918</v>
      </c>
      <c r="DF1999" t="s">
        <v>14919</v>
      </c>
      <c r="DG1999" t="s">
        <v>14920</v>
      </c>
      <c r="DH1999" t="str">
        <f>"HYPK"</f>
        <v>HYPK</v>
      </c>
      <c r="DI1999" t="s">
        <v>14921</v>
      </c>
      <c r="DJ1999" t="s">
        <v>13777</v>
      </c>
      <c r="DK1999">
        <v>9606</v>
      </c>
      <c r="DL1999" s="34" t="str">
        <f>HYPERLINK("http://www.uniprot.org/uniprot/Q9NX55", "Q9NX55")</f>
        <v>Q9NX55</v>
      </c>
      <c r="DM1999" t="s">
        <v>14922</v>
      </c>
      <c r="DN1999" t="s">
        <v>13772</v>
      </c>
      <c r="DO1999" t="s">
        <v>13912</v>
      </c>
      <c r="DP1999" t="s">
        <v>13780</v>
      </c>
      <c r="DQ1999" t="s">
        <v>13772</v>
      </c>
      <c r="DR1999" t="s">
        <v>13772</v>
      </c>
      <c r="DS1999" t="s">
        <v>14245</v>
      </c>
      <c r="DT1999" t="s">
        <v>13772</v>
      </c>
      <c r="DU1999" t="s">
        <v>13772</v>
      </c>
      <c r="DV1999" t="s">
        <v>13782</v>
      </c>
      <c r="DW1999" t="s">
        <v>13812</v>
      </c>
      <c r="DX1999" t="s">
        <v>14923</v>
      </c>
      <c r="DY1999" t="s">
        <v>14924</v>
      </c>
      <c r="DZ1999" t="s">
        <v>14925</v>
      </c>
      <c r="EA1999" t="s">
        <v>13772</v>
      </c>
      <c r="EB1999" t="s">
        <v>13772</v>
      </c>
    </row>
    <row r="2000" spans="1:132" hidden="1">
      <c r="A2000">
        <v>164</v>
      </c>
      <c r="B2000">
        <v>1</v>
      </c>
      <c r="C2000" t="s">
        <v>417</v>
      </c>
      <c r="D2000" t="s">
        <v>73</v>
      </c>
      <c r="E2000" t="s">
        <v>73</v>
      </c>
      <c r="F2000" t="s">
        <v>73</v>
      </c>
      <c r="G2000" t="s">
        <v>73</v>
      </c>
      <c r="H2000">
        <v>4.5999999999999996</v>
      </c>
      <c r="I2000">
        <v>520</v>
      </c>
      <c r="J2000">
        <v>58766</v>
      </c>
      <c r="K2000" t="s">
        <v>418</v>
      </c>
      <c r="L2000">
        <f t="shared" si="126"/>
        <v>4</v>
      </c>
      <c r="N2000">
        <v>4</v>
      </c>
      <c r="O2000">
        <v>4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2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0</v>
      </c>
      <c r="BT2000" s="2">
        <v>0</v>
      </c>
      <c r="BU2000" s="2">
        <v>0</v>
      </c>
      <c r="BV2000" s="2">
        <f t="shared" si="129"/>
        <v>4</v>
      </c>
      <c r="BW2000" s="16">
        <f t="shared" si="127"/>
        <v>0.21052631578947367</v>
      </c>
      <c r="BX2000" s="16">
        <f>COUNTIF($BC$6:BU2000, "=0") / COUNTIF($BC$6:BU2000, "&gt;-1")</f>
        <v>0.4794090489381348</v>
      </c>
      <c r="BY2000" s="18">
        <f>SUM($BC$6:BU2000) / $BY$4</f>
        <v>0.99663384104311048</v>
      </c>
      <c r="BZ2000" s="14">
        <f t="shared" si="128"/>
        <v>16</v>
      </c>
      <c r="CA2000" t="s">
        <v>5832</v>
      </c>
      <c r="CZ2000" t="s">
        <v>6261</v>
      </c>
      <c r="DA2000" t="s">
        <v>5904</v>
      </c>
      <c r="DB2000">
        <v>1028.0999999999999</v>
      </c>
      <c r="DC2000" t="s">
        <v>15033</v>
      </c>
      <c r="DD2000" t="s">
        <v>13772</v>
      </c>
      <c r="DE2000" t="s">
        <v>15034</v>
      </c>
      <c r="DF2000" t="s">
        <v>15035</v>
      </c>
      <c r="DG2000" t="s">
        <v>15036</v>
      </c>
      <c r="DH2000" t="str">
        <f>"SNX1"</f>
        <v>SNX1</v>
      </c>
      <c r="DI2000" t="s">
        <v>13772</v>
      </c>
      <c r="DJ2000" t="s">
        <v>13777</v>
      </c>
      <c r="DK2000">
        <v>9606</v>
      </c>
      <c r="DL2000" s="34" t="str">
        <f>HYPERLINK("http://www.uniprot.org/uniprot/Q13596", "Q13596")</f>
        <v>Q13596</v>
      </c>
      <c r="DM2000" t="s">
        <v>15037</v>
      </c>
      <c r="DN2000" t="s">
        <v>14347</v>
      </c>
      <c r="DO2000" t="s">
        <v>15038</v>
      </c>
      <c r="DP2000" t="s">
        <v>13780</v>
      </c>
      <c r="DQ2000" t="s">
        <v>13772</v>
      </c>
      <c r="DR2000" t="s">
        <v>13772</v>
      </c>
      <c r="DS2000" t="s">
        <v>13772</v>
      </c>
      <c r="DT2000" t="s">
        <v>13900</v>
      </c>
      <c r="DU2000" t="s">
        <v>13772</v>
      </c>
      <c r="DV2000" t="s">
        <v>13886</v>
      </c>
      <c r="DW2000" t="s">
        <v>13812</v>
      </c>
      <c r="DX2000" t="s">
        <v>15039</v>
      </c>
      <c r="DY2000" t="s">
        <v>15040</v>
      </c>
      <c r="DZ2000" t="s">
        <v>15041</v>
      </c>
      <c r="EA2000" t="s">
        <v>13772</v>
      </c>
      <c r="EB2000" t="s">
        <v>13772</v>
      </c>
    </row>
    <row r="2001" spans="1:132" hidden="1">
      <c r="A2001">
        <v>168</v>
      </c>
      <c r="B2001">
        <v>1</v>
      </c>
      <c r="C2001" t="s">
        <v>427</v>
      </c>
      <c r="D2001" t="s">
        <v>428</v>
      </c>
      <c r="E2001" t="s">
        <v>73</v>
      </c>
      <c r="F2001" t="s">
        <v>73</v>
      </c>
      <c r="G2001" t="s">
        <v>73</v>
      </c>
      <c r="H2001">
        <v>3.9</v>
      </c>
      <c r="I2001">
        <v>1418</v>
      </c>
      <c r="J2001">
        <v>160676</v>
      </c>
      <c r="K2001" t="s">
        <v>429</v>
      </c>
      <c r="L2001">
        <f t="shared" si="126"/>
        <v>4</v>
      </c>
      <c r="N2001">
        <v>4</v>
      </c>
      <c r="O2001">
        <v>4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2</v>
      </c>
      <c r="AZ2001">
        <v>0</v>
      </c>
      <c r="BA2001">
        <v>0</v>
      </c>
      <c r="BB2001">
        <v>0</v>
      </c>
      <c r="BC2001" s="2">
        <v>0</v>
      </c>
      <c r="BD2001" s="2">
        <v>0</v>
      </c>
      <c r="BE2001" s="2">
        <v>1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1</v>
      </c>
      <c r="BO2001" s="2">
        <v>0</v>
      </c>
      <c r="BP2001" s="2">
        <v>0</v>
      </c>
      <c r="BQ2001" s="2">
        <v>0</v>
      </c>
      <c r="BR2001" s="2">
        <v>2</v>
      </c>
      <c r="BS2001" s="2">
        <v>0</v>
      </c>
      <c r="BT2001" s="2">
        <v>0</v>
      </c>
      <c r="BU2001" s="2">
        <v>0</v>
      </c>
      <c r="BV2001" s="2">
        <f t="shared" si="129"/>
        <v>4</v>
      </c>
      <c r="BW2001" s="16">
        <f t="shared" si="127"/>
        <v>0.21052631578947367</v>
      </c>
      <c r="BX2001" s="16">
        <f>COUNTIF($BC$6:BU2001, "=0") / COUNTIF($BC$6:BU2001, "&gt;-1")</f>
        <v>0.47959076046830501</v>
      </c>
      <c r="BY2001" s="18">
        <f>SUM($BC$6:BU2001) / $BY$4</f>
        <v>0.99665097559058535</v>
      </c>
      <c r="BZ2001" s="14">
        <f t="shared" si="128"/>
        <v>16</v>
      </c>
      <c r="CA2001" t="s">
        <v>5832</v>
      </c>
      <c r="CZ2001" t="s">
        <v>6276</v>
      </c>
      <c r="DA2001" t="s">
        <v>5904</v>
      </c>
      <c r="DB2001">
        <v>2115.1</v>
      </c>
      <c r="DC2001" t="s">
        <v>15078</v>
      </c>
      <c r="DD2001" t="s">
        <v>15079</v>
      </c>
      <c r="DE2001" t="s">
        <v>15080</v>
      </c>
      <c r="DF2001" t="s">
        <v>15081</v>
      </c>
      <c r="DG2001" t="s">
        <v>15082</v>
      </c>
      <c r="DH2001" t="str">
        <f>"MIA2"</f>
        <v>MIA2</v>
      </c>
      <c r="DI2001" t="s">
        <v>13772</v>
      </c>
      <c r="DJ2001" t="s">
        <v>13777</v>
      </c>
      <c r="DK2001">
        <v>9606</v>
      </c>
      <c r="DL2001" s="34" t="str">
        <f>HYPERLINK("http://www.uniprot.org/uniprot/Q96PC5", "Q96PC5")</f>
        <v>Q96PC5</v>
      </c>
      <c r="DM2001" t="s">
        <v>15083</v>
      </c>
      <c r="DN2001" t="s">
        <v>13772</v>
      </c>
      <c r="DO2001" t="s">
        <v>14714</v>
      </c>
      <c r="DP2001" t="s">
        <v>13780</v>
      </c>
      <c r="DQ2001" t="s">
        <v>13772</v>
      </c>
      <c r="DR2001" t="s">
        <v>13772</v>
      </c>
      <c r="DS2001" t="s">
        <v>15084</v>
      </c>
      <c r="DT2001" t="s">
        <v>13772</v>
      </c>
      <c r="DU2001" t="s">
        <v>13772</v>
      </c>
      <c r="DV2001" t="s">
        <v>13858</v>
      </c>
      <c r="DW2001" t="s">
        <v>13772</v>
      </c>
      <c r="DX2001" t="s">
        <v>15085</v>
      </c>
      <c r="DY2001" t="s">
        <v>15086</v>
      </c>
      <c r="DZ2001" t="s">
        <v>15087</v>
      </c>
      <c r="EA2001" t="s">
        <v>13772</v>
      </c>
      <c r="EB2001" t="s">
        <v>15088</v>
      </c>
    </row>
    <row r="2002" spans="1:132" hidden="1">
      <c r="A2002">
        <v>276</v>
      </c>
      <c r="B2002">
        <v>1</v>
      </c>
      <c r="C2002" t="s">
        <v>700</v>
      </c>
      <c r="D2002" t="s">
        <v>73</v>
      </c>
      <c r="E2002" t="s">
        <v>73</v>
      </c>
      <c r="F2002" t="s">
        <v>73</v>
      </c>
      <c r="G2002" t="s">
        <v>73</v>
      </c>
      <c r="H2002">
        <v>11.2</v>
      </c>
      <c r="I2002">
        <v>349</v>
      </c>
      <c r="J2002">
        <v>38161</v>
      </c>
      <c r="K2002" t="s">
        <v>701</v>
      </c>
      <c r="L2002">
        <f t="shared" si="126"/>
        <v>4</v>
      </c>
      <c r="N2002">
        <v>4</v>
      </c>
      <c r="O2002">
        <v>4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</v>
      </c>
      <c r="AS2002">
        <v>0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2</v>
      </c>
      <c r="BL2002" s="2">
        <v>0</v>
      </c>
      <c r="BM2002" s="2">
        <v>1</v>
      </c>
      <c r="BN2002" s="2">
        <v>0</v>
      </c>
      <c r="BO2002" s="2">
        <v>1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f t="shared" si="129"/>
        <v>4</v>
      </c>
      <c r="BW2002" s="16">
        <f t="shared" si="127"/>
        <v>0.21052631578947367</v>
      </c>
      <c r="BX2002" s="16">
        <f>COUNTIF($BC$6:BU2002, "=0") / COUNTIF($BC$6:BU2002, "&gt;-1")</f>
        <v>0.47977229001396832</v>
      </c>
      <c r="BY2002" s="18">
        <f>SUM($BC$6:BU2002) / $BY$4</f>
        <v>0.99666811013806011</v>
      </c>
      <c r="BZ2002" s="14">
        <f t="shared" si="128"/>
        <v>16</v>
      </c>
      <c r="CA2002" t="s">
        <v>5832</v>
      </c>
      <c r="CZ2002" t="s">
        <v>6655</v>
      </c>
      <c r="DA2002" t="s">
        <v>5904</v>
      </c>
      <c r="DB2002">
        <v>689.9</v>
      </c>
      <c r="DC2002" t="s">
        <v>16293</v>
      </c>
      <c r="DD2002" t="s">
        <v>16294</v>
      </c>
      <c r="DE2002" t="s">
        <v>16295</v>
      </c>
      <c r="DF2002" t="s">
        <v>16296</v>
      </c>
      <c r="DG2002" t="s">
        <v>16297</v>
      </c>
      <c r="DH2002" t="str">
        <f>"GMPR2"</f>
        <v>GMPR2</v>
      </c>
      <c r="DI2002" t="s">
        <v>13772</v>
      </c>
      <c r="DJ2002" t="s">
        <v>13777</v>
      </c>
      <c r="DK2002">
        <v>9606</v>
      </c>
      <c r="DL2002" s="34" t="str">
        <f>HYPERLINK("http://www.uniprot.org/uniprot/Q9P2T1", "Q9P2T1")</f>
        <v>Q9P2T1</v>
      </c>
      <c r="DM2002" t="s">
        <v>16298</v>
      </c>
      <c r="DN2002" t="s">
        <v>16299</v>
      </c>
      <c r="DO2002" t="s">
        <v>13772</v>
      </c>
      <c r="DP2002" t="s">
        <v>13780</v>
      </c>
      <c r="DQ2002" t="s">
        <v>13772</v>
      </c>
      <c r="DR2002" t="s">
        <v>13772</v>
      </c>
      <c r="DS2002" t="s">
        <v>13772</v>
      </c>
      <c r="DT2002" t="s">
        <v>16300</v>
      </c>
      <c r="DU2002" t="s">
        <v>13885</v>
      </c>
      <c r="DV2002" t="s">
        <v>14020</v>
      </c>
      <c r="DW2002" t="s">
        <v>13812</v>
      </c>
      <c r="DX2002" t="s">
        <v>16301</v>
      </c>
      <c r="DY2002" t="s">
        <v>16302</v>
      </c>
      <c r="DZ2002" t="s">
        <v>16303</v>
      </c>
      <c r="EA2002" t="s">
        <v>13772</v>
      </c>
      <c r="EB2002" t="s">
        <v>16304</v>
      </c>
    </row>
    <row r="2003" spans="1:132" hidden="1">
      <c r="A2003">
        <v>287</v>
      </c>
      <c r="B2003">
        <v>1</v>
      </c>
      <c r="C2003" t="s">
        <v>724</v>
      </c>
      <c r="D2003" t="s">
        <v>725</v>
      </c>
      <c r="E2003" t="s">
        <v>73</v>
      </c>
      <c r="F2003" t="s">
        <v>73</v>
      </c>
      <c r="G2003" t="s">
        <v>73</v>
      </c>
      <c r="H2003">
        <v>9.6999999999999993</v>
      </c>
      <c r="I2003">
        <v>403</v>
      </c>
      <c r="J2003">
        <v>45796</v>
      </c>
      <c r="K2003" t="s">
        <v>726</v>
      </c>
      <c r="L2003">
        <f t="shared" si="126"/>
        <v>4</v>
      </c>
      <c r="N2003">
        <v>4</v>
      </c>
      <c r="O2003">
        <v>4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</v>
      </c>
      <c r="Z2003">
        <v>0</v>
      </c>
      <c r="AA2003">
        <v>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0</v>
      </c>
      <c r="AT2003">
        <v>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2</v>
      </c>
      <c r="BL2003" s="2">
        <v>0</v>
      </c>
      <c r="BM2003" s="2">
        <v>2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f t="shared" si="129"/>
        <v>4</v>
      </c>
      <c r="BW2003" s="16">
        <f t="shared" si="127"/>
        <v>0.21052631578947367</v>
      </c>
      <c r="BX2003" s="16">
        <f>COUNTIF($BC$6:BU2003, "=0") / COUNTIF($BC$6:BU2003, "&gt;-1")</f>
        <v>0.47997997997997999</v>
      </c>
      <c r="BY2003" s="18">
        <f>SUM($BC$6:BU2003) / $BY$4</f>
        <v>0.99668524468553488</v>
      </c>
      <c r="BZ2003" s="14">
        <f t="shared" si="128"/>
        <v>17</v>
      </c>
      <c r="CA2003" t="s">
        <v>5832</v>
      </c>
      <c r="CZ2003" t="s">
        <v>6690</v>
      </c>
      <c r="DA2003" t="s">
        <v>5904</v>
      </c>
      <c r="DB2003">
        <v>795.8</v>
      </c>
      <c r="DC2003" t="s">
        <v>16399</v>
      </c>
      <c r="DD2003" t="s">
        <v>16400</v>
      </c>
      <c r="DE2003" t="s">
        <v>16401</v>
      </c>
      <c r="DF2003" t="s">
        <v>16402</v>
      </c>
      <c r="DG2003" t="s">
        <v>16403</v>
      </c>
      <c r="DH2003" t="str">
        <f>"PSMC6"</f>
        <v>PSMC6</v>
      </c>
      <c r="DI2003" t="s">
        <v>16404</v>
      </c>
      <c r="DJ2003" t="s">
        <v>13777</v>
      </c>
      <c r="DK2003">
        <v>9606</v>
      </c>
      <c r="DL2003" s="34" t="str">
        <f>HYPERLINK("http://www.uniprot.org/uniprot/P62333", "P62333")</f>
        <v>P62333</v>
      </c>
      <c r="DM2003" t="s">
        <v>16405</v>
      </c>
      <c r="DN2003" t="s">
        <v>13772</v>
      </c>
      <c r="DO2003" t="s">
        <v>14204</v>
      </c>
      <c r="DP2003" t="s">
        <v>13772</v>
      </c>
      <c r="DQ2003" t="s">
        <v>13772</v>
      </c>
      <c r="DR2003" t="s">
        <v>13772</v>
      </c>
      <c r="DS2003" t="s">
        <v>13772</v>
      </c>
      <c r="DT2003" t="s">
        <v>14005</v>
      </c>
      <c r="DU2003" t="s">
        <v>13772</v>
      </c>
      <c r="DV2003" t="s">
        <v>13886</v>
      </c>
      <c r="DW2003" t="s">
        <v>13812</v>
      </c>
      <c r="DX2003" t="s">
        <v>16406</v>
      </c>
      <c r="DY2003" t="s">
        <v>16407</v>
      </c>
      <c r="DZ2003" t="s">
        <v>16408</v>
      </c>
      <c r="EA2003" t="s">
        <v>13772</v>
      </c>
      <c r="EB2003" t="s">
        <v>14208</v>
      </c>
    </row>
    <row r="2004" spans="1:132" hidden="1">
      <c r="A2004">
        <v>362</v>
      </c>
      <c r="B2004">
        <v>1</v>
      </c>
      <c r="C2004" t="s">
        <v>905</v>
      </c>
      <c r="D2004" t="s">
        <v>73</v>
      </c>
      <c r="E2004" t="s">
        <v>73</v>
      </c>
      <c r="F2004" t="s">
        <v>73</v>
      </c>
      <c r="G2004" t="s">
        <v>73</v>
      </c>
      <c r="H2004">
        <v>11.9</v>
      </c>
      <c r="I2004">
        <v>260</v>
      </c>
      <c r="J2004">
        <v>30003</v>
      </c>
      <c r="K2004" t="s">
        <v>906</v>
      </c>
      <c r="L2004">
        <f t="shared" si="126"/>
        <v>4</v>
      </c>
      <c r="N2004">
        <v>4</v>
      </c>
      <c r="O2004">
        <v>4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2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2</v>
      </c>
      <c r="BK2004" s="2">
        <v>2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f t="shared" si="129"/>
        <v>4</v>
      </c>
      <c r="BW2004" s="16">
        <f t="shared" si="127"/>
        <v>0.21052631578947367</v>
      </c>
      <c r="BX2004" s="16">
        <f>COUNTIF($BC$6:BU2004, "=0") / COUNTIF($BC$6:BU2004, "&gt;-1")</f>
        <v>0.48018746215212871</v>
      </c>
      <c r="BY2004" s="18">
        <f>SUM($BC$6:BU2004) / $BY$4</f>
        <v>0.99670237923300975</v>
      </c>
      <c r="BZ2004" s="14">
        <f t="shared" si="128"/>
        <v>17</v>
      </c>
      <c r="CA2004" t="s">
        <v>5832</v>
      </c>
      <c r="CZ2004" t="s">
        <v>6953</v>
      </c>
      <c r="DA2004" t="s">
        <v>5904</v>
      </c>
      <c r="DB2004">
        <v>511.5</v>
      </c>
      <c r="DC2004" t="s">
        <v>17199</v>
      </c>
      <c r="DD2004" t="s">
        <v>17200</v>
      </c>
      <c r="DE2004" t="s">
        <v>17201</v>
      </c>
      <c r="DF2004" t="s">
        <v>17202</v>
      </c>
      <c r="DG2004" t="s">
        <v>17203</v>
      </c>
      <c r="DH2004" t="str">
        <f>"BPGM"</f>
        <v>BPGM</v>
      </c>
      <c r="DI2004" t="s">
        <v>13772</v>
      </c>
      <c r="DJ2004" t="s">
        <v>13777</v>
      </c>
      <c r="DK2004">
        <v>9606</v>
      </c>
      <c r="DL2004" s="34" t="str">
        <f>HYPERLINK("http://www.uniprot.org/uniprot/P07738", "P07738")</f>
        <v>P07738</v>
      </c>
      <c r="DM2004" t="s">
        <v>17204</v>
      </c>
      <c r="DN2004" t="s">
        <v>15772</v>
      </c>
      <c r="DO2004" t="s">
        <v>13772</v>
      </c>
      <c r="DP2004" t="s">
        <v>13772</v>
      </c>
      <c r="DQ2004" t="s">
        <v>13772</v>
      </c>
      <c r="DR2004" t="s">
        <v>17205</v>
      </c>
      <c r="DS2004" t="s">
        <v>13772</v>
      </c>
      <c r="DT2004" t="s">
        <v>13772</v>
      </c>
      <c r="DU2004" t="s">
        <v>16797</v>
      </c>
      <c r="DV2004" t="s">
        <v>17206</v>
      </c>
      <c r="DW2004" t="s">
        <v>13812</v>
      </c>
      <c r="DX2004" t="s">
        <v>17207</v>
      </c>
      <c r="DY2004" t="s">
        <v>15111</v>
      </c>
      <c r="DZ2004" t="s">
        <v>17208</v>
      </c>
      <c r="EA2004" t="s">
        <v>13772</v>
      </c>
      <c r="EB2004" t="s">
        <v>17209</v>
      </c>
    </row>
    <row r="2005" spans="1:132" hidden="1">
      <c r="A2005">
        <v>372</v>
      </c>
      <c r="B2005">
        <v>1</v>
      </c>
      <c r="C2005" t="s">
        <v>926</v>
      </c>
      <c r="D2005" t="s">
        <v>927</v>
      </c>
      <c r="E2005" t="s">
        <v>73</v>
      </c>
      <c r="F2005" t="s">
        <v>73</v>
      </c>
      <c r="G2005" t="s">
        <v>73</v>
      </c>
      <c r="H2005">
        <v>18.600000000000001</v>
      </c>
      <c r="I2005">
        <v>220</v>
      </c>
      <c r="J2005">
        <v>24042</v>
      </c>
      <c r="K2005" t="s">
        <v>928</v>
      </c>
      <c r="L2005">
        <f t="shared" si="126"/>
        <v>4</v>
      </c>
      <c r="N2005">
        <v>4</v>
      </c>
      <c r="O2005">
        <v>4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4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4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f t="shared" si="129"/>
        <v>4</v>
      </c>
      <c r="BW2005" s="16">
        <f t="shared" si="127"/>
        <v>0.21052631578947367</v>
      </c>
      <c r="BX2005" s="16">
        <f>COUNTIF($BC$6:BU2005, "=0") / COUNTIF($BC$6:BU2005, "&gt;-1")</f>
        <v>0.48042105263157897</v>
      </c>
      <c r="BY2005" s="18">
        <f>SUM($BC$6:BU2005) / $BY$4</f>
        <v>0.99671951378048451</v>
      </c>
      <c r="BZ2005" s="14">
        <f t="shared" si="128"/>
        <v>18</v>
      </c>
      <c r="CA2005" t="s">
        <v>5832</v>
      </c>
      <c r="CZ2005" t="s">
        <v>6989</v>
      </c>
      <c r="DA2005" t="s">
        <v>5904</v>
      </c>
      <c r="DB2005">
        <v>356.3</v>
      </c>
      <c r="DC2005" t="s">
        <v>17311</v>
      </c>
      <c r="DD2005" t="s">
        <v>17312</v>
      </c>
      <c r="DE2005" t="s">
        <v>17313</v>
      </c>
      <c r="DF2005" t="s">
        <v>17314</v>
      </c>
      <c r="DG2005" t="s">
        <v>17315</v>
      </c>
      <c r="DH2005" t="str">
        <f>"SRA1"</f>
        <v>SRA1</v>
      </c>
      <c r="DI2005" t="s">
        <v>13772</v>
      </c>
      <c r="DJ2005" t="s">
        <v>13777</v>
      </c>
      <c r="DK2005">
        <v>9606</v>
      </c>
      <c r="DL2005" s="34" t="str">
        <f>HYPERLINK("http://www.uniprot.org/uniprot/Q9HD15", "Q9HD15")</f>
        <v>Q9HD15</v>
      </c>
      <c r="DM2005" t="s">
        <v>17316</v>
      </c>
      <c r="DN2005" t="s">
        <v>17317</v>
      </c>
      <c r="DO2005" t="s">
        <v>13912</v>
      </c>
      <c r="DP2005" t="s">
        <v>13793</v>
      </c>
      <c r="DQ2005" t="s">
        <v>13772</v>
      </c>
      <c r="DR2005" t="s">
        <v>13772</v>
      </c>
      <c r="DS2005" t="s">
        <v>13772</v>
      </c>
      <c r="DT2005" t="s">
        <v>13772</v>
      </c>
      <c r="DU2005" t="s">
        <v>17318</v>
      </c>
      <c r="DV2005" t="s">
        <v>13782</v>
      </c>
      <c r="DW2005" t="s">
        <v>13812</v>
      </c>
      <c r="DX2005" t="s">
        <v>17319</v>
      </c>
      <c r="DY2005" t="s">
        <v>17320</v>
      </c>
      <c r="DZ2005" t="s">
        <v>17321</v>
      </c>
      <c r="EA2005" t="s">
        <v>13772</v>
      </c>
      <c r="EB2005" t="s">
        <v>13772</v>
      </c>
    </row>
    <row r="2006" spans="1:132" hidden="1">
      <c r="A2006">
        <v>374</v>
      </c>
      <c r="B2006">
        <v>1</v>
      </c>
      <c r="C2006" t="s">
        <v>932</v>
      </c>
      <c r="D2006" t="s">
        <v>73</v>
      </c>
      <c r="E2006" t="s">
        <v>73</v>
      </c>
      <c r="F2006" t="s">
        <v>73</v>
      </c>
      <c r="G2006" t="s">
        <v>73</v>
      </c>
      <c r="H2006">
        <v>4.8</v>
      </c>
      <c r="I2006">
        <v>793</v>
      </c>
      <c r="J2006">
        <v>88781</v>
      </c>
      <c r="K2006" t="s">
        <v>933</v>
      </c>
      <c r="L2006">
        <f t="shared" si="126"/>
        <v>4</v>
      </c>
      <c r="N2006">
        <v>4</v>
      </c>
      <c r="O2006">
        <v>4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2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2</v>
      </c>
      <c r="AY2006">
        <v>1</v>
      </c>
      <c r="AZ2006">
        <v>0</v>
      </c>
      <c r="BA2006">
        <v>0</v>
      </c>
      <c r="BB2006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1</v>
      </c>
      <c r="BN2006" s="2">
        <v>0</v>
      </c>
      <c r="BO2006" s="2">
        <v>0</v>
      </c>
      <c r="BP2006" s="2">
        <v>0</v>
      </c>
      <c r="BQ2006" s="2">
        <v>2</v>
      </c>
      <c r="BR2006" s="2">
        <v>1</v>
      </c>
      <c r="BS2006" s="2">
        <v>0</v>
      </c>
      <c r="BT2006" s="2">
        <v>0</v>
      </c>
      <c r="BU2006" s="2">
        <v>0</v>
      </c>
      <c r="BV2006" s="2">
        <f t="shared" si="129"/>
        <v>4</v>
      </c>
      <c r="BW2006" s="16">
        <f t="shared" si="127"/>
        <v>0.21052631578947367</v>
      </c>
      <c r="BX2006" s="16">
        <f>COUNTIF($BC$6:BU2006, "=0") / COUNTIF($BC$6:BU2006, "&gt;-1")</f>
        <v>0.48060180436097738</v>
      </c>
      <c r="BY2006" s="18">
        <f>SUM($BC$6:BU2006) / $BY$4</f>
        <v>0.99673664832795938</v>
      </c>
      <c r="BZ2006" s="14">
        <f t="shared" si="128"/>
        <v>16</v>
      </c>
      <c r="CA2006" t="s">
        <v>5832</v>
      </c>
      <c r="CZ2006" t="s">
        <v>6996</v>
      </c>
      <c r="DA2006" t="s">
        <v>5904</v>
      </c>
      <c r="DB2006">
        <v>1563.5</v>
      </c>
      <c r="DC2006" t="s">
        <v>17331</v>
      </c>
      <c r="DD2006" t="s">
        <v>17332</v>
      </c>
      <c r="DE2006" t="s">
        <v>17333</v>
      </c>
      <c r="DF2006" t="s">
        <v>17334</v>
      </c>
      <c r="DG2006" t="s">
        <v>17335</v>
      </c>
      <c r="DH2006" t="str">
        <f>"SF3A1"</f>
        <v>SF3A1</v>
      </c>
      <c r="DI2006" t="s">
        <v>17336</v>
      </c>
      <c r="DJ2006" t="s">
        <v>13777</v>
      </c>
      <c r="DK2006">
        <v>9606</v>
      </c>
      <c r="DL2006" s="34" t="str">
        <f>HYPERLINK("http://www.uniprot.org/uniprot/Q15459", "Q15459")</f>
        <v>Q15459</v>
      </c>
      <c r="DM2006" t="s">
        <v>17337</v>
      </c>
      <c r="DN2006" t="s">
        <v>15152</v>
      </c>
      <c r="DO2006" t="s">
        <v>16088</v>
      </c>
      <c r="DP2006" t="s">
        <v>13780</v>
      </c>
      <c r="DQ2006" t="s">
        <v>13772</v>
      </c>
      <c r="DR2006" t="s">
        <v>13772</v>
      </c>
      <c r="DS2006" t="s">
        <v>14096</v>
      </c>
      <c r="DT2006" t="s">
        <v>13772</v>
      </c>
      <c r="DU2006" t="s">
        <v>13772</v>
      </c>
      <c r="DV2006" t="s">
        <v>13991</v>
      </c>
      <c r="DW2006" t="s">
        <v>13812</v>
      </c>
      <c r="DX2006" t="s">
        <v>17338</v>
      </c>
      <c r="DY2006" t="s">
        <v>17339</v>
      </c>
      <c r="DZ2006" t="s">
        <v>14235</v>
      </c>
      <c r="EA2006" t="s">
        <v>13772</v>
      </c>
      <c r="EB2006" t="s">
        <v>15157</v>
      </c>
    </row>
    <row r="2007" spans="1:132" hidden="1">
      <c r="A2007">
        <v>377</v>
      </c>
      <c r="B2007">
        <v>1</v>
      </c>
      <c r="C2007" t="s">
        <v>940</v>
      </c>
      <c r="D2007" t="s">
        <v>941</v>
      </c>
      <c r="E2007" t="s">
        <v>73</v>
      </c>
      <c r="F2007" t="s">
        <v>73</v>
      </c>
      <c r="G2007" t="s">
        <v>73</v>
      </c>
      <c r="H2007">
        <v>10.7</v>
      </c>
      <c r="I2007">
        <v>494</v>
      </c>
      <c r="J2007">
        <v>56079</v>
      </c>
      <c r="K2007" t="s">
        <v>942</v>
      </c>
      <c r="L2007">
        <f t="shared" si="126"/>
        <v>4</v>
      </c>
      <c r="N2007">
        <v>4</v>
      </c>
      <c r="O2007">
        <v>4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</v>
      </c>
      <c r="AZ2007">
        <v>0</v>
      </c>
      <c r="BA2007">
        <v>0</v>
      </c>
      <c r="BB2007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2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2</v>
      </c>
      <c r="BS2007" s="2">
        <v>0</v>
      </c>
      <c r="BT2007" s="2">
        <v>0</v>
      </c>
      <c r="BU2007" s="2">
        <v>0</v>
      </c>
      <c r="BV2007" s="2">
        <f t="shared" si="129"/>
        <v>4</v>
      </c>
      <c r="BW2007" s="16">
        <f t="shared" si="127"/>
        <v>0.21052631578947367</v>
      </c>
      <c r="BX2007" s="16">
        <f>COUNTIF($BC$6:BU2007, "=0") / COUNTIF($BC$6:BU2007, "&gt;-1")</f>
        <v>0.48080866501919134</v>
      </c>
      <c r="BY2007" s="18">
        <f>SUM($BC$6:BU2007) / $BY$4</f>
        <v>0.99675378287543415</v>
      </c>
      <c r="BZ2007" s="14">
        <f t="shared" si="128"/>
        <v>17</v>
      </c>
      <c r="CA2007" t="s">
        <v>5832</v>
      </c>
      <c r="CZ2007" t="s">
        <v>7008</v>
      </c>
      <c r="DA2007" t="s">
        <v>5904</v>
      </c>
      <c r="DB2007">
        <v>1018.5</v>
      </c>
      <c r="DC2007" t="s">
        <v>17360</v>
      </c>
      <c r="DD2007" t="s">
        <v>17361</v>
      </c>
      <c r="DE2007" t="s">
        <v>17362</v>
      </c>
      <c r="DF2007" t="s">
        <v>17363</v>
      </c>
      <c r="DG2007" t="s">
        <v>17364</v>
      </c>
      <c r="DH2007" t="str">
        <f>"USP14"</f>
        <v>USP14</v>
      </c>
      <c r="DI2007" t="s">
        <v>17365</v>
      </c>
      <c r="DJ2007" t="s">
        <v>13777</v>
      </c>
      <c r="DK2007">
        <v>9606</v>
      </c>
      <c r="DL2007" s="34" t="str">
        <f>HYPERLINK("http://www.uniprot.org/uniprot/P54578", "P54578")</f>
        <v>P54578</v>
      </c>
      <c r="DM2007" t="s">
        <v>17366</v>
      </c>
      <c r="DN2007" t="s">
        <v>17367</v>
      </c>
      <c r="DO2007" t="s">
        <v>17368</v>
      </c>
      <c r="DP2007" t="s">
        <v>13841</v>
      </c>
      <c r="DQ2007" t="s">
        <v>13772</v>
      </c>
      <c r="DR2007" t="s">
        <v>13772</v>
      </c>
      <c r="DS2007" t="s">
        <v>13772</v>
      </c>
      <c r="DT2007" t="s">
        <v>13772</v>
      </c>
      <c r="DU2007" t="s">
        <v>14083</v>
      </c>
      <c r="DV2007" t="s">
        <v>13886</v>
      </c>
      <c r="DW2007" t="s">
        <v>13812</v>
      </c>
      <c r="DX2007" t="s">
        <v>17369</v>
      </c>
      <c r="DY2007" t="s">
        <v>17370</v>
      </c>
      <c r="DZ2007" t="s">
        <v>17371</v>
      </c>
      <c r="EA2007" t="s">
        <v>13772</v>
      </c>
      <c r="EB2007" t="s">
        <v>17372</v>
      </c>
    </row>
    <row r="2008" spans="1:132" hidden="1">
      <c r="A2008">
        <v>385</v>
      </c>
      <c r="B2008">
        <v>1</v>
      </c>
      <c r="C2008" t="s">
        <v>960</v>
      </c>
      <c r="D2008" t="s">
        <v>961</v>
      </c>
      <c r="E2008" t="s">
        <v>73</v>
      </c>
      <c r="F2008" t="s">
        <v>73</v>
      </c>
      <c r="G2008" t="s">
        <v>73</v>
      </c>
      <c r="H2008">
        <v>1.4</v>
      </c>
      <c r="I2008">
        <v>1507</v>
      </c>
      <c r="J2008">
        <v>169536</v>
      </c>
      <c r="K2008" t="s">
        <v>962</v>
      </c>
      <c r="L2008">
        <f t="shared" si="126"/>
        <v>4</v>
      </c>
      <c r="N2008">
        <v>4</v>
      </c>
      <c r="O2008">
        <v>4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3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3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3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f t="shared" si="129"/>
        <v>4</v>
      </c>
      <c r="BW2008" s="16">
        <f t="shared" si="127"/>
        <v>0.21052631578947367</v>
      </c>
      <c r="BX2008" s="16">
        <f>COUNTIF($BC$6:BU2008, "=0") / COUNTIF($BC$6:BU2008, "&gt;-1")</f>
        <v>0.4810153191265733</v>
      </c>
      <c r="BY2008" s="18">
        <f>SUM($BC$6:BU2008) / $BY$4</f>
        <v>0.99677091742290891</v>
      </c>
      <c r="BZ2008" s="14">
        <f t="shared" si="128"/>
        <v>17</v>
      </c>
      <c r="CA2008" t="s">
        <v>5832</v>
      </c>
      <c r="CZ2008" t="s">
        <v>7036</v>
      </c>
      <c r="DA2008" t="s">
        <v>5904</v>
      </c>
      <c r="DB2008">
        <v>2977.2</v>
      </c>
      <c r="DC2008" t="s">
        <v>17451</v>
      </c>
      <c r="DD2008" t="s">
        <v>13772</v>
      </c>
      <c r="DE2008" t="s">
        <v>17452</v>
      </c>
      <c r="DF2008" t="s">
        <v>17453</v>
      </c>
      <c r="DG2008" t="s">
        <v>17454</v>
      </c>
      <c r="DH2008" t="str">
        <f>"PTPRM"</f>
        <v>PTPRM</v>
      </c>
      <c r="DI2008" t="s">
        <v>17455</v>
      </c>
      <c r="DJ2008" t="s">
        <v>13777</v>
      </c>
      <c r="DK2008">
        <v>9606</v>
      </c>
      <c r="DL2008" s="34" t="str">
        <f>HYPERLINK("http://www.uniprot.org/uniprot/P28827", "P28827")</f>
        <v>P28827</v>
      </c>
      <c r="DM2008" t="s">
        <v>17456</v>
      </c>
      <c r="DN2008" t="s">
        <v>13949</v>
      </c>
      <c r="DO2008" t="s">
        <v>13825</v>
      </c>
      <c r="DP2008" t="s">
        <v>13780</v>
      </c>
      <c r="DQ2008" t="s">
        <v>13772</v>
      </c>
      <c r="DR2008" t="s">
        <v>13772</v>
      </c>
      <c r="DS2008" t="s">
        <v>13951</v>
      </c>
      <c r="DT2008" t="s">
        <v>13772</v>
      </c>
      <c r="DU2008" t="s">
        <v>17457</v>
      </c>
      <c r="DV2008" t="s">
        <v>13964</v>
      </c>
      <c r="DW2008" t="s">
        <v>13812</v>
      </c>
      <c r="DX2008" t="s">
        <v>17458</v>
      </c>
      <c r="DY2008" t="s">
        <v>17459</v>
      </c>
      <c r="DZ2008" t="s">
        <v>17460</v>
      </c>
      <c r="EA2008" t="s">
        <v>13772</v>
      </c>
      <c r="EB2008" t="s">
        <v>13772</v>
      </c>
    </row>
    <row r="2009" spans="1:132" hidden="1">
      <c r="A2009">
        <v>398</v>
      </c>
      <c r="B2009">
        <v>1</v>
      </c>
      <c r="C2009" t="s">
        <v>995</v>
      </c>
      <c r="D2009" t="s">
        <v>73</v>
      </c>
      <c r="E2009" t="s">
        <v>73</v>
      </c>
      <c r="F2009" t="s">
        <v>73</v>
      </c>
      <c r="G2009" t="s">
        <v>73</v>
      </c>
      <c r="H2009">
        <v>3.4</v>
      </c>
      <c r="I2009">
        <v>711</v>
      </c>
      <c r="J2009">
        <v>81191</v>
      </c>
      <c r="K2009" t="s">
        <v>996</v>
      </c>
      <c r="L2009">
        <f t="shared" si="126"/>
        <v>4</v>
      </c>
      <c r="N2009">
        <v>4</v>
      </c>
      <c r="O2009">
        <v>4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3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1</v>
      </c>
      <c r="BN2009" s="2">
        <v>3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f t="shared" si="129"/>
        <v>4</v>
      </c>
      <c r="BW2009" s="16">
        <f t="shared" si="127"/>
        <v>0.21052631578947367</v>
      </c>
      <c r="BX2009" s="16">
        <f>COUNTIF($BC$6:BU2009, "=0") / COUNTIF($BC$6:BU2009, "&gt;-1")</f>
        <v>0.4812217669923311</v>
      </c>
      <c r="BY2009" s="18">
        <f>SUM($BC$6:BU2009) / $BY$4</f>
        <v>0.99678805197038378</v>
      </c>
      <c r="BZ2009" s="14">
        <f t="shared" si="128"/>
        <v>17</v>
      </c>
      <c r="CA2009" t="s">
        <v>5832</v>
      </c>
      <c r="CZ2009" t="s">
        <v>7082</v>
      </c>
      <c r="DA2009" t="s">
        <v>5904</v>
      </c>
      <c r="DB2009">
        <v>1012.3</v>
      </c>
      <c r="DC2009" t="s">
        <v>17595</v>
      </c>
      <c r="DD2009" t="s">
        <v>17596</v>
      </c>
      <c r="DE2009" t="s">
        <v>17597</v>
      </c>
      <c r="DF2009" t="s">
        <v>17598</v>
      </c>
      <c r="DG2009" t="s">
        <v>17599</v>
      </c>
      <c r="DH2009" t="str">
        <f>"OAS2"</f>
        <v>OAS2</v>
      </c>
      <c r="DI2009" t="s">
        <v>13772</v>
      </c>
      <c r="DJ2009" t="s">
        <v>13777</v>
      </c>
      <c r="DK2009">
        <v>9606</v>
      </c>
      <c r="DL2009" s="34" t="str">
        <f>HYPERLINK("http://www.uniprot.org/uniprot/P29728", "P29728")</f>
        <v>P29728</v>
      </c>
      <c r="DM2009" t="s">
        <v>17600</v>
      </c>
      <c r="DN2009" t="s">
        <v>17601</v>
      </c>
      <c r="DO2009" t="s">
        <v>13899</v>
      </c>
      <c r="DP2009" t="s">
        <v>13841</v>
      </c>
      <c r="DQ2009" t="s">
        <v>13772</v>
      </c>
      <c r="DR2009" t="s">
        <v>13772</v>
      </c>
      <c r="DS2009" t="s">
        <v>14096</v>
      </c>
      <c r="DT2009" t="s">
        <v>17602</v>
      </c>
      <c r="DU2009" t="s">
        <v>17603</v>
      </c>
      <c r="DV2009" t="s">
        <v>17604</v>
      </c>
      <c r="DW2009" t="s">
        <v>13772</v>
      </c>
      <c r="DX2009" t="s">
        <v>17605</v>
      </c>
      <c r="DY2009" t="s">
        <v>17606</v>
      </c>
      <c r="DZ2009" t="s">
        <v>17607</v>
      </c>
      <c r="EA2009" t="s">
        <v>13772</v>
      </c>
      <c r="EB2009" t="s">
        <v>17608</v>
      </c>
    </row>
    <row r="2010" spans="1:132" hidden="1">
      <c r="A2010">
        <v>435</v>
      </c>
      <c r="B2010">
        <v>1</v>
      </c>
      <c r="C2010" t="s">
        <v>1090</v>
      </c>
      <c r="D2010" t="s">
        <v>73</v>
      </c>
      <c r="E2010" t="s">
        <v>73</v>
      </c>
      <c r="F2010" t="s">
        <v>73</v>
      </c>
      <c r="G2010" t="s">
        <v>73</v>
      </c>
      <c r="H2010">
        <v>13.4</v>
      </c>
      <c r="I2010">
        <v>277</v>
      </c>
      <c r="J2010">
        <v>30276</v>
      </c>
      <c r="K2010" t="s">
        <v>1091</v>
      </c>
      <c r="L2010">
        <f t="shared" si="126"/>
        <v>4</v>
      </c>
      <c r="N2010">
        <v>4</v>
      </c>
      <c r="O2010">
        <v>4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2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2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2</v>
      </c>
      <c r="BN2010" s="2">
        <v>0</v>
      </c>
      <c r="BO2010" s="2">
        <v>1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f t="shared" si="129"/>
        <v>4</v>
      </c>
      <c r="BW2010" s="16">
        <f t="shared" si="127"/>
        <v>0.21052631578947367</v>
      </c>
      <c r="BX2010" s="16">
        <f>COUNTIF($BC$6:BU2010, "=0") / COUNTIF($BC$6:BU2010, "&gt;-1")</f>
        <v>0.48140175876099228</v>
      </c>
      <c r="BY2010" s="18">
        <f>SUM($BC$6:BU2010) / $BY$4</f>
        <v>0.99680518651785854</v>
      </c>
      <c r="BZ2010" s="14">
        <f t="shared" si="128"/>
        <v>16</v>
      </c>
      <c r="CA2010" t="s">
        <v>5832</v>
      </c>
      <c r="CZ2010" t="s">
        <v>7209</v>
      </c>
      <c r="DA2010" t="s">
        <v>5904</v>
      </c>
      <c r="DB2010">
        <v>535.4</v>
      </c>
      <c r="DC2010" t="s">
        <v>18002</v>
      </c>
      <c r="DD2010" t="s">
        <v>18003</v>
      </c>
      <c r="DE2010" t="s">
        <v>18004</v>
      </c>
      <c r="DF2010" t="s">
        <v>18005</v>
      </c>
      <c r="DG2010" t="s">
        <v>18006</v>
      </c>
      <c r="DH2010" t="str">
        <f>"IMPA1"</f>
        <v>IMPA1</v>
      </c>
      <c r="DI2010" t="s">
        <v>18007</v>
      </c>
      <c r="DJ2010" t="s">
        <v>13777</v>
      </c>
      <c r="DK2010">
        <v>9606</v>
      </c>
      <c r="DL2010" s="34" t="str">
        <f>HYPERLINK("http://www.uniprot.org/uniprot/P29218", "P29218")</f>
        <v>P29218</v>
      </c>
      <c r="DM2010" t="s">
        <v>18008</v>
      </c>
      <c r="DN2010" t="s">
        <v>13772</v>
      </c>
      <c r="DO2010" t="s">
        <v>13899</v>
      </c>
      <c r="DP2010" t="s">
        <v>13780</v>
      </c>
      <c r="DQ2010" t="s">
        <v>13772</v>
      </c>
      <c r="DR2010" t="s">
        <v>17534</v>
      </c>
      <c r="DS2010" t="s">
        <v>13772</v>
      </c>
      <c r="DT2010" t="s">
        <v>18009</v>
      </c>
      <c r="DU2010" t="s">
        <v>13857</v>
      </c>
      <c r="DV2010" t="s">
        <v>13782</v>
      </c>
      <c r="DW2010" t="s">
        <v>13812</v>
      </c>
      <c r="DX2010" t="s">
        <v>18010</v>
      </c>
      <c r="DY2010" t="s">
        <v>14064</v>
      </c>
      <c r="DZ2010" t="s">
        <v>18011</v>
      </c>
      <c r="EA2010" t="s">
        <v>18012</v>
      </c>
      <c r="EB2010" t="s">
        <v>18013</v>
      </c>
    </row>
    <row r="2011" spans="1:132" hidden="1">
      <c r="A2011">
        <v>441</v>
      </c>
      <c r="B2011">
        <v>1</v>
      </c>
      <c r="C2011" t="s">
        <v>1103</v>
      </c>
      <c r="D2011" t="s">
        <v>73</v>
      </c>
      <c r="E2011" t="s">
        <v>73</v>
      </c>
      <c r="F2011" t="s">
        <v>73</v>
      </c>
      <c r="G2011" t="s">
        <v>73</v>
      </c>
      <c r="H2011">
        <v>10.4</v>
      </c>
      <c r="I2011">
        <v>201</v>
      </c>
      <c r="J2011">
        <v>22733</v>
      </c>
      <c r="K2011" t="s">
        <v>1104</v>
      </c>
      <c r="L2011">
        <f t="shared" si="126"/>
        <v>4</v>
      </c>
      <c r="N2011">
        <v>4</v>
      </c>
      <c r="O2011">
        <v>4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3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3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1</v>
      </c>
      <c r="BN2011" s="2">
        <v>3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f t="shared" si="129"/>
        <v>4</v>
      </c>
      <c r="BW2011" s="16">
        <f t="shared" si="127"/>
        <v>0.21052631578947367</v>
      </c>
      <c r="BX2011" s="16">
        <f>COUNTIF($BC$6:BU2011, "=0") / COUNTIF($BC$6:BU2011, "&gt;-1")</f>
        <v>0.4816078081544839</v>
      </c>
      <c r="BY2011" s="18">
        <f>SUM($BC$6:BU2011) / $BY$4</f>
        <v>0.99682232106533331</v>
      </c>
      <c r="BZ2011" s="14">
        <f t="shared" si="128"/>
        <v>17</v>
      </c>
      <c r="CA2011" t="s">
        <v>5832</v>
      </c>
      <c r="CZ2011" t="s">
        <v>7228</v>
      </c>
      <c r="DA2011" t="s">
        <v>5904</v>
      </c>
      <c r="DB2011">
        <v>415.2</v>
      </c>
      <c r="DC2011" t="s">
        <v>18069</v>
      </c>
      <c r="DD2011" t="s">
        <v>18070</v>
      </c>
      <c r="DE2011" t="s">
        <v>18071</v>
      </c>
      <c r="DF2011" t="s">
        <v>18072</v>
      </c>
      <c r="DG2011" t="s">
        <v>13772</v>
      </c>
      <c r="DH2011" t="str">
        <f>"TMED2"</f>
        <v>TMED2</v>
      </c>
      <c r="DI2011" t="s">
        <v>18073</v>
      </c>
      <c r="DJ2011" t="s">
        <v>13777</v>
      </c>
      <c r="DK2011">
        <v>9606</v>
      </c>
      <c r="DL2011" s="34" t="str">
        <f>HYPERLINK("http://www.uniprot.org/uniprot/Q15363", "Q15363")</f>
        <v>Q15363</v>
      </c>
      <c r="DM2011" t="s">
        <v>18074</v>
      </c>
      <c r="DN2011" t="s">
        <v>15450</v>
      </c>
      <c r="DO2011" t="s">
        <v>18075</v>
      </c>
      <c r="DP2011" t="s">
        <v>13772</v>
      </c>
      <c r="DQ2011" t="s">
        <v>13772</v>
      </c>
      <c r="DR2011" t="s">
        <v>13772</v>
      </c>
      <c r="DS2011" t="s">
        <v>16788</v>
      </c>
      <c r="DT2011" t="s">
        <v>13772</v>
      </c>
      <c r="DU2011" t="s">
        <v>13772</v>
      </c>
      <c r="DV2011" t="s">
        <v>13772</v>
      </c>
      <c r="DW2011" t="s">
        <v>13812</v>
      </c>
      <c r="DX2011" t="s">
        <v>18076</v>
      </c>
      <c r="DY2011" t="s">
        <v>18077</v>
      </c>
      <c r="DZ2011" t="s">
        <v>13772</v>
      </c>
      <c r="EA2011" t="s">
        <v>13772</v>
      </c>
      <c r="EB2011" t="s">
        <v>18078</v>
      </c>
    </row>
    <row r="2012" spans="1:132" hidden="1">
      <c r="A2012">
        <v>446</v>
      </c>
      <c r="B2012">
        <v>1</v>
      </c>
      <c r="C2012" t="s">
        <v>1117</v>
      </c>
      <c r="D2012" t="s">
        <v>73</v>
      </c>
      <c r="E2012" t="s">
        <v>73</v>
      </c>
      <c r="F2012" t="s">
        <v>73</v>
      </c>
      <c r="G2012" t="s">
        <v>73</v>
      </c>
      <c r="H2012">
        <v>19.7</v>
      </c>
      <c r="I2012">
        <v>198</v>
      </c>
      <c r="J2012">
        <v>22128</v>
      </c>
      <c r="K2012" t="s">
        <v>1118</v>
      </c>
      <c r="L2012">
        <f t="shared" si="126"/>
        <v>4</v>
      </c>
      <c r="N2012">
        <v>4</v>
      </c>
      <c r="O2012">
        <v>4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3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1</v>
      </c>
      <c r="BS2012" s="2">
        <v>0</v>
      </c>
      <c r="BT2012" s="2">
        <v>0</v>
      </c>
      <c r="BU2012" s="2">
        <v>0</v>
      </c>
      <c r="BV2012" s="2">
        <f t="shared" si="129"/>
        <v>4</v>
      </c>
      <c r="BW2012" s="16">
        <f t="shared" si="127"/>
        <v>0.21052631578947367</v>
      </c>
      <c r="BX2012" s="16">
        <f>COUNTIF($BC$6:BU2012, "=0") / COUNTIF($BC$6:BU2012, "&gt;-1")</f>
        <v>0.48181365221723965</v>
      </c>
      <c r="BY2012" s="18">
        <f>SUM($BC$6:BU2012) / $BY$4</f>
        <v>0.99683945561280818</v>
      </c>
      <c r="BZ2012" s="14">
        <f t="shared" si="128"/>
        <v>17</v>
      </c>
      <c r="CA2012" t="s">
        <v>5832</v>
      </c>
      <c r="CZ2012" t="s">
        <v>7248</v>
      </c>
      <c r="DA2012" t="s">
        <v>5904</v>
      </c>
      <c r="DB2012">
        <v>394</v>
      </c>
      <c r="DC2012" t="s">
        <v>18123</v>
      </c>
      <c r="DD2012" t="s">
        <v>18124</v>
      </c>
      <c r="DE2012" t="s">
        <v>18125</v>
      </c>
      <c r="DF2012" t="s">
        <v>18126</v>
      </c>
      <c r="DG2012" t="s">
        <v>18127</v>
      </c>
      <c r="DH2012" t="str">
        <f>"DENR"</f>
        <v>DENR</v>
      </c>
      <c r="DI2012" t="s">
        <v>18128</v>
      </c>
      <c r="DJ2012" t="s">
        <v>13777</v>
      </c>
      <c r="DK2012">
        <v>9606</v>
      </c>
      <c r="DL2012" s="34" t="str">
        <f>HYPERLINK("http://www.uniprot.org/uniprot/O43583", "O43583")</f>
        <v>O43583</v>
      </c>
      <c r="DM2012" t="s">
        <v>18129</v>
      </c>
      <c r="DN2012" t="s">
        <v>17925</v>
      </c>
      <c r="DO2012" t="s">
        <v>13772</v>
      </c>
      <c r="DP2012" t="s">
        <v>13772</v>
      </c>
      <c r="DQ2012" t="s">
        <v>13772</v>
      </c>
      <c r="DR2012" t="s">
        <v>13772</v>
      </c>
      <c r="DS2012" t="s">
        <v>13772</v>
      </c>
      <c r="DT2012" t="s">
        <v>13772</v>
      </c>
      <c r="DU2012" t="s">
        <v>18130</v>
      </c>
      <c r="DV2012" t="s">
        <v>13886</v>
      </c>
      <c r="DW2012" t="s">
        <v>13812</v>
      </c>
      <c r="DX2012" t="s">
        <v>18131</v>
      </c>
      <c r="DY2012" t="s">
        <v>13772</v>
      </c>
      <c r="DZ2012" t="s">
        <v>18132</v>
      </c>
      <c r="EA2012" t="s">
        <v>13772</v>
      </c>
      <c r="EB2012" t="s">
        <v>13772</v>
      </c>
    </row>
    <row r="2013" spans="1:132" hidden="1">
      <c r="A2013">
        <v>465</v>
      </c>
      <c r="B2013">
        <v>1</v>
      </c>
      <c r="C2013" t="s">
        <v>1165</v>
      </c>
      <c r="D2013" t="s">
        <v>1166</v>
      </c>
      <c r="E2013" t="s">
        <v>73</v>
      </c>
      <c r="F2013" t="s">
        <v>73</v>
      </c>
      <c r="G2013" t="s">
        <v>73</v>
      </c>
      <c r="H2013">
        <v>2.2000000000000002</v>
      </c>
      <c r="I2013">
        <v>400</v>
      </c>
      <c r="J2013">
        <v>45144</v>
      </c>
      <c r="K2013" t="s">
        <v>1167</v>
      </c>
      <c r="L2013">
        <f t="shared" si="126"/>
        <v>4</v>
      </c>
      <c r="N2013">
        <v>4</v>
      </c>
      <c r="O2013">
        <v>4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0</v>
      </c>
      <c r="BB2013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1</v>
      </c>
      <c r="BN2013" s="2">
        <v>0</v>
      </c>
      <c r="BO2013" s="2">
        <v>0</v>
      </c>
      <c r="BP2013" s="2">
        <v>0</v>
      </c>
      <c r="BQ2013" s="2">
        <v>0</v>
      </c>
      <c r="BR2013" s="2">
        <v>2</v>
      </c>
      <c r="BS2013" s="2">
        <v>0</v>
      </c>
      <c r="BT2013" s="2">
        <v>0</v>
      </c>
      <c r="BU2013" s="2">
        <v>1</v>
      </c>
      <c r="BV2013" s="2">
        <f t="shared" si="129"/>
        <v>4</v>
      </c>
      <c r="BW2013" s="16">
        <f t="shared" si="127"/>
        <v>0.21052631578947367</v>
      </c>
      <c r="BX2013" s="16">
        <f>COUNTIF($BC$6:BU2013, "=0") / COUNTIF($BC$6:BU2013, "&gt;-1")</f>
        <v>0.48199308031033761</v>
      </c>
      <c r="BY2013" s="18">
        <f>SUM($BC$6:BU2013) / $BY$4</f>
        <v>0.99685659016028294</v>
      </c>
      <c r="BZ2013" s="14">
        <f t="shared" si="128"/>
        <v>16</v>
      </c>
      <c r="CA2013" t="s">
        <v>5832</v>
      </c>
      <c r="CZ2013" t="s">
        <v>7315</v>
      </c>
      <c r="DA2013" t="s">
        <v>5904</v>
      </c>
      <c r="DB2013">
        <v>476.1</v>
      </c>
      <c r="DC2013" t="s">
        <v>18326</v>
      </c>
      <c r="DD2013" t="s">
        <v>18327</v>
      </c>
      <c r="DE2013" t="s">
        <v>18328</v>
      </c>
      <c r="DF2013" t="s">
        <v>18329</v>
      </c>
      <c r="DG2013" t="s">
        <v>18330</v>
      </c>
      <c r="DH2013" t="str">
        <f>"CASP4"</f>
        <v>CASP4</v>
      </c>
      <c r="DI2013" t="s">
        <v>18331</v>
      </c>
      <c r="DJ2013" t="s">
        <v>13777</v>
      </c>
      <c r="DK2013">
        <v>9606</v>
      </c>
      <c r="DL2013" s="34" t="str">
        <f>HYPERLINK("http://www.uniprot.org/uniprot/P49662", "P49662")</f>
        <v>P49662</v>
      </c>
      <c r="DM2013" t="s">
        <v>18332</v>
      </c>
      <c r="DN2013" t="s">
        <v>18333</v>
      </c>
      <c r="DO2013" t="s">
        <v>18334</v>
      </c>
      <c r="DP2013" t="s">
        <v>13780</v>
      </c>
      <c r="DQ2013" t="s">
        <v>13772</v>
      </c>
      <c r="DR2013" t="s">
        <v>13772</v>
      </c>
      <c r="DS2013" t="s">
        <v>13772</v>
      </c>
      <c r="DT2013" t="s">
        <v>13772</v>
      </c>
      <c r="DU2013" t="s">
        <v>14083</v>
      </c>
      <c r="DV2013" t="s">
        <v>14565</v>
      </c>
      <c r="DW2013" t="s">
        <v>13772</v>
      </c>
      <c r="DX2013" t="s">
        <v>18335</v>
      </c>
      <c r="DY2013" t="s">
        <v>18336</v>
      </c>
      <c r="DZ2013" t="s">
        <v>18337</v>
      </c>
      <c r="EA2013" t="s">
        <v>13772</v>
      </c>
      <c r="EB2013" t="s">
        <v>18338</v>
      </c>
    </row>
    <row r="2014" spans="1:132" hidden="1">
      <c r="A2014">
        <v>500</v>
      </c>
      <c r="B2014">
        <v>1</v>
      </c>
      <c r="C2014" t="s">
        <v>1260</v>
      </c>
      <c r="D2014" t="s">
        <v>73</v>
      </c>
      <c r="E2014" t="s">
        <v>73</v>
      </c>
      <c r="F2014" t="s">
        <v>73</v>
      </c>
      <c r="G2014" t="s">
        <v>73</v>
      </c>
      <c r="H2014">
        <v>8.4</v>
      </c>
      <c r="I2014">
        <v>417</v>
      </c>
      <c r="J2014">
        <v>45804</v>
      </c>
      <c r="K2014" t="s">
        <v>1261</v>
      </c>
      <c r="L2014">
        <f t="shared" si="126"/>
        <v>4</v>
      </c>
      <c r="N2014">
        <v>4</v>
      </c>
      <c r="O2014">
        <v>4</v>
      </c>
      <c r="P2014">
        <v>1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2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 s="2">
        <v>0</v>
      </c>
      <c r="BD2014" s="2">
        <v>0</v>
      </c>
      <c r="BE2014" s="2">
        <v>2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2</v>
      </c>
      <c r="BT2014" s="2">
        <v>0</v>
      </c>
      <c r="BU2014" s="2">
        <v>0</v>
      </c>
      <c r="BV2014" s="2">
        <f t="shared" si="129"/>
        <v>4</v>
      </c>
      <c r="BW2014" s="16">
        <f t="shared" si="127"/>
        <v>0.21052631578947367</v>
      </c>
      <c r="BX2014" s="16">
        <f>COUNTIF($BC$6:BU2014, "=0") / COUNTIF($BC$6:BU2014, "&gt;-1")</f>
        <v>0.48219852767808019</v>
      </c>
      <c r="BY2014" s="18">
        <f>SUM($BC$6:BU2014) / $BY$4</f>
        <v>0.9968737247077577</v>
      </c>
      <c r="BZ2014" s="14">
        <f t="shared" si="128"/>
        <v>17</v>
      </c>
      <c r="CA2014" t="s">
        <v>5832</v>
      </c>
      <c r="CZ2014" t="s">
        <v>7444</v>
      </c>
      <c r="DA2014" t="s">
        <v>5904</v>
      </c>
      <c r="DB2014">
        <v>689.9</v>
      </c>
      <c r="DC2014" t="s">
        <v>18702</v>
      </c>
      <c r="DD2014" t="s">
        <v>18703</v>
      </c>
      <c r="DE2014" t="s">
        <v>18704</v>
      </c>
      <c r="DF2014" t="s">
        <v>18705</v>
      </c>
      <c r="DG2014" t="s">
        <v>18706</v>
      </c>
      <c r="DH2014" t="str">
        <f>"CBLIF"</f>
        <v>CBLIF</v>
      </c>
      <c r="DI2014" t="s">
        <v>13772</v>
      </c>
      <c r="DJ2014" t="s">
        <v>13777</v>
      </c>
      <c r="DK2014">
        <v>9606</v>
      </c>
      <c r="DL2014" s="34" t="str">
        <f>HYPERLINK("http://www.uniprot.org/uniprot/P27352", "P27352")</f>
        <v>P27352</v>
      </c>
      <c r="DM2014" t="s">
        <v>18707</v>
      </c>
      <c r="DN2014" t="s">
        <v>18708</v>
      </c>
      <c r="DO2014" t="s">
        <v>14321</v>
      </c>
      <c r="DP2014" t="s">
        <v>13780</v>
      </c>
      <c r="DQ2014" t="s">
        <v>13772</v>
      </c>
      <c r="DR2014" t="s">
        <v>13807</v>
      </c>
      <c r="DS2014" t="s">
        <v>13808</v>
      </c>
      <c r="DT2014" t="s">
        <v>18709</v>
      </c>
      <c r="DU2014" t="s">
        <v>13772</v>
      </c>
      <c r="DV2014" t="s">
        <v>13964</v>
      </c>
      <c r="DW2014" t="s">
        <v>13812</v>
      </c>
      <c r="DX2014" t="s">
        <v>18710</v>
      </c>
      <c r="DY2014" t="s">
        <v>18711</v>
      </c>
      <c r="DZ2014" t="s">
        <v>18712</v>
      </c>
      <c r="EA2014" t="s">
        <v>13772</v>
      </c>
      <c r="EB2014" t="s">
        <v>18713</v>
      </c>
    </row>
    <row r="2015" spans="1:132" hidden="1">
      <c r="A2015">
        <v>510</v>
      </c>
      <c r="B2015">
        <v>1</v>
      </c>
      <c r="C2015" t="s">
        <v>1286</v>
      </c>
      <c r="D2015" t="s">
        <v>1287</v>
      </c>
      <c r="E2015" t="s">
        <v>73</v>
      </c>
      <c r="F2015" t="s">
        <v>73</v>
      </c>
      <c r="G2015" t="s">
        <v>73</v>
      </c>
      <c r="H2015">
        <v>8.3000000000000007</v>
      </c>
      <c r="I2015">
        <v>133</v>
      </c>
      <c r="J2015">
        <v>14395</v>
      </c>
      <c r="K2015" t="s">
        <v>1288</v>
      </c>
      <c r="L2015">
        <f t="shared" si="126"/>
        <v>4</v>
      </c>
      <c r="N2015">
        <v>4</v>
      </c>
      <c r="O2015">
        <v>4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2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2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</v>
      </c>
      <c r="BL2015" s="2">
        <v>0</v>
      </c>
      <c r="BM2015" s="2">
        <v>2</v>
      </c>
      <c r="BN2015" s="2">
        <v>1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f t="shared" si="129"/>
        <v>4</v>
      </c>
      <c r="BW2015" s="16">
        <f t="shared" si="127"/>
        <v>0.21052631578947367</v>
      </c>
      <c r="BX2015" s="16">
        <f>COUNTIF($BC$6:BU2015, "=0") / COUNTIF($BC$6:BU2015, "&gt;-1")</f>
        <v>0.48237758575543338</v>
      </c>
      <c r="BY2015" s="18">
        <f>SUM($BC$6:BU2015) / $BY$4</f>
        <v>0.99689085925523258</v>
      </c>
      <c r="BZ2015" s="14">
        <f t="shared" si="128"/>
        <v>16</v>
      </c>
      <c r="CA2015" t="s">
        <v>5832</v>
      </c>
      <c r="CZ2015" t="s">
        <v>7482</v>
      </c>
      <c r="DA2015" t="s">
        <v>5904</v>
      </c>
      <c r="DB2015">
        <v>142.1</v>
      </c>
      <c r="DC2015" t="s">
        <v>18814</v>
      </c>
      <c r="DD2015" t="s">
        <v>13772</v>
      </c>
      <c r="DE2015" t="s">
        <v>18815</v>
      </c>
      <c r="DF2015" t="s">
        <v>18816</v>
      </c>
      <c r="DG2015" t="s">
        <v>18817</v>
      </c>
      <c r="DH2015" t="str">
        <f>"FAU"</f>
        <v>FAU</v>
      </c>
      <c r="DI2015" t="s">
        <v>13772</v>
      </c>
      <c r="DJ2015" t="s">
        <v>13777</v>
      </c>
      <c r="DK2015">
        <v>9606</v>
      </c>
      <c r="DL2015" s="34" t="str">
        <f>HYPERLINK("http://www.uniprot.org/uniprot/P35544", "P35544")</f>
        <v>P35544</v>
      </c>
      <c r="DM2015" t="s">
        <v>18818</v>
      </c>
      <c r="DN2015" t="s">
        <v>13772</v>
      </c>
      <c r="DO2015" t="s">
        <v>13772</v>
      </c>
      <c r="DP2015" t="s">
        <v>13793</v>
      </c>
      <c r="DQ2015" t="s">
        <v>13772</v>
      </c>
      <c r="DR2015" t="s">
        <v>13772</v>
      </c>
      <c r="DS2015" t="s">
        <v>13772</v>
      </c>
      <c r="DT2015" t="s">
        <v>13772</v>
      </c>
      <c r="DU2015" t="s">
        <v>13772</v>
      </c>
      <c r="DV2015" t="s">
        <v>13772</v>
      </c>
      <c r="DW2015" t="s">
        <v>13812</v>
      </c>
      <c r="DX2015" t="s">
        <v>13772</v>
      </c>
      <c r="DY2015" t="s">
        <v>13772</v>
      </c>
      <c r="DZ2015" t="s">
        <v>14235</v>
      </c>
      <c r="EA2015" t="s">
        <v>13772</v>
      </c>
      <c r="EB2015" t="s">
        <v>13772</v>
      </c>
    </row>
    <row r="2016" spans="1:132" hidden="1">
      <c r="A2016">
        <v>516</v>
      </c>
      <c r="B2016">
        <v>1</v>
      </c>
      <c r="C2016" t="s">
        <v>1302</v>
      </c>
      <c r="D2016" t="s">
        <v>73</v>
      </c>
      <c r="E2016" t="s">
        <v>73</v>
      </c>
      <c r="F2016" t="s">
        <v>73</v>
      </c>
      <c r="G2016" t="s">
        <v>73</v>
      </c>
      <c r="H2016">
        <v>29.8</v>
      </c>
      <c r="I2016">
        <v>235</v>
      </c>
      <c r="J2016">
        <v>25896</v>
      </c>
      <c r="K2016" t="s">
        <v>1303</v>
      </c>
      <c r="L2016">
        <f t="shared" si="126"/>
        <v>4</v>
      </c>
      <c r="N2016">
        <v>4</v>
      </c>
      <c r="O2016">
        <v>4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1</v>
      </c>
      <c r="BI2016" s="2">
        <v>0</v>
      </c>
      <c r="BJ2016" s="2">
        <v>0</v>
      </c>
      <c r="BK2016" s="2">
        <v>1</v>
      </c>
      <c r="BL2016" s="2">
        <v>0</v>
      </c>
      <c r="BM2016" s="2">
        <v>2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f t="shared" si="129"/>
        <v>4</v>
      </c>
      <c r="BW2016" s="16">
        <f t="shared" si="127"/>
        <v>0.21052631578947367</v>
      </c>
      <c r="BX2016" s="16">
        <f>COUNTIF($BC$6:BU2016, "=0") / COUNTIF($BC$6:BU2016, "&gt;-1")</f>
        <v>0.48255646575414168</v>
      </c>
      <c r="BY2016" s="18">
        <f>SUM($BC$6:BU2016) / $BY$4</f>
        <v>0.99690799380270734</v>
      </c>
      <c r="BZ2016" s="14">
        <f t="shared" si="128"/>
        <v>16</v>
      </c>
      <c r="CA2016" t="s">
        <v>5832</v>
      </c>
      <c r="CZ2016" t="s">
        <v>7504</v>
      </c>
      <c r="DA2016" t="s">
        <v>5904</v>
      </c>
      <c r="DB2016">
        <v>382.1</v>
      </c>
      <c r="DC2016" t="s">
        <v>18873</v>
      </c>
      <c r="DD2016" t="s">
        <v>18874</v>
      </c>
      <c r="DE2016" t="s">
        <v>18875</v>
      </c>
      <c r="DF2016" t="s">
        <v>18876</v>
      </c>
      <c r="DG2016" t="s">
        <v>18877</v>
      </c>
      <c r="DH2016" t="str">
        <f>"CLNS1A"</f>
        <v>CLNS1A</v>
      </c>
      <c r="DI2016" t="s">
        <v>18878</v>
      </c>
      <c r="DJ2016" t="s">
        <v>13777</v>
      </c>
      <c r="DK2016">
        <v>9606</v>
      </c>
      <c r="DL2016" s="34" t="str">
        <f>HYPERLINK("http://www.uniprot.org/uniprot/P54105", "P54105")</f>
        <v>P54105</v>
      </c>
      <c r="DM2016" t="s">
        <v>18879</v>
      </c>
      <c r="DN2016" t="s">
        <v>13772</v>
      </c>
      <c r="DO2016" t="s">
        <v>15843</v>
      </c>
      <c r="DP2016" t="s">
        <v>13793</v>
      </c>
      <c r="DQ2016" t="s">
        <v>13772</v>
      </c>
      <c r="DR2016" t="s">
        <v>13772</v>
      </c>
      <c r="DS2016" t="s">
        <v>13772</v>
      </c>
      <c r="DT2016" t="s">
        <v>13772</v>
      </c>
      <c r="DU2016" t="s">
        <v>13772</v>
      </c>
      <c r="DV2016" t="s">
        <v>13886</v>
      </c>
      <c r="DW2016" t="s">
        <v>13772</v>
      </c>
      <c r="DX2016" t="s">
        <v>18880</v>
      </c>
      <c r="DY2016" t="s">
        <v>18881</v>
      </c>
      <c r="DZ2016" t="s">
        <v>18882</v>
      </c>
      <c r="EA2016" t="s">
        <v>13772</v>
      </c>
      <c r="EB2016" t="s">
        <v>18883</v>
      </c>
    </row>
    <row r="2017" spans="1:132" hidden="1">
      <c r="A2017">
        <v>611</v>
      </c>
      <c r="B2017">
        <v>1</v>
      </c>
      <c r="C2017" t="s">
        <v>1512</v>
      </c>
      <c r="D2017" t="s">
        <v>1513</v>
      </c>
      <c r="E2017" t="s">
        <v>73</v>
      </c>
      <c r="F2017" t="s">
        <v>1432</v>
      </c>
      <c r="G2017" t="s">
        <v>73</v>
      </c>
      <c r="H2017">
        <v>10.4</v>
      </c>
      <c r="I2017">
        <v>374</v>
      </c>
      <c r="J2017">
        <v>40914</v>
      </c>
      <c r="K2017" t="s">
        <v>1514</v>
      </c>
      <c r="L2017">
        <f t="shared" si="126"/>
        <v>5</v>
      </c>
      <c r="N2017">
        <v>5</v>
      </c>
      <c r="O2017">
        <v>4</v>
      </c>
      <c r="P2017">
        <v>0.8</v>
      </c>
      <c r="Q2017">
        <v>0</v>
      </c>
      <c r="R2017">
        <v>2</v>
      </c>
      <c r="S2017">
        <v>2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2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 s="2">
        <v>0</v>
      </c>
      <c r="BD2017" s="2">
        <v>2</v>
      </c>
      <c r="BE2017" s="2">
        <v>2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f t="shared" si="129"/>
        <v>4</v>
      </c>
      <c r="BW2017" s="16">
        <f t="shared" si="127"/>
        <v>0.21052631578947367</v>
      </c>
      <c r="BX2017" s="16">
        <f>COUNTIF($BC$6:BU2017, "=0") / COUNTIF($BC$6:BU2017, "&gt;-1")</f>
        <v>0.482761326776185</v>
      </c>
      <c r="BY2017" s="18">
        <f>SUM($BC$6:BU2017) / $BY$4</f>
        <v>0.9969251283501821</v>
      </c>
      <c r="BZ2017" s="14">
        <f t="shared" si="128"/>
        <v>17</v>
      </c>
      <c r="CA2017" t="s">
        <v>5832</v>
      </c>
      <c r="CZ2017" t="s">
        <v>7808</v>
      </c>
      <c r="DA2017" t="s">
        <v>5904</v>
      </c>
      <c r="DB2017">
        <v>591.70000000000005</v>
      </c>
      <c r="DC2017" t="s">
        <v>19822</v>
      </c>
      <c r="DD2017" t="s">
        <v>19823</v>
      </c>
      <c r="DE2017" t="s">
        <v>19824</v>
      </c>
      <c r="DF2017" t="s">
        <v>19825</v>
      </c>
      <c r="DG2017" t="s">
        <v>19826</v>
      </c>
      <c r="DH2017" t="str">
        <f>"OPCML"</f>
        <v>OPCML</v>
      </c>
      <c r="DI2017" t="s">
        <v>19827</v>
      </c>
      <c r="DJ2017" t="s">
        <v>13777</v>
      </c>
      <c r="DK2017">
        <v>9606</v>
      </c>
      <c r="DL2017" s="34" t="str">
        <f>HYPERLINK("http://www.uniprot.org/uniprot/Q14982", "Q14982")</f>
        <v>Q14982</v>
      </c>
      <c r="DM2017" t="s">
        <v>19828</v>
      </c>
      <c r="DN2017" t="s">
        <v>13949</v>
      </c>
      <c r="DO2017" t="s">
        <v>13792</v>
      </c>
      <c r="DP2017" t="s">
        <v>13841</v>
      </c>
      <c r="DQ2017" t="s">
        <v>13772</v>
      </c>
      <c r="DR2017" t="s">
        <v>13807</v>
      </c>
      <c r="DS2017" t="s">
        <v>16182</v>
      </c>
      <c r="DT2017" t="s">
        <v>13772</v>
      </c>
      <c r="DU2017" t="s">
        <v>13772</v>
      </c>
      <c r="DV2017" t="s">
        <v>15699</v>
      </c>
      <c r="DW2017" t="s">
        <v>13812</v>
      </c>
      <c r="DX2017" t="s">
        <v>19452</v>
      </c>
      <c r="DY2017" t="s">
        <v>19453</v>
      </c>
      <c r="DZ2017" t="s">
        <v>13772</v>
      </c>
      <c r="EA2017" t="s">
        <v>13772</v>
      </c>
      <c r="EB2017" t="s">
        <v>16280</v>
      </c>
    </row>
    <row r="2018" spans="1:132" hidden="1">
      <c r="A2018">
        <v>619</v>
      </c>
      <c r="B2018">
        <v>1</v>
      </c>
      <c r="C2018" t="s">
        <v>1533</v>
      </c>
      <c r="D2018" t="s">
        <v>73</v>
      </c>
      <c r="E2018" t="s">
        <v>73</v>
      </c>
      <c r="F2018" t="s">
        <v>73</v>
      </c>
      <c r="G2018" t="s">
        <v>73</v>
      </c>
      <c r="H2018">
        <v>13</v>
      </c>
      <c r="I2018">
        <v>316</v>
      </c>
      <c r="J2018">
        <v>34833</v>
      </c>
      <c r="K2018" t="s">
        <v>1534</v>
      </c>
      <c r="L2018">
        <f t="shared" si="126"/>
        <v>4</v>
      </c>
      <c r="N2018">
        <v>4</v>
      </c>
      <c r="O2018">
        <v>4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2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 s="2">
        <v>0</v>
      </c>
      <c r="BD2018" s="2">
        <v>1</v>
      </c>
      <c r="BE2018" s="2">
        <v>0</v>
      </c>
      <c r="BF2018" s="2">
        <v>0</v>
      </c>
      <c r="BG2018" s="2">
        <v>1</v>
      </c>
      <c r="BH2018" s="2">
        <v>2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f t="shared" si="129"/>
        <v>4</v>
      </c>
      <c r="BW2018" s="16">
        <f t="shared" si="127"/>
        <v>0.21052631578947367</v>
      </c>
      <c r="BX2018" s="16">
        <f>COUNTIF($BC$6:BU2018, "=0") / COUNTIF($BC$6:BU2018, "&gt;-1")</f>
        <v>0.48293983841869953</v>
      </c>
      <c r="BY2018" s="18">
        <f>SUM($BC$6:BU2018) / $BY$4</f>
        <v>0.99694226289765697</v>
      </c>
      <c r="BZ2018" s="14">
        <f t="shared" si="128"/>
        <v>16</v>
      </c>
      <c r="CA2018" t="s">
        <v>5832</v>
      </c>
      <c r="CZ2018" t="s">
        <v>7837</v>
      </c>
      <c r="DA2018" t="s">
        <v>5904</v>
      </c>
      <c r="DB2018">
        <v>652.9</v>
      </c>
      <c r="DC2018" t="s">
        <v>19909</v>
      </c>
      <c r="DD2018" t="s">
        <v>19910</v>
      </c>
      <c r="DE2018" t="s">
        <v>19911</v>
      </c>
      <c r="DF2018" t="s">
        <v>19912</v>
      </c>
      <c r="DG2018" t="s">
        <v>19913</v>
      </c>
      <c r="DH2018" t="str">
        <f>"GTF2B"</f>
        <v>GTF2B</v>
      </c>
      <c r="DI2018" t="s">
        <v>19914</v>
      </c>
      <c r="DJ2018" t="s">
        <v>13777</v>
      </c>
      <c r="DK2018">
        <v>9606</v>
      </c>
      <c r="DL2018" s="34" t="str">
        <f>HYPERLINK("http://www.uniprot.org/uniprot/Q00403", "Q00403")</f>
        <v>Q00403</v>
      </c>
      <c r="DM2018" t="s">
        <v>19915</v>
      </c>
      <c r="DN2018" t="s">
        <v>19916</v>
      </c>
      <c r="DO2018" t="s">
        <v>19917</v>
      </c>
      <c r="DP2018" t="s">
        <v>13793</v>
      </c>
      <c r="DQ2018" t="s">
        <v>13772</v>
      </c>
      <c r="DR2018" t="s">
        <v>13772</v>
      </c>
      <c r="DS2018" t="s">
        <v>17779</v>
      </c>
      <c r="DT2018" t="s">
        <v>13856</v>
      </c>
      <c r="DU2018" t="s">
        <v>19918</v>
      </c>
      <c r="DV2018" t="s">
        <v>13886</v>
      </c>
      <c r="DW2018" t="s">
        <v>13812</v>
      </c>
      <c r="DX2018" t="s">
        <v>19919</v>
      </c>
      <c r="DY2018" t="s">
        <v>19920</v>
      </c>
      <c r="DZ2018" t="s">
        <v>19921</v>
      </c>
      <c r="EA2018" t="s">
        <v>13772</v>
      </c>
      <c r="EB2018" t="s">
        <v>19922</v>
      </c>
    </row>
    <row r="2019" spans="1:132" hidden="1">
      <c r="A2019">
        <v>636</v>
      </c>
      <c r="B2019">
        <v>1</v>
      </c>
      <c r="C2019" t="s">
        <v>1573</v>
      </c>
      <c r="D2019" t="s">
        <v>1574</v>
      </c>
      <c r="E2019" t="s">
        <v>73</v>
      </c>
      <c r="F2019" t="s">
        <v>73</v>
      </c>
      <c r="G2019" t="s">
        <v>73</v>
      </c>
      <c r="H2019">
        <v>8.1</v>
      </c>
      <c r="I2019">
        <v>420</v>
      </c>
      <c r="J2019">
        <v>50134</v>
      </c>
      <c r="K2019" t="s">
        <v>1575</v>
      </c>
      <c r="L2019">
        <f t="shared" si="126"/>
        <v>4</v>
      </c>
      <c r="N2019">
        <v>4</v>
      </c>
      <c r="O2019">
        <v>4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2</v>
      </c>
      <c r="Z2019">
        <v>0</v>
      </c>
      <c r="AA2019">
        <v>0</v>
      </c>
      <c r="AB2019">
        <v>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2</v>
      </c>
      <c r="AS2019">
        <v>0</v>
      </c>
      <c r="AT2019">
        <v>0</v>
      </c>
      <c r="AU2019">
        <v>2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2</v>
      </c>
      <c r="BL2019" s="2">
        <v>0</v>
      </c>
      <c r="BM2019" s="2">
        <v>0</v>
      </c>
      <c r="BN2019" s="2">
        <v>2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f t="shared" si="129"/>
        <v>4</v>
      </c>
      <c r="BW2019" s="16">
        <f t="shared" si="127"/>
        <v>0.21052631578947367</v>
      </c>
      <c r="BX2019" s="16">
        <f>COUNTIF($BC$6:BU2019, "=0") / COUNTIF($BC$6:BU2019, "&gt;-1")</f>
        <v>0.48314430564992422</v>
      </c>
      <c r="BY2019" s="18">
        <f>SUM($BC$6:BU2019) / $BY$4</f>
        <v>0.99695939744513173</v>
      </c>
      <c r="BZ2019" s="14">
        <f t="shared" si="128"/>
        <v>17</v>
      </c>
      <c r="CA2019" t="s">
        <v>5832</v>
      </c>
      <c r="CZ2019" t="s">
        <v>7891</v>
      </c>
      <c r="DA2019" t="s">
        <v>5904</v>
      </c>
      <c r="DB2019">
        <v>741.9</v>
      </c>
      <c r="DC2019" t="s">
        <v>20062</v>
      </c>
      <c r="DD2019" t="s">
        <v>20063</v>
      </c>
      <c r="DE2019" t="s">
        <v>20064</v>
      </c>
      <c r="DF2019" t="s">
        <v>20065</v>
      </c>
      <c r="DG2019" t="s">
        <v>20066</v>
      </c>
      <c r="DH2019" t="str">
        <f>"NUCB2"</f>
        <v>NUCB2</v>
      </c>
      <c r="DI2019" t="s">
        <v>20067</v>
      </c>
      <c r="DJ2019" t="s">
        <v>13777</v>
      </c>
      <c r="DK2019">
        <v>9606</v>
      </c>
      <c r="DL2019" s="34" t="str">
        <f>HYPERLINK("http://www.uniprot.org/uniprot/P80303", "P80303")</f>
        <v>P80303</v>
      </c>
      <c r="DM2019" t="s">
        <v>20068</v>
      </c>
      <c r="DN2019" t="s">
        <v>13772</v>
      </c>
      <c r="DO2019" t="s">
        <v>20069</v>
      </c>
      <c r="DP2019" t="s">
        <v>13780</v>
      </c>
      <c r="DQ2019" t="s">
        <v>13772</v>
      </c>
      <c r="DR2019" t="s">
        <v>13772</v>
      </c>
      <c r="DS2019" t="s">
        <v>14404</v>
      </c>
      <c r="DT2019" t="s">
        <v>13873</v>
      </c>
      <c r="DU2019" t="s">
        <v>15871</v>
      </c>
      <c r="DV2019" t="s">
        <v>20070</v>
      </c>
      <c r="DW2019" t="s">
        <v>13772</v>
      </c>
      <c r="DX2019" t="s">
        <v>20071</v>
      </c>
      <c r="DY2019" t="s">
        <v>20072</v>
      </c>
      <c r="DZ2019" t="s">
        <v>20073</v>
      </c>
      <c r="EA2019" t="s">
        <v>13772</v>
      </c>
      <c r="EB2019" t="s">
        <v>13772</v>
      </c>
    </row>
    <row r="2020" spans="1:132" hidden="1">
      <c r="A2020">
        <v>665</v>
      </c>
      <c r="B2020">
        <v>1</v>
      </c>
      <c r="C2020" t="s">
        <v>1640</v>
      </c>
      <c r="D2020" t="s">
        <v>73</v>
      </c>
      <c r="E2020" t="s">
        <v>73</v>
      </c>
      <c r="F2020" t="s">
        <v>73</v>
      </c>
      <c r="G2020" t="s">
        <v>73</v>
      </c>
      <c r="H2020">
        <v>8.5</v>
      </c>
      <c r="I2020">
        <v>624</v>
      </c>
      <c r="J2020">
        <v>69179</v>
      </c>
      <c r="K2020" t="s">
        <v>1641</v>
      </c>
      <c r="L2020">
        <f t="shared" si="126"/>
        <v>4</v>
      </c>
      <c r="N2020">
        <v>4</v>
      </c>
      <c r="O2020">
        <v>4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2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2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 s="2">
        <v>0</v>
      </c>
      <c r="BD2020" s="2">
        <v>1</v>
      </c>
      <c r="BE2020" s="2">
        <v>0</v>
      </c>
      <c r="BF2020" s="2">
        <v>0</v>
      </c>
      <c r="BG2020" s="2">
        <v>2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f t="shared" si="129"/>
        <v>4</v>
      </c>
      <c r="BW2020" s="16">
        <f t="shared" si="127"/>
        <v>0.21052631578947367</v>
      </c>
      <c r="BX2020" s="16">
        <f>COUNTIF($BC$6:BU2020, "=0") / COUNTIF($BC$6:BU2020, "&gt;-1")</f>
        <v>0.48332245004570978</v>
      </c>
      <c r="BY2020" s="18">
        <f>SUM($BC$6:BU2020) / $BY$4</f>
        <v>0.99697653199260661</v>
      </c>
      <c r="BZ2020" s="14">
        <f t="shared" si="128"/>
        <v>16</v>
      </c>
      <c r="CA2020" t="s">
        <v>5832</v>
      </c>
      <c r="CZ2020" t="s">
        <v>7987</v>
      </c>
      <c r="DA2020" t="s">
        <v>5904</v>
      </c>
      <c r="DB2020">
        <v>1056.2</v>
      </c>
      <c r="DC2020" t="s">
        <v>20338</v>
      </c>
      <c r="DD2020" t="s">
        <v>20339</v>
      </c>
      <c r="DE2020" t="s">
        <v>20340</v>
      </c>
      <c r="DF2020" t="s">
        <v>20341</v>
      </c>
      <c r="DG2020" t="s">
        <v>20342</v>
      </c>
      <c r="DH2020" t="str">
        <f>"STXBP2"</f>
        <v>STXBP2</v>
      </c>
      <c r="DI2020" t="s">
        <v>20343</v>
      </c>
      <c r="DJ2020" t="s">
        <v>13777</v>
      </c>
      <c r="DK2020">
        <v>9606</v>
      </c>
      <c r="DL2020" s="34" t="str">
        <f>HYPERLINK("http://www.uniprot.org/uniprot/Q15833", "Q15833")</f>
        <v>Q15833</v>
      </c>
      <c r="DM2020" t="s">
        <v>20344</v>
      </c>
      <c r="DN2020" t="s">
        <v>20345</v>
      </c>
      <c r="DO2020" t="s">
        <v>13772</v>
      </c>
      <c r="DP2020" t="s">
        <v>13780</v>
      </c>
      <c r="DQ2020" t="s">
        <v>13772</v>
      </c>
      <c r="DR2020" t="s">
        <v>13807</v>
      </c>
      <c r="DS2020" t="s">
        <v>13772</v>
      </c>
      <c r="DT2020" t="s">
        <v>13772</v>
      </c>
      <c r="DU2020" t="s">
        <v>13772</v>
      </c>
      <c r="DV2020" t="s">
        <v>13772</v>
      </c>
      <c r="DW2020" t="s">
        <v>13812</v>
      </c>
      <c r="DX2020" t="s">
        <v>20346</v>
      </c>
      <c r="DY2020" t="s">
        <v>20347</v>
      </c>
      <c r="DZ2020" t="s">
        <v>20348</v>
      </c>
      <c r="EA2020" t="s">
        <v>13772</v>
      </c>
      <c r="EB2020" t="s">
        <v>20349</v>
      </c>
    </row>
    <row r="2021" spans="1:132" hidden="1">
      <c r="A2021">
        <v>699</v>
      </c>
      <c r="B2021">
        <v>1</v>
      </c>
      <c r="C2021" t="s">
        <v>1720</v>
      </c>
      <c r="D2021" t="s">
        <v>1721</v>
      </c>
      <c r="E2021" t="s">
        <v>73</v>
      </c>
      <c r="F2021" t="s">
        <v>73</v>
      </c>
      <c r="G2021" t="s">
        <v>73</v>
      </c>
      <c r="H2021">
        <v>13.9</v>
      </c>
      <c r="I2021">
        <v>296</v>
      </c>
      <c r="J2021">
        <v>33577</v>
      </c>
      <c r="K2021" t="s">
        <v>1722</v>
      </c>
      <c r="L2021">
        <f t="shared" si="126"/>
        <v>4</v>
      </c>
      <c r="N2021">
        <v>4</v>
      </c>
      <c r="O2021">
        <v>4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</v>
      </c>
      <c r="Z2021">
        <v>0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2</v>
      </c>
      <c r="AS2021">
        <v>0</v>
      </c>
      <c r="AT2021">
        <v>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2</v>
      </c>
      <c r="BL2021" s="2">
        <v>0</v>
      </c>
      <c r="BM2021" s="2">
        <v>2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f t="shared" si="129"/>
        <v>4</v>
      </c>
      <c r="BW2021" s="16">
        <f t="shared" si="127"/>
        <v>0.21052631578947367</v>
      </c>
      <c r="BX2021" s="16">
        <f>COUNTIF($BC$6:BU2021, "=0") / COUNTIF($BC$6:BU2021, "&gt;-1")</f>
        <v>0.48352652464494572</v>
      </c>
      <c r="BY2021" s="18">
        <f>SUM($BC$6:BU2021) / $BY$4</f>
        <v>0.99699366654008137</v>
      </c>
      <c r="BZ2021" s="14">
        <f t="shared" si="128"/>
        <v>17</v>
      </c>
      <c r="CA2021" t="s">
        <v>5832</v>
      </c>
      <c r="CZ2021" t="s">
        <v>8103</v>
      </c>
      <c r="DA2021" t="s">
        <v>5904</v>
      </c>
      <c r="DB2021">
        <v>540</v>
      </c>
      <c r="DC2021" t="s">
        <v>20691</v>
      </c>
      <c r="DD2021" t="s">
        <v>13772</v>
      </c>
      <c r="DE2021" t="s">
        <v>20692</v>
      </c>
      <c r="DF2021" t="s">
        <v>20693</v>
      </c>
      <c r="DG2021" t="s">
        <v>20694</v>
      </c>
      <c r="DH2021" t="str">
        <f>"MYD88"</f>
        <v>MYD88</v>
      </c>
      <c r="DI2021" t="s">
        <v>13772</v>
      </c>
      <c r="DJ2021" t="s">
        <v>13777</v>
      </c>
      <c r="DK2021">
        <v>9606</v>
      </c>
      <c r="DL2021" s="34" t="str">
        <f>HYPERLINK("http://www.uniprot.org/uniprot/Q99836", "Q99836")</f>
        <v>Q99836</v>
      </c>
      <c r="DM2021" t="s">
        <v>20695</v>
      </c>
      <c r="DN2021" t="s">
        <v>20696</v>
      </c>
      <c r="DO2021" t="s">
        <v>13912</v>
      </c>
      <c r="DP2021" t="s">
        <v>13841</v>
      </c>
      <c r="DQ2021" t="s">
        <v>13772</v>
      </c>
      <c r="DR2021" t="s">
        <v>13807</v>
      </c>
      <c r="DS2021" t="s">
        <v>13772</v>
      </c>
      <c r="DT2021" t="s">
        <v>13772</v>
      </c>
      <c r="DU2021" t="s">
        <v>13772</v>
      </c>
      <c r="DV2021" t="s">
        <v>18636</v>
      </c>
      <c r="DW2021" t="s">
        <v>13812</v>
      </c>
      <c r="DX2021" t="s">
        <v>20697</v>
      </c>
      <c r="DY2021" t="s">
        <v>20698</v>
      </c>
      <c r="DZ2021" t="s">
        <v>20699</v>
      </c>
      <c r="EA2021" t="s">
        <v>13772</v>
      </c>
      <c r="EB2021" t="s">
        <v>20700</v>
      </c>
    </row>
    <row r="2022" spans="1:132" hidden="1">
      <c r="A2022">
        <v>723</v>
      </c>
      <c r="B2022">
        <v>1</v>
      </c>
      <c r="C2022" t="s">
        <v>1769</v>
      </c>
      <c r="D2022" t="s">
        <v>1770</v>
      </c>
      <c r="E2022" t="s">
        <v>73</v>
      </c>
      <c r="F2022" t="s">
        <v>73</v>
      </c>
      <c r="G2022" t="s">
        <v>73</v>
      </c>
      <c r="H2022">
        <v>2</v>
      </c>
      <c r="I2022">
        <v>1360</v>
      </c>
      <c r="J2022">
        <v>155039</v>
      </c>
      <c r="K2022" t="s">
        <v>1771</v>
      </c>
      <c r="L2022">
        <f t="shared" si="126"/>
        <v>4</v>
      </c>
      <c r="N2022">
        <v>4</v>
      </c>
      <c r="O2022">
        <v>4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2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1</v>
      </c>
      <c r="BM2022" s="2">
        <v>0</v>
      </c>
      <c r="BN2022" s="2">
        <v>0</v>
      </c>
      <c r="BO2022" s="2">
        <v>1</v>
      </c>
      <c r="BP2022" s="2">
        <v>2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f t="shared" si="129"/>
        <v>4</v>
      </c>
      <c r="BW2022" s="16">
        <f t="shared" si="127"/>
        <v>0.21052631578947367</v>
      </c>
      <c r="BX2022" s="16">
        <f>COUNTIF($BC$6:BU2022, "=0") / COUNTIF($BC$6:BU2022, "&gt;-1")</f>
        <v>0.48370430289904237</v>
      </c>
      <c r="BY2022" s="18">
        <f>SUM($BC$6:BU2022) / $BY$4</f>
        <v>0.99701080108755613</v>
      </c>
      <c r="BZ2022" s="14">
        <f t="shared" si="128"/>
        <v>16</v>
      </c>
      <c r="CA2022" t="s">
        <v>5832</v>
      </c>
      <c r="CZ2022" t="s">
        <v>8171</v>
      </c>
      <c r="DA2022" t="s">
        <v>5904</v>
      </c>
      <c r="DB2022">
        <v>2798.5</v>
      </c>
      <c r="DC2022" t="s">
        <v>20883</v>
      </c>
      <c r="DD2022" t="s">
        <v>13772</v>
      </c>
      <c r="DE2022" t="s">
        <v>20884</v>
      </c>
      <c r="DF2022" t="s">
        <v>20885</v>
      </c>
      <c r="DG2022" t="s">
        <v>20886</v>
      </c>
      <c r="DH2022" t="str">
        <f>"TNIK"</f>
        <v>TNIK</v>
      </c>
      <c r="DI2022" t="s">
        <v>20887</v>
      </c>
      <c r="DJ2022" t="s">
        <v>13777</v>
      </c>
      <c r="DK2022">
        <v>9606</v>
      </c>
      <c r="DL2022" s="34" t="str">
        <f>HYPERLINK("http://www.uniprot.org/uniprot/Q9UKE5", "Q9UKE5")</f>
        <v>Q9UKE5</v>
      </c>
      <c r="DM2022" t="s">
        <v>20888</v>
      </c>
      <c r="DN2022" t="s">
        <v>20889</v>
      </c>
      <c r="DO2022" t="s">
        <v>20890</v>
      </c>
      <c r="DP2022" t="s">
        <v>13780</v>
      </c>
      <c r="DQ2022" t="s">
        <v>13772</v>
      </c>
      <c r="DR2022" t="s">
        <v>17534</v>
      </c>
      <c r="DS2022" t="s">
        <v>13772</v>
      </c>
      <c r="DT2022" t="s">
        <v>14005</v>
      </c>
      <c r="DU2022" t="s">
        <v>20891</v>
      </c>
      <c r="DV2022" t="s">
        <v>13782</v>
      </c>
      <c r="DW2022" t="s">
        <v>13812</v>
      </c>
      <c r="DX2022" t="s">
        <v>20892</v>
      </c>
      <c r="DY2022" t="s">
        <v>20893</v>
      </c>
      <c r="DZ2022" t="s">
        <v>20894</v>
      </c>
      <c r="EA2022" t="s">
        <v>13772</v>
      </c>
      <c r="EB2022" t="s">
        <v>20895</v>
      </c>
    </row>
    <row r="2023" spans="1:132" hidden="1">
      <c r="A2023">
        <v>724</v>
      </c>
      <c r="B2023">
        <v>1</v>
      </c>
      <c r="C2023" t="s">
        <v>1772</v>
      </c>
      <c r="D2023" t="s">
        <v>73</v>
      </c>
      <c r="E2023" t="s">
        <v>73</v>
      </c>
      <c r="F2023" t="s">
        <v>73</v>
      </c>
      <c r="G2023" t="s">
        <v>73</v>
      </c>
      <c r="H2023">
        <v>4.8</v>
      </c>
      <c r="I2023">
        <v>665</v>
      </c>
      <c r="J2023">
        <v>74508</v>
      </c>
      <c r="K2023" t="s">
        <v>1773</v>
      </c>
      <c r="L2023">
        <f t="shared" si="126"/>
        <v>4</v>
      </c>
      <c r="N2023">
        <v>4</v>
      </c>
      <c r="O2023">
        <v>4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4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4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f t="shared" si="129"/>
        <v>4</v>
      </c>
      <c r="BW2023" s="16">
        <f t="shared" si="127"/>
        <v>0.21052631578947367</v>
      </c>
      <c r="BX2023" s="16">
        <f>COUNTIF($BC$6:BU2023, "=0") / COUNTIF($BC$6:BU2023, "&gt;-1")</f>
        <v>0.48393406708048614</v>
      </c>
      <c r="BY2023" s="18">
        <f>SUM($BC$6:BU2023) / $BY$4</f>
        <v>0.997027935635031</v>
      </c>
      <c r="BZ2023" s="14">
        <f t="shared" si="128"/>
        <v>18</v>
      </c>
      <c r="CA2023" t="s">
        <v>5832</v>
      </c>
      <c r="CZ2023" t="s">
        <v>8174</v>
      </c>
      <c r="DA2023" t="s">
        <v>5904</v>
      </c>
      <c r="DB2023">
        <v>1040.8</v>
      </c>
      <c r="DC2023" t="s">
        <v>20896</v>
      </c>
      <c r="DD2023" t="s">
        <v>20897</v>
      </c>
      <c r="DE2023" t="s">
        <v>20898</v>
      </c>
      <c r="DF2023" t="s">
        <v>20899</v>
      </c>
      <c r="DG2023" t="s">
        <v>20900</v>
      </c>
      <c r="DH2023" t="str">
        <f>"PADI4"</f>
        <v>PADI4</v>
      </c>
      <c r="DI2023" t="s">
        <v>20901</v>
      </c>
      <c r="DJ2023" t="s">
        <v>13777</v>
      </c>
      <c r="DK2023">
        <v>9606</v>
      </c>
      <c r="DL2023" s="34" t="str">
        <f>HYPERLINK("http://www.uniprot.org/uniprot/Q9UM07", "Q9UM07")</f>
        <v>Q9UM07</v>
      </c>
      <c r="DM2023" t="s">
        <v>20902</v>
      </c>
      <c r="DN2023" t="s">
        <v>19152</v>
      </c>
      <c r="DO2023" t="s">
        <v>13912</v>
      </c>
      <c r="DP2023" t="s">
        <v>13793</v>
      </c>
      <c r="DQ2023" t="s">
        <v>13772</v>
      </c>
      <c r="DR2023" t="s">
        <v>13772</v>
      </c>
      <c r="DS2023" t="s">
        <v>13772</v>
      </c>
      <c r="DT2023" t="s">
        <v>13873</v>
      </c>
      <c r="DU2023" t="s">
        <v>20903</v>
      </c>
      <c r="DV2023" t="s">
        <v>20904</v>
      </c>
      <c r="DW2023" t="s">
        <v>13812</v>
      </c>
      <c r="DX2023" t="s">
        <v>20905</v>
      </c>
      <c r="DY2023" t="s">
        <v>20906</v>
      </c>
      <c r="DZ2023" t="s">
        <v>20907</v>
      </c>
      <c r="EA2023" t="s">
        <v>13772</v>
      </c>
      <c r="EB2023" t="s">
        <v>20908</v>
      </c>
    </row>
    <row r="2024" spans="1:132" hidden="1">
      <c r="A2024">
        <v>763</v>
      </c>
      <c r="B2024">
        <v>1</v>
      </c>
      <c r="C2024" t="s">
        <v>1876</v>
      </c>
      <c r="D2024" t="s">
        <v>73</v>
      </c>
      <c r="E2024" t="s">
        <v>73</v>
      </c>
      <c r="F2024" t="s">
        <v>73</v>
      </c>
      <c r="G2024" t="s">
        <v>73</v>
      </c>
      <c r="H2024">
        <v>4.5</v>
      </c>
      <c r="I2024">
        <v>1097</v>
      </c>
      <c r="J2024">
        <v>124865</v>
      </c>
      <c r="K2024" t="s">
        <v>1877</v>
      </c>
      <c r="L2024">
        <f t="shared" si="126"/>
        <v>4</v>
      </c>
      <c r="N2024">
        <v>4</v>
      </c>
      <c r="O2024">
        <v>4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3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3</v>
      </c>
      <c r="BN2024" s="2">
        <v>0</v>
      </c>
      <c r="BO2024" s="2">
        <v>1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f t="shared" si="129"/>
        <v>4</v>
      </c>
      <c r="BW2024" s="16">
        <f t="shared" si="127"/>
        <v>0.21052631578947367</v>
      </c>
      <c r="BX2024" s="16">
        <f>COUNTIF($BC$6:BU2024, "=0") / COUNTIF($BC$6:BU2024, "&gt;-1")</f>
        <v>0.48413753551784366</v>
      </c>
      <c r="BY2024" s="18">
        <f>SUM($BC$6:BU2024) / $BY$4</f>
        <v>0.99704507018250577</v>
      </c>
      <c r="BZ2024" s="14">
        <f t="shared" si="128"/>
        <v>17</v>
      </c>
      <c r="CA2024" t="s">
        <v>5832</v>
      </c>
      <c r="CZ2024" t="s">
        <v>8313</v>
      </c>
      <c r="DA2024" t="s">
        <v>5904</v>
      </c>
      <c r="DB2024">
        <v>2151.3000000000002</v>
      </c>
      <c r="DC2024" t="s">
        <v>21297</v>
      </c>
      <c r="DD2024" t="s">
        <v>21298</v>
      </c>
      <c r="DE2024" t="s">
        <v>21299</v>
      </c>
      <c r="DF2024" t="s">
        <v>21300</v>
      </c>
      <c r="DG2024" t="s">
        <v>21301</v>
      </c>
      <c r="DH2024" t="str">
        <f>"MYO1F"</f>
        <v>MYO1F</v>
      </c>
      <c r="DI2024" t="s">
        <v>13772</v>
      </c>
      <c r="DJ2024" t="s">
        <v>13777</v>
      </c>
      <c r="DK2024">
        <v>9606</v>
      </c>
      <c r="DL2024" s="34" t="str">
        <f>HYPERLINK("http://www.uniprot.org/uniprot/O00160", "O00160")</f>
        <v>O00160</v>
      </c>
      <c r="DM2024" t="s">
        <v>21302</v>
      </c>
      <c r="DN2024" t="s">
        <v>13772</v>
      </c>
      <c r="DO2024" t="s">
        <v>13772</v>
      </c>
      <c r="DP2024" t="s">
        <v>13793</v>
      </c>
      <c r="DQ2024" t="s">
        <v>13772</v>
      </c>
      <c r="DR2024" t="s">
        <v>14255</v>
      </c>
      <c r="DS2024" t="s">
        <v>18604</v>
      </c>
      <c r="DT2024" t="s">
        <v>14005</v>
      </c>
      <c r="DU2024" t="s">
        <v>14097</v>
      </c>
      <c r="DV2024" t="s">
        <v>13782</v>
      </c>
      <c r="DW2024" t="s">
        <v>13772</v>
      </c>
      <c r="DX2024" t="s">
        <v>13772</v>
      </c>
      <c r="DY2024" t="s">
        <v>21303</v>
      </c>
      <c r="DZ2024" t="s">
        <v>21304</v>
      </c>
      <c r="EA2024" t="s">
        <v>13772</v>
      </c>
      <c r="EB2024" t="s">
        <v>13772</v>
      </c>
    </row>
    <row r="2025" spans="1:132" hidden="1">
      <c r="A2025">
        <v>767</v>
      </c>
      <c r="B2025">
        <v>1</v>
      </c>
      <c r="C2025" t="s">
        <v>1885</v>
      </c>
      <c r="D2025" t="s">
        <v>73</v>
      </c>
      <c r="E2025" t="s">
        <v>73</v>
      </c>
      <c r="F2025" t="s">
        <v>73</v>
      </c>
      <c r="G2025" t="s">
        <v>73</v>
      </c>
      <c r="H2025">
        <v>31.9</v>
      </c>
      <c r="I2025">
        <v>163</v>
      </c>
      <c r="J2025">
        <v>18303</v>
      </c>
      <c r="K2025" t="s">
        <v>1886</v>
      </c>
      <c r="L2025">
        <f t="shared" si="126"/>
        <v>4</v>
      </c>
      <c r="N2025">
        <v>4</v>
      </c>
      <c r="O2025">
        <v>4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3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3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1</v>
      </c>
      <c r="BR2025" s="2">
        <v>0</v>
      </c>
      <c r="BS2025" s="2">
        <v>0</v>
      </c>
      <c r="BT2025" s="2">
        <v>0</v>
      </c>
      <c r="BU2025" s="2">
        <v>0</v>
      </c>
      <c r="BV2025" s="2">
        <f t="shared" si="129"/>
        <v>4</v>
      </c>
      <c r="BW2025" s="16">
        <f t="shared" si="127"/>
        <v>0.21052631578947367</v>
      </c>
      <c r="BX2025" s="16">
        <f>COUNTIF($BC$6:BU2025, "=0") / COUNTIF($BC$6:BU2025, "&gt;-1")</f>
        <v>0.48434080250130274</v>
      </c>
      <c r="BY2025" s="18">
        <f>SUM($BC$6:BU2025) / $BY$4</f>
        <v>0.99706220472998053</v>
      </c>
      <c r="BZ2025" s="14">
        <f t="shared" si="128"/>
        <v>17</v>
      </c>
      <c r="CA2025" t="s">
        <v>5832</v>
      </c>
      <c r="CZ2025" t="s">
        <v>8327</v>
      </c>
      <c r="DA2025" t="s">
        <v>5904</v>
      </c>
      <c r="DB2025">
        <v>334.3</v>
      </c>
      <c r="DC2025" t="s">
        <v>21335</v>
      </c>
      <c r="DD2025" t="s">
        <v>21336</v>
      </c>
      <c r="DE2025" t="s">
        <v>21337</v>
      </c>
      <c r="DF2025" t="s">
        <v>21338</v>
      </c>
      <c r="DG2025" t="s">
        <v>21339</v>
      </c>
      <c r="DH2025" t="str">
        <f>"PIN1"</f>
        <v>PIN1</v>
      </c>
      <c r="DI2025" t="s">
        <v>13772</v>
      </c>
      <c r="DJ2025" t="s">
        <v>13777</v>
      </c>
      <c r="DK2025">
        <v>9606</v>
      </c>
      <c r="DL2025" s="34" t="str">
        <f>HYPERLINK("http://www.uniprot.org/uniprot/Q13526", "Q13526")</f>
        <v>Q13526</v>
      </c>
      <c r="DM2025" t="s">
        <v>21340</v>
      </c>
      <c r="DN2025" t="s">
        <v>18522</v>
      </c>
      <c r="DO2025" t="s">
        <v>13912</v>
      </c>
      <c r="DP2025" t="s">
        <v>13772</v>
      </c>
      <c r="DQ2025" t="s">
        <v>13772</v>
      </c>
      <c r="DR2025" t="s">
        <v>13772</v>
      </c>
      <c r="DS2025" t="s">
        <v>13772</v>
      </c>
      <c r="DT2025" t="s">
        <v>13772</v>
      </c>
      <c r="DU2025" t="s">
        <v>15050</v>
      </c>
      <c r="DV2025" t="s">
        <v>13886</v>
      </c>
      <c r="DW2025" t="s">
        <v>13812</v>
      </c>
      <c r="DX2025" t="s">
        <v>21341</v>
      </c>
      <c r="DY2025" t="s">
        <v>21342</v>
      </c>
      <c r="DZ2025" t="s">
        <v>21343</v>
      </c>
      <c r="EA2025" t="s">
        <v>13772</v>
      </c>
      <c r="EB2025" t="s">
        <v>21344</v>
      </c>
    </row>
    <row r="2026" spans="1:132" hidden="1">
      <c r="A2026">
        <v>813</v>
      </c>
      <c r="B2026">
        <v>1</v>
      </c>
      <c r="C2026" t="s">
        <v>1994</v>
      </c>
      <c r="D2026" t="s">
        <v>1995</v>
      </c>
      <c r="E2026" t="s">
        <v>73</v>
      </c>
      <c r="F2026" t="s">
        <v>73</v>
      </c>
      <c r="G2026" t="s">
        <v>73</v>
      </c>
      <c r="H2026">
        <v>10.1</v>
      </c>
      <c r="I2026">
        <v>497</v>
      </c>
      <c r="J2026">
        <v>54766</v>
      </c>
      <c r="K2026" t="s">
        <v>1996</v>
      </c>
      <c r="L2026">
        <f t="shared" si="126"/>
        <v>4</v>
      </c>
      <c r="N2026">
        <v>4</v>
      </c>
      <c r="O2026">
        <v>4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s="2">
        <v>0</v>
      </c>
      <c r="BD2026" s="2">
        <v>1</v>
      </c>
      <c r="BE2026" s="2">
        <v>0</v>
      </c>
      <c r="BF2026" s="2">
        <v>0</v>
      </c>
      <c r="BG2026" s="2">
        <v>2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1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f t="shared" si="129"/>
        <v>4</v>
      </c>
      <c r="BW2026" s="16">
        <f t="shared" si="127"/>
        <v>0.21052631578947367</v>
      </c>
      <c r="BX2026" s="16">
        <f>COUNTIF($BC$6:BU2026, "=0") / COUNTIF($BC$6:BU2026, "&gt;-1")</f>
        <v>0.48451782598505172</v>
      </c>
      <c r="BY2026" s="18">
        <f>SUM($BC$6:BU2026) / $BY$4</f>
        <v>0.9970793392774554</v>
      </c>
      <c r="BZ2026" s="14">
        <f t="shared" si="128"/>
        <v>16</v>
      </c>
      <c r="CA2026" t="s">
        <v>5832</v>
      </c>
      <c r="CZ2026" t="s">
        <v>8484</v>
      </c>
      <c r="DA2026" t="s">
        <v>5904</v>
      </c>
      <c r="DB2026">
        <v>776.5</v>
      </c>
      <c r="DC2026" t="s">
        <v>21814</v>
      </c>
      <c r="DD2026" t="s">
        <v>13772</v>
      </c>
      <c r="DE2026" t="s">
        <v>21815</v>
      </c>
      <c r="DF2026" t="s">
        <v>21816</v>
      </c>
      <c r="DG2026" t="s">
        <v>21817</v>
      </c>
      <c r="DH2026" t="str">
        <f>"GCDH"</f>
        <v>GCDH</v>
      </c>
      <c r="DI2026" t="s">
        <v>13772</v>
      </c>
      <c r="DJ2026" t="s">
        <v>13777</v>
      </c>
      <c r="DK2026">
        <v>9606</v>
      </c>
      <c r="DL2026" s="34" t="str">
        <f>HYPERLINK("http://www.uniprot.org/uniprot/Q92947", "Q92947")</f>
        <v>Q92947</v>
      </c>
      <c r="DM2026" t="s">
        <v>21818</v>
      </c>
      <c r="DN2026" t="s">
        <v>13772</v>
      </c>
      <c r="DO2026" t="s">
        <v>14491</v>
      </c>
      <c r="DP2026" t="s">
        <v>13780</v>
      </c>
      <c r="DQ2026" t="s">
        <v>13772</v>
      </c>
      <c r="DR2026" t="s">
        <v>16042</v>
      </c>
      <c r="DS2026" t="s">
        <v>14391</v>
      </c>
      <c r="DT2026" t="s">
        <v>15580</v>
      </c>
      <c r="DU2026" t="s">
        <v>13885</v>
      </c>
      <c r="DV2026" t="s">
        <v>14020</v>
      </c>
      <c r="DW2026" t="s">
        <v>13812</v>
      </c>
      <c r="DX2026" t="s">
        <v>21819</v>
      </c>
      <c r="DY2026" t="s">
        <v>15582</v>
      </c>
      <c r="DZ2026" t="s">
        <v>21820</v>
      </c>
      <c r="EA2026" t="s">
        <v>21821</v>
      </c>
      <c r="EB2026" t="s">
        <v>21822</v>
      </c>
    </row>
    <row r="2027" spans="1:132" hidden="1">
      <c r="A2027">
        <v>845</v>
      </c>
      <c r="B2027">
        <v>1</v>
      </c>
      <c r="C2027" t="s">
        <v>2074</v>
      </c>
      <c r="D2027" t="s">
        <v>73</v>
      </c>
      <c r="E2027" t="s">
        <v>73</v>
      </c>
      <c r="F2027" t="s">
        <v>73</v>
      </c>
      <c r="G2027" t="s">
        <v>73</v>
      </c>
      <c r="H2027">
        <v>16</v>
      </c>
      <c r="I2027">
        <v>213</v>
      </c>
      <c r="J2027">
        <v>22370</v>
      </c>
      <c r="K2027" t="s">
        <v>2075</v>
      </c>
      <c r="L2027">
        <f t="shared" si="126"/>
        <v>4</v>
      </c>
      <c r="N2027">
        <v>4</v>
      </c>
      <c r="O2027">
        <v>4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2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2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1</v>
      </c>
      <c r="BL2027" s="2">
        <v>0</v>
      </c>
      <c r="BM2027" s="2">
        <v>0</v>
      </c>
      <c r="BN2027" s="2">
        <v>2</v>
      </c>
      <c r="BO2027" s="2">
        <v>1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f t="shared" si="129"/>
        <v>4</v>
      </c>
      <c r="BW2027" s="16">
        <f t="shared" si="127"/>
        <v>0.21052631578947367</v>
      </c>
      <c r="BX2027" s="16">
        <f>COUNTIF($BC$6:BU2027, "=0") / COUNTIF($BC$6:BU2027, "&gt;-1")</f>
        <v>0.48469467437138841</v>
      </c>
      <c r="BY2027" s="18">
        <f>SUM($BC$6:BU2027) / $BY$4</f>
        <v>0.99709647382493016</v>
      </c>
      <c r="BZ2027" s="14">
        <f t="shared" si="128"/>
        <v>16</v>
      </c>
      <c r="CA2027" t="s">
        <v>5832</v>
      </c>
      <c r="CZ2027" t="s">
        <v>8597</v>
      </c>
      <c r="DA2027" t="s">
        <v>5904</v>
      </c>
      <c r="DB2027">
        <v>264.60000000000002</v>
      </c>
      <c r="DC2027" t="s">
        <v>22124</v>
      </c>
      <c r="DD2027" t="s">
        <v>13772</v>
      </c>
      <c r="DE2027" t="s">
        <v>22125</v>
      </c>
      <c r="DF2027" t="s">
        <v>22126</v>
      </c>
      <c r="DG2027" t="s">
        <v>13772</v>
      </c>
      <c r="DH2027" t="str">
        <f>"H1FX"</f>
        <v>H1FX</v>
      </c>
      <c r="DI2027" t="s">
        <v>13772</v>
      </c>
      <c r="DJ2027" t="s">
        <v>13777</v>
      </c>
      <c r="DK2027">
        <v>9606</v>
      </c>
      <c r="DL2027" s="34" t="str">
        <f>HYPERLINK("http://www.uniprot.org/uniprot/Q92522", "Q92522")</f>
        <v>Q92522</v>
      </c>
      <c r="DM2027" t="s">
        <v>22127</v>
      </c>
      <c r="DN2027" t="s">
        <v>13772</v>
      </c>
      <c r="DO2027" t="s">
        <v>19917</v>
      </c>
      <c r="DP2027" t="s">
        <v>13772</v>
      </c>
      <c r="DQ2027" t="s">
        <v>13772</v>
      </c>
      <c r="DR2027" t="s">
        <v>13772</v>
      </c>
      <c r="DS2027" t="s">
        <v>13772</v>
      </c>
      <c r="DT2027" t="s">
        <v>13772</v>
      </c>
      <c r="DU2027" t="s">
        <v>15871</v>
      </c>
      <c r="DV2027" t="s">
        <v>22128</v>
      </c>
      <c r="DW2027" t="s">
        <v>13812</v>
      </c>
      <c r="DX2027" t="s">
        <v>22129</v>
      </c>
      <c r="DY2027" t="s">
        <v>22130</v>
      </c>
      <c r="DZ2027" t="s">
        <v>22131</v>
      </c>
      <c r="EA2027" t="s">
        <v>13772</v>
      </c>
      <c r="EB2027" t="s">
        <v>13772</v>
      </c>
    </row>
    <row r="2028" spans="1:132" hidden="1">
      <c r="A2028">
        <v>853</v>
      </c>
      <c r="B2028">
        <v>1</v>
      </c>
      <c r="C2028" t="s">
        <v>2092</v>
      </c>
      <c r="D2028" t="s">
        <v>2093</v>
      </c>
      <c r="E2028" t="s">
        <v>73</v>
      </c>
      <c r="F2028" t="s">
        <v>73</v>
      </c>
      <c r="G2028" t="s">
        <v>73</v>
      </c>
      <c r="H2028">
        <v>3.1</v>
      </c>
      <c r="I2028">
        <v>1102</v>
      </c>
      <c r="J2028">
        <v>120094</v>
      </c>
      <c r="K2028" t="s">
        <v>2094</v>
      </c>
      <c r="L2028">
        <f t="shared" si="126"/>
        <v>4</v>
      </c>
      <c r="N2028">
        <v>4</v>
      </c>
      <c r="O2028">
        <v>4</v>
      </c>
      <c r="P2028">
        <v>1</v>
      </c>
      <c r="Q2028">
        <v>0</v>
      </c>
      <c r="R2028">
        <v>0</v>
      </c>
      <c r="S2028">
        <v>0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s="2">
        <v>0</v>
      </c>
      <c r="BD2028" s="2">
        <v>0</v>
      </c>
      <c r="BE2028" s="2">
        <v>0</v>
      </c>
      <c r="BF2028" s="2">
        <v>2</v>
      </c>
      <c r="BG2028" s="2">
        <v>1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1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f t="shared" si="129"/>
        <v>4</v>
      </c>
      <c r="BW2028" s="16">
        <f t="shared" si="127"/>
        <v>0.21052631578947367</v>
      </c>
      <c r="BX2028" s="16">
        <f>COUNTIF($BC$6:BU2028, "=0") / COUNTIF($BC$6:BU2028, "&gt;-1")</f>
        <v>0.48487134791997294</v>
      </c>
      <c r="BY2028" s="18">
        <f>SUM($BC$6:BU2028) / $BY$4</f>
        <v>0.99711360837240492</v>
      </c>
      <c r="BZ2028" s="14">
        <f t="shared" si="128"/>
        <v>16</v>
      </c>
      <c r="CA2028" t="s">
        <v>5832</v>
      </c>
      <c r="CZ2028" t="s">
        <v>8624</v>
      </c>
      <c r="DA2028" t="s">
        <v>5904</v>
      </c>
      <c r="DB2028">
        <v>1780.4</v>
      </c>
      <c r="DC2028" t="s">
        <v>22197</v>
      </c>
      <c r="DD2028" t="s">
        <v>13772</v>
      </c>
      <c r="DE2028" t="s">
        <v>22198</v>
      </c>
      <c r="DF2028" t="s">
        <v>22199</v>
      </c>
      <c r="DG2028" t="s">
        <v>22200</v>
      </c>
      <c r="DH2028" t="str">
        <f>"LRIG1"</f>
        <v>LRIG1</v>
      </c>
      <c r="DI2028" t="s">
        <v>22201</v>
      </c>
      <c r="DJ2028" t="s">
        <v>13777</v>
      </c>
      <c r="DK2028">
        <v>9606</v>
      </c>
      <c r="DL2028" s="34" t="str">
        <f>HYPERLINK("http://www.uniprot.org/uniprot/Q96JA1", "Q96JA1")</f>
        <v>Q96JA1</v>
      </c>
      <c r="DM2028" t="s">
        <v>22202</v>
      </c>
      <c r="DN2028" t="s">
        <v>13772</v>
      </c>
      <c r="DO2028" t="s">
        <v>13792</v>
      </c>
      <c r="DP2028" t="s">
        <v>13780</v>
      </c>
      <c r="DQ2028" t="s">
        <v>13772</v>
      </c>
      <c r="DR2028" t="s">
        <v>13772</v>
      </c>
      <c r="DS2028" t="s">
        <v>22203</v>
      </c>
      <c r="DT2028" t="s">
        <v>13772</v>
      </c>
      <c r="DU2028" t="s">
        <v>13772</v>
      </c>
      <c r="DV2028" t="s">
        <v>13796</v>
      </c>
      <c r="DW2028" t="s">
        <v>13812</v>
      </c>
      <c r="DX2028" t="s">
        <v>22204</v>
      </c>
      <c r="DY2028" t="s">
        <v>22205</v>
      </c>
      <c r="DZ2028" t="s">
        <v>13772</v>
      </c>
      <c r="EA2028" t="s">
        <v>13772</v>
      </c>
      <c r="EB2028" t="s">
        <v>22206</v>
      </c>
    </row>
    <row r="2029" spans="1:132" hidden="1">
      <c r="A2029">
        <v>873</v>
      </c>
      <c r="B2029">
        <v>1</v>
      </c>
      <c r="C2029" t="s">
        <v>2132</v>
      </c>
      <c r="D2029" t="s">
        <v>73</v>
      </c>
      <c r="E2029" t="s">
        <v>73</v>
      </c>
      <c r="F2029" t="s">
        <v>73</v>
      </c>
      <c r="G2029" t="s">
        <v>73</v>
      </c>
      <c r="H2029">
        <v>4.2</v>
      </c>
      <c r="I2029">
        <v>551</v>
      </c>
      <c r="J2029">
        <v>60540</v>
      </c>
      <c r="K2029" t="s">
        <v>2133</v>
      </c>
      <c r="L2029">
        <f t="shared" si="126"/>
        <v>4</v>
      </c>
      <c r="N2029">
        <v>4</v>
      </c>
      <c r="O2029">
        <v>4</v>
      </c>
      <c r="P2029">
        <v>1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2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 s="2">
        <v>0</v>
      </c>
      <c r="BD2029" s="2">
        <v>1</v>
      </c>
      <c r="BE2029" s="2">
        <v>0</v>
      </c>
      <c r="BF2029" s="2">
        <v>1</v>
      </c>
      <c r="BG2029" s="2">
        <v>0</v>
      </c>
      <c r="BH2029" s="2">
        <v>2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f t="shared" si="129"/>
        <v>4</v>
      </c>
      <c r="BW2029" s="16">
        <f t="shared" si="127"/>
        <v>0.21052631578947367</v>
      </c>
      <c r="BX2029" s="16">
        <f>COUNTIF($BC$6:BU2029, "=0") / COUNTIF($BC$6:BU2029, "&gt;-1")</f>
        <v>0.48504784688995217</v>
      </c>
      <c r="BY2029" s="18">
        <f>SUM($BC$6:BU2029) / $BY$4</f>
        <v>0.9971307429198798</v>
      </c>
      <c r="BZ2029" s="14">
        <f t="shared" si="128"/>
        <v>16</v>
      </c>
      <c r="CA2029" t="s">
        <v>5832</v>
      </c>
      <c r="CZ2029" t="s">
        <v>8685</v>
      </c>
      <c r="DA2029" t="s">
        <v>5904</v>
      </c>
      <c r="DB2029">
        <v>928.3</v>
      </c>
      <c r="DC2029" t="s">
        <v>22387</v>
      </c>
      <c r="DD2029" t="s">
        <v>22388</v>
      </c>
      <c r="DE2029" t="s">
        <v>22389</v>
      </c>
      <c r="DF2029" t="s">
        <v>22390</v>
      </c>
      <c r="DG2029" t="s">
        <v>22391</v>
      </c>
      <c r="DH2029" t="str">
        <f>"SLC22A13"</f>
        <v>SLC22A13</v>
      </c>
      <c r="DI2029" t="s">
        <v>22392</v>
      </c>
      <c r="DJ2029" t="s">
        <v>13777</v>
      </c>
      <c r="DK2029">
        <v>9606</v>
      </c>
      <c r="DL2029" s="34" t="str">
        <f>HYPERLINK("http://www.uniprot.org/uniprot/Q9Y226", "Q9Y226")</f>
        <v>Q9Y226</v>
      </c>
      <c r="DM2029" t="s">
        <v>22393</v>
      </c>
      <c r="DN2029" t="s">
        <v>13772</v>
      </c>
      <c r="DO2029" t="s">
        <v>13825</v>
      </c>
      <c r="DP2029" t="s">
        <v>13780</v>
      </c>
      <c r="DQ2029" t="s">
        <v>13772</v>
      </c>
      <c r="DR2029" t="s">
        <v>13772</v>
      </c>
      <c r="DS2029" t="s">
        <v>13925</v>
      </c>
      <c r="DT2029" t="s">
        <v>13772</v>
      </c>
      <c r="DU2029" t="s">
        <v>13772</v>
      </c>
      <c r="DV2029" t="s">
        <v>13858</v>
      </c>
      <c r="DW2029" t="s">
        <v>13772</v>
      </c>
      <c r="DX2029" t="s">
        <v>22394</v>
      </c>
      <c r="DY2029" t="s">
        <v>22395</v>
      </c>
      <c r="DZ2029" t="s">
        <v>22396</v>
      </c>
      <c r="EA2029" t="s">
        <v>13772</v>
      </c>
      <c r="EB2029" t="s">
        <v>22397</v>
      </c>
    </row>
    <row r="2030" spans="1:132" hidden="1">
      <c r="A2030">
        <v>1030</v>
      </c>
      <c r="B2030">
        <v>1</v>
      </c>
      <c r="C2030" t="s">
        <v>2491</v>
      </c>
      <c r="D2030" t="s">
        <v>2492</v>
      </c>
      <c r="E2030" t="s">
        <v>73</v>
      </c>
      <c r="F2030" t="s">
        <v>73</v>
      </c>
      <c r="G2030" t="s">
        <v>73</v>
      </c>
      <c r="H2030">
        <v>17.399999999999999</v>
      </c>
      <c r="I2030">
        <v>219</v>
      </c>
      <c r="J2030">
        <v>24317</v>
      </c>
      <c r="K2030" t="s">
        <v>2493</v>
      </c>
      <c r="L2030">
        <f t="shared" si="126"/>
        <v>4</v>
      </c>
      <c r="N2030">
        <v>4</v>
      </c>
      <c r="O2030">
        <v>4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2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2</v>
      </c>
      <c r="BL2030" s="2">
        <v>0</v>
      </c>
      <c r="BM2030" s="2">
        <v>1</v>
      </c>
      <c r="BN2030" s="2">
        <v>1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f t="shared" si="129"/>
        <v>4</v>
      </c>
      <c r="BW2030" s="16">
        <f t="shared" si="127"/>
        <v>0.21052631578947367</v>
      </c>
      <c r="BX2030" s="16">
        <f>COUNTIF($BC$6:BU2030, "=0") / COUNTIF($BC$6:BU2030, "&gt;-1")</f>
        <v>0.485224171539961</v>
      </c>
      <c r="BY2030" s="18">
        <f>SUM($BC$6:BU2030) / $BY$4</f>
        <v>0.99714787746735456</v>
      </c>
      <c r="BZ2030" s="14">
        <f t="shared" si="128"/>
        <v>16</v>
      </c>
      <c r="CA2030" t="s">
        <v>5832</v>
      </c>
      <c r="CZ2030" t="s">
        <v>9212</v>
      </c>
      <c r="DA2030" t="s">
        <v>5904</v>
      </c>
      <c r="DB2030">
        <v>421.8</v>
      </c>
      <c r="DC2030" t="s">
        <v>23898</v>
      </c>
      <c r="DD2030" t="s">
        <v>23899</v>
      </c>
      <c r="DE2030" t="s">
        <v>23900</v>
      </c>
      <c r="DF2030" t="s">
        <v>23901</v>
      </c>
      <c r="DG2030" t="s">
        <v>23902</v>
      </c>
      <c r="DH2030" t="str">
        <f>"NUDT5"</f>
        <v>NUDT5</v>
      </c>
      <c r="DI2030" t="s">
        <v>23903</v>
      </c>
      <c r="DJ2030" t="s">
        <v>13777</v>
      </c>
      <c r="DK2030">
        <v>9606</v>
      </c>
      <c r="DL2030" s="34" t="str">
        <f>HYPERLINK("http://www.uniprot.org/uniprot/Q9UKK9", "Q9UKK9")</f>
        <v>Q9UKK9</v>
      </c>
      <c r="DM2030" t="s">
        <v>23904</v>
      </c>
      <c r="DN2030" t="s">
        <v>13772</v>
      </c>
      <c r="DO2030" t="s">
        <v>14825</v>
      </c>
      <c r="DP2030" t="s">
        <v>13793</v>
      </c>
      <c r="DQ2030" t="s">
        <v>13772</v>
      </c>
      <c r="DR2030" t="s">
        <v>13772</v>
      </c>
      <c r="DS2030" t="s">
        <v>13772</v>
      </c>
      <c r="DT2030" t="s">
        <v>14784</v>
      </c>
      <c r="DU2030" t="s">
        <v>23905</v>
      </c>
      <c r="DV2030" t="s">
        <v>13991</v>
      </c>
      <c r="DW2030" t="s">
        <v>13812</v>
      </c>
      <c r="DX2030" t="s">
        <v>23906</v>
      </c>
      <c r="DY2030" t="s">
        <v>14135</v>
      </c>
      <c r="DZ2030" t="s">
        <v>23907</v>
      </c>
      <c r="EA2030" t="s">
        <v>13772</v>
      </c>
      <c r="EB2030" t="s">
        <v>23908</v>
      </c>
    </row>
    <row r="2031" spans="1:132" hidden="1">
      <c r="A2031">
        <v>1060</v>
      </c>
      <c r="B2031">
        <v>1</v>
      </c>
      <c r="C2031" t="s">
        <v>2546</v>
      </c>
      <c r="D2031" t="s">
        <v>73</v>
      </c>
      <c r="E2031" t="s">
        <v>73</v>
      </c>
      <c r="F2031" t="s">
        <v>73</v>
      </c>
      <c r="G2031" t="s">
        <v>73</v>
      </c>
      <c r="H2031">
        <v>9.9</v>
      </c>
      <c r="I2031">
        <v>505</v>
      </c>
      <c r="J2031">
        <v>55156</v>
      </c>
      <c r="K2031" t="s">
        <v>2547</v>
      </c>
      <c r="L2031">
        <f t="shared" si="126"/>
        <v>4</v>
      </c>
      <c r="N2031">
        <v>4</v>
      </c>
      <c r="O2031">
        <v>4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 s="2">
        <v>0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2</v>
      </c>
      <c r="BN2031" s="2">
        <v>1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f t="shared" si="129"/>
        <v>4</v>
      </c>
      <c r="BW2031" s="16">
        <f t="shared" si="127"/>
        <v>0.21052631578947367</v>
      </c>
      <c r="BX2031" s="16">
        <f>COUNTIF($BC$6:BU2031, "=0") / COUNTIF($BC$6:BU2031, "&gt;-1")</f>
        <v>0.48540032212812384</v>
      </c>
      <c r="BY2031" s="18">
        <f>SUM($BC$6:BU2031) / $BY$4</f>
        <v>0.99716501201482943</v>
      </c>
      <c r="BZ2031" s="14">
        <f t="shared" si="128"/>
        <v>16</v>
      </c>
      <c r="CA2031" t="s">
        <v>5832</v>
      </c>
      <c r="CZ2031" t="s">
        <v>9257</v>
      </c>
      <c r="DA2031" t="s">
        <v>5904</v>
      </c>
      <c r="DB2031">
        <v>1049.3</v>
      </c>
      <c r="DC2031" t="s">
        <v>24035</v>
      </c>
      <c r="DD2031" t="s">
        <v>13772</v>
      </c>
      <c r="DE2031" t="s">
        <v>24036</v>
      </c>
      <c r="DF2031" t="s">
        <v>24037</v>
      </c>
      <c r="DG2031" t="s">
        <v>24038</v>
      </c>
      <c r="DH2031" t="str">
        <f>"RTCB"</f>
        <v>RTCB</v>
      </c>
      <c r="DI2031" t="s">
        <v>24039</v>
      </c>
      <c r="DJ2031" t="s">
        <v>13777</v>
      </c>
      <c r="DK2031">
        <v>9606</v>
      </c>
      <c r="DL2031" s="34" t="str">
        <f>HYPERLINK("http://www.uniprot.org/uniprot/Q9Y3I0", "Q9Y3I0")</f>
        <v>Q9Y3I0</v>
      </c>
      <c r="DM2031" t="s">
        <v>24040</v>
      </c>
      <c r="DN2031" t="s">
        <v>14019</v>
      </c>
      <c r="DO2031" t="s">
        <v>13912</v>
      </c>
      <c r="DP2031" t="s">
        <v>13793</v>
      </c>
      <c r="DQ2031" t="s">
        <v>13772</v>
      </c>
      <c r="DR2031" t="s">
        <v>13772</v>
      </c>
      <c r="DS2031" t="s">
        <v>13772</v>
      </c>
      <c r="DT2031" t="s">
        <v>24041</v>
      </c>
      <c r="DU2031" t="s">
        <v>21123</v>
      </c>
      <c r="DV2031" t="s">
        <v>13938</v>
      </c>
      <c r="DW2031" t="s">
        <v>13772</v>
      </c>
      <c r="DX2031" t="s">
        <v>24042</v>
      </c>
      <c r="DY2031" t="s">
        <v>24043</v>
      </c>
      <c r="DZ2031" t="s">
        <v>24044</v>
      </c>
      <c r="EA2031" t="s">
        <v>13772</v>
      </c>
      <c r="EB2031" t="s">
        <v>14024</v>
      </c>
    </row>
    <row r="2032" spans="1:132" hidden="1">
      <c r="A2032">
        <v>1062</v>
      </c>
      <c r="B2032">
        <v>1</v>
      </c>
      <c r="C2032" t="s">
        <v>2550</v>
      </c>
      <c r="D2032" t="s">
        <v>2551</v>
      </c>
      <c r="E2032" t="s">
        <v>73</v>
      </c>
      <c r="F2032" t="s">
        <v>73</v>
      </c>
      <c r="G2032" t="s">
        <v>73</v>
      </c>
      <c r="H2032">
        <v>4.2</v>
      </c>
      <c r="I2032">
        <v>1029</v>
      </c>
      <c r="J2032">
        <v>115139</v>
      </c>
      <c r="K2032" t="s">
        <v>2552</v>
      </c>
      <c r="L2032">
        <f t="shared" si="126"/>
        <v>4</v>
      </c>
      <c r="N2032">
        <v>4</v>
      </c>
      <c r="O2032">
        <v>4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2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2</v>
      </c>
      <c r="BL2032" s="2">
        <v>0</v>
      </c>
      <c r="BM2032" s="2">
        <v>1</v>
      </c>
      <c r="BN2032" s="2">
        <v>0</v>
      </c>
      <c r="BO2032" s="2">
        <v>0</v>
      </c>
      <c r="BP2032" s="2">
        <v>0</v>
      </c>
      <c r="BQ2032" s="2">
        <v>1</v>
      </c>
      <c r="BR2032" s="2">
        <v>0</v>
      </c>
      <c r="BS2032" s="2">
        <v>0</v>
      </c>
      <c r="BT2032" s="2">
        <v>0</v>
      </c>
      <c r="BU2032" s="2">
        <v>0</v>
      </c>
      <c r="BV2032" s="2">
        <f t="shared" si="129"/>
        <v>4</v>
      </c>
      <c r="BW2032" s="16">
        <f t="shared" si="127"/>
        <v>0.21052631578947367</v>
      </c>
      <c r="BX2032" s="16">
        <f>COUNTIF($BC$6:BU2032, "=0") / COUNTIF($BC$6:BU2032, "&gt;-1")</f>
        <v>0.48557629891205567</v>
      </c>
      <c r="BY2032" s="18">
        <f>SUM($BC$6:BU2032) / $BY$4</f>
        <v>0.99718214656230419</v>
      </c>
      <c r="BZ2032" s="14">
        <f t="shared" si="128"/>
        <v>16</v>
      </c>
      <c r="CA2032" t="s">
        <v>5832</v>
      </c>
      <c r="CZ2032" t="s">
        <v>9264</v>
      </c>
      <c r="DA2032" t="s">
        <v>5904</v>
      </c>
      <c r="DB2032">
        <v>2064.6999999999998</v>
      </c>
      <c r="DC2032" t="s">
        <v>24052</v>
      </c>
      <c r="DD2032" t="s">
        <v>24053</v>
      </c>
      <c r="DE2032" t="s">
        <v>24054</v>
      </c>
      <c r="DF2032" t="s">
        <v>24055</v>
      </c>
      <c r="DG2032" t="s">
        <v>24056</v>
      </c>
      <c r="DH2032" t="str">
        <f>"PPP1R12A"</f>
        <v>PPP1R12A</v>
      </c>
      <c r="DI2032" t="s">
        <v>13772</v>
      </c>
      <c r="DJ2032" t="s">
        <v>13777</v>
      </c>
      <c r="DK2032">
        <v>9606</v>
      </c>
      <c r="DL2032" s="34" t="str">
        <f>HYPERLINK("http://www.uniprot.org/uniprot/O14974", "O14974")</f>
        <v>O14974</v>
      </c>
      <c r="DM2032" t="s">
        <v>24057</v>
      </c>
      <c r="DN2032" t="s">
        <v>13772</v>
      </c>
      <c r="DO2032" t="s">
        <v>13988</v>
      </c>
      <c r="DP2032" t="s">
        <v>13780</v>
      </c>
      <c r="DQ2032" t="s">
        <v>13772</v>
      </c>
      <c r="DR2032" t="s">
        <v>13772</v>
      </c>
      <c r="DS2032" t="s">
        <v>16840</v>
      </c>
      <c r="DT2032" t="s">
        <v>13772</v>
      </c>
      <c r="DU2032" t="s">
        <v>13772</v>
      </c>
      <c r="DV2032" t="s">
        <v>17058</v>
      </c>
      <c r="DW2032" t="s">
        <v>13812</v>
      </c>
      <c r="DX2032" t="s">
        <v>24058</v>
      </c>
      <c r="DY2032" t="s">
        <v>24059</v>
      </c>
      <c r="DZ2032" t="s">
        <v>24060</v>
      </c>
      <c r="EA2032" t="s">
        <v>13772</v>
      </c>
      <c r="EB2032" t="s">
        <v>24061</v>
      </c>
    </row>
    <row r="2033" spans="1:132" hidden="1">
      <c r="A2033">
        <v>1093</v>
      </c>
      <c r="B2033">
        <v>1</v>
      </c>
      <c r="C2033" t="s">
        <v>2629</v>
      </c>
      <c r="D2033" t="s">
        <v>73</v>
      </c>
      <c r="E2033" t="s">
        <v>73</v>
      </c>
      <c r="F2033" t="s">
        <v>73</v>
      </c>
      <c r="G2033" t="s">
        <v>73</v>
      </c>
      <c r="H2033">
        <v>31.5</v>
      </c>
      <c r="I2033">
        <v>89</v>
      </c>
      <c r="J2033">
        <v>10224</v>
      </c>
      <c r="K2033" t="s">
        <v>2630</v>
      </c>
      <c r="L2033">
        <f t="shared" si="126"/>
        <v>4</v>
      </c>
      <c r="N2033">
        <v>4</v>
      </c>
      <c r="O2033">
        <v>4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3</v>
      </c>
      <c r="AY2033">
        <v>0</v>
      </c>
      <c r="AZ2033">
        <v>0</v>
      </c>
      <c r="BA2033">
        <v>0</v>
      </c>
      <c r="BB2033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3</v>
      </c>
      <c r="BR2033" s="2">
        <v>0</v>
      </c>
      <c r="BS2033" s="2">
        <v>0</v>
      </c>
      <c r="BT2033" s="2">
        <v>0</v>
      </c>
      <c r="BU2033" s="2">
        <v>0</v>
      </c>
      <c r="BV2033" s="2">
        <f t="shared" si="129"/>
        <v>4</v>
      </c>
      <c r="BW2033" s="16">
        <f t="shared" si="127"/>
        <v>0.21052631578947367</v>
      </c>
      <c r="BX2033" s="16">
        <f>COUNTIF($BC$6:BU2033, "=0") / COUNTIF($BC$6:BU2033, "&gt;-1")</f>
        <v>0.48577805460396556</v>
      </c>
      <c r="BY2033" s="18">
        <f>SUM($BC$6:BU2033) / $BY$4</f>
        <v>0.99719928110977896</v>
      </c>
      <c r="BZ2033" s="14">
        <f t="shared" si="128"/>
        <v>17</v>
      </c>
      <c r="CA2033" t="s">
        <v>5832</v>
      </c>
      <c r="CZ2033" t="s">
        <v>9377</v>
      </c>
      <c r="DA2033" t="s">
        <v>5904</v>
      </c>
      <c r="DB2033">
        <v>153.69999999999999</v>
      </c>
      <c r="DC2033" t="s">
        <v>24369</v>
      </c>
      <c r="DD2033" t="s">
        <v>13772</v>
      </c>
      <c r="DE2033" t="s">
        <v>24370</v>
      </c>
      <c r="DF2033" t="s">
        <v>24371</v>
      </c>
      <c r="DG2033" t="s">
        <v>24372</v>
      </c>
      <c r="DH2033" t="str">
        <f>"ACBD7"</f>
        <v>ACBD7</v>
      </c>
      <c r="DI2033" t="s">
        <v>13772</v>
      </c>
      <c r="DJ2033" t="s">
        <v>13777</v>
      </c>
      <c r="DK2033">
        <v>9606</v>
      </c>
      <c r="DL2033" s="34" t="str">
        <f>HYPERLINK("http://www.uniprot.org/uniprot/Q8N6N7", "Q8N6N7")</f>
        <v>Q8N6N7</v>
      </c>
      <c r="DM2033" t="s">
        <v>24373</v>
      </c>
      <c r="DN2033" t="s">
        <v>13772</v>
      </c>
      <c r="DO2033" t="s">
        <v>13772</v>
      </c>
      <c r="DP2033" t="s">
        <v>13772</v>
      </c>
      <c r="DQ2033" t="s">
        <v>13772</v>
      </c>
      <c r="DR2033" t="s">
        <v>13772</v>
      </c>
      <c r="DS2033" t="s">
        <v>13772</v>
      </c>
      <c r="DT2033" t="s">
        <v>13900</v>
      </c>
      <c r="DU2033" t="s">
        <v>13772</v>
      </c>
      <c r="DV2033" t="s">
        <v>13772</v>
      </c>
      <c r="DW2033" t="s">
        <v>13812</v>
      </c>
      <c r="DX2033" t="s">
        <v>13772</v>
      </c>
      <c r="DY2033" t="s">
        <v>13772</v>
      </c>
      <c r="DZ2033" t="s">
        <v>24374</v>
      </c>
      <c r="EA2033" t="s">
        <v>13772</v>
      </c>
      <c r="EB2033" t="s">
        <v>18151</v>
      </c>
    </row>
    <row r="2034" spans="1:132" hidden="1">
      <c r="A2034">
        <v>1126</v>
      </c>
      <c r="B2034">
        <v>1</v>
      </c>
      <c r="C2034" t="s">
        <v>2707</v>
      </c>
      <c r="D2034" t="s">
        <v>73</v>
      </c>
      <c r="E2034" t="s">
        <v>73</v>
      </c>
      <c r="F2034" t="s">
        <v>73</v>
      </c>
      <c r="G2034" t="s">
        <v>73</v>
      </c>
      <c r="H2034">
        <v>20.100000000000001</v>
      </c>
      <c r="I2034">
        <v>214</v>
      </c>
      <c r="J2034">
        <v>24604</v>
      </c>
      <c r="K2034" t="s">
        <v>2708</v>
      </c>
      <c r="L2034">
        <f t="shared" si="126"/>
        <v>4</v>
      </c>
      <c r="N2034">
        <v>4</v>
      </c>
      <c r="O2034">
        <v>4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3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3</v>
      </c>
      <c r="BN2034" s="2">
        <v>0</v>
      </c>
      <c r="BO2034" s="2">
        <v>1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f t="shared" si="129"/>
        <v>4</v>
      </c>
      <c r="BW2034" s="16">
        <f t="shared" si="127"/>
        <v>0.21052631578947367</v>
      </c>
      <c r="BX2034" s="16">
        <f>COUNTIF($BC$6:BU2034, "=0") / COUNTIF($BC$6:BU2034, "&gt;-1")</f>
        <v>0.48597961142382817</v>
      </c>
      <c r="BY2034" s="18">
        <f>SUM($BC$6:BU2034) / $BY$4</f>
        <v>0.99721641565725383</v>
      </c>
      <c r="BZ2034" s="14">
        <f t="shared" si="128"/>
        <v>17</v>
      </c>
      <c r="CA2034" t="s">
        <v>5832</v>
      </c>
      <c r="CZ2034" t="s">
        <v>9485</v>
      </c>
      <c r="DA2034" t="s">
        <v>5904</v>
      </c>
      <c r="DB2034">
        <v>444.9</v>
      </c>
      <c r="DC2034" t="s">
        <v>24666</v>
      </c>
      <c r="DD2034" t="s">
        <v>24667</v>
      </c>
      <c r="DE2034" t="s">
        <v>24668</v>
      </c>
      <c r="DF2034" t="s">
        <v>24669</v>
      </c>
      <c r="DG2034" t="s">
        <v>24670</v>
      </c>
      <c r="DH2034" t="str">
        <f>"RPL10 QM"</f>
        <v>RPL10 QM</v>
      </c>
      <c r="DI2034" t="s">
        <v>13772</v>
      </c>
      <c r="DJ2034" t="s">
        <v>13777</v>
      </c>
      <c r="DK2034">
        <v>9606</v>
      </c>
      <c r="DL2034" s="34" t="str">
        <f>HYPERLINK("http://www.uniprot.org/uniprot/P27635", "P27635")</f>
        <v>P27635</v>
      </c>
      <c r="DM2034" t="s">
        <v>24671</v>
      </c>
      <c r="DN2034" t="s">
        <v>24672</v>
      </c>
      <c r="DO2034" t="s">
        <v>13772</v>
      </c>
      <c r="DP2034" t="s">
        <v>13793</v>
      </c>
      <c r="DQ2034" t="s">
        <v>13772</v>
      </c>
      <c r="DR2034" t="s">
        <v>24673</v>
      </c>
      <c r="DS2034" t="s">
        <v>13772</v>
      </c>
      <c r="DT2034" t="s">
        <v>13772</v>
      </c>
      <c r="DU2034" t="s">
        <v>24674</v>
      </c>
      <c r="DV2034" t="s">
        <v>24675</v>
      </c>
      <c r="DW2034" t="s">
        <v>13812</v>
      </c>
      <c r="DX2034" t="s">
        <v>24676</v>
      </c>
      <c r="DY2034" t="s">
        <v>24677</v>
      </c>
      <c r="DZ2034" t="s">
        <v>24678</v>
      </c>
      <c r="EA2034" t="s">
        <v>13772</v>
      </c>
      <c r="EB2034" t="s">
        <v>13942</v>
      </c>
    </row>
    <row r="2035" spans="1:132" hidden="1">
      <c r="A2035">
        <v>1132</v>
      </c>
      <c r="B2035">
        <v>1</v>
      </c>
      <c r="C2035" t="s">
        <v>2724</v>
      </c>
      <c r="D2035" t="s">
        <v>2725</v>
      </c>
      <c r="E2035" t="s">
        <v>73</v>
      </c>
      <c r="F2035" t="s">
        <v>73</v>
      </c>
      <c r="G2035" t="s">
        <v>73</v>
      </c>
      <c r="H2035">
        <v>15.5</v>
      </c>
      <c r="I2035">
        <v>187</v>
      </c>
      <c r="J2035">
        <v>20895</v>
      </c>
      <c r="K2035" t="s">
        <v>2726</v>
      </c>
      <c r="L2035">
        <f t="shared" si="126"/>
        <v>4</v>
      </c>
      <c r="N2035">
        <v>4</v>
      </c>
      <c r="O2035">
        <v>4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4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4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f t="shared" si="129"/>
        <v>4</v>
      </c>
      <c r="BW2035" s="16">
        <f t="shared" si="127"/>
        <v>0.21052631578947367</v>
      </c>
      <c r="BX2035" s="16">
        <f>COUNTIF($BC$6:BU2035, "=0") / COUNTIF($BC$6:BU2035, "&gt;-1")</f>
        <v>0.48620689655172411</v>
      </c>
      <c r="BY2035" s="18">
        <f>SUM($BC$6:BU2035) / $BY$4</f>
        <v>0.99723355020472859</v>
      </c>
      <c r="BZ2035" s="14">
        <f t="shared" si="128"/>
        <v>18</v>
      </c>
      <c r="CA2035" t="s">
        <v>5832</v>
      </c>
      <c r="CZ2035" t="s">
        <v>9501</v>
      </c>
      <c r="DA2035" t="s">
        <v>5904</v>
      </c>
      <c r="DB2035">
        <v>351.7</v>
      </c>
      <c r="DC2035" t="s">
        <v>24706</v>
      </c>
      <c r="DD2035" t="s">
        <v>24707</v>
      </c>
      <c r="DE2035" t="s">
        <v>24708</v>
      </c>
      <c r="DF2035" t="s">
        <v>24709</v>
      </c>
      <c r="DG2035" t="s">
        <v>24710</v>
      </c>
      <c r="DH2035" t="str">
        <f>"IGF1"</f>
        <v>IGF1</v>
      </c>
      <c r="DI2035" t="s">
        <v>16894</v>
      </c>
      <c r="DJ2035" t="s">
        <v>13777</v>
      </c>
      <c r="DK2035">
        <v>9606</v>
      </c>
      <c r="DL2035" s="34" t="str">
        <f>HYPERLINK("http://www.uniprot.org/uniprot/P05019", "P05019")</f>
        <v>P05019</v>
      </c>
      <c r="DM2035" t="s">
        <v>24711</v>
      </c>
      <c r="DN2035" t="s">
        <v>13772</v>
      </c>
      <c r="DO2035" t="s">
        <v>14321</v>
      </c>
      <c r="DP2035" t="s">
        <v>13780</v>
      </c>
      <c r="DQ2035" t="s">
        <v>13772</v>
      </c>
      <c r="DR2035" t="s">
        <v>24531</v>
      </c>
      <c r="DS2035" t="s">
        <v>13808</v>
      </c>
      <c r="DT2035" t="s">
        <v>13772</v>
      </c>
      <c r="DU2035" t="s">
        <v>15740</v>
      </c>
      <c r="DV2035" t="s">
        <v>14506</v>
      </c>
      <c r="DW2035" t="s">
        <v>13812</v>
      </c>
      <c r="DX2035" t="s">
        <v>24712</v>
      </c>
      <c r="DY2035" t="s">
        <v>24713</v>
      </c>
      <c r="DZ2035" t="s">
        <v>24714</v>
      </c>
      <c r="EA2035" t="s">
        <v>13772</v>
      </c>
      <c r="EB2035" t="s">
        <v>24715</v>
      </c>
    </row>
    <row r="2036" spans="1:132" hidden="1">
      <c r="A2036">
        <v>1141</v>
      </c>
      <c r="B2036">
        <v>1</v>
      </c>
      <c r="C2036" t="s">
        <v>2747</v>
      </c>
      <c r="D2036" t="s">
        <v>73</v>
      </c>
      <c r="E2036" t="s">
        <v>73</v>
      </c>
      <c r="F2036" t="s">
        <v>73</v>
      </c>
      <c r="G2036" t="s">
        <v>73</v>
      </c>
      <c r="H2036">
        <v>11.7</v>
      </c>
      <c r="I2036">
        <v>350</v>
      </c>
      <c r="J2036">
        <v>40078</v>
      </c>
      <c r="K2036" t="s">
        <v>2748</v>
      </c>
      <c r="L2036">
        <f t="shared" si="126"/>
        <v>4</v>
      </c>
      <c r="N2036">
        <v>4</v>
      </c>
      <c r="O2036">
        <v>4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</v>
      </c>
      <c r="AS2036">
        <v>0</v>
      </c>
      <c r="AT2036">
        <v>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2</v>
      </c>
      <c r="BL2036" s="2">
        <v>0</v>
      </c>
      <c r="BM2036" s="2">
        <v>2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f t="shared" si="129"/>
        <v>4</v>
      </c>
      <c r="BW2036" s="16">
        <f t="shared" si="127"/>
        <v>0.21052631578947367</v>
      </c>
      <c r="BX2036" s="16">
        <f>COUNTIF($BC$6:BU2036, "=0") / COUNTIF($BC$6:BU2036, "&gt;-1")</f>
        <v>0.48640804374303559</v>
      </c>
      <c r="BY2036" s="18">
        <f>SUM($BC$6:BU2036) / $BY$4</f>
        <v>0.99725068475220335</v>
      </c>
      <c r="BZ2036" s="14">
        <f t="shared" si="128"/>
        <v>17</v>
      </c>
      <c r="CA2036" t="s">
        <v>5832</v>
      </c>
      <c r="CZ2036" t="s">
        <v>9524</v>
      </c>
      <c r="DA2036" t="s">
        <v>5904</v>
      </c>
      <c r="DB2036">
        <v>710.3</v>
      </c>
      <c r="DC2036" t="s">
        <v>24779</v>
      </c>
      <c r="DD2036" t="s">
        <v>24780</v>
      </c>
      <c r="DE2036" t="s">
        <v>24781</v>
      </c>
      <c r="DF2036" t="s">
        <v>24782</v>
      </c>
      <c r="DG2036" t="s">
        <v>24783</v>
      </c>
      <c r="DH2036" t="str">
        <f>"TWF1"</f>
        <v>TWF1</v>
      </c>
      <c r="DI2036" t="s">
        <v>24784</v>
      </c>
      <c r="DJ2036" t="s">
        <v>13777</v>
      </c>
      <c r="DK2036">
        <v>9606</v>
      </c>
      <c r="DL2036" s="34" t="str">
        <f>HYPERLINK("http://www.uniprot.org/uniprot/Q12792", "Q12792")</f>
        <v>Q12792</v>
      </c>
      <c r="DM2036" t="s">
        <v>24785</v>
      </c>
      <c r="DN2036" t="s">
        <v>13772</v>
      </c>
      <c r="DO2036" t="s">
        <v>13988</v>
      </c>
      <c r="DP2036" t="s">
        <v>13841</v>
      </c>
      <c r="DQ2036" t="s">
        <v>13772</v>
      </c>
      <c r="DR2036" t="s">
        <v>13807</v>
      </c>
      <c r="DS2036" t="s">
        <v>14096</v>
      </c>
      <c r="DT2036" t="s">
        <v>13772</v>
      </c>
      <c r="DU2036" t="s">
        <v>13990</v>
      </c>
      <c r="DV2036" t="s">
        <v>13886</v>
      </c>
      <c r="DW2036" t="s">
        <v>13772</v>
      </c>
      <c r="DX2036" t="s">
        <v>24786</v>
      </c>
      <c r="DY2036" t="s">
        <v>24787</v>
      </c>
      <c r="DZ2036" t="s">
        <v>24788</v>
      </c>
      <c r="EA2036" t="s">
        <v>13772</v>
      </c>
      <c r="EB2036" t="s">
        <v>13772</v>
      </c>
    </row>
    <row r="2037" spans="1:132" hidden="1">
      <c r="A2037">
        <v>1161</v>
      </c>
      <c r="B2037">
        <v>1</v>
      </c>
      <c r="C2037" t="s">
        <v>2788</v>
      </c>
      <c r="D2037" t="s">
        <v>2789</v>
      </c>
      <c r="E2037" t="s">
        <v>73</v>
      </c>
      <c r="F2037" t="s">
        <v>1267</v>
      </c>
      <c r="G2037" t="s">
        <v>73</v>
      </c>
      <c r="H2037">
        <v>3.9</v>
      </c>
      <c r="I2037">
        <v>1216</v>
      </c>
      <c r="J2037">
        <v>138351</v>
      </c>
      <c r="K2037" t="s">
        <v>2790</v>
      </c>
      <c r="L2037">
        <f t="shared" si="126"/>
        <v>4</v>
      </c>
      <c r="N2037">
        <v>4</v>
      </c>
      <c r="O2037">
        <v>3</v>
      </c>
      <c r="P2037">
        <v>0.75</v>
      </c>
      <c r="Q2037">
        <v>0</v>
      </c>
      <c r="R2037">
        <v>2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 s="2">
        <v>0</v>
      </c>
      <c r="BD2037" s="2">
        <v>2</v>
      </c>
      <c r="BE2037" s="2">
        <v>0</v>
      </c>
      <c r="BF2037" s="2">
        <v>1</v>
      </c>
      <c r="BG2037" s="2">
        <v>1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f t="shared" si="129"/>
        <v>4</v>
      </c>
      <c r="BW2037" s="16">
        <f t="shared" si="127"/>
        <v>0.21052631578947367</v>
      </c>
      <c r="BX2037" s="16">
        <f>COUNTIF($BC$6:BU2037, "=0") / COUNTIF($BC$6:BU2037, "&gt;-1")</f>
        <v>0.48658309158723578</v>
      </c>
      <c r="BY2037" s="18">
        <f>SUM($BC$6:BU2037) / $BY$4</f>
        <v>0.99726781929967823</v>
      </c>
      <c r="BZ2037" s="14">
        <f t="shared" si="128"/>
        <v>16</v>
      </c>
      <c r="CA2037" t="s">
        <v>5832</v>
      </c>
      <c r="CZ2037" t="s">
        <v>9591</v>
      </c>
      <c r="DA2037" t="s">
        <v>5904</v>
      </c>
      <c r="DB2037">
        <v>2388.1999999999998</v>
      </c>
      <c r="DC2037" t="s">
        <v>24973</v>
      </c>
      <c r="DD2037" t="s">
        <v>24974</v>
      </c>
      <c r="DE2037" t="s">
        <v>24975</v>
      </c>
      <c r="DF2037" t="s">
        <v>24976</v>
      </c>
      <c r="DG2037" t="s">
        <v>24977</v>
      </c>
      <c r="DH2037" t="str">
        <f>"PTPRO"</f>
        <v>PTPRO</v>
      </c>
      <c r="DI2037" t="s">
        <v>24978</v>
      </c>
      <c r="DJ2037" t="s">
        <v>13777</v>
      </c>
      <c r="DK2037">
        <v>9606</v>
      </c>
      <c r="DL2037" s="34" t="str">
        <f>HYPERLINK("http://www.uniprot.org/uniprot/Q16827", "Q16827")</f>
        <v>Q16827</v>
      </c>
      <c r="DM2037" t="s">
        <v>24979</v>
      </c>
      <c r="DN2037" t="s">
        <v>13772</v>
      </c>
      <c r="DO2037" t="s">
        <v>13825</v>
      </c>
      <c r="DP2037" t="s">
        <v>13841</v>
      </c>
      <c r="DQ2037" t="s">
        <v>13772</v>
      </c>
      <c r="DR2037" t="s">
        <v>13772</v>
      </c>
      <c r="DS2037" t="s">
        <v>13826</v>
      </c>
      <c r="DT2037" t="s">
        <v>13772</v>
      </c>
      <c r="DU2037" t="s">
        <v>17457</v>
      </c>
      <c r="DV2037" t="s">
        <v>13978</v>
      </c>
      <c r="DW2037" t="s">
        <v>13812</v>
      </c>
      <c r="DX2037" t="s">
        <v>24980</v>
      </c>
      <c r="DY2037" t="s">
        <v>24981</v>
      </c>
      <c r="DZ2037" t="s">
        <v>24982</v>
      </c>
      <c r="EA2037" t="s">
        <v>13772</v>
      </c>
      <c r="EB2037" t="s">
        <v>24983</v>
      </c>
    </row>
    <row r="2038" spans="1:132" hidden="1">
      <c r="A2038">
        <v>1258</v>
      </c>
      <c r="B2038">
        <v>1</v>
      </c>
      <c r="C2038" t="s">
        <v>3012</v>
      </c>
      <c r="D2038" t="s">
        <v>3013</v>
      </c>
      <c r="E2038" t="s">
        <v>73</v>
      </c>
      <c r="F2038" t="s">
        <v>73</v>
      </c>
      <c r="G2038" t="s">
        <v>73</v>
      </c>
      <c r="H2038">
        <v>3.4</v>
      </c>
      <c r="I2038">
        <v>1943</v>
      </c>
      <c r="J2038">
        <v>213838</v>
      </c>
      <c r="K2038" t="s">
        <v>3014</v>
      </c>
      <c r="L2038">
        <f t="shared" si="126"/>
        <v>4</v>
      </c>
      <c r="N2038">
        <v>4</v>
      </c>
      <c r="O2038">
        <v>3</v>
      </c>
      <c r="P2038">
        <v>0.75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2</v>
      </c>
      <c r="BL2038" s="2">
        <v>0</v>
      </c>
      <c r="BM2038" s="2">
        <v>2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f t="shared" si="129"/>
        <v>4</v>
      </c>
      <c r="BW2038" s="16">
        <f t="shared" si="127"/>
        <v>0.21052631578947367</v>
      </c>
      <c r="BX2038" s="16">
        <f>COUNTIF($BC$6:BU2038, "=0") / COUNTIF($BC$6:BU2038, "&gt;-1")</f>
        <v>0.48678385585212414</v>
      </c>
      <c r="BY2038" s="18">
        <f>SUM($BC$6:BU2038) / $BY$4</f>
        <v>0.99728495384715299</v>
      </c>
      <c r="BZ2038" s="14">
        <f t="shared" si="128"/>
        <v>17</v>
      </c>
      <c r="CA2038" t="s">
        <v>5832</v>
      </c>
      <c r="CZ2038" t="s">
        <v>9919</v>
      </c>
      <c r="DA2038" t="s">
        <v>5904</v>
      </c>
      <c r="DB2038">
        <v>3522.2</v>
      </c>
      <c r="DC2038" t="s">
        <v>25913</v>
      </c>
      <c r="DD2038" t="s">
        <v>25914</v>
      </c>
      <c r="DE2038" t="s">
        <v>25915</v>
      </c>
      <c r="DF2038" t="s">
        <v>25916</v>
      </c>
      <c r="DG2038" t="s">
        <v>25917</v>
      </c>
      <c r="DH2038" t="str">
        <f>"ANK1"</f>
        <v>ANK1</v>
      </c>
      <c r="DI2038" t="s">
        <v>25918</v>
      </c>
      <c r="DJ2038" t="s">
        <v>13777</v>
      </c>
      <c r="DK2038">
        <v>9606</v>
      </c>
      <c r="DL2038" s="34" t="str">
        <f>HYPERLINK("http://www.uniprot.org/uniprot/P16157", "P16157")</f>
        <v>P16157</v>
      </c>
      <c r="DM2038" t="s">
        <v>25919</v>
      </c>
      <c r="DN2038" t="s">
        <v>13772</v>
      </c>
      <c r="DO2038" t="s">
        <v>25920</v>
      </c>
      <c r="DP2038" t="s">
        <v>14942</v>
      </c>
      <c r="DQ2038" t="s">
        <v>13772</v>
      </c>
      <c r="DR2038" t="s">
        <v>14588</v>
      </c>
      <c r="DS2038" t="s">
        <v>16840</v>
      </c>
      <c r="DT2038" t="s">
        <v>13772</v>
      </c>
      <c r="DU2038" t="s">
        <v>13772</v>
      </c>
      <c r="DV2038" t="s">
        <v>25921</v>
      </c>
      <c r="DW2038" t="s">
        <v>13812</v>
      </c>
      <c r="DX2038" t="s">
        <v>25922</v>
      </c>
      <c r="DY2038" t="s">
        <v>25923</v>
      </c>
      <c r="DZ2038" t="s">
        <v>25924</v>
      </c>
      <c r="EA2038" t="s">
        <v>13772</v>
      </c>
      <c r="EB2038" t="s">
        <v>25925</v>
      </c>
    </row>
    <row r="2039" spans="1:132" hidden="1">
      <c r="A2039">
        <v>1271</v>
      </c>
      <c r="B2039">
        <v>1</v>
      </c>
      <c r="C2039" t="s">
        <v>3048</v>
      </c>
      <c r="D2039" t="s">
        <v>3049</v>
      </c>
      <c r="E2039" t="s">
        <v>73</v>
      </c>
      <c r="F2039" t="s">
        <v>73</v>
      </c>
      <c r="G2039" t="s">
        <v>73</v>
      </c>
      <c r="H2039">
        <v>10.199999999999999</v>
      </c>
      <c r="I2039">
        <v>606</v>
      </c>
      <c r="J2039">
        <v>65445</v>
      </c>
      <c r="K2039" t="s">
        <v>3050</v>
      </c>
      <c r="L2039">
        <f t="shared" si="126"/>
        <v>4</v>
      </c>
      <c r="N2039">
        <v>4</v>
      </c>
      <c r="O2039">
        <v>4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4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4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f t="shared" si="129"/>
        <v>4</v>
      </c>
      <c r="BW2039" s="16">
        <f t="shared" si="127"/>
        <v>0.21052631578947367</v>
      </c>
      <c r="BX2039" s="16">
        <f>COUNTIF($BC$6:BU2039, "=0") / COUNTIF($BC$6:BU2039, "&gt;-1")</f>
        <v>0.48701029860787665</v>
      </c>
      <c r="BY2039" s="18">
        <f>SUM($BC$6:BU2039) / $BY$4</f>
        <v>0.99730208839462775</v>
      </c>
      <c r="BZ2039" s="14">
        <f t="shared" si="128"/>
        <v>18</v>
      </c>
      <c r="CA2039" t="s">
        <v>5832</v>
      </c>
      <c r="CZ2039" t="s">
        <v>9970</v>
      </c>
      <c r="DA2039" t="s">
        <v>5904</v>
      </c>
      <c r="DB2039">
        <v>949.5</v>
      </c>
      <c r="DC2039" t="s">
        <v>26048</v>
      </c>
      <c r="DD2039" t="s">
        <v>26049</v>
      </c>
      <c r="DE2039" t="s">
        <v>26050</v>
      </c>
      <c r="DF2039" t="s">
        <v>26051</v>
      </c>
      <c r="DG2039" t="s">
        <v>26052</v>
      </c>
      <c r="DH2039" t="str">
        <f>"SCARA3"</f>
        <v>SCARA3</v>
      </c>
      <c r="DI2039" t="s">
        <v>26053</v>
      </c>
      <c r="DJ2039" t="s">
        <v>13777</v>
      </c>
      <c r="DK2039">
        <v>9606</v>
      </c>
      <c r="DL2039" s="34" t="str">
        <f>HYPERLINK("http://www.uniprot.org/uniprot/Q6AZY7", "Q6AZY7")</f>
        <v>Q6AZY7</v>
      </c>
      <c r="DM2039" t="s">
        <v>26054</v>
      </c>
      <c r="DN2039" t="s">
        <v>13772</v>
      </c>
      <c r="DO2039" t="s">
        <v>17766</v>
      </c>
      <c r="DP2039" t="s">
        <v>13780</v>
      </c>
      <c r="DQ2039" t="s">
        <v>13772</v>
      </c>
      <c r="DR2039" t="s">
        <v>13772</v>
      </c>
      <c r="DS2039" t="s">
        <v>26055</v>
      </c>
      <c r="DT2039" t="s">
        <v>13772</v>
      </c>
      <c r="DU2039" t="s">
        <v>13772</v>
      </c>
      <c r="DV2039" t="s">
        <v>13858</v>
      </c>
      <c r="DW2039" t="s">
        <v>13772</v>
      </c>
      <c r="DX2039" t="s">
        <v>26056</v>
      </c>
      <c r="DY2039" t="s">
        <v>26057</v>
      </c>
      <c r="DZ2039" t="s">
        <v>26058</v>
      </c>
      <c r="EA2039" t="s">
        <v>13772</v>
      </c>
      <c r="EB2039" t="s">
        <v>13772</v>
      </c>
    </row>
    <row r="2040" spans="1:132" hidden="1">
      <c r="A2040">
        <v>1366</v>
      </c>
      <c r="B2040">
        <v>1</v>
      </c>
      <c r="C2040" t="s">
        <v>3265</v>
      </c>
      <c r="D2040" t="s">
        <v>3266</v>
      </c>
      <c r="E2040" t="s">
        <v>73</v>
      </c>
      <c r="F2040" t="s">
        <v>73</v>
      </c>
      <c r="G2040" t="s">
        <v>73</v>
      </c>
      <c r="H2040">
        <v>7.7</v>
      </c>
      <c r="I2040">
        <v>542</v>
      </c>
      <c r="J2040">
        <v>59873</v>
      </c>
      <c r="K2040" t="s">
        <v>3267</v>
      </c>
      <c r="L2040">
        <f t="shared" si="126"/>
        <v>4</v>
      </c>
      <c r="N2040">
        <v>4</v>
      </c>
      <c r="O2040">
        <v>4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2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s="2">
        <v>0</v>
      </c>
      <c r="BD2040" s="2">
        <v>1</v>
      </c>
      <c r="BE2040" s="2">
        <v>0</v>
      </c>
      <c r="BF2040" s="2">
        <v>0</v>
      </c>
      <c r="BG2040" s="2">
        <v>0</v>
      </c>
      <c r="BH2040" s="2">
        <v>2</v>
      </c>
      <c r="BI2040" s="2">
        <v>0</v>
      </c>
      <c r="BJ2040" s="2">
        <v>0</v>
      </c>
      <c r="BK2040" s="2">
        <v>0</v>
      </c>
      <c r="BL2040" s="2">
        <v>0</v>
      </c>
      <c r="BM2040" s="2">
        <v>1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f t="shared" si="129"/>
        <v>4</v>
      </c>
      <c r="BW2040" s="16">
        <f t="shared" si="127"/>
        <v>0.21052631578947367</v>
      </c>
      <c r="BX2040" s="16">
        <f>COUNTIF($BC$6:BU2040, "=0") / COUNTIF($BC$6:BU2040, "&gt;-1")</f>
        <v>0.48718479244795032</v>
      </c>
      <c r="BY2040" s="18">
        <f>SUM($BC$6:BU2040) / $BY$4</f>
        <v>0.99731922294210262</v>
      </c>
      <c r="BZ2040" s="14">
        <f t="shared" si="128"/>
        <v>16</v>
      </c>
      <c r="CA2040" t="s">
        <v>5832</v>
      </c>
      <c r="CZ2040" t="s">
        <v>10299</v>
      </c>
      <c r="DA2040" t="s">
        <v>5904</v>
      </c>
      <c r="DB2040">
        <v>1045</v>
      </c>
      <c r="DC2040" t="s">
        <v>26995</v>
      </c>
      <c r="DD2040" t="s">
        <v>26996</v>
      </c>
      <c r="DE2040" t="s">
        <v>26997</v>
      </c>
      <c r="DF2040" t="s">
        <v>26998</v>
      </c>
      <c r="DG2040" t="s">
        <v>26999</v>
      </c>
      <c r="DH2040" t="str">
        <f>"PGM3"</f>
        <v>PGM3</v>
      </c>
      <c r="DI2040" t="s">
        <v>13772</v>
      </c>
      <c r="DJ2040" t="s">
        <v>13777</v>
      </c>
      <c r="DK2040">
        <v>9606</v>
      </c>
      <c r="DL2040" s="34" t="str">
        <f>HYPERLINK("http://www.uniprot.org/uniprot/O95394", "O95394")</f>
        <v>O95394</v>
      </c>
      <c r="DM2040" t="s">
        <v>27000</v>
      </c>
      <c r="DN2040" t="s">
        <v>18256</v>
      </c>
      <c r="DO2040" t="s">
        <v>13772</v>
      </c>
      <c r="DP2040" t="s">
        <v>13780</v>
      </c>
      <c r="DQ2040" t="s">
        <v>13772</v>
      </c>
      <c r="DR2040" t="s">
        <v>13807</v>
      </c>
      <c r="DS2040" t="s">
        <v>13772</v>
      </c>
      <c r="DT2040" t="s">
        <v>14784</v>
      </c>
      <c r="DU2040" t="s">
        <v>14910</v>
      </c>
      <c r="DV2040" t="s">
        <v>13886</v>
      </c>
      <c r="DW2040" t="s">
        <v>13772</v>
      </c>
      <c r="DX2040" t="s">
        <v>27001</v>
      </c>
      <c r="DY2040" t="s">
        <v>13902</v>
      </c>
      <c r="DZ2040" t="s">
        <v>27002</v>
      </c>
      <c r="EA2040" t="s">
        <v>27003</v>
      </c>
      <c r="EB2040" t="s">
        <v>15101</v>
      </c>
    </row>
    <row r="2041" spans="1:132" hidden="1">
      <c r="A2041">
        <v>1372</v>
      </c>
      <c r="B2041">
        <v>1</v>
      </c>
      <c r="C2041" t="s">
        <v>3279</v>
      </c>
      <c r="D2041" t="s">
        <v>73</v>
      </c>
      <c r="E2041" t="s">
        <v>73</v>
      </c>
      <c r="F2041" t="s">
        <v>73</v>
      </c>
      <c r="G2041" t="s">
        <v>73</v>
      </c>
      <c r="H2041">
        <v>15.1</v>
      </c>
      <c r="I2041">
        <v>325</v>
      </c>
      <c r="J2041">
        <v>35402</v>
      </c>
      <c r="K2041" t="s">
        <v>3280</v>
      </c>
      <c r="L2041">
        <f t="shared" si="126"/>
        <v>4</v>
      </c>
      <c r="N2041">
        <v>4</v>
      </c>
      <c r="O2041">
        <v>4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3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 s="2">
        <v>0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3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f t="shared" si="129"/>
        <v>4</v>
      </c>
      <c r="BW2041" s="16">
        <f t="shared" si="127"/>
        <v>0.21052631578947367</v>
      </c>
      <c r="BX2041" s="16">
        <f>COUNTIF($BC$6:BU2041, "=0") / COUNTIF($BC$6:BU2041, "&gt;-1")</f>
        <v>0.48738496536035569</v>
      </c>
      <c r="BY2041" s="18">
        <f>SUM($BC$6:BU2041) / $BY$4</f>
        <v>0.99733635748957739</v>
      </c>
      <c r="BZ2041" s="14">
        <f t="shared" si="128"/>
        <v>17</v>
      </c>
      <c r="CA2041" t="s">
        <v>5832</v>
      </c>
      <c r="CZ2041" t="s">
        <v>10315</v>
      </c>
      <c r="DA2041" t="s">
        <v>5904</v>
      </c>
      <c r="DB2041">
        <v>560.5</v>
      </c>
      <c r="DC2041" t="s">
        <v>27037</v>
      </c>
      <c r="DD2041" t="s">
        <v>27038</v>
      </c>
      <c r="DE2041" t="s">
        <v>27039</v>
      </c>
      <c r="DF2041" t="s">
        <v>27040</v>
      </c>
      <c r="DG2041" t="s">
        <v>27041</v>
      </c>
      <c r="DH2041" t="str">
        <f>"CYC1"</f>
        <v>CYC1</v>
      </c>
      <c r="DI2041" t="s">
        <v>13772</v>
      </c>
      <c r="DJ2041" t="s">
        <v>13777</v>
      </c>
      <c r="DK2041">
        <v>9606</v>
      </c>
      <c r="DL2041" s="34" t="str">
        <f>HYPERLINK("http://www.uniprot.org/uniprot/P08574", "P08574")</f>
        <v>P08574</v>
      </c>
      <c r="DM2041" t="s">
        <v>27042</v>
      </c>
      <c r="DN2041" t="s">
        <v>21478</v>
      </c>
      <c r="DO2041" t="s">
        <v>15507</v>
      </c>
      <c r="DP2041" t="s">
        <v>13793</v>
      </c>
      <c r="DQ2041" t="s">
        <v>13772</v>
      </c>
      <c r="DR2041" t="s">
        <v>14390</v>
      </c>
      <c r="DS2041" t="s">
        <v>27043</v>
      </c>
      <c r="DT2041" t="s">
        <v>16031</v>
      </c>
      <c r="DU2041" t="s">
        <v>13772</v>
      </c>
      <c r="DV2041" t="s">
        <v>13782</v>
      </c>
      <c r="DW2041" t="s">
        <v>13812</v>
      </c>
      <c r="DX2041" t="s">
        <v>27044</v>
      </c>
      <c r="DY2041" t="s">
        <v>27045</v>
      </c>
      <c r="DZ2041" t="s">
        <v>27046</v>
      </c>
      <c r="EA2041" t="s">
        <v>13772</v>
      </c>
      <c r="EB2041" t="s">
        <v>27047</v>
      </c>
    </row>
    <row r="2042" spans="1:132" hidden="1">
      <c r="A2042">
        <v>1402</v>
      </c>
      <c r="B2042">
        <v>1</v>
      </c>
      <c r="C2042" t="s">
        <v>3347</v>
      </c>
      <c r="D2042" t="s">
        <v>73</v>
      </c>
      <c r="E2042" t="s">
        <v>73</v>
      </c>
      <c r="F2042" t="s">
        <v>73</v>
      </c>
      <c r="G2042" t="s">
        <v>73</v>
      </c>
      <c r="H2042">
        <v>4.3</v>
      </c>
      <c r="I2042">
        <v>2022</v>
      </c>
      <c r="J2042">
        <v>219309</v>
      </c>
      <c r="K2042" t="s">
        <v>3348</v>
      </c>
      <c r="L2042">
        <f t="shared" si="126"/>
        <v>4</v>
      </c>
      <c r="N2042">
        <v>4</v>
      </c>
      <c r="O2042">
        <v>4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3</v>
      </c>
      <c r="BL2042" s="2">
        <v>0</v>
      </c>
      <c r="BM2042" s="2">
        <v>1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f t="shared" si="129"/>
        <v>4</v>
      </c>
      <c r="BW2042" s="16">
        <f t="shared" si="127"/>
        <v>0.21052631578947367</v>
      </c>
      <c r="BX2042" s="16">
        <f>COUNTIF($BC$6:BU2042, "=0") / COUNTIF($BC$6:BU2042, "&gt;-1")</f>
        <v>0.48758494173578276</v>
      </c>
      <c r="BY2042" s="18">
        <f>SUM($BC$6:BU2042) / $BY$4</f>
        <v>0.99735349203705215</v>
      </c>
      <c r="BZ2042" s="14">
        <f t="shared" si="128"/>
        <v>17</v>
      </c>
      <c r="CA2042" t="s">
        <v>5832</v>
      </c>
      <c r="CZ2042" t="s">
        <v>10417</v>
      </c>
      <c r="DA2042" t="s">
        <v>5904</v>
      </c>
      <c r="DB2042">
        <v>2747.2</v>
      </c>
      <c r="DC2042" t="s">
        <v>27318</v>
      </c>
      <c r="DD2042" t="s">
        <v>27319</v>
      </c>
      <c r="DE2042" t="s">
        <v>27320</v>
      </c>
      <c r="DF2042" t="s">
        <v>27321</v>
      </c>
      <c r="DG2042" t="s">
        <v>27322</v>
      </c>
      <c r="DH2042" t="str">
        <f>"CRYBG1"</f>
        <v>CRYBG1</v>
      </c>
      <c r="DI2042" t="s">
        <v>13772</v>
      </c>
      <c r="DJ2042" t="s">
        <v>13777</v>
      </c>
      <c r="DK2042">
        <v>9606</v>
      </c>
      <c r="DL2042" s="34" t="str">
        <f>HYPERLINK("http://www.uniprot.org/uniprot/Q9Y4K1", "Q9Y4K1")</f>
        <v>Q9Y4K1</v>
      </c>
      <c r="DM2042" t="s">
        <v>27323</v>
      </c>
      <c r="DN2042" t="s">
        <v>13772</v>
      </c>
      <c r="DO2042" t="s">
        <v>13772</v>
      </c>
      <c r="DP2042" t="s">
        <v>13780</v>
      </c>
      <c r="DQ2042" t="s">
        <v>13772</v>
      </c>
      <c r="DR2042" t="s">
        <v>13772</v>
      </c>
      <c r="DS2042" t="s">
        <v>14096</v>
      </c>
      <c r="DT2042" t="s">
        <v>14277</v>
      </c>
      <c r="DU2042" t="s">
        <v>13772</v>
      </c>
      <c r="DV2042" t="s">
        <v>13782</v>
      </c>
      <c r="DW2042" t="s">
        <v>13812</v>
      </c>
      <c r="DX2042" t="s">
        <v>13772</v>
      </c>
      <c r="DY2042" t="s">
        <v>13772</v>
      </c>
      <c r="DZ2042" t="s">
        <v>20728</v>
      </c>
      <c r="EA2042" t="s">
        <v>13772</v>
      </c>
      <c r="EB2042" t="s">
        <v>13772</v>
      </c>
    </row>
    <row r="2043" spans="1:132" hidden="1">
      <c r="A2043">
        <v>1420</v>
      </c>
      <c r="B2043">
        <v>1</v>
      </c>
      <c r="C2043" t="s">
        <v>3386</v>
      </c>
      <c r="D2043" t="s">
        <v>3387</v>
      </c>
      <c r="E2043" t="s">
        <v>73</v>
      </c>
      <c r="F2043" t="s">
        <v>73</v>
      </c>
      <c r="G2043" t="s">
        <v>73</v>
      </c>
      <c r="H2043">
        <v>5.4</v>
      </c>
      <c r="I2043">
        <v>895</v>
      </c>
      <c r="J2043">
        <v>98710</v>
      </c>
      <c r="K2043" t="s">
        <v>3388</v>
      </c>
      <c r="L2043">
        <f t="shared" si="126"/>
        <v>4</v>
      </c>
      <c r="N2043">
        <v>4</v>
      </c>
      <c r="O2043">
        <v>4</v>
      </c>
      <c r="P2043">
        <v>1</v>
      </c>
      <c r="Q2043">
        <v>2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 s="2">
        <v>2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f t="shared" si="129"/>
        <v>4</v>
      </c>
      <c r="BW2043" s="16">
        <f t="shared" si="127"/>
        <v>0.21052631578947367</v>
      </c>
      <c r="BX2043" s="16">
        <f>COUNTIF($BC$6:BU2043, "=0") / COUNTIF($BC$6:BU2043, "&gt;-1")</f>
        <v>0.48775889675120088</v>
      </c>
      <c r="BY2043" s="18">
        <f>SUM($BC$6:BU2043) / $BY$4</f>
        <v>0.99737062658452702</v>
      </c>
      <c r="BZ2043" s="14">
        <f t="shared" si="128"/>
        <v>16</v>
      </c>
      <c r="CA2043" t="s">
        <v>5832</v>
      </c>
      <c r="CZ2043" t="s">
        <v>10469</v>
      </c>
      <c r="DA2043" t="s">
        <v>5904</v>
      </c>
      <c r="DB2043">
        <v>1529.2</v>
      </c>
      <c r="DC2043" t="s">
        <v>27448</v>
      </c>
      <c r="DD2043" t="s">
        <v>27449</v>
      </c>
      <c r="DE2043" t="s">
        <v>27450</v>
      </c>
      <c r="DF2043" t="s">
        <v>27451</v>
      </c>
      <c r="DG2043" t="s">
        <v>27452</v>
      </c>
      <c r="DH2043" t="str">
        <f>"DDR1"</f>
        <v>DDR1</v>
      </c>
      <c r="DI2043" t="s">
        <v>27453</v>
      </c>
      <c r="DJ2043" t="s">
        <v>13777</v>
      </c>
      <c r="DK2043">
        <v>9606</v>
      </c>
      <c r="DL2043" s="34" t="str">
        <f>HYPERLINK("http://www.uniprot.org/uniprot/Q08345", "Q08345")</f>
        <v>Q08345</v>
      </c>
      <c r="DM2043" t="s">
        <v>27454</v>
      </c>
      <c r="DN2043" t="s">
        <v>27455</v>
      </c>
      <c r="DO2043" t="s">
        <v>14336</v>
      </c>
      <c r="DP2043" t="s">
        <v>13780</v>
      </c>
      <c r="DQ2043" t="s">
        <v>13772</v>
      </c>
      <c r="DR2043" t="s">
        <v>13772</v>
      </c>
      <c r="DS2043" t="s">
        <v>13855</v>
      </c>
      <c r="DT2043" t="s">
        <v>15398</v>
      </c>
      <c r="DU2043" t="s">
        <v>16809</v>
      </c>
      <c r="DV2043" t="s">
        <v>13964</v>
      </c>
      <c r="DW2043" t="s">
        <v>13812</v>
      </c>
      <c r="DX2043" t="s">
        <v>27456</v>
      </c>
      <c r="DY2043" t="s">
        <v>27457</v>
      </c>
      <c r="DZ2043" t="s">
        <v>27458</v>
      </c>
      <c r="EA2043" t="s">
        <v>13772</v>
      </c>
      <c r="EB2043" t="s">
        <v>27459</v>
      </c>
    </row>
    <row r="2044" spans="1:132" hidden="1">
      <c r="A2044">
        <v>1432</v>
      </c>
      <c r="B2044">
        <v>1</v>
      </c>
      <c r="C2044" t="s">
        <v>3412</v>
      </c>
      <c r="D2044" t="s">
        <v>3413</v>
      </c>
      <c r="E2044" t="s">
        <v>73</v>
      </c>
      <c r="F2044" t="s">
        <v>73</v>
      </c>
      <c r="G2044" t="s">
        <v>73</v>
      </c>
      <c r="H2044">
        <v>5.7</v>
      </c>
      <c r="I2044">
        <v>331</v>
      </c>
      <c r="J2044">
        <v>36963</v>
      </c>
      <c r="K2044" t="s">
        <v>3414</v>
      </c>
      <c r="L2044">
        <f t="shared" si="126"/>
        <v>4</v>
      </c>
      <c r="N2044">
        <v>4</v>
      </c>
      <c r="O2044">
        <v>4</v>
      </c>
      <c r="P2044">
        <v>1</v>
      </c>
      <c r="Q2044">
        <v>0</v>
      </c>
      <c r="R2044">
        <v>0</v>
      </c>
      <c r="S2044">
        <v>0</v>
      </c>
      <c r="T2044">
        <v>3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3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 s="2">
        <v>0</v>
      </c>
      <c r="BD2044" s="2">
        <v>0</v>
      </c>
      <c r="BE2044" s="2">
        <v>0</v>
      </c>
      <c r="BF2044" s="2">
        <v>3</v>
      </c>
      <c r="BG2044" s="2">
        <v>1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f t="shared" si="129"/>
        <v>4</v>
      </c>
      <c r="BW2044" s="16">
        <f t="shared" si="127"/>
        <v>0.21052631578947367</v>
      </c>
      <c r="BX2044" s="16">
        <f>COUNTIF($BC$6:BU2044, "=0") / COUNTIF($BC$6:BU2044, "&gt;-1")</f>
        <v>0.487958493585607</v>
      </c>
      <c r="BY2044" s="18">
        <f>SUM($BC$6:BU2044) / $BY$4</f>
        <v>0.99738776113200178</v>
      </c>
      <c r="BZ2044" s="14">
        <f t="shared" si="128"/>
        <v>17</v>
      </c>
      <c r="CA2044" t="s">
        <v>5832</v>
      </c>
      <c r="CZ2044" t="s">
        <v>10508</v>
      </c>
      <c r="DA2044" t="s">
        <v>5904</v>
      </c>
      <c r="DB2044">
        <v>558.9</v>
      </c>
      <c r="DC2044" t="s">
        <v>27559</v>
      </c>
      <c r="DD2044" t="s">
        <v>13772</v>
      </c>
      <c r="DE2044" t="s">
        <v>27560</v>
      </c>
      <c r="DF2044" t="s">
        <v>27561</v>
      </c>
      <c r="DG2044" t="s">
        <v>27562</v>
      </c>
      <c r="DH2044" t="str">
        <f>"GINM1"</f>
        <v>GINM1</v>
      </c>
      <c r="DI2044" t="s">
        <v>27563</v>
      </c>
      <c r="DJ2044" t="s">
        <v>13777</v>
      </c>
      <c r="DK2044">
        <v>9606</v>
      </c>
      <c r="DL2044" s="34" t="str">
        <f>HYPERLINK("http://www.uniprot.org/uniprot/Q9NU53", "Q9NU53")</f>
        <v>Q9NU53</v>
      </c>
      <c r="DM2044" t="s">
        <v>25206</v>
      </c>
      <c r="DN2044" t="s">
        <v>13772</v>
      </c>
      <c r="DO2044" t="s">
        <v>13825</v>
      </c>
      <c r="DP2044" t="s">
        <v>13772</v>
      </c>
      <c r="DQ2044" t="s">
        <v>13772</v>
      </c>
      <c r="DR2044" t="s">
        <v>13772</v>
      </c>
      <c r="DS2044" t="s">
        <v>13855</v>
      </c>
      <c r="DT2044" t="s">
        <v>13772</v>
      </c>
      <c r="DU2044" t="s">
        <v>13772</v>
      </c>
      <c r="DV2044" t="s">
        <v>13858</v>
      </c>
      <c r="DW2044" t="s">
        <v>13772</v>
      </c>
      <c r="DX2044" t="s">
        <v>13772</v>
      </c>
      <c r="DY2044" t="s">
        <v>15378</v>
      </c>
      <c r="DZ2044" t="s">
        <v>13772</v>
      </c>
      <c r="EA2044" t="s">
        <v>13772</v>
      </c>
      <c r="EB2044" t="s">
        <v>13772</v>
      </c>
    </row>
    <row r="2045" spans="1:132" hidden="1">
      <c r="A2045">
        <v>1447</v>
      </c>
      <c r="B2045">
        <v>1</v>
      </c>
      <c r="C2045" t="s">
        <v>3446</v>
      </c>
      <c r="D2045" t="s">
        <v>73</v>
      </c>
      <c r="E2045" t="s">
        <v>73</v>
      </c>
      <c r="F2045" t="s">
        <v>73</v>
      </c>
      <c r="G2045" t="s">
        <v>73</v>
      </c>
      <c r="H2045">
        <v>2.2999999999999998</v>
      </c>
      <c r="I2045">
        <v>523</v>
      </c>
      <c r="J2045">
        <v>56107</v>
      </c>
      <c r="K2045" t="s">
        <v>3447</v>
      </c>
      <c r="L2045">
        <f t="shared" si="126"/>
        <v>4</v>
      </c>
      <c r="N2045">
        <v>4</v>
      </c>
      <c r="O2045">
        <v>4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</v>
      </c>
      <c r="AU2045">
        <v>1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2</v>
      </c>
      <c r="BN2045" s="2">
        <v>1</v>
      </c>
      <c r="BO2045" s="2">
        <v>0</v>
      </c>
      <c r="BP2045" s="2">
        <v>0</v>
      </c>
      <c r="BQ2045" s="2">
        <v>1</v>
      </c>
      <c r="BR2045" s="2">
        <v>0</v>
      </c>
      <c r="BS2045" s="2">
        <v>0</v>
      </c>
      <c r="BT2045" s="2">
        <v>0</v>
      </c>
      <c r="BU2045" s="2">
        <v>0</v>
      </c>
      <c r="BV2045" s="2">
        <f t="shared" si="129"/>
        <v>4</v>
      </c>
      <c r="BW2045" s="16">
        <f t="shared" si="127"/>
        <v>0.21052631578947367</v>
      </c>
      <c r="BX2045" s="16">
        <f>COUNTIF($BC$6:BU2045, "=0") / COUNTIF($BC$6:BU2045, "&gt;-1")</f>
        <v>0.48813209494324045</v>
      </c>
      <c r="BY2045" s="18">
        <f>SUM($BC$6:BU2045) / $BY$4</f>
        <v>0.99740489567947666</v>
      </c>
      <c r="BZ2045" s="14">
        <f t="shared" si="128"/>
        <v>16</v>
      </c>
      <c r="CA2045" t="s">
        <v>5832</v>
      </c>
      <c r="CZ2045" t="s">
        <v>10554</v>
      </c>
      <c r="DA2045" t="s">
        <v>5904</v>
      </c>
      <c r="DB2045">
        <v>874.4</v>
      </c>
      <c r="DC2045" t="s">
        <v>27687</v>
      </c>
      <c r="DD2045" t="s">
        <v>27688</v>
      </c>
      <c r="DE2045" t="s">
        <v>27689</v>
      </c>
      <c r="DF2045" t="s">
        <v>27690</v>
      </c>
      <c r="DG2045" t="s">
        <v>27691</v>
      </c>
      <c r="DH2045" t="str">
        <f>"ALDH5A1"</f>
        <v>ALDH5A1</v>
      </c>
      <c r="DI2045" t="s">
        <v>27692</v>
      </c>
      <c r="DJ2045" t="s">
        <v>13777</v>
      </c>
      <c r="DK2045">
        <v>9606</v>
      </c>
      <c r="DL2045" s="34" t="str">
        <f>HYPERLINK("http://www.uniprot.org/uniprot/P51649", "P51649")</f>
        <v>P51649</v>
      </c>
      <c r="DM2045" t="s">
        <v>27693</v>
      </c>
      <c r="DN2045" t="s">
        <v>13772</v>
      </c>
      <c r="DO2045" t="s">
        <v>14491</v>
      </c>
      <c r="DP2045" t="s">
        <v>13780</v>
      </c>
      <c r="DQ2045" t="s">
        <v>13772</v>
      </c>
      <c r="DR2045" t="s">
        <v>13807</v>
      </c>
      <c r="DS2045" t="s">
        <v>14391</v>
      </c>
      <c r="DT2045" t="s">
        <v>14492</v>
      </c>
      <c r="DU2045" t="s">
        <v>13885</v>
      </c>
      <c r="DV2045" t="s">
        <v>15256</v>
      </c>
      <c r="DW2045" t="s">
        <v>13812</v>
      </c>
      <c r="DX2045" t="s">
        <v>27694</v>
      </c>
      <c r="DY2045" t="s">
        <v>15582</v>
      </c>
      <c r="DZ2045" t="s">
        <v>27695</v>
      </c>
      <c r="EA2045" t="s">
        <v>27696</v>
      </c>
      <c r="EB2045" t="s">
        <v>27697</v>
      </c>
    </row>
    <row r="2046" spans="1:132" hidden="1">
      <c r="A2046">
        <v>1478</v>
      </c>
      <c r="B2046">
        <v>1</v>
      </c>
      <c r="C2046" t="s">
        <v>3517</v>
      </c>
      <c r="D2046" t="s">
        <v>3518</v>
      </c>
      <c r="E2046" t="s">
        <v>73</v>
      </c>
      <c r="F2046" t="s">
        <v>73</v>
      </c>
      <c r="G2046" t="s">
        <v>73</v>
      </c>
      <c r="H2046">
        <v>3.9</v>
      </c>
      <c r="I2046">
        <v>1297</v>
      </c>
      <c r="J2046">
        <v>143573</v>
      </c>
      <c r="K2046" t="s">
        <v>3519</v>
      </c>
      <c r="L2046">
        <f t="shared" si="126"/>
        <v>4</v>
      </c>
      <c r="N2046">
        <v>4</v>
      </c>
      <c r="O2046">
        <v>4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2</v>
      </c>
      <c r="BN2046" s="2">
        <v>1</v>
      </c>
      <c r="BO2046" s="2">
        <v>0</v>
      </c>
      <c r="BP2046" s="2">
        <v>0</v>
      </c>
      <c r="BQ2046" s="2">
        <v>0</v>
      </c>
      <c r="BR2046" s="2">
        <v>1</v>
      </c>
      <c r="BS2046" s="2">
        <v>0</v>
      </c>
      <c r="BT2046" s="2">
        <v>0</v>
      </c>
      <c r="BU2046" s="2">
        <v>0</v>
      </c>
      <c r="BV2046" s="2">
        <f t="shared" si="129"/>
        <v>4</v>
      </c>
      <c r="BW2046" s="16">
        <f t="shared" si="127"/>
        <v>0.21052631578947367</v>
      </c>
      <c r="BX2046" s="16">
        <f>COUNTIF($BC$6:BU2046, "=0") / COUNTIF($BC$6:BU2046, "&gt;-1")</f>
        <v>0.48830552618685369</v>
      </c>
      <c r="BY2046" s="18">
        <f>SUM($BC$6:BU2046) / $BY$4</f>
        <v>0.99742203022695142</v>
      </c>
      <c r="BZ2046" s="14">
        <f t="shared" si="128"/>
        <v>16</v>
      </c>
      <c r="CA2046" t="s">
        <v>5832</v>
      </c>
      <c r="CZ2046" t="s">
        <v>10659</v>
      </c>
      <c r="DA2046" t="s">
        <v>5904</v>
      </c>
      <c r="DB2046">
        <v>2379</v>
      </c>
      <c r="DC2046" t="s">
        <v>27997</v>
      </c>
      <c r="DD2046" t="s">
        <v>27998</v>
      </c>
      <c r="DE2046" t="s">
        <v>27999</v>
      </c>
      <c r="DF2046" t="s">
        <v>28000</v>
      </c>
      <c r="DG2046" t="s">
        <v>28001</v>
      </c>
      <c r="DH2046" t="str">
        <f>"VARS"</f>
        <v>VARS</v>
      </c>
      <c r="DI2046" t="s">
        <v>28002</v>
      </c>
      <c r="DJ2046" t="s">
        <v>13777</v>
      </c>
      <c r="DK2046">
        <v>9606</v>
      </c>
      <c r="DL2046" s="34" t="str">
        <f>HYPERLINK("http://www.uniprot.org/uniprot/P26640", "P26640")</f>
        <v>P26640</v>
      </c>
      <c r="DM2046" t="s">
        <v>28003</v>
      </c>
      <c r="DN2046" t="s">
        <v>17925</v>
      </c>
      <c r="DO2046" t="s">
        <v>13772</v>
      </c>
      <c r="DP2046" t="s">
        <v>13780</v>
      </c>
      <c r="DQ2046" t="s">
        <v>13772</v>
      </c>
      <c r="DR2046" t="s">
        <v>17815</v>
      </c>
      <c r="DS2046" t="s">
        <v>13772</v>
      </c>
      <c r="DT2046" t="s">
        <v>14005</v>
      </c>
      <c r="DU2046" t="s">
        <v>14800</v>
      </c>
      <c r="DV2046" t="s">
        <v>13886</v>
      </c>
      <c r="DW2046" t="s">
        <v>13772</v>
      </c>
      <c r="DX2046" t="s">
        <v>28004</v>
      </c>
      <c r="DY2046" t="s">
        <v>13902</v>
      </c>
      <c r="DZ2046" t="s">
        <v>28005</v>
      </c>
      <c r="EA2046" t="s">
        <v>13772</v>
      </c>
      <c r="EB2046" t="s">
        <v>14804</v>
      </c>
    </row>
    <row r="2047" spans="1:132" hidden="1">
      <c r="A2047">
        <v>1499</v>
      </c>
      <c r="B2047">
        <v>1</v>
      </c>
      <c r="C2047" t="s">
        <v>3567</v>
      </c>
      <c r="D2047" t="s">
        <v>3568</v>
      </c>
      <c r="E2047" t="s">
        <v>73</v>
      </c>
      <c r="F2047" t="s">
        <v>73</v>
      </c>
      <c r="G2047" t="s">
        <v>73</v>
      </c>
      <c r="H2047">
        <v>9.6999999999999993</v>
      </c>
      <c r="I2047">
        <v>558</v>
      </c>
      <c r="J2047">
        <v>61780</v>
      </c>
      <c r="K2047" t="s">
        <v>3569</v>
      </c>
      <c r="L2047">
        <f t="shared" si="126"/>
        <v>4</v>
      </c>
      <c r="N2047">
        <v>4</v>
      </c>
      <c r="O2047">
        <v>4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2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1</v>
      </c>
      <c r="BM2047" s="2">
        <v>1</v>
      </c>
      <c r="BN2047" s="2">
        <v>2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f t="shared" si="129"/>
        <v>4</v>
      </c>
      <c r="BW2047" s="16">
        <f t="shared" si="127"/>
        <v>0.21052631578947367</v>
      </c>
      <c r="BX2047" s="16">
        <f>COUNTIF($BC$6:BU2047, "=0") / COUNTIF($BC$6:BU2047, "&gt;-1")</f>
        <v>0.48847878756636942</v>
      </c>
      <c r="BY2047" s="18">
        <f>SUM($BC$6:BU2047) / $BY$4</f>
        <v>0.99743916477442618</v>
      </c>
      <c r="BZ2047" s="14">
        <f t="shared" si="128"/>
        <v>16</v>
      </c>
      <c r="CA2047" t="s">
        <v>5832</v>
      </c>
      <c r="CZ2047" t="s">
        <v>10729</v>
      </c>
      <c r="DA2047" t="s">
        <v>5904</v>
      </c>
      <c r="DB2047">
        <v>962.2</v>
      </c>
      <c r="DC2047" t="s">
        <v>28194</v>
      </c>
      <c r="DD2047" t="s">
        <v>28195</v>
      </c>
      <c r="DE2047" t="s">
        <v>28196</v>
      </c>
      <c r="DF2047" t="s">
        <v>28197</v>
      </c>
      <c r="DG2047" t="s">
        <v>28198</v>
      </c>
      <c r="DH2047" t="str">
        <f>"HP1BP3"</f>
        <v>HP1BP3</v>
      </c>
      <c r="DI2047" t="s">
        <v>13772</v>
      </c>
      <c r="DJ2047" t="s">
        <v>13777</v>
      </c>
      <c r="DK2047">
        <v>9606</v>
      </c>
      <c r="DL2047" s="34" t="str">
        <f>HYPERLINK("http://www.uniprot.org/uniprot/Q5SSJ5", "Q5SSJ5")</f>
        <v>Q5SSJ5</v>
      </c>
      <c r="DM2047" t="s">
        <v>28199</v>
      </c>
      <c r="DN2047" t="s">
        <v>13772</v>
      </c>
      <c r="DO2047" t="s">
        <v>19917</v>
      </c>
      <c r="DP2047" t="s">
        <v>13841</v>
      </c>
      <c r="DQ2047" t="s">
        <v>13772</v>
      </c>
      <c r="DR2047" t="s">
        <v>13772</v>
      </c>
      <c r="DS2047" t="s">
        <v>14096</v>
      </c>
      <c r="DT2047" t="s">
        <v>13772</v>
      </c>
      <c r="DU2047" t="s">
        <v>15871</v>
      </c>
      <c r="DV2047" t="s">
        <v>13991</v>
      </c>
      <c r="DW2047" t="s">
        <v>13812</v>
      </c>
      <c r="DX2047" t="s">
        <v>28200</v>
      </c>
      <c r="DY2047" t="s">
        <v>28201</v>
      </c>
      <c r="DZ2047" t="s">
        <v>28202</v>
      </c>
      <c r="EA2047" t="s">
        <v>13772</v>
      </c>
      <c r="EB2047" t="s">
        <v>13772</v>
      </c>
    </row>
    <row r="2048" spans="1:132" hidden="1">
      <c r="A2048">
        <v>1506</v>
      </c>
      <c r="B2048">
        <v>1</v>
      </c>
      <c r="C2048" t="s">
        <v>3585</v>
      </c>
      <c r="D2048" t="s">
        <v>73</v>
      </c>
      <c r="E2048" t="s">
        <v>73</v>
      </c>
      <c r="F2048" t="s">
        <v>73</v>
      </c>
      <c r="G2048" t="s">
        <v>73</v>
      </c>
      <c r="H2048">
        <v>17.2</v>
      </c>
      <c r="I2048">
        <v>198</v>
      </c>
      <c r="J2048">
        <v>20606</v>
      </c>
      <c r="K2048" t="s">
        <v>3586</v>
      </c>
      <c r="L2048">
        <f t="shared" si="126"/>
        <v>4</v>
      </c>
      <c r="N2048">
        <v>4</v>
      </c>
      <c r="O2048">
        <v>4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1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3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f t="shared" si="129"/>
        <v>4</v>
      </c>
      <c r="BW2048" s="16">
        <f t="shared" si="127"/>
        <v>0.21052631578947367</v>
      </c>
      <c r="BX2048" s="16">
        <f>COUNTIF($BC$6:BU2048, "=0") / COUNTIF($BC$6:BU2048, "&gt;-1")</f>
        <v>0.48867764123966301</v>
      </c>
      <c r="BY2048" s="18">
        <f>SUM($BC$6:BU2048) / $BY$4</f>
        <v>0.99745629932190105</v>
      </c>
      <c r="BZ2048" s="14">
        <f t="shared" si="128"/>
        <v>17</v>
      </c>
      <c r="CA2048" t="s">
        <v>5832</v>
      </c>
      <c r="CZ2048" t="s">
        <v>10751</v>
      </c>
      <c r="DA2048" t="s">
        <v>5900</v>
      </c>
      <c r="DB2048">
        <v>64.3</v>
      </c>
      <c r="DC2048" t="s">
        <v>28253</v>
      </c>
      <c r="DD2048" t="s">
        <v>13772</v>
      </c>
      <c r="DE2048" t="s">
        <v>28254</v>
      </c>
      <c r="DF2048" t="s">
        <v>28255</v>
      </c>
      <c r="DG2048" t="s">
        <v>13772</v>
      </c>
      <c r="DH2048" t="str">
        <f>"PTMS"</f>
        <v>PTMS</v>
      </c>
      <c r="DI2048" t="s">
        <v>13772</v>
      </c>
      <c r="DJ2048" t="s">
        <v>13777</v>
      </c>
      <c r="DK2048">
        <v>9606</v>
      </c>
      <c r="DL2048" s="34" t="str">
        <f>HYPERLINK("http://www.uniprot.org/uniprot/P20962", "P20962")</f>
        <v>P20962</v>
      </c>
      <c r="DM2048" t="s">
        <v>28256</v>
      </c>
      <c r="DN2048" t="s">
        <v>13791</v>
      </c>
      <c r="DO2048" t="s">
        <v>13772</v>
      </c>
      <c r="DP2048" t="s">
        <v>13772</v>
      </c>
      <c r="DQ2048" t="s">
        <v>13772</v>
      </c>
      <c r="DR2048" t="s">
        <v>13772</v>
      </c>
      <c r="DS2048" t="s">
        <v>13772</v>
      </c>
      <c r="DT2048" t="s">
        <v>13772</v>
      </c>
      <c r="DU2048" t="s">
        <v>13772</v>
      </c>
      <c r="DV2048" t="s">
        <v>13886</v>
      </c>
      <c r="DW2048" t="s">
        <v>13772</v>
      </c>
      <c r="DX2048" t="s">
        <v>28257</v>
      </c>
      <c r="DY2048" t="s">
        <v>15556</v>
      </c>
      <c r="DZ2048" t="s">
        <v>13772</v>
      </c>
      <c r="EA2048" t="s">
        <v>13772</v>
      </c>
      <c r="EB2048" t="s">
        <v>13772</v>
      </c>
    </row>
    <row r="2049" spans="1:132" hidden="1">
      <c r="A2049">
        <v>1543</v>
      </c>
      <c r="B2049">
        <v>1</v>
      </c>
      <c r="C2049" t="s">
        <v>3664</v>
      </c>
      <c r="D2049" t="s">
        <v>3665</v>
      </c>
      <c r="E2049" t="s">
        <v>73</v>
      </c>
      <c r="F2049" t="s">
        <v>73</v>
      </c>
      <c r="G2049" t="s">
        <v>73</v>
      </c>
      <c r="H2049">
        <v>13.5</v>
      </c>
      <c r="I2049">
        <v>348</v>
      </c>
      <c r="J2049">
        <v>37074</v>
      </c>
      <c r="K2049" t="s">
        <v>3666</v>
      </c>
      <c r="L2049">
        <f t="shared" si="126"/>
        <v>4</v>
      </c>
      <c r="N2049">
        <v>4</v>
      </c>
      <c r="O2049">
        <v>4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3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3</v>
      </c>
      <c r="BL2049" s="2">
        <v>0</v>
      </c>
      <c r="BM2049" s="2">
        <v>0</v>
      </c>
      <c r="BN2049" s="2">
        <v>1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f t="shared" si="129"/>
        <v>4</v>
      </c>
      <c r="BW2049" s="16">
        <f t="shared" si="127"/>
        <v>0.21052631578947367</v>
      </c>
      <c r="BX2049" s="16">
        <f>COUNTIF($BC$6:BU2049, "=0") / COUNTIF($BC$6:BU2049, "&gt;-1")</f>
        <v>0.48887630033989082</v>
      </c>
      <c r="BY2049" s="18">
        <f>SUM($BC$6:BU2049) / $BY$4</f>
        <v>0.99747343386937581</v>
      </c>
      <c r="BZ2049" s="14">
        <f t="shared" si="128"/>
        <v>17</v>
      </c>
      <c r="CA2049" t="s">
        <v>5832</v>
      </c>
      <c r="CZ2049" t="s">
        <v>10881</v>
      </c>
      <c r="DA2049" t="s">
        <v>5904</v>
      </c>
      <c r="DB2049">
        <v>574.70000000000005</v>
      </c>
      <c r="DC2049" t="s">
        <v>28598</v>
      </c>
      <c r="DD2049" t="s">
        <v>28599</v>
      </c>
      <c r="DE2049" t="s">
        <v>28600</v>
      </c>
      <c r="DF2049" t="s">
        <v>28601</v>
      </c>
      <c r="DG2049" t="s">
        <v>28602</v>
      </c>
      <c r="DH2049" t="str">
        <f>"PDLIM4"</f>
        <v>PDLIM4</v>
      </c>
      <c r="DI2049" t="s">
        <v>28603</v>
      </c>
      <c r="DJ2049" t="s">
        <v>13777</v>
      </c>
      <c r="DK2049">
        <v>9606</v>
      </c>
      <c r="DL2049" s="34" t="str">
        <f>HYPERLINK("http://www.uniprot.org/uniprot/P50479", "P50479")</f>
        <v>P50479</v>
      </c>
      <c r="DM2049" t="s">
        <v>28604</v>
      </c>
      <c r="DN2049" t="s">
        <v>13772</v>
      </c>
      <c r="DO2049" t="s">
        <v>28605</v>
      </c>
      <c r="DP2049" t="s">
        <v>13780</v>
      </c>
      <c r="DQ2049" t="s">
        <v>13772</v>
      </c>
      <c r="DR2049" t="s">
        <v>13772</v>
      </c>
      <c r="DS2049" t="s">
        <v>14576</v>
      </c>
      <c r="DT2049" t="s">
        <v>13856</v>
      </c>
      <c r="DU2049" t="s">
        <v>13772</v>
      </c>
      <c r="DV2049" t="s">
        <v>13782</v>
      </c>
      <c r="DW2049" t="s">
        <v>13812</v>
      </c>
      <c r="DX2049" t="s">
        <v>28606</v>
      </c>
      <c r="DY2049" t="s">
        <v>28607</v>
      </c>
      <c r="DZ2049" t="s">
        <v>28608</v>
      </c>
      <c r="EA2049" t="s">
        <v>13772</v>
      </c>
      <c r="EB2049" t="s">
        <v>13772</v>
      </c>
    </row>
    <row r="2050" spans="1:132" hidden="1">
      <c r="A2050">
        <v>1552</v>
      </c>
      <c r="B2050">
        <v>1</v>
      </c>
      <c r="C2050" t="s">
        <v>3679</v>
      </c>
      <c r="D2050" t="s">
        <v>73</v>
      </c>
      <c r="E2050" t="s">
        <v>73</v>
      </c>
      <c r="F2050" t="s">
        <v>73</v>
      </c>
      <c r="G2050" t="s">
        <v>73</v>
      </c>
      <c r="H2050">
        <v>4</v>
      </c>
      <c r="I2050">
        <v>723</v>
      </c>
      <c r="J2050">
        <v>83383</v>
      </c>
      <c r="K2050" t="s">
        <v>3680</v>
      </c>
      <c r="L2050">
        <f t="shared" si="126"/>
        <v>4</v>
      </c>
      <c r="N2050">
        <v>4</v>
      </c>
      <c r="O2050">
        <v>4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2</v>
      </c>
      <c r="AS2050">
        <v>0</v>
      </c>
      <c r="AT2050">
        <v>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2</v>
      </c>
      <c r="BL2050" s="2">
        <v>0</v>
      </c>
      <c r="BM2050" s="2">
        <v>2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f t="shared" si="129"/>
        <v>4</v>
      </c>
      <c r="BW2050" s="16">
        <f t="shared" si="127"/>
        <v>0.21052631578947367</v>
      </c>
      <c r="BX2050" s="16">
        <f>COUNTIF($BC$6:BU2050, "=0") / COUNTIF($BC$6:BU2050, "&gt;-1")</f>
        <v>0.48907476515249004</v>
      </c>
      <c r="BY2050" s="18">
        <f>SUM($BC$6:BU2050) / $BY$4</f>
        <v>0.99749056841685058</v>
      </c>
      <c r="BZ2050" s="14">
        <f t="shared" si="128"/>
        <v>17</v>
      </c>
      <c r="CA2050" t="s">
        <v>5832</v>
      </c>
      <c r="CZ2050" t="s">
        <v>10910</v>
      </c>
      <c r="DA2050" t="s">
        <v>5904</v>
      </c>
      <c r="DB2050">
        <v>1418.3</v>
      </c>
      <c r="DC2050" t="s">
        <v>28680</v>
      </c>
      <c r="DD2050" t="s">
        <v>28681</v>
      </c>
      <c r="DE2050" t="s">
        <v>28682</v>
      </c>
      <c r="DF2050" t="s">
        <v>28683</v>
      </c>
      <c r="DG2050" t="s">
        <v>28684</v>
      </c>
      <c r="DH2050" t="str">
        <f>"TARS"</f>
        <v>TARS</v>
      </c>
      <c r="DI2050" t="s">
        <v>13772</v>
      </c>
      <c r="DJ2050" t="s">
        <v>13777</v>
      </c>
      <c r="DK2050">
        <v>9606</v>
      </c>
      <c r="DL2050" s="34" t="str">
        <f>HYPERLINK("http://www.uniprot.org/uniprot/P26639", "P26639")</f>
        <v>P26639</v>
      </c>
      <c r="DM2050" t="s">
        <v>28685</v>
      </c>
      <c r="DN2050" t="s">
        <v>17925</v>
      </c>
      <c r="DO2050" t="s">
        <v>13899</v>
      </c>
      <c r="DP2050" t="s">
        <v>13780</v>
      </c>
      <c r="DQ2050" t="s">
        <v>13772</v>
      </c>
      <c r="DR2050" t="s">
        <v>13772</v>
      </c>
      <c r="DS2050" t="s">
        <v>13772</v>
      </c>
      <c r="DT2050" t="s">
        <v>14005</v>
      </c>
      <c r="DU2050" t="s">
        <v>28686</v>
      </c>
      <c r="DV2050" t="s">
        <v>19111</v>
      </c>
      <c r="DW2050" t="s">
        <v>13812</v>
      </c>
      <c r="DX2050" t="s">
        <v>28687</v>
      </c>
      <c r="DY2050" t="s">
        <v>28688</v>
      </c>
      <c r="DZ2050" t="s">
        <v>28689</v>
      </c>
      <c r="EA2050" t="s">
        <v>13772</v>
      </c>
      <c r="EB2050" t="s">
        <v>14804</v>
      </c>
    </row>
    <row r="2051" spans="1:132" hidden="1">
      <c r="A2051">
        <v>1576</v>
      </c>
      <c r="B2051">
        <v>1</v>
      </c>
      <c r="C2051" t="s">
        <v>3735</v>
      </c>
      <c r="D2051" t="s">
        <v>73</v>
      </c>
      <c r="E2051" t="s">
        <v>73</v>
      </c>
      <c r="F2051" t="s">
        <v>73</v>
      </c>
      <c r="G2051" t="s">
        <v>73</v>
      </c>
      <c r="H2051">
        <v>10.3</v>
      </c>
      <c r="I2051">
        <v>407</v>
      </c>
      <c r="J2051">
        <v>45113</v>
      </c>
      <c r="K2051" t="s">
        <v>3736</v>
      </c>
      <c r="L2051">
        <f t="shared" si="126"/>
        <v>4</v>
      </c>
      <c r="N2051">
        <v>4</v>
      </c>
      <c r="O2051">
        <v>4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3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3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3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f t="shared" si="129"/>
        <v>4</v>
      </c>
      <c r="BW2051" s="16">
        <f t="shared" si="127"/>
        <v>0.21052631578947367</v>
      </c>
      <c r="BX2051" s="16">
        <f>COUNTIF($BC$6:BU2051, "=0") / COUNTIF($BC$6:BU2051, "&gt;-1")</f>
        <v>0.48927303596233984</v>
      </c>
      <c r="BY2051" s="18">
        <f>SUM($BC$6:BU2051) / $BY$4</f>
        <v>0.99750770296432545</v>
      </c>
      <c r="BZ2051" s="14">
        <f t="shared" si="128"/>
        <v>17</v>
      </c>
      <c r="CA2051" t="s">
        <v>5832</v>
      </c>
      <c r="CZ2051" t="s">
        <v>10993</v>
      </c>
      <c r="DA2051" t="s">
        <v>5904</v>
      </c>
      <c r="DB2051">
        <v>811.6</v>
      </c>
      <c r="DC2051" t="s">
        <v>28914</v>
      </c>
      <c r="DD2051" t="s">
        <v>13772</v>
      </c>
      <c r="DE2051" t="s">
        <v>28915</v>
      </c>
      <c r="DF2051" t="s">
        <v>28916</v>
      </c>
      <c r="DG2051" t="s">
        <v>28917</v>
      </c>
      <c r="DH2051" t="str">
        <f>"BHMT"</f>
        <v>BHMT</v>
      </c>
      <c r="DI2051" t="s">
        <v>13772</v>
      </c>
      <c r="DJ2051" t="s">
        <v>13777</v>
      </c>
      <c r="DK2051">
        <v>9606</v>
      </c>
      <c r="DL2051" s="34" t="str">
        <f>HYPERLINK("http://www.uniprot.org/uniprot/Q93088", "Q93088")</f>
        <v>Q93088</v>
      </c>
      <c r="DM2051" t="s">
        <v>28918</v>
      </c>
      <c r="DN2051" t="s">
        <v>13772</v>
      </c>
      <c r="DO2051" t="s">
        <v>13899</v>
      </c>
      <c r="DP2051" t="s">
        <v>13793</v>
      </c>
      <c r="DQ2051" t="s">
        <v>13772</v>
      </c>
      <c r="DR2051" t="s">
        <v>13772</v>
      </c>
      <c r="DS2051" t="s">
        <v>13772</v>
      </c>
      <c r="DT2051" t="s">
        <v>13856</v>
      </c>
      <c r="DU2051" t="s">
        <v>20399</v>
      </c>
      <c r="DV2051" t="s">
        <v>13782</v>
      </c>
      <c r="DW2051" t="s">
        <v>13812</v>
      </c>
      <c r="DX2051" t="s">
        <v>28919</v>
      </c>
      <c r="DY2051" t="s">
        <v>15111</v>
      </c>
      <c r="DZ2051" t="s">
        <v>28920</v>
      </c>
      <c r="EA2051" t="s">
        <v>28921</v>
      </c>
      <c r="EB2051" t="s">
        <v>28922</v>
      </c>
    </row>
    <row r="2052" spans="1:132" hidden="1">
      <c r="A2052">
        <v>1609</v>
      </c>
      <c r="B2052">
        <v>1</v>
      </c>
      <c r="C2052" t="s">
        <v>3814</v>
      </c>
      <c r="D2052" t="s">
        <v>3815</v>
      </c>
      <c r="E2052" t="s">
        <v>73</v>
      </c>
      <c r="F2052" t="s">
        <v>73</v>
      </c>
      <c r="G2052" t="s">
        <v>73</v>
      </c>
      <c r="H2052">
        <v>11.2</v>
      </c>
      <c r="I2052">
        <v>411</v>
      </c>
      <c r="J2052">
        <v>45742</v>
      </c>
      <c r="K2052" t="s">
        <v>3816</v>
      </c>
      <c r="L2052">
        <f t="shared" si="126"/>
        <v>4</v>
      </c>
      <c r="N2052">
        <v>4</v>
      </c>
      <c r="O2052">
        <v>4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3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1</v>
      </c>
      <c r="BN2052" s="2">
        <v>3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f t="shared" si="129"/>
        <v>4</v>
      </c>
      <c r="BW2052" s="16">
        <f t="shared" si="127"/>
        <v>0.21052631578947367</v>
      </c>
      <c r="BX2052" s="16">
        <f>COUNTIF($BC$6:BU2052, "=0") / COUNTIF($BC$6:BU2052, "&gt;-1")</f>
        <v>0.4894711130537629</v>
      </c>
      <c r="BY2052" s="18">
        <f>SUM($BC$6:BU2052) / $BY$4</f>
        <v>0.99752483751180021</v>
      </c>
      <c r="BZ2052" s="14">
        <f t="shared" si="128"/>
        <v>17</v>
      </c>
      <c r="CA2052" t="s">
        <v>5832</v>
      </c>
      <c r="CZ2052" t="s">
        <v>11107</v>
      </c>
      <c r="DA2052" t="s">
        <v>5904</v>
      </c>
      <c r="DB2052">
        <v>549.70000000000005</v>
      </c>
      <c r="DC2052" t="s">
        <v>29224</v>
      </c>
      <c r="DD2052" t="s">
        <v>29225</v>
      </c>
      <c r="DE2052" t="s">
        <v>29226</v>
      </c>
      <c r="DF2052" t="s">
        <v>29227</v>
      </c>
      <c r="DG2052" t="s">
        <v>29228</v>
      </c>
      <c r="DH2052" t="str">
        <f>"TMEM173"</f>
        <v>TMEM173</v>
      </c>
      <c r="DI2052" t="s">
        <v>13772</v>
      </c>
      <c r="DJ2052" t="s">
        <v>13777</v>
      </c>
      <c r="DK2052">
        <v>9606</v>
      </c>
      <c r="DL2052" s="34" t="str">
        <f>HYPERLINK("http://www.uniprot.org/uniprot/Q86WV6", "Q86WV6")</f>
        <v>Q86WV6</v>
      </c>
      <c r="DM2052" t="s">
        <v>29229</v>
      </c>
      <c r="DN2052" t="s">
        <v>29230</v>
      </c>
      <c r="DO2052" t="s">
        <v>29231</v>
      </c>
      <c r="DP2052" t="s">
        <v>13793</v>
      </c>
      <c r="DQ2052" t="s">
        <v>13772</v>
      </c>
      <c r="DR2052" t="s">
        <v>13807</v>
      </c>
      <c r="DS2052" t="s">
        <v>13925</v>
      </c>
      <c r="DT2052" t="s">
        <v>29232</v>
      </c>
      <c r="DU2052" t="s">
        <v>13772</v>
      </c>
      <c r="DV2052" t="s">
        <v>13938</v>
      </c>
      <c r="DW2052" t="s">
        <v>13812</v>
      </c>
      <c r="DX2052" t="s">
        <v>29233</v>
      </c>
      <c r="DY2052" t="s">
        <v>29234</v>
      </c>
      <c r="DZ2052" t="s">
        <v>29235</v>
      </c>
      <c r="EA2052" t="s">
        <v>13772</v>
      </c>
      <c r="EB2052" t="s">
        <v>29236</v>
      </c>
    </row>
    <row r="2053" spans="1:132" hidden="1">
      <c r="A2053">
        <v>1630</v>
      </c>
      <c r="B2053">
        <v>1</v>
      </c>
      <c r="C2053" t="s">
        <v>3864</v>
      </c>
      <c r="D2053" t="s">
        <v>73</v>
      </c>
      <c r="E2053" t="s">
        <v>73</v>
      </c>
      <c r="F2053" t="s">
        <v>73</v>
      </c>
      <c r="G2053" t="s">
        <v>73</v>
      </c>
      <c r="H2053">
        <v>6.8</v>
      </c>
      <c r="I2053">
        <v>499</v>
      </c>
      <c r="J2053">
        <v>53165</v>
      </c>
      <c r="K2053" t="s">
        <v>3865</v>
      </c>
      <c r="L2053">
        <f t="shared" si="126"/>
        <v>4</v>
      </c>
      <c r="N2053">
        <v>4</v>
      </c>
      <c r="O2053">
        <v>4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2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2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1</v>
      </c>
      <c r="BL2053" s="2">
        <v>0</v>
      </c>
      <c r="BM2053" s="2">
        <v>2</v>
      </c>
      <c r="BN2053" s="2">
        <v>0</v>
      </c>
      <c r="BO2053" s="2">
        <v>1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f t="shared" si="129"/>
        <v>4</v>
      </c>
      <c r="BW2053" s="16">
        <f t="shared" si="127"/>
        <v>0.21052631578947367</v>
      </c>
      <c r="BX2053" s="16">
        <f>COUNTIF($BC$6:BU2053, "=0") / COUNTIF($BC$6:BU2053, "&gt;-1")</f>
        <v>0.48964329769736842</v>
      </c>
      <c r="BY2053" s="18">
        <f>SUM($BC$6:BU2053) / $BY$4</f>
        <v>0.99754197205927497</v>
      </c>
      <c r="BZ2053" s="14">
        <f t="shared" si="128"/>
        <v>16</v>
      </c>
      <c r="CA2053" t="s">
        <v>5832</v>
      </c>
      <c r="CZ2053" t="s">
        <v>11179</v>
      </c>
      <c r="DA2053" t="s">
        <v>5904</v>
      </c>
      <c r="DB2053">
        <v>894.8</v>
      </c>
      <c r="DC2053" t="s">
        <v>29422</v>
      </c>
      <c r="DD2053" t="s">
        <v>13772</v>
      </c>
      <c r="DE2053" t="s">
        <v>29423</v>
      </c>
      <c r="DF2053" t="s">
        <v>29424</v>
      </c>
      <c r="DG2053" t="s">
        <v>29425</v>
      </c>
      <c r="DH2053" t="str">
        <f>"MECP2"</f>
        <v>MECP2</v>
      </c>
      <c r="DI2053" t="s">
        <v>13772</v>
      </c>
      <c r="DJ2053" t="s">
        <v>13777</v>
      </c>
      <c r="DK2053">
        <v>9606</v>
      </c>
      <c r="DL2053" s="34" t="str">
        <f>HYPERLINK("http://www.uniprot.org/uniprot/P51608", "P51608")</f>
        <v>P51608</v>
      </c>
      <c r="DM2053" t="s">
        <v>29426</v>
      </c>
      <c r="DN2053" t="s">
        <v>14445</v>
      </c>
      <c r="DO2053" t="s">
        <v>14825</v>
      </c>
      <c r="DP2053" t="s">
        <v>20333</v>
      </c>
      <c r="DQ2053" t="s">
        <v>13772</v>
      </c>
      <c r="DR2053" t="s">
        <v>24673</v>
      </c>
      <c r="DS2053" t="s">
        <v>14096</v>
      </c>
      <c r="DT2053" t="s">
        <v>13772</v>
      </c>
      <c r="DU2053" t="s">
        <v>22954</v>
      </c>
      <c r="DV2053" t="s">
        <v>14098</v>
      </c>
      <c r="DW2053" t="s">
        <v>13812</v>
      </c>
      <c r="DX2053" t="s">
        <v>29427</v>
      </c>
      <c r="DY2053" t="s">
        <v>29428</v>
      </c>
      <c r="DZ2053" t="s">
        <v>29429</v>
      </c>
      <c r="EA2053" t="s">
        <v>13772</v>
      </c>
      <c r="EB2053" t="s">
        <v>29430</v>
      </c>
    </row>
    <row r="2054" spans="1:132" hidden="1">
      <c r="A2054">
        <v>1651</v>
      </c>
      <c r="B2054">
        <v>1</v>
      </c>
      <c r="C2054" t="s">
        <v>3915</v>
      </c>
      <c r="D2054" t="s">
        <v>73</v>
      </c>
      <c r="E2054" t="s">
        <v>73</v>
      </c>
      <c r="F2054" t="s">
        <v>73</v>
      </c>
      <c r="G2054" t="s">
        <v>73</v>
      </c>
      <c r="H2054">
        <v>14.5</v>
      </c>
      <c r="I2054">
        <v>283</v>
      </c>
      <c r="J2054">
        <v>32005</v>
      </c>
      <c r="K2054" t="s">
        <v>3916</v>
      </c>
      <c r="L2054">
        <f t="shared" ref="L2054:L2117" si="130">N2054</f>
        <v>4</v>
      </c>
      <c r="N2054">
        <v>4</v>
      </c>
      <c r="O2054">
        <v>4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4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4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f t="shared" si="129"/>
        <v>4</v>
      </c>
      <c r="BW2054" s="16">
        <f t="shared" ref="BW2054:BW2117" si="131">AVERAGE(BC2054:BU2054)</f>
        <v>0.21052631578947367</v>
      </c>
      <c r="BX2054" s="16">
        <f>COUNTIF($BC$6:BU2054, "=0") / COUNTIF($BC$6:BU2054, "&gt;-1")</f>
        <v>0.48986668721584342</v>
      </c>
      <c r="BY2054" s="18">
        <f>SUM($BC$6:BU2054) / $BY$4</f>
        <v>0.99755910660674985</v>
      </c>
      <c r="BZ2054" s="14">
        <f t="shared" ref="BZ2054:BZ2117" si="132">19-COUNTIF(BC2054:BU2054, "&gt;0")</f>
        <v>18</v>
      </c>
      <c r="CA2054" t="s">
        <v>5832</v>
      </c>
      <c r="CZ2054" t="s">
        <v>11252</v>
      </c>
      <c r="DA2054" t="s">
        <v>5904</v>
      </c>
      <c r="DB2054">
        <v>579.70000000000005</v>
      </c>
      <c r="DC2054" t="s">
        <v>29631</v>
      </c>
      <c r="DD2054" t="s">
        <v>29632</v>
      </c>
      <c r="DE2054" t="s">
        <v>29633</v>
      </c>
      <c r="DF2054" t="s">
        <v>29634</v>
      </c>
      <c r="DG2054" t="s">
        <v>29635</v>
      </c>
      <c r="DH2054" t="str">
        <f>"GJB1"</f>
        <v>GJB1</v>
      </c>
      <c r="DI2054" t="s">
        <v>29636</v>
      </c>
      <c r="DJ2054" t="s">
        <v>13777</v>
      </c>
      <c r="DK2054">
        <v>9606</v>
      </c>
      <c r="DL2054" s="34" t="str">
        <f>HYPERLINK("http://www.uniprot.org/uniprot/P08034", "P08034")</f>
        <v>P08034</v>
      </c>
      <c r="DM2054" t="s">
        <v>29637</v>
      </c>
      <c r="DN2054" t="s">
        <v>13772</v>
      </c>
      <c r="DO2054" t="s">
        <v>29638</v>
      </c>
      <c r="DP2054" t="s">
        <v>13772</v>
      </c>
      <c r="DQ2054" t="s">
        <v>13772</v>
      </c>
      <c r="DR2054" t="s">
        <v>29639</v>
      </c>
      <c r="DS2054" t="s">
        <v>13925</v>
      </c>
      <c r="DT2054" t="s">
        <v>13772</v>
      </c>
      <c r="DU2054" t="s">
        <v>13772</v>
      </c>
      <c r="DV2054" t="s">
        <v>13782</v>
      </c>
      <c r="DW2054" t="s">
        <v>13812</v>
      </c>
      <c r="DX2054" t="s">
        <v>29640</v>
      </c>
      <c r="DY2054" t="s">
        <v>29641</v>
      </c>
      <c r="DZ2054" t="s">
        <v>29642</v>
      </c>
      <c r="EA2054" t="s">
        <v>13772</v>
      </c>
      <c r="EB2054" t="s">
        <v>29643</v>
      </c>
    </row>
    <row r="2055" spans="1:132" hidden="1">
      <c r="A2055">
        <v>1655</v>
      </c>
      <c r="B2055">
        <v>1</v>
      </c>
      <c r="C2055" t="s">
        <v>3925</v>
      </c>
      <c r="D2055" t="s">
        <v>3926</v>
      </c>
      <c r="E2055" t="s">
        <v>73</v>
      </c>
      <c r="F2055" t="s">
        <v>73</v>
      </c>
      <c r="G2055" t="s">
        <v>73</v>
      </c>
      <c r="H2055">
        <v>15.5</v>
      </c>
      <c r="I2055">
        <v>200</v>
      </c>
      <c r="J2055">
        <v>22658</v>
      </c>
      <c r="K2055" t="s">
        <v>3927</v>
      </c>
      <c r="L2055">
        <f t="shared" si="130"/>
        <v>4</v>
      </c>
      <c r="N2055">
        <v>4</v>
      </c>
      <c r="O2055">
        <v>4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3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3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3</v>
      </c>
      <c r="BL2055" s="2">
        <v>0</v>
      </c>
      <c r="BM2055" s="2">
        <v>1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f t="shared" ref="BV2055:BV2118" si="133">SUM(BC2055:BU2055)</f>
        <v>4</v>
      </c>
      <c r="BW2055" s="16">
        <f t="shared" si="131"/>
        <v>0.21052631578947367</v>
      </c>
      <c r="BX2055" s="16">
        <f>COUNTIF($BC$6:BU2055, "=0") / COUNTIF($BC$6:BU2055, "&gt;-1")</f>
        <v>0.49006418485237485</v>
      </c>
      <c r="BY2055" s="18">
        <f>SUM($BC$6:BU2055) / $BY$4</f>
        <v>0.99757624115422461</v>
      </c>
      <c r="BZ2055" s="14">
        <f t="shared" si="132"/>
        <v>17</v>
      </c>
      <c r="CA2055" t="s">
        <v>5832</v>
      </c>
      <c r="CZ2055" t="s">
        <v>11267</v>
      </c>
      <c r="DA2055" t="s">
        <v>5904</v>
      </c>
      <c r="DB2055">
        <v>350.9</v>
      </c>
      <c r="DC2055" t="s">
        <v>29678</v>
      </c>
      <c r="DD2055" t="s">
        <v>29679</v>
      </c>
      <c r="DE2055" t="s">
        <v>29680</v>
      </c>
      <c r="DF2055" t="s">
        <v>29681</v>
      </c>
      <c r="DG2055" t="s">
        <v>29682</v>
      </c>
      <c r="DH2055" t="str">
        <f>"LZIC"</f>
        <v>LZIC</v>
      </c>
      <c r="DI2055" t="s">
        <v>13772</v>
      </c>
      <c r="DJ2055" t="s">
        <v>13777</v>
      </c>
      <c r="DK2055">
        <v>9606</v>
      </c>
      <c r="DL2055" s="34" t="str">
        <f>HYPERLINK("http://www.uniprot.org/uniprot/Q8WZA0", "Q8WZA0")</f>
        <v>Q8WZA0</v>
      </c>
      <c r="DM2055" t="s">
        <v>29683</v>
      </c>
      <c r="DN2055" t="s">
        <v>13772</v>
      </c>
      <c r="DO2055" t="s">
        <v>13772</v>
      </c>
      <c r="DP2055" t="s">
        <v>13780</v>
      </c>
      <c r="DQ2055" t="s">
        <v>13772</v>
      </c>
      <c r="DR2055" t="s">
        <v>13772</v>
      </c>
      <c r="DS2055" t="s">
        <v>14245</v>
      </c>
      <c r="DT2055" t="s">
        <v>13772</v>
      </c>
      <c r="DU2055" t="s">
        <v>13772</v>
      </c>
      <c r="DV2055" t="s">
        <v>13772</v>
      </c>
      <c r="DW2055" t="s">
        <v>13772</v>
      </c>
      <c r="DX2055" t="s">
        <v>29684</v>
      </c>
      <c r="DY2055" t="s">
        <v>13772</v>
      </c>
      <c r="DZ2055" t="s">
        <v>29685</v>
      </c>
      <c r="EA2055" t="s">
        <v>13772</v>
      </c>
      <c r="EB2055" t="s">
        <v>13772</v>
      </c>
    </row>
    <row r="2056" spans="1:132" hidden="1">
      <c r="A2056">
        <v>1679</v>
      </c>
      <c r="B2056">
        <v>1</v>
      </c>
      <c r="C2056" t="s">
        <v>3980</v>
      </c>
      <c r="D2056" t="s">
        <v>73</v>
      </c>
      <c r="E2056" t="s">
        <v>73</v>
      </c>
      <c r="F2056" t="s">
        <v>73</v>
      </c>
      <c r="G2056" t="s">
        <v>73</v>
      </c>
      <c r="H2056">
        <v>15.1</v>
      </c>
      <c r="I2056">
        <v>299</v>
      </c>
      <c r="J2056">
        <v>33572</v>
      </c>
      <c r="K2056" t="s">
        <v>3981</v>
      </c>
      <c r="L2056">
        <f t="shared" si="130"/>
        <v>4</v>
      </c>
      <c r="N2056">
        <v>4</v>
      </c>
      <c r="O2056">
        <v>4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3</v>
      </c>
      <c r="BN2056" s="2">
        <v>1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f t="shared" si="133"/>
        <v>4</v>
      </c>
      <c r="BW2056" s="16">
        <f t="shared" si="131"/>
        <v>0.21052631578947367</v>
      </c>
      <c r="BX2056" s="16">
        <f>COUNTIF($BC$6:BU2056, "=0") / COUNTIF($BC$6:BU2056, "&gt;-1")</f>
        <v>0.49026148990222995</v>
      </c>
      <c r="BY2056" s="18">
        <f>SUM($BC$6:BU2056) / $BY$4</f>
        <v>0.99759337570169948</v>
      </c>
      <c r="BZ2056" s="14">
        <f t="shared" si="132"/>
        <v>17</v>
      </c>
      <c r="CA2056" t="s">
        <v>5832</v>
      </c>
      <c r="CZ2056" t="s">
        <v>11348</v>
      </c>
      <c r="DA2056" t="s">
        <v>5904</v>
      </c>
      <c r="DB2056">
        <v>456.8</v>
      </c>
      <c r="DC2056" t="s">
        <v>29907</v>
      </c>
      <c r="DD2056" t="s">
        <v>29908</v>
      </c>
      <c r="DE2056" t="s">
        <v>29909</v>
      </c>
      <c r="DF2056" t="s">
        <v>29910</v>
      </c>
      <c r="DG2056" t="s">
        <v>29911</v>
      </c>
      <c r="DH2056" t="str">
        <f>"DNASE1L1"</f>
        <v>DNASE1L1</v>
      </c>
      <c r="DI2056" t="s">
        <v>29912</v>
      </c>
      <c r="DJ2056" t="s">
        <v>13777</v>
      </c>
      <c r="DK2056">
        <v>9606</v>
      </c>
      <c r="DL2056" s="34" t="str">
        <f>HYPERLINK("http://www.uniprot.org/uniprot/P49184", "P49184")</f>
        <v>P49184</v>
      </c>
      <c r="DM2056" t="s">
        <v>29913</v>
      </c>
      <c r="DN2056" t="s">
        <v>13772</v>
      </c>
      <c r="DO2056" t="s">
        <v>14908</v>
      </c>
      <c r="DP2056" t="s">
        <v>13793</v>
      </c>
      <c r="DQ2056" t="s">
        <v>13772</v>
      </c>
      <c r="DR2056" t="s">
        <v>13772</v>
      </c>
      <c r="DS2056" t="s">
        <v>13808</v>
      </c>
      <c r="DT2056" t="s">
        <v>13772</v>
      </c>
      <c r="DU2056" t="s">
        <v>15343</v>
      </c>
      <c r="DV2056" t="s">
        <v>13796</v>
      </c>
      <c r="DW2056" t="s">
        <v>13772</v>
      </c>
      <c r="DX2056" t="s">
        <v>29914</v>
      </c>
      <c r="DY2056" t="s">
        <v>29915</v>
      </c>
      <c r="DZ2056" t="s">
        <v>29916</v>
      </c>
      <c r="EA2056" t="s">
        <v>13772</v>
      </c>
      <c r="EB2056" t="s">
        <v>13890</v>
      </c>
    </row>
    <row r="2057" spans="1:132" hidden="1">
      <c r="A2057">
        <v>1703</v>
      </c>
      <c r="B2057">
        <v>1</v>
      </c>
      <c r="C2057" t="s">
        <v>4040</v>
      </c>
      <c r="D2057" t="s">
        <v>4041</v>
      </c>
      <c r="E2057" t="s">
        <v>73</v>
      </c>
      <c r="F2057" t="s">
        <v>73</v>
      </c>
      <c r="G2057" t="s">
        <v>73</v>
      </c>
      <c r="H2057">
        <v>2</v>
      </c>
      <c r="I2057">
        <v>2750</v>
      </c>
      <c r="J2057">
        <v>298933</v>
      </c>
      <c r="K2057" t="s">
        <v>4042</v>
      </c>
      <c r="L2057">
        <f t="shared" si="130"/>
        <v>4</v>
      </c>
      <c r="N2057">
        <v>4</v>
      </c>
      <c r="O2057">
        <v>4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2</v>
      </c>
      <c r="BN2057" s="2">
        <v>0</v>
      </c>
      <c r="BO2057" s="2">
        <v>0</v>
      </c>
      <c r="BP2057" s="2">
        <v>0</v>
      </c>
      <c r="BQ2057" s="2">
        <v>1</v>
      </c>
      <c r="BR2057" s="2">
        <v>0</v>
      </c>
      <c r="BS2057" s="2">
        <v>0</v>
      </c>
      <c r="BT2057" s="2">
        <v>0</v>
      </c>
      <c r="BU2057" s="2">
        <v>0</v>
      </c>
      <c r="BV2057" s="2">
        <f t="shared" si="133"/>
        <v>4</v>
      </c>
      <c r="BW2057" s="16">
        <f t="shared" si="131"/>
        <v>0.21052631578947367</v>
      </c>
      <c r="BX2057" s="16">
        <f>COUNTIF($BC$6:BU2057, "=0") / COUNTIF($BC$6:BU2057, "&gt;-1")</f>
        <v>0.49043295372935264</v>
      </c>
      <c r="BY2057" s="18">
        <f>SUM($BC$6:BU2057) / $BY$4</f>
        <v>0.99761051024917424</v>
      </c>
      <c r="BZ2057" s="14">
        <f t="shared" si="132"/>
        <v>16</v>
      </c>
      <c r="CA2057" t="s">
        <v>5832</v>
      </c>
      <c r="CZ2057" t="s">
        <v>11433</v>
      </c>
      <c r="DA2057" t="s">
        <v>6054</v>
      </c>
      <c r="DB2057">
        <v>1245</v>
      </c>
      <c r="DC2057" t="s">
        <v>30138</v>
      </c>
      <c r="DD2057" t="s">
        <v>30139</v>
      </c>
      <c r="DE2057" t="s">
        <v>30140</v>
      </c>
      <c r="DF2057" t="s">
        <v>30141</v>
      </c>
      <c r="DG2057" t="s">
        <v>30142</v>
      </c>
      <c r="DH2057" t="str">
        <f>"SRRM2"</f>
        <v>SRRM2</v>
      </c>
      <c r="DI2057" t="s">
        <v>30143</v>
      </c>
      <c r="DJ2057" t="s">
        <v>13777</v>
      </c>
      <c r="DK2057">
        <v>9606</v>
      </c>
      <c r="DL2057" s="34" t="str">
        <f>HYPERLINK("http://www.uniprot.org/uniprot/Q9UQ35", "Q9UQ35")</f>
        <v>Q9UQ35</v>
      </c>
      <c r="DM2057" t="s">
        <v>30144</v>
      </c>
      <c r="DN2057" t="s">
        <v>15152</v>
      </c>
      <c r="DO2057" t="s">
        <v>16088</v>
      </c>
      <c r="DP2057" t="s">
        <v>13780</v>
      </c>
      <c r="DQ2057" t="s">
        <v>13772</v>
      </c>
      <c r="DR2057" t="s">
        <v>13772</v>
      </c>
      <c r="DS2057" t="s">
        <v>14245</v>
      </c>
      <c r="DT2057" t="s">
        <v>13772</v>
      </c>
      <c r="DU2057" t="s">
        <v>14826</v>
      </c>
      <c r="DV2057" t="s">
        <v>14663</v>
      </c>
      <c r="DW2057" t="s">
        <v>13812</v>
      </c>
      <c r="DX2057" t="s">
        <v>30145</v>
      </c>
      <c r="DY2057" t="s">
        <v>30146</v>
      </c>
      <c r="DZ2057" t="s">
        <v>30147</v>
      </c>
      <c r="EA2057" t="s">
        <v>13772</v>
      </c>
      <c r="EB2057" t="s">
        <v>15157</v>
      </c>
    </row>
    <row r="2058" spans="1:132" hidden="1">
      <c r="A2058">
        <v>1741</v>
      </c>
      <c r="B2058">
        <v>1</v>
      </c>
      <c r="C2058" t="s">
        <v>4116</v>
      </c>
      <c r="D2058" t="s">
        <v>73</v>
      </c>
      <c r="E2058" t="s">
        <v>73</v>
      </c>
      <c r="F2058" t="s">
        <v>73</v>
      </c>
      <c r="G2058" t="s">
        <v>73</v>
      </c>
      <c r="H2058">
        <v>24.7</v>
      </c>
      <c r="I2058">
        <v>182</v>
      </c>
      <c r="J2058">
        <v>20688</v>
      </c>
      <c r="K2058" t="s">
        <v>4117</v>
      </c>
      <c r="L2058">
        <f t="shared" si="130"/>
        <v>4</v>
      </c>
      <c r="N2058">
        <v>4</v>
      </c>
      <c r="O2058">
        <v>4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4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4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f t="shared" si="133"/>
        <v>4</v>
      </c>
      <c r="BW2058" s="16">
        <f t="shared" si="131"/>
        <v>0.21052631578947367</v>
      </c>
      <c r="BX2058" s="16">
        <f>COUNTIF($BC$6:BU2058, "=0") / COUNTIF($BC$6:BU2058, "&gt;-1")</f>
        <v>0.49065552336760071</v>
      </c>
      <c r="BY2058" s="18">
        <f>SUM($BC$6:BU2058) / $BY$4</f>
        <v>0.997627644796649</v>
      </c>
      <c r="BZ2058" s="14">
        <f t="shared" si="132"/>
        <v>18</v>
      </c>
      <c r="CA2058" t="s">
        <v>5832</v>
      </c>
      <c r="CZ2058" t="s">
        <v>11551</v>
      </c>
      <c r="DA2058" t="s">
        <v>5904</v>
      </c>
      <c r="DB2058">
        <v>345.5</v>
      </c>
      <c r="DC2058" t="s">
        <v>30489</v>
      </c>
      <c r="DD2058" t="s">
        <v>30490</v>
      </c>
      <c r="DE2058" t="s">
        <v>30491</v>
      </c>
      <c r="DF2058" t="s">
        <v>30492</v>
      </c>
      <c r="DG2058" t="s">
        <v>30493</v>
      </c>
      <c r="DH2058" t="str">
        <f>"PDAP1"</f>
        <v>PDAP1</v>
      </c>
      <c r="DI2058" t="s">
        <v>30494</v>
      </c>
      <c r="DJ2058" t="s">
        <v>13777</v>
      </c>
      <c r="DK2058">
        <v>9606</v>
      </c>
      <c r="DL2058" s="34" t="str">
        <f>HYPERLINK("http://www.uniprot.org/uniprot/Q13442", "Q13442")</f>
        <v>Q13442</v>
      </c>
      <c r="DM2058" t="s">
        <v>14663</v>
      </c>
      <c r="DN2058" t="s">
        <v>13772</v>
      </c>
      <c r="DO2058" t="s">
        <v>13772</v>
      </c>
      <c r="DP2058" t="s">
        <v>13772</v>
      </c>
      <c r="DQ2058" t="s">
        <v>13772</v>
      </c>
      <c r="DR2058" t="s">
        <v>13772</v>
      </c>
      <c r="DS2058" t="s">
        <v>13772</v>
      </c>
      <c r="DT2058" t="s">
        <v>13772</v>
      </c>
      <c r="DU2058" t="s">
        <v>13772</v>
      </c>
      <c r="DV2058" t="s">
        <v>14663</v>
      </c>
      <c r="DW2058" t="s">
        <v>13772</v>
      </c>
      <c r="DX2058" t="s">
        <v>30495</v>
      </c>
      <c r="DY2058" t="s">
        <v>30496</v>
      </c>
      <c r="DZ2058" t="s">
        <v>14235</v>
      </c>
      <c r="EA2058" t="s">
        <v>13772</v>
      </c>
      <c r="EB2058" t="s">
        <v>13890</v>
      </c>
    </row>
    <row r="2059" spans="1:132" hidden="1">
      <c r="A2059">
        <v>1795</v>
      </c>
      <c r="B2059">
        <v>1</v>
      </c>
      <c r="C2059" t="s">
        <v>4245</v>
      </c>
      <c r="D2059" t="s">
        <v>73</v>
      </c>
      <c r="E2059" t="s">
        <v>73</v>
      </c>
      <c r="F2059" t="s">
        <v>73</v>
      </c>
      <c r="G2059" t="s">
        <v>73</v>
      </c>
      <c r="H2059">
        <v>12.9</v>
      </c>
      <c r="I2059">
        <v>302</v>
      </c>
      <c r="J2059">
        <v>33466</v>
      </c>
      <c r="K2059" t="s">
        <v>4246</v>
      </c>
      <c r="L2059">
        <f t="shared" si="130"/>
        <v>4</v>
      </c>
      <c r="N2059">
        <v>4</v>
      </c>
      <c r="O2059">
        <v>4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3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3</v>
      </c>
      <c r="BN2059" s="2">
        <v>1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f t="shared" si="133"/>
        <v>4</v>
      </c>
      <c r="BW2059" s="16">
        <f t="shared" si="131"/>
        <v>0.21052631578947367</v>
      </c>
      <c r="BX2059" s="16">
        <f>COUNTIF($BC$6:BU2059, "=0") / COUNTIF($BC$6:BU2059, "&gt;-1")</f>
        <v>0.49085225234459079</v>
      </c>
      <c r="BY2059" s="18">
        <f>SUM($BC$6:BU2059) / $BY$4</f>
        <v>0.99764477934412388</v>
      </c>
      <c r="BZ2059" s="14">
        <f t="shared" si="132"/>
        <v>17</v>
      </c>
      <c r="CA2059" t="s">
        <v>5832</v>
      </c>
      <c r="CZ2059" t="s">
        <v>11735</v>
      </c>
      <c r="DA2059" t="s">
        <v>5904</v>
      </c>
      <c r="DB2059">
        <v>472.2</v>
      </c>
      <c r="DC2059" t="s">
        <v>31030</v>
      </c>
      <c r="DD2059" t="s">
        <v>31031</v>
      </c>
      <c r="DE2059" t="s">
        <v>31032</v>
      </c>
      <c r="DF2059" t="s">
        <v>31033</v>
      </c>
      <c r="DG2059" t="s">
        <v>31034</v>
      </c>
      <c r="DH2059" t="str">
        <f>"ECI1"</f>
        <v>ECI1</v>
      </c>
      <c r="DI2059" t="s">
        <v>31035</v>
      </c>
      <c r="DJ2059" t="s">
        <v>13777</v>
      </c>
      <c r="DK2059">
        <v>9606</v>
      </c>
      <c r="DL2059" s="34" t="str">
        <f>HYPERLINK("http://www.uniprot.org/uniprot/P42126", "P42126")</f>
        <v>P42126</v>
      </c>
      <c r="DM2059" t="s">
        <v>31036</v>
      </c>
      <c r="DN2059" t="s">
        <v>14430</v>
      </c>
      <c r="DO2059" t="s">
        <v>14491</v>
      </c>
      <c r="DP2059" t="s">
        <v>13841</v>
      </c>
      <c r="DQ2059" t="s">
        <v>13772</v>
      </c>
      <c r="DR2059" t="s">
        <v>13772</v>
      </c>
      <c r="DS2059" t="s">
        <v>14391</v>
      </c>
      <c r="DT2059" t="s">
        <v>13772</v>
      </c>
      <c r="DU2059" t="s">
        <v>14910</v>
      </c>
      <c r="DV2059" t="s">
        <v>14020</v>
      </c>
      <c r="DW2059" t="s">
        <v>13812</v>
      </c>
      <c r="DX2059" t="s">
        <v>25701</v>
      </c>
      <c r="DY2059" t="s">
        <v>15582</v>
      </c>
      <c r="DZ2059" t="s">
        <v>31037</v>
      </c>
      <c r="EA2059" t="s">
        <v>17197</v>
      </c>
      <c r="EB2059" t="s">
        <v>31038</v>
      </c>
    </row>
    <row r="2060" spans="1:132" hidden="1">
      <c r="A2060">
        <v>1825</v>
      </c>
      <c r="B2060">
        <v>1</v>
      </c>
      <c r="C2060" t="s">
        <v>4314</v>
      </c>
      <c r="D2060" t="s">
        <v>4315</v>
      </c>
      <c r="E2060" t="s">
        <v>73</v>
      </c>
      <c r="F2060" t="s">
        <v>73</v>
      </c>
      <c r="G2060" t="s">
        <v>73</v>
      </c>
      <c r="H2060">
        <v>3.2</v>
      </c>
      <c r="I2060">
        <v>846</v>
      </c>
      <c r="J2060">
        <v>91338</v>
      </c>
      <c r="K2060" t="s">
        <v>4316</v>
      </c>
      <c r="L2060">
        <f t="shared" si="130"/>
        <v>4</v>
      </c>
      <c r="N2060">
        <v>4</v>
      </c>
      <c r="O2060">
        <v>4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3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3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3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f t="shared" si="133"/>
        <v>4</v>
      </c>
      <c r="BW2060" s="16">
        <f t="shared" si="131"/>
        <v>0.21052631578947367</v>
      </c>
      <c r="BX2060" s="16">
        <f>COUNTIF($BC$6:BU2060, "=0") / COUNTIF($BC$6:BU2060, "&gt;-1")</f>
        <v>0.49104878985785633</v>
      </c>
      <c r="BY2060" s="18">
        <f>SUM($BC$6:BU2060) / $BY$4</f>
        <v>0.99766191389159864</v>
      </c>
      <c r="BZ2060" s="14">
        <f t="shared" si="132"/>
        <v>17</v>
      </c>
      <c r="CA2060" t="s">
        <v>5832</v>
      </c>
      <c r="CZ2060" t="s">
        <v>11841</v>
      </c>
      <c r="DA2060" t="s">
        <v>5904</v>
      </c>
      <c r="DB2060">
        <v>1230.3</v>
      </c>
      <c r="DC2060" t="s">
        <v>31324</v>
      </c>
      <c r="DD2060" t="s">
        <v>31325</v>
      </c>
      <c r="DE2060" t="s">
        <v>31326</v>
      </c>
      <c r="DF2060" t="s">
        <v>31327</v>
      </c>
      <c r="DG2060" t="s">
        <v>31328</v>
      </c>
      <c r="DH2060" t="str">
        <f>"ESPN"</f>
        <v>ESPN</v>
      </c>
      <c r="DI2060" t="s">
        <v>31329</v>
      </c>
      <c r="DJ2060" t="s">
        <v>13777</v>
      </c>
      <c r="DK2060">
        <v>9606</v>
      </c>
      <c r="DL2060" s="34" t="str">
        <f>HYPERLINK("http://www.uniprot.org/uniprot/B1AK53", "B1AK53")</f>
        <v>B1AK53</v>
      </c>
      <c r="DM2060" t="s">
        <v>31330</v>
      </c>
      <c r="DN2060" t="s">
        <v>16209</v>
      </c>
      <c r="DO2060" t="s">
        <v>14870</v>
      </c>
      <c r="DP2060" t="s">
        <v>13780</v>
      </c>
      <c r="DQ2060" t="s">
        <v>13772</v>
      </c>
      <c r="DR2060" t="s">
        <v>14255</v>
      </c>
      <c r="DS2060" t="s">
        <v>31331</v>
      </c>
      <c r="DT2060" t="s">
        <v>13772</v>
      </c>
      <c r="DU2060" t="s">
        <v>13990</v>
      </c>
      <c r="DV2060" t="s">
        <v>13782</v>
      </c>
      <c r="DW2060" t="s">
        <v>13772</v>
      </c>
      <c r="DX2060" t="s">
        <v>31332</v>
      </c>
      <c r="DY2060" t="s">
        <v>31333</v>
      </c>
      <c r="DZ2060" t="s">
        <v>31334</v>
      </c>
      <c r="EA2060" t="s">
        <v>13772</v>
      </c>
      <c r="EB2060" t="s">
        <v>13772</v>
      </c>
    </row>
    <row r="2061" spans="1:132" hidden="1">
      <c r="A2061">
        <v>1842</v>
      </c>
      <c r="B2061">
        <v>1</v>
      </c>
      <c r="C2061" t="s">
        <v>4353</v>
      </c>
      <c r="D2061" t="s">
        <v>73</v>
      </c>
      <c r="E2061" t="s">
        <v>73</v>
      </c>
      <c r="F2061" t="s">
        <v>73</v>
      </c>
      <c r="G2061" t="s">
        <v>73</v>
      </c>
      <c r="H2061">
        <v>7.7</v>
      </c>
      <c r="I2061">
        <v>390</v>
      </c>
      <c r="J2061">
        <v>43062</v>
      </c>
      <c r="K2061" t="s">
        <v>4354</v>
      </c>
      <c r="L2061">
        <f t="shared" si="130"/>
        <v>4</v>
      </c>
      <c r="N2061">
        <v>4</v>
      </c>
      <c r="O2061">
        <v>4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3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3</v>
      </c>
      <c r="BN2061" s="2">
        <v>1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f t="shared" si="133"/>
        <v>4</v>
      </c>
      <c r="BW2061" s="16">
        <f t="shared" si="131"/>
        <v>0.21052631578947367</v>
      </c>
      <c r="BX2061" s="16">
        <f>COUNTIF($BC$6:BU2061, "=0") / COUNTIF($BC$6:BU2061, "&gt;-1")</f>
        <v>0.4912451361867704</v>
      </c>
      <c r="BY2061" s="18">
        <f>SUM($BC$6:BU2061) / $BY$4</f>
        <v>0.9976790484390734</v>
      </c>
      <c r="BZ2061" s="14">
        <f t="shared" si="132"/>
        <v>17</v>
      </c>
      <c r="CA2061" t="s">
        <v>5832</v>
      </c>
      <c r="CZ2061" t="s">
        <v>11899</v>
      </c>
      <c r="DA2061" t="s">
        <v>5904</v>
      </c>
      <c r="DB2061">
        <v>801.2</v>
      </c>
      <c r="DC2061" t="s">
        <v>31488</v>
      </c>
      <c r="DD2061" t="s">
        <v>31489</v>
      </c>
      <c r="DE2061" t="s">
        <v>31490</v>
      </c>
      <c r="DF2061" t="s">
        <v>31491</v>
      </c>
      <c r="DG2061" t="s">
        <v>31492</v>
      </c>
      <c r="DH2061" t="str">
        <f>"ILF2"</f>
        <v>ILF2</v>
      </c>
      <c r="DI2061" t="s">
        <v>31493</v>
      </c>
      <c r="DJ2061" t="s">
        <v>13777</v>
      </c>
      <c r="DK2061">
        <v>9606</v>
      </c>
      <c r="DL2061" s="34" t="str">
        <f>HYPERLINK("http://www.uniprot.org/uniprot/Q12905", "Q12905")</f>
        <v>Q12905</v>
      </c>
      <c r="DM2061" t="s">
        <v>31494</v>
      </c>
      <c r="DN2061" t="s">
        <v>14445</v>
      </c>
      <c r="DO2061" t="s">
        <v>13912</v>
      </c>
      <c r="DP2061" t="s">
        <v>13772</v>
      </c>
      <c r="DQ2061" t="s">
        <v>13772</v>
      </c>
      <c r="DR2061" t="s">
        <v>13772</v>
      </c>
      <c r="DS2061" t="s">
        <v>13772</v>
      </c>
      <c r="DT2061" t="s">
        <v>13772</v>
      </c>
      <c r="DU2061" t="s">
        <v>21227</v>
      </c>
      <c r="DV2061" t="s">
        <v>26854</v>
      </c>
      <c r="DW2061" t="s">
        <v>13772</v>
      </c>
      <c r="DX2061" t="s">
        <v>31495</v>
      </c>
      <c r="DY2061" t="s">
        <v>31496</v>
      </c>
      <c r="DZ2061" t="s">
        <v>31497</v>
      </c>
      <c r="EA2061" t="s">
        <v>13772</v>
      </c>
      <c r="EB2061" t="s">
        <v>13890</v>
      </c>
    </row>
    <row r="2062" spans="1:132" hidden="1">
      <c r="A2062">
        <v>1846</v>
      </c>
      <c r="B2062">
        <v>1</v>
      </c>
      <c r="C2062" t="s">
        <v>4362</v>
      </c>
      <c r="D2062" t="s">
        <v>4363</v>
      </c>
      <c r="E2062" t="s">
        <v>73</v>
      </c>
      <c r="F2062" t="s">
        <v>73</v>
      </c>
      <c r="G2062" t="s">
        <v>73</v>
      </c>
      <c r="H2062">
        <v>2</v>
      </c>
      <c r="I2062">
        <v>1154</v>
      </c>
      <c r="J2062">
        <v>128479</v>
      </c>
      <c r="K2062" t="s">
        <v>4364</v>
      </c>
      <c r="L2062">
        <f t="shared" si="130"/>
        <v>4</v>
      </c>
      <c r="N2062">
        <v>4</v>
      </c>
      <c r="O2062">
        <v>4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4</v>
      </c>
      <c r="BA2062">
        <v>0</v>
      </c>
      <c r="BB206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4</v>
      </c>
      <c r="BT2062" s="2">
        <v>0</v>
      </c>
      <c r="BU2062" s="2">
        <v>0</v>
      </c>
      <c r="BV2062" s="2">
        <f t="shared" si="133"/>
        <v>4</v>
      </c>
      <c r="BW2062" s="16">
        <f t="shared" si="131"/>
        <v>0.21052631578947367</v>
      </c>
      <c r="BX2062" s="16">
        <f>COUNTIF($BC$6:BU2062, "=0") / COUNTIF($BC$6:BU2062, "&gt;-1")</f>
        <v>0.49146687818232992</v>
      </c>
      <c r="BY2062" s="18">
        <f>SUM($BC$6:BU2062) / $BY$4</f>
        <v>0.99769618298654827</v>
      </c>
      <c r="BZ2062" s="14">
        <f t="shared" si="132"/>
        <v>18</v>
      </c>
      <c r="CA2062" t="s">
        <v>5832</v>
      </c>
      <c r="CZ2062" t="s">
        <v>11913</v>
      </c>
      <c r="DA2062" t="s">
        <v>5904</v>
      </c>
      <c r="DB2062">
        <v>1798.5</v>
      </c>
      <c r="DC2062" t="s">
        <v>31527</v>
      </c>
      <c r="DD2062" t="s">
        <v>31528</v>
      </c>
      <c r="DE2062" t="s">
        <v>31529</v>
      </c>
      <c r="DF2062" t="s">
        <v>31530</v>
      </c>
      <c r="DG2062" t="s">
        <v>31531</v>
      </c>
      <c r="DH2062" t="str">
        <f>"ITGAM"</f>
        <v>ITGAM</v>
      </c>
      <c r="DI2062" t="s">
        <v>31532</v>
      </c>
      <c r="DJ2062" t="s">
        <v>13777</v>
      </c>
      <c r="DK2062">
        <v>9606</v>
      </c>
      <c r="DL2062" s="34" t="str">
        <f>HYPERLINK("http://www.uniprot.org/uniprot/P11215", "P11215")</f>
        <v>P11215</v>
      </c>
      <c r="DM2062" t="s">
        <v>31533</v>
      </c>
      <c r="DN2062" t="s">
        <v>31534</v>
      </c>
      <c r="DO2062" t="s">
        <v>13792</v>
      </c>
      <c r="DP2062" t="s">
        <v>13780</v>
      </c>
      <c r="DQ2062" t="s">
        <v>13772</v>
      </c>
      <c r="DR2062" t="s">
        <v>27671</v>
      </c>
      <c r="DS2062" t="s">
        <v>13826</v>
      </c>
      <c r="DT2062" t="s">
        <v>15709</v>
      </c>
      <c r="DU2062" t="s">
        <v>22481</v>
      </c>
      <c r="DV2062" t="s">
        <v>13796</v>
      </c>
      <c r="DW2062" t="s">
        <v>13812</v>
      </c>
      <c r="DX2062" t="s">
        <v>31535</v>
      </c>
      <c r="DY2062" t="s">
        <v>31536</v>
      </c>
      <c r="DZ2062" t="s">
        <v>31537</v>
      </c>
      <c r="EA2062" t="s">
        <v>13772</v>
      </c>
      <c r="EB2062" t="s">
        <v>31538</v>
      </c>
    </row>
    <row r="2063" spans="1:132" hidden="1">
      <c r="A2063">
        <v>1860</v>
      </c>
      <c r="B2063">
        <v>1</v>
      </c>
      <c r="C2063" t="s">
        <v>4397</v>
      </c>
      <c r="D2063" t="s">
        <v>73</v>
      </c>
      <c r="E2063" t="s">
        <v>73</v>
      </c>
      <c r="F2063" t="s">
        <v>73</v>
      </c>
      <c r="G2063" t="s">
        <v>73</v>
      </c>
      <c r="H2063">
        <v>18.5</v>
      </c>
      <c r="I2063">
        <v>130</v>
      </c>
      <c r="J2063">
        <v>14839</v>
      </c>
      <c r="K2063" t="s">
        <v>4398</v>
      </c>
      <c r="L2063">
        <f t="shared" si="130"/>
        <v>4</v>
      </c>
      <c r="N2063">
        <v>4</v>
      </c>
      <c r="O2063">
        <v>4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2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2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1</v>
      </c>
      <c r="BN2063" s="2">
        <v>2</v>
      </c>
      <c r="BO2063" s="2">
        <v>1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f t="shared" si="133"/>
        <v>4</v>
      </c>
      <c r="BW2063" s="16">
        <f t="shared" si="131"/>
        <v>0.21052631578947367</v>
      </c>
      <c r="BX2063" s="16">
        <f>COUNTIF($BC$6:BU2063, "=0") / COUNTIF($BC$6:BU2063, "&gt;-1")</f>
        <v>0.49163725640632194</v>
      </c>
      <c r="BY2063" s="18">
        <f>SUM($BC$6:BU2063) / $BY$4</f>
        <v>0.99771331753402304</v>
      </c>
      <c r="BZ2063" s="14">
        <f t="shared" si="132"/>
        <v>16</v>
      </c>
      <c r="CA2063" t="s">
        <v>5832</v>
      </c>
      <c r="CZ2063" t="s">
        <v>11965</v>
      </c>
      <c r="DA2063" t="s">
        <v>5904</v>
      </c>
      <c r="DB2063">
        <v>268.10000000000002</v>
      </c>
      <c r="DC2063" t="s">
        <v>31673</v>
      </c>
      <c r="DD2063" t="s">
        <v>31674</v>
      </c>
      <c r="DE2063" t="s">
        <v>31675</v>
      </c>
      <c r="DF2063" t="s">
        <v>31676</v>
      </c>
      <c r="DG2063" t="s">
        <v>31677</v>
      </c>
      <c r="DH2063" t="str">
        <f>"RPS15A"</f>
        <v>RPS15A</v>
      </c>
      <c r="DI2063" t="s">
        <v>13772</v>
      </c>
      <c r="DJ2063" t="s">
        <v>13777</v>
      </c>
      <c r="DK2063">
        <v>9606</v>
      </c>
      <c r="DL2063" s="34" t="str">
        <f>HYPERLINK("http://www.uniprot.org/uniprot/P62244", "P62244")</f>
        <v>P62244</v>
      </c>
      <c r="DM2063" t="s">
        <v>31678</v>
      </c>
      <c r="DN2063" t="s">
        <v>13772</v>
      </c>
      <c r="DO2063" t="s">
        <v>13772</v>
      </c>
      <c r="DP2063" t="s">
        <v>13772</v>
      </c>
      <c r="DQ2063" t="s">
        <v>13772</v>
      </c>
      <c r="DR2063" t="s">
        <v>13772</v>
      </c>
      <c r="DS2063" t="s">
        <v>13772</v>
      </c>
      <c r="DT2063" t="s">
        <v>13772</v>
      </c>
      <c r="DU2063" t="s">
        <v>13937</v>
      </c>
      <c r="DV2063" t="s">
        <v>13772</v>
      </c>
      <c r="DW2063" t="s">
        <v>13812</v>
      </c>
      <c r="DX2063" t="s">
        <v>31679</v>
      </c>
      <c r="DY2063" t="s">
        <v>31680</v>
      </c>
      <c r="DZ2063" t="s">
        <v>14268</v>
      </c>
      <c r="EA2063" t="s">
        <v>13772</v>
      </c>
      <c r="EB2063" t="s">
        <v>17828</v>
      </c>
    </row>
    <row r="2064" spans="1:132" hidden="1">
      <c r="A2064">
        <v>1904</v>
      </c>
      <c r="B2064">
        <v>1</v>
      </c>
      <c r="C2064" t="s">
        <v>4489</v>
      </c>
      <c r="D2064" t="s">
        <v>4490</v>
      </c>
      <c r="E2064" t="s">
        <v>73</v>
      </c>
      <c r="F2064" t="s">
        <v>73</v>
      </c>
      <c r="G2064" t="s">
        <v>73</v>
      </c>
      <c r="H2064">
        <v>3.7</v>
      </c>
      <c r="I2064">
        <v>998</v>
      </c>
      <c r="J2064">
        <v>113950</v>
      </c>
      <c r="K2064" t="s">
        <v>4491</v>
      </c>
      <c r="L2064">
        <f t="shared" si="130"/>
        <v>4</v>
      </c>
      <c r="N2064">
        <v>4</v>
      </c>
      <c r="O2064">
        <v>4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4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4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f t="shared" si="133"/>
        <v>4</v>
      </c>
      <c r="BW2064" s="16">
        <f t="shared" si="131"/>
        <v>0.21052631578947367</v>
      </c>
      <c r="BX2064" s="16">
        <f>COUNTIF($BC$6:BU2064, "=0") / COUNTIF($BC$6:BU2064, "&gt;-1")</f>
        <v>0.49185859257176451</v>
      </c>
      <c r="BY2064" s="18">
        <f>SUM($BC$6:BU2064) / $BY$4</f>
        <v>0.9977304520814978</v>
      </c>
      <c r="BZ2064" s="14">
        <f t="shared" si="132"/>
        <v>18</v>
      </c>
      <c r="CA2064" t="s">
        <v>5832</v>
      </c>
      <c r="CZ2064" t="s">
        <v>12100</v>
      </c>
      <c r="DA2064" t="s">
        <v>5904</v>
      </c>
      <c r="DB2064">
        <v>1582.4</v>
      </c>
      <c r="DC2064" t="s">
        <v>32020</v>
      </c>
      <c r="DD2064" t="s">
        <v>32021</v>
      </c>
      <c r="DE2064" t="s">
        <v>32022</v>
      </c>
      <c r="DF2064" t="s">
        <v>32023</v>
      </c>
      <c r="DG2064" t="s">
        <v>32024</v>
      </c>
      <c r="DH2064" t="str">
        <f>"DDX58"</f>
        <v>DDX58</v>
      </c>
      <c r="DI2064" t="s">
        <v>13772</v>
      </c>
      <c r="DJ2064" t="s">
        <v>13777</v>
      </c>
      <c r="DK2064">
        <v>9606</v>
      </c>
      <c r="DL2064" s="34" t="str">
        <f>HYPERLINK("http://www.uniprot.org/uniprot/O95786", "O95786")</f>
        <v>O95786</v>
      </c>
      <c r="DM2064" t="s">
        <v>32025</v>
      </c>
      <c r="DN2064" t="s">
        <v>32026</v>
      </c>
      <c r="DO2064" t="s">
        <v>31973</v>
      </c>
      <c r="DP2064" t="s">
        <v>13780</v>
      </c>
      <c r="DQ2064" t="s">
        <v>13772</v>
      </c>
      <c r="DR2064" t="s">
        <v>13807</v>
      </c>
      <c r="DS2064" t="s">
        <v>14096</v>
      </c>
      <c r="DT2064" t="s">
        <v>21106</v>
      </c>
      <c r="DU2064" t="s">
        <v>25031</v>
      </c>
      <c r="DV2064" t="s">
        <v>13991</v>
      </c>
      <c r="DW2064" t="s">
        <v>13812</v>
      </c>
      <c r="DX2064" t="s">
        <v>32027</v>
      </c>
      <c r="DY2064" t="s">
        <v>32028</v>
      </c>
      <c r="DZ2064" t="s">
        <v>32029</v>
      </c>
      <c r="EA2064" t="s">
        <v>13772</v>
      </c>
      <c r="EB2064" t="s">
        <v>32030</v>
      </c>
    </row>
    <row r="2065" spans="1:132" hidden="1">
      <c r="A2065">
        <v>1936</v>
      </c>
      <c r="B2065">
        <v>1</v>
      </c>
      <c r="C2065" t="s">
        <v>4559</v>
      </c>
      <c r="D2065" t="s">
        <v>4560</v>
      </c>
      <c r="E2065" t="s">
        <v>73</v>
      </c>
      <c r="F2065" t="s">
        <v>73</v>
      </c>
      <c r="G2065" t="s">
        <v>73</v>
      </c>
      <c r="H2065">
        <v>11.9</v>
      </c>
      <c r="I2065">
        <v>193</v>
      </c>
      <c r="J2065">
        <v>20372</v>
      </c>
      <c r="K2065" t="s">
        <v>4561</v>
      </c>
      <c r="L2065">
        <f t="shared" si="130"/>
        <v>4</v>
      </c>
      <c r="N2065">
        <v>4</v>
      </c>
      <c r="O2065">
        <v>4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3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3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f t="shared" si="133"/>
        <v>4</v>
      </c>
      <c r="BW2065" s="16">
        <f t="shared" si="131"/>
        <v>0.21052631578947367</v>
      </c>
      <c r="BX2065" s="16">
        <f>COUNTIF($BC$6:BU2065, "=0") / COUNTIF($BC$6:BU2065, "&gt;-1")</f>
        <v>0.49205416453755746</v>
      </c>
      <c r="BY2065" s="18">
        <f>SUM($BC$6:BU2065) / $BY$4</f>
        <v>0.99774758662897267</v>
      </c>
      <c r="BZ2065" s="14">
        <f t="shared" si="132"/>
        <v>17</v>
      </c>
      <c r="CA2065" t="s">
        <v>5832</v>
      </c>
      <c r="CZ2065" t="s">
        <v>12206</v>
      </c>
      <c r="DA2065" t="s">
        <v>5900</v>
      </c>
      <c r="DB2065">
        <v>129.80000000000001</v>
      </c>
      <c r="DC2065" t="s">
        <v>32336</v>
      </c>
      <c r="DD2065" t="s">
        <v>13772</v>
      </c>
      <c r="DE2065" t="s">
        <v>32337</v>
      </c>
      <c r="DF2065" t="s">
        <v>32338</v>
      </c>
      <c r="DG2065" t="s">
        <v>32339</v>
      </c>
      <c r="DH2065" t="str">
        <f>"URM1"</f>
        <v>URM1</v>
      </c>
      <c r="DI2065" t="s">
        <v>32340</v>
      </c>
      <c r="DJ2065" t="s">
        <v>13777</v>
      </c>
      <c r="DK2065">
        <v>9606</v>
      </c>
      <c r="DL2065" s="34" t="str">
        <f>HYPERLINK("http://www.uniprot.org/uniprot/Q9BTM9", "Q9BTM9")</f>
        <v>Q9BTM9</v>
      </c>
      <c r="DM2065" t="s">
        <v>32341</v>
      </c>
      <c r="DN2065" t="s">
        <v>32342</v>
      </c>
      <c r="DO2065" t="s">
        <v>13899</v>
      </c>
      <c r="DP2065" t="s">
        <v>13841</v>
      </c>
      <c r="DQ2065" t="s">
        <v>13772</v>
      </c>
      <c r="DR2065" t="s">
        <v>13772</v>
      </c>
      <c r="DS2065" t="s">
        <v>13772</v>
      </c>
      <c r="DT2065" t="s">
        <v>13772</v>
      </c>
      <c r="DU2065" t="s">
        <v>13772</v>
      </c>
      <c r="DV2065" t="s">
        <v>32343</v>
      </c>
      <c r="DW2065" t="s">
        <v>13772</v>
      </c>
      <c r="DX2065" t="s">
        <v>32344</v>
      </c>
      <c r="DY2065" t="s">
        <v>13902</v>
      </c>
      <c r="DZ2065" t="s">
        <v>32345</v>
      </c>
      <c r="EA2065" t="s">
        <v>32346</v>
      </c>
      <c r="EB2065" t="s">
        <v>32347</v>
      </c>
    </row>
    <row r="2066" spans="1:132" hidden="1">
      <c r="A2066">
        <v>1949</v>
      </c>
      <c r="B2066">
        <v>1</v>
      </c>
      <c r="C2066" t="s">
        <v>4596</v>
      </c>
      <c r="D2066" t="s">
        <v>73</v>
      </c>
      <c r="E2066" t="s">
        <v>73</v>
      </c>
      <c r="F2066" t="s">
        <v>73</v>
      </c>
      <c r="G2066" t="s">
        <v>73</v>
      </c>
      <c r="H2066">
        <v>9.8000000000000007</v>
      </c>
      <c r="I2066">
        <v>589</v>
      </c>
      <c r="J2066">
        <v>62375</v>
      </c>
      <c r="K2066" t="s">
        <v>4597</v>
      </c>
      <c r="L2066">
        <f t="shared" si="130"/>
        <v>4</v>
      </c>
      <c r="N2066">
        <v>4</v>
      </c>
      <c r="O2066">
        <v>4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3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0</v>
      </c>
      <c r="BK2066" s="2">
        <v>3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f t="shared" si="133"/>
        <v>4</v>
      </c>
      <c r="BW2066" s="16">
        <f t="shared" si="131"/>
        <v>0.21052631578947367</v>
      </c>
      <c r="BX2066" s="16">
        <f>COUNTIF($BC$6:BU2066, "=0") / COUNTIF($BC$6:BU2066, "&gt;-1")</f>
        <v>0.49224954671978344</v>
      </c>
      <c r="BY2066" s="18">
        <f>SUM($BC$6:BU2066) / $BY$4</f>
        <v>0.99776472117644743</v>
      </c>
      <c r="BZ2066" s="14">
        <f t="shared" si="132"/>
        <v>17</v>
      </c>
      <c r="CA2066" t="s">
        <v>5832</v>
      </c>
      <c r="CZ2066" t="s">
        <v>12253</v>
      </c>
      <c r="DA2066" t="s">
        <v>5904</v>
      </c>
      <c r="DB2066">
        <v>1009.2</v>
      </c>
      <c r="DC2066" t="s">
        <v>32472</v>
      </c>
      <c r="DD2066" t="s">
        <v>32473</v>
      </c>
      <c r="DE2066" t="s">
        <v>32474</v>
      </c>
      <c r="DF2066" t="s">
        <v>32475</v>
      </c>
      <c r="DG2066" t="s">
        <v>32476</v>
      </c>
      <c r="DH2066" t="str">
        <f>"UBQLN1"</f>
        <v>UBQLN1</v>
      </c>
      <c r="DI2066" t="s">
        <v>32477</v>
      </c>
      <c r="DJ2066" t="s">
        <v>13777</v>
      </c>
      <c r="DK2066">
        <v>9606</v>
      </c>
      <c r="DL2066" s="34" t="str">
        <f>HYPERLINK("http://www.uniprot.org/uniprot/Q9UMX0", "Q9UMX0")</f>
        <v>Q9UMX0</v>
      </c>
      <c r="DM2066" t="s">
        <v>32478</v>
      </c>
      <c r="DN2066" t="s">
        <v>29397</v>
      </c>
      <c r="DO2066" t="s">
        <v>32479</v>
      </c>
      <c r="DP2066" t="s">
        <v>13841</v>
      </c>
      <c r="DQ2066" t="s">
        <v>13772</v>
      </c>
      <c r="DR2066" t="s">
        <v>13772</v>
      </c>
      <c r="DS2066" t="s">
        <v>13772</v>
      </c>
      <c r="DT2066" t="s">
        <v>13772</v>
      </c>
      <c r="DU2066" t="s">
        <v>13772</v>
      </c>
      <c r="DV2066" t="s">
        <v>19111</v>
      </c>
      <c r="DW2066" t="s">
        <v>13812</v>
      </c>
      <c r="DX2066" t="s">
        <v>32480</v>
      </c>
      <c r="DY2066" t="s">
        <v>32481</v>
      </c>
      <c r="DZ2066" t="s">
        <v>32482</v>
      </c>
      <c r="EA2066" t="s">
        <v>13772</v>
      </c>
      <c r="EB2066" t="s">
        <v>32483</v>
      </c>
    </row>
    <row r="2067" spans="1:132" hidden="1">
      <c r="A2067">
        <v>1956</v>
      </c>
      <c r="B2067">
        <v>1</v>
      </c>
      <c r="C2067" t="s">
        <v>4615</v>
      </c>
      <c r="D2067" t="s">
        <v>73</v>
      </c>
      <c r="E2067" t="s">
        <v>73</v>
      </c>
      <c r="F2067" t="s">
        <v>73</v>
      </c>
      <c r="G2067" t="s">
        <v>73</v>
      </c>
      <c r="H2067">
        <v>11</v>
      </c>
      <c r="I2067">
        <v>602</v>
      </c>
      <c r="J2067">
        <v>63995</v>
      </c>
      <c r="K2067" t="s">
        <v>4616</v>
      </c>
      <c r="L2067">
        <f t="shared" si="130"/>
        <v>4</v>
      </c>
      <c r="N2067">
        <v>4</v>
      </c>
      <c r="O2067">
        <v>4</v>
      </c>
      <c r="P2067">
        <v>1</v>
      </c>
      <c r="Q2067">
        <v>0</v>
      </c>
      <c r="R2067">
        <v>2</v>
      </c>
      <c r="S2067">
        <v>0</v>
      </c>
      <c r="T2067">
        <v>0</v>
      </c>
      <c r="U2067">
        <v>0</v>
      </c>
      <c r="V2067">
        <v>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L2067">
        <v>0</v>
      </c>
      <c r="AM2067">
        <v>0</v>
      </c>
      <c r="AN2067">
        <v>0</v>
      </c>
      <c r="AO2067">
        <v>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 s="2">
        <v>0</v>
      </c>
      <c r="BD2067" s="2">
        <v>2</v>
      </c>
      <c r="BE2067" s="2">
        <v>0</v>
      </c>
      <c r="BF2067" s="2">
        <v>0</v>
      </c>
      <c r="BG2067" s="2">
        <v>0</v>
      </c>
      <c r="BH2067" s="2">
        <v>2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f t="shared" si="133"/>
        <v>4</v>
      </c>
      <c r="BW2067" s="16">
        <f t="shared" si="131"/>
        <v>0.21052631578947367</v>
      </c>
      <c r="BX2067" s="16">
        <f>COUNTIF($BC$6:BU2067, "=0") / COUNTIF($BC$6:BU2067, "&gt;-1")</f>
        <v>0.49244473939455818</v>
      </c>
      <c r="BY2067" s="18">
        <f>SUM($BC$6:BU2067) / $BY$4</f>
        <v>0.99778185572392231</v>
      </c>
      <c r="BZ2067" s="14">
        <f t="shared" si="132"/>
        <v>17</v>
      </c>
      <c r="CA2067" t="s">
        <v>5832</v>
      </c>
      <c r="CZ2067" t="s">
        <v>12276</v>
      </c>
      <c r="DA2067" t="s">
        <v>5904</v>
      </c>
      <c r="DB2067">
        <v>820.1</v>
      </c>
      <c r="DC2067" t="s">
        <v>32530</v>
      </c>
      <c r="DD2067" t="s">
        <v>32531</v>
      </c>
      <c r="DE2067" t="s">
        <v>32532</v>
      </c>
      <c r="DF2067" t="s">
        <v>32533</v>
      </c>
      <c r="DG2067" t="s">
        <v>32534</v>
      </c>
      <c r="DH2067" t="str">
        <f>"SLC34A3"</f>
        <v>SLC34A3</v>
      </c>
      <c r="DI2067" t="s">
        <v>32535</v>
      </c>
      <c r="DJ2067" t="s">
        <v>13777</v>
      </c>
      <c r="DK2067">
        <v>9606</v>
      </c>
      <c r="DL2067" s="34" t="str">
        <f>HYPERLINK("http://www.uniprot.org/uniprot/Q8N130", "Q8N130")</f>
        <v>Q8N130</v>
      </c>
      <c r="DM2067" t="s">
        <v>32536</v>
      </c>
      <c r="DN2067" t="s">
        <v>19486</v>
      </c>
      <c r="DO2067" t="s">
        <v>13825</v>
      </c>
      <c r="DP2067" t="s">
        <v>13793</v>
      </c>
      <c r="DQ2067" t="s">
        <v>13772</v>
      </c>
      <c r="DR2067" t="s">
        <v>13807</v>
      </c>
      <c r="DS2067" t="s">
        <v>13925</v>
      </c>
      <c r="DT2067" t="s">
        <v>13926</v>
      </c>
      <c r="DU2067" t="s">
        <v>13772</v>
      </c>
      <c r="DV2067" t="s">
        <v>13964</v>
      </c>
      <c r="DW2067" t="s">
        <v>13772</v>
      </c>
      <c r="DX2067" t="s">
        <v>32537</v>
      </c>
      <c r="DY2067" t="s">
        <v>32538</v>
      </c>
      <c r="DZ2067" t="s">
        <v>32539</v>
      </c>
      <c r="EA2067" t="s">
        <v>13772</v>
      </c>
      <c r="EB2067" t="s">
        <v>32540</v>
      </c>
    </row>
    <row r="2068" spans="1:132" hidden="1">
      <c r="A2068">
        <v>1968</v>
      </c>
      <c r="B2068">
        <v>1</v>
      </c>
      <c r="C2068" t="s">
        <v>4638</v>
      </c>
      <c r="D2068" t="s">
        <v>73</v>
      </c>
      <c r="E2068" t="s">
        <v>73</v>
      </c>
      <c r="F2068" t="s">
        <v>73</v>
      </c>
      <c r="G2068" t="s">
        <v>73</v>
      </c>
      <c r="H2068">
        <v>6.2</v>
      </c>
      <c r="I2068">
        <v>595</v>
      </c>
      <c r="J2068">
        <v>64805</v>
      </c>
      <c r="K2068" t="s">
        <v>4639</v>
      </c>
      <c r="L2068">
        <f t="shared" si="130"/>
        <v>4</v>
      </c>
      <c r="N2068">
        <v>4</v>
      </c>
      <c r="O2068">
        <v>4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4</v>
      </c>
      <c r="BA2068">
        <v>0</v>
      </c>
      <c r="BB2068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4</v>
      </c>
      <c r="BT2068" s="2">
        <v>0</v>
      </c>
      <c r="BU2068" s="2">
        <v>0</v>
      </c>
      <c r="BV2068" s="2">
        <f t="shared" si="133"/>
        <v>4</v>
      </c>
      <c r="BW2068" s="16">
        <f t="shared" si="131"/>
        <v>0.21052631578947367</v>
      </c>
      <c r="BX2068" s="16">
        <f>COUNTIF($BC$6:BU2068, "=0") / COUNTIF($BC$6:BU2068, "&gt;-1")</f>
        <v>0.49266525499400465</v>
      </c>
      <c r="BY2068" s="18">
        <f>SUM($BC$6:BU2068) / $BY$4</f>
        <v>0.99779899027139707</v>
      </c>
      <c r="BZ2068" s="14">
        <f t="shared" si="132"/>
        <v>18</v>
      </c>
      <c r="CA2068" t="s">
        <v>5832</v>
      </c>
      <c r="CZ2068" t="s">
        <v>12316</v>
      </c>
      <c r="DA2068" t="s">
        <v>5904</v>
      </c>
      <c r="DB2068">
        <v>608.6</v>
      </c>
      <c r="DC2068" t="s">
        <v>32646</v>
      </c>
      <c r="DD2068" t="s">
        <v>13772</v>
      </c>
      <c r="DE2068" t="s">
        <v>32647</v>
      </c>
      <c r="DF2068" t="s">
        <v>32648</v>
      </c>
      <c r="DG2068" t="s">
        <v>13772</v>
      </c>
      <c r="DH2068" t="str">
        <f>"KPRP"</f>
        <v>KPRP</v>
      </c>
      <c r="DI2068" t="s">
        <v>32649</v>
      </c>
      <c r="DJ2068" t="s">
        <v>13777</v>
      </c>
      <c r="DK2068">
        <v>9606</v>
      </c>
      <c r="DL2068" s="34" t="str">
        <f>HYPERLINK("http://www.uniprot.org/uniprot/Q5T749", "Q5T749")</f>
        <v>Q5T749</v>
      </c>
      <c r="DM2068" t="s">
        <v>32650</v>
      </c>
      <c r="DN2068" t="s">
        <v>13772</v>
      </c>
      <c r="DO2068" t="s">
        <v>13899</v>
      </c>
      <c r="DP2068" t="s">
        <v>13793</v>
      </c>
      <c r="DQ2068" t="s">
        <v>13772</v>
      </c>
      <c r="DR2068" t="s">
        <v>13772</v>
      </c>
      <c r="DS2068" t="s">
        <v>13772</v>
      </c>
      <c r="DT2068" t="s">
        <v>13772</v>
      </c>
      <c r="DU2068" t="s">
        <v>13772</v>
      </c>
      <c r="DV2068" t="s">
        <v>13782</v>
      </c>
      <c r="DW2068" t="s">
        <v>13772</v>
      </c>
      <c r="DX2068" t="s">
        <v>13772</v>
      </c>
      <c r="DY2068" t="s">
        <v>25461</v>
      </c>
      <c r="DZ2068" t="s">
        <v>13772</v>
      </c>
      <c r="EA2068" t="s">
        <v>13772</v>
      </c>
      <c r="EB2068" t="s">
        <v>13772</v>
      </c>
    </row>
    <row r="2069" spans="1:132" hidden="1">
      <c r="A2069">
        <v>2001</v>
      </c>
      <c r="B2069">
        <v>1</v>
      </c>
      <c r="C2069" t="s">
        <v>4708</v>
      </c>
      <c r="D2069" t="s">
        <v>4709</v>
      </c>
      <c r="E2069" t="s">
        <v>73</v>
      </c>
      <c r="F2069" t="s">
        <v>73</v>
      </c>
      <c r="G2069" t="s">
        <v>73</v>
      </c>
      <c r="H2069">
        <v>10.4</v>
      </c>
      <c r="I2069">
        <v>308</v>
      </c>
      <c r="J2069">
        <v>32841</v>
      </c>
      <c r="K2069" t="s">
        <v>4710</v>
      </c>
      <c r="L2069">
        <f t="shared" si="130"/>
        <v>4</v>
      </c>
      <c r="N2069">
        <v>4</v>
      </c>
      <c r="O2069">
        <v>4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2</v>
      </c>
      <c r="V2069">
        <v>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</v>
      </c>
      <c r="AO2069">
        <v>2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2</v>
      </c>
      <c r="BH2069" s="2">
        <v>2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f t="shared" si="133"/>
        <v>4</v>
      </c>
      <c r="BW2069" s="16">
        <f t="shared" si="131"/>
        <v>0.21052631578947367</v>
      </c>
      <c r="BX2069" s="16">
        <f>COUNTIF($BC$6:BU2069, "=0") / COUNTIF($BC$6:BU2069, "&gt;-1")</f>
        <v>0.49286005711954306</v>
      </c>
      <c r="BY2069" s="18">
        <f>SUM($BC$6:BU2069) / $BY$4</f>
        <v>0.99781612481887183</v>
      </c>
      <c r="BZ2069" s="14">
        <f t="shared" si="132"/>
        <v>17</v>
      </c>
      <c r="CA2069" t="s">
        <v>5832</v>
      </c>
      <c r="CZ2069" t="s">
        <v>12420</v>
      </c>
      <c r="DA2069" t="s">
        <v>5904</v>
      </c>
      <c r="DB2069">
        <v>448</v>
      </c>
      <c r="DC2069" t="s">
        <v>32948</v>
      </c>
      <c r="DD2069" t="s">
        <v>32949</v>
      </c>
      <c r="DE2069" t="s">
        <v>32950</v>
      </c>
      <c r="DF2069" t="s">
        <v>32951</v>
      </c>
      <c r="DG2069" t="s">
        <v>32952</v>
      </c>
      <c r="DH2069" t="str">
        <f>"ASPDH"</f>
        <v>ASPDH</v>
      </c>
      <c r="DI2069" t="s">
        <v>13772</v>
      </c>
      <c r="DJ2069" t="s">
        <v>13777</v>
      </c>
      <c r="DK2069">
        <v>9606</v>
      </c>
      <c r="DL2069" s="34" t="str">
        <f>HYPERLINK("http://www.uniprot.org/uniprot/A6ND91", "A6ND91")</f>
        <v>A6ND91</v>
      </c>
      <c r="DM2069" t="s">
        <v>32953</v>
      </c>
      <c r="DN2069" t="s">
        <v>29555</v>
      </c>
      <c r="DO2069" t="s">
        <v>13772</v>
      </c>
      <c r="DP2069" t="s">
        <v>13780</v>
      </c>
      <c r="DQ2069" t="s">
        <v>13772</v>
      </c>
      <c r="DR2069" t="s">
        <v>13772</v>
      </c>
      <c r="DS2069" t="s">
        <v>13772</v>
      </c>
      <c r="DT2069" t="s">
        <v>26523</v>
      </c>
      <c r="DU2069" t="s">
        <v>13885</v>
      </c>
      <c r="DV2069" t="s">
        <v>13782</v>
      </c>
      <c r="DW2069" t="s">
        <v>13772</v>
      </c>
      <c r="DX2069" t="s">
        <v>32954</v>
      </c>
      <c r="DY2069" t="s">
        <v>13772</v>
      </c>
      <c r="DZ2069" t="s">
        <v>32955</v>
      </c>
      <c r="EA2069" t="s">
        <v>32956</v>
      </c>
      <c r="EB2069" t="s">
        <v>13772</v>
      </c>
    </row>
    <row r="2070" spans="1:132" hidden="1">
      <c r="A2070">
        <v>2042</v>
      </c>
      <c r="B2070">
        <v>1</v>
      </c>
      <c r="C2070" t="s">
        <v>4799</v>
      </c>
      <c r="D2070" t="s">
        <v>73</v>
      </c>
      <c r="E2070" t="s">
        <v>73</v>
      </c>
      <c r="F2070" t="s">
        <v>73</v>
      </c>
      <c r="G2070" t="s">
        <v>73</v>
      </c>
      <c r="H2070">
        <v>6.9</v>
      </c>
      <c r="I2070">
        <v>1026</v>
      </c>
      <c r="J2070">
        <v>111549</v>
      </c>
      <c r="K2070" t="s">
        <v>4800</v>
      </c>
      <c r="L2070">
        <f t="shared" si="130"/>
        <v>4</v>
      </c>
      <c r="N2070">
        <v>4</v>
      </c>
      <c r="O2070">
        <v>4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4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4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f t="shared" si="133"/>
        <v>4</v>
      </c>
      <c r="BW2070" s="16">
        <f t="shared" si="131"/>
        <v>0.21052631578947367</v>
      </c>
      <c r="BX2070" s="16">
        <f>COUNTIF($BC$6:BU2070, "=0") / COUNTIF($BC$6:BU2070, "&gt;-1")</f>
        <v>0.49308015802217409</v>
      </c>
      <c r="BY2070" s="18">
        <f>SUM($BC$6:BU2070) / $BY$4</f>
        <v>0.9978332593663467</v>
      </c>
      <c r="BZ2070" s="14">
        <f t="shared" si="132"/>
        <v>18</v>
      </c>
      <c r="CA2070" t="s">
        <v>5832</v>
      </c>
      <c r="CZ2070" t="s">
        <v>12557</v>
      </c>
      <c r="DA2070" t="s">
        <v>5904</v>
      </c>
      <c r="DB2070">
        <v>1971</v>
      </c>
      <c r="DC2070" t="s">
        <v>33325</v>
      </c>
      <c r="DD2070" t="s">
        <v>33326</v>
      </c>
      <c r="DE2070" t="s">
        <v>33327</v>
      </c>
      <c r="DF2070" t="s">
        <v>33328</v>
      </c>
      <c r="DG2070" t="s">
        <v>33329</v>
      </c>
      <c r="DH2070" t="str">
        <f>"DPYD"</f>
        <v>DPYD</v>
      </c>
      <c r="DI2070" t="s">
        <v>13772</v>
      </c>
      <c r="DJ2070" t="s">
        <v>13777</v>
      </c>
      <c r="DK2070">
        <v>9606</v>
      </c>
      <c r="DL2070" s="34" t="str">
        <f>HYPERLINK("http://www.uniprot.org/uniprot/Q12882", "Q12882")</f>
        <v>Q12882</v>
      </c>
      <c r="DM2070" t="s">
        <v>33330</v>
      </c>
      <c r="DN2070" t="s">
        <v>13772</v>
      </c>
      <c r="DO2070" t="s">
        <v>13899</v>
      </c>
      <c r="DP2070" t="s">
        <v>13780</v>
      </c>
      <c r="DQ2070" t="s">
        <v>13772</v>
      </c>
      <c r="DR2070" t="s">
        <v>13807</v>
      </c>
      <c r="DS2070" t="s">
        <v>14096</v>
      </c>
      <c r="DT2070" t="s">
        <v>33331</v>
      </c>
      <c r="DU2070" t="s">
        <v>13885</v>
      </c>
      <c r="DV2070" t="s">
        <v>13886</v>
      </c>
      <c r="DW2070" t="s">
        <v>13772</v>
      </c>
      <c r="DX2070" t="s">
        <v>33332</v>
      </c>
      <c r="DY2070" t="s">
        <v>14064</v>
      </c>
      <c r="DZ2070" t="s">
        <v>33333</v>
      </c>
      <c r="EA2070" t="s">
        <v>33334</v>
      </c>
      <c r="EB2070" t="s">
        <v>17839</v>
      </c>
    </row>
    <row r="2071" spans="1:132" hidden="1">
      <c r="A2071">
        <v>2109</v>
      </c>
      <c r="B2071">
        <v>1</v>
      </c>
      <c r="C2071" t="s">
        <v>4950</v>
      </c>
      <c r="D2071" t="s">
        <v>4951</v>
      </c>
      <c r="E2071" t="s">
        <v>73</v>
      </c>
      <c r="F2071" t="s">
        <v>73</v>
      </c>
      <c r="G2071" t="s">
        <v>73</v>
      </c>
      <c r="H2071">
        <v>5.4</v>
      </c>
      <c r="I2071">
        <v>816</v>
      </c>
      <c r="J2071">
        <v>90858</v>
      </c>
      <c r="K2071" t="s">
        <v>4952</v>
      </c>
      <c r="L2071">
        <f t="shared" si="130"/>
        <v>4</v>
      </c>
      <c r="N2071">
        <v>4</v>
      </c>
      <c r="O2071">
        <v>4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2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2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1</v>
      </c>
      <c r="BN2071" s="2">
        <v>2</v>
      </c>
      <c r="BO2071" s="2">
        <v>0</v>
      </c>
      <c r="BP2071" s="2">
        <v>0</v>
      </c>
      <c r="BQ2071" s="2">
        <v>0</v>
      </c>
      <c r="BR2071" s="2">
        <v>1</v>
      </c>
      <c r="BS2071" s="2">
        <v>0</v>
      </c>
      <c r="BT2071" s="2">
        <v>0</v>
      </c>
      <c r="BU2071" s="2">
        <v>0</v>
      </c>
      <c r="BV2071" s="2">
        <f t="shared" si="133"/>
        <v>4</v>
      </c>
      <c r="BW2071" s="16">
        <f t="shared" si="131"/>
        <v>0.21052631578947367</v>
      </c>
      <c r="BX2071" s="16">
        <f>COUNTIF($BC$6:BU2071, "=0") / COUNTIF($BC$6:BU2071, "&gt;-1")</f>
        <v>0.493249095633566</v>
      </c>
      <c r="BY2071" s="18">
        <f>SUM($BC$6:BU2071) / $BY$4</f>
        <v>0.99785039391382147</v>
      </c>
      <c r="BZ2071" s="14">
        <f t="shared" si="132"/>
        <v>16</v>
      </c>
      <c r="CA2071" t="s">
        <v>5832</v>
      </c>
      <c r="CZ2071" t="s">
        <v>12780</v>
      </c>
      <c r="DA2071" t="s">
        <v>5904</v>
      </c>
      <c r="DB2071">
        <v>1604</v>
      </c>
      <c r="DC2071" t="s">
        <v>33965</v>
      </c>
      <c r="DD2071" t="s">
        <v>33966</v>
      </c>
      <c r="DE2071" t="s">
        <v>33967</v>
      </c>
      <c r="DF2071" t="s">
        <v>33968</v>
      </c>
      <c r="DG2071" t="s">
        <v>33969</v>
      </c>
      <c r="DH2071" t="str">
        <f>"SLC9A1"</f>
        <v>SLC9A1</v>
      </c>
      <c r="DI2071" t="s">
        <v>33970</v>
      </c>
      <c r="DJ2071" t="s">
        <v>13777</v>
      </c>
      <c r="DK2071">
        <v>9606</v>
      </c>
      <c r="DL2071" s="34" t="str">
        <f>HYPERLINK("http://www.uniprot.org/uniprot/P19634", "P19634")</f>
        <v>P19634</v>
      </c>
      <c r="DM2071" t="s">
        <v>33971</v>
      </c>
      <c r="DN2071" t="s">
        <v>33972</v>
      </c>
      <c r="DO2071" t="s">
        <v>24225</v>
      </c>
      <c r="DP2071" t="s">
        <v>13780</v>
      </c>
      <c r="DQ2071" t="s">
        <v>13772</v>
      </c>
      <c r="DR2071" t="s">
        <v>33973</v>
      </c>
      <c r="DS2071" t="s">
        <v>13925</v>
      </c>
      <c r="DT2071" t="s">
        <v>13926</v>
      </c>
      <c r="DU2071" t="s">
        <v>14969</v>
      </c>
      <c r="DV2071" t="s">
        <v>16810</v>
      </c>
      <c r="DW2071" t="s">
        <v>13812</v>
      </c>
      <c r="DX2071" t="s">
        <v>33974</v>
      </c>
      <c r="DY2071" t="s">
        <v>33975</v>
      </c>
      <c r="DZ2071" t="s">
        <v>33976</v>
      </c>
      <c r="EA2071" t="s">
        <v>13772</v>
      </c>
      <c r="EB2071" t="s">
        <v>33977</v>
      </c>
    </row>
    <row r="2072" spans="1:132" hidden="1">
      <c r="A2072">
        <v>2118</v>
      </c>
      <c r="B2072">
        <v>1</v>
      </c>
      <c r="C2072" t="s">
        <v>4970</v>
      </c>
      <c r="D2072" t="s">
        <v>73</v>
      </c>
      <c r="E2072" t="s">
        <v>73</v>
      </c>
      <c r="F2072" t="s">
        <v>73</v>
      </c>
      <c r="G2072" t="s">
        <v>73</v>
      </c>
      <c r="H2072">
        <v>11.6</v>
      </c>
      <c r="I2072">
        <v>310</v>
      </c>
      <c r="J2072">
        <v>34521</v>
      </c>
      <c r="K2072" t="s">
        <v>4971</v>
      </c>
      <c r="L2072">
        <f t="shared" si="130"/>
        <v>4</v>
      </c>
      <c r="N2072">
        <v>4</v>
      </c>
      <c r="O2072">
        <v>4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</v>
      </c>
      <c r="AG2072">
        <v>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</v>
      </c>
      <c r="AZ2072">
        <v>2</v>
      </c>
      <c r="BA2072">
        <v>0</v>
      </c>
      <c r="BB207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2</v>
      </c>
      <c r="BS2072" s="2">
        <v>2</v>
      </c>
      <c r="BT2072" s="2">
        <v>0</v>
      </c>
      <c r="BU2072" s="2">
        <v>0</v>
      </c>
      <c r="BV2072" s="2">
        <f t="shared" si="133"/>
        <v>4</v>
      </c>
      <c r="BW2072" s="16">
        <f t="shared" si="131"/>
        <v>0.21052631578947367</v>
      </c>
      <c r="BX2072" s="16">
        <f>COUNTIF($BC$6:BU2072, "=0") / COUNTIF($BC$6:BU2072, "&gt;-1")</f>
        <v>0.49344333256944972</v>
      </c>
      <c r="BY2072" s="18">
        <f>SUM($BC$6:BU2072) / $BY$4</f>
        <v>0.99786752846129623</v>
      </c>
      <c r="BZ2072" s="14">
        <f t="shared" si="132"/>
        <v>17</v>
      </c>
      <c r="CA2072" t="s">
        <v>5832</v>
      </c>
      <c r="CZ2072" t="s">
        <v>12807</v>
      </c>
      <c r="DA2072" t="s">
        <v>5904</v>
      </c>
      <c r="DB2072">
        <v>515</v>
      </c>
      <c r="DC2072" t="s">
        <v>34031</v>
      </c>
      <c r="DD2072" t="s">
        <v>34032</v>
      </c>
      <c r="DE2072" t="s">
        <v>34033</v>
      </c>
      <c r="DF2072" t="s">
        <v>34034</v>
      </c>
      <c r="DG2072" t="s">
        <v>13772</v>
      </c>
      <c r="DH2072" t="str">
        <f>"LGALS4"</f>
        <v>LGALS4</v>
      </c>
      <c r="DI2072" t="s">
        <v>13772</v>
      </c>
      <c r="DJ2072" t="s">
        <v>13777</v>
      </c>
      <c r="DK2072">
        <v>9606</v>
      </c>
      <c r="DL2072" s="34" t="str">
        <f>HYPERLINK("http://www.uniprot.org/uniprot/P56470", "P56470")</f>
        <v>P56470</v>
      </c>
      <c r="DM2072" t="s">
        <v>34035</v>
      </c>
      <c r="DN2072" t="s">
        <v>13772</v>
      </c>
      <c r="DO2072" t="s">
        <v>13772</v>
      </c>
      <c r="DP2072" t="s">
        <v>13793</v>
      </c>
      <c r="DQ2072" t="s">
        <v>13772</v>
      </c>
      <c r="DR2072" t="s">
        <v>13772</v>
      </c>
      <c r="DS2072" t="s">
        <v>14096</v>
      </c>
      <c r="DT2072" t="s">
        <v>14277</v>
      </c>
      <c r="DU2072" t="s">
        <v>13772</v>
      </c>
      <c r="DV2072" t="s">
        <v>13782</v>
      </c>
      <c r="DW2072" t="s">
        <v>13812</v>
      </c>
      <c r="DX2072" t="s">
        <v>34036</v>
      </c>
      <c r="DY2072" t="s">
        <v>34037</v>
      </c>
      <c r="DZ2072" t="s">
        <v>34038</v>
      </c>
      <c r="EA2072" t="s">
        <v>13772</v>
      </c>
      <c r="EB2072" t="s">
        <v>13772</v>
      </c>
    </row>
    <row r="2073" spans="1:132" hidden="1">
      <c r="A2073">
        <v>2134</v>
      </c>
      <c r="B2073">
        <v>1</v>
      </c>
      <c r="C2073" t="s">
        <v>5004</v>
      </c>
      <c r="D2073" t="s">
        <v>5005</v>
      </c>
      <c r="E2073" t="s">
        <v>73</v>
      </c>
      <c r="F2073" t="s">
        <v>73</v>
      </c>
      <c r="G2073" t="s">
        <v>73</v>
      </c>
      <c r="H2073">
        <v>31.7</v>
      </c>
      <c r="I2073">
        <v>120</v>
      </c>
      <c r="J2073">
        <v>13157</v>
      </c>
      <c r="K2073" t="s">
        <v>5006</v>
      </c>
      <c r="L2073">
        <f t="shared" si="130"/>
        <v>4</v>
      </c>
      <c r="N2073">
        <v>4</v>
      </c>
      <c r="O2073">
        <v>4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2</v>
      </c>
      <c r="AZ2073">
        <v>0</v>
      </c>
      <c r="BA2073">
        <v>0</v>
      </c>
      <c r="BB2073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1</v>
      </c>
      <c r="BR2073" s="2">
        <v>2</v>
      </c>
      <c r="BS2073" s="2">
        <v>0</v>
      </c>
      <c r="BT2073" s="2">
        <v>0</v>
      </c>
      <c r="BU2073" s="2">
        <v>0</v>
      </c>
      <c r="BV2073" s="2">
        <f t="shared" si="133"/>
        <v>4</v>
      </c>
      <c r="BW2073" s="16">
        <f t="shared" si="131"/>
        <v>0.21052631578947367</v>
      </c>
      <c r="BX2073" s="16">
        <f>COUNTIF($BC$6:BU2073, "=0") / COUNTIF($BC$6:BU2073, "&gt;-1")</f>
        <v>0.49361193118191998</v>
      </c>
      <c r="BY2073" s="18">
        <f>SUM($BC$6:BU2073) / $BY$4</f>
        <v>0.9978846630087711</v>
      </c>
      <c r="BZ2073" s="14">
        <f t="shared" si="132"/>
        <v>16</v>
      </c>
      <c r="CA2073" t="s">
        <v>5832</v>
      </c>
      <c r="CZ2073" t="s">
        <v>12861</v>
      </c>
      <c r="DA2073" t="s">
        <v>5904</v>
      </c>
      <c r="DB2073">
        <v>151</v>
      </c>
      <c r="DC2073" t="s">
        <v>34170</v>
      </c>
      <c r="DD2073" t="s">
        <v>34171</v>
      </c>
      <c r="DE2073" t="s">
        <v>34172</v>
      </c>
      <c r="DF2073" t="s">
        <v>34173</v>
      </c>
      <c r="DG2073" t="s">
        <v>34174</v>
      </c>
      <c r="DH2073" t="str">
        <f>"PKIA"</f>
        <v>PKIA</v>
      </c>
      <c r="DI2073" t="s">
        <v>34175</v>
      </c>
      <c r="DJ2073" t="s">
        <v>13777</v>
      </c>
      <c r="DK2073">
        <v>9606</v>
      </c>
      <c r="DL2073" s="34" t="str">
        <f>HYPERLINK("http://www.uniprot.org/uniprot/P61925", "P61925")</f>
        <v>P61925</v>
      </c>
      <c r="DM2073" t="s">
        <v>34176</v>
      </c>
      <c r="DN2073" t="s">
        <v>13772</v>
      </c>
      <c r="DO2073" t="s">
        <v>13772</v>
      </c>
      <c r="DP2073" t="s">
        <v>13772</v>
      </c>
      <c r="DQ2073" t="s">
        <v>13772</v>
      </c>
      <c r="DR2073" t="s">
        <v>13772</v>
      </c>
      <c r="DS2073" t="s">
        <v>13772</v>
      </c>
      <c r="DT2073" t="s">
        <v>13772</v>
      </c>
      <c r="DU2073" t="s">
        <v>34177</v>
      </c>
      <c r="DV2073" t="s">
        <v>14020</v>
      </c>
      <c r="DW2073" t="s">
        <v>13812</v>
      </c>
      <c r="DX2073" t="s">
        <v>34178</v>
      </c>
      <c r="DY2073" t="s">
        <v>23727</v>
      </c>
      <c r="DZ2073" t="s">
        <v>34179</v>
      </c>
      <c r="EA2073" t="s">
        <v>13772</v>
      </c>
      <c r="EB2073" t="s">
        <v>13772</v>
      </c>
    </row>
    <row r="2074" spans="1:132" hidden="1">
      <c r="A2074">
        <v>2147</v>
      </c>
      <c r="B2074">
        <v>1</v>
      </c>
      <c r="C2074" t="s">
        <v>5033</v>
      </c>
      <c r="D2074" t="s">
        <v>5034</v>
      </c>
      <c r="E2074" t="s">
        <v>73</v>
      </c>
      <c r="F2074" t="s">
        <v>73</v>
      </c>
      <c r="G2074" t="s">
        <v>73</v>
      </c>
      <c r="H2074">
        <v>6.7</v>
      </c>
      <c r="I2074">
        <v>701</v>
      </c>
      <c r="J2074">
        <v>79159</v>
      </c>
      <c r="K2074" t="s">
        <v>5035</v>
      </c>
      <c r="L2074">
        <f t="shared" si="130"/>
        <v>4</v>
      </c>
      <c r="N2074">
        <v>4</v>
      </c>
      <c r="O2074">
        <v>4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1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2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f t="shared" si="133"/>
        <v>4</v>
      </c>
      <c r="BW2074" s="16">
        <f t="shared" si="131"/>
        <v>0.21052631578947367</v>
      </c>
      <c r="BX2074" s="16">
        <f>COUNTIF($BC$6:BU2074, "=0") / COUNTIF($BC$6:BU2074, "&gt;-1")</f>
        <v>0.49378036681844778</v>
      </c>
      <c r="BY2074" s="18">
        <f>SUM($BC$6:BU2074) / $BY$4</f>
        <v>0.99790179755624586</v>
      </c>
      <c r="BZ2074" s="14">
        <f t="shared" si="132"/>
        <v>16</v>
      </c>
      <c r="CA2074" t="s">
        <v>5832</v>
      </c>
      <c r="CZ2074" t="s">
        <v>12905</v>
      </c>
      <c r="DA2074" t="s">
        <v>5904</v>
      </c>
      <c r="DB2074">
        <v>1344.7</v>
      </c>
      <c r="DC2074" t="s">
        <v>34295</v>
      </c>
      <c r="DD2074" t="s">
        <v>34296</v>
      </c>
      <c r="DE2074" t="s">
        <v>34297</v>
      </c>
      <c r="DF2074" t="s">
        <v>34298</v>
      </c>
      <c r="DG2074" t="s">
        <v>34299</v>
      </c>
      <c r="DH2074" t="str">
        <f>"ACSS2"</f>
        <v>ACSS2</v>
      </c>
      <c r="DI2074" t="s">
        <v>34300</v>
      </c>
      <c r="DJ2074" t="s">
        <v>13777</v>
      </c>
      <c r="DK2074">
        <v>9606</v>
      </c>
      <c r="DL2074" s="34" t="str">
        <f>HYPERLINK("http://www.uniprot.org/uniprot/Q9NR19", "Q9NR19")</f>
        <v>Q9NR19</v>
      </c>
      <c r="DM2074" t="s">
        <v>34301</v>
      </c>
      <c r="DN2074" t="s">
        <v>13772</v>
      </c>
      <c r="DO2074" t="s">
        <v>13899</v>
      </c>
      <c r="DP2074" t="s">
        <v>13841</v>
      </c>
      <c r="DQ2074" t="s">
        <v>13772</v>
      </c>
      <c r="DR2074" t="s">
        <v>13772</v>
      </c>
      <c r="DS2074" t="s">
        <v>13772</v>
      </c>
      <c r="DT2074" t="s">
        <v>14005</v>
      </c>
      <c r="DU2074" t="s">
        <v>21123</v>
      </c>
      <c r="DV2074" t="s">
        <v>13886</v>
      </c>
      <c r="DW2074" t="s">
        <v>13772</v>
      </c>
      <c r="DX2074" t="s">
        <v>34302</v>
      </c>
      <c r="DY2074" t="s">
        <v>34303</v>
      </c>
      <c r="DZ2074" t="s">
        <v>34304</v>
      </c>
      <c r="EA2074" t="s">
        <v>13772</v>
      </c>
      <c r="EB2074" t="s">
        <v>34305</v>
      </c>
    </row>
    <row r="2075" spans="1:132" hidden="1">
      <c r="A2075">
        <v>2240</v>
      </c>
      <c r="B2075">
        <v>1</v>
      </c>
      <c r="C2075" t="s">
        <v>5239</v>
      </c>
      <c r="D2075" t="s">
        <v>5240</v>
      </c>
      <c r="E2075" t="s">
        <v>73</v>
      </c>
      <c r="F2075" t="s">
        <v>73</v>
      </c>
      <c r="G2075" t="s">
        <v>73</v>
      </c>
      <c r="H2075">
        <v>7.6</v>
      </c>
      <c r="I2075">
        <v>499</v>
      </c>
      <c r="J2075">
        <v>56537</v>
      </c>
      <c r="K2075" t="s">
        <v>5241</v>
      </c>
      <c r="L2075">
        <f t="shared" si="130"/>
        <v>4</v>
      </c>
      <c r="N2075">
        <v>4</v>
      </c>
      <c r="O2075">
        <v>4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2</v>
      </c>
      <c r="BJ2075" s="2">
        <v>0</v>
      </c>
      <c r="BK2075" s="2">
        <v>0</v>
      </c>
      <c r="BL2075" s="2">
        <v>0</v>
      </c>
      <c r="BM2075" s="2">
        <v>1</v>
      </c>
      <c r="BN2075" s="2">
        <v>0</v>
      </c>
      <c r="BO2075" s="2">
        <v>1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f t="shared" si="133"/>
        <v>4</v>
      </c>
      <c r="BW2075" s="16">
        <f t="shared" si="131"/>
        <v>0.21052631578947367</v>
      </c>
      <c r="BX2075" s="16">
        <f>COUNTIF($BC$6:BU2075, "=0") / COUNTIF($BC$6:BU2075, "&gt;-1")</f>
        <v>0.49394863971523012</v>
      </c>
      <c r="BY2075" s="18">
        <f>SUM($BC$6:BU2075) / $BY$4</f>
        <v>0.99791893210372062</v>
      </c>
      <c r="BZ2075" s="14">
        <f t="shared" si="132"/>
        <v>16</v>
      </c>
      <c r="CA2075" t="s">
        <v>5832</v>
      </c>
      <c r="CZ2075" t="s">
        <v>13211</v>
      </c>
      <c r="DA2075" t="s">
        <v>5904</v>
      </c>
      <c r="DB2075">
        <v>975.3</v>
      </c>
      <c r="DC2075" t="s">
        <v>35148</v>
      </c>
      <c r="DD2075" t="s">
        <v>35149</v>
      </c>
      <c r="DE2075" t="s">
        <v>35150</v>
      </c>
      <c r="DF2075" t="s">
        <v>35151</v>
      </c>
      <c r="DG2075" t="s">
        <v>35152</v>
      </c>
      <c r="DH2075" t="str">
        <f>"ERLEC1"</f>
        <v>ERLEC1</v>
      </c>
      <c r="DI2075" t="s">
        <v>35153</v>
      </c>
      <c r="DJ2075" t="s">
        <v>13777</v>
      </c>
      <c r="DK2075">
        <v>9606</v>
      </c>
      <c r="DL2075" s="34" t="str">
        <f>HYPERLINK("http://www.uniprot.org/uniprot/Q96DZ1", "Q96DZ1")</f>
        <v>Q96DZ1</v>
      </c>
      <c r="DM2075" t="s">
        <v>35154</v>
      </c>
      <c r="DN2075" t="s">
        <v>13772</v>
      </c>
      <c r="DO2075" t="s">
        <v>14908</v>
      </c>
      <c r="DP2075" t="s">
        <v>13780</v>
      </c>
      <c r="DQ2075" t="s">
        <v>13772</v>
      </c>
      <c r="DR2075" t="s">
        <v>13772</v>
      </c>
      <c r="DS2075" t="s">
        <v>14404</v>
      </c>
      <c r="DT2075" t="s">
        <v>13772</v>
      </c>
      <c r="DU2075" t="s">
        <v>13772</v>
      </c>
      <c r="DV2075" t="s">
        <v>13858</v>
      </c>
      <c r="DW2075" t="s">
        <v>13772</v>
      </c>
      <c r="DX2075" t="s">
        <v>35155</v>
      </c>
      <c r="DY2075" t="s">
        <v>35156</v>
      </c>
      <c r="DZ2075" t="s">
        <v>35157</v>
      </c>
      <c r="EA2075" t="s">
        <v>13772</v>
      </c>
      <c r="EB2075" t="s">
        <v>35158</v>
      </c>
    </row>
    <row r="2076" spans="1:132" hidden="1">
      <c r="A2076">
        <v>2292</v>
      </c>
      <c r="B2076">
        <v>1</v>
      </c>
      <c r="C2076" t="s">
        <v>5355</v>
      </c>
      <c r="D2076" t="s">
        <v>73</v>
      </c>
      <c r="E2076" t="s">
        <v>73</v>
      </c>
      <c r="F2076" t="s">
        <v>73</v>
      </c>
      <c r="G2076" t="s">
        <v>73</v>
      </c>
      <c r="H2076">
        <v>4</v>
      </c>
      <c r="I2076">
        <v>681</v>
      </c>
      <c r="J2076">
        <v>78407</v>
      </c>
      <c r="K2076" t="s">
        <v>5356</v>
      </c>
      <c r="L2076">
        <f t="shared" si="130"/>
        <v>4</v>
      </c>
      <c r="N2076">
        <v>4</v>
      </c>
      <c r="O2076">
        <v>4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2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1</v>
      </c>
      <c r="BH2076" s="2">
        <v>2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1</v>
      </c>
      <c r="BT2076" s="2">
        <v>0</v>
      </c>
      <c r="BU2076" s="2">
        <v>0</v>
      </c>
      <c r="BV2076" s="2">
        <f t="shared" si="133"/>
        <v>4</v>
      </c>
      <c r="BW2076" s="16">
        <f t="shared" si="131"/>
        <v>0.21052631578947367</v>
      </c>
      <c r="BX2076" s="16">
        <f>COUNTIF($BC$6:BU2076, "=0") / COUNTIF($BC$6:BU2076, "&gt;-1")</f>
        <v>0.49411675010800782</v>
      </c>
      <c r="BY2076" s="18">
        <f>SUM($BC$6:BU2076) / $BY$4</f>
        <v>0.9979360666511955</v>
      </c>
      <c r="BZ2076" s="14">
        <f t="shared" si="132"/>
        <v>16</v>
      </c>
      <c r="CA2076" t="s">
        <v>5832</v>
      </c>
      <c r="CZ2076" t="s">
        <v>13384</v>
      </c>
      <c r="DA2076" t="s">
        <v>5904</v>
      </c>
      <c r="DB2076">
        <v>1200.3</v>
      </c>
      <c r="DC2076" t="s">
        <v>35652</v>
      </c>
      <c r="DD2076" t="s">
        <v>35653</v>
      </c>
      <c r="DE2076" t="s">
        <v>35654</v>
      </c>
      <c r="DF2076" t="s">
        <v>35655</v>
      </c>
      <c r="DG2076" t="s">
        <v>35656</v>
      </c>
      <c r="DH2076" t="str">
        <f>"SLC3A1"</f>
        <v>SLC3A1</v>
      </c>
      <c r="DI2076" t="s">
        <v>35657</v>
      </c>
      <c r="DJ2076" t="s">
        <v>13777</v>
      </c>
      <c r="DK2076">
        <v>9606</v>
      </c>
      <c r="DL2076" s="34" t="str">
        <f>HYPERLINK("http://www.uniprot.org/uniprot/Q07837", "Q07837")</f>
        <v>Q07837</v>
      </c>
      <c r="DM2076" t="s">
        <v>35658</v>
      </c>
      <c r="DN2076" t="s">
        <v>19881</v>
      </c>
      <c r="DO2076" t="s">
        <v>13825</v>
      </c>
      <c r="DP2076" t="s">
        <v>13780</v>
      </c>
      <c r="DQ2076" t="s">
        <v>13772</v>
      </c>
      <c r="DR2076" t="s">
        <v>35659</v>
      </c>
      <c r="DS2076" t="s">
        <v>14417</v>
      </c>
      <c r="DT2076" t="s">
        <v>13772</v>
      </c>
      <c r="DU2076" t="s">
        <v>13772</v>
      </c>
      <c r="DV2076" t="s">
        <v>13964</v>
      </c>
      <c r="DW2076" t="s">
        <v>13772</v>
      </c>
      <c r="DX2076" t="s">
        <v>35660</v>
      </c>
      <c r="DY2076" t="s">
        <v>35661</v>
      </c>
      <c r="DZ2076" t="s">
        <v>35662</v>
      </c>
      <c r="EA2076" t="s">
        <v>13772</v>
      </c>
      <c r="EB2076" t="s">
        <v>35663</v>
      </c>
    </row>
    <row r="2077" spans="1:132" hidden="1">
      <c r="A2077">
        <v>2296</v>
      </c>
      <c r="B2077">
        <v>1</v>
      </c>
      <c r="C2077" t="s">
        <v>5363</v>
      </c>
      <c r="D2077" t="s">
        <v>73</v>
      </c>
      <c r="E2077" t="s">
        <v>73</v>
      </c>
      <c r="F2077" t="s">
        <v>73</v>
      </c>
      <c r="G2077" t="s">
        <v>73</v>
      </c>
      <c r="H2077">
        <v>29.1</v>
      </c>
      <c r="I2077">
        <v>158</v>
      </c>
      <c r="J2077">
        <v>18421</v>
      </c>
      <c r="K2077" t="s">
        <v>5364</v>
      </c>
      <c r="L2077">
        <f t="shared" si="130"/>
        <v>4</v>
      </c>
      <c r="N2077">
        <v>4</v>
      </c>
      <c r="O2077">
        <v>4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4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4</v>
      </c>
      <c r="AZ2077">
        <v>0</v>
      </c>
      <c r="BA2077">
        <v>0</v>
      </c>
      <c r="BB2077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4</v>
      </c>
      <c r="BS2077" s="2">
        <v>0</v>
      </c>
      <c r="BT2077" s="2">
        <v>0</v>
      </c>
      <c r="BU2077" s="2">
        <v>0</v>
      </c>
      <c r="BV2077" s="2">
        <f t="shared" si="133"/>
        <v>4</v>
      </c>
      <c r="BW2077" s="16">
        <f t="shared" si="131"/>
        <v>0.21052631578947367</v>
      </c>
      <c r="BX2077" s="16">
        <f>COUNTIF($BC$6:BU2077, "=0") / COUNTIF($BC$6:BU2077, "&gt;-1")</f>
        <v>0.49433550091444828</v>
      </c>
      <c r="BY2077" s="18">
        <f>SUM($BC$6:BU2077) / $BY$4</f>
        <v>0.99795320119867026</v>
      </c>
      <c r="BZ2077" s="14">
        <f t="shared" si="132"/>
        <v>18</v>
      </c>
      <c r="CA2077" t="s">
        <v>5832</v>
      </c>
      <c r="CZ2077" t="s">
        <v>13396</v>
      </c>
      <c r="DA2077" t="s">
        <v>5904</v>
      </c>
      <c r="DB2077">
        <v>254.6</v>
      </c>
      <c r="DC2077" t="s">
        <v>35691</v>
      </c>
      <c r="DD2077" t="s">
        <v>35692</v>
      </c>
      <c r="DE2077" t="s">
        <v>35693</v>
      </c>
      <c r="DF2077" t="s">
        <v>35694</v>
      </c>
      <c r="DG2077" t="s">
        <v>35695</v>
      </c>
      <c r="DH2077" t="str">
        <f>"REG4"</f>
        <v>REG4</v>
      </c>
      <c r="DI2077" t="s">
        <v>35696</v>
      </c>
      <c r="DJ2077" t="s">
        <v>13777</v>
      </c>
      <c r="DK2077">
        <v>9606</v>
      </c>
      <c r="DL2077" s="34" t="str">
        <f>HYPERLINK("http://www.uniprot.org/uniprot/Q9BYZ8", "Q9BYZ8")</f>
        <v>Q9BYZ8</v>
      </c>
      <c r="DM2077" t="s">
        <v>35697</v>
      </c>
      <c r="DN2077" t="s">
        <v>13772</v>
      </c>
      <c r="DO2077" t="s">
        <v>14321</v>
      </c>
      <c r="DP2077" t="s">
        <v>13780</v>
      </c>
      <c r="DQ2077" t="s">
        <v>13772</v>
      </c>
      <c r="DR2077" t="s">
        <v>13772</v>
      </c>
      <c r="DS2077" t="s">
        <v>13808</v>
      </c>
      <c r="DT2077" t="s">
        <v>14277</v>
      </c>
      <c r="DU2077" t="s">
        <v>13772</v>
      </c>
      <c r="DV2077" t="s">
        <v>13796</v>
      </c>
      <c r="DW2077" t="s">
        <v>13812</v>
      </c>
      <c r="DX2077" t="s">
        <v>35698</v>
      </c>
      <c r="DY2077" t="s">
        <v>30354</v>
      </c>
      <c r="DZ2077" t="s">
        <v>35699</v>
      </c>
      <c r="EA2077" t="s">
        <v>13772</v>
      </c>
      <c r="EB2077" t="s">
        <v>13772</v>
      </c>
    </row>
    <row r="2078" spans="1:132" hidden="1">
      <c r="A2078">
        <v>2302</v>
      </c>
      <c r="B2078">
        <v>1</v>
      </c>
      <c r="C2078" t="s">
        <v>5376</v>
      </c>
      <c r="D2078" t="s">
        <v>73</v>
      </c>
      <c r="E2078" t="s">
        <v>73</v>
      </c>
      <c r="F2078" t="s">
        <v>73</v>
      </c>
      <c r="G2078" t="s">
        <v>73</v>
      </c>
      <c r="H2078">
        <v>3.9</v>
      </c>
      <c r="I2078">
        <v>949</v>
      </c>
      <c r="J2078">
        <v>105464</v>
      </c>
      <c r="K2078" t="s">
        <v>5377</v>
      </c>
      <c r="L2078">
        <f t="shared" si="130"/>
        <v>4</v>
      </c>
      <c r="N2078">
        <v>4</v>
      </c>
      <c r="O2078">
        <v>4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4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4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f t="shared" si="133"/>
        <v>4</v>
      </c>
      <c r="BW2078" s="16">
        <f t="shared" si="131"/>
        <v>0.21052631578947367</v>
      </c>
      <c r="BX2078" s="16">
        <f>COUNTIF($BC$6:BU2078, "=0") / COUNTIF($BC$6:BU2078, "&gt;-1")</f>
        <v>0.4945540406733186</v>
      </c>
      <c r="BY2078" s="18">
        <f>SUM($BC$6:BU2078) / $BY$4</f>
        <v>0.99797033574614502</v>
      </c>
      <c r="BZ2078" s="14">
        <f t="shared" si="132"/>
        <v>18</v>
      </c>
      <c r="CA2078" t="s">
        <v>5832</v>
      </c>
      <c r="CZ2078" t="s">
        <v>13413</v>
      </c>
      <c r="DA2078" t="s">
        <v>5904</v>
      </c>
      <c r="DB2078">
        <v>1510</v>
      </c>
      <c r="DC2078" t="s">
        <v>35738</v>
      </c>
      <c r="DD2078" t="s">
        <v>35739</v>
      </c>
      <c r="DE2078" t="s">
        <v>35740</v>
      </c>
      <c r="DF2078" t="s">
        <v>35741</v>
      </c>
      <c r="DG2078" t="s">
        <v>35742</v>
      </c>
      <c r="DH2078" t="str">
        <f>"SLC4A1"</f>
        <v>SLC4A1</v>
      </c>
      <c r="DI2078" t="s">
        <v>35743</v>
      </c>
      <c r="DJ2078" t="s">
        <v>13777</v>
      </c>
      <c r="DK2078">
        <v>9606</v>
      </c>
      <c r="DL2078" s="34" t="str">
        <f>HYPERLINK("http://www.uniprot.org/uniprot/P02730", "P02730")</f>
        <v>P02730</v>
      </c>
      <c r="DM2078" t="s">
        <v>35744</v>
      </c>
      <c r="DN2078" t="s">
        <v>35745</v>
      </c>
      <c r="DO2078" t="s">
        <v>13792</v>
      </c>
      <c r="DP2078" t="s">
        <v>13780</v>
      </c>
      <c r="DQ2078" t="s">
        <v>13772</v>
      </c>
      <c r="DR2078" t="s">
        <v>14588</v>
      </c>
      <c r="DS2078" t="s">
        <v>13925</v>
      </c>
      <c r="DT2078" t="s">
        <v>13772</v>
      </c>
      <c r="DU2078" t="s">
        <v>16993</v>
      </c>
      <c r="DV2078" t="s">
        <v>35746</v>
      </c>
      <c r="DW2078" t="s">
        <v>13812</v>
      </c>
      <c r="DX2078" t="s">
        <v>35747</v>
      </c>
      <c r="DY2078" t="s">
        <v>35748</v>
      </c>
      <c r="DZ2078" t="s">
        <v>35749</v>
      </c>
      <c r="EA2078" t="s">
        <v>13772</v>
      </c>
      <c r="EB2078" t="s">
        <v>35750</v>
      </c>
    </row>
    <row r="2079" spans="1:132" hidden="1">
      <c r="A2079">
        <v>2329</v>
      </c>
      <c r="B2079">
        <v>1</v>
      </c>
      <c r="C2079" t="s">
        <v>5430</v>
      </c>
      <c r="D2079" t="s">
        <v>73</v>
      </c>
      <c r="E2079" t="s">
        <v>73</v>
      </c>
      <c r="F2079" t="s">
        <v>73</v>
      </c>
      <c r="G2079" t="s">
        <v>73</v>
      </c>
      <c r="H2079">
        <v>2.7</v>
      </c>
      <c r="I2079">
        <v>2030</v>
      </c>
      <c r="J2079">
        <v>230881</v>
      </c>
      <c r="K2079" t="s">
        <v>5431</v>
      </c>
      <c r="L2079">
        <f t="shared" si="130"/>
        <v>4</v>
      </c>
      <c r="N2079">
        <v>4</v>
      </c>
      <c r="O2079">
        <v>4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3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3</v>
      </c>
      <c r="BN2079" s="2">
        <v>1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f t="shared" si="133"/>
        <v>4</v>
      </c>
      <c r="BW2079" s="16">
        <f t="shared" si="131"/>
        <v>0.21052631578947367</v>
      </c>
      <c r="BX2079" s="16">
        <f>COUNTIF($BC$6:BU2079, "=0") / COUNTIF($BC$6:BU2079, "&gt;-1")</f>
        <v>0.49474699284372936</v>
      </c>
      <c r="BY2079" s="18">
        <f>SUM($BC$6:BU2079) / $BY$4</f>
        <v>0.99798747029361989</v>
      </c>
      <c r="BZ2079" s="14">
        <f t="shared" si="132"/>
        <v>17</v>
      </c>
      <c r="CA2079" t="s">
        <v>5832</v>
      </c>
      <c r="CZ2079" t="s">
        <v>13489</v>
      </c>
      <c r="DA2079" t="s">
        <v>5904</v>
      </c>
      <c r="DB2079">
        <v>3307.3</v>
      </c>
      <c r="DC2079" t="s">
        <v>35955</v>
      </c>
      <c r="DD2079" t="s">
        <v>35956</v>
      </c>
      <c r="DE2079" t="s">
        <v>35957</v>
      </c>
      <c r="DF2079" t="s">
        <v>35958</v>
      </c>
      <c r="DG2079" t="s">
        <v>35959</v>
      </c>
      <c r="DH2079" t="str">
        <f>"EVPL"</f>
        <v>EVPL</v>
      </c>
      <c r="DI2079" t="s">
        <v>13772</v>
      </c>
      <c r="DJ2079" t="s">
        <v>13777</v>
      </c>
      <c r="DK2079">
        <v>9606</v>
      </c>
      <c r="DL2079" s="34" t="str">
        <f>HYPERLINK("http://www.uniprot.org/uniprot/Q92817", "Q92817")</f>
        <v>Q92817</v>
      </c>
      <c r="DM2079" t="s">
        <v>35960</v>
      </c>
      <c r="DN2079" t="s">
        <v>16018</v>
      </c>
      <c r="DO2079" t="s">
        <v>29272</v>
      </c>
      <c r="DP2079" t="s">
        <v>13793</v>
      </c>
      <c r="DQ2079" t="s">
        <v>13772</v>
      </c>
      <c r="DR2079" t="s">
        <v>13772</v>
      </c>
      <c r="DS2079" t="s">
        <v>19296</v>
      </c>
      <c r="DT2079" t="s">
        <v>13772</v>
      </c>
      <c r="DU2079" t="s">
        <v>13772</v>
      </c>
      <c r="DV2079" t="s">
        <v>13782</v>
      </c>
      <c r="DW2079" t="s">
        <v>13812</v>
      </c>
      <c r="DX2079" t="s">
        <v>35961</v>
      </c>
      <c r="DY2079" t="s">
        <v>35962</v>
      </c>
      <c r="DZ2079" t="s">
        <v>35963</v>
      </c>
      <c r="EA2079" t="s">
        <v>13772</v>
      </c>
      <c r="EB2079" t="s">
        <v>16024</v>
      </c>
    </row>
    <row r="2080" spans="1:132" hidden="1">
      <c r="A2080">
        <v>2342</v>
      </c>
      <c r="B2080">
        <v>1</v>
      </c>
      <c r="C2080" t="s">
        <v>5463</v>
      </c>
      <c r="D2080" t="s">
        <v>5464</v>
      </c>
      <c r="E2080" t="s">
        <v>73</v>
      </c>
      <c r="F2080" t="s">
        <v>73</v>
      </c>
      <c r="G2080" t="s">
        <v>73</v>
      </c>
      <c r="H2080">
        <v>8.6999999999999993</v>
      </c>
      <c r="I2080">
        <v>529</v>
      </c>
      <c r="J2080">
        <v>57856</v>
      </c>
      <c r="K2080" t="s">
        <v>5465</v>
      </c>
      <c r="L2080">
        <f t="shared" si="130"/>
        <v>4</v>
      </c>
      <c r="N2080">
        <v>4</v>
      </c>
      <c r="O2080">
        <v>4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2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2</v>
      </c>
      <c r="BL2080" s="2">
        <v>0</v>
      </c>
      <c r="BM2080" s="2">
        <v>1</v>
      </c>
      <c r="BN2080" s="2">
        <v>0</v>
      </c>
      <c r="BO2080" s="2">
        <v>0</v>
      </c>
      <c r="BP2080" s="2">
        <v>0</v>
      </c>
      <c r="BQ2080" s="2">
        <v>1</v>
      </c>
      <c r="BR2080" s="2">
        <v>0</v>
      </c>
      <c r="BS2080" s="2">
        <v>0</v>
      </c>
      <c r="BT2080" s="2">
        <v>0</v>
      </c>
      <c r="BU2080" s="2">
        <v>0</v>
      </c>
      <c r="BV2080" s="2">
        <f t="shared" si="133"/>
        <v>4</v>
      </c>
      <c r="BW2080" s="16">
        <f t="shared" si="131"/>
        <v>0.21052631578947367</v>
      </c>
      <c r="BX2080" s="16">
        <f>COUNTIF($BC$6:BU2080, "=0") / COUNTIF($BC$6:BU2080, "&gt;-1")</f>
        <v>0.49491439441978441</v>
      </c>
      <c r="BY2080" s="18">
        <f>SUM($BC$6:BU2080) / $BY$4</f>
        <v>0.99800460484109466</v>
      </c>
      <c r="BZ2080" s="14">
        <f t="shared" si="132"/>
        <v>16</v>
      </c>
      <c r="CA2080" t="s">
        <v>5832</v>
      </c>
      <c r="CZ2080" t="s">
        <v>13536</v>
      </c>
      <c r="DA2080" t="s">
        <v>5904</v>
      </c>
      <c r="DB2080">
        <v>1000.7</v>
      </c>
      <c r="DC2080" t="s">
        <v>36076</v>
      </c>
      <c r="DD2080" t="s">
        <v>36077</v>
      </c>
      <c r="DE2080" t="s">
        <v>36078</v>
      </c>
      <c r="DF2080" t="s">
        <v>36079</v>
      </c>
      <c r="DG2080" t="s">
        <v>36080</v>
      </c>
      <c r="DH2080" t="str">
        <f>"TOM1L2"</f>
        <v>TOM1L2</v>
      </c>
      <c r="DI2080" t="s">
        <v>13772</v>
      </c>
      <c r="DJ2080" t="s">
        <v>13777</v>
      </c>
      <c r="DK2080">
        <v>9606</v>
      </c>
      <c r="DL2080" s="34" t="str">
        <f>HYPERLINK("http://www.uniprot.org/uniprot/Q6ZVM7", "Q6ZVM7")</f>
        <v>Q6ZVM7</v>
      </c>
      <c r="DM2080" t="s">
        <v>36081</v>
      </c>
      <c r="DN2080" t="s">
        <v>14347</v>
      </c>
      <c r="DO2080" t="s">
        <v>13772</v>
      </c>
      <c r="DP2080" t="s">
        <v>13841</v>
      </c>
      <c r="DQ2080" t="s">
        <v>13772</v>
      </c>
      <c r="DR2080" t="s">
        <v>13772</v>
      </c>
      <c r="DS2080" t="s">
        <v>13772</v>
      </c>
      <c r="DT2080" t="s">
        <v>13772</v>
      </c>
      <c r="DU2080" t="s">
        <v>13772</v>
      </c>
      <c r="DV2080" t="s">
        <v>13782</v>
      </c>
      <c r="DW2080" t="s">
        <v>13772</v>
      </c>
      <c r="DX2080" t="s">
        <v>36082</v>
      </c>
      <c r="DY2080" t="s">
        <v>36083</v>
      </c>
      <c r="DZ2080" t="s">
        <v>17976</v>
      </c>
      <c r="EA2080" t="s">
        <v>13772</v>
      </c>
      <c r="EB2080" t="s">
        <v>13772</v>
      </c>
    </row>
    <row r="2081" spans="1:132" hidden="1">
      <c r="A2081">
        <v>2343</v>
      </c>
      <c r="B2081">
        <v>1</v>
      </c>
      <c r="C2081" t="s">
        <v>5466</v>
      </c>
      <c r="D2081" t="s">
        <v>73</v>
      </c>
      <c r="E2081" t="s">
        <v>73</v>
      </c>
      <c r="F2081" t="s">
        <v>73</v>
      </c>
      <c r="G2081" t="s">
        <v>73</v>
      </c>
      <c r="H2081">
        <v>11.2</v>
      </c>
      <c r="I2081">
        <v>268</v>
      </c>
      <c r="J2081">
        <v>29235</v>
      </c>
      <c r="K2081" t="s">
        <v>5467</v>
      </c>
      <c r="L2081">
        <f t="shared" si="130"/>
        <v>4</v>
      </c>
      <c r="N2081">
        <v>4</v>
      </c>
      <c r="O2081">
        <v>4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0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2</v>
      </c>
      <c r="AU2081">
        <v>0</v>
      </c>
      <c r="AV2081">
        <v>0</v>
      </c>
      <c r="AW2081">
        <v>0</v>
      </c>
      <c r="AX2081">
        <v>2</v>
      </c>
      <c r="AY2081">
        <v>0</v>
      </c>
      <c r="AZ2081">
        <v>0</v>
      </c>
      <c r="BA2081">
        <v>0</v>
      </c>
      <c r="BB2081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2</v>
      </c>
      <c r="BN2081" s="2">
        <v>0</v>
      </c>
      <c r="BO2081" s="2">
        <v>0</v>
      </c>
      <c r="BP2081" s="2">
        <v>0</v>
      </c>
      <c r="BQ2081" s="2">
        <v>2</v>
      </c>
      <c r="BR2081" s="2">
        <v>0</v>
      </c>
      <c r="BS2081" s="2">
        <v>0</v>
      </c>
      <c r="BT2081" s="2">
        <v>0</v>
      </c>
      <c r="BU2081" s="2">
        <v>0</v>
      </c>
      <c r="BV2081" s="2">
        <f t="shared" si="133"/>
        <v>4</v>
      </c>
      <c r="BW2081" s="16">
        <f t="shared" si="131"/>
        <v>0.21052631578947367</v>
      </c>
      <c r="BX2081" s="16">
        <f>COUNTIF($BC$6:BU2081, "=0") / COUNTIF($BC$6:BU2081, "&gt;-1")</f>
        <v>0.49510698712098167</v>
      </c>
      <c r="BY2081" s="18">
        <f>SUM($BC$6:BU2081) / $BY$4</f>
        <v>0.99802173938856953</v>
      </c>
      <c r="BZ2081" s="14">
        <f t="shared" si="132"/>
        <v>17</v>
      </c>
      <c r="CA2081" t="s">
        <v>5832</v>
      </c>
      <c r="CZ2081" t="s">
        <v>13539</v>
      </c>
      <c r="DA2081" t="s">
        <v>5904</v>
      </c>
      <c r="DB2081">
        <v>378.3</v>
      </c>
      <c r="DC2081" t="s">
        <v>36084</v>
      </c>
      <c r="DD2081" t="s">
        <v>36085</v>
      </c>
      <c r="DE2081" t="s">
        <v>36086</v>
      </c>
      <c r="DF2081" t="s">
        <v>36087</v>
      </c>
      <c r="DG2081" t="s">
        <v>36088</v>
      </c>
      <c r="DH2081" t="str">
        <f>"CENPV"</f>
        <v>CENPV</v>
      </c>
      <c r="DI2081" t="s">
        <v>36089</v>
      </c>
      <c r="DJ2081" t="s">
        <v>13777</v>
      </c>
      <c r="DK2081">
        <v>9606</v>
      </c>
      <c r="DL2081" s="34" t="str">
        <f>HYPERLINK("http://www.uniprot.org/uniprot/Q7Z7K6", "Q7Z7K6")</f>
        <v>Q7Z7K6</v>
      </c>
      <c r="DM2081" t="s">
        <v>36090</v>
      </c>
      <c r="DN2081" t="s">
        <v>14600</v>
      </c>
      <c r="DO2081" t="s">
        <v>36091</v>
      </c>
      <c r="DP2081" t="s">
        <v>13841</v>
      </c>
      <c r="DQ2081" t="s">
        <v>13772</v>
      </c>
      <c r="DR2081" t="s">
        <v>13772</v>
      </c>
      <c r="DS2081" t="s">
        <v>13772</v>
      </c>
      <c r="DT2081" t="s">
        <v>13856</v>
      </c>
      <c r="DU2081" t="s">
        <v>13772</v>
      </c>
      <c r="DV2081" t="s">
        <v>14478</v>
      </c>
      <c r="DW2081" t="s">
        <v>13772</v>
      </c>
      <c r="DX2081" t="s">
        <v>36092</v>
      </c>
      <c r="DY2081" t="s">
        <v>36093</v>
      </c>
      <c r="DZ2081" t="s">
        <v>36094</v>
      </c>
      <c r="EA2081" t="s">
        <v>13772</v>
      </c>
      <c r="EB2081" t="s">
        <v>13772</v>
      </c>
    </row>
    <row r="2082" spans="1:132" hidden="1">
      <c r="A2082">
        <v>2352</v>
      </c>
      <c r="B2082">
        <v>1</v>
      </c>
      <c r="C2082" t="s">
        <v>5487</v>
      </c>
      <c r="D2082" t="s">
        <v>5488</v>
      </c>
      <c r="E2082" t="s">
        <v>73</v>
      </c>
      <c r="F2082" t="s">
        <v>73</v>
      </c>
      <c r="G2082" t="s">
        <v>73</v>
      </c>
      <c r="H2082">
        <v>6.1</v>
      </c>
      <c r="I2082">
        <v>770</v>
      </c>
      <c r="J2082">
        <v>88063</v>
      </c>
      <c r="K2082" t="s">
        <v>5489</v>
      </c>
      <c r="L2082">
        <f t="shared" si="130"/>
        <v>4</v>
      </c>
      <c r="N2082">
        <v>4</v>
      </c>
      <c r="O2082">
        <v>4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</v>
      </c>
      <c r="AB2082">
        <v>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2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2</v>
      </c>
      <c r="BN2082" s="2">
        <v>2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f t="shared" si="133"/>
        <v>4</v>
      </c>
      <c r="BW2082" s="16">
        <f t="shared" si="131"/>
        <v>0.21052631578947367</v>
      </c>
      <c r="BX2082" s="16">
        <f>COUNTIF($BC$6:BU2082, "=0") / COUNTIF($BC$6:BU2082, "&gt;-1")</f>
        <v>0.49529939436940934</v>
      </c>
      <c r="BY2082" s="18">
        <f>SUM($BC$6:BU2082) / $BY$4</f>
        <v>0.99803887393604429</v>
      </c>
      <c r="BZ2082" s="14">
        <f t="shared" si="132"/>
        <v>17</v>
      </c>
      <c r="CA2082" t="s">
        <v>5832</v>
      </c>
      <c r="CZ2082" t="s">
        <v>13570</v>
      </c>
      <c r="DA2082" t="s">
        <v>5904</v>
      </c>
      <c r="DB2082">
        <v>1605.1</v>
      </c>
      <c r="DC2082" t="s">
        <v>36173</v>
      </c>
      <c r="DD2082" t="s">
        <v>36174</v>
      </c>
      <c r="DE2082" t="s">
        <v>36175</v>
      </c>
      <c r="DF2082" t="s">
        <v>36176</v>
      </c>
      <c r="DG2082" t="s">
        <v>36177</v>
      </c>
      <c r="DH2082" t="str">
        <f>"STAT3"</f>
        <v>STAT3</v>
      </c>
      <c r="DI2082" t="s">
        <v>13772</v>
      </c>
      <c r="DJ2082" t="s">
        <v>13777</v>
      </c>
      <c r="DK2082">
        <v>9606</v>
      </c>
      <c r="DL2082" s="34" t="str">
        <f>HYPERLINK("http://www.uniprot.org/uniprot/P40763", "P40763")</f>
        <v>P40763</v>
      </c>
      <c r="DM2082" t="s">
        <v>36178</v>
      </c>
      <c r="DN2082" t="s">
        <v>19916</v>
      </c>
      <c r="DO2082" t="s">
        <v>13912</v>
      </c>
      <c r="DP2082" t="s">
        <v>13780</v>
      </c>
      <c r="DQ2082" t="s">
        <v>13772</v>
      </c>
      <c r="DR2082" t="s">
        <v>36179</v>
      </c>
      <c r="DS2082" t="s">
        <v>36180</v>
      </c>
      <c r="DT2082" t="s">
        <v>13772</v>
      </c>
      <c r="DU2082" t="s">
        <v>21227</v>
      </c>
      <c r="DV2082" t="s">
        <v>13886</v>
      </c>
      <c r="DW2082" t="s">
        <v>13812</v>
      </c>
      <c r="DX2082" t="s">
        <v>36181</v>
      </c>
      <c r="DY2082" t="s">
        <v>36182</v>
      </c>
      <c r="DZ2082" t="s">
        <v>36183</v>
      </c>
      <c r="EA2082" t="s">
        <v>13772</v>
      </c>
      <c r="EB2082" t="s">
        <v>36184</v>
      </c>
    </row>
    <row r="2083" spans="1:132" hidden="1">
      <c r="A2083">
        <v>508</v>
      </c>
      <c r="B2083">
        <v>1</v>
      </c>
      <c r="C2083" t="s">
        <v>1281</v>
      </c>
      <c r="D2083" t="s">
        <v>73</v>
      </c>
      <c r="E2083" t="s">
        <v>73</v>
      </c>
      <c r="F2083" t="s">
        <v>684</v>
      </c>
      <c r="G2083" t="s">
        <v>73</v>
      </c>
      <c r="H2083">
        <v>7.5</v>
      </c>
      <c r="I2083">
        <v>842</v>
      </c>
      <c r="J2083">
        <v>97070</v>
      </c>
      <c r="K2083" t="s">
        <v>1282</v>
      </c>
      <c r="L2083">
        <f t="shared" si="130"/>
        <v>11</v>
      </c>
      <c r="N2083">
        <v>11</v>
      </c>
      <c r="O2083">
        <v>3</v>
      </c>
      <c r="P2083">
        <v>0.27300000000000002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3</v>
      </c>
      <c r="Z2083">
        <v>0</v>
      </c>
      <c r="AA2083">
        <v>2</v>
      </c>
      <c r="AB2083">
        <v>3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1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0.33300000000000002</v>
      </c>
      <c r="BJ2083" s="2">
        <v>0</v>
      </c>
      <c r="BK2083" s="2">
        <v>1.133</v>
      </c>
      <c r="BL2083" s="2">
        <v>0</v>
      </c>
      <c r="BM2083" s="2">
        <v>1.0620000000000001</v>
      </c>
      <c r="BN2083" s="2">
        <v>1.333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f t="shared" si="133"/>
        <v>3.8609999999999998</v>
      </c>
      <c r="BW2083" s="16">
        <f t="shared" si="131"/>
        <v>0.20321052631578945</v>
      </c>
      <c r="BX2083" s="16">
        <f>COUNTIF($BC$6:BU2083, "=0") / COUNTIF($BC$6:BU2083, "&gt;-1")</f>
        <v>0.49544096043766778</v>
      </c>
      <c r="BY2083" s="18">
        <f>SUM($BC$6:BU2083) / $BY$4</f>
        <v>0.9980554130579945</v>
      </c>
      <c r="BZ2083" s="14">
        <f t="shared" si="132"/>
        <v>15</v>
      </c>
      <c r="CA2083" t="s">
        <v>5832</v>
      </c>
      <c r="CZ2083" t="s">
        <v>7474</v>
      </c>
      <c r="DA2083" t="s">
        <v>5904</v>
      </c>
      <c r="DB2083">
        <v>1661.7</v>
      </c>
      <c r="DC2083" t="s">
        <v>18796</v>
      </c>
      <c r="DD2083" t="s">
        <v>18797</v>
      </c>
      <c r="DE2083" t="s">
        <v>18798</v>
      </c>
      <c r="DF2083" t="s">
        <v>18799</v>
      </c>
      <c r="DG2083" t="s">
        <v>18800</v>
      </c>
      <c r="DH2083" t="str">
        <f>"PYGM"</f>
        <v>PYGM</v>
      </c>
      <c r="DI2083" t="s">
        <v>13772</v>
      </c>
      <c r="DJ2083" t="s">
        <v>13777</v>
      </c>
      <c r="DK2083">
        <v>9606</v>
      </c>
      <c r="DL2083" s="34" t="str">
        <f>HYPERLINK("http://www.uniprot.org/uniprot/P11217", "P11217")</f>
        <v>P11217</v>
      </c>
      <c r="DM2083" t="s">
        <v>16228</v>
      </c>
      <c r="DN2083" t="s">
        <v>16229</v>
      </c>
      <c r="DO2083" t="s">
        <v>13772</v>
      </c>
      <c r="DP2083" t="s">
        <v>13780</v>
      </c>
      <c r="DQ2083" t="s">
        <v>13772</v>
      </c>
      <c r="DR2083" t="s">
        <v>16230</v>
      </c>
      <c r="DS2083" t="s">
        <v>13772</v>
      </c>
      <c r="DT2083" t="s">
        <v>16231</v>
      </c>
      <c r="DU2083" t="s">
        <v>16232</v>
      </c>
      <c r="DV2083" t="s">
        <v>13886</v>
      </c>
      <c r="DW2083" t="s">
        <v>13812</v>
      </c>
      <c r="DX2083" t="s">
        <v>18801</v>
      </c>
      <c r="DY2083" t="s">
        <v>14194</v>
      </c>
      <c r="DZ2083" t="s">
        <v>18802</v>
      </c>
      <c r="EA2083" t="s">
        <v>13772</v>
      </c>
      <c r="EB2083" t="s">
        <v>18803</v>
      </c>
    </row>
    <row r="2084" spans="1:132" hidden="1">
      <c r="A2084">
        <v>1785</v>
      </c>
      <c r="B2084">
        <v>1</v>
      </c>
      <c r="C2084" t="s">
        <v>4221</v>
      </c>
      <c r="D2084" t="s">
        <v>4222</v>
      </c>
      <c r="E2084" t="s">
        <v>73</v>
      </c>
      <c r="F2084" t="s">
        <v>4223</v>
      </c>
      <c r="G2084" t="s">
        <v>73</v>
      </c>
      <c r="H2084">
        <v>14</v>
      </c>
      <c r="I2084">
        <v>236</v>
      </c>
      <c r="J2084">
        <v>26456</v>
      </c>
      <c r="K2084" t="s">
        <v>4224</v>
      </c>
      <c r="L2084">
        <f t="shared" si="130"/>
        <v>16</v>
      </c>
      <c r="N2084">
        <v>16</v>
      </c>
      <c r="O2084">
        <v>2</v>
      </c>
      <c r="P2084">
        <v>0.125</v>
      </c>
      <c r="Q2084">
        <v>1</v>
      </c>
      <c r="R2084">
        <v>2</v>
      </c>
      <c r="S2084">
        <v>1</v>
      </c>
      <c r="T2084">
        <v>2</v>
      </c>
      <c r="U2084">
        <v>3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2</v>
      </c>
      <c r="AC2084">
        <v>1</v>
      </c>
      <c r="AD2084">
        <v>0</v>
      </c>
      <c r="AE2084">
        <v>1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 s="2">
        <v>0</v>
      </c>
      <c r="BD2084" s="2">
        <v>0</v>
      </c>
      <c r="BE2084" s="2">
        <v>0</v>
      </c>
      <c r="BF2084" s="2">
        <v>1.5</v>
      </c>
      <c r="BG2084" s="2">
        <v>2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0.16700000000000001</v>
      </c>
      <c r="BR2084" s="2">
        <v>0</v>
      </c>
      <c r="BS2084" s="2">
        <v>0</v>
      </c>
      <c r="BT2084" s="2">
        <v>0</v>
      </c>
      <c r="BU2084" s="2">
        <v>0</v>
      </c>
      <c r="BV2084" s="2">
        <f t="shared" si="133"/>
        <v>3.6669999999999998</v>
      </c>
      <c r="BW2084" s="16">
        <f t="shared" si="131"/>
        <v>0.19299999999999998</v>
      </c>
      <c r="BX2084" s="16">
        <f>COUNTIF($BC$6:BU2084, "=0") / COUNTIF($BC$6:BU2084, "&gt;-1")</f>
        <v>0.49560770613402194</v>
      </c>
      <c r="BY2084" s="18">
        <f>SUM($BC$6:BU2084) / $BY$4</f>
        <v>0.99807112115439189</v>
      </c>
      <c r="BZ2084" s="14">
        <f t="shared" si="132"/>
        <v>16</v>
      </c>
      <c r="CA2084" t="s">
        <v>5832</v>
      </c>
      <c r="CZ2084" t="s">
        <v>11703</v>
      </c>
      <c r="DA2084" t="s">
        <v>5904</v>
      </c>
      <c r="DB2084">
        <v>375.9</v>
      </c>
      <c r="DC2084" t="s">
        <v>30927</v>
      </c>
      <c r="DD2084" t="s">
        <v>30928</v>
      </c>
      <c r="DE2084" t="s">
        <v>30929</v>
      </c>
      <c r="DF2084" t="s">
        <v>30930</v>
      </c>
      <c r="DG2084" t="s">
        <v>30931</v>
      </c>
      <c r="DH2084" t="str">
        <f>"RAB13"</f>
        <v>RAB13</v>
      </c>
      <c r="DI2084" t="s">
        <v>13772</v>
      </c>
      <c r="DJ2084" t="s">
        <v>13777</v>
      </c>
      <c r="DK2084">
        <v>9606</v>
      </c>
      <c r="DL2084" s="34" t="str">
        <f>HYPERLINK("http://www.uniprot.org/uniprot/P51153", "P51153")</f>
        <v>P51153</v>
      </c>
      <c r="DM2084" t="s">
        <v>30932</v>
      </c>
      <c r="DN2084" t="s">
        <v>14347</v>
      </c>
      <c r="DO2084" t="s">
        <v>30933</v>
      </c>
      <c r="DP2084" t="s">
        <v>13772</v>
      </c>
      <c r="DQ2084" t="s">
        <v>13772</v>
      </c>
      <c r="DR2084" t="s">
        <v>13772</v>
      </c>
      <c r="DS2084" t="s">
        <v>13772</v>
      </c>
      <c r="DT2084" t="s">
        <v>14216</v>
      </c>
      <c r="DU2084" t="s">
        <v>13772</v>
      </c>
      <c r="DV2084" t="s">
        <v>15333</v>
      </c>
      <c r="DW2084" t="s">
        <v>13772</v>
      </c>
      <c r="DX2084" t="s">
        <v>30934</v>
      </c>
      <c r="DY2084" t="s">
        <v>30935</v>
      </c>
      <c r="DZ2084" t="s">
        <v>19932</v>
      </c>
      <c r="EA2084" t="s">
        <v>13772</v>
      </c>
      <c r="EB2084" t="s">
        <v>30936</v>
      </c>
    </row>
    <row r="2085" spans="1:132" hidden="1">
      <c r="A2085">
        <v>302</v>
      </c>
      <c r="B2085">
        <v>1</v>
      </c>
      <c r="C2085" t="s">
        <v>758</v>
      </c>
      <c r="D2085" t="s">
        <v>759</v>
      </c>
      <c r="E2085" t="s">
        <v>73</v>
      </c>
      <c r="F2085" t="s">
        <v>73</v>
      </c>
      <c r="G2085" t="s">
        <v>73</v>
      </c>
      <c r="H2085">
        <v>8.1999999999999993</v>
      </c>
      <c r="I2085">
        <v>611</v>
      </c>
      <c r="J2085">
        <v>66744</v>
      </c>
      <c r="K2085" t="s">
        <v>760</v>
      </c>
      <c r="L2085">
        <f t="shared" si="130"/>
        <v>5</v>
      </c>
      <c r="N2085">
        <v>5</v>
      </c>
      <c r="O2085">
        <v>1</v>
      </c>
      <c r="P2085">
        <v>0.2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</v>
      </c>
      <c r="W2085">
        <v>0</v>
      </c>
      <c r="X2085">
        <v>0</v>
      </c>
      <c r="Y2085">
        <v>2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1</v>
      </c>
      <c r="BI2085" s="2">
        <v>0</v>
      </c>
      <c r="BJ2085" s="2">
        <v>0</v>
      </c>
      <c r="BK2085" s="2">
        <v>2</v>
      </c>
      <c r="BL2085" s="2">
        <v>0</v>
      </c>
      <c r="BM2085" s="2">
        <v>0</v>
      </c>
      <c r="BN2085" s="2">
        <v>0.5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f t="shared" si="133"/>
        <v>3.5</v>
      </c>
      <c r="BW2085" s="16">
        <f t="shared" si="131"/>
        <v>0.18421052631578946</v>
      </c>
      <c r="BX2085" s="16">
        <f>COUNTIF($BC$6:BU2085, "=0") / COUNTIF($BC$6:BU2085, "&gt;-1")</f>
        <v>0.49577429149797569</v>
      </c>
      <c r="BY2085" s="18">
        <f>SUM($BC$6:BU2085) / $BY$4</f>
        <v>0.99808611388343238</v>
      </c>
      <c r="BZ2085" s="14">
        <f t="shared" si="132"/>
        <v>16</v>
      </c>
      <c r="CA2085" t="s">
        <v>5832</v>
      </c>
      <c r="CZ2085" t="s">
        <v>6737</v>
      </c>
      <c r="DA2085" t="s">
        <v>5904</v>
      </c>
      <c r="DB2085">
        <v>1263.4000000000001</v>
      </c>
      <c r="DC2085" t="s">
        <v>16553</v>
      </c>
      <c r="DD2085" t="s">
        <v>16554</v>
      </c>
      <c r="DE2085" t="s">
        <v>16555</v>
      </c>
      <c r="DF2085" t="s">
        <v>16556</v>
      </c>
      <c r="DG2085" t="s">
        <v>16557</v>
      </c>
      <c r="DH2085" t="str">
        <f>"AHCYL2"</f>
        <v>AHCYL2</v>
      </c>
      <c r="DI2085" t="s">
        <v>16558</v>
      </c>
      <c r="DJ2085" t="s">
        <v>13777</v>
      </c>
      <c r="DK2085">
        <v>9606</v>
      </c>
      <c r="DL2085" s="34" t="str">
        <f>HYPERLINK("http://www.uniprot.org/uniprot/Q96HN2", "Q96HN2")</f>
        <v>Q96HN2</v>
      </c>
      <c r="DM2085" t="s">
        <v>16559</v>
      </c>
      <c r="DN2085" t="s">
        <v>14132</v>
      </c>
      <c r="DO2085" t="s">
        <v>16560</v>
      </c>
      <c r="DP2085" t="s">
        <v>13841</v>
      </c>
      <c r="DQ2085" t="s">
        <v>13772</v>
      </c>
      <c r="DR2085" t="s">
        <v>13772</v>
      </c>
      <c r="DS2085" t="s">
        <v>13772</v>
      </c>
      <c r="DT2085" t="s">
        <v>14492</v>
      </c>
      <c r="DU2085" t="s">
        <v>13857</v>
      </c>
      <c r="DV2085" t="s">
        <v>13886</v>
      </c>
      <c r="DW2085" t="s">
        <v>13812</v>
      </c>
      <c r="DX2085" t="s">
        <v>16561</v>
      </c>
      <c r="DY2085" t="s">
        <v>16562</v>
      </c>
      <c r="DZ2085" t="s">
        <v>16563</v>
      </c>
      <c r="EA2085" t="s">
        <v>16564</v>
      </c>
      <c r="EB2085" t="s">
        <v>16565</v>
      </c>
    </row>
    <row r="2086" spans="1:132" hidden="1">
      <c r="A2086">
        <v>471</v>
      </c>
      <c r="B2086">
        <v>1</v>
      </c>
      <c r="C2086" t="s">
        <v>1182</v>
      </c>
      <c r="D2086" t="s">
        <v>73</v>
      </c>
      <c r="E2086" t="s">
        <v>73</v>
      </c>
      <c r="F2086" t="s">
        <v>1183</v>
      </c>
      <c r="G2086" t="s">
        <v>73</v>
      </c>
      <c r="H2086">
        <v>20.6</v>
      </c>
      <c r="I2086">
        <v>204</v>
      </c>
      <c r="J2086">
        <v>23399</v>
      </c>
      <c r="K2086" t="s">
        <v>1184</v>
      </c>
      <c r="L2086">
        <f t="shared" si="130"/>
        <v>6</v>
      </c>
      <c r="N2086">
        <v>6</v>
      </c>
      <c r="O2086">
        <v>1</v>
      </c>
      <c r="P2086">
        <v>0.16700000000000001</v>
      </c>
      <c r="Q2086">
        <v>0</v>
      </c>
      <c r="R2086">
        <v>0</v>
      </c>
      <c r="S2086">
        <v>0</v>
      </c>
      <c r="T2086">
        <v>1</v>
      </c>
      <c r="U2086">
        <v>5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 s="2">
        <v>0</v>
      </c>
      <c r="BD2086" s="2">
        <v>0</v>
      </c>
      <c r="BE2086" s="2">
        <v>0</v>
      </c>
      <c r="BF2086" s="2">
        <v>0.5</v>
      </c>
      <c r="BG2086" s="2">
        <v>3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f t="shared" si="133"/>
        <v>3.5</v>
      </c>
      <c r="BW2086" s="16">
        <f t="shared" si="131"/>
        <v>0.18421052631578946</v>
      </c>
      <c r="BX2086" s="16">
        <f>COUNTIF($BC$6:BU2086, "=0") / COUNTIF($BC$6:BU2086, "&gt;-1")</f>
        <v>0.4959660082450239</v>
      </c>
      <c r="BY2086" s="18">
        <f>SUM($BC$6:BU2086) / $BY$4</f>
        <v>0.99810110661247287</v>
      </c>
      <c r="BZ2086" s="14">
        <f t="shared" si="132"/>
        <v>17</v>
      </c>
      <c r="CA2086" t="s">
        <v>5832</v>
      </c>
      <c r="CZ2086" t="s">
        <v>7338</v>
      </c>
      <c r="DA2086" t="s">
        <v>5904</v>
      </c>
      <c r="DB2086">
        <v>422.9</v>
      </c>
      <c r="DC2086" t="s">
        <v>18395</v>
      </c>
      <c r="DD2086" t="s">
        <v>18396</v>
      </c>
      <c r="DE2086" t="s">
        <v>18397</v>
      </c>
      <c r="DF2086" t="s">
        <v>18398</v>
      </c>
      <c r="DG2086" t="s">
        <v>18399</v>
      </c>
      <c r="DH2086" t="str">
        <f>"RRAS2"</f>
        <v>RRAS2</v>
      </c>
      <c r="DI2086" t="s">
        <v>18400</v>
      </c>
      <c r="DJ2086" t="s">
        <v>13777</v>
      </c>
      <c r="DK2086">
        <v>9606</v>
      </c>
      <c r="DL2086" s="34" t="str">
        <f>HYPERLINK("http://www.uniprot.org/uniprot/P62070", "P62070")</f>
        <v>P62070</v>
      </c>
      <c r="DM2086" t="s">
        <v>18401</v>
      </c>
      <c r="DN2086" t="s">
        <v>13772</v>
      </c>
      <c r="DO2086" t="s">
        <v>13792</v>
      </c>
      <c r="DP2086" t="s">
        <v>13841</v>
      </c>
      <c r="DQ2086" t="s">
        <v>13772</v>
      </c>
      <c r="DR2086" t="s">
        <v>16495</v>
      </c>
      <c r="DS2086" t="s">
        <v>13772</v>
      </c>
      <c r="DT2086" t="s">
        <v>14216</v>
      </c>
      <c r="DU2086" t="s">
        <v>13772</v>
      </c>
      <c r="DV2086" t="s">
        <v>18402</v>
      </c>
      <c r="DW2086" t="s">
        <v>13812</v>
      </c>
      <c r="DX2086" t="s">
        <v>18403</v>
      </c>
      <c r="DY2086" t="s">
        <v>18404</v>
      </c>
      <c r="DZ2086" t="s">
        <v>14352</v>
      </c>
      <c r="EA2086" t="s">
        <v>13772</v>
      </c>
      <c r="EB2086" t="s">
        <v>13772</v>
      </c>
    </row>
    <row r="2087" spans="1:132" hidden="1">
      <c r="A2087">
        <v>739</v>
      </c>
      <c r="B2087">
        <v>1</v>
      </c>
      <c r="C2087" t="s">
        <v>1813</v>
      </c>
      <c r="D2087" t="s">
        <v>1814</v>
      </c>
      <c r="E2087" t="s">
        <v>73</v>
      </c>
      <c r="F2087" t="s">
        <v>1815</v>
      </c>
      <c r="G2087" t="s">
        <v>73</v>
      </c>
      <c r="H2087">
        <v>12.3</v>
      </c>
      <c r="I2087">
        <v>326</v>
      </c>
      <c r="J2087">
        <v>37713</v>
      </c>
      <c r="K2087" t="s">
        <v>1816</v>
      </c>
      <c r="L2087">
        <f t="shared" si="130"/>
        <v>5</v>
      </c>
      <c r="N2087">
        <v>5</v>
      </c>
      <c r="O2087">
        <v>2</v>
      </c>
      <c r="P2087">
        <v>0.4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</v>
      </c>
      <c r="W2087">
        <v>0</v>
      </c>
      <c r="X2087">
        <v>0</v>
      </c>
      <c r="Y2087">
        <v>1</v>
      </c>
      <c r="Z2087">
        <v>0</v>
      </c>
      <c r="AA2087">
        <v>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2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2</v>
      </c>
      <c r="BI2087" s="2">
        <v>0</v>
      </c>
      <c r="BJ2087" s="2">
        <v>0</v>
      </c>
      <c r="BK2087" s="2">
        <v>0.5</v>
      </c>
      <c r="BL2087" s="2">
        <v>0</v>
      </c>
      <c r="BM2087" s="2">
        <v>1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f t="shared" si="133"/>
        <v>3.5</v>
      </c>
      <c r="BW2087" s="16">
        <f t="shared" si="131"/>
        <v>0.18421052631578946</v>
      </c>
      <c r="BX2087" s="16">
        <f>COUNTIF($BC$6:BU2087, "=0") / COUNTIF($BC$6:BU2087, "&gt;-1")</f>
        <v>0.49613226148945849</v>
      </c>
      <c r="BY2087" s="18">
        <f>SUM($BC$6:BU2087) / $BY$4</f>
        <v>0.99811609934151335</v>
      </c>
      <c r="BZ2087" s="14">
        <f t="shared" si="132"/>
        <v>16</v>
      </c>
      <c r="CA2087" t="s">
        <v>5832</v>
      </c>
      <c r="CZ2087" t="s">
        <v>8227</v>
      </c>
      <c r="DA2087" t="s">
        <v>5904</v>
      </c>
      <c r="DB2087">
        <v>641.70000000000005</v>
      </c>
      <c r="DC2087" t="s">
        <v>21043</v>
      </c>
      <c r="DD2087" t="s">
        <v>13772</v>
      </c>
      <c r="DE2087" t="s">
        <v>21044</v>
      </c>
      <c r="DF2087" t="s">
        <v>21045</v>
      </c>
      <c r="DG2087" t="s">
        <v>21046</v>
      </c>
      <c r="DH2087" t="str">
        <f>"PRKACA"</f>
        <v>PRKACA</v>
      </c>
      <c r="DI2087" t="s">
        <v>21047</v>
      </c>
      <c r="DJ2087" t="s">
        <v>13777</v>
      </c>
      <c r="DK2087">
        <v>9606</v>
      </c>
      <c r="DL2087" s="34" t="str">
        <f>HYPERLINK("http://www.uniprot.org/uniprot/P17612", "P17612")</f>
        <v>P17612</v>
      </c>
      <c r="DM2087" t="s">
        <v>21048</v>
      </c>
      <c r="DN2087" t="s">
        <v>13772</v>
      </c>
      <c r="DO2087" t="s">
        <v>21049</v>
      </c>
      <c r="DP2087" t="s">
        <v>13780</v>
      </c>
      <c r="DQ2087" t="s">
        <v>13772</v>
      </c>
      <c r="DR2087" t="s">
        <v>21050</v>
      </c>
      <c r="DS2087" t="s">
        <v>13772</v>
      </c>
      <c r="DT2087" t="s">
        <v>21051</v>
      </c>
      <c r="DU2087" t="s">
        <v>20891</v>
      </c>
      <c r="DV2087" t="s">
        <v>21052</v>
      </c>
      <c r="DW2087" t="s">
        <v>13812</v>
      </c>
      <c r="DX2087" t="s">
        <v>21053</v>
      </c>
      <c r="DY2087" t="s">
        <v>21054</v>
      </c>
      <c r="DZ2087" t="s">
        <v>21055</v>
      </c>
      <c r="EA2087" t="s">
        <v>13772</v>
      </c>
      <c r="EB2087" t="s">
        <v>21056</v>
      </c>
    </row>
    <row r="2088" spans="1:132" hidden="1">
      <c r="A2088">
        <v>1701</v>
      </c>
      <c r="B2088">
        <v>1</v>
      </c>
      <c r="C2088" t="s">
        <v>4034</v>
      </c>
      <c r="D2088" t="s">
        <v>4035</v>
      </c>
      <c r="E2088" t="s">
        <v>73</v>
      </c>
      <c r="F2088" t="s">
        <v>1815</v>
      </c>
      <c r="G2088" t="s">
        <v>73</v>
      </c>
      <c r="H2088">
        <v>5.3</v>
      </c>
      <c r="I2088">
        <v>397</v>
      </c>
      <c r="J2088">
        <v>46153</v>
      </c>
      <c r="K2088" t="s">
        <v>4036</v>
      </c>
      <c r="L2088">
        <f t="shared" si="130"/>
        <v>5</v>
      </c>
      <c r="N2088">
        <v>5</v>
      </c>
      <c r="O2088">
        <v>2</v>
      </c>
      <c r="P2088">
        <v>0.4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</v>
      </c>
      <c r="BH2088" s="2">
        <v>1</v>
      </c>
      <c r="BI2088" s="2">
        <v>0</v>
      </c>
      <c r="BJ2088" s="2">
        <v>0</v>
      </c>
      <c r="BK2088" s="2">
        <v>0.5</v>
      </c>
      <c r="BL2088" s="2">
        <v>0</v>
      </c>
      <c r="BM2088" s="2">
        <v>1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f t="shared" si="133"/>
        <v>3.5</v>
      </c>
      <c r="BW2088" s="16">
        <f t="shared" si="131"/>
        <v>0.18421052631578946</v>
      </c>
      <c r="BX2088" s="16">
        <f>COUNTIF($BC$6:BU2088, "=0") / COUNTIF($BC$6:BU2088, "&gt;-1")</f>
        <v>0.49627308790459107</v>
      </c>
      <c r="BY2088" s="18">
        <f>SUM($BC$6:BU2088) / $BY$4</f>
        <v>0.99813109207055373</v>
      </c>
      <c r="BZ2088" s="14">
        <f t="shared" si="132"/>
        <v>15</v>
      </c>
      <c r="CA2088" t="s">
        <v>5832</v>
      </c>
      <c r="CZ2088" t="s">
        <v>11424</v>
      </c>
      <c r="DA2088" t="s">
        <v>5904</v>
      </c>
      <c r="DB2088">
        <v>693.7</v>
      </c>
      <c r="DC2088" t="s">
        <v>30119</v>
      </c>
      <c r="DD2088" t="s">
        <v>13772</v>
      </c>
      <c r="DE2088" t="s">
        <v>30120</v>
      </c>
      <c r="DF2088" t="s">
        <v>30121</v>
      </c>
      <c r="DG2088" t="s">
        <v>30122</v>
      </c>
      <c r="DH2088" t="str">
        <f>"PRKACB"</f>
        <v>PRKACB</v>
      </c>
      <c r="DI2088" t="s">
        <v>13772</v>
      </c>
      <c r="DJ2088" t="s">
        <v>13777</v>
      </c>
      <c r="DK2088">
        <v>9606</v>
      </c>
      <c r="DL2088" s="34" t="str">
        <f>HYPERLINK("http://www.uniprot.org/uniprot/P22694", "P22694")</f>
        <v>P22694</v>
      </c>
      <c r="DM2088" t="s">
        <v>30123</v>
      </c>
      <c r="DN2088" t="s">
        <v>13772</v>
      </c>
      <c r="DO2088" t="s">
        <v>14968</v>
      </c>
      <c r="DP2088" t="s">
        <v>13780</v>
      </c>
      <c r="DQ2088" t="s">
        <v>13772</v>
      </c>
      <c r="DR2088" t="s">
        <v>13772</v>
      </c>
      <c r="DS2088" t="s">
        <v>13772</v>
      </c>
      <c r="DT2088" t="s">
        <v>21051</v>
      </c>
      <c r="DU2088" t="s">
        <v>20891</v>
      </c>
      <c r="DV2088" t="s">
        <v>21052</v>
      </c>
      <c r="DW2088" t="s">
        <v>13772</v>
      </c>
      <c r="DX2088" t="s">
        <v>30124</v>
      </c>
      <c r="DY2088" t="s">
        <v>30125</v>
      </c>
      <c r="DZ2088" t="s">
        <v>30126</v>
      </c>
      <c r="EA2088" t="s">
        <v>13772</v>
      </c>
      <c r="EB2088" t="s">
        <v>30127</v>
      </c>
    </row>
    <row r="2089" spans="1:132" hidden="1">
      <c r="A2089">
        <v>1966</v>
      </c>
      <c r="B2089">
        <v>1</v>
      </c>
      <c r="C2089" t="s">
        <v>4634</v>
      </c>
      <c r="D2089" t="s">
        <v>73</v>
      </c>
      <c r="E2089" t="s">
        <v>73</v>
      </c>
      <c r="F2089" t="s">
        <v>1990</v>
      </c>
      <c r="G2089" t="s">
        <v>73</v>
      </c>
      <c r="H2089">
        <v>7.2</v>
      </c>
      <c r="I2089">
        <v>359</v>
      </c>
      <c r="J2089">
        <v>42142</v>
      </c>
      <c r="K2089" t="s">
        <v>4635</v>
      </c>
      <c r="L2089">
        <f t="shared" si="130"/>
        <v>4</v>
      </c>
      <c r="N2089">
        <v>4</v>
      </c>
      <c r="O2089">
        <v>3</v>
      </c>
      <c r="P2089">
        <v>0.75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1.5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1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f t="shared" si="133"/>
        <v>3.5</v>
      </c>
      <c r="BW2089" s="16">
        <f t="shared" si="131"/>
        <v>0.18421052631578946</v>
      </c>
      <c r="BX2089" s="16">
        <f>COUNTIF($BC$6:BU2089, "=0") / COUNTIF($BC$6:BU2089, "&gt;-1")</f>
        <v>0.49643903424588343</v>
      </c>
      <c r="BY2089" s="18">
        <f>SUM($BC$6:BU2089) / $BY$4</f>
        <v>0.99814608479959421</v>
      </c>
      <c r="BZ2089" s="14">
        <f t="shared" si="132"/>
        <v>16</v>
      </c>
      <c r="CA2089" t="s">
        <v>5832</v>
      </c>
      <c r="CZ2089" t="s">
        <v>12310</v>
      </c>
      <c r="DA2089" t="s">
        <v>5904</v>
      </c>
      <c r="DB2089">
        <v>747.7</v>
      </c>
      <c r="DC2089" t="s">
        <v>32625</v>
      </c>
      <c r="DD2089" t="s">
        <v>32626</v>
      </c>
      <c r="DE2089" t="s">
        <v>32627</v>
      </c>
      <c r="DF2089" t="s">
        <v>32628</v>
      </c>
      <c r="DG2089" t="s">
        <v>32629</v>
      </c>
      <c r="DH2089" t="str">
        <f>"GNAQ"</f>
        <v>GNAQ</v>
      </c>
      <c r="DI2089" t="s">
        <v>32630</v>
      </c>
      <c r="DJ2089" t="s">
        <v>13777</v>
      </c>
      <c r="DK2089">
        <v>9606</v>
      </c>
      <c r="DL2089" s="34" t="str">
        <f>HYPERLINK("http://www.uniprot.org/uniprot/P50148", "P50148")</f>
        <v>P50148</v>
      </c>
      <c r="DM2089" t="s">
        <v>32631</v>
      </c>
      <c r="DN2089" t="s">
        <v>13772</v>
      </c>
      <c r="DO2089" t="s">
        <v>31364</v>
      </c>
      <c r="DP2089" t="s">
        <v>13793</v>
      </c>
      <c r="DQ2089" t="s">
        <v>13772</v>
      </c>
      <c r="DR2089" t="s">
        <v>13807</v>
      </c>
      <c r="DS2089" t="s">
        <v>13772</v>
      </c>
      <c r="DT2089" t="s">
        <v>16882</v>
      </c>
      <c r="DU2089" t="s">
        <v>16883</v>
      </c>
      <c r="DV2089" t="s">
        <v>21799</v>
      </c>
      <c r="DW2089" t="s">
        <v>13772</v>
      </c>
      <c r="DX2089" t="s">
        <v>32632</v>
      </c>
      <c r="DY2089" t="s">
        <v>32633</v>
      </c>
      <c r="DZ2089" t="s">
        <v>32634</v>
      </c>
      <c r="EA2089" t="s">
        <v>13772</v>
      </c>
      <c r="EB2089" t="s">
        <v>21803</v>
      </c>
    </row>
    <row r="2090" spans="1:132" hidden="1">
      <c r="A2090">
        <v>2067</v>
      </c>
      <c r="B2090">
        <v>1</v>
      </c>
      <c r="C2090" t="s">
        <v>4858</v>
      </c>
      <c r="D2090" t="s">
        <v>73</v>
      </c>
      <c r="E2090" t="s">
        <v>73</v>
      </c>
      <c r="F2090" t="s">
        <v>1183</v>
      </c>
      <c r="G2090" t="s">
        <v>73</v>
      </c>
      <c r="H2090">
        <v>21.6</v>
      </c>
      <c r="I2090">
        <v>218</v>
      </c>
      <c r="J2090">
        <v>23566</v>
      </c>
      <c r="K2090" t="s">
        <v>4859</v>
      </c>
      <c r="L2090">
        <f t="shared" si="130"/>
        <v>6</v>
      </c>
      <c r="N2090">
        <v>6</v>
      </c>
      <c r="O2090">
        <v>1</v>
      </c>
      <c r="P2090">
        <v>0.16700000000000001</v>
      </c>
      <c r="Q2090">
        <v>0</v>
      </c>
      <c r="R2090">
        <v>0</v>
      </c>
      <c r="S2090">
        <v>0</v>
      </c>
      <c r="T2090">
        <v>1</v>
      </c>
      <c r="U2090">
        <v>5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 s="2">
        <v>0</v>
      </c>
      <c r="BD2090" s="2">
        <v>0</v>
      </c>
      <c r="BE2090" s="2">
        <v>0</v>
      </c>
      <c r="BF2090" s="2">
        <v>0.5</v>
      </c>
      <c r="BG2090" s="2">
        <v>3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f t="shared" si="133"/>
        <v>3.5</v>
      </c>
      <c r="BW2090" s="16">
        <f t="shared" si="131"/>
        <v>0.18421052631578946</v>
      </c>
      <c r="BX2090" s="16">
        <f>COUNTIF($BC$6:BU2090, "=0") / COUNTIF($BC$6:BU2090, "&gt;-1")</f>
        <v>0.49663006436955698</v>
      </c>
      <c r="BY2090" s="18">
        <f>SUM($BC$6:BU2090) / $BY$4</f>
        <v>0.9981610775286347</v>
      </c>
      <c r="BZ2090" s="14">
        <f t="shared" si="132"/>
        <v>17</v>
      </c>
      <c r="CA2090" t="s">
        <v>5832</v>
      </c>
      <c r="CZ2090" t="s">
        <v>12642</v>
      </c>
      <c r="DA2090" t="s">
        <v>5904</v>
      </c>
      <c r="DB2090">
        <v>439.1</v>
      </c>
      <c r="DC2090" t="s">
        <v>33566</v>
      </c>
      <c r="DD2090" t="s">
        <v>33567</v>
      </c>
      <c r="DE2090" t="s">
        <v>33568</v>
      </c>
      <c r="DF2090" t="s">
        <v>33569</v>
      </c>
      <c r="DG2090" t="s">
        <v>33570</v>
      </c>
      <c r="DH2090" t="str">
        <f>"RRAS"</f>
        <v>RRAS</v>
      </c>
      <c r="DI2090" t="s">
        <v>13772</v>
      </c>
      <c r="DJ2090" t="s">
        <v>13777</v>
      </c>
      <c r="DK2090">
        <v>9606</v>
      </c>
      <c r="DL2090" s="34" t="str">
        <f>HYPERLINK("http://www.uniprot.org/uniprot/P10301", "P10301")</f>
        <v>P10301</v>
      </c>
      <c r="DM2090" t="s">
        <v>33571</v>
      </c>
      <c r="DN2090" t="s">
        <v>13772</v>
      </c>
      <c r="DO2090" t="s">
        <v>13792</v>
      </c>
      <c r="DP2090" t="s">
        <v>13772</v>
      </c>
      <c r="DQ2090" t="s">
        <v>13772</v>
      </c>
      <c r="DR2090" t="s">
        <v>13772</v>
      </c>
      <c r="DS2090" t="s">
        <v>13772</v>
      </c>
      <c r="DT2090" t="s">
        <v>14216</v>
      </c>
      <c r="DU2090" t="s">
        <v>13772</v>
      </c>
      <c r="DV2090" t="s">
        <v>17005</v>
      </c>
      <c r="DW2090" t="s">
        <v>13812</v>
      </c>
      <c r="DX2090" t="s">
        <v>33572</v>
      </c>
      <c r="DY2090" t="s">
        <v>33573</v>
      </c>
      <c r="DZ2090" t="s">
        <v>23988</v>
      </c>
      <c r="EA2090" t="s">
        <v>13772</v>
      </c>
      <c r="EB2090" t="s">
        <v>33574</v>
      </c>
    </row>
    <row r="2091" spans="1:132" hidden="1">
      <c r="A2091">
        <v>590</v>
      </c>
      <c r="B2091">
        <v>1</v>
      </c>
      <c r="C2091" t="s">
        <v>1463</v>
      </c>
      <c r="D2091" t="s">
        <v>73</v>
      </c>
      <c r="E2091" t="s">
        <v>73</v>
      </c>
      <c r="F2091" t="s">
        <v>1464</v>
      </c>
      <c r="G2091" t="s">
        <v>73</v>
      </c>
      <c r="H2091">
        <v>20.100000000000001</v>
      </c>
      <c r="I2091">
        <v>189</v>
      </c>
      <c r="J2091">
        <v>21241</v>
      </c>
      <c r="K2091" t="s">
        <v>1465</v>
      </c>
      <c r="L2091">
        <f t="shared" si="130"/>
        <v>14</v>
      </c>
      <c r="N2091">
        <v>14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3</v>
      </c>
      <c r="V2091">
        <v>4</v>
      </c>
      <c r="W2091">
        <v>1</v>
      </c>
      <c r="X2091">
        <v>1</v>
      </c>
      <c r="Y2091">
        <v>0</v>
      </c>
      <c r="Z2091">
        <v>0</v>
      </c>
      <c r="AA2091">
        <v>2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1</v>
      </c>
      <c r="BH2091" s="2">
        <v>1.7</v>
      </c>
      <c r="BI2091" s="2">
        <v>0.5</v>
      </c>
      <c r="BJ2091" s="2">
        <v>0.2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f t="shared" si="133"/>
        <v>3.4000000000000004</v>
      </c>
      <c r="BW2091" s="16">
        <f t="shared" si="131"/>
        <v>0.17894736842105266</v>
      </c>
      <c r="BX2091" s="16">
        <f>COUNTIF($BC$6:BU2091, "=0") / COUNTIF($BC$6:BU2091, "&gt;-1")</f>
        <v>0.49677044961396782</v>
      </c>
      <c r="BY2091" s="18">
        <f>SUM($BC$6:BU2091) / $BY$4</f>
        <v>0.99817564189398833</v>
      </c>
      <c r="BZ2091" s="14">
        <f t="shared" si="132"/>
        <v>15</v>
      </c>
      <c r="CA2091" t="s">
        <v>5832</v>
      </c>
      <c r="CZ2091" t="s">
        <v>7739</v>
      </c>
      <c r="DA2091" t="s">
        <v>5904</v>
      </c>
      <c r="DB2091">
        <v>386.7</v>
      </c>
      <c r="DC2091" t="s">
        <v>19597</v>
      </c>
      <c r="DD2091" t="s">
        <v>19598</v>
      </c>
      <c r="DE2091" t="s">
        <v>19599</v>
      </c>
      <c r="DF2091" t="s">
        <v>19600</v>
      </c>
      <c r="DG2091" t="s">
        <v>19601</v>
      </c>
      <c r="DH2091" t="str">
        <f>"HRAS"</f>
        <v>HRAS</v>
      </c>
      <c r="DI2091" t="s">
        <v>19602</v>
      </c>
      <c r="DJ2091" t="s">
        <v>13777</v>
      </c>
      <c r="DK2091">
        <v>9606</v>
      </c>
      <c r="DL2091" s="34" t="str">
        <f>HYPERLINK("http://www.uniprot.org/uniprot/P01112", "P01112")</f>
        <v>P01112</v>
      </c>
      <c r="DM2091" t="s">
        <v>19603</v>
      </c>
      <c r="DN2091" t="s">
        <v>13772</v>
      </c>
      <c r="DO2091" t="s">
        <v>19604</v>
      </c>
      <c r="DP2091" t="s">
        <v>13841</v>
      </c>
      <c r="DQ2091" t="s">
        <v>13772</v>
      </c>
      <c r="DR2091" t="s">
        <v>16495</v>
      </c>
      <c r="DS2091" t="s">
        <v>13772</v>
      </c>
      <c r="DT2091" t="s">
        <v>14216</v>
      </c>
      <c r="DU2091" t="s">
        <v>13772</v>
      </c>
      <c r="DV2091" t="s">
        <v>19605</v>
      </c>
      <c r="DW2091" t="s">
        <v>13812</v>
      </c>
      <c r="DX2091" t="s">
        <v>19606</v>
      </c>
      <c r="DY2091" t="s">
        <v>19607</v>
      </c>
      <c r="DZ2091" t="s">
        <v>19608</v>
      </c>
      <c r="EA2091" t="s">
        <v>13772</v>
      </c>
      <c r="EB2091" t="s">
        <v>19609</v>
      </c>
    </row>
    <row r="2092" spans="1:132" hidden="1">
      <c r="A2092">
        <v>546</v>
      </c>
      <c r="B2092">
        <v>1</v>
      </c>
      <c r="C2092" t="s">
        <v>1361</v>
      </c>
      <c r="D2092" t="s">
        <v>73</v>
      </c>
      <c r="E2092" t="s">
        <v>73</v>
      </c>
      <c r="F2092" t="s">
        <v>1362</v>
      </c>
      <c r="G2092" t="s">
        <v>73</v>
      </c>
      <c r="H2092">
        <v>9.1</v>
      </c>
      <c r="I2092">
        <v>669</v>
      </c>
      <c r="J2092">
        <v>69501</v>
      </c>
      <c r="K2092" t="s">
        <v>1363</v>
      </c>
      <c r="L2092">
        <f t="shared" si="130"/>
        <v>4</v>
      </c>
      <c r="N2092">
        <v>4</v>
      </c>
      <c r="O2092">
        <v>3</v>
      </c>
      <c r="P2092">
        <v>0.75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2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1.333</v>
      </c>
      <c r="BN2092" s="2">
        <v>1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f t="shared" si="133"/>
        <v>3.3330000000000002</v>
      </c>
      <c r="BW2092" s="16">
        <f t="shared" si="131"/>
        <v>0.17542105263157895</v>
      </c>
      <c r="BX2092" s="16">
        <f>COUNTIF($BC$6:BU2092, "=0") / COUNTIF($BC$6:BU2092, "&gt;-1")</f>
        <v>0.49693591909817669</v>
      </c>
      <c r="BY2092" s="18">
        <f>SUM($BC$6:BU2092) / $BY$4</f>
        <v>0.9981899192556718</v>
      </c>
      <c r="BZ2092" s="14">
        <f t="shared" si="132"/>
        <v>16</v>
      </c>
      <c r="CA2092" t="s">
        <v>5832</v>
      </c>
      <c r="CZ2092" t="s">
        <v>7586</v>
      </c>
      <c r="DA2092" t="s">
        <v>5904</v>
      </c>
      <c r="DB2092">
        <v>1303.9000000000001</v>
      </c>
      <c r="DC2092" t="s">
        <v>19145</v>
      </c>
      <c r="DD2092" t="s">
        <v>19146</v>
      </c>
      <c r="DE2092" t="s">
        <v>19147</v>
      </c>
      <c r="DF2092" t="s">
        <v>19148</v>
      </c>
      <c r="DG2092" t="s">
        <v>19149</v>
      </c>
      <c r="DH2092" t="str">
        <f>"RBM14"</f>
        <v>RBM14</v>
      </c>
      <c r="DI2092" t="s">
        <v>19150</v>
      </c>
      <c r="DJ2092" t="s">
        <v>13777</v>
      </c>
      <c r="DK2092">
        <v>9606</v>
      </c>
      <c r="DL2092" s="34" t="str">
        <f>HYPERLINK("http://www.uniprot.org/uniprot/Q96PK6", "Q96PK6")</f>
        <v>Q96PK6</v>
      </c>
      <c r="DM2092" t="s">
        <v>19151</v>
      </c>
      <c r="DN2092" t="s">
        <v>19152</v>
      </c>
      <c r="DO2092" t="s">
        <v>13912</v>
      </c>
      <c r="DP2092" t="s">
        <v>13841</v>
      </c>
      <c r="DQ2092" t="s">
        <v>13772</v>
      </c>
      <c r="DR2092" t="s">
        <v>13772</v>
      </c>
      <c r="DS2092" t="s">
        <v>14096</v>
      </c>
      <c r="DT2092" t="s">
        <v>13772</v>
      </c>
      <c r="DU2092" t="s">
        <v>15484</v>
      </c>
      <c r="DV2092" t="s">
        <v>13991</v>
      </c>
      <c r="DW2092" t="s">
        <v>13812</v>
      </c>
      <c r="DX2092" t="s">
        <v>19153</v>
      </c>
      <c r="DY2092" t="s">
        <v>19154</v>
      </c>
      <c r="DZ2092" t="s">
        <v>19155</v>
      </c>
      <c r="EA2092" t="s">
        <v>13772</v>
      </c>
      <c r="EB2092" t="s">
        <v>19156</v>
      </c>
    </row>
    <row r="2093" spans="1:132" hidden="1">
      <c r="A2093">
        <v>613</v>
      </c>
      <c r="B2093">
        <v>1</v>
      </c>
      <c r="C2093" t="s">
        <v>1518</v>
      </c>
      <c r="D2093" t="s">
        <v>73</v>
      </c>
      <c r="E2093" t="s">
        <v>73</v>
      </c>
      <c r="F2093" t="s">
        <v>1519</v>
      </c>
      <c r="G2093" t="s">
        <v>73</v>
      </c>
      <c r="H2093">
        <v>16.100000000000001</v>
      </c>
      <c r="I2093">
        <v>254</v>
      </c>
      <c r="J2093">
        <v>29289</v>
      </c>
      <c r="K2093" t="s">
        <v>1520</v>
      </c>
      <c r="L2093">
        <f t="shared" si="130"/>
        <v>9</v>
      </c>
      <c r="N2093">
        <v>9</v>
      </c>
      <c r="O2093">
        <v>3</v>
      </c>
      <c r="P2093">
        <v>0.33300000000000002</v>
      </c>
      <c r="Q2093">
        <v>0</v>
      </c>
      <c r="R2093">
        <v>0</v>
      </c>
      <c r="S2093">
        <v>1</v>
      </c>
      <c r="T2093">
        <v>0</v>
      </c>
      <c r="U2093">
        <v>2</v>
      </c>
      <c r="V2093">
        <v>1</v>
      </c>
      <c r="W2093">
        <v>1</v>
      </c>
      <c r="X2093">
        <v>1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2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2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1.333</v>
      </c>
      <c r="BS2093" s="2">
        <v>0</v>
      </c>
      <c r="BT2093" s="2">
        <v>0</v>
      </c>
      <c r="BU2093" s="2">
        <v>0</v>
      </c>
      <c r="BV2093" s="2">
        <f t="shared" si="133"/>
        <v>3.3330000000000002</v>
      </c>
      <c r="BW2093" s="16">
        <f t="shared" si="131"/>
        <v>0.17542105263157895</v>
      </c>
      <c r="BX2093" s="16">
        <f>COUNTIF($BC$6:BU2093, "=0") / COUNTIF($BC$6:BU2093, "&gt;-1")</f>
        <v>0.49712643678160917</v>
      </c>
      <c r="BY2093" s="18">
        <f>SUM($BC$6:BU2093) / $BY$4</f>
        <v>0.99820419661735516</v>
      </c>
      <c r="BZ2093" s="14">
        <f t="shared" si="132"/>
        <v>17</v>
      </c>
      <c r="CA2093" t="s">
        <v>5832</v>
      </c>
      <c r="CZ2093" t="s">
        <v>7817</v>
      </c>
      <c r="DA2093" t="s">
        <v>5904</v>
      </c>
      <c r="DB2093">
        <v>389.4</v>
      </c>
      <c r="DC2093" t="s">
        <v>19842</v>
      </c>
      <c r="DD2093" t="s">
        <v>19843</v>
      </c>
      <c r="DE2093" t="s">
        <v>19844</v>
      </c>
      <c r="DF2093" t="s">
        <v>19845</v>
      </c>
      <c r="DG2093" t="s">
        <v>19846</v>
      </c>
      <c r="DH2093" t="str">
        <f>"FOLR1"</f>
        <v>FOLR1</v>
      </c>
      <c r="DI2093" t="s">
        <v>19847</v>
      </c>
      <c r="DJ2093" t="s">
        <v>13777</v>
      </c>
      <c r="DK2093">
        <v>9606</v>
      </c>
      <c r="DL2093" s="34" t="str">
        <f>HYPERLINK("http://www.uniprot.org/uniprot/P15328", "P15328")</f>
        <v>P15328</v>
      </c>
      <c r="DM2093" t="s">
        <v>19848</v>
      </c>
      <c r="DN2093" t="s">
        <v>14192</v>
      </c>
      <c r="DO2093" t="s">
        <v>19849</v>
      </c>
      <c r="DP2093" t="s">
        <v>13793</v>
      </c>
      <c r="DQ2093" t="s">
        <v>13772</v>
      </c>
      <c r="DR2093" t="s">
        <v>19850</v>
      </c>
      <c r="DS2093" t="s">
        <v>13808</v>
      </c>
      <c r="DT2093" t="s">
        <v>19851</v>
      </c>
      <c r="DU2093" t="s">
        <v>13795</v>
      </c>
      <c r="DV2093" t="s">
        <v>15699</v>
      </c>
      <c r="DW2093" t="s">
        <v>13812</v>
      </c>
      <c r="DX2093" t="s">
        <v>19852</v>
      </c>
      <c r="DY2093" t="s">
        <v>19853</v>
      </c>
      <c r="DZ2093" t="s">
        <v>19854</v>
      </c>
      <c r="EA2093" t="s">
        <v>13772</v>
      </c>
      <c r="EB2093" t="s">
        <v>19855</v>
      </c>
    </row>
    <row r="2094" spans="1:132" hidden="1">
      <c r="A2094">
        <v>378</v>
      </c>
      <c r="B2094">
        <v>1</v>
      </c>
      <c r="C2094" t="s">
        <v>943</v>
      </c>
      <c r="D2094" t="s">
        <v>944</v>
      </c>
      <c r="E2094" t="s">
        <v>73</v>
      </c>
      <c r="F2094" t="s">
        <v>945</v>
      </c>
      <c r="G2094" t="s">
        <v>73</v>
      </c>
      <c r="H2094">
        <v>10.1</v>
      </c>
      <c r="I2094">
        <v>523</v>
      </c>
      <c r="J2094">
        <v>56437</v>
      </c>
      <c r="K2094" t="s">
        <v>946</v>
      </c>
      <c r="L2094">
        <f t="shared" si="130"/>
        <v>4</v>
      </c>
      <c r="N2094">
        <v>4</v>
      </c>
      <c r="O2094">
        <v>2</v>
      </c>
      <c r="P2094">
        <v>0.5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2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1.0620000000000001</v>
      </c>
      <c r="BT2094" s="2">
        <v>0</v>
      </c>
      <c r="BU2094" s="2">
        <v>0</v>
      </c>
      <c r="BV2094" s="2">
        <f t="shared" si="133"/>
        <v>3.0620000000000003</v>
      </c>
      <c r="BW2094" s="16">
        <f t="shared" si="131"/>
        <v>0.16115789473684211</v>
      </c>
      <c r="BX2094" s="16">
        <f>COUNTIF($BC$6:BU2094, "=0") / COUNTIF($BC$6:BU2094, "&gt;-1")</f>
        <v>0.49731677206419589</v>
      </c>
      <c r="BY2094" s="18">
        <f>SUM($BC$6:BU2094) / $BY$4</f>
        <v>0.99821731311344719</v>
      </c>
      <c r="BZ2094" s="14">
        <f t="shared" si="132"/>
        <v>17</v>
      </c>
      <c r="CA2094" t="s">
        <v>5832</v>
      </c>
      <c r="CZ2094" t="s">
        <v>7012</v>
      </c>
      <c r="DA2094" t="s">
        <v>5904</v>
      </c>
      <c r="DB2094">
        <v>902.9</v>
      </c>
      <c r="DC2094" t="s">
        <v>17373</v>
      </c>
      <c r="DD2094" t="s">
        <v>17374</v>
      </c>
      <c r="DE2094" t="s">
        <v>17375</v>
      </c>
      <c r="DF2094" t="s">
        <v>17376</v>
      </c>
      <c r="DG2094" t="s">
        <v>17377</v>
      </c>
      <c r="DH2094" t="str">
        <f>"TXNRD2"</f>
        <v>TXNRD2</v>
      </c>
      <c r="DI2094" t="s">
        <v>17378</v>
      </c>
      <c r="DJ2094" t="s">
        <v>13777</v>
      </c>
      <c r="DK2094">
        <v>9606</v>
      </c>
      <c r="DL2094" s="34" t="str">
        <f>HYPERLINK("http://www.uniprot.org/uniprot/Q9NNW7", "Q9NNW7")</f>
        <v>Q9NNW7</v>
      </c>
      <c r="DM2094" t="s">
        <v>17379</v>
      </c>
      <c r="DN2094" t="s">
        <v>13772</v>
      </c>
      <c r="DO2094" t="s">
        <v>14491</v>
      </c>
      <c r="DP2094" t="s">
        <v>17380</v>
      </c>
      <c r="DQ2094" t="s">
        <v>13772</v>
      </c>
      <c r="DR2094" t="s">
        <v>13807</v>
      </c>
      <c r="DS2094" t="s">
        <v>17158</v>
      </c>
      <c r="DT2094" t="s">
        <v>17381</v>
      </c>
      <c r="DU2094" t="s">
        <v>13885</v>
      </c>
      <c r="DV2094" t="s">
        <v>14506</v>
      </c>
      <c r="DW2094" t="s">
        <v>13812</v>
      </c>
      <c r="DX2094" t="s">
        <v>17382</v>
      </c>
      <c r="DY2094" t="s">
        <v>17383</v>
      </c>
      <c r="DZ2094" t="s">
        <v>17384</v>
      </c>
      <c r="EA2094" t="s">
        <v>13772</v>
      </c>
      <c r="EB2094" t="s">
        <v>17385</v>
      </c>
    </row>
    <row r="2095" spans="1:132" hidden="1">
      <c r="A2095">
        <v>740</v>
      </c>
      <c r="B2095">
        <v>1</v>
      </c>
      <c r="C2095" t="s">
        <v>1817</v>
      </c>
      <c r="D2095" t="s">
        <v>1818</v>
      </c>
      <c r="E2095" t="s">
        <v>73</v>
      </c>
      <c r="F2095" t="s">
        <v>1819</v>
      </c>
      <c r="G2095" t="s">
        <v>73</v>
      </c>
      <c r="H2095">
        <v>9.3000000000000007</v>
      </c>
      <c r="I2095">
        <v>473</v>
      </c>
      <c r="J2095">
        <v>51964</v>
      </c>
      <c r="K2095" t="s">
        <v>1820</v>
      </c>
      <c r="L2095">
        <f t="shared" si="130"/>
        <v>7</v>
      </c>
      <c r="N2095">
        <v>7</v>
      </c>
      <c r="O2095">
        <v>3</v>
      </c>
      <c r="P2095">
        <v>0.42899999999999999</v>
      </c>
      <c r="Q2095">
        <v>1</v>
      </c>
      <c r="R2095">
        <v>1</v>
      </c>
      <c r="S2095">
        <v>1</v>
      </c>
      <c r="T2095">
        <v>0</v>
      </c>
      <c r="U2095">
        <v>1</v>
      </c>
      <c r="V2095">
        <v>2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 s="2">
        <v>1</v>
      </c>
      <c r="BD2095" s="2">
        <v>0</v>
      </c>
      <c r="BE2095" s="2">
        <v>0</v>
      </c>
      <c r="BF2095" s="2">
        <v>0</v>
      </c>
      <c r="BG2095" s="2">
        <v>1</v>
      </c>
      <c r="BH2095" s="2">
        <v>1.0589999999999999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f t="shared" si="133"/>
        <v>3.0590000000000002</v>
      </c>
      <c r="BW2095" s="16">
        <f t="shared" si="131"/>
        <v>0.161</v>
      </c>
      <c r="BX2095" s="16">
        <f>COUNTIF($BC$6:BU2095, "=0") / COUNTIF($BC$6:BU2095, "&gt;-1")</f>
        <v>0.49748174263409722</v>
      </c>
      <c r="BY2095" s="18">
        <f>SUM($BC$6:BU2095) / $BY$4</f>
        <v>0.99823041675862856</v>
      </c>
      <c r="BZ2095" s="14">
        <f t="shared" si="132"/>
        <v>16</v>
      </c>
      <c r="CA2095" t="s">
        <v>5832</v>
      </c>
      <c r="CZ2095" t="s">
        <v>8231</v>
      </c>
      <c r="DA2095" t="s">
        <v>5904</v>
      </c>
      <c r="DB2095">
        <v>756.1</v>
      </c>
      <c r="DC2095" t="s">
        <v>21057</v>
      </c>
      <c r="DD2095" t="s">
        <v>21058</v>
      </c>
      <c r="DE2095" t="s">
        <v>21059</v>
      </c>
      <c r="DF2095" t="s">
        <v>21060</v>
      </c>
      <c r="DG2095" t="s">
        <v>21061</v>
      </c>
      <c r="DH2095" t="str">
        <f>"ANGPTL6"</f>
        <v>ANGPTL6</v>
      </c>
      <c r="DI2095" t="s">
        <v>21062</v>
      </c>
      <c r="DJ2095" t="s">
        <v>13777</v>
      </c>
      <c r="DK2095">
        <v>9606</v>
      </c>
      <c r="DL2095" s="34" t="str">
        <f>HYPERLINK("http://www.uniprot.org/uniprot/Q8NI99", "Q8NI99")</f>
        <v>Q8NI99</v>
      </c>
      <c r="DM2095" t="s">
        <v>21063</v>
      </c>
      <c r="DN2095" t="s">
        <v>19787</v>
      </c>
      <c r="DO2095" t="s">
        <v>14321</v>
      </c>
      <c r="DP2095" t="s">
        <v>13772</v>
      </c>
      <c r="DQ2095" t="s">
        <v>13772</v>
      </c>
      <c r="DR2095" t="s">
        <v>13772</v>
      </c>
      <c r="DS2095" t="s">
        <v>16820</v>
      </c>
      <c r="DT2095" t="s">
        <v>13772</v>
      </c>
      <c r="DU2095" t="s">
        <v>14727</v>
      </c>
      <c r="DV2095" t="s">
        <v>13796</v>
      </c>
      <c r="DW2095" t="s">
        <v>13772</v>
      </c>
      <c r="DX2095" t="s">
        <v>21064</v>
      </c>
      <c r="DY2095" t="s">
        <v>21065</v>
      </c>
      <c r="DZ2095" t="s">
        <v>13772</v>
      </c>
      <c r="EA2095" t="s">
        <v>13772</v>
      </c>
      <c r="EB2095" t="s">
        <v>13772</v>
      </c>
    </row>
    <row r="2096" spans="1:132" hidden="1">
      <c r="A2096">
        <v>309</v>
      </c>
      <c r="B2096">
        <v>1</v>
      </c>
      <c r="C2096" t="s">
        <v>776</v>
      </c>
      <c r="D2096" t="s">
        <v>73</v>
      </c>
      <c r="E2096" t="s">
        <v>73</v>
      </c>
      <c r="F2096" t="s">
        <v>738</v>
      </c>
      <c r="G2096" t="s">
        <v>73</v>
      </c>
      <c r="H2096">
        <v>13</v>
      </c>
      <c r="I2096">
        <v>246</v>
      </c>
      <c r="J2096">
        <v>26497</v>
      </c>
      <c r="K2096" t="s">
        <v>777</v>
      </c>
      <c r="L2096">
        <f t="shared" si="130"/>
        <v>4</v>
      </c>
      <c r="N2096">
        <v>4</v>
      </c>
      <c r="O2096">
        <v>3</v>
      </c>
      <c r="P2096">
        <v>0.75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2</v>
      </c>
      <c r="BA2096">
        <v>0</v>
      </c>
      <c r="BB2096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1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2.0289999999999999</v>
      </c>
      <c r="BT2096" s="2">
        <v>0</v>
      </c>
      <c r="BU2096" s="2">
        <v>0</v>
      </c>
      <c r="BV2096" s="2">
        <f t="shared" si="133"/>
        <v>3.0289999999999999</v>
      </c>
      <c r="BW2096" s="16">
        <f t="shared" si="131"/>
        <v>0.15942105263157894</v>
      </c>
      <c r="BX2096" s="16">
        <f>COUNTIF($BC$6:BU2096, "=0") / COUNTIF($BC$6:BU2096, "&gt;-1")</f>
        <v>0.49767172594326564</v>
      </c>
      <c r="BY2096" s="18">
        <f>SUM($BC$6:BU2096) / $BY$4</f>
        <v>0.9982433918947039</v>
      </c>
      <c r="BZ2096" s="14">
        <f t="shared" si="132"/>
        <v>17</v>
      </c>
      <c r="CA2096" t="s">
        <v>5832</v>
      </c>
      <c r="CZ2096" t="s">
        <v>6763</v>
      </c>
      <c r="DA2096" t="s">
        <v>5904</v>
      </c>
      <c r="DB2096">
        <v>371.3</v>
      </c>
      <c r="DC2096" t="s">
        <v>16629</v>
      </c>
      <c r="DD2096" t="s">
        <v>16630</v>
      </c>
      <c r="DE2096" t="s">
        <v>16631</v>
      </c>
      <c r="DF2096" t="s">
        <v>16632</v>
      </c>
      <c r="DG2096" t="s">
        <v>16633</v>
      </c>
      <c r="DH2096" t="str">
        <f>"PRSS1"</f>
        <v>PRSS1</v>
      </c>
      <c r="DI2096" t="s">
        <v>16634</v>
      </c>
      <c r="DJ2096" t="s">
        <v>13777</v>
      </c>
      <c r="DK2096">
        <v>9606</v>
      </c>
      <c r="DL2096" s="34" t="str">
        <f>HYPERLINK("http://www.uniprot.org/uniprot/P07477", "P07477")</f>
        <v>P07477</v>
      </c>
      <c r="DM2096" t="s">
        <v>16635</v>
      </c>
      <c r="DN2096" t="s">
        <v>15385</v>
      </c>
      <c r="DO2096" t="s">
        <v>14321</v>
      </c>
      <c r="DP2096" t="s">
        <v>13793</v>
      </c>
      <c r="DQ2096" t="s">
        <v>13772</v>
      </c>
      <c r="DR2096" t="s">
        <v>13807</v>
      </c>
      <c r="DS2096" t="s">
        <v>13808</v>
      </c>
      <c r="DT2096" t="s">
        <v>13873</v>
      </c>
      <c r="DU2096" t="s">
        <v>15176</v>
      </c>
      <c r="DV2096" t="s">
        <v>16472</v>
      </c>
      <c r="DW2096" t="s">
        <v>13812</v>
      </c>
      <c r="DX2096" t="s">
        <v>16636</v>
      </c>
      <c r="DY2096" t="s">
        <v>16637</v>
      </c>
      <c r="DZ2096" t="s">
        <v>16638</v>
      </c>
      <c r="EA2096" t="s">
        <v>13772</v>
      </c>
      <c r="EB2096" t="s">
        <v>16639</v>
      </c>
    </row>
    <row r="2097" spans="1:132" hidden="1">
      <c r="A2097">
        <v>1791</v>
      </c>
      <c r="B2097">
        <v>1</v>
      </c>
      <c r="C2097" t="s">
        <v>4235</v>
      </c>
      <c r="D2097" t="s">
        <v>73</v>
      </c>
      <c r="E2097" t="s">
        <v>73</v>
      </c>
      <c r="F2097" t="s">
        <v>4236</v>
      </c>
      <c r="G2097" t="s">
        <v>73</v>
      </c>
      <c r="H2097">
        <v>5.4</v>
      </c>
      <c r="I2097">
        <v>1945</v>
      </c>
      <c r="J2097">
        <v>224448</v>
      </c>
      <c r="K2097" t="s">
        <v>4237</v>
      </c>
      <c r="L2097">
        <f t="shared" si="130"/>
        <v>13</v>
      </c>
      <c r="N2097">
        <v>13</v>
      </c>
      <c r="O2097">
        <v>3</v>
      </c>
      <c r="P2097">
        <v>0.23100000000000001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2</v>
      </c>
      <c r="AC2097">
        <v>1</v>
      </c>
      <c r="AD2097">
        <v>0</v>
      </c>
      <c r="AE2097">
        <v>2</v>
      </c>
      <c r="AF2097">
        <v>2</v>
      </c>
      <c r="AG2097">
        <v>1</v>
      </c>
      <c r="AH2097">
        <v>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1.0069999999999999</v>
      </c>
      <c r="BR2097" s="2">
        <v>1.008</v>
      </c>
      <c r="BS2097" s="2">
        <v>1</v>
      </c>
      <c r="BT2097" s="2">
        <v>0</v>
      </c>
      <c r="BU2097" s="2">
        <v>0</v>
      </c>
      <c r="BV2097" s="2">
        <f t="shared" si="133"/>
        <v>3.0149999999999997</v>
      </c>
      <c r="BW2097" s="16">
        <f t="shared" si="131"/>
        <v>0.15868421052631576</v>
      </c>
      <c r="BX2097" s="16">
        <f>COUNTIF($BC$6:BU2097, "=0") / COUNTIF($BC$6:BU2097, "&gt;-1")</f>
        <v>0.49783636912549056</v>
      </c>
      <c r="BY2097" s="18">
        <f>SUM($BC$6:BU2097) / $BY$4</f>
        <v>0.99825630705986312</v>
      </c>
      <c r="BZ2097" s="14">
        <f t="shared" si="132"/>
        <v>16</v>
      </c>
      <c r="CA2097" t="s">
        <v>5832</v>
      </c>
      <c r="CZ2097" t="s">
        <v>11721</v>
      </c>
      <c r="DA2097" t="s">
        <v>5904</v>
      </c>
      <c r="DB2097">
        <v>2335.4</v>
      </c>
      <c r="DC2097" t="s">
        <v>30987</v>
      </c>
      <c r="DD2097" t="s">
        <v>30988</v>
      </c>
      <c r="DE2097" t="s">
        <v>30989</v>
      </c>
      <c r="DF2097" t="s">
        <v>30990</v>
      </c>
      <c r="DG2097" t="s">
        <v>30991</v>
      </c>
      <c r="DH2097" t="str">
        <f>"MYH7"</f>
        <v>MYH7</v>
      </c>
      <c r="DI2097" t="s">
        <v>30992</v>
      </c>
      <c r="DJ2097" t="s">
        <v>13777</v>
      </c>
      <c r="DK2097">
        <v>9606</v>
      </c>
      <c r="DL2097" s="34" t="str">
        <f>HYPERLINK("http://www.uniprot.org/uniprot/P12883", "P12883")</f>
        <v>P12883</v>
      </c>
      <c r="DM2097" t="s">
        <v>30993</v>
      </c>
      <c r="DN2097" t="s">
        <v>13772</v>
      </c>
      <c r="DO2097" t="s">
        <v>15651</v>
      </c>
      <c r="DP2097" t="s">
        <v>13793</v>
      </c>
      <c r="DQ2097" t="s">
        <v>13772</v>
      </c>
      <c r="DR2097" t="s">
        <v>14848</v>
      </c>
      <c r="DS2097" t="s">
        <v>14245</v>
      </c>
      <c r="DT2097" t="s">
        <v>14005</v>
      </c>
      <c r="DU2097" t="s">
        <v>15653</v>
      </c>
      <c r="DV2097" t="s">
        <v>14478</v>
      </c>
      <c r="DW2097" t="s">
        <v>13812</v>
      </c>
      <c r="DX2097" t="s">
        <v>30994</v>
      </c>
      <c r="DY2097" t="s">
        <v>30995</v>
      </c>
      <c r="DZ2097" t="s">
        <v>30996</v>
      </c>
      <c r="EA2097" t="s">
        <v>13772</v>
      </c>
      <c r="EB2097" t="s">
        <v>13772</v>
      </c>
    </row>
    <row r="2098" spans="1:132" hidden="1">
      <c r="A2098">
        <v>136</v>
      </c>
      <c r="B2098">
        <v>1</v>
      </c>
      <c r="C2098" t="s">
        <v>356</v>
      </c>
      <c r="D2098" t="s">
        <v>73</v>
      </c>
      <c r="E2098" t="s">
        <v>73</v>
      </c>
      <c r="F2098" t="s">
        <v>73</v>
      </c>
      <c r="G2098" t="s">
        <v>73</v>
      </c>
      <c r="H2098">
        <v>4.2</v>
      </c>
      <c r="I2098">
        <v>830</v>
      </c>
      <c r="J2098">
        <v>91961</v>
      </c>
      <c r="K2098" t="s">
        <v>357</v>
      </c>
      <c r="L2098">
        <f t="shared" si="130"/>
        <v>3</v>
      </c>
      <c r="N2098">
        <v>3</v>
      </c>
      <c r="O2098">
        <v>3</v>
      </c>
      <c r="P2098">
        <v>1</v>
      </c>
      <c r="Q2098">
        <v>0</v>
      </c>
      <c r="R2098">
        <v>2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 s="2">
        <v>0</v>
      </c>
      <c r="BD2098" s="2">
        <v>2</v>
      </c>
      <c r="BE2098" s="2">
        <v>1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f t="shared" si="133"/>
        <v>3</v>
      </c>
      <c r="BW2098" s="16">
        <f t="shared" si="131"/>
        <v>0.15789473684210525</v>
      </c>
      <c r="BX2098" s="16">
        <f>COUNTIF($BC$6:BU2098, "=0") / COUNTIF($BC$6:BU2098, "&gt;-1")</f>
        <v>0.49802600145849574</v>
      </c>
      <c r="BY2098" s="18">
        <f>SUM($BC$6:BU2098) / $BY$4</f>
        <v>0.99826915797046922</v>
      </c>
      <c r="BZ2098" s="14">
        <f t="shared" si="132"/>
        <v>17</v>
      </c>
      <c r="CA2098" t="s">
        <v>5832</v>
      </c>
      <c r="CZ2098" t="s">
        <v>6166</v>
      </c>
      <c r="DA2098" t="s">
        <v>5904</v>
      </c>
      <c r="DB2098">
        <v>1432.5</v>
      </c>
      <c r="DC2098" t="s">
        <v>14720</v>
      </c>
      <c r="DD2098" t="s">
        <v>14721</v>
      </c>
      <c r="DE2098" t="s">
        <v>14722</v>
      </c>
      <c r="DF2098" t="s">
        <v>14723</v>
      </c>
      <c r="DG2098" t="s">
        <v>14724</v>
      </c>
      <c r="DH2098" t="str">
        <f>"SEMA4B"</f>
        <v>SEMA4B</v>
      </c>
      <c r="DI2098" t="s">
        <v>13772</v>
      </c>
      <c r="DJ2098" t="s">
        <v>13777</v>
      </c>
      <c r="DK2098">
        <v>9606</v>
      </c>
      <c r="DL2098" s="34" t="str">
        <f>HYPERLINK("http://www.uniprot.org/uniprot/Q9NPR2", "Q9NPR2")</f>
        <v>Q9NPR2</v>
      </c>
      <c r="DM2098" t="s">
        <v>14725</v>
      </c>
      <c r="DN2098" t="s">
        <v>14726</v>
      </c>
      <c r="DO2098" t="s">
        <v>13825</v>
      </c>
      <c r="DP2098" t="s">
        <v>13780</v>
      </c>
      <c r="DQ2098" t="s">
        <v>13772</v>
      </c>
      <c r="DR2098" t="s">
        <v>13772</v>
      </c>
      <c r="DS2098" t="s">
        <v>13794</v>
      </c>
      <c r="DT2098" t="s">
        <v>13772</v>
      </c>
      <c r="DU2098" t="s">
        <v>14727</v>
      </c>
      <c r="DV2098" t="s">
        <v>13964</v>
      </c>
      <c r="DW2098" t="s">
        <v>13772</v>
      </c>
      <c r="DX2098" t="s">
        <v>14728</v>
      </c>
      <c r="DY2098" t="s">
        <v>14729</v>
      </c>
      <c r="DZ2098" t="s">
        <v>14730</v>
      </c>
      <c r="EA2098" t="s">
        <v>13772</v>
      </c>
      <c r="EB2098" t="s">
        <v>13772</v>
      </c>
    </row>
    <row r="2099" spans="1:132" hidden="1">
      <c r="A2099">
        <v>177</v>
      </c>
      <c r="B2099">
        <v>1</v>
      </c>
      <c r="C2099" t="s">
        <v>448</v>
      </c>
      <c r="D2099" t="s">
        <v>73</v>
      </c>
      <c r="E2099" t="s">
        <v>73</v>
      </c>
      <c r="F2099" t="s">
        <v>73</v>
      </c>
      <c r="G2099" t="s">
        <v>73</v>
      </c>
      <c r="H2099">
        <v>10.9</v>
      </c>
      <c r="I2099">
        <v>247</v>
      </c>
      <c r="J2099">
        <v>28281</v>
      </c>
      <c r="K2099" t="s">
        <v>449</v>
      </c>
      <c r="L2099">
        <f t="shared" si="130"/>
        <v>3</v>
      </c>
      <c r="N2099">
        <v>3</v>
      </c>
      <c r="O2099">
        <v>3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2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2</v>
      </c>
      <c r="BH2099" s="2">
        <v>1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f t="shared" si="133"/>
        <v>3</v>
      </c>
      <c r="BW2099" s="16">
        <f t="shared" si="131"/>
        <v>0.15789473684210525</v>
      </c>
      <c r="BX2099" s="16">
        <f>COUNTIF($BC$6:BU2099, "=0") / COUNTIF($BC$6:BU2099, "&gt;-1")</f>
        <v>0.49821545267179412</v>
      </c>
      <c r="BY2099" s="18">
        <f>SUM($BC$6:BU2099) / $BY$4</f>
        <v>0.99828200888107532</v>
      </c>
      <c r="BZ2099" s="14">
        <f t="shared" si="132"/>
        <v>17</v>
      </c>
      <c r="CA2099" t="s">
        <v>5832</v>
      </c>
      <c r="CZ2099" t="s">
        <v>6308</v>
      </c>
      <c r="DA2099" t="s">
        <v>5904</v>
      </c>
      <c r="DB2099">
        <v>492.7</v>
      </c>
      <c r="DC2099" t="s">
        <v>15194</v>
      </c>
      <c r="DD2099" t="s">
        <v>15195</v>
      </c>
      <c r="DE2099" t="s">
        <v>15196</v>
      </c>
      <c r="DF2099" t="s">
        <v>15197</v>
      </c>
      <c r="DG2099" t="s">
        <v>15198</v>
      </c>
      <c r="DH2099" t="str">
        <f>"ATP6V1D"</f>
        <v>ATP6V1D</v>
      </c>
      <c r="DI2099" t="s">
        <v>15199</v>
      </c>
      <c r="DJ2099" t="s">
        <v>13777</v>
      </c>
      <c r="DK2099">
        <v>9606</v>
      </c>
      <c r="DL2099" s="34" t="str">
        <f>HYPERLINK("http://www.uniprot.org/uniprot/Q9Y5K8", "Q9Y5K8")</f>
        <v>Q9Y5K8</v>
      </c>
      <c r="DM2099" t="s">
        <v>15200</v>
      </c>
      <c r="DN2099" t="s">
        <v>15201</v>
      </c>
      <c r="DO2099" t="s">
        <v>13825</v>
      </c>
      <c r="DP2099" t="s">
        <v>13772</v>
      </c>
      <c r="DQ2099" t="s">
        <v>13772</v>
      </c>
      <c r="DR2099" t="s">
        <v>13772</v>
      </c>
      <c r="DS2099" t="s">
        <v>13772</v>
      </c>
      <c r="DT2099" t="s">
        <v>13772</v>
      </c>
      <c r="DU2099" t="s">
        <v>13772</v>
      </c>
      <c r="DV2099" t="s">
        <v>13772</v>
      </c>
      <c r="DW2099" t="s">
        <v>13772</v>
      </c>
      <c r="DX2099" t="s">
        <v>15202</v>
      </c>
      <c r="DY2099" t="s">
        <v>15203</v>
      </c>
      <c r="DZ2099" t="s">
        <v>15204</v>
      </c>
      <c r="EA2099" t="s">
        <v>13772</v>
      </c>
      <c r="EB2099" t="s">
        <v>14037</v>
      </c>
    </row>
    <row r="2100" spans="1:132" hidden="1">
      <c r="A2100">
        <v>207</v>
      </c>
      <c r="B2100">
        <v>1</v>
      </c>
      <c r="C2100" t="s">
        <v>522</v>
      </c>
      <c r="D2100" t="s">
        <v>523</v>
      </c>
      <c r="E2100" t="s">
        <v>73</v>
      </c>
      <c r="F2100" t="s">
        <v>73</v>
      </c>
      <c r="G2100" t="s">
        <v>73</v>
      </c>
      <c r="H2100">
        <v>0.9</v>
      </c>
      <c r="I2100">
        <v>964</v>
      </c>
      <c r="J2100">
        <v>106318</v>
      </c>
      <c r="K2100" t="s">
        <v>524</v>
      </c>
      <c r="L2100">
        <f t="shared" si="130"/>
        <v>3</v>
      </c>
      <c r="N2100">
        <v>3</v>
      </c>
      <c r="O2100">
        <v>3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2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2</v>
      </c>
      <c r="AZ2100">
        <v>0</v>
      </c>
      <c r="BA2100">
        <v>0</v>
      </c>
      <c r="BB2100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2</v>
      </c>
      <c r="BS2100" s="2">
        <v>0</v>
      </c>
      <c r="BT2100" s="2">
        <v>0</v>
      </c>
      <c r="BU2100" s="2">
        <v>0</v>
      </c>
      <c r="BV2100" s="2">
        <f t="shared" si="133"/>
        <v>3</v>
      </c>
      <c r="BW2100" s="16">
        <f t="shared" si="131"/>
        <v>0.15789473684210525</v>
      </c>
      <c r="BX2100" s="16">
        <f>COUNTIF($BC$6:BU2100, "=0") / COUNTIF($BC$6:BU2100, "&gt;-1")</f>
        <v>0.49840472302474564</v>
      </c>
      <c r="BY2100" s="18">
        <f>SUM($BC$6:BU2100) / $BY$4</f>
        <v>0.99829485979168142</v>
      </c>
      <c r="BZ2100" s="14">
        <f t="shared" si="132"/>
        <v>17</v>
      </c>
      <c r="CA2100" t="s">
        <v>5832</v>
      </c>
      <c r="CZ2100" t="s">
        <v>6411</v>
      </c>
      <c r="DA2100" t="s">
        <v>5904</v>
      </c>
      <c r="DB2100">
        <v>1808.1</v>
      </c>
      <c r="DC2100" t="s">
        <v>15533</v>
      </c>
      <c r="DD2100" t="s">
        <v>15534</v>
      </c>
      <c r="DE2100" t="s">
        <v>15535</v>
      </c>
      <c r="DF2100" t="s">
        <v>15536</v>
      </c>
      <c r="DG2100" t="s">
        <v>15537</v>
      </c>
      <c r="DH2100" t="str">
        <f>"PCSK6"</f>
        <v>PCSK6</v>
      </c>
      <c r="DI2100" t="s">
        <v>15538</v>
      </c>
      <c r="DJ2100" t="s">
        <v>13777</v>
      </c>
      <c r="DK2100">
        <v>9606</v>
      </c>
      <c r="DL2100" s="34" t="str">
        <f>HYPERLINK("http://www.uniprot.org/uniprot/P29122", "P29122")</f>
        <v>P29122</v>
      </c>
      <c r="DM2100" t="s">
        <v>15539</v>
      </c>
      <c r="DN2100" t="s">
        <v>13772</v>
      </c>
      <c r="DO2100" t="s">
        <v>15540</v>
      </c>
      <c r="DP2100" t="s">
        <v>13780</v>
      </c>
      <c r="DQ2100" t="s">
        <v>13772</v>
      </c>
      <c r="DR2100" t="s">
        <v>13772</v>
      </c>
      <c r="DS2100" t="s">
        <v>14404</v>
      </c>
      <c r="DT2100" t="s">
        <v>14465</v>
      </c>
      <c r="DU2100" t="s">
        <v>15176</v>
      </c>
      <c r="DV2100" t="s">
        <v>15541</v>
      </c>
      <c r="DW2100" t="s">
        <v>13772</v>
      </c>
      <c r="DX2100" t="s">
        <v>15542</v>
      </c>
      <c r="DY2100" t="s">
        <v>15543</v>
      </c>
      <c r="DZ2100" t="s">
        <v>15544</v>
      </c>
      <c r="EA2100" t="s">
        <v>13772</v>
      </c>
      <c r="EB2100" t="s">
        <v>15545</v>
      </c>
    </row>
    <row r="2101" spans="1:132" hidden="1">
      <c r="A2101">
        <v>253</v>
      </c>
      <c r="B2101">
        <v>1</v>
      </c>
      <c r="C2101" t="s">
        <v>643</v>
      </c>
      <c r="D2101" t="s">
        <v>644</v>
      </c>
      <c r="E2101" t="s">
        <v>73</v>
      </c>
      <c r="F2101" t="s">
        <v>73</v>
      </c>
      <c r="G2101" t="s">
        <v>73</v>
      </c>
      <c r="H2101">
        <v>8.6</v>
      </c>
      <c r="I2101">
        <v>372</v>
      </c>
      <c r="J2101">
        <v>41900</v>
      </c>
      <c r="K2101" t="s">
        <v>645</v>
      </c>
      <c r="L2101">
        <f t="shared" si="130"/>
        <v>3</v>
      </c>
      <c r="N2101">
        <v>3</v>
      </c>
      <c r="O2101">
        <v>3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3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3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f t="shared" si="133"/>
        <v>3</v>
      </c>
      <c r="BW2101" s="16">
        <f t="shared" si="131"/>
        <v>0.15789473684210525</v>
      </c>
      <c r="BX2101" s="16">
        <f>COUNTIF($BC$6:BU2101, "=0") / COUNTIF($BC$6:BU2101, "&gt;-1")</f>
        <v>0.49861892326235435</v>
      </c>
      <c r="BY2101" s="18">
        <f>SUM($BC$6:BU2101) / $BY$4</f>
        <v>0.99830771070228752</v>
      </c>
      <c r="BZ2101" s="14">
        <f t="shared" si="132"/>
        <v>18</v>
      </c>
      <c r="CA2101" t="s">
        <v>5832</v>
      </c>
      <c r="CZ2101" t="s">
        <v>6577</v>
      </c>
      <c r="DA2101" t="s">
        <v>5904</v>
      </c>
      <c r="DB2101">
        <v>585.5</v>
      </c>
      <c r="DC2101" t="s">
        <v>16056</v>
      </c>
      <c r="DD2101" t="s">
        <v>13772</v>
      </c>
      <c r="DE2101" t="s">
        <v>16057</v>
      </c>
      <c r="DF2101" t="s">
        <v>16058</v>
      </c>
      <c r="DG2101" t="s">
        <v>16059</v>
      </c>
      <c r="DH2101" t="str">
        <f>"SCAMP2"</f>
        <v>SCAMP2</v>
      </c>
      <c r="DI2101" t="s">
        <v>13772</v>
      </c>
      <c r="DJ2101" t="s">
        <v>13777</v>
      </c>
      <c r="DK2101">
        <v>9606</v>
      </c>
      <c r="DL2101" s="34" t="str">
        <f>HYPERLINK("http://www.uniprot.org/uniprot/O15127", "O15127")</f>
        <v>O15127</v>
      </c>
      <c r="DM2101" t="s">
        <v>16060</v>
      </c>
      <c r="DN2101" t="s">
        <v>14347</v>
      </c>
      <c r="DO2101" t="s">
        <v>15095</v>
      </c>
      <c r="DP2101" t="s">
        <v>13772</v>
      </c>
      <c r="DQ2101" t="s">
        <v>13772</v>
      </c>
      <c r="DR2101" t="s">
        <v>13772</v>
      </c>
      <c r="DS2101" t="s">
        <v>13925</v>
      </c>
      <c r="DT2101" t="s">
        <v>13772</v>
      </c>
      <c r="DU2101" t="s">
        <v>13772</v>
      </c>
      <c r="DV2101" t="s">
        <v>13782</v>
      </c>
      <c r="DW2101" t="s">
        <v>13772</v>
      </c>
      <c r="DX2101" t="s">
        <v>16061</v>
      </c>
      <c r="DY2101" t="s">
        <v>16062</v>
      </c>
      <c r="DZ2101" t="s">
        <v>13772</v>
      </c>
      <c r="EA2101" t="s">
        <v>13772</v>
      </c>
      <c r="EB2101" t="s">
        <v>13772</v>
      </c>
    </row>
    <row r="2102" spans="1:132" hidden="1">
      <c r="A2102">
        <v>286</v>
      </c>
      <c r="B2102">
        <v>1</v>
      </c>
      <c r="C2102" t="s">
        <v>721</v>
      </c>
      <c r="D2102" t="s">
        <v>722</v>
      </c>
      <c r="E2102" t="s">
        <v>73</v>
      </c>
      <c r="F2102" t="s">
        <v>73</v>
      </c>
      <c r="G2102" t="s">
        <v>73</v>
      </c>
      <c r="H2102">
        <v>6.6</v>
      </c>
      <c r="I2102">
        <v>468</v>
      </c>
      <c r="J2102">
        <v>54224</v>
      </c>
      <c r="K2102" t="s">
        <v>723</v>
      </c>
      <c r="L2102">
        <f t="shared" si="130"/>
        <v>3</v>
      </c>
      <c r="N2102">
        <v>3</v>
      </c>
      <c r="O2102">
        <v>3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2</v>
      </c>
      <c r="BN2102" s="2">
        <v>0</v>
      </c>
      <c r="BO2102" s="2">
        <v>1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f t="shared" si="133"/>
        <v>3</v>
      </c>
      <c r="BW2102" s="16">
        <f t="shared" si="131"/>
        <v>0.15789473684210525</v>
      </c>
      <c r="BX2102" s="16">
        <f>COUNTIF($BC$6:BU2102, "=0") / COUNTIF($BC$6:BU2102, "&gt;-1")</f>
        <v>0.4988078206962327</v>
      </c>
      <c r="BY2102" s="18">
        <f>SUM($BC$6:BU2102) / $BY$4</f>
        <v>0.99832056161289362</v>
      </c>
      <c r="BZ2102" s="14">
        <f t="shared" si="132"/>
        <v>17</v>
      </c>
      <c r="CA2102" t="s">
        <v>5832</v>
      </c>
      <c r="CZ2102" t="s">
        <v>6686</v>
      </c>
      <c r="DA2102" t="s">
        <v>5904</v>
      </c>
      <c r="DB2102">
        <v>938.7</v>
      </c>
      <c r="DC2102" t="s">
        <v>16386</v>
      </c>
      <c r="DD2102" t="s">
        <v>16387</v>
      </c>
      <c r="DE2102" t="s">
        <v>16388</v>
      </c>
      <c r="DF2102" t="s">
        <v>16389</v>
      </c>
      <c r="DG2102" t="s">
        <v>16390</v>
      </c>
      <c r="DH2102" t="str">
        <f>"ERO1A"</f>
        <v>ERO1A</v>
      </c>
      <c r="DI2102" t="s">
        <v>16391</v>
      </c>
      <c r="DJ2102" t="s">
        <v>13777</v>
      </c>
      <c r="DK2102">
        <v>9606</v>
      </c>
      <c r="DL2102" s="34" t="str">
        <f>HYPERLINK("http://www.uniprot.org/uniprot/Q96HE7", "Q96HE7")</f>
        <v>Q96HE7</v>
      </c>
      <c r="DM2102" t="s">
        <v>16392</v>
      </c>
      <c r="DN2102" t="s">
        <v>16393</v>
      </c>
      <c r="DO2102" t="s">
        <v>14714</v>
      </c>
      <c r="DP2102" t="s">
        <v>13772</v>
      </c>
      <c r="DQ2102" t="s">
        <v>13772</v>
      </c>
      <c r="DR2102" t="s">
        <v>13772</v>
      </c>
      <c r="DS2102" t="s">
        <v>16394</v>
      </c>
      <c r="DT2102" t="s">
        <v>15580</v>
      </c>
      <c r="DU2102" t="s">
        <v>13885</v>
      </c>
      <c r="DV2102" t="s">
        <v>13964</v>
      </c>
      <c r="DW2102" t="s">
        <v>13812</v>
      </c>
      <c r="DX2102" t="s">
        <v>16395</v>
      </c>
      <c r="DY2102" t="s">
        <v>16396</v>
      </c>
      <c r="DZ2102" t="s">
        <v>16397</v>
      </c>
      <c r="EA2102" t="s">
        <v>13772</v>
      </c>
      <c r="EB2102" t="s">
        <v>16398</v>
      </c>
    </row>
    <row r="2103" spans="1:132" hidden="1">
      <c r="A2103">
        <v>297</v>
      </c>
      <c r="B2103">
        <v>1</v>
      </c>
      <c r="C2103" t="s">
        <v>746</v>
      </c>
      <c r="D2103" t="s">
        <v>747</v>
      </c>
      <c r="E2103" t="s">
        <v>73</v>
      </c>
      <c r="F2103" t="s">
        <v>73</v>
      </c>
      <c r="G2103" t="s">
        <v>73</v>
      </c>
      <c r="H2103">
        <v>11.9</v>
      </c>
      <c r="I2103">
        <v>243</v>
      </c>
      <c r="J2103">
        <v>27008</v>
      </c>
      <c r="K2103" t="s">
        <v>748</v>
      </c>
      <c r="L2103">
        <f t="shared" si="130"/>
        <v>3</v>
      </c>
      <c r="N2103">
        <v>3</v>
      </c>
      <c r="O2103">
        <v>3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1</v>
      </c>
      <c r="BL2103" s="2">
        <v>0</v>
      </c>
      <c r="BM2103" s="2">
        <v>2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f t="shared" si="133"/>
        <v>3</v>
      </c>
      <c r="BW2103" s="16">
        <f t="shared" si="131"/>
        <v>0.15789473684210525</v>
      </c>
      <c r="BX2103" s="16">
        <f>COUNTIF($BC$6:BU2103, "=0") / COUNTIF($BC$6:BU2103, "&gt;-1")</f>
        <v>0.49899653805629424</v>
      </c>
      <c r="BY2103" s="18">
        <f>SUM($BC$6:BU2103) / $BY$4</f>
        <v>0.99833341252349972</v>
      </c>
      <c r="BZ2103" s="14">
        <f t="shared" si="132"/>
        <v>17</v>
      </c>
      <c r="CA2103" t="s">
        <v>5832</v>
      </c>
      <c r="CZ2103" t="s">
        <v>6720</v>
      </c>
      <c r="DA2103" t="s">
        <v>5904</v>
      </c>
      <c r="DB2103">
        <v>445.7</v>
      </c>
      <c r="DC2103" t="s">
        <v>16502</v>
      </c>
      <c r="DD2103" t="s">
        <v>16503</v>
      </c>
      <c r="DE2103" t="s">
        <v>16504</v>
      </c>
      <c r="DF2103" t="s">
        <v>16505</v>
      </c>
      <c r="DG2103" t="s">
        <v>16506</v>
      </c>
      <c r="DH2103" t="str">
        <f>"TPK1"</f>
        <v>TPK1</v>
      </c>
      <c r="DI2103" t="s">
        <v>13772</v>
      </c>
      <c r="DJ2103" t="s">
        <v>13777</v>
      </c>
      <c r="DK2103">
        <v>9606</v>
      </c>
      <c r="DL2103" s="34" t="str">
        <f>HYPERLINK("http://www.uniprot.org/uniprot/Q9H3S4", "Q9H3S4")</f>
        <v>Q9H3S4</v>
      </c>
      <c r="DM2103" t="s">
        <v>16507</v>
      </c>
      <c r="DN2103" t="s">
        <v>13772</v>
      </c>
      <c r="DO2103" t="s">
        <v>13772</v>
      </c>
      <c r="DP2103" t="s">
        <v>13841</v>
      </c>
      <c r="DQ2103" t="s">
        <v>13772</v>
      </c>
      <c r="DR2103" t="s">
        <v>13807</v>
      </c>
      <c r="DS2103" t="s">
        <v>13772</v>
      </c>
      <c r="DT2103" t="s">
        <v>14005</v>
      </c>
      <c r="DU2103" t="s">
        <v>14006</v>
      </c>
      <c r="DV2103" t="s">
        <v>13772</v>
      </c>
      <c r="DW2103" t="s">
        <v>13812</v>
      </c>
      <c r="DX2103" t="s">
        <v>16508</v>
      </c>
      <c r="DY2103" t="s">
        <v>13902</v>
      </c>
      <c r="DZ2103" t="s">
        <v>16509</v>
      </c>
      <c r="EA2103" t="s">
        <v>16510</v>
      </c>
      <c r="EB2103" t="s">
        <v>16511</v>
      </c>
    </row>
    <row r="2104" spans="1:132" hidden="1">
      <c r="A2104">
        <v>313</v>
      </c>
      <c r="B2104">
        <v>1</v>
      </c>
      <c r="C2104" t="s">
        <v>785</v>
      </c>
      <c r="D2104" t="s">
        <v>786</v>
      </c>
      <c r="E2104" t="s">
        <v>73</v>
      </c>
      <c r="F2104" t="s">
        <v>73</v>
      </c>
      <c r="G2104" t="s">
        <v>73</v>
      </c>
      <c r="H2104">
        <v>2.5</v>
      </c>
      <c r="I2104">
        <v>1449</v>
      </c>
      <c r="J2104">
        <v>163199</v>
      </c>
      <c r="K2104" t="s">
        <v>787</v>
      </c>
      <c r="L2104">
        <f t="shared" si="130"/>
        <v>3</v>
      </c>
      <c r="N2104">
        <v>3</v>
      </c>
      <c r="O2104">
        <v>3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3</v>
      </c>
      <c r="AY2104">
        <v>0</v>
      </c>
      <c r="AZ2104">
        <v>0</v>
      </c>
      <c r="BA2104">
        <v>0</v>
      </c>
      <c r="BB2104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3</v>
      </c>
      <c r="BR2104" s="2">
        <v>0</v>
      </c>
      <c r="BS2104" s="2">
        <v>0</v>
      </c>
      <c r="BT2104" s="2">
        <v>0</v>
      </c>
      <c r="BU2104" s="2">
        <v>0</v>
      </c>
      <c r="BV2104" s="2">
        <f t="shared" si="133"/>
        <v>3</v>
      </c>
      <c r="BW2104" s="16">
        <f t="shared" si="131"/>
        <v>0.15789473684210525</v>
      </c>
      <c r="BX2104" s="16">
        <f>COUNTIF($BC$6:BU2104, "=0") / COUNTIF($BC$6:BU2104, "&gt;-1")</f>
        <v>0.49921015019683557</v>
      </c>
      <c r="BY2104" s="18">
        <f>SUM($BC$6:BU2104) / $BY$4</f>
        <v>0.99834626343410582</v>
      </c>
      <c r="BZ2104" s="14">
        <f t="shared" si="132"/>
        <v>18</v>
      </c>
      <c r="CA2104" t="s">
        <v>5832</v>
      </c>
      <c r="CZ2104" t="s">
        <v>6780</v>
      </c>
      <c r="DA2104" t="s">
        <v>5904</v>
      </c>
      <c r="DB2104">
        <v>2540.8000000000002</v>
      </c>
      <c r="DC2104" t="s">
        <v>16673</v>
      </c>
      <c r="DD2104" t="s">
        <v>16674</v>
      </c>
      <c r="DE2104" t="s">
        <v>16675</v>
      </c>
      <c r="DF2104" t="s">
        <v>16676</v>
      </c>
      <c r="DG2104" t="s">
        <v>16677</v>
      </c>
      <c r="DH2104" t="str">
        <f>"MYOM3"</f>
        <v>MYOM3</v>
      </c>
      <c r="DI2104" t="s">
        <v>13772</v>
      </c>
      <c r="DJ2104" t="s">
        <v>13777</v>
      </c>
      <c r="DK2104">
        <v>9606</v>
      </c>
      <c r="DL2104" s="34" t="str">
        <f>HYPERLINK("http://www.uniprot.org/uniprot/Q5VTT5", "Q5VTT5")</f>
        <v>Q5VTT5</v>
      </c>
      <c r="DM2104" t="s">
        <v>16678</v>
      </c>
      <c r="DN2104" t="s">
        <v>13772</v>
      </c>
      <c r="DO2104" t="s">
        <v>13899</v>
      </c>
      <c r="DP2104" t="s">
        <v>13780</v>
      </c>
      <c r="DQ2104" t="s">
        <v>13772</v>
      </c>
      <c r="DR2104" t="s">
        <v>13772</v>
      </c>
      <c r="DS2104" t="s">
        <v>16679</v>
      </c>
      <c r="DT2104" t="s">
        <v>13772</v>
      </c>
      <c r="DU2104" t="s">
        <v>13772</v>
      </c>
      <c r="DV2104" t="s">
        <v>13772</v>
      </c>
      <c r="DW2104" t="s">
        <v>13772</v>
      </c>
      <c r="DX2104" t="s">
        <v>16680</v>
      </c>
      <c r="DY2104" t="s">
        <v>16681</v>
      </c>
      <c r="DZ2104" t="s">
        <v>16682</v>
      </c>
      <c r="EA2104" t="s">
        <v>13772</v>
      </c>
      <c r="EB2104" t="s">
        <v>13772</v>
      </c>
    </row>
    <row r="2105" spans="1:132" hidden="1">
      <c r="A2105">
        <v>323</v>
      </c>
      <c r="B2105">
        <v>1</v>
      </c>
      <c r="C2105" t="s">
        <v>811</v>
      </c>
      <c r="D2105" t="s">
        <v>812</v>
      </c>
      <c r="E2105" t="s">
        <v>73</v>
      </c>
      <c r="F2105" t="s">
        <v>73</v>
      </c>
      <c r="G2105" t="s">
        <v>73</v>
      </c>
      <c r="H2105">
        <v>11.1</v>
      </c>
      <c r="I2105">
        <v>235</v>
      </c>
      <c r="J2105">
        <v>27051</v>
      </c>
      <c r="K2105" t="s">
        <v>813</v>
      </c>
      <c r="L2105">
        <f t="shared" si="130"/>
        <v>3</v>
      </c>
      <c r="N2105">
        <v>3</v>
      </c>
      <c r="O2105">
        <v>3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2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2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f t="shared" si="133"/>
        <v>3</v>
      </c>
      <c r="BW2105" s="16">
        <f t="shared" si="131"/>
        <v>0.15789473684210525</v>
      </c>
      <c r="BX2105" s="16">
        <f>COUNTIF($BC$6:BU2105, "=0") / COUNTIF($BC$6:BU2105, "&gt;-1")</f>
        <v>0.49939849624060151</v>
      </c>
      <c r="BY2105" s="18">
        <f>SUM($BC$6:BU2105) / $BY$4</f>
        <v>0.99835911434471192</v>
      </c>
      <c r="BZ2105" s="14">
        <f t="shared" si="132"/>
        <v>17</v>
      </c>
      <c r="CA2105" t="s">
        <v>5832</v>
      </c>
      <c r="CZ2105" t="s">
        <v>6819</v>
      </c>
      <c r="DA2105" t="s">
        <v>5904</v>
      </c>
      <c r="DB2105">
        <v>428.7</v>
      </c>
      <c r="DC2105" t="s">
        <v>16781</v>
      </c>
      <c r="DD2105" t="s">
        <v>16782</v>
      </c>
      <c r="DE2105" t="s">
        <v>16783</v>
      </c>
      <c r="DF2105" t="s">
        <v>16784</v>
      </c>
      <c r="DG2105" t="s">
        <v>16785</v>
      </c>
      <c r="DH2105" t="str">
        <f>"TMED4"</f>
        <v>TMED4</v>
      </c>
      <c r="DI2105" t="s">
        <v>16786</v>
      </c>
      <c r="DJ2105" t="s">
        <v>13777</v>
      </c>
      <c r="DK2105">
        <v>9606</v>
      </c>
      <c r="DL2105" s="34" t="str">
        <f>HYPERLINK("http://www.uniprot.org/uniprot/Q7Z7H5", "Q7Z7H5")</f>
        <v>Q7Z7H5</v>
      </c>
      <c r="DM2105" t="s">
        <v>16787</v>
      </c>
      <c r="DN2105" t="s">
        <v>14347</v>
      </c>
      <c r="DO2105" t="s">
        <v>14714</v>
      </c>
      <c r="DP2105" t="s">
        <v>13841</v>
      </c>
      <c r="DQ2105" t="s">
        <v>13772</v>
      </c>
      <c r="DR2105" t="s">
        <v>13772</v>
      </c>
      <c r="DS2105" t="s">
        <v>16788</v>
      </c>
      <c r="DT2105" t="s">
        <v>13772</v>
      </c>
      <c r="DU2105" t="s">
        <v>13772</v>
      </c>
      <c r="DV2105" t="s">
        <v>13858</v>
      </c>
      <c r="DW2105" t="s">
        <v>13772</v>
      </c>
      <c r="DX2105" t="s">
        <v>16789</v>
      </c>
      <c r="DY2105" t="s">
        <v>16790</v>
      </c>
      <c r="DZ2105" t="s">
        <v>13772</v>
      </c>
      <c r="EA2105" t="s">
        <v>13772</v>
      </c>
      <c r="EB2105" t="s">
        <v>13772</v>
      </c>
    </row>
    <row r="2106" spans="1:132" hidden="1">
      <c r="A2106">
        <v>351</v>
      </c>
      <c r="B2106">
        <v>1</v>
      </c>
      <c r="C2106" t="s">
        <v>881</v>
      </c>
      <c r="D2106" t="s">
        <v>882</v>
      </c>
      <c r="E2106" t="s">
        <v>73</v>
      </c>
      <c r="F2106" t="s">
        <v>73</v>
      </c>
      <c r="G2106" t="s">
        <v>73</v>
      </c>
      <c r="H2106">
        <v>3.6</v>
      </c>
      <c r="I2106">
        <v>1482</v>
      </c>
      <c r="J2106">
        <v>168512</v>
      </c>
      <c r="K2106" t="s">
        <v>883</v>
      </c>
      <c r="L2106">
        <f t="shared" si="130"/>
        <v>3</v>
      </c>
      <c r="N2106">
        <v>3</v>
      </c>
      <c r="O2106">
        <v>3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2</v>
      </c>
      <c r="BM2106" s="2">
        <v>0</v>
      </c>
      <c r="BN2106" s="2">
        <v>1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f t="shared" si="133"/>
        <v>3</v>
      </c>
      <c r="BW2106" s="16">
        <f t="shared" si="131"/>
        <v>0.15789473684210525</v>
      </c>
      <c r="BX2106" s="16">
        <f>COUNTIF($BC$6:BU2106, "=0") / COUNTIF($BC$6:BU2106, "&gt;-1")</f>
        <v>0.49958666299255994</v>
      </c>
      <c r="BY2106" s="18">
        <f>SUM($BC$6:BU2106) / $BY$4</f>
        <v>0.99837196525531802</v>
      </c>
      <c r="BZ2106" s="14">
        <f t="shared" si="132"/>
        <v>17</v>
      </c>
      <c r="CA2106" t="s">
        <v>5832</v>
      </c>
      <c r="CZ2106" t="s">
        <v>6919</v>
      </c>
      <c r="DA2106" t="s">
        <v>5904</v>
      </c>
      <c r="DB2106">
        <v>2734.1</v>
      </c>
      <c r="DC2106" t="s">
        <v>17088</v>
      </c>
      <c r="DD2106" t="s">
        <v>17089</v>
      </c>
      <c r="DE2106" t="s">
        <v>17090</v>
      </c>
      <c r="DF2106" t="s">
        <v>17091</v>
      </c>
      <c r="DG2106" t="s">
        <v>17092</v>
      </c>
      <c r="DH2106" t="str">
        <f>"CFTR"</f>
        <v>CFTR</v>
      </c>
      <c r="DI2106" t="s">
        <v>17093</v>
      </c>
      <c r="DJ2106" t="s">
        <v>13777</v>
      </c>
      <c r="DK2106">
        <v>9606</v>
      </c>
      <c r="DL2106" s="34" t="str">
        <f>HYPERLINK("http://www.uniprot.org/uniprot/P13569", "P13569")</f>
        <v>P13569</v>
      </c>
      <c r="DM2106" t="s">
        <v>17094</v>
      </c>
      <c r="DN2106" t="s">
        <v>14288</v>
      </c>
      <c r="DO2106" t="s">
        <v>17095</v>
      </c>
      <c r="DP2106" t="s">
        <v>13780</v>
      </c>
      <c r="DQ2106" t="s">
        <v>13772</v>
      </c>
      <c r="DR2106" t="s">
        <v>13807</v>
      </c>
      <c r="DS2106" t="s">
        <v>16604</v>
      </c>
      <c r="DT2106" t="s">
        <v>17096</v>
      </c>
      <c r="DU2106" t="s">
        <v>17097</v>
      </c>
      <c r="DV2106" t="s">
        <v>17098</v>
      </c>
      <c r="DW2106" t="s">
        <v>13812</v>
      </c>
      <c r="DX2106" t="s">
        <v>17099</v>
      </c>
      <c r="DY2106" t="s">
        <v>17100</v>
      </c>
      <c r="DZ2106" t="s">
        <v>17101</v>
      </c>
      <c r="EA2106" t="s">
        <v>13772</v>
      </c>
      <c r="EB2106" t="s">
        <v>17102</v>
      </c>
    </row>
    <row r="2107" spans="1:132" hidden="1">
      <c r="A2107">
        <v>383</v>
      </c>
      <c r="B2107">
        <v>1</v>
      </c>
      <c r="C2107" t="s">
        <v>955</v>
      </c>
      <c r="D2107" t="s">
        <v>956</v>
      </c>
      <c r="E2107" t="s">
        <v>73</v>
      </c>
      <c r="F2107" t="s">
        <v>73</v>
      </c>
      <c r="G2107" t="s">
        <v>73</v>
      </c>
      <c r="H2107">
        <v>6.1</v>
      </c>
      <c r="I2107">
        <v>873</v>
      </c>
      <c r="J2107">
        <v>98109</v>
      </c>
      <c r="K2107" t="s">
        <v>957</v>
      </c>
      <c r="L2107">
        <f t="shared" si="130"/>
        <v>3</v>
      </c>
      <c r="N2107">
        <v>3</v>
      </c>
      <c r="O2107">
        <v>3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2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1</v>
      </c>
      <c r="BS2107" s="2">
        <v>0</v>
      </c>
      <c r="BT2107" s="2">
        <v>0</v>
      </c>
      <c r="BU2107" s="2">
        <v>0</v>
      </c>
      <c r="BV2107" s="2">
        <f t="shared" si="133"/>
        <v>3</v>
      </c>
      <c r="BW2107" s="16">
        <f t="shared" si="131"/>
        <v>0.15789473684210525</v>
      </c>
      <c r="BX2107" s="16">
        <f>COUNTIF($BC$6:BU2107, "=0") / COUNTIF($BC$6:BU2107, "&gt;-1")</f>
        <v>0.49977465070859833</v>
      </c>
      <c r="BY2107" s="18">
        <f>SUM($BC$6:BU2107) / $BY$4</f>
        <v>0.99838481616592412</v>
      </c>
      <c r="BZ2107" s="14">
        <f t="shared" si="132"/>
        <v>17</v>
      </c>
      <c r="CA2107" t="s">
        <v>5832</v>
      </c>
      <c r="CZ2107" t="s">
        <v>7029</v>
      </c>
      <c r="DA2107" t="s">
        <v>5904</v>
      </c>
      <c r="DB2107">
        <v>1568.1</v>
      </c>
      <c r="DC2107" t="s">
        <v>17429</v>
      </c>
      <c r="DD2107" t="s">
        <v>13772</v>
      </c>
      <c r="DE2107" t="s">
        <v>17430</v>
      </c>
      <c r="DF2107" t="s">
        <v>17431</v>
      </c>
      <c r="DG2107" t="s">
        <v>17432</v>
      </c>
      <c r="DH2107" t="str">
        <f>"OXR1"</f>
        <v>OXR1</v>
      </c>
      <c r="DI2107" t="s">
        <v>13772</v>
      </c>
      <c r="DJ2107" t="s">
        <v>13777</v>
      </c>
      <c r="DK2107">
        <v>9606</v>
      </c>
      <c r="DL2107" s="34" t="str">
        <f>HYPERLINK("http://www.uniprot.org/uniprot/Q8N573", "Q8N573")</f>
        <v>Q8N573</v>
      </c>
      <c r="DM2107" t="s">
        <v>17433</v>
      </c>
      <c r="DN2107" t="s">
        <v>15280</v>
      </c>
      <c r="DO2107" t="s">
        <v>14491</v>
      </c>
      <c r="DP2107" t="s">
        <v>13780</v>
      </c>
      <c r="DQ2107" t="s">
        <v>13772</v>
      </c>
      <c r="DR2107" t="s">
        <v>13772</v>
      </c>
      <c r="DS2107" t="s">
        <v>13772</v>
      </c>
      <c r="DT2107" t="s">
        <v>13772</v>
      </c>
      <c r="DU2107" t="s">
        <v>13772</v>
      </c>
      <c r="DV2107" t="s">
        <v>13782</v>
      </c>
      <c r="DW2107" t="s">
        <v>13772</v>
      </c>
      <c r="DX2107" t="s">
        <v>17434</v>
      </c>
      <c r="DY2107" t="s">
        <v>17435</v>
      </c>
      <c r="DZ2107" t="s">
        <v>17436</v>
      </c>
      <c r="EA2107" t="s">
        <v>13772</v>
      </c>
      <c r="EB2107" t="s">
        <v>13772</v>
      </c>
    </row>
    <row r="2108" spans="1:132" hidden="1">
      <c r="A2108">
        <v>400</v>
      </c>
      <c r="B2108">
        <v>1</v>
      </c>
      <c r="C2108" t="s">
        <v>1001</v>
      </c>
      <c r="D2108" t="s">
        <v>1002</v>
      </c>
      <c r="E2108" t="s">
        <v>73</v>
      </c>
      <c r="F2108" t="s">
        <v>73</v>
      </c>
      <c r="G2108" t="s">
        <v>73</v>
      </c>
      <c r="H2108">
        <v>5.8</v>
      </c>
      <c r="I2108">
        <v>496</v>
      </c>
      <c r="J2108">
        <v>55494</v>
      </c>
      <c r="K2108" t="s">
        <v>1003</v>
      </c>
      <c r="L2108">
        <f t="shared" si="130"/>
        <v>3</v>
      </c>
      <c r="N2108">
        <v>3</v>
      </c>
      <c r="O2108">
        <v>3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</v>
      </c>
      <c r="AU2108">
        <v>0</v>
      </c>
      <c r="AV2108">
        <v>0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2</v>
      </c>
      <c r="BN2108" s="2">
        <v>0</v>
      </c>
      <c r="BO2108" s="2">
        <v>0</v>
      </c>
      <c r="BP2108" s="2">
        <v>0</v>
      </c>
      <c r="BQ2108" s="2">
        <v>1</v>
      </c>
      <c r="BR2108" s="2">
        <v>0</v>
      </c>
      <c r="BS2108" s="2">
        <v>0</v>
      </c>
      <c r="BT2108" s="2">
        <v>0</v>
      </c>
      <c r="BU2108" s="2">
        <v>0</v>
      </c>
      <c r="BV2108" s="2">
        <f t="shared" si="133"/>
        <v>3</v>
      </c>
      <c r="BW2108" s="16">
        <f t="shared" si="131"/>
        <v>0.15789473684210525</v>
      </c>
      <c r="BX2108" s="16">
        <f>COUNTIF($BC$6:BU2108, "=0") / COUNTIF($BC$6:BU2108, "&gt;-1")</f>
        <v>0.49996245964411745</v>
      </c>
      <c r="BY2108" s="18">
        <f>SUM($BC$6:BU2108) / $BY$4</f>
        <v>0.99839766707653022</v>
      </c>
      <c r="BZ2108" s="14">
        <f t="shared" si="132"/>
        <v>17</v>
      </c>
      <c r="CA2108" t="s">
        <v>5832</v>
      </c>
      <c r="CZ2108" t="s">
        <v>7090</v>
      </c>
      <c r="DA2108" t="s">
        <v>5904</v>
      </c>
      <c r="DB2108">
        <v>980.7</v>
      </c>
      <c r="DC2108" t="s">
        <v>17619</v>
      </c>
      <c r="DD2108" t="s">
        <v>17620</v>
      </c>
      <c r="DE2108" t="s">
        <v>17621</v>
      </c>
      <c r="DF2108" t="s">
        <v>17622</v>
      </c>
      <c r="DG2108" t="s">
        <v>17623</v>
      </c>
      <c r="DH2108" t="str">
        <f>"CORO1C"</f>
        <v>CORO1C</v>
      </c>
      <c r="DI2108" t="s">
        <v>13772</v>
      </c>
      <c r="DJ2108" t="s">
        <v>13777</v>
      </c>
      <c r="DK2108">
        <v>9606</v>
      </c>
      <c r="DL2108" s="34" t="str">
        <f>HYPERLINK("http://www.uniprot.org/uniprot/Q9ULV4", "Q9ULV4")</f>
        <v>Q9ULV4</v>
      </c>
      <c r="DM2108" t="s">
        <v>17624</v>
      </c>
      <c r="DN2108" t="s">
        <v>13772</v>
      </c>
      <c r="DO2108" t="s">
        <v>17625</v>
      </c>
      <c r="DP2108" t="s">
        <v>13841</v>
      </c>
      <c r="DQ2108" t="s">
        <v>13772</v>
      </c>
      <c r="DR2108" t="s">
        <v>13772</v>
      </c>
      <c r="DS2108" t="s">
        <v>13781</v>
      </c>
      <c r="DT2108" t="s">
        <v>13772</v>
      </c>
      <c r="DU2108" t="s">
        <v>13990</v>
      </c>
      <c r="DV2108" t="s">
        <v>14020</v>
      </c>
      <c r="DW2108" t="s">
        <v>13772</v>
      </c>
      <c r="DX2108" t="s">
        <v>17626</v>
      </c>
      <c r="DY2108" t="s">
        <v>17627</v>
      </c>
      <c r="DZ2108" t="s">
        <v>17628</v>
      </c>
      <c r="EA2108" t="s">
        <v>13772</v>
      </c>
      <c r="EB2108" t="s">
        <v>13772</v>
      </c>
    </row>
    <row r="2109" spans="1:132" hidden="1">
      <c r="A2109">
        <v>425</v>
      </c>
      <c r="B2109">
        <v>1</v>
      </c>
      <c r="C2109" t="s">
        <v>1064</v>
      </c>
      <c r="D2109" t="s">
        <v>1065</v>
      </c>
      <c r="E2109" t="s">
        <v>73</v>
      </c>
      <c r="F2109" t="s">
        <v>73</v>
      </c>
      <c r="G2109" t="s">
        <v>73</v>
      </c>
      <c r="H2109">
        <v>17</v>
      </c>
      <c r="I2109">
        <v>147</v>
      </c>
      <c r="J2109">
        <v>16486</v>
      </c>
      <c r="K2109" t="s">
        <v>1066</v>
      </c>
      <c r="L2109">
        <f t="shared" si="130"/>
        <v>3</v>
      </c>
      <c r="N2109">
        <v>3</v>
      </c>
      <c r="O2109">
        <v>3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</v>
      </c>
      <c r="BA2109">
        <v>0</v>
      </c>
      <c r="BB2109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1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2</v>
      </c>
      <c r="BT2109" s="2">
        <v>0</v>
      </c>
      <c r="BU2109" s="2">
        <v>0</v>
      </c>
      <c r="BV2109" s="2">
        <f t="shared" si="133"/>
        <v>3</v>
      </c>
      <c r="BW2109" s="16">
        <f t="shared" si="131"/>
        <v>0.15789473684210525</v>
      </c>
      <c r="BX2109" s="16">
        <f>COUNTIF($BC$6:BU2109, "=0") / COUNTIF($BC$6:BU2109, "&gt;-1")</f>
        <v>0.50015009005403244</v>
      </c>
      <c r="BY2109" s="18">
        <f>SUM($BC$6:BU2109) / $BY$4</f>
        <v>0.99841051798713631</v>
      </c>
      <c r="BZ2109" s="14">
        <f t="shared" si="132"/>
        <v>17</v>
      </c>
      <c r="CA2109" t="s">
        <v>5832</v>
      </c>
      <c r="CZ2109" t="s">
        <v>7175</v>
      </c>
      <c r="DA2109" t="s">
        <v>5904</v>
      </c>
      <c r="DB2109">
        <v>240.3</v>
      </c>
      <c r="DC2109" t="s">
        <v>17897</v>
      </c>
      <c r="DD2109" t="s">
        <v>17898</v>
      </c>
      <c r="DE2109" t="s">
        <v>17899</v>
      </c>
      <c r="DF2109" t="s">
        <v>17900</v>
      </c>
      <c r="DG2109" t="s">
        <v>17901</v>
      </c>
      <c r="DH2109" t="str">
        <f>"PLA2G1B"</f>
        <v>PLA2G1B</v>
      </c>
      <c r="DI2109" t="s">
        <v>17902</v>
      </c>
      <c r="DJ2109" t="s">
        <v>13777</v>
      </c>
      <c r="DK2109">
        <v>9606</v>
      </c>
      <c r="DL2109" s="34" t="str">
        <f>HYPERLINK("http://www.uniprot.org/uniprot/P04054", "P04054")</f>
        <v>P04054</v>
      </c>
      <c r="DM2109" t="s">
        <v>17903</v>
      </c>
      <c r="DN2109" t="s">
        <v>17548</v>
      </c>
      <c r="DO2109" t="s">
        <v>14321</v>
      </c>
      <c r="DP2109" t="s">
        <v>13793</v>
      </c>
      <c r="DQ2109" t="s">
        <v>13772</v>
      </c>
      <c r="DR2109" t="s">
        <v>13772</v>
      </c>
      <c r="DS2109" t="s">
        <v>13808</v>
      </c>
      <c r="DT2109" t="s">
        <v>13873</v>
      </c>
      <c r="DU2109" t="s">
        <v>13857</v>
      </c>
      <c r="DV2109" t="s">
        <v>17904</v>
      </c>
      <c r="DW2109" t="s">
        <v>13812</v>
      </c>
      <c r="DX2109" t="s">
        <v>17905</v>
      </c>
      <c r="DY2109" t="s">
        <v>17906</v>
      </c>
      <c r="DZ2109" t="s">
        <v>17907</v>
      </c>
      <c r="EA2109" t="s">
        <v>13772</v>
      </c>
      <c r="EB2109" t="s">
        <v>17908</v>
      </c>
    </row>
    <row r="2110" spans="1:132" hidden="1">
      <c r="A2110">
        <v>426</v>
      </c>
      <c r="B2110">
        <v>1</v>
      </c>
      <c r="C2110" t="s">
        <v>1067</v>
      </c>
      <c r="D2110" t="s">
        <v>1068</v>
      </c>
      <c r="E2110" t="s">
        <v>73</v>
      </c>
      <c r="F2110" t="s">
        <v>73</v>
      </c>
      <c r="G2110" t="s">
        <v>73</v>
      </c>
      <c r="H2110">
        <v>15</v>
      </c>
      <c r="I2110">
        <v>287</v>
      </c>
      <c r="J2110">
        <v>31391</v>
      </c>
      <c r="K2110" t="s">
        <v>1069</v>
      </c>
      <c r="L2110">
        <f t="shared" si="130"/>
        <v>3</v>
      </c>
      <c r="N2110">
        <v>3</v>
      </c>
      <c r="O2110">
        <v>3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3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3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f t="shared" si="133"/>
        <v>3</v>
      </c>
      <c r="BW2110" s="16">
        <f t="shared" si="131"/>
        <v>0.15789473684210525</v>
      </c>
      <c r="BX2110" s="16">
        <f>COUNTIF($BC$6:BU2110, "=0") / COUNTIF($BC$6:BU2110, "&gt;-1")</f>
        <v>0.50036254531816482</v>
      </c>
      <c r="BY2110" s="18">
        <f>SUM($BC$6:BU2110) / $BY$4</f>
        <v>0.99842336889774241</v>
      </c>
      <c r="BZ2110" s="14">
        <f t="shared" si="132"/>
        <v>18</v>
      </c>
      <c r="CA2110" t="s">
        <v>5832</v>
      </c>
      <c r="CZ2110" t="s">
        <v>7179</v>
      </c>
      <c r="DA2110" t="s">
        <v>5904</v>
      </c>
      <c r="DB2110">
        <v>434.5</v>
      </c>
      <c r="DC2110" t="s">
        <v>17909</v>
      </c>
      <c r="DD2110" t="s">
        <v>17910</v>
      </c>
      <c r="DE2110" t="s">
        <v>17911</v>
      </c>
      <c r="DF2110" t="s">
        <v>17912</v>
      </c>
      <c r="DG2110" t="s">
        <v>13772</v>
      </c>
      <c r="DH2110" t="str">
        <f>"VPS37B"</f>
        <v>VPS37B</v>
      </c>
      <c r="DI2110" t="s">
        <v>13772</v>
      </c>
      <c r="DJ2110" t="s">
        <v>13777</v>
      </c>
      <c r="DK2110">
        <v>9606</v>
      </c>
      <c r="DL2110" s="34" t="str">
        <f>HYPERLINK("http://www.uniprot.org/uniprot/Q9H9H4", "Q9H9H4")</f>
        <v>Q9H9H4</v>
      </c>
      <c r="DM2110" t="s">
        <v>17913</v>
      </c>
      <c r="DN2110" t="s">
        <v>14347</v>
      </c>
      <c r="DO2110" t="s">
        <v>13779</v>
      </c>
      <c r="DP2110" t="s">
        <v>13772</v>
      </c>
      <c r="DQ2110" t="s">
        <v>13772</v>
      </c>
      <c r="DR2110" t="s">
        <v>13772</v>
      </c>
      <c r="DS2110" t="s">
        <v>13772</v>
      </c>
      <c r="DT2110" t="s">
        <v>13772</v>
      </c>
      <c r="DU2110" t="s">
        <v>13772</v>
      </c>
      <c r="DV2110" t="s">
        <v>17914</v>
      </c>
      <c r="DW2110" t="s">
        <v>13772</v>
      </c>
      <c r="DX2110" t="s">
        <v>17915</v>
      </c>
      <c r="DY2110" t="s">
        <v>17916</v>
      </c>
      <c r="DZ2110" t="s">
        <v>17917</v>
      </c>
      <c r="EA2110" t="s">
        <v>13772</v>
      </c>
      <c r="EB2110" t="s">
        <v>17918</v>
      </c>
    </row>
    <row r="2111" spans="1:132" hidden="1">
      <c r="A2111">
        <v>427</v>
      </c>
      <c r="B2111">
        <v>1</v>
      </c>
      <c r="C2111" t="s">
        <v>1070</v>
      </c>
      <c r="D2111" t="s">
        <v>1071</v>
      </c>
      <c r="E2111" t="s">
        <v>73</v>
      </c>
      <c r="F2111" t="s">
        <v>73</v>
      </c>
      <c r="G2111" t="s">
        <v>73</v>
      </c>
      <c r="H2111">
        <v>5.9</v>
      </c>
      <c r="I2111">
        <v>559</v>
      </c>
      <c r="J2111">
        <v>64209</v>
      </c>
      <c r="K2111" t="s">
        <v>1072</v>
      </c>
      <c r="L2111">
        <f t="shared" si="130"/>
        <v>3</v>
      </c>
      <c r="N2111">
        <v>3</v>
      </c>
      <c r="O2111">
        <v>3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2</v>
      </c>
      <c r="BL2111" s="2">
        <v>0</v>
      </c>
      <c r="BM2111" s="2">
        <v>1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f t="shared" si="133"/>
        <v>3</v>
      </c>
      <c r="BW2111" s="16">
        <f t="shared" si="131"/>
        <v>0.15789473684210525</v>
      </c>
      <c r="BX2111" s="16">
        <f>COUNTIF($BC$6:BU2111, "=0") / COUNTIF($BC$6:BU2111, "&gt;-1")</f>
        <v>0.50054980756735146</v>
      </c>
      <c r="BY2111" s="18">
        <f>SUM($BC$6:BU2111) / $BY$4</f>
        <v>0.99843621980834851</v>
      </c>
      <c r="BZ2111" s="14">
        <f t="shared" si="132"/>
        <v>17</v>
      </c>
      <c r="CA2111" t="s">
        <v>5832</v>
      </c>
      <c r="CZ2111" t="s">
        <v>7183</v>
      </c>
      <c r="DA2111" t="s">
        <v>5904</v>
      </c>
      <c r="DB2111">
        <v>1108.5999999999999</v>
      </c>
      <c r="DC2111" t="s">
        <v>17919</v>
      </c>
      <c r="DD2111" t="s">
        <v>17920</v>
      </c>
      <c r="DE2111" t="s">
        <v>17921</v>
      </c>
      <c r="DF2111" t="s">
        <v>17922</v>
      </c>
      <c r="DG2111" t="s">
        <v>17923</v>
      </c>
      <c r="DH2111" t="str">
        <f>"NARS"</f>
        <v>NARS</v>
      </c>
      <c r="DI2111" t="s">
        <v>13772</v>
      </c>
      <c r="DJ2111" t="s">
        <v>13777</v>
      </c>
      <c r="DK2111">
        <v>9606</v>
      </c>
      <c r="DL2111" s="34" t="str">
        <f>HYPERLINK("http://www.uniprot.org/uniprot/O43776", "O43776")</f>
        <v>O43776</v>
      </c>
      <c r="DM2111" t="s">
        <v>17924</v>
      </c>
      <c r="DN2111" t="s">
        <v>17925</v>
      </c>
      <c r="DO2111" t="s">
        <v>13899</v>
      </c>
      <c r="DP2111" t="s">
        <v>13841</v>
      </c>
      <c r="DQ2111" t="s">
        <v>13772</v>
      </c>
      <c r="DR2111" t="s">
        <v>13772</v>
      </c>
      <c r="DS2111" t="s">
        <v>13772</v>
      </c>
      <c r="DT2111" t="s">
        <v>14005</v>
      </c>
      <c r="DU2111" t="s">
        <v>14800</v>
      </c>
      <c r="DV2111" t="s">
        <v>13886</v>
      </c>
      <c r="DW2111" t="s">
        <v>13812</v>
      </c>
      <c r="DX2111" t="s">
        <v>17926</v>
      </c>
      <c r="DY2111" t="s">
        <v>14194</v>
      </c>
      <c r="DZ2111" t="s">
        <v>17927</v>
      </c>
      <c r="EA2111" t="s">
        <v>13772</v>
      </c>
      <c r="EB2111" t="s">
        <v>14804</v>
      </c>
    </row>
    <row r="2112" spans="1:132" hidden="1">
      <c r="A2112">
        <v>429</v>
      </c>
      <c r="B2112">
        <v>1</v>
      </c>
      <c r="C2112" t="s">
        <v>1075</v>
      </c>
      <c r="D2112" t="s">
        <v>73</v>
      </c>
      <c r="E2112" t="s">
        <v>73</v>
      </c>
      <c r="F2112" t="s">
        <v>73</v>
      </c>
      <c r="G2112" t="s">
        <v>73</v>
      </c>
      <c r="H2112">
        <v>12.7</v>
      </c>
      <c r="I2112">
        <v>166</v>
      </c>
      <c r="J2112">
        <v>18889</v>
      </c>
      <c r="K2112" t="s">
        <v>1076</v>
      </c>
      <c r="L2112">
        <f t="shared" si="130"/>
        <v>3</v>
      </c>
      <c r="N2112">
        <v>3</v>
      </c>
      <c r="O2112">
        <v>3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</v>
      </c>
      <c r="AY2112">
        <v>0</v>
      </c>
      <c r="AZ2112">
        <v>0</v>
      </c>
      <c r="BA2112">
        <v>0</v>
      </c>
      <c r="BB211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2</v>
      </c>
      <c r="BR2112" s="2">
        <v>0</v>
      </c>
      <c r="BS2112" s="2">
        <v>0</v>
      </c>
      <c r="BT2112" s="2">
        <v>0</v>
      </c>
      <c r="BU2112" s="2">
        <v>0</v>
      </c>
      <c r="BV2112" s="2">
        <f t="shared" si="133"/>
        <v>3</v>
      </c>
      <c r="BW2112" s="16">
        <f t="shared" si="131"/>
        <v>0.15789473684210525</v>
      </c>
      <c r="BX2112" s="16">
        <f>COUNTIF($BC$6:BU2112, "=0") / COUNTIF($BC$6:BU2112, "&gt;-1")</f>
        <v>0.50073689206404715</v>
      </c>
      <c r="BY2112" s="18">
        <f>SUM($BC$6:BU2112) / $BY$4</f>
        <v>0.99844907071895461</v>
      </c>
      <c r="BZ2112" s="14">
        <f t="shared" si="132"/>
        <v>17</v>
      </c>
      <c r="CA2112" t="s">
        <v>5832</v>
      </c>
      <c r="CZ2112" t="s">
        <v>7189</v>
      </c>
      <c r="DA2112" t="s">
        <v>5904</v>
      </c>
      <c r="DB2112">
        <v>331.6</v>
      </c>
      <c r="DC2112" t="s">
        <v>17937</v>
      </c>
      <c r="DD2112" t="s">
        <v>17938</v>
      </c>
      <c r="DE2112" t="s">
        <v>17939</v>
      </c>
      <c r="DF2112" t="s">
        <v>17940</v>
      </c>
      <c r="DG2112" t="s">
        <v>17941</v>
      </c>
      <c r="DH2112" t="str">
        <f>"MYL2"</f>
        <v>MYL2</v>
      </c>
      <c r="DI2112" t="s">
        <v>13772</v>
      </c>
      <c r="DJ2112" t="s">
        <v>13777</v>
      </c>
      <c r="DK2112">
        <v>9606</v>
      </c>
      <c r="DL2112" s="34" t="str">
        <f>HYPERLINK("http://www.uniprot.org/uniprot/P10916", "P10916")</f>
        <v>P10916</v>
      </c>
      <c r="DM2112" t="s">
        <v>17942</v>
      </c>
      <c r="DN2112" t="s">
        <v>13772</v>
      </c>
      <c r="DO2112" t="s">
        <v>13899</v>
      </c>
      <c r="DP2112" t="s">
        <v>13793</v>
      </c>
      <c r="DQ2112" t="s">
        <v>13772</v>
      </c>
      <c r="DR2112" t="s">
        <v>14848</v>
      </c>
      <c r="DS2112" t="s">
        <v>14096</v>
      </c>
      <c r="DT2112" t="s">
        <v>13873</v>
      </c>
      <c r="DU2112" t="s">
        <v>17523</v>
      </c>
      <c r="DV2112" t="s">
        <v>14478</v>
      </c>
      <c r="DW2112" t="s">
        <v>13812</v>
      </c>
      <c r="DX2112" t="s">
        <v>17943</v>
      </c>
      <c r="DY2112" t="s">
        <v>17944</v>
      </c>
      <c r="DZ2112" t="s">
        <v>17945</v>
      </c>
      <c r="EA2112" t="s">
        <v>13772</v>
      </c>
      <c r="EB2112" t="s">
        <v>15657</v>
      </c>
    </row>
    <row r="2113" spans="1:132" hidden="1">
      <c r="A2113">
        <v>467</v>
      </c>
      <c r="B2113">
        <v>1</v>
      </c>
      <c r="C2113" t="s">
        <v>1170</v>
      </c>
      <c r="D2113" t="s">
        <v>1171</v>
      </c>
      <c r="E2113" t="s">
        <v>73</v>
      </c>
      <c r="F2113" t="s">
        <v>73</v>
      </c>
      <c r="G2113" t="s">
        <v>73</v>
      </c>
      <c r="H2113">
        <v>3.4</v>
      </c>
      <c r="I2113">
        <v>1140</v>
      </c>
      <c r="J2113">
        <v>126927</v>
      </c>
      <c r="K2113" t="s">
        <v>1172</v>
      </c>
      <c r="L2113">
        <f t="shared" si="130"/>
        <v>3</v>
      </c>
      <c r="N2113">
        <v>3</v>
      </c>
      <c r="O2113">
        <v>2</v>
      </c>
      <c r="P2113">
        <v>0.66700000000000004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0</v>
      </c>
      <c r="BJ2113" s="2">
        <v>0</v>
      </c>
      <c r="BK2113" s="2">
        <v>0</v>
      </c>
      <c r="BL2113" s="2">
        <v>0</v>
      </c>
      <c r="BM2113" s="2">
        <v>2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f t="shared" si="133"/>
        <v>3</v>
      </c>
      <c r="BW2113" s="16">
        <f t="shared" si="131"/>
        <v>0.15789473684210525</v>
      </c>
      <c r="BX2113" s="16">
        <f>COUNTIF($BC$6:BU2113, "=0") / COUNTIF($BC$6:BU2113, "&gt;-1")</f>
        <v>0.50092379906122042</v>
      </c>
      <c r="BY2113" s="18">
        <f>SUM($BC$6:BU2113) / $BY$4</f>
        <v>0.99846192162956071</v>
      </c>
      <c r="BZ2113" s="14">
        <f t="shared" si="132"/>
        <v>17</v>
      </c>
      <c r="CA2113" t="s">
        <v>5832</v>
      </c>
      <c r="CZ2113" t="s">
        <v>7322</v>
      </c>
      <c r="DA2113" t="s">
        <v>5904</v>
      </c>
      <c r="DB2113">
        <v>2349.6999999999998</v>
      </c>
      <c r="DC2113" t="s">
        <v>18352</v>
      </c>
      <c r="DD2113" t="s">
        <v>18353</v>
      </c>
      <c r="DE2113" t="s">
        <v>18354</v>
      </c>
      <c r="DF2113" t="s">
        <v>18355</v>
      </c>
      <c r="DG2113" t="s">
        <v>18356</v>
      </c>
      <c r="DH2113" t="str">
        <f>"DDB1"</f>
        <v>DDB1</v>
      </c>
      <c r="DI2113" t="s">
        <v>18357</v>
      </c>
      <c r="DJ2113" t="s">
        <v>13777</v>
      </c>
      <c r="DK2113">
        <v>9606</v>
      </c>
      <c r="DL2113" s="34" t="str">
        <f>HYPERLINK("http://www.uniprot.org/uniprot/Q16531", "Q16531")</f>
        <v>Q16531</v>
      </c>
      <c r="DM2113" t="s">
        <v>18358</v>
      </c>
      <c r="DN2113" t="s">
        <v>18359</v>
      </c>
      <c r="DO2113" t="s">
        <v>13912</v>
      </c>
      <c r="DP2113" t="s">
        <v>13780</v>
      </c>
      <c r="DQ2113" t="s">
        <v>13772</v>
      </c>
      <c r="DR2113" t="s">
        <v>13772</v>
      </c>
      <c r="DS2113" t="s">
        <v>14096</v>
      </c>
      <c r="DT2113" t="s">
        <v>13772</v>
      </c>
      <c r="DU2113" t="s">
        <v>15871</v>
      </c>
      <c r="DV2113" t="s">
        <v>13991</v>
      </c>
      <c r="DW2113" t="s">
        <v>13812</v>
      </c>
      <c r="DX2113" t="s">
        <v>18360</v>
      </c>
      <c r="DY2113" t="s">
        <v>18361</v>
      </c>
      <c r="DZ2113" t="s">
        <v>18362</v>
      </c>
      <c r="EA2113" t="s">
        <v>14116</v>
      </c>
      <c r="EB2113" t="s">
        <v>18363</v>
      </c>
    </row>
    <row r="2114" spans="1:132" hidden="1">
      <c r="A2114">
        <v>577</v>
      </c>
      <c r="B2114">
        <v>1</v>
      </c>
      <c r="C2114" t="s">
        <v>1436</v>
      </c>
      <c r="D2114" t="s">
        <v>73</v>
      </c>
      <c r="E2114" t="s">
        <v>73</v>
      </c>
      <c r="F2114" t="s">
        <v>73</v>
      </c>
      <c r="G2114" t="s">
        <v>73</v>
      </c>
      <c r="H2114">
        <v>10</v>
      </c>
      <c r="I2114">
        <v>329</v>
      </c>
      <c r="J2114">
        <v>34356</v>
      </c>
      <c r="K2114" t="s">
        <v>1437</v>
      </c>
      <c r="L2114">
        <f t="shared" si="130"/>
        <v>3</v>
      </c>
      <c r="N2114">
        <v>3</v>
      </c>
      <c r="O2114">
        <v>3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3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f t="shared" si="133"/>
        <v>3</v>
      </c>
      <c r="BW2114" s="16">
        <f t="shared" si="131"/>
        <v>0.15789473684210525</v>
      </c>
      <c r="BX2114" s="16">
        <f>COUNTIF($BC$6:BU2114, "=0") / COUNTIF($BC$6:BU2114, "&gt;-1")</f>
        <v>0.50113548451498591</v>
      </c>
      <c r="BY2114" s="18">
        <f>SUM($BC$6:BU2114) / $BY$4</f>
        <v>0.99847477254016681</v>
      </c>
      <c r="BZ2114" s="14">
        <f t="shared" si="132"/>
        <v>18</v>
      </c>
      <c r="CA2114" t="s">
        <v>5832</v>
      </c>
      <c r="CZ2114" t="s">
        <v>7696</v>
      </c>
      <c r="DA2114" t="s">
        <v>5904</v>
      </c>
      <c r="DB2114">
        <v>560.1</v>
      </c>
      <c r="DC2114" t="s">
        <v>19462</v>
      </c>
      <c r="DD2114" t="s">
        <v>19463</v>
      </c>
      <c r="DE2114" t="s">
        <v>19464</v>
      </c>
      <c r="DF2114" t="s">
        <v>19465</v>
      </c>
      <c r="DG2114" t="s">
        <v>19466</v>
      </c>
      <c r="DH2114" t="str">
        <f>"VSIG2"</f>
        <v>VSIG2</v>
      </c>
      <c r="DI2114" t="s">
        <v>19467</v>
      </c>
      <c r="DJ2114" t="s">
        <v>13777</v>
      </c>
      <c r="DK2114">
        <v>9606</v>
      </c>
      <c r="DL2114" s="34" t="str">
        <f>HYPERLINK("http://www.uniprot.org/uniprot/Q96IQ7", "Q96IQ7")</f>
        <v>Q96IQ7</v>
      </c>
      <c r="DM2114" t="s">
        <v>19468</v>
      </c>
      <c r="DN2114" t="s">
        <v>13772</v>
      </c>
      <c r="DO2114" t="s">
        <v>13825</v>
      </c>
      <c r="DP2114" t="s">
        <v>13841</v>
      </c>
      <c r="DQ2114" t="s">
        <v>13772</v>
      </c>
      <c r="DR2114" t="s">
        <v>13772</v>
      </c>
      <c r="DS2114" t="s">
        <v>13951</v>
      </c>
      <c r="DT2114" t="s">
        <v>13772</v>
      </c>
      <c r="DU2114" t="s">
        <v>13772</v>
      </c>
      <c r="DV2114" t="s">
        <v>13796</v>
      </c>
      <c r="DW2114" t="s">
        <v>13772</v>
      </c>
      <c r="DX2114" t="s">
        <v>13772</v>
      </c>
      <c r="DY2114" t="s">
        <v>19469</v>
      </c>
      <c r="DZ2114" t="s">
        <v>13772</v>
      </c>
      <c r="EA2114" t="s">
        <v>13772</v>
      </c>
      <c r="EB2114" t="s">
        <v>13772</v>
      </c>
    </row>
    <row r="2115" spans="1:132" hidden="1">
      <c r="A2115">
        <v>610</v>
      </c>
      <c r="B2115">
        <v>1</v>
      </c>
      <c r="C2115" t="s">
        <v>1509</v>
      </c>
      <c r="D2115" t="s">
        <v>1510</v>
      </c>
      <c r="E2115" t="s">
        <v>73</v>
      </c>
      <c r="F2115" t="s">
        <v>73</v>
      </c>
      <c r="G2115" t="s">
        <v>73</v>
      </c>
      <c r="H2115">
        <v>16.5</v>
      </c>
      <c r="I2115">
        <v>346</v>
      </c>
      <c r="J2115">
        <v>37198</v>
      </c>
      <c r="K2115" t="s">
        <v>1511</v>
      </c>
      <c r="L2115">
        <f t="shared" si="130"/>
        <v>3</v>
      </c>
      <c r="N2115">
        <v>3</v>
      </c>
      <c r="O2115">
        <v>3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2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f t="shared" si="133"/>
        <v>3</v>
      </c>
      <c r="BW2115" s="16">
        <f t="shared" si="131"/>
        <v>0.15789473684210525</v>
      </c>
      <c r="BX2115" s="16">
        <f>COUNTIF($BC$6:BU2115, "=0") / COUNTIF($BC$6:BU2115, "&gt;-1")</f>
        <v>0.50132202544275384</v>
      </c>
      <c r="BY2115" s="18">
        <f>SUM($BC$6:BU2115) / $BY$4</f>
        <v>0.99848762345077291</v>
      </c>
      <c r="BZ2115" s="14">
        <f t="shared" si="132"/>
        <v>17</v>
      </c>
      <c r="CA2115" t="s">
        <v>5832</v>
      </c>
      <c r="CZ2115" t="s">
        <v>7804</v>
      </c>
      <c r="DA2115" t="s">
        <v>5904</v>
      </c>
      <c r="DB2115">
        <v>589</v>
      </c>
      <c r="DC2115" t="s">
        <v>19813</v>
      </c>
      <c r="DD2115" t="s">
        <v>13772</v>
      </c>
      <c r="DE2115" t="s">
        <v>19814</v>
      </c>
      <c r="DF2115" t="s">
        <v>19815</v>
      </c>
      <c r="DG2115" t="s">
        <v>19816</v>
      </c>
      <c r="DH2115" t="str">
        <f>"LDLRAD3"</f>
        <v>LDLRAD3</v>
      </c>
      <c r="DI2115" t="s">
        <v>19817</v>
      </c>
      <c r="DJ2115" t="s">
        <v>13777</v>
      </c>
      <c r="DK2115">
        <v>9606</v>
      </c>
      <c r="DL2115" s="34" t="str">
        <f>HYPERLINK("http://www.uniprot.org/uniprot/Q86YD5", "Q86YD5")</f>
        <v>Q86YD5</v>
      </c>
      <c r="DM2115" t="s">
        <v>19818</v>
      </c>
      <c r="DN2115" t="s">
        <v>13772</v>
      </c>
      <c r="DO2115" t="s">
        <v>13792</v>
      </c>
      <c r="DP2115" t="s">
        <v>13841</v>
      </c>
      <c r="DQ2115" t="s">
        <v>13772</v>
      </c>
      <c r="DR2115" t="s">
        <v>13772</v>
      </c>
      <c r="DS2115" t="s">
        <v>13826</v>
      </c>
      <c r="DT2115" t="s">
        <v>13772</v>
      </c>
      <c r="DU2115" t="s">
        <v>13795</v>
      </c>
      <c r="DV2115" t="s">
        <v>19819</v>
      </c>
      <c r="DW2115" t="s">
        <v>13772</v>
      </c>
      <c r="DX2115" t="s">
        <v>19820</v>
      </c>
      <c r="DY2115" t="s">
        <v>13798</v>
      </c>
      <c r="DZ2115" t="s">
        <v>19821</v>
      </c>
      <c r="EA2115" t="s">
        <v>13772</v>
      </c>
      <c r="EB2115" t="s">
        <v>13772</v>
      </c>
    </row>
    <row r="2116" spans="1:132" hidden="1">
      <c r="A2116">
        <v>656</v>
      </c>
      <c r="B2116">
        <v>1</v>
      </c>
      <c r="C2116" t="s">
        <v>1619</v>
      </c>
      <c r="D2116" t="s">
        <v>1620</v>
      </c>
      <c r="E2116" t="s">
        <v>73</v>
      </c>
      <c r="F2116" t="s">
        <v>73</v>
      </c>
      <c r="G2116" t="s">
        <v>73</v>
      </c>
      <c r="H2116">
        <v>7.5</v>
      </c>
      <c r="I2116">
        <v>590</v>
      </c>
      <c r="J2116">
        <v>64667</v>
      </c>
      <c r="K2116" t="s">
        <v>1621</v>
      </c>
      <c r="L2116">
        <f t="shared" si="130"/>
        <v>3</v>
      </c>
      <c r="N2116">
        <v>3</v>
      </c>
      <c r="O2116">
        <v>3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2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1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f t="shared" si="133"/>
        <v>3</v>
      </c>
      <c r="BW2116" s="16">
        <f t="shared" si="131"/>
        <v>0.15789473684210525</v>
      </c>
      <c r="BX2116" s="16">
        <f>COUNTIF($BC$6:BU2116, "=0") / COUNTIF($BC$6:BU2116, "&gt;-1")</f>
        <v>0.50150838963823585</v>
      </c>
      <c r="BY2116" s="18">
        <f>SUM($BC$6:BU2116) / $BY$4</f>
        <v>0.99850047436137901</v>
      </c>
      <c r="BZ2116" s="14">
        <f t="shared" si="132"/>
        <v>17</v>
      </c>
      <c r="CA2116" t="s">
        <v>5832</v>
      </c>
      <c r="CZ2116" t="s">
        <v>7952</v>
      </c>
      <c r="DA2116" t="s">
        <v>5904</v>
      </c>
      <c r="DB2116">
        <v>1065.0999999999999</v>
      </c>
      <c r="DC2116" t="s">
        <v>20242</v>
      </c>
      <c r="DD2116" t="s">
        <v>20243</v>
      </c>
      <c r="DE2116" t="s">
        <v>20244</v>
      </c>
      <c r="DF2116" t="s">
        <v>20245</v>
      </c>
      <c r="DG2116" t="s">
        <v>20246</v>
      </c>
      <c r="DH2116" t="str">
        <f>"HACL1"</f>
        <v>HACL1</v>
      </c>
      <c r="DI2116" t="s">
        <v>20247</v>
      </c>
      <c r="DJ2116" t="s">
        <v>13777</v>
      </c>
      <c r="DK2116">
        <v>9606</v>
      </c>
      <c r="DL2116" s="34" t="str">
        <f>HYPERLINK("http://www.uniprot.org/uniprot/Q9UJ83", "Q9UJ83")</f>
        <v>Q9UJ83</v>
      </c>
      <c r="DM2116" t="s">
        <v>20248</v>
      </c>
      <c r="DN2116" t="s">
        <v>13772</v>
      </c>
      <c r="DO2116" t="s">
        <v>16689</v>
      </c>
      <c r="DP2116" t="s">
        <v>13841</v>
      </c>
      <c r="DQ2116" t="s">
        <v>13772</v>
      </c>
      <c r="DR2116" t="s">
        <v>13772</v>
      </c>
      <c r="DS2116" t="s">
        <v>13772</v>
      </c>
      <c r="DT2116" t="s">
        <v>20249</v>
      </c>
      <c r="DU2116" t="s">
        <v>15788</v>
      </c>
      <c r="DV2116" t="s">
        <v>13782</v>
      </c>
      <c r="DW2116" t="s">
        <v>13772</v>
      </c>
      <c r="DX2116" t="s">
        <v>20250</v>
      </c>
      <c r="DY2116" t="s">
        <v>20251</v>
      </c>
      <c r="DZ2116" t="s">
        <v>20252</v>
      </c>
      <c r="EA2116" t="s">
        <v>18150</v>
      </c>
      <c r="EB2116" t="s">
        <v>20253</v>
      </c>
    </row>
    <row r="2117" spans="1:132" hidden="1">
      <c r="A2117">
        <v>671</v>
      </c>
      <c r="B2117">
        <v>1</v>
      </c>
      <c r="C2117" t="s">
        <v>1652</v>
      </c>
      <c r="D2117" t="s">
        <v>73</v>
      </c>
      <c r="E2117" t="s">
        <v>73</v>
      </c>
      <c r="F2117" t="s">
        <v>73</v>
      </c>
      <c r="G2117" t="s">
        <v>73</v>
      </c>
      <c r="H2117">
        <v>12.5</v>
      </c>
      <c r="I2117">
        <v>400</v>
      </c>
      <c r="J2117">
        <v>44967</v>
      </c>
      <c r="K2117" t="s">
        <v>1653</v>
      </c>
      <c r="L2117">
        <f t="shared" si="130"/>
        <v>3</v>
      </c>
      <c r="N2117">
        <v>3</v>
      </c>
      <c r="O2117">
        <v>3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2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1</v>
      </c>
      <c r="BN2117" s="2">
        <v>2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f t="shared" si="133"/>
        <v>3</v>
      </c>
      <c r="BW2117" s="16">
        <f t="shared" si="131"/>
        <v>0.15789473684210525</v>
      </c>
      <c r="BX2117" s="16">
        <f>COUNTIF($BC$6:BU2117, "=0") / COUNTIF($BC$6:BU2117, "&gt;-1")</f>
        <v>0.50169457735247214</v>
      </c>
      <c r="BY2117" s="18">
        <f>SUM($BC$6:BU2117) / $BY$4</f>
        <v>0.99851332527198511</v>
      </c>
      <c r="BZ2117" s="14">
        <f t="shared" si="132"/>
        <v>17</v>
      </c>
      <c r="CA2117" t="s">
        <v>5832</v>
      </c>
      <c r="CZ2117" t="s">
        <v>8005</v>
      </c>
      <c r="DA2117" t="s">
        <v>5904</v>
      </c>
      <c r="DB2117">
        <v>769.2</v>
      </c>
      <c r="DC2117" t="s">
        <v>20404</v>
      </c>
      <c r="DD2117" t="s">
        <v>20405</v>
      </c>
      <c r="DE2117" t="s">
        <v>20406</v>
      </c>
      <c r="DF2117" t="s">
        <v>20407</v>
      </c>
      <c r="DG2117" t="s">
        <v>20408</v>
      </c>
      <c r="DH2117" t="str">
        <f>"TMEM43"</f>
        <v>TMEM43</v>
      </c>
      <c r="DI2117" t="s">
        <v>13772</v>
      </c>
      <c r="DJ2117" t="s">
        <v>13777</v>
      </c>
      <c r="DK2117">
        <v>9606</v>
      </c>
      <c r="DL2117" s="34" t="str">
        <f>HYPERLINK("http://www.uniprot.org/uniprot/Q9BTV4", "Q9BTV4")</f>
        <v>Q9BTV4</v>
      </c>
      <c r="DM2117" t="s">
        <v>20409</v>
      </c>
      <c r="DN2117" t="s">
        <v>13772</v>
      </c>
      <c r="DO2117" t="s">
        <v>20410</v>
      </c>
      <c r="DP2117" t="s">
        <v>13793</v>
      </c>
      <c r="DQ2117" t="s">
        <v>13772</v>
      </c>
      <c r="DR2117" t="s">
        <v>20411</v>
      </c>
      <c r="DS2117" t="s">
        <v>13925</v>
      </c>
      <c r="DT2117" t="s">
        <v>13772</v>
      </c>
      <c r="DU2117" t="s">
        <v>13772</v>
      </c>
      <c r="DV2117" t="s">
        <v>14020</v>
      </c>
      <c r="DW2117" t="s">
        <v>13772</v>
      </c>
      <c r="DX2117" t="s">
        <v>20412</v>
      </c>
      <c r="DY2117" t="s">
        <v>20413</v>
      </c>
      <c r="DZ2117" t="s">
        <v>20414</v>
      </c>
      <c r="EA2117" t="s">
        <v>13772</v>
      </c>
      <c r="EB2117" t="s">
        <v>13772</v>
      </c>
    </row>
    <row r="2118" spans="1:132" hidden="1">
      <c r="A2118">
        <v>675</v>
      </c>
      <c r="B2118">
        <v>1</v>
      </c>
      <c r="C2118" t="s">
        <v>1661</v>
      </c>
      <c r="D2118" t="s">
        <v>73</v>
      </c>
      <c r="E2118" t="s">
        <v>73</v>
      </c>
      <c r="F2118" t="s">
        <v>73</v>
      </c>
      <c r="G2118" t="s">
        <v>73</v>
      </c>
      <c r="H2118">
        <v>13.4</v>
      </c>
      <c r="I2118">
        <v>157</v>
      </c>
      <c r="J2118">
        <v>17779</v>
      </c>
      <c r="K2118" t="s">
        <v>1662</v>
      </c>
      <c r="L2118">
        <f t="shared" ref="L2118:L2181" si="134">N2118</f>
        <v>3</v>
      </c>
      <c r="N2118">
        <v>3</v>
      </c>
      <c r="O2118">
        <v>3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2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1</v>
      </c>
      <c r="BN2118" s="2">
        <v>2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f t="shared" si="133"/>
        <v>3</v>
      </c>
      <c r="BW2118" s="16">
        <f t="shared" ref="BW2118:BW2181" si="135">AVERAGE(BC2118:BU2118)</f>
        <v>0.15789473684210525</v>
      </c>
      <c r="BX2118" s="16">
        <f>COUNTIF($BC$6:BU2118, "=0") / COUNTIF($BC$6:BU2118, "&gt;-1")</f>
        <v>0.5018805888360276</v>
      </c>
      <c r="BY2118" s="18">
        <f>SUM($BC$6:BU2118) / $BY$4</f>
        <v>0.99852617618259121</v>
      </c>
      <c r="BZ2118" s="14">
        <f t="shared" ref="BZ2118:BZ2181" si="136">19-COUNTIF(BC2118:BU2118, "&gt;0")</f>
        <v>17</v>
      </c>
      <c r="CA2118" t="s">
        <v>5832</v>
      </c>
      <c r="CZ2118" t="s">
        <v>8018</v>
      </c>
      <c r="DA2118" t="s">
        <v>5904</v>
      </c>
      <c r="DB2118">
        <v>315.10000000000002</v>
      </c>
      <c r="DC2118" t="s">
        <v>20444</v>
      </c>
      <c r="DD2118" t="s">
        <v>20445</v>
      </c>
      <c r="DE2118" t="s">
        <v>20446</v>
      </c>
      <c r="DF2118" t="s">
        <v>20447</v>
      </c>
      <c r="DG2118" t="s">
        <v>20448</v>
      </c>
      <c r="DH2118" t="str">
        <f>"RPL24"</f>
        <v>RPL24</v>
      </c>
      <c r="DI2118" t="s">
        <v>13772</v>
      </c>
      <c r="DJ2118" t="s">
        <v>13777</v>
      </c>
      <c r="DK2118">
        <v>9606</v>
      </c>
      <c r="DL2118" s="34" t="str">
        <f>HYPERLINK("http://www.uniprot.org/uniprot/P83731", "P83731")</f>
        <v>P83731</v>
      </c>
      <c r="DM2118" t="s">
        <v>15074</v>
      </c>
      <c r="DN2118" t="s">
        <v>13772</v>
      </c>
      <c r="DO2118" t="s">
        <v>13772</v>
      </c>
      <c r="DP2118" t="s">
        <v>13772</v>
      </c>
      <c r="DQ2118" t="s">
        <v>13772</v>
      </c>
      <c r="DR2118" t="s">
        <v>13772</v>
      </c>
      <c r="DS2118" t="s">
        <v>13772</v>
      </c>
      <c r="DT2118" t="s">
        <v>13772</v>
      </c>
      <c r="DU2118" t="s">
        <v>13937</v>
      </c>
      <c r="DV2118" t="s">
        <v>13991</v>
      </c>
      <c r="DW2118" t="s">
        <v>13812</v>
      </c>
      <c r="DX2118" t="s">
        <v>20449</v>
      </c>
      <c r="DY2118" t="s">
        <v>20450</v>
      </c>
      <c r="DZ2118" t="s">
        <v>20451</v>
      </c>
      <c r="EA2118" t="s">
        <v>13772</v>
      </c>
      <c r="EB2118" t="s">
        <v>13942</v>
      </c>
    </row>
    <row r="2119" spans="1:132" hidden="1">
      <c r="A2119">
        <v>679</v>
      </c>
      <c r="B2119">
        <v>1</v>
      </c>
      <c r="C2119" t="s">
        <v>1671</v>
      </c>
      <c r="D2119" t="s">
        <v>1672</v>
      </c>
      <c r="E2119" t="s">
        <v>73</v>
      </c>
      <c r="F2119" t="s">
        <v>73</v>
      </c>
      <c r="G2119" t="s">
        <v>73</v>
      </c>
      <c r="H2119">
        <v>11.7</v>
      </c>
      <c r="I2119">
        <v>368</v>
      </c>
      <c r="J2119">
        <v>39209</v>
      </c>
      <c r="K2119" t="s">
        <v>1673</v>
      </c>
      <c r="L2119">
        <f t="shared" si="134"/>
        <v>3</v>
      </c>
      <c r="N2119">
        <v>3</v>
      </c>
      <c r="O2119">
        <v>3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2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0</v>
      </c>
      <c r="BI2119" s="2">
        <v>0</v>
      </c>
      <c r="BJ2119" s="2">
        <v>0</v>
      </c>
      <c r="BK2119" s="2">
        <v>2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f t="shared" ref="BV2119:BV2182" si="137">SUM(BC2119:BU2119)</f>
        <v>3</v>
      </c>
      <c r="BW2119" s="16">
        <f t="shared" si="135"/>
        <v>0.15789473684210525</v>
      </c>
      <c r="BX2119" s="16">
        <f>COUNTIF($BC$6:BU2119, "=0") / COUNTIF($BC$6:BU2119, "&gt;-1")</f>
        <v>0.50206642433899318</v>
      </c>
      <c r="BY2119" s="18">
        <f>SUM($BC$6:BU2119) / $BY$4</f>
        <v>0.99853902709319731</v>
      </c>
      <c r="BZ2119" s="14">
        <f t="shared" si="136"/>
        <v>17</v>
      </c>
      <c r="CA2119" t="s">
        <v>5832</v>
      </c>
      <c r="CZ2119" t="s">
        <v>8035</v>
      </c>
      <c r="DA2119" t="s">
        <v>5904</v>
      </c>
      <c r="DB2119">
        <v>561.6</v>
      </c>
      <c r="DC2119" t="s">
        <v>20482</v>
      </c>
      <c r="DD2119" t="s">
        <v>20483</v>
      </c>
      <c r="DE2119" t="s">
        <v>20484</v>
      </c>
      <c r="DF2119" t="s">
        <v>20485</v>
      </c>
      <c r="DG2119" t="s">
        <v>20486</v>
      </c>
      <c r="DH2119" t="str">
        <f>"GIPC1"</f>
        <v>GIPC1</v>
      </c>
      <c r="DI2119" t="s">
        <v>20487</v>
      </c>
      <c r="DJ2119" t="s">
        <v>13777</v>
      </c>
      <c r="DK2119">
        <v>9606</v>
      </c>
      <c r="DL2119" s="34" t="str">
        <f>HYPERLINK("http://www.uniprot.org/uniprot/O14908", "O14908")</f>
        <v>O14908</v>
      </c>
      <c r="DM2119" t="s">
        <v>20488</v>
      </c>
      <c r="DN2119" t="s">
        <v>13772</v>
      </c>
      <c r="DO2119" t="s">
        <v>15896</v>
      </c>
      <c r="DP2119" t="s">
        <v>13841</v>
      </c>
      <c r="DQ2119" t="s">
        <v>13772</v>
      </c>
      <c r="DR2119" t="s">
        <v>13772</v>
      </c>
      <c r="DS2119" t="s">
        <v>13772</v>
      </c>
      <c r="DT2119" t="s">
        <v>13772</v>
      </c>
      <c r="DU2119" t="s">
        <v>13772</v>
      </c>
      <c r="DV2119" t="s">
        <v>13782</v>
      </c>
      <c r="DW2119" t="s">
        <v>13772</v>
      </c>
      <c r="DX2119" t="s">
        <v>20489</v>
      </c>
      <c r="DY2119" t="s">
        <v>20490</v>
      </c>
      <c r="DZ2119" t="s">
        <v>20491</v>
      </c>
      <c r="EA2119" t="s">
        <v>13772</v>
      </c>
      <c r="EB2119" t="s">
        <v>13772</v>
      </c>
    </row>
    <row r="2120" spans="1:132" hidden="1">
      <c r="A2120">
        <v>741</v>
      </c>
      <c r="B2120">
        <v>1</v>
      </c>
      <c r="C2120" t="s">
        <v>1821</v>
      </c>
      <c r="D2120" t="s">
        <v>73</v>
      </c>
      <c r="E2120" t="s">
        <v>73</v>
      </c>
      <c r="F2120" t="s">
        <v>73</v>
      </c>
      <c r="G2120" t="s">
        <v>73</v>
      </c>
      <c r="H2120">
        <v>16.899999999999999</v>
      </c>
      <c r="I2120">
        <v>320</v>
      </c>
      <c r="J2120">
        <v>35581</v>
      </c>
      <c r="K2120" t="s">
        <v>1822</v>
      </c>
      <c r="L2120">
        <f t="shared" si="134"/>
        <v>3</v>
      </c>
      <c r="N2120">
        <v>3</v>
      </c>
      <c r="O2120">
        <v>3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1</v>
      </c>
      <c r="BL2120" s="2">
        <v>0</v>
      </c>
      <c r="BM2120" s="2">
        <v>2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f t="shared" si="137"/>
        <v>3</v>
      </c>
      <c r="BW2120" s="16">
        <f t="shared" si="135"/>
        <v>0.15789473684210525</v>
      </c>
      <c r="BX2120" s="16">
        <f>COUNTIF($BC$6:BU2120, "=0") / COUNTIF($BC$6:BU2120, "&gt;-1")</f>
        <v>0.50225208411098665</v>
      </c>
      <c r="BY2120" s="18">
        <f>SUM($BC$6:BU2120) / $BY$4</f>
        <v>0.99855187800380341</v>
      </c>
      <c r="BZ2120" s="14">
        <f t="shared" si="136"/>
        <v>17</v>
      </c>
      <c r="CA2120" t="s">
        <v>5832</v>
      </c>
      <c r="CZ2120" t="s">
        <v>8234</v>
      </c>
      <c r="DA2120" t="s">
        <v>5904</v>
      </c>
      <c r="DB2120">
        <v>659.1</v>
      </c>
      <c r="DC2120" t="s">
        <v>21066</v>
      </c>
      <c r="DD2120" t="s">
        <v>21067</v>
      </c>
      <c r="DE2120" t="s">
        <v>21068</v>
      </c>
      <c r="DF2120" t="s">
        <v>21069</v>
      </c>
      <c r="DG2120" t="s">
        <v>21070</v>
      </c>
      <c r="DH2120" t="str">
        <f>"EIF3G"</f>
        <v>EIF3G</v>
      </c>
      <c r="DI2120" t="s">
        <v>13772</v>
      </c>
      <c r="DJ2120" t="s">
        <v>13777</v>
      </c>
      <c r="DK2120">
        <v>9606</v>
      </c>
      <c r="DL2120" s="34" t="str">
        <f>HYPERLINK("http://www.uniprot.org/uniprot/O75821", "O75821")</f>
        <v>O75821</v>
      </c>
      <c r="DM2120" t="s">
        <v>21071</v>
      </c>
      <c r="DN2120" t="s">
        <v>17925</v>
      </c>
      <c r="DO2120" t="s">
        <v>13912</v>
      </c>
      <c r="DP2120" t="s">
        <v>13772</v>
      </c>
      <c r="DQ2120" t="s">
        <v>13772</v>
      </c>
      <c r="DR2120" t="s">
        <v>13772</v>
      </c>
      <c r="DS2120" t="s">
        <v>13772</v>
      </c>
      <c r="DT2120" t="s">
        <v>13772</v>
      </c>
      <c r="DU2120" t="s">
        <v>15189</v>
      </c>
      <c r="DV2120" t="s">
        <v>13782</v>
      </c>
      <c r="DW2120" t="s">
        <v>13812</v>
      </c>
      <c r="DX2120" t="s">
        <v>21072</v>
      </c>
      <c r="DY2120" t="s">
        <v>21073</v>
      </c>
      <c r="DZ2120" t="s">
        <v>21074</v>
      </c>
      <c r="EA2120" t="s">
        <v>13772</v>
      </c>
      <c r="EB2120" t="s">
        <v>21075</v>
      </c>
    </row>
    <row r="2121" spans="1:132" hidden="1">
      <c r="A2121">
        <v>815</v>
      </c>
      <c r="B2121">
        <v>1</v>
      </c>
      <c r="C2121" t="s">
        <v>1999</v>
      </c>
      <c r="D2121" t="s">
        <v>2000</v>
      </c>
      <c r="E2121" t="s">
        <v>73</v>
      </c>
      <c r="F2121" t="s">
        <v>73</v>
      </c>
      <c r="G2121" t="s">
        <v>73</v>
      </c>
      <c r="H2121">
        <v>6.9</v>
      </c>
      <c r="I2121">
        <v>363</v>
      </c>
      <c r="J2121">
        <v>40865</v>
      </c>
      <c r="K2121" t="s">
        <v>2001</v>
      </c>
      <c r="L2121">
        <f t="shared" si="134"/>
        <v>3</v>
      </c>
      <c r="N2121">
        <v>3</v>
      </c>
      <c r="O2121">
        <v>3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3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3</v>
      </c>
      <c r="AY2121">
        <v>0</v>
      </c>
      <c r="AZ2121">
        <v>0</v>
      </c>
      <c r="BA2121">
        <v>0</v>
      </c>
      <c r="BB2121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3</v>
      </c>
      <c r="BR2121" s="2">
        <v>0</v>
      </c>
      <c r="BS2121" s="2">
        <v>0</v>
      </c>
      <c r="BT2121" s="2">
        <v>0</v>
      </c>
      <c r="BU2121" s="2">
        <v>0</v>
      </c>
      <c r="BV2121" s="2">
        <f t="shared" si="137"/>
        <v>3</v>
      </c>
      <c r="BW2121" s="16">
        <f t="shared" si="135"/>
        <v>0.15789473684210525</v>
      </c>
      <c r="BX2121" s="16">
        <f>COUNTIF($BC$6:BU2121, "=0") / COUNTIF($BC$6:BU2121, "&gt;-1")</f>
        <v>0.50246244154810471</v>
      </c>
      <c r="BY2121" s="18">
        <f>SUM($BC$6:BU2121) / $BY$4</f>
        <v>0.99856472891440951</v>
      </c>
      <c r="BZ2121" s="14">
        <f t="shared" si="136"/>
        <v>18</v>
      </c>
      <c r="CA2121" t="s">
        <v>5832</v>
      </c>
      <c r="CZ2121" t="s">
        <v>8491</v>
      </c>
      <c r="DA2121" t="s">
        <v>5904</v>
      </c>
      <c r="DB2121">
        <v>699.5</v>
      </c>
      <c r="DC2121" t="s">
        <v>21833</v>
      </c>
      <c r="DD2121" t="s">
        <v>21834</v>
      </c>
      <c r="DE2121" t="s">
        <v>21835</v>
      </c>
      <c r="DF2121" t="s">
        <v>21836</v>
      </c>
      <c r="DG2121" t="s">
        <v>21837</v>
      </c>
      <c r="DH2121" t="str">
        <f>"LMCD1"</f>
        <v>LMCD1</v>
      </c>
      <c r="DI2121" t="s">
        <v>13772</v>
      </c>
      <c r="DJ2121" t="s">
        <v>13777</v>
      </c>
      <c r="DK2121">
        <v>9606</v>
      </c>
      <c r="DL2121" s="34" t="str">
        <f>HYPERLINK("http://www.uniprot.org/uniprot/Q9NZU5", "Q9NZU5")</f>
        <v>Q9NZU5</v>
      </c>
      <c r="DM2121" t="s">
        <v>21838</v>
      </c>
      <c r="DN2121" t="s">
        <v>14445</v>
      </c>
      <c r="DO2121" t="s">
        <v>13912</v>
      </c>
      <c r="DP2121" t="s">
        <v>13841</v>
      </c>
      <c r="DQ2121" t="s">
        <v>13772</v>
      </c>
      <c r="DR2121" t="s">
        <v>13772</v>
      </c>
      <c r="DS2121" t="s">
        <v>15529</v>
      </c>
      <c r="DT2121" t="s">
        <v>13856</v>
      </c>
      <c r="DU2121" t="s">
        <v>14615</v>
      </c>
      <c r="DV2121" t="s">
        <v>13782</v>
      </c>
      <c r="DW2121" t="s">
        <v>13772</v>
      </c>
      <c r="DX2121" t="s">
        <v>21839</v>
      </c>
      <c r="DY2121" t="s">
        <v>21840</v>
      </c>
      <c r="DZ2121" t="s">
        <v>21841</v>
      </c>
      <c r="EA2121" t="s">
        <v>13772</v>
      </c>
      <c r="EB2121" t="s">
        <v>15391</v>
      </c>
    </row>
    <row r="2122" spans="1:132" hidden="1">
      <c r="A2122">
        <v>856</v>
      </c>
      <c r="B2122">
        <v>1</v>
      </c>
      <c r="C2122" t="s">
        <v>2099</v>
      </c>
      <c r="D2122" t="s">
        <v>73</v>
      </c>
      <c r="E2122" t="s">
        <v>73</v>
      </c>
      <c r="F2122" t="s">
        <v>73</v>
      </c>
      <c r="G2122" t="s">
        <v>73</v>
      </c>
      <c r="H2122">
        <v>3</v>
      </c>
      <c r="I2122">
        <v>1320</v>
      </c>
      <c r="J2122">
        <v>144957</v>
      </c>
      <c r="K2122" t="s">
        <v>2100</v>
      </c>
      <c r="L2122">
        <f t="shared" si="134"/>
        <v>3</v>
      </c>
      <c r="N2122">
        <v>3</v>
      </c>
      <c r="O2122">
        <v>3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3</v>
      </c>
      <c r="AY2122">
        <v>0</v>
      </c>
      <c r="AZ2122">
        <v>0</v>
      </c>
      <c r="BA2122">
        <v>0</v>
      </c>
      <c r="BB212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3</v>
      </c>
      <c r="BR2122" s="2">
        <v>0</v>
      </c>
      <c r="BS2122" s="2">
        <v>0</v>
      </c>
      <c r="BT2122" s="2">
        <v>0</v>
      </c>
      <c r="BU2122" s="2">
        <v>0</v>
      </c>
      <c r="BV2122" s="2">
        <f t="shared" si="137"/>
        <v>3</v>
      </c>
      <c r="BW2122" s="16">
        <f t="shared" si="135"/>
        <v>0.15789473684210525</v>
      </c>
      <c r="BX2122" s="16">
        <f>COUNTIF($BC$6:BU2122, "=0") / COUNTIF($BC$6:BU2122, "&gt;-1")</f>
        <v>0.50267260025358629</v>
      </c>
      <c r="BY2122" s="18">
        <f>SUM($BC$6:BU2122) / $BY$4</f>
        <v>0.9985775798250156</v>
      </c>
      <c r="BZ2122" s="14">
        <f t="shared" si="136"/>
        <v>18</v>
      </c>
      <c r="CA2122" t="s">
        <v>5832</v>
      </c>
      <c r="CZ2122" t="s">
        <v>8633</v>
      </c>
      <c r="DA2122" t="s">
        <v>5904</v>
      </c>
      <c r="DB2122">
        <v>2473.3000000000002</v>
      </c>
      <c r="DC2122" t="s">
        <v>22226</v>
      </c>
      <c r="DD2122" t="s">
        <v>22227</v>
      </c>
      <c r="DE2122" t="s">
        <v>22228</v>
      </c>
      <c r="DF2122" t="s">
        <v>22229</v>
      </c>
      <c r="DG2122" t="s">
        <v>22230</v>
      </c>
      <c r="DH2122" t="str">
        <f>"MYPN"</f>
        <v>MYPN</v>
      </c>
      <c r="DI2122" t="s">
        <v>22231</v>
      </c>
      <c r="DJ2122" t="s">
        <v>13777</v>
      </c>
      <c r="DK2122">
        <v>9606</v>
      </c>
      <c r="DL2122" s="34" t="str">
        <f>HYPERLINK("http://www.uniprot.org/uniprot/Q86TC9", "Q86TC9")</f>
        <v>Q86TC9</v>
      </c>
      <c r="DM2122" t="s">
        <v>22232</v>
      </c>
      <c r="DN2122" t="s">
        <v>13772</v>
      </c>
      <c r="DO2122" t="s">
        <v>13912</v>
      </c>
      <c r="DP2122" t="s">
        <v>13780</v>
      </c>
      <c r="DQ2122" t="s">
        <v>13772</v>
      </c>
      <c r="DR2122" t="s">
        <v>22233</v>
      </c>
      <c r="DS2122" t="s">
        <v>16679</v>
      </c>
      <c r="DT2122" t="s">
        <v>13772</v>
      </c>
      <c r="DU2122" t="s">
        <v>13990</v>
      </c>
      <c r="DV2122" t="s">
        <v>15554</v>
      </c>
      <c r="DW2122" t="s">
        <v>13772</v>
      </c>
      <c r="DX2122" t="s">
        <v>22234</v>
      </c>
      <c r="DY2122" t="s">
        <v>22235</v>
      </c>
      <c r="DZ2122" t="s">
        <v>22236</v>
      </c>
      <c r="EA2122" t="s">
        <v>13772</v>
      </c>
      <c r="EB2122" t="s">
        <v>13772</v>
      </c>
    </row>
    <row r="2123" spans="1:132" hidden="1">
      <c r="A2123">
        <v>888</v>
      </c>
      <c r="B2123">
        <v>1</v>
      </c>
      <c r="C2123" t="s">
        <v>2171</v>
      </c>
      <c r="D2123" t="s">
        <v>2172</v>
      </c>
      <c r="E2123" t="s">
        <v>73</v>
      </c>
      <c r="F2123" t="s">
        <v>73</v>
      </c>
      <c r="G2123" t="s">
        <v>73</v>
      </c>
      <c r="H2123">
        <v>7.3</v>
      </c>
      <c r="I2123">
        <v>643</v>
      </c>
      <c r="J2123">
        <v>72700</v>
      </c>
      <c r="K2123" t="s">
        <v>2173</v>
      </c>
      <c r="L2123">
        <f t="shared" si="134"/>
        <v>3</v>
      </c>
      <c r="N2123">
        <v>3</v>
      </c>
      <c r="O2123">
        <v>3</v>
      </c>
      <c r="P2123">
        <v>1</v>
      </c>
      <c r="Q2123">
        <v>0</v>
      </c>
      <c r="R2123">
        <v>3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 s="2">
        <v>0</v>
      </c>
      <c r="BD2123" s="2">
        <v>3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f t="shared" si="137"/>
        <v>3</v>
      </c>
      <c r="BW2123" s="16">
        <f t="shared" si="135"/>
        <v>0.15789473684210525</v>
      </c>
      <c r="BX2123" s="16">
        <f>COUNTIF($BC$6:BU2123, "=0") / COUNTIF($BC$6:BU2123, "&gt;-1")</f>
        <v>0.50288256050892099</v>
      </c>
      <c r="BY2123" s="18">
        <f>SUM($BC$6:BU2123) / $BY$4</f>
        <v>0.9985904307356217</v>
      </c>
      <c r="BZ2123" s="14">
        <f t="shared" si="136"/>
        <v>18</v>
      </c>
      <c r="CA2123" t="s">
        <v>5832</v>
      </c>
      <c r="CZ2123" t="s">
        <v>8741</v>
      </c>
      <c r="DA2123" t="s">
        <v>5904</v>
      </c>
      <c r="DB2123">
        <v>1084.7</v>
      </c>
      <c r="DC2123" t="s">
        <v>22536</v>
      </c>
      <c r="DD2123" t="s">
        <v>22537</v>
      </c>
      <c r="DE2123" t="s">
        <v>22538</v>
      </c>
      <c r="DF2123" t="s">
        <v>22539</v>
      </c>
      <c r="DG2123" t="s">
        <v>22540</v>
      </c>
      <c r="DH2123" t="str">
        <f>"BCHE"</f>
        <v>BCHE</v>
      </c>
      <c r="DI2123" t="s">
        <v>22541</v>
      </c>
      <c r="DJ2123" t="s">
        <v>13777</v>
      </c>
      <c r="DK2123">
        <v>9606</v>
      </c>
      <c r="DL2123" s="34" t="str">
        <f>HYPERLINK("http://www.uniprot.org/uniprot/P06276", "P06276")</f>
        <v>P06276</v>
      </c>
      <c r="DM2123" t="s">
        <v>22542</v>
      </c>
      <c r="DN2123" t="s">
        <v>13772</v>
      </c>
      <c r="DO2123" t="s">
        <v>14321</v>
      </c>
      <c r="DP2123" t="s">
        <v>13793</v>
      </c>
      <c r="DQ2123" t="s">
        <v>13772</v>
      </c>
      <c r="DR2123" t="s">
        <v>13807</v>
      </c>
      <c r="DS2123" t="s">
        <v>13808</v>
      </c>
      <c r="DT2123" t="s">
        <v>17535</v>
      </c>
      <c r="DU2123" t="s">
        <v>22543</v>
      </c>
      <c r="DV2123" t="s">
        <v>13964</v>
      </c>
      <c r="DW2123" t="s">
        <v>13812</v>
      </c>
      <c r="DX2123" t="s">
        <v>22544</v>
      </c>
      <c r="DY2123" t="s">
        <v>22545</v>
      </c>
      <c r="DZ2123" t="s">
        <v>22546</v>
      </c>
      <c r="EA2123" t="s">
        <v>13772</v>
      </c>
      <c r="EB2123" t="s">
        <v>22547</v>
      </c>
    </row>
    <row r="2124" spans="1:132" hidden="1">
      <c r="A2124">
        <v>938</v>
      </c>
      <c r="B2124">
        <v>1</v>
      </c>
      <c r="C2124" t="s">
        <v>2282</v>
      </c>
      <c r="D2124" t="s">
        <v>2283</v>
      </c>
      <c r="E2124" t="s">
        <v>73</v>
      </c>
      <c r="F2124" t="s">
        <v>73</v>
      </c>
      <c r="G2124" t="s">
        <v>73</v>
      </c>
      <c r="H2124">
        <v>9.9</v>
      </c>
      <c r="I2124">
        <v>364</v>
      </c>
      <c r="J2124">
        <v>41757</v>
      </c>
      <c r="K2124" t="s">
        <v>2284</v>
      </c>
      <c r="L2124">
        <f t="shared" si="134"/>
        <v>3</v>
      </c>
      <c r="N2124">
        <v>3</v>
      </c>
      <c r="O2124">
        <v>3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1</v>
      </c>
      <c r="BL2124" s="2">
        <v>0</v>
      </c>
      <c r="BM2124" s="2">
        <v>2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f t="shared" si="137"/>
        <v>3</v>
      </c>
      <c r="BW2124" s="16">
        <f t="shared" si="135"/>
        <v>0.15789473684210525</v>
      </c>
      <c r="BX2124" s="16">
        <f>COUNTIF($BC$6:BU2124, "=0") / COUNTIF($BC$6:BU2124, "&gt;-1")</f>
        <v>0.50306748466257667</v>
      </c>
      <c r="BY2124" s="18">
        <f>SUM($BC$6:BU2124) / $BY$4</f>
        <v>0.9986032816462278</v>
      </c>
      <c r="BZ2124" s="14">
        <f t="shared" si="136"/>
        <v>17</v>
      </c>
      <c r="CA2124" t="s">
        <v>5832</v>
      </c>
      <c r="CZ2124" t="s">
        <v>8914</v>
      </c>
      <c r="DA2124" t="s">
        <v>5904</v>
      </c>
      <c r="DB2124">
        <v>635.6</v>
      </c>
      <c r="DC2124" t="s">
        <v>23036</v>
      </c>
      <c r="DD2124" t="s">
        <v>23037</v>
      </c>
      <c r="DE2124" t="s">
        <v>23038</v>
      </c>
      <c r="DF2124" t="s">
        <v>23039</v>
      </c>
      <c r="DG2124" t="s">
        <v>23040</v>
      </c>
      <c r="DH2124" t="str">
        <f>"PPP1R7"</f>
        <v>PPP1R7</v>
      </c>
      <c r="DI2124" t="s">
        <v>23041</v>
      </c>
      <c r="DJ2124" t="s">
        <v>13777</v>
      </c>
      <c r="DK2124">
        <v>9606</v>
      </c>
      <c r="DL2124" s="34" t="str">
        <f>HYPERLINK("http://www.uniprot.org/uniprot/Q15435", "Q15435")</f>
        <v>Q15435</v>
      </c>
      <c r="DM2124" t="s">
        <v>23042</v>
      </c>
      <c r="DN2124" t="s">
        <v>13772</v>
      </c>
      <c r="DO2124" t="s">
        <v>14825</v>
      </c>
      <c r="DP2124" t="s">
        <v>13841</v>
      </c>
      <c r="DQ2124" t="s">
        <v>13772</v>
      </c>
      <c r="DR2124" t="s">
        <v>13772</v>
      </c>
      <c r="DS2124" t="s">
        <v>14614</v>
      </c>
      <c r="DT2124" t="s">
        <v>13772</v>
      </c>
      <c r="DU2124" t="s">
        <v>13772</v>
      </c>
      <c r="DV2124" t="s">
        <v>13886</v>
      </c>
      <c r="DW2124" t="s">
        <v>13812</v>
      </c>
      <c r="DX2124" t="s">
        <v>23043</v>
      </c>
      <c r="DY2124" t="s">
        <v>23044</v>
      </c>
      <c r="DZ2124" t="s">
        <v>23045</v>
      </c>
      <c r="EA2124" t="s">
        <v>13772</v>
      </c>
      <c r="EB2124" t="s">
        <v>13772</v>
      </c>
    </row>
    <row r="2125" spans="1:132" hidden="1">
      <c r="A2125">
        <v>979</v>
      </c>
      <c r="B2125">
        <v>1</v>
      </c>
      <c r="C2125" t="s">
        <v>2376</v>
      </c>
      <c r="D2125" t="s">
        <v>2377</v>
      </c>
      <c r="E2125" t="s">
        <v>73</v>
      </c>
      <c r="F2125" t="s">
        <v>73</v>
      </c>
      <c r="G2125" t="s">
        <v>73</v>
      </c>
      <c r="H2125">
        <v>10.4</v>
      </c>
      <c r="I2125">
        <v>211</v>
      </c>
      <c r="J2125">
        <v>24346</v>
      </c>
      <c r="K2125" t="s">
        <v>2378</v>
      </c>
      <c r="L2125">
        <f t="shared" si="134"/>
        <v>3</v>
      </c>
      <c r="N2125">
        <v>3</v>
      </c>
      <c r="O2125">
        <v>3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1</v>
      </c>
      <c r="BL2125" s="2">
        <v>0</v>
      </c>
      <c r="BM2125" s="2">
        <v>2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f t="shared" si="137"/>
        <v>3</v>
      </c>
      <c r="BW2125" s="16">
        <f t="shared" si="135"/>
        <v>0.15789473684210525</v>
      </c>
      <c r="BX2125" s="16">
        <f>COUNTIF($BC$6:BU2125, "=0") / COUNTIF($BC$6:BU2125, "&gt;-1")</f>
        <v>0.50325223435948363</v>
      </c>
      <c r="BY2125" s="18">
        <f>SUM($BC$6:BU2125) / $BY$4</f>
        <v>0.9986161325568339</v>
      </c>
      <c r="BZ2125" s="14">
        <f t="shared" si="136"/>
        <v>17</v>
      </c>
      <c r="CA2125" t="s">
        <v>5832</v>
      </c>
      <c r="CZ2125" t="s">
        <v>9051</v>
      </c>
      <c r="DA2125" t="s">
        <v>5904</v>
      </c>
      <c r="DB2125">
        <v>363.6</v>
      </c>
      <c r="DC2125" t="s">
        <v>23432</v>
      </c>
      <c r="DD2125" t="s">
        <v>23433</v>
      </c>
      <c r="DE2125" t="s">
        <v>23434</v>
      </c>
      <c r="DF2125" t="s">
        <v>23435</v>
      </c>
      <c r="DG2125" t="s">
        <v>23436</v>
      </c>
      <c r="DH2125" t="str">
        <f>"UBE2F"</f>
        <v>UBE2F</v>
      </c>
      <c r="DI2125" t="s">
        <v>23437</v>
      </c>
      <c r="DJ2125" t="s">
        <v>13777</v>
      </c>
      <c r="DK2125">
        <v>9606</v>
      </c>
      <c r="DL2125" s="34" t="str">
        <f>HYPERLINK("http://www.uniprot.org/uniprot/Q969M7", "Q969M7")</f>
        <v>Q969M7</v>
      </c>
      <c r="DM2125" t="s">
        <v>23438</v>
      </c>
      <c r="DN2125" t="s">
        <v>14109</v>
      </c>
      <c r="DO2125" t="s">
        <v>13772</v>
      </c>
      <c r="DP2125" t="s">
        <v>13841</v>
      </c>
      <c r="DQ2125" t="s">
        <v>13772</v>
      </c>
      <c r="DR2125" t="s">
        <v>13772</v>
      </c>
      <c r="DS2125" t="s">
        <v>13772</v>
      </c>
      <c r="DT2125" t="s">
        <v>14005</v>
      </c>
      <c r="DU2125" t="s">
        <v>14111</v>
      </c>
      <c r="DV2125" t="s">
        <v>14020</v>
      </c>
      <c r="DW2125" t="s">
        <v>13812</v>
      </c>
      <c r="DX2125" t="s">
        <v>23439</v>
      </c>
      <c r="DY2125" t="s">
        <v>13902</v>
      </c>
      <c r="DZ2125" t="s">
        <v>23440</v>
      </c>
      <c r="EA2125" t="s">
        <v>23441</v>
      </c>
      <c r="EB2125" t="s">
        <v>23078</v>
      </c>
    </row>
    <row r="2126" spans="1:132" hidden="1">
      <c r="A2126">
        <v>999</v>
      </c>
      <c r="B2126">
        <v>1</v>
      </c>
      <c r="C2126" t="s">
        <v>2421</v>
      </c>
      <c r="D2126" t="s">
        <v>73</v>
      </c>
      <c r="E2126" t="s">
        <v>73</v>
      </c>
      <c r="F2126" t="s">
        <v>73</v>
      </c>
      <c r="G2126" t="s">
        <v>73</v>
      </c>
      <c r="H2126">
        <v>10.1</v>
      </c>
      <c r="I2126">
        <v>507</v>
      </c>
      <c r="J2126">
        <v>56527</v>
      </c>
      <c r="K2126" t="s">
        <v>2422</v>
      </c>
      <c r="L2126">
        <f t="shared" si="134"/>
        <v>3</v>
      </c>
      <c r="N2126">
        <v>3</v>
      </c>
      <c r="O2126">
        <v>3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2</v>
      </c>
      <c r="BN2126" s="2">
        <v>1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f t="shared" si="137"/>
        <v>3</v>
      </c>
      <c r="BW2126" s="16">
        <f t="shared" si="135"/>
        <v>0.15789473684210525</v>
      </c>
      <c r="BX2126" s="16">
        <f>COUNTIF($BC$6:BU2126, "=0") / COUNTIF($BC$6:BU2126, "&gt;-1")</f>
        <v>0.50343680984639816</v>
      </c>
      <c r="BY2126" s="18">
        <f>SUM($BC$6:BU2126) / $BY$4</f>
        <v>0.99862898346744</v>
      </c>
      <c r="BZ2126" s="14">
        <f t="shared" si="136"/>
        <v>17</v>
      </c>
      <c r="CA2126" t="s">
        <v>5832</v>
      </c>
      <c r="CZ2126" t="s">
        <v>9112</v>
      </c>
      <c r="DA2126" t="s">
        <v>5904</v>
      </c>
      <c r="DB2126">
        <v>873.6</v>
      </c>
      <c r="DC2126" t="s">
        <v>23600</v>
      </c>
      <c r="DD2126" t="s">
        <v>23601</v>
      </c>
      <c r="DE2126" t="s">
        <v>23602</v>
      </c>
      <c r="DF2126" t="s">
        <v>23603</v>
      </c>
      <c r="DG2126" t="s">
        <v>23604</v>
      </c>
      <c r="DH2126" t="str">
        <f>"UBXN4"</f>
        <v>UBXN4</v>
      </c>
      <c r="DI2126" t="s">
        <v>23605</v>
      </c>
      <c r="DJ2126" t="s">
        <v>13777</v>
      </c>
      <c r="DK2126">
        <v>9606</v>
      </c>
      <c r="DL2126" s="34" t="str">
        <f>HYPERLINK("http://www.uniprot.org/uniprot/Q92575", "Q92575")</f>
        <v>Q92575</v>
      </c>
      <c r="DM2126" t="s">
        <v>23606</v>
      </c>
      <c r="DN2126" t="s">
        <v>23607</v>
      </c>
      <c r="DO2126" t="s">
        <v>20410</v>
      </c>
      <c r="DP2126" t="s">
        <v>13793</v>
      </c>
      <c r="DQ2126" t="s">
        <v>13772</v>
      </c>
      <c r="DR2126" t="s">
        <v>13772</v>
      </c>
      <c r="DS2126" t="s">
        <v>13772</v>
      </c>
      <c r="DT2126" t="s">
        <v>13772</v>
      </c>
      <c r="DU2126" t="s">
        <v>13772</v>
      </c>
      <c r="DV2126" t="s">
        <v>13782</v>
      </c>
      <c r="DW2126" t="s">
        <v>13812</v>
      </c>
      <c r="DX2126" t="s">
        <v>23608</v>
      </c>
      <c r="DY2126" t="s">
        <v>23609</v>
      </c>
      <c r="DZ2126" t="s">
        <v>13772</v>
      </c>
      <c r="EA2126" t="s">
        <v>13772</v>
      </c>
      <c r="EB2126" t="s">
        <v>13772</v>
      </c>
    </row>
    <row r="2127" spans="1:132" hidden="1">
      <c r="A2127">
        <v>1020</v>
      </c>
      <c r="B2127">
        <v>1</v>
      </c>
      <c r="C2127" t="s">
        <v>2466</v>
      </c>
      <c r="D2127" t="s">
        <v>2467</v>
      </c>
      <c r="E2127" t="s">
        <v>73</v>
      </c>
      <c r="F2127" t="s">
        <v>73</v>
      </c>
      <c r="G2127" t="s">
        <v>73</v>
      </c>
      <c r="H2127">
        <v>7.2</v>
      </c>
      <c r="I2127">
        <v>663</v>
      </c>
      <c r="J2127">
        <v>75065</v>
      </c>
      <c r="K2127" t="s">
        <v>2468</v>
      </c>
      <c r="L2127">
        <f t="shared" si="134"/>
        <v>3</v>
      </c>
      <c r="N2127">
        <v>3</v>
      </c>
      <c r="O2127">
        <v>3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3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3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f t="shared" si="137"/>
        <v>3</v>
      </c>
      <c r="BW2127" s="16">
        <f t="shared" si="135"/>
        <v>0.15789473684210525</v>
      </c>
      <c r="BX2127" s="16">
        <f>COUNTIF($BC$6:BU2127, "=0") / COUNTIF($BC$6:BU2127, "&gt;-1")</f>
        <v>0.50364601418721167</v>
      </c>
      <c r="BY2127" s="18">
        <f>SUM($BC$6:BU2127) / $BY$4</f>
        <v>0.9986418343780461</v>
      </c>
      <c r="BZ2127" s="14">
        <f t="shared" si="136"/>
        <v>18</v>
      </c>
      <c r="CA2127" t="s">
        <v>5832</v>
      </c>
      <c r="CZ2127" t="s">
        <v>9176</v>
      </c>
      <c r="DA2127" t="s">
        <v>5904</v>
      </c>
      <c r="DB2127">
        <v>974.9</v>
      </c>
      <c r="DC2127" t="s">
        <v>23783</v>
      </c>
      <c r="DD2127" t="s">
        <v>23784</v>
      </c>
      <c r="DE2127" t="s">
        <v>23785</v>
      </c>
      <c r="DF2127" t="s">
        <v>23786</v>
      </c>
      <c r="DG2127" t="s">
        <v>23787</v>
      </c>
      <c r="DH2127" t="str">
        <f>"SHTN1"</f>
        <v>SHTN1</v>
      </c>
      <c r="DI2127" t="s">
        <v>23788</v>
      </c>
      <c r="DJ2127" t="s">
        <v>13777</v>
      </c>
      <c r="DK2127">
        <v>9606</v>
      </c>
      <c r="DL2127" s="34" t="str">
        <f>HYPERLINK("http://www.uniprot.org/uniprot/A0MZ66", "A0MZ66")</f>
        <v>A0MZ66</v>
      </c>
      <c r="DM2127" t="s">
        <v>23789</v>
      </c>
      <c r="DN2127" t="s">
        <v>13772</v>
      </c>
      <c r="DO2127" t="s">
        <v>14870</v>
      </c>
      <c r="DP2127" t="s">
        <v>13841</v>
      </c>
      <c r="DQ2127" t="s">
        <v>13772</v>
      </c>
      <c r="DR2127" t="s">
        <v>13772</v>
      </c>
      <c r="DS2127" t="s">
        <v>14245</v>
      </c>
      <c r="DT2127" t="s">
        <v>13772</v>
      </c>
      <c r="DU2127" t="s">
        <v>14727</v>
      </c>
      <c r="DV2127" t="s">
        <v>13886</v>
      </c>
      <c r="DW2127" t="s">
        <v>13772</v>
      </c>
      <c r="DX2127" t="s">
        <v>23790</v>
      </c>
      <c r="DY2127" t="s">
        <v>23791</v>
      </c>
      <c r="DZ2127" t="s">
        <v>23792</v>
      </c>
      <c r="EA2127" t="s">
        <v>13772</v>
      </c>
      <c r="EB2127" t="s">
        <v>18546</v>
      </c>
    </row>
    <row r="2128" spans="1:132" hidden="1">
      <c r="A2128">
        <v>1109</v>
      </c>
      <c r="B2128">
        <v>1</v>
      </c>
      <c r="C2128" t="s">
        <v>2668</v>
      </c>
      <c r="D2128" t="s">
        <v>73</v>
      </c>
      <c r="E2128" t="s">
        <v>73</v>
      </c>
      <c r="F2128" t="s">
        <v>73</v>
      </c>
      <c r="G2128" t="s">
        <v>73</v>
      </c>
      <c r="H2128">
        <v>29.7</v>
      </c>
      <c r="I2128">
        <v>145</v>
      </c>
      <c r="J2128">
        <v>17138</v>
      </c>
      <c r="K2128" t="s">
        <v>2669</v>
      </c>
      <c r="L2128">
        <f t="shared" si="134"/>
        <v>3</v>
      </c>
      <c r="N2128">
        <v>3</v>
      </c>
      <c r="O2128">
        <v>3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1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2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f t="shared" si="137"/>
        <v>3</v>
      </c>
      <c r="BW2128" s="16">
        <f t="shared" si="135"/>
        <v>0.15789473684210525</v>
      </c>
      <c r="BX2128" s="16">
        <f>COUNTIF($BC$6:BU2128, "=0") / COUNTIF($BC$6:BU2128, "&gt;-1")</f>
        <v>0.50383023030964125</v>
      </c>
      <c r="BY2128" s="18">
        <f>SUM($BC$6:BU2128) / $BY$4</f>
        <v>0.99865468528865231</v>
      </c>
      <c r="BZ2128" s="14">
        <f t="shared" si="136"/>
        <v>17</v>
      </c>
      <c r="CA2128" t="s">
        <v>5832</v>
      </c>
      <c r="CZ2128" t="s">
        <v>9432</v>
      </c>
      <c r="DA2128" t="s">
        <v>5904</v>
      </c>
      <c r="DB2128">
        <v>287.3</v>
      </c>
      <c r="DC2128" t="s">
        <v>24536</v>
      </c>
      <c r="DD2128" t="s">
        <v>24537</v>
      </c>
      <c r="DE2128" t="s">
        <v>24538</v>
      </c>
      <c r="DF2128" t="s">
        <v>24539</v>
      </c>
      <c r="DG2128" t="s">
        <v>24540</v>
      </c>
      <c r="DH2128" t="str">
        <f>"NDUFA12"</f>
        <v>NDUFA12</v>
      </c>
      <c r="DI2128" t="s">
        <v>24541</v>
      </c>
      <c r="DJ2128" t="s">
        <v>13777</v>
      </c>
      <c r="DK2128">
        <v>9606</v>
      </c>
      <c r="DL2128" s="34" t="str">
        <f>HYPERLINK("http://www.uniprot.org/uniprot/Q9UI09", "Q9UI09")</f>
        <v>Q9UI09</v>
      </c>
      <c r="DM2128" t="s">
        <v>24542</v>
      </c>
      <c r="DN2128" t="s">
        <v>21478</v>
      </c>
      <c r="DO2128" t="s">
        <v>15507</v>
      </c>
      <c r="DP2128" t="s">
        <v>13780</v>
      </c>
      <c r="DQ2128" t="s">
        <v>13772</v>
      </c>
      <c r="DR2128" t="s">
        <v>14390</v>
      </c>
      <c r="DS2128" t="s">
        <v>13772</v>
      </c>
      <c r="DT2128" t="s">
        <v>13772</v>
      </c>
      <c r="DU2128" t="s">
        <v>13772</v>
      </c>
      <c r="DV2128" t="s">
        <v>14020</v>
      </c>
      <c r="DW2128" t="s">
        <v>13812</v>
      </c>
      <c r="DX2128" t="s">
        <v>24543</v>
      </c>
      <c r="DY2128" t="s">
        <v>24544</v>
      </c>
      <c r="DZ2128" t="s">
        <v>24545</v>
      </c>
      <c r="EA2128" t="s">
        <v>13772</v>
      </c>
      <c r="EB2128" t="s">
        <v>21715</v>
      </c>
    </row>
    <row r="2129" spans="1:132" hidden="1">
      <c r="A2129">
        <v>1143</v>
      </c>
      <c r="B2129">
        <v>1</v>
      </c>
      <c r="C2129" t="s">
        <v>2752</v>
      </c>
      <c r="D2129" t="s">
        <v>73</v>
      </c>
      <c r="E2129" t="s">
        <v>73</v>
      </c>
      <c r="F2129" t="s">
        <v>73</v>
      </c>
      <c r="G2129" t="s">
        <v>73</v>
      </c>
      <c r="H2129">
        <v>12.8</v>
      </c>
      <c r="I2129">
        <v>421</v>
      </c>
      <c r="J2129">
        <v>47199</v>
      </c>
      <c r="K2129" t="s">
        <v>2753</v>
      </c>
      <c r="L2129">
        <f t="shared" si="134"/>
        <v>3</v>
      </c>
      <c r="N2129">
        <v>3</v>
      </c>
      <c r="O2129">
        <v>3</v>
      </c>
      <c r="P2129">
        <v>1</v>
      </c>
      <c r="Q2129">
        <v>0</v>
      </c>
      <c r="R2129">
        <v>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s="2">
        <v>0</v>
      </c>
      <c r="BD2129" s="2">
        <v>2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1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f t="shared" si="137"/>
        <v>3</v>
      </c>
      <c r="BW2129" s="16">
        <f t="shared" si="135"/>
        <v>0.15789473684210525</v>
      </c>
      <c r="BX2129" s="16">
        <f>COUNTIF($BC$6:BU2129, "=0") / COUNTIF($BC$6:BU2129, "&gt;-1")</f>
        <v>0.50401427297056201</v>
      </c>
      <c r="BY2129" s="18">
        <f>SUM($BC$6:BU2129) / $BY$4</f>
        <v>0.99866753619925841</v>
      </c>
      <c r="BZ2129" s="14">
        <f t="shared" si="136"/>
        <v>17</v>
      </c>
      <c r="CA2129" t="s">
        <v>5832</v>
      </c>
      <c r="CZ2129" t="s">
        <v>9532</v>
      </c>
      <c r="DA2129" t="s">
        <v>5904</v>
      </c>
      <c r="DB2129">
        <v>849.7</v>
      </c>
      <c r="DC2129" t="s">
        <v>24800</v>
      </c>
      <c r="DD2129" t="s">
        <v>24801</v>
      </c>
      <c r="DE2129" t="s">
        <v>24802</v>
      </c>
      <c r="DF2129" t="s">
        <v>24803</v>
      </c>
      <c r="DG2129" t="s">
        <v>24804</v>
      </c>
      <c r="DH2129" t="str">
        <f>"PIP4K2C"</f>
        <v>PIP4K2C</v>
      </c>
      <c r="DI2129" t="s">
        <v>24805</v>
      </c>
      <c r="DJ2129" t="s">
        <v>13777</v>
      </c>
      <c r="DK2129">
        <v>9606</v>
      </c>
      <c r="DL2129" s="34" t="str">
        <f>HYPERLINK("http://www.uniprot.org/uniprot/Q8TBX8", "Q8TBX8")</f>
        <v>Q8TBX8</v>
      </c>
      <c r="DM2129" t="s">
        <v>24806</v>
      </c>
      <c r="DN2129" t="s">
        <v>13772</v>
      </c>
      <c r="DO2129" t="s">
        <v>15896</v>
      </c>
      <c r="DP2129" t="s">
        <v>13780</v>
      </c>
      <c r="DQ2129" t="s">
        <v>13772</v>
      </c>
      <c r="DR2129" t="s">
        <v>13772</v>
      </c>
      <c r="DS2129" t="s">
        <v>13772</v>
      </c>
      <c r="DT2129" t="s">
        <v>14005</v>
      </c>
      <c r="DU2129" t="s">
        <v>14006</v>
      </c>
      <c r="DV2129" t="s">
        <v>13886</v>
      </c>
      <c r="DW2129" t="s">
        <v>13812</v>
      </c>
      <c r="DX2129" t="s">
        <v>24807</v>
      </c>
      <c r="DY2129" t="s">
        <v>24808</v>
      </c>
      <c r="DZ2129" t="s">
        <v>24809</v>
      </c>
      <c r="EA2129" t="s">
        <v>13772</v>
      </c>
      <c r="EB2129" t="s">
        <v>24810</v>
      </c>
    </row>
    <row r="2130" spans="1:132" hidden="1">
      <c r="A2130">
        <v>1155</v>
      </c>
      <c r="B2130">
        <v>1</v>
      </c>
      <c r="C2130" t="s">
        <v>2776</v>
      </c>
      <c r="D2130" t="s">
        <v>73</v>
      </c>
      <c r="E2130" t="s">
        <v>73</v>
      </c>
      <c r="F2130" t="s">
        <v>73</v>
      </c>
      <c r="G2130" t="s">
        <v>73</v>
      </c>
      <c r="H2130">
        <v>10.9</v>
      </c>
      <c r="I2130">
        <v>349</v>
      </c>
      <c r="J2130">
        <v>39487</v>
      </c>
      <c r="K2130" t="s">
        <v>2777</v>
      </c>
      <c r="L2130">
        <f t="shared" si="134"/>
        <v>3</v>
      </c>
      <c r="N2130">
        <v>3</v>
      </c>
      <c r="O2130">
        <v>3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3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3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f t="shared" si="137"/>
        <v>3</v>
      </c>
      <c r="BW2130" s="16">
        <f t="shared" si="135"/>
        <v>0.15789473684210525</v>
      </c>
      <c r="BX2130" s="16">
        <f>COUNTIF($BC$6:BU2130, "=0") / COUNTIF($BC$6:BU2130, "&gt;-1")</f>
        <v>0.50422291021671828</v>
      </c>
      <c r="BY2130" s="18">
        <f>SUM($BC$6:BU2130) / $BY$4</f>
        <v>0.99868038710986451</v>
      </c>
      <c r="BZ2130" s="14">
        <f t="shared" si="136"/>
        <v>18</v>
      </c>
      <c r="CA2130" t="s">
        <v>5832</v>
      </c>
      <c r="CZ2130" t="s">
        <v>9568</v>
      </c>
      <c r="DA2130" t="s">
        <v>5904</v>
      </c>
      <c r="DB2130">
        <v>626.29999999999995</v>
      </c>
      <c r="DC2130" t="s">
        <v>24914</v>
      </c>
      <c r="DD2130" t="s">
        <v>24915</v>
      </c>
      <c r="DE2130" t="s">
        <v>24916</v>
      </c>
      <c r="DF2130" t="s">
        <v>24917</v>
      </c>
      <c r="DG2130" t="s">
        <v>24918</v>
      </c>
      <c r="DH2130" t="str">
        <f>"PTER"</f>
        <v>PTER</v>
      </c>
      <c r="DI2130" t="s">
        <v>13772</v>
      </c>
      <c r="DJ2130" t="s">
        <v>13777</v>
      </c>
      <c r="DK2130">
        <v>9606</v>
      </c>
      <c r="DL2130" s="34" t="str">
        <f>HYPERLINK("http://www.uniprot.org/uniprot/Q96BW5", "Q96BW5")</f>
        <v>Q96BW5</v>
      </c>
      <c r="DM2130" t="s">
        <v>24919</v>
      </c>
      <c r="DN2130" t="s">
        <v>13772</v>
      </c>
      <c r="DO2130" t="s">
        <v>13772</v>
      </c>
      <c r="DP2130" t="s">
        <v>13780</v>
      </c>
      <c r="DQ2130" t="s">
        <v>13772</v>
      </c>
      <c r="DR2130" t="s">
        <v>13772</v>
      </c>
      <c r="DS2130" t="s">
        <v>13772</v>
      </c>
      <c r="DT2130" t="s">
        <v>18390</v>
      </c>
      <c r="DU2130" t="s">
        <v>13857</v>
      </c>
      <c r="DV2130" t="s">
        <v>13772</v>
      </c>
      <c r="DW2130" t="s">
        <v>13772</v>
      </c>
      <c r="DX2130" t="s">
        <v>24920</v>
      </c>
      <c r="DY2130" t="s">
        <v>15835</v>
      </c>
      <c r="DZ2130" t="s">
        <v>19287</v>
      </c>
      <c r="EA2130" t="s">
        <v>13772</v>
      </c>
      <c r="EB2130" t="s">
        <v>13772</v>
      </c>
    </row>
    <row r="2131" spans="1:132" hidden="1">
      <c r="A2131">
        <v>1170</v>
      </c>
      <c r="B2131">
        <v>1</v>
      </c>
      <c r="C2131" t="s">
        <v>2811</v>
      </c>
      <c r="D2131" t="s">
        <v>73</v>
      </c>
      <c r="E2131" t="s">
        <v>73</v>
      </c>
      <c r="F2131" t="s">
        <v>73</v>
      </c>
      <c r="G2131" t="s">
        <v>73</v>
      </c>
      <c r="H2131">
        <v>12.3</v>
      </c>
      <c r="I2131">
        <v>155</v>
      </c>
      <c r="J2131">
        <v>17723</v>
      </c>
      <c r="K2131" t="s">
        <v>2812</v>
      </c>
      <c r="L2131">
        <f t="shared" si="134"/>
        <v>3</v>
      </c>
      <c r="N2131">
        <v>3</v>
      </c>
      <c r="O2131">
        <v>3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3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3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f t="shared" si="137"/>
        <v>3</v>
      </c>
      <c r="BW2131" s="16">
        <f t="shared" si="135"/>
        <v>0.15789473684210525</v>
      </c>
      <c r="BX2131" s="16">
        <f>COUNTIF($BC$6:BU2131, "=0") / COUNTIF($BC$6:BU2131, "&gt;-1")</f>
        <v>0.50443135119077087</v>
      </c>
      <c r="BY2131" s="18">
        <f>SUM($BC$6:BU2131) / $BY$4</f>
        <v>0.99869323802047061</v>
      </c>
      <c r="BZ2131" s="14">
        <f t="shared" si="136"/>
        <v>18</v>
      </c>
      <c r="CA2131" t="s">
        <v>5832</v>
      </c>
      <c r="CZ2131" t="s">
        <v>9623</v>
      </c>
      <c r="DA2131" t="s">
        <v>5904</v>
      </c>
      <c r="DB2131">
        <v>292.39999999999998</v>
      </c>
      <c r="DC2131" t="s">
        <v>25066</v>
      </c>
      <c r="DD2131" t="s">
        <v>25067</v>
      </c>
      <c r="DE2131" t="s">
        <v>25068</v>
      </c>
      <c r="DF2131" t="s">
        <v>25069</v>
      </c>
      <c r="DG2131" t="s">
        <v>25070</v>
      </c>
      <c r="DH2131" t="str">
        <f>"MGST1"</f>
        <v>MGST1</v>
      </c>
      <c r="DI2131" t="s">
        <v>25071</v>
      </c>
      <c r="DJ2131" t="s">
        <v>13777</v>
      </c>
      <c r="DK2131">
        <v>9606</v>
      </c>
      <c r="DL2131" s="34" t="str">
        <f>HYPERLINK("http://www.uniprot.org/uniprot/P10620", "P10620")</f>
        <v>P10620</v>
      </c>
      <c r="DM2131" t="s">
        <v>25072</v>
      </c>
      <c r="DN2131" t="s">
        <v>13772</v>
      </c>
      <c r="DO2131" t="s">
        <v>25073</v>
      </c>
      <c r="DP2131" t="s">
        <v>13841</v>
      </c>
      <c r="DQ2131" t="s">
        <v>13772</v>
      </c>
      <c r="DR2131" t="s">
        <v>13772</v>
      </c>
      <c r="DS2131" t="s">
        <v>13925</v>
      </c>
      <c r="DT2131" t="s">
        <v>13772</v>
      </c>
      <c r="DU2131" t="s">
        <v>14111</v>
      </c>
      <c r="DV2131" t="s">
        <v>17973</v>
      </c>
      <c r="DW2131" t="s">
        <v>13772</v>
      </c>
      <c r="DX2131" t="s">
        <v>25074</v>
      </c>
      <c r="DY2131" t="s">
        <v>25075</v>
      </c>
      <c r="DZ2131" t="s">
        <v>25076</v>
      </c>
      <c r="EA2131" t="s">
        <v>13772</v>
      </c>
      <c r="EB2131" t="s">
        <v>25077</v>
      </c>
    </row>
    <row r="2132" spans="1:132" hidden="1">
      <c r="A2132">
        <v>1176</v>
      </c>
      <c r="B2132">
        <v>1</v>
      </c>
      <c r="C2132" t="s">
        <v>2823</v>
      </c>
      <c r="D2132" t="s">
        <v>73</v>
      </c>
      <c r="E2132" t="s">
        <v>73</v>
      </c>
      <c r="F2132" t="s">
        <v>73</v>
      </c>
      <c r="G2132" t="s">
        <v>73</v>
      </c>
      <c r="H2132">
        <v>21.5</v>
      </c>
      <c r="I2132">
        <v>177</v>
      </c>
      <c r="J2132">
        <v>20198</v>
      </c>
      <c r="K2132" t="s">
        <v>2824</v>
      </c>
      <c r="L2132">
        <f t="shared" si="134"/>
        <v>3</v>
      </c>
      <c r="N2132">
        <v>3</v>
      </c>
      <c r="O2132">
        <v>3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2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1</v>
      </c>
      <c r="BN2132" s="2">
        <v>0</v>
      </c>
      <c r="BO2132" s="2">
        <v>2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f t="shared" si="137"/>
        <v>3</v>
      </c>
      <c r="BW2132" s="16">
        <f t="shared" si="135"/>
        <v>0.15789473684210525</v>
      </c>
      <c r="BX2132" s="16">
        <f>COUNTIF($BC$6:BU2132, "=0") / COUNTIF($BC$6:BU2132, "&gt;-1")</f>
        <v>0.5046148516566451</v>
      </c>
      <c r="BY2132" s="18">
        <f>SUM($BC$6:BU2132) / $BY$4</f>
        <v>0.99870608893107671</v>
      </c>
      <c r="BZ2132" s="14">
        <f t="shared" si="136"/>
        <v>17</v>
      </c>
      <c r="CA2132" t="s">
        <v>5832</v>
      </c>
      <c r="CZ2132" t="s">
        <v>9645</v>
      </c>
      <c r="DA2132" t="s">
        <v>5904</v>
      </c>
      <c r="DB2132">
        <v>360.9</v>
      </c>
      <c r="DC2132" t="s">
        <v>25128</v>
      </c>
      <c r="DD2132" t="s">
        <v>25129</v>
      </c>
      <c r="DE2132" t="s">
        <v>25130</v>
      </c>
      <c r="DF2132" t="s">
        <v>25131</v>
      </c>
      <c r="DG2132" t="s">
        <v>25132</v>
      </c>
      <c r="DH2132" t="str">
        <f>"COPZ1"</f>
        <v>COPZ1</v>
      </c>
      <c r="DI2132" t="s">
        <v>25133</v>
      </c>
      <c r="DJ2132" t="s">
        <v>13777</v>
      </c>
      <c r="DK2132">
        <v>9606</v>
      </c>
      <c r="DL2132" s="34" t="str">
        <f>HYPERLINK("http://www.uniprot.org/uniprot/P61923", "P61923")</f>
        <v>P61923</v>
      </c>
      <c r="DM2132" t="s">
        <v>25134</v>
      </c>
      <c r="DN2132" t="s">
        <v>15450</v>
      </c>
      <c r="DO2132" t="s">
        <v>16529</v>
      </c>
      <c r="DP2132" t="s">
        <v>13841</v>
      </c>
      <c r="DQ2132" t="s">
        <v>13772</v>
      </c>
      <c r="DR2132" t="s">
        <v>13772</v>
      </c>
      <c r="DS2132" t="s">
        <v>13772</v>
      </c>
      <c r="DT2132" t="s">
        <v>13772</v>
      </c>
      <c r="DU2132" t="s">
        <v>13772</v>
      </c>
      <c r="DV2132" t="s">
        <v>14020</v>
      </c>
      <c r="DW2132" t="s">
        <v>13812</v>
      </c>
      <c r="DX2132" t="s">
        <v>20821</v>
      </c>
      <c r="DY2132" t="s">
        <v>20822</v>
      </c>
      <c r="DZ2132" t="s">
        <v>13772</v>
      </c>
      <c r="EA2132" t="s">
        <v>13772</v>
      </c>
      <c r="EB2132" t="s">
        <v>16533</v>
      </c>
    </row>
    <row r="2133" spans="1:132" hidden="1">
      <c r="A2133">
        <v>1179</v>
      </c>
      <c r="B2133">
        <v>1</v>
      </c>
      <c r="C2133" t="s">
        <v>2831</v>
      </c>
      <c r="D2133" t="s">
        <v>73</v>
      </c>
      <c r="E2133" t="s">
        <v>73</v>
      </c>
      <c r="F2133" t="s">
        <v>73</v>
      </c>
      <c r="G2133" t="s">
        <v>73</v>
      </c>
      <c r="H2133">
        <v>20.9</v>
      </c>
      <c r="I2133">
        <v>115</v>
      </c>
      <c r="J2133">
        <v>13015</v>
      </c>
      <c r="K2133" t="s">
        <v>2832</v>
      </c>
      <c r="L2133">
        <f t="shared" si="134"/>
        <v>3</v>
      </c>
      <c r="N2133">
        <v>3</v>
      </c>
      <c r="O2133">
        <v>3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2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1</v>
      </c>
      <c r="BN2133" s="2">
        <v>2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f t="shared" si="137"/>
        <v>3</v>
      </c>
      <c r="BW2133" s="16">
        <f t="shared" si="135"/>
        <v>0.15789473684210525</v>
      </c>
      <c r="BX2133" s="16">
        <f>COUNTIF($BC$6:BU2133, "=0") / COUNTIF($BC$6:BU2133, "&gt;-1")</f>
        <v>0.50479817965967555</v>
      </c>
      <c r="BY2133" s="18">
        <f>SUM($BC$6:BU2133) / $BY$4</f>
        <v>0.99871893984168281</v>
      </c>
      <c r="BZ2133" s="14">
        <f t="shared" si="136"/>
        <v>17</v>
      </c>
      <c r="CA2133" t="s">
        <v>5832</v>
      </c>
      <c r="CZ2133" t="s">
        <v>9656</v>
      </c>
      <c r="DA2133" t="s">
        <v>5904</v>
      </c>
      <c r="DB2133">
        <v>230.3</v>
      </c>
      <c r="DC2133" t="s">
        <v>25155</v>
      </c>
      <c r="DD2133" t="s">
        <v>25156</v>
      </c>
      <c r="DE2133" t="s">
        <v>25157</v>
      </c>
      <c r="DF2133" t="s">
        <v>25158</v>
      </c>
      <c r="DG2133" t="s">
        <v>25159</v>
      </c>
      <c r="DH2133" t="str">
        <f>"RPS26"</f>
        <v>RPS26</v>
      </c>
      <c r="DI2133" t="s">
        <v>13772</v>
      </c>
      <c r="DJ2133" t="s">
        <v>13777</v>
      </c>
      <c r="DK2133">
        <v>9606</v>
      </c>
      <c r="DL2133" s="34" t="str">
        <f>HYPERLINK("http://www.uniprot.org/uniprot/P62854", "P62854")</f>
        <v>P62854</v>
      </c>
      <c r="DM2133" t="s">
        <v>25160</v>
      </c>
      <c r="DN2133" t="s">
        <v>13772</v>
      </c>
      <c r="DO2133" t="s">
        <v>14265</v>
      </c>
      <c r="DP2133" t="s">
        <v>13772</v>
      </c>
      <c r="DQ2133" t="s">
        <v>13772</v>
      </c>
      <c r="DR2133" t="s">
        <v>25161</v>
      </c>
      <c r="DS2133" t="s">
        <v>13772</v>
      </c>
      <c r="DT2133" t="s">
        <v>13772</v>
      </c>
      <c r="DU2133" t="s">
        <v>13937</v>
      </c>
      <c r="DV2133" t="s">
        <v>13782</v>
      </c>
      <c r="DW2133" t="s">
        <v>13812</v>
      </c>
      <c r="DX2133" t="s">
        <v>25162</v>
      </c>
      <c r="DY2133" t="s">
        <v>25163</v>
      </c>
      <c r="DZ2133" t="s">
        <v>25164</v>
      </c>
      <c r="EA2133" t="s">
        <v>13772</v>
      </c>
      <c r="EB2133" t="s">
        <v>17828</v>
      </c>
    </row>
    <row r="2134" spans="1:132" hidden="1">
      <c r="A2134">
        <v>1213</v>
      </c>
      <c r="B2134">
        <v>1</v>
      </c>
      <c r="C2134" t="s">
        <v>2912</v>
      </c>
      <c r="D2134" t="s">
        <v>2913</v>
      </c>
      <c r="E2134" t="s">
        <v>73</v>
      </c>
      <c r="F2134" t="s">
        <v>73</v>
      </c>
      <c r="G2134" t="s">
        <v>73</v>
      </c>
      <c r="H2134">
        <v>5</v>
      </c>
      <c r="I2134">
        <v>920</v>
      </c>
      <c r="J2134">
        <v>100166</v>
      </c>
      <c r="K2134" t="s">
        <v>2914</v>
      </c>
      <c r="L2134">
        <f t="shared" si="134"/>
        <v>3</v>
      </c>
      <c r="N2134">
        <v>3</v>
      </c>
      <c r="O2134">
        <v>3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1</v>
      </c>
      <c r="BI2134" s="2">
        <v>0</v>
      </c>
      <c r="BJ2134" s="2">
        <v>0</v>
      </c>
      <c r="BK2134" s="2">
        <v>2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f t="shared" si="137"/>
        <v>3</v>
      </c>
      <c r="BW2134" s="16">
        <f t="shared" si="135"/>
        <v>0.15789473684210525</v>
      </c>
      <c r="BX2134" s="16">
        <f>COUNTIF($BC$6:BU2134, "=0") / COUNTIF($BC$6:BU2134, "&gt;-1")</f>
        <v>0.50498133544288148</v>
      </c>
      <c r="BY2134" s="18">
        <f>SUM($BC$6:BU2134) / $BY$4</f>
        <v>0.99873179075228891</v>
      </c>
      <c r="BZ2134" s="14">
        <f t="shared" si="136"/>
        <v>17</v>
      </c>
      <c r="CA2134" t="s">
        <v>5832</v>
      </c>
      <c r="CZ2134" t="s">
        <v>9771</v>
      </c>
      <c r="DA2134" t="s">
        <v>5904</v>
      </c>
      <c r="DB2134">
        <v>1486.5</v>
      </c>
      <c r="DC2134" t="s">
        <v>25485</v>
      </c>
      <c r="DD2134" t="s">
        <v>25486</v>
      </c>
      <c r="DE2134" t="s">
        <v>25487</v>
      </c>
      <c r="DF2134" t="s">
        <v>25488</v>
      </c>
      <c r="DG2134" t="s">
        <v>25489</v>
      </c>
      <c r="DH2134" t="str">
        <f>"ADAM12"</f>
        <v>ADAM12</v>
      </c>
      <c r="DI2134" t="s">
        <v>25490</v>
      </c>
      <c r="DJ2134" t="s">
        <v>13777</v>
      </c>
      <c r="DK2134">
        <v>9606</v>
      </c>
      <c r="DL2134" s="34" t="str">
        <f>HYPERLINK("http://www.uniprot.org/uniprot/O43184", "O43184")</f>
        <v>O43184</v>
      </c>
      <c r="DM2134" t="s">
        <v>25491</v>
      </c>
      <c r="DN2134" t="s">
        <v>13949</v>
      </c>
      <c r="DO2134" t="s">
        <v>14336</v>
      </c>
      <c r="DP2134" t="s">
        <v>13780</v>
      </c>
      <c r="DQ2134" t="s">
        <v>13772</v>
      </c>
      <c r="DR2134" t="s">
        <v>13772</v>
      </c>
      <c r="DS2134" t="s">
        <v>25492</v>
      </c>
      <c r="DT2134" t="s">
        <v>13856</v>
      </c>
      <c r="DU2134" t="s">
        <v>15139</v>
      </c>
      <c r="DV2134" t="s">
        <v>15140</v>
      </c>
      <c r="DW2134" t="s">
        <v>13772</v>
      </c>
      <c r="DX2134" t="s">
        <v>25493</v>
      </c>
      <c r="DY2134" t="s">
        <v>25494</v>
      </c>
      <c r="DZ2134" t="s">
        <v>25495</v>
      </c>
      <c r="EA2134" t="s">
        <v>13772</v>
      </c>
      <c r="EB2134" t="s">
        <v>25496</v>
      </c>
    </row>
    <row r="2135" spans="1:132" hidden="1">
      <c r="A2135">
        <v>1214</v>
      </c>
      <c r="B2135">
        <v>1</v>
      </c>
      <c r="C2135" t="s">
        <v>2915</v>
      </c>
      <c r="D2135" t="s">
        <v>73</v>
      </c>
      <c r="E2135" t="s">
        <v>73</v>
      </c>
      <c r="F2135" t="s">
        <v>73</v>
      </c>
      <c r="G2135" t="s">
        <v>73</v>
      </c>
      <c r="H2135">
        <v>3.7</v>
      </c>
      <c r="I2135">
        <v>725</v>
      </c>
      <c r="J2135">
        <v>79248</v>
      </c>
      <c r="K2135" t="s">
        <v>2916</v>
      </c>
      <c r="L2135">
        <f t="shared" si="134"/>
        <v>3</v>
      </c>
      <c r="N2135">
        <v>3</v>
      </c>
      <c r="O2135">
        <v>3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1</v>
      </c>
      <c r="BI2135" s="2">
        <v>0</v>
      </c>
      <c r="BJ2135" s="2">
        <v>0</v>
      </c>
      <c r="BK2135" s="2">
        <v>0</v>
      </c>
      <c r="BL2135" s="2">
        <v>0</v>
      </c>
      <c r="BM2135" s="2">
        <v>2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f t="shared" si="137"/>
        <v>3</v>
      </c>
      <c r="BW2135" s="16">
        <f t="shared" si="135"/>
        <v>0.15789473684210525</v>
      </c>
      <c r="BX2135" s="16">
        <f>COUNTIF($BC$6:BU2135, "=0") / COUNTIF($BC$6:BU2135, "&gt;-1")</f>
        <v>0.50516431924882632</v>
      </c>
      <c r="BY2135" s="18">
        <f>SUM($BC$6:BU2135) / $BY$4</f>
        <v>0.99874464166289501</v>
      </c>
      <c r="BZ2135" s="14">
        <f t="shared" si="136"/>
        <v>17</v>
      </c>
      <c r="CA2135" t="s">
        <v>5832</v>
      </c>
      <c r="CZ2135" t="s">
        <v>9774</v>
      </c>
      <c r="DA2135" t="s">
        <v>5904</v>
      </c>
      <c r="DB2135">
        <v>1377.8</v>
      </c>
      <c r="DC2135" t="s">
        <v>25497</v>
      </c>
      <c r="DD2135" t="s">
        <v>13772</v>
      </c>
      <c r="DE2135" t="s">
        <v>25498</v>
      </c>
      <c r="DF2135" t="s">
        <v>25499</v>
      </c>
      <c r="DG2135" t="s">
        <v>25500</v>
      </c>
      <c r="DH2135" t="str">
        <f>"NHLRC2"</f>
        <v>NHLRC2</v>
      </c>
      <c r="DI2135" t="s">
        <v>13772</v>
      </c>
      <c r="DJ2135" t="s">
        <v>13777</v>
      </c>
      <c r="DK2135">
        <v>9606</v>
      </c>
      <c r="DL2135" s="34" t="str">
        <f>HYPERLINK("http://www.uniprot.org/uniprot/Q8NBF2", "Q8NBF2")</f>
        <v>Q8NBF2</v>
      </c>
      <c r="DM2135" t="s">
        <v>25501</v>
      </c>
      <c r="DN2135" t="s">
        <v>13772</v>
      </c>
      <c r="DO2135" t="s">
        <v>13899</v>
      </c>
      <c r="DP2135" t="s">
        <v>13780</v>
      </c>
      <c r="DQ2135" t="s">
        <v>13772</v>
      </c>
      <c r="DR2135" t="s">
        <v>13772</v>
      </c>
      <c r="DS2135" t="s">
        <v>14096</v>
      </c>
      <c r="DT2135" t="s">
        <v>13772</v>
      </c>
      <c r="DU2135" t="s">
        <v>13772</v>
      </c>
      <c r="DV2135" t="s">
        <v>13772</v>
      </c>
      <c r="DW2135" t="s">
        <v>13812</v>
      </c>
      <c r="DX2135" t="s">
        <v>25502</v>
      </c>
      <c r="DY2135" t="s">
        <v>25503</v>
      </c>
      <c r="DZ2135" t="s">
        <v>13772</v>
      </c>
      <c r="EA2135" t="s">
        <v>13772</v>
      </c>
      <c r="EB2135" t="s">
        <v>15665</v>
      </c>
    </row>
    <row r="2136" spans="1:132" hidden="1">
      <c r="A2136">
        <v>1223</v>
      </c>
      <c r="B2136">
        <v>1</v>
      </c>
      <c r="C2136" t="s">
        <v>2938</v>
      </c>
      <c r="D2136" t="s">
        <v>2939</v>
      </c>
      <c r="E2136" t="s">
        <v>73</v>
      </c>
      <c r="F2136" t="s">
        <v>73</v>
      </c>
      <c r="G2136" t="s">
        <v>73</v>
      </c>
      <c r="H2136">
        <v>5.8</v>
      </c>
      <c r="I2136">
        <v>360</v>
      </c>
      <c r="J2136">
        <v>41712</v>
      </c>
      <c r="K2136" t="s">
        <v>2940</v>
      </c>
      <c r="L2136">
        <f t="shared" si="134"/>
        <v>3</v>
      </c>
      <c r="N2136">
        <v>3</v>
      </c>
      <c r="O2136">
        <v>3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2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f t="shared" si="137"/>
        <v>3</v>
      </c>
      <c r="BW2136" s="16">
        <f t="shared" si="135"/>
        <v>0.15789473684210525</v>
      </c>
      <c r="BX2136" s="16">
        <f>COUNTIF($BC$6:BU2136, "=0") / COUNTIF($BC$6:BU2136, "&gt;-1")</f>
        <v>0.50534713131961773</v>
      </c>
      <c r="BY2136" s="18">
        <f>SUM($BC$6:BU2136) / $BY$4</f>
        <v>0.9987574925735011</v>
      </c>
      <c r="BZ2136" s="14">
        <f t="shared" si="136"/>
        <v>17</v>
      </c>
      <c r="CA2136" t="s">
        <v>5832</v>
      </c>
      <c r="CZ2136" t="s">
        <v>9804</v>
      </c>
      <c r="DA2136" t="s">
        <v>5904</v>
      </c>
      <c r="DB2136">
        <v>669.1</v>
      </c>
      <c r="DC2136" t="s">
        <v>25577</v>
      </c>
      <c r="DD2136" t="s">
        <v>25578</v>
      </c>
      <c r="DE2136" t="s">
        <v>25579</v>
      </c>
      <c r="DF2136" t="s">
        <v>25580</v>
      </c>
      <c r="DG2136" t="s">
        <v>25581</v>
      </c>
      <c r="DH2136" t="str">
        <f>"VPS26A"</f>
        <v>VPS26A</v>
      </c>
      <c r="DI2136" t="s">
        <v>25582</v>
      </c>
      <c r="DJ2136" t="s">
        <v>13777</v>
      </c>
      <c r="DK2136">
        <v>9606</v>
      </c>
      <c r="DL2136" s="34" t="str">
        <f>HYPERLINK("http://www.uniprot.org/uniprot/O75436", "O75436")</f>
        <v>O75436</v>
      </c>
      <c r="DM2136" t="s">
        <v>25583</v>
      </c>
      <c r="DN2136" t="s">
        <v>14347</v>
      </c>
      <c r="DO2136" t="s">
        <v>17403</v>
      </c>
      <c r="DP2136" t="s">
        <v>13841</v>
      </c>
      <c r="DQ2136" t="s">
        <v>13772</v>
      </c>
      <c r="DR2136" t="s">
        <v>13772</v>
      </c>
      <c r="DS2136" t="s">
        <v>13772</v>
      </c>
      <c r="DT2136" t="s">
        <v>13772</v>
      </c>
      <c r="DU2136" t="s">
        <v>13772</v>
      </c>
      <c r="DV2136" t="s">
        <v>13782</v>
      </c>
      <c r="DW2136" t="s">
        <v>13812</v>
      </c>
      <c r="DX2136" t="s">
        <v>25584</v>
      </c>
      <c r="DY2136" t="s">
        <v>25585</v>
      </c>
      <c r="DZ2136" t="s">
        <v>13772</v>
      </c>
      <c r="EA2136" t="s">
        <v>13772</v>
      </c>
      <c r="EB2136" t="s">
        <v>18068</v>
      </c>
    </row>
    <row r="2137" spans="1:132" hidden="1">
      <c r="A2137">
        <v>1233</v>
      </c>
      <c r="B2137">
        <v>1</v>
      </c>
      <c r="C2137" t="s">
        <v>2960</v>
      </c>
      <c r="D2137" t="s">
        <v>2961</v>
      </c>
      <c r="E2137" t="s">
        <v>73</v>
      </c>
      <c r="F2137" t="s">
        <v>73</v>
      </c>
      <c r="G2137" t="s">
        <v>73</v>
      </c>
      <c r="H2137">
        <v>4.5</v>
      </c>
      <c r="I2137">
        <v>848</v>
      </c>
      <c r="J2137">
        <v>95245</v>
      </c>
      <c r="K2137" t="s">
        <v>2962</v>
      </c>
      <c r="L2137">
        <f t="shared" si="134"/>
        <v>3</v>
      </c>
      <c r="N2137">
        <v>3</v>
      </c>
      <c r="O2137">
        <v>3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3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3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f t="shared" si="137"/>
        <v>3</v>
      </c>
      <c r="BW2137" s="16">
        <f t="shared" si="135"/>
        <v>0.15789473684210525</v>
      </c>
      <c r="BX2137" s="16">
        <f>COUNTIF($BC$6:BU2137, "=0") / COUNTIF($BC$6:BU2137, "&gt;-1")</f>
        <v>0.50555445837859192</v>
      </c>
      <c r="BY2137" s="18">
        <f>SUM($BC$6:BU2137) / $BY$4</f>
        <v>0.9987703434841072</v>
      </c>
      <c r="BZ2137" s="14">
        <f t="shared" si="136"/>
        <v>18</v>
      </c>
      <c r="CA2137" t="s">
        <v>5832</v>
      </c>
      <c r="CZ2137" t="s">
        <v>9840</v>
      </c>
      <c r="DA2137" t="s">
        <v>5904</v>
      </c>
      <c r="DB2137">
        <v>1472.6</v>
      </c>
      <c r="DC2137" t="s">
        <v>25672</v>
      </c>
      <c r="DD2137" t="s">
        <v>25673</v>
      </c>
      <c r="DE2137" t="s">
        <v>25674</v>
      </c>
      <c r="DF2137" t="s">
        <v>25675</v>
      </c>
      <c r="DG2137" t="s">
        <v>25676</v>
      </c>
      <c r="DH2137" t="str">
        <f>"ABLIM1"</f>
        <v>ABLIM1</v>
      </c>
      <c r="DI2137" t="s">
        <v>25677</v>
      </c>
      <c r="DJ2137" t="s">
        <v>13777</v>
      </c>
      <c r="DK2137">
        <v>9606</v>
      </c>
      <c r="DL2137" s="34" t="str">
        <f>HYPERLINK("http://www.uniprot.org/uniprot/O14639", "O14639")</f>
        <v>O14639</v>
      </c>
      <c r="DM2137" t="s">
        <v>25678</v>
      </c>
      <c r="DN2137" t="s">
        <v>13772</v>
      </c>
      <c r="DO2137" t="s">
        <v>13988</v>
      </c>
      <c r="DP2137" t="s">
        <v>13780</v>
      </c>
      <c r="DQ2137" t="s">
        <v>13772</v>
      </c>
      <c r="DR2137" t="s">
        <v>13772</v>
      </c>
      <c r="DS2137" t="s">
        <v>25679</v>
      </c>
      <c r="DT2137" t="s">
        <v>13856</v>
      </c>
      <c r="DU2137" t="s">
        <v>13990</v>
      </c>
      <c r="DV2137" t="s">
        <v>13938</v>
      </c>
      <c r="DW2137" t="s">
        <v>13772</v>
      </c>
      <c r="DX2137" t="s">
        <v>25680</v>
      </c>
      <c r="DY2137" t="s">
        <v>25681</v>
      </c>
      <c r="DZ2137" t="s">
        <v>25682</v>
      </c>
      <c r="EA2137" t="s">
        <v>13772</v>
      </c>
      <c r="EB2137" t="s">
        <v>25683</v>
      </c>
    </row>
    <row r="2138" spans="1:132" hidden="1">
      <c r="A2138">
        <v>1276</v>
      </c>
      <c r="B2138">
        <v>1</v>
      </c>
      <c r="C2138" t="s">
        <v>3061</v>
      </c>
      <c r="D2138" t="s">
        <v>3062</v>
      </c>
      <c r="E2138" t="s">
        <v>73</v>
      </c>
      <c r="F2138" t="s">
        <v>73</v>
      </c>
      <c r="G2138" t="s">
        <v>73</v>
      </c>
      <c r="H2138">
        <v>4.4000000000000004</v>
      </c>
      <c r="I2138">
        <v>1112</v>
      </c>
      <c r="J2138">
        <v>125120</v>
      </c>
      <c r="K2138" t="s">
        <v>3063</v>
      </c>
      <c r="L2138">
        <f t="shared" si="134"/>
        <v>3</v>
      </c>
      <c r="N2138">
        <v>3</v>
      </c>
      <c r="O2138">
        <v>3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3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f t="shared" si="137"/>
        <v>3</v>
      </c>
      <c r="BW2138" s="16">
        <f t="shared" si="135"/>
        <v>0.15789473684210525</v>
      </c>
      <c r="BX2138" s="16">
        <f>COUNTIF($BC$6:BU2138, "=0") / COUNTIF($BC$6:BU2138, "&gt;-1")</f>
        <v>0.50576159103807339</v>
      </c>
      <c r="BY2138" s="18">
        <f>SUM($BC$6:BU2138) / $BY$4</f>
        <v>0.9987831943947133</v>
      </c>
      <c r="BZ2138" s="14">
        <f t="shared" si="136"/>
        <v>18</v>
      </c>
      <c r="CA2138" t="s">
        <v>5832</v>
      </c>
      <c r="CZ2138" t="s">
        <v>9988</v>
      </c>
      <c r="DA2138" t="s">
        <v>5904</v>
      </c>
      <c r="DB2138">
        <v>2169.8000000000002</v>
      </c>
      <c r="DC2138" t="s">
        <v>26103</v>
      </c>
      <c r="DD2138" t="s">
        <v>26104</v>
      </c>
      <c r="DE2138" t="s">
        <v>26105</v>
      </c>
      <c r="DF2138" t="s">
        <v>26106</v>
      </c>
      <c r="DG2138" t="s">
        <v>26107</v>
      </c>
      <c r="DH2138" t="str">
        <f>"SLC4A4"</f>
        <v>SLC4A4</v>
      </c>
      <c r="DI2138" t="s">
        <v>26108</v>
      </c>
      <c r="DJ2138" t="s">
        <v>13777</v>
      </c>
      <c r="DK2138">
        <v>9606</v>
      </c>
      <c r="DL2138" s="34" t="str">
        <f>HYPERLINK("http://www.uniprot.org/uniprot/Q9Y6R1", "Q9Y6R1")</f>
        <v>Q9Y6R1</v>
      </c>
      <c r="DM2138" t="s">
        <v>26109</v>
      </c>
      <c r="DN2138" t="s">
        <v>19486</v>
      </c>
      <c r="DO2138" t="s">
        <v>13792</v>
      </c>
      <c r="DP2138" t="s">
        <v>13841</v>
      </c>
      <c r="DQ2138" t="s">
        <v>13772</v>
      </c>
      <c r="DR2138" t="s">
        <v>26110</v>
      </c>
      <c r="DS2138" t="s">
        <v>13925</v>
      </c>
      <c r="DT2138" t="s">
        <v>13926</v>
      </c>
      <c r="DU2138" t="s">
        <v>13772</v>
      </c>
      <c r="DV2138" t="s">
        <v>13964</v>
      </c>
      <c r="DW2138" t="s">
        <v>13812</v>
      </c>
      <c r="DX2138" t="s">
        <v>26111</v>
      </c>
      <c r="DY2138" t="s">
        <v>26112</v>
      </c>
      <c r="DZ2138" t="s">
        <v>26113</v>
      </c>
      <c r="EA2138" t="s">
        <v>13772</v>
      </c>
      <c r="EB2138" t="s">
        <v>26114</v>
      </c>
    </row>
    <row r="2139" spans="1:132" hidden="1">
      <c r="A2139">
        <v>1277</v>
      </c>
      <c r="B2139">
        <v>1</v>
      </c>
      <c r="C2139" t="s">
        <v>3064</v>
      </c>
      <c r="D2139" t="s">
        <v>73</v>
      </c>
      <c r="E2139" t="s">
        <v>73</v>
      </c>
      <c r="F2139" t="s">
        <v>73</v>
      </c>
      <c r="G2139" t="s">
        <v>73</v>
      </c>
      <c r="H2139">
        <v>24.8</v>
      </c>
      <c r="I2139">
        <v>149</v>
      </c>
      <c r="J2139">
        <v>17302</v>
      </c>
      <c r="K2139" t="s">
        <v>3065</v>
      </c>
      <c r="L2139">
        <f t="shared" si="134"/>
        <v>3</v>
      </c>
      <c r="N2139">
        <v>3</v>
      </c>
      <c r="O2139">
        <v>3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2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1</v>
      </c>
      <c r="BN2139" s="2">
        <v>0</v>
      </c>
      <c r="BO2139" s="2">
        <v>2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f t="shared" si="137"/>
        <v>3</v>
      </c>
      <c r="BW2139" s="16">
        <f t="shared" si="135"/>
        <v>0.15789473684210525</v>
      </c>
      <c r="BX2139" s="16">
        <f>COUNTIF($BC$6:BU2139, "=0") / COUNTIF($BC$6:BU2139, "&gt;-1")</f>
        <v>0.50594386622601495</v>
      </c>
      <c r="BY2139" s="18">
        <f>SUM($BC$6:BU2139) / $BY$4</f>
        <v>0.9987960453053194</v>
      </c>
      <c r="BZ2139" s="14">
        <f t="shared" si="136"/>
        <v>17</v>
      </c>
      <c r="CA2139" t="s">
        <v>5832</v>
      </c>
      <c r="CZ2139" t="s">
        <v>9992</v>
      </c>
      <c r="DA2139" t="s">
        <v>5904</v>
      </c>
      <c r="DB2139">
        <v>285.39999999999998</v>
      </c>
      <c r="DC2139" t="s">
        <v>26115</v>
      </c>
      <c r="DD2139" t="s">
        <v>26116</v>
      </c>
      <c r="DE2139" t="s">
        <v>26117</v>
      </c>
      <c r="DF2139" t="s">
        <v>26118</v>
      </c>
      <c r="DG2139" t="s">
        <v>26119</v>
      </c>
      <c r="DH2139" t="str">
        <f>"STMN1"</f>
        <v>STMN1</v>
      </c>
      <c r="DI2139" t="s">
        <v>26120</v>
      </c>
      <c r="DJ2139" t="s">
        <v>13777</v>
      </c>
      <c r="DK2139">
        <v>9606</v>
      </c>
      <c r="DL2139" s="34" t="str">
        <f>HYPERLINK("http://www.uniprot.org/uniprot/P16949", "P16949")</f>
        <v>P16949</v>
      </c>
      <c r="DM2139" t="s">
        <v>26121</v>
      </c>
      <c r="DN2139" t="s">
        <v>14726</v>
      </c>
      <c r="DO2139" t="s">
        <v>20183</v>
      </c>
      <c r="DP2139" t="s">
        <v>13841</v>
      </c>
      <c r="DQ2139" t="s">
        <v>13772</v>
      </c>
      <c r="DR2139" t="s">
        <v>13772</v>
      </c>
      <c r="DS2139" t="s">
        <v>14245</v>
      </c>
      <c r="DT2139" t="s">
        <v>13772</v>
      </c>
      <c r="DU2139" t="s">
        <v>14727</v>
      </c>
      <c r="DV2139" t="s">
        <v>14098</v>
      </c>
      <c r="DW2139" t="s">
        <v>13772</v>
      </c>
      <c r="DX2139" t="s">
        <v>26122</v>
      </c>
      <c r="DY2139" t="s">
        <v>26123</v>
      </c>
      <c r="DZ2139" t="s">
        <v>26124</v>
      </c>
      <c r="EA2139" t="s">
        <v>13772</v>
      </c>
      <c r="EB2139" t="s">
        <v>13772</v>
      </c>
    </row>
    <row r="2140" spans="1:132" hidden="1">
      <c r="A2140">
        <v>1300</v>
      </c>
      <c r="B2140">
        <v>1</v>
      </c>
      <c r="C2140" t="s">
        <v>3116</v>
      </c>
      <c r="D2140" t="s">
        <v>73</v>
      </c>
      <c r="E2140" t="s">
        <v>73</v>
      </c>
      <c r="F2140" t="s">
        <v>73</v>
      </c>
      <c r="G2140" t="s">
        <v>73</v>
      </c>
      <c r="H2140">
        <v>13.8</v>
      </c>
      <c r="I2140">
        <v>247</v>
      </c>
      <c r="J2140">
        <v>26231</v>
      </c>
      <c r="K2140" t="s">
        <v>3117</v>
      </c>
      <c r="L2140">
        <f t="shared" si="134"/>
        <v>3</v>
      </c>
      <c r="N2140">
        <v>3</v>
      </c>
      <c r="O2140">
        <v>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1</v>
      </c>
      <c r="BN2140" s="2">
        <v>2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f t="shared" si="137"/>
        <v>3</v>
      </c>
      <c r="BW2140" s="16">
        <f t="shared" si="135"/>
        <v>0.15789473684210525</v>
      </c>
      <c r="BX2140" s="16">
        <f>COUNTIF($BC$6:BU2140, "=0") / COUNTIF($BC$6:BU2140, "&gt;-1")</f>
        <v>0.50612597066436582</v>
      </c>
      <c r="BY2140" s="18">
        <f>SUM($BC$6:BU2140) / $BY$4</f>
        <v>0.9988088962159255</v>
      </c>
      <c r="BZ2140" s="14">
        <f t="shared" si="136"/>
        <v>17</v>
      </c>
      <c r="CA2140" t="s">
        <v>5832</v>
      </c>
      <c r="CZ2140" t="s">
        <v>10074</v>
      </c>
      <c r="DA2140" t="s">
        <v>5904</v>
      </c>
      <c r="DB2140">
        <v>429.9</v>
      </c>
      <c r="DC2140" t="s">
        <v>26353</v>
      </c>
      <c r="DD2140" t="s">
        <v>26354</v>
      </c>
      <c r="DE2140" t="s">
        <v>26355</v>
      </c>
      <c r="DF2140" t="s">
        <v>26356</v>
      </c>
      <c r="DG2140" t="s">
        <v>26357</v>
      </c>
      <c r="DH2140" t="str">
        <f>"PGRMC2"</f>
        <v>PGRMC2</v>
      </c>
      <c r="DI2140" t="s">
        <v>26358</v>
      </c>
      <c r="DJ2140" t="s">
        <v>13777</v>
      </c>
      <c r="DK2140">
        <v>9606</v>
      </c>
      <c r="DL2140" s="34" t="str">
        <f>HYPERLINK("http://www.uniprot.org/uniprot/O15173", "O15173")</f>
        <v>O15173</v>
      </c>
      <c r="DM2140" t="s">
        <v>26359</v>
      </c>
      <c r="DN2140" t="s">
        <v>13772</v>
      </c>
      <c r="DO2140" t="s">
        <v>13825</v>
      </c>
      <c r="DP2140" t="s">
        <v>13841</v>
      </c>
      <c r="DQ2140" t="s">
        <v>13772</v>
      </c>
      <c r="DR2140" t="s">
        <v>13772</v>
      </c>
      <c r="DS2140" t="s">
        <v>13925</v>
      </c>
      <c r="DT2140" t="s">
        <v>15731</v>
      </c>
      <c r="DU2140" t="s">
        <v>13795</v>
      </c>
      <c r="DV2140" t="s">
        <v>13782</v>
      </c>
      <c r="DW2140" t="s">
        <v>13772</v>
      </c>
      <c r="DX2140" t="s">
        <v>13772</v>
      </c>
      <c r="DY2140" t="s">
        <v>26360</v>
      </c>
      <c r="DZ2140" t="s">
        <v>26361</v>
      </c>
      <c r="EA2140" t="s">
        <v>13772</v>
      </c>
      <c r="EB2140" t="s">
        <v>13772</v>
      </c>
    </row>
    <row r="2141" spans="1:132" hidden="1">
      <c r="A2141">
        <v>1301</v>
      </c>
      <c r="B2141">
        <v>1</v>
      </c>
      <c r="C2141" t="s">
        <v>3118</v>
      </c>
      <c r="D2141" t="s">
        <v>3119</v>
      </c>
      <c r="E2141" t="s">
        <v>73</v>
      </c>
      <c r="F2141" t="s">
        <v>73</v>
      </c>
      <c r="G2141" t="s">
        <v>73</v>
      </c>
      <c r="H2141">
        <v>6.8</v>
      </c>
      <c r="I2141">
        <v>804</v>
      </c>
      <c r="J2141">
        <v>87956</v>
      </c>
      <c r="K2141" t="s">
        <v>3120</v>
      </c>
      <c r="L2141">
        <f t="shared" si="134"/>
        <v>3</v>
      </c>
      <c r="N2141">
        <v>3</v>
      </c>
      <c r="O2141">
        <v>3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2</v>
      </c>
      <c r="BN2141" s="2">
        <v>1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f t="shared" si="137"/>
        <v>3</v>
      </c>
      <c r="BW2141" s="16">
        <f t="shared" si="135"/>
        <v>0.15789473684210525</v>
      </c>
      <c r="BX2141" s="16">
        <f>COUNTIF($BC$6:BU2141, "=0") / COUNTIF($BC$6:BU2141, "&gt;-1")</f>
        <v>0.50630790459294306</v>
      </c>
      <c r="BY2141" s="18">
        <f>SUM($BC$6:BU2141) / $BY$4</f>
        <v>0.9988217471265316</v>
      </c>
      <c r="BZ2141" s="14">
        <f t="shared" si="136"/>
        <v>17</v>
      </c>
      <c r="CA2141" t="s">
        <v>5832</v>
      </c>
      <c r="CZ2141" t="s">
        <v>10079</v>
      </c>
      <c r="DA2141" t="s">
        <v>5904</v>
      </c>
      <c r="DB2141">
        <v>1323.9</v>
      </c>
      <c r="DC2141" t="s">
        <v>26362</v>
      </c>
      <c r="DD2141" t="s">
        <v>26363</v>
      </c>
      <c r="DE2141" t="s">
        <v>26364</v>
      </c>
      <c r="DF2141" t="s">
        <v>26365</v>
      </c>
      <c r="DG2141" t="s">
        <v>26366</v>
      </c>
      <c r="DH2141" t="str">
        <f>"ADD1"</f>
        <v>ADD1</v>
      </c>
      <c r="DI2141" t="s">
        <v>26367</v>
      </c>
      <c r="DJ2141" t="s">
        <v>13777</v>
      </c>
      <c r="DK2141">
        <v>9606</v>
      </c>
      <c r="DL2141" s="34" t="str">
        <f>HYPERLINK("http://www.uniprot.org/uniprot/P35611", "P35611")</f>
        <v>P35611</v>
      </c>
      <c r="DM2141" t="s">
        <v>26368</v>
      </c>
      <c r="DN2141" t="s">
        <v>13772</v>
      </c>
      <c r="DO2141" t="s">
        <v>17663</v>
      </c>
      <c r="DP2141" t="s">
        <v>13780</v>
      </c>
      <c r="DQ2141" t="s">
        <v>13772</v>
      </c>
      <c r="DR2141" t="s">
        <v>13772</v>
      </c>
      <c r="DS2141" t="s">
        <v>13772</v>
      </c>
      <c r="DT2141" t="s">
        <v>13772</v>
      </c>
      <c r="DU2141" t="s">
        <v>15941</v>
      </c>
      <c r="DV2141" t="s">
        <v>13886</v>
      </c>
      <c r="DW2141" t="s">
        <v>13772</v>
      </c>
      <c r="DX2141" t="s">
        <v>26369</v>
      </c>
      <c r="DY2141" t="s">
        <v>26370</v>
      </c>
      <c r="DZ2141" t="s">
        <v>26371</v>
      </c>
      <c r="EA2141" t="s">
        <v>13772</v>
      </c>
      <c r="EB2141" t="s">
        <v>26372</v>
      </c>
    </row>
    <row r="2142" spans="1:132" hidden="1">
      <c r="A2142">
        <v>1362</v>
      </c>
      <c r="B2142">
        <v>1</v>
      </c>
      <c r="C2142" t="s">
        <v>3256</v>
      </c>
      <c r="D2142" t="s">
        <v>3257</v>
      </c>
      <c r="E2142" t="s">
        <v>73</v>
      </c>
      <c r="F2142" t="s">
        <v>73</v>
      </c>
      <c r="G2142" t="s">
        <v>73</v>
      </c>
      <c r="H2142">
        <v>4.9000000000000004</v>
      </c>
      <c r="I2142">
        <v>970</v>
      </c>
      <c r="J2142">
        <v>108322</v>
      </c>
      <c r="K2142" t="s">
        <v>3258</v>
      </c>
      <c r="L2142">
        <f t="shared" si="134"/>
        <v>3</v>
      </c>
      <c r="N2142">
        <v>3</v>
      </c>
      <c r="O2142">
        <v>3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2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2</v>
      </c>
      <c r="BO2142" s="2">
        <v>0</v>
      </c>
      <c r="BP2142" s="2">
        <v>0</v>
      </c>
      <c r="BQ2142" s="2">
        <v>0</v>
      </c>
      <c r="BR2142" s="2">
        <v>1</v>
      </c>
      <c r="BS2142" s="2">
        <v>0</v>
      </c>
      <c r="BT2142" s="2">
        <v>0</v>
      </c>
      <c r="BU2142" s="2">
        <v>0</v>
      </c>
      <c r="BV2142" s="2">
        <f t="shared" si="137"/>
        <v>3</v>
      </c>
      <c r="BW2142" s="16">
        <f t="shared" si="135"/>
        <v>0.15789473684210525</v>
      </c>
      <c r="BX2142" s="16">
        <f>COUNTIF($BC$6:BU2142, "=0") / COUNTIF($BC$6:BU2142, "&gt;-1")</f>
        <v>0.50648966825111441</v>
      </c>
      <c r="BY2142" s="18">
        <f>SUM($BC$6:BU2142) / $BY$4</f>
        <v>0.9988345980371377</v>
      </c>
      <c r="BZ2142" s="14">
        <f t="shared" si="136"/>
        <v>17</v>
      </c>
      <c r="CA2142" t="s">
        <v>5832</v>
      </c>
      <c r="CZ2142" t="s">
        <v>10285</v>
      </c>
      <c r="DA2142" t="s">
        <v>5904</v>
      </c>
      <c r="DB2142">
        <v>1726.5</v>
      </c>
      <c r="DC2142" t="s">
        <v>26951</v>
      </c>
      <c r="DD2142" t="s">
        <v>26952</v>
      </c>
      <c r="DE2142" t="s">
        <v>26953</v>
      </c>
      <c r="DF2142" t="s">
        <v>26954</v>
      </c>
      <c r="DG2142" t="s">
        <v>26955</v>
      </c>
      <c r="DH2142" t="str">
        <f>"USO1"</f>
        <v>USO1</v>
      </c>
      <c r="DI2142" t="s">
        <v>26956</v>
      </c>
      <c r="DJ2142" t="s">
        <v>13777</v>
      </c>
      <c r="DK2142">
        <v>9606</v>
      </c>
      <c r="DL2142" s="34" t="str">
        <f>HYPERLINK("http://www.uniprot.org/uniprot/O60763", "O60763")</f>
        <v>O60763</v>
      </c>
      <c r="DM2142" t="s">
        <v>26957</v>
      </c>
      <c r="DN2142" t="s">
        <v>15450</v>
      </c>
      <c r="DO2142" t="s">
        <v>24187</v>
      </c>
      <c r="DP2142" t="s">
        <v>13841</v>
      </c>
      <c r="DQ2142" t="s">
        <v>13772</v>
      </c>
      <c r="DR2142" t="s">
        <v>13772</v>
      </c>
      <c r="DS2142" t="s">
        <v>14048</v>
      </c>
      <c r="DT2142" t="s">
        <v>13772</v>
      </c>
      <c r="DU2142" t="s">
        <v>13772</v>
      </c>
      <c r="DV2142" t="s">
        <v>13886</v>
      </c>
      <c r="DW2142" t="s">
        <v>13812</v>
      </c>
      <c r="DX2142" t="s">
        <v>26958</v>
      </c>
      <c r="DY2142" t="s">
        <v>26959</v>
      </c>
      <c r="DZ2142" t="s">
        <v>26960</v>
      </c>
      <c r="EA2142" t="s">
        <v>13772</v>
      </c>
      <c r="EB2142" t="s">
        <v>26961</v>
      </c>
    </row>
    <row r="2143" spans="1:132" hidden="1">
      <c r="A2143">
        <v>1393</v>
      </c>
      <c r="B2143">
        <v>1</v>
      </c>
      <c r="C2143" t="s">
        <v>3327</v>
      </c>
      <c r="D2143" t="s">
        <v>3328</v>
      </c>
      <c r="E2143" t="s">
        <v>73</v>
      </c>
      <c r="F2143" t="s">
        <v>73</v>
      </c>
      <c r="G2143" t="s">
        <v>73</v>
      </c>
      <c r="H2143">
        <v>5.7</v>
      </c>
      <c r="I2143">
        <v>637</v>
      </c>
      <c r="J2143">
        <v>72884</v>
      </c>
      <c r="K2143" t="s">
        <v>3329</v>
      </c>
      <c r="L2143">
        <f t="shared" si="134"/>
        <v>3</v>
      </c>
      <c r="N2143">
        <v>3</v>
      </c>
      <c r="O2143">
        <v>3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1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2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f t="shared" si="137"/>
        <v>3</v>
      </c>
      <c r="BW2143" s="16">
        <f t="shared" si="135"/>
        <v>0.15789473684210525</v>
      </c>
      <c r="BX2143" s="16">
        <f>COUNTIF($BC$6:BU2143, "=0") / COUNTIF($BC$6:BU2143, "&gt;-1")</f>
        <v>0.50667126187780021</v>
      </c>
      <c r="BY2143" s="18">
        <f>SUM($BC$6:BU2143) / $BY$4</f>
        <v>0.9988474489477438</v>
      </c>
      <c r="BZ2143" s="14">
        <f t="shared" si="136"/>
        <v>17</v>
      </c>
      <c r="CA2143" t="s">
        <v>5832</v>
      </c>
      <c r="CZ2143" t="s">
        <v>10390</v>
      </c>
      <c r="DA2143" t="s">
        <v>5904</v>
      </c>
      <c r="DB2143">
        <v>1297</v>
      </c>
      <c r="DC2143" t="s">
        <v>27233</v>
      </c>
      <c r="DD2143" t="s">
        <v>27234</v>
      </c>
      <c r="DE2143" t="s">
        <v>27235</v>
      </c>
      <c r="DF2143" t="s">
        <v>27236</v>
      </c>
      <c r="DG2143" t="s">
        <v>27237</v>
      </c>
      <c r="DH2143" t="str">
        <f>"GCLC"</f>
        <v>GCLC</v>
      </c>
      <c r="DI2143" t="s">
        <v>27238</v>
      </c>
      <c r="DJ2143" t="s">
        <v>13777</v>
      </c>
      <c r="DK2143">
        <v>9606</v>
      </c>
      <c r="DL2143" s="34" t="str">
        <f>HYPERLINK("http://www.uniprot.org/uniprot/P48506", "P48506")</f>
        <v>P48506</v>
      </c>
      <c r="DM2143" t="s">
        <v>27239</v>
      </c>
      <c r="DN2143" t="s">
        <v>17533</v>
      </c>
      <c r="DO2143" t="s">
        <v>13772</v>
      </c>
      <c r="DP2143" t="s">
        <v>13793</v>
      </c>
      <c r="DQ2143" t="s">
        <v>13772</v>
      </c>
      <c r="DR2143" t="s">
        <v>17205</v>
      </c>
      <c r="DS2143" t="s">
        <v>13772</v>
      </c>
      <c r="DT2143" t="s">
        <v>14005</v>
      </c>
      <c r="DU2143" t="s">
        <v>21123</v>
      </c>
      <c r="DV2143" t="s">
        <v>13886</v>
      </c>
      <c r="DW2143" t="s">
        <v>13772</v>
      </c>
      <c r="DX2143" t="s">
        <v>27240</v>
      </c>
      <c r="DY2143" t="s">
        <v>27241</v>
      </c>
      <c r="DZ2143" t="s">
        <v>27242</v>
      </c>
      <c r="EA2143" t="s">
        <v>27243</v>
      </c>
      <c r="EB2143" t="s">
        <v>27244</v>
      </c>
    </row>
    <row r="2144" spans="1:132" hidden="1">
      <c r="A2144">
        <v>1465</v>
      </c>
      <c r="B2144">
        <v>1</v>
      </c>
      <c r="C2144" t="s">
        <v>3485</v>
      </c>
      <c r="D2144" t="s">
        <v>73</v>
      </c>
      <c r="E2144" t="s">
        <v>73</v>
      </c>
      <c r="F2144" t="s">
        <v>73</v>
      </c>
      <c r="G2144" t="s">
        <v>73</v>
      </c>
      <c r="H2144">
        <v>5.5</v>
      </c>
      <c r="I2144">
        <v>1172</v>
      </c>
      <c r="J2144">
        <v>129649</v>
      </c>
      <c r="K2144" t="s">
        <v>3486</v>
      </c>
      <c r="L2144">
        <f t="shared" si="134"/>
        <v>3</v>
      </c>
      <c r="N2144">
        <v>3</v>
      </c>
      <c r="O2144">
        <v>3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2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2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f t="shared" si="137"/>
        <v>3</v>
      </c>
      <c r="BW2144" s="16">
        <f t="shared" si="135"/>
        <v>0.15789473684210525</v>
      </c>
      <c r="BX2144" s="16">
        <f>COUNTIF($BC$6:BU2144, "=0") / COUNTIF($BC$6:BU2144, "&gt;-1")</f>
        <v>0.50685268571147368</v>
      </c>
      <c r="BY2144" s="18">
        <f>SUM($BC$6:BU2144) / $BY$4</f>
        <v>0.9988602998583499</v>
      </c>
      <c r="BZ2144" s="14">
        <f t="shared" si="136"/>
        <v>17</v>
      </c>
      <c r="CA2144" t="s">
        <v>5832</v>
      </c>
      <c r="CZ2144" t="s">
        <v>10614</v>
      </c>
      <c r="DA2144" t="s">
        <v>5904</v>
      </c>
      <c r="DB2144">
        <v>2134.4</v>
      </c>
      <c r="DC2144" t="s">
        <v>27868</v>
      </c>
      <c r="DD2144" t="s">
        <v>13772</v>
      </c>
      <c r="DE2144" t="s">
        <v>27869</v>
      </c>
      <c r="DF2144" t="s">
        <v>27870</v>
      </c>
      <c r="DG2144" t="s">
        <v>27871</v>
      </c>
      <c r="DH2144" t="str">
        <f>"THBS2"</f>
        <v>THBS2</v>
      </c>
      <c r="DI2144" t="s">
        <v>27872</v>
      </c>
      <c r="DJ2144" t="s">
        <v>13777</v>
      </c>
      <c r="DK2144">
        <v>9606</v>
      </c>
      <c r="DL2144" s="34" t="str">
        <f>HYPERLINK("http://www.uniprot.org/uniprot/P35442", "P35442")</f>
        <v>P35442</v>
      </c>
      <c r="DM2144" t="s">
        <v>27873</v>
      </c>
      <c r="DN2144" t="s">
        <v>13949</v>
      </c>
      <c r="DO2144" t="s">
        <v>13772</v>
      </c>
      <c r="DP2144" t="s">
        <v>13793</v>
      </c>
      <c r="DQ2144" t="s">
        <v>13772</v>
      </c>
      <c r="DR2144" t="s">
        <v>13772</v>
      </c>
      <c r="DS2144" t="s">
        <v>14768</v>
      </c>
      <c r="DT2144" t="s">
        <v>14465</v>
      </c>
      <c r="DU2144" t="s">
        <v>14073</v>
      </c>
      <c r="DV2144" t="s">
        <v>13796</v>
      </c>
      <c r="DW2144" t="s">
        <v>13812</v>
      </c>
      <c r="DX2144" t="s">
        <v>27874</v>
      </c>
      <c r="DY2144" t="s">
        <v>27875</v>
      </c>
      <c r="DZ2144" t="s">
        <v>22323</v>
      </c>
      <c r="EA2144" t="s">
        <v>13772</v>
      </c>
      <c r="EB2144" t="s">
        <v>27876</v>
      </c>
    </row>
    <row r="2145" spans="1:132" hidden="1">
      <c r="A2145">
        <v>1490</v>
      </c>
      <c r="B2145">
        <v>1</v>
      </c>
      <c r="C2145" t="s">
        <v>3545</v>
      </c>
      <c r="D2145" t="s">
        <v>73</v>
      </c>
      <c r="E2145" t="s">
        <v>73</v>
      </c>
      <c r="F2145" t="s">
        <v>73</v>
      </c>
      <c r="G2145" t="s">
        <v>73</v>
      </c>
      <c r="H2145">
        <v>10.1</v>
      </c>
      <c r="I2145">
        <v>276</v>
      </c>
      <c r="J2145">
        <v>30737</v>
      </c>
      <c r="K2145" t="s">
        <v>3546</v>
      </c>
      <c r="L2145">
        <f t="shared" si="134"/>
        <v>3</v>
      </c>
      <c r="N2145">
        <v>3</v>
      </c>
      <c r="O2145">
        <v>3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2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1</v>
      </c>
      <c r="BT2145" s="2">
        <v>0</v>
      </c>
      <c r="BU2145" s="2">
        <v>0</v>
      </c>
      <c r="BV2145" s="2">
        <f t="shared" si="137"/>
        <v>3</v>
      </c>
      <c r="BW2145" s="16">
        <f t="shared" si="135"/>
        <v>0.15789473684210525</v>
      </c>
      <c r="BX2145" s="16">
        <f>COUNTIF($BC$6:BU2145, "=0") / COUNTIF($BC$6:BU2145, "&gt;-1")</f>
        <v>0.50703393999016233</v>
      </c>
      <c r="BY2145" s="18">
        <f>SUM($BC$6:BU2145) / $BY$4</f>
        <v>0.998873150768956</v>
      </c>
      <c r="BZ2145" s="14">
        <f t="shared" si="136"/>
        <v>17</v>
      </c>
      <c r="CA2145" t="s">
        <v>5832</v>
      </c>
      <c r="CZ2145" t="s">
        <v>10700</v>
      </c>
      <c r="DA2145" t="s">
        <v>5904</v>
      </c>
      <c r="DB2145">
        <v>509.6</v>
      </c>
      <c r="DC2145" t="s">
        <v>28113</v>
      </c>
      <c r="DD2145" t="s">
        <v>28114</v>
      </c>
      <c r="DE2145" t="s">
        <v>28115</v>
      </c>
      <c r="DF2145" t="s">
        <v>28116</v>
      </c>
      <c r="DG2145" t="s">
        <v>28117</v>
      </c>
      <c r="DH2145" t="str">
        <f>"PSMB8"</f>
        <v>PSMB8</v>
      </c>
      <c r="DI2145" t="s">
        <v>28118</v>
      </c>
      <c r="DJ2145" t="s">
        <v>13777</v>
      </c>
      <c r="DK2145">
        <v>9606</v>
      </c>
      <c r="DL2145" s="34" t="str">
        <f>HYPERLINK("http://www.uniprot.org/uniprot/P28062", "P28062")</f>
        <v>P28062</v>
      </c>
      <c r="DM2145" t="s">
        <v>28119</v>
      </c>
      <c r="DN2145" t="s">
        <v>28120</v>
      </c>
      <c r="DO2145" t="s">
        <v>14204</v>
      </c>
      <c r="DP2145" t="s">
        <v>13780</v>
      </c>
      <c r="DQ2145" t="s">
        <v>13772</v>
      </c>
      <c r="DR2145" t="s">
        <v>13807</v>
      </c>
      <c r="DS2145" t="s">
        <v>13772</v>
      </c>
      <c r="DT2145" t="s">
        <v>13772</v>
      </c>
      <c r="DU2145" t="s">
        <v>14564</v>
      </c>
      <c r="DV2145" t="s">
        <v>28121</v>
      </c>
      <c r="DW2145" t="s">
        <v>13812</v>
      </c>
      <c r="DX2145" t="s">
        <v>28122</v>
      </c>
      <c r="DY2145" t="s">
        <v>28123</v>
      </c>
      <c r="DZ2145" t="s">
        <v>15932</v>
      </c>
      <c r="EA2145" t="s">
        <v>13772</v>
      </c>
      <c r="EB2145" t="s">
        <v>28124</v>
      </c>
    </row>
    <row r="2146" spans="1:132" hidden="1">
      <c r="A2146">
        <v>1600</v>
      </c>
      <c r="B2146">
        <v>1</v>
      </c>
      <c r="C2146" t="s">
        <v>3792</v>
      </c>
      <c r="D2146" t="s">
        <v>73</v>
      </c>
      <c r="E2146" t="s">
        <v>73</v>
      </c>
      <c r="F2146" t="s">
        <v>73</v>
      </c>
      <c r="G2146" t="s">
        <v>73</v>
      </c>
      <c r="H2146">
        <v>9.9</v>
      </c>
      <c r="I2146">
        <v>212</v>
      </c>
      <c r="J2146">
        <v>22533</v>
      </c>
      <c r="K2146" t="s">
        <v>3793</v>
      </c>
      <c r="L2146">
        <f t="shared" si="134"/>
        <v>3</v>
      </c>
      <c r="N2146">
        <v>3</v>
      </c>
      <c r="O2146">
        <v>3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2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1</v>
      </c>
      <c r="BL2146" s="2">
        <v>0</v>
      </c>
      <c r="BM2146" s="2">
        <v>0</v>
      </c>
      <c r="BN2146" s="2">
        <v>0</v>
      </c>
      <c r="BO2146" s="2">
        <v>2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f t="shared" si="137"/>
        <v>3</v>
      </c>
      <c r="BW2146" s="16">
        <f t="shared" si="135"/>
        <v>0.15789473684210525</v>
      </c>
      <c r="BX2146" s="16">
        <f>COUNTIF($BC$6:BU2146, "=0") / COUNTIF($BC$6:BU2146, "&gt;-1")</f>
        <v>0.5072150249514491</v>
      </c>
      <c r="BY2146" s="18">
        <f>SUM($BC$6:BU2146) / $BY$4</f>
        <v>0.9988860016795621</v>
      </c>
      <c r="BZ2146" s="14">
        <f t="shared" si="136"/>
        <v>17</v>
      </c>
      <c r="CA2146" t="s">
        <v>5832</v>
      </c>
      <c r="CZ2146" t="s">
        <v>11075</v>
      </c>
      <c r="DA2146" t="s">
        <v>5904</v>
      </c>
      <c r="DB2146">
        <v>400.2</v>
      </c>
      <c r="DC2146" t="s">
        <v>29137</v>
      </c>
      <c r="DD2146" t="s">
        <v>29138</v>
      </c>
      <c r="DE2146" t="s">
        <v>29139</v>
      </c>
      <c r="DF2146" t="s">
        <v>29140</v>
      </c>
      <c r="DG2146" t="s">
        <v>29141</v>
      </c>
      <c r="DH2146" t="str">
        <f>"PPIC"</f>
        <v>PPIC</v>
      </c>
      <c r="DI2146" t="s">
        <v>29142</v>
      </c>
      <c r="DJ2146" t="s">
        <v>13777</v>
      </c>
      <c r="DK2146">
        <v>9606</v>
      </c>
      <c r="DL2146" s="34" t="str">
        <f>HYPERLINK("http://www.uniprot.org/uniprot/P45877", "P45877")</f>
        <v>P45877</v>
      </c>
      <c r="DM2146" t="s">
        <v>29143</v>
      </c>
      <c r="DN2146" t="s">
        <v>13772</v>
      </c>
      <c r="DO2146" t="s">
        <v>13899</v>
      </c>
      <c r="DP2146" t="s">
        <v>13793</v>
      </c>
      <c r="DQ2146" t="s">
        <v>13772</v>
      </c>
      <c r="DR2146" t="s">
        <v>13772</v>
      </c>
      <c r="DS2146" t="s">
        <v>13772</v>
      </c>
      <c r="DT2146" t="s">
        <v>13772</v>
      </c>
      <c r="DU2146" t="s">
        <v>15050</v>
      </c>
      <c r="DV2146" t="s">
        <v>13772</v>
      </c>
      <c r="DW2146" t="s">
        <v>13812</v>
      </c>
      <c r="DX2146" t="s">
        <v>29144</v>
      </c>
      <c r="DY2146" t="s">
        <v>25461</v>
      </c>
      <c r="DZ2146" t="s">
        <v>29145</v>
      </c>
      <c r="EA2146" t="s">
        <v>13772</v>
      </c>
      <c r="EB2146" t="s">
        <v>13772</v>
      </c>
    </row>
    <row r="2147" spans="1:132" hidden="1">
      <c r="A2147">
        <v>1628</v>
      </c>
      <c r="B2147">
        <v>1</v>
      </c>
      <c r="C2147" t="s">
        <v>3858</v>
      </c>
      <c r="D2147" t="s">
        <v>3859</v>
      </c>
      <c r="E2147" t="s">
        <v>73</v>
      </c>
      <c r="F2147" t="s">
        <v>73</v>
      </c>
      <c r="G2147" t="s">
        <v>73</v>
      </c>
      <c r="H2147">
        <v>4.7</v>
      </c>
      <c r="I2147">
        <v>559</v>
      </c>
      <c r="J2147">
        <v>63224</v>
      </c>
      <c r="K2147" t="s">
        <v>3860</v>
      </c>
      <c r="L2147">
        <f t="shared" si="134"/>
        <v>3</v>
      </c>
      <c r="N2147">
        <v>3</v>
      </c>
      <c r="O2147">
        <v>3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2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2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f t="shared" si="137"/>
        <v>3</v>
      </c>
      <c r="BW2147" s="16">
        <f t="shared" si="135"/>
        <v>0.15789473684210525</v>
      </c>
      <c r="BX2147" s="16">
        <f>COUNTIF($BC$6:BU2147, "=0") / COUNTIF($BC$6:BU2147, "&gt;-1")</f>
        <v>0.5073959408324733</v>
      </c>
      <c r="BY2147" s="18">
        <f>SUM($BC$6:BU2147) / $BY$4</f>
        <v>0.9988988525901682</v>
      </c>
      <c r="BZ2147" s="14">
        <f t="shared" si="136"/>
        <v>17</v>
      </c>
      <c r="CA2147" t="s">
        <v>5832</v>
      </c>
      <c r="CZ2147" t="s">
        <v>11172</v>
      </c>
      <c r="DA2147" t="s">
        <v>5904</v>
      </c>
      <c r="DB2147">
        <v>1141.3</v>
      </c>
      <c r="DC2147" t="s">
        <v>29402</v>
      </c>
      <c r="DD2147" t="s">
        <v>13772</v>
      </c>
      <c r="DE2147" t="s">
        <v>29403</v>
      </c>
      <c r="DF2147" t="s">
        <v>29404</v>
      </c>
      <c r="DG2147" t="s">
        <v>29405</v>
      </c>
      <c r="DH2147" t="str">
        <f>"DNAJC11"</f>
        <v>DNAJC11</v>
      </c>
      <c r="DI2147" t="s">
        <v>13772</v>
      </c>
      <c r="DJ2147" t="s">
        <v>13777</v>
      </c>
      <c r="DK2147">
        <v>9606</v>
      </c>
      <c r="DL2147" s="34" t="str">
        <f>HYPERLINK("http://www.uniprot.org/uniprot/Q9NVH1", "Q9NVH1")</f>
        <v>Q9NVH1</v>
      </c>
      <c r="DM2147" t="s">
        <v>29406</v>
      </c>
      <c r="DN2147" t="s">
        <v>13772</v>
      </c>
      <c r="DO2147" t="s">
        <v>24495</v>
      </c>
      <c r="DP2147" t="s">
        <v>13780</v>
      </c>
      <c r="DQ2147" t="s">
        <v>13772</v>
      </c>
      <c r="DR2147" t="s">
        <v>13772</v>
      </c>
      <c r="DS2147" t="s">
        <v>14245</v>
      </c>
      <c r="DT2147" t="s">
        <v>13772</v>
      </c>
      <c r="DU2147" t="s">
        <v>14477</v>
      </c>
      <c r="DV2147" t="s">
        <v>13886</v>
      </c>
      <c r="DW2147" t="s">
        <v>13772</v>
      </c>
      <c r="DX2147" t="s">
        <v>29407</v>
      </c>
      <c r="DY2147" t="s">
        <v>29408</v>
      </c>
      <c r="DZ2147" t="s">
        <v>13772</v>
      </c>
      <c r="EA2147" t="s">
        <v>13772</v>
      </c>
      <c r="EB2147" t="s">
        <v>29409</v>
      </c>
    </row>
    <row r="2148" spans="1:132" hidden="1">
      <c r="A2148">
        <v>1676</v>
      </c>
      <c r="B2148">
        <v>1</v>
      </c>
      <c r="C2148" t="s">
        <v>3972</v>
      </c>
      <c r="D2148" t="s">
        <v>3973</v>
      </c>
      <c r="E2148" t="s">
        <v>73</v>
      </c>
      <c r="F2148" t="s">
        <v>73</v>
      </c>
      <c r="G2148" t="s">
        <v>73</v>
      </c>
      <c r="H2148">
        <v>20.399999999999999</v>
      </c>
      <c r="I2148">
        <v>235</v>
      </c>
      <c r="J2148">
        <v>26518</v>
      </c>
      <c r="K2148" t="s">
        <v>3974</v>
      </c>
      <c r="L2148">
        <f t="shared" si="134"/>
        <v>3</v>
      </c>
      <c r="N2148">
        <v>3</v>
      </c>
      <c r="O2148">
        <v>3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3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f t="shared" si="137"/>
        <v>3</v>
      </c>
      <c r="BW2148" s="16">
        <f t="shared" si="135"/>
        <v>0.15789473684210525</v>
      </c>
      <c r="BX2148" s="16">
        <f>COUNTIF($BC$6:BU2148, "=0") / COUNTIF($BC$6:BU2148, "&gt;-1")</f>
        <v>0.50760124763612247</v>
      </c>
      <c r="BY2148" s="18">
        <f>SUM($BC$6:BU2148) / $BY$4</f>
        <v>0.9989117035007743</v>
      </c>
      <c r="BZ2148" s="14">
        <f t="shared" si="136"/>
        <v>18</v>
      </c>
      <c r="CA2148" t="s">
        <v>5832</v>
      </c>
      <c r="CZ2148" t="s">
        <v>11337</v>
      </c>
      <c r="DA2148" t="s">
        <v>5904</v>
      </c>
      <c r="DB2148">
        <v>483.4</v>
      </c>
      <c r="DC2148" t="s">
        <v>29876</v>
      </c>
      <c r="DD2148" t="s">
        <v>29877</v>
      </c>
      <c r="DE2148" t="s">
        <v>29878</v>
      </c>
      <c r="DF2148" t="s">
        <v>29879</v>
      </c>
      <c r="DG2148" t="s">
        <v>29880</v>
      </c>
      <c r="DH2148" t="str">
        <f>"NAA10"</f>
        <v>NAA10</v>
      </c>
      <c r="DI2148" t="s">
        <v>29881</v>
      </c>
      <c r="DJ2148" t="s">
        <v>13777</v>
      </c>
      <c r="DK2148">
        <v>9606</v>
      </c>
      <c r="DL2148" s="34" t="str">
        <f>HYPERLINK("http://www.uniprot.org/uniprot/P41227", "P41227")</f>
        <v>P41227</v>
      </c>
      <c r="DM2148" t="s">
        <v>29882</v>
      </c>
      <c r="DN2148" t="s">
        <v>13772</v>
      </c>
      <c r="DO2148" t="s">
        <v>13912</v>
      </c>
      <c r="DP2148" t="s">
        <v>13841</v>
      </c>
      <c r="DQ2148" t="s">
        <v>13772</v>
      </c>
      <c r="DR2148" t="s">
        <v>15592</v>
      </c>
      <c r="DS2148" t="s">
        <v>13772</v>
      </c>
      <c r="DT2148" t="s">
        <v>13772</v>
      </c>
      <c r="DU2148" t="s">
        <v>15096</v>
      </c>
      <c r="DV2148" t="s">
        <v>13886</v>
      </c>
      <c r="DW2148" t="s">
        <v>13812</v>
      </c>
      <c r="DX2148" t="s">
        <v>29883</v>
      </c>
      <c r="DY2148" t="s">
        <v>29884</v>
      </c>
      <c r="DZ2148" t="s">
        <v>29885</v>
      </c>
      <c r="EA2148" t="s">
        <v>13772</v>
      </c>
      <c r="EB2148" t="s">
        <v>13772</v>
      </c>
    </row>
    <row r="2149" spans="1:132" hidden="1">
      <c r="A2149">
        <v>1710</v>
      </c>
      <c r="B2149">
        <v>1</v>
      </c>
      <c r="C2149" t="s">
        <v>4056</v>
      </c>
      <c r="D2149" t="s">
        <v>73</v>
      </c>
      <c r="E2149" t="s">
        <v>73</v>
      </c>
      <c r="F2149" t="s">
        <v>73</v>
      </c>
      <c r="G2149" t="s">
        <v>73</v>
      </c>
      <c r="H2149">
        <v>20</v>
      </c>
      <c r="I2149">
        <v>250</v>
      </c>
      <c r="J2149">
        <v>25671</v>
      </c>
      <c r="K2149" t="s">
        <v>4057</v>
      </c>
      <c r="L2149">
        <f t="shared" si="134"/>
        <v>3</v>
      </c>
      <c r="N2149">
        <v>3</v>
      </c>
      <c r="O2149">
        <v>3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2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1</v>
      </c>
      <c r="BR2149" s="2">
        <v>0</v>
      </c>
      <c r="BS2149" s="2">
        <v>0</v>
      </c>
      <c r="BT2149" s="2">
        <v>0</v>
      </c>
      <c r="BU2149" s="2">
        <v>0</v>
      </c>
      <c r="BV2149" s="2">
        <f t="shared" si="137"/>
        <v>3</v>
      </c>
      <c r="BW2149" s="16">
        <f t="shared" si="135"/>
        <v>0.15789473684210525</v>
      </c>
      <c r="BX2149" s="16">
        <f>COUNTIF($BC$6:BU2149, "=0") / COUNTIF($BC$6:BU2149, "&gt;-1")</f>
        <v>0.50778181461115479</v>
      </c>
      <c r="BY2149" s="18">
        <f>SUM($BC$6:BU2149) / $BY$4</f>
        <v>0.99892455441138039</v>
      </c>
      <c r="BZ2149" s="14">
        <f t="shared" si="136"/>
        <v>17</v>
      </c>
      <c r="CA2149" t="s">
        <v>5832</v>
      </c>
      <c r="CZ2149" t="s">
        <v>11455</v>
      </c>
      <c r="DA2149" t="s">
        <v>5904</v>
      </c>
      <c r="DB2149">
        <v>385.6</v>
      </c>
      <c r="DC2149" t="s">
        <v>30210</v>
      </c>
      <c r="DD2149" t="s">
        <v>13772</v>
      </c>
      <c r="DE2149" t="s">
        <v>30211</v>
      </c>
      <c r="DF2149" t="s">
        <v>30212</v>
      </c>
      <c r="DG2149" t="s">
        <v>30213</v>
      </c>
      <c r="DH2149" t="str">
        <f>"MBLAC1"</f>
        <v>MBLAC1</v>
      </c>
      <c r="DI2149" t="s">
        <v>13772</v>
      </c>
      <c r="DJ2149" t="s">
        <v>13777</v>
      </c>
      <c r="DK2149">
        <v>9606</v>
      </c>
      <c r="DL2149" s="34" t="str">
        <f>HYPERLINK("http://www.uniprot.org/uniprot/A4D2B0", "A4D2B0")</f>
        <v>A4D2B0</v>
      </c>
      <c r="DM2149" t="s">
        <v>30214</v>
      </c>
      <c r="DN2149" t="s">
        <v>13772</v>
      </c>
      <c r="DO2149" t="s">
        <v>13772</v>
      </c>
      <c r="DP2149" t="s">
        <v>13793</v>
      </c>
      <c r="DQ2149" t="s">
        <v>13772</v>
      </c>
      <c r="DR2149" t="s">
        <v>13772</v>
      </c>
      <c r="DS2149" t="s">
        <v>13772</v>
      </c>
      <c r="DT2149" t="s">
        <v>13856</v>
      </c>
      <c r="DU2149" t="s">
        <v>13857</v>
      </c>
      <c r="DV2149" t="s">
        <v>13772</v>
      </c>
      <c r="DW2149" t="s">
        <v>13812</v>
      </c>
      <c r="DX2149" t="s">
        <v>13772</v>
      </c>
      <c r="DY2149" t="s">
        <v>13772</v>
      </c>
      <c r="DZ2149" t="s">
        <v>30215</v>
      </c>
      <c r="EA2149" t="s">
        <v>13772</v>
      </c>
      <c r="EB2149" t="s">
        <v>13772</v>
      </c>
    </row>
    <row r="2150" spans="1:132" hidden="1">
      <c r="A2150">
        <v>1749</v>
      </c>
      <c r="B2150">
        <v>1</v>
      </c>
      <c r="C2150" t="s">
        <v>4137</v>
      </c>
      <c r="D2150" t="s">
        <v>4138</v>
      </c>
      <c r="E2150" t="s">
        <v>73</v>
      </c>
      <c r="F2150" t="s">
        <v>73</v>
      </c>
      <c r="G2150" t="s">
        <v>73</v>
      </c>
      <c r="H2150">
        <v>12.6</v>
      </c>
      <c r="I2150">
        <v>436</v>
      </c>
      <c r="J2150">
        <v>47712</v>
      </c>
      <c r="K2150" t="s">
        <v>4139</v>
      </c>
      <c r="L2150">
        <f t="shared" si="134"/>
        <v>3</v>
      </c>
      <c r="N2150">
        <v>3</v>
      </c>
      <c r="O2150">
        <v>3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3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3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f t="shared" si="137"/>
        <v>3</v>
      </c>
      <c r="BW2150" s="16">
        <f t="shared" si="135"/>
        <v>0.15789473684210525</v>
      </c>
      <c r="BX2150" s="16">
        <f>COUNTIF($BC$6:BU2150, "=0") / COUNTIF($BC$6:BU2150, "&gt;-1")</f>
        <v>0.50798675009201322</v>
      </c>
      <c r="BY2150" s="18">
        <f>SUM($BC$6:BU2150) / $BY$4</f>
        <v>0.99893740532198649</v>
      </c>
      <c r="BZ2150" s="14">
        <f t="shared" si="136"/>
        <v>18</v>
      </c>
      <c r="CA2150" t="s">
        <v>5832</v>
      </c>
      <c r="CZ2150" t="s">
        <v>11582</v>
      </c>
      <c r="DA2150" t="s">
        <v>5904</v>
      </c>
      <c r="DB2150">
        <v>860.9</v>
      </c>
      <c r="DC2150" t="s">
        <v>30571</v>
      </c>
      <c r="DD2150" t="s">
        <v>30572</v>
      </c>
      <c r="DE2150" t="s">
        <v>30573</v>
      </c>
      <c r="DF2150" t="s">
        <v>30574</v>
      </c>
      <c r="DG2150" t="s">
        <v>30575</v>
      </c>
      <c r="DH2150" t="str">
        <f>"WIPI2"</f>
        <v>WIPI2</v>
      </c>
      <c r="DI2150" t="s">
        <v>13772</v>
      </c>
      <c r="DJ2150" t="s">
        <v>13777</v>
      </c>
      <c r="DK2150">
        <v>9606</v>
      </c>
      <c r="DL2150" s="34" t="str">
        <f>HYPERLINK("http://www.uniprot.org/uniprot/Q9Y4P8", "Q9Y4P8")</f>
        <v>Q9Y4P8</v>
      </c>
      <c r="DM2150" t="s">
        <v>30576</v>
      </c>
      <c r="DN2150" t="s">
        <v>29397</v>
      </c>
      <c r="DO2150" t="s">
        <v>13825</v>
      </c>
      <c r="DP2150" t="s">
        <v>13841</v>
      </c>
      <c r="DQ2150" t="s">
        <v>13772</v>
      </c>
      <c r="DR2150" t="s">
        <v>13772</v>
      </c>
      <c r="DS2150" t="s">
        <v>23494</v>
      </c>
      <c r="DT2150" t="s">
        <v>13900</v>
      </c>
      <c r="DU2150" t="s">
        <v>13772</v>
      </c>
      <c r="DV2150" t="s">
        <v>13782</v>
      </c>
      <c r="DW2150" t="s">
        <v>13772</v>
      </c>
      <c r="DX2150" t="s">
        <v>30577</v>
      </c>
      <c r="DY2150" t="s">
        <v>30578</v>
      </c>
      <c r="DZ2150" t="s">
        <v>30579</v>
      </c>
      <c r="EA2150" t="s">
        <v>13772</v>
      </c>
      <c r="EB2150" t="s">
        <v>30580</v>
      </c>
    </row>
    <row r="2151" spans="1:132" hidden="1">
      <c r="A2151">
        <v>1777</v>
      </c>
      <c r="B2151">
        <v>1</v>
      </c>
      <c r="C2151" t="s">
        <v>4204</v>
      </c>
      <c r="D2151" t="s">
        <v>73</v>
      </c>
      <c r="E2151" t="s">
        <v>73</v>
      </c>
      <c r="F2151" t="s">
        <v>73</v>
      </c>
      <c r="G2151" t="s">
        <v>73</v>
      </c>
      <c r="H2151">
        <v>23.4</v>
      </c>
      <c r="I2151">
        <v>94</v>
      </c>
      <c r="J2151">
        <v>10518</v>
      </c>
      <c r="K2151" t="s">
        <v>4205</v>
      </c>
      <c r="L2151">
        <f t="shared" si="134"/>
        <v>3</v>
      </c>
      <c r="N2151">
        <v>3</v>
      </c>
      <c r="O2151">
        <v>3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2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2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1</v>
      </c>
      <c r="BS2151" s="2">
        <v>0</v>
      </c>
      <c r="BT2151" s="2">
        <v>0</v>
      </c>
      <c r="BU2151" s="2">
        <v>0</v>
      </c>
      <c r="BV2151" s="2">
        <f t="shared" si="137"/>
        <v>3</v>
      </c>
      <c r="BW2151" s="16">
        <f t="shared" si="135"/>
        <v>0.15789473684210525</v>
      </c>
      <c r="BX2151" s="16">
        <f>COUNTIF($BC$6:BU2151, "=0") / COUNTIF($BC$6:BU2151, "&gt;-1")</f>
        <v>0.50816696914700543</v>
      </c>
      <c r="BY2151" s="18">
        <f>SUM($BC$6:BU2151) / $BY$4</f>
        <v>0.99895025623259259</v>
      </c>
      <c r="BZ2151" s="14">
        <f t="shared" si="136"/>
        <v>17</v>
      </c>
      <c r="CA2151" t="s">
        <v>5832</v>
      </c>
      <c r="CZ2151" t="s">
        <v>11678</v>
      </c>
      <c r="DA2151" t="s">
        <v>5904</v>
      </c>
      <c r="DB2151">
        <v>188.3</v>
      </c>
      <c r="DC2151" t="s">
        <v>30860</v>
      </c>
      <c r="DD2151" t="s">
        <v>30861</v>
      </c>
      <c r="DE2151" t="s">
        <v>30862</v>
      </c>
      <c r="DF2151" t="s">
        <v>30863</v>
      </c>
      <c r="DG2151" t="s">
        <v>30864</v>
      </c>
      <c r="DH2151" t="str">
        <f>"S100A1"</f>
        <v>S100A1</v>
      </c>
      <c r="DI2151" t="s">
        <v>30865</v>
      </c>
      <c r="DJ2151" t="s">
        <v>13777</v>
      </c>
      <c r="DK2151">
        <v>9606</v>
      </c>
      <c r="DL2151" s="34" t="str">
        <f>HYPERLINK("http://www.uniprot.org/uniprot/P23297", "P23297")</f>
        <v>P23297</v>
      </c>
      <c r="DM2151" t="s">
        <v>30866</v>
      </c>
      <c r="DN2151" t="s">
        <v>13772</v>
      </c>
      <c r="DO2151" t="s">
        <v>13899</v>
      </c>
      <c r="DP2151" t="s">
        <v>13772</v>
      </c>
      <c r="DQ2151" t="s">
        <v>13772</v>
      </c>
      <c r="DR2151" t="s">
        <v>13772</v>
      </c>
      <c r="DS2151" t="s">
        <v>14096</v>
      </c>
      <c r="DT2151" t="s">
        <v>13873</v>
      </c>
      <c r="DU2151" t="s">
        <v>13772</v>
      </c>
      <c r="DV2151" t="s">
        <v>30867</v>
      </c>
      <c r="DW2151" t="s">
        <v>13812</v>
      </c>
      <c r="DX2151" t="s">
        <v>30868</v>
      </c>
      <c r="DY2151" t="s">
        <v>30869</v>
      </c>
      <c r="DZ2151" t="s">
        <v>30870</v>
      </c>
      <c r="EA2151" t="s">
        <v>13772</v>
      </c>
      <c r="EB2151" t="s">
        <v>30871</v>
      </c>
    </row>
    <row r="2152" spans="1:132" hidden="1">
      <c r="A2152">
        <v>1800</v>
      </c>
      <c r="B2152">
        <v>1</v>
      </c>
      <c r="C2152" t="s">
        <v>4256</v>
      </c>
      <c r="D2152" t="s">
        <v>73</v>
      </c>
      <c r="E2152" t="s">
        <v>73</v>
      </c>
      <c r="F2152" t="s">
        <v>73</v>
      </c>
      <c r="G2152" t="s">
        <v>73</v>
      </c>
      <c r="H2152">
        <v>4.4000000000000004</v>
      </c>
      <c r="I2152">
        <v>727</v>
      </c>
      <c r="J2152">
        <v>80768</v>
      </c>
      <c r="K2152" t="s">
        <v>4257</v>
      </c>
      <c r="L2152">
        <f t="shared" si="134"/>
        <v>3</v>
      </c>
      <c r="N2152">
        <v>3</v>
      </c>
      <c r="O2152">
        <v>3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3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3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f t="shared" si="137"/>
        <v>3</v>
      </c>
      <c r="BW2152" s="16">
        <f t="shared" si="135"/>
        <v>0.15789473684210525</v>
      </c>
      <c r="BX2152" s="16">
        <f>COUNTIF($BC$6:BU2152, "=0") / COUNTIF($BC$6:BU2152, "&gt;-1")</f>
        <v>0.50837153433187066</v>
      </c>
      <c r="BY2152" s="18">
        <f>SUM($BC$6:BU2152) / $BY$4</f>
        <v>0.99896310714319869</v>
      </c>
      <c r="BZ2152" s="14">
        <f t="shared" si="136"/>
        <v>18</v>
      </c>
      <c r="CA2152" t="s">
        <v>5832</v>
      </c>
      <c r="CZ2152" t="s">
        <v>11752</v>
      </c>
      <c r="DA2152" t="s">
        <v>5904</v>
      </c>
      <c r="DB2152">
        <v>1411.7</v>
      </c>
      <c r="DC2152" t="s">
        <v>31079</v>
      </c>
      <c r="DD2152" t="s">
        <v>31080</v>
      </c>
      <c r="DE2152" t="s">
        <v>31081</v>
      </c>
      <c r="DF2152" t="s">
        <v>31082</v>
      </c>
      <c r="DG2152" t="s">
        <v>31083</v>
      </c>
      <c r="DH2152" t="str">
        <f>"PKP1"</f>
        <v>PKP1</v>
      </c>
      <c r="DI2152" t="s">
        <v>13772</v>
      </c>
      <c r="DJ2152" t="s">
        <v>13777</v>
      </c>
      <c r="DK2152">
        <v>9606</v>
      </c>
      <c r="DL2152" s="34" t="str">
        <f>HYPERLINK("http://www.uniprot.org/uniprot/Q13835", "Q13835")</f>
        <v>Q13835</v>
      </c>
      <c r="DM2152" t="s">
        <v>31084</v>
      </c>
      <c r="DN2152" t="s">
        <v>13949</v>
      </c>
      <c r="DO2152" t="s">
        <v>31085</v>
      </c>
      <c r="DP2152" t="s">
        <v>13780</v>
      </c>
      <c r="DQ2152" t="s">
        <v>13772</v>
      </c>
      <c r="DR2152" t="s">
        <v>19809</v>
      </c>
      <c r="DS2152" t="s">
        <v>14096</v>
      </c>
      <c r="DT2152" t="s">
        <v>13772</v>
      </c>
      <c r="DU2152" t="s">
        <v>14727</v>
      </c>
      <c r="DV2152" t="s">
        <v>13782</v>
      </c>
      <c r="DW2152" t="s">
        <v>13812</v>
      </c>
      <c r="DX2152" t="s">
        <v>31086</v>
      </c>
      <c r="DY2152" t="s">
        <v>31087</v>
      </c>
      <c r="DZ2152" t="s">
        <v>31088</v>
      </c>
      <c r="EA2152" t="s">
        <v>13772</v>
      </c>
      <c r="EB2152" t="s">
        <v>17989</v>
      </c>
    </row>
    <row r="2153" spans="1:132" hidden="1">
      <c r="A2153">
        <v>1815</v>
      </c>
      <c r="B2153">
        <v>1</v>
      </c>
      <c r="C2153" t="s">
        <v>4291</v>
      </c>
      <c r="D2153" t="s">
        <v>73</v>
      </c>
      <c r="E2153" t="s">
        <v>73</v>
      </c>
      <c r="F2153" t="s">
        <v>73</v>
      </c>
      <c r="G2153" t="s">
        <v>73</v>
      </c>
      <c r="H2153">
        <v>23.3</v>
      </c>
      <c r="I2153">
        <v>150</v>
      </c>
      <c r="J2153">
        <v>16635</v>
      </c>
      <c r="K2153" t="s">
        <v>4292</v>
      </c>
      <c r="L2153">
        <f t="shared" si="134"/>
        <v>3</v>
      </c>
      <c r="N2153">
        <v>3</v>
      </c>
      <c r="O2153">
        <v>3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2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2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1</v>
      </c>
      <c r="BN2153" s="2">
        <v>0</v>
      </c>
      <c r="BO2153" s="2">
        <v>2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f t="shared" si="137"/>
        <v>3</v>
      </c>
      <c r="BW2153" s="16">
        <f t="shared" si="135"/>
        <v>0.15789473684210525</v>
      </c>
      <c r="BX2153" s="16">
        <f>COUNTIF($BC$6:BU2153, "=0") / COUNTIF($BC$6:BU2153, "&gt;-1")</f>
        <v>0.50855140644908359</v>
      </c>
      <c r="BY2153" s="18">
        <f>SUM($BC$6:BU2153) / $BY$4</f>
        <v>0.99897595805380479</v>
      </c>
      <c r="BZ2153" s="14">
        <f t="shared" si="136"/>
        <v>17</v>
      </c>
      <c r="CA2153" t="s">
        <v>5832</v>
      </c>
      <c r="CZ2153" t="s">
        <v>11806</v>
      </c>
      <c r="DA2153" t="s">
        <v>5904</v>
      </c>
      <c r="DB2153">
        <v>298.89999999999998</v>
      </c>
      <c r="DC2153" t="s">
        <v>31226</v>
      </c>
      <c r="DD2153" t="s">
        <v>31227</v>
      </c>
      <c r="DE2153" t="s">
        <v>31228</v>
      </c>
      <c r="DF2153" t="s">
        <v>31229</v>
      </c>
      <c r="DG2153" t="s">
        <v>31230</v>
      </c>
      <c r="DH2153" t="str">
        <f>"DUSP23"</f>
        <v>DUSP23</v>
      </c>
      <c r="DI2153" t="s">
        <v>31231</v>
      </c>
      <c r="DJ2153" t="s">
        <v>13777</v>
      </c>
      <c r="DK2153">
        <v>9606</v>
      </c>
      <c r="DL2153" s="34" t="str">
        <f>HYPERLINK("http://www.uniprot.org/uniprot/Q9BVJ7", "Q9BVJ7")</f>
        <v>Q9BVJ7</v>
      </c>
      <c r="DM2153" t="s">
        <v>31232</v>
      </c>
      <c r="DN2153" t="s">
        <v>13772</v>
      </c>
      <c r="DO2153" t="s">
        <v>13912</v>
      </c>
      <c r="DP2153" t="s">
        <v>13793</v>
      </c>
      <c r="DQ2153" t="s">
        <v>13772</v>
      </c>
      <c r="DR2153" t="s">
        <v>13772</v>
      </c>
      <c r="DS2153" t="s">
        <v>13772</v>
      </c>
      <c r="DT2153" t="s">
        <v>13772</v>
      </c>
      <c r="DU2153" t="s">
        <v>16320</v>
      </c>
      <c r="DV2153" t="s">
        <v>13772</v>
      </c>
      <c r="DW2153" t="s">
        <v>13812</v>
      </c>
      <c r="DX2153" t="s">
        <v>22738</v>
      </c>
      <c r="DY2153" t="s">
        <v>31233</v>
      </c>
      <c r="DZ2153" t="s">
        <v>31234</v>
      </c>
      <c r="EA2153" t="s">
        <v>13772</v>
      </c>
      <c r="EB2153" t="s">
        <v>13772</v>
      </c>
    </row>
    <row r="2154" spans="1:132" hidden="1">
      <c r="A2154">
        <v>1819</v>
      </c>
      <c r="B2154">
        <v>1</v>
      </c>
      <c r="C2154" t="s">
        <v>4301</v>
      </c>
      <c r="D2154" t="s">
        <v>73</v>
      </c>
      <c r="E2154" t="s">
        <v>73</v>
      </c>
      <c r="F2154" t="s">
        <v>73</v>
      </c>
      <c r="G2154" t="s">
        <v>73</v>
      </c>
      <c r="H2154">
        <v>2.7</v>
      </c>
      <c r="I2154">
        <v>598</v>
      </c>
      <c r="J2154">
        <v>65130</v>
      </c>
      <c r="K2154" t="s">
        <v>4302</v>
      </c>
      <c r="L2154">
        <f t="shared" si="134"/>
        <v>3</v>
      </c>
      <c r="N2154">
        <v>3</v>
      </c>
      <c r="O2154">
        <v>3</v>
      </c>
      <c r="P2154">
        <v>1</v>
      </c>
      <c r="Q2154">
        <v>0</v>
      </c>
      <c r="R2154">
        <v>0</v>
      </c>
      <c r="S2154">
        <v>0</v>
      </c>
      <c r="T2154">
        <v>2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s="2">
        <v>0</v>
      </c>
      <c r="BD2154" s="2">
        <v>0</v>
      </c>
      <c r="BE2154" s="2">
        <v>0</v>
      </c>
      <c r="BF2154" s="2">
        <v>2</v>
      </c>
      <c r="BG2154" s="2">
        <v>1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f t="shared" si="137"/>
        <v>3</v>
      </c>
      <c r="BW2154" s="16">
        <f t="shared" si="135"/>
        <v>0.15789473684210525</v>
      </c>
      <c r="BX2154" s="16">
        <f>COUNTIF($BC$6:BU2154, "=0") / COUNTIF($BC$6:BU2154, "&gt;-1")</f>
        <v>0.50873111116553604</v>
      </c>
      <c r="BY2154" s="18">
        <f>SUM($BC$6:BU2154) / $BY$4</f>
        <v>0.99898880896441089</v>
      </c>
      <c r="BZ2154" s="14">
        <f t="shared" si="136"/>
        <v>17</v>
      </c>
      <c r="CA2154" t="s">
        <v>5832</v>
      </c>
      <c r="CZ2154" t="s">
        <v>11820</v>
      </c>
      <c r="DA2154" t="s">
        <v>5904</v>
      </c>
      <c r="DB2154">
        <v>1168.7</v>
      </c>
      <c r="DC2154" t="s">
        <v>31265</v>
      </c>
      <c r="DD2154" t="s">
        <v>31266</v>
      </c>
      <c r="DE2154" t="s">
        <v>31267</v>
      </c>
      <c r="DF2154" t="s">
        <v>31268</v>
      </c>
      <c r="DG2154" t="s">
        <v>13772</v>
      </c>
      <c r="DH2154" t="str">
        <f>"FZD9"</f>
        <v>FZD9</v>
      </c>
      <c r="DI2154" t="s">
        <v>31269</v>
      </c>
      <c r="DJ2154" t="s">
        <v>13777</v>
      </c>
      <c r="DK2154">
        <v>9606</v>
      </c>
      <c r="DL2154" s="34" t="str">
        <f>HYPERLINK("http://www.uniprot.org/uniprot/O00144", "O00144")</f>
        <v>O00144</v>
      </c>
      <c r="DM2154" t="s">
        <v>31270</v>
      </c>
      <c r="DN2154" t="s">
        <v>14072</v>
      </c>
      <c r="DO2154" t="s">
        <v>13792</v>
      </c>
      <c r="DP2154" t="s">
        <v>13772</v>
      </c>
      <c r="DQ2154" t="s">
        <v>13772</v>
      </c>
      <c r="DR2154" t="s">
        <v>13772</v>
      </c>
      <c r="DS2154" t="s">
        <v>13855</v>
      </c>
      <c r="DT2154" t="s">
        <v>13772</v>
      </c>
      <c r="DU2154" t="s">
        <v>14639</v>
      </c>
      <c r="DV2154" t="s">
        <v>18697</v>
      </c>
      <c r="DW2154" t="s">
        <v>13772</v>
      </c>
      <c r="DX2154" t="s">
        <v>31271</v>
      </c>
      <c r="DY2154" t="s">
        <v>31272</v>
      </c>
      <c r="DZ2154" t="s">
        <v>31273</v>
      </c>
      <c r="EA2154" t="s">
        <v>13772</v>
      </c>
      <c r="EB2154" t="s">
        <v>31274</v>
      </c>
    </row>
    <row r="2155" spans="1:132" hidden="1">
      <c r="A2155">
        <v>1824</v>
      </c>
      <c r="B2155">
        <v>1</v>
      </c>
      <c r="C2155" t="s">
        <v>4312</v>
      </c>
      <c r="D2155" t="s">
        <v>73</v>
      </c>
      <c r="E2155" t="s">
        <v>73</v>
      </c>
      <c r="F2155" t="s">
        <v>73</v>
      </c>
      <c r="G2155" t="s">
        <v>73</v>
      </c>
      <c r="H2155">
        <v>14.8</v>
      </c>
      <c r="I2155">
        <v>176</v>
      </c>
      <c r="J2155">
        <v>21020</v>
      </c>
      <c r="K2155" t="s">
        <v>4313</v>
      </c>
      <c r="L2155">
        <f t="shared" si="134"/>
        <v>3</v>
      </c>
      <c r="N2155">
        <v>3</v>
      </c>
      <c r="O2155">
        <v>3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3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3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f t="shared" si="137"/>
        <v>3</v>
      </c>
      <c r="BW2155" s="16">
        <f t="shared" si="135"/>
        <v>0.15789473684210525</v>
      </c>
      <c r="BX2155" s="16">
        <f>COUNTIF($BC$6:BU2155, "=0") / COUNTIF($BC$6:BU2155, "&gt;-1")</f>
        <v>0.50893512851897182</v>
      </c>
      <c r="BY2155" s="18">
        <f>SUM($BC$6:BU2155) / $BY$4</f>
        <v>0.99900165987501699</v>
      </c>
      <c r="BZ2155" s="14">
        <f t="shared" si="136"/>
        <v>18</v>
      </c>
      <c r="CA2155" t="s">
        <v>5832</v>
      </c>
      <c r="CZ2155" t="s">
        <v>11837</v>
      </c>
      <c r="DA2155" t="s">
        <v>5904</v>
      </c>
      <c r="DB2155">
        <v>264.2</v>
      </c>
      <c r="DC2155" t="s">
        <v>31315</v>
      </c>
      <c r="DD2155" t="s">
        <v>31316</v>
      </c>
      <c r="DE2155" t="s">
        <v>31317</v>
      </c>
      <c r="DF2155" t="s">
        <v>31318</v>
      </c>
      <c r="DG2155" t="s">
        <v>31319</v>
      </c>
      <c r="DH2155" t="str">
        <f>"NDUFB10"</f>
        <v>NDUFB10</v>
      </c>
      <c r="DI2155" t="s">
        <v>13772</v>
      </c>
      <c r="DJ2155" t="s">
        <v>13777</v>
      </c>
      <c r="DK2155">
        <v>9606</v>
      </c>
      <c r="DL2155" s="34" t="str">
        <f>HYPERLINK("http://www.uniprot.org/uniprot/O96000", "O96000")</f>
        <v>O96000</v>
      </c>
      <c r="DM2155" t="s">
        <v>31320</v>
      </c>
      <c r="DN2155" t="s">
        <v>21478</v>
      </c>
      <c r="DO2155" t="s">
        <v>15507</v>
      </c>
      <c r="DP2155" t="s">
        <v>13841</v>
      </c>
      <c r="DQ2155" t="s">
        <v>13772</v>
      </c>
      <c r="DR2155" t="s">
        <v>13772</v>
      </c>
      <c r="DS2155" t="s">
        <v>13772</v>
      </c>
      <c r="DT2155" t="s">
        <v>13772</v>
      </c>
      <c r="DU2155" t="s">
        <v>13772</v>
      </c>
      <c r="DV2155" t="s">
        <v>13782</v>
      </c>
      <c r="DW2155" t="s">
        <v>13812</v>
      </c>
      <c r="DX2155" t="s">
        <v>31321</v>
      </c>
      <c r="DY2155" t="s">
        <v>31322</v>
      </c>
      <c r="DZ2155" t="s">
        <v>31323</v>
      </c>
      <c r="EA2155" t="s">
        <v>13772</v>
      </c>
      <c r="EB2155" t="s">
        <v>21715</v>
      </c>
    </row>
    <row r="2156" spans="1:132" hidden="1">
      <c r="A2156">
        <v>1828</v>
      </c>
      <c r="B2156">
        <v>1</v>
      </c>
      <c r="C2156" t="s">
        <v>4321</v>
      </c>
      <c r="D2156" t="s">
        <v>4322</v>
      </c>
      <c r="E2156" t="s">
        <v>73</v>
      </c>
      <c r="F2156" t="s">
        <v>73</v>
      </c>
      <c r="G2156" t="s">
        <v>73</v>
      </c>
      <c r="H2156">
        <v>9.5</v>
      </c>
      <c r="I2156">
        <v>620</v>
      </c>
      <c r="J2156">
        <v>69793</v>
      </c>
      <c r="K2156" t="s">
        <v>4323</v>
      </c>
      <c r="L2156">
        <f t="shared" si="134"/>
        <v>3</v>
      </c>
      <c r="N2156">
        <v>3</v>
      </c>
      <c r="O2156">
        <v>3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2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1</v>
      </c>
      <c r="BL2156" s="2">
        <v>0</v>
      </c>
      <c r="BM2156" s="2">
        <v>2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f t="shared" si="137"/>
        <v>3</v>
      </c>
      <c r="BW2156" s="16">
        <f t="shared" si="135"/>
        <v>0.15789473684210525</v>
      </c>
      <c r="BX2156" s="16">
        <f>COUNTIF($BC$6:BU2156, "=0") / COUNTIF($BC$6:BU2156, "&gt;-1")</f>
        <v>0.50911448775355406</v>
      </c>
      <c r="BY2156" s="18">
        <f>SUM($BC$6:BU2156) / $BY$4</f>
        <v>0.99901451078562309</v>
      </c>
      <c r="BZ2156" s="14">
        <f t="shared" si="136"/>
        <v>17</v>
      </c>
      <c r="CA2156" t="s">
        <v>5832</v>
      </c>
      <c r="CZ2156" t="s">
        <v>11852</v>
      </c>
      <c r="DA2156" t="s">
        <v>5904</v>
      </c>
      <c r="DB2156">
        <v>887.1</v>
      </c>
      <c r="DC2156" t="s">
        <v>31357</v>
      </c>
      <c r="DD2156" t="s">
        <v>31358</v>
      </c>
      <c r="DE2156" t="s">
        <v>31359</v>
      </c>
      <c r="DF2156" t="s">
        <v>31360</v>
      </c>
      <c r="DG2156" t="s">
        <v>31361</v>
      </c>
      <c r="DH2156" t="str">
        <f>"TOR1AIP1"</f>
        <v>TOR1AIP1</v>
      </c>
      <c r="DI2156" t="s">
        <v>31362</v>
      </c>
      <c r="DJ2156" t="s">
        <v>13777</v>
      </c>
      <c r="DK2156">
        <v>9606</v>
      </c>
      <c r="DL2156" s="34" t="str">
        <f>HYPERLINK("http://www.uniprot.org/uniprot/Q5JTV8", "Q5JTV8")</f>
        <v>Q5JTV8</v>
      </c>
      <c r="DM2156" t="s">
        <v>31363</v>
      </c>
      <c r="DN2156" t="s">
        <v>13772</v>
      </c>
      <c r="DO2156" t="s">
        <v>31364</v>
      </c>
      <c r="DP2156" t="s">
        <v>13780</v>
      </c>
      <c r="DQ2156" t="s">
        <v>13772</v>
      </c>
      <c r="DR2156" t="s">
        <v>31365</v>
      </c>
      <c r="DS2156" t="s">
        <v>15628</v>
      </c>
      <c r="DT2156" t="s">
        <v>13772</v>
      </c>
      <c r="DU2156" t="s">
        <v>13772</v>
      </c>
      <c r="DV2156" t="s">
        <v>29346</v>
      </c>
      <c r="DW2156" t="s">
        <v>13812</v>
      </c>
      <c r="DX2156" t="s">
        <v>31366</v>
      </c>
      <c r="DY2156" t="s">
        <v>31367</v>
      </c>
      <c r="DZ2156" t="s">
        <v>31368</v>
      </c>
      <c r="EA2156" t="s">
        <v>13772</v>
      </c>
      <c r="EB2156" t="s">
        <v>13772</v>
      </c>
    </row>
    <row r="2157" spans="1:132" hidden="1">
      <c r="A2157">
        <v>1848</v>
      </c>
      <c r="B2157">
        <v>1</v>
      </c>
      <c r="C2157" t="s">
        <v>4368</v>
      </c>
      <c r="D2157" t="s">
        <v>73</v>
      </c>
      <c r="E2157" t="s">
        <v>73</v>
      </c>
      <c r="F2157" t="s">
        <v>73</v>
      </c>
      <c r="G2157" t="s">
        <v>73</v>
      </c>
      <c r="H2157">
        <v>8.8000000000000007</v>
      </c>
      <c r="I2157">
        <v>318</v>
      </c>
      <c r="J2157">
        <v>36373</v>
      </c>
      <c r="K2157" t="s">
        <v>4369</v>
      </c>
      <c r="L2157">
        <f t="shared" si="134"/>
        <v>3</v>
      </c>
      <c r="N2157">
        <v>3</v>
      </c>
      <c r="O2157">
        <v>3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3</v>
      </c>
      <c r="BA2157">
        <v>0</v>
      </c>
      <c r="BB2157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3</v>
      </c>
      <c r="BT2157" s="2">
        <v>0</v>
      </c>
      <c r="BU2157" s="2">
        <v>0</v>
      </c>
      <c r="BV2157" s="2">
        <f t="shared" si="137"/>
        <v>3</v>
      </c>
      <c r="BW2157" s="16">
        <f t="shared" si="135"/>
        <v>0.15789473684210525</v>
      </c>
      <c r="BX2157" s="16">
        <f>COUNTIF($BC$6:BU2157, "=0") / COUNTIF($BC$6:BU2157, "&gt;-1")</f>
        <v>0.50931813735081199</v>
      </c>
      <c r="BY2157" s="18">
        <f>SUM($BC$6:BU2157) / $BY$4</f>
        <v>0.99902736169622919</v>
      </c>
      <c r="BZ2157" s="14">
        <f t="shared" si="136"/>
        <v>18</v>
      </c>
      <c r="CA2157" t="s">
        <v>5832</v>
      </c>
      <c r="CZ2157" t="s">
        <v>11920</v>
      </c>
      <c r="DA2157" t="s">
        <v>5904</v>
      </c>
      <c r="DB2157">
        <v>506.9</v>
      </c>
      <c r="DC2157" t="s">
        <v>31548</v>
      </c>
      <c r="DD2157" t="s">
        <v>31549</v>
      </c>
      <c r="DE2157" t="s">
        <v>31550</v>
      </c>
      <c r="DF2157" t="s">
        <v>31551</v>
      </c>
      <c r="DG2157" t="s">
        <v>31552</v>
      </c>
      <c r="DH2157" t="str">
        <f>"GDPD3"</f>
        <v>GDPD3</v>
      </c>
      <c r="DI2157" t="s">
        <v>31553</v>
      </c>
      <c r="DJ2157" t="s">
        <v>13777</v>
      </c>
      <c r="DK2157">
        <v>9606</v>
      </c>
      <c r="DL2157" s="34" t="str">
        <f>HYPERLINK("http://www.uniprot.org/uniprot/Q7L5L3", "Q7L5L3")</f>
        <v>Q7L5L3</v>
      </c>
      <c r="DM2157" t="s">
        <v>31554</v>
      </c>
      <c r="DN2157" t="s">
        <v>13772</v>
      </c>
      <c r="DO2157" t="s">
        <v>20724</v>
      </c>
      <c r="DP2157" t="s">
        <v>13841</v>
      </c>
      <c r="DQ2157" t="s">
        <v>13772</v>
      </c>
      <c r="DR2157" t="s">
        <v>13772</v>
      </c>
      <c r="DS2157" t="s">
        <v>13925</v>
      </c>
      <c r="DT2157" t="s">
        <v>18390</v>
      </c>
      <c r="DU2157" t="s">
        <v>13857</v>
      </c>
      <c r="DV2157" t="s">
        <v>13772</v>
      </c>
      <c r="DW2157" t="s">
        <v>13772</v>
      </c>
      <c r="DX2157" t="s">
        <v>31555</v>
      </c>
      <c r="DY2157" t="s">
        <v>31556</v>
      </c>
      <c r="DZ2157" t="s">
        <v>31557</v>
      </c>
      <c r="EA2157" t="s">
        <v>13772</v>
      </c>
      <c r="EB2157" t="s">
        <v>26802</v>
      </c>
    </row>
    <row r="2158" spans="1:132" hidden="1">
      <c r="A2158">
        <v>1884</v>
      </c>
      <c r="B2158">
        <v>1</v>
      </c>
      <c r="C2158" t="s">
        <v>4448</v>
      </c>
      <c r="D2158" t="s">
        <v>4449</v>
      </c>
      <c r="E2158" t="s">
        <v>73</v>
      </c>
      <c r="F2158" t="s">
        <v>73</v>
      </c>
      <c r="G2158" t="s">
        <v>73</v>
      </c>
      <c r="H2158">
        <v>15.4</v>
      </c>
      <c r="I2158">
        <v>221</v>
      </c>
      <c r="J2158">
        <v>24602</v>
      </c>
      <c r="K2158" t="s">
        <v>4450</v>
      </c>
      <c r="L2158">
        <f t="shared" si="134"/>
        <v>3</v>
      </c>
      <c r="N2158">
        <v>3</v>
      </c>
      <c r="O2158">
        <v>3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3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f t="shared" si="137"/>
        <v>3</v>
      </c>
      <c r="BW2158" s="16">
        <f t="shared" si="135"/>
        <v>0.15789473684210525</v>
      </c>
      <c r="BX2158" s="16">
        <f>COUNTIF($BC$6:BU2158, "=0") / COUNTIF($BC$6:BU2158, "&gt;-1")</f>
        <v>0.50952159777055273</v>
      </c>
      <c r="BY2158" s="18">
        <f>SUM($BC$6:BU2158) / $BY$4</f>
        <v>0.99904021260683529</v>
      </c>
      <c r="BZ2158" s="14">
        <f t="shared" si="136"/>
        <v>18</v>
      </c>
      <c r="CA2158" t="s">
        <v>5832</v>
      </c>
      <c r="CZ2158" t="s">
        <v>12036</v>
      </c>
      <c r="DA2158" t="s">
        <v>5904</v>
      </c>
      <c r="DB2158">
        <v>419.1</v>
      </c>
      <c r="DC2158" t="s">
        <v>31858</v>
      </c>
      <c r="DD2158" t="s">
        <v>31859</v>
      </c>
      <c r="DE2158" t="s">
        <v>31860</v>
      </c>
      <c r="DF2158" t="s">
        <v>31861</v>
      </c>
      <c r="DG2158" t="s">
        <v>31862</v>
      </c>
      <c r="DH2158" t="str">
        <f>"PSPH"</f>
        <v>PSPH</v>
      </c>
      <c r="DI2158" t="s">
        <v>13772</v>
      </c>
      <c r="DJ2158" t="s">
        <v>13777</v>
      </c>
      <c r="DK2158">
        <v>9606</v>
      </c>
      <c r="DL2158" s="34" t="str">
        <f>HYPERLINK("http://www.uniprot.org/uniprot/P78330", "P78330")</f>
        <v>P78330</v>
      </c>
      <c r="DM2158" t="s">
        <v>31863</v>
      </c>
      <c r="DN2158" t="s">
        <v>30205</v>
      </c>
      <c r="DO2158" t="s">
        <v>13772</v>
      </c>
      <c r="DP2158" t="s">
        <v>13772</v>
      </c>
      <c r="DQ2158" t="s">
        <v>13772</v>
      </c>
      <c r="DR2158" t="s">
        <v>13807</v>
      </c>
      <c r="DS2158" t="s">
        <v>13772</v>
      </c>
      <c r="DT2158" t="s">
        <v>14784</v>
      </c>
      <c r="DU2158" t="s">
        <v>13857</v>
      </c>
      <c r="DV2158" t="s">
        <v>14020</v>
      </c>
      <c r="DW2158" t="s">
        <v>13812</v>
      </c>
      <c r="DX2158" t="s">
        <v>31864</v>
      </c>
      <c r="DY2158" t="s">
        <v>31865</v>
      </c>
      <c r="DZ2158" t="s">
        <v>31866</v>
      </c>
      <c r="EA2158" t="s">
        <v>31867</v>
      </c>
      <c r="EB2158" t="s">
        <v>30209</v>
      </c>
    </row>
    <row r="2159" spans="1:132" hidden="1">
      <c r="A2159">
        <v>1914</v>
      </c>
      <c r="B2159">
        <v>1</v>
      </c>
      <c r="C2159" t="s">
        <v>4509</v>
      </c>
      <c r="D2159" t="s">
        <v>73</v>
      </c>
      <c r="E2159" t="s">
        <v>73</v>
      </c>
      <c r="F2159" t="s">
        <v>73</v>
      </c>
      <c r="G2159" t="s">
        <v>73</v>
      </c>
      <c r="H2159">
        <v>12.6</v>
      </c>
      <c r="I2159">
        <v>404</v>
      </c>
      <c r="J2159">
        <v>45858</v>
      </c>
      <c r="K2159" t="s">
        <v>4510</v>
      </c>
      <c r="L2159">
        <f t="shared" si="134"/>
        <v>3</v>
      </c>
      <c r="N2159">
        <v>3</v>
      </c>
      <c r="O2159">
        <v>3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2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1</v>
      </c>
      <c r="BN2159" s="2">
        <v>2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f t="shared" si="137"/>
        <v>3</v>
      </c>
      <c r="BW2159" s="16">
        <f t="shared" si="135"/>
        <v>0.15789473684210525</v>
      </c>
      <c r="BX2159" s="16">
        <f>COUNTIF($BC$6:BU2159, "=0") / COUNTIF($BC$6:BU2159, "&gt;-1")</f>
        <v>0.50970043493133954</v>
      </c>
      <c r="BY2159" s="18">
        <f>SUM($BC$6:BU2159) / $BY$4</f>
        <v>0.99905306351744139</v>
      </c>
      <c r="BZ2159" s="14">
        <f t="shared" si="136"/>
        <v>17</v>
      </c>
      <c r="CA2159" t="s">
        <v>5832</v>
      </c>
      <c r="CZ2159" t="s">
        <v>12130</v>
      </c>
      <c r="DA2159" t="s">
        <v>5904</v>
      </c>
      <c r="DB2159">
        <v>798.5</v>
      </c>
      <c r="DC2159" t="s">
        <v>32105</v>
      </c>
      <c r="DD2159" t="s">
        <v>32106</v>
      </c>
      <c r="DE2159" t="s">
        <v>32107</v>
      </c>
      <c r="DF2159" t="s">
        <v>32108</v>
      </c>
      <c r="DG2159" t="s">
        <v>32109</v>
      </c>
      <c r="DH2159" t="str">
        <f>"DNAJA1"</f>
        <v>DNAJA1</v>
      </c>
      <c r="DI2159" t="s">
        <v>32110</v>
      </c>
      <c r="DJ2159" t="s">
        <v>13777</v>
      </c>
      <c r="DK2159">
        <v>9606</v>
      </c>
      <c r="DL2159" s="34" t="str">
        <f>HYPERLINK("http://www.uniprot.org/uniprot/P31689", "P31689")</f>
        <v>P31689</v>
      </c>
      <c r="DM2159" t="s">
        <v>32111</v>
      </c>
      <c r="DN2159" t="s">
        <v>13772</v>
      </c>
      <c r="DO2159" t="s">
        <v>32112</v>
      </c>
      <c r="DP2159" t="s">
        <v>13841</v>
      </c>
      <c r="DQ2159" t="s">
        <v>13772</v>
      </c>
      <c r="DR2159" t="s">
        <v>13772</v>
      </c>
      <c r="DS2159" t="s">
        <v>17779</v>
      </c>
      <c r="DT2159" t="s">
        <v>13856</v>
      </c>
      <c r="DU2159" t="s">
        <v>14477</v>
      </c>
      <c r="DV2159" t="s">
        <v>19929</v>
      </c>
      <c r="DW2159" t="s">
        <v>13812</v>
      </c>
      <c r="DX2159" t="s">
        <v>32113</v>
      </c>
      <c r="DY2159" t="s">
        <v>32114</v>
      </c>
      <c r="DZ2159" t="s">
        <v>32115</v>
      </c>
      <c r="EA2159" t="s">
        <v>13772</v>
      </c>
      <c r="EB2159" t="s">
        <v>19780</v>
      </c>
    </row>
    <row r="2160" spans="1:132" hidden="1">
      <c r="A2160">
        <v>1919</v>
      </c>
      <c r="B2160">
        <v>1</v>
      </c>
      <c r="C2160" t="s">
        <v>4521</v>
      </c>
      <c r="D2160" t="s">
        <v>73</v>
      </c>
      <c r="E2160" t="s">
        <v>73</v>
      </c>
      <c r="F2160" t="s">
        <v>73</v>
      </c>
      <c r="G2160" t="s">
        <v>73</v>
      </c>
      <c r="H2160">
        <v>17.600000000000001</v>
      </c>
      <c r="I2160">
        <v>227</v>
      </c>
      <c r="J2160">
        <v>25502</v>
      </c>
      <c r="K2160" t="s">
        <v>4522</v>
      </c>
      <c r="L2160">
        <f t="shared" si="134"/>
        <v>3</v>
      </c>
      <c r="N2160">
        <v>3</v>
      </c>
      <c r="O2160">
        <v>3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2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1</v>
      </c>
      <c r="BN2160" s="2">
        <v>2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f t="shared" si="137"/>
        <v>3</v>
      </c>
      <c r="BW2160" s="16">
        <f t="shared" si="135"/>
        <v>0.15789473684210525</v>
      </c>
      <c r="BX2160" s="16">
        <f>COUNTIF($BC$6:BU2160, "=0") / COUNTIF($BC$6:BU2160, "&gt;-1")</f>
        <v>0.50987910611796317</v>
      </c>
      <c r="BY2160" s="18">
        <f>SUM($BC$6:BU2160) / $BY$4</f>
        <v>0.99906591442804749</v>
      </c>
      <c r="BZ2160" s="14">
        <f t="shared" si="136"/>
        <v>17</v>
      </c>
      <c r="CA2160" t="s">
        <v>5832</v>
      </c>
      <c r="CZ2160" t="s">
        <v>12147</v>
      </c>
      <c r="DA2160" t="s">
        <v>5904</v>
      </c>
      <c r="DB2160">
        <v>447.6</v>
      </c>
      <c r="DC2160" t="s">
        <v>32158</v>
      </c>
      <c r="DD2160" t="s">
        <v>32159</v>
      </c>
      <c r="DE2160" t="s">
        <v>32160</v>
      </c>
      <c r="DF2160" t="s">
        <v>32161</v>
      </c>
      <c r="DG2160" t="s">
        <v>32162</v>
      </c>
      <c r="DH2160" t="str">
        <f>"AK3"</f>
        <v>AK3</v>
      </c>
      <c r="DI2160" t="s">
        <v>13772</v>
      </c>
      <c r="DJ2160" t="s">
        <v>13777</v>
      </c>
      <c r="DK2160">
        <v>9606</v>
      </c>
      <c r="DL2160" s="34" t="str">
        <f>HYPERLINK("http://www.uniprot.org/uniprot/Q9UIJ7", "Q9UIJ7")</f>
        <v>Q9UIJ7</v>
      </c>
      <c r="DM2160" t="s">
        <v>32163</v>
      </c>
      <c r="DN2160" t="s">
        <v>13772</v>
      </c>
      <c r="DO2160" t="s">
        <v>14491</v>
      </c>
      <c r="DP2160" t="s">
        <v>13841</v>
      </c>
      <c r="DQ2160" t="s">
        <v>13772</v>
      </c>
      <c r="DR2160" t="s">
        <v>13772</v>
      </c>
      <c r="DS2160" t="s">
        <v>13772</v>
      </c>
      <c r="DT2160" t="s">
        <v>14216</v>
      </c>
      <c r="DU2160" t="s">
        <v>14006</v>
      </c>
      <c r="DV2160" t="s">
        <v>13886</v>
      </c>
      <c r="DW2160" t="s">
        <v>13812</v>
      </c>
      <c r="DX2160" t="s">
        <v>32164</v>
      </c>
      <c r="DY2160" t="s">
        <v>15582</v>
      </c>
      <c r="DZ2160" t="s">
        <v>32165</v>
      </c>
      <c r="EA2160" t="s">
        <v>13772</v>
      </c>
      <c r="EB2160" t="s">
        <v>18690</v>
      </c>
    </row>
    <row r="2161" spans="1:132" hidden="1">
      <c r="A2161">
        <v>1924</v>
      </c>
      <c r="B2161">
        <v>1</v>
      </c>
      <c r="C2161" t="s">
        <v>4531</v>
      </c>
      <c r="D2161" t="s">
        <v>4532</v>
      </c>
      <c r="E2161" t="s">
        <v>73</v>
      </c>
      <c r="F2161" t="s">
        <v>73</v>
      </c>
      <c r="G2161" t="s">
        <v>73</v>
      </c>
      <c r="H2161">
        <v>8.6999999999999993</v>
      </c>
      <c r="I2161">
        <v>439</v>
      </c>
      <c r="J2161">
        <v>48104</v>
      </c>
      <c r="K2161" t="s">
        <v>4533</v>
      </c>
      <c r="L2161">
        <f t="shared" si="134"/>
        <v>3</v>
      </c>
      <c r="N2161">
        <v>3</v>
      </c>
      <c r="O2161">
        <v>3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2</v>
      </c>
      <c r="AY2161">
        <v>0</v>
      </c>
      <c r="AZ2161">
        <v>0</v>
      </c>
      <c r="BA2161">
        <v>0</v>
      </c>
      <c r="BB2161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1</v>
      </c>
      <c r="BN2161" s="2">
        <v>0</v>
      </c>
      <c r="BO2161" s="2">
        <v>0</v>
      </c>
      <c r="BP2161" s="2">
        <v>0</v>
      </c>
      <c r="BQ2161" s="2">
        <v>2</v>
      </c>
      <c r="BR2161" s="2">
        <v>0</v>
      </c>
      <c r="BS2161" s="2">
        <v>0</v>
      </c>
      <c r="BT2161" s="2">
        <v>0</v>
      </c>
      <c r="BU2161" s="2">
        <v>0</v>
      </c>
      <c r="BV2161" s="2">
        <f t="shared" si="137"/>
        <v>3</v>
      </c>
      <c r="BW2161" s="16">
        <f t="shared" si="135"/>
        <v>0.15789473684210525</v>
      </c>
      <c r="BX2161" s="16">
        <f>COUNTIF($BC$6:BU2161, "=0") / COUNTIF($BC$6:BU2161, "&gt;-1")</f>
        <v>0.51005761156137097</v>
      </c>
      <c r="BY2161" s="18">
        <f>SUM($BC$6:BU2161) / $BY$4</f>
        <v>0.99907876533865358</v>
      </c>
      <c r="BZ2161" s="14">
        <f t="shared" si="136"/>
        <v>17</v>
      </c>
      <c r="CA2161" t="s">
        <v>5832</v>
      </c>
      <c r="CZ2161" t="s">
        <v>12164</v>
      </c>
      <c r="DA2161" t="s">
        <v>5904</v>
      </c>
      <c r="DB2161">
        <v>787.7</v>
      </c>
      <c r="DC2161" t="s">
        <v>32212</v>
      </c>
      <c r="DD2161" t="s">
        <v>32213</v>
      </c>
      <c r="DE2161" t="s">
        <v>32214</v>
      </c>
      <c r="DF2161" t="s">
        <v>32215</v>
      </c>
      <c r="DG2161" t="s">
        <v>32216</v>
      </c>
      <c r="DH2161" t="str">
        <f>"PLIN2"</f>
        <v>PLIN2</v>
      </c>
      <c r="DI2161" t="s">
        <v>32217</v>
      </c>
      <c r="DJ2161" t="s">
        <v>13777</v>
      </c>
      <c r="DK2161">
        <v>9606</v>
      </c>
      <c r="DL2161" s="34" t="str">
        <f>HYPERLINK("http://www.uniprot.org/uniprot/Q99541", "Q99541")</f>
        <v>Q99541</v>
      </c>
      <c r="DM2161" t="s">
        <v>32218</v>
      </c>
      <c r="DN2161" t="s">
        <v>13772</v>
      </c>
      <c r="DO2161" t="s">
        <v>32219</v>
      </c>
      <c r="DP2161" t="s">
        <v>13793</v>
      </c>
      <c r="DQ2161" t="s">
        <v>13772</v>
      </c>
      <c r="DR2161" t="s">
        <v>13772</v>
      </c>
      <c r="DS2161" t="s">
        <v>13772</v>
      </c>
      <c r="DT2161" t="s">
        <v>13772</v>
      </c>
      <c r="DU2161" t="s">
        <v>13772</v>
      </c>
      <c r="DV2161" t="s">
        <v>32220</v>
      </c>
      <c r="DW2161" t="s">
        <v>13772</v>
      </c>
      <c r="DX2161" t="s">
        <v>32221</v>
      </c>
      <c r="DY2161" t="s">
        <v>32222</v>
      </c>
      <c r="DZ2161" t="s">
        <v>13772</v>
      </c>
      <c r="EA2161" t="s">
        <v>13772</v>
      </c>
      <c r="EB2161" t="s">
        <v>32223</v>
      </c>
    </row>
    <row r="2162" spans="1:132" hidden="1">
      <c r="A2162">
        <v>1965</v>
      </c>
      <c r="B2162">
        <v>1</v>
      </c>
      <c r="C2162" t="s">
        <v>4632</v>
      </c>
      <c r="D2162" t="s">
        <v>73</v>
      </c>
      <c r="E2162" t="s">
        <v>73</v>
      </c>
      <c r="F2162" t="s">
        <v>73</v>
      </c>
      <c r="G2162" t="s">
        <v>73</v>
      </c>
      <c r="H2162">
        <v>11.1</v>
      </c>
      <c r="I2162">
        <v>370</v>
      </c>
      <c r="J2162">
        <v>40477</v>
      </c>
      <c r="K2162" t="s">
        <v>4633</v>
      </c>
      <c r="L2162">
        <f t="shared" si="134"/>
        <v>3</v>
      </c>
      <c r="N2162">
        <v>3</v>
      </c>
      <c r="O2162">
        <v>3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2</v>
      </c>
      <c r="BH2162" s="2">
        <v>1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f t="shared" si="137"/>
        <v>3</v>
      </c>
      <c r="BW2162" s="16">
        <f t="shared" si="135"/>
        <v>0.15789473684210525</v>
      </c>
      <c r="BX2162" s="16">
        <f>COUNTIF($BC$6:BU2162, "=0") / COUNTIF($BC$6:BU2162, "&gt;-1")</f>
        <v>0.51023595149208212</v>
      </c>
      <c r="BY2162" s="18">
        <f>SUM($BC$6:BU2162) / $BY$4</f>
        <v>0.99909161624925968</v>
      </c>
      <c r="BZ2162" s="14">
        <f t="shared" si="136"/>
        <v>17</v>
      </c>
      <c r="CA2162" t="s">
        <v>5832</v>
      </c>
      <c r="CZ2162" t="s">
        <v>12307</v>
      </c>
      <c r="DA2162" t="s">
        <v>5904</v>
      </c>
      <c r="DB2162">
        <v>732.2</v>
      </c>
      <c r="DC2162" t="s">
        <v>32615</v>
      </c>
      <c r="DD2162" t="s">
        <v>32616</v>
      </c>
      <c r="DE2162" t="s">
        <v>32617</v>
      </c>
      <c r="DF2162" t="s">
        <v>32618</v>
      </c>
      <c r="DG2162" t="s">
        <v>32619</v>
      </c>
      <c r="DH2162" t="str">
        <f>"PSAT1"</f>
        <v>PSAT1</v>
      </c>
      <c r="DI2162" t="s">
        <v>32620</v>
      </c>
      <c r="DJ2162" t="s">
        <v>13777</v>
      </c>
      <c r="DK2162">
        <v>9606</v>
      </c>
      <c r="DL2162" s="34" t="str">
        <f>HYPERLINK("http://www.uniprot.org/uniprot/Q9Y617", "Q9Y617")</f>
        <v>Q9Y617</v>
      </c>
      <c r="DM2162" t="s">
        <v>32621</v>
      </c>
      <c r="DN2162" t="s">
        <v>30205</v>
      </c>
      <c r="DO2162" t="s">
        <v>13772</v>
      </c>
      <c r="DP2162" t="s">
        <v>13780</v>
      </c>
      <c r="DQ2162" t="s">
        <v>13772</v>
      </c>
      <c r="DR2162" t="s">
        <v>13807</v>
      </c>
      <c r="DS2162" t="s">
        <v>13772</v>
      </c>
      <c r="DT2162" t="s">
        <v>14133</v>
      </c>
      <c r="DU2162" t="s">
        <v>25593</v>
      </c>
      <c r="DV2162" t="s">
        <v>13886</v>
      </c>
      <c r="DW2162" t="s">
        <v>13812</v>
      </c>
      <c r="DX2162" t="s">
        <v>32622</v>
      </c>
      <c r="DY2162" t="s">
        <v>15111</v>
      </c>
      <c r="DZ2162" t="s">
        <v>32623</v>
      </c>
      <c r="EA2162" t="s">
        <v>32624</v>
      </c>
      <c r="EB2162" t="s">
        <v>30209</v>
      </c>
    </row>
    <row r="2163" spans="1:132" hidden="1">
      <c r="A2163">
        <v>2055</v>
      </c>
      <c r="B2163">
        <v>1</v>
      </c>
      <c r="C2163" t="s">
        <v>4830</v>
      </c>
      <c r="D2163" t="s">
        <v>4831</v>
      </c>
      <c r="E2163" t="s">
        <v>73</v>
      </c>
      <c r="F2163" t="s">
        <v>73</v>
      </c>
      <c r="G2163" t="s">
        <v>73</v>
      </c>
      <c r="H2163">
        <v>4</v>
      </c>
      <c r="I2163">
        <v>994</v>
      </c>
      <c r="J2163">
        <v>109362</v>
      </c>
      <c r="K2163" t="s">
        <v>4832</v>
      </c>
      <c r="L2163">
        <f t="shared" si="134"/>
        <v>3</v>
      </c>
      <c r="N2163">
        <v>3</v>
      </c>
      <c r="O2163">
        <v>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3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3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f t="shared" si="137"/>
        <v>3</v>
      </c>
      <c r="BW2163" s="16">
        <f t="shared" si="135"/>
        <v>0.15789473684210525</v>
      </c>
      <c r="BX2163" s="16">
        <f>COUNTIF($BC$6:BU2163, "=0") / COUNTIF($BC$6:BU2163, "&gt;-1")</f>
        <v>0.51043851519438077</v>
      </c>
      <c r="BY2163" s="18">
        <f>SUM($BC$6:BU2163) / $BY$4</f>
        <v>0.99910446715986578</v>
      </c>
      <c r="BZ2163" s="14">
        <f t="shared" si="136"/>
        <v>18</v>
      </c>
      <c r="CA2163" t="s">
        <v>5832</v>
      </c>
      <c r="CZ2163" t="s">
        <v>12603</v>
      </c>
      <c r="DA2163" t="s">
        <v>5904</v>
      </c>
      <c r="DB2163">
        <v>1929.8</v>
      </c>
      <c r="DC2163" t="s">
        <v>33451</v>
      </c>
      <c r="DD2163" t="s">
        <v>33452</v>
      </c>
      <c r="DE2163" t="s">
        <v>33453</v>
      </c>
      <c r="DF2163" t="s">
        <v>33454</v>
      </c>
      <c r="DG2163" t="s">
        <v>33455</v>
      </c>
      <c r="DH2163" t="str">
        <f>"AARS"</f>
        <v>AARS</v>
      </c>
      <c r="DI2163" t="s">
        <v>13772</v>
      </c>
      <c r="DJ2163" t="s">
        <v>13777</v>
      </c>
      <c r="DK2163">
        <v>9606</v>
      </c>
      <c r="DL2163" s="34" t="str">
        <f>HYPERLINK("http://www.uniprot.org/uniprot/P49588", "P49588")</f>
        <v>P49588</v>
      </c>
      <c r="DM2163" t="s">
        <v>33456</v>
      </c>
      <c r="DN2163" t="s">
        <v>17925</v>
      </c>
      <c r="DO2163" t="s">
        <v>13899</v>
      </c>
      <c r="DP2163" t="s">
        <v>13780</v>
      </c>
      <c r="DQ2163" t="s">
        <v>13772</v>
      </c>
      <c r="DR2163" t="s">
        <v>33457</v>
      </c>
      <c r="DS2163" t="s">
        <v>13772</v>
      </c>
      <c r="DT2163" t="s">
        <v>21106</v>
      </c>
      <c r="DU2163" t="s">
        <v>28686</v>
      </c>
      <c r="DV2163" t="s">
        <v>19111</v>
      </c>
      <c r="DW2163" t="s">
        <v>13812</v>
      </c>
      <c r="DX2163" t="s">
        <v>33458</v>
      </c>
      <c r="DY2163" t="s">
        <v>15412</v>
      </c>
      <c r="DZ2163" t="s">
        <v>33459</v>
      </c>
      <c r="EA2163" t="s">
        <v>13772</v>
      </c>
      <c r="EB2163" t="s">
        <v>14804</v>
      </c>
    </row>
    <row r="2164" spans="1:132" hidden="1">
      <c r="A2164">
        <v>2099</v>
      </c>
      <c r="B2164">
        <v>1</v>
      </c>
      <c r="C2164" t="s">
        <v>4929</v>
      </c>
      <c r="D2164" t="s">
        <v>73</v>
      </c>
      <c r="E2164" t="s">
        <v>73</v>
      </c>
      <c r="F2164" t="s">
        <v>73</v>
      </c>
      <c r="G2164" t="s">
        <v>73</v>
      </c>
      <c r="H2164">
        <v>5.0999999999999996</v>
      </c>
      <c r="I2164">
        <v>804</v>
      </c>
      <c r="J2164">
        <v>92098</v>
      </c>
      <c r="K2164" t="s">
        <v>4930</v>
      </c>
      <c r="L2164">
        <f t="shared" si="134"/>
        <v>3</v>
      </c>
      <c r="N2164">
        <v>3</v>
      </c>
      <c r="O2164">
        <v>3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2</v>
      </c>
      <c r="AZ2164">
        <v>0</v>
      </c>
      <c r="BA2164">
        <v>0</v>
      </c>
      <c r="BB2164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1</v>
      </c>
      <c r="BN2164" s="2">
        <v>0</v>
      </c>
      <c r="BO2164" s="2">
        <v>0</v>
      </c>
      <c r="BP2164" s="2">
        <v>0</v>
      </c>
      <c r="BQ2164" s="2">
        <v>0</v>
      </c>
      <c r="BR2164" s="2">
        <v>2</v>
      </c>
      <c r="BS2164" s="2">
        <v>0</v>
      </c>
      <c r="BT2164" s="2">
        <v>0</v>
      </c>
      <c r="BU2164" s="2">
        <v>0</v>
      </c>
      <c r="BV2164" s="2">
        <f t="shared" si="137"/>
        <v>3</v>
      </c>
      <c r="BW2164" s="16">
        <f t="shared" si="135"/>
        <v>0.15789473684210525</v>
      </c>
      <c r="BX2164" s="16">
        <f>COUNTIF($BC$6:BU2164, "=0") / COUNTIF($BC$6:BU2164, "&gt;-1")</f>
        <v>0.5106165134930889</v>
      </c>
      <c r="BY2164" s="18">
        <f>SUM($BC$6:BU2164) / $BY$4</f>
        <v>0.99911731807047188</v>
      </c>
      <c r="BZ2164" s="14">
        <f t="shared" si="136"/>
        <v>17</v>
      </c>
      <c r="CA2164" t="s">
        <v>5832</v>
      </c>
      <c r="CZ2164" t="s">
        <v>12747</v>
      </c>
      <c r="DA2164" t="s">
        <v>5904</v>
      </c>
      <c r="DB2164">
        <v>487.3</v>
      </c>
      <c r="DC2164" t="s">
        <v>33866</v>
      </c>
      <c r="DD2164" t="s">
        <v>13772</v>
      </c>
      <c r="DE2164" t="s">
        <v>33867</v>
      </c>
      <c r="DF2164" t="s">
        <v>33868</v>
      </c>
      <c r="DG2164" t="s">
        <v>33869</v>
      </c>
      <c r="DH2164" t="str">
        <f>"HRC"</f>
        <v>HRC</v>
      </c>
      <c r="DI2164" t="s">
        <v>33870</v>
      </c>
      <c r="DJ2164" t="s">
        <v>13777</v>
      </c>
      <c r="DK2164">
        <v>9606</v>
      </c>
      <c r="DL2164" s="34" t="str">
        <f>HYPERLINK("http://www.uniprot.org/uniprot/P23327", "P23327")</f>
        <v>P23327</v>
      </c>
      <c r="DM2164" t="s">
        <v>33871</v>
      </c>
      <c r="DN2164" t="s">
        <v>13772</v>
      </c>
      <c r="DO2164" t="s">
        <v>33872</v>
      </c>
      <c r="DP2164" t="s">
        <v>13793</v>
      </c>
      <c r="DQ2164" t="s">
        <v>13772</v>
      </c>
      <c r="DR2164" t="s">
        <v>13772</v>
      </c>
      <c r="DS2164" t="s">
        <v>14404</v>
      </c>
      <c r="DT2164" t="s">
        <v>14465</v>
      </c>
      <c r="DU2164" t="s">
        <v>13772</v>
      </c>
      <c r="DV2164" t="s">
        <v>13782</v>
      </c>
      <c r="DW2164" t="s">
        <v>13772</v>
      </c>
      <c r="DX2164" t="s">
        <v>33873</v>
      </c>
      <c r="DY2164" t="s">
        <v>33874</v>
      </c>
      <c r="DZ2164" t="s">
        <v>33875</v>
      </c>
      <c r="EA2164" t="s">
        <v>13772</v>
      </c>
      <c r="EB2164" t="s">
        <v>17241</v>
      </c>
    </row>
    <row r="2165" spans="1:132" hidden="1">
      <c r="A2165">
        <v>2152</v>
      </c>
      <c r="B2165">
        <v>1</v>
      </c>
      <c r="C2165" t="s">
        <v>5045</v>
      </c>
      <c r="D2165" t="s">
        <v>5046</v>
      </c>
      <c r="E2165" t="s">
        <v>73</v>
      </c>
      <c r="F2165" t="s">
        <v>73</v>
      </c>
      <c r="G2165" t="s">
        <v>73</v>
      </c>
      <c r="H2165">
        <v>1.5</v>
      </c>
      <c r="I2165">
        <v>1475</v>
      </c>
      <c r="J2165">
        <v>170597</v>
      </c>
      <c r="K2165" t="s">
        <v>5047</v>
      </c>
      <c r="L2165">
        <f t="shared" si="134"/>
        <v>3</v>
      </c>
      <c r="N2165">
        <v>3</v>
      </c>
      <c r="O2165">
        <v>3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2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1</v>
      </c>
      <c r="BQ2165" s="2">
        <v>0</v>
      </c>
      <c r="BR2165" s="2">
        <v>0</v>
      </c>
      <c r="BS2165" s="2">
        <v>0</v>
      </c>
      <c r="BT2165" s="2">
        <v>0</v>
      </c>
      <c r="BU2165" s="2">
        <v>2</v>
      </c>
      <c r="BV2165" s="2">
        <f t="shared" si="137"/>
        <v>3</v>
      </c>
      <c r="BW2165" s="16">
        <f t="shared" si="135"/>
        <v>0.15789473684210525</v>
      </c>
      <c r="BX2165" s="16">
        <f>COUNTIF($BC$6:BU2165, "=0") / COUNTIF($BC$6:BU2165, "&gt;-1")</f>
        <v>0.51079434697855752</v>
      </c>
      <c r="BY2165" s="18">
        <f>SUM($BC$6:BU2165) / $BY$4</f>
        <v>0.99913016898107798</v>
      </c>
      <c r="BZ2165" s="14">
        <f t="shared" si="136"/>
        <v>17</v>
      </c>
      <c r="CA2165" t="s">
        <v>5832</v>
      </c>
      <c r="CZ2165" t="s">
        <v>12923</v>
      </c>
      <c r="DA2165" t="s">
        <v>5904</v>
      </c>
      <c r="DB2165">
        <v>2374.6999999999998</v>
      </c>
      <c r="DC2165" t="s">
        <v>34344</v>
      </c>
      <c r="DD2165" t="s">
        <v>34345</v>
      </c>
      <c r="DE2165" t="s">
        <v>34346</v>
      </c>
      <c r="DF2165" t="s">
        <v>34347</v>
      </c>
      <c r="DG2165" t="s">
        <v>34348</v>
      </c>
      <c r="DH2165" t="str">
        <f>"ROCK2"</f>
        <v>ROCK2</v>
      </c>
      <c r="DI2165" t="s">
        <v>34349</v>
      </c>
      <c r="DJ2165" t="s">
        <v>13777</v>
      </c>
      <c r="DK2165">
        <v>9606</v>
      </c>
      <c r="DL2165" s="34" t="str">
        <f>HYPERLINK("http://www.uniprot.org/uniprot/O75116", "O75116")</f>
        <v>O75116</v>
      </c>
      <c r="DM2165" t="s">
        <v>34350</v>
      </c>
      <c r="DN2165" t="s">
        <v>19385</v>
      </c>
      <c r="DO2165" t="s">
        <v>16881</v>
      </c>
      <c r="DP2165" t="s">
        <v>13793</v>
      </c>
      <c r="DQ2165" t="s">
        <v>13772</v>
      </c>
      <c r="DR2165" t="s">
        <v>13772</v>
      </c>
      <c r="DS2165" t="s">
        <v>24188</v>
      </c>
      <c r="DT2165" t="s">
        <v>34351</v>
      </c>
      <c r="DU2165" t="s">
        <v>20891</v>
      </c>
      <c r="DV2165" t="s">
        <v>13782</v>
      </c>
      <c r="DW2165" t="s">
        <v>13812</v>
      </c>
      <c r="DX2165" t="s">
        <v>34352</v>
      </c>
      <c r="DY2165" t="s">
        <v>34353</v>
      </c>
      <c r="DZ2165" t="s">
        <v>34354</v>
      </c>
      <c r="EA2165" t="s">
        <v>13772</v>
      </c>
      <c r="EB2165" t="s">
        <v>34355</v>
      </c>
    </row>
    <row r="2166" spans="1:132" hidden="1">
      <c r="A2166">
        <v>2186</v>
      </c>
      <c r="B2166">
        <v>1</v>
      </c>
      <c r="C2166" t="s">
        <v>5113</v>
      </c>
      <c r="D2166" t="s">
        <v>73</v>
      </c>
      <c r="E2166" t="s">
        <v>73</v>
      </c>
      <c r="F2166" t="s">
        <v>73</v>
      </c>
      <c r="G2166" t="s">
        <v>73</v>
      </c>
      <c r="H2166">
        <v>4.7</v>
      </c>
      <c r="I2166">
        <v>767</v>
      </c>
      <c r="J2166">
        <v>86398</v>
      </c>
      <c r="K2166" t="s">
        <v>5114</v>
      </c>
      <c r="L2166">
        <f t="shared" si="134"/>
        <v>3</v>
      </c>
      <c r="N2166">
        <v>3</v>
      </c>
      <c r="O2166">
        <v>3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2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1</v>
      </c>
      <c r="BN2166" s="2">
        <v>2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f t="shared" si="137"/>
        <v>3</v>
      </c>
      <c r="BW2166" s="16">
        <f t="shared" si="135"/>
        <v>0.15789473684210525</v>
      </c>
      <c r="BX2166" s="16">
        <f>COUNTIF($BC$6:BU2166, "=0") / COUNTIF($BC$6:BU2166, "&gt;-1")</f>
        <v>0.51097201587958796</v>
      </c>
      <c r="BY2166" s="18">
        <f>SUM($BC$6:BU2166) / $BY$4</f>
        <v>0.99914301989168408</v>
      </c>
      <c r="BZ2166" s="14">
        <f t="shared" si="136"/>
        <v>17</v>
      </c>
      <c r="CA2166" t="s">
        <v>5832</v>
      </c>
      <c r="CZ2166" t="s">
        <v>13033</v>
      </c>
      <c r="DA2166" t="s">
        <v>5904</v>
      </c>
      <c r="DB2166">
        <v>1573.1</v>
      </c>
      <c r="DC2166" t="s">
        <v>34649</v>
      </c>
      <c r="DD2166" t="s">
        <v>34650</v>
      </c>
      <c r="DE2166" t="s">
        <v>34651</v>
      </c>
      <c r="DF2166" t="s">
        <v>34652</v>
      </c>
      <c r="DG2166" t="s">
        <v>34653</v>
      </c>
      <c r="DH2166" t="str">
        <f>"SEC23B"</f>
        <v>SEC23B</v>
      </c>
      <c r="DI2166" t="s">
        <v>13772</v>
      </c>
      <c r="DJ2166" t="s">
        <v>13777</v>
      </c>
      <c r="DK2166">
        <v>9606</v>
      </c>
      <c r="DL2166" s="34" t="str">
        <f>HYPERLINK("http://www.uniprot.org/uniprot/Q15437", "Q15437")</f>
        <v>Q15437</v>
      </c>
      <c r="DM2166" t="s">
        <v>34654</v>
      </c>
      <c r="DN2166" t="s">
        <v>15450</v>
      </c>
      <c r="DO2166" t="s">
        <v>26777</v>
      </c>
      <c r="DP2166" t="s">
        <v>13793</v>
      </c>
      <c r="DQ2166" t="s">
        <v>13772</v>
      </c>
      <c r="DR2166" t="s">
        <v>34655</v>
      </c>
      <c r="DS2166" t="s">
        <v>13772</v>
      </c>
      <c r="DT2166" t="s">
        <v>13856</v>
      </c>
      <c r="DU2166" t="s">
        <v>13772</v>
      </c>
      <c r="DV2166" t="s">
        <v>14020</v>
      </c>
      <c r="DW2166" t="s">
        <v>13772</v>
      </c>
      <c r="DX2166" t="s">
        <v>34656</v>
      </c>
      <c r="DY2166" t="s">
        <v>34657</v>
      </c>
      <c r="DZ2166" t="s">
        <v>34658</v>
      </c>
      <c r="EA2166" t="s">
        <v>13772</v>
      </c>
      <c r="EB2166" t="s">
        <v>13772</v>
      </c>
    </row>
    <row r="2167" spans="1:132" hidden="1">
      <c r="A2167">
        <v>2192</v>
      </c>
      <c r="B2167">
        <v>1</v>
      </c>
      <c r="C2167" t="s">
        <v>5127</v>
      </c>
      <c r="D2167" t="s">
        <v>5128</v>
      </c>
      <c r="E2167" t="s">
        <v>73</v>
      </c>
      <c r="F2167" t="s">
        <v>73</v>
      </c>
      <c r="G2167" t="s">
        <v>73</v>
      </c>
      <c r="H2167">
        <v>3.4</v>
      </c>
      <c r="I2167">
        <v>1314</v>
      </c>
      <c r="J2167">
        <v>136704</v>
      </c>
      <c r="K2167" t="s">
        <v>5129</v>
      </c>
      <c r="L2167">
        <f t="shared" si="134"/>
        <v>3</v>
      </c>
      <c r="N2167">
        <v>3</v>
      </c>
      <c r="O2167">
        <v>3</v>
      </c>
      <c r="P2167">
        <v>1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s="2">
        <v>0</v>
      </c>
      <c r="BD2167" s="2">
        <v>2</v>
      </c>
      <c r="BE2167" s="2">
        <v>0</v>
      </c>
      <c r="BF2167" s="2">
        <v>0</v>
      </c>
      <c r="BG2167" s="2">
        <v>0</v>
      </c>
      <c r="BH2167" s="2">
        <v>0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f t="shared" si="137"/>
        <v>3</v>
      </c>
      <c r="BW2167" s="16">
        <f t="shared" si="135"/>
        <v>0.15789473684210525</v>
      </c>
      <c r="BX2167" s="16">
        <f>COUNTIF($BC$6:BU2167, "=0") / COUNTIF($BC$6:BU2167, "&gt;-1")</f>
        <v>0.51114952042455819</v>
      </c>
      <c r="BY2167" s="18">
        <f>SUM($BC$6:BU2167) / $BY$4</f>
        <v>0.99915587080229018</v>
      </c>
      <c r="BZ2167" s="14">
        <f t="shared" si="136"/>
        <v>17</v>
      </c>
      <c r="CA2167" t="s">
        <v>5832</v>
      </c>
      <c r="CZ2167" t="s">
        <v>13054</v>
      </c>
      <c r="DA2167" t="s">
        <v>5900</v>
      </c>
      <c r="DB2167">
        <v>909.8</v>
      </c>
      <c r="DC2167" t="s">
        <v>34715</v>
      </c>
      <c r="DD2167" t="s">
        <v>34716</v>
      </c>
      <c r="DE2167" t="s">
        <v>34717</v>
      </c>
      <c r="DF2167" t="s">
        <v>34718</v>
      </c>
      <c r="DG2167" t="s">
        <v>34719</v>
      </c>
      <c r="DH2167" t="str">
        <f>"RAB11FIP5"</f>
        <v>RAB11FIP5</v>
      </c>
      <c r="DI2167" t="s">
        <v>34720</v>
      </c>
      <c r="DJ2167" t="s">
        <v>13777</v>
      </c>
      <c r="DK2167">
        <v>9606</v>
      </c>
      <c r="DL2167" s="34" t="str">
        <f>HYPERLINK("http://www.uniprot.org/uniprot/Q9BXF6", "Q9BXF6")</f>
        <v>Q9BXF6</v>
      </c>
      <c r="DM2167" t="s">
        <v>34721</v>
      </c>
      <c r="DN2167" t="s">
        <v>14347</v>
      </c>
      <c r="DO2167" t="s">
        <v>34722</v>
      </c>
      <c r="DP2167" t="s">
        <v>13772</v>
      </c>
      <c r="DQ2167" t="s">
        <v>13772</v>
      </c>
      <c r="DR2167" t="s">
        <v>13772</v>
      </c>
      <c r="DS2167" t="s">
        <v>13772</v>
      </c>
      <c r="DT2167" t="s">
        <v>13772</v>
      </c>
      <c r="DU2167" t="s">
        <v>13772</v>
      </c>
      <c r="DV2167" t="s">
        <v>13782</v>
      </c>
      <c r="DW2167" t="s">
        <v>13772</v>
      </c>
      <c r="DX2167" t="s">
        <v>34723</v>
      </c>
      <c r="DY2167" t="s">
        <v>34724</v>
      </c>
      <c r="DZ2167" t="s">
        <v>34725</v>
      </c>
      <c r="EA2167" t="s">
        <v>13772</v>
      </c>
      <c r="EB2167" t="s">
        <v>13772</v>
      </c>
    </row>
    <row r="2168" spans="1:132" hidden="1">
      <c r="A2168">
        <v>2212</v>
      </c>
      <c r="B2168">
        <v>1</v>
      </c>
      <c r="C2168" t="s">
        <v>5174</v>
      </c>
      <c r="D2168" t="s">
        <v>73</v>
      </c>
      <c r="E2168" t="s">
        <v>73</v>
      </c>
      <c r="F2168" t="s">
        <v>73</v>
      </c>
      <c r="G2168" t="s">
        <v>73</v>
      </c>
      <c r="H2168">
        <v>17.2</v>
      </c>
      <c r="I2168">
        <v>250</v>
      </c>
      <c r="J2168">
        <v>27156</v>
      </c>
      <c r="K2168" t="s">
        <v>5175</v>
      </c>
      <c r="L2168">
        <f t="shared" si="134"/>
        <v>3</v>
      </c>
      <c r="N2168">
        <v>3</v>
      </c>
      <c r="O2168">
        <v>3</v>
      </c>
      <c r="P2168">
        <v>1</v>
      </c>
      <c r="Q2168">
        <v>0</v>
      </c>
      <c r="R2168">
        <v>0</v>
      </c>
      <c r="S2168">
        <v>0</v>
      </c>
      <c r="T2168">
        <v>2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 s="2">
        <v>0</v>
      </c>
      <c r="BD2168" s="2">
        <v>0</v>
      </c>
      <c r="BE2168" s="2">
        <v>0</v>
      </c>
      <c r="BF2168" s="2">
        <v>2</v>
      </c>
      <c r="BG2168" s="2">
        <v>1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f t="shared" si="137"/>
        <v>3</v>
      </c>
      <c r="BW2168" s="16">
        <f t="shared" si="135"/>
        <v>0.15789473684210525</v>
      </c>
      <c r="BX2168" s="16">
        <f>COUNTIF($BC$6:BU2168, "=0") / COUNTIF($BC$6:BU2168, "&gt;-1")</f>
        <v>0.51132686084142398</v>
      </c>
      <c r="BY2168" s="18">
        <f>SUM($BC$6:BU2168) / $BY$4</f>
        <v>0.99916872171289628</v>
      </c>
      <c r="BZ2168" s="14">
        <f t="shared" si="136"/>
        <v>17</v>
      </c>
      <c r="CA2168" t="s">
        <v>5832</v>
      </c>
      <c r="CZ2168" t="s">
        <v>13121</v>
      </c>
      <c r="DA2168" t="s">
        <v>5904</v>
      </c>
      <c r="DB2168">
        <v>343.2</v>
      </c>
      <c r="DC2168" t="s">
        <v>34899</v>
      </c>
      <c r="DD2168" t="s">
        <v>34900</v>
      </c>
      <c r="DE2168" t="s">
        <v>34901</v>
      </c>
      <c r="DF2168" t="s">
        <v>34902</v>
      </c>
      <c r="DG2168" t="s">
        <v>34903</v>
      </c>
      <c r="DH2168" t="str">
        <f>"WISP2"</f>
        <v>WISP2</v>
      </c>
      <c r="DI2168" t="s">
        <v>34904</v>
      </c>
      <c r="DJ2168" t="s">
        <v>13777</v>
      </c>
      <c r="DK2168">
        <v>9606</v>
      </c>
      <c r="DL2168" s="34" t="str">
        <f>HYPERLINK("http://www.uniprot.org/uniprot/O76076", "O76076")</f>
        <v>O76076</v>
      </c>
      <c r="DM2168" t="s">
        <v>34905</v>
      </c>
      <c r="DN2168" t="s">
        <v>13949</v>
      </c>
      <c r="DO2168" t="s">
        <v>14321</v>
      </c>
      <c r="DP2168" t="s">
        <v>13780</v>
      </c>
      <c r="DQ2168" t="s">
        <v>13772</v>
      </c>
      <c r="DR2168" t="s">
        <v>13772</v>
      </c>
      <c r="DS2168" t="s">
        <v>13808</v>
      </c>
      <c r="DT2168" t="s">
        <v>13772</v>
      </c>
      <c r="DU2168" t="s">
        <v>13772</v>
      </c>
      <c r="DV2168" t="s">
        <v>13772</v>
      </c>
      <c r="DW2168" t="s">
        <v>13772</v>
      </c>
      <c r="DX2168" t="s">
        <v>34906</v>
      </c>
      <c r="DY2168" t="s">
        <v>34907</v>
      </c>
      <c r="DZ2168" t="s">
        <v>20778</v>
      </c>
      <c r="EA2168" t="s">
        <v>13772</v>
      </c>
      <c r="EB2168" t="s">
        <v>13772</v>
      </c>
    </row>
    <row r="2169" spans="1:132" hidden="1">
      <c r="A2169">
        <v>2219</v>
      </c>
      <c r="B2169">
        <v>1</v>
      </c>
      <c r="C2169" t="s">
        <v>5190</v>
      </c>
      <c r="D2169" t="s">
        <v>73</v>
      </c>
      <c r="E2169" t="s">
        <v>73</v>
      </c>
      <c r="F2169" t="s">
        <v>5188</v>
      </c>
      <c r="G2169" t="s">
        <v>73</v>
      </c>
      <c r="H2169">
        <v>25.9</v>
      </c>
      <c r="I2169">
        <v>158</v>
      </c>
      <c r="J2169">
        <v>18047</v>
      </c>
      <c r="K2169" t="s">
        <v>5191</v>
      </c>
      <c r="L2169">
        <f t="shared" si="134"/>
        <v>7</v>
      </c>
      <c r="N2169">
        <v>7</v>
      </c>
      <c r="O2169">
        <v>2</v>
      </c>
      <c r="P2169">
        <v>0.28599999999999998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>
        <v>1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2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2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f t="shared" si="137"/>
        <v>3</v>
      </c>
      <c r="BW2169" s="16">
        <f t="shared" si="135"/>
        <v>0.15789473684210525</v>
      </c>
      <c r="BX2169" s="16">
        <f>COUNTIF($BC$6:BU2169, "=0") / COUNTIF($BC$6:BU2169, "&gt;-1")</f>
        <v>0.51150403735771965</v>
      </c>
      <c r="BY2169" s="18">
        <f>SUM($BC$6:BU2169) / $BY$4</f>
        <v>0.99918157262350238</v>
      </c>
      <c r="BZ2169" s="14">
        <f t="shared" si="136"/>
        <v>17</v>
      </c>
      <c r="CA2169" t="s">
        <v>5832</v>
      </c>
      <c r="CZ2169" t="s">
        <v>13140</v>
      </c>
      <c r="DA2169" t="s">
        <v>5904</v>
      </c>
      <c r="DB2169">
        <v>270</v>
      </c>
      <c r="DC2169" t="s">
        <v>34957</v>
      </c>
      <c r="DD2169" t="s">
        <v>34958</v>
      </c>
      <c r="DE2169" t="s">
        <v>34959</v>
      </c>
      <c r="DF2169" t="s">
        <v>34960</v>
      </c>
      <c r="DG2169" t="s">
        <v>34961</v>
      </c>
      <c r="DH2169" t="str">
        <f>"ACP1"</f>
        <v>ACP1</v>
      </c>
      <c r="DI2169" t="s">
        <v>13772</v>
      </c>
      <c r="DJ2169" t="s">
        <v>13777</v>
      </c>
      <c r="DK2169">
        <v>9606</v>
      </c>
      <c r="DL2169" s="34" t="str">
        <f>HYPERLINK("http://www.uniprot.org/uniprot/P24666", "P24666")</f>
        <v>P24666</v>
      </c>
      <c r="DM2169" t="s">
        <v>34962</v>
      </c>
      <c r="DN2169" t="s">
        <v>13772</v>
      </c>
      <c r="DO2169" t="s">
        <v>13899</v>
      </c>
      <c r="DP2169" t="s">
        <v>13780</v>
      </c>
      <c r="DQ2169" t="s">
        <v>13772</v>
      </c>
      <c r="DR2169" t="s">
        <v>13772</v>
      </c>
      <c r="DS2169" t="s">
        <v>13772</v>
      </c>
      <c r="DT2169" t="s">
        <v>13772</v>
      </c>
      <c r="DU2169" t="s">
        <v>16320</v>
      </c>
      <c r="DV2169" t="s">
        <v>13886</v>
      </c>
      <c r="DW2169" t="s">
        <v>13812</v>
      </c>
      <c r="DX2169" t="s">
        <v>13772</v>
      </c>
      <c r="DY2169" t="s">
        <v>34963</v>
      </c>
      <c r="DZ2169" t="s">
        <v>34964</v>
      </c>
      <c r="EA2169" t="s">
        <v>13772</v>
      </c>
      <c r="EB2169" t="s">
        <v>13772</v>
      </c>
    </row>
    <row r="2170" spans="1:132" hidden="1">
      <c r="A2170">
        <v>2223</v>
      </c>
      <c r="B2170">
        <v>1</v>
      </c>
      <c r="C2170" t="s">
        <v>5199</v>
      </c>
      <c r="D2170" t="s">
        <v>5200</v>
      </c>
      <c r="E2170" t="s">
        <v>73</v>
      </c>
      <c r="F2170" t="s">
        <v>73</v>
      </c>
      <c r="G2170" t="s">
        <v>73</v>
      </c>
      <c r="H2170">
        <v>10.4</v>
      </c>
      <c r="I2170">
        <v>326</v>
      </c>
      <c r="J2170">
        <v>37352</v>
      </c>
      <c r="K2170" t="s">
        <v>5201</v>
      </c>
      <c r="L2170">
        <f t="shared" si="134"/>
        <v>3</v>
      </c>
      <c r="N2170">
        <v>3</v>
      </c>
      <c r="O2170">
        <v>3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2</v>
      </c>
      <c r="AY2170">
        <v>0</v>
      </c>
      <c r="AZ2170">
        <v>0</v>
      </c>
      <c r="BA2170">
        <v>0</v>
      </c>
      <c r="BB2170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1</v>
      </c>
      <c r="BQ2170" s="2">
        <v>2</v>
      </c>
      <c r="BR2170" s="2">
        <v>0</v>
      </c>
      <c r="BS2170" s="2">
        <v>0</v>
      </c>
      <c r="BT2170" s="2">
        <v>0</v>
      </c>
      <c r="BU2170" s="2">
        <v>0</v>
      </c>
      <c r="BV2170" s="2">
        <f t="shared" si="137"/>
        <v>3</v>
      </c>
      <c r="BW2170" s="16">
        <f t="shared" si="135"/>
        <v>0.15789473684210525</v>
      </c>
      <c r="BX2170" s="16">
        <f>COUNTIF($BC$6:BU2170, "=0") / COUNTIF($BC$6:BU2170, "&gt;-1")</f>
        <v>0.5116810502005591</v>
      </c>
      <c r="BY2170" s="18">
        <f>SUM($BC$6:BU2170) / $BY$4</f>
        <v>0.99919442353410848</v>
      </c>
      <c r="BZ2170" s="14">
        <f t="shared" si="136"/>
        <v>17</v>
      </c>
      <c r="CA2170" t="s">
        <v>5832</v>
      </c>
      <c r="CZ2170" t="s">
        <v>13155</v>
      </c>
      <c r="DA2170" t="s">
        <v>5904</v>
      </c>
      <c r="DB2170">
        <v>504.2</v>
      </c>
      <c r="DC2170" t="s">
        <v>34993</v>
      </c>
      <c r="DD2170" t="s">
        <v>34994</v>
      </c>
      <c r="DE2170" t="s">
        <v>34995</v>
      </c>
      <c r="DF2170" t="s">
        <v>34996</v>
      </c>
      <c r="DG2170" t="s">
        <v>34997</v>
      </c>
      <c r="DH2170" t="str">
        <f>"IL1RL1"</f>
        <v>IL1RL1</v>
      </c>
      <c r="DI2170" t="s">
        <v>34998</v>
      </c>
      <c r="DJ2170" t="s">
        <v>13777</v>
      </c>
      <c r="DK2170">
        <v>9606</v>
      </c>
      <c r="DL2170" s="34" t="str">
        <f>HYPERLINK("http://www.uniprot.org/uniprot/Q01638", "Q01638")</f>
        <v>Q01638</v>
      </c>
      <c r="DM2170" t="s">
        <v>33351</v>
      </c>
      <c r="DN2170" t="s">
        <v>13772</v>
      </c>
      <c r="DO2170" t="s">
        <v>14336</v>
      </c>
      <c r="DP2170" t="s">
        <v>13780</v>
      </c>
      <c r="DQ2170" t="s">
        <v>13772</v>
      </c>
      <c r="DR2170" t="s">
        <v>13772</v>
      </c>
      <c r="DS2170" t="s">
        <v>13951</v>
      </c>
      <c r="DT2170" t="s">
        <v>13772</v>
      </c>
      <c r="DU2170" t="s">
        <v>13795</v>
      </c>
      <c r="DV2170" t="s">
        <v>13796</v>
      </c>
      <c r="DW2170" t="s">
        <v>13812</v>
      </c>
      <c r="DX2170" t="s">
        <v>34999</v>
      </c>
      <c r="DY2170" t="s">
        <v>24724</v>
      </c>
      <c r="DZ2170" t="s">
        <v>35000</v>
      </c>
      <c r="EA2170" t="s">
        <v>13772</v>
      </c>
      <c r="EB2170" t="s">
        <v>35001</v>
      </c>
    </row>
    <row r="2171" spans="1:132" hidden="1">
      <c r="A2171">
        <v>2271</v>
      </c>
      <c r="B2171">
        <v>1</v>
      </c>
      <c r="C2171" t="s">
        <v>5306</v>
      </c>
      <c r="D2171" t="s">
        <v>73</v>
      </c>
      <c r="E2171" t="s">
        <v>73</v>
      </c>
      <c r="F2171" t="s">
        <v>73</v>
      </c>
      <c r="G2171" t="s">
        <v>73</v>
      </c>
      <c r="H2171">
        <v>4</v>
      </c>
      <c r="I2171">
        <v>727</v>
      </c>
      <c r="J2171">
        <v>81641</v>
      </c>
      <c r="K2171" t="s">
        <v>5307</v>
      </c>
      <c r="L2171">
        <f t="shared" si="134"/>
        <v>3</v>
      </c>
      <c r="N2171">
        <v>3</v>
      </c>
      <c r="O2171">
        <v>3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3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3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f t="shared" si="137"/>
        <v>3</v>
      </c>
      <c r="BW2171" s="16">
        <f t="shared" si="135"/>
        <v>0.15789473684210525</v>
      </c>
      <c r="BX2171" s="16">
        <f>COUNTIF($BC$6:BU2171, "=0") / COUNTIF($BC$6:BU2171, "&gt;-1")</f>
        <v>0.5118821985712203</v>
      </c>
      <c r="BY2171" s="18">
        <f>SUM($BC$6:BU2171) / $BY$4</f>
        <v>0.99920727444471458</v>
      </c>
      <c r="BZ2171" s="14">
        <f t="shared" si="136"/>
        <v>18</v>
      </c>
      <c r="CA2171" t="s">
        <v>5832</v>
      </c>
      <c r="CZ2171" t="s">
        <v>13316</v>
      </c>
      <c r="DA2171" t="s">
        <v>5904</v>
      </c>
      <c r="DB2171">
        <v>1229.5</v>
      </c>
      <c r="DC2171" t="s">
        <v>35453</v>
      </c>
      <c r="DD2171" t="s">
        <v>35454</v>
      </c>
      <c r="DE2171" t="s">
        <v>35455</v>
      </c>
      <c r="DF2171" t="s">
        <v>35456</v>
      </c>
      <c r="DG2171" t="s">
        <v>35457</v>
      </c>
      <c r="DH2171" t="str">
        <f>"TGM6"</f>
        <v>TGM6</v>
      </c>
      <c r="DI2171" t="s">
        <v>35458</v>
      </c>
      <c r="DJ2171" t="s">
        <v>13777</v>
      </c>
      <c r="DK2171">
        <v>9606</v>
      </c>
      <c r="DL2171" s="34" t="str">
        <f>HYPERLINK("http://www.uniprot.org/uniprot/O95932", "O95932")</f>
        <v>O95932</v>
      </c>
      <c r="DM2171" t="s">
        <v>35459</v>
      </c>
      <c r="DN2171" t="s">
        <v>13772</v>
      </c>
      <c r="DO2171" t="s">
        <v>13899</v>
      </c>
      <c r="DP2171" t="s">
        <v>13780</v>
      </c>
      <c r="DQ2171" t="s">
        <v>13772</v>
      </c>
      <c r="DR2171" t="s">
        <v>20674</v>
      </c>
      <c r="DS2171" t="s">
        <v>13772</v>
      </c>
      <c r="DT2171" t="s">
        <v>13873</v>
      </c>
      <c r="DU2171" t="s">
        <v>15096</v>
      </c>
      <c r="DV2171" t="s">
        <v>13772</v>
      </c>
      <c r="DW2171" t="s">
        <v>13772</v>
      </c>
      <c r="DX2171" t="s">
        <v>35460</v>
      </c>
      <c r="DY2171" t="s">
        <v>14579</v>
      </c>
      <c r="DZ2171" t="s">
        <v>16023</v>
      </c>
      <c r="EA2171" t="s">
        <v>13772</v>
      </c>
      <c r="EB2171" t="s">
        <v>13772</v>
      </c>
    </row>
    <row r="2172" spans="1:132" hidden="1">
      <c r="A2172">
        <v>2295</v>
      </c>
      <c r="B2172">
        <v>1</v>
      </c>
      <c r="C2172" t="s">
        <v>5361</v>
      </c>
      <c r="D2172" t="s">
        <v>73</v>
      </c>
      <c r="E2172" t="s">
        <v>73</v>
      </c>
      <c r="F2172" t="s">
        <v>73</v>
      </c>
      <c r="G2172" t="s">
        <v>73</v>
      </c>
      <c r="H2172">
        <v>4.5999999999999996</v>
      </c>
      <c r="I2172">
        <v>523</v>
      </c>
      <c r="J2172">
        <v>55811</v>
      </c>
      <c r="K2172" t="s">
        <v>5362</v>
      </c>
      <c r="L2172">
        <f t="shared" si="134"/>
        <v>3</v>
      </c>
      <c r="N2172">
        <v>3</v>
      </c>
      <c r="O2172">
        <v>3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2</v>
      </c>
      <c r="BA2172">
        <v>0</v>
      </c>
      <c r="BB217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1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2</v>
      </c>
      <c r="BT2172" s="2">
        <v>0</v>
      </c>
      <c r="BU2172" s="2">
        <v>0</v>
      </c>
      <c r="BV2172" s="2">
        <f t="shared" si="137"/>
        <v>3</v>
      </c>
      <c r="BW2172" s="16">
        <f t="shared" si="135"/>
        <v>0.15789473684210525</v>
      </c>
      <c r="BX2172" s="16">
        <f>COUNTIF($BC$6:BU2172, "=0") / COUNTIF($BC$6:BU2172, "&gt;-1")</f>
        <v>0.51205887353362645</v>
      </c>
      <c r="BY2172" s="18">
        <f>SUM($BC$6:BU2172) / $BY$4</f>
        <v>0.99922012535532068</v>
      </c>
      <c r="BZ2172" s="14">
        <f t="shared" si="136"/>
        <v>17</v>
      </c>
      <c r="CA2172" t="s">
        <v>5832</v>
      </c>
      <c r="CZ2172" t="s">
        <v>13393</v>
      </c>
      <c r="DA2172" t="s">
        <v>5904</v>
      </c>
      <c r="DB2172">
        <v>1003.8</v>
      </c>
      <c r="DC2172" t="s">
        <v>35683</v>
      </c>
      <c r="DD2172" t="s">
        <v>35684</v>
      </c>
      <c r="DE2172" t="s">
        <v>35685</v>
      </c>
      <c r="DF2172" t="s">
        <v>35686</v>
      </c>
      <c r="DG2172" t="s">
        <v>35687</v>
      </c>
      <c r="DH2172" t="str">
        <f>"NPEPL1"</f>
        <v>NPEPL1</v>
      </c>
      <c r="DI2172" t="s">
        <v>35688</v>
      </c>
      <c r="DJ2172" t="s">
        <v>13777</v>
      </c>
      <c r="DK2172">
        <v>9606</v>
      </c>
      <c r="DL2172" s="34" t="str">
        <f>HYPERLINK("http://www.uniprot.org/uniprot/Q8NDH3", "Q8NDH3")</f>
        <v>Q8NDH3</v>
      </c>
      <c r="DM2172" t="s">
        <v>35689</v>
      </c>
      <c r="DN2172" t="s">
        <v>13772</v>
      </c>
      <c r="DO2172" t="s">
        <v>13772</v>
      </c>
      <c r="DP2172" t="s">
        <v>13780</v>
      </c>
      <c r="DQ2172" t="s">
        <v>13772</v>
      </c>
      <c r="DR2172" t="s">
        <v>13772</v>
      </c>
      <c r="DS2172" t="s">
        <v>13772</v>
      </c>
      <c r="DT2172" t="s">
        <v>35690</v>
      </c>
      <c r="DU2172" t="s">
        <v>26318</v>
      </c>
      <c r="DV2172" t="s">
        <v>13772</v>
      </c>
      <c r="DW2172" t="s">
        <v>13772</v>
      </c>
      <c r="DX2172" t="s">
        <v>13772</v>
      </c>
      <c r="DY2172" t="s">
        <v>23727</v>
      </c>
      <c r="DZ2172" t="s">
        <v>26320</v>
      </c>
      <c r="EA2172" t="s">
        <v>13772</v>
      </c>
      <c r="EB2172" t="s">
        <v>13772</v>
      </c>
    </row>
    <row r="2173" spans="1:132" hidden="1">
      <c r="A2173">
        <v>2348</v>
      </c>
      <c r="B2173">
        <v>1</v>
      </c>
      <c r="C2173" t="s">
        <v>5478</v>
      </c>
      <c r="D2173" t="s">
        <v>5479</v>
      </c>
      <c r="E2173" t="s">
        <v>73</v>
      </c>
      <c r="F2173" t="s">
        <v>73</v>
      </c>
      <c r="G2173" t="s">
        <v>73</v>
      </c>
      <c r="H2173">
        <v>3.9</v>
      </c>
      <c r="I2173">
        <v>615</v>
      </c>
      <c r="J2173">
        <v>68224</v>
      </c>
      <c r="K2173" t="s">
        <v>5480</v>
      </c>
      <c r="L2173">
        <f t="shared" si="134"/>
        <v>3</v>
      </c>
      <c r="N2173">
        <v>3</v>
      </c>
      <c r="O2173">
        <v>3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2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 s="2">
        <v>1</v>
      </c>
      <c r="BD2173" s="2">
        <v>0</v>
      </c>
      <c r="BE2173" s="2">
        <v>0</v>
      </c>
      <c r="BF2173" s="2">
        <v>0</v>
      </c>
      <c r="BG2173" s="2">
        <v>2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f t="shared" si="137"/>
        <v>3</v>
      </c>
      <c r="BW2173" s="16">
        <f t="shared" si="135"/>
        <v>0.15789473684210525</v>
      </c>
      <c r="BX2173" s="16">
        <f>COUNTIF($BC$6:BU2173, "=0") / COUNTIF($BC$6:BU2173, "&gt;-1")</f>
        <v>0.51223538551174985</v>
      </c>
      <c r="BY2173" s="18">
        <f>SUM($BC$6:BU2173) / $BY$4</f>
        <v>0.99923297626592678</v>
      </c>
      <c r="BZ2173" s="14">
        <f t="shared" si="136"/>
        <v>17</v>
      </c>
      <c r="CA2173" t="s">
        <v>5832</v>
      </c>
      <c r="CZ2173" t="s">
        <v>13557</v>
      </c>
      <c r="DA2173" t="s">
        <v>5904</v>
      </c>
      <c r="DB2173">
        <v>1085.0999999999999</v>
      </c>
      <c r="DC2173" t="s">
        <v>36133</v>
      </c>
      <c r="DD2173" t="s">
        <v>13772</v>
      </c>
      <c r="DE2173" t="s">
        <v>36134</v>
      </c>
      <c r="DF2173" t="s">
        <v>36135</v>
      </c>
      <c r="DG2173" t="s">
        <v>36136</v>
      </c>
      <c r="DH2173" t="str">
        <f>"ACSF2"</f>
        <v>ACSF2</v>
      </c>
      <c r="DI2173" t="s">
        <v>13772</v>
      </c>
      <c r="DJ2173" t="s">
        <v>13777</v>
      </c>
      <c r="DK2173">
        <v>9606</v>
      </c>
      <c r="DL2173" s="34" t="str">
        <f>HYPERLINK("http://www.uniprot.org/uniprot/Q96CM8", "Q96CM8")</f>
        <v>Q96CM8</v>
      </c>
      <c r="DM2173" t="s">
        <v>36137</v>
      </c>
      <c r="DN2173" t="s">
        <v>14430</v>
      </c>
      <c r="DO2173" t="s">
        <v>14491</v>
      </c>
      <c r="DP2173" t="s">
        <v>13780</v>
      </c>
      <c r="DQ2173" t="s">
        <v>13772</v>
      </c>
      <c r="DR2173" t="s">
        <v>13772</v>
      </c>
      <c r="DS2173" t="s">
        <v>14391</v>
      </c>
      <c r="DT2173" t="s">
        <v>14005</v>
      </c>
      <c r="DU2173" t="s">
        <v>21123</v>
      </c>
      <c r="DV2173" t="s">
        <v>14020</v>
      </c>
      <c r="DW2173" t="s">
        <v>13772</v>
      </c>
      <c r="DX2173" t="s">
        <v>36138</v>
      </c>
      <c r="DY2173" t="s">
        <v>14494</v>
      </c>
      <c r="DZ2173" t="s">
        <v>36139</v>
      </c>
      <c r="EA2173" t="s">
        <v>13772</v>
      </c>
      <c r="EB2173" t="s">
        <v>18151</v>
      </c>
    </row>
    <row r="2174" spans="1:132" hidden="1">
      <c r="A2174">
        <v>2360</v>
      </c>
      <c r="B2174">
        <v>1</v>
      </c>
      <c r="C2174" t="s">
        <v>5500</v>
      </c>
      <c r="D2174" t="s">
        <v>73</v>
      </c>
      <c r="E2174" t="s">
        <v>73</v>
      </c>
      <c r="F2174" t="s">
        <v>73</v>
      </c>
      <c r="G2174" t="s">
        <v>73</v>
      </c>
      <c r="H2174">
        <v>1.5</v>
      </c>
      <c r="I2174">
        <v>2335</v>
      </c>
      <c r="J2174">
        <v>273597</v>
      </c>
      <c r="K2174" t="s">
        <v>5501</v>
      </c>
      <c r="L2174">
        <f t="shared" si="134"/>
        <v>3</v>
      </c>
      <c r="N2174">
        <v>3</v>
      </c>
      <c r="O2174">
        <v>3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1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2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f t="shared" si="137"/>
        <v>3</v>
      </c>
      <c r="BW2174" s="16">
        <f t="shared" si="135"/>
        <v>0.15789473684210525</v>
      </c>
      <c r="BX2174" s="16">
        <f>COUNTIF($BC$6:BU2174, "=0") / COUNTIF($BC$6:BU2174, "&gt;-1")</f>
        <v>0.51241173473101842</v>
      </c>
      <c r="BY2174" s="18">
        <f>SUM($BC$6:BU2174) / $BY$4</f>
        <v>0.99924582717653287</v>
      </c>
      <c r="BZ2174" s="14">
        <f t="shared" si="136"/>
        <v>17</v>
      </c>
      <c r="CA2174" t="s">
        <v>5832</v>
      </c>
      <c r="CZ2174" t="s">
        <v>13593</v>
      </c>
      <c r="DA2174" t="s">
        <v>5904</v>
      </c>
      <c r="DB2174">
        <v>4873.5</v>
      </c>
      <c r="DC2174" t="s">
        <v>36235</v>
      </c>
      <c r="DD2174" t="s">
        <v>36236</v>
      </c>
      <c r="DE2174" t="s">
        <v>36237</v>
      </c>
      <c r="DF2174" t="s">
        <v>36238</v>
      </c>
      <c r="DG2174" t="s">
        <v>36239</v>
      </c>
      <c r="DH2174" t="str">
        <f>"PRPF8"</f>
        <v>PRPF8</v>
      </c>
      <c r="DI2174" t="s">
        <v>36240</v>
      </c>
      <c r="DJ2174" t="s">
        <v>13777</v>
      </c>
      <c r="DK2174">
        <v>9606</v>
      </c>
      <c r="DL2174" s="34" t="str">
        <f>HYPERLINK("http://www.uniprot.org/uniprot/Q6P2Q9", "Q6P2Q9")</f>
        <v>Q6P2Q9</v>
      </c>
      <c r="DM2174" t="s">
        <v>36241</v>
      </c>
      <c r="DN2174" t="s">
        <v>15152</v>
      </c>
      <c r="DO2174" t="s">
        <v>16088</v>
      </c>
      <c r="DP2174" t="s">
        <v>13793</v>
      </c>
      <c r="DQ2174" t="s">
        <v>13772</v>
      </c>
      <c r="DR2174" t="s">
        <v>26110</v>
      </c>
      <c r="DS2174" t="s">
        <v>13772</v>
      </c>
      <c r="DT2174" t="s">
        <v>13772</v>
      </c>
      <c r="DU2174" t="s">
        <v>16089</v>
      </c>
      <c r="DV2174" t="s">
        <v>14098</v>
      </c>
      <c r="DW2174" t="s">
        <v>13812</v>
      </c>
      <c r="DX2174" t="s">
        <v>36242</v>
      </c>
      <c r="DY2174" t="s">
        <v>36243</v>
      </c>
      <c r="DZ2174" t="s">
        <v>36244</v>
      </c>
      <c r="EA2174" t="s">
        <v>13772</v>
      </c>
      <c r="EB2174" t="s">
        <v>19511</v>
      </c>
    </row>
    <row r="2175" spans="1:132" hidden="1">
      <c r="A2175">
        <v>2366</v>
      </c>
      <c r="B2175">
        <v>1</v>
      </c>
      <c r="C2175" t="s">
        <v>5513</v>
      </c>
      <c r="D2175" t="s">
        <v>5514</v>
      </c>
      <c r="E2175" t="s">
        <v>73</v>
      </c>
      <c r="F2175" t="s">
        <v>165</v>
      </c>
      <c r="G2175" t="s">
        <v>73</v>
      </c>
      <c r="H2175">
        <v>13.8</v>
      </c>
      <c r="I2175">
        <v>378</v>
      </c>
      <c r="J2175">
        <v>41669</v>
      </c>
      <c r="K2175" t="s">
        <v>5515</v>
      </c>
      <c r="L2175">
        <f t="shared" si="134"/>
        <v>7</v>
      </c>
      <c r="N2175">
        <v>7</v>
      </c>
      <c r="O2175">
        <v>2</v>
      </c>
      <c r="P2175">
        <v>0.28599999999999998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4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1</v>
      </c>
      <c r="BL2175" s="2">
        <v>0</v>
      </c>
      <c r="BM2175" s="2">
        <v>0</v>
      </c>
      <c r="BN2175" s="2">
        <v>2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f t="shared" si="137"/>
        <v>3</v>
      </c>
      <c r="BW2175" s="16">
        <f t="shared" si="135"/>
        <v>0.15789473684210525</v>
      </c>
      <c r="BX2175" s="16">
        <f>COUNTIF($BC$6:BU2175, "=0") / COUNTIF($BC$6:BU2175, "&gt;-1")</f>
        <v>0.51258792141644438</v>
      </c>
      <c r="BY2175" s="18">
        <f>SUM($BC$6:BU2175) / $BY$4</f>
        <v>0.99925867808713897</v>
      </c>
      <c r="BZ2175" s="14">
        <f t="shared" si="136"/>
        <v>17</v>
      </c>
      <c r="CA2175" t="s">
        <v>5832</v>
      </c>
      <c r="CZ2175" t="s">
        <v>13616</v>
      </c>
      <c r="DA2175" t="s">
        <v>5904</v>
      </c>
      <c r="DB2175">
        <v>258.8</v>
      </c>
      <c r="DC2175" t="s">
        <v>36293</v>
      </c>
      <c r="DD2175" t="s">
        <v>36294</v>
      </c>
      <c r="DE2175" t="s">
        <v>36295</v>
      </c>
      <c r="DF2175" t="s">
        <v>36296</v>
      </c>
      <c r="DG2175" t="s">
        <v>36297</v>
      </c>
      <c r="DH2175" t="str">
        <f>"CD300LF"</f>
        <v>CD300LF</v>
      </c>
      <c r="DI2175" t="s">
        <v>36298</v>
      </c>
      <c r="DJ2175" t="s">
        <v>13777</v>
      </c>
      <c r="DK2175">
        <v>9606</v>
      </c>
      <c r="DL2175" s="34" t="str">
        <f>HYPERLINK("http://www.uniprot.org/uniprot/Q8TDQ1", "Q8TDQ1")</f>
        <v>Q8TDQ1</v>
      </c>
      <c r="DM2175" t="s">
        <v>36299</v>
      </c>
      <c r="DN2175" t="s">
        <v>13791</v>
      </c>
      <c r="DO2175" t="s">
        <v>13792</v>
      </c>
      <c r="DP2175" t="s">
        <v>13780</v>
      </c>
      <c r="DQ2175" t="s">
        <v>13772</v>
      </c>
      <c r="DR2175" t="s">
        <v>13772</v>
      </c>
      <c r="DS2175" t="s">
        <v>13794</v>
      </c>
      <c r="DT2175" t="s">
        <v>13900</v>
      </c>
      <c r="DU2175" t="s">
        <v>13795</v>
      </c>
      <c r="DV2175" t="s">
        <v>13964</v>
      </c>
      <c r="DW2175" t="s">
        <v>13812</v>
      </c>
      <c r="DX2175" t="s">
        <v>36300</v>
      </c>
      <c r="DY2175" t="s">
        <v>13798</v>
      </c>
      <c r="DZ2175" t="s">
        <v>36301</v>
      </c>
      <c r="EA2175" t="s">
        <v>13772</v>
      </c>
      <c r="EB2175" t="s">
        <v>13799</v>
      </c>
    </row>
    <row r="2176" spans="1:132" hidden="1">
      <c r="A2176">
        <v>1077</v>
      </c>
      <c r="B2176">
        <v>1</v>
      </c>
      <c r="C2176" t="s">
        <v>2588</v>
      </c>
      <c r="D2176" t="s">
        <v>2589</v>
      </c>
      <c r="E2176" t="s">
        <v>73</v>
      </c>
      <c r="F2176" t="s">
        <v>1464</v>
      </c>
      <c r="G2176" t="s">
        <v>73</v>
      </c>
      <c r="H2176">
        <v>20.100000000000001</v>
      </c>
      <c r="I2176">
        <v>189</v>
      </c>
      <c r="J2176">
        <v>21669</v>
      </c>
      <c r="K2176" t="s">
        <v>2590</v>
      </c>
      <c r="L2176">
        <f t="shared" si="134"/>
        <v>13</v>
      </c>
      <c r="N2176">
        <v>13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0</v>
      </c>
      <c r="U2176">
        <v>1</v>
      </c>
      <c r="V2176">
        <v>4</v>
      </c>
      <c r="W2176">
        <v>1</v>
      </c>
      <c r="X2176">
        <v>1</v>
      </c>
      <c r="Y2176">
        <v>0</v>
      </c>
      <c r="Z2176">
        <v>0</v>
      </c>
      <c r="AA2176">
        <v>2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 s="2">
        <v>0</v>
      </c>
      <c r="BD2176" s="2">
        <v>0.5</v>
      </c>
      <c r="BE2176" s="2">
        <v>0</v>
      </c>
      <c r="BF2176" s="2">
        <v>0</v>
      </c>
      <c r="BG2176" s="2">
        <v>0</v>
      </c>
      <c r="BH2176" s="2">
        <v>1.7</v>
      </c>
      <c r="BI2176" s="2">
        <v>0.5</v>
      </c>
      <c r="BJ2176" s="2">
        <v>0.2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f t="shared" si="137"/>
        <v>2.9000000000000004</v>
      </c>
      <c r="BW2176" s="16">
        <f t="shared" si="135"/>
        <v>0.15263157894736845</v>
      </c>
      <c r="BX2176" s="16">
        <f>COUNTIF($BC$6:BU2176, "=0") / COUNTIF($BC$6:BU2176, "&gt;-1")</f>
        <v>0.51271545976872168</v>
      </c>
      <c r="BY2176" s="18">
        <f>SUM($BC$6:BU2176) / $BY$4</f>
        <v>0.99927110063405833</v>
      </c>
      <c r="BZ2176" s="14">
        <f t="shared" si="136"/>
        <v>15</v>
      </c>
      <c r="CA2176" t="s">
        <v>5832</v>
      </c>
      <c r="CZ2176" t="s">
        <v>9319</v>
      </c>
      <c r="DA2176" t="s">
        <v>5904</v>
      </c>
      <c r="DB2176">
        <v>389.4</v>
      </c>
      <c r="DC2176" t="s">
        <v>24198</v>
      </c>
      <c r="DD2176" t="s">
        <v>24199</v>
      </c>
      <c r="DE2176" t="s">
        <v>24200</v>
      </c>
      <c r="DF2176" t="s">
        <v>24201</v>
      </c>
      <c r="DG2176" t="s">
        <v>24202</v>
      </c>
      <c r="DH2176" t="str">
        <f>"KRAS"</f>
        <v>KRAS</v>
      </c>
      <c r="DI2176" t="s">
        <v>24203</v>
      </c>
      <c r="DJ2176" t="s">
        <v>13777</v>
      </c>
      <c r="DK2176">
        <v>9606</v>
      </c>
      <c r="DL2176" s="34" t="str">
        <f>HYPERLINK("http://www.uniprot.org/uniprot/P01116", "P01116")</f>
        <v>P01116</v>
      </c>
      <c r="DM2176" t="s">
        <v>24204</v>
      </c>
      <c r="DN2176" t="s">
        <v>13772</v>
      </c>
      <c r="DO2176" t="s">
        <v>18623</v>
      </c>
      <c r="DP2176" t="s">
        <v>13780</v>
      </c>
      <c r="DQ2176" t="s">
        <v>13772</v>
      </c>
      <c r="DR2176" t="s">
        <v>24205</v>
      </c>
      <c r="DS2176" t="s">
        <v>13772</v>
      </c>
      <c r="DT2176" t="s">
        <v>14216</v>
      </c>
      <c r="DU2176" t="s">
        <v>13772</v>
      </c>
      <c r="DV2176" t="s">
        <v>24206</v>
      </c>
      <c r="DW2176" t="s">
        <v>13812</v>
      </c>
      <c r="DX2176" t="s">
        <v>24207</v>
      </c>
      <c r="DY2176" t="s">
        <v>24208</v>
      </c>
      <c r="DZ2176" t="s">
        <v>24209</v>
      </c>
      <c r="EA2176" t="s">
        <v>13772</v>
      </c>
      <c r="EB2176" t="s">
        <v>24210</v>
      </c>
    </row>
    <row r="2177" spans="1:132" hidden="1">
      <c r="A2177">
        <v>1706</v>
      </c>
      <c r="B2177">
        <v>1</v>
      </c>
      <c r="C2177" t="s">
        <v>4048</v>
      </c>
      <c r="D2177" t="s">
        <v>73</v>
      </c>
      <c r="E2177" t="s">
        <v>73</v>
      </c>
      <c r="F2177" t="s">
        <v>1464</v>
      </c>
      <c r="G2177" t="s">
        <v>73</v>
      </c>
      <c r="H2177">
        <v>18.5</v>
      </c>
      <c r="I2177">
        <v>189</v>
      </c>
      <c r="J2177">
        <v>21256</v>
      </c>
      <c r="K2177" t="s">
        <v>4049</v>
      </c>
      <c r="L2177">
        <f t="shared" si="134"/>
        <v>13</v>
      </c>
      <c r="N2177">
        <v>13</v>
      </c>
      <c r="O2177">
        <v>0</v>
      </c>
      <c r="P2177">
        <v>0</v>
      </c>
      <c r="Q2177">
        <v>0</v>
      </c>
      <c r="R2177">
        <v>2</v>
      </c>
      <c r="S2177">
        <v>0</v>
      </c>
      <c r="T2177">
        <v>0</v>
      </c>
      <c r="U2177">
        <v>3</v>
      </c>
      <c r="V2177">
        <v>3</v>
      </c>
      <c r="W2177">
        <v>0</v>
      </c>
      <c r="X2177">
        <v>1</v>
      </c>
      <c r="Y2177">
        <v>0</v>
      </c>
      <c r="Z2177">
        <v>0</v>
      </c>
      <c r="AA2177">
        <v>2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 s="2">
        <v>0</v>
      </c>
      <c r="BD2177" s="2">
        <v>0.5</v>
      </c>
      <c r="BE2177" s="2">
        <v>0</v>
      </c>
      <c r="BF2177" s="2">
        <v>0</v>
      </c>
      <c r="BG2177" s="2">
        <v>1</v>
      </c>
      <c r="BH2177" s="2">
        <v>1.2</v>
      </c>
      <c r="BI2177" s="2">
        <v>0</v>
      </c>
      <c r="BJ2177" s="2">
        <v>0.2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f t="shared" si="137"/>
        <v>2.9000000000000004</v>
      </c>
      <c r="BW2177" s="16">
        <f t="shared" si="135"/>
        <v>0.15263157894736845</v>
      </c>
      <c r="BX2177" s="16">
        <f>COUNTIF($BC$6:BU2177, "=0") / COUNTIF($BC$6:BU2177, "&gt;-1")</f>
        <v>0.51284288068236894</v>
      </c>
      <c r="BY2177" s="18">
        <f>SUM($BC$6:BU2177) / $BY$4</f>
        <v>0.99928352318097768</v>
      </c>
      <c r="BZ2177" s="14">
        <f t="shared" si="136"/>
        <v>15</v>
      </c>
      <c r="CA2177" t="s">
        <v>5832</v>
      </c>
      <c r="CZ2177" t="s">
        <v>11443</v>
      </c>
      <c r="DA2177" t="s">
        <v>5904</v>
      </c>
      <c r="DB2177">
        <v>391.3</v>
      </c>
      <c r="DC2177" t="s">
        <v>30168</v>
      </c>
      <c r="DD2177" t="s">
        <v>30169</v>
      </c>
      <c r="DE2177" t="s">
        <v>30170</v>
      </c>
      <c r="DF2177" t="s">
        <v>30171</v>
      </c>
      <c r="DG2177" t="s">
        <v>30172</v>
      </c>
      <c r="DH2177" t="str">
        <f>"NRAS"</f>
        <v>NRAS</v>
      </c>
      <c r="DI2177" t="s">
        <v>19602</v>
      </c>
      <c r="DJ2177" t="s">
        <v>13777</v>
      </c>
      <c r="DK2177">
        <v>9606</v>
      </c>
      <c r="DL2177" s="34" t="str">
        <f>HYPERLINK("http://www.uniprot.org/uniprot/P01111", "P01111")</f>
        <v>P01111</v>
      </c>
      <c r="DM2177" t="s">
        <v>30173</v>
      </c>
      <c r="DN2177" t="s">
        <v>13772</v>
      </c>
      <c r="DO2177" t="s">
        <v>15136</v>
      </c>
      <c r="DP2177" t="s">
        <v>13772</v>
      </c>
      <c r="DQ2177" t="s">
        <v>13772</v>
      </c>
      <c r="DR2177" t="s">
        <v>16495</v>
      </c>
      <c r="DS2177" t="s">
        <v>13772</v>
      </c>
      <c r="DT2177" t="s">
        <v>14216</v>
      </c>
      <c r="DU2177" t="s">
        <v>13772</v>
      </c>
      <c r="DV2177" t="s">
        <v>30174</v>
      </c>
      <c r="DW2177" t="s">
        <v>13812</v>
      </c>
      <c r="DX2177" t="s">
        <v>30175</v>
      </c>
      <c r="DY2177" t="s">
        <v>30176</v>
      </c>
      <c r="DZ2177" t="s">
        <v>23988</v>
      </c>
      <c r="EA2177" t="s">
        <v>13772</v>
      </c>
      <c r="EB2177" t="s">
        <v>30177</v>
      </c>
    </row>
    <row r="2178" spans="1:132" hidden="1">
      <c r="A2178">
        <v>1751</v>
      </c>
      <c r="B2178">
        <v>1</v>
      </c>
      <c r="C2178" t="s">
        <v>4142</v>
      </c>
      <c r="D2178" t="s">
        <v>4143</v>
      </c>
      <c r="E2178" t="s">
        <v>73</v>
      </c>
      <c r="F2178" t="s">
        <v>3685</v>
      </c>
      <c r="G2178" t="s">
        <v>73</v>
      </c>
      <c r="H2178">
        <v>10.6</v>
      </c>
      <c r="I2178">
        <v>660</v>
      </c>
      <c r="J2178">
        <v>72302</v>
      </c>
      <c r="K2178" t="s">
        <v>4144</v>
      </c>
      <c r="L2178">
        <f t="shared" si="134"/>
        <v>7</v>
      </c>
      <c r="N2178">
        <v>7</v>
      </c>
      <c r="O2178">
        <v>2</v>
      </c>
      <c r="P2178">
        <v>0.28599999999999998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3</v>
      </c>
      <c r="Z2178">
        <v>0</v>
      </c>
      <c r="AA2178">
        <v>1</v>
      </c>
      <c r="AB2178">
        <v>1</v>
      </c>
      <c r="AC2178">
        <v>1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1.4</v>
      </c>
      <c r="BL2178" s="2">
        <v>0</v>
      </c>
      <c r="BM2178" s="2">
        <v>0</v>
      </c>
      <c r="BN2178" s="2">
        <v>0</v>
      </c>
      <c r="BO2178" s="2">
        <v>0.5</v>
      </c>
      <c r="BP2178" s="2">
        <v>0</v>
      </c>
      <c r="BQ2178" s="2">
        <v>1</v>
      </c>
      <c r="BR2178" s="2">
        <v>0</v>
      </c>
      <c r="BS2178" s="2">
        <v>0</v>
      </c>
      <c r="BT2178" s="2">
        <v>0</v>
      </c>
      <c r="BU2178" s="2">
        <v>0</v>
      </c>
      <c r="BV2178" s="2">
        <f t="shared" si="137"/>
        <v>2.9</v>
      </c>
      <c r="BW2178" s="16">
        <f t="shared" si="135"/>
        <v>0.15263157894736842</v>
      </c>
      <c r="BX2178" s="16">
        <f>COUNTIF($BC$6:BU2178, "=0") / COUNTIF($BC$6:BU2178, "&gt;-1")</f>
        <v>0.51299440501852889</v>
      </c>
      <c r="BY2178" s="18">
        <f>SUM($BC$6:BU2178) / $BY$4</f>
        <v>0.99929594572789693</v>
      </c>
      <c r="BZ2178" s="14">
        <f t="shared" si="136"/>
        <v>16</v>
      </c>
      <c r="CA2178" t="s">
        <v>5832</v>
      </c>
      <c r="CZ2178" t="s">
        <v>11590</v>
      </c>
      <c r="DA2178" t="s">
        <v>5904</v>
      </c>
      <c r="DB2178">
        <v>1315.1</v>
      </c>
      <c r="DC2178" t="s">
        <v>30591</v>
      </c>
      <c r="DD2178" t="s">
        <v>30592</v>
      </c>
      <c r="DE2178" t="s">
        <v>30593</v>
      </c>
      <c r="DF2178" t="s">
        <v>30594</v>
      </c>
      <c r="DG2178" t="s">
        <v>30595</v>
      </c>
      <c r="DH2178" t="str">
        <f>"PABPC4"</f>
        <v>PABPC4</v>
      </c>
      <c r="DI2178" t="s">
        <v>30596</v>
      </c>
      <c r="DJ2178" t="s">
        <v>13777</v>
      </c>
      <c r="DK2178">
        <v>9606</v>
      </c>
      <c r="DL2178" s="34" t="str">
        <f>HYPERLINK("http://www.uniprot.org/uniprot/Q13310", "Q13310")</f>
        <v>Q13310</v>
      </c>
      <c r="DM2178" t="s">
        <v>30597</v>
      </c>
      <c r="DN2178" t="s">
        <v>13772</v>
      </c>
      <c r="DO2178" t="s">
        <v>13899</v>
      </c>
      <c r="DP2178" t="s">
        <v>13780</v>
      </c>
      <c r="DQ2178" t="s">
        <v>13772</v>
      </c>
      <c r="DR2178" t="s">
        <v>13772</v>
      </c>
      <c r="DS2178" t="s">
        <v>14096</v>
      </c>
      <c r="DT2178" t="s">
        <v>13772</v>
      </c>
      <c r="DU2178" t="s">
        <v>14826</v>
      </c>
      <c r="DV2178" t="s">
        <v>26854</v>
      </c>
      <c r="DW2178" t="s">
        <v>13772</v>
      </c>
      <c r="DX2178" t="s">
        <v>30598</v>
      </c>
      <c r="DY2178" t="s">
        <v>30599</v>
      </c>
      <c r="DZ2178" t="s">
        <v>30600</v>
      </c>
      <c r="EA2178" t="s">
        <v>13772</v>
      </c>
      <c r="EB2178" t="s">
        <v>13772</v>
      </c>
    </row>
    <row r="2179" spans="1:132" hidden="1">
      <c r="A2179">
        <v>1980</v>
      </c>
      <c r="B2179">
        <v>1</v>
      </c>
      <c r="C2179" t="s">
        <v>4662</v>
      </c>
      <c r="D2179" t="s">
        <v>73</v>
      </c>
      <c r="E2179" t="s">
        <v>73</v>
      </c>
      <c r="F2179" t="s">
        <v>4576</v>
      </c>
      <c r="G2179" t="s">
        <v>73</v>
      </c>
      <c r="H2179">
        <v>5</v>
      </c>
      <c r="I2179">
        <v>998</v>
      </c>
      <c r="J2179">
        <v>110898</v>
      </c>
      <c r="K2179" t="s">
        <v>4663</v>
      </c>
      <c r="L2179">
        <f t="shared" si="134"/>
        <v>5</v>
      </c>
      <c r="N2179">
        <v>5</v>
      </c>
      <c r="O2179">
        <v>2</v>
      </c>
      <c r="P2179">
        <v>0.4</v>
      </c>
      <c r="Q2179">
        <v>0</v>
      </c>
      <c r="R2179">
        <v>0</v>
      </c>
      <c r="S2179">
        <v>0</v>
      </c>
      <c r="T2179">
        <v>4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 s="2">
        <v>0</v>
      </c>
      <c r="BD2179" s="2">
        <v>0</v>
      </c>
      <c r="BE2179" s="2">
        <v>0</v>
      </c>
      <c r="BF2179" s="2">
        <v>1.75</v>
      </c>
      <c r="BG2179" s="2">
        <v>0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f t="shared" si="137"/>
        <v>2.75</v>
      </c>
      <c r="BW2179" s="16">
        <f t="shared" si="135"/>
        <v>0.14473684210526316</v>
      </c>
      <c r="BX2179" s="16">
        <f>COUNTIF($BC$6:BU2179, "=0") / COUNTIF($BC$6:BU2179, "&gt;-1")</f>
        <v>0.51316999951580888</v>
      </c>
      <c r="BY2179" s="18">
        <f>SUM($BC$6:BU2179) / $BY$4</f>
        <v>0.99930772572928583</v>
      </c>
      <c r="BZ2179" s="14">
        <f t="shared" si="136"/>
        <v>17</v>
      </c>
      <c r="CA2179" t="s">
        <v>5832</v>
      </c>
      <c r="CZ2179" t="s">
        <v>12355</v>
      </c>
      <c r="DA2179" t="s">
        <v>5904</v>
      </c>
      <c r="DB2179">
        <v>1868.6</v>
      </c>
      <c r="DC2179" t="s">
        <v>32771</v>
      </c>
      <c r="DD2179" t="s">
        <v>32772</v>
      </c>
      <c r="DE2179" t="s">
        <v>32773</v>
      </c>
      <c r="DF2179" t="s">
        <v>32774</v>
      </c>
      <c r="DG2179" t="s">
        <v>32775</v>
      </c>
      <c r="DH2179" t="str">
        <f>"ROR1"</f>
        <v>ROR1</v>
      </c>
      <c r="DI2179" t="s">
        <v>32776</v>
      </c>
      <c r="DJ2179" t="s">
        <v>13777</v>
      </c>
      <c r="DK2179">
        <v>9606</v>
      </c>
      <c r="DL2179" s="34" t="str">
        <f>HYPERLINK("http://www.uniprot.org/uniprot/Q01973", "Q01973")</f>
        <v>Q01973</v>
      </c>
      <c r="DM2179" t="s">
        <v>32777</v>
      </c>
      <c r="DN2179" t="s">
        <v>14072</v>
      </c>
      <c r="DO2179" t="s">
        <v>13950</v>
      </c>
      <c r="DP2179" t="s">
        <v>13780</v>
      </c>
      <c r="DQ2179" t="s">
        <v>13772</v>
      </c>
      <c r="DR2179" t="s">
        <v>14255</v>
      </c>
      <c r="DS2179" t="s">
        <v>32405</v>
      </c>
      <c r="DT2179" t="s">
        <v>14005</v>
      </c>
      <c r="DU2179" t="s">
        <v>32778</v>
      </c>
      <c r="DV2179" t="s">
        <v>13964</v>
      </c>
      <c r="DW2179" t="s">
        <v>13812</v>
      </c>
      <c r="DX2179" t="s">
        <v>32779</v>
      </c>
      <c r="DY2179" t="s">
        <v>32780</v>
      </c>
      <c r="DZ2179" t="s">
        <v>32781</v>
      </c>
      <c r="EA2179" t="s">
        <v>13772</v>
      </c>
      <c r="EB2179" t="s">
        <v>32782</v>
      </c>
    </row>
    <row r="2180" spans="1:132" hidden="1">
      <c r="A2180">
        <v>547</v>
      </c>
      <c r="B2180">
        <v>1</v>
      </c>
      <c r="C2180" t="s">
        <v>1364</v>
      </c>
      <c r="D2180" t="s">
        <v>1365</v>
      </c>
      <c r="E2180" t="s">
        <v>73</v>
      </c>
      <c r="F2180" t="s">
        <v>1362</v>
      </c>
      <c r="G2180" t="s">
        <v>73</v>
      </c>
      <c r="H2180">
        <v>8.6999999999999993</v>
      </c>
      <c r="I2180">
        <v>481</v>
      </c>
      <c r="J2180">
        <v>53150</v>
      </c>
      <c r="K2180" t="s">
        <v>1366</v>
      </c>
      <c r="L2180">
        <f t="shared" si="134"/>
        <v>3</v>
      </c>
      <c r="N2180">
        <v>3</v>
      </c>
      <c r="O2180">
        <v>2</v>
      </c>
      <c r="P2180">
        <v>0.66700000000000004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2.6669999999999998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f t="shared" si="137"/>
        <v>2.6669999999999998</v>
      </c>
      <c r="BW2180" s="16">
        <f t="shared" si="135"/>
        <v>0.14036842105263156</v>
      </c>
      <c r="BX2180" s="16">
        <f>COUNTIF($BC$6:BU2180, "=0") / COUNTIF($BC$6:BU2180, "&gt;-1")</f>
        <v>0.51336963097398669</v>
      </c>
      <c r="BY2180" s="18">
        <f>SUM($BC$6:BU2180) / $BY$4</f>
        <v>0.99931915018881456</v>
      </c>
      <c r="BZ2180" s="14">
        <f t="shared" si="136"/>
        <v>18</v>
      </c>
      <c r="CA2180" t="s">
        <v>5832</v>
      </c>
      <c r="CZ2180" t="s">
        <v>7590</v>
      </c>
      <c r="DA2180" t="s">
        <v>5904</v>
      </c>
      <c r="DB2180">
        <v>746.9</v>
      </c>
      <c r="DC2180" t="s">
        <v>19157</v>
      </c>
      <c r="DD2180" t="s">
        <v>19158</v>
      </c>
      <c r="DE2180" t="s">
        <v>19159</v>
      </c>
      <c r="DF2180" t="s">
        <v>19160</v>
      </c>
      <c r="DG2180" t="s">
        <v>19161</v>
      </c>
      <c r="DH2180" t="str">
        <f>"RBM4"</f>
        <v>RBM4</v>
      </c>
      <c r="DI2180" t="s">
        <v>19162</v>
      </c>
      <c r="DJ2180" t="s">
        <v>13777</v>
      </c>
      <c r="DK2180">
        <v>9606</v>
      </c>
      <c r="DL2180" s="34" t="str">
        <f>HYPERLINK("http://www.uniprot.org/uniprot/Q9BWF3", "Q9BWF3")</f>
        <v>Q9BWF3</v>
      </c>
      <c r="DM2180" t="s">
        <v>19163</v>
      </c>
      <c r="DN2180" t="s">
        <v>19164</v>
      </c>
      <c r="DO2180" t="s">
        <v>13912</v>
      </c>
      <c r="DP2180" t="s">
        <v>13841</v>
      </c>
      <c r="DQ2180" t="s">
        <v>13772</v>
      </c>
      <c r="DR2180" t="s">
        <v>13772</v>
      </c>
      <c r="DS2180" t="s">
        <v>17779</v>
      </c>
      <c r="DT2180" t="s">
        <v>13856</v>
      </c>
      <c r="DU2180" t="s">
        <v>19165</v>
      </c>
      <c r="DV2180" t="s">
        <v>13938</v>
      </c>
      <c r="DW2180" t="s">
        <v>13812</v>
      </c>
      <c r="DX2180" t="s">
        <v>19166</v>
      </c>
      <c r="DY2180" t="s">
        <v>19167</v>
      </c>
      <c r="DZ2180" t="s">
        <v>19168</v>
      </c>
      <c r="EA2180" t="s">
        <v>13772</v>
      </c>
      <c r="EB2180" t="s">
        <v>19169</v>
      </c>
    </row>
    <row r="2181" spans="1:132" hidden="1">
      <c r="A2181">
        <v>1622</v>
      </c>
      <c r="B2181">
        <v>1</v>
      </c>
      <c r="C2181" t="s">
        <v>3843</v>
      </c>
      <c r="D2181" t="s">
        <v>3844</v>
      </c>
      <c r="E2181" t="s">
        <v>73</v>
      </c>
      <c r="F2181" t="s">
        <v>2803</v>
      </c>
      <c r="G2181" t="s">
        <v>73</v>
      </c>
      <c r="H2181">
        <v>4.2</v>
      </c>
      <c r="I2181">
        <v>662</v>
      </c>
      <c r="J2181">
        <v>73257</v>
      </c>
      <c r="K2181" t="s">
        <v>3845</v>
      </c>
      <c r="L2181">
        <f t="shared" si="134"/>
        <v>3</v>
      </c>
      <c r="N2181">
        <v>3</v>
      </c>
      <c r="O2181">
        <v>2</v>
      </c>
      <c r="P2181">
        <v>0.66700000000000004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0.5</v>
      </c>
      <c r="BI2181" s="2">
        <v>0</v>
      </c>
      <c r="BJ2181" s="2">
        <v>0</v>
      </c>
      <c r="BK2181" s="2">
        <v>0</v>
      </c>
      <c r="BL2181" s="2">
        <v>0</v>
      </c>
      <c r="BM2181" s="2">
        <v>2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f t="shared" si="137"/>
        <v>2.5</v>
      </c>
      <c r="BW2181" s="16">
        <f t="shared" si="135"/>
        <v>0.13157894736842105</v>
      </c>
      <c r="BX2181" s="16">
        <f>COUNTIF($BC$6:BU2181, "=0") / COUNTIF($BC$6:BU2181, "&gt;-1")</f>
        <v>0.51354489164086692</v>
      </c>
      <c r="BY2181" s="18">
        <f>SUM($BC$6:BU2181) / $BY$4</f>
        <v>0.99932985928098639</v>
      </c>
      <c r="BZ2181" s="14">
        <f t="shared" si="136"/>
        <v>17</v>
      </c>
      <c r="CA2181" t="s">
        <v>5832</v>
      </c>
      <c r="CZ2181" t="s">
        <v>11153</v>
      </c>
      <c r="DA2181" t="s">
        <v>5904</v>
      </c>
      <c r="DB2181">
        <v>1358.6</v>
      </c>
      <c r="DC2181" t="s">
        <v>29351</v>
      </c>
      <c r="DD2181" t="s">
        <v>29352</v>
      </c>
      <c r="DE2181" t="s">
        <v>29353</v>
      </c>
      <c r="DF2181" t="s">
        <v>29354</v>
      </c>
      <c r="DG2181" t="s">
        <v>29355</v>
      </c>
      <c r="DH2181" t="str">
        <f>"DDX3X"</f>
        <v>DDX3X</v>
      </c>
      <c r="DI2181" t="s">
        <v>29356</v>
      </c>
      <c r="DJ2181" t="s">
        <v>13777</v>
      </c>
      <c r="DK2181">
        <v>9606</v>
      </c>
      <c r="DL2181" s="34" t="str">
        <f>HYPERLINK("http://www.uniprot.org/uniprot/O00571", "O00571")</f>
        <v>O00571</v>
      </c>
      <c r="DM2181" t="s">
        <v>29357</v>
      </c>
      <c r="DN2181" t="s">
        <v>29358</v>
      </c>
      <c r="DO2181" t="s">
        <v>29359</v>
      </c>
      <c r="DP2181" t="s">
        <v>13780</v>
      </c>
      <c r="DQ2181" t="s">
        <v>13772</v>
      </c>
      <c r="DR2181" t="s">
        <v>17801</v>
      </c>
      <c r="DS2181" t="s">
        <v>13772</v>
      </c>
      <c r="DT2181" t="s">
        <v>14005</v>
      </c>
      <c r="DU2181" t="s">
        <v>29360</v>
      </c>
      <c r="DV2181" t="s">
        <v>14663</v>
      </c>
      <c r="DW2181" t="s">
        <v>13812</v>
      </c>
      <c r="DX2181" t="s">
        <v>29361</v>
      </c>
      <c r="DY2181" t="s">
        <v>29362</v>
      </c>
      <c r="DZ2181" t="s">
        <v>29363</v>
      </c>
      <c r="EA2181" t="s">
        <v>13772</v>
      </c>
      <c r="EB2181" t="s">
        <v>13890</v>
      </c>
    </row>
    <row r="2182" spans="1:132" hidden="1">
      <c r="A2182">
        <v>2206</v>
      </c>
      <c r="B2182">
        <v>1</v>
      </c>
      <c r="C2182" t="s">
        <v>5158</v>
      </c>
      <c r="D2182" t="s">
        <v>5159</v>
      </c>
      <c r="E2182" t="s">
        <v>73</v>
      </c>
      <c r="F2182" t="s">
        <v>3761</v>
      </c>
      <c r="G2182" t="s">
        <v>73</v>
      </c>
      <c r="H2182">
        <v>6.3</v>
      </c>
      <c r="I2182">
        <v>1017</v>
      </c>
      <c r="J2182">
        <v>112470</v>
      </c>
      <c r="K2182" t="s">
        <v>5160</v>
      </c>
      <c r="L2182">
        <f t="shared" ref="L2182:L2245" si="138">N2182</f>
        <v>5</v>
      </c>
      <c r="N2182">
        <v>5</v>
      </c>
      <c r="O2182">
        <v>2</v>
      </c>
      <c r="P2182">
        <v>0.4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1.333</v>
      </c>
      <c r="BN2182" s="2">
        <v>1.143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f t="shared" si="137"/>
        <v>2.476</v>
      </c>
      <c r="BW2182" s="16">
        <f t="shared" ref="BW2182:BW2245" si="139">AVERAGE(BC2182:BU2182)</f>
        <v>0.13031578947368422</v>
      </c>
      <c r="BX2182" s="16">
        <f>COUNTIF($BC$6:BU2182, "=0") / COUNTIF($BC$6:BU2182, "&gt;-1")</f>
        <v>0.51371999129656942</v>
      </c>
      <c r="BY2182" s="18">
        <f>SUM($BC$6:BU2182) / $BY$4</f>
        <v>0.9993404655658733</v>
      </c>
      <c r="BZ2182" s="14">
        <f t="shared" ref="BZ2182:BZ2245" si="140">19-COUNTIF(BC2182:BU2182, "&gt;0")</f>
        <v>17</v>
      </c>
      <c r="CA2182" t="s">
        <v>5832</v>
      </c>
      <c r="CZ2182" t="s">
        <v>13099</v>
      </c>
      <c r="DA2182" t="s">
        <v>5904</v>
      </c>
      <c r="DB2182">
        <v>1942.2</v>
      </c>
      <c r="DC2182" t="s">
        <v>34839</v>
      </c>
      <c r="DD2182" t="s">
        <v>34840</v>
      </c>
      <c r="DE2182" t="s">
        <v>34841</v>
      </c>
      <c r="DF2182" t="s">
        <v>34842</v>
      </c>
      <c r="DG2182" t="s">
        <v>34843</v>
      </c>
      <c r="DH2182" t="str">
        <f>"CTNNA2"</f>
        <v>CTNNA2</v>
      </c>
      <c r="DI2182" t="s">
        <v>34844</v>
      </c>
      <c r="DJ2182" t="s">
        <v>13777</v>
      </c>
      <c r="DK2182">
        <v>9606</v>
      </c>
      <c r="DL2182" s="34" t="str">
        <f>HYPERLINK("http://www.uniprot.org/uniprot/P26232", "P26232")</f>
        <v>P26232</v>
      </c>
      <c r="DM2182" t="s">
        <v>34845</v>
      </c>
      <c r="DN2182" t="s">
        <v>28988</v>
      </c>
      <c r="DO2182" t="s">
        <v>34846</v>
      </c>
      <c r="DP2182" t="s">
        <v>13841</v>
      </c>
      <c r="DQ2182" t="s">
        <v>13772</v>
      </c>
      <c r="DR2182" t="s">
        <v>34847</v>
      </c>
      <c r="DS2182" t="s">
        <v>13772</v>
      </c>
      <c r="DT2182" t="s">
        <v>13772</v>
      </c>
      <c r="DU2182" t="s">
        <v>14727</v>
      </c>
      <c r="DV2182" t="s">
        <v>13782</v>
      </c>
      <c r="DW2182" t="s">
        <v>13812</v>
      </c>
      <c r="DX2182" t="s">
        <v>34848</v>
      </c>
      <c r="DY2182" t="s">
        <v>34849</v>
      </c>
      <c r="DZ2182" t="s">
        <v>34850</v>
      </c>
      <c r="EA2182" t="s">
        <v>13772</v>
      </c>
      <c r="EB2182" t="s">
        <v>34851</v>
      </c>
    </row>
    <row r="2183" spans="1:132" hidden="1">
      <c r="A2183">
        <v>92</v>
      </c>
      <c r="B2183">
        <v>1</v>
      </c>
      <c r="C2183" t="s">
        <v>252</v>
      </c>
      <c r="D2183" t="s">
        <v>73</v>
      </c>
      <c r="E2183" t="s">
        <v>73</v>
      </c>
      <c r="F2183" t="s">
        <v>253</v>
      </c>
      <c r="G2183" t="s">
        <v>73</v>
      </c>
      <c r="H2183">
        <v>26</v>
      </c>
      <c r="I2183">
        <v>192</v>
      </c>
      <c r="J2183">
        <v>21379</v>
      </c>
      <c r="K2183" t="s">
        <v>254</v>
      </c>
      <c r="L2183">
        <f t="shared" si="138"/>
        <v>29</v>
      </c>
      <c r="N2183">
        <v>29</v>
      </c>
      <c r="O2183">
        <v>0</v>
      </c>
      <c r="P2183">
        <v>0</v>
      </c>
      <c r="Q2183">
        <v>0</v>
      </c>
      <c r="R2183">
        <v>2</v>
      </c>
      <c r="S2183">
        <v>1</v>
      </c>
      <c r="T2183">
        <v>1</v>
      </c>
      <c r="U2183">
        <v>4</v>
      </c>
      <c r="V2183">
        <v>2</v>
      </c>
      <c r="W2183">
        <v>2</v>
      </c>
      <c r="X2183">
        <v>1</v>
      </c>
      <c r="Y2183">
        <v>2</v>
      </c>
      <c r="Z2183">
        <v>0</v>
      </c>
      <c r="AA2183">
        <v>4</v>
      </c>
      <c r="AB2183">
        <v>1</v>
      </c>
      <c r="AC2183">
        <v>4</v>
      </c>
      <c r="AD2183">
        <v>1</v>
      </c>
      <c r="AE2183">
        <v>0</v>
      </c>
      <c r="AF2183">
        <v>2</v>
      </c>
      <c r="AG2183">
        <v>1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0.33300000000000002</v>
      </c>
      <c r="BK2183" s="2">
        <v>0</v>
      </c>
      <c r="BL2183" s="2">
        <v>0</v>
      </c>
      <c r="BM2183" s="2">
        <v>0.5</v>
      </c>
      <c r="BN2183" s="2">
        <v>0</v>
      </c>
      <c r="BO2183" s="2">
        <v>0</v>
      </c>
      <c r="BP2183" s="2">
        <v>0.33300000000000002</v>
      </c>
      <c r="BQ2183" s="2">
        <v>0</v>
      </c>
      <c r="BR2183" s="2">
        <v>0.5</v>
      </c>
      <c r="BS2183" s="2">
        <v>0.33300000000000002</v>
      </c>
      <c r="BT2183" s="2">
        <v>0</v>
      </c>
      <c r="BU2183" s="2">
        <v>0.33300000000000002</v>
      </c>
      <c r="BV2183" s="2">
        <f t="shared" ref="BV2183:BV2246" si="141">SUM(BC2183:BU2183)</f>
        <v>2.3319999999999999</v>
      </c>
      <c r="BW2183" s="16">
        <f t="shared" si="139"/>
        <v>0.12273684210526314</v>
      </c>
      <c r="BX2183" s="16">
        <f>COUNTIF($BC$6:BU2183, "=0") / COUNTIF($BC$6:BU2183, "&gt;-1")</f>
        <v>0.51379826977913101</v>
      </c>
      <c r="BY2183" s="18">
        <f>SUM($BC$6:BU2183) / $BY$4</f>
        <v>0.99935045500705133</v>
      </c>
      <c r="BZ2183" s="14">
        <f t="shared" si="140"/>
        <v>13</v>
      </c>
      <c r="CA2183" t="s">
        <v>5832</v>
      </c>
      <c r="CZ2183" t="s">
        <v>6016</v>
      </c>
      <c r="DA2183" t="s">
        <v>5904</v>
      </c>
      <c r="DB2183">
        <v>398.3</v>
      </c>
      <c r="DC2183" t="s">
        <v>14209</v>
      </c>
      <c r="DD2183" t="s">
        <v>14210</v>
      </c>
      <c r="DE2183" t="s">
        <v>14211</v>
      </c>
      <c r="DF2183" t="s">
        <v>14212</v>
      </c>
      <c r="DG2183" t="s">
        <v>14213</v>
      </c>
      <c r="DH2183" t="str">
        <f>"RAC3"</f>
        <v>RAC3</v>
      </c>
      <c r="DI2183" t="s">
        <v>13772</v>
      </c>
      <c r="DJ2183" t="s">
        <v>13777</v>
      </c>
      <c r="DK2183">
        <v>9606</v>
      </c>
      <c r="DL2183" s="34" t="str">
        <f>HYPERLINK("http://www.uniprot.org/uniprot/P60763", "P60763")</f>
        <v>P60763</v>
      </c>
      <c r="DM2183" t="s">
        <v>14214</v>
      </c>
      <c r="DN2183" t="s">
        <v>13772</v>
      </c>
      <c r="DO2183" t="s">
        <v>14215</v>
      </c>
      <c r="DP2183" t="s">
        <v>13772</v>
      </c>
      <c r="DQ2183" t="s">
        <v>13772</v>
      </c>
      <c r="DR2183" t="s">
        <v>13772</v>
      </c>
      <c r="DS2183" t="s">
        <v>13772</v>
      </c>
      <c r="DT2183" t="s">
        <v>14216</v>
      </c>
      <c r="DU2183" t="s">
        <v>13772</v>
      </c>
      <c r="DV2183" t="s">
        <v>14217</v>
      </c>
      <c r="DW2183" t="s">
        <v>13812</v>
      </c>
      <c r="DX2183" t="s">
        <v>14218</v>
      </c>
      <c r="DY2183" t="s">
        <v>14219</v>
      </c>
      <c r="DZ2183" t="s">
        <v>14220</v>
      </c>
      <c r="EA2183" t="s">
        <v>13772</v>
      </c>
      <c r="EB2183" t="s">
        <v>14221</v>
      </c>
    </row>
    <row r="2184" spans="1:132" hidden="1">
      <c r="A2184">
        <v>1225</v>
      </c>
      <c r="B2184">
        <v>1</v>
      </c>
      <c r="C2184" t="s">
        <v>2943</v>
      </c>
      <c r="D2184" t="s">
        <v>73</v>
      </c>
      <c r="E2184" t="s">
        <v>73</v>
      </c>
      <c r="F2184" t="s">
        <v>2944</v>
      </c>
      <c r="G2184" t="s">
        <v>73</v>
      </c>
      <c r="H2184">
        <v>17.399999999999999</v>
      </c>
      <c r="I2184">
        <v>218</v>
      </c>
      <c r="J2184">
        <v>24362</v>
      </c>
      <c r="K2184" t="s">
        <v>2945</v>
      </c>
      <c r="L2184">
        <f t="shared" si="138"/>
        <v>7</v>
      </c>
      <c r="N2184">
        <v>7</v>
      </c>
      <c r="O2184">
        <v>2</v>
      </c>
      <c r="P2184">
        <v>0.28599999999999998</v>
      </c>
      <c r="Q2184">
        <v>0</v>
      </c>
      <c r="R2184">
        <v>2</v>
      </c>
      <c r="S2184">
        <v>0</v>
      </c>
      <c r="T2184">
        <v>1</v>
      </c>
      <c r="U2184">
        <v>1</v>
      </c>
      <c r="V2184">
        <v>2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s="2">
        <v>0</v>
      </c>
      <c r="BD2184" s="2">
        <v>1.143</v>
      </c>
      <c r="BE2184" s="2">
        <v>0</v>
      </c>
      <c r="BF2184" s="2">
        <v>0</v>
      </c>
      <c r="BG2184" s="2">
        <v>0</v>
      </c>
      <c r="BH2184" s="2">
        <v>1.167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f t="shared" si="141"/>
        <v>2.31</v>
      </c>
      <c r="BW2184" s="16">
        <f t="shared" si="139"/>
        <v>0.12157894736842105</v>
      </c>
      <c r="BX2184" s="16">
        <f>COUNTIF($BC$6:BU2184, "=0") / COUNTIF($BC$6:BU2184, "&gt;-1")</f>
        <v>0.51397309243738076</v>
      </c>
      <c r="BY2184" s="18">
        <f>SUM($BC$6:BU2184) / $BY$4</f>
        <v>0.99936035020821812</v>
      </c>
      <c r="BZ2184" s="14">
        <f t="shared" si="140"/>
        <v>17</v>
      </c>
      <c r="CA2184" t="s">
        <v>5832</v>
      </c>
      <c r="CZ2184" t="s">
        <v>9810</v>
      </c>
      <c r="DA2184" t="s">
        <v>5904</v>
      </c>
      <c r="DB2184">
        <v>452.6</v>
      </c>
      <c r="DC2184" t="s">
        <v>25598</v>
      </c>
      <c r="DD2184" t="s">
        <v>13772</v>
      </c>
      <c r="DE2184" t="s">
        <v>25599</v>
      </c>
      <c r="DF2184" t="s">
        <v>25600</v>
      </c>
      <c r="DG2184" t="s">
        <v>25601</v>
      </c>
      <c r="DH2184" t="str">
        <f>"RAB4A"</f>
        <v>RAB4A</v>
      </c>
      <c r="DI2184" t="s">
        <v>25602</v>
      </c>
      <c r="DJ2184" t="s">
        <v>13777</v>
      </c>
      <c r="DK2184">
        <v>9606</v>
      </c>
      <c r="DL2184" s="34" t="str">
        <f>HYPERLINK("http://www.uniprot.org/uniprot/P20338", "P20338")</f>
        <v>P20338</v>
      </c>
      <c r="DM2184" t="s">
        <v>25603</v>
      </c>
      <c r="DN2184" t="s">
        <v>14347</v>
      </c>
      <c r="DO2184" t="s">
        <v>17403</v>
      </c>
      <c r="DP2184" t="s">
        <v>13772</v>
      </c>
      <c r="DQ2184" t="s">
        <v>13772</v>
      </c>
      <c r="DR2184" t="s">
        <v>13772</v>
      </c>
      <c r="DS2184" t="s">
        <v>13772</v>
      </c>
      <c r="DT2184" t="s">
        <v>14216</v>
      </c>
      <c r="DU2184" t="s">
        <v>13772</v>
      </c>
      <c r="DV2184" t="s">
        <v>15333</v>
      </c>
      <c r="DW2184" t="s">
        <v>13812</v>
      </c>
      <c r="DX2184" t="s">
        <v>25604</v>
      </c>
      <c r="DY2184" t="s">
        <v>25605</v>
      </c>
      <c r="DZ2184" t="s">
        <v>25606</v>
      </c>
      <c r="EA2184" t="s">
        <v>13772</v>
      </c>
      <c r="EB2184" t="s">
        <v>25607</v>
      </c>
    </row>
    <row r="2185" spans="1:132" hidden="1">
      <c r="A2185">
        <v>403</v>
      </c>
      <c r="B2185">
        <v>1</v>
      </c>
      <c r="C2185" t="s">
        <v>1010</v>
      </c>
      <c r="D2185" t="s">
        <v>73</v>
      </c>
      <c r="E2185" t="s">
        <v>73</v>
      </c>
      <c r="F2185" t="s">
        <v>1011</v>
      </c>
      <c r="G2185" t="s">
        <v>73</v>
      </c>
      <c r="H2185">
        <v>6.1</v>
      </c>
      <c r="I2185">
        <v>541</v>
      </c>
      <c r="J2185">
        <v>60644</v>
      </c>
      <c r="K2185" t="s">
        <v>1012</v>
      </c>
      <c r="L2185">
        <f t="shared" si="138"/>
        <v>3</v>
      </c>
      <c r="N2185">
        <v>3</v>
      </c>
      <c r="O2185">
        <v>2</v>
      </c>
      <c r="P2185">
        <v>0.66700000000000004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2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0.25</v>
      </c>
      <c r="BS2185" s="2">
        <v>0</v>
      </c>
      <c r="BT2185" s="2">
        <v>0</v>
      </c>
      <c r="BU2185" s="2">
        <v>0</v>
      </c>
      <c r="BV2185" s="2">
        <f t="shared" si="141"/>
        <v>2.25</v>
      </c>
      <c r="BW2185" s="16">
        <f t="shared" si="139"/>
        <v>0.11842105263157894</v>
      </c>
      <c r="BX2185" s="16">
        <f>COUNTIF($BC$6:BU2185, "=0") / COUNTIF($BC$6:BU2185, "&gt;-1")</f>
        <v>0.51414775470787055</v>
      </c>
      <c r="BY2185" s="18">
        <f>SUM($BC$6:BU2185) / $BY$4</f>
        <v>0.99936998839117264</v>
      </c>
      <c r="BZ2185" s="14">
        <f t="shared" si="140"/>
        <v>17</v>
      </c>
      <c r="CA2185" t="s">
        <v>5832</v>
      </c>
      <c r="CZ2185" t="s">
        <v>7101</v>
      </c>
      <c r="DA2185" t="s">
        <v>5904</v>
      </c>
      <c r="DB2185">
        <v>1107</v>
      </c>
      <c r="DC2185" t="s">
        <v>17656</v>
      </c>
      <c r="DD2185" t="s">
        <v>17657</v>
      </c>
      <c r="DE2185" t="s">
        <v>17658</v>
      </c>
      <c r="DF2185" t="s">
        <v>17659</v>
      </c>
      <c r="DG2185" t="s">
        <v>17660</v>
      </c>
      <c r="DH2185" t="str">
        <f>"YES1"</f>
        <v>YES1</v>
      </c>
      <c r="DI2185" t="s">
        <v>17661</v>
      </c>
      <c r="DJ2185" t="s">
        <v>13777</v>
      </c>
      <c r="DK2185">
        <v>9606</v>
      </c>
      <c r="DL2185" s="34" t="str">
        <f>HYPERLINK("http://www.uniprot.org/uniprot/P07947", "P07947")</f>
        <v>P07947</v>
      </c>
      <c r="DM2185" t="s">
        <v>17662</v>
      </c>
      <c r="DN2185" t="s">
        <v>13772</v>
      </c>
      <c r="DO2185" t="s">
        <v>17663</v>
      </c>
      <c r="DP2185" t="s">
        <v>13793</v>
      </c>
      <c r="DQ2185" t="s">
        <v>13772</v>
      </c>
      <c r="DR2185" t="s">
        <v>14244</v>
      </c>
      <c r="DS2185" t="s">
        <v>17664</v>
      </c>
      <c r="DT2185" t="s">
        <v>14005</v>
      </c>
      <c r="DU2185" t="s">
        <v>17665</v>
      </c>
      <c r="DV2185" t="s">
        <v>17666</v>
      </c>
      <c r="DW2185" t="s">
        <v>13812</v>
      </c>
      <c r="DX2185" t="s">
        <v>17667</v>
      </c>
      <c r="DY2185" t="s">
        <v>17668</v>
      </c>
      <c r="DZ2185" t="s">
        <v>17669</v>
      </c>
      <c r="EA2185" t="s">
        <v>13772</v>
      </c>
      <c r="EB2185" t="s">
        <v>17670</v>
      </c>
    </row>
    <row r="2186" spans="1:132" hidden="1">
      <c r="A2186">
        <v>376</v>
      </c>
      <c r="B2186">
        <v>1</v>
      </c>
      <c r="C2186" t="s">
        <v>937</v>
      </c>
      <c r="D2186" t="s">
        <v>938</v>
      </c>
      <c r="E2186" t="s">
        <v>73</v>
      </c>
      <c r="F2186" t="s">
        <v>247</v>
      </c>
      <c r="G2186" t="s">
        <v>73</v>
      </c>
      <c r="H2186">
        <v>11</v>
      </c>
      <c r="I2186">
        <v>272</v>
      </c>
      <c r="J2186">
        <v>31655</v>
      </c>
      <c r="K2186" t="s">
        <v>939</v>
      </c>
      <c r="L2186">
        <f t="shared" si="138"/>
        <v>3</v>
      </c>
      <c r="N2186">
        <v>3</v>
      </c>
      <c r="O2186">
        <v>2</v>
      </c>
      <c r="P2186">
        <v>0.66700000000000004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2.2000000000000002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f t="shared" si="141"/>
        <v>2.2000000000000002</v>
      </c>
      <c r="BW2186" s="16">
        <f t="shared" si="139"/>
        <v>0.11578947368421054</v>
      </c>
      <c r="BX2186" s="16">
        <f>COUNTIF($BC$6:BU2186, "=0") / COUNTIF($BC$6:BU2186, "&gt;-1")</f>
        <v>0.51434638866768023</v>
      </c>
      <c r="BY2186" s="18">
        <f>SUM($BC$6:BU2186) / $BY$4</f>
        <v>0.99937941239228378</v>
      </c>
      <c r="BZ2186" s="14">
        <f t="shared" si="140"/>
        <v>18</v>
      </c>
      <c r="CA2186" t="s">
        <v>5832</v>
      </c>
      <c r="CZ2186" t="s">
        <v>7004</v>
      </c>
      <c r="DA2186" t="s">
        <v>5904</v>
      </c>
      <c r="DB2186">
        <v>554.29999999999995</v>
      </c>
      <c r="DC2186" t="s">
        <v>17350</v>
      </c>
      <c r="DD2186" t="s">
        <v>13772</v>
      </c>
      <c r="DE2186" t="s">
        <v>17351</v>
      </c>
      <c r="DF2186" t="s">
        <v>17352</v>
      </c>
      <c r="DG2186" t="s">
        <v>17353</v>
      </c>
      <c r="DH2186" t="str">
        <f>"PITPNB"</f>
        <v>PITPNB</v>
      </c>
      <c r="DI2186" t="s">
        <v>13772</v>
      </c>
      <c r="DJ2186" t="s">
        <v>13777</v>
      </c>
      <c r="DK2186">
        <v>9606</v>
      </c>
      <c r="DL2186" s="34" t="str">
        <f>HYPERLINK("http://www.uniprot.org/uniprot/P48739", "P48739")</f>
        <v>P48739</v>
      </c>
      <c r="DM2186" t="s">
        <v>17354</v>
      </c>
      <c r="DN2186" t="s">
        <v>14192</v>
      </c>
      <c r="DO2186" t="s">
        <v>17355</v>
      </c>
      <c r="DP2186" t="s">
        <v>13841</v>
      </c>
      <c r="DQ2186" t="s">
        <v>13772</v>
      </c>
      <c r="DR2186" t="s">
        <v>13772</v>
      </c>
      <c r="DS2186" t="s">
        <v>13772</v>
      </c>
      <c r="DT2186" t="s">
        <v>13900</v>
      </c>
      <c r="DU2186" t="s">
        <v>13772</v>
      </c>
      <c r="DV2186" t="s">
        <v>13886</v>
      </c>
      <c r="DW2186" t="s">
        <v>13772</v>
      </c>
      <c r="DX2186" t="s">
        <v>17356</v>
      </c>
      <c r="DY2186" t="s">
        <v>17357</v>
      </c>
      <c r="DZ2186" t="s">
        <v>17358</v>
      </c>
      <c r="EA2186" t="s">
        <v>13772</v>
      </c>
      <c r="EB2186" t="s">
        <v>17359</v>
      </c>
    </row>
    <row r="2187" spans="1:132" hidden="1">
      <c r="A2187">
        <v>640</v>
      </c>
      <c r="B2187">
        <v>1</v>
      </c>
      <c r="C2187" t="s">
        <v>1583</v>
      </c>
      <c r="D2187" t="s">
        <v>73</v>
      </c>
      <c r="E2187" t="s">
        <v>73</v>
      </c>
      <c r="F2187" t="s">
        <v>253</v>
      </c>
      <c r="G2187" t="s">
        <v>73</v>
      </c>
      <c r="H2187">
        <v>15.7</v>
      </c>
      <c r="I2187">
        <v>191</v>
      </c>
      <c r="J2187">
        <v>21294</v>
      </c>
      <c r="K2187" t="s">
        <v>1584</v>
      </c>
      <c r="L2187">
        <f t="shared" si="138"/>
        <v>7</v>
      </c>
      <c r="N2187">
        <v>7</v>
      </c>
      <c r="O2187">
        <v>2</v>
      </c>
      <c r="P2187">
        <v>0.28599999999999998</v>
      </c>
      <c r="Q2187">
        <v>0</v>
      </c>
      <c r="R2187">
        <v>2</v>
      </c>
      <c r="S2187">
        <v>0</v>
      </c>
      <c r="T2187">
        <v>0</v>
      </c>
      <c r="U2187">
        <v>2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 s="2">
        <v>0</v>
      </c>
      <c r="BD2187" s="2">
        <v>1.2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1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f t="shared" si="141"/>
        <v>2.2000000000000002</v>
      </c>
      <c r="BW2187" s="16">
        <f t="shared" si="139"/>
        <v>0.11578947368421054</v>
      </c>
      <c r="BX2187" s="16">
        <f>COUNTIF($BC$6:BU2187, "=0") / COUNTIF($BC$6:BU2187, "&gt;-1")</f>
        <v>0.51452071976458102</v>
      </c>
      <c r="BY2187" s="18">
        <f>SUM($BC$6:BU2187) / $BY$4</f>
        <v>0.99938883639339504</v>
      </c>
      <c r="BZ2187" s="14">
        <f t="shared" si="140"/>
        <v>17</v>
      </c>
      <c r="CA2187" t="s">
        <v>5832</v>
      </c>
      <c r="CZ2187" t="s">
        <v>7904</v>
      </c>
      <c r="DA2187" t="s">
        <v>5904</v>
      </c>
      <c r="DB2187">
        <v>398.7</v>
      </c>
      <c r="DC2187" t="s">
        <v>20107</v>
      </c>
      <c r="DD2187" t="s">
        <v>13772</v>
      </c>
      <c r="DE2187" t="s">
        <v>20108</v>
      </c>
      <c r="DF2187" t="s">
        <v>20109</v>
      </c>
      <c r="DG2187" t="s">
        <v>20110</v>
      </c>
      <c r="DH2187" t="str">
        <f>"RHOG"</f>
        <v>RHOG</v>
      </c>
      <c r="DI2187" t="s">
        <v>20111</v>
      </c>
      <c r="DJ2187" t="s">
        <v>13777</v>
      </c>
      <c r="DK2187">
        <v>9606</v>
      </c>
      <c r="DL2187" s="34" t="str">
        <f>HYPERLINK("http://www.uniprot.org/uniprot/P84095", "P84095")</f>
        <v>P84095</v>
      </c>
      <c r="DM2187" t="s">
        <v>20112</v>
      </c>
      <c r="DN2187" t="s">
        <v>13772</v>
      </c>
      <c r="DO2187" t="s">
        <v>13792</v>
      </c>
      <c r="DP2187" t="s">
        <v>13772</v>
      </c>
      <c r="DQ2187" t="s">
        <v>13772</v>
      </c>
      <c r="DR2187" t="s">
        <v>13772</v>
      </c>
      <c r="DS2187" t="s">
        <v>13772</v>
      </c>
      <c r="DT2187" t="s">
        <v>14216</v>
      </c>
      <c r="DU2187" t="s">
        <v>13772</v>
      </c>
      <c r="DV2187" t="s">
        <v>20113</v>
      </c>
      <c r="DW2187" t="s">
        <v>13772</v>
      </c>
      <c r="DX2187" t="s">
        <v>20114</v>
      </c>
      <c r="DY2187" t="s">
        <v>20115</v>
      </c>
      <c r="DZ2187" t="s">
        <v>20116</v>
      </c>
      <c r="EA2187" t="s">
        <v>13772</v>
      </c>
      <c r="EB2187" t="s">
        <v>20117</v>
      </c>
    </row>
    <row r="2188" spans="1:132" hidden="1">
      <c r="A2188">
        <v>1898</v>
      </c>
      <c r="B2188">
        <v>1</v>
      </c>
      <c r="C2188" t="s">
        <v>4476</v>
      </c>
      <c r="D2188" t="s">
        <v>73</v>
      </c>
      <c r="E2188" t="s">
        <v>73</v>
      </c>
      <c r="F2188" t="s">
        <v>4477</v>
      </c>
      <c r="G2188" t="s">
        <v>73</v>
      </c>
      <c r="H2188">
        <v>2.8</v>
      </c>
      <c r="I2188">
        <v>2345</v>
      </c>
      <c r="J2188">
        <v>256560</v>
      </c>
      <c r="K2188" t="s">
        <v>4478</v>
      </c>
      <c r="L2188">
        <f t="shared" si="138"/>
        <v>10</v>
      </c>
      <c r="N2188">
        <v>10</v>
      </c>
      <c r="O2188">
        <v>2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</v>
      </c>
      <c r="AB2188">
        <v>4</v>
      </c>
      <c r="AC2188">
        <v>1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2.1269999999999998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f t="shared" si="141"/>
        <v>2.1269999999999998</v>
      </c>
      <c r="BW2188" s="16">
        <f t="shared" si="139"/>
        <v>0.11194736842105261</v>
      </c>
      <c r="BX2188" s="16">
        <f>COUNTIF($BC$6:BU2188, "=0") / COUNTIF($BC$6:BU2188, "&gt;-1")</f>
        <v>0.51471900089206069</v>
      </c>
      <c r="BY2188" s="18">
        <f>SUM($BC$6:BU2188) / $BY$4</f>
        <v>0.9993979476890148</v>
      </c>
      <c r="BZ2188" s="14">
        <f t="shared" si="140"/>
        <v>18</v>
      </c>
      <c r="CA2188" t="s">
        <v>5832</v>
      </c>
      <c r="CZ2188" t="s">
        <v>12079</v>
      </c>
      <c r="DA2188" t="s">
        <v>5896</v>
      </c>
      <c r="DB2188">
        <v>3271.9</v>
      </c>
      <c r="DC2188" t="s">
        <v>31967</v>
      </c>
      <c r="DD2188" t="s">
        <v>31968</v>
      </c>
      <c r="DE2188" t="s">
        <v>31969</v>
      </c>
      <c r="DF2188" t="s">
        <v>31970</v>
      </c>
      <c r="DG2188" t="s">
        <v>31971</v>
      </c>
      <c r="DH2188" t="str">
        <f>"EPPK1"</f>
        <v>EPPK1</v>
      </c>
      <c r="DI2188" t="s">
        <v>13772</v>
      </c>
      <c r="DJ2188" t="s">
        <v>13777</v>
      </c>
      <c r="DK2188">
        <v>9606</v>
      </c>
      <c r="DL2188" s="34" t="str">
        <f>HYPERLINK("http://www.uniprot.org/uniprot/P58107", "P58107")</f>
        <v>P58107</v>
      </c>
      <c r="DM2188" t="s">
        <v>31972</v>
      </c>
      <c r="DN2188" t="s">
        <v>13772</v>
      </c>
      <c r="DO2188" t="s">
        <v>31973</v>
      </c>
      <c r="DP2188" t="s">
        <v>13772</v>
      </c>
      <c r="DQ2188" t="s">
        <v>13772</v>
      </c>
      <c r="DR2188" t="s">
        <v>13807</v>
      </c>
      <c r="DS2188" t="s">
        <v>14048</v>
      </c>
      <c r="DT2188" t="s">
        <v>13772</v>
      </c>
      <c r="DU2188" t="s">
        <v>13772</v>
      </c>
      <c r="DV2188" t="s">
        <v>13782</v>
      </c>
      <c r="DW2188" t="s">
        <v>13772</v>
      </c>
      <c r="DX2188" t="s">
        <v>31974</v>
      </c>
      <c r="DY2188" t="s">
        <v>31975</v>
      </c>
      <c r="DZ2188" t="s">
        <v>31976</v>
      </c>
      <c r="EA2188" t="s">
        <v>13772</v>
      </c>
      <c r="EB2188" t="s">
        <v>13772</v>
      </c>
    </row>
    <row r="2189" spans="1:132" hidden="1">
      <c r="A2189">
        <v>399</v>
      </c>
      <c r="B2189">
        <v>1</v>
      </c>
      <c r="C2189" t="s">
        <v>997</v>
      </c>
      <c r="D2189" t="s">
        <v>998</v>
      </c>
      <c r="E2189" t="s">
        <v>73</v>
      </c>
      <c r="F2189" t="s">
        <v>999</v>
      </c>
      <c r="G2189" t="s">
        <v>73</v>
      </c>
      <c r="H2189">
        <v>9.6999999999999993</v>
      </c>
      <c r="I2189">
        <v>414</v>
      </c>
      <c r="J2189">
        <v>46893</v>
      </c>
      <c r="K2189" t="s">
        <v>1000</v>
      </c>
      <c r="L2189">
        <f t="shared" si="138"/>
        <v>6</v>
      </c>
      <c r="N2189">
        <v>6</v>
      </c>
      <c r="O2189">
        <v>2</v>
      </c>
      <c r="P2189">
        <v>0.33300000000000002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4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2.0739999999999998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f t="shared" si="141"/>
        <v>2.0739999999999998</v>
      </c>
      <c r="BW2189" s="16">
        <f t="shared" si="139"/>
        <v>0.10915789473684209</v>
      </c>
      <c r="BX2189" s="16">
        <f>COUNTIF($BC$6:BU2189, "=0") / COUNTIF($BC$6:BU2189, "&gt;-1")</f>
        <v>0.51491710044341621</v>
      </c>
      <c r="BY2189" s="18">
        <f>SUM($BC$6:BU2189) / $BY$4</f>
        <v>0.9994068319518804</v>
      </c>
      <c r="BZ2189" s="14">
        <f t="shared" si="140"/>
        <v>18</v>
      </c>
      <c r="CA2189" t="s">
        <v>5832</v>
      </c>
      <c r="CZ2189" t="s">
        <v>7086</v>
      </c>
      <c r="DA2189" t="s">
        <v>5904</v>
      </c>
      <c r="DB2189">
        <v>634.79999999999995</v>
      </c>
      <c r="DC2189" t="s">
        <v>17609</v>
      </c>
      <c r="DD2189" t="s">
        <v>17610</v>
      </c>
      <c r="DE2189" t="s">
        <v>17611</v>
      </c>
      <c r="DF2189" t="s">
        <v>17612</v>
      </c>
      <c r="DG2189" t="s">
        <v>17613</v>
      </c>
      <c r="DH2189" t="str">
        <f>"SERPINB8"</f>
        <v>SERPINB8</v>
      </c>
      <c r="DI2189" t="s">
        <v>17614</v>
      </c>
      <c r="DJ2189" t="s">
        <v>13777</v>
      </c>
      <c r="DK2189">
        <v>9606</v>
      </c>
      <c r="DL2189" s="34" t="str">
        <f>HYPERLINK("http://www.uniprot.org/uniprot/P50452", "P50452")</f>
        <v>P50452</v>
      </c>
      <c r="DM2189" t="s">
        <v>17615</v>
      </c>
      <c r="DN2189" t="s">
        <v>13772</v>
      </c>
      <c r="DO2189" t="s">
        <v>13899</v>
      </c>
      <c r="DP2189" t="s">
        <v>13780</v>
      </c>
      <c r="DQ2189" t="s">
        <v>13772</v>
      </c>
      <c r="DR2189" t="s">
        <v>13772</v>
      </c>
      <c r="DS2189" t="s">
        <v>13772</v>
      </c>
      <c r="DT2189" t="s">
        <v>13772</v>
      </c>
      <c r="DU2189" t="s">
        <v>14375</v>
      </c>
      <c r="DV2189" t="s">
        <v>13772</v>
      </c>
      <c r="DW2189" t="s">
        <v>13772</v>
      </c>
      <c r="DX2189" t="s">
        <v>17616</v>
      </c>
      <c r="DY2189" t="s">
        <v>17617</v>
      </c>
      <c r="DZ2189" t="s">
        <v>16362</v>
      </c>
      <c r="EA2189" t="s">
        <v>13772</v>
      </c>
      <c r="EB2189" t="s">
        <v>17618</v>
      </c>
    </row>
    <row r="2190" spans="1:132" hidden="1">
      <c r="A2190">
        <v>1391</v>
      </c>
      <c r="B2190">
        <v>1</v>
      </c>
      <c r="C2190" t="s">
        <v>3323</v>
      </c>
      <c r="D2190" t="s">
        <v>73</v>
      </c>
      <c r="E2190" t="s">
        <v>73</v>
      </c>
      <c r="F2190" t="s">
        <v>999</v>
      </c>
      <c r="G2190" t="s">
        <v>73</v>
      </c>
      <c r="H2190">
        <v>9.6</v>
      </c>
      <c r="I2190">
        <v>375</v>
      </c>
      <c r="J2190">
        <v>42765</v>
      </c>
      <c r="K2190" t="s">
        <v>3324</v>
      </c>
      <c r="L2190">
        <f t="shared" si="138"/>
        <v>6</v>
      </c>
      <c r="N2190">
        <v>6</v>
      </c>
      <c r="O2190">
        <v>2</v>
      </c>
      <c r="P2190">
        <v>0.33300000000000002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2</v>
      </c>
      <c r="Y2190">
        <v>0</v>
      </c>
      <c r="Z2190">
        <v>0</v>
      </c>
      <c r="AA2190">
        <v>2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0</v>
      </c>
      <c r="BJ2190" s="2">
        <v>1.018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f t="shared" si="141"/>
        <v>2.0179999999999998</v>
      </c>
      <c r="BW2190" s="16">
        <f t="shared" si="139"/>
        <v>0.10621052631578946</v>
      </c>
      <c r="BX2190" s="16">
        <f>COUNTIF($BC$6:BU2190, "=0") / COUNTIF($BC$6:BU2190, "&gt;-1")</f>
        <v>0.51509093098879921</v>
      </c>
      <c r="BY2190" s="18">
        <f>SUM($BC$6:BU2190) / $BY$4</f>
        <v>0.99941547633108152</v>
      </c>
      <c r="BZ2190" s="14">
        <f t="shared" si="140"/>
        <v>17</v>
      </c>
      <c r="CA2190" t="s">
        <v>5832</v>
      </c>
      <c r="CZ2190" t="s">
        <v>10383</v>
      </c>
      <c r="DA2190" t="s">
        <v>5904</v>
      </c>
      <c r="DB2190">
        <v>625.20000000000005</v>
      </c>
      <c r="DC2190" t="s">
        <v>27214</v>
      </c>
      <c r="DD2190" t="s">
        <v>27215</v>
      </c>
      <c r="DE2190" t="s">
        <v>27216</v>
      </c>
      <c r="DF2190" t="s">
        <v>27217</v>
      </c>
      <c r="DG2190" t="s">
        <v>27218</v>
      </c>
      <c r="DH2190" t="str">
        <f>"SERPINB9"</f>
        <v>SERPINB9</v>
      </c>
      <c r="DI2190" t="s">
        <v>27219</v>
      </c>
      <c r="DJ2190" t="s">
        <v>13777</v>
      </c>
      <c r="DK2190">
        <v>9606</v>
      </c>
      <c r="DL2190" s="34" t="str">
        <f>HYPERLINK("http://www.uniprot.org/uniprot/P50453", "P50453")</f>
        <v>P50453</v>
      </c>
      <c r="DM2190" t="s">
        <v>27220</v>
      </c>
      <c r="DN2190" t="s">
        <v>13772</v>
      </c>
      <c r="DO2190" t="s">
        <v>13899</v>
      </c>
      <c r="DP2190" t="s">
        <v>13772</v>
      </c>
      <c r="DQ2190" t="s">
        <v>13772</v>
      </c>
      <c r="DR2190" t="s">
        <v>13772</v>
      </c>
      <c r="DS2190" t="s">
        <v>13772</v>
      </c>
      <c r="DT2190" t="s">
        <v>13772</v>
      </c>
      <c r="DU2190" t="s">
        <v>14375</v>
      </c>
      <c r="DV2190" t="s">
        <v>14020</v>
      </c>
      <c r="DW2190" t="s">
        <v>13772</v>
      </c>
      <c r="DX2190" t="s">
        <v>27221</v>
      </c>
      <c r="DY2190" t="s">
        <v>27222</v>
      </c>
      <c r="DZ2190" t="s">
        <v>27223</v>
      </c>
      <c r="EA2190" t="s">
        <v>13772</v>
      </c>
      <c r="EB2190" t="s">
        <v>13772</v>
      </c>
    </row>
    <row r="2191" spans="1:132" hidden="1">
      <c r="A2191">
        <v>65</v>
      </c>
      <c r="B2191">
        <v>1</v>
      </c>
      <c r="C2191" t="s">
        <v>186</v>
      </c>
      <c r="D2191" t="s">
        <v>73</v>
      </c>
      <c r="E2191" t="s">
        <v>73</v>
      </c>
      <c r="F2191" t="s">
        <v>73</v>
      </c>
      <c r="G2191" t="s">
        <v>73</v>
      </c>
      <c r="H2191">
        <v>8.1999999999999993</v>
      </c>
      <c r="I2191">
        <v>306</v>
      </c>
      <c r="J2191">
        <v>34545</v>
      </c>
      <c r="K2191" t="s">
        <v>187</v>
      </c>
      <c r="L2191">
        <f t="shared" si="138"/>
        <v>2</v>
      </c>
      <c r="N2191">
        <v>2</v>
      </c>
      <c r="O2191">
        <v>2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2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f t="shared" si="141"/>
        <v>2</v>
      </c>
      <c r="BW2191" s="16">
        <f t="shared" si="139"/>
        <v>0.10526315789473684</v>
      </c>
      <c r="BX2191" s="16">
        <f>COUNTIF($BC$6:BU2191, "=0") / COUNTIF($BC$6:BU2191, "&gt;-1")</f>
        <v>0.51528867915442766</v>
      </c>
      <c r="BY2191" s="18">
        <f>SUM($BC$6:BU2191) / $BY$4</f>
        <v>0.99942404360481896</v>
      </c>
      <c r="BZ2191" s="14">
        <f t="shared" si="140"/>
        <v>18</v>
      </c>
      <c r="CA2191" t="s">
        <v>5832</v>
      </c>
      <c r="CZ2191" t="s">
        <v>5930</v>
      </c>
      <c r="DA2191" t="s">
        <v>5904</v>
      </c>
      <c r="DB2191">
        <v>488.8</v>
      </c>
      <c r="DC2191" t="s">
        <v>13905</v>
      </c>
      <c r="DD2191" t="s">
        <v>13906</v>
      </c>
      <c r="DE2191" t="s">
        <v>13907</v>
      </c>
      <c r="DF2191" t="s">
        <v>13908</v>
      </c>
      <c r="DG2191" t="s">
        <v>13909</v>
      </c>
      <c r="DH2191" t="str">
        <f>"AFMID"</f>
        <v>AFMID</v>
      </c>
      <c r="DI2191" t="s">
        <v>13772</v>
      </c>
      <c r="DJ2191" t="s">
        <v>13777</v>
      </c>
      <c r="DK2191">
        <v>9606</v>
      </c>
      <c r="DL2191" s="34" t="str">
        <f>HYPERLINK("http://www.uniprot.org/uniprot/Q63HM1", "Q63HM1")</f>
        <v>Q63HM1</v>
      </c>
      <c r="DM2191" t="s">
        <v>13910</v>
      </c>
      <c r="DN2191" t="s">
        <v>13911</v>
      </c>
      <c r="DO2191" t="s">
        <v>13912</v>
      </c>
      <c r="DP2191" t="s">
        <v>13841</v>
      </c>
      <c r="DQ2191" t="s">
        <v>13772</v>
      </c>
      <c r="DR2191" t="s">
        <v>13772</v>
      </c>
      <c r="DS2191" t="s">
        <v>13772</v>
      </c>
      <c r="DT2191" t="s">
        <v>13772</v>
      </c>
      <c r="DU2191" t="s">
        <v>13857</v>
      </c>
      <c r="DV2191" t="s">
        <v>13772</v>
      </c>
      <c r="DW2191" t="s">
        <v>13772</v>
      </c>
      <c r="DX2191" t="s">
        <v>13913</v>
      </c>
      <c r="DY2191" t="s">
        <v>13914</v>
      </c>
      <c r="DZ2191" t="s">
        <v>13915</v>
      </c>
      <c r="EA2191" t="s">
        <v>13916</v>
      </c>
      <c r="EB2191" t="s">
        <v>13917</v>
      </c>
    </row>
    <row r="2192" spans="1:132" hidden="1">
      <c r="A2192">
        <v>77</v>
      </c>
      <c r="B2192">
        <v>1</v>
      </c>
      <c r="C2192" t="s">
        <v>214</v>
      </c>
      <c r="D2192" t="s">
        <v>73</v>
      </c>
      <c r="E2192" t="s">
        <v>73</v>
      </c>
      <c r="F2192" t="s">
        <v>73</v>
      </c>
      <c r="G2192" t="s">
        <v>73</v>
      </c>
      <c r="H2192">
        <v>9.3000000000000007</v>
      </c>
      <c r="I2192">
        <v>300</v>
      </c>
      <c r="J2192">
        <v>34523</v>
      </c>
      <c r="K2192" t="s">
        <v>215</v>
      </c>
      <c r="L2192">
        <f t="shared" si="138"/>
        <v>2</v>
      </c>
      <c r="N2192">
        <v>2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2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f t="shared" si="141"/>
        <v>2</v>
      </c>
      <c r="BW2192" s="16">
        <f t="shared" si="139"/>
        <v>0.10526315789473684</v>
      </c>
      <c r="BX2192" s="16">
        <f>COUNTIF($BC$6:BU2192, "=0") / COUNTIF($BC$6:BU2192, "&gt;-1")</f>
        <v>0.51548624648039854</v>
      </c>
      <c r="BY2192" s="18">
        <f>SUM($BC$6:BU2192) / $BY$4</f>
        <v>0.99943261087855628</v>
      </c>
      <c r="BZ2192" s="14">
        <f t="shared" si="140"/>
        <v>18</v>
      </c>
      <c r="CA2192" t="s">
        <v>5832</v>
      </c>
      <c r="CZ2192" t="s">
        <v>5970</v>
      </c>
      <c r="DA2192" t="s">
        <v>5904</v>
      </c>
      <c r="DB2192">
        <v>582</v>
      </c>
      <c r="DC2192" t="s">
        <v>14054</v>
      </c>
      <c r="DD2192" t="s">
        <v>14055</v>
      </c>
      <c r="DE2192" t="s">
        <v>14056</v>
      </c>
      <c r="DF2192" t="s">
        <v>14057</v>
      </c>
      <c r="DG2192" t="s">
        <v>14058</v>
      </c>
      <c r="DH2192" t="str">
        <f>"NT5C3B"</f>
        <v>NT5C3B</v>
      </c>
      <c r="DI2192" t="s">
        <v>14059</v>
      </c>
      <c r="DJ2192" t="s">
        <v>13777</v>
      </c>
      <c r="DK2192">
        <v>9606</v>
      </c>
      <c r="DL2192" s="34" t="str">
        <f>HYPERLINK("http://www.uniprot.org/uniprot/Q969T7", "Q969T7")</f>
        <v>Q969T7</v>
      </c>
      <c r="DM2192" t="s">
        <v>14060</v>
      </c>
      <c r="DN2192" t="s">
        <v>14061</v>
      </c>
      <c r="DO2192" t="s">
        <v>13899</v>
      </c>
      <c r="DP2192" t="s">
        <v>13780</v>
      </c>
      <c r="DQ2192" t="s">
        <v>13772</v>
      </c>
      <c r="DR2192" t="s">
        <v>13772</v>
      </c>
      <c r="DS2192" t="s">
        <v>13772</v>
      </c>
      <c r="DT2192" t="s">
        <v>14062</v>
      </c>
      <c r="DU2192" t="s">
        <v>13857</v>
      </c>
      <c r="DV2192" t="s">
        <v>14020</v>
      </c>
      <c r="DW2192" t="s">
        <v>13772</v>
      </c>
      <c r="DX2192" t="s">
        <v>14063</v>
      </c>
      <c r="DY2192" t="s">
        <v>14064</v>
      </c>
      <c r="DZ2192" t="s">
        <v>14065</v>
      </c>
      <c r="EA2192" t="s">
        <v>13772</v>
      </c>
      <c r="EB2192" t="s">
        <v>14066</v>
      </c>
    </row>
    <row r="2193" spans="1:132" hidden="1">
      <c r="A2193">
        <v>122</v>
      </c>
      <c r="B2193">
        <v>1</v>
      </c>
      <c r="C2193" t="s">
        <v>317</v>
      </c>
      <c r="D2193" t="s">
        <v>73</v>
      </c>
      <c r="E2193" t="s">
        <v>73</v>
      </c>
      <c r="F2193" t="s">
        <v>73</v>
      </c>
      <c r="G2193" t="s">
        <v>73</v>
      </c>
      <c r="H2193">
        <v>3.4</v>
      </c>
      <c r="I2193">
        <v>1248</v>
      </c>
      <c r="J2193">
        <v>133605</v>
      </c>
      <c r="K2193" t="s">
        <v>318</v>
      </c>
      <c r="L2193">
        <f t="shared" si="138"/>
        <v>2</v>
      </c>
      <c r="N2193">
        <v>2</v>
      </c>
      <c r="O2193">
        <v>2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2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2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f t="shared" si="141"/>
        <v>2</v>
      </c>
      <c r="BW2193" s="16">
        <f t="shared" si="139"/>
        <v>0.10526315789473684</v>
      </c>
      <c r="BX2193" s="16">
        <f>COUNTIF($BC$6:BU2193, "=0") / COUNTIF($BC$6:BU2193, "&gt;-1")</f>
        <v>0.51568363321466371</v>
      </c>
      <c r="BY2193" s="18">
        <f>SUM($BC$6:BU2193) / $BY$4</f>
        <v>0.99944117815229372</v>
      </c>
      <c r="BZ2193" s="14">
        <f t="shared" si="140"/>
        <v>18</v>
      </c>
      <c r="CA2193" t="s">
        <v>5832</v>
      </c>
      <c r="CZ2193" t="s">
        <v>6112</v>
      </c>
      <c r="DA2193" t="s">
        <v>5904</v>
      </c>
      <c r="DB2193">
        <v>2241.8000000000002</v>
      </c>
      <c r="DC2193" t="s">
        <v>14549</v>
      </c>
      <c r="DD2193" t="s">
        <v>14550</v>
      </c>
      <c r="DE2193" t="s">
        <v>14551</v>
      </c>
      <c r="DF2193" t="s">
        <v>14552</v>
      </c>
      <c r="DG2193" t="s">
        <v>14553</v>
      </c>
      <c r="DH2193" t="str">
        <f>"IGDCC4"</f>
        <v>IGDCC4</v>
      </c>
      <c r="DI2193" t="s">
        <v>14554</v>
      </c>
      <c r="DJ2193" t="s">
        <v>13777</v>
      </c>
      <c r="DK2193">
        <v>9606</v>
      </c>
      <c r="DL2193" s="34" t="str">
        <f>HYPERLINK("http://www.uniprot.org/uniprot/Q8TDY8", "Q8TDY8")</f>
        <v>Q8TDY8</v>
      </c>
      <c r="DM2193" t="s">
        <v>14555</v>
      </c>
      <c r="DN2193" t="s">
        <v>13772</v>
      </c>
      <c r="DO2193" t="s">
        <v>13792</v>
      </c>
      <c r="DP2193" t="s">
        <v>13780</v>
      </c>
      <c r="DQ2193" t="s">
        <v>13772</v>
      </c>
      <c r="DR2193" t="s">
        <v>13772</v>
      </c>
      <c r="DS2193" t="s">
        <v>13951</v>
      </c>
      <c r="DT2193" t="s">
        <v>13772</v>
      </c>
      <c r="DU2193" t="s">
        <v>13772</v>
      </c>
      <c r="DV2193" t="s">
        <v>13964</v>
      </c>
      <c r="DW2193" t="s">
        <v>13772</v>
      </c>
      <c r="DX2193" t="s">
        <v>13772</v>
      </c>
      <c r="DY2193" t="s">
        <v>13798</v>
      </c>
      <c r="DZ2193" t="s">
        <v>13772</v>
      </c>
      <c r="EA2193" t="s">
        <v>13772</v>
      </c>
      <c r="EB2193" t="s">
        <v>13772</v>
      </c>
    </row>
    <row r="2194" spans="1:132" hidden="1">
      <c r="A2194">
        <v>169</v>
      </c>
      <c r="B2194">
        <v>1</v>
      </c>
      <c r="C2194" t="s">
        <v>430</v>
      </c>
      <c r="D2194" t="s">
        <v>73</v>
      </c>
      <c r="E2194" t="s">
        <v>73</v>
      </c>
      <c r="F2194" t="s">
        <v>73</v>
      </c>
      <c r="G2194" t="s">
        <v>73</v>
      </c>
      <c r="H2194">
        <v>16.8</v>
      </c>
      <c r="I2194">
        <v>184</v>
      </c>
      <c r="J2194">
        <v>20776</v>
      </c>
      <c r="K2194" t="s">
        <v>431</v>
      </c>
      <c r="L2194">
        <f t="shared" si="138"/>
        <v>2</v>
      </c>
      <c r="N2194">
        <v>2</v>
      </c>
      <c r="O2194">
        <v>2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2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f t="shared" si="141"/>
        <v>2</v>
      </c>
      <c r="BW2194" s="16">
        <f t="shared" si="139"/>
        <v>0.10526315789473684</v>
      </c>
      <c r="BX2194" s="16">
        <f>COUNTIF($BC$6:BU2194, "=0") / COUNTIF($BC$6:BU2194, "&gt;-1")</f>
        <v>0.5158808396047222</v>
      </c>
      <c r="BY2194" s="18">
        <f>SUM($BC$6:BU2194) / $BY$4</f>
        <v>0.99944974542603116</v>
      </c>
      <c r="BZ2194" s="14">
        <f t="shared" si="140"/>
        <v>18</v>
      </c>
      <c r="CA2194" t="s">
        <v>5832</v>
      </c>
      <c r="CZ2194" t="s">
        <v>6280</v>
      </c>
      <c r="DA2194" t="s">
        <v>5904</v>
      </c>
      <c r="DB2194">
        <v>381.7</v>
      </c>
      <c r="DC2194" t="s">
        <v>15089</v>
      </c>
      <c r="DD2194" t="s">
        <v>15090</v>
      </c>
      <c r="DE2194" t="s">
        <v>15091</v>
      </c>
      <c r="DF2194" t="s">
        <v>15092</v>
      </c>
      <c r="DG2194" t="s">
        <v>13772</v>
      </c>
      <c r="DH2194" t="str">
        <f>"GNPNAT1"</f>
        <v>GNPNAT1</v>
      </c>
      <c r="DI2194" t="s">
        <v>15093</v>
      </c>
      <c r="DJ2194" t="s">
        <v>13777</v>
      </c>
      <c r="DK2194">
        <v>9606</v>
      </c>
      <c r="DL2194" s="34" t="str">
        <f>HYPERLINK("http://www.uniprot.org/uniprot/Q96EK6", "Q96EK6")</f>
        <v>Q96EK6</v>
      </c>
      <c r="DM2194" t="s">
        <v>15094</v>
      </c>
      <c r="DN2194" t="s">
        <v>13772</v>
      </c>
      <c r="DO2194" t="s">
        <v>15095</v>
      </c>
      <c r="DP2194" t="s">
        <v>13772</v>
      </c>
      <c r="DQ2194" t="s">
        <v>13772</v>
      </c>
      <c r="DR2194" t="s">
        <v>13772</v>
      </c>
      <c r="DS2194" t="s">
        <v>13772</v>
      </c>
      <c r="DT2194" t="s">
        <v>13772</v>
      </c>
      <c r="DU2194" t="s">
        <v>15096</v>
      </c>
      <c r="DV2194" t="s">
        <v>13772</v>
      </c>
      <c r="DW2194" t="s">
        <v>13812</v>
      </c>
      <c r="DX2194" t="s">
        <v>15097</v>
      </c>
      <c r="DY2194" t="s">
        <v>15098</v>
      </c>
      <c r="DZ2194" t="s">
        <v>15099</v>
      </c>
      <c r="EA2194" t="s">
        <v>15100</v>
      </c>
      <c r="EB2194" t="s">
        <v>15101</v>
      </c>
    </row>
    <row r="2195" spans="1:132" hidden="1">
      <c r="A2195">
        <v>176</v>
      </c>
      <c r="B2195">
        <v>1</v>
      </c>
      <c r="C2195" t="s">
        <v>446</v>
      </c>
      <c r="D2195" t="s">
        <v>73</v>
      </c>
      <c r="E2195" t="s">
        <v>73</v>
      </c>
      <c r="F2195" t="s">
        <v>73</v>
      </c>
      <c r="G2195" t="s">
        <v>73</v>
      </c>
      <c r="H2195">
        <v>11.1</v>
      </c>
      <c r="I2195">
        <v>315</v>
      </c>
      <c r="J2195">
        <v>36036</v>
      </c>
      <c r="K2195" t="s">
        <v>447</v>
      </c>
      <c r="L2195">
        <f t="shared" si="138"/>
        <v>2</v>
      </c>
      <c r="N2195">
        <v>2</v>
      </c>
      <c r="O2195">
        <v>2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</v>
      </c>
      <c r="AY2195">
        <v>0</v>
      </c>
      <c r="AZ2195">
        <v>0</v>
      </c>
      <c r="BA2195">
        <v>0</v>
      </c>
      <c r="BB2195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2</v>
      </c>
      <c r="BR2195" s="2">
        <v>0</v>
      </c>
      <c r="BS2195" s="2">
        <v>0</v>
      </c>
      <c r="BT2195" s="2">
        <v>0</v>
      </c>
      <c r="BU2195" s="2">
        <v>0</v>
      </c>
      <c r="BV2195" s="2">
        <f t="shared" si="141"/>
        <v>2</v>
      </c>
      <c r="BW2195" s="16">
        <f t="shared" si="139"/>
        <v>0.10526315789473684</v>
      </c>
      <c r="BX2195" s="16">
        <f>COUNTIF($BC$6:BU2195, "=0") / COUNTIF($BC$6:BU2195, "&gt;-1")</f>
        <v>0.51607786589762072</v>
      </c>
      <c r="BY2195" s="18">
        <f>SUM($BC$6:BU2195) / $BY$4</f>
        <v>0.99945831269976848</v>
      </c>
      <c r="BZ2195" s="14">
        <f t="shared" si="140"/>
        <v>18</v>
      </c>
      <c r="CA2195" t="s">
        <v>5832</v>
      </c>
      <c r="CZ2195" t="s">
        <v>6305</v>
      </c>
      <c r="DA2195" t="s">
        <v>5904</v>
      </c>
      <c r="DB2195">
        <v>635.6</v>
      </c>
      <c r="DC2195" t="s">
        <v>15182</v>
      </c>
      <c r="DD2195" t="s">
        <v>15183</v>
      </c>
      <c r="DE2195" t="s">
        <v>15184</v>
      </c>
      <c r="DF2195" t="s">
        <v>15185</v>
      </c>
      <c r="DG2195" t="s">
        <v>13772</v>
      </c>
      <c r="DH2195" t="str">
        <f>"EIF2S1"</f>
        <v>EIF2S1</v>
      </c>
      <c r="DI2195" t="s">
        <v>15186</v>
      </c>
      <c r="DJ2195" t="s">
        <v>13777</v>
      </c>
      <c r="DK2195">
        <v>9606</v>
      </c>
      <c r="DL2195" s="34" t="str">
        <f>HYPERLINK("http://www.uniprot.org/uniprot/P05198", "P05198")</f>
        <v>P05198</v>
      </c>
      <c r="DM2195" t="s">
        <v>15187</v>
      </c>
      <c r="DN2195" t="s">
        <v>15188</v>
      </c>
      <c r="DO2195" t="s">
        <v>13899</v>
      </c>
      <c r="DP2195" t="s">
        <v>13772</v>
      </c>
      <c r="DQ2195" t="s">
        <v>13772</v>
      </c>
      <c r="DR2195" t="s">
        <v>13772</v>
      </c>
      <c r="DS2195" t="s">
        <v>13772</v>
      </c>
      <c r="DT2195" t="s">
        <v>13772</v>
      </c>
      <c r="DU2195" t="s">
        <v>15189</v>
      </c>
      <c r="DV2195" t="s">
        <v>13886</v>
      </c>
      <c r="DW2195" t="s">
        <v>13812</v>
      </c>
      <c r="DX2195" t="s">
        <v>15190</v>
      </c>
      <c r="DY2195" t="s">
        <v>15191</v>
      </c>
      <c r="DZ2195" t="s">
        <v>15192</v>
      </c>
      <c r="EA2195" t="s">
        <v>13772</v>
      </c>
      <c r="EB2195" t="s">
        <v>15193</v>
      </c>
    </row>
    <row r="2196" spans="1:132" hidden="1">
      <c r="A2196">
        <v>185</v>
      </c>
      <c r="B2196">
        <v>1</v>
      </c>
      <c r="C2196" t="s">
        <v>465</v>
      </c>
      <c r="D2196" t="s">
        <v>73</v>
      </c>
      <c r="E2196" t="s">
        <v>73</v>
      </c>
      <c r="F2196" t="s">
        <v>73</v>
      </c>
      <c r="G2196" t="s">
        <v>73</v>
      </c>
      <c r="H2196">
        <v>0.6</v>
      </c>
      <c r="I2196">
        <v>6266</v>
      </c>
      <c r="J2196">
        <v>656937</v>
      </c>
      <c r="K2196" t="s">
        <v>466</v>
      </c>
      <c r="L2196">
        <f t="shared" si="138"/>
        <v>2</v>
      </c>
      <c r="N2196">
        <v>2</v>
      </c>
      <c r="O2196">
        <v>2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2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f t="shared" si="141"/>
        <v>2</v>
      </c>
      <c r="BW2196" s="16">
        <f t="shared" si="139"/>
        <v>0.10526315789473684</v>
      </c>
      <c r="BX2196" s="16">
        <f>COUNTIF($BC$6:BU2196, "=0") / COUNTIF($BC$6:BU2196, "&gt;-1")</f>
        <v>0.51627471233995537</v>
      </c>
      <c r="BY2196" s="18">
        <f>SUM($BC$6:BU2196) / $BY$4</f>
        <v>0.99946687997350592</v>
      </c>
      <c r="BZ2196" s="14">
        <f t="shared" si="140"/>
        <v>18</v>
      </c>
      <c r="CA2196" t="s">
        <v>5832</v>
      </c>
      <c r="CZ2196" t="s">
        <v>6335</v>
      </c>
      <c r="DA2196" t="s">
        <v>5904</v>
      </c>
      <c r="DB2196">
        <v>4543</v>
      </c>
      <c r="DC2196" t="s">
        <v>15295</v>
      </c>
      <c r="DD2196" t="s">
        <v>13772</v>
      </c>
      <c r="DE2196" t="s">
        <v>15296</v>
      </c>
      <c r="DF2196" t="s">
        <v>15297</v>
      </c>
      <c r="DG2196" t="s">
        <v>15298</v>
      </c>
      <c r="DH2196" t="str">
        <f>"AHNAK2"</f>
        <v>AHNAK2</v>
      </c>
      <c r="DI2196" t="s">
        <v>15299</v>
      </c>
      <c r="DJ2196" t="s">
        <v>13777</v>
      </c>
      <c r="DK2196">
        <v>9606</v>
      </c>
      <c r="DL2196" s="34" t="str">
        <f>HYPERLINK("http://www.uniprot.org/uniprot/Q8IVF2", "Q8IVF2")</f>
        <v>Q8IVF2</v>
      </c>
      <c r="DM2196" t="s">
        <v>15300</v>
      </c>
      <c r="DN2196" t="s">
        <v>13772</v>
      </c>
      <c r="DO2196" t="s">
        <v>14825</v>
      </c>
      <c r="DP2196" t="s">
        <v>13780</v>
      </c>
      <c r="DQ2196" t="s">
        <v>13772</v>
      </c>
      <c r="DR2196" t="s">
        <v>13772</v>
      </c>
      <c r="DS2196" t="s">
        <v>13772</v>
      </c>
      <c r="DT2196" t="s">
        <v>13772</v>
      </c>
      <c r="DU2196" t="s">
        <v>13772</v>
      </c>
      <c r="DV2196" t="s">
        <v>13991</v>
      </c>
      <c r="DW2196" t="s">
        <v>13812</v>
      </c>
      <c r="DX2196" t="s">
        <v>15301</v>
      </c>
      <c r="DY2196" t="s">
        <v>15302</v>
      </c>
      <c r="DZ2196" t="s">
        <v>13772</v>
      </c>
      <c r="EA2196" t="s">
        <v>13772</v>
      </c>
      <c r="EB2196" t="s">
        <v>13772</v>
      </c>
    </row>
    <row r="2197" spans="1:132" hidden="1">
      <c r="A2197">
        <v>227</v>
      </c>
      <c r="B2197">
        <v>1</v>
      </c>
      <c r="C2197" t="s">
        <v>576</v>
      </c>
      <c r="D2197" t="s">
        <v>73</v>
      </c>
      <c r="E2197" t="s">
        <v>73</v>
      </c>
      <c r="F2197" t="s">
        <v>73</v>
      </c>
      <c r="G2197" t="s">
        <v>73</v>
      </c>
      <c r="H2197">
        <v>9.1999999999999993</v>
      </c>
      <c r="I2197">
        <v>316</v>
      </c>
      <c r="J2197">
        <v>35118</v>
      </c>
      <c r="K2197" t="s">
        <v>577</v>
      </c>
      <c r="L2197">
        <f t="shared" si="138"/>
        <v>2</v>
      </c>
      <c r="N2197">
        <v>2</v>
      </c>
      <c r="O2197">
        <v>2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2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f t="shared" si="141"/>
        <v>2</v>
      </c>
      <c r="BW2197" s="16">
        <f t="shared" si="139"/>
        <v>0.10526315789473684</v>
      </c>
      <c r="BX2197" s="16">
        <f>COUNTIF($BC$6:BU2197, "=0") / COUNTIF($BC$6:BU2197, "&gt;-1")</f>
        <v>0.51647137917787167</v>
      </c>
      <c r="BY2197" s="18">
        <f>SUM($BC$6:BU2197) / $BY$4</f>
        <v>0.99947544724724335</v>
      </c>
      <c r="BZ2197" s="14">
        <f t="shared" si="140"/>
        <v>18</v>
      </c>
      <c r="CA2197" t="s">
        <v>5832</v>
      </c>
      <c r="CZ2197" t="s">
        <v>6482</v>
      </c>
      <c r="DA2197" t="s">
        <v>5904</v>
      </c>
      <c r="DB2197">
        <v>568.9</v>
      </c>
      <c r="DC2197" t="s">
        <v>15750</v>
      </c>
      <c r="DD2197" t="s">
        <v>15751</v>
      </c>
      <c r="DE2197" t="s">
        <v>15752</v>
      </c>
      <c r="DF2197" t="s">
        <v>15753</v>
      </c>
      <c r="DG2197" t="s">
        <v>15754</v>
      </c>
      <c r="DH2197" t="str">
        <f>"RDH12"</f>
        <v>RDH12</v>
      </c>
      <c r="DI2197" t="s">
        <v>15755</v>
      </c>
      <c r="DJ2197" t="s">
        <v>13777</v>
      </c>
      <c r="DK2197">
        <v>9606</v>
      </c>
      <c r="DL2197" s="34" t="str">
        <f>HYPERLINK("http://www.uniprot.org/uniprot/Q96NR8", "Q96NR8")</f>
        <v>Q96NR8</v>
      </c>
      <c r="DM2197" t="s">
        <v>15756</v>
      </c>
      <c r="DN2197" t="s">
        <v>15757</v>
      </c>
      <c r="DO2197" t="s">
        <v>14714</v>
      </c>
      <c r="DP2197" t="s">
        <v>13793</v>
      </c>
      <c r="DQ2197" t="s">
        <v>13772</v>
      </c>
      <c r="DR2197" t="s">
        <v>15758</v>
      </c>
      <c r="DS2197" t="s">
        <v>13772</v>
      </c>
      <c r="DT2197" t="s">
        <v>15759</v>
      </c>
      <c r="DU2197" t="s">
        <v>13885</v>
      </c>
      <c r="DV2197" t="s">
        <v>13772</v>
      </c>
      <c r="DW2197" t="s">
        <v>13772</v>
      </c>
      <c r="DX2197" t="s">
        <v>15760</v>
      </c>
      <c r="DY2197" t="s">
        <v>15761</v>
      </c>
      <c r="DZ2197" t="s">
        <v>15762</v>
      </c>
      <c r="EA2197" t="s">
        <v>15763</v>
      </c>
      <c r="EB2197" t="s">
        <v>15764</v>
      </c>
    </row>
    <row r="2198" spans="1:132" hidden="1">
      <c r="A2198">
        <v>296</v>
      </c>
      <c r="B2198">
        <v>1</v>
      </c>
      <c r="C2198" t="s">
        <v>743</v>
      </c>
      <c r="D2198" t="s">
        <v>744</v>
      </c>
      <c r="E2198" t="s">
        <v>73</v>
      </c>
      <c r="F2198" t="s">
        <v>73</v>
      </c>
      <c r="G2198" t="s">
        <v>73</v>
      </c>
      <c r="H2198">
        <v>2.2000000000000002</v>
      </c>
      <c r="I2198">
        <v>1207</v>
      </c>
      <c r="J2198">
        <v>134072</v>
      </c>
      <c r="K2198" t="s">
        <v>745</v>
      </c>
      <c r="L2198">
        <f t="shared" si="138"/>
        <v>2</v>
      </c>
      <c r="N2198">
        <v>2</v>
      </c>
      <c r="O2198">
        <v>2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2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f t="shared" si="141"/>
        <v>2</v>
      </c>
      <c r="BW2198" s="16">
        <f t="shared" si="139"/>
        <v>0.10526315789473684</v>
      </c>
      <c r="BX2198" s="16">
        <f>COUNTIF($BC$6:BU2198, "=0") / COUNTIF($BC$6:BU2198, "&gt;-1")</f>
        <v>0.51666786665706677</v>
      </c>
      <c r="BY2198" s="18">
        <f>SUM($BC$6:BU2198) / $BY$4</f>
        <v>0.99948401452098079</v>
      </c>
      <c r="BZ2198" s="14">
        <f t="shared" si="140"/>
        <v>18</v>
      </c>
      <c r="CA2198" t="s">
        <v>5832</v>
      </c>
      <c r="CZ2198" t="s">
        <v>6716</v>
      </c>
      <c r="DA2198" t="s">
        <v>5904</v>
      </c>
      <c r="DB2198">
        <v>2257.6</v>
      </c>
      <c r="DC2198" t="s">
        <v>16487</v>
      </c>
      <c r="DD2198" t="s">
        <v>16488</v>
      </c>
      <c r="DE2198" t="s">
        <v>16489</v>
      </c>
      <c r="DF2198" t="s">
        <v>16490</v>
      </c>
      <c r="DG2198" t="s">
        <v>16491</v>
      </c>
      <c r="DH2198" t="str">
        <f>"EGFR"</f>
        <v>EGFR</v>
      </c>
      <c r="DI2198" t="s">
        <v>16492</v>
      </c>
      <c r="DJ2198" t="s">
        <v>13777</v>
      </c>
      <c r="DK2198">
        <v>9606</v>
      </c>
      <c r="DL2198" s="34" t="str">
        <f>HYPERLINK("http://www.uniprot.org/uniprot/P00533", "P00533")</f>
        <v>P00533</v>
      </c>
      <c r="DM2198" t="s">
        <v>16493</v>
      </c>
      <c r="DN2198" t="s">
        <v>13772</v>
      </c>
      <c r="DO2198" t="s">
        <v>16494</v>
      </c>
      <c r="DP2198" t="s">
        <v>13780</v>
      </c>
      <c r="DQ2198" t="s">
        <v>13772</v>
      </c>
      <c r="DR2198" t="s">
        <v>16495</v>
      </c>
      <c r="DS2198" t="s">
        <v>13826</v>
      </c>
      <c r="DT2198" t="s">
        <v>14005</v>
      </c>
      <c r="DU2198" t="s">
        <v>16496</v>
      </c>
      <c r="DV2198" t="s">
        <v>16497</v>
      </c>
      <c r="DW2198" t="s">
        <v>13812</v>
      </c>
      <c r="DX2198" t="s">
        <v>16498</v>
      </c>
      <c r="DY2198" t="s">
        <v>16499</v>
      </c>
      <c r="DZ2198" t="s">
        <v>16500</v>
      </c>
      <c r="EA2198" t="s">
        <v>13772</v>
      </c>
      <c r="EB2198" t="s">
        <v>16501</v>
      </c>
    </row>
    <row r="2199" spans="1:132" hidden="1">
      <c r="A2199">
        <v>298</v>
      </c>
      <c r="B2199">
        <v>1</v>
      </c>
      <c r="C2199" t="s">
        <v>749</v>
      </c>
      <c r="D2199" t="s">
        <v>73</v>
      </c>
      <c r="E2199" t="s">
        <v>73</v>
      </c>
      <c r="F2199" t="s">
        <v>73</v>
      </c>
      <c r="G2199" t="s">
        <v>73</v>
      </c>
      <c r="H2199">
        <v>7.6</v>
      </c>
      <c r="I2199">
        <v>433</v>
      </c>
      <c r="J2199">
        <v>48633</v>
      </c>
      <c r="K2199" t="s">
        <v>750</v>
      </c>
      <c r="L2199">
        <f t="shared" si="138"/>
        <v>2</v>
      </c>
      <c r="N2199">
        <v>2</v>
      </c>
      <c r="O2199">
        <v>2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2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f t="shared" si="141"/>
        <v>2</v>
      </c>
      <c r="BW2199" s="16">
        <f t="shared" si="139"/>
        <v>0.10526315789473684</v>
      </c>
      <c r="BX2199" s="16">
        <f>COUNTIF($BC$6:BU2199, "=0") / COUNTIF($BC$6:BU2199, "&gt;-1")</f>
        <v>0.51686417502278947</v>
      </c>
      <c r="BY2199" s="18">
        <f>SUM($BC$6:BU2199) / $BY$4</f>
        <v>0.99949258179471812</v>
      </c>
      <c r="BZ2199" s="14">
        <f t="shared" si="140"/>
        <v>18</v>
      </c>
      <c r="CA2199" t="s">
        <v>5832</v>
      </c>
      <c r="CZ2199" t="s">
        <v>6723</v>
      </c>
      <c r="DA2199" t="s">
        <v>5904</v>
      </c>
      <c r="DB2199">
        <v>888.6</v>
      </c>
      <c r="DC2199" t="s">
        <v>16512</v>
      </c>
      <c r="DD2199" t="s">
        <v>16513</v>
      </c>
      <c r="DE2199" t="s">
        <v>16514</v>
      </c>
      <c r="DF2199" t="s">
        <v>16515</v>
      </c>
      <c r="DG2199" t="s">
        <v>16516</v>
      </c>
      <c r="DH2199" t="str">
        <f>"PSMC2"</f>
        <v>PSMC2</v>
      </c>
      <c r="DI2199" t="s">
        <v>16517</v>
      </c>
      <c r="DJ2199" t="s">
        <v>13777</v>
      </c>
      <c r="DK2199">
        <v>9606</v>
      </c>
      <c r="DL2199" s="34" t="str">
        <f>HYPERLINK("http://www.uniprot.org/uniprot/P35998", "P35998")</f>
        <v>P35998</v>
      </c>
      <c r="DM2199" t="s">
        <v>16518</v>
      </c>
      <c r="DN2199" t="s">
        <v>13772</v>
      </c>
      <c r="DO2199" t="s">
        <v>16519</v>
      </c>
      <c r="DP2199" t="s">
        <v>13841</v>
      </c>
      <c r="DQ2199" t="s">
        <v>13772</v>
      </c>
      <c r="DR2199" t="s">
        <v>13772</v>
      </c>
      <c r="DS2199" t="s">
        <v>13772</v>
      </c>
      <c r="DT2199" t="s">
        <v>14005</v>
      </c>
      <c r="DU2199" t="s">
        <v>13772</v>
      </c>
      <c r="DV2199" t="s">
        <v>14020</v>
      </c>
      <c r="DW2199" t="s">
        <v>13812</v>
      </c>
      <c r="DX2199" t="s">
        <v>16520</v>
      </c>
      <c r="DY2199" t="s">
        <v>16521</v>
      </c>
      <c r="DZ2199" t="s">
        <v>16522</v>
      </c>
      <c r="EA2199" t="s">
        <v>13772</v>
      </c>
      <c r="EB2199" t="s">
        <v>14149</v>
      </c>
    </row>
    <row r="2200" spans="1:132" hidden="1">
      <c r="A2200">
        <v>299</v>
      </c>
      <c r="B2200">
        <v>1</v>
      </c>
      <c r="C2200" t="s">
        <v>751</v>
      </c>
      <c r="D2200" t="s">
        <v>73</v>
      </c>
      <c r="E2200" t="s">
        <v>73</v>
      </c>
      <c r="F2200" t="s">
        <v>73</v>
      </c>
      <c r="G2200" t="s">
        <v>73</v>
      </c>
      <c r="H2200">
        <v>3.7</v>
      </c>
      <c r="I2200">
        <v>871</v>
      </c>
      <c r="J2200">
        <v>97376</v>
      </c>
      <c r="K2200" t="s">
        <v>752</v>
      </c>
      <c r="L2200">
        <f t="shared" si="138"/>
        <v>2</v>
      </c>
      <c r="N2200">
        <v>2</v>
      </c>
      <c r="O2200">
        <v>2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2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f t="shared" si="141"/>
        <v>2</v>
      </c>
      <c r="BW2200" s="16">
        <f t="shared" si="139"/>
        <v>0.10526315789473684</v>
      </c>
      <c r="BX2200" s="16">
        <f>COUNTIF($BC$6:BU2200, "=0") / COUNTIF($BC$6:BU2200, "&gt;-1")</f>
        <v>0.51706030451984175</v>
      </c>
      <c r="BY2200" s="18">
        <f>SUM($BC$6:BU2200) / $BY$4</f>
        <v>0.99950114906845555</v>
      </c>
      <c r="BZ2200" s="14">
        <f t="shared" si="140"/>
        <v>18</v>
      </c>
      <c r="CA2200" t="s">
        <v>5832</v>
      </c>
      <c r="CZ2200" t="s">
        <v>6726</v>
      </c>
      <c r="DA2200" t="s">
        <v>5904</v>
      </c>
      <c r="DB2200">
        <v>1761.9</v>
      </c>
      <c r="DC2200" t="s">
        <v>16523</v>
      </c>
      <c r="DD2200" t="s">
        <v>16524</v>
      </c>
      <c r="DE2200" t="s">
        <v>16525</v>
      </c>
      <c r="DF2200" t="s">
        <v>16526</v>
      </c>
      <c r="DG2200" t="s">
        <v>16527</v>
      </c>
      <c r="DH2200" t="str">
        <f>"COPG2"</f>
        <v>COPG2</v>
      </c>
      <c r="DI2200" t="s">
        <v>13772</v>
      </c>
      <c r="DJ2200" t="s">
        <v>13777</v>
      </c>
      <c r="DK2200">
        <v>9606</v>
      </c>
      <c r="DL2200" s="34" t="str">
        <f>HYPERLINK("http://www.uniprot.org/uniprot/Q9UBF2", "Q9UBF2")</f>
        <v>Q9UBF2</v>
      </c>
      <c r="DM2200" t="s">
        <v>16528</v>
      </c>
      <c r="DN2200" t="s">
        <v>15450</v>
      </c>
      <c r="DO2200" t="s">
        <v>16529</v>
      </c>
      <c r="DP2200" t="s">
        <v>13780</v>
      </c>
      <c r="DQ2200" t="s">
        <v>13772</v>
      </c>
      <c r="DR2200" t="s">
        <v>13772</v>
      </c>
      <c r="DS2200" t="s">
        <v>14096</v>
      </c>
      <c r="DT2200" t="s">
        <v>13772</v>
      </c>
      <c r="DU2200" t="s">
        <v>13772</v>
      </c>
      <c r="DV2200" t="s">
        <v>13782</v>
      </c>
      <c r="DW2200" t="s">
        <v>13772</v>
      </c>
      <c r="DX2200" t="s">
        <v>16530</v>
      </c>
      <c r="DY2200" t="s">
        <v>16531</v>
      </c>
      <c r="DZ2200" t="s">
        <v>16532</v>
      </c>
      <c r="EA2200" t="s">
        <v>13772</v>
      </c>
      <c r="EB2200" t="s">
        <v>16533</v>
      </c>
    </row>
    <row r="2201" spans="1:132" hidden="1">
      <c r="A2201">
        <v>321</v>
      </c>
      <c r="B2201">
        <v>1</v>
      </c>
      <c r="C2201" t="s">
        <v>806</v>
      </c>
      <c r="D2201" t="s">
        <v>73</v>
      </c>
      <c r="E2201" t="s">
        <v>73</v>
      </c>
      <c r="F2201" t="s">
        <v>73</v>
      </c>
      <c r="G2201" t="s">
        <v>73</v>
      </c>
      <c r="H2201">
        <v>2.1</v>
      </c>
      <c r="I2201">
        <v>1584</v>
      </c>
      <c r="J2201">
        <v>183753</v>
      </c>
      <c r="K2201" t="s">
        <v>807</v>
      </c>
      <c r="L2201">
        <f t="shared" si="138"/>
        <v>2</v>
      </c>
      <c r="N2201">
        <v>2</v>
      </c>
      <c r="O2201">
        <v>2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2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2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f t="shared" si="141"/>
        <v>2</v>
      </c>
      <c r="BW2201" s="16">
        <f t="shared" si="139"/>
        <v>0.10526315789473684</v>
      </c>
      <c r="BX2201" s="16">
        <f>COUNTIF($BC$6:BU2201, "=0") / COUNTIF($BC$6:BU2201, "&gt;-1")</f>
        <v>0.5172562553925798</v>
      </c>
      <c r="BY2201" s="18">
        <f>SUM($BC$6:BU2201) / $BY$4</f>
        <v>0.99950971634219299</v>
      </c>
      <c r="BZ2201" s="14">
        <f t="shared" si="140"/>
        <v>18</v>
      </c>
      <c r="CA2201" t="s">
        <v>5832</v>
      </c>
      <c r="CZ2201" t="s">
        <v>6810</v>
      </c>
      <c r="DA2201" t="s">
        <v>5904</v>
      </c>
      <c r="DB2201">
        <v>2546.5</v>
      </c>
      <c r="DC2201" t="s">
        <v>16759</v>
      </c>
      <c r="DD2201" t="s">
        <v>13772</v>
      </c>
      <c r="DE2201" t="s">
        <v>16760</v>
      </c>
      <c r="DF2201" t="s">
        <v>16761</v>
      </c>
      <c r="DG2201" t="s">
        <v>16762</v>
      </c>
      <c r="DH2201" t="str">
        <f>"SAMD9L"</f>
        <v>SAMD9L</v>
      </c>
      <c r="DI2201" t="s">
        <v>16763</v>
      </c>
      <c r="DJ2201" t="s">
        <v>13777</v>
      </c>
      <c r="DK2201">
        <v>9606</v>
      </c>
      <c r="DL2201" s="34" t="str">
        <f>HYPERLINK("http://www.uniprot.org/uniprot/Q8IVG5", "Q8IVG5")</f>
        <v>Q8IVG5</v>
      </c>
      <c r="DM2201" t="s">
        <v>16764</v>
      </c>
      <c r="DN2201" t="s">
        <v>13772</v>
      </c>
      <c r="DO2201" t="s">
        <v>16765</v>
      </c>
      <c r="DP2201" t="s">
        <v>13780</v>
      </c>
      <c r="DQ2201" t="s">
        <v>13772</v>
      </c>
      <c r="DR2201" t="s">
        <v>13807</v>
      </c>
      <c r="DS2201" t="s">
        <v>13772</v>
      </c>
      <c r="DT2201" t="s">
        <v>13772</v>
      </c>
      <c r="DU2201" t="s">
        <v>13772</v>
      </c>
      <c r="DV2201" t="s">
        <v>13772</v>
      </c>
      <c r="DW2201" t="s">
        <v>13772</v>
      </c>
      <c r="DX2201" t="s">
        <v>16766</v>
      </c>
      <c r="DY2201" t="s">
        <v>16767</v>
      </c>
      <c r="DZ2201" t="s">
        <v>13772</v>
      </c>
      <c r="EA2201" t="s">
        <v>13772</v>
      </c>
      <c r="EB2201" t="s">
        <v>13772</v>
      </c>
    </row>
    <row r="2202" spans="1:132" hidden="1">
      <c r="A2202">
        <v>371</v>
      </c>
      <c r="B2202">
        <v>1</v>
      </c>
      <c r="C2202" t="s">
        <v>924</v>
      </c>
      <c r="D2202" t="s">
        <v>73</v>
      </c>
      <c r="E2202" t="s">
        <v>73</v>
      </c>
      <c r="F2202" t="s">
        <v>73</v>
      </c>
      <c r="G2202" t="s">
        <v>73</v>
      </c>
      <c r="H2202">
        <v>11.3</v>
      </c>
      <c r="I2202">
        <v>257</v>
      </c>
      <c r="J2202">
        <v>28388</v>
      </c>
      <c r="K2202" t="s">
        <v>925</v>
      </c>
      <c r="L2202">
        <f t="shared" si="138"/>
        <v>2</v>
      </c>
      <c r="N2202">
        <v>2</v>
      </c>
      <c r="O2202">
        <v>2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2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f t="shared" si="141"/>
        <v>2</v>
      </c>
      <c r="BW2202" s="16">
        <f t="shared" si="139"/>
        <v>0.10526315789473684</v>
      </c>
      <c r="BX2202" s="16">
        <f>COUNTIF($BC$6:BU2202, "=0") / COUNTIF($BC$6:BU2202, "&gt;-1")</f>
        <v>0.51745202788491484</v>
      </c>
      <c r="BY2202" s="18">
        <f>SUM($BC$6:BU2202) / $BY$4</f>
        <v>0.99951828361593031</v>
      </c>
      <c r="BZ2202" s="14">
        <f t="shared" si="140"/>
        <v>18</v>
      </c>
      <c r="CA2202" t="s">
        <v>5832</v>
      </c>
      <c r="CZ2202" t="s">
        <v>6985</v>
      </c>
      <c r="DA2202" t="s">
        <v>5904</v>
      </c>
      <c r="DB2202">
        <v>468</v>
      </c>
      <c r="DC2202" t="s">
        <v>17302</v>
      </c>
      <c r="DD2202" t="s">
        <v>17303</v>
      </c>
      <c r="DE2202" t="s">
        <v>17304</v>
      </c>
      <c r="DF2202" t="s">
        <v>17305</v>
      </c>
      <c r="DG2202" t="s">
        <v>17306</v>
      </c>
      <c r="DH2202" t="str">
        <f>"SYPL1"</f>
        <v>SYPL1</v>
      </c>
      <c r="DI2202" t="s">
        <v>17307</v>
      </c>
      <c r="DJ2202" t="s">
        <v>13777</v>
      </c>
      <c r="DK2202">
        <v>9606</v>
      </c>
      <c r="DL2202" s="34" t="str">
        <f>HYPERLINK("http://www.uniprot.org/uniprot/Q16563", "Q16563")</f>
        <v>Q16563</v>
      </c>
      <c r="DM2202" t="s">
        <v>17308</v>
      </c>
      <c r="DN2202" t="s">
        <v>13772</v>
      </c>
      <c r="DO2202" t="s">
        <v>14033</v>
      </c>
      <c r="DP2202" t="s">
        <v>13841</v>
      </c>
      <c r="DQ2202" t="s">
        <v>13772</v>
      </c>
      <c r="DR2202" t="s">
        <v>13772</v>
      </c>
      <c r="DS2202" t="s">
        <v>13925</v>
      </c>
      <c r="DT2202" t="s">
        <v>13772</v>
      </c>
      <c r="DU2202" t="s">
        <v>13772</v>
      </c>
      <c r="DV2202" t="s">
        <v>13858</v>
      </c>
      <c r="DW2202" t="s">
        <v>13772</v>
      </c>
      <c r="DX2202" t="s">
        <v>17309</v>
      </c>
      <c r="DY2202" t="s">
        <v>17310</v>
      </c>
      <c r="DZ2202" t="s">
        <v>15631</v>
      </c>
      <c r="EA2202" t="s">
        <v>13772</v>
      </c>
      <c r="EB2202" t="s">
        <v>13772</v>
      </c>
    </row>
    <row r="2203" spans="1:132" hidden="1">
      <c r="A2203">
        <v>495</v>
      </c>
      <c r="B2203">
        <v>1</v>
      </c>
      <c r="C2203" t="s">
        <v>1245</v>
      </c>
      <c r="D2203" t="s">
        <v>1246</v>
      </c>
      <c r="E2203" t="s">
        <v>73</v>
      </c>
      <c r="F2203" t="s">
        <v>73</v>
      </c>
      <c r="G2203" t="s">
        <v>73</v>
      </c>
      <c r="H2203">
        <v>1.3</v>
      </c>
      <c r="I2203">
        <v>3053</v>
      </c>
      <c r="J2203">
        <v>348848</v>
      </c>
      <c r="K2203" t="s">
        <v>1247</v>
      </c>
      <c r="L2203">
        <f t="shared" si="138"/>
        <v>2</v>
      </c>
      <c r="N2203">
        <v>2</v>
      </c>
      <c r="O2203">
        <v>2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2</v>
      </c>
      <c r="AZ2203">
        <v>0</v>
      </c>
      <c r="BA2203">
        <v>0</v>
      </c>
      <c r="BB2203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2</v>
      </c>
      <c r="BS2203" s="2">
        <v>0</v>
      </c>
      <c r="BT2203" s="2">
        <v>0</v>
      </c>
      <c r="BU2203" s="2">
        <v>0</v>
      </c>
      <c r="BV2203" s="2">
        <f t="shared" si="141"/>
        <v>2</v>
      </c>
      <c r="BW2203" s="16">
        <f t="shared" si="139"/>
        <v>0.10526315789473684</v>
      </c>
      <c r="BX2203" s="16">
        <f>COUNTIF($BC$6:BU2203, "=0") / COUNTIF($BC$6:BU2203, "&gt;-1")</f>
        <v>0.51764762224031413</v>
      </c>
      <c r="BY2203" s="18">
        <f>SUM($BC$6:BU2203) / $BY$4</f>
        <v>0.99952685088966775</v>
      </c>
      <c r="BZ2203" s="14">
        <f t="shared" si="140"/>
        <v>18</v>
      </c>
      <c r="CA2203" t="s">
        <v>5832</v>
      </c>
      <c r="CZ2203" t="s">
        <v>7425</v>
      </c>
      <c r="DA2203" t="s">
        <v>5904</v>
      </c>
      <c r="DB2203">
        <v>5655.9</v>
      </c>
      <c r="DC2203" t="s">
        <v>18641</v>
      </c>
      <c r="DD2203" t="s">
        <v>18642</v>
      </c>
      <c r="DE2203" t="s">
        <v>18643</v>
      </c>
      <c r="DF2203" t="s">
        <v>18644</v>
      </c>
      <c r="DG2203" t="s">
        <v>18645</v>
      </c>
      <c r="DH2203" t="str">
        <f>"ATM"</f>
        <v>ATM</v>
      </c>
      <c r="DI2203" t="s">
        <v>13772</v>
      </c>
      <c r="DJ2203" t="s">
        <v>13777</v>
      </c>
      <c r="DK2203">
        <v>9606</v>
      </c>
      <c r="DL2203" s="34" t="str">
        <f>HYPERLINK("http://www.uniprot.org/uniprot/Q13315", "Q13315")</f>
        <v>Q13315</v>
      </c>
      <c r="DM2203" t="s">
        <v>18646</v>
      </c>
      <c r="DN2203" t="s">
        <v>18647</v>
      </c>
      <c r="DO2203" t="s">
        <v>18648</v>
      </c>
      <c r="DP2203" t="s">
        <v>13793</v>
      </c>
      <c r="DQ2203" t="s">
        <v>13772</v>
      </c>
      <c r="DR2203" t="s">
        <v>18649</v>
      </c>
      <c r="DS2203" t="s">
        <v>13772</v>
      </c>
      <c r="DT2203" t="s">
        <v>14005</v>
      </c>
      <c r="DU2203" t="s">
        <v>18650</v>
      </c>
      <c r="DV2203" t="s">
        <v>13886</v>
      </c>
      <c r="DW2203" t="s">
        <v>13812</v>
      </c>
      <c r="DX2203" t="s">
        <v>18651</v>
      </c>
      <c r="DY2203" t="s">
        <v>18652</v>
      </c>
      <c r="DZ2203" t="s">
        <v>18653</v>
      </c>
      <c r="EA2203" t="s">
        <v>13772</v>
      </c>
      <c r="EB2203" t="s">
        <v>18654</v>
      </c>
    </row>
    <row r="2204" spans="1:132" hidden="1">
      <c r="A2204">
        <v>558</v>
      </c>
      <c r="B2204">
        <v>1</v>
      </c>
      <c r="C2204" t="s">
        <v>1391</v>
      </c>
      <c r="D2204" t="s">
        <v>73</v>
      </c>
      <c r="E2204" t="s">
        <v>73</v>
      </c>
      <c r="F2204" t="s">
        <v>73</v>
      </c>
      <c r="G2204" t="s">
        <v>73</v>
      </c>
      <c r="H2204">
        <v>6.1</v>
      </c>
      <c r="I2204">
        <v>807</v>
      </c>
      <c r="J2204">
        <v>89256</v>
      </c>
      <c r="K2204" t="s">
        <v>1392</v>
      </c>
      <c r="L2204">
        <f t="shared" si="138"/>
        <v>2</v>
      </c>
      <c r="N2204">
        <v>2</v>
      </c>
      <c r="O2204">
        <v>2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2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f t="shared" si="141"/>
        <v>2</v>
      </c>
      <c r="BW2204" s="16">
        <f t="shared" si="139"/>
        <v>0.10526315789473684</v>
      </c>
      <c r="BX2204" s="16">
        <f>COUNTIF($BC$6:BU2204, "=0") / COUNTIF($BC$6:BU2204, "&gt;-1")</f>
        <v>0.51784303870180226</v>
      </c>
      <c r="BY2204" s="18">
        <f>SUM($BC$6:BU2204) / $BY$4</f>
        <v>0.99953541816340519</v>
      </c>
      <c r="BZ2204" s="14">
        <f t="shared" si="140"/>
        <v>18</v>
      </c>
      <c r="CA2204" t="s">
        <v>5832</v>
      </c>
      <c r="CZ2204" t="s">
        <v>7627</v>
      </c>
      <c r="DA2204" t="s">
        <v>5904</v>
      </c>
      <c r="DB2204">
        <v>1656</v>
      </c>
      <c r="DC2204" t="s">
        <v>19270</v>
      </c>
      <c r="DD2204" t="s">
        <v>13772</v>
      </c>
      <c r="DE2204" t="s">
        <v>19271</v>
      </c>
      <c r="DF2204" t="s">
        <v>19272</v>
      </c>
      <c r="DG2204" t="s">
        <v>19273</v>
      </c>
      <c r="DH2204" t="str">
        <f>"OSBP"</f>
        <v>OSBP</v>
      </c>
      <c r="DI2204" t="s">
        <v>19274</v>
      </c>
      <c r="DJ2204" t="s">
        <v>13777</v>
      </c>
      <c r="DK2204">
        <v>9606</v>
      </c>
      <c r="DL2204" s="34" t="str">
        <f>HYPERLINK("http://www.uniprot.org/uniprot/P22059", "P22059")</f>
        <v>P22059</v>
      </c>
      <c r="DM2204" t="s">
        <v>19275</v>
      </c>
      <c r="DN2204" t="s">
        <v>13898</v>
      </c>
      <c r="DO2204" t="s">
        <v>19276</v>
      </c>
      <c r="DP2204" t="s">
        <v>13793</v>
      </c>
      <c r="DQ2204" t="s">
        <v>13772</v>
      </c>
      <c r="DR2204" t="s">
        <v>13772</v>
      </c>
      <c r="DS2204" t="s">
        <v>14245</v>
      </c>
      <c r="DT2204" t="s">
        <v>13900</v>
      </c>
      <c r="DU2204" t="s">
        <v>13772</v>
      </c>
      <c r="DV2204" t="s">
        <v>13886</v>
      </c>
      <c r="DW2204" t="s">
        <v>13812</v>
      </c>
      <c r="DX2204" t="s">
        <v>19277</v>
      </c>
      <c r="DY2204" t="s">
        <v>19278</v>
      </c>
      <c r="DZ2204" t="s">
        <v>19279</v>
      </c>
      <c r="EA2204" t="s">
        <v>13772</v>
      </c>
      <c r="EB2204" t="s">
        <v>19280</v>
      </c>
    </row>
    <row r="2205" spans="1:132" hidden="1">
      <c r="A2205">
        <v>629</v>
      </c>
      <c r="B2205">
        <v>1</v>
      </c>
      <c r="C2205" t="s">
        <v>1556</v>
      </c>
      <c r="D2205" t="s">
        <v>73</v>
      </c>
      <c r="E2205" t="s">
        <v>73</v>
      </c>
      <c r="F2205" t="s">
        <v>73</v>
      </c>
      <c r="G2205" t="s">
        <v>73</v>
      </c>
      <c r="H2205">
        <v>7.2</v>
      </c>
      <c r="I2205">
        <v>459</v>
      </c>
      <c r="J2205">
        <v>50877</v>
      </c>
      <c r="K2205" t="s">
        <v>1557</v>
      </c>
      <c r="L2205">
        <f t="shared" si="138"/>
        <v>2</v>
      </c>
      <c r="N2205">
        <v>2</v>
      </c>
      <c r="O2205">
        <v>2</v>
      </c>
      <c r="P2205">
        <v>1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s="2">
        <v>0</v>
      </c>
      <c r="BD2205" s="2">
        <v>2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f t="shared" si="141"/>
        <v>2</v>
      </c>
      <c r="BW2205" s="16">
        <f t="shared" si="139"/>
        <v>0.10526315789473684</v>
      </c>
      <c r="BX2205" s="16">
        <f>COUNTIF($BC$6:BU2205, "=0") / COUNTIF($BC$6:BU2205, "&gt;-1")</f>
        <v>0.51803827751196174</v>
      </c>
      <c r="BY2205" s="18">
        <f>SUM($BC$6:BU2205) / $BY$4</f>
        <v>0.99954398543714251</v>
      </c>
      <c r="BZ2205" s="14">
        <f t="shared" si="140"/>
        <v>18</v>
      </c>
      <c r="CA2205" t="s">
        <v>5832</v>
      </c>
      <c r="CZ2205" t="s">
        <v>7864</v>
      </c>
      <c r="DA2205" t="s">
        <v>5904</v>
      </c>
      <c r="DB2205">
        <v>733</v>
      </c>
      <c r="DC2205" t="s">
        <v>19995</v>
      </c>
      <c r="DD2205" t="s">
        <v>13772</v>
      </c>
      <c r="DE2205" t="s">
        <v>19996</v>
      </c>
      <c r="DF2205" t="s">
        <v>19997</v>
      </c>
      <c r="DG2205" t="s">
        <v>19998</v>
      </c>
      <c r="DH2205" t="str">
        <f>"CTSF"</f>
        <v>CTSF</v>
      </c>
      <c r="DI2205" t="s">
        <v>13772</v>
      </c>
      <c r="DJ2205" t="s">
        <v>13777</v>
      </c>
      <c r="DK2205">
        <v>9606</v>
      </c>
      <c r="DL2205" s="34" t="str">
        <f>HYPERLINK("http://www.uniprot.org/uniprot/Q9UBX1", "Q9UBX1")</f>
        <v>Q9UBX1</v>
      </c>
      <c r="DM2205" t="s">
        <v>19999</v>
      </c>
      <c r="DN2205" t="s">
        <v>13772</v>
      </c>
      <c r="DO2205" t="s">
        <v>13806</v>
      </c>
      <c r="DP2205" t="s">
        <v>13793</v>
      </c>
      <c r="DQ2205" t="s">
        <v>13772</v>
      </c>
      <c r="DR2205" t="s">
        <v>18044</v>
      </c>
      <c r="DS2205" t="s">
        <v>13808</v>
      </c>
      <c r="DT2205" t="s">
        <v>13772</v>
      </c>
      <c r="DU2205" t="s">
        <v>14083</v>
      </c>
      <c r="DV2205" t="s">
        <v>15472</v>
      </c>
      <c r="DW2205" t="s">
        <v>13812</v>
      </c>
      <c r="DX2205" t="s">
        <v>20000</v>
      </c>
      <c r="DY2205" t="s">
        <v>20001</v>
      </c>
      <c r="DZ2205" t="s">
        <v>20002</v>
      </c>
      <c r="EA2205" t="s">
        <v>13772</v>
      </c>
      <c r="EB2205" t="s">
        <v>20003</v>
      </c>
    </row>
    <row r="2206" spans="1:132" hidden="1">
      <c r="A2206">
        <v>684</v>
      </c>
      <c r="B2206">
        <v>1</v>
      </c>
      <c r="C2206" t="s">
        <v>1683</v>
      </c>
      <c r="D2206" t="s">
        <v>1684</v>
      </c>
      <c r="E2206" t="s">
        <v>73</v>
      </c>
      <c r="F2206" t="s">
        <v>1685</v>
      </c>
      <c r="G2206" t="s">
        <v>73</v>
      </c>
      <c r="H2206">
        <v>5.9</v>
      </c>
      <c r="I2206">
        <v>492</v>
      </c>
      <c r="J2206">
        <v>53331</v>
      </c>
      <c r="K2206" t="s">
        <v>1686</v>
      </c>
      <c r="L2206">
        <f t="shared" si="138"/>
        <v>7</v>
      </c>
      <c r="N2206">
        <v>7</v>
      </c>
      <c r="O2206">
        <v>2</v>
      </c>
      <c r="P2206">
        <v>0.28599999999999998</v>
      </c>
      <c r="Q2206">
        <v>0</v>
      </c>
      <c r="R2206">
        <v>1</v>
      </c>
      <c r="S2206">
        <v>0</v>
      </c>
      <c r="T2206">
        <v>0</v>
      </c>
      <c r="U2206">
        <v>1</v>
      </c>
      <c r="V2206">
        <v>1</v>
      </c>
      <c r="W2206">
        <v>1</v>
      </c>
      <c r="X2206">
        <v>0</v>
      </c>
      <c r="Y2206">
        <v>2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2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f t="shared" si="141"/>
        <v>2</v>
      </c>
      <c r="BW2206" s="16">
        <f t="shared" si="139"/>
        <v>0.10526315789473684</v>
      </c>
      <c r="BX2206" s="16">
        <f>COUNTIF($BC$6:BU2206, "=0") / COUNTIF($BC$6:BU2206, "&gt;-1")</f>
        <v>0.51823333891293433</v>
      </c>
      <c r="BY2206" s="18">
        <f>SUM($BC$6:BU2206) / $BY$4</f>
        <v>0.99955255271087995</v>
      </c>
      <c r="BZ2206" s="14">
        <f t="shared" si="140"/>
        <v>18</v>
      </c>
      <c r="CA2206" t="s">
        <v>5832</v>
      </c>
      <c r="CZ2206" t="s">
        <v>8053</v>
      </c>
      <c r="DA2206" t="s">
        <v>5904</v>
      </c>
      <c r="DB2206">
        <v>655.20000000000005</v>
      </c>
      <c r="DC2206" t="s">
        <v>20536</v>
      </c>
      <c r="DD2206" t="s">
        <v>20537</v>
      </c>
      <c r="DE2206" t="s">
        <v>20538</v>
      </c>
      <c r="DF2206" t="s">
        <v>20539</v>
      </c>
      <c r="DG2206" t="s">
        <v>20540</v>
      </c>
      <c r="DH2206" t="str">
        <f>"ICAM3"</f>
        <v>ICAM3</v>
      </c>
      <c r="DI2206" t="s">
        <v>13772</v>
      </c>
      <c r="DJ2206" t="s">
        <v>13777</v>
      </c>
      <c r="DK2206">
        <v>9606</v>
      </c>
      <c r="DL2206" s="34" t="str">
        <f>HYPERLINK("http://www.uniprot.org/uniprot/P32942", "P32942")</f>
        <v>P32942</v>
      </c>
      <c r="DM2206" t="s">
        <v>20541</v>
      </c>
      <c r="DN2206" t="s">
        <v>20542</v>
      </c>
      <c r="DO2206" t="s">
        <v>13825</v>
      </c>
      <c r="DP2206" t="s">
        <v>13793</v>
      </c>
      <c r="DQ2206" t="s">
        <v>13772</v>
      </c>
      <c r="DR2206" t="s">
        <v>13772</v>
      </c>
      <c r="DS2206" t="s">
        <v>13951</v>
      </c>
      <c r="DT2206" t="s">
        <v>13772</v>
      </c>
      <c r="DU2206" t="s">
        <v>13772</v>
      </c>
      <c r="DV2206" t="s">
        <v>13964</v>
      </c>
      <c r="DW2206" t="s">
        <v>13812</v>
      </c>
      <c r="DX2206" t="s">
        <v>20543</v>
      </c>
      <c r="DY2206" t="s">
        <v>20544</v>
      </c>
      <c r="DZ2206" t="s">
        <v>20545</v>
      </c>
      <c r="EA2206" t="s">
        <v>13772</v>
      </c>
      <c r="EB2206" t="s">
        <v>13955</v>
      </c>
    </row>
    <row r="2207" spans="1:132" hidden="1">
      <c r="A2207">
        <v>757</v>
      </c>
      <c r="B2207">
        <v>1</v>
      </c>
      <c r="C2207" t="s">
        <v>1860</v>
      </c>
      <c r="D2207" t="s">
        <v>1861</v>
      </c>
      <c r="E2207" t="s">
        <v>73</v>
      </c>
      <c r="F2207" t="s">
        <v>73</v>
      </c>
      <c r="G2207" t="s">
        <v>73</v>
      </c>
      <c r="H2207">
        <v>7.4</v>
      </c>
      <c r="I2207">
        <v>404</v>
      </c>
      <c r="J2207">
        <v>44996</v>
      </c>
      <c r="K2207" t="s">
        <v>1862</v>
      </c>
      <c r="L2207">
        <f t="shared" si="138"/>
        <v>2</v>
      </c>
      <c r="N2207">
        <v>2</v>
      </c>
      <c r="O2207">
        <v>2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2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f t="shared" si="141"/>
        <v>2</v>
      </c>
      <c r="BW2207" s="16">
        <f t="shared" si="139"/>
        <v>0.10526315789473684</v>
      </c>
      <c r="BX2207" s="16">
        <f>COUNTIF($BC$6:BU2207, "=0") / COUNTIF($BC$6:BU2207, "&gt;-1")</f>
        <v>0.5184282231464219</v>
      </c>
      <c r="BY2207" s="18">
        <f>SUM($BC$6:BU2207) / $BY$4</f>
        <v>0.99956111998461739</v>
      </c>
      <c r="BZ2207" s="14">
        <f t="shared" si="140"/>
        <v>18</v>
      </c>
      <c r="CA2207" t="s">
        <v>5832</v>
      </c>
      <c r="CZ2207" t="s">
        <v>8293</v>
      </c>
      <c r="DA2207" t="s">
        <v>5904</v>
      </c>
      <c r="DB2207">
        <v>717.6</v>
      </c>
      <c r="DC2207" t="s">
        <v>21232</v>
      </c>
      <c r="DD2207" t="s">
        <v>21233</v>
      </c>
      <c r="DE2207" t="s">
        <v>21234</v>
      </c>
      <c r="DF2207" t="s">
        <v>21235</v>
      </c>
      <c r="DG2207" t="s">
        <v>21236</v>
      </c>
      <c r="DH2207" t="str">
        <f>"SH3GL1"</f>
        <v>SH3GL1</v>
      </c>
      <c r="DI2207" t="s">
        <v>21237</v>
      </c>
      <c r="DJ2207" t="s">
        <v>13777</v>
      </c>
      <c r="DK2207">
        <v>9606</v>
      </c>
      <c r="DL2207" s="34" t="str">
        <f>HYPERLINK("http://www.uniprot.org/uniprot/Q99961", "Q99961")</f>
        <v>Q99961</v>
      </c>
      <c r="DM2207" t="s">
        <v>21238</v>
      </c>
      <c r="DN2207" t="s">
        <v>13824</v>
      </c>
      <c r="DO2207" t="s">
        <v>21239</v>
      </c>
      <c r="DP2207" t="s">
        <v>14661</v>
      </c>
      <c r="DQ2207" t="s">
        <v>13772</v>
      </c>
      <c r="DR2207" t="s">
        <v>14244</v>
      </c>
      <c r="DS2207" t="s">
        <v>17173</v>
      </c>
      <c r="DT2207" t="s">
        <v>13900</v>
      </c>
      <c r="DU2207" t="s">
        <v>13772</v>
      </c>
      <c r="DV2207" t="s">
        <v>13782</v>
      </c>
      <c r="DW2207" t="s">
        <v>13772</v>
      </c>
      <c r="DX2207" t="s">
        <v>21240</v>
      </c>
      <c r="DY2207" t="s">
        <v>21241</v>
      </c>
      <c r="DZ2207" t="s">
        <v>21242</v>
      </c>
      <c r="EA2207" t="s">
        <v>13772</v>
      </c>
      <c r="EB2207" t="s">
        <v>21243</v>
      </c>
    </row>
    <row r="2208" spans="1:132" hidden="1">
      <c r="A2208">
        <v>783</v>
      </c>
      <c r="B2208">
        <v>1</v>
      </c>
      <c r="C2208" t="s">
        <v>1925</v>
      </c>
      <c r="D2208" t="s">
        <v>73</v>
      </c>
      <c r="E2208" t="s">
        <v>73</v>
      </c>
      <c r="F2208" t="s">
        <v>73</v>
      </c>
      <c r="G2208" t="s">
        <v>73</v>
      </c>
      <c r="H2208">
        <v>1.5</v>
      </c>
      <c r="I2208">
        <v>1887</v>
      </c>
      <c r="J2208">
        <v>205290</v>
      </c>
      <c r="K2208" t="s">
        <v>1926</v>
      </c>
      <c r="L2208">
        <f t="shared" si="138"/>
        <v>2</v>
      </c>
      <c r="N2208">
        <v>2</v>
      </c>
      <c r="O2208">
        <v>2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2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2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f t="shared" si="141"/>
        <v>2</v>
      </c>
      <c r="BW2208" s="16">
        <f t="shared" si="139"/>
        <v>0.10526315789473684</v>
      </c>
      <c r="BX2208" s="16">
        <f>COUNTIF($BC$6:BU2208, "=0") / COUNTIF($BC$6:BU2208, "&gt;-1")</f>
        <v>0.51862293045368757</v>
      </c>
      <c r="BY2208" s="18">
        <f>SUM($BC$6:BU2208) / $BY$4</f>
        <v>0.99956968725835471</v>
      </c>
      <c r="BZ2208" s="14">
        <f t="shared" si="140"/>
        <v>18</v>
      </c>
      <c r="CA2208" t="s">
        <v>5832</v>
      </c>
      <c r="CZ2208" t="s">
        <v>8382</v>
      </c>
      <c r="DA2208" t="s">
        <v>5904</v>
      </c>
      <c r="DB2208">
        <v>3269.2</v>
      </c>
      <c r="DC2208" t="s">
        <v>21501</v>
      </c>
      <c r="DD2208" t="s">
        <v>21502</v>
      </c>
      <c r="DE2208" t="s">
        <v>21503</v>
      </c>
      <c r="DF2208" t="s">
        <v>21504</v>
      </c>
      <c r="DG2208" t="s">
        <v>21505</v>
      </c>
      <c r="DH2208" t="str">
        <f>"NUP210"</f>
        <v>NUP210</v>
      </c>
      <c r="DI2208" t="s">
        <v>21506</v>
      </c>
      <c r="DJ2208" t="s">
        <v>13777</v>
      </c>
      <c r="DK2208">
        <v>9606</v>
      </c>
      <c r="DL2208" s="34" t="str">
        <f>HYPERLINK("http://www.uniprot.org/uniprot/Q8TEM1", "Q8TEM1")</f>
        <v>Q8TEM1</v>
      </c>
      <c r="DM2208" t="s">
        <v>21507</v>
      </c>
      <c r="DN2208" t="s">
        <v>14094</v>
      </c>
      <c r="DO2208" t="s">
        <v>21508</v>
      </c>
      <c r="DP2208" t="s">
        <v>13780</v>
      </c>
      <c r="DQ2208" t="s">
        <v>13772</v>
      </c>
      <c r="DR2208" t="s">
        <v>13772</v>
      </c>
      <c r="DS2208" t="s">
        <v>13855</v>
      </c>
      <c r="DT2208" t="s">
        <v>13772</v>
      </c>
      <c r="DU2208" t="s">
        <v>13772</v>
      </c>
      <c r="DV2208" t="s">
        <v>13978</v>
      </c>
      <c r="DW2208" t="s">
        <v>13772</v>
      </c>
      <c r="DX2208" t="s">
        <v>21509</v>
      </c>
      <c r="DY2208" t="s">
        <v>21510</v>
      </c>
      <c r="DZ2208" t="s">
        <v>21511</v>
      </c>
      <c r="EA2208" t="s">
        <v>13772</v>
      </c>
      <c r="EB2208" t="s">
        <v>21512</v>
      </c>
    </row>
    <row r="2209" spans="1:132" hidden="1">
      <c r="A2209">
        <v>790</v>
      </c>
      <c r="B2209">
        <v>1</v>
      </c>
      <c r="C2209" t="s">
        <v>1940</v>
      </c>
      <c r="D2209" t="s">
        <v>73</v>
      </c>
      <c r="E2209" t="s">
        <v>73</v>
      </c>
      <c r="F2209" t="s">
        <v>73</v>
      </c>
      <c r="G2209" t="s">
        <v>73</v>
      </c>
      <c r="H2209">
        <v>25.8</v>
      </c>
      <c r="I2209">
        <v>163</v>
      </c>
      <c r="J2209">
        <v>18658</v>
      </c>
      <c r="K2209" t="s">
        <v>1941</v>
      </c>
      <c r="L2209">
        <f t="shared" si="138"/>
        <v>2</v>
      </c>
      <c r="N2209">
        <v>2</v>
      </c>
      <c r="O2209">
        <v>2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2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f t="shared" si="141"/>
        <v>2</v>
      </c>
      <c r="BW2209" s="16">
        <f t="shared" si="139"/>
        <v>0.10526315789473684</v>
      </c>
      <c r="BX2209" s="16">
        <f>COUNTIF($BC$6:BU2209, "=0") / COUNTIF($BC$6:BU2209, "&gt;-1")</f>
        <v>0.51881746107555637</v>
      </c>
      <c r="BY2209" s="18">
        <f>SUM($BC$6:BU2209) / $BY$4</f>
        <v>0.99957825453209215</v>
      </c>
      <c r="BZ2209" s="14">
        <f t="shared" si="140"/>
        <v>18</v>
      </c>
      <c r="CA2209" t="s">
        <v>5832</v>
      </c>
      <c r="CZ2209" t="s">
        <v>8406</v>
      </c>
      <c r="DA2209" t="s">
        <v>5904</v>
      </c>
      <c r="DB2209">
        <v>330.5</v>
      </c>
      <c r="DC2209" t="s">
        <v>21578</v>
      </c>
      <c r="DD2209" t="s">
        <v>21579</v>
      </c>
      <c r="DE2209" t="s">
        <v>21580</v>
      </c>
      <c r="DF2209" t="s">
        <v>21581</v>
      </c>
      <c r="DG2209" t="s">
        <v>21582</v>
      </c>
      <c r="DH2209" t="str">
        <f>"SKP1"</f>
        <v>SKP1</v>
      </c>
      <c r="DI2209" t="s">
        <v>21583</v>
      </c>
      <c r="DJ2209" t="s">
        <v>13777</v>
      </c>
      <c r="DK2209">
        <v>9606</v>
      </c>
      <c r="DL2209" s="34" t="str">
        <f>HYPERLINK("http://www.uniprot.org/uniprot/P63208", "P63208")</f>
        <v>P63208</v>
      </c>
      <c r="DM2209" t="s">
        <v>21584</v>
      </c>
      <c r="DN2209" t="s">
        <v>21585</v>
      </c>
      <c r="DO2209" t="s">
        <v>13772</v>
      </c>
      <c r="DP2209" t="s">
        <v>13841</v>
      </c>
      <c r="DQ2209" t="s">
        <v>13772</v>
      </c>
      <c r="DR2209" t="s">
        <v>13772</v>
      </c>
      <c r="DS2209" t="s">
        <v>13772</v>
      </c>
      <c r="DT2209" t="s">
        <v>13772</v>
      </c>
      <c r="DU2209" t="s">
        <v>13772</v>
      </c>
      <c r="DV2209" t="s">
        <v>13938</v>
      </c>
      <c r="DW2209" t="s">
        <v>13812</v>
      </c>
      <c r="DX2209" t="s">
        <v>21586</v>
      </c>
      <c r="DY2209" t="s">
        <v>21587</v>
      </c>
      <c r="DZ2209" t="s">
        <v>21588</v>
      </c>
      <c r="EA2209" t="s">
        <v>14116</v>
      </c>
      <c r="EB2209" t="s">
        <v>21589</v>
      </c>
    </row>
    <row r="2210" spans="1:132" hidden="1">
      <c r="A2210">
        <v>802</v>
      </c>
      <c r="B2210">
        <v>1</v>
      </c>
      <c r="C2210" t="s">
        <v>1968</v>
      </c>
      <c r="D2210" t="s">
        <v>1969</v>
      </c>
      <c r="E2210" t="s">
        <v>73</v>
      </c>
      <c r="F2210" t="s">
        <v>73</v>
      </c>
      <c r="G2210" t="s">
        <v>73</v>
      </c>
      <c r="H2210">
        <v>1.3</v>
      </c>
      <c r="I2210">
        <v>2233</v>
      </c>
      <c r="J2210">
        <v>238267</v>
      </c>
      <c r="K2210" t="s">
        <v>1970</v>
      </c>
      <c r="L2210">
        <f t="shared" si="138"/>
        <v>2</v>
      </c>
      <c r="N2210">
        <v>2</v>
      </c>
      <c r="O2210">
        <v>2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2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f t="shared" si="141"/>
        <v>2</v>
      </c>
      <c r="BW2210" s="16">
        <f t="shared" si="139"/>
        <v>0.10526315789473684</v>
      </c>
      <c r="BX2210" s="16">
        <f>COUNTIF($BC$6:BU2210, "=0") / COUNTIF($BC$6:BU2210, "&gt;-1")</f>
        <v>0.5190118152524168</v>
      </c>
      <c r="BY2210" s="18">
        <f>SUM($BC$6:BU2210) / $BY$4</f>
        <v>0.99958682180582958</v>
      </c>
      <c r="BZ2210" s="14">
        <f t="shared" si="140"/>
        <v>18</v>
      </c>
      <c r="CA2210" t="s">
        <v>5832</v>
      </c>
      <c r="CZ2210" t="s">
        <v>8448</v>
      </c>
      <c r="DA2210" t="s">
        <v>5904</v>
      </c>
      <c r="DB2210">
        <v>3711.4</v>
      </c>
      <c r="DC2210" t="s">
        <v>21698</v>
      </c>
      <c r="DD2210" t="s">
        <v>21699</v>
      </c>
      <c r="DE2210" t="s">
        <v>21700</v>
      </c>
      <c r="DF2210" t="s">
        <v>21701</v>
      </c>
      <c r="DG2210" t="s">
        <v>21702</v>
      </c>
      <c r="DH2210" t="str">
        <f>"USF3"</f>
        <v>USF3</v>
      </c>
      <c r="DI2210" t="s">
        <v>21703</v>
      </c>
      <c r="DJ2210" t="s">
        <v>13777</v>
      </c>
      <c r="DK2210">
        <v>9606</v>
      </c>
      <c r="DL2210" s="34" t="str">
        <f>HYPERLINK("http://www.uniprot.org/uniprot/Q68DE3", "Q68DE3")</f>
        <v>Q68DE3</v>
      </c>
      <c r="DM2210" t="s">
        <v>21704</v>
      </c>
      <c r="DN2210" t="s">
        <v>13772</v>
      </c>
      <c r="DO2210" t="s">
        <v>14825</v>
      </c>
      <c r="DP2210" t="s">
        <v>13793</v>
      </c>
      <c r="DQ2210" t="s">
        <v>13772</v>
      </c>
      <c r="DR2210" t="s">
        <v>13772</v>
      </c>
      <c r="DS2210" t="s">
        <v>14245</v>
      </c>
      <c r="DT2210" t="s">
        <v>13772</v>
      </c>
      <c r="DU2210" t="s">
        <v>15871</v>
      </c>
      <c r="DV2210" t="s">
        <v>13772</v>
      </c>
      <c r="DW2210" t="s">
        <v>13772</v>
      </c>
      <c r="DX2210" t="s">
        <v>21705</v>
      </c>
      <c r="DY2210" t="s">
        <v>15556</v>
      </c>
      <c r="DZ2210" t="s">
        <v>21706</v>
      </c>
      <c r="EA2210" t="s">
        <v>13772</v>
      </c>
      <c r="EB2210" t="s">
        <v>13772</v>
      </c>
    </row>
    <row r="2211" spans="1:132" hidden="1">
      <c r="A2211">
        <v>847</v>
      </c>
      <c r="B2211">
        <v>1</v>
      </c>
      <c r="C2211" t="s">
        <v>2078</v>
      </c>
      <c r="D2211" t="s">
        <v>2079</v>
      </c>
      <c r="E2211" t="s">
        <v>73</v>
      </c>
      <c r="F2211" t="s">
        <v>73</v>
      </c>
      <c r="G2211" t="s">
        <v>73</v>
      </c>
      <c r="H2211">
        <v>2.4</v>
      </c>
      <c r="I2211">
        <v>1064</v>
      </c>
      <c r="J2211">
        <v>112685</v>
      </c>
      <c r="K2211" t="s">
        <v>2080</v>
      </c>
      <c r="L2211">
        <f t="shared" si="138"/>
        <v>2</v>
      </c>
      <c r="N2211">
        <v>2</v>
      </c>
      <c r="O2211">
        <v>2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2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f t="shared" si="141"/>
        <v>2</v>
      </c>
      <c r="BW2211" s="16">
        <f t="shared" si="139"/>
        <v>0.10526315789473684</v>
      </c>
      <c r="BX2211" s="16">
        <f>COUNTIF($BC$6:BU2211, "=0") / COUNTIF($BC$6:BU2211, "&gt;-1")</f>
        <v>0.51920599322422101</v>
      </c>
      <c r="BY2211" s="18">
        <f>SUM($BC$6:BU2211) / $BY$4</f>
        <v>0.99959538907956691</v>
      </c>
      <c r="BZ2211" s="14">
        <f t="shared" si="140"/>
        <v>18</v>
      </c>
      <c r="CA2211" t="s">
        <v>5832</v>
      </c>
      <c r="CZ2211" t="s">
        <v>8604</v>
      </c>
      <c r="DA2211" t="s">
        <v>5904</v>
      </c>
      <c r="DB2211">
        <v>1634.4</v>
      </c>
      <c r="DC2211" t="s">
        <v>22140</v>
      </c>
      <c r="DD2211" t="s">
        <v>22141</v>
      </c>
      <c r="DE2211" t="s">
        <v>22142</v>
      </c>
      <c r="DF2211" t="s">
        <v>22143</v>
      </c>
      <c r="DG2211" t="s">
        <v>22144</v>
      </c>
      <c r="DH2211" t="str">
        <f>"MAP1S"</f>
        <v>MAP1S</v>
      </c>
      <c r="DI2211" t="s">
        <v>22145</v>
      </c>
      <c r="DJ2211" t="s">
        <v>13777</v>
      </c>
      <c r="DK2211">
        <v>9606</v>
      </c>
      <c r="DL2211" s="34" t="str">
        <f>HYPERLINK("http://www.uniprot.org/uniprot/Q66K74", "Q66K74")</f>
        <v>Q66K74</v>
      </c>
      <c r="DM2211" t="s">
        <v>22146</v>
      </c>
      <c r="DN2211" t="s">
        <v>17109</v>
      </c>
      <c r="DO2211" t="s">
        <v>14601</v>
      </c>
      <c r="DP2211" t="s">
        <v>13780</v>
      </c>
      <c r="DQ2211" t="s">
        <v>13772</v>
      </c>
      <c r="DR2211" t="s">
        <v>13772</v>
      </c>
      <c r="DS2211" t="s">
        <v>13772</v>
      </c>
      <c r="DT2211" t="s">
        <v>13772</v>
      </c>
      <c r="DU2211" t="s">
        <v>15871</v>
      </c>
      <c r="DV2211" t="s">
        <v>13782</v>
      </c>
      <c r="DW2211" t="s">
        <v>13772</v>
      </c>
      <c r="DX2211" t="s">
        <v>22147</v>
      </c>
      <c r="DY2211" t="s">
        <v>22148</v>
      </c>
      <c r="DZ2211" t="s">
        <v>22149</v>
      </c>
      <c r="EA2211" t="s">
        <v>13772</v>
      </c>
      <c r="EB2211" t="s">
        <v>13772</v>
      </c>
    </row>
    <row r="2212" spans="1:132" hidden="1">
      <c r="A2212">
        <v>906</v>
      </c>
      <c r="B2212">
        <v>1</v>
      </c>
      <c r="C2212" t="s">
        <v>2208</v>
      </c>
      <c r="D2212" t="s">
        <v>2209</v>
      </c>
      <c r="E2212" t="s">
        <v>73</v>
      </c>
      <c r="F2212" t="s">
        <v>73</v>
      </c>
      <c r="G2212" t="s">
        <v>73</v>
      </c>
      <c r="H2212">
        <v>3.5</v>
      </c>
      <c r="I2212">
        <v>592</v>
      </c>
      <c r="J2212">
        <v>65994</v>
      </c>
      <c r="K2212" t="s">
        <v>2210</v>
      </c>
      <c r="L2212">
        <f t="shared" si="138"/>
        <v>2</v>
      </c>
      <c r="N2212">
        <v>2</v>
      </c>
      <c r="O2212">
        <v>2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2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f t="shared" si="141"/>
        <v>2</v>
      </c>
      <c r="BW2212" s="16">
        <f t="shared" si="139"/>
        <v>0.10526315789473684</v>
      </c>
      <c r="BX2212" s="16">
        <f>COUNTIF($BC$6:BU2212, "=0") / COUNTIF($BC$6:BU2212, "&gt;-1")</f>
        <v>0.51939999523048674</v>
      </c>
      <c r="BY2212" s="18">
        <f>SUM($BC$6:BU2212) / $BY$4</f>
        <v>0.99960395635330435</v>
      </c>
      <c r="BZ2212" s="14">
        <f t="shared" si="140"/>
        <v>18</v>
      </c>
      <c r="CA2212" t="s">
        <v>5832</v>
      </c>
      <c r="CZ2212" t="s">
        <v>8799</v>
      </c>
      <c r="DA2212" t="s">
        <v>5904</v>
      </c>
      <c r="DB2212">
        <v>1097</v>
      </c>
      <c r="DC2212" t="s">
        <v>22721</v>
      </c>
      <c r="DD2212" t="s">
        <v>22722</v>
      </c>
      <c r="DE2212" t="s">
        <v>22723</v>
      </c>
      <c r="DF2212" t="s">
        <v>22724</v>
      </c>
      <c r="DG2212" t="s">
        <v>22725</v>
      </c>
      <c r="DH2212" t="str">
        <f>"SLC6A20"</f>
        <v>SLC6A20</v>
      </c>
      <c r="DI2212" t="s">
        <v>22726</v>
      </c>
      <c r="DJ2212" t="s">
        <v>13777</v>
      </c>
      <c r="DK2212">
        <v>9606</v>
      </c>
      <c r="DL2212" s="34" t="str">
        <f>HYPERLINK("http://www.uniprot.org/uniprot/Q9NP91", "Q9NP91")</f>
        <v>Q9NP91</v>
      </c>
      <c r="DM2212" t="s">
        <v>22727</v>
      </c>
      <c r="DN2212" t="s">
        <v>22728</v>
      </c>
      <c r="DO2212" t="s">
        <v>13792</v>
      </c>
      <c r="DP2212" t="s">
        <v>13780</v>
      </c>
      <c r="DQ2212" t="s">
        <v>13772</v>
      </c>
      <c r="DR2212" t="s">
        <v>13772</v>
      </c>
      <c r="DS2212" t="s">
        <v>13925</v>
      </c>
      <c r="DT2212" t="s">
        <v>13772</v>
      </c>
      <c r="DU2212" t="s">
        <v>13772</v>
      </c>
      <c r="DV2212" t="s">
        <v>13858</v>
      </c>
      <c r="DW2212" t="s">
        <v>13772</v>
      </c>
      <c r="DX2212" t="s">
        <v>22729</v>
      </c>
      <c r="DY2212" t="s">
        <v>22730</v>
      </c>
      <c r="DZ2212" t="s">
        <v>22731</v>
      </c>
      <c r="EA2212" t="s">
        <v>13772</v>
      </c>
      <c r="EB2212" t="s">
        <v>22732</v>
      </c>
    </row>
    <row r="2213" spans="1:132" hidden="1">
      <c r="A2213">
        <v>943</v>
      </c>
      <c r="B2213">
        <v>1</v>
      </c>
      <c r="C2213" t="s">
        <v>2295</v>
      </c>
      <c r="D2213" t="s">
        <v>2296</v>
      </c>
      <c r="E2213" t="s">
        <v>73</v>
      </c>
      <c r="F2213" t="s">
        <v>73</v>
      </c>
      <c r="G2213" t="s">
        <v>73</v>
      </c>
      <c r="H2213">
        <v>6.3</v>
      </c>
      <c r="I2213">
        <v>445</v>
      </c>
      <c r="J2213">
        <v>49666</v>
      </c>
      <c r="K2213" t="s">
        <v>2297</v>
      </c>
      <c r="L2213">
        <f t="shared" si="138"/>
        <v>2</v>
      </c>
      <c r="N2213">
        <v>2</v>
      </c>
      <c r="O2213">
        <v>2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2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2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f t="shared" si="141"/>
        <v>2</v>
      </c>
      <c r="BW2213" s="16">
        <f t="shared" si="139"/>
        <v>0.10526315789473684</v>
      </c>
      <c r="BX2213" s="16">
        <f>COUNTIF($BC$6:BU2213, "=0") / COUNTIF($BC$6:BU2213, "&gt;-1")</f>
        <v>0.51959382151029754</v>
      </c>
      <c r="BY2213" s="18">
        <f>SUM($BC$6:BU2213) / $BY$4</f>
        <v>0.99961252362704178</v>
      </c>
      <c r="BZ2213" s="14">
        <f t="shared" si="140"/>
        <v>18</v>
      </c>
      <c r="CA2213" t="s">
        <v>5832</v>
      </c>
      <c r="CZ2213" t="s">
        <v>8931</v>
      </c>
      <c r="DA2213" t="s">
        <v>5904</v>
      </c>
      <c r="DB2213">
        <v>822</v>
      </c>
      <c r="DC2213" t="s">
        <v>23087</v>
      </c>
      <c r="DD2213" t="s">
        <v>23088</v>
      </c>
      <c r="DE2213" t="s">
        <v>23089</v>
      </c>
      <c r="DF2213" t="s">
        <v>23090</v>
      </c>
      <c r="DG2213" t="s">
        <v>23091</v>
      </c>
      <c r="DH2213" t="str">
        <f>"STK24"</f>
        <v>STK24</v>
      </c>
      <c r="DI2213" t="s">
        <v>23092</v>
      </c>
      <c r="DJ2213" t="s">
        <v>13777</v>
      </c>
      <c r="DK2213">
        <v>9606</v>
      </c>
      <c r="DL2213" s="34" t="str">
        <f>HYPERLINK("http://www.uniprot.org/uniprot/Q9Y6E0", "Q9Y6E0")</f>
        <v>Q9Y6E0</v>
      </c>
      <c r="DM2213" t="s">
        <v>23093</v>
      </c>
      <c r="DN2213" t="s">
        <v>17109</v>
      </c>
      <c r="DO2213" t="s">
        <v>14532</v>
      </c>
      <c r="DP2213" t="s">
        <v>13780</v>
      </c>
      <c r="DQ2213" t="s">
        <v>13772</v>
      </c>
      <c r="DR2213" t="s">
        <v>13772</v>
      </c>
      <c r="DS2213" t="s">
        <v>13772</v>
      </c>
      <c r="DT2213" t="s">
        <v>17602</v>
      </c>
      <c r="DU2213" t="s">
        <v>20891</v>
      </c>
      <c r="DV2213" t="s">
        <v>13886</v>
      </c>
      <c r="DW2213" t="s">
        <v>13812</v>
      </c>
      <c r="DX2213" t="s">
        <v>23094</v>
      </c>
      <c r="DY2213" t="s">
        <v>23095</v>
      </c>
      <c r="DZ2213" t="s">
        <v>23096</v>
      </c>
      <c r="EA2213" t="s">
        <v>13772</v>
      </c>
      <c r="EB2213" t="s">
        <v>23097</v>
      </c>
    </row>
    <row r="2214" spans="1:132" hidden="1">
      <c r="A2214">
        <v>1102</v>
      </c>
      <c r="B2214">
        <v>1</v>
      </c>
      <c r="C2214" t="s">
        <v>2651</v>
      </c>
      <c r="D2214" t="s">
        <v>2652</v>
      </c>
      <c r="E2214" t="s">
        <v>73</v>
      </c>
      <c r="F2214" t="s">
        <v>73</v>
      </c>
      <c r="G2214" t="s">
        <v>73</v>
      </c>
      <c r="H2214">
        <v>6.2</v>
      </c>
      <c r="I2214">
        <v>402</v>
      </c>
      <c r="J2214">
        <v>43914</v>
      </c>
      <c r="K2214" t="s">
        <v>2653</v>
      </c>
      <c r="L2214">
        <f t="shared" si="138"/>
        <v>2</v>
      </c>
      <c r="N2214">
        <v>2</v>
      </c>
      <c r="O2214">
        <v>2</v>
      </c>
      <c r="P2214">
        <v>1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2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s="2">
        <v>0</v>
      </c>
      <c r="BD2214" s="2">
        <v>2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f t="shared" si="141"/>
        <v>2</v>
      </c>
      <c r="BW2214" s="16">
        <f t="shared" si="139"/>
        <v>0.10526315789473684</v>
      </c>
      <c r="BX2214" s="16">
        <f>COUNTIF($BC$6:BU2214, "=0") / COUNTIF($BC$6:BU2214, "&gt;-1")</f>
        <v>0.51978747230230393</v>
      </c>
      <c r="BY2214" s="18">
        <f>SUM($BC$6:BU2214) / $BY$4</f>
        <v>0.99962109090077911</v>
      </c>
      <c r="BZ2214" s="14">
        <f t="shared" si="140"/>
        <v>18</v>
      </c>
      <c r="CA2214" t="s">
        <v>5832</v>
      </c>
      <c r="CZ2214" t="s">
        <v>9409</v>
      </c>
      <c r="DA2214" t="s">
        <v>5904</v>
      </c>
      <c r="DB2214">
        <v>518.5</v>
      </c>
      <c r="DC2214" t="s">
        <v>24467</v>
      </c>
      <c r="DD2214" t="s">
        <v>24468</v>
      </c>
      <c r="DE2214" t="s">
        <v>24469</v>
      </c>
      <c r="DF2214" t="s">
        <v>24470</v>
      </c>
      <c r="DG2214" t="s">
        <v>24471</v>
      </c>
      <c r="DH2214" t="str">
        <f>"LTBR"</f>
        <v>LTBR</v>
      </c>
      <c r="DI2214" t="s">
        <v>24472</v>
      </c>
      <c r="DJ2214" t="s">
        <v>13777</v>
      </c>
      <c r="DK2214">
        <v>9606</v>
      </c>
      <c r="DL2214" s="34" t="str">
        <f>HYPERLINK("http://www.uniprot.org/uniprot/P36941", "P36941")</f>
        <v>P36941</v>
      </c>
      <c r="DM2214" t="s">
        <v>24473</v>
      </c>
      <c r="DN2214" t="s">
        <v>24402</v>
      </c>
      <c r="DO2214" t="s">
        <v>13825</v>
      </c>
      <c r="DP2214" t="s">
        <v>13780</v>
      </c>
      <c r="DQ2214" t="s">
        <v>13772</v>
      </c>
      <c r="DR2214" t="s">
        <v>13772</v>
      </c>
      <c r="DS2214" t="s">
        <v>13826</v>
      </c>
      <c r="DT2214" t="s">
        <v>13772</v>
      </c>
      <c r="DU2214" t="s">
        <v>13795</v>
      </c>
      <c r="DV2214" t="s">
        <v>13964</v>
      </c>
      <c r="DW2214" t="s">
        <v>13812</v>
      </c>
      <c r="DX2214" t="s">
        <v>24474</v>
      </c>
      <c r="DY2214" t="s">
        <v>24475</v>
      </c>
      <c r="DZ2214" t="s">
        <v>24476</v>
      </c>
      <c r="EA2214" t="s">
        <v>13772</v>
      </c>
      <c r="EB2214" t="s">
        <v>18113</v>
      </c>
    </row>
    <row r="2215" spans="1:132" hidden="1">
      <c r="A2215">
        <v>1151</v>
      </c>
      <c r="B2215">
        <v>1</v>
      </c>
      <c r="C2215" t="s">
        <v>2769</v>
      </c>
      <c r="D2215" t="s">
        <v>73</v>
      </c>
      <c r="E2215" t="s">
        <v>73</v>
      </c>
      <c r="F2215" t="s">
        <v>73</v>
      </c>
      <c r="G2215" t="s">
        <v>73</v>
      </c>
      <c r="H2215">
        <v>3.8</v>
      </c>
      <c r="I2215">
        <v>611</v>
      </c>
      <c r="J2215">
        <v>66554</v>
      </c>
      <c r="K2215" t="s">
        <v>2770</v>
      </c>
      <c r="L2215">
        <f t="shared" si="138"/>
        <v>2</v>
      </c>
      <c r="N2215">
        <v>2</v>
      </c>
      <c r="O2215">
        <v>2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2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f t="shared" si="141"/>
        <v>2</v>
      </c>
      <c r="BW2215" s="16">
        <f t="shared" si="139"/>
        <v>0.10526315789473684</v>
      </c>
      <c r="BX2215" s="16">
        <f>COUNTIF($BC$6:BU2215, "=0") / COUNTIF($BC$6:BU2215, "&gt;-1")</f>
        <v>0.51998094784472493</v>
      </c>
      <c r="BY2215" s="18">
        <f>SUM($BC$6:BU2215) / $BY$4</f>
        <v>0.99962965817451654</v>
      </c>
      <c r="BZ2215" s="14">
        <f t="shared" si="140"/>
        <v>18</v>
      </c>
      <c r="CA2215" t="s">
        <v>5832</v>
      </c>
      <c r="CZ2215" t="s">
        <v>9557</v>
      </c>
      <c r="DA2215" t="s">
        <v>5904</v>
      </c>
      <c r="DB2215">
        <v>1139.8</v>
      </c>
      <c r="DC2215" t="s">
        <v>24878</v>
      </c>
      <c r="DD2215" t="s">
        <v>24879</v>
      </c>
      <c r="DE2215" t="s">
        <v>24880</v>
      </c>
      <c r="DF2215" t="s">
        <v>24881</v>
      </c>
      <c r="DG2215" t="s">
        <v>24882</v>
      </c>
      <c r="DH2215" t="str">
        <f>"SLC5A8"</f>
        <v>SLC5A8</v>
      </c>
      <c r="DI2215" t="s">
        <v>13772</v>
      </c>
      <c r="DJ2215" t="s">
        <v>13777</v>
      </c>
      <c r="DK2215">
        <v>9606</v>
      </c>
      <c r="DL2215" s="34" t="str">
        <f>HYPERLINK("http://www.uniprot.org/uniprot/Q8N695", "Q8N695")</f>
        <v>Q8N695</v>
      </c>
      <c r="DM2215" t="s">
        <v>24883</v>
      </c>
      <c r="DN2215" t="s">
        <v>24884</v>
      </c>
      <c r="DO2215" t="s">
        <v>13792</v>
      </c>
      <c r="DP2215" t="s">
        <v>13793</v>
      </c>
      <c r="DQ2215" t="s">
        <v>13772</v>
      </c>
      <c r="DR2215" t="s">
        <v>14505</v>
      </c>
      <c r="DS2215" t="s">
        <v>13925</v>
      </c>
      <c r="DT2215" t="s">
        <v>13926</v>
      </c>
      <c r="DU2215" t="s">
        <v>13772</v>
      </c>
      <c r="DV2215" t="s">
        <v>13858</v>
      </c>
      <c r="DW2215" t="s">
        <v>13772</v>
      </c>
      <c r="DX2215" t="s">
        <v>24885</v>
      </c>
      <c r="DY2215" t="s">
        <v>19488</v>
      </c>
      <c r="DZ2215" t="s">
        <v>24886</v>
      </c>
      <c r="EA2215" t="s">
        <v>13772</v>
      </c>
      <c r="EB2215" t="s">
        <v>24887</v>
      </c>
    </row>
    <row r="2216" spans="1:132" hidden="1">
      <c r="A2216">
        <v>1174</v>
      </c>
      <c r="B2216">
        <v>1</v>
      </c>
      <c r="C2216" t="s">
        <v>2818</v>
      </c>
      <c r="D2216" t="s">
        <v>73</v>
      </c>
      <c r="E2216" t="s">
        <v>73</v>
      </c>
      <c r="F2216" t="s">
        <v>73</v>
      </c>
      <c r="G2216" t="s">
        <v>73</v>
      </c>
      <c r="H2216">
        <v>19.5</v>
      </c>
      <c r="I2216">
        <v>154</v>
      </c>
      <c r="J2216">
        <v>17341</v>
      </c>
      <c r="K2216" t="s">
        <v>2819</v>
      </c>
      <c r="L2216">
        <f t="shared" si="138"/>
        <v>2</v>
      </c>
      <c r="N2216">
        <v>2</v>
      </c>
      <c r="O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2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2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f t="shared" si="141"/>
        <v>2</v>
      </c>
      <c r="BW2216" s="16">
        <f t="shared" si="139"/>
        <v>0.10526315789473684</v>
      </c>
      <c r="BX2216" s="16">
        <f>COUNTIF($BC$6:BU2216, "=0") / COUNTIF($BC$6:BU2216, "&gt;-1")</f>
        <v>0.52017424837534809</v>
      </c>
      <c r="BY2216" s="18">
        <f>SUM($BC$6:BU2216) / $BY$4</f>
        <v>0.99963822544825398</v>
      </c>
      <c r="BZ2216" s="14">
        <f t="shared" si="140"/>
        <v>18</v>
      </c>
      <c r="CA2216" t="s">
        <v>5832</v>
      </c>
      <c r="CZ2216" t="s">
        <v>9638</v>
      </c>
      <c r="DA2216" t="s">
        <v>5904</v>
      </c>
      <c r="DB2216">
        <v>311.2</v>
      </c>
      <c r="DC2216" t="s">
        <v>25106</v>
      </c>
      <c r="DD2216" t="s">
        <v>25107</v>
      </c>
      <c r="DE2216" t="s">
        <v>25108</v>
      </c>
      <c r="DF2216" t="s">
        <v>25109</v>
      </c>
      <c r="DG2216" t="s">
        <v>25110</v>
      </c>
      <c r="DH2216" t="str">
        <f>"PFDN5"</f>
        <v>PFDN5</v>
      </c>
      <c r="DI2216" t="s">
        <v>25111</v>
      </c>
      <c r="DJ2216" t="s">
        <v>13777</v>
      </c>
      <c r="DK2216">
        <v>9606</v>
      </c>
      <c r="DL2216" s="34" t="str">
        <f>HYPERLINK("http://www.uniprot.org/uniprot/Q99471", "Q99471")</f>
        <v>Q99471</v>
      </c>
      <c r="DM2216" t="s">
        <v>25112</v>
      </c>
      <c r="DN2216" t="s">
        <v>13772</v>
      </c>
      <c r="DO2216" t="s">
        <v>13912</v>
      </c>
      <c r="DP2216" t="s">
        <v>13841</v>
      </c>
      <c r="DQ2216" t="s">
        <v>13772</v>
      </c>
      <c r="DR2216" t="s">
        <v>13772</v>
      </c>
      <c r="DS2216" t="s">
        <v>13772</v>
      </c>
      <c r="DT2216" t="s">
        <v>13772</v>
      </c>
      <c r="DU2216" t="s">
        <v>14477</v>
      </c>
      <c r="DV2216" t="s">
        <v>13886</v>
      </c>
      <c r="DW2216" t="s">
        <v>13772</v>
      </c>
      <c r="DX2216" t="s">
        <v>25113</v>
      </c>
      <c r="DY2216" t="s">
        <v>25114</v>
      </c>
      <c r="DZ2216" t="s">
        <v>25115</v>
      </c>
      <c r="EA2216" t="s">
        <v>13772</v>
      </c>
      <c r="EB2216" t="s">
        <v>25116</v>
      </c>
    </row>
    <row r="2217" spans="1:132" hidden="1">
      <c r="A2217">
        <v>1262</v>
      </c>
      <c r="B2217">
        <v>1</v>
      </c>
      <c r="C2217" t="s">
        <v>3024</v>
      </c>
      <c r="D2217" t="s">
        <v>73</v>
      </c>
      <c r="E2217" t="s">
        <v>73</v>
      </c>
      <c r="F2217" t="s">
        <v>73</v>
      </c>
      <c r="G2217" t="s">
        <v>73</v>
      </c>
      <c r="H2217">
        <v>11.7</v>
      </c>
      <c r="I2217">
        <v>247</v>
      </c>
      <c r="J2217">
        <v>27855</v>
      </c>
      <c r="K2217" t="s">
        <v>3025</v>
      </c>
      <c r="L2217">
        <f t="shared" si="138"/>
        <v>2</v>
      </c>
      <c r="N2217">
        <v>2</v>
      </c>
      <c r="O2217">
        <v>2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2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f t="shared" si="141"/>
        <v>2</v>
      </c>
      <c r="BW2217" s="16">
        <f t="shared" si="139"/>
        <v>0.10526315789473684</v>
      </c>
      <c r="BX2217" s="16">
        <f>COUNTIF($BC$6:BU2217, "=0") / COUNTIF($BC$6:BU2217, "&gt;-1")</f>
        <v>0.52036737413153134</v>
      </c>
      <c r="BY2217" s="18">
        <f>SUM($BC$6:BU2217) / $BY$4</f>
        <v>0.99964679272199131</v>
      </c>
      <c r="BZ2217" s="14">
        <f t="shared" si="140"/>
        <v>18</v>
      </c>
      <c r="CA2217" t="s">
        <v>5832</v>
      </c>
      <c r="CZ2217" t="s">
        <v>9935</v>
      </c>
      <c r="DA2217" t="s">
        <v>5904</v>
      </c>
      <c r="DB2217">
        <v>470.7</v>
      </c>
      <c r="DC2217" t="s">
        <v>25957</v>
      </c>
      <c r="DD2217" t="s">
        <v>25958</v>
      </c>
      <c r="DE2217" t="s">
        <v>25959</v>
      </c>
      <c r="DF2217" t="s">
        <v>25960</v>
      </c>
      <c r="DG2217" t="s">
        <v>25961</v>
      </c>
      <c r="DH2217" t="str">
        <f>"OCIAD1"</f>
        <v>OCIAD1</v>
      </c>
      <c r="DI2217" t="s">
        <v>13772</v>
      </c>
      <c r="DJ2217" t="s">
        <v>13777</v>
      </c>
      <c r="DK2217">
        <v>9606</v>
      </c>
      <c r="DL2217" s="34" t="str">
        <f>HYPERLINK("http://www.uniprot.org/uniprot/Q9NX40", "Q9NX40")</f>
        <v>Q9NX40</v>
      </c>
      <c r="DM2217" t="s">
        <v>25962</v>
      </c>
      <c r="DN2217" t="s">
        <v>13772</v>
      </c>
      <c r="DO2217" t="s">
        <v>16765</v>
      </c>
      <c r="DP2217" t="s">
        <v>13841</v>
      </c>
      <c r="DQ2217" t="s">
        <v>13772</v>
      </c>
      <c r="DR2217" t="s">
        <v>13772</v>
      </c>
      <c r="DS2217" t="s">
        <v>13772</v>
      </c>
      <c r="DT2217" t="s">
        <v>13772</v>
      </c>
      <c r="DU2217" t="s">
        <v>13772</v>
      </c>
      <c r="DV2217" t="s">
        <v>13782</v>
      </c>
      <c r="DW2217" t="s">
        <v>13772</v>
      </c>
      <c r="DX2217" t="s">
        <v>25963</v>
      </c>
      <c r="DY2217" t="s">
        <v>19379</v>
      </c>
      <c r="DZ2217" t="s">
        <v>13772</v>
      </c>
      <c r="EA2217" t="s">
        <v>13772</v>
      </c>
      <c r="EB2217" t="s">
        <v>13772</v>
      </c>
    </row>
    <row r="2218" spans="1:132" hidden="1">
      <c r="A2218">
        <v>1294</v>
      </c>
      <c r="B2218">
        <v>1</v>
      </c>
      <c r="C2218" t="s">
        <v>3105</v>
      </c>
      <c r="D2218" t="s">
        <v>3106</v>
      </c>
      <c r="E2218" t="s">
        <v>73</v>
      </c>
      <c r="F2218" t="s">
        <v>73</v>
      </c>
      <c r="G2218" t="s">
        <v>73</v>
      </c>
      <c r="H2218">
        <v>2.9</v>
      </c>
      <c r="I2218">
        <v>894</v>
      </c>
      <c r="J2218">
        <v>99650</v>
      </c>
      <c r="K2218" t="s">
        <v>3107</v>
      </c>
      <c r="L2218">
        <f t="shared" si="138"/>
        <v>2</v>
      </c>
      <c r="N2218">
        <v>2</v>
      </c>
      <c r="O2218">
        <v>2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2</v>
      </c>
      <c r="BA2218">
        <v>0</v>
      </c>
      <c r="BB2218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2</v>
      </c>
      <c r="BT2218" s="2">
        <v>0</v>
      </c>
      <c r="BU2218" s="2">
        <v>0</v>
      </c>
      <c r="BV2218" s="2">
        <f t="shared" si="141"/>
        <v>2</v>
      </c>
      <c r="BW2218" s="16">
        <f t="shared" si="139"/>
        <v>0.10526315789473684</v>
      </c>
      <c r="BX2218" s="16">
        <f>COUNTIF($BC$6:BU2218, "=0") / COUNTIF($BC$6:BU2218, "&gt;-1")</f>
        <v>0.52056032535020336</v>
      </c>
      <c r="BY2218" s="18">
        <f>SUM($BC$6:BU2218) / $BY$4</f>
        <v>0.99965535999572874</v>
      </c>
      <c r="BZ2218" s="14">
        <f t="shared" si="140"/>
        <v>18</v>
      </c>
      <c r="CA2218" t="s">
        <v>5832</v>
      </c>
      <c r="CZ2218" t="s">
        <v>10055</v>
      </c>
      <c r="DA2218" t="s">
        <v>5904</v>
      </c>
      <c r="DB2218">
        <v>1667.9</v>
      </c>
      <c r="DC2218" t="s">
        <v>26291</v>
      </c>
      <c r="DD2218" t="s">
        <v>13772</v>
      </c>
      <c r="DE2218" t="s">
        <v>26292</v>
      </c>
      <c r="DF2218" t="s">
        <v>26293</v>
      </c>
      <c r="DG2218" t="s">
        <v>26294</v>
      </c>
      <c r="DH2218" t="str">
        <f>"MTTP"</f>
        <v>MTTP</v>
      </c>
      <c r="DI2218" t="s">
        <v>26295</v>
      </c>
      <c r="DJ2218" t="s">
        <v>13777</v>
      </c>
      <c r="DK2218">
        <v>9606</v>
      </c>
      <c r="DL2218" s="34" t="str">
        <f>HYPERLINK("http://www.uniprot.org/uniprot/P55157", "P55157")</f>
        <v>P55157</v>
      </c>
      <c r="DM2218" t="s">
        <v>26296</v>
      </c>
      <c r="DN2218" t="s">
        <v>13898</v>
      </c>
      <c r="DO2218" t="s">
        <v>14908</v>
      </c>
      <c r="DP2218" t="s">
        <v>13780</v>
      </c>
      <c r="DQ2218" t="s">
        <v>13772</v>
      </c>
      <c r="DR2218" t="s">
        <v>13807</v>
      </c>
      <c r="DS2218" t="s">
        <v>13808</v>
      </c>
      <c r="DT2218" t="s">
        <v>13900</v>
      </c>
      <c r="DU2218" t="s">
        <v>13772</v>
      </c>
      <c r="DV2218" t="s">
        <v>14506</v>
      </c>
      <c r="DW2218" t="s">
        <v>13772</v>
      </c>
      <c r="DX2218" t="s">
        <v>26297</v>
      </c>
      <c r="DY2218" t="s">
        <v>26298</v>
      </c>
      <c r="DZ2218" t="s">
        <v>26299</v>
      </c>
      <c r="EA2218" t="s">
        <v>13772</v>
      </c>
      <c r="EB2218" t="s">
        <v>26300</v>
      </c>
    </row>
    <row r="2219" spans="1:132" hidden="1">
      <c r="A2219">
        <v>1343</v>
      </c>
      <c r="B2219">
        <v>1</v>
      </c>
      <c r="C2219" t="s">
        <v>3213</v>
      </c>
      <c r="D2219" t="s">
        <v>73</v>
      </c>
      <c r="E2219" t="s">
        <v>73</v>
      </c>
      <c r="F2219" t="s">
        <v>73</v>
      </c>
      <c r="G2219" t="s">
        <v>73</v>
      </c>
      <c r="H2219">
        <v>12.8</v>
      </c>
      <c r="I2219">
        <v>117</v>
      </c>
      <c r="J2219">
        <v>13293</v>
      </c>
      <c r="K2219" t="s">
        <v>3214</v>
      </c>
      <c r="L2219">
        <f t="shared" si="138"/>
        <v>2</v>
      </c>
      <c r="N2219">
        <v>2</v>
      </c>
      <c r="O2219">
        <v>2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2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2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f t="shared" si="141"/>
        <v>2</v>
      </c>
      <c r="BW2219" s="16">
        <f t="shared" si="139"/>
        <v>0.10526315789473684</v>
      </c>
      <c r="BX2219" s="16">
        <f>COUNTIF($BC$6:BU2219, "=0") / COUNTIF($BC$6:BU2219, "&gt;-1")</f>
        <v>0.52075310226786475</v>
      </c>
      <c r="BY2219" s="18">
        <f>SUM($BC$6:BU2219) / $BY$4</f>
        <v>0.99966392726946618</v>
      </c>
      <c r="BZ2219" s="14">
        <f t="shared" si="140"/>
        <v>18</v>
      </c>
      <c r="CA2219" t="s">
        <v>5832</v>
      </c>
      <c r="CZ2219" t="s">
        <v>10219</v>
      </c>
      <c r="DA2219" t="s">
        <v>5904</v>
      </c>
      <c r="DB2219">
        <v>233.4</v>
      </c>
      <c r="DC2219" t="s">
        <v>26763</v>
      </c>
      <c r="DD2219" t="s">
        <v>26764</v>
      </c>
      <c r="DE2219" t="s">
        <v>26765</v>
      </c>
      <c r="DF2219" t="s">
        <v>26766</v>
      </c>
      <c r="DG2219" t="s">
        <v>26767</v>
      </c>
      <c r="DH2219" t="str">
        <f>"RPL34"</f>
        <v>RPL34</v>
      </c>
      <c r="DI2219" t="s">
        <v>13772</v>
      </c>
      <c r="DJ2219" t="s">
        <v>13777</v>
      </c>
      <c r="DK2219">
        <v>9606</v>
      </c>
      <c r="DL2219" s="34" t="str">
        <f>HYPERLINK("http://www.uniprot.org/uniprot/P49207", "P49207")</f>
        <v>P49207</v>
      </c>
      <c r="DM2219" t="s">
        <v>26768</v>
      </c>
      <c r="DN2219" t="s">
        <v>13772</v>
      </c>
      <c r="DO2219" t="s">
        <v>14265</v>
      </c>
      <c r="DP2219" t="s">
        <v>13772</v>
      </c>
      <c r="DQ2219" t="s">
        <v>13772</v>
      </c>
      <c r="DR2219" t="s">
        <v>13772</v>
      </c>
      <c r="DS2219" t="s">
        <v>13772</v>
      </c>
      <c r="DT2219" t="s">
        <v>13772</v>
      </c>
      <c r="DU2219" t="s">
        <v>13937</v>
      </c>
      <c r="DV2219" t="s">
        <v>13991</v>
      </c>
      <c r="DW2219" t="s">
        <v>13812</v>
      </c>
      <c r="DX2219" t="s">
        <v>15972</v>
      </c>
      <c r="DY2219" t="s">
        <v>26769</v>
      </c>
      <c r="DZ2219" t="s">
        <v>20451</v>
      </c>
      <c r="EA2219" t="s">
        <v>13772</v>
      </c>
      <c r="EB2219" t="s">
        <v>13942</v>
      </c>
    </row>
    <row r="2220" spans="1:132" hidden="1">
      <c r="A2220">
        <v>1389</v>
      </c>
      <c r="B2220">
        <v>1</v>
      </c>
      <c r="C2220" t="s">
        <v>3320</v>
      </c>
      <c r="D2220" t="s">
        <v>3321</v>
      </c>
      <c r="E2220" t="s">
        <v>73</v>
      </c>
      <c r="F2220" t="s">
        <v>73</v>
      </c>
      <c r="G2220" t="s">
        <v>73</v>
      </c>
      <c r="H2220">
        <v>3.2</v>
      </c>
      <c r="I2220">
        <v>792</v>
      </c>
      <c r="J2220">
        <v>89392</v>
      </c>
      <c r="K2220" t="s">
        <v>3322</v>
      </c>
      <c r="L2220">
        <f t="shared" si="138"/>
        <v>2</v>
      </c>
      <c r="N2220">
        <v>2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2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f t="shared" si="141"/>
        <v>2</v>
      </c>
      <c r="BW2220" s="16">
        <f t="shared" si="139"/>
        <v>0.10526315789473684</v>
      </c>
      <c r="BX2220" s="16">
        <f>COUNTIF($BC$6:BU2220, "=0") / COUNTIF($BC$6:BU2220, "&gt;-1")</f>
        <v>0.52094570512058924</v>
      </c>
      <c r="BY2220" s="18">
        <f>SUM($BC$6:BU2220) / $BY$4</f>
        <v>0.9996724945432035</v>
      </c>
      <c r="BZ2220" s="14">
        <f t="shared" si="140"/>
        <v>18</v>
      </c>
      <c r="CA2220" t="s">
        <v>5832</v>
      </c>
      <c r="CZ2220" t="s">
        <v>10375</v>
      </c>
      <c r="DA2220" t="s">
        <v>5904</v>
      </c>
      <c r="DB2220">
        <v>1478.4</v>
      </c>
      <c r="DC2220" t="s">
        <v>27192</v>
      </c>
      <c r="DD2220" t="s">
        <v>27193</v>
      </c>
      <c r="DE2220" t="s">
        <v>27194</v>
      </c>
      <c r="DF2220" t="s">
        <v>27195</v>
      </c>
      <c r="DG2220" t="s">
        <v>27196</v>
      </c>
      <c r="DH2220" t="str">
        <f>"UFL1"</f>
        <v>UFL1</v>
      </c>
      <c r="DI2220" t="s">
        <v>13772</v>
      </c>
      <c r="DJ2220" t="s">
        <v>13777</v>
      </c>
      <c r="DK2220">
        <v>9606</v>
      </c>
      <c r="DL2220" s="34" t="str">
        <f>HYPERLINK("http://www.uniprot.org/uniprot/O94874", "O94874")</f>
        <v>O94874</v>
      </c>
      <c r="DM2220" t="s">
        <v>27197</v>
      </c>
      <c r="DN2220" t="s">
        <v>14109</v>
      </c>
      <c r="DO2220" t="s">
        <v>14265</v>
      </c>
      <c r="DP2220" t="s">
        <v>13780</v>
      </c>
      <c r="DQ2220" t="s">
        <v>13772</v>
      </c>
      <c r="DR2220" t="s">
        <v>13772</v>
      </c>
      <c r="DS2220" t="s">
        <v>13772</v>
      </c>
      <c r="DT2220" t="s">
        <v>13772</v>
      </c>
      <c r="DU2220" t="s">
        <v>14111</v>
      </c>
      <c r="DV2220" t="s">
        <v>23880</v>
      </c>
      <c r="DW2220" t="s">
        <v>13772</v>
      </c>
      <c r="DX2220" t="s">
        <v>27198</v>
      </c>
      <c r="DY2220" t="s">
        <v>27199</v>
      </c>
      <c r="DZ2220" t="s">
        <v>27200</v>
      </c>
      <c r="EA2220" t="s">
        <v>13772</v>
      </c>
      <c r="EB2220" t="s">
        <v>14087</v>
      </c>
    </row>
    <row r="2221" spans="1:132" hidden="1">
      <c r="A2221">
        <v>1448</v>
      </c>
      <c r="B2221">
        <v>1</v>
      </c>
      <c r="C2221" t="s">
        <v>3448</v>
      </c>
      <c r="D2221" t="s">
        <v>73</v>
      </c>
      <c r="E2221" t="s">
        <v>73</v>
      </c>
      <c r="F2221" t="s">
        <v>73</v>
      </c>
      <c r="G2221" t="s">
        <v>73</v>
      </c>
      <c r="H2221">
        <v>5.8</v>
      </c>
      <c r="I2221">
        <v>449</v>
      </c>
      <c r="J2221">
        <v>47935</v>
      </c>
      <c r="K2221" t="s">
        <v>3449</v>
      </c>
      <c r="L2221">
        <f t="shared" si="138"/>
        <v>2</v>
      </c>
      <c r="N2221">
        <v>2</v>
      </c>
      <c r="O2221">
        <v>2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2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2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f t="shared" si="141"/>
        <v>2</v>
      </c>
      <c r="BW2221" s="16">
        <f t="shared" si="139"/>
        <v>0.10526315789473684</v>
      </c>
      <c r="BX2221" s="16">
        <f>COUNTIF($BC$6:BU2221, "=0") / COUNTIF($BC$6:BU2221, "&gt;-1")</f>
        <v>0.52113813414402432</v>
      </c>
      <c r="BY2221" s="18">
        <f>SUM($BC$6:BU2221) / $BY$4</f>
        <v>0.99968106181694094</v>
      </c>
      <c r="BZ2221" s="14">
        <f t="shared" si="140"/>
        <v>18</v>
      </c>
      <c r="CA2221" t="s">
        <v>5832</v>
      </c>
      <c r="CZ2221" t="s">
        <v>10557</v>
      </c>
      <c r="DA2221" t="s">
        <v>5904</v>
      </c>
      <c r="DB2221">
        <v>697.6</v>
      </c>
      <c r="DC2221" t="s">
        <v>27698</v>
      </c>
      <c r="DD2221" t="s">
        <v>27699</v>
      </c>
      <c r="DE2221" t="s">
        <v>27700</v>
      </c>
      <c r="DF2221" t="s">
        <v>27701</v>
      </c>
      <c r="DG2221" t="s">
        <v>27702</v>
      </c>
      <c r="DH2221" t="str">
        <f>"TAPBP TAPA"</f>
        <v>TAPBP TAPA</v>
      </c>
      <c r="DI2221" t="s">
        <v>13772</v>
      </c>
      <c r="DJ2221" t="s">
        <v>13777</v>
      </c>
      <c r="DK2221">
        <v>9606</v>
      </c>
      <c r="DL2221" s="34" t="str">
        <f>HYPERLINK("http://www.uniprot.org/uniprot/O15533", "O15533")</f>
        <v>O15533</v>
      </c>
      <c r="DM2221" t="s">
        <v>27703</v>
      </c>
      <c r="DN2221" t="s">
        <v>13772</v>
      </c>
      <c r="DO2221" t="s">
        <v>14714</v>
      </c>
      <c r="DP2221" t="s">
        <v>13780</v>
      </c>
      <c r="DQ2221" t="s">
        <v>13772</v>
      </c>
      <c r="DR2221" t="s">
        <v>13772</v>
      </c>
      <c r="DS2221" t="s">
        <v>13794</v>
      </c>
      <c r="DT2221" t="s">
        <v>13772</v>
      </c>
      <c r="DU2221" t="s">
        <v>13772</v>
      </c>
      <c r="DV2221" t="s">
        <v>13796</v>
      </c>
      <c r="DW2221" t="s">
        <v>13812</v>
      </c>
      <c r="DX2221" t="s">
        <v>27704</v>
      </c>
      <c r="DY2221" t="s">
        <v>27705</v>
      </c>
      <c r="DZ2221" t="s">
        <v>27706</v>
      </c>
      <c r="EA2221" t="s">
        <v>13772</v>
      </c>
      <c r="EB2221" t="s">
        <v>27707</v>
      </c>
    </row>
    <row r="2222" spans="1:132" hidden="1">
      <c r="A2222">
        <v>1459</v>
      </c>
      <c r="B2222">
        <v>1</v>
      </c>
      <c r="C2222" t="s">
        <v>3472</v>
      </c>
      <c r="D2222" t="s">
        <v>73</v>
      </c>
      <c r="E2222" t="s">
        <v>73</v>
      </c>
      <c r="F2222" t="s">
        <v>73</v>
      </c>
      <c r="G2222" t="s">
        <v>73</v>
      </c>
      <c r="H2222">
        <v>5.8</v>
      </c>
      <c r="I2222">
        <v>359</v>
      </c>
      <c r="J2222">
        <v>39799</v>
      </c>
      <c r="K2222" t="s">
        <v>3473</v>
      </c>
      <c r="L2222">
        <f t="shared" si="138"/>
        <v>2</v>
      </c>
      <c r="N2222">
        <v>2</v>
      </c>
      <c r="O2222">
        <v>2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2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f t="shared" si="141"/>
        <v>2</v>
      </c>
      <c r="BW2222" s="16">
        <f t="shared" si="139"/>
        <v>0.10526315789473684</v>
      </c>
      <c r="BX2222" s="16">
        <f>COUNTIF($BC$6:BU2222, "=0") / COUNTIF($BC$6:BU2222, "&gt;-1")</f>
        <v>0.52133038957339217</v>
      </c>
      <c r="BY2222" s="18">
        <f>SUM($BC$6:BU2222) / $BY$4</f>
        <v>0.99968962909067838</v>
      </c>
      <c r="BZ2222" s="14">
        <f t="shared" si="140"/>
        <v>18</v>
      </c>
      <c r="CA2222" t="s">
        <v>5832</v>
      </c>
      <c r="CZ2222" t="s">
        <v>10595</v>
      </c>
      <c r="DA2222" t="s">
        <v>5904</v>
      </c>
      <c r="DB2222">
        <v>606.29999999999995</v>
      </c>
      <c r="DC2222" t="s">
        <v>27807</v>
      </c>
      <c r="DD2222" t="s">
        <v>27808</v>
      </c>
      <c r="DE2222" t="s">
        <v>27809</v>
      </c>
      <c r="DF2222" t="s">
        <v>27810</v>
      </c>
      <c r="DG2222" t="s">
        <v>27811</v>
      </c>
      <c r="DH2222" t="str">
        <f>"ECI2"</f>
        <v>ECI2</v>
      </c>
      <c r="DI2222" t="s">
        <v>27812</v>
      </c>
      <c r="DJ2222" t="s">
        <v>13777</v>
      </c>
      <c r="DK2222">
        <v>9606</v>
      </c>
      <c r="DL2222" s="34" t="str">
        <f>HYPERLINK("http://www.uniprot.org/uniprot/O75521", "O75521")</f>
        <v>O75521</v>
      </c>
      <c r="DM2222" t="s">
        <v>27813</v>
      </c>
      <c r="DN2222" t="s">
        <v>13772</v>
      </c>
      <c r="DO2222" t="s">
        <v>27814</v>
      </c>
      <c r="DP2222" t="s">
        <v>13780</v>
      </c>
      <c r="DQ2222" t="s">
        <v>13772</v>
      </c>
      <c r="DR2222" t="s">
        <v>13772</v>
      </c>
      <c r="DS2222" t="s">
        <v>14391</v>
      </c>
      <c r="DT2222" t="s">
        <v>13772</v>
      </c>
      <c r="DU2222" t="s">
        <v>14910</v>
      </c>
      <c r="DV2222" t="s">
        <v>13886</v>
      </c>
      <c r="DW2222" t="s">
        <v>13812</v>
      </c>
      <c r="DX2222" t="s">
        <v>27815</v>
      </c>
      <c r="DY2222" t="s">
        <v>27816</v>
      </c>
      <c r="DZ2222" t="s">
        <v>27817</v>
      </c>
      <c r="EA2222" t="s">
        <v>13772</v>
      </c>
      <c r="EB2222" t="s">
        <v>27818</v>
      </c>
    </row>
    <row r="2223" spans="1:132" hidden="1">
      <c r="A2223">
        <v>1470</v>
      </c>
      <c r="B2223">
        <v>1</v>
      </c>
      <c r="C2223" t="s">
        <v>3496</v>
      </c>
      <c r="D2223" t="s">
        <v>73</v>
      </c>
      <c r="E2223" t="s">
        <v>73</v>
      </c>
      <c r="F2223" t="s">
        <v>73</v>
      </c>
      <c r="G2223" t="s">
        <v>73</v>
      </c>
      <c r="H2223">
        <v>20.100000000000001</v>
      </c>
      <c r="I2223">
        <v>174</v>
      </c>
      <c r="J2223">
        <v>19906</v>
      </c>
      <c r="K2223" t="s">
        <v>3497</v>
      </c>
      <c r="L2223">
        <f t="shared" si="138"/>
        <v>2</v>
      </c>
      <c r="N2223">
        <v>2</v>
      </c>
      <c r="O2223">
        <v>2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2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f t="shared" si="141"/>
        <v>2</v>
      </c>
      <c r="BW2223" s="16">
        <f t="shared" si="139"/>
        <v>0.10526315789473684</v>
      </c>
      <c r="BX2223" s="16">
        <f>COUNTIF($BC$6:BU2223, "=0") / COUNTIF($BC$6:BU2223, "&gt;-1")</f>
        <v>0.52152247164349108</v>
      </c>
      <c r="BY2223" s="18">
        <f>SUM($BC$6:BU2223) / $BY$4</f>
        <v>0.99969819636441581</v>
      </c>
      <c r="BZ2223" s="14">
        <f t="shared" si="140"/>
        <v>18</v>
      </c>
      <c r="CA2223" t="s">
        <v>5832</v>
      </c>
      <c r="CZ2223" t="s">
        <v>10629</v>
      </c>
      <c r="DA2223" t="s">
        <v>5904</v>
      </c>
      <c r="DB2223">
        <v>350.1</v>
      </c>
      <c r="DC2223" t="s">
        <v>27919</v>
      </c>
      <c r="DD2223" t="s">
        <v>27920</v>
      </c>
      <c r="DE2223" t="s">
        <v>27921</v>
      </c>
      <c r="DF2223" t="s">
        <v>27922</v>
      </c>
      <c r="DG2223" t="s">
        <v>27923</v>
      </c>
      <c r="DH2223" t="str">
        <f>"EEF1E1"</f>
        <v>EEF1E1</v>
      </c>
      <c r="DI2223" t="s">
        <v>27924</v>
      </c>
      <c r="DJ2223" t="s">
        <v>13777</v>
      </c>
      <c r="DK2223">
        <v>9606</v>
      </c>
      <c r="DL2223" s="34" t="str">
        <f>HYPERLINK("http://www.uniprot.org/uniprot/O43324", "O43324")</f>
        <v>O43324</v>
      </c>
      <c r="DM2223" t="s">
        <v>27925</v>
      </c>
      <c r="DN2223" t="s">
        <v>17925</v>
      </c>
      <c r="DO2223" t="s">
        <v>13912</v>
      </c>
      <c r="DP2223" t="s">
        <v>13841</v>
      </c>
      <c r="DQ2223" t="s">
        <v>13772</v>
      </c>
      <c r="DR2223" t="s">
        <v>13772</v>
      </c>
      <c r="DS2223" t="s">
        <v>14245</v>
      </c>
      <c r="DT2223" t="s">
        <v>13772</v>
      </c>
      <c r="DU2223" t="s">
        <v>13772</v>
      </c>
      <c r="DV2223" t="s">
        <v>14020</v>
      </c>
      <c r="DW2223" t="s">
        <v>13812</v>
      </c>
      <c r="DX2223" t="s">
        <v>27926</v>
      </c>
      <c r="DY2223" t="s">
        <v>27927</v>
      </c>
      <c r="DZ2223" t="s">
        <v>13772</v>
      </c>
      <c r="EA2223" t="s">
        <v>13772</v>
      </c>
      <c r="EB2223" t="s">
        <v>27928</v>
      </c>
    </row>
    <row r="2224" spans="1:132" hidden="1">
      <c r="A2224">
        <v>1503</v>
      </c>
      <c r="B2224">
        <v>1</v>
      </c>
      <c r="C2224" t="s">
        <v>3578</v>
      </c>
      <c r="D2224" t="s">
        <v>3579</v>
      </c>
      <c r="E2224" t="s">
        <v>73</v>
      </c>
      <c r="F2224" t="s">
        <v>73</v>
      </c>
      <c r="G2224" t="s">
        <v>73</v>
      </c>
      <c r="H2224">
        <v>2.2999999999999998</v>
      </c>
      <c r="I2224">
        <v>809</v>
      </c>
      <c r="J2224">
        <v>91449</v>
      </c>
      <c r="K2224" t="s">
        <v>3580</v>
      </c>
      <c r="L2224">
        <f t="shared" si="138"/>
        <v>2</v>
      </c>
      <c r="N2224">
        <v>2</v>
      </c>
      <c r="O2224">
        <v>2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2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f t="shared" si="141"/>
        <v>2</v>
      </c>
      <c r="BW2224" s="16">
        <f t="shared" si="139"/>
        <v>0.10526315789473684</v>
      </c>
      <c r="BX2224" s="16">
        <f>COUNTIF($BC$6:BU2224, "=0") / COUNTIF($BC$6:BU2224, "&gt;-1")</f>
        <v>0.52171438058869568</v>
      </c>
      <c r="BY2224" s="18">
        <f>SUM($BC$6:BU2224) / $BY$4</f>
        <v>0.99970676363815314</v>
      </c>
      <c r="BZ2224" s="14">
        <f t="shared" si="140"/>
        <v>18</v>
      </c>
      <c r="CA2224" t="s">
        <v>5832</v>
      </c>
      <c r="CZ2224" t="s">
        <v>10742</v>
      </c>
      <c r="DA2224" t="s">
        <v>5904</v>
      </c>
      <c r="DB2224">
        <v>1407.1</v>
      </c>
      <c r="DC2224" t="s">
        <v>28224</v>
      </c>
      <c r="DD2224" t="s">
        <v>28225</v>
      </c>
      <c r="DE2224" t="s">
        <v>28226</v>
      </c>
      <c r="DF2224" t="s">
        <v>28227</v>
      </c>
      <c r="DG2224" t="s">
        <v>28228</v>
      </c>
      <c r="DH2224" t="str">
        <f>"H6PD"</f>
        <v>H6PD</v>
      </c>
      <c r="DI2224" t="s">
        <v>28229</v>
      </c>
      <c r="DJ2224" t="s">
        <v>13777</v>
      </c>
      <c r="DK2224">
        <v>9606</v>
      </c>
      <c r="DL2224" s="34" t="str">
        <f>HYPERLINK("http://www.uniprot.org/uniprot/O95479", "O95479")</f>
        <v>O95479</v>
      </c>
      <c r="DM2224" t="s">
        <v>28230</v>
      </c>
      <c r="DN2224" t="s">
        <v>26643</v>
      </c>
      <c r="DO2224" t="s">
        <v>14908</v>
      </c>
      <c r="DP2224" t="s">
        <v>13793</v>
      </c>
      <c r="DQ2224" t="s">
        <v>13772</v>
      </c>
      <c r="DR2224" t="s">
        <v>13807</v>
      </c>
      <c r="DS2224" t="s">
        <v>13808</v>
      </c>
      <c r="DT2224" t="s">
        <v>26523</v>
      </c>
      <c r="DU2224" t="s">
        <v>28231</v>
      </c>
      <c r="DV2224" t="s">
        <v>28232</v>
      </c>
      <c r="DW2224" t="s">
        <v>13772</v>
      </c>
      <c r="DX2224" t="s">
        <v>28233</v>
      </c>
      <c r="DY2224" t="s">
        <v>27579</v>
      </c>
      <c r="DZ2224" t="s">
        <v>28234</v>
      </c>
      <c r="EA2224" t="s">
        <v>13772</v>
      </c>
      <c r="EB2224" t="s">
        <v>13772</v>
      </c>
    </row>
    <row r="2225" spans="1:132" hidden="1">
      <c r="A2225">
        <v>1507</v>
      </c>
      <c r="B2225">
        <v>1</v>
      </c>
      <c r="C2225" t="s">
        <v>3587</v>
      </c>
      <c r="D2225" t="s">
        <v>73</v>
      </c>
      <c r="E2225" t="s">
        <v>73</v>
      </c>
      <c r="F2225" t="s">
        <v>73</v>
      </c>
      <c r="G2225" t="s">
        <v>73</v>
      </c>
      <c r="H2225">
        <v>7.1</v>
      </c>
      <c r="I2225">
        <v>254</v>
      </c>
      <c r="J2225">
        <v>27002</v>
      </c>
      <c r="K2225" t="s">
        <v>3588</v>
      </c>
      <c r="L2225">
        <f t="shared" si="138"/>
        <v>2</v>
      </c>
      <c r="N2225">
        <v>2</v>
      </c>
      <c r="O2225">
        <v>2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</v>
      </c>
      <c r="BA2225">
        <v>0</v>
      </c>
      <c r="BB2225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2</v>
      </c>
      <c r="BT2225" s="2">
        <v>0</v>
      </c>
      <c r="BU2225" s="2">
        <v>0</v>
      </c>
      <c r="BV2225" s="2">
        <f t="shared" si="141"/>
        <v>2</v>
      </c>
      <c r="BW2225" s="16">
        <f t="shared" si="139"/>
        <v>0.10526315789473684</v>
      </c>
      <c r="BX2225" s="16">
        <f>COUNTIF($BC$6:BU2225, "=0") / COUNTIF($BC$6:BU2225, "&gt;-1")</f>
        <v>0.52190611664295872</v>
      </c>
      <c r="BY2225" s="18">
        <f>SUM($BC$6:BU2225) / $BY$4</f>
        <v>0.99971533091189058</v>
      </c>
      <c r="BZ2225" s="14">
        <f t="shared" si="140"/>
        <v>18</v>
      </c>
      <c r="CA2225" t="s">
        <v>5832</v>
      </c>
      <c r="CZ2225" t="s">
        <v>10754</v>
      </c>
      <c r="DA2225" t="s">
        <v>5904</v>
      </c>
      <c r="DB2225">
        <v>238</v>
      </c>
      <c r="DC2225" t="s">
        <v>28258</v>
      </c>
      <c r="DD2225" t="s">
        <v>13772</v>
      </c>
      <c r="DE2225" t="s">
        <v>28259</v>
      </c>
      <c r="DF2225" t="s">
        <v>28260</v>
      </c>
      <c r="DG2225" t="s">
        <v>28261</v>
      </c>
      <c r="DH2225" t="str">
        <f>"LYPD8"</f>
        <v>LYPD8</v>
      </c>
      <c r="DI2225" t="s">
        <v>13772</v>
      </c>
      <c r="DJ2225" t="s">
        <v>13777</v>
      </c>
      <c r="DK2225">
        <v>9606</v>
      </c>
      <c r="DL2225" s="34" t="str">
        <f>HYPERLINK("http://www.uniprot.org/uniprot/Q6UX82", "Q6UX82")</f>
        <v>Q6UX82</v>
      </c>
      <c r="DM2225" t="s">
        <v>28262</v>
      </c>
      <c r="DN2225" t="s">
        <v>13772</v>
      </c>
      <c r="DO2225" t="s">
        <v>14336</v>
      </c>
      <c r="DP2225" t="s">
        <v>13772</v>
      </c>
      <c r="DQ2225" t="s">
        <v>13772</v>
      </c>
      <c r="DR2225" t="s">
        <v>13772</v>
      </c>
      <c r="DS2225" t="s">
        <v>13808</v>
      </c>
      <c r="DT2225" t="s">
        <v>13772</v>
      </c>
      <c r="DU2225" t="s">
        <v>13772</v>
      </c>
      <c r="DV2225" t="s">
        <v>27905</v>
      </c>
      <c r="DW2225" t="s">
        <v>13772</v>
      </c>
      <c r="DX2225" t="s">
        <v>28263</v>
      </c>
      <c r="DY2225" t="s">
        <v>28264</v>
      </c>
      <c r="DZ2225" t="s">
        <v>13772</v>
      </c>
      <c r="EA2225" t="s">
        <v>13772</v>
      </c>
      <c r="EB2225" t="s">
        <v>16280</v>
      </c>
    </row>
    <row r="2226" spans="1:132" hidden="1">
      <c r="A2226">
        <v>1524</v>
      </c>
      <c r="B2226">
        <v>1</v>
      </c>
      <c r="C2226" t="s">
        <v>3627</v>
      </c>
      <c r="D2226" t="s">
        <v>73</v>
      </c>
      <c r="E2226" t="s">
        <v>73</v>
      </c>
      <c r="F2226" t="s">
        <v>73</v>
      </c>
      <c r="G2226" t="s">
        <v>73</v>
      </c>
      <c r="H2226">
        <v>8.6999999999999993</v>
      </c>
      <c r="I2226">
        <v>322</v>
      </c>
      <c r="J2226">
        <v>35672</v>
      </c>
      <c r="K2226" t="s">
        <v>3628</v>
      </c>
      <c r="L2226">
        <f t="shared" si="138"/>
        <v>2</v>
      </c>
      <c r="N2226">
        <v>2</v>
      </c>
      <c r="O2226">
        <v>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2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f t="shared" si="141"/>
        <v>2</v>
      </c>
      <c r="BW2226" s="16">
        <f t="shared" si="139"/>
        <v>0.10526315789473684</v>
      </c>
      <c r="BX2226" s="16">
        <f>COUNTIF($BC$6:BU2226, "=0") / COUNTIF($BC$6:BU2226, "&gt;-1")</f>
        <v>0.52209768003981138</v>
      </c>
      <c r="BY2226" s="18">
        <f>SUM($BC$6:BU2226) / $BY$4</f>
        <v>0.99972389818562801</v>
      </c>
      <c r="BZ2226" s="14">
        <f t="shared" si="140"/>
        <v>18</v>
      </c>
      <c r="CA2226" t="s">
        <v>5832</v>
      </c>
      <c r="CZ2226" t="s">
        <v>10817</v>
      </c>
      <c r="DA2226" t="s">
        <v>5904</v>
      </c>
      <c r="DB2226">
        <v>662.9</v>
      </c>
      <c r="DC2226" t="s">
        <v>28424</v>
      </c>
      <c r="DD2226" t="s">
        <v>13772</v>
      </c>
      <c r="DE2226" t="s">
        <v>28425</v>
      </c>
      <c r="DF2226" t="s">
        <v>28426</v>
      </c>
      <c r="DG2226" t="s">
        <v>28427</v>
      </c>
      <c r="DH2226" t="str">
        <f>"SFXN1"</f>
        <v>SFXN1</v>
      </c>
      <c r="DI2226" t="s">
        <v>13772</v>
      </c>
      <c r="DJ2226" t="s">
        <v>13777</v>
      </c>
      <c r="DK2226">
        <v>9606</v>
      </c>
      <c r="DL2226" s="34" t="str">
        <f>HYPERLINK("http://www.uniprot.org/uniprot/Q9H9B4", "Q9H9B4")</f>
        <v>Q9H9B4</v>
      </c>
      <c r="DM2226" t="s">
        <v>28428</v>
      </c>
      <c r="DN2226" t="s">
        <v>28429</v>
      </c>
      <c r="DO2226" t="s">
        <v>15507</v>
      </c>
      <c r="DP2226" t="s">
        <v>13793</v>
      </c>
      <c r="DQ2226" t="s">
        <v>13772</v>
      </c>
      <c r="DR2226" t="s">
        <v>13772</v>
      </c>
      <c r="DS2226" t="s">
        <v>13925</v>
      </c>
      <c r="DT2226" t="s">
        <v>13772</v>
      </c>
      <c r="DU2226" t="s">
        <v>13772</v>
      </c>
      <c r="DV2226" t="s">
        <v>14020</v>
      </c>
      <c r="DW2226" t="s">
        <v>13772</v>
      </c>
      <c r="DX2226" t="s">
        <v>28430</v>
      </c>
      <c r="DY2226" t="s">
        <v>28431</v>
      </c>
      <c r="DZ2226" t="s">
        <v>28432</v>
      </c>
      <c r="EA2226" t="s">
        <v>13772</v>
      </c>
      <c r="EB2226" t="s">
        <v>13772</v>
      </c>
    </row>
    <row r="2227" spans="1:132" hidden="1">
      <c r="A2227">
        <v>1532</v>
      </c>
      <c r="B2227">
        <v>1</v>
      </c>
      <c r="C2227" t="s">
        <v>3637</v>
      </c>
      <c r="D2227" t="s">
        <v>3638</v>
      </c>
      <c r="E2227" t="s">
        <v>73</v>
      </c>
      <c r="F2227" t="s">
        <v>73</v>
      </c>
      <c r="G2227" t="s">
        <v>73</v>
      </c>
      <c r="H2227">
        <v>2.8</v>
      </c>
      <c r="I2227">
        <v>898</v>
      </c>
      <c r="J2227">
        <v>102354</v>
      </c>
      <c r="K2227" t="s">
        <v>3639</v>
      </c>
      <c r="L2227">
        <f t="shared" si="138"/>
        <v>2</v>
      </c>
      <c r="N2227">
        <v>2</v>
      </c>
      <c r="O2227">
        <v>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2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f t="shared" si="141"/>
        <v>2</v>
      </c>
      <c r="BW2227" s="16">
        <f t="shared" si="139"/>
        <v>0.10526315789473684</v>
      </c>
      <c r="BX2227" s="16">
        <f>COUNTIF($BC$6:BU2227, "=0") / COUNTIF($BC$6:BU2227, "&gt;-1")</f>
        <v>0.52228907101236444</v>
      </c>
      <c r="BY2227" s="18">
        <f>SUM($BC$6:BU2227) / $BY$4</f>
        <v>0.99973246545936534</v>
      </c>
      <c r="BZ2227" s="14">
        <f t="shared" si="140"/>
        <v>18</v>
      </c>
      <c r="CA2227" t="s">
        <v>5832</v>
      </c>
      <c r="CZ2227" t="s">
        <v>10841</v>
      </c>
      <c r="DA2227" t="s">
        <v>5904</v>
      </c>
      <c r="DB2227">
        <v>1855.9</v>
      </c>
      <c r="DC2227" t="s">
        <v>28489</v>
      </c>
      <c r="DD2227" t="s">
        <v>28490</v>
      </c>
      <c r="DE2227" t="s">
        <v>28491</v>
      </c>
      <c r="DF2227" t="s">
        <v>28492</v>
      </c>
      <c r="DG2227" t="s">
        <v>28493</v>
      </c>
      <c r="DH2227" t="str">
        <f>"TNPO1"</f>
        <v>TNPO1</v>
      </c>
      <c r="DI2227" t="s">
        <v>28494</v>
      </c>
      <c r="DJ2227" t="s">
        <v>13777</v>
      </c>
      <c r="DK2227">
        <v>9606</v>
      </c>
      <c r="DL2227" s="34" t="str">
        <f>HYPERLINK("http://www.uniprot.org/uniprot/Q92973", "Q92973")</f>
        <v>Q92973</v>
      </c>
      <c r="DM2227" t="s">
        <v>28495</v>
      </c>
      <c r="DN2227" t="s">
        <v>18065</v>
      </c>
      <c r="DO2227" t="s">
        <v>13912</v>
      </c>
      <c r="DP2227" t="s">
        <v>13841</v>
      </c>
      <c r="DQ2227" t="s">
        <v>13772</v>
      </c>
      <c r="DR2227" t="s">
        <v>13772</v>
      </c>
      <c r="DS2227" t="s">
        <v>14096</v>
      </c>
      <c r="DT2227" t="s">
        <v>13772</v>
      </c>
      <c r="DU2227" t="s">
        <v>13772</v>
      </c>
      <c r="DV2227" t="s">
        <v>14020</v>
      </c>
      <c r="DW2227" t="s">
        <v>13812</v>
      </c>
      <c r="DX2227" t="s">
        <v>28496</v>
      </c>
      <c r="DY2227" t="s">
        <v>28497</v>
      </c>
      <c r="DZ2227" t="s">
        <v>28498</v>
      </c>
      <c r="EA2227" t="s">
        <v>13772</v>
      </c>
      <c r="EB2227" t="s">
        <v>28499</v>
      </c>
    </row>
    <row r="2228" spans="1:132" hidden="1">
      <c r="A2228">
        <v>1549</v>
      </c>
      <c r="B2228">
        <v>1</v>
      </c>
      <c r="C2228" t="s">
        <v>3672</v>
      </c>
      <c r="D2228" t="s">
        <v>3673</v>
      </c>
      <c r="E2228" t="s">
        <v>73</v>
      </c>
      <c r="F2228" t="s">
        <v>73</v>
      </c>
      <c r="G2228" t="s">
        <v>73</v>
      </c>
      <c r="H2228">
        <v>3.1</v>
      </c>
      <c r="I2228">
        <v>514</v>
      </c>
      <c r="J2228">
        <v>57243</v>
      </c>
      <c r="K2228" t="s">
        <v>3674</v>
      </c>
      <c r="L2228">
        <f t="shared" si="138"/>
        <v>2</v>
      </c>
      <c r="N2228">
        <v>2</v>
      </c>
      <c r="O2228">
        <v>2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2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f t="shared" si="141"/>
        <v>2</v>
      </c>
      <c r="BW2228" s="16">
        <f t="shared" si="139"/>
        <v>0.10526315789473684</v>
      </c>
      <c r="BX2228" s="16">
        <f>COUNTIF($BC$6:BU2228, "=0") / COUNTIF($BC$6:BU2228, "&gt;-1")</f>
        <v>0.52248028979330918</v>
      </c>
      <c r="BY2228" s="18">
        <f>SUM($BC$6:BU2228) / $BY$4</f>
        <v>0.99974103273310277</v>
      </c>
      <c r="BZ2228" s="14">
        <f t="shared" si="140"/>
        <v>18</v>
      </c>
      <c r="CA2228" t="s">
        <v>5832</v>
      </c>
      <c r="CZ2228" t="s">
        <v>10900</v>
      </c>
      <c r="DA2228" t="s">
        <v>5904</v>
      </c>
      <c r="DB2228">
        <v>926.4</v>
      </c>
      <c r="DC2228" t="s">
        <v>28651</v>
      </c>
      <c r="DD2228" t="s">
        <v>28652</v>
      </c>
      <c r="DE2228" t="s">
        <v>28653</v>
      </c>
      <c r="DF2228" t="s">
        <v>28654</v>
      </c>
      <c r="DG2228" t="s">
        <v>28655</v>
      </c>
      <c r="DH2228" t="str">
        <f>"AGXT2"</f>
        <v>AGXT2</v>
      </c>
      <c r="DI2228" t="s">
        <v>28656</v>
      </c>
      <c r="DJ2228" t="s">
        <v>13777</v>
      </c>
      <c r="DK2228">
        <v>9606</v>
      </c>
      <c r="DL2228" s="34" t="str">
        <f>HYPERLINK("http://www.uniprot.org/uniprot/Q9BYV1", "Q9BYV1")</f>
        <v>Q9BYV1</v>
      </c>
      <c r="DM2228" t="s">
        <v>28657</v>
      </c>
      <c r="DN2228" t="s">
        <v>13772</v>
      </c>
      <c r="DO2228" t="s">
        <v>14491</v>
      </c>
      <c r="DP2228" t="s">
        <v>13780</v>
      </c>
      <c r="DQ2228" t="s">
        <v>13772</v>
      </c>
      <c r="DR2228" t="s">
        <v>13772</v>
      </c>
      <c r="DS2228" t="s">
        <v>14391</v>
      </c>
      <c r="DT2228" t="s">
        <v>14133</v>
      </c>
      <c r="DU2228" t="s">
        <v>25593</v>
      </c>
      <c r="DV2228" t="s">
        <v>14020</v>
      </c>
      <c r="DW2228" t="s">
        <v>13772</v>
      </c>
      <c r="DX2228" t="s">
        <v>28658</v>
      </c>
      <c r="DY2228" t="s">
        <v>15582</v>
      </c>
      <c r="DZ2228" t="s">
        <v>28659</v>
      </c>
      <c r="EA2228" t="s">
        <v>13772</v>
      </c>
      <c r="EB2228" t="s">
        <v>28660</v>
      </c>
    </row>
    <row r="2229" spans="1:132" hidden="1">
      <c r="A2229">
        <v>1580</v>
      </c>
      <c r="B2229">
        <v>1</v>
      </c>
      <c r="C2229" t="s">
        <v>3745</v>
      </c>
      <c r="D2229" t="s">
        <v>73</v>
      </c>
      <c r="E2229" t="s">
        <v>73</v>
      </c>
      <c r="F2229" t="s">
        <v>73</v>
      </c>
      <c r="G2229" t="s">
        <v>73</v>
      </c>
      <c r="H2229">
        <v>3.5</v>
      </c>
      <c r="I2229">
        <v>954</v>
      </c>
      <c r="J2229">
        <v>102603</v>
      </c>
      <c r="K2229" t="s">
        <v>3746</v>
      </c>
      <c r="L2229">
        <f t="shared" si="138"/>
        <v>2</v>
      </c>
      <c r="N2229">
        <v>2</v>
      </c>
      <c r="O2229">
        <v>2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2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2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f t="shared" si="141"/>
        <v>2</v>
      </c>
      <c r="BW2229" s="16">
        <f t="shared" si="139"/>
        <v>0.10526315789473684</v>
      </c>
      <c r="BX2229" s="16">
        <f>COUNTIF($BC$6:BU2229, "=0") / COUNTIF($BC$6:BU2229, "&gt;-1")</f>
        <v>0.5226713366149186</v>
      </c>
      <c r="BY2229" s="18">
        <f>SUM($BC$6:BU2229) / $BY$4</f>
        <v>0.99974960000684021</v>
      </c>
      <c r="BZ2229" s="14">
        <f t="shared" si="140"/>
        <v>18</v>
      </c>
      <c r="CA2229" t="s">
        <v>5832</v>
      </c>
      <c r="CZ2229" t="s">
        <v>11007</v>
      </c>
      <c r="DA2229" t="s">
        <v>5904</v>
      </c>
      <c r="DB2229">
        <v>1650.6</v>
      </c>
      <c r="DC2229" t="s">
        <v>28949</v>
      </c>
      <c r="DD2229" t="s">
        <v>28950</v>
      </c>
      <c r="DE2229" t="s">
        <v>28951</v>
      </c>
      <c r="DF2229" t="s">
        <v>28952</v>
      </c>
      <c r="DG2229" t="s">
        <v>28953</v>
      </c>
      <c r="DH2229" t="str">
        <f>"HK3"</f>
        <v>HK3</v>
      </c>
      <c r="DI2229" t="s">
        <v>13772</v>
      </c>
      <c r="DJ2229" t="s">
        <v>13777</v>
      </c>
      <c r="DK2229">
        <v>9606</v>
      </c>
      <c r="DL2229" s="34" t="str">
        <f>HYPERLINK("http://www.uniprot.org/uniprot/P52790", "P52790")</f>
        <v>P52790</v>
      </c>
      <c r="DM2229" t="s">
        <v>28954</v>
      </c>
      <c r="DN2229" t="s">
        <v>15772</v>
      </c>
      <c r="DO2229" t="s">
        <v>13772</v>
      </c>
      <c r="DP2229" t="s">
        <v>13793</v>
      </c>
      <c r="DQ2229" t="s">
        <v>13772</v>
      </c>
      <c r="DR2229" t="s">
        <v>13772</v>
      </c>
      <c r="DS2229" t="s">
        <v>14096</v>
      </c>
      <c r="DT2229" t="s">
        <v>14005</v>
      </c>
      <c r="DU2229" t="s">
        <v>15774</v>
      </c>
      <c r="DV2229" t="s">
        <v>13772</v>
      </c>
      <c r="DW2229" t="s">
        <v>13812</v>
      </c>
      <c r="DX2229" t="s">
        <v>28955</v>
      </c>
      <c r="DY2229" t="s">
        <v>28956</v>
      </c>
      <c r="DZ2229" t="s">
        <v>28957</v>
      </c>
      <c r="EA2229" t="s">
        <v>25442</v>
      </c>
      <c r="EB2229" t="s">
        <v>15780</v>
      </c>
    </row>
    <row r="2230" spans="1:132" hidden="1">
      <c r="A2230">
        <v>1613</v>
      </c>
      <c r="B2230">
        <v>1</v>
      </c>
      <c r="C2230" t="s">
        <v>3823</v>
      </c>
      <c r="D2230" t="s">
        <v>73</v>
      </c>
      <c r="E2230" t="s">
        <v>73</v>
      </c>
      <c r="F2230" t="s">
        <v>73</v>
      </c>
      <c r="G2230" t="s">
        <v>73</v>
      </c>
      <c r="H2230">
        <v>7.7</v>
      </c>
      <c r="I2230">
        <v>546</v>
      </c>
      <c r="J2230">
        <v>61893</v>
      </c>
      <c r="K2230" t="s">
        <v>3824</v>
      </c>
      <c r="L2230">
        <f t="shared" si="138"/>
        <v>2</v>
      </c>
      <c r="N2230">
        <v>2</v>
      </c>
      <c r="O2230">
        <v>2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2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2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f t="shared" si="141"/>
        <v>2</v>
      </c>
      <c r="BW2230" s="16">
        <f t="shared" si="139"/>
        <v>0.10526315789473684</v>
      </c>
      <c r="BX2230" s="16">
        <f>COUNTIF($BC$6:BU2230, "=0") / COUNTIF($BC$6:BU2230, "&gt;-1")</f>
        <v>0.5228622117090479</v>
      </c>
      <c r="BY2230" s="18">
        <f>SUM($BC$6:BU2230) / $BY$4</f>
        <v>0.99975816728057754</v>
      </c>
      <c r="BZ2230" s="14">
        <f t="shared" si="140"/>
        <v>18</v>
      </c>
      <c r="CA2230" t="s">
        <v>5832</v>
      </c>
      <c r="CZ2230" t="s">
        <v>11122</v>
      </c>
      <c r="DA2230" t="s">
        <v>5904</v>
      </c>
      <c r="DB2230">
        <v>862.4</v>
      </c>
      <c r="DC2230" t="s">
        <v>29256</v>
      </c>
      <c r="DD2230" t="s">
        <v>29257</v>
      </c>
      <c r="DE2230" t="s">
        <v>29258</v>
      </c>
      <c r="DF2230" t="s">
        <v>29259</v>
      </c>
      <c r="DG2230" t="s">
        <v>29260</v>
      </c>
      <c r="DH2230" t="str">
        <f>"CLCC1"</f>
        <v>CLCC1</v>
      </c>
      <c r="DI2230" t="s">
        <v>29261</v>
      </c>
      <c r="DJ2230" t="s">
        <v>13777</v>
      </c>
      <c r="DK2230">
        <v>9606</v>
      </c>
      <c r="DL2230" s="34" t="str">
        <f>HYPERLINK("http://www.uniprot.org/uniprot/Q96S66", "Q96S66")</f>
        <v>Q96S66</v>
      </c>
      <c r="DM2230" t="s">
        <v>29262</v>
      </c>
      <c r="DN2230" t="s">
        <v>14288</v>
      </c>
      <c r="DO2230" t="s">
        <v>29263</v>
      </c>
      <c r="DP2230" t="s">
        <v>13780</v>
      </c>
      <c r="DQ2230" t="s">
        <v>13772</v>
      </c>
      <c r="DR2230" t="s">
        <v>13772</v>
      </c>
      <c r="DS2230" t="s">
        <v>13855</v>
      </c>
      <c r="DT2230" t="s">
        <v>18321</v>
      </c>
      <c r="DU2230" t="s">
        <v>14290</v>
      </c>
      <c r="DV2230" t="s">
        <v>13782</v>
      </c>
      <c r="DW2230" t="s">
        <v>13772</v>
      </c>
      <c r="DX2230" t="s">
        <v>13772</v>
      </c>
      <c r="DY2230" t="s">
        <v>29264</v>
      </c>
      <c r="DZ2230" t="s">
        <v>29265</v>
      </c>
      <c r="EA2230" t="s">
        <v>13772</v>
      </c>
      <c r="EB2230" t="s">
        <v>13772</v>
      </c>
    </row>
    <row r="2231" spans="1:132" hidden="1">
      <c r="A2231">
        <v>1674</v>
      </c>
      <c r="B2231">
        <v>1</v>
      </c>
      <c r="C2231" t="s">
        <v>3968</v>
      </c>
      <c r="D2231" t="s">
        <v>73</v>
      </c>
      <c r="E2231" t="s">
        <v>73</v>
      </c>
      <c r="F2231" t="s">
        <v>73</v>
      </c>
      <c r="G2231" t="s">
        <v>73</v>
      </c>
      <c r="H2231">
        <v>6</v>
      </c>
      <c r="I2231">
        <v>586</v>
      </c>
      <c r="J2231">
        <v>65377</v>
      </c>
      <c r="K2231" t="s">
        <v>3969</v>
      </c>
      <c r="L2231">
        <f t="shared" si="138"/>
        <v>2</v>
      </c>
      <c r="N2231">
        <v>2</v>
      </c>
      <c r="O2231">
        <v>2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2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f t="shared" si="141"/>
        <v>2</v>
      </c>
      <c r="BW2231" s="16">
        <f t="shared" si="139"/>
        <v>0.10526315789473684</v>
      </c>
      <c r="BX2231" s="16">
        <f>COUNTIF($BC$6:BU2231, "=0") / COUNTIF($BC$6:BU2231, "&gt;-1")</f>
        <v>0.52305291530713571</v>
      </c>
      <c r="BY2231" s="18">
        <f>SUM($BC$6:BU2231) / $BY$4</f>
        <v>0.99976673455431497</v>
      </c>
      <c r="BZ2231" s="14">
        <f t="shared" si="140"/>
        <v>18</v>
      </c>
      <c r="CA2231" t="s">
        <v>5832</v>
      </c>
      <c r="CZ2231" t="s">
        <v>11330</v>
      </c>
      <c r="DA2231" t="s">
        <v>5904</v>
      </c>
      <c r="DB2231">
        <v>1166.4000000000001</v>
      </c>
      <c r="DC2231" t="s">
        <v>29856</v>
      </c>
      <c r="DD2231" t="s">
        <v>29857</v>
      </c>
      <c r="DE2231" t="s">
        <v>29858</v>
      </c>
      <c r="DF2231" t="s">
        <v>29859</v>
      </c>
      <c r="DG2231" t="s">
        <v>29860</v>
      </c>
      <c r="DH2231" t="str">
        <f>"CTPS2"</f>
        <v>CTPS2</v>
      </c>
      <c r="DI2231" t="s">
        <v>13772</v>
      </c>
      <c r="DJ2231" t="s">
        <v>13777</v>
      </c>
      <c r="DK2231">
        <v>9606</v>
      </c>
      <c r="DL2231" s="34" t="str">
        <f>HYPERLINK("http://www.uniprot.org/uniprot/Q9NRF8", "Q9NRF8")</f>
        <v>Q9NRF8</v>
      </c>
      <c r="DM2231" t="s">
        <v>29861</v>
      </c>
      <c r="DN2231" t="s">
        <v>16969</v>
      </c>
      <c r="DO2231" t="s">
        <v>13772</v>
      </c>
      <c r="DP2231" t="s">
        <v>13772</v>
      </c>
      <c r="DQ2231" t="s">
        <v>13772</v>
      </c>
      <c r="DR2231" t="s">
        <v>13772</v>
      </c>
      <c r="DS2231" t="s">
        <v>29862</v>
      </c>
      <c r="DT2231" t="s">
        <v>14005</v>
      </c>
      <c r="DU2231" t="s">
        <v>21123</v>
      </c>
      <c r="DV2231" t="s">
        <v>13782</v>
      </c>
      <c r="DW2231" t="s">
        <v>13812</v>
      </c>
      <c r="DX2231" t="s">
        <v>29863</v>
      </c>
      <c r="DY2231" t="s">
        <v>29864</v>
      </c>
      <c r="DZ2231" t="s">
        <v>29865</v>
      </c>
      <c r="EA2231" t="s">
        <v>29866</v>
      </c>
      <c r="EB2231" t="s">
        <v>16974</v>
      </c>
    </row>
    <row r="2232" spans="1:132" hidden="1">
      <c r="A2232">
        <v>1721</v>
      </c>
      <c r="B2232">
        <v>1</v>
      </c>
      <c r="C2232" t="s">
        <v>4071</v>
      </c>
      <c r="D2232" t="s">
        <v>4072</v>
      </c>
      <c r="E2232" t="s">
        <v>73</v>
      </c>
      <c r="F2232" t="s">
        <v>73</v>
      </c>
      <c r="G2232" t="s">
        <v>73</v>
      </c>
      <c r="H2232">
        <v>8</v>
      </c>
      <c r="I2232">
        <v>413</v>
      </c>
      <c r="J2232">
        <v>46948</v>
      </c>
      <c r="K2232" t="s">
        <v>4073</v>
      </c>
      <c r="L2232">
        <f t="shared" si="138"/>
        <v>2</v>
      </c>
      <c r="N2232">
        <v>2</v>
      </c>
      <c r="O2232">
        <v>2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2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f t="shared" si="141"/>
        <v>2</v>
      </c>
      <c r="BW2232" s="16">
        <f t="shared" si="139"/>
        <v>0.10526315789473684</v>
      </c>
      <c r="BX2232" s="16">
        <f>COUNTIF($BC$6:BU2232, "=0") / COUNTIF($BC$6:BU2232, "&gt;-1")</f>
        <v>0.52324344764020514</v>
      </c>
      <c r="BY2232" s="18">
        <f>SUM($BC$6:BU2232) / $BY$4</f>
        <v>0.99977530182805241</v>
      </c>
      <c r="BZ2232" s="14">
        <f t="shared" si="140"/>
        <v>18</v>
      </c>
      <c r="CA2232" t="s">
        <v>5832</v>
      </c>
      <c r="CZ2232" t="s">
        <v>11485</v>
      </c>
      <c r="DA2232" t="s">
        <v>5904</v>
      </c>
      <c r="DB2232">
        <v>772.7</v>
      </c>
      <c r="DC2232" t="s">
        <v>30288</v>
      </c>
      <c r="DD2232" t="s">
        <v>30289</v>
      </c>
      <c r="DE2232" t="s">
        <v>30290</v>
      </c>
      <c r="DF2232" t="s">
        <v>30291</v>
      </c>
      <c r="DG2232" t="s">
        <v>30292</v>
      </c>
      <c r="DH2232" t="str">
        <f>"GLUL"</f>
        <v>GLUL</v>
      </c>
      <c r="DI2232" t="s">
        <v>13772</v>
      </c>
      <c r="DJ2232" t="s">
        <v>13777</v>
      </c>
      <c r="DK2232">
        <v>9606</v>
      </c>
      <c r="DL2232" s="34" t="str">
        <f>HYPERLINK("http://www.uniprot.org/uniprot/P15104", "P15104")</f>
        <v>P15104</v>
      </c>
      <c r="DM2232" t="s">
        <v>30293</v>
      </c>
      <c r="DN2232" t="s">
        <v>22082</v>
      </c>
      <c r="DO2232" t="s">
        <v>30294</v>
      </c>
      <c r="DP2232" t="s">
        <v>13772</v>
      </c>
      <c r="DQ2232" t="s">
        <v>13772</v>
      </c>
      <c r="DR2232" t="s">
        <v>13807</v>
      </c>
      <c r="DS2232" t="s">
        <v>13772</v>
      </c>
      <c r="DT2232" t="s">
        <v>23768</v>
      </c>
      <c r="DU2232" t="s">
        <v>29557</v>
      </c>
      <c r="DV2232" t="s">
        <v>30295</v>
      </c>
      <c r="DW2232" t="s">
        <v>13812</v>
      </c>
      <c r="DX2232" t="s">
        <v>30296</v>
      </c>
      <c r="DY2232" t="s">
        <v>30297</v>
      </c>
      <c r="DZ2232" t="s">
        <v>30298</v>
      </c>
      <c r="EA2232" t="s">
        <v>13772</v>
      </c>
      <c r="EB2232" t="s">
        <v>30299</v>
      </c>
    </row>
    <row r="2233" spans="1:132" hidden="1">
      <c r="A2233">
        <v>1991</v>
      </c>
      <c r="B2233">
        <v>1</v>
      </c>
      <c r="C2233" t="s">
        <v>4687</v>
      </c>
      <c r="D2233" t="s">
        <v>4688</v>
      </c>
      <c r="E2233" t="s">
        <v>73</v>
      </c>
      <c r="F2233" t="s">
        <v>73</v>
      </c>
      <c r="G2233" t="s">
        <v>73</v>
      </c>
      <c r="H2233">
        <v>10.1</v>
      </c>
      <c r="I2233">
        <v>288</v>
      </c>
      <c r="J2233">
        <v>30690</v>
      </c>
      <c r="K2233" t="s">
        <v>4689</v>
      </c>
      <c r="L2233">
        <f t="shared" si="138"/>
        <v>2</v>
      </c>
      <c r="N2233">
        <v>2</v>
      </c>
      <c r="O2233">
        <v>2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2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f t="shared" si="141"/>
        <v>2</v>
      </c>
      <c r="BW2233" s="16">
        <f t="shared" si="139"/>
        <v>0.10526315789473684</v>
      </c>
      <c r="BX2233" s="16">
        <f>COUNTIF($BC$6:BU2233, "=0") / COUNTIF($BC$6:BU2233, "&gt;-1")</f>
        <v>0.52343380893886426</v>
      </c>
      <c r="BY2233" s="18">
        <f>SUM($BC$6:BU2233) / $BY$4</f>
        <v>0.99978386910178974</v>
      </c>
      <c r="BZ2233" s="14">
        <f t="shared" si="140"/>
        <v>18</v>
      </c>
      <c r="CA2233" t="s">
        <v>5832</v>
      </c>
      <c r="CZ2233" t="s">
        <v>12392</v>
      </c>
      <c r="DA2233" t="s">
        <v>5904</v>
      </c>
      <c r="DB2233">
        <v>274.60000000000002</v>
      </c>
      <c r="DC2233" t="s">
        <v>32877</v>
      </c>
      <c r="DD2233" t="s">
        <v>13772</v>
      </c>
      <c r="DE2233" t="s">
        <v>32878</v>
      </c>
      <c r="DF2233" t="s">
        <v>32879</v>
      </c>
      <c r="DG2233" t="s">
        <v>32880</v>
      </c>
      <c r="DH2233" t="str">
        <f>"SUSD3"</f>
        <v>SUSD3</v>
      </c>
      <c r="DI2233" t="s">
        <v>13772</v>
      </c>
      <c r="DJ2233" t="s">
        <v>13777</v>
      </c>
      <c r="DK2233">
        <v>9606</v>
      </c>
      <c r="DL2233" s="34" t="str">
        <f>HYPERLINK("http://www.uniprot.org/uniprot/Q96L08", "Q96L08")</f>
        <v>Q96L08</v>
      </c>
      <c r="DM2233" t="s">
        <v>32881</v>
      </c>
      <c r="DN2233" t="s">
        <v>13772</v>
      </c>
      <c r="DO2233" t="s">
        <v>13792</v>
      </c>
      <c r="DP2233" t="s">
        <v>13780</v>
      </c>
      <c r="DQ2233" t="s">
        <v>13772</v>
      </c>
      <c r="DR2233" t="s">
        <v>13772</v>
      </c>
      <c r="DS2233" t="s">
        <v>32882</v>
      </c>
      <c r="DT2233" t="s">
        <v>13772</v>
      </c>
      <c r="DU2233" t="s">
        <v>13772</v>
      </c>
      <c r="DV2233" t="s">
        <v>13796</v>
      </c>
      <c r="DW2233" t="s">
        <v>13772</v>
      </c>
      <c r="DX2233" t="s">
        <v>13772</v>
      </c>
      <c r="DY2233" t="s">
        <v>13798</v>
      </c>
      <c r="DZ2233" t="s">
        <v>13772</v>
      </c>
      <c r="EA2233" t="s">
        <v>13772</v>
      </c>
      <c r="EB2233" t="s">
        <v>13772</v>
      </c>
    </row>
    <row r="2234" spans="1:132" hidden="1">
      <c r="A2234">
        <v>2016</v>
      </c>
      <c r="B2234">
        <v>1</v>
      </c>
      <c r="C2234" t="s">
        <v>4743</v>
      </c>
      <c r="D2234" t="s">
        <v>4744</v>
      </c>
      <c r="E2234" t="s">
        <v>73</v>
      </c>
      <c r="F2234" t="s">
        <v>73</v>
      </c>
      <c r="G2234" t="s">
        <v>73</v>
      </c>
      <c r="H2234">
        <v>2.9</v>
      </c>
      <c r="I2234">
        <v>1244</v>
      </c>
      <c r="J2234">
        <v>135346</v>
      </c>
      <c r="K2234" t="s">
        <v>4745</v>
      </c>
      <c r="L2234">
        <f t="shared" si="138"/>
        <v>2</v>
      </c>
      <c r="N2234">
        <v>2</v>
      </c>
      <c r="O2234">
        <v>2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2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f t="shared" si="141"/>
        <v>2</v>
      </c>
      <c r="BW2234" s="16">
        <f t="shared" si="139"/>
        <v>0.10526315789473684</v>
      </c>
      <c r="BX2234" s="16">
        <f>COUNTIF($BC$6:BU2234, "=0") / COUNTIF($BC$6:BU2234, "&gt;-1")</f>
        <v>0.5236239994333074</v>
      </c>
      <c r="BY2234" s="18">
        <f>SUM($BC$6:BU2234) / $BY$4</f>
        <v>0.99979243637552717</v>
      </c>
      <c r="BZ2234" s="14">
        <f t="shared" si="140"/>
        <v>18</v>
      </c>
      <c r="CA2234" t="s">
        <v>5832</v>
      </c>
      <c r="CZ2234" t="s">
        <v>12472</v>
      </c>
      <c r="DA2234" t="s">
        <v>5904</v>
      </c>
      <c r="DB2234">
        <v>2174.4</v>
      </c>
      <c r="DC2234" t="s">
        <v>33099</v>
      </c>
      <c r="DD2234" t="s">
        <v>33100</v>
      </c>
      <c r="DE2234" t="s">
        <v>33101</v>
      </c>
      <c r="DF2234" t="s">
        <v>33102</v>
      </c>
      <c r="DG2234" t="s">
        <v>33103</v>
      </c>
      <c r="DH2234" t="str">
        <f>"NPHS1"</f>
        <v>NPHS1</v>
      </c>
      <c r="DI2234" t="s">
        <v>33104</v>
      </c>
      <c r="DJ2234" t="s">
        <v>13777</v>
      </c>
      <c r="DK2234">
        <v>9606</v>
      </c>
      <c r="DL2234" s="34" t="str">
        <f>HYPERLINK("http://www.uniprot.org/uniprot/O60500", "O60500")</f>
        <v>O60500</v>
      </c>
      <c r="DM2234" t="s">
        <v>33105</v>
      </c>
      <c r="DN2234" t="s">
        <v>33106</v>
      </c>
      <c r="DO2234" t="s">
        <v>13792</v>
      </c>
      <c r="DP2234" t="s">
        <v>13780</v>
      </c>
      <c r="DQ2234" t="s">
        <v>13772</v>
      </c>
      <c r="DR2234" t="s">
        <v>13807</v>
      </c>
      <c r="DS2234" t="s">
        <v>13951</v>
      </c>
      <c r="DT2234" t="s">
        <v>13772</v>
      </c>
      <c r="DU2234" t="s">
        <v>14727</v>
      </c>
      <c r="DV2234" t="s">
        <v>13964</v>
      </c>
      <c r="DW2234" t="s">
        <v>13812</v>
      </c>
      <c r="DX2234" t="s">
        <v>33107</v>
      </c>
      <c r="DY2234" t="s">
        <v>33108</v>
      </c>
      <c r="DZ2234" t="s">
        <v>31282</v>
      </c>
      <c r="EA2234" t="s">
        <v>13772</v>
      </c>
      <c r="EB2234" t="s">
        <v>27088</v>
      </c>
    </row>
    <row r="2235" spans="1:132" hidden="1">
      <c r="A2235">
        <v>2051</v>
      </c>
      <c r="B2235">
        <v>1</v>
      </c>
      <c r="C2235" t="s">
        <v>4820</v>
      </c>
      <c r="D2235" t="s">
        <v>73</v>
      </c>
      <c r="E2235" t="s">
        <v>73</v>
      </c>
      <c r="F2235" t="s">
        <v>73</v>
      </c>
      <c r="G2235" t="s">
        <v>73</v>
      </c>
      <c r="H2235">
        <v>9.9</v>
      </c>
      <c r="I2235">
        <v>313</v>
      </c>
      <c r="J2235">
        <v>33276</v>
      </c>
      <c r="K2235" t="s">
        <v>4821</v>
      </c>
      <c r="L2235">
        <f t="shared" si="138"/>
        <v>2</v>
      </c>
      <c r="N2235">
        <v>2</v>
      </c>
      <c r="O2235">
        <v>2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2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2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f t="shared" si="141"/>
        <v>2</v>
      </c>
      <c r="BW2235" s="16">
        <f t="shared" si="139"/>
        <v>0.10526315789473684</v>
      </c>
      <c r="BX2235" s="16">
        <f>COUNTIF($BC$6:BU2235, "=0") / COUNTIF($BC$6:BU2235, "&gt;-1")</f>
        <v>0.52381401935331606</v>
      </c>
      <c r="BY2235" s="18">
        <f>SUM($BC$6:BU2235) / $BY$4</f>
        <v>0.99980100364926461</v>
      </c>
      <c r="BZ2235" s="14">
        <f t="shared" si="140"/>
        <v>18</v>
      </c>
      <c r="CA2235" t="s">
        <v>5832</v>
      </c>
      <c r="CZ2235" t="s">
        <v>12588</v>
      </c>
      <c r="DA2235" t="s">
        <v>5904</v>
      </c>
      <c r="DB2235">
        <v>495</v>
      </c>
      <c r="DC2235" t="s">
        <v>33410</v>
      </c>
      <c r="DD2235" t="s">
        <v>33411</v>
      </c>
      <c r="DE2235" t="s">
        <v>33412</v>
      </c>
      <c r="DF2235" t="s">
        <v>33413</v>
      </c>
      <c r="DG2235" t="s">
        <v>33414</v>
      </c>
      <c r="DH2235" t="str">
        <f>"FBL"</f>
        <v>FBL</v>
      </c>
      <c r="DI2235" t="s">
        <v>33415</v>
      </c>
      <c r="DJ2235" t="s">
        <v>13777</v>
      </c>
      <c r="DK2235">
        <v>9606</v>
      </c>
      <c r="DL2235" s="34" t="str">
        <f>HYPERLINK("http://www.uniprot.org/uniprot/P22087", "P22087")</f>
        <v>P22087</v>
      </c>
      <c r="DM2235" t="s">
        <v>33416</v>
      </c>
      <c r="DN2235" t="s">
        <v>33417</v>
      </c>
      <c r="DO2235" t="s">
        <v>14825</v>
      </c>
      <c r="DP2235" t="s">
        <v>13772</v>
      </c>
      <c r="DQ2235" t="s">
        <v>13772</v>
      </c>
      <c r="DR2235" t="s">
        <v>13772</v>
      </c>
      <c r="DS2235" t="s">
        <v>13772</v>
      </c>
      <c r="DT2235" t="s">
        <v>20398</v>
      </c>
      <c r="DU2235" t="s">
        <v>33418</v>
      </c>
      <c r="DV2235" t="s">
        <v>26854</v>
      </c>
      <c r="DW2235" t="s">
        <v>13812</v>
      </c>
      <c r="DX2235" t="s">
        <v>33419</v>
      </c>
      <c r="DY2235" t="s">
        <v>33420</v>
      </c>
      <c r="DZ2235" t="s">
        <v>33421</v>
      </c>
      <c r="EA2235" t="s">
        <v>13772</v>
      </c>
      <c r="EB2235" t="s">
        <v>33422</v>
      </c>
    </row>
    <row r="2236" spans="1:132" hidden="1">
      <c r="A2236">
        <v>2057</v>
      </c>
      <c r="B2236">
        <v>1</v>
      </c>
      <c r="C2236" t="s">
        <v>4836</v>
      </c>
      <c r="D2236" t="s">
        <v>73</v>
      </c>
      <c r="E2236" t="s">
        <v>73</v>
      </c>
      <c r="F2236" t="s">
        <v>73</v>
      </c>
      <c r="G2236" t="s">
        <v>73</v>
      </c>
      <c r="H2236">
        <v>16.899999999999999</v>
      </c>
      <c r="I2236">
        <v>118</v>
      </c>
      <c r="J2236">
        <v>13527</v>
      </c>
      <c r="K2236" t="s">
        <v>4837</v>
      </c>
      <c r="L2236">
        <f t="shared" si="138"/>
        <v>2</v>
      </c>
      <c r="N2236">
        <v>2</v>
      </c>
      <c r="O2236">
        <v>2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2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f t="shared" si="141"/>
        <v>2</v>
      </c>
      <c r="BW2236" s="16">
        <f t="shared" si="139"/>
        <v>0.10526315789473684</v>
      </c>
      <c r="BX2236" s="16">
        <f>COUNTIF($BC$6:BU2236, "=0") / COUNTIF($BC$6:BU2236, "&gt;-1")</f>
        <v>0.52400386892825968</v>
      </c>
      <c r="BY2236" s="18">
        <f>SUM($BC$6:BU2236) / $BY$4</f>
        <v>0.99980957092300193</v>
      </c>
      <c r="BZ2236" s="14">
        <f t="shared" si="140"/>
        <v>18</v>
      </c>
      <c r="CA2236" t="s">
        <v>5832</v>
      </c>
      <c r="CZ2236" t="s">
        <v>12611</v>
      </c>
      <c r="DA2236" t="s">
        <v>5904</v>
      </c>
      <c r="DB2236">
        <v>239.2</v>
      </c>
      <c r="DC2236" t="s">
        <v>33469</v>
      </c>
      <c r="DD2236" t="s">
        <v>33470</v>
      </c>
      <c r="DE2236" t="s">
        <v>33471</v>
      </c>
      <c r="DF2236" t="s">
        <v>33472</v>
      </c>
      <c r="DG2236" t="s">
        <v>33473</v>
      </c>
      <c r="DH2236" t="str">
        <f>"SNRPD2"</f>
        <v>SNRPD2</v>
      </c>
      <c r="DI2236" t="s">
        <v>33474</v>
      </c>
      <c r="DJ2236" t="s">
        <v>13777</v>
      </c>
      <c r="DK2236">
        <v>9606</v>
      </c>
      <c r="DL2236" s="34" t="str">
        <f>HYPERLINK("http://www.uniprot.org/uniprot/P62316", "P62316")</f>
        <v>P62316</v>
      </c>
      <c r="DM2236" t="s">
        <v>33475</v>
      </c>
      <c r="DN2236" t="s">
        <v>15152</v>
      </c>
      <c r="DO2236" t="s">
        <v>14230</v>
      </c>
      <c r="DP2236" t="s">
        <v>13841</v>
      </c>
      <c r="DQ2236" t="s">
        <v>13772</v>
      </c>
      <c r="DR2236" t="s">
        <v>13772</v>
      </c>
      <c r="DS2236" t="s">
        <v>13772</v>
      </c>
      <c r="DT2236" t="s">
        <v>13772</v>
      </c>
      <c r="DU2236" t="s">
        <v>30107</v>
      </c>
      <c r="DV2236" t="s">
        <v>13991</v>
      </c>
      <c r="DW2236" t="s">
        <v>13812</v>
      </c>
      <c r="DX2236" t="s">
        <v>33476</v>
      </c>
      <c r="DY2236" t="s">
        <v>33477</v>
      </c>
      <c r="DZ2236" t="s">
        <v>33478</v>
      </c>
      <c r="EA2236" t="s">
        <v>13772</v>
      </c>
      <c r="EB2236" t="s">
        <v>33479</v>
      </c>
    </row>
    <row r="2237" spans="1:132" hidden="1">
      <c r="A2237">
        <v>2116</v>
      </c>
      <c r="B2237">
        <v>1</v>
      </c>
      <c r="C2237" t="s">
        <v>4966</v>
      </c>
      <c r="D2237" t="s">
        <v>73</v>
      </c>
      <c r="E2237" t="s">
        <v>73</v>
      </c>
      <c r="F2237" t="s">
        <v>73</v>
      </c>
      <c r="G2237" t="s">
        <v>73</v>
      </c>
      <c r="H2237">
        <v>9.6</v>
      </c>
      <c r="I2237">
        <v>312</v>
      </c>
      <c r="J2237">
        <v>33457</v>
      </c>
      <c r="K2237" t="s">
        <v>4967</v>
      </c>
      <c r="L2237">
        <f t="shared" si="138"/>
        <v>2</v>
      </c>
      <c r="N2237">
        <v>2</v>
      </c>
      <c r="O2237">
        <v>2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2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f t="shared" si="141"/>
        <v>2</v>
      </c>
      <c r="BW2237" s="16">
        <f t="shared" si="139"/>
        <v>0.10526315789473684</v>
      </c>
      <c r="BX2237" s="16">
        <f>COUNTIF($BC$6:BU2237, "=0") / COUNTIF($BC$6:BU2237, "&gt;-1")</f>
        <v>0.52419354838709675</v>
      </c>
      <c r="BY2237" s="18">
        <f>SUM($BC$6:BU2237) / $BY$4</f>
        <v>0.99981813819673937</v>
      </c>
      <c r="BZ2237" s="14">
        <f t="shared" si="140"/>
        <v>18</v>
      </c>
      <c r="CA2237" t="s">
        <v>5832</v>
      </c>
      <c r="CZ2237" t="s">
        <v>12801</v>
      </c>
      <c r="DA2237" t="s">
        <v>5904</v>
      </c>
      <c r="DB2237">
        <v>558.1</v>
      </c>
      <c r="DC2237" t="s">
        <v>34011</v>
      </c>
      <c r="DD2237" t="s">
        <v>34012</v>
      </c>
      <c r="DE2237" t="s">
        <v>34013</v>
      </c>
      <c r="DF2237" t="s">
        <v>34014</v>
      </c>
      <c r="DG2237" t="s">
        <v>34015</v>
      </c>
      <c r="DH2237" t="str">
        <f>"CIAPIN1"</f>
        <v>CIAPIN1</v>
      </c>
      <c r="DI2237" t="s">
        <v>13772</v>
      </c>
      <c r="DJ2237" t="s">
        <v>13777</v>
      </c>
      <c r="DK2237">
        <v>9606</v>
      </c>
      <c r="DL2237" s="34" t="str">
        <f>HYPERLINK("http://www.uniprot.org/uniprot/Q6FI81", "Q6FI81")</f>
        <v>Q6FI81</v>
      </c>
      <c r="DM2237" t="s">
        <v>34016</v>
      </c>
      <c r="DN2237" t="s">
        <v>17109</v>
      </c>
      <c r="DO2237" t="s">
        <v>19098</v>
      </c>
      <c r="DP2237" t="s">
        <v>13780</v>
      </c>
      <c r="DQ2237" t="s">
        <v>13772</v>
      </c>
      <c r="DR2237" t="s">
        <v>13772</v>
      </c>
      <c r="DS2237" t="s">
        <v>13772</v>
      </c>
      <c r="DT2237" t="s">
        <v>34017</v>
      </c>
      <c r="DU2237" t="s">
        <v>13772</v>
      </c>
      <c r="DV2237" t="s">
        <v>13782</v>
      </c>
      <c r="DW2237" t="s">
        <v>13812</v>
      </c>
      <c r="DX2237" t="s">
        <v>34018</v>
      </c>
      <c r="DY2237" t="s">
        <v>34019</v>
      </c>
      <c r="DZ2237" t="s">
        <v>34020</v>
      </c>
      <c r="EA2237" t="s">
        <v>13772</v>
      </c>
      <c r="EB2237" t="s">
        <v>34021</v>
      </c>
    </row>
    <row r="2238" spans="1:132" hidden="1">
      <c r="A2238">
        <v>2124</v>
      </c>
      <c r="B2238">
        <v>1</v>
      </c>
      <c r="C2238" t="s">
        <v>4982</v>
      </c>
      <c r="D2238" t="s">
        <v>73</v>
      </c>
      <c r="E2238" t="s">
        <v>73</v>
      </c>
      <c r="F2238" t="s">
        <v>73</v>
      </c>
      <c r="G2238" t="s">
        <v>73</v>
      </c>
      <c r="H2238">
        <v>3.1</v>
      </c>
      <c r="I2238">
        <v>831</v>
      </c>
      <c r="J2238">
        <v>89765</v>
      </c>
      <c r="K2238" t="s">
        <v>4983</v>
      </c>
      <c r="L2238">
        <f t="shared" si="138"/>
        <v>2</v>
      </c>
      <c r="N2238">
        <v>2</v>
      </c>
      <c r="O2238">
        <v>2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2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f t="shared" si="141"/>
        <v>2</v>
      </c>
      <c r="BW2238" s="16">
        <f t="shared" si="139"/>
        <v>0.10526315789473684</v>
      </c>
      <c r="BX2238" s="16">
        <f>COUNTIF($BC$6:BU2238, "=0") / COUNTIF($BC$6:BU2238, "&gt;-1")</f>
        <v>0.52438305795837559</v>
      </c>
      <c r="BY2238" s="18">
        <f>SUM($BC$6:BU2238) / $BY$4</f>
        <v>0.99982670547047681</v>
      </c>
      <c r="BZ2238" s="14">
        <f t="shared" si="140"/>
        <v>18</v>
      </c>
      <c r="CA2238" t="s">
        <v>5832</v>
      </c>
      <c r="CZ2238" t="s">
        <v>12827</v>
      </c>
      <c r="DA2238" t="s">
        <v>5904</v>
      </c>
      <c r="DB2238">
        <v>1276.5</v>
      </c>
      <c r="DC2238" t="s">
        <v>34077</v>
      </c>
      <c r="DD2238" t="s">
        <v>34078</v>
      </c>
      <c r="DE2238" t="s">
        <v>34079</v>
      </c>
      <c r="DF2238" t="s">
        <v>34080</v>
      </c>
      <c r="DG2238" t="s">
        <v>34081</v>
      </c>
      <c r="DH2238" t="str">
        <f>"PPP1R13L"</f>
        <v>PPP1R13L</v>
      </c>
      <c r="DI2238" t="s">
        <v>34082</v>
      </c>
      <c r="DJ2238" t="s">
        <v>13777</v>
      </c>
      <c r="DK2238">
        <v>9606</v>
      </c>
      <c r="DL2238" s="34" t="str">
        <f>HYPERLINK("http://www.uniprot.org/uniprot/Q8WUF5", "Q8WUF5")</f>
        <v>Q8WUF5</v>
      </c>
      <c r="DM2238" t="s">
        <v>34083</v>
      </c>
      <c r="DN2238" t="s">
        <v>17317</v>
      </c>
      <c r="DO2238" t="s">
        <v>13912</v>
      </c>
      <c r="DP2238" t="s">
        <v>13772</v>
      </c>
      <c r="DQ2238" t="s">
        <v>13772</v>
      </c>
      <c r="DR2238" t="s">
        <v>13772</v>
      </c>
      <c r="DS2238" t="s">
        <v>32799</v>
      </c>
      <c r="DT2238" t="s">
        <v>13772</v>
      </c>
      <c r="DU2238" t="s">
        <v>14615</v>
      </c>
      <c r="DV2238" t="s">
        <v>14098</v>
      </c>
      <c r="DW2238" t="s">
        <v>13812</v>
      </c>
      <c r="DX2238" t="s">
        <v>34084</v>
      </c>
      <c r="DY2238" t="s">
        <v>34085</v>
      </c>
      <c r="DZ2238" t="s">
        <v>34086</v>
      </c>
      <c r="EA2238" t="s">
        <v>13772</v>
      </c>
      <c r="EB2238" t="s">
        <v>34087</v>
      </c>
    </row>
    <row r="2239" spans="1:132" hidden="1">
      <c r="A2239">
        <v>2185</v>
      </c>
      <c r="B2239">
        <v>1</v>
      </c>
      <c r="C2239" t="s">
        <v>5110</v>
      </c>
      <c r="D2239" t="s">
        <v>5111</v>
      </c>
      <c r="E2239" t="s">
        <v>73</v>
      </c>
      <c r="F2239" t="s">
        <v>73</v>
      </c>
      <c r="G2239" t="s">
        <v>73</v>
      </c>
      <c r="H2239">
        <v>4.5999999999999996</v>
      </c>
      <c r="I2239">
        <v>680</v>
      </c>
      <c r="J2239">
        <v>75183</v>
      </c>
      <c r="K2239" t="s">
        <v>5112</v>
      </c>
      <c r="L2239">
        <f t="shared" si="138"/>
        <v>2</v>
      </c>
      <c r="N2239">
        <v>2</v>
      </c>
      <c r="O2239">
        <v>2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2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2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f t="shared" si="141"/>
        <v>2</v>
      </c>
      <c r="BW2239" s="16">
        <f t="shared" si="139"/>
        <v>0.10526315789473684</v>
      </c>
      <c r="BX2239" s="16">
        <f>COUNTIF($BC$6:BU2239, "=0") / COUNTIF($BC$6:BU2239, "&gt;-1")</f>
        <v>0.52457239787023513</v>
      </c>
      <c r="BY2239" s="18">
        <f>SUM($BC$6:BU2239) / $BY$4</f>
        <v>0.99983527274421413</v>
      </c>
      <c r="BZ2239" s="14">
        <f t="shared" si="140"/>
        <v>18</v>
      </c>
      <c r="CA2239" t="s">
        <v>5832</v>
      </c>
      <c r="CZ2239" t="s">
        <v>13029</v>
      </c>
      <c r="DA2239" t="s">
        <v>5904</v>
      </c>
      <c r="DB2239">
        <v>1348.2</v>
      </c>
      <c r="DC2239" t="s">
        <v>34643</v>
      </c>
      <c r="DD2239" t="s">
        <v>13772</v>
      </c>
      <c r="DE2239" t="s">
        <v>34644</v>
      </c>
      <c r="DF2239" t="s">
        <v>34645</v>
      </c>
      <c r="DG2239" t="s">
        <v>34646</v>
      </c>
      <c r="DH2239" t="str">
        <f>"HSPA12B"</f>
        <v>HSPA12B</v>
      </c>
      <c r="DI2239" t="s">
        <v>34647</v>
      </c>
      <c r="DJ2239" t="s">
        <v>13777</v>
      </c>
      <c r="DK2239">
        <v>9606</v>
      </c>
      <c r="DL2239" s="34" t="str">
        <f>HYPERLINK("http://www.uniprot.org/uniprot/Q96MM6", "Q96MM6")</f>
        <v>Q96MM6</v>
      </c>
      <c r="DM2239" t="s">
        <v>34648</v>
      </c>
      <c r="DN2239" t="s">
        <v>13772</v>
      </c>
      <c r="DO2239" t="s">
        <v>13772</v>
      </c>
      <c r="DP2239" t="s">
        <v>13793</v>
      </c>
      <c r="DQ2239" t="s">
        <v>13772</v>
      </c>
      <c r="DR2239" t="s">
        <v>13772</v>
      </c>
      <c r="DS2239" t="s">
        <v>13772</v>
      </c>
      <c r="DT2239" t="s">
        <v>14005</v>
      </c>
      <c r="DU2239" t="s">
        <v>13772</v>
      </c>
      <c r="DV2239" t="s">
        <v>13782</v>
      </c>
      <c r="DW2239" t="s">
        <v>13772</v>
      </c>
      <c r="DX2239" t="s">
        <v>13772</v>
      </c>
      <c r="DY2239" t="s">
        <v>13772</v>
      </c>
      <c r="DZ2239" t="s">
        <v>25799</v>
      </c>
      <c r="EA2239" t="s">
        <v>13772</v>
      </c>
      <c r="EB2239" t="s">
        <v>23859</v>
      </c>
    </row>
    <row r="2240" spans="1:132" hidden="1">
      <c r="A2240">
        <v>2238</v>
      </c>
      <c r="B2240">
        <v>1</v>
      </c>
      <c r="C2240" t="s">
        <v>5234</v>
      </c>
      <c r="D2240" t="s">
        <v>5235</v>
      </c>
      <c r="E2240" t="s">
        <v>73</v>
      </c>
      <c r="F2240" t="s">
        <v>73</v>
      </c>
      <c r="G2240" t="s">
        <v>73</v>
      </c>
      <c r="H2240">
        <v>0.8</v>
      </c>
      <c r="I2240">
        <v>2923</v>
      </c>
      <c r="J2240">
        <v>317172</v>
      </c>
      <c r="K2240" t="s">
        <v>5236</v>
      </c>
      <c r="L2240">
        <f t="shared" si="138"/>
        <v>2</v>
      </c>
      <c r="N2240">
        <v>2</v>
      </c>
      <c r="O2240">
        <v>2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2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f t="shared" si="141"/>
        <v>2</v>
      </c>
      <c r="BW2240" s="16">
        <f t="shared" si="139"/>
        <v>0.10526315789473684</v>
      </c>
      <c r="BX2240" s="16">
        <f>COUNTIF($BC$6:BU2240, "=0") / COUNTIF($BC$6:BU2240, "&gt;-1")</f>
        <v>0.52476156835040622</v>
      </c>
      <c r="BY2240" s="18">
        <f>SUM($BC$6:BU2240) / $BY$4</f>
        <v>0.99984384001795157</v>
      </c>
      <c r="BZ2240" s="14">
        <f t="shared" si="140"/>
        <v>18</v>
      </c>
      <c r="CA2240" t="s">
        <v>5832</v>
      </c>
      <c r="CZ2240" t="s">
        <v>13204</v>
      </c>
      <c r="DA2240" t="s">
        <v>5904</v>
      </c>
      <c r="DB2240">
        <v>5787.2</v>
      </c>
      <c r="DC2240" t="s">
        <v>35130</v>
      </c>
      <c r="DD2240" t="s">
        <v>35131</v>
      </c>
      <c r="DE2240" t="s">
        <v>35132</v>
      </c>
      <c r="DF2240" t="s">
        <v>35133</v>
      </c>
      <c r="DG2240" t="s">
        <v>35134</v>
      </c>
      <c r="DH2240" t="str">
        <f>"CELSR2"</f>
        <v>CELSR2</v>
      </c>
      <c r="DI2240" t="s">
        <v>13772</v>
      </c>
      <c r="DJ2240" t="s">
        <v>13777</v>
      </c>
      <c r="DK2240">
        <v>9606</v>
      </c>
      <c r="DL2240" s="34" t="str">
        <f>HYPERLINK("http://www.uniprot.org/uniprot/Q9HCU4", "Q9HCU4")</f>
        <v>Q9HCU4</v>
      </c>
      <c r="DM2240" t="s">
        <v>35135</v>
      </c>
      <c r="DN2240" t="s">
        <v>13772</v>
      </c>
      <c r="DO2240" t="s">
        <v>13792</v>
      </c>
      <c r="DP2240" t="s">
        <v>13793</v>
      </c>
      <c r="DQ2240" t="s">
        <v>13772</v>
      </c>
      <c r="DR2240" t="s">
        <v>13772</v>
      </c>
      <c r="DS2240" t="s">
        <v>35066</v>
      </c>
      <c r="DT2240" t="s">
        <v>14465</v>
      </c>
      <c r="DU2240" t="s">
        <v>14639</v>
      </c>
      <c r="DV2240" t="s">
        <v>22002</v>
      </c>
      <c r="DW2240" t="s">
        <v>13772</v>
      </c>
      <c r="DX2240" t="s">
        <v>35136</v>
      </c>
      <c r="DY2240" t="s">
        <v>25208</v>
      </c>
      <c r="DZ2240" t="s">
        <v>35137</v>
      </c>
      <c r="EA2240" t="s">
        <v>13772</v>
      </c>
      <c r="EB2240" t="s">
        <v>13772</v>
      </c>
    </row>
    <row r="2241" spans="1:132" hidden="1">
      <c r="A2241">
        <v>2294</v>
      </c>
      <c r="B2241">
        <v>1</v>
      </c>
      <c r="C2241" t="s">
        <v>5359</v>
      </c>
      <c r="D2241" t="s">
        <v>73</v>
      </c>
      <c r="E2241" t="s">
        <v>73</v>
      </c>
      <c r="F2241" t="s">
        <v>73</v>
      </c>
      <c r="G2241" t="s">
        <v>73</v>
      </c>
      <c r="H2241">
        <v>9.6</v>
      </c>
      <c r="I2241">
        <v>301</v>
      </c>
      <c r="J2241">
        <v>33854</v>
      </c>
      <c r="K2241" t="s">
        <v>5360</v>
      </c>
      <c r="L2241">
        <f t="shared" si="138"/>
        <v>2</v>
      </c>
      <c r="N2241">
        <v>2</v>
      </c>
      <c r="O2241">
        <v>2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2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f t="shared" si="141"/>
        <v>2</v>
      </c>
      <c r="BW2241" s="16">
        <f t="shared" si="139"/>
        <v>0.10526315789473684</v>
      </c>
      <c r="BX2241" s="16">
        <f>COUNTIF($BC$6:BU2241, "=0") / COUNTIF($BC$6:BU2241, "&gt;-1")</f>
        <v>0.52495056962621223</v>
      </c>
      <c r="BY2241" s="18">
        <f>SUM($BC$6:BU2241) / $BY$4</f>
        <v>0.999852407291689</v>
      </c>
      <c r="BZ2241" s="14">
        <f t="shared" si="140"/>
        <v>18</v>
      </c>
      <c r="CA2241" t="s">
        <v>5832</v>
      </c>
      <c r="CZ2241" t="s">
        <v>13390</v>
      </c>
      <c r="DA2241" t="s">
        <v>5904</v>
      </c>
      <c r="DB2241">
        <v>604</v>
      </c>
      <c r="DC2241" t="s">
        <v>35673</v>
      </c>
      <c r="DD2241" t="s">
        <v>35674</v>
      </c>
      <c r="DE2241" t="s">
        <v>35675</v>
      </c>
      <c r="DF2241" t="s">
        <v>35676</v>
      </c>
      <c r="DG2241" t="s">
        <v>35677</v>
      </c>
      <c r="DH2241" t="str">
        <f>"TCEA1"</f>
        <v>TCEA1</v>
      </c>
      <c r="DI2241" t="s">
        <v>35678</v>
      </c>
      <c r="DJ2241" t="s">
        <v>13777</v>
      </c>
      <c r="DK2241">
        <v>9606</v>
      </c>
      <c r="DL2241" s="34" t="str">
        <f>HYPERLINK("http://www.uniprot.org/uniprot/P23193", "P23193")</f>
        <v>P23193</v>
      </c>
      <c r="DM2241" t="s">
        <v>35679</v>
      </c>
      <c r="DN2241" t="s">
        <v>14445</v>
      </c>
      <c r="DO2241" t="s">
        <v>14825</v>
      </c>
      <c r="DP2241" t="s">
        <v>14661</v>
      </c>
      <c r="DQ2241" t="s">
        <v>13772</v>
      </c>
      <c r="DR2241" t="s">
        <v>13772</v>
      </c>
      <c r="DS2241" t="s">
        <v>28818</v>
      </c>
      <c r="DT2241" t="s">
        <v>13856</v>
      </c>
      <c r="DU2241" t="s">
        <v>15871</v>
      </c>
      <c r="DV2241" t="s">
        <v>13991</v>
      </c>
      <c r="DW2241" t="s">
        <v>13812</v>
      </c>
      <c r="DX2241" t="s">
        <v>35680</v>
      </c>
      <c r="DY2241" t="s">
        <v>35681</v>
      </c>
      <c r="DZ2241" t="s">
        <v>18838</v>
      </c>
      <c r="EA2241" t="s">
        <v>13772</v>
      </c>
      <c r="EB2241" t="s">
        <v>35682</v>
      </c>
    </row>
    <row r="2242" spans="1:132" hidden="1">
      <c r="A2242">
        <v>2306</v>
      </c>
      <c r="B2242">
        <v>1</v>
      </c>
      <c r="C2242" t="s">
        <v>5384</v>
      </c>
      <c r="D2242" t="s">
        <v>73</v>
      </c>
      <c r="E2242" t="s">
        <v>73</v>
      </c>
      <c r="F2242" t="s">
        <v>73</v>
      </c>
      <c r="G2242" t="s">
        <v>73</v>
      </c>
      <c r="H2242">
        <v>1.9</v>
      </c>
      <c r="I2242">
        <v>2315</v>
      </c>
      <c r="J2242">
        <v>258371</v>
      </c>
      <c r="K2242" t="s">
        <v>5385</v>
      </c>
      <c r="L2242">
        <f t="shared" si="138"/>
        <v>2</v>
      </c>
      <c r="N2242">
        <v>2</v>
      </c>
      <c r="O2242">
        <v>2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</v>
      </c>
      <c r="AY2242">
        <v>0</v>
      </c>
      <c r="AZ2242">
        <v>0</v>
      </c>
      <c r="BA2242">
        <v>0</v>
      </c>
      <c r="BB224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2</v>
      </c>
      <c r="BR2242" s="2">
        <v>0</v>
      </c>
      <c r="BS2242" s="2">
        <v>0</v>
      </c>
      <c r="BT2242" s="2">
        <v>0</v>
      </c>
      <c r="BU2242" s="2">
        <v>0</v>
      </c>
      <c r="BV2242" s="2">
        <f t="shared" si="141"/>
        <v>2</v>
      </c>
      <c r="BW2242" s="16">
        <f t="shared" si="139"/>
        <v>0.10526315789473684</v>
      </c>
      <c r="BX2242" s="16">
        <f>COUNTIF($BC$6:BU2242, "=0") / COUNTIF($BC$6:BU2242, "&gt;-1")</f>
        <v>0.52513940192456998</v>
      </c>
      <c r="BY2242" s="18">
        <f>SUM($BC$6:BU2242) / $BY$4</f>
        <v>0.99986097456542633</v>
      </c>
      <c r="BZ2242" s="14">
        <f t="shared" si="140"/>
        <v>18</v>
      </c>
      <c r="CA2242" t="s">
        <v>5832</v>
      </c>
      <c r="CZ2242" t="s">
        <v>13422</v>
      </c>
      <c r="DA2242" t="s">
        <v>5904</v>
      </c>
      <c r="DB2242">
        <v>3280.7</v>
      </c>
      <c r="DC2242" t="s">
        <v>35772</v>
      </c>
      <c r="DD2242" t="s">
        <v>35773</v>
      </c>
      <c r="DE2242" t="s">
        <v>35774</v>
      </c>
      <c r="DF2242" t="s">
        <v>35775</v>
      </c>
      <c r="DG2242" t="s">
        <v>35776</v>
      </c>
      <c r="DH2242" t="str">
        <f>"MYO18A"</f>
        <v>MYO18A</v>
      </c>
      <c r="DI2242" t="s">
        <v>13772</v>
      </c>
      <c r="DJ2242" t="s">
        <v>13777</v>
      </c>
      <c r="DK2242">
        <v>9606</v>
      </c>
      <c r="DL2242" s="34" t="str">
        <f>HYPERLINK("http://www.uniprot.org/uniprot/Q92614", "Q92614")</f>
        <v>Q92614</v>
      </c>
      <c r="DM2242" t="s">
        <v>35777</v>
      </c>
      <c r="DN2242" t="s">
        <v>13772</v>
      </c>
      <c r="DO2242" t="s">
        <v>35778</v>
      </c>
      <c r="DP2242" t="s">
        <v>13780</v>
      </c>
      <c r="DQ2242" t="s">
        <v>13772</v>
      </c>
      <c r="DR2242" t="s">
        <v>13772</v>
      </c>
      <c r="DS2242" t="s">
        <v>14245</v>
      </c>
      <c r="DT2242" t="s">
        <v>14005</v>
      </c>
      <c r="DU2242" t="s">
        <v>35779</v>
      </c>
      <c r="DV2242" t="s">
        <v>13782</v>
      </c>
      <c r="DW2242" t="s">
        <v>13772</v>
      </c>
      <c r="DX2242" t="s">
        <v>35780</v>
      </c>
      <c r="DY2242" t="s">
        <v>35781</v>
      </c>
      <c r="DZ2242" t="s">
        <v>35782</v>
      </c>
      <c r="EA2242" t="s">
        <v>13772</v>
      </c>
      <c r="EB2242" t="s">
        <v>35783</v>
      </c>
    </row>
    <row r="2243" spans="1:132" hidden="1">
      <c r="A2243">
        <v>2310</v>
      </c>
      <c r="B2243">
        <v>1</v>
      </c>
      <c r="C2243" t="s">
        <v>5393</v>
      </c>
      <c r="D2243" t="s">
        <v>5394</v>
      </c>
      <c r="E2243" t="s">
        <v>73</v>
      </c>
      <c r="F2243" t="s">
        <v>73</v>
      </c>
      <c r="G2243" t="s">
        <v>73</v>
      </c>
      <c r="H2243">
        <v>4</v>
      </c>
      <c r="I2243">
        <v>746</v>
      </c>
      <c r="J2243">
        <v>84199</v>
      </c>
      <c r="K2243" t="s">
        <v>5395</v>
      </c>
      <c r="L2243">
        <f t="shared" si="138"/>
        <v>2</v>
      </c>
      <c r="N2243">
        <v>2</v>
      </c>
      <c r="O2243">
        <v>2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2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f t="shared" si="141"/>
        <v>2</v>
      </c>
      <c r="BW2243" s="16">
        <f t="shared" si="139"/>
        <v>0.10526315789473684</v>
      </c>
      <c r="BX2243" s="16">
        <f>COUNTIF($BC$6:BU2243, "=0") / COUNTIF($BC$6:BU2243, "&gt;-1")</f>
        <v>0.52532806547199096</v>
      </c>
      <c r="BY2243" s="18">
        <f>SUM($BC$6:BU2243) / $BY$4</f>
        <v>0.99986954183916377</v>
      </c>
      <c r="BZ2243" s="14">
        <f t="shared" si="140"/>
        <v>18</v>
      </c>
      <c r="CA2243" t="s">
        <v>5832</v>
      </c>
      <c r="CZ2243" t="s">
        <v>13436</v>
      </c>
      <c r="DA2243" t="s">
        <v>5904</v>
      </c>
      <c r="DB2243">
        <v>1002.7</v>
      </c>
      <c r="DC2243" t="s">
        <v>35816</v>
      </c>
      <c r="DD2243" t="s">
        <v>35817</v>
      </c>
      <c r="DE2243" t="s">
        <v>35818</v>
      </c>
      <c r="DF2243" t="s">
        <v>35819</v>
      </c>
      <c r="DG2243" t="s">
        <v>13772</v>
      </c>
      <c r="DH2243" t="str">
        <f>"TRIM25"</f>
        <v>TRIM25</v>
      </c>
      <c r="DI2243" t="s">
        <v>13772</v>
      </c>
      <c r="DJ2243" t="s">
        <v>13777</v>
      </c>
      <c r="DK2243">
        <v>9606</v>
      </c>
      <c r="DL2243" s="34" t="str">
        <f>HYPERLINK("http://www.uniprot.org/uniprot/Q14258", "Q14258")</f>
        <v>Q14258</v>
      </c>
      <c r="DM2243" t="s">
        <v>35820</v>
      </c>
      <c r="DN2243" t="s">
        <v>35104</v>
      </c>
      <c r="DO2243" t="s">
        <v>13899</v>
      </c>
      <c r="DP2243" t="s">
        <v>13793</v>
      </c>
      <c r="DQ2243" t="s">
        <v>13772</v>
      </c>
      <c r="DR2243" t="s">
        <v>13772</v>
      </c>
      <c r="DS2243" t="s">
        <v>24188</v>
      </c>
      <c r="DT2243" t="s">
        <v>13856</v>
      </c>
      <c r="DU2243" t="s">
        <v>29557</v>
      </c>
      <c r="DV2243" t="s">
        <v>13991</v>
      </c>
      <c r="DW2243" t="s">
        <v>13812</v>
      </c>
      <c r="DX2243" t="s">
        <v>35821</v>
      </c>
      <c r="DY2243" t="s">
        <v>35822</v>
      </c>
      <c r="DZ2243" t="s">
        <v>35823</v>
      </c>
      <c r="EA2243" t="s">
        <v>14116</v>
      </c>
      <c r="EB2243" t="s">
        <v>35824</v>
      </c>
    </row>
    <row r="2244" spans="1:132" hidden="1">
      <c r="A2244">
        <v>2330</v>
      </c>
      <c r="B2244">
        <v>1</v>
      </c>
      <c r="C2244" t="s">
        <v>5432</v>
      </c>
      <c r="D2244" t="s">
        <v>5433</v>
      </c>
      <c r="E2244" t="s">
        <v>73</v>
      </c>
      <c r="F2244" t="s">
        <v>73</v>
      </c>
      <c r="G2244" t="s">
        <v>73</v>
      </c>
      <c r="H2244">
        <v>3.9</v>
      </c>
      <c r="I2244">
        <v>761</v>
      </c>
      <c r="J2244">
        <v>84736</v>
      </c>
      <c r="K2244" t="s">
        <v>5434</v>
      </c>
      <c r="L2244">
        <f t="shared" si="138"/>
        <v>2</v>
      </c>
      <c r="N2244">
        <v>2</v>
      </c>
      <c r="O2244">
        <v>2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2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f t="shared" si="141"/>
        <v>2</v>
      </c>
      <c r="BW2244" s="16">
        <f t="shared" si="139"/>
        <v>0.10526315789473684</v>
      </c>
      <c r="BX2244" s="16">
        <f>COUNTIF($BC$6:BU2244, "=0") / COUNTIF($BC$6:BU2244, "&gt;-1")</f>
        <v>0.52551656049458173</v>
      </c>
      <c r="BY2244" s="18">
        <f>SUM($BC$6:BU2244) / $BY$4</f>
        <v>0.9998781091129012</v>
      </c>
      <c r="BZ2244" s="14">
        <f t="shared" si="140"/>
        <v>18</v>
      </c>
      <c r="CA2244" t="s">
        <v>5832</v>
      </c>
      <c r="CZ2244" t="s">
        <v>13493</v>
      </c>
      <c r="DA2244" t="s">
        <v>5904</v>
      </c>
      <c r="DB2244">
        <v>1509.2</v>
      </c>
      <c r="DC2244" t="s">
        <v>35964</v>
      </c>
      <c r="DD2244" t="s">
        <v>35965</v>
      </c>
      <c r="DE2244" t="s">
        <v>35966</v>
      </c>
      <c r="DF2244" t="s">
        <v>35967</v>
      </c>
      <c r="DG2244" t="s">
        <v>35968</v>
      </c>
      <c r="DH2244" t="str">
        <f>"NSF"</f>
        <v>NSF</v>
      </c>
      <c r="DI2244" t="s">
        <v>13772</v>
      </c>
      <c r="DJ2244" t="s">
        <v>13777</v>
      </c>
      <c r="DK2244">
        <v>9606</v>
      </c>
      <c r="DL2244" s="34" t="str">
        <f>HYPERLINK("http://www.uniprot.org/uniprot/P46459", "P46459")</f>
        <v>P46459</v>
      </c>
      <c r="DM2244" t="s">
        <v>35969</v>
      </c>
      <c r="DN2244" t="s">
        <v>14347</v>
      </c>
      <c r="DO2244" t="s">
        <v>13899</v>
      </c>
      <c r="DP2244" t="s">
        <v>13780</v>
      </c>
      <c r="DQ2244" t="s">
        <v>13772</v>
      </c>
      <c r="DR2244" t="s">
        <v>13772</v>
      </c>
      <c r="DS2244" t="s">
        <v>14096</v>
      </c>
      <c r="DT2244" t="s">
        <v>17602</v>
      </c>
      <c r="DU2244" t="s">
        <v>13857</v>
      </c>
      <c r="DV2244" t="s">
        <v>13886</v>
      </c>
      <c r="DW2244" t="s">
        <v>13772</v>
      </c>
      <c r="DX2244" t="s">
        <v>35970</v>
      </c>
      <c r="DY2244" t="s">
        <v>35971</v>
      </c>
      <c r="DZ2244" t="s">
        <v>35972</v>
      </c>
      <c r="EA2244" t="s">
        <v>13772</v>
      </c>
      <c r="EB2244" t="s">
        <v>35973</v>
      </c>
    </row>
    <row r="2245" spans="1:132" hidden="1">
      <c r="A2245">
        <v>2338</v>
      </c>
      <c r="B2245">
        <v>1</v>
      </c>
      <c r="C2245" t="s">
        <v>5453</v>
      </c>
      <c r="D2245" t="s">
        <v>5454</v>
      </c>
      <c r="E2245" t="s">
        <v>73</v>
      </c>
      <c r="F2245" t="s">
        <v>73</v>
      </c>
      <c r="G2245" t="s">
        <v>73</v>
      </c>
      <c r="H2245">
        <v>6.3</v>
      </c>
      <c r="I2245">
        <v>428</v>
      </c>
      <c r="J2245">
        <v>46964</v>
      </c>
      <c r="K2245" t="s">
        <v>5455</v>
      </c>
      <c r="L2245">
        <f t="shared" si="138"/>
        <v>2</v>
      </c>
      <c r="N2245">
        <v>2</v>
      </c>
      <c r="O2245">
        <v>2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2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2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f t="shared" si="141"/>
        <v>2</v>
      </c>
      <c r="BW2245" s="16">
        <f t="shared" si="139"/>
        <v>0.10526315789473684</v>
      </c>
      <c r="BX2245" s="16">
        <f>COUNTIF($BC$6:BU2245, "=0") / COUNTIF($BC$6:BU2245, "&gt;-1")</f>
        <v>0.52570488721804509</v>
      </c>
      <c r="BY2245" s="18">
        <f>SUM($BC$6:BU2245) / $BY$4</f>
        <v>0.99988667638663853</v>
      </c>
      <c r="BZ2245" s="14">
        <f t="shared" si="140"/>
        <v>18</v>
      </c>
      <c r="CA2245" t="s">
        <v>5832</v>
      </c>
      <c r="CZ2245" t="s">
        <v>13522</v>
      </c>
      <c r="DA2245" t="s">
        <v>5904</v>
      </c>
      <c r="DB2245">
        <v>853.6</v>
      </c>
      <c r="DC2245" t="s">
        <v>36036</v>
      </c>
      <c r="DD2245" t="s">
        <v>36037</v>
      </c>
      <c r="DE2245" t="s">
        <v>36038</v>
      </c>
      <c r="DF2245" t="s">
        <v>36039</v>
      </c>
      <c r="DG2245" t="s">
        <v>13772</v>
      </c>
      <c r="DH2245" t="str">
        <f>"FLOT2"</f>
        <v>FLOT2</v>
      </c>
      <c r="DI2245" t="s">
        <v>36040</v>
      </c>
      <c r="DJ2245" t="s">
        <v>13777</v>
      </c>
      <c r="DK2245">
        <v>9606</v>
      </c>
      <c r="DL2245" s="34" t="str">
        <f>HYPERLINK("http://www.uniprot.org/uniprot/Q14254", "Q14254")</f>
        <v>Q14254</v>
      </c>
      <c r="DM2245" t="s">
        <v>36041</v>
      </c>
      <c r="DN2245" t="s">
        <v>13949</v>
      </c>
      <c r="DO2245" t="s">
        <v>14348</v>
      </c>
      <c r="DP2245" t="s">
        <v>13793</v>
      </c>
      <c r="DQ2245" t="s">
        <v>13772</v>
      </c>
      <c r="DR2245" t="s">
        <v>13772</v>
      </c>
      <c r="DS2245" t="s">
        <v>13772</v>
      </c>
      <c r="DT2245" t="s">
        <v>13772</v>
      </c>
      <c r="DU2245" t="s">
        <v>13772</v>
      </c>
      <c r="DV2245" t="s">
        <v>17666</v>
      </c>
      <c r="DW2245" t="s">
        <v>13772</v>
      </c>
      <c r="DX2245" t="s">
        <v>36042</v>
      </c>
      <c r="DY2245" t="s">
        <v>36043</v>
      </c>
      <c r="DZ2245" t="s">
        <v>36044</v>
      </c>
      <c r="EA2245" t="s">
        <v>13772</v>
      </c>
      <c r="EB2245" t="s">
        <v>36045</v>
      </c>
    </row>
    <row r="2246" spans="1:132" hidden="1">
      <c r="A2246">
        <v>2344</v>
      </c>
      <c r="B2246">
        <v>1</v>
      </c>
      <c r="C2246" t="s">
        <v>5468</v>
      </c>
      <c r="D2246" t="s">
        <v>5469</v>
      </c>
      <c r="E2246" t="s">
        <v>73</v>
      </c>
      <c r="F2246" t="s">
        <v>1008</v>
      </c>
      <c r="G2246" t="s">
        <v>73</v>
      </c>
      <c r="H2246">
        <v>6.2</v>
      </c>
      <c r="I2246">
        <v>1026</v>
      </c>
      <c r="J2246">
        <v>111910</v>
      </c>
      <c r="K2246" t="s">
        <v>5470</v>
      </c>
      <c r="L2246">
        <f t="shared" ref="L2246:L2267" si="142">N2246</f>
        <v>9</v>
      </c>
      <c r="N2246">
        <v>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</v>
      </c>
      <c r="AB2246">
        <v>3</v>
      </c>
      <c r="AC2246">
        <v>0</v>
      </c>
      <c r="AD2246">
        <v>0</v>
      </c>
      <c r="AE2246">
        <v>1</v>
      </c>
      <c r="AF2246">
        <v>2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0.5</v>
      </c>
      <c r="BN2246" s="2">
        <v>0.5</v>
      </c>
      <c r="BO2246" s="2">
        <v>0</v>
      </c>
      <c r="BP2246" s="2">
        <v>0</v>
      </c>
      <c r="BQ2246" s="2">
        <v>0</v>
      </c>
      <c r="BR2246" s="2">
        <v>1</v>
      </c>
      <c r="BS2246" s="2">
        <v>0</v>
      </c>
      <c r="BT2246" s="2">
        <v>0</v>
      </c>
      <c r="BU2246" s="2">
        <v>0</v>
      </c>
      <c r="BV2246" s="2">
        <f t="shared" si="141"/>
        <v>2</v>
      </c>
      <c r="BW2246" s="16">
        <f t="shared" ref="BW2246:BW2267" si="143">AVERAGE(BC2246:BU2246)</f>
        <v>0.10526315789473684</v>
      </c>
      <c r="BX2246" s="16">
        <f>COUNTIF($BC$6:BU2246, "=0") / COUNTIF($BC$6:BU2246, "&gt;-1")</f>
        <v>0.52584607435590314</v>
      </c>
      <c r="BY2246" s="18">
        <f>SUM($BC$6:BU2246) / $BY$4</f>
        <v>0.99989524366037597</v>
      </c>
      <c r="BZ2246" s="14">
        <f t="shared" ref="BZ2246:BZ2309" si="144">19-COUNTIF(BC2246:BU2246, "&gt;0")</f>
        <v>16</v>
      </c>
      <c r="CA2246" t="s">
        <v>5832</v>
      </c>
      <c r="CZ2246" t="s">
        <v>13543</v>
      </c>
      <c r="DA2246" t="s">
        <v>5904</v>
      </c>
      <c r="DB2246">
        <v>1862.4</v>
      </c>
      <c r="DC2246" t="s">
        <v>36095</v>
      </c>
      <c r="DD2246" t="s">
        <v>36096</v>
      </c>
      <c r="DE2246" t="s">
        <v>36097</v>
      </c>
      <c r="DF2246" t="s">
        <v>36098</v>
      </c>
      <c r="DG2246" t="s">
        <v>36099</v>
      </c>
      <c r="DH2246" t="str">
        <f>"ATP2A3"</f>
        <v>ATP2A3</v>
      </c>
      <c r="DI2246" t="s">
        <v>13772</v>
      </c>
      <c r="DJ2246" t="s">
        <v>13777</v>
      </c>
      <c r="DK2246">
        <v>9606</v>
      </c>
      <c r="DL2246" s="34" t="str">
        <f>HYPERLINK("http://www.uniprot.org/uniprot/Q93084", "Q93084")</f>
        <v>Q93084</v>
      </c>
      <c r="DM2246" t="s">
        <v>36100</v>
      </c>
      <c r="DN2246" t="s">
        <v>16775</v>
      </c>
      <c r="DO2246" t="s">
        <v>36101</v>
      </c>
      <c r="DP2246" t="s">
        <v>13780</v>
      </c>
      <c r="DQ2246" t="s">
        <v>13772</v>
      </c>
      <c r="DR2246" t="s">
        <v>13772</v>
      </c>
      <c r="DS2246" t="s">
        <v>13925</v>
      </c>
      <c r="DT2246" t="s">
        <v>17650</v>
      </c>
      <c r="DU2246" t="s">
        <v>16605</v>
      </c>
      <c r="DV2246" t="s">
        <v>13886</v>
      </c>
      <c r="DW2246" t="s">
        <v>13772</v>
      </c>
      <c r="DX2246" t="s">
        <v>36102</v>
      </c>
      <c r="DY2246" t="s">
        <v>36103</v>
      </c>
      <c r="DZ2246" t="s">
        <v>36104</v>
      </c>
      <c r="EA2246" t="s">
        <v>13772</v>
      </c>
      <c r="EB2246" t="s">
        <v>17655</v>
      </c>
    </row>
    <row r="2247" spans="1:132" hidden="1">
      <c r="A2247">
        <v>2365</v>
      </c>
      <c r="B2247">
        <v>1</v>
      </c>
      <c r="C2247" t="s">
        <v>5510</v>
      </c>
      <c r="D2247" t="s">
        <v>5511</v>
      </c>
      <c r="E2247" t="s">
        <v>73</v>
      </c>
      <c r="F2247" t="s">
        <v>73</v>
      </c>
      <c r="G2247" t="s">
        <v>73</v>
      </c>
      <c r="H2247">
        <v>3.5</v>
      </c>
      <c r="I2247">
        <v>741</v>
      </c>
      <c r="J2247">
        <v>82970</v>
      </c>
      <c r="K2247" t="s">
        <v>5512</v>
      </c>
      <c r="L2247">
        <f t="shared" si="142"/>
        <v>2</v>
      </c>
      <c r="N2247">
        <v>2</v>
      </c>
      <c r="O2247">
        <v>2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2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f t="shared" ref="BV2247:BV2267" si="145">SUM(BC2247:BU2247)</f>
        <v>2</v>
      </c>
      <c r="BW2247" s="16">
        <f t="shared" si="143"/>
        <v>0.10526315789473684</v>
      </c>
      <c r="BX2247" s="16">
        <f>COUNTIF($BC$6:BU2247, "=0") / COUNTIF($BC$6:BU2247, "&gt;-1")</f>
        <v>0.52603408610732894</v>
      </c>
      <c r="BY2247" s="18">
        <f>SUM($BC$6:BU2247) / $BY$4</f>
        <v>0.9999038109341134</v>
      </c>
      <c r="BZ2247" s="14">
        <f t="shared" si="144"/>
        <v>18</v>
      </c>
      <c r="CA2247" t="s">
        <v>5832</v>
      </c>
      <c r="CZ2247" t="s">
        <v>13612</v>
      </c>
      <c r="DA2247" t="s">
        <v>5904</v>
      </c>
      <c r="DB2247">
        <v>1049.3</v>
      </c>
      <c r="DC2247" t="s">
        <v>36286</v>
      </c>
      <c r="DD2247" t="s">
        <v>36287</v>
      </c>
      <c r="DE2247" t="s">
        <v>36288</v>
      </c>
      <c r="DF2247" t="s">
        <v>36289</v>
      </c>
      <c r="DG2247" t="s">
        <v>36290</v>
      </c>
      <c r="DH2247" t="str">
        <f>"MPP3"</f>
        <v>MPP3</v>
      </c>
      <c r="DI2247" t="s">
        <v>36291</v>
      </c>
      <c r="DJ2247" t="s">
        <v>13777</v>
      </c>
      <c r="DK2247">
        <v>9606</v>
      </c>
      <c r="DL2247" s="34" t="str">
        <f>HYPERLINK("http://www.uniprot.org/uniprot/Q13368", "Q13368")</f>
        <v>Q13368</v>
      </c>
      <c r="DM2247" t="s">
        <v>36292</v>
      </c>
      <c r="DN2247" t="s">
        <v>13772</v>
      </c>
      <c r="DO2247" t="s">
        <v>13772</v>
      </c>
      <c r="DP2247" t="s">
        <v>13793</v>
      </c>
      <c r="DQ2247" t="s">
        <v>13772</v>
      </c>
      <c r="DR2247" t="s">
        <v>13772</v>
      </c>
      <c r="DS2247" t="s">
        <v>15028</v>
      </c>
      <c r="DT2247" t="s">
        <v>13772</v>
      </c>
      <c r="DU2247" t="s">
        <v>13772</v>
      </c>
      <c r="DV2247" t="s">
        <v>13782</v>
      </c>
      <c r="DW2247" t="s">
        <v>13772</v>
      </c>
      <c r="DX2247" t="s">
        <v>13772</v>
      </c>
      <c r="DY2247" t="s">
        <v>13772</v>
      </c>
      <c r="DZ2247" t="s">
        <v>13772</v>
      </c>
      <c r="EA2247" t="s">
        <v>13772</v>
      </c>
      <c r="EB2247" t="s">
        <v>13772</v>
      </c>
    </row>
    <row r="2248" spans="1:132" hidden="1">
      <c r="A2248">
        <v>2373</v>
      </c>
      <c r="B2248">
        <v>1</v>
      </c>
      <c r="C2248" t="s">
        <v>5529</v>
      </c>
      <c r="D2248" t="s">
        <v>5530</v>
      </c>
      <c r="E2248" t="s">
        <v>73</v>
      </c>
      <c r="F2248" t="s">
        <v>73</v>
      </c>
      <c r="G2248" t="s">
        <v>73</v>
      </c>
      <c r="H2248">
        <v>2.4</v>
      </c>
      <c r="I2248">
        <v>1404</v>
      </c>
      <c r="J2248">
        <v>149676</v>
      </c>
      <c r="K2248" t="s">
        <v>5531</v>
      </c>
      <c r="L2248">
        <f t="shared" si="142"/>
        <v>2</v>
      </c>
      <c r="N2248">
        <v>2</v>
      </c>
      <c r="O2248">
        <v>2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2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f t="shared" si="145"/>
        <v>2</v>
      </c>
      <c r="BW2248" s="16">
        <f t="shared" si="143"/>
        <v>0.10526315789473684</v>
      </c>
      <c r="BX2248" s="16">
        <f>COUNTIF($BC$6:BU2248, "=0") / COUNTIF($BC$6:BU2248, "&gt;-1")</f>
        <v>0.52622193021564168</v>
      </c>
      <c r="BY2248" s="18">
        <f>SUM($BC$6:BU2248) / $BY$4</f>
        <v>0.99991237820785084</v>
      </c>
      <c r="BZ2248" s="14">
        <f t="shared" si="144"/>
        <v>18</v>
      </c>
      <c r="CA2248" t="s">
        <v>5832</v>
      </c>
      <c r="CZ2248" t="s">
        <v>13640</v>
      </c>
      <c r="DA2248" t="s">
        <v>5904</v>
      </c>
      <c r="DB2248">
        <v>2018</v>
      </c>
      <c r="DC2248" t="s">
        <v>36358</v>
      </c>
      <c r="DD2248" t="s">
        <v>36359</v>
      </c>
      <c r="DE2248" t="s">
        <v>36360</v>
      </c>
      <c r="DF2248" t="s">
        <v>36361</v>
      </c>
      <c r="DG2248" t="s">
        <v>36362</v>
      </c>
      <c r="DH2248" t="str">
        <f>"SYNRG"</f>
        <v>SYNRG</v>
      </c>
      <c r="DI2248" t="s">
        <v>13772</v>
      </c>
      <c r="DJ2248" t="s">
        <v>13777</v>
      </c>
      <c r="DK2248">
        <v>9606</v>
      </c>
      <c r="DL2248" s="34" t="str">
        <f>HYPERLINK("http://www.uniprot.org/uniprot/Q9UMZ2", "Q9UMZ2")</f>
        <v>Q9UMZ2</v>
      </c>
      <c r="DM2248" t="s">
        <v>36363</v>
      </c>
      <c r="DN2248" t="s">
        <v>19177</v>
      </c>
      <c r="DO2248" t="s">
        <v>24187</v>
      </c>
      <c r="DP2248" t="s">
        <v>13780</v>
      </c>
      <c r="DQ2248" t="s">
        <v>13772</v>
      </c>
      <c r="DR2248" t="s">
        <v>13772</v>
      </c>
      <c r="DS2248" t="s">
        <v>14048</v>
      </c>
      <c r="DT2248" t="s">
        <v>13772</v>
      </c>
      <c r="DU2248" t="s">
        <v>13772</v>
      </c>
      <c r="DV2248" t="s">
        <v>13886</v>
      </c>
      <c r="DW2248" t="s">
        <v>13812</v>
      </c>
      <c r="DX2248" t="s">
        <v>36364</v>
      </c>
      <c r="DY2248" t="s">
        <v>36365</v>
      </c>
      <c r="DZ2248" t="s">
        <v>13772</v>
      </c>
      <c r="EA2248" t="s">
        <v>13772</v>
      </c>
      <c r="EB2248" t="s">
        <v>13772</v>
      </c>
    </row>
    <row r="2249" spans="1:132" hidden="1">
      <c r="A2249">
        <v>2395</v>
      </c>
      <c r="B2249">
        <v>1</v>
      </c>
      <c r="C2249" t="s">
        <v>5581</v>
      </c>
      <c r="D2249" t="s">
        <v>5582</v>
      </c>
      <c r="E2249" t="s">
        <v>73</v>
      </c>
      <c r="F2249" t="s">
        <v>73</v>
      </c>
      <c r="G2249" t="s">
        <v>73</v>
      </c>
      <c r="H2249">
        <v>3.1</v>
      </c>
      <c r="I2249">
        <v>780</v>
      </c>
      <c r="J2249">
        <v>85909</v>
      </c>
      <c r="K2249" t="s">
        <v>5583</v>
      </c>
      <c r="L2249">
        <f t="shared" si="142"/>
        <v>2</v>
      </c>
      <c r="N2249">
        <v>2</v>
      </c>
      <c r="O2249">
        <v>2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2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f t="shared" si="145"/>
        <v>2</v>
      </c>
      <c r="BW2249" s="16">
        <f t="shared" si="143"/>
        <v>0.10526315789473684</v>
      </c>
      <c r="BX2249" s="16">
        <f>COUNTIF($BC$6:BU2249, "=0") / COUNTIF($BC$6:BU2249, "&gt;-1")</f>
        <v>0.52640960690496297</v>
      </c>
      <c r="BY2249" s="18">
        <f>SUM($BC$6:BU2249) / $BY$4</f>
        <v>0.99992094548158816</v>
      </c>
      <c r="BZ2249" s="14">
        <f t="shared" si="144"/>
        <v>18</v>
      </c>
      <c r="CA2249" t="s">
        <v>5832</v>
      </c>
      <c r="CZ2249" t="s">
        <v>13698</v>
      </c>
      <c r="DA2249" t="s">
        <v>5904</v>
      </c>
      <c r="DB2249">
        <v>1393.6</v>
      </c>
      <c r="DC2249" t="s">
        <v>36517</v>
      </c>
      <c r="DD2249" t="s">
        <v>36518</v>
      </c>
      <c r="DE2249" t="s">
        <v>36519</v>
      </c>
      <c r="DF2249" t="s">
        <v>36520</v>
      </c>
      <c r="DG2249" t="s">
        <v>36521</v>
      </c>
      <c r="DH2249" t="str">
        <f>"HGS"</f>
        <v>HGS</v>
      </c>
      <c r="DI2249" t="s">
        <v>36522</v>
      </c>
      <c r="DJ2249" t="s">
        <v>13777</v>
      </c>
      <c r="DK2249">
        <v>9606</v>
      </c>
      <c r="DL2249" s="34" t="str">
        <f>HYPERLINK("http://www.uniprot.org/uniprot/O14964", "O14964")</f>
        <v>O14964</v>
      </c>
      <c r="DM2249" t="s">
        <v>36523</v>
      </c>
      <c r="DN2249" t="s">
        <v>14347</v>
      </c>
      <c r="DO2249" t="s">
        <v>17403</v>
      </c>
      <c r="DP2249" t="s">
        <v>13780</v>
      </c>
      <c r="DQ2249" t="s">
        <v>13772</v>
      </c>
      <c r="DR2249" t="s">
        <v>13772</v>
      </c>
      <c r="DS2249" t="s">
        <v>28818</v>
      </c>
      <c r="DT2249" t="s">
        <v>13856</v>
      </c>
      <c r="DU2249" t="s">
        <v>13772</v>
      </c>
      <c r="DV2249" t="s">
        <v>19111</v>
      </c>
      <c r="DW2249" t="s">
        <v>13812</v>
      </c>
      <c r="DX2249" t="s">
        <v>36524</v>
      </c>
      <c r="DY2249" t="s">
        <v>36525</v>
      </c>
      <c r="DZ2249" t="s">
        <v>36526</v>
      </c>
      <c r="EA2249" t="s">
        <v>13772</v>
      </c>
      <c r="EB2249" t="s">
        <v>36527</v>
      </c>
    </row>
    <row r="2250" spans="1:132" hidden="1">
      <c r="A2250">
        <v>2401</v>
      </c>
      <c r="B2250">
        <v>1</v>
      </c>
      <c r="C2250" t="s">
        <v>5594</v>
      </c>
      <c r="D2250" t="s">
        <v>73</v>
      </c>
      <c r="E2250" t="s">
        <v>73</v>
      </c>
      <c r="F2250" t="s">
        <v>73</v>
      </c>
      <c r="G2250" t="s">
        <v>73</v>
      </c>
      <c r="H2250">
        <v>17.5</v>
      </c>
      <c r="I2250">
        <v>212</v>
      </c>
      <c r="J2250">
        <v>24715</v>
      </c>
      <c r="K2250" t="s">
        <v>5595</v>
      </c>
      <c r="L2250">
        <f t="shared" si="142"/>
        <v>2</v>
      </c>
      <c r="N2250">
        <v>2</v>
      </c>
      <c r="O2250">
        <v>2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2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f t="shared" si="145"/>
        <v>2</v>
      </c>
      <c r="BW2250" s="16">
        <f t="shared" si="143"/>
        <v>0.10526315789473684</v>
      </c>
      <c r="BX2250" s="16">
        <f>COUNTIF($BC$6:BU2250, "=0") / COUNTIF($BC$6:BU2250, "&gt;-1")</f>
        <v>0.52659711639901541</v>
      </c>
      <c r="BY2250" s="18">
        <f>SUM($BC$6:BU2250) / $BY$4</f>
        <v>0.9999295127553256</v>
      </c>
      <c r="BZ2250" s="14">
        <f t="shared" si="144"/>
        <v>18</v>
      </c>
      <c r="CA2250" t="s">
        <v>5832</v>
      </c>
      <c r="CZ2250" t="s">
        <v>13717</v>
      </c>
      <c r="DA2250" t="s">
        <v>5904</v>
      </c>
      <c r="DB2250">
        <v>430.3</v>
      </c>
      <c r="DC2250" t="s">
        <v>36578</v>
      </c>
      <c r="DD2250" t="s">
        <v>36579</v>
      </c>
      <c r="DE2250" t="s">
        <v>36580</v>
      </c>
      <c r="DF2250" t="s">
        <v>36581</v>
      </c>
      <c r="DG2250" t="s">
        <v>36582</v>
      </c>
      <c r="DH2250" t="str">
        <f>"PDCD10"</f>
        <v>PDCD10</v>
      </c>
      <c r="DI2250" t="s">
        <v>36583</v>
      </c>
      <c r="DJ2250" t="s">
        <v>13777</v>
      </c>
      <c r="DK2250">
        <v>9606</v>
      </c>
      <c r="DL2250" s="34" t="str">
        <f>HYPERLINK("http://www.uniprot.org/uniprot/Q9BUL8", "Q9BUL8")</f>
        <v>Q9BUL8</v>
      </c>
      <c r="DM2250" t="s">
        <v>36584</v>
      </c>
      <c r="DN2250" t="s">
        <v>21081</v>
      </c>
      <c r="DO2250" t="s">
        <v>36585</v>
      </c>
      <c r="DP2250" t="s">
        <v>13793</v>
      </c>
      <c r="DQ2250" t="s">
        <v>13772</v>
      </c>
      <c r="DR2250" t="s">
        <v>13772</v>
      </c>
      <c r="DS2250" t="s">
        <v>13772</v>
      </c>
      <c r="DT2250" t="s">
        <v>13772</v>
      </c>
      <c r="DU2250" t="s">
        <v>13772</v>
      </c>
      <c r="DV2250" t="s">
        <v>14312</v>
      </c>
      <c r="DW2250" t="s">
        <v>13812</v>
      </c>
      <c r="DX2250" t="s">
        <v>36586</v>
      </c>
      <c r="DY2250" t="s">
        <v>36587</v>
      </c>
      <c r="DZ2250" t="s">
        <v>36588</v>
      </c>
      <c r="EA2250" t="s">
        <v>13772</v>
      </c>
      <c r="EB2250" t="s">
        <v>13772</v>
      </c>
    </row>
    <row r="2251" spans="1:132" hidden="1">
      <c r="A2251">
        <v>1859</v>
      </c>
      <c r="B2251">
        <v>1</v>
      </c>
      <c r="C2251" t="s">
        <v>4394</v>
      </c>
      <c r="D2251" t="s">
        <v>4395</v>
      </c>
      <c r="E2251" t="s">
        <v>73</v>
      </c>
      <c r="F2251" t="s">
        <v>468</v>
      </c>
      <c r="G2251" t="s">
        <v>73</v>
      </c>
      <c r="H2251">
        <v>3.6</v>
      </c>
      <c r="I2251">
        <v>768</v>
      </c>
      <c r="J2251">
        <v>87503</v>
      </c>
      <c r="K2251" t="s">
        <v>4396</v>
      </c>
      <c r="L2251">
        <f t="shared" si="142"/>
        <v>3</v>
      </c>
      <c r="N2251">
        <v>3</v>
      </c>
      <c r="O2251">
        <v>1</v>
      </c>
      <c r="P2251">
        <v>0.33300000000000002</v>
      </c>
      <c r="Q2251">
        <v>0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 s="2">
        <v>0</v>
      </c>
      <c r="BD2251" s="2">
        <v>1.25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0.5</v>
      </c>
      <c r="BV2251" s="2">
        <f t="shared" si="145"/>
        <v>1.75</v>
      </c>
      <c r="BW2251" s="16">
        <f t="shared" si="143"/>
        <v>9.2105263157894732E-2</v>
      </c>
      <c r="BX2251" s="16">
        <f>COUNTIF($BC$6:BU2251, "=0") / COUNTIF($BC$6:BU2251, "&gt;-1")</f>
        <v>0.52676102544875103</v>
      </c>
      <c r="BY2251" s="18">
        <f>SUM($BC$6:BU2251) / $BY$4</f>
        <v>0.99993700911984584</v>
      </c>
      <c r="BZ2251" s="14">
        <f t="shared" si="144"/>
        <v>17</v>
      </c>
      <c r="CA2251" t="s">
        <v>5832</v>
      </c>
      <c r="CZ2251" t="s">
        <v>11961</v>
      </c>
      <c r="DA2251" t="s">
        <v>5904</v>
      </c>
      <c r="DB2251">
        <v>1404</v>
      </c>
      <c r="DC2251" t="s">
        <v>31662</v>
      </c>
      <c r="DD2251" t="s">
        <v>31663</v>
      </c>
      <c r="DE2251" t="s">
        <v>31664</v>
      </c>
      <c r="DF2251" t="s">
        <v>31665</v>
      </c>
      <c r="DG2251" t="s">
        <v>31666</v>
      </c>
      <c r="DH2251" t="str">
        <f>"PLOD3"</f>
        <v>PLOD3</v>
      </c>
      <c r="DI2251" t="s">
        <v>13772</v>
      </c>
      <c r="DJ2251" t="s">
        <v>13777</v>
      </c>
      <c r="DK2251">
        <v>9606</v>
      </c>
      <c r="DL2251" s="34" t="str">
        <f>HYPERLINK("http://www.uniprot.org/uniprot/O60568", "O60568")</f>
        <v>O60568</v>
      </c>
      <c r="DM2251" t="s">
        <v>31667</v>
      </c>
      <c r="DN2251" t="s">
        <v>13772</v>
      </c>
      <c r="DO2251" t="s">
        <v>15540</v>
      </c>
      <c r="DP2251" t="s">
        <v>13793</v>
      </c>
      <c r="DQ2251" t="s">
        <v>13772</v>
      </c>
      <c r="DR2251" t="s">
        <v>13807</v>
      </c>
      <c r="DS2251" t="s">
        <v>13808</v>
      </c>
      <c r="DT2251" t="s">
        <v>31668</v>
      </c>
      <c r="DU2251" t="s">
        <v>31669</v>
      </c>
      <c r="DV2251" t="s">
        <v>13796</v>
      </c>
      <c r="DW2251" t="s">
        <v>13812</v>
      </c>
      <c r="DX2251" t="s">
        <v>31670</v>
      </c>
      <c r="DY2251" t="s">
        <v>31671</v>
      </c>
      <c r="DZ2251" t="s">
        <v>31672</v>
      </c>
      <c r="EA2251" t="s">
        <v>13772</v>
      </c>
      <c r="EB2251" t="s">
        <v>15055</v>
      </c>
    </row>
    <row r="2252" spans="1:132" hidden="1">
      <c r="A2252">
        <v>202</v>
      </c>
      <c r="B2252">
        <v>1</v>
      </c>
      <c r="C2252" t="s">
        <v>508</v>
      </c>
      <c r="D2252" t="s">
        <v>73</v>
      </c>
      <c r="E2252" t="s">
        <v>73</v>
      </c>
      <c r="F2252" t="s">
        <v>509</v>
      </c>
      <c r="G2252" t="s">
        <v>73</v>
      </c>
      <c r="H2252">
        <v>4.7</v>
      </c>
      <c r="I2252">
        <v>490</v>
      </c>
      <c r="J2252">
        <v>55969</v>
      </c>
      <c r="K2252" t="s">
        <v>510</v>
      </c>
      <c r="L2252">
        <f t="shared" si="142"/>
        <v>2</v>
      </c>
      <c r="N2252">
        <v>2</v>
      </c>
      <c r="O2252">
        <v>1</v>
      </c>
      <c r="P2252">
        <v>0.5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1.5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f t="shared" si="145"/>
        <v>1.5</v>
      </c>
      <c r="BW2252" s="16">
        <f t="shared" si="143"/>
        <v>7.8947368421052627E-2</v>
      </c>
      <c r="BX2252" s="16">
        <f>COUNTIF($BC$6:BU2252, "=0") / COUNTIF($BC$6:BU2252, "&gt;-1")</f>
        <v>0.52694821165062189</v>
      </c>
      <c r="BY2252" s="18">
        <f>SUM($BC$6:BU2252) / $BY$4</f>
        <v>0.99994343457514889</v>
      </c>
      <c r="BZ2252" s="14">
        <f t="shared" si="144"/>
        <v>18</v>
      </c>
      <c r="CA2252" t="s">
        <v>5832</v>
      </c>
      <c r="CZ2252" t="s">
        <v>6392</v>
      </c>
      <c r="DA2252" t="s">
        <v>5904</v>
      </c>
      <c r="DB2252">
        <v>474.2</v>
      </c>
      <c r="DC2252" t="s">
        <v>15477</v>
      </c>
      <c r="DD2252" t="s">
        <v>15478</v>
      </c>
      <c r="DE2252" t="s">
        <v>15479</v>
      </c>
      <c r="DF2252" t="s">
        <v>15480</v>
      </c>
      <c r="DG2252" t="s">
        <v>15481</v>
      </c>
      <c r="DH2252" t="str">
        <f>"SRSF4"</f>
        <v>SRSF4</v>
      </c>
      <c r="DI2252" t="s">
        <v>15482</v>
      </c>
      <c r="DJ2252" t="s">
        <v>13777</v>
      </c>
      <c r="DK2252">
        <v>9606</v>
      </c>
      <c r="DL2252" s="34" t="str">
        <f>HYPERLINK("http://www.uniprot.org/uniprot/Q08170", "Q08170")</f>
        <v>Q08170</v>
      </c>
      <c r="DM2252" t="s">
        <v>15483</v>
      </c>
      <c r="DN2252" t="s">
        <v>15152</v>
      </c>
      <c r="DO2252" t="s">
        <v>14825</v>
      </c>
      <c r="DP2252" t="s">
        <v>13793</v>
      </c>
      <c r="DQ2252" t="s">
        <v>13772</v>
      </c>
      <c r="DR2252" t="s">
        <v>13772</v>
      </c>
      <c r="DS2252" t="s">
        <v>14096</v>
      </c>
      <c r="DT2252" t="s">
        <v>13772</v>
      </c>
      <c r="DU2252" t="s">
        <v>15484</v>
      </c>
      <c r="DV2252" t="s">
        <v>13782</v>
      </c>
      <c r="DW2252" t="s">
        <v>13772</v>
      </c>
      <c r="DX2252" t="s">
        <v>15485</v>
      </c>
      <c r="DY2252" t="s">
        <v>15486</v>
      </c>
      <c r="DZ2252" t="s">
        <v>15487</v>
      </c>
      <c r="EA2252" t="s">
        <v>13772</v>
      </c>
      <c r="EB2252" t="s">
        <v>15488</v>
      </c>
    </row>
    <row r="2253" spans="1:132" hidden="1">
      <c r="A2253">
        <v>828</v>
      </c>
      <c r="B2253">
        <v>1</v>
      </c>
      <c r="C2253" t="s">
        <v>2027</v>
      </c>
      <c r="D2253" t="s">
        <v>2028</v>
      </c>
      <c r="E2253" t="s">
        <v>73</v>
      </c>
      <c r="F2253" t="s">
        <v>474</v>
      </c>
      <c r="G2253" t="s">
        <v>73</v>
      </c>
      <c r="H2253">
        <v>8</v>
      </c>
      <c r="I2253">
        <v>376</v>
      </c>
      <c r="J2253">
        <v>41637</v>
      </c>
      <c r="K2253" t="s">
        <v>2029</v>
      </c>
      <c r="L2253">
        <f t="shared" si="142"/>
        <v>8</v>
      </c>
      <c r="N2253">
        <v>8</v>
      </c>
      <c r="O2253">
        <v>1</v>
      </c>
      <c r="P2253">
        <v>0.125</v>
      </c>
      <c r="Q2253">
        <v>0</v>
      </c>
      <c r="R2253">
        <v>2</v>
      </c>
      <c r="S2253">
        <v>0</v>
      </c>
      <c r="T2253">
        <v>1</v>
      </c>
      <c r="U2253">
        <v>1</v>
      </c>
      <c r="V2253">
        <v>1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1.5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f t="shared" si="145"/>
        <v>1.5</v>
      </c>
      <c r="BW2253" s="16">
        <f t="shared" si="143"/>
        <v>7.8947368421052627E-2</v>
      </c>
      <c r="BX2253" s="16">
        <f>COUNTIF($BC$6:BU2253, "=0") / COUNTIF($BC$6:BU2253, "&gt;-1")</f>
        <v>0.52713523131672602</v>
      </c>
      <c r="BY2253" s="18">
        <f>SUM($BC$6:BU2253) / $BY$4</f>
        <v>0.99994986003045194</v>
      </c>
      <c r="BZ2253" s="14">
        <f t="shared" si="144"/>
        <v>18</v>
      </c>
      <c r="CA2253" t="s">
        <v>5832</v>
      </c>
      <c r="CZ2253" t="s">
        <v>8533</v>
      </c>
      <c r="DA2253" t="s">
        <v>5900</v>
      </c>
      <c r="DB2253">
        <v>365.2</v>
      </c>
      <c r="DC2253" t="s">
        <v>21953</v>
      </c>
      <c r="DD2253" t="s">
        <v>13772</v>
      </c>
      <c r="DE2253" t="s">
        <v>21954</v>
      </c>
      <c r="DF2253" t="s">
        <v>21955</v>
      </c>
      <c r="DG2253" t="s">
        <v>13772</v>
      </c>
      <c r="DH2253" t="str">
        <f>"RAB3D"</f>
        <v>RAB3D</v>
      </c>
      <c r="DI2253" t="s">
        <v>21956</v>
      </c>
      <c r="DJ2253" t="s">
        <v>13777</v>
      </c>
      <c r="DK2253">
        <v>9606</v>
      </c>
      <c r="DL2253" s="34" t="str">
        <f>HYPERLINK("http://www.uniprot.org/uniprot/O95716", "O95716")</f>
        <v>O95716</v>
      </c>
      <c r="DM2253" t="s">
        <v>21957</v>
      </c>
      <c r="DN2253" t="s">
        <v>20345</v>
      </c>
      <c r="DO2253" t="s">
        <v>13792</v>
      </c>
      <c r="DP2253" t="s">
        <v>13793</v>
      </c>
      <c r="DQ2253" t="s">
        <v>13772</v>
      </c>
      <c r="DR2253" t="s">
        <v>13772</v>
      </c>
      <c r="DS2253" t="s">
        <v>13772</v>
      </c>
      <c r="DT2253" t="s">
        <v>14216</v>
      </c>
      <c r="DU2253" t="s">
        <v>13772</v>
      </c>
      <c r="DV2253" t="s">
        <v>19929</v>
      </c>
      <c r="DW2253" t="s">
        <v>13812</v>
      </c>
      <c r="DX2253" t="s">
        <v>21958</v>
      </c>
      <c r="DY2253" t="s">
        <v>21959</v>
      </c>
      <c r="DZ2253" t="s">
        <v>21960</v>
      </c>
      <c r="EA2253" t="s">
        <v>13772</v>
      </c>
      <c r="EB2253" t="s">
        <v>21961</v>
      </c>
    </row>
    <row r="2254" spans="1:132" hidden="1">
      <c r="A2254">
        <v>2216</v>
      </c>
      <c r="B2254">
        <v>1</v>
      </c>
      <c r="C2254" t="s">
        <v>5183</v>
      </c>
      <c r="D2254" t="s">
        <v>73</v>
      </c>
      <c r="E2254" t="s">
        <v>73</v>
      </c>
      <c r="F2254" t="s">
        <v>509</v>
      </c>
      <c r="G2254" t="s">
        <v>73</v>
      </c>
      <c r="H2254">
        <v>5.2</v>
      </c>
      <c r="I2254">
        <v>344</v>
      </c>
      <c r="J2254">
        <v>39621</v>
      </c>
      <c r="K2254" t="s">
        <v>5184</v>
      </c>
      <c r="L2254">
        <f t="shared" si="142"/>
        <v>2</v>
      </c>
      <c r="N2254">
        <v>2</v>
      </c>
      <c r="O2254">
        <v>1</v>
      </c>
      <c r="P2254">
        <v>0.5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1.5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f t="shared" si="145"/>
        <v>1.5</v>
      </c>
      <c r="BW2254" s="16">
        <f t="shared" si="143"/>
        <v>7.8947368421052627E-2</v>
      </c>
      <c r="BX2254" s="16">
        <f>COUNTIF($BC$6:BU2254, "=0") / COUNTIF($BC$6:BU2254, "&gt;-1")</f>
        <v>0.52732208466920971</v>
      </c>
      <c r="BY2254" s="18">
        <f>SUM($BC$6:BU2254) / $BY$4</f>
        <v>0.99995628548575499</v>
      </c>
      <c r="BZ2254" s="14">
        <f t="shared" si="144"/>
        <v>18</v>
      </c>
      <c r="CA2254" t="s">
        <v>5832</v>
      </c>
      <c r="CZ2254" t="s">
        <v>13134</v>
      </c>
      <c r="DA2254" t="s">
        <v>5904</v>
      </c>
      <c r="DB2254">
        <v>622.9</v>
      </c>
      <c r="DC2254" t="s">
        <v>34938</v>
      </c>
      <c r="DD2254" t="s">
        <v>34939</v>
      </c>
      <c r="DE2254" t="s">
        <v>34940</v>
      </c>
      <c r="DF2254" t="s">
        <v>34941</v>
      </c>
      <c r="DG2254" t="s">
        <v>34942</v>
      </c>
      <c r="DH2254" t="str">
        <f>"SRSF6"</f>
        <v>SRSF6</v>
      </c>
      <c r="DI2254" t="s">
        <v>34943</v>
      </c>
      <c r="DJ2254" t="s">
        <v>13777</v>
      </c>
      <c r="DK2254">
        <v>9606</v>
      </c>
      <c r="DL2254" s="34" t="str">
        <f>HYPERLINK("http://www.uniprot.org/uniprot/Q13247", "Q13247")</f>
        <v>Q13247</v>
      </c>
      <c r="DM2254" t="s">
        <v>34944</v>
      </c>
      <c r="DN2254" t="s">
        <v>15152</v>
      </c>
      <c r="DO2254" t="s">
        <v>14825</v>
      </c>
      <c r="DP2254" t="s">
        <v>13780</v>
      </c>
      <c r="DQ2254" t="s">
        <v>13772</v>
      </c>
      <c r="DR2254" t="s">
        <v>13772</v>
      </c>
      <c r="DS2254" t="s">
        <v>14096</v>
      </c>
      <c r="DT2254" t="s">
        <v>13772</v>
      </c>
      <c r="DU2254" t="s">
        <v>15484</v>
      </c>
      <c r="DV2254" t="s">
        <v>13991</v>
      </c>
      <c r="DW2254" t="s">
        <v>13772</v>
      </c>
      <c r="DX2254" t="s">
        <v>34945</v>
      </c>
      <c r="DY2254" t="s">
        <v>15486</v>
      </c>
      <c r="DZ2254" t="s">
        <v>34946</v>
      </c>
      <c r="EA2254" t="s">
        <v>13772</v>
      </c>
      <c r="EB2254" t="s">
        <v>34937</v>
      </c>
    </row>
    <row r="2255" spans="1:132" hidden="1">
      <c r="A2255">
        <v>356</v>
      </c>
      <c r="B2255">
        <v>1</v>
      </c>
      <c r="C2255" t="s">
        <v>890</v>
      </c>
      <c r="D2255" t="s">
        <v>891</v>
      </c>
      <c r="E2255" t="s">
        <v>73</v>
      </c>
      <c r="F2255" t="s">
        <v>210</v>
      </c>
      <c r="G2255" t="s">
        <v>73</v>
      </c>
      <c r="H2255">
        <v>3.8</v>
      </c>
      <c r="I2255">
        <v>840</v>
      </c>
      <c r="J2255">
        <v>96218</v>
      </c>
      <c r="K2255" t="s">
        <v>892</v>
      </c>
      <c r="L2255">
        <f t="shared" si="142"/>
        <v>2</v>
      </c>
      <c r="N2255">
        <v>2</v>
      </c>
      <c r="O2255">
        <v>1</v>
      </c>
      <c r="P2255">
        <v>0.5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1.25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f t="shared" si="145"/>
        <v>1.25</v>
      </c>
      <c r="BW2255" s="16">
        <f t="shared" si="143"/>
        <v>6.5789473684210523E-2</v>
      </c>
      <c r="BX2255" s="16">
        <f>COUNTIF($BC$6:BU2255, "=0") / COUNTIF($BC$6:BU2255, "&gt;-1")</f>
        <v>0.52750877192982459</v>
      </c>
      <c r="BY2255" s="18">
        <f>SUM($BC$6:BU2255) / $BY$4</f>
        <v>0.99996164003184085</v>
      </c>
      <c r="BZ2255" s="14">
        <f t="shared" si="144"/>
        <v>18</v>
      </c>
      <c r="CA2255" t="s">
        <v>5832</v>
      </c>
      <c r="CZ2255" t="s">
        <v>6932</v>
      </c>
      <c r="DA2255" t="s">
        <v>5904</v>
      </c>
      <c r="DB2255">
        <v>1574.3</v>
      </c>
      <c r="DC2255" t="s">
        <v>17128</v>
      </c>
      <c r="DD2255" t="s">
        <v>17129</v>
      </c>
      <c r="DE2255" t="s">
        <v>17130</v>
      </c>
      <c r="DF2255" t="s">
        <v>17131</v>
      </c>
      <c r="DG2255" t="s">
        <v>17132</v>
      </c>
      <c r="DH2255" t="str">
        <f>"ATP6V0A4"</f>
        <v>ATP6V0A4</v>
      </c>
      <c r="DI2255" t="s">
        <v>17133</v>
      </c>
      <c r="DJ2255" t="s">
        <v>13777</v>
      </c>
      <c r="DK2255">
        <v>9606</v>
      </c>
      <c r="DL2255" s="34" t="str">
        <f>HYPERLINK("http://www.uniprot.org/uniprot/Q9HBG4", "Q9HBG4")</f>
        <v>Q9HBG4</v>
      </c>
      <c r="DM2255" t="s">
        <v>17134</v>
      </c>
      <c r="DN2255" t="s">
        <v>14032</v>
      </c>
      <c r="DO2255" t="s">
        <v>13792</v>
      </c>
      <c r="DP2255" t="s">
        <v>13793</v>
      </c>
      <c r="DQ2255" t="s">
        <v>13772</v>
      </c>
      <c r="DR2255" t="s">
        <v>13807</v>
      </c>
      <c r="DS2255" t="s">
        <v>13925</v>
      </c>
      <c r="DT2255" t="s">
        <v>13772</v>
      </c>
      <c r="DU2255" t="s">
        <v>13772</v>
      </c>
      <c r="DV2255" t="s">
        <v>13772</v>
      </c>
      <c r="DW2255" t="s">
        <v>13772</v>
      </c>
      <c r="DX2255" t="s">
        <v>17135</v>
      </c>
      <c r="DY2255" t="s">
        <v>17136</v>
      </c>
      <c r="DZ2255" t="s">
        <v>14036</v>
      </c>
      <c r="EA2255" t="s">
        <v>13772</v>
      </c>
      <c r="EB2255" t="s">
        <v>17137</v>
      </c>
    </row>
    <row r="2256" spans="1:132" hidden="1">
      <c r="A2256">
        <v>2332</v>
      </c>
      <c r="B2256">
        <v>1</v>
      </c>
      <c r="C2256" t="s">
        <v>5437</v>
      </c>
      <c r="D2256" t="s">
        <v>5438</v>
      </c>
      <c r="E2256" t="s">
        <v>73</v>
      </c>
      <c r="F2256" t="s">
        <v>552</v>
      </c>
      <c r="G2256" t="s">
        <v>73</v>
      </c>
      <c r="H2256">
        <v>21.8</v>
      </c>
      <c r="I2256">
        <v>1939</v>
      </c>
      <c r="J2256">
        <v>222746</v>
      </c>
      <c r="K2256" t="s">
        <v>5439</v>
      </c>
      <c r="L2256">
        <f t="shared" si="142"/>
        <v>221</v>
      </c>
      <c r="N2256">
        <v>221</v>
      </c>
      <c r="O2256">
        <v>1</v>
      </c>
      <c r="P2256">
        <v>5.0000000000000001E-3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15</v>
      </c>
      <c r="X2256">
        <v>23</v>
      </c>
      <c r="Y2256">
        <v>11</v>
      </c>
      <c r="Z2256">
        <v>3</v>
      </c>
      <c r="AA2256">
        <v>31</v>
      </c>
      <c r="AB2256">
        <v>24</v>
      </c>
      <c r="AC2256">
        <v>4</v>
      </c>
      <c r="AD2256">
        <v>0</v>
      </c>
      <c r="AE2256">
        <v>48</v>
      </c>
      <c r="AF2256">
        <v>47</v>
      </c>
      <c r="AG2256">
        <v>6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1.2430000000000001</v>
      </c>
      <c r="BV2256" s="2">
        <f t="shared" si="145"/>
        <v>1.2430000000000001</v>
      </c>
      <c r="BW2256" s="16">
        <f t="shared" si="143"/>
        <v>6.5421052631578949E-2</v>
      </c>
      <c r="BX2256" s="16">
        <f>COUNTIF($BC$6:BU2256, "=0") / COUNTIF($BC$6:BU2256, "&gt;-1")</f>
        <v>0.52769529331992804</v>
      </c>
      <c r="BY2256" s="18">
        <f>SUM($BC$6:BU2256) / $BY$4</f>
        <v>0.99996696459246859</v>
      </c>
      <c r="BZ2256" s="14">
        <f t="shared" si="144"/>
        <v>18</v>
      </c>
      <c r="CA2256" t="s">
        <v>5832</v>
      </c>
      <c r="CZ2256" t="s">
        <v>13500</v>
      </c>
      <c r="DA2256" t="s">
        <v>5904</v>
      </c>
      <c r="DB2256">
        <v>3826.6</v>
      </c>
      <c r="DC2256" t="s">
        <v>35982</v>
      </c>
      <c r="DD2256" t="s">
        <v>35983</v>
      </c>
      <c r="DE2256" t="s">
        <v>35984</v>
      </c>
      <c r="DF2256" t="s">
        <v>35985</v>
      </c>
      <c r="DG2256" t="s">
        <v>35986</v>
      </c>
      <c r="DH2256" t="str">
        <f>"MYH8"</f>
        <v>MYH8</v>
      </c>
      <c r="DI2256" t="s">
        <v>13772</v>
      </c>
      <c r="DJ2256" t="s">
        <v>13777</v>
      </c>
      <c r="DK2256">
        <v>9606</v>
      </c>
      <c r="DL2256" s="34" t="str">
        <f>HYPERLINK("http://www.uniprot.org/uniprot/P13535", "P13535")</f>
        <v>P13535</v>
      </c>
      <c r="DM2256" t="s">
        <v>35987</v>
      </c>
      <c r="DN2256" t="s">
        <v>13772</v>
      </c>
      <c r="DO2256" t="s">
        <v>15651</v>
      </c>
      <c r="DP2256" t="s">
        <v>13793</v>
      </c>
      <c r="DQ2256" t="s">
        <v>13772</v>
      </c>
      <c r="DR2256" t="s">
        <v>13807</v>
      </c>
      <c r="DS2256" t="s">
        <v>14245</v>
      </c>
      <c r="DT2256" t="s">
        <v>14005</v>
      </c>
      <c r="DU2256" t="s">
        <v>15653</v>
      </c>
      <c r="DV2256" t="s">
        <v>14478</v>
      </c>
      <c r="DW2256" t="s">
        <v>13772</v>
      </c>
      <c r="DX2256" t="s">
        <v>35988</v>
      </c>
      <c r="DY2256" t="s">
        <v>35989</v>
      </c>
      <c r="DZ2256" t="s">
        <v>35990</v>
      </c>
      <c r="EA2256" t="s">
        <v>13772</v>
      </c>
      <c r="EB2256" t="s">
        <v>15657</v>
      </c>
    </row>
    <row r="2257" spans="1:132" hidden="1">
      <c r="A2257">
        <v>1687</v>
      </c>
      <c r="B2257">
        <v>1</v>
      </c>
      <c r="C2257" t="s">
        <v>4001</v>
      </c>
      <c r="D2257" t="s">
        <v>4002</v>
      </c>
      <c r="E2257" t="s">
        <v>73</v>
      </c>
      <c r="F2257" t="s">
        <v>1272</v>
      </c>
      <c r="G2257" t="s">
        <v>73</v>
      </c>
      <c r="H2257">
        <v>16.5</v>
      </c>
      <c r="I2257">
        <v>273</v>
      </c>
      <c r="J2257">
        <v>30664</v>
      </c>
      <c r="K2257" t="s">
        <v>4003</v>
      </c>
      <c r="L2257">
        <f t="shared" si="142"/>
        <v>4</v>
      </c>
      <c r="N2257">
        <v>4</v>
      </c>
      <c r="O2257">
        <v>1</v>
      </c>
      <c r="P2257">
        <v>0.25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1.167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f t="shared" si="145"/>
        <v>1.167</v>
      </c>
      <c r="BW2257" s="16">
        <f t="shared" si="143"/>
        <v>6.1421052631578953E-2</v>
      </c>
      <c r="BX2257" s="16">
        <f>COUNTIF($BC$6:BU2257, "=0") / COUNTIF($BC$6:BU2257, "&gt;-1")</f>
        <v>0.52788164906048429</v>
      </c>
      <c r="BY2257" s="18">
        <f>SUM($BC$6:BU2257) / $BY$4</f>
        <v>0.99997196359669427</v>
      </c>
      <c r="BZ2257" s="14">
        <f t="shared" si="144"/>
        <v>18</v>
      </c>
      <c r="CA2257" t="s">
        <v>5832</v>
      </c>
      <c r="CZ2257" t="s">
        <v>11378</v>
      </c>
      <c r="DA2257" t="s">
        <v>5904</v>
      </c>
      <c r="DB2257">
        <v>521.20000000000005</v>
      </c>
      <c r="DC2257" t="s">
        <v>29990</v>
      </c>
      <c r="DD2257" t="s">
        <v>29991</v>
      </c>
      <c r="DE2257" t="s">
        <v>29992</v>
      </c>
      <c r="DF2257" t="s">
        <v>29993</v>
      </c>
      <c r="DG2257" t="s">
        <v>29994</v>
      </c>
      <c r="DH2257" t="str">
        <f>"PRDX4"</f>
        <v>PRDX4</v>
      </c>
      <c r="DI2257" t="s">
        <v>13772</v>
      </c>
      <c r="DJ2257" t="s">
        <v>13777</v>
      </c>
      <c r="DK2257">
        <v>9606</v>
      </c>
      <c r="DL2257" s="34" t="str">
        <f>HYPERLINK("http://www.uniprot.org/uniprot/Q13162", "Q13162")</f>
        <v>Q13162</v>
      </c>
      <c r="DM2257" t="s">
        <v>29995</v>
      </c>
      <c r="DN2257" t="s">
        <v>13772</v>
      </c>
      <c r="DO2257" t="s">
        <v>14265</v>
      </c>
      <c r="DP2257" t="s">
        <v>13772</v>
      </c>
      <c r="DQ2257" t="s">
        <v>13772</v>
      </c>
      <c r="DR2257" t="s">
        <v>13772</v>
      </c>
      <c r="DS2257" t="s">
        <v>16394</v>
      </c>
      <c r="DT2257" t="s">
        <v>13772</v>
      </c>
      <c r="DU2257" t="s">
        <v>18755</v>
      </c>
      <c r="DV2257" t="s">
        <v>14506</v>
      </c>
      <c r="DW2257" t="s">
        <v>13812</v>
      </c>
      <c r="DX2257" t="s">
        <v>29996</v>
      </c>
      <c r="DY2257" t="s">
        <v>29997</v>
      </c>
      <c r="DZ2257" t="s">
        <v>29998</v>
      </c>
      <c r="EA2257" t="s">
        <v>13772</v>
      </c>
      <c r="EB2257" t="s">
        <v>13890</v>
      </c>
    </row>
    <row r="2258" spans="1:132" hidden="1">
      <c r="A2258">
        <v>1818</v>
      </c>
      <c r="B2258">
        <v>1</v>
      </c>
      <c r="C2258" t="s">
        <v>4297</v>
      </c>
      <c r="D2258" t="s">
        <v>4298</v>
      </c>
      <c r="E2258" t="s">
        <v>73</v>
      </c>
      <c r="F2258" t="s">
        <v>4299</v>
      </c>
      <c r="G2258" t="s">
        <v>73</v>
      </c>
      <c r="H2258">
        <v>8.1</v>
      </c>
      <c r="I2258">
        <v>296</v>
      </c>
      <c r="J2258">
        <v>35348</v>
      </c>
      <c r="K2258" t="s">
        <v>4300</v>
      </c>
      <c r="L2258">
        <f t="shared" si="142"/>
        <v>3</v>
      </c>
      <c r="N2258">
        <v>3</v>
      </c>
      <c r="O2258">
        <v>1</v>
      </c>
      <c r="P2258">
        <v>0.33300000000000002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1.143</v>
      </c>
      <c r="BR2258" s="2">
        <v>0</v>
      </c>
      <c r="BS2258" s="2">
        <v>0</v>
      </c>
      <c r="BT2258" s="2">
        <v>0</v>
      </c>
      <c r="BU2258" s="2">
        <v>0</v>
      </c>
      <c r="BV2258" s="2">
        <f t="shared" si="145"/>
        <v>1.143</v>
      </c>
      <c r="BW2258" s="16">
        <f t="shared" si="143"/>
        <v>6.0157894736842105E-2</v>
      </c>
      <c r="BX2258" s="16">
        <f>COUNTIF($BC$6:BU2258, "=0") / COUNTIF($BC$6:BU2258, "&gt;-1")</f>
        <v>0.52806783937206536</v>
      </c>
      <c r="BY2258" s="18">
        <f>SUM($BC$6:BU2258) / $BY$4</f>
        <v>0.99997685979363526</v>
      </c>
      <c r="BZ2258" s="14">
        <f t="shared" si="144"/>
        <v>18</v>
      </c>
      <c r="CA2258" t="s">
        <v>5832</v>
      </c>
      <c r="CZ2258" t="s">
        <v>11817</v>
      </c>
      <c r="DA2258" t="s">
        <v>5904</v>
      </c>
      <c r="DB2258">
        <v>370.9</v>
      </c>
      <c r="DC2258" t="s">
        <v>31256</v>
      </c>
      <c r="DD2258" t="s">
        <v>31257</v>
      </c>
      <c r="DE2258" t="s">
        <v>31258</v>
      </c>
      <c r="DF2258" t="s">
        <v>31259</v>
      </c>
      <c r="DG2258" t="s">
        <v>31260</v>
      </c>
      <c r="DH2258" t="str">
        <f>"TNNT2"</f>
        <v>TNNT2</v>
      </c>
      <c r="DI2258" t="s">
        <v>13772</v>
      </c>
      <c r="DJ2258" t="s">
        <v>13777</v>
      </c>
      <c r="DK2258">
        <v>9606</v>
      </c>
      <c r="DL2258" s="34" t="str">
        <f>HYPERLINK("http://www.uniprot.org/uniprot/P45379", "P45379")</f>
        <v>P45379</v>
      </c>
      <c r="DM2258" t="s">
        <v>31261</v>
      </c>
      <c r="DN2258" t="s">
        <v>13772</v>
      </c>
      <c r="DO2258" t="s">
        <v>13772</v>
      </c>
      <c r="DP2258" t="s">
        <v>13780</v>
      </c>
      <c r="DQ2258" t="s">
        <v>13772</v>
      </c>
      <c r="DR2258" t="s">
        <v>14848</v>
      </c>
      <c r="DS2258" t="s">
        <v>13772</v>
      </c>
      <c r="DT2258" t="s">
        <v>13772</v>
      </c>
      <c r="DU2258" t="s">
        <v>17512</v>
      </c>
      <c r="DV2258" t="s">
        <v>13886</v>
      </c>
      <c r="DW2258" t="s">
        <v>13812</v>
      </c>
      <c r="DX2258" t="s">
        <v>31262</v>
      </c>
      <c r="DY2258" t="s">
        <v>31263</v>
      </c>
      <c r="DZ2258" t="s">
        <v>31264</v>
      </c>
      <c r="EA2258" t="s">
        <v>13772</v>
      </c>
      <c r="EB2258" t="s">
        <v>15657</v>
      </c>
    </row>
    <row r="2259" spans="1:132" hidden="1">
      <c r="A2259">
        <v>1502</v>
      </c>
      <c r="B2259">
        <v>1</v>
      </c>
      <c r="C2259" t="s">
        <v>3575</v>
      </c>
      <c r="D2259" t="s">
        <v>73</v>
      </c>
      <c r="E2259" t="s">
        <v>73</v>
      </c>
      <c r="F2259" t="s">
        <v>3576</v>
      </c>
      <c r="G2259" t="s">
        <v>73</v>
      </c>
      <c r="H2259">
        <v>5.5</v>
      </c>
      <c r="I2259">
        <v>327</v>
      </c>
      <c r="J2259">
        <v>36304</v>
      </c>
      <c r="K2259" t="s">
        <v>3577</v>
      </c>
      <c r="L2259">
        <f t="shared" si="142"/>
        <v>29</v>
      </c>
      <c r="N2259">
        <v>29</v>
      </c>
      <c r="O2259">
        <v>1</v>
      </c>
      <c r="P2259">
        <v>3.4000000000000002E-2</v>
      </c>
      <c r="Q2259">
        <v>1</v>
      </c>
      <c r="R2259">
        <v>2</v>
      </c>
      <c r="S2259">
        <v>0</v>
      </c>
      <c r="T2259">
        <v>0</v>
      </c>
      <c r="U2259">
        <v>3</v>
      </c>
      <c r="V2259">
        <v>2</v>
      </c>
      <c r="W2259">
        <v>2</v>
      </c>
      <c r="X2259">
        <v>3</v>
      </c>
      <c r="Y2259">
        <v>1</v>
      </c>
      <c r="Z2259">
        <v>1</v>
      </c>
      <c r="AA2259">
        <v>2</v>
      </c>
      <c r="AB2259">
        <v>3</v>
      </c>
      <c r="AC2259">
        <v>2</v>
      </c>
      <c r="AD2259">
        <v>1</v>
      </c>
      <c r="AE2259">
        <v>2</v>
      </c>
      <c r="AF2259">
        <v>3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 s="2">
        <v>3.0000000000000001E-3</v>
      </c>
      <c r="BD2259" s="2">
        <v>8.0000000000000002E-3</v>
      </c>
      <c r="BE2259" s="2">
        <v>0</v>
      </c>
      <c r="BF2259" s="2">
        <v>0</v>
      </c>
      <c r="BG2259" s="2">
        <v>1.0999999999999999E-2</v>
      </c>
      <c r="BH2259" s="2">
        <v>6.0000000000000001E-3</v>
      </c>
      <c r="BI2259" s="2">
        <v>8.0000000000000002E-3</v>
      </c>
      <c r="BJ2259" s="2">
        <v>0.01</v>
      </c>
      <c r="BK2259" s="2">
        <v>5.0000000000000001E-3</v>
      </c>
      <c r="BL2259" s="2">
        <v>5.0000000000000001E-3</v>
      </c>
      <c r="BM2259" s="2">
        <v>8.9999999999999993E-3</v>
      </c>
      <c r="BN2259" s="2">
        <v>0.01</v>
      </c>
      <c r="BO2259" s="2">
        <v>1.0049999999999999</v>
      </c>
      <c r="BP2259" s="2">
        <v>5.0000000000000001E-3</v>
      </c>
      <c r="BQ2259" s="2">
        <v>6.0000000000000001E-3</v>
      </c>
      <c r="BR2259" s="2">
        <v>1.0999999999999999E-2</v>
      </c>
      <c r="BS2259" s="2">
        <v>5.0000000000000001E-3</v>
      </c>
      <c r="BT2259" s="2">
        <v>0</v>
      </c>
      <c r="BU2259" s="2">
        <v>0</v>
      </c>
      <c r="BV2259" s="2">
        <f t="shared" si="145"/>
        <v>1.1069999999999995</v>
      </c>
      <c r="BW2259" s="16">
        <f t="shared" si="143"/>
        <v>5.8263157894736815E-2</v>
      </c>
      <c r="BX2259" s="16">
        <f>COUNTIF($BC$6:BU2259, "=0") / COUNTIF($BC$6:BU2259, "&gt;-1")</f>
        <v>0.52792696025778729</v>
      </c>
      <c r="BY2259" s="18">
        <f>SUM($BC$6:BU2259) / $BY$4</f>
        <v>0.99998160177964901</v>
      </c>
      <c r="BZ2259" s="14">
        <f t="shared" si="144"/>
        <v>4</v>
      </c>
      <c r="CA2259" t="s">
        <v>5832</v>
      </c>
      <c r="CZ2259" t="s">
        <v>7192</v>
      </c>
      <c r="DA2259" t="s">
        <v>6759</v>
      </c>
      <c r="DB2259">
        <v>228.4</v>
      </c>
      <c r="DC2259" t="s">
        <v>17946</v>
      </c>
      <c r="DD2259" t="s">
        <v>17947</v>
      </c>
      <c r="DE2259" t="s">
        <v>17948</v>
      </c>
      <c r="DF2259" t="s">
        <v>17949</v>
      </c>
      <c r="DG2259" t="s">
        <v>17950</v>
      </c>
      <c r="DH2259" t="str">
        <f>"PEBP1"</f>
        <v>PEBP1</v>
      </c>
      <c r="DI2259" t="s">
        <v>17951</v>
      </c>
      <c r="DJ2259" t="s">
        <v>13777</v>
      </c>
      <c r="DK2259">
        <v>9606</v>
      </c>
      <c r="DL2259" s="34" t="str">
        <f>HYPERLINK("http://www.uniprot.org/uniprot/P30086", "P30086")</f>
        <v>P30086</v>
      </c>
      <c r="DM2259" t="s">
        <v>17952</v>
      </c>
      <c r="DN2259" t="s">
        <v>13772</v>
      </c>
      <c r="DO2259" t="s">
        <v>13899</v>
      </c>
      <c r="DP2259" t="s">
        <v>13772</v>
      </c>
      <c r="DQ2259" t="s">
        <v>13772</v>
      </c>
      <c r="DR2259" t="s">
        <v>13772</v>
      </c>
      <c r="DS2259" t="s">
        <v>13772</v>
      </c>
      <c r="DT2259" t="s">
        <v>17953</v>
      </c>
      <c r="DU2259" t="s">
        <v>14375</v>
      </c>
      <c r="DV2259" t="s">
        <v>15554</v>
      </c>
      <c r="DW2259" t="s">
        <v>13812</v>
      </c>
      <c r="DX2259" t="s">
        <v>17954</v>
      </c>
      <c r="DY2259" t="s">
        <v>14135</v>
      </c>
      <c r="DZ2259" t="s">
        <v>17955</v>
      </c>
      <c r="EA2259" t="s">
        <v>13772</v>
      </c>
      <c r="EB2259" t="s">
        <v>17956</v>
      </c>
    </row>
    <row r="2260" spans="1:132" hidden="1">
      <c r="A2260">
        <v>970</v>
      </c>
      <c r="B2260">
        <v>1</v>
      </c>
      <c r="C2260" t="s">
        <v>2354</v>
      </c>
      <c r="D2260" t="s">
        <v>73</v>
      </c>
      <c r="E2260" t="s">
        <v>73</v>
      </c>
      <c r="F2260" t="s">
        <v>2355</v>
      </c>
      <c r="G2260" t="s">
        <v>73</v>
      </c>
      <c r="H2260">
        <v>4.7</v>
      </c>
      <c r="I2260">
        <v>529</v>
      </c>
      <c r="J2260">
        <v>59649</v>
      </c>
      <c r="K2260" t="s">
        <v>2356</v>
      </c>
      <c r="L2260">
        <f t="shared" si="142"/>
        <v>2</v>
      </c>
      <c r="N2260">
        <v>2</v>
      </c>
      <c r="O2260">
        <v>1</v>
      </c>
      <c r="P2260">
        <v>0.5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1.091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f t="shared" si="145"/>
        <v>1.091</v>
      </c>
      <c r="BW2260" s="16">
        <f t="shared" si="143"/>
        <v>5.7421052631578949E-2</v>
      </c>
      <c r="BX2260" s="16">
        <f>COUNTIF($BC$6:BU2260, "=0") / COUNTIF($BC$6:BU2260, "&gt;-1")</f>
        <v>0.52811296534017971</v>
      </c>
      <c r="BY2260" s="18">
        <f>SUM($BC$6:BU2260) / $BY$4</f>
        <v>0.99998627522747274</v>
      </c>
      <c r="BZ2260" s="14">
        <f t="shared" si="144"/>
        <v>18</v>
      </c>
      <c r="CA2260" t="s">
        <v>5832</v>
      </c>
      <c r="CZ2260" t="s">
        <v>9018</v>
      </c>
      <c r="DA2260" t="s">
        <v>5904</v>
      </c>
      <c r="DB2260">
        <v>911</v>
      </c>
      <c r="DC2260" t="s">
        <v>23341</v>
      </c>
      <c r="DD2260" t="s">
        <v>23342</v>
      </c>
      <c r="DE2260" t="s">
        <v>23343</v>
      </c>
      <c r="DF2260" t="s">
        <v>23344</v>
      </c>
      <c r="DG2260" t="s">
        <v>23345</v>
      </c>
      <c r="DH2260" t="str">
        <f>"TBCE"</f>
        <v>TBCE</v>
      </c>
      <c r="DI2260" t="s">
        <v>13772</v>
      </c>
      <c r="DJ2260" t="s">
        <v>13777</v>
      </c>
      <c r="DK2260">
        <v>9606</v>
      </c>
      <c r="DL2260" s="34" t="str">
        <f>HYPERLINK("http://www.uniprot.org/uniprot/Q15813", "Q15813")</f>
        <v>Q15813</v>
      </c>
      <c r="DM2260" t="s">
        <v>23346</v>
      </c>
      <c r="DN2260" t="s">
        <v>13772</v>
      </c>
      <c r="DO2260" t="s">
        <v>13988</v>
      </c>
      <c r="DP2260" t="s">
        <v>13780</v>
      </c>
      <c r="DQ2260" t="s">
        <v>13772</v>
      </c>
      <c r="DR2260" t="s">
        <v>23347</v>
      </c>
      <c r="DS2260" t="s">
        <v>14614</v>
      </c>
      <c r="DT2260" t="s">
        <v>13772</v>
      </c>
      <c r="DU2260" t="s">
        <v>14477</v>
      </c>
      <c r="DV2260" t="s">
        <v>13886</v>
      </c>
      <c r="DW2260" t="s">
        <v>13812</v>
      </c>
      <c r="DX2260" t="s">
        <v>23348</v>
      </c>
      <c r="DY2260" t="s">
        <v>23349</v>
      </c>
      <c r="DZ2260" t="s">
        <v>23350</v>
      </c>
      <c r="EA2260" t="s">
        <v>13772</v>
      </c>
      <c r="EB2260" t="s">
        <v>23351</v>
      </c>
    </row>
    <row r="2261" spans="1:132" hidden="1">
      <c r="A2261">
        <v>1414</v>
      </c>
      <c r="B2261">
        <v>1</v>
      </c>
      <c r="C2261" t="s">
        <v>3371</v>
      </c>
      <c r="D2261" t="s">
        <v>73</v>
      </c>
      <c r="E2261" t="s">
        <v>73</v>
      </c>
      <c r="F2261" t="s">
        <v>3372</v>
      </c>
      <c r="G2261" t="s">
        <v>73</v>
      </c>
      <c r="H2261">
        <v>10</v>
      </c>
      <c r="I2261">
        <v>221</v>
      </c>
      <c r="J2261">
        <v>25232</v>
      </c>
      <c r="K2261" t="s">
        <v>3373</v>
      </c>
      <c r="L2261">
        <f t="shared" si="142"/>
        <v>2</v>
      </c>
      <c r="N2261">
        <v>2</v>
      </c>
      <c r="O2261">
        <v>1</v>
      </c>
      <c r="P2261">
        <v>0.5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1.004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f t="shared" si="145"/>
        <v>1.004</v>
      </c>
      <c r="BW2261" s="16">
        <f t="shared" si="143"/>
        <v>5.2842105263157892E-2</v>
      </c>
      <c r="BX2261" s="16">
        <f>COUNTIF($BC$6:BU2261, "=0") / COUNTIF($BC$6:BU2261, "&gt;-1")</f>
        <v>0.52829880552444941</v>
      </c>
      <c r="BY2261" s="18">
        <f>SUM($BC$6:BU2261) / $BY$4</f>
        <v>0.99999057599888885</v>
      </c>
      <c r="BZ2261" s="14">
        <f t="shared" si="144"/>
        <v>18</v>
      </c>
      <c r="CA2261" t="s">
        <v>5832</v>
      </c>
      <c r="CZ2261" t="s">
        <v>10448</v>
      </c>
      <c r="DA2261" t="s">
        <v>5904</v>
      </c>
      <c r="DB2261">
        <v>368.2</v>
      </c>
      <c r="DC2261" t="s">
        <v>27403</v>
      </c>
      <c r="DD2261" t="s">
        <v>27404</v>
      </c>
      <c r="DE2261" t="s">
        <v>27405</v>
      </c>
      <c r="DF2261" t="s">
        <v>27406</v>
      </c>
      <c r="DG2261" t="s">
        <v>27407</v>
      </c>
      <c r="DH2261" t="str">
        <f>"GPX5"</f>
        <v>GPX5</v>
      </c>
      <c r="DI2261" t="s">
        <v>13772</v>
      </c>
      <c r="DJ2261" t="s">
        <v>13777</v>
      </c>
      <c r="DK2261">
        <v>9606</v>
      </c>
      <c r="DL2261" s="34" t="str">
        <f>HYPERLINK("http://www.uniprot.org/uniprot/O75715", "O75715")</f>
        <v>O75715</v>
      </c>
      <c r="DM2261" t="s">
        <v>27408</v>
      </c>
      <c r="DN2261" t="s">
        <v>13772</v>
      </c>
      <c r="DO2261" t="s">
        <v>14321</v>
      </c>
      <c r="DP2261" t="s">
        <v>13780</v>
      </c>
      <c r="DQ2261" t="s">
        <v>13772</v>
      </c>
      <c r="DR2261" t="s">
        <v>13772</v>
      </c>
      <c r="DS2261" t="s">
        <v>13808</v>
      </c>
      <c r="DT2261" t="s">
        <v>13772</v>
      </c>
      <c r="DU2261" t="s">
        <v>13810</v>
      </c>
      <c r="DV2261" t="s">
        <v>13772</v>
      </c>
      <c r="DW2261" t="s">
        <v>13812</v>
      </c>
      <c r="DX2261" t="s">
        <v>27409</v>
      </c>
      <c r="DY2261" t="s">
        <v>15346</v>
      </c>
      <c r="DZ2261" t="s">
        <v>27410</v>
      </c>
      <c r="EA2261" t="s">
        <v>13772</v>
      </c>
      <c r="EB2261" t="s">
        <v>17385</v>
      </c>
    </row>
    <row r="2262" spans="1:132" hidden="1">
      <c r="A2262">
        <v>312</v>
      </c>
      <c r="B2262">
        <v>1</v>
      </c>
      <c r="C2262" t="s">
        <v>782</v>
      </c>
      <c r="D2262" t="s">
        <v>783</v>
      </c>
      <c r="E2262" t="s">
        <v>73</v>
      </c>
      <c r="F2262" t="s">
        <v>770</v>
      </c>
      <c r="G2262" t="s">
        <v>73</v>
      </c>
      <c r="H2262">
        <v>1.8</v>
      </c>
      <c r="I2262">
        <v>1280</v>
      </c>
      <c r="J2262">
        <v>141082</v>
      </c>
      <c r="K2262" t="s">
        <v>784</v>
      </c>
      <c r="L2262">
        <f t="shared" si="142"/>
        <v>4</v>
      </c>
      <c r="N2262">
        <v>4</v>
      </c>
      <c r="O2262">
        <v>1</v>
      </c>
      <c r="P2262">
        <v>0.25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1</v>
      </c>
      <c r="BU2262" s="2">
        <v>0</v>
      </c>
      <c r="BV2262" s="2">
        <f t="shared" si="145"/>
        <v>1</v>
      </c>
      <c r="BW2262" s="16">
        <f t="shared" si="143"/>
        <v>5.2631578947368418E-2</v>
      </c>
      <c r="BX2262" s="16">
        <f>COUNTIF($BC$6:BU2262, "=0") / COUNTIF($BC$6:BU2262, "&gt;-1")</f>
        <v>0.52848448102977874</v>
      </c>
      <c r="BY2262" s="18">
        <f>SUM($BC$6:BU2262) / $BY$4</f>
        <v>0.99999485963575752</v>
      </c>
      <c r="BZ2262" s="14">
        <f t="shared" si="144"/>
        <v>18</v>
      </c>
      <c r="CA2262" t="s">
        <v>5832</v>
      </c>
      <c r="CZ2262" t="s">
        <v>6775</v>
      </c>
      <c r="DA2262" t="s">
        <v>5904</v>
      </c>
      <c r="DB2262">
        <v>2395.1999999999998</v>
      </c>
      <c r="DC2262" t="s">
        <v>16661</v>
      </c>
      <c r="DD2262" t="s">
        <v>16662</v>
      </c>
      <c r="DE2262" t="s">
        <v>16663</v>
      </c>
      <c r="DF2262" t="s">
        <v>16664</v>
      </c>
      <c r="DG2262" t="s">
        <v>16665</v>
      </c>
      <c r="DH2262" t="str">
        <f>"ABCB4"</f>
        <v>ABCB4</v>
      </c>
      <c r="DI2262" t="s">
        <v>13772</v>
      </c>
      <c r="DJ2262" t="s">
        <v>13777</v>
      </c>
      <c r="DK2262">
        <v>9606</v>
      </c>
      <c r="DL2262" s="34" t="str">
        <f>HYPERLINK("http://www.uniprot.org/uniprot/P21439", "P21439")</f>
        <v>P21439</v>
      </c>
      <c r="DM2262" t="s">
        <v>16666</v>
      </c>
      <c r="DN2262" t="s">
        <v>13898</v>
      </c>
      <c r="DO2262" t="s">
        <v>16667</v>
      </c>
      <c r="DP2262" t="s">
        <v>13780</v>
      </c>
      <c r="DQ2262" t="s">
        <v>13772</v>
      </c>
      <c r="DR2262" t="s">
        <v>16668</v>
      </c>
      <c r="DS2262" t="s">
        <v>16604</v>
      </c>
      <c r="DT2262" t="s">
        <v>14005</v>
      </c>
      <c r="DU2262" t="s">
        <v>16605</v>
      </c>
      <c r="DV2262" t="s">
        <v>13978</v>
      </c>
      <c r="DW2262" t="s">
        <v>13772</v>
      </c>
      <c r="DX2262" t="s">
        <v>16669</v>
      </c>
      <c r="DY2262" t="s">
        <v>16670</v>
      </c>
      <c r="DZ2262" t="s">
        <v>16671</v>
      </c>
      <c r="EA2262" t="s">
        <v>13772</v>
      </c>
      <c r="EB2262" t="s">
        <v>16672</v>
      </c>
    </row>
    <row r="2263" spans="1:132" hidden="1">
      <c r="A2263">
        <v>2334</v>
      </c>
      <c r="B2263">
        <v>1</v>
      </c>
      <c r="C2263" t="s">
        <v>5443</v>
      </c>
      <c r="D2263" t="s">
        <v>73</v>
      </c>
      <c r="E2263" t="s">
        <v>73</v>
      </c>
      <c r="F2263" t="s">
        <v>5444</v>
      </c>
      <c r="G2263" t="s">
        <v>73</v>
      </c>
      <c r="H2263">
        <v>9.9</v>
      </c>
      <c r="I2263">
        <v>1938</v>
      </c>
      <c r="J2263">
        <v>223050</v>
      </c>
      <c r="K2263" t="s">
        <v>5445</v>
      </c>
      <c r="L2263">
        <f t="shared" si="142"/>
        <v>140</v>
      </c>
      <c r="N2263">
        <v>140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6</v>
      </c>
      <c r="X2263">
        <v>9</v>
      </c>
      <c r="Y2263">
        <v>16</v>
      </c>
      <c r="Z2263">
        <v>9</v>
      </c>
      <c r="AA2263">
        <v>19</v>
      </c>
      <c r="AB2263">
        <v>12</v>
      </c>
      <c r="AC2263">
        <v>7</v>
      </c>
      <c r="AD2263">
        <v>2</v>
      </c>
      <c r="AE2263">
        <v>25</v>
      </c>
      <c r="AF2263">
        <v>24</v>
      </c>
      <c r="AG2263">
        <v>3</v>
      </c>
      <c r="AH2263">
        <v>1</v>
      </c>
      <c r="AI2263">
        <v>6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0.2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0.5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f t="shared" si="145"/>
        <v>0.7</v>
      </c>
      <c r="BW2263" s="16">
        <f t="shared" si="143"/>
        <v>3.6842105263157891E-2</v>
      </c>
      <c r="BX2263" s="16">
        <f>COUNTIF($BC$6:BU2263, "=0") / COUNTIF($BC$6:BU2263, "&gt;-1")</f>
        <v>0.5286466831383152</v>
      </c>
      <c r="BY2263" s="18">
        <f>SUM($BC$6:BU2263) / $BY$4</f>
        <v>0.99999785818156561</v>
      </c>
      <c r="BZ2263" s="14">
        <f t="shared" si="144"/>
        <v>17</v>
      </c>
      <c r="CA2263" t="s">
        <v>5832</v>
      </c>
      <c r="CZ2263" t="s">
        <v>13507</v>
      </c>
      <c r="DA2263" t="s">
        <v>5904</v>
      </c>
      <c r="DB2263">
        <v>3534.6</v>
      </c>
      <c r="DC2263" t="s">
        <v>35998</v>
      </c>
      <c r="DD2263" t="s">
        <v>35999</v>
      </c>
      <c r="DE2263" t="s">
        <v>36000</v>
      </c>
      <c r="DF2263" t="s">
        <v>36001</v>
      </c>
      <c r="DG2263" t="s">
        <v>36002</v>
      </c>
      <c r="DH2263" t="str">
        <f>"MYH13"</f>
        <v>MYH13</v>
      </c>
      <c r="DI2263" t="s">
        <v>13772</v>
      </c>
      <c r="DJ2263" t="s">
        <v>13777</v>
      </c>
      <c r="DK2263">
        <v>9606</v>
      </c>
      <c r="DL2263" s="34" t="str">
        <f>HYPERLINK("http://www.uniprot.org/uniprot/Q9UKX3", "Q9UKX3")</f>
        <v>Q9UKX3</v>
      </c>
      <c r="DM2263" t="s">
        <v>36003</v>
      </c>
      <c r="DN2263" t="s">
        <v>13772</v>
      </c>
      <c r="DO2263" t="s">
        <v>15651</v>
      </c>
      <c r="DP2263" t="s">
        <v>13793</v>
      </c>
      <c r="DQ2263" t="s">
        <v>13772</v>
      </c>
      <c r="DR2263" t="s">
        <v>13772</v>
      </c>
      <c r="DS2263" t="s">
        <v>14245</v>
      </c>
      <c r="DT2263" t="s">
        <v>14005</v>
      </c>
      <c r="DU2263" t="s">
        <v>15653</v>
      </c>
      <c r="DV2263" t="s">
        <v>17914</v>
      </c>
      <c r="DW2263" t="s">
        <v>13772</v>
      </c>
      <c r="DX2263" t="s">
        <v>36004</v>
      </c>
      <c r="DY2263" t="s">
        <v>36005</v>
      </c>
      <c r="DZ2263" t="s">
        <v>36006</v>
      </c>
      <c r="EA2263" t="s">
        <v>13772</v>
      </c>
      <c r="EB2263" t="s">
        <v>13772</v>
      </c>
    </row>
    <row r="2264" spans="1:132" hidden="1">
      <c r="A2264">
        <v>2241</v>
      </c>
      <c r="B2264">
        <v>1</v>
      </c>
      <c r="C2264" t="s">
        <v>5242</v>
      </c>
      <c r="D2264" t="s">
        <v>73</v>
      </c>
      <c r="E2264" t="s">
        <v>73</v>
      </c>
      <c r="F2264" t="s">
        <v>490</v>
      </c>
      <c r="G2264" t="s">
        <v>73</v>
      </c>
      <c r="H2264">
        <v>9.3000000000000007</v>
      </c>
      <c r="I2264">
        <v>535</v>
      </c>
      <c r="J2264">
        <v>60904</v>
      </c>
      <c r="K2264" t="s">
        <v>5243</v>
      </c>
      <c r="L2264">
        <f t="shared" si="142"/>
        <v>8</v>
      </c>
      <c r="N2264">
        <v>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2</v>
      </c>
      <c r="AB2264">
        <v>0</v>
      </c>
      <c r="AC2264">
        <v>4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0.5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f t="shared" si="145"/>
        <v>0.5</v>
      </c>
      <c r="BW2264" s="16">
        <f t="shared" si="143"/>
        <v>2.6315789473684209E-2</v>
      </c>
      <c r="BX2264" s="16">
        <f>COUNTIF($BC$6:BU2264, "=0") / COUNTIF($BC$6:BU2264, "&gt;-1")</f>
        <v>0.52883204026001263</v>
      </c>
      <c r="BY2264" s="18">
        <f>SUM($BC$6:BU2264) / $BY$4</f>
        <v>1</v>
      </c>
      <c r="BZ2264" s="14">
        <f t="shared" si="144"/>
        <v>18</v>
      </c>
      <c r="CA2264" t="s">
        <v>5832</v>
      </c>
      <c r="CZ2264" t="s">
        <v>13214</v>
      </c>
      <c r="DA2264" t="s">
        <v>5904</v>
      </c>
      <c r="DB2264">
        <v>1082</v>
      </c>
      <c r="DC2264" t="s">
        <v>35159</v>
      </c>
      <c r="DD2264" t="s">
        <v>35160</v>
      </c>
      <c r="DE2264" t="s">
        <v>35161</v>
      </c>
      <c r="DF2264" t="s">
        <v>35162</v>
      </c>
      <c r="DG2264" t="s">
        <v>35163</v>
      </c>
      <c r="DH2264" t="str">
        <f>"EHD3"</f>
        <v>EHD3</v>
      </c>
      <c r="DI2264" t="s">
        <v>13772</v>
      </c>
      <c r="DJ2264" t="s">
        <v>13777</v>
      </c>
      <c r="DK2264">
        <v>9606</v>
      </c>
      <c r="DL2264" s="34" t="str">
        <f>HYPERLINK("http://www.uniprot.org/uniprot/Q9NZN3", "Q9NZN3")</f>
        <v>Q9NZN3</v>
      </c>
      <c r="DM2264" t="s">
        <v>35164</v>
      </c>
      <c r="DN2264" t="s">
        <v>18685</v>
      </c>
      <c r="DO2264" t="s">
        <v>18686</v>
      </c>
      <c r="DP2264" t="s">
        <v>13841</v>
      </c>
      <c r="DQ2264" t="s">
        <v>13772</v>
      </c>
      <c r="DR2264" t="s">
        <v>13772</v>
      </c>
      <c r="DS2264" t="s">
        <v>14245</v>
      </c>
      <c r="DT2264" t="s">
        <v>15398</v>
      </c>
      <c r="DU2264" t="s">
        <v>13772</v>
      </c>
      <c r="DV2264" t="s">
        <v>13991</v>
      </c>
      <c r="DW2264" t="s">
        <v>13772</v>
      </c>
      <c r="DX2264" t="s">
        <v>35165</v>
      </c>
      <c r="DY2264" t="s">
        <v>35166</v>
      </c>
      <c r="DZ2264" t="s">
        <v>35167</v>
      </c>
      <c r="EA2264" t="s">
        <v>13772</v>
      </c>
      <c r="EB2264" t="s">
        <v>18690</v>
      </c>
    </row>
    <row r="2265" spans="1:132" hidden="1">
      <c r="A2265">
        <v>2427</v>
      </c>
      <c r="B2265">
        <v>1</v>
      </c>
      <c r="C2265" t="s">
        <v>5677</v>
      </c>
      <c r="D2265" t="s">
        <v>73</v>
      </c>
      <c r="E2265" t="s">
        <v>5678</v>
      </c>
      <c r="F2265" t="s">
        <v>5669</v>
      </c>
      <c r="G2265" t="s">
        <v>73</v>
      </c>
      <c r="H2265">
        <v>73.599999999999994</v>
      </c>
      <c r="I2265">
        <v>284</v>
      </c>
      <c r="J2265">
        <v>32710</v>
      </c>
      <c r="K2265" t="s">
        <v>5679</v>
      </c>
      <c r="L2265">
        <f t="shared" si="142"/>
        <v>145</v>
      </c>
      <c r="N2265">
        <v>145</v>
      </c>
      <c r="O2265">
        <v>0</v>
      </c>
      <c r="P2265">
        <v>0</v>
      </c>
      <c r="Q2265">
        <v>1</v>
      </c>
      <c r="R2265">
        <v>2</v>
      </c>
      <c r="S2265">
        <v>0</v>
      </c>
      <c r="T2265">
        <v>2</v>
      </c>
      <c r="U2265">
        <v>2</v>
      </c>
      <c r="V2265">
        <v>1</v>
      </c>
      <c r="W2265">
        <v>3</v>
      </c>
      <c r="X2265">
        <v>4</v>
      </c>
      <c r="Y2265">
        <v>18</v>
      </c>
      <c r="Z2265">
        <v>8</v>
      </c>
      <c r="AA2265">
        <v>19</v>
      </c>
      <c r="AB2265">
        <v>15</v>
      </c>
      <c r="AC2265">
        <v>8</v>
      </c>
      <c r="AD2265">
        <v>1</v>
      </c>
      <c r="AE2265">
        <v>35</v>
      </c>
      <c r="AF2265">
        <v>16</v>
      </c>
      <c r="AG2265">
        <v>1</v>
      </c>
      <c r="AH2265">
        <v>3</v>
      </c>
      <c r="AI2265">
        <v>6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f t="shared" si="145"/>
        <v>0</v>
      </c>
      <c r="BW2265" s="16">
        <f t="shared" si="143"/>
        <v>0</v>
      </c>
      <c r="BX2265" s="16">
        <f>COUNTIF($BC$6:BU2265, "=0") / COUNTIF($BC$6:BU2265, "&gt;-1")</f>
        <v>0.52904052165812765</v>
      </c>
      <c r="BY2265" s="18">
        <f>SUM($BC$6:BU2265) / $BY$4</f>
        <v>1</v>
      </c>
      <c r="BZ2265" s="14">
        <f t="shared" si="144"/>
        <v>19</v>
      </c>
      <c r="CA2265" t="s">
        <v>5832</v>
      </c>
      <c r="CZ2265" t="s">
        <v>6203</v>
      </c>
      <c r="DA2265" t="s">
        <v>5904</v>
      </c>
      <c r="DB2265">
        <v>523.9</v>
      </c>
      <c r="DC2265" t="s">
        <v>14841</v>
      </c>
      <c r="DD2265" t="s">
        <v>14842</v>
      </c>
      <c r="DE2265" t="s">
        <v>14843</v>
      </c>
      <c r="DF2265" t="s">
        <v>14844</v>
      </c>
      <c r="DG2265" t="s">
        <v>14845</v>
      </c>
      <c r="DH2265" t="str">
        <f>"TPM1"</f>
        <v>TPM1</v>
      </c>
      <c r="DI2265" t="s">
        <v>14846</v>
      </c>
      <c r="DJ2265" t="s">
        <v>13777</v>
      </c>
      <c r="DK2265">
        <v>9606</v>
      </c>
      <c r="DL2265" s="34" t="str">
        <f>HYPERLINK("http://www.uniprot.org/uniprot/P09493", "P09493")</f>
        <v>P09493</v>
      </c>
      <c r="DM2265" t="s">
        <v>14847</v>
      </c>
      <c r="DN2265" t="s">
        <v>13772</v>
      </c>
      <c r="DO2265" t="s">
        <v>13988</v>
      </c>
      <c r="DP2265" t="s">
        <v>13841</v>
      </c>
      <c r="DQ2265" t="s">
        <v>13772</v>
      </c>
      <c r="DR2265" t="s">
        <v>14848</v>
      </c>
      <c r="DS2265" t="s">
        <v>14245</v>
      </c>
      <c r="DT2265" t="s">
        <v>13772</v>
      </c>
      <c r="DU2265" t="s">
        <v>14849</v>
      </c>
      <c r="DV2265" t="s">
        <v>13886</v>
      </c>
      <c r="DW2265" t="s">
        <v>13812</v>
      </c>
      <c r="DX2265" t="s">
        <v>14850</v>
      </c>
      <c r="DY2265" t="s">
        <v>14851</v>
      </c>
      <c r="DZ2265" t="s">
        <v>14852</v>
      </c>
      <c r="EA2265" t="s">
        <v>13772</v>
      </c>
      <c r="EB2265" t="s">
        <v>14853</v>
      </c>
    </row>
    <row r="2266" spans="1:132" hidden="1">
      <c r="A2266">
        <v>1413</v>
      </c>
      <c r="B2266">
        <v>1</v>
      </c>
      <c r="C2266" t="s">
        <v>3369</v>
      </c>
      <c r="D2266" t="s">
        <v>73</v>
      </c>
      <c r="E2266" t="s">
        <v>73</v>
      </c>
      <c r="F2266" t="s">
        <v>2299</v>
      </c>
      <c r="G2266" t="s">
        <v>73</v>
      </c>
      <c r="H2266">
        <v>18.600000000000001</v>
      </c>
      <c r="I2266">
        <v>280</v>
      </c>
      <c r="J2266">
        <v>30211</v>
      </c>
      <c r="K2266" t="s">
        <v>3370</v>
      </c>
      <c r="L2266">
        <f t="shared" si="142"/>
        <v>8</v>
      </c>
      <c r="N2266">
        <v>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2</v>
      </c>
      <c r="AD2266">
        <v>0</v>
      </c>
      <c r="AE2266">
        <v>3</v>
      </c>
      <c r="AF2266">
        <v>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f t="shared" si="145"/>
        <v>0</v>
      </c>
      <c r="BW2266" s="16">
        <f t="shared" si="143"/>
        <v>0</v>
      </c>
      <c r="BX2266" s="16">
        <f>COUNTIF($BC$6:BU2266, "=0") / COUNTIF($BC$6:BU2266, "&gt;-1")</f>
        <v>0.52924881864102979</v>
      </c>
      <c r="BY2266" s="18">
        <f>SUM($BC$6:BU2266) / $BY$4</f>
        <v>1</v>
      </c>
      <c r="BZ2266" s="14">
        <f t="shared" si="144"/>
        <v>19</v>
      </c>
      <c r="CA2266" t="s">
        <v>5832</v>
      </c>
      <c r="CZ2266" t="s">
        <v>8934</v>
      </c>
      <c r="DA2266" t="s">
        <v>5904</v>
      </c>
      <c r="DB2266">
        <v>369</v>
      </c>
      <c r="DC2266" t="s">
        <v>23098</v>
      </c>
      <c r="DD2266" t="s">
        <v>23099</v>
      </c>
      <c r="DE2266" t="s">
        <v>23100</v>
      </c>
      <c r="DF2266" t="s">
        <v>23101</v>
      </c>
      <c r="DG2266" t="s">
        <v>23102</v>
      </c>
      <c r="DH2266" t="str">
        <f>"YBX1"</f>
        <v>YBX1</v>
      </c>
      <c r="DI2266" t="s">
        <v>23103</v>
      </c>
      <c r="DJ2266" t="s">
        <v>13777</v>
      </c>
      <c r="DK2266">
        <v>9606</v>
      </c>
      <c r="DL2266" s="34" t="str">
        <f>HYPERLINK("http://www.uniprot.org/uniprot/P67809", "P67809")</f>
        <v>P67809</v>
      </c>
      <c r="DM2266" t="s">
        <v>23104</v>
      </c>
      <c r="DN2266" t="s">
        <v>23105</v>
      </c>
      <c r="DO2266" t="s">
        <v>14276</v>
      </c>
      <c r="DP2266" t="s">
        <v>13772</v>
      </c>
      <c r="DQ2266" t="s">
        <v>13772</v>
      </c>
      <c r="DR2266" t="s">
        <v>13772</v>
      </c>
      <c r="DS2266" t="s">
        <v>13772</v>
      </c>
      <c r="DT2266" t="s">
        <v>13772</v>
      </c>
      <c r="DU2266" t="s">
        <v>23106</v>
      </c>
      <c r="DV2266" t="s">
        <v>13991</v>
      </c>
      <c r="DW2266" t="s">
        <v>13812</v>
      </c>
      <c r="DX2266" t="s">
        <v>23107</v>
      </c>
      <c r="DY2266" t="s">
        <v>23108</v>
      </c>
      <c r="DZ2266" t="s">
        <v>23109</v>
      </c>
      <c r="EA2266" t="s">
        <v>13772</v>
      </c>
      <c r="EB2266" t="s">
        <v>23110</v>
      </c>
    </row>
    <row r="2267" spans="1:132" hidden="1">
      <c r="A2267">
        <v>1437</v>
      </c>
      <c r="B2267">
        <v>1</v>
      </c>
      <c r="C2267" t="s">
        <v>3422</v>
      </c>
      <c r="D2267" t="s">
        <v>3423</v>
      </c>
      <c r="E2267" t="s">
        <v>73</v>
      </c>
      <c r="F2267" t="s">
        <v>3424</v>
      </c>
      <c r="G2267" t="s">
        <v>73</v>
      </c>
      <c r="H2267">
        <v>30.3</v>
      </c>
      <c r="I2267">
        <v>330</v>
      </c>
      <c r="J2267">
        <v>36736</v>
      </c>
      <c r="K2267" t="s">
        <v>3425</v>
      </c>
      <c r="L2267">
        <f t="shared" si="142"/>
        <v>64</v>
      </c>
      <c r="N2267">
        <v>64</v>
      </c>
      <c r="O2267">
        <v>0</v>
      </c>
      <c r="P2267">
        <v>0</v>
      </c>
      <c r="Q2267">
        <v>0</v>
      </c>
      <c r="R2267">
        <v>5</v>
      </c>
      <c r="S2267">
        <v>0</v>
      </c>
      <c r="T2267">
        <v>1</v>
      </c>
      <c r="U2267">
        <v>2</v>
      </c>
      <c r="V2267">
        <v>1</v>
      </c>
      <c r="W2267">
        <v>0</v>
      </c>
      <c r="X2267">
        <v>2</v>
      </c>
      <c r="Y2267">
        <v>9</v>
      </c>
      <c r="Z2267">
        <v>0</v>
      </c>
      <c r="AA2267">
        <v>16</v>
      </c>
      <c r="AB2267">
        <v>16</v>
      </c>
      <c r="AC2267">
        <v>4</v>
      </c>
      <c r="AD2267">
        <v>1</v>
      </c>
      <c r="AE2267">
        <v>1</v>
      </c>
      <c r="AF2267">
        <v>2</v>
      </c>
      <c r="AG2267">
        <v>2</v>
      </c>
      <c r="AH2267">
        <v>0</v>
      </c>
      <c r="AI2267">
        <v>2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f t="shared" si="145"/>
        <v>0</v>
      </c>
      <c r="BW2267" s="16">
        <f t="shared" si="143"/>
        <v>0</v>
      </c>
      <c r="BX2267" s="16">
        <f>COUNTIF($BC$6:BU2267, "=0") / COUNTIF($BC$6:BU2267, "&gt;-1")</f>
        <v>0.52945693145330164</v>
      </c>
      <c r="BY2267" s="18">
        <f>SUM($BC$6:BU2267) / $BY$4</f>
        <v>1</v>
      </c>
      <c r="BZ2267" s="14">
        <f t="shared" si="144"/>
        <v>19</v>
      </c>
      <c r="CA2267" t="s">
        <v>5832</v>
      </c>
      <c r="CZ2267" t="s">
        <v>10522</v>
      </c>
      <c r="DA2267" t="s">
        <v>5904</v>
      </c>
      <c r="DB2267">
        <v>570.1</v>
      </c>
      <c r="DC2267" t="s">
        <v>27590</v>
      </c>
      <c r="DD2267" t="s">
        <v>13772</v>
      </c>
      <c r="DE2267" t="s">
        <v>27591</v>
      </c>
      <c r="DF2267" t="s">
        <v>27592</v>
      </c>
      <c r="DG2267" t="s">
        <v>27593</v>
      </c>
      <c r="DH2267" t="str">
        <f>"TUBB2B"</f>
        <v>TUBB2B</v>
      </c>
      <c r="DI2267" t="s">
        <v>13772</v>
      </c>
      <c r="DJ2267" t="s">
        <v>13777</v>
      </c>
      <c r="DK2267">
        <v>9606</v>
      </c>
      <c r="DL2267" s="34" t="str">
        <f>HYPERLINK("http://www.uniprot.org/uniprot/Q9BVA1", "Q9BVA1")</f>
        <v>Q9BVA1</v>
      </c>
      <c r="DM2267" t="s">
        <v>27594</v>
      </c>
      <c r="DN2267" t="s">
        <v>20100</v>
      </c>
      <c r="DO2267" t="s">
        <v>20183</v>
      </c>
      <c r="DP2267" t="s">
        <v>13793</v>
      </c>
      <c r="DQ2267" t="s">
        <v>13772</v>
      </c>
      <c r="DR2267" t="s">
        <v>17801</v>
      </c>
      <c r="DS2267" t="s">
        <v>13772</v>
      </c>
      <c r="DT2267" t="s">
        <v>14216</v>
      </c>
      <c r="DU2267" t="s">
        <v>13772</v>
      </c>
      <c r="DV2267" t="s">
        <v>14663</v>
      </c>
      <c r="DW2267" t="s">
        <v>13812</v>
      </c>
      <c r="DX2267" t="s">
        <v>27595</v>
      </c>
      <c r="DY2267" t="s">
        <v>27596</v>
      </c>
      <c r="DZ2267" t="s">
        <v>27597</v>
      </c>
      <c r="EA2267" t="s">
        <v>13772</v>
      </c>
      <c r="EB2267" t="s">
        <v>24735</v>
      </c>
    </row>
    <row r="2268" spans="1:132" hidden="1">
      <c r="A2268" s="12">
        <v>85</v>
      </c>
      <c r="B2268" s="12">
        <v>1</v>
      </c>
      <c r="C2268" s="12" t="s">
        <v>234</v>
      </c>
      <c r="D2268" s="12" t="s">
        <v>235</v>
      </c>
      <c r="E2268" s="12" t="s">
        <v>73</v>
      </c>
      <c r="F2268" s="12" t="s">
        <v>107</v>
      </c>
      <c r="G2268" s="12" t="s">
        <v>5821</v>
      </c>
      <c r="H2268" s="12">
        <v>41.2</v>
      </c>
      <c r="I2268" s="12">
        <v>461</v>
      </c>
      <c r="J2268" s="12">
        <v>49477</v>
      </c>
      <c r="K2268" s="12" t="s">
        <v>236</v>
      </c>
      <c r="L2268" s="12">
        <v>-1</v>
      </c>
      <c r="M2268" s="13"/>
      <c r="N2268" s="12">
        <v>120</v>
      </c>
      <c r="O2268" s="12">
        <v>13</v>
      </c>
      <c r="P2268" s="12">
        <v>0.108</v>
      </c>
      <c r="Q2268" s="12">
        <v>3</v>
      </c>
      <c r="R2268" s="12">
        <v>3</v>
      </c>
      <c r="S2268" s="12">
        <v>5</v>
      </c>
      <c r="T2268" s="12">
        <v>4</v>
      </c>
      <c r="U2268" s="12">
        <v>5</v>
      </c>
      <c r="V2268" s="12">
        <v>3</v>
      </c>
      <c r="W2268" s="12">
        <v>5</v>
      </c>
      <c r="X2268" s="12">
        <v>5</v>
      </c>
      <c r="Y2268" s="12">
        <v>2</v>
      </c>
      <c r="Z2268" s="12">
        <v>1</v>
      </c>
      <c r="AA2268" s="12">
        <v>19</v>
      </c>
      <c r="AB2268" s="12">
        <v>26</v>
      </c>
      <c r="AC2268" s="12">
        <v>3</v>
      </c>
      <c r="AD2268" s="12">
        <v>3</v>
      </c>
      <c r="AE2268" s="12">
        <v>4</v>
      </c>
      <c r="AF2268" s="12">
        <v>4</v>
      </c>
      <c r="AG2268" s="12">
        <v>13</v>
      </c>
      <c r="AH2268" s="12">
        <v>8</v>
      </c>
      <c r="AI2268" s="12">
        <v>4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>
        <v>5</v>
      </c>
      <c r="AU2268" s="12">
        <v>6</v>
      </c>
      <c r="AV2268" s="12">
        <v>0</v>
      </c>
      <c r="AW2268" s="12">
        <v>0</v>
      </c>
      <c r="AX2268" s="12">
        <v>0</v>
      </c>
      <c r="AY2268" s="12">
        <v>0</v>
      </c>
      <c r="AZ2268" s="12">
        <v>2</v>
      </c>
      <c r="BA2268" s="12">
        <v>0</v>
      </c>
      <c r="BB2268" s="12">
        <v>0</v>
      </c>
      <c r="BC2268" s="15">
        <v>0.10299999999999999</v>
      </c>
      <c r="BD2268" s="15">
        <v>7.3999999999999996E-2</v>
      </c>
      <c r="BE2268" s="15">
        <v>7.2999999999999995E-2</v>
      </c>
      <c r="BF2268" s="15">
        <v>6.3E-2</v>
      </c>
      <c r="BG2268" s="15">
        <v>7.2999999999999995E-2</v>
      </c>
      <c r="BH2268" s="15">
        <v>5.6000000000000001E-2</v>
      </c>
      <c r="BI2268" s="15">
        <v>0.183</v>
      </c>
      <c r="BJ2268" s="15">
        <v>0.19700000000000001</v>
      </c>
      <c r="BK2268" s="15">
        <v>4.5999999999999999E-2</v>
      </c>
      <c r="BL2268" s="15">
        <v>0.02</v>
      </c>
      <c r="BM2268" s="15">
        <v>8.5039999999999996</v>
      </c>
      <c r="BN2268" s="15">
        <v>13.643000000000001</v>
      </c>
      <c r="BO2268" s="15">
        <v>0.11</v>
      </c>
      <c r="BP2268" s="15">
        <v>0.11</v>
      </c>
      <c r="BQ2268" s="15">
        <v>0.17299999999999999</v>
      </c>
      <c r="BR2268" s="15">
        <v>8.3000000000000004E-2</v>
      </c>
      <c r="BS2268" s="15">
        <v>4.5119999999999996</v>
      </c>
      <c r="BT2268" s="15">
        <v>0.192</v>
      </c>
      <c r="BU2268" s="15">
        <v>0.09</v>
      </c>
      <c r="BV2268" s="53"/>
      <c r="BW2268" s="16">
        <v>-1</v>
      </c>
      <c r="BZ2268" s="14">
        <f t="shared" si="144"/>
        <v>0</v>
      </c>
      <c r="CA2268" t="s">
        <v>5832</v>
      </c>
      <c r="DC2268" t="s">
        <v>36637</v>
      </c>
      <c r="DD2268" t="s">
        <v>36638</v>
      </c>
      <c r="DE2268" t="s">
        <v>36639</v>
      </c>
      <c r="DF2268" t="s">
        <v>36640</v>
      </c>
      <c r="DG2268" t="s">
        <v>36641</v>
      </c>
      <c r="DH2268" t="str">
        <f>"MT-ATP8"</f>
        <v>MT-ATP8</v>
      </c>
      <c r="DI2268" t="s">
        <v>36642</v>
      </c>
      <c r="DJ2268" t="s">
        <v>13777</v>
      </c>
      <c r="DK2268">
        <v>9606</v>
      </c>
      <c r="DL2268" s="34" t="str">
        <f>HYPERLINK("http://www.uniprot.org/uniprot/P03928", "P03928")</f>
        <v>P03928</v>
      </c>
      <c r="DM2268" t="s">
        <v>36643</v>
      </c>
      <c r="DN2268" t="s">
        <v>17568</v>
      </c>
      <c r="DO2268" t="s">
        <v>36644</v>
      </c>
      <c r="DP2268" t="s">
        <v>13793</v>
      </c>
      <c r="DQ2268" t="s">
        <v>13772</v>
      </c>
      <c r="DR2268" t="s">
        <v>36645</v>
      </c>
      <c r="DS2268" t="s">
        <v>13925</v>
      </c>
      <c r="DT2268" t="s">
        <v>13772</v>
      </c>
      <c r="DU2268" t="s">
        <v>13772</v>
      </c>
      <c r="DV2268" t="s">
        <v>14020</v>
      </c>
      <c r="DW2268" t="s">
        <v>13772</v>
      </c>
      <c r="DX2268" t="s">
        <v>36646</v>
      </c>
      <c r="DY2268" t="s">
        <v>36647</v>
      </c>
      <c r="DZ2268" t="s">
        <v>19897</v>
      </c>
      <c r="EA2268" t="s">
        <v>13772</v>
      </c>
      <c r="EB2268" t="s">
        <v>19898</v>
      </c>
    </row>
    <row r="2269" spans="1:132" hidden="1">
      <c r="A2269" s="12">
        <v>86</v>
      </c>
      <c r="B2269" s="12">
        <v>1</v>
      </c>
      <c r="C2269" s="12" t="s">
        <v>237</v>
      </c>
      <c r="D2269" s="12" t="s">
        <v>73</v>
      </c>
      <c r="E2269" s="12" t="s">
        <v>73</v>
      </c>
      <c r="F2269" s="12" t="s">
        <v>107</v>
      </c>
      <c r="G2269" s="12" t="s">
        <v>5821</v>
      </c>
      <c r="H2269" s="12">
        <v>85.6</v>
      </c>
      <c r="I2269" s="12">
        <v>403</v>
      </c>
      <c r="J2269" s="12">
        <v>44131</v>
      </c>
      <c r="K2269" s="12" t="s">
        <v>238</v>
      </c>
      <c r="L2269" s="12">
        <v>-1</v>
      </c>
      <c r="M2269" s="13"/>
      <c r="N2269" s="12">
        <v>469</v>
      </c>
      <c r="O2269" s="12">
        <v>282</v>
      </c>
      <c r="P2269" s="12">
        <v>0.60099999999999998</v>
      </c>
      <c r="Q2269" s="12">
        <v>4</v>
      </c>
      <c r="R2269" s="12">
        <v>13</v>
      </c>
      <c r="S2269" s="12">
        <v>11</v>
      </c>
      <c r="T2269" s="12">
        <v>5</v>
      </c>
      <c r="U2269" s="12">
        <v>11</v>
      </c>
      <c r="V2269" s="12">
        <v>4</v>
      </c>
      <c r="W2269" s="12">
        <v>5</v>
      </c>
      <c r="X2269" s="12">
        <v>10</v>
      </c>
      <c r="Y2269" s="12">
        <v>40</v>
      </c>
      <c r="Z2269" s="12">
        <v>12</v>
      </c>
      <c r="AA2269" s="12">
        <v>64</v>
      </c>
      <c r="AB2269" s="12">
        <v>88</v>
      </c>
      <c r="AC2269" s="12">
        <v>58</v>
      </c>
      <c r="AD2269" s="12">
        <v>20</v>
      </c>
      <c r="AE2269" s="12">
        <v>26</v>
      </c>
      <c r="AF2269" s="12">
        <v>33</v>
      </c>
      <c r="AG2269" s="12">
        <v>18</v>
      </c>
      <c r="AH2269" s="12">
        <v>32</v>
      </c>
      <c r="AI2269" s="12">
        <v>15</v>
      </c>
      <c r="AJ2269" s="12">
        <v>0</v>
      </c>
      <c r="AK2269" s="12">
        <v>7</v>
      </c>
      <c r="AL2269" s="12">
        <v>5</v>
      </c>
      <c r="AM2269" s="12">
        <v>0</v>
      </c>
      <c r="AN2269" s="12">
        <v>3</v>
      </c>
      <c r="AO2269" s="12">
        <v>0</v>
      </c>
      <c r="AP2269" s="12">
        <v>1</v>
      </c>
      <c r="AQ2269" s="12">
        <v>3</v>
      </c>
      <c r="AR2269" s="12">
        <v>31</v>
      </c>
      <c r="AS2269" s="12">
        <v>6</v>
      </c>
      <c r="AT2269" s="12">
        <v>42</v>
      </c>
      <c r="AU2269" s="12">
        <v>65</v>
      </c>
      <c r="AV2269" s="12">
        <v>38</v>
      </c>
      <c r="AW2269" s="12">
        <v>10</v>
      </c>
      <c r="AX2269" s="12">
        <v>19</v>
      </c>
      <c r="AY2269" s="12">
        <v>18</v>
      </c>
      <c r="AZ2269" s="12">
        <v>8</v>
      </c>
      <c r="BA2269" s="12">
        <v>20</v>
      </c>
      <c r="BB2269" s="12">
        <v>6</v>
      </c>
      <c r="BC2269" s="15">
        <v>2.4740000000000002</v>
      </c>
      <c r="BD2269" s="15">
        <v>11.276</v>
      </c>
      <c r="BE2269" s="15">
        <v>7.2489999999999997</v>
      </c>
      <c r="BF2269" s="15">
        <v>2.0369999999999999</v>
      </c>
      <c r="BG2269" s="15">
        <v>6.6740000000000004</v>
      </c>
      <c r="BH2269" s="15">
        <v>1.8879999999999999</v>
      </c>
      <c r="BI2269" s="15">
        <v>3.153</v>
      </c>
      <c r="BJ2269" s="15">
        <v>7.5979999999999999</v>
      </c>
      <c r="BK2269" s="15">
        <v>38.725999999999999</v>
      </c>
      <c r="BL2269" s="15">
        <v>10.76</v>
      </c>
      <c r="BM2269" s="15">
        <v>61.05</v>
      </c>
      <c r="BN2269" s="15">
        <v>83.221000000000004</v>
      </c>
      <c r="BO2269" s="15">
        <v>55.570999999999998</v>
      </c>
      <c r="BP2269" s="15">
        <v>17.896999999999998</v>
      </c>
      <c r="BQ2269" s="15">
        <v>24.553999999999998</v>
      </c>
      <c r="BR2269" s="15">
        <v>29.707999999999998</v>
      </c>
      <c r="BS2269" s="15">
        <v>15.816000000000001</v>
      </c>
      <c r="BT2269" s="15">
        <v>27.067</v>
      </c>
      <c r="BU2269" s="15">
        <v>12.177</v>
      </c>
      <c r="BV2269" s="53"/>
      <c r="BW2269" s="16">
        <v>-1</v>
      </c>
      <c r="BZ2269" s="14">
        <f t="shared" si="144"/>
        <v>0</v>
      </c>
      <c r="CA2269" t="s">
        <v>5832</v>
      </c>
      <c r="DL2269" s="34"/>
    </row>
    <row r="2270" spans="1:132" hidden="1">
      <c r="A2270" s="12">
        <v>96</v>
      </c>
      <c r="B2270" s="12">
        <v>1</v>
      </c>
      <c r="C2270" s="12" t="s">
        <v>262</v>
      </c>
      <c r="D2270" s="12" t="s">
        <v>73</v>
      </c>
      <c r="E2270" s="12" t="s">
        <v>73</v>
      </c>
      <c r="F2270" s="12" t="s">
        <v>107</v>
      </c>
      <c r="G2270" s="12" t="s">
        <v>5821</v>
      </c>
      <c r="H2270" s="12">
        <v>52.7</v>
      </c>
      <c r="I2270" s="12">
        <v>476</v>
      </c>
      <c r="J2270" s="12">
        <v>51502</v>
      </c>
      <c r="K2270" s="12" t="s">
        <v>263</v>
      </c>
      <c r="L2270" s="12">
        <v>-1</v>
      </c>
      <c r="M2270" s="13"/>
      <c r="N2270" s="12">
        <v>275</v>
      </c>
      <c r="O2270" s="12">
        <v>14</v>
      </c>
      <c r="P2270" s="12">
        <v>5.0999999999999997E-2</v>
      </c>
      <c r="Q2270" s="12">
        <v>11</v>
      </c>
      <c r="R2270" s="12">
        <v>5</v>
      </c>
      <c r="S2270" s="12">
        <v>10</v>
      </c>
      <c r="T2270" s="12">
        <v>7</v>
      </c>
      <c r="U2270" s="12">
        <v>9</v>
      </c>
      <c r="V2270" s="12">
        <v>7</v>
      </c>
      <c r="W2270" s="12">
        <v>12</v>
      </c>
      <c r="X2270" s="12">
        <v>19</v>
      </c>
      <c r="Y2270" s="12">
        <v>8</v>
      </c>
      <c r="Z2270" s="12">
        <v>5</v>
      </c>
      <c r="AA2270" s="12">
        <v>32</v>
      </c>
      <c r="AB2270" s="12">
        <v>29</v>
      </c>
      <c r="AC2270" s="12">
        <v>17</v>
      </c>
      <c r="AD2270" s="12">
        <v>13</v>
      </c>
      <c r="AE2270" s="12">
        <v>10</v>
      </c>
      <c r="AF2270" s="12">
        <v>12</v>
      </c>
      <c r="AG2270" s="12">
        <v>35</v>
      </c>
      <c r="AH2270" s="12">
        <v>17</v>
      </c>
      <c r="AI2270" s="12">
        <v>17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0</v>
      </c>
      <c r="AQ2270" s="12">
        <v>0</v>
      </c>
      <c r="AR2270" s="12">
        <v>0</v>
      </c>
      <c r="AS2270" s="12">
        <v>0</v>
      </c>
      <c r="AT2270" s="12">
        <v>0</v>
      </c>
      <c r="AU2270" s="12">
        <v>7</v>
      </c>
      <c r="AV2270" s="12">
        <v>0</v>
      </c>
      <c r="AW2270" s="12">
        <v>0</v>
      </c>
      <c r="AX2270" s="12">
        <v>0</v>
      </c>
      <c r="AY2270" s="12">
        <v>0</v>
      </c>
      <c r="AZ2270" s="12">
        <v>7</v>
      </c>
      <c r="BA2270" s="12">
        <v>0</v>
      </c>
      <c r="BB2270" s="12">
        <v>0</v>
      </c>
      <c r="BC2270" s="15">
        <v>2.214</v>
      </c>
      <c r="BD2270" s="15">
        <v>0.20499999999999999</v>
      </c>
      <c r="BE2270" s="15">
        <v>0.52</v>
      </c>
      <c r="BF2270" s="15">
        <v>0.23400000000000001</v>
      </c>
      <c r="BG2270" s="15">
        <v>0.44</v>
      </c>
      <c r="BH2270" s="15">
        <v>0.35699999999999998</v>
      </c>
      <c r="BI2270" s="15">
        <v>0.73299999999999998</v>
      </c>
      <c r="BJ2270" s="15">
        <v>1.579</v>
      </c>
      <c r="BK2270" s="15">
        <v>0.5</v>
      </c>
      <c r="BL2270" s="15">
        <v>0.254</v>
      </c>
      <c r="BM2270" s="15">
        <v>3.746</v>
      </c>
      <c r="BN2270" s="15">
        <v>10.984999999999999</v>
      </c>
      <c r="BO2270" s="15">
        <v>1.8149999999999999</v>
      </c>
      <c r="BP2270" s="15">
        <v>0.93</v>
      </c>
      <c r="BQ2270" s="15">
        <v>0.64300000000000002</v>
      </c>
      <c r="BR2270" s="15">
        <v>0.74199999999999999</v>
      </c>
      <c r="BS2270" s="15">
        <v>10.64</v>
      </c>
      <c r="BT2270" s="15">
        <v>0.94499999999999995</v>
      </c>
      <c r="BU2270" s="15">
        <v>1.2869999999999999</v>
      </c>
      <c r="BV2270" s="53"/>
      <c r="BW2270" s="16">
        <v>-1</v>
      </c>
      <c r="BZ2270" s="14">
        <f t="shared" si="144"/>
        <v>0</v>
      </c>
      <c r="CA2270" t="s">
        <v>5832</v>
      </c>
    </row>
    <row r="2271" spans="1:132" hidden="1">
      <c r="A2271" s="12">
        <v>97</v>
      </c>
      <c r="B2271" s="12">
        <v>1</v>
      </c>
      <c r="C2271" s="12" t="s">
        <v>264</v>
      </c>
      <c r="D2271" s="12" t="s">
        <v>73</v>
      </c>
      <c r="E2271" s="12" t="s">
        <v>73</v>
      </c>
      <c r="F2271" s="12" t="s">
        <v>84</v>
      </c>
      <c r="G2271" s="12" t="s">
        <v>5821</v>
      </c>
      <c r="H2271" s="12">
        <v>58.6</v>
      </c>
      <c r="I2271" s="12">
        <v>474</v>
      </c>
      <c r="J2271" s="12">
        <v>51694</v>
      </c>
      <c r="K2271" s="12" t="s">
        <v>265</v>
      </c>
      <c r="L2271" s="12">
        <v>-1</v>
      </c>
      <c r="M2271" s="13"/>
      <c r="N2271" s="12">
        <v>329</v>
      </c>
      <c r="O2271" s="12">
        <v>3</v>
      </c>
      <c r="P2271" s="12">
        <v>8.9999999999999993E-3</v>
      </c>
      <c r="Q2271" s="12">
        <v>16</v>
      </c>
      <c r="R2271" s="12">
        <v>2</v>
      </c>
      <c r="S2271" s="12">
        <v>12</v>
      </c>
      <c r="T2271" s="12">
        <v>4</v>
      </c>
      <c r="U2271" s="12">
        <v>9</v>
      </c>
      <c r="V2271" s="12">
        <v>5</v>
      </c>
      <c r="W2271" s="12">
        <v>15</v>
      </c>
      <c r="X2271" s="12">
        <v>40</v>
      </c>
      <c r="Y2271" s="12">
        <v>8</v>
      </c>
      <c r="Z2271" s="12">
        <v>4</v>
      </c>
      <c r="AA2271" s="12">
        <v>32</v>
      </c>
      <c r="AB2271" s="12">
        <v>31</v>
      </c>
      <c r="AC2271" s="12">
        <v>10</v>
      </c>
      <c r="AD2271" s="12">
        <v>17</v>
      </c>
      <c r="AE2271" s="12">
        <v>15</v>
      </c>
      <c r="AF2271" s="12">
        <v>16</v>
      </c>
      <c r="AG2271" s="12">
        <v>38</v>
      </c>
      <c r="AH2271" s="12">
        <v>31</v>
      </c>
      <c r="AI2271" s="12">
        <v>24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0</v>
      </c>
      <c r="AT2271" s="12">
        <v>2</v>
      </c>
      <c r="AU2271" s="12">
        <v>0</v>
      </c>
      <c r="AV2271" s="12">
        <v>0</v>
      </c>
      <c r="AW2271" s="12">
        <v>0</v>
      </c>
      <c r="AX2271" s="12">
        <v>0</v>
      </c>
      <c r="AY2271" s="12">
        <v>0</v>
      </c>
      <c r="AZ2271" s="12">
        <v>1</v>
      </c>
      <c r="BA2271" s="12">
        <v>0</v>
      </c>
      <c r="BB2271" s="12">
        <v>0</v>
      </c>
      <c r="BC2271" s="15">
        <v>0.93400000000000005</v>
      </c>
      <c r="BD2271" s="15">
        <v>8.0000000000000002E-3</v>
      </c>
      <c r="BE2271" s="15">
        <v>0.29599999999999999</v>
      </c>
      <c r="BF2271" s="15">
        <v>1.4999999999999999E-2</v>
      </c>
      <c r="BG2271" s="15">
        <v>0.29199999999999998</v>
      </c>
      <c r="BH2271" s="15">
        <v>0.111</v>
      </c>
      <c r="BI2271" s="15">
        <v>0.876</v>
      </c>
      <c r="BJ2271" s="15">
        <v>2.8069999999999999</v>
      </c>
      <c r="BK2271" s="15">
        <v>0.58199999999999996</v>
      </c>
      <c r="BL2271" s="15">
        <v>0.28299999999999997</v>
      </c>
      <c r="BM2271" s="15">
        <v>4.2880000000000003</v>
      </c>
      <c r="BN2271" s="15">
        <v>3.472</v>
      </c>
      <c r="BO2271" s="15">
        <v>0.53900000000000003</v>
      </c>
      <c r="BP2271" s="15">
        <v>0.79500000000000004</v>
      </c>
      <c r="BQ2271" s="15">
        <v>1.198</v>
      </c>
      <c r="BR2271" s="15">
        <v>1.6459999999999999</v>
      </c>
      <c r="BS2271" s="15">
        <v>6.657</v>
      </c>
      <c r="BT2271" s="15">
        <v>1.6339999999999999</v>
      </c>
      <c r="BU2271" s="15">
        <v>1.048</v>
      </c>
      <c r="BV2271" s="53"/>
      <c r="BW2271" s="16">
        <v>-1</v>
      </c>
      <c r="BZ2271" s="14">
        <f t="shared" si="144"/>
        <v>0</v>
      </c>
      <c r="CA2271" t="s">
        <v>5832</v>
      </c>
    </row>
    <row r="2272" spans="1:132" hidden="1">
      <c r="A2272" s="12">
        <v>1040</v>
      </c>
      <c r="B2272" s="12">
        <v>1</v>
      </c>
      <c r="C2272" s="12" t="s">
        <v>2516</v>
      </c>
      <c r="D2272" s="12" t="s">
        <v>2517</v>
      </c>
      <c r="E2272" s="12" t="s">
        <v>73</v>
      </c>
      <c r="F2272" s="12" t="s">
        <v>87</v>
      </c>
      <c r="G2272" s="12" t="s">
        <v>5821</v>
      </c>
      <c r="H2272" s="12">
        <v>42</v>
      </c>
      <c r="I2272" s="12">
        <v>685</v>
      </c>
      <c r="J2272" s="12">
        <v>68771</v>
      </c>
      <c r="K2272" s="12" t="s">
        <v>2518</v>
      </c>
      <c r="L2272" s="12">
        <v>-1</v>
      </c>
      <c r="M2272" s="13"/>
      <c r="N2272" s="12">
        <v>342</v>
      </c>
      <c r="O2272" s="12">
        <v>54</v>
      </c>
      <c r="P2272" s="12">
        <v>0.158</v>
      </c>
      <c r="Q2272" s="12">
        <v>12</v>
      </c>
      <c r="R2272" s="12">
        <v>9</v>
      </c>
      <c r="S2272" s="12">
        <v>17</v>
      </c>
      <c r="T2272" s="12">
        <v>8</v>
      </c>
      <c r="U2272" s="12">
        <v>9</v>
      </c>
      <c r="V2272" s="12">
        <v>8</v>
      </c>
      <c r="W2272" s="12">
        <v>11</v>
      </c>
      <c r="X2272" s="12">
        <v>29</v>
      </c>
      <c r="Y2272" s="12">
        <v>13</v>
      </c>
      <c r="Z2272" s="12">
        <v>8</v>
      </c>
      <c r="AA2272" s="12">
        <v>18</v>
      </c>
      <c r="AB2272" s="12">
        <v>19</v>
      </c>
      <c r="AC2272" s="12">
        <v>14</v>
      </c>
      <c r="AD2272" s="12">
        <v>17</v>
      </c>
      <c r="AE2272" s="12">
        <v>18</v>
      </c>
      <c r="AF2272" s="12">
        <v>21</v>
      </c>
      <c r="AG2272" s="12">
        <v>64</v>
      </c>
      <c r="AH2272" s="12">
        <v>23</v>
      </c>
      <c r="AI2272" s="12">
        <v>24</v>
      </c>
      <c r="AJ2272" s="12">
        <v>1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7</v>
      </c>
      <c r="AR2272" s="12">
        <v>2</v>
      </c>
      <c r="AS2272" s="12">
        <v>0</v>
      </c>
      <c r="AT2272" s="12">
        <v>2</v>
      </c>
      <c r="AU2272" s="12">
        <v>1</v>
      </c>
      <c r="AV2272" s="12">
        <v>0</v>
      </c>
      <c r="AW2272" s="12">
        <v>0</v>
      </c>
      <c r="AX2272" s="12">
        <v>1</v>
      </c>
      <c r="AY2272" s="12">
        <v>0</v>
      </c>
      <c r="AZ2272" s="12">
        <v>40</v>
      </c>
      <c r="BA2272" s="12">
        <v>0</v>
      </c>
      <c r="BB2272" s="12">
        <v>0</v>
      </c>
      <c r="BC2272" s="15">
        <v>1.7669999999999999</v>
      </c>
      <c r="BD2272" s="15">
        <v>0.58399999999999996</v>
      </c>
      <c r="BE2272" s="15">
        <v>1.143</v>
      </c>
      <c r="BF2272" s="15">
        <v>0.502</v>
      </c>
      <c r="BG2272" s="15">
        <v>0.54100000000000004</v>
      </c>
      <c r="BH2272" s="15">
        <v>0.65600000000000003</v>
      </c>
      <c r="BI2272" s="15">
        <v>0.80900000000000005</v>
      </c>
      <c r="BJ2272" s="15">
        <v>8.3770000000000007</v>
      </c>
      <c r="BK2272" s="15">
        <v>2.7240000000000002</v>
      </c>
      <c r="BL2272" s="15">
        <v>0.50700000000000001</v>
      </c>
      <c r="BM2272" s="15">
        <v>3.12</v>
      </c>
      <c r="BN2272" s="15">
        <v>2.2730000000000001</v>
      </c>
      <c r="BO2272" s="15">
        <v>1.026</v>
      </c>
      <c r="BP2272" s="15">
        <v>1.1819999999999999</v>
      </c>
      <c r="BQ2272" s="15">
        <v>2.1579999999999999</v>
      </c>
      <c r="BR2272" s="15">
        <v>1.419</v>
      </c>
      <c r="BS2272" s="15">
        <v>42.765999999999998</v>
      </c>
      <c r="BT2272" s="15">
        <v>1.512</v>
      </c>
      <c r="BU2272" s="15">
        <v>1.56</v>
      </c>
      <c r="BV2272" s="53"/>
      <c r="BW2272" s="16">
        <v>-1</v>
      </c>
      <c r="BZ2272" s="14">
        <f t="shared" si="144"/>
        <v>0</v>
      </c>
      <c r="CA2272" t="s">
        <v>5832</v>
      </c>
    </row>
    <row r="2273" spans="1:79" hidden="1">
      <c r="A2273" s="12">
        <v>1041</v>
      </c>
      <c r="B2273" s="12">
        <v>1</v>
      </c>
      <c r="C2273" s="12" t="s">
        <v>2519</v>
      </c>
      <c r="D2273" s="12" t="s">
        <v>2520</v>
      </c>
      <c r="E2273" s="12" t="s">
        <v>73</v>
      </c>
      <c r="F2273" s="12" t="s">
        <v>87</v>
      </c>
      <c r="G2273" s="12" t="s">
        <v>5821</v>
      </c>
      <c r="H2273" s="12">
        <v>60.1</v>
      </c>
      <c r="I2273" s="12">
        <v>642</v>
      </c>
      <c r="J2273" s="12">
        <v>65687</v>
      </c>
      <c r="K2273" s="12" t="s">
        <v>2521</v>
      </c>
      <c r="L2273" s="12">
        <v>-1</v>
      </c>
      <c r="M2273" s="13"/>
      <c r="N2273" s="12">
        <v>566</v>
      </c>
      <c r="O2273" s="12">
        <v>47</v>
      </c>
      <c r="P2273" s="12">
        <v>8.3000000000000004E-2</v>
      </c>
      <c r="Q2273" s="12">
        <v>20</v>
      </c>
      <c r="R2273" s="12">
        <v>17</v>
      </c>
      <c r="S2273" s="12">
        <v>19</v>
      </c>
      <c r="T2273" s="12">
        <v>15</v>
      </c>
      <c r="U2273" s="12">
        <v>17</v>
      </c>
      <c r="V2273" s="12">
        <v>14</v>
      </c>
      <c r="W2273" s="12">
        <v>23</v>
      </c>
      <c r="X2273" s="12">
        <v>36</v>
      </c>
      <c r="Y2273" s="12">
        <v>24</v>
      </c>
      <c r="Z2273" s="12">
        <v>22</v>
      </c>
      <c r="AA2273" s="12">
        <v>30</v>
      </c>
      <c r="AB2273" s="12">
        <v>31</v>
      </c>
      <c r="AC2273" s="12">
        <v>20</v>
      </c>
      <c r="AD2273" s="12">
        <v>30</v>
      </c>
      <c r="AE2273" s="12">
        <v>35</v>
      </c>
      <c r="AF2273" s="12">
        <v>35</v>
      </c>
      <c r="AG2273" s="12">
        <v>103</v>
      </c>
      <c r="AH2273" s="12">
        <v>32</v>
      </c>
      <c r="AI2273" s="12">
        <v>43</v>
      </c>
      <c r="AJ2273" s="12">
        <v>0</v>
      </c>
      <c r="AK2273" s="12">
        <v>1</v>
      </c>
      <c r="AL2273" s="12">
        <v>1</v>
      </c>
      <c r="AM2273" s="12">
        <v>1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1</v>
      </c>
      <c r="AV2273" s="12">
        <v>0</v>
      </c>
      <c r="AW2273" s="12">
        <v>0</v>
      </c>
      <c r="AX2273" s="12">
        <v>0</v>
      </c>
      <c r="AY2273" s="12">
        <v>0</v>
      </c>
      <c r="AZ2273" s="12">
        <v>43</v>
      </c>
      <c r="BA2273" s="12">
        <v>0</v>
      </c>
      <c r="BB2273" s="12">
        <v>0</v>
      </c>
      <c r="BC2273" s="15">
        <v>1.383</v>
      </c>
      <c r="BD2273" s="15">
        <v>2.1080000000000001</v>
      </c>
      <c r="BE2273" s="15">
        <v>2.1800000000000002</v>
      </c>
      <c r="BF2273" s="15">
        <v>1.952</v>
      </c>
      <c r="BG2273" s="15">
        <v>1.1930000000000001</v>
      </c>
      <c r="BH2273" s="15">
        <v>1.087</v>
      </c>
      <c r="BI2273" s="15">
        <v>1.9630000000000001</v>
      </c>
      <c r="BJ2273" s="15">
        <v>2.605</v>
      </c>
      <c r="BK2273" s="15">
        <v>1.7849999999999999</v>
      </c>
      <c r="BL2273" s="15">
        <v>1.577</v>
      </c>
      <c r="BM2273" s="15">
        <v>2.7530000000000001</v>
      </c>
      <c r="BN2273" s="15">
        <v>3.4009999999999998</v>
      </c>
      <c r="BO2273" s="15">
        <v>1.474</v>
      </c>
      <c r="BP2273" s="15">
        <v>2.12</v>
      </c>
      <c r="BQ2273" s="15">
        <v>2.4670000000000001</v>
      </c>
      <c r="BR2273" s="15">
        <v>2.383</v>
      </c>
      <c r="BS2273" s="15">
        <v>53.412999999999997</v>
      </c>
      <c r="BT2273" s="15">
        <v>2.3719999999999999</v>
      </c>
      <c r="BU2273" s="15">
        <v>2.92</v>
      </c>
      <c r="BV2273" s="53"/>
      <c r="BW2273" s="16">
        <v>-1</v>
      </c>
      <c r="BZ2273" s="14">
        <f t="shared" si="144"/>
        <v>0</v>
      </c>
      <c r="CA2273" t="s">
        <v>5832</v>
      </c>
    </row>
    <row r="2274" spans="1:79" hidden="1">
      <c r="A2274" s="12">
        <v>1042</v>
      </c>
      <c r="B2274" s="12">
        <v>1</v>
      </c>
      <c r="C2274" s="12" t="s">
        <v>2522</v>
      </c>
      <c r="D2274" s="12" t="s">
        <v>73</v>
      </c>
      <c r="E2274" s="12" t="s">
        <v>73</v>
      </c>
      <c r="F2274" s="12" t="s">
        <v>2523</v>
      </c>
      <c r="G2274" s="12" t="s">
        <v>5821</v>
      </c>
      <c r="H2274" s="12">
        <v>10</v>
      </c>
      <c r="I2274" s="12">
        <v>600</v>
      </c>
      <c r="J2274" s="12">
        <v>63566</v>
      </c>
      <c r="K2274" s="12" t="s">
        <v>2524</v>
      </c>
      <c r="L2274" s="12">
        <v>-1</v>
      </c>
      <c r="M2274" s="13"/>
      <c r="N2274" s="12">
        <v>115</v>
      </c>
      <c r="O2274" s="12">
        <v>3</v>
      </c>
      <c r="P2274" s="12">
        <v>2.5999999999999999E-2</v>
      </c>
      <c r="Q2274" s="12">
        <v>4</v>
      </c>
      <c r="R2274" s="12">
        <v>2</v>
      </c>
      <c r="S2274" s="12">
        <v>4</v>
      </c>
      <c r="T2274" s="12">
        <v>3</v>
      </c>
      <c r="U2274" s="12">
        <v>3</v>
      </c>
      <c r="V2274" s="12">
        <v>0</v>
      </c>
      <c r="W2274" s="12">
        <v>3</v>
      </c>
      <c r="X2274" s="12">
        <v>13</v>
      </c>
      <c r="Y2274" s="12">
        <v>5</v>
      </c>
      <c r="Z2274" s="12">
        <v>4</v>
      </c>
      <c r="AA2274" s="12">
        <v>5</v>
      </c>
      <c r="AB2274" s="12">
        <v>8</v>
      </c>
      <c r="AC2274" s="12">
        <v>4</v>
      </c>
      <c r="AD2274" s="12">
        <v>6</v>
      </c>
      <c r="AE2274" s="12">
        <v>7</v>
      </c>
      <c r="AF2274" s="12">
        <v>9</v>
      </c>
      <c r="AG2274" s="12">
        <v>9</v>
      </c>
      <c r="AH2274" s="12">
        <v>14</v>
      </c>
      <c r="AI2274" s="12">
        <v>12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>
        <v>0</v>
      </c>
      <c r="AR2274" s="12">
        <v>0</v>
      </c>
      <c r="AS2274" s="12">
        <v>0</v>
      </c>
      <c r="AT2274" s="12">
        <v>0</v>
      </c>
      <c r="AU2274" s="12">
        <v>0</v>
      </c>
      <c r="AV2274" s="12">
        <v>0</v>
      </c>
      <c r="AW2274" s="12">
        <v>0</v>
      </c>
      <c r="AX2274" s="12">
        <v>0</v>
      </c>
      <c r="AY2274" s="12">
        <v>0</v>
      </c>
      <c r="AZ2274" s="12">
        <v>0</v>
      </c>
      <c r="BA2274" s="12">
        <v>2</v>
      </c>
      <c r="BB2274" s="12">
        <v>1</v>
      </c>
      <c r="BC2274" s="15">
        <v>8.9999999999999993E-3</v>
      </c>
      <c r="BD2274" s="15">
        <v>4.0000000000000001E-3</v>
      </c>
      <c r="BE2274" s="15">
        <v>8.9999999999999993E-3</v>
      </c>
      <c r="BF2274" s="15">
        <v>7.0000000000000001E-3</v>
      </c>
      <c r="BG2274" s="15">
        <v>7.0000000000000001E-3</v>
      </c>
      <c r="BH2274" s="15">
        <v>0</v>
      </c>
      <c r="BI2274" s="15">
        <v>7.0000000000000001E-3</v>
      </c>
      <c r="BJ2274" s="15">
        <v>0.14399999999999999</v>
      </c>
      <c r="BK2274" s="15">
        <v>1.0999999999999999E-2</v>
      </c>
      <c r="BL2274" s="15">
        <v>8.9999999999999993E-3</v>
      </c>
      <c r="BM2274" s="15">
        <v>1.0999999999999999E-2</v>
      </c>
      <c r="BN2274" s="15">
        <v>0.24399999999999999</v>
      </c>
      <c r="BO2274" s="15">
        <v>8.9999999999999993E-3</v>
      </c>
      <c r="BP2274" s="15">
        <v>1.4E-2</v>
      </c>
      <c r="BQ2274" s="15">
        <v>1.6E-2</v>
      </c>
      <c r="BR2274" s="15">
        <v>2.1000000000000001E-2</v>
      </c>
      <c r="BS2274" s="15">
        <v>0.13400000000000001</v>
      </c>
      <c r="BT2274" s="15">
        <v>2.1429999999999998</v>
      </c>
      <c r="BU2274" s="15">
        <v>1.0249999999999999</v>
      </c>
      <c r="BV2274" s="53"/>
      <c r="BW2274" s="16">
        <v>-1</v>
      </c>
      <c r="BZ2274" s="14">
        <f t="shared" si="144"/>
        <v>1</v>
      </c>
      <c r="CA2274" t="s">
        <v>5832</v>
      </c>
    </row>
    <row r="2275" spans="1:79" hidden="1">
      <c r="A2275" s="12">
        <v>1044</v>
      </c>
      <c r="B2275" s="12">
        <v>1</v>
      </c>
      <c r="C2275" s="12" t="s">
        <v>2525</v>
      </c>
      <c r="D2275" s="12" t="s">
        <v>73</v>
      </c>
      <c r="E2275" s="12" t="s">
        <v>73</v>
      </c>
      <c r="F2275" s="12" t="s">
        <v>87</v>
      </c>
      <c r="G2275" s="12" t="s">
        <v>5821</v>
      </c>
      <c r="H2275" s="12">
        <v>61.1</v>
      </c>
      <c r="I2275" s="12">
        <v>560</v>
      </c>
      <c r="J2275" s="12">
        <v>59853</v>
      </c>
      <c r="K2275" s="12" t="s">
        <v>2526</v>
      </c>
      <c r="L2275" s="12">
        <v>-1</v>
      </c>
      <c r="M2275" s="13"/>
      <c r="N2275" s="12">
        <v>251</v>
      </c>
      <c r="O2275" s="12">
        <v>45</v>
      </c>
      <c r="P2275" s="12">
        <v>0.17899999999999999</v>
      </c>
      <c r="Q2275" s="12">
        <v>4</v>
      </c>
      <c r="R2275" s="12">
        <v>6</v>
      </c>
      <c r="S2275" s="12">
        <v>12</v>
      </c>
      <c r="T2275" s="12">
        <v>8</v>
      </c>
      <c r="U2275" s="12">
        <v>9</v>
      </c>
      <c r="V2275" s="12">
        <v>9</v>
      </c>
      <c r="W2275" s="12">
        <v>11</v>
      </c>
      <c r="X2275" s="12">
        <v>14</v>
      </c>
      <c r="Y2275" s="12">
        <v>7</v>
      </c>
      <c r="Z2275" s="12">
        <v>3</v>
      </c>
      <c r="AA2275" s="12">
        <v>24</v>
      </c>
      <c r="AB2275" s="12">
        <v>38</v>
      </c>
      <c r="AC2275" s="12">
        <v>6</v>
      </c>
      <c r="AD2275" s="12">
        <v>5</v>
      </c>
      <c r="AE2275" s="12">
        <v>7</v>
      </c>
      <c r="AF2275" s="12">
        <v>13</v>
      </c>
      <c r="AG2275" s="12">
        <v>47</v>
      </c>
      <c r="AH2275" s="12">
        <v>16</v>
      </c>
      <c r="AI2275" s="12">
        <v>12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7</v>
      </c>
      <c r="AU2275" s="12">
        <v>17</v>
      </c>
      <c r="AV2275" s="12">
        <v>0</v>
      </c>
      <c r="AW2275" s="12">
        <v>0</v>
      </c>
      <c r="AX2275" s="12">
        <v>0</v>
      </c>
      <c r="AY2275" s="12">
        <v>1</v>
      </c>
      <c r="AZ2275" s="12">
        <v>20</v>
      </c>
      <c r="BA2275" s="12">
        <v>0</v>
      </c>
      <c r="BB2275" s="12">
        <v>0</v>
      </c>
      <c r="BC2275" s="15">
        <v>1.732</v>
      </c>
      <c r="BD2275" s="15">
        <v>0.34599999999999997</v>
      </c>
      <c r="BE2275" s="15">
        <v>0.92800000000000005</v>
      </c>
      <c r="BF2275" s="15">
        <v>0.45300000000000001</v>
      </c>
      <c r="BG2275" s="15">
        <v>1.2330000000000001</v>
      </c>
      <c r="BH2275" s="15">
        <v>1.8680000000000001</v>
      </c>
      <c r="BI2275" s="15">
        <v>2.0030000000000001</v>
      </c>
      <c r="BJ2275" s="15">
        <v>4.9180000000000001</v>
      </c>
      <c r="BK2275" s="15">
        <v>0.91400000000000003</v>
      </c>
      <c r="BL2275" s="15">
        <v>0.13300000000000001</v>
      </c>
      <c r="BM2275" s="15">
        <v>14.872</v>
      </c>
      <c r="BN2275" s="15">
        <v>25.797999999999998</v>
      </c>
      <c r="BO2275" s="15">
        <v>1.621</v>
      </c>
      <c r="BP2275" s="15">
        <v>0.76700000000000002</v>
      </c>
      <c r="BQ2275" s="15">
        <v>2.198</v>
      </c>
      <c r="BR2275" s="15">
        <v>4.1669999999999998</v>
      </c>
      <c r="BS2275" s="15">
        <v>35.686</v>
      </c>
      <c r="BT2275" s="15">
        <v>5.2949999999999999</v>
      </c>
      <c r="BU2275" s="15">
        <v>2.2349999999999999</v>
      </c>
      <c r="BV2275" s="53"/>
      <c r="BW2275" s="16">
        <v>-1</v>
      </c>
      <c r="BZ2275" s="14">
        <f t="shared" si="144"/>
        <v>0</v>
      </c>
      <c r="CA2275" t="s">
        <v>5832</v>
      </c>
    </row>
    <row r="2276" spans="1:79" hidden="1">
      <c r="A2276" s="12">
        <v>1046</v>
      </c>
      <c r="B2276" s="12">
        <v>1</v>
      </c>
      <c r="C2276" s="12" t="s">
        <v>2527</v>
      </c>
      <c r="D2276" s="12" t="s">
        <v>73</v>
      </c>
      <c r="E2276" s="12" t="s">
        <v>73</v>
      </c>
      <c r="F2276" s="12" t="s">
        <v>87</v>
      </c>
      <c r="G2276" s="12" t="s">
        <v>5821</v>
      </c>
      <c r="H2276" s="12">
        <v>25.2</v>
      </c>
      <c r="I2276" s="12">
        <v>588</v>
      </c>
      <c r="J2276" s="12">
        <v>61079</v>
      </c>
      <c r="K2276" s="12" t="s">
        <v>2528</v>
      </c>
      <c r="L2276" s="12">
        <v>-1</v>
      </c>
      <c r="M2276" s="13"/>
      <c r="N2276" s="12">
        <v>128</v>
      </c>
      <c r="O2276" s="12">
        <v>0</v>
      </c>
      <c r="P2276" s="12">
        <v>0</v>
      </c>
      <c r="Q2276" s="12">
        <v>3</v>
      </c>
      <c r="R2276" s="12">
        <v>4</v>
      </c>
      <c r="S2276" s="12">
        <v>7</v>
      </c>
      <c r="T2276" s="12">
        <v>5</v>
      </c>
      <c r="U2276" s="12">
        <v>5</v>
      </c>
      <c r="V2276" s="12">
        <v>3</v>
      </c>
      <c r="W2276" s="12">
        <v>5</v>
      </c>
      <c r="X2276" s="12">
        <v>4</v>
      </c>
      <c r="Y2276" s="12">
        <v>8</v>
      </c>
      <c r="Z2276" s="12">
        <v>6</v>
      </c>
      <c r="AA2276" s="12">
        <v>9</v>
      </c>
      <c r="AB2276" s="12">
        <v>12</v>
      </c>
      <c r="AC2276" s="12">
        <v>5</v>
      </c>
      <c r="AD2276" s="12">
        <v>6</v>
      </c>
      <c r="AE2276" s="12">
        <v>6</v>
      </c>
      <c r="AF2276" s="12">
        <v>7</v>
      </c>
      <c r="AG2276" s="12">
        <v>16</v>
      </c>
      <c r="AH2276" s="12">
        <v>8</v>
      </c>
      <c r="AI2276" s="12">
        <v>9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>
        <v>0</v>
      </c>
      <c r="AS2276" s="12">
        <v>0</v>
      </c>
      <c r="AT2276" s="12">
        <v>0</v>
      </c>
      <c r="AU2276" s="12">
        <v>0</v>
      </c>
      <c r="AV2276" s="12">
        <v>0</v>
      </c>
      <c r="AW2276" s="12">
        <v>0</v>
      </c>
      <c r="AX2276" s="12">
        <v>0</v>
      </c>
      <c r="AY2276" s="12">
        <v>0</v>
      </c>
      <c r="AZ2276" s="12">
        <v>0</v>
      </c>
      <c r="BA2276" s="12">
        <v>0</v>
      </c>
      <c r="BB2276" s="12">
        <v>0</v>
      </c>
      <c r="BC2276" s="15">
        <v>0</v>
      </c>
      <c r="BD2276" s="15">
        <v>0</v>
      </c>
      <c r="BE2276" s="15">
        <v>0</v>
      </c>
      <c r="BF2276" s="15">
        <v>0</v>
      </c>
      <c r="BG2276" s="15">
        <v>0</v>
      </c>
      <c r="BH2276" s="15">
        <v>0</v>
      </c>
      <c r="BI2276" s="15">
        <v>0</v>
      </c>
      <c r="BJ2276" s="15">
        <v>0</v>
      </c>
      <c r="BK2276" s="15">
        <v>0</v>
      </c>
      <c r="BL2276" s="15">
        <v>0</v>
      </c>
      <c r="BM2276" s="15">
        <v>0</v>
      </c>
      <c r="BN2276" s="15">
        <v>0</v>
      </c>
      <c r="BO2276" s="15">
        <v>0</v>
      </c>
      <c r="BP2276" s="15">
        <v>0</v>
      </c>
      <c r="BQ2276" s="15">
        <v>0</v>
      </c>
      <c r="BR2276" s="15">
        <v>0</v>
      </c>
      <c r="BS2276" s="15">
        <v>0</v>
      </c>
      <c r="BT2276" s="15">
        <v>0</v>
      </c>
      <c r="BU2276" s="15">
        <v>0</v>
      </c>
      <c r="BV2276" s="53"/>
      <c r="BW2276" s="16">
        <v>-1</v>
      </c>
      <c r="BZ2276" s="14">
        <f t="shared" si="144"/>
        <v>19</v>
      </c>
      <c r="CA2276" t="s">
        <v>5832</v>
      </c>
    </row>
    <row r="2277" spans="1:79" hidden="1">
      <c r="A2277" s="12">
        <v>1050</v>
      </c>
      <c r="B2277" s="12">
        <v>1</v>
      </c>
      <c r="C2277" s="12" t="s">
        <v>2529</v>
      </c>
      <c r="D2277" s="12" t="s">
        <v>2530</v>
      </c>
      <c r="E2277" s="12" t="s">
        <v>73</v>
      </c>
      <c r="F2277" s="12" t="s">
        <v>119</v>
      </c>
      <c r="G2277" s="12" t="s">
        <v>5821</v>
      </c>
      <c r="H2277" s="12">
        <v>21.2</v>
      </c>
      <c r="I2277" s="12">
        <v>561</v>
      </c>
      <c r="J2277" s="12">
        <v>60769</v>
      </c>
      <c r="K2277" s="12" t="s">
        <v>2531</v>
      </c>
      <c r="L2277" s="12">
        <v>-1</v>
      </c>
      <c r="M2277" s="13"/>
      <c r="N2277" s="12">
        <v>118</v>
      </c>
      <c r="O2277" s="12">
        <v>1</v>
      </c>
      <c r="P2277" s="12">
        <v>8.0000000000000002E-3</v>
      </c>
      <c r="Q2277" s="12">
        <v>3</v>
      </c>
      <c r="R2277" s="12">
        <v>2</v>
      </c>
      <c r="S2277" s="12">
        <v>4</v>
      </c>
      <c r="T2277" s="12">
        <v>4</v>
      </c>
      <c r="U2277" s="12">
        <v>3</v>
      </c>
      <c r="V2277" s="12">
        <v>3</v>
      </c>
      <c r="W2277" s="12">
        <v>4</v>
      </c>
      <c r="X2277" s="12">
        <v>7</v>
      </c>
      <c r="Y2277" s="12">
        <v>8</v>
      </c>
      <c r="Z2277" s="12">
        <v>6</v>
      </c>
      <c r="AA2277" s="12">
        <v>13</v>
      </c>
      <c r="AB2277" s="12">
        <v>10</v>
      </c>
      <c r="AC2277" s="12">
        <v>6</v>
      </c>
      <c r="AD2277" s="12">
        <v>7</v>
      </c>
      <c r="AE2277" s="12">
        <v>6</v>
      </c>
      <c r="AF2277" s="12">
        <v>8</v>
      </c>
      <c r="AG2277" s="12">
        <v>8</v>
      </c>
      <c r="AH2277" s="12">
        <v>7</v>
      </c>
      <c r="AI2277" s="12">
        <v>9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1</v>
      </c>
      <c r="AR2277" s="12">
        <v>0</v>
      </c>
      <c r="AS2277" s="12">
        <v>0</v>
      </c>
      <c r="AT2277" s="12">
        <v>0</v>
      </c>
      <c r="AU2277" s="12">
        <v>0</v>
      </c>
      <c r="AV2277" s="12">
        <v>0</v>
      </c>
      <c r="AW2277" s="12">
        <v>0</v>
      </c>
      <c r="AX2277" s="12">
        <v>0</v>
      </c>
      <c r="AY2277" s="12">
        <v>0</v>
      </c>
      <c r="AZ2277" s="12">
        <v>0</v>
      </c>
      <c r="BA2277" s="12">
        <v>0</v>
      </c>
      <c r="BB2277" s="12">
        <v>0</v>
      </c>
      <c r="BC2277" s="15">
        <v>4.0000000000000001E-3</v>
      </c>
      <c r="BD2277" s="15">
        <v>2E-3</v>
      </c>
      <c r="BE2277" s="15">
        <v>7.0000000000000001E-3</v>
      </c>
      <c r="BF2277" s="15">
        <v>9.4E-2</v>
      </c>
      <c r="BG2277" s="15">
        <v>3.0000000000000001E-3</v>
      </c>
      <c r="BH2277" s="15">
        <v>4.0000000000000001E-3</v>
      </c>
      <c r="BI2277" s="15">
        <v>9.5000000000000001E-2</v>
      </c>
      <c r="BJ2277" s="15">
        <v>1.276</v>
      </c>
      <c r="BK2277" s="15">
        <v>1.0999999999999999E-2</v>
      </c>
      <c r="BL2277" s="15">
        <v>8.0000000000000002E-3</v>
      </c>
      <c r="BM2277" s="15">
        <v>0.376</v>
      </c>
      <c r="BN2277" s="15">
        <v>1.9E-2</v>
      </c>
      <c r="BO2277" s="15">
        <v>9.8000000000000004E-2</v>
      </c>
      <c r="BP2277" s="15">
        <v>9.8000000000000004E-2</v>
      </c>
      <c r="BQ2277" s="15">
        <v>8.0000000000000002E-3</v>
      </c>
      <c r="BR2277" s="15">
        <v>0.10100000000000001</v>
      </c>
      <c r="BS2277" s="15">
        <v>1.0999999999999999E-2</v>
      </c>
      <c r="BT2277" s="15">
        <v>1.2E-2</v>
      </c>
      <c r="BU2277" s="15">
        <v>1.7999999999999999E-2</v>
      </c>
      <c r="BV2277" s="53"/>
      <c r="BW2277" s="16">
        <v>-1</v>
      </c>
      <c r="BZ2277" s="14">
        <f t="shared" si="144"/>
        <v>0</v>
      </c>
      <c r="CA2277" t="s">
        <v>5832</v>
      </c>
    </row>
    <row r="2278" spans="1:79" hidden="1">
      <c r="A2278" s="12">
        <v>1052</v>
      </c>
      <c r="B2278" s="12">
        <v>1</v>
      </c>
      <c r="C2278" s="12" t="s">
        <v>2532</v>
      </c>
      <c r="D2278" s="12" t="s">
        <v>73</v>
      </c>
      <c r="E2278" s="12" t="s">
        <v>73</v>
      </c>
      <c r="F2278" s="12" t="s">
        <v>119</v>
      </c>
      <c r="G2278" s="12" t="s">
        <v>5821</v>
      </c>
      <c r="H2278" s="12">
        <v>16.600000000000001</v>
      </c>
      <c r="I2278" s="12">
        <v>531</v>
      </c>
      <c r="J2278" s="12">
        <v>58135</v>
      </c>
      <c r="K2278" s="12" t="s">
        <v>2533</v>
      </c>
      <c r="L2278" s="12">
        <v>-1</v>
      </c>
      <c r="M2278" s="13"/>
      <c r="N2278" s="12">
        <v>56</v>
      </c>
      <c r="O2278" s="12">
        <v>0</v>
      </c>
      <c r="P2278" s="12">
        <v>0</v>
      </c>
      <c r="Q2278" s="12">
        <v>1</v>
      </c>
      <c r="R2278" s="12">
        <v>1</v>
      </c>
      <c r="S2278" s="12">
        <v>3</v>
      </c>
      <c r="T2278" s="12">
        <v>2</v>
      </c>
      <c r="U2278" s="12">
        <v>2</v>
      </c>
      <c r="V2278" s="12">
        <v>0</v>
      </c>
      <c r="W2278" s="12">
        <v>1</v>
      </c>
      <c r="X2278" s="12">
        <v>4</v>
      </c>
      <c r="Y2278" s="12">
        <v>3</v>
      </c>
      <c r="Z2278" s="12">
        <v>2</v>
      </c>
      <c r="AA2278" s="12">
        <v>6</v>
      </c>
      <c r="AB2278" s="12">
        <v>9</v>
      </c>
      <c r="AC2278" s="12">
        <v>4</v>
      </c>
      <c r="AD2278" s="12">
        <v>3</v>
      </c>
      <c r="AE2278" s="12">
        <v>2</v>
      </c>
      <c r="AF2278" s="12">
        <v>3</v>
      </c>
      <c r="AG2278" s="12">
        <v>3</v>
      </c>
      <c r="AH2278" s="12">
        <v>3</v>
      </c>
      <c r="AI2278" s="12">
        <v>4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0</v>
      </c>
      <c r="AQ2278" s="12">
        <v>0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  <c r="AW2278" s="12">
        <v>0</v>
      </c>
      <c r="AX2278" s="12">
        <v>0</v>
      </c>
      <c r="AY2278" s="12">
        <v>0</v>
      </c>
      <c r="AZ2278" s="12">
        <v>0</v>
      </c>
      <c r="BA2278" s="12">
        <v>0</v>
      </c>
      <c r="BB2278" s="12">
        <v>0</v>
      </c>
      <c r="BC2278" s="15">
        <v>0</v>
      </c>
      <c r="BD2278" s="15">
        <v>0</v>
      </c>
      <c r="BE2278" s="15">
        <v>0</v>
      </c>
      <c r="BF2278" s="15">
        <v>0</v>
      </c>
      <c r="BG2278" s="15">
        <v>0</v>
      </c>
      <c r="BH2278" s="15">
        <v>0</v>
      </c>
      <c r="BI2278" s="15">
        <v>0</v>
      </c>
      <c r="BJ2278" s="15">
        <v>0</v>
      </c>
      <c r="BK2278" s="15">
        <v>0</v>
      </c>
      <c r="BL2278" s="15">
        <v>0</v>
      </c>
      <c r="BM2278" s="15">
        <v>0</v>
      </c>
      <c r="BN2278" s="15">
        <v>0</v>
      </c>
      <c r="BO2278" s="15">
        <v>0</v>
      </c>
      <c r="BP2278" s="15">
        <v>0</v>
      </c>
      <c r="BQ2278" s="15">
        <v>0</v>
      </c>
      <c r="BR2278" s="15">
        <v>0</v>
      </c>
      <c r="BS2278" s="15">
        <v>0</v>
      </c>
      <c r="BT2278" s="15">
        <v>0</v>
      </c>
      <c r="BU2278" s="15">
        <v>0</v>
      </c>
      <c r="BV2278" s="53"/>
      <c r="BW2278" s="16">
        <v>-1</v>
      </c>
      <c r="BZ2278" s="14">
        <f t="shared" si="144"/>
        <v>19</v>
      </c>
      <c r="CA2278" t="s">
        <v>5832</v>
      </c>
    </row>
    <row r="2279" spans="1:79" hidden="1">
      <c r="A2279" s="12">
        <v>1053</v>
      </c>
      <c r="B2279" s="12">
        <v>1</v>
      </c>
      <c r="C2279" s="12" t="s">
        <v>2534</v>
      </c>
      <c r="D2279" s="12" t="s">
        <v>2535</v>
      </c>
      <c r="E2279" s="12" t="s">
        <v>73</v>
      </c>
      <c r="F2279" s="12" t="s">
        <v>73</v>
      </c>
      <c r="G2279" s="12" t="s">
        <v>5821</v>
      </c>
      <c r="H2279" s="12">
        <v>11.5</v>
      </c>
      <c r="I2279" s="12">
        <v>480</v>
      </c>
      <c r="J2279" s="12">
        <v>52763</v>
      </c>
      <c r="K2279" s="12" t="s">
        <v>2536</v>
      </c>
      <c r="L2279" s="12">
        <v>-1</v>
      </c>
      <c r="M2279" s="13"/>
      <c r="N2279" s="12">
        <v>6</v>
      </c>
      <c r="O2279" s="12">
        <v>5</v>
      </c>
      <c r="P2279" s="12">
        <v>0.83299999999999996</v>
      </c>
      <c r="Q2279" s="12">
        <v>0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0</v>
      </c>
      <c r="AG2279" s="12">
        <v>6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0</v>
      </c>
      <c r="AY2279" s="12">
        <v>0</v>
      </c>
      <c r="AZ2279" s="12">
        <v>5</v>
      </c>
      <c r="BA2279" s="12">
        <v>0</v>
      </c>
      <c r="BB2279" s="12">
        <v>0</v>
      </c>
      <c r="BC2279" s="15">
        <v>0</v>
      </c>
      <c r="BD2279" s="15">
        <v>0</v>
      </c>
      <c r="BE2279" s="15">
        <v>0</v>
      </c>
      <c r="BF2279" s="15">
        <v>0</v>
      </c>
      <c r="BG2279" s="15">
        <v>0</v>
      </c>
      <c r="BH2279" s="15">
        <v>0</v>
      </c>
      <c r="BI2279" s="15">
        <v>0</v>
      </c>
      <c r="BJ2279" s="15">
        <v>0</v>
      </c>
      <c r="BK2279" s="15">
        <v>0</v>
      </c>
      <c r="BL2279" s="15">
        <v>0</v>
      </c>
      <c r="BM2279" s="15">
        <v>0</v>
      </c>
      <c r="BN2279" s="15">
        <v>0</v>
      </c>
      <c r="BO2279" s="15">
        <v>0</v>
      </c>
      <c r="BP2279" s="15">
        <v>0</v>
      </c>
      <c r="BQ2279" s="15">
        <v>0</v>
      </c>
      <c r="BR2279" s="15">
        <v>0</v>
      </c>
      <c r="BS2279" s="15">
        <v>6</v>
      </c>
      <c r="BT2279" s="15">
        <v>0</v>
      </c>
      <c r="BU2279" s="15">
        <v>0</v>
      </c>
      <c r="BV2279" s="53"/>
      <c r="BW2279" s="16">
        <v>-1</v>
      </c>
      <c r="BZ2279" s="14">
        <f t="shared" si="144"/>
        <v>18</v>
      </c>
      <c r="CA2279" t="s">
        <v>5832</v>
      </c>
    </row>
    <row r="2280" spans="1:79" hidden="1">
      <c r="A2280" s="12">
        <v>1056</v>
      </c>
      <c r="B2280" s="12">
        <v>1</v>
      </c>
      <c r="C2280" s="12" t="s">
        <v>2537</v>
      </c>
      <c r="D2280" s="12" t="s">
        <v>73</v>
      </c>
      <c r="E2280" s="12" t="s">
        <v>73</v>
      </c>
      <c r="F2280" s="12" t="s">
        <v>87</v>
      </c>
      <c r="G2280" s="12" t="s">
        <v>5821</v>
      </c>
      <c r="H2280" s="12">
        <v>67.599999999999994</v>
      </c>
      <c r="I2280" s="12">
        <v>531</v>
      </c>
      <c r="J2280" s="12">
        <v>56808</v>
      </c>
      <c r="K2280" s="12" t="s">
        <v>2538</v>
      </c>
      <c r="L2280" s="12">
        <v>-1</v>
      </c>
      <c r="M2280" s="13"/>
      <c r="N2280" s="12">
        <v>154</v>
      </c>
      <c r="O2280" s="12">
        <v>78</v>
      </c>
      <c r="P2280" s="12">
        <v>0.50600000000000001</v>
      </c>
      <c r="Q2280" s="12">
        <v>1</v>
      </c>
      <c r="R2280" s="12">
        <v>2</v>
      </c>
      <c r="S2280" s="12">
        <v>5</v>
      </c>
      <c r="T2280" s="12">
        <v>3</v>
      </c>
      <c r="U2280" s="12">
        <v>5</v>
      </c>
      <c r="V2280" s="12">
        <v>2</v>
      </c>
      <c r="W2280" s="12">
        <v>2</v>
      </c>
      <c r="X2280" s="12">
        <v>3</v>
      </c>
      <c r="Y2280" s="12">
        <v>3</v>
      </c>
      <c r="Z2280" s="12">
        <v>2</v>
      </c>
      <c r="AA2280" s="12">
        <v>23</v>
      </c>
      <c r="AB2280" s="12">
        <v>44</v>
      </c>
      <c r="AC2280" s="12">
        <v>2</v>
      </c>
      <c r="AD2280" s="12">
        <v>3</v>
      </c>
      <c r="AE2280" s="12">
        <v>2</v>
      </c>
      <c r="AF2280" s="12">
        <v>5</v>
      </c>
      <c r="AG2280" s="12">
        <v>37</v>
      </c>
      <c r="AH2280" s="12">
        <v>5</v>
      </c>
      <c r="AI2280" s="12">
        <v>5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14</v>
      </c>
      <c r="AU2280" s="12">
        <v>35</v>
      </c>
      <c r="AV2280" s="12">
        <v>0</v>
      </c>
      <c r="AW2280" s="12">
        <v>0</v>
      </c>
      <c r="AX2280" s="12">
        <v>0</v>
      </c>
      <c r="AY2280" s="12">
        <v>3</v>
      </c>
      <c r="AZ2280" s="12">
        <v>26</v>
      </c>
      <c r="BA2280" s="12">
        <v>0</v>
      </c>
      <c r="BB2280" s="12">
        <v>0</v>
      </c>
      <c r="BC2280" s="15">
        <v>4.2999999999999997E-2</v>
      </c>
      <c r="BD2280" s="15">
        <v>9.9000000000000005E-2</v>
      </c>
      <c r="BE2280" s="15">
        <v>0.73499999999999999</v>
      </c>
      <c r="BF2280" s="15">
        <v>0.16200000000000001</v>
      </c>
      <c r="BG2280" s="15">
        <v>0.497</v>
      </c>
      <c r="BH2280" s="15">
        <v>0.19700000000000001</v>
      </c>
      <c r="BI2280" s="15">
        <v>0.59599999999999997</v>
      </c>
      <c r="BJ2280" s="15">
        <v>0.65900000000000003</v>
      </c>
      <c r="BK2280" s="15">
        <v>0.17</v>
      </c>
      <c r="BL2280" s="15">
        <v>0.106</v>
      </c>
      <c r="BM2280" s="15">
        <v>18.460999999999999</v>
      </c>
      <c r="BN2280" s="15">
        <v>38.863</v>
      </c>
      <c r="BO2280" s="15">
        <v>0.106</v>
      </c>
      <c r="BP2280" s="15">
        <v>0.20499999999999999</v>
      </c>
      <c r="BQ2280" s="15">
        <v>0.106</v>
      </c>
      <c r="BR2280" s="15">
        <v>3.1059999999999999</v>
      </c>
      <c r="BS2280" s="15">
        <v>31.962</v>
      </c>
      <c r="BT2280" s="15">
        <v>0.85599999999999998</v>
      </c>
      <c r="BU2280" s="15">
        <v>0.92500000000000004</v>
      </c>
      <c r="BV2280" s="53"/>
      <c r="BW2280" s="16">
        <v>-1</v>
      </c>
      <c r="BZ2280" s="14">
        <f t="shared" si="144"/>
        <v>0</v>
      </c>
      <c r="CA2280" t="s">
        <v>5832</v>
      </c>
    </row>
    <row r="2281" spans="1:79" hidden="1">
      <c r="A2281" s="12">
        <v>1131</v>
      </c>
      <c r="B2281" s="12">
        <v>1</v>
      </c>
      <c r="C2281" s="12" t="s">
        <v>2721</v>
      </c>
      <c r="D2281" s="12" t="s">
        <v>73</v>
      </c>
      <c r="E2281" s="12" t="s">
        <v>73</v>
      </c>
      <c r="F2281" s="12" t="s">
        <v>2722</v>
      </c>
      <c r="G2281" s="12" t="s">
        <v>5821</v>
      </c>
      <c r="H2281" s="12">
        <v>10.9</v>
      </c>
      <c r="I2281" s="12">
        <v>515</v>
      </c>
      <c r="J2281" s="12">
        <v>56163</v>
      </c>
      <c r="K2281" s="12" t="s">
        <v>2723</v>
      </c>
      <c r="L2281" s="12">
        <v>-1</v>
      </c>
      <c r="M2281" s="13"/>
      <c r="N2281" s="12">
        <v>22</v>
      </c>
      <c r="O2281" s="12">
        <v>3</v>
      </c>
      <c r="P2281" s="12">
        <v>0.13600000000000001</v>
      </c>
      <c r="Q2281" s="12">
        <v>2</v>
      </c>
      <c r="R2281" s="12">
        <v>1</v>
      </c>
      <c r="S2281" s="12">
        <v>1</v>
      </c>
      <c r="T2281" s="12">
        <v>1</v>
      </c>
      <c r="U2281" s="12">
        <v>0</v>
      </c>
      <c r="V2281" s="12">
        <v>0</v>
      </c>
      <c r="W2281" s="12">
        <v>0</v>
      </c>
      <c r="X2281" s="12">
        <v>1</v>
      </c>
      <c r="Y2281" s="12">
        <v>0</v>
      </c>
      <c r="Z2281" s="12">
        <v>1</v>
      </c>
      <c r="AA2281" s="12">
        <v>1</v>
      </c>
      <c r="AB2281" s="12">
        <v>3</v>
      </c>
      <c r="AC2281" s="12">
        <v>0</v>
      </c>
      <c r="AD2281" s="12">
        <v>2</v>
      </c>
      <c r="AE2281" s="12">
        <v>2</v>
      </c>
      <c r="AF2281" s="12">
        <v>1</v>
      </c>
      <c r="AG2281" s="12">
        <v>1</v>
      </c>
      <c r="AH2281" s="12">
        <v>1</v>
      </c>
      <c r="AI2281" s="12">
        <v>4</v>
      </c>
      <c r="AJ2281" s="12">
        <v>1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0</v>
      </c>
      <c r="AT2281" s="12">
        <v>0</v>
      </c>
      <c r="AU2281" s="12">
        <v>1</v>
      </c>
      <c r="AV2281" s="12">
        <v>0</v>
      </c>
      <c r="AW2281" s="12">
        <v>0</v>
      </c>
      <c r="AX2281" s="12">
        <v>0</v>
      </c>
      <c r="AY2281" s="12">
        <v>0</v>
      </c>
      <c r="AZ2281" s="12">
        <v>0</v>
      </c>
      <c r="BA2281" s="12">
        <v>0</v>
      </c>
      <c r="BB2281" s="12">
        <v>1</v>
      </c>
      <c r="BC2281" s="15">
        <v>1.002</v>
      </c>
      <c r="BD2281" s="15">
        <v>2E-3</v>
      </c>
      <c r="BE2281" s="15">
        <v>2E-3</v>
      </c>
      <c r="BF2281" s="15">
        <v>2E-3</v>
      </c>
      <c r="BG2281" s="15">
        <v>0</v>
      </c>
      <c r="BH2281" s="15">
        <v>0</v>
      </c>
      <c r="BI2281" s="15">
        <v>0</v>
      </c>
      <c r="BJ2281" s="15">
        <v>2E-3</v>
      </c>
      <c r="BK2281" s="15">
        <v>0</v>
      </c>
      <c r="BL2281" s="15">
        <v>2E-3</v>
      </c>
      <c r="BM2281" s="15">
        <v>2E-3</v>
      </c>
      <c r="BN2281" s="15">
        <v>1.0029999999999999</v>
      </c>
      <c r="BO2281" s="15">
        <v>0</v>
      </c>
      <c r="BP2281" s="15">
        <v>7.0000000000000001E-3</v>
      </c>
      <c r="BQ2281" s="15">
        <v>7.0000000000000001E-3</v>
      </c>
      <c r="BR2281" s="15">
        <v>2E-3</v>
      </c>
      <c r="BS2281" s="15">
        <v>2E-3</v>
      </c>
      <c r="BT2281" s="15">
        <v>2E-3</v>
      </c>
      <c r="BU2281" s="15">
        <v>1.0289999999999999</v>
      </c>
      <c r="BV2281" s="53"/>
      <c r="BW2281" s="16">
        <v>-1</v>
      </c>
      <c r="BZ2281" s="14">
        <f t="shared" si="144"/>
        <v>5</v>
      </c>
      <c r="CA2281" t="s">
        <v>5832</v>
      </c>
    </row>
    <row r="2282" spans="1:79" hidden="1">
      <c r="A2282" s="12">
        <v>1135</v>
      </c>
      <c r="B2282" s="12">
        <v>1</v>
      </c>
      <c r="C2282" s="12" t="s">
        <v>2733</v>
      </c>
      <c r="D2282" s="12" t="s">
        <v>73</v>
      </c>
      <c r="E2282" s="12" t="s">
        <v>73</v>
      </c>
      <c r="F2282" s="12" t="s">
        <v>2734</v>
      </c>
      <c r="G2282" s="12" t="s">
        <v>5821</v>
      </c>
      <c r="H2282" s="12">
        <v>4.3</v>
      </c>
      <c r="I2282" s="12">
        <v>494</v>
      </c>
      <c r="J2282" s="12">
        <v>54316</v>
      </c>
      <c r="K2282" s="12" t="s">
        <v>2735</v>
      </c>
      <c r="L2282" s="12">
        <v>-1</v>
      </c>
      <c r="M2282" s="13"/>
      <c r="N2282" s="12">
        <v>9</v>
      </c>
      <c r="O2282" s="12">
        <v>0</v>
      </c>
      <c r="P2282" s="12">
        <v>0</v>
      </c>
      <c r="Q2282" s="12">
        <v>0</v>
      </c>
      <c r="R2282" s="12">
        <v>0</v>
      </c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2</v>
      </c>
      <c r="Y2282" s="12">
        <v>0</v>
      </c>
      <c r="Z2282" s="12">
        <v>0</v>
      </c>
      <c r="AA2282" s="12">
        <v>3</v>
      </c>
      <c r="AB2282" s="12">
        <v>0</v>
      </c>
      <c r="AC2282" s="12">
        <v>1</v>
      </c>
      <c r="AD2282" s="12">
        <v>1</v>
      </c>
      <c r="AE2282" s="12">
        <v>0</v>
      </c>
      <c r="AF2282" s="12">
        <v>1</v>
      </c>
      <c r="AG2282" s="12">
        <v>0</v>
      </c>
      <c r="AH2282" s="12">
        <v>1</v>
      </c>
      <c r="AI2282" s="12">
        <v>0</v>
      </c>
      <c r="AJ2282" s="12">
        <v>0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0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0</v>
      </c>
      <c r="AW2282" s="12">
        <v>0</v>
      </c>
      <c r="AX2282" s="12">
        <v>0</v>
      </c>
      <c r="AY2282" s="12">
        <v>0</v>
      </c>
      <c r="AZ2282" s="12">
        <v>0</v>
      </c>
      <c r="BA2282" s="12">
        <v>0</v>
      </c>
      <c r="BB2282" s="12">
        <v>0</v>
      </c>
      <c r="BC2282" s="15">
        <v>0</v>
      </c>
      <c r="BD2282" s="15">
        <v>0</v>
      </c>
      <c r="BE2282" s="15">
        <v>0</v>
      </c>
      <c r="BF2282" s="15">
        <v>0</v>
      </c>
      <c r="BG2282" s="15">
        <v>0</v>
      </c>
      <c r="BH2282" s="15">
        <v>0</v>
      </c>
      <c r="BI2282" s="15">
        <v>0</v>
      </c>
      <c r="BJ2282" s="15">
        <v>0</v>
      </c>
      <c r="BK2282" s="15">
        <v>0</v>
      </c>
      <c r="BL2282" s="15">
        <v>0</v>
      </c>
      <c r="BM2282" s="15">
        <v>0</v>
      </c>
      <c r="BN2282" s="15">
        <v>0</v>
      </c>
      <c r="BO2282" s="15">
        <v>0</v>
      </c>
      <c r="BP2282" s="15">
        <v>0</v>
      </c>
      <c r="BQ2282" s="15">
        <v>0</v>
      </c>
      <c r="BR2282" s="15">
        <v>0</v>
      </c>
      <c r="BS2282" s="15">
        <v>0</v>
      </c>
      <c r="BT2282" s="15">
        <v>0</v>
      </c>
      <c r="BU2282" s="15">
        <v>0</v>
      </c>
      <c r="BV2282" s="53"/>
      <c r="BW2282" s="16">
        <v>-1</v>
      </c>
      <c r="BZ2282" s="14">
        <f t="shared" si="144"/>
        <v>19</v>
      </c>
      <c r="CA2282" t="s">
        <v>5832</v>
      </c>
    </row>
    <row r="2283" spans="1:79" hidden="1">
      <c r="A2283" s="12">
        <v>1873</v>
      </c>
      <c r="B2283" s="12">
        <v>1</v>
      </c>
      <c r="C2283" s="12" t="s">
        <v>4421</v>
      </c>
      <c r="D2283" s="12" t="s">
        <v>73</v>
      </c>
      <c r="E2283" s="12" t="s">
        <v>73</v>
      </c>
      <c r="F2283" s="12" t="s">
        <v>4422</v>
      </c>
      <c r="G2283" s="12" t="s">
        <v>5821</v>
      </c>
      <c r="H2283" s="12">
        <v>98.6</v>
      </c>
      <c r="I2283" s="12">
        <v>142</v>
      </c>
      <c r="J2283" s="12">
        <v>15335</v>
      </c>
      <c r="K2283" s="12" t="s">
        <v>4423</v>
      </c>
      <c r="L2283" s="12">
        <v>-1</v>
      </c>
      <c r="M2283" s="13"/>
      <c r="N2283" s="12">
        <v>477</v>
      </c>
      <c r="O2283" s="12">
        <v>41</v>
      </c>
      <c r="P2283" s="12">
        <v>8.5999999999999993E-2</v>
      </c>
      <c r="Q2283" s="12">
        <v>7</v>
      </c>
      <c r="R2283" s="12">
        <v>1</v>
      </c>
      <c r="S2283" s="12">
        <v>1</v>
      </c>
      <c r="T2283" s="12">
        <v>0</v>
      </c>
      <c r="U2283" s="12">
        <v>0</v>
      </c>
      <c r="V2283" s="12">
        <v>0</v>
      </c>
      <c r="W2283" s="12">
        <v>1</v>
      </c>
      <c r="X2283" s="12">
        <v>28</v>
      </c>
      <c r="Y2283" s="12">
        <v>328</v>
      </c>
      <c r="Z2283" s="12">
        <v>17</v>
      </c>
      <c r="AA2283" s="12">
        <v>15</v>
      </c>
      <c r="AB2283" s="12">
        <v>4</v>
      </c>
      <c r="AC2283" s="12">
        <v>6</v>
      </c>
      <c r="AD2283" s="12">
        <v>12</v>
      </c>
      <c r="AE2283" s="12">
        <v>13</v>
      </c>
      <c r="AF2283" s="12">
        <v>5</v>
      </c>
      <c r="AG2283" s="12">
        <v>15</v>
      </c>
      <c r="AH2283" s="12">
        <v>9</v>
      </c>
      <c r="AI2283" s="12">
        <v>15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0</v>
      </c>
      <c r="AQ2283" s="12">
        <v>2</v>
      </c>
      <c r="AR2283" s="12">
        <v>28</v>
      </c>
      <c r="AS2283" s="12">
        <v>0</v>
      </c>
      <c r="AT2283" s="12">
        <v>5</v>
      </c>
      <c r="AU2283" s="12">
        <v>0</v>
      </c>
      <c r="AV2283" s="12">
        <v>0</v>
      </c>
      <c r="AW2283" s="12">
        <v>0</v>
      </c>
      <c r="AX2283" s="12">
        <v>2</v>
      </c>
      <c r="AY2283" s="12">
        <v>0</v>
      </c>
      <c r="AZ2283" s="12">
        <v>2</v>
      </c>
      <c r="BA2283" s="12">
        <v>2</v>
      </c>
      <c r="BB2283" s="12">
        <v>0</v>
      </c>
      <c r="BC2283" s="15">
        <v>1</v>
      </c>
      <c r="BD2283" s="15">
        <v>0.14299999999999999</v>
      </c>
      <c r="BE2283" s="15">
        <v>0.14299999999999999</v>
      </c>
      <c r="BF2283" s="15">
        <v>0</v>
      </c>
      <c r="BG2283" s="15">
        <v>0</v>
      </c>
      <c r="BH2283" s="15">
        <v>0</v>
      </c>
      <c r="BI2283" s="15">
        <v>0.14299999999999999</v>
      </c>
      <c r="BJ2283" s="15">
        <v>5.7140000000000004</v>
      </c>
      <c r="BK2283" s="15">
        <v>70.856999999999999</v>
      </c>
      <c r="BL2283" s="15">
        <v>2.4289999999999998</v>
      </c>
      <c r="BM2283" s="15">
        <v>6.4290000000000003</v>
      </c>
      <c r="BN2283" s="15">
        <v>0.57099999999999995</v>
      </c>
      <c r="BO2283" s="15">
        <v>0.85699999999999998</v>
      </c>
      <c r="BP2283" s="15">
        <v>1.714</v>
      </c>
      <c r="BQ2283" s="15">
        <v>3.5710000000000002</v>
      </c>
      <c r="BR2283" s="15">
        <v>0.71399999999999997</v>
      </c>
      <c r="BS2283" s="15">
        <v>3.8570000000000002</v>
      </c>
      <c r="BT2283" s="15">
        <v>3</v>
      </c>
      <c r="BU2283" s="15">
        <v>2.1429999999999998</v>
      </c>
      <c r="BV2283" s="53"/>
      <c r="BW2283" s="16">
        <v>-1</v>
      </c>
      <c r="BZ2283" s="14">
        <f t="shared" si="144"/>
        <v>3</v>
      </c>
      <c r="CA2283" t="s">
        <v>5832</v>
      </c>
    </row>
    <row r="2284" spans="1:79" hidden="1">
      <c r="A2284" s="12">
        <v>2303</v>
      </c>
      <c r="B2284" s="12">
        <v>1</v>
      </c>
      <c r="C2284" s="12" t="s">
        <v>5378</v>
      </c>
      <c r="D2284" s="12" t="s">
        <v>73</v>
      </c>
      <c r="E2284" s="12" t="s">
        <v>73</v>
      </c>
      <c r="F2284" s="12" t="s">
        <v>97</v>
      </c>
      <c r="G2284" s="12" t="s">
        <v>5821</v>
      </c>
      <c r="H2284" s="12">
        <v>45.8</v>
      </c>
      <c r="I2284" s="12">
        <v>613</v>
      </c>
      <c r="J2284" s="12">
        <v>63381</v>
      </c>
      <c r="K2284" s="12" t="s">
        <v>5379</v>
      </c>
      <c r="L2284" s="12">
        <v>-1</v>
      </c>
      <c r="M2284" s="13"/>
      <c r="N2284" s="12">
        <v>152</v>
      </c>
      <c r="O2284" s="12">
        <v>65</v>
      </c>
      <c r="P2284" s="12">
        <v>0.42799999999999999</v>
      </c>
      <c r="Q2284" s="12">
        <v>4</v>
      </c>
      <c r="R2284" s="12">
        <v>2</v>
      </c>
      <c r="S2284" s="12">
        <v>5</v>
      </c>
      <c r="T2284" s="12">
        <v>5</v>
      </c>
      <c r="U2284" s="12">
        <v>5</v>
      </c>
      <c r="V2284" s="12">
        <v>3</v>
      </c>
      <c r="W2284" s="12">
        <v>4</v>
      </c>
      <c r="X2284" s="12">
        <v>5</v>
      </c>
      <c r="Y2284" s="12">
        <v>2</v>
      </c>
      <c r="Z2284" s="12">
        <v>5</v>
      </c>
      <c r="AA2284" s="12">
        <v>6</v>
      </c>
      <c r="AB2284" s="12">
        <v>3</v>
      </c>
      <c r="AC2284" s="12">
        <v>4</v>
      </c>
      <c r="AD2284" s="12">
        <v>5</v>
      </c>
      <c r="AE2284" s="12">
        <v>3</v>
      </c>
      <c r="AF2284" s="12">
        <v>7</v>
      </c>
      <c r="AG2284" s="12">
        <v>72</v>
      </c>
      <c r="AH2284" s="12">
        <v>6</v>
      </c>
      <c r="AI2284" s="12">
        <v>6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0</v>
      </c>
      <c r="AW2284" s="12">
        <v>0</v>
      </c>
      <c r="AX2284" s="12">
        <v>0</v>
      </c>
      <c r="AY2284" s="12">
        <v>0</v>
      </c>
      <c r="AZ2284" s="12">
        <v>65</v>
      </c>
      <c r="BA2284" s="12">
        <v>0</v>
      </c>
      <c r="BB2284" s="12">
        <v>0</v>
      </c>
      <c r="BC2284" s="15">
        <v>0.39100000000000001</v>
      </c>
      <c r="BD2284" s="15">
        <v>0.19500000000000001</v>
      </c>
      <c r="BE2284" s="15">
        <v>0.39100000000000001</v>
      </c>
      <c r="BF2284" s="15">
        <v>0.44</v>
      </c>
      <c r="BG2284" s="15">
        <v>0.39100000000000001</v>
      </c>
      <c r="BH2284" s="15">
        <v>0.29299999999999998</v>
      </c>
      <c r="BI2284" s="15">
        <v>0.39100000000000001</v>
      </c>
      <c r="BJ2284" s="15">
        <v>0.48899999999999999</v>
      </c>
      <c r="BK2284" s="15">
        <v>0.19500000000000001</v>
      </c>
      <c r="BL2284" s="15">
        <v>0.48899999999999999</v>
      </c>
      <c r="BM2284" s="15">
        <v>0.58599999999999997</v>
      </c>
      <c r="BN2284" s="15">
        <v>0.29299999999999998</v>
      </c>
      <c r="BO2284" s="15">
        <v>0.39100000000000001</v>
      </c>
      <c r="BP2284" s="15">
        <v>0.48899999999999999</v>
      </c>
      <c r="BQ2284" s="15">
        <v>0.29299999999999998</v>
      </c>
      <c r="BR2284" s="15">
        <v>0.68400000000000005</v>
      </c>
      <c r="BS2284" s="15">
        <v>65.683999999999997</v>
      </c>
      <c r="BT2284" s="15">
        <v>0.53800000000000003</v>
      </c>
      <c r="BU2284" s="15">
        <v>0.58599999999999997</v>
      </c>
      <c r="BV2284" s="53"/>
      <c r="BW2284" s="16">
        <v>-1</v>
      </c>
      <c r="BZ2284" s="14">
        <f t="shared" si="144"/>
        <v>0</v>
      </c>
      <c r="CA2284" t="s">
        <v>5832</v>
      </c>
    </row>
    <row r="2285" spans="1:79" hidden="1">
      <c r="A2285" s="12">
        <v>2318</v>
      </c>
      <c r="B2285" s="12">
        <v>1</v>
      </c>
      <c r="C2285" s="12" t="s">
        <v>5409</v>
      </c>
      <c r="D2285" s="12" t="s">
        <v>73</v>
      </c>
      <c r="E2285" s="12" t="s">
        <v>73</v>
      </c>
      <c r="F2285" s="12" t="s">
        <v>73</v>
      </c>
      <c r="G2285" s="12" t="s">
        <v>5821</v>
      </c>
      <c r="H2285" s="12">
        <v>5.4</v>
      </c>
      <c r="I2285" s="12">
        <v>429</v>
      </c>
      <c r="J2285" s="12">
        <v>49304</v>
      </c>
      <c r="K2285" s="12" t="s">
        <v>5410</v>
      </c>
      <c r="L2285" s="12">
        <v>-1</v>
      </c>
      <c r="M2285" s="13"/>
      <c r="N2285" s="12">
        <v>2</v>
      </c>
      <c r="O2285" s="12">
        <v>2</v>
      </c>
      <c r="P2285" s="12">
        <v>1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2</v>
      </c>
      <c r="AG2285" s="12">
        <v>0</v>
      </c>
      <c r="AH2285" s="12">
        <v>0</v>
      </c>
      <c r="AI2285" s="12">
        <v>0</v>
      </c>
      <c r="AJ2285" s="12">
        <v>0</v>
      </c>
      <c r="AK2285" s="12">
        <v>0</v>
      </c>
      <c r="AL2285" s="12">
        <v>0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  <c r="AW2285" s="12">
        <v>0</v>
      </c>
      <c r="AX2285" s="12">
        <v>0</v>
      </c>
      <c r="AY2285" s="12">
        <v>2</v>
      </c>
      <c r="AZ2285" s="12">
        <v>0</v>
      </c>
      <c r="BA2285" s="12">
        <v>0</v>
      </c>
      <c r="BB2285" s="12">
        <v>0</v>
      </c>
      <c r="BC2285" s="15">
        <v>0</v>
      </c>
      <c r="BD2285" s="15">
        <v>0</v>
      </c>
      <c r="BE2285" s="15">
        <v>0</v>
      </c>
      <c r="BF2285" s="15">
        <v>0</v>
      </c>
      <c r="BG2285" s="15">
        <v>0</v>
      </c>
      <c r="BH2285" s="15">
        <v>0</v>
      </c>
      <c r="BI2285" s="15">
        <v>0</v>
      </c>
      <c r="BJ2285" s="15">
        <v>0</v>
      </c>
      <c r="BK2285" s="15">
        <v>0</v>
      </c>
      <c r="BL2285" s="15">
        <v>0</v>
      </c>
      <c r="BM2285" s="15">
        <v>0</v>
      </c>
      <c r="BN2285" s="15">
        <v>0</v>
      </c>
      <c r="BO2285" s="15">
        <v>0</v>
      </c>
      <c r="BP2285" s="15">
        <v>0</v>
      </c>
      <c r="BQ2285" s="15">
        <v>0</v>
      </c>
      <c r="BR2285" s="15">
        <v>2</v>
      </c>
      <c r="BS2285" s="15">
        <v>0</v>
      </c>
      <c r="BT2285" s="15">
        <v>0</v>
      </c>
      <c r="BU2285" s="15">
        <v>0</v>
      </c>
      <c r="BV2285" s="53"/>
      <c r="BW2285" s="16">
        <v>-1</v>
      </c>
      <c r="BZ2285" s="14">
        <f t="shared" si="144"/>
        <v>18</v>
      </c>
      <c r="CA2285" t="s">
        <v>5832</v>
      </c>
    </row>
    <row r="2286" spans="1:79" hidden="1">
      <c r="A2286" s="12">
        <v>2375</v>
      </c>
      <c r="B2286" s="12">
        <v>1</v>
      </c>
      <c r="C2286" s="12" t="s">
        <v>5534</v>
      </c>
      <c r="D2286" s="12" t="s">
        <v>73</v>
      </c>
      <c r="E2286" s="12" t="s">
        <v>73</v>
      </c>
      <c r="F2286" s="12" t="s">
        <v>5535</v>
      </c>
      <c r="G2286" s="12" t="s">
        <v>5821</v>
      </c>
      <c r="H2286" s="12">
        <v>8.3000000000000007</v>
      </c>
      <c r="I2286" s="12">
        <v>409</v>
      </c>
      <c r="J2286" s="12">
        <v>46460</v>
      </c>
      <c r="K2286" s="12" t="s">
        <v>5536</v>
      </c>
      <c r="L2286" s="12">
        <v>-1</v>
      </c>
      <c r="M2286" s="13"/>
      <c r="N2286" s="12">
        <v>19</v>
      </c>
      <c r="O2286" s="12">
        <v>2</v>
      </c>
      <c r="P2286" s="12">
        <v>0.105</v>
      </c>
      <c r="Q2286" s="12">
        <v>0</v>
      </c>
      <c r="R2286" s="12">
        <v>1</v>
      </c>
      <c r="S2286" s="12">
        <v>2</v>
      </c>
      <c r="T2286" s="12">
        <v>2</v>
      </c>
      <c r="U2286" s="12">
        <v>2</v>
      </c>
      <c r="V2286" s="12">
        <v>1</v>
      </c>
      <c r="W2286" s="12">
        <v>1</v>
      </c>
      <c r="X2286" s="12">
        <v>1</v>
      </c>
      <c r="Y2286" s="12">
        <v>0</v>
      </c>
      <c r="Z2286" s="12">
        <v>0</v>
      </c>
      <c r="AA2286" s="12">
        <v>0</v>
      </c>
      <c r="AB2286" s="12">
        <v>2</v>
      </c>
      <c r="AC2286" s="12">
        <v>0</v>
      </c>
      <c r="AD2286" s="12">
        <v>0</v>
      </c>
      <c r="AE2286" s="12">
        <v>0</v>
      </c>
      <c r="AF2286" s="12">
        <v>1</v>
      </c>
      <c r="AG2286" s="12">
        <v>3</v>
      </c>
      <c r="AH2286" s="12">
        <v>2</v>
      </c>
      <c r="AI2286" s="12">
        <v>1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  <c r="AW2286" s="12">
        <v>0</v>
      </c>
      <c r="AX2286" s="12">
        <v>0</v>
      </c>
      <c r="AY2286" s="12">
        <v>0</v>
      </c>
      <c r="AZ2286" s="12">
        <v>2</v>
      </c>
      <c r="BA2286" s="12">
        <v>0</v>
      </c>
      <c r="BB2286" s="12">
        <v>0</v>
      </c>
      <c r="BC2286" s="15">
        <v>0</v>
      </c>
      <c r="BD2286" s="15">
        <v>3.0000000000000001E-3</v>
      </c>
      <c r="BE2286" s="15">
        <v>5.0000000000000001E-3</v>
      </c>
      <c r="BF2286" s="15">
        <v>5.0000000000000001E-3</v>
      </c>
      <c r="BG2286" s="15">
        <v>5.0000000000000001E-3</v>
      </c>
      <c r="BH2286" s="15">
        <v>3.0000000000000001E-3</v>
      </c>
      <c r="BI2286" s="15">
        <v>3.0000000000000001E-3</v>
      </c>
      <c r="BJ2286" s="15">
        <v>3.0000000000000001E-3</v>
      </c>
      <c r="BK2286" s="15">
        <v>0</v>
      </c>
      <c r="BL2286" s="15">
        <v>0</v>
      </c>
      <c r="BM2286" s="15">
        <v>0</v>
      </c>
      <c r="BN2286" s="15">
        <v>5.0000000000000001E-3</v>
      </c>
      <c r="BO2286" s="15">
        <v>0</v>
      </c>
      <c r="BP2286" s="15">
        <v>0</v>
      </c>
      <c r="BQ2286" s="15">
        <v>0</v>
      </c>
      <c r="BR2286" s="15">
        <v>3.0000000000000001E-3</v>
      </c>
      <c r="BS2286" s="15">
        <v>2.0030000000000001</v>
      </c>
      <c r="BT2286" s="15">
        <v>5.0000000000000001E-3</v>
      </c>
      <c r="BU2286" s="15">
        <v>3.0000000000000001E-3</v>
      </c>
      <c r="BV2286" s="53"/>
      <c r="BW2286" s="16">
        <v>-1</v>
      </c>
      <c r="BZ2286" s="14">
        <f t="shared" si="144"/>
        <v>7</v>
      </c>
      <c r="CA2286" t="s">
        <v>5832</v>
      </c>
    </row>
    <row r="2287" spans="1:79" hidden="1">
      <c r="A2287" s="12">
        <v>2377</v>
      </c>
      <c r="B2287" s="12">
        <v>1</v>
      </c>
      <c r="C2287" s="12" t="s">
        <v>5540</v>
      </c>
      <c r="D2287" s="12" t="s">
        <v>5541</v>
      </c>
      <c r="E2287" s="12" t="s">
        <v>73</v>
      </c>
      <c r="F2287" s="12" t="s">
        <v>107</v>
      </c>
      <c r="G2287" s="12" t="s">
        <v>5821</v>
      </c>
      <c r="H2287" s="12">
        <v>24.1</v>
      </c>
      <c r="I2287" s="12">
        <v>461</v>
      </c>
      <c r="J2287" s="12">
        <v>50796</v>
      </c>
      <c r="K2287" s="12" t="s">
        <v>5542</v>
      </c>
      <c r="L2287" s="12">
        <v>-1</v>
      </c>
      <c r="M2287" s="13"/>
      <c r="N2287" s="12">
        <v>164</v>
      </c>
      <c r="O2287" s="12">
        <v>0</v>
      </c>
      <c r="P2287" s="12">
        <v>0</v>
      </c>
      <c r="Q2287" s="12">
        <v>7</v>
      </c>
      <c r="R2287" s="12">
        <v>4</v>
      </c>
      <c r="S2287" s="12">
        <v>8</v>
      </c>
      <c r="T2287" s="12">
        <v>5</v>
      </c>
      <c r="U2287" s="12">
        <v>8</v>
      </c>
      <c r="V2287" s="12">
        <v>4</v>
      </c>
      <c r="W2287" s="12">
        <v>6</v>
      </c>
      <c r="X2287" s="12">
        <v>13</v>
      </c>
      <c r="Y2287" s="12">
        <v>4</v>
      </c>
      <c r="Z2287" s="12">
        <v>6</v>
      </c>
      <c r="AA2287" s="12">
        <v>11</v>
      </c>
      <c r="AB2287" s="12">
        <v>17</v>
      </c>
      <c r="AC2287" s="12">
        <v>7</v>
      </c>
      <c r="AD2287" s="12">
        <v>8</v>
      </c>
      <c r="AE2287" s="12">
        <v>10</v>
      </c>
      <c r="AF2287" s="12">
        <v>9</v>
      </c>
      <c r="AG2287" s="12">
        <v>14</v>
      </c>
      <c r="AH2287" s="12">
        <v>16</v>
      </c>
      <c r="AI2287" s="12">
        <v>7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5">
        <v>0</v>
      </c>
      <c r="BD2287" s="15">
        <v>0</v>
      </c>
      <c r="BE2287" s="15">
        <v>0</v>
      </c>
      <c r="BF2287" s="15">
        <v>0</v>
      </c>
      <c r="BG2287" s="15">
        <v>0</v>
      </c>
      <c r="BH2287" s="15">
        <v>0</v>
      </c>
      <c r="BI2287" s="15">
        <v>0</v>
      </c>
      <c r="BJ2287" s="15">
        <v>0</v>
      </c>
      <c r="BK2287" s="15">
        <v>0</v>
      </c>
      <c r="BL2287" s="15">
        <v>0</v>
      </c>
      <c r="BM2287" s="15">
        <v>0</v>
      </c>
      <c r="BN2287" s="15">
        <v>0</v>
      </c>
      <c r="BO2287" s="15">
        <v>0</v>
      </c>
      <c r="BP2287" s="15">
        <v>0</v>
      </c>
      <c r="BQ2287" s="15">
        <v>0</v>
      </c>
      <c r="BR2287" s="15">
        <v>0</v>
      </c>
      <c r="BS2287" s="15">
        <v>0</v>
      </c>
      <c r="BT2287" s="15">
        <v>0</v>
      </c>
      <c r="BU2287" s="15">
        <v>0</v>
      </c>
      <c r="BV2287" s="53"/>
      <c r="BW2287" s="16">
        <v>-1</v>
      </c>
      <c r="BZ2287" s="14">
        <f t="shared" si="144"/>
        <v>19</v>
      </c>
      <c r="CA2287" t="s">
        <v>5832</v>
      </c>
    </row>
    <row r="2288" spans="1:79" hidden="1">
      <c r="A2288" s="12">
        <v>2386</v>
      </c>
      <c r="B2288" s="12">
        <v>1</v>
      </c>
      <c r="C2288" s="12" t="s">
        <v>5559</v>
      </c>
      <c r="D2288" s="12" t="s">
        <v>73</v>
      </c>
      <c r="E2288" s="12" t="s">
        <v>73</v>
      </c>
      <c r="F2288" s="12" t="s">
        <v>107</v>
      </c>
      <c r="G2288" s="12" t="s">
        <v>5821</v>
      </c>
      <c r="H2288" s="12">
        <v>55.8</v>
      </c>
      <c r="I2288" s="12">
        <v>443</v>
      </c>
      <c r="J2288" s="12">
        <v>47919</v>
      </c>
      <c r="K2288" s="12" t="s">
        <v>5560</v>
      </c>
      <c r="L2288" s="12">
        <v>-1</v>
      </c>
      <c r="M2288" s="13"/>
      <c r="N2288" s="12">
        <v>215</v>
      </c>
      <c r="O2288" s="12">
        <v>46</v>
      </c>
      <c r="P2288" s="12">
        <v>0.214</v>
      </c>
      <c r="Q2288" s="12">
        <v>6</v>
      </c>
      <c r="R2288" s="12">
        <v>5</v>
      </c>
      <c r="S2288" s="12">
        <v>6</v>
      </c>
      <c r="T2288" s="12">
        <v>6</v>
      </c>
      <c r="U2288" s="12">
        <v>6</v>
      </c>
      <c r="V2288" s="12">
        <v>5</v>
      </c>
      <c r="W2288" s="12">
        <v>10</v>
      </c>
      <c r="X2288" s="12">
        <v>10</v>
      </c>
      <c r="Y2288" s="12">
        <v>5</v>
      </c>
      <c r="Z2288" s="12">
        <v>4</v>
      </c>
      <c r="AA2288" s="12">
        <v>31</v>
      </c>
      <c r="AB2288" s="12">
        <v>40</v>
      </c>
      <c r="AC2288" s="12">
        <v>7</v>
      </c>
      <c r="AD2288" s="12">
        <v>5</v>
      </c>
      <c r="AE2288" s="12">
        <v>8</v>
      </c>
      <c r="AF2288" s="12">
        <v>14</v>
      </c>
      <c r="AG2288" s="12">
        <v>26</v>
      </c>
      <c r="AH2288" s="12">
        <v>13</v>
      </c>
      <c r="AI2288" s="12">
        <v>8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13</v>
      </c>
      <c r="AU2288" s="12">
        <v>18</v>
      </c>
      <c r="AV2288" s="12">
        <v>0</v>
      </c>
      <c r="AW2288" s="12">
        <v>0</v>
      </c>
      <c r="AX2288" s="12">
        <v>1</v>
      </c>
      <c r="AY2288" s="12">
        <v>3</v>
      </c>
      <c r="AZ2288" s="12">
        <v>11</v>
      </c>
      <c r="BA2288" s="12">
        <v>0</v>
      </c>
      <c r="BB2288" s="12">
        <v>0</v>
      </c>
      <c r="BC2288" s="15">
        <v>1.018</v>
      </c>
      <c r="BD2288" s="15">
        <v>0.69799999999999995</v>
      </c>
      <c r="BE2288" s="15">
        <v>0.47499999999999998</v>
      </c>
      <c r="BF2288" s="15">
        <v>0.65900000000000003</v>
      </c>
      <c r="BG2288" s="15">
        <v>0.47499999999999998</v>
      </c>
      <c r="BH2288" s="15">
        <v>0.63400000000000001</v>
      </c>
      <c r="BI2288" s="15">
        <v>2.4209999999999998</v>
      </c>
      <c r="BJ2288" s="15">
        <v>3.68</v>
      </c>
      <c r="BK2288" s="15">
        <v>0.73799999999999999</v>
      </c>
      <c r="BL2288" s="15">
        <v>0.72399999999999998</v>
      </c>
      <c r="BM2288" s="15">
        <v>21.108000000000001</v>
      </c>
      <c r="BN2288" s="15">
        <v>27.721</v>
      </c>
      <c r="BO2288" s="15">
        <v>1.26</v>
      </c>
      <c r="BP2288" s="15">
        <v>0.82399999999999995</v>
      </c>
      <c r="BQ2288" s="15">
        <v>2.2669999999999999</v>
      </c>
      <c r="BR2288" s="15">
        <v>6.0270000000000001</v>
      </c>
      <c r="BS2288" s="15">
        <v>18.7</v>
      </c>
      <c r="BT2288" s="15">
        <v>2.2949999999999999</v>
      </c>
      <c r="BU2288" s="15">
        <v>1.714</v>
      </c>
      <c r="BV2288" s="53"/>
      <c r="BW2288" s="16">
        <v>-1</v>
      </c>
      <c r="BZ2288" s="14">
        <f t="shared" si="144"/>
        <v>0</v>
      </c>
      <c r="CA2288" t="s">
        <v>5832</v>
      </c>
    </row>
    <row r="2289" spans="1:79" hidden="1">
      <c r="A2289" s="12">
        <v>2388</v>
      </c>
      <c r="B2289" s="12">
        <v>1</v>
      </c>
      <c r="C2289" s="12" t="s">
        <v>5563</v>
      </c>
      <c r="D2289" s="12" t="s">
        <v>73</v>
      </c>
      <c r="E2289" s="12" t="s">
        <v>73</v>
      </c>
      <c r="F2289" s="12" t="s">
        <v>5564</v>
      </c>
      <c r="G2289" s="12" t="s">
        <v>5821</v>
      </c>
      <c r="H2289" s="12">
        <v>14.8</v>
      </c>
      <c r="I2289" s="12">
        <v>446</v>
      </c>
      <c r="J2289" s="12">
        <v>49106</v>
      </c>
      <c r="K2289" s="12" t="s">
        <v>5565</v>
      </c>
      <c r="L2289" s="12">
        <v>-1</v>
      </c>
      <c r="M2289" s="13"/>
      <c r="N2289" s="12">
        <v>76</v>
      </c>
      <c r="O2289" s="12">
        <v>5</v>
      </c>
      <c r="P2289" s="12">
        <v>6.6000000000000003E-2</v>
      </c>
      <c r="Q2289" s="12">
        <v>5</v>
      </c>
      <c r="R2289" s="12">
        <v>1</v>
      </c>
      <c r="S2289" s="12">
        <v>2</v>
      </c>
      <c r="T2289" s="12">
        <v>0</v>
      </c>
      <c r="U2289" s="12">
        <v>2</v>
      </c>
      <c r="V2289" s="12">
        <v>2</v>
      </c>
      <c r="W2289" s="12">
        <v>4</v>
      </c>
      <c r="X2289" s="12">
        <v>12</v>
      </c>
      <c r="Y2289" s="12">
        <v>2</v>
      </c>
      <c r="Z2289" s="12">
        <v>1</v>
      </c>
      <c r="AA2289" s="12">
        <v>2</v>
      </c>
      <c r="AB2289" s="12">
        <v>3</v>
      </c>
      <c r="AC2289" s="12">
        <v>0</v>
      </c>
      <c r="AD2289" s="12">
        <v>2</v>
      </c>
      <c r="AE2289" s="12">
        <v>1</v>
      </c>
      <c r="AF2289" s="12">
        <v>2</v>
      </c>
      <c r="AG2289" s="12">
        <v>14</v>
      </c>
      <c r="AH2289" s="12">
        <v>10</v>
      </c>
      <c r="AI2289" s="12">
        <v>11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1</v>
      </c>
      <c r="AU2289" s="12">
        <v>0</v>
      </c>
      <c r="AV2289" s="12">
        <v>0</v>
      </c>
      <c r="AW2289" s="12">
        <v>1</v>
      </c>
      <c r="AX2289" s="12">
        <v>0</v>
      </c>
      <c r="AY2289" s="12">
        <v>0</v>
      </c>
      <c r="AZ2289" s="12">
        <v>3</v>
      </c>
      <c r="BA2289" s="12">
        <v>0</v>
      </c>
      <c r="BB2289" s="12">
        <v>0</v>
      </c>
      <c r="BC2289" s="15">
        <v>0.105</v>
      </c>
      <c r="BD2289" s="15">
        <v>2.7E-2</v>
      </c>
      <c r="BE2289" s="15">
        <v>4.3999999999999997E-2</v>
      </c>
      <c r="BF2289" s="15">
        <v>0</v>
      </c>
      <c r="BG2289" s="15">
        <v>4.3999999999999997E-2</v>
      </c>
      <c r="BH2289" s="15">
        <v>4.3999999999999997E-2</v>
      </c>
      <c r="BI2289" s="15">
        <v>7.8E-2</v>
      </c>
      <c r="BJ2289" s="15">
        <v>0.224</v>
      </c>
      <c r="BK2289" s="15">
        <v>5.3999999999999999E-2</v>
      </c>
      <c r="BL2289" s="15">
        <v>2.7E-2</v>
      </c>
      <c r="BM2289" s="15">
        <v>1.0269999999999999</v>
      </c>
      <c r="BN2289" s="15">
        <v>6.0999999999999999E-2</v>
      </c>
      <c r="BO2289" s="15">
        <v>0</v>
      </c>
      <c r="BP2289" s="15">
        <v>1.0269999999999999</v>
      </c>
      <c r="BQ2289" s="15">
        <v>2.7E-2</v>
      </c>
      <c r="BR2289" s="15">
        <v>5.3999999999999999E-2</v>
      </c>
      <c r="BS2289" s="15">
        <v>3.218</v>
      </c>
      <c r="BT2289" s="15">
        <v>0.18</v>
      </c>
      <c r="BU2289" s="15">
        <v>0.19700000000000001</v>
      </c>
      <c r="BV2289" s="53"/>
      <c r="BW2289" s="16">
        <v>-1</v>
      </c>
      <c r="BZ2289" s="14">
        <f t="shared" si="144"/>
        <v>2</v>
      </c>
      <c r="CA2289" t="s">
        <v>5832</v>
      </c>
    </row>
    <row r="2290" spans="1:79" hidden="1">
      <c r="A2290" s="12">
        <v>2411</v>
      </c>
      <c r="B2290" s="12">
        <v>1</v>
      </c>
      <c r="C2290" s="12" t="s">
        <v>5620</v>
      </c>
      <c r="D2290" s="12" t="s">
        <v>73</v>
      </c>
      <c r="E2290" s="12" t="s">
        <v>5621</v>
      </c>
      <c r="F2290" s="12" t="s">
        <v>5622</v>
      </c>
      <c r="G2290" s="12" t="s">
        <v>5821</v>
      </c>
      <c r="H2290" s="12">
        <v>54.4</v>
      </c>
      <c r="I2290" s="12">
        <v>430</v>
      </c>
      <c r="J2290" s="12">
        <v>48079</v>
      </c>
      <c r="K2290" s="12" t="s">
        <v>5623</v>
      </c>
      <c r="L2290" s="12">
        <v>-1</v>
      </c>
      <c r="M2290" s="13"/>
      <c r="N2290" s="12">
        <v>141</v>
      </c>
      <c r="O2290" s="12">
        <v>114</v>
      </c>
      <c r="P2290" s="12">
        <v>0.80900000000000005</v>
      </c>
      <c r="Q2290" s="12">
        <v>0</v>
      </c>
      <c r="R2290" s="12">
        <v>3</v>
      </c>
      <c r="S2290" s="12">
        <v>2</v>
      </c>
      <c r="T2290" s="12">
        <v>2</v>
      </c>
      <c r="U2290" s="12">
        <v>4</v>
      </c>
      <c r="V2290" s="12">
        <v>1</v>
      </c>
      <c r="W2290" s="12">
        <v>1</v>
      </c>
      <c r="X2290" s="12">
        <v>1</v>
      </c>
      <c r="Y2290" s="12">
        <v>15</v>
      </c>
      <c r="Z2290" s="12">
        <v>3</v>
      </c>
      <c r="AA2290" s="12">
        <v>27</v>
      </c>
      <c r="AB2290" s="12">
        <v>16</v>
      </c>
      <c r="AC2290" s="12">
        <v>32</v>
      </c>
      <c r="AD2290" s="12">
        <v>7</v>
      </c>
      <c r="AE2290" s="12">
        <v>6</v>
      </c>
      <c r="AF2290" s="12">
        <v>9</v>
      </c>
      <c r="AG2290" s="12">
        <v>4</v>
      </c>
      <c r="AH2290" s="12">
        <v>7</v>
      </c>
      <c r="AI2290" s="12">
        <v>1</v>
      </c>
      <c r="AJ2290" s="12">
        <v>0</v>
      </c>
      <c r="AK2290" s="12">
        <v>2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15</v>
      </c>
      <c r="AS2290" s="12">
        <v>2</v>
      </c>
      <c r="AT2290" s="12">
        <v>26</v>
      </c>
      <c r="AU2290" s="12">
        <v>13</v>
      </c>
      <c r="AV2290" s="12">
        <v>31</v>
      </c>
      <c r="AW2290" s="12">
        <v>6</v>
      </c>
      <c r="AX2290" s="12">
        <v>5</v>
      </c>
      <c r="AY2290" s="12">
        <v>7</v>
      </c>
      <c r="AZ2290" s="12">
        <v>3</v>
      </c>
      <c r="BA2290" s="12">
        <v>4</v>
      </c>
      <c r="BB2290" s="12">
        <v>0</v>
      </c>
      <c r="BC2290" s="15">
        <v>0</v>
      </c>
      <c r="BD2290" s="15">
        <v>2.1469999999999998</v>
      </c>
      <c r="BE2290" s="15">
        <v>0.29299999999999998</v>
      </c>
      <c r="BF2290" s="15">
        <v>0.29299999999999998</v>
      </c>
      <c r="BG2290" s="15">
        <v>0.86899999999999999</v>
      </c>
      <c r="BH2290" s="15">
        <v>0.14699999999999999</v>
      </c>
      <c r="BI2290" s="15">
        <v>0.14699999999999999</v>
      </c>
      <c r="BJ2290" s="15">
        <v>0.14699999999999999</v>
      </c>
      <c r="BK2290" s="15">
        <v>15</v>
      </c>
      <c r="BL2290" s="15">
        <v>2.2879999999999998</v>
      </c>
      <c r="BM2290" s="15">
        <v>26.288</v>
      </c>
      <c r="BN2290" s="15">
        <v>13.581</v>
      </c>
      <c r="BO2290" s="15">
        <v>31.288</v>
      </c>
      <c r="BP2290" s="15">
        <v>6.2880000000000003</v>
      </c>
      <c r="BQ2290" s="15">
        <v>5.2880000000000003</v>
      </c>
      <c r="BR2290" s="15">
        <v>7.4349999999999996</v>
      </c>
      <c r="BS2290" s="15">
        <v>3.1469999999999998</v>
      </c>
      <c r="BT2290" s="15">
        <v>4.5810000000000004</v>
      </c>
      <c r="BU2290" s="15">
        <v>0.14699999999999999</v>
      </c>
      <c r="BV2290" s="53"/>
      <c r="BW2290" s="16">
        <v>-1</v>
      </c>
      <c r="BZ2290" s="14">
        <f t="shared" si="144"/>
        <v>1</v>
      </c>
      <c r="CA2290" t="s">
        <v>5832</v>
      </c>
    </row>
    <row r="2291" spans="1:79" hidden="1">
      <c r="A2291" s="12">
        <v>2413</v>
      </c>
      <c r="B2291" s="12">
        <v>1</v>
      </c>
      <c r="C2291" s="12" t="s">
        <v>5627</v>
      </c>
      <c r="D2291" s="12" t="s">
        <v>73</v>
      </c>
      <c r="E2291" s="12" t="s">
        <v>5628</v>
      </c>
      <c r="F2291" s="12" t="s">
        <v>5629</v>
      </c>
      <c r="G2291" s="12" t="s">
        <v>5821</v>
      </c>
      <c r="H2291" s="12">
        <v>54.4</v>
      </c>
      <c r="I2291" s="12">
        <v>619</v>
      </c>
      <c r="J2291" s="12">
        <v>62935</v>
      </c>
      <c r="K2291" s="12" t="s">
        <v>5630</v>
      </c>
      <c r="L2291" s="12">
        <v>-1</v>
      </c>
      <c r="M2291" s="13"/>
      <c r="N2291" s="12">
        <v>427</v>
      </c>
      <c r="O2291" s="12">
        <v>33</v>
      </c>
      <c r="P2291" s="12">
        <v>7.6999999999999999E-2</v>
      </c>
      <c r="Q2291" s="12">
        <v>25</v>
      </c>
      <c r="R2291" s="12">
        <v>14</v>
      </c>
      <c r="S2291" s="12">
        <v>15</v>
      </c>
      <c r="T2291" s="12">
        <v>12</v>
      </c>
      <c r="U2291" s="12">
        <v>16</v>
      </c>
      <c r="V2291" s="12">
        <v>17</v>
      </c>
      <c r="W2291" s="12">
        <v>21</v>
      </c>
      <c r="X2291" s="12">
        <v>34</v>
      </c>
      <c r="Y2291" s="12">
        <v>16</v>
      </c>
      <c r="Z2291" s="12">
        <v>11</v>
      </c>
      <c r="AA2291" s="12">
        <v>20</v>
      </c>
      <c r="AB2291" s="12">
        <v>24</v>
      </c>
      <c r="AC2291" s="12">
        <v>11</v>
      </c>
      <c r="AD2291" s="12">
        <v>17</v>
      </c>
      <c r="AE2291" s="12">
        <v>16</v>
      </c>
      <c r="AF2291" s="12">
        <v>22</v>
      </c>
      <c r="AG2291" s="12">
        <v>68</v>
      </c>
      <c r="AH2291" s="12">
        <v>33</v>
      </c>
      <c r="AI2291" s="12">
        <v>35</v>
      </c>
      <c r="AJ2291" s="12">
        <v>1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0</v>
      </c>
      <c r="AQ2291" s="12">
        <v>1</v>
      </c>
      <c r="AR2291" s="12">
        <v>2</v>
      </c>
      <c r="AS2291" s="12">
        <v>0</v>
      </c>
      <c r="AT2291" s="12">
        <v>0</v>
      </c>
      <c r="AU2291" s="12">
        <v>0</v>
      </c>
      <c r="AV2291" s="12">
        <v>0</v>
      </c>
      <c r="AW2291" s="12">
        <v>0</v>
      </c>
      <c r="AX2291" s="12">
        <v>1</v>
      </c>
      <c r="AY2291" s="12">
        <v>0</v>
      </c>
      <c r="AZ2291" s="12">
        <v>26</v>
      </c>
      <c r="BA2291" s="12">
        <v>1</v>
      </c>
      <c r="BB2291" s="12">
        <v>1</v>
      </c>
      <c r="BC2291" s="15">
        <v>4.9729999999999999</v>
      </c>
      <c r="BD2291" s="15">
        <v>2.4540000000000002</v>
      </c>
      <c r="BE2291" s="15">
        <v>2.028</v>
      </c>
      <c r="BF2291" s="15">
        <v>1.673</v>
      </c>
      <c r="BG2291" s="15">
        <v>2.2509999999999999</v>
      </c>
      <c r="BH2291" s="15">
        <v>2.762</v>
      </c>
      <c r="BI2291" s="15">
        <v>3.431</v>
      </c>
      <c r="BJ2291" s="15">
        <v>6.266</v>
      </c>
      <c r="BK2291" s="15">
        <v>4.5519999999999996</v>
      </c>
      <c r="BL2291" s="15">
        <v>1.966</v>
      </c>
      <c r="BM2291" s="15">
        <v>3.7650000000000001</v>
      </c>
      <c r="BN2291" s="15">
        <v>3.742</v>
      </c>
      <c r="BO2291" s="15">
        <v>1.9</v>
      </c>
      <c r="BP2291" s="15">
        <v>2.86</v>
      </c>
      <c r="BQ2291" s="15">
        <v>3.78</v>
      </c>
      <c r="BR2291" s="15">
        <v>3.79</v>
      </c>
      <c r="BS2291" s="15">
        <v>34.298999999999999</v>
      </c>
      <c r="BT2291" s="15">
        <v>5.4729999999999999</v>
      </c>
      <c r="BU2291" s="15">
        <v>6.3460000000000001</v>
      </c>
      <c r="BV2291" s="53"/>
      <c r="BW2291" s="16">
        <v>-1</v>
      </c>
      <c r="BZ2291" s="14">
        <f t="shared" si="144"/>
        <v>0</v>
      </c>
      <c r="CA2291" t="s">
        <v>5832</v>
      </c>
    </row>
    <row r="2292" spans="1:79" hidden="1">
      <c r="A2292" s="12">
        <v>2416</v>
      </c>
      <c r="B2292" s="12">
        <v>1</v>
      </c>
      <c r="C2292" s="12" t="s">
        <v>5639</v>
      </c>
      <c r="D2292" s="12" t="s">
        <v>73</v>
      </c>
      <c r="E2292" s="12" t="s">
        <v>5640</v>
      </c>
      <c r="F2292" s="12" t="s">
        <v>5641</v>
      </c>
      <c r="G2292" s="12" t="s">
        <v>5821</v>
      </c>
      <c r="H2292" s="12">
        <v>68.7</v>
      </c>
      <c r="I2292" s="12">
        <v>492</v>
      </c>
      <c r="J2292" s="12">
        <v>54450</v>
      </c>
      <c r="K2292" s="12" t="s">
        <v>5642</v>
      </c>
      <c r="L2292" s="12">
        <v>-1</v>
      </c>
      <c r="M2292" s="13"/>
      <c r="N2292" s="12">
        <v>410</v>
      </c>
      <c r="O2292" s="12">
        <v>227</v>
      </c>
      <c r="P2292" s="12">
        <v>0.55400000000000005</v>
      </c>
      <c r="Q2292" s="12">
        <v>3</v>
      </c>
      <c r="R2292" s="12">
        <v>12</v>
      </c>
      <c r="S2292" s="12">
        <v>6</v>
      </c>
      <c r="T2292" s="12">
        <v>2</v>
      </c>
      <c r="U2292" s="12">
        <v>2</v>
      </c>
      <c r="V2292" s="12">
        <v>0</v>
      </c>
      <c r="W2292" s="12">
        <v>1</v>
      </c>
      <c r="X2292" s="12">
        <v>4</v>
      </c>
      <c r="Y2292" s="12">
        <v>60</v>
      </c>
      <c r="Z2292" s="12">
        <v>11</v>
      </c>
      <c r="AA2292" s="12">
        <v>54</v>
      </c>
      <c r="AB2292" s="12">
        <v>65</v>
      </c>
      <c r="AC2292" s="12">
        <v>60</v>
      </c>
      <c r="AD2292" s="12">
        <v>18</v>
      </c>
      <c r="AE2292" s="12">
        <v>27</v>
      </c>
      <c r="AF2292" s="12">
        <v>29</v>
      </c>
      <c r="AG2292" s="12">
        <v>19</v>
      </c>
      <c r="AH2292" s="12">
        <v>27</v>
      </c>
      <c r="AI2292" s="12">
        <v>10</v>
      </c>
      <c r="AJ2292" s="12">
        <v>2</v>
      </c>
      <c r="AK2292" s="12">
        <v>9</v>
      </c>
      <c r="AL2292" s="12">
        <v>3</v>
      </c>
      <c r="AM2292" s="12">
        <v>0</v>
      </c>
      <c r="AN2292" s="12">
        <v>0</v>
      </c>
      <c r="AO2292" s="12">
        <v>0</v>
      </c>
      <c r="AP2292" s="12">
        <v>0</v>
      </c>
      <c r="AQ2292" s="12">
        <v>2</v>
      </c>
      <c r="AR2292" s="12">
        <v>35</v>
      </c>
      <c r="AS2292" s="12">
        <v>5</v>
      </c>
      <c r="AT2292" s="12">
        <v>30</v>
      </c>
      <c r="AU2292" s="12">
        <v>36</v>
      </c>
      <c r="AV2292" s="12">
        <v>31</v>
      </c>
      <c r="AW2292" s="12">
        <v>10</v>
      </c>
      <c r="AX2292" s="12">
        <v>16</v>
      </c>
      <c r="AY2292" s="12">
        <v>17</v>
      </c>
      <c r="AZ2292" s="12">
        <v>12</v>
      </c>
      <c r="BA2292" s="12">
        <v>12</v>
      </c>
      <c r="BB2292" s="12">
        <v>7</v>
      </c>
      <c r="BC2292" s="15">
        <v>2.1240000000000001</v>
      </c>
      <c r="BD2292" s="15">
        <v>10.653</v>
      </c>
      <c r="BE2292" s="15">
        <v>4.3040000000000003</v>
      </c>
      <c r="BF2292" s="15">
        <v>0.309</v>
      </c>
      <c r="BG2292" s="15">
        <v>0.309</v>
      </c>
      <c r="BH2292" s="15">
        <v>0</v>
      </c>
      <c r="BI2292" s="15">
        <v>0.124</v>
      </c>
      <c r="BJ2292" s="15">
        <v>2.3090000000000002</v>
      </c>
      <c r="BK2292" s="15">
        <v>51.781999999999996</v>
      </c>
      <c r="BL2292" s="15">
        <v>7.8959999999999999</v>
      </c>
      <c r="BM2292" s="15">
        <v>45.826000000000001</v>
      </c>
      <c r="BN2292" s="15">
        <v>55.84</v>
      </c>
      <c r="BO2292" s="15">
        <v>51.177999999999997</v>
      </c>
      <c r="BP2292" s="15">
        <v>14.425000000000001</v>
      </c>
      <c r="BQ2292" s="15">
        <v>23.835000000000001</v>
      </c>
      <c r="BR2292" s="15">
        <v>23.42</v>
      </c>
      <c r="BS2292" s="15">
        <v>16.367000000000001</v>
      </c>
      <c r="BT2292" s="15">
        <v>21.748000000000001</v>
      </c>
      <c r="BU2292" s="15">
        <v>7.4329999999999998</v>
      </c>
      <c r="BV2292" s="53"/>
      <c r="BW2292" s="16">
        <v>-1</v>
      </c>
      <c r="BZ2292" s="14">
        <f t="shared" si="144"/>
        <v>1</v>
      </c>
      <c r="CA2292" t="s">
        <v>5832</v>
      </c>
    </row>
    <row r="2293" spans="1:79" hidden="1">
      <c r="A2293" s="12">
        <v>2417</v>
      </c>
      <c r="B2293" s="12">
        <v>1</v>
      </c>
      <c r="C2293" s="12" t="s">
        <v>5643</v>
      </c>
      <c r="D2293" s="12" t="s">
        <v>73</v>
      </c>
      <c r="E2293" s="12" t="s">
        <v>5644</v>
      </c>
      <c r="F2293" s="12" t="s">
        <v>5641</v>
      </c>
      <c r="G2293" s="12" t="s">
        <v>5821</v>
      </c>
      <c r="H2293" s="12">
        <v>77.8</v>
      </c>
      <c r="I2293" s="12">
        <v>464</v>
      </c>
      <c r="J2293" s="12">
        <v>51448</v>
      </c>
      <c r="K2293" s="12" t="s">
        <v>5645</v>
      </c>
      <c r="L2293" s="12">
        <v>-1</v>
      </c>
      <c r="M2293" s="13"/>
      <c r="N2293" s="12">
        <v>325</v>
      </c>
      <c r="O2293" s="12">
        <v>202</v>
      </c>
      <c r="P2293" s="12">
        <v>0.622</v>
      </c>
      <c r="Q2293" s="12">
        <v>1</v>
      </c>
      <c r="R2293" s="12">
        <v>5</v>
      </c>
      <c r="S2293" s="12">
        <v>4</v>
      </c>
      <c r="T2293" s="12">
        <v>2</v>
      </c>
      <c r="U2293" s="12">
        <v>3</v>
      </c>
      <c r="V2293" s="12">
        <v>0</v>
      </c>
      <c r="W2293" s="12">
        <v>1</v>
      </c>
      <c r="X2293" s="12">
        <v>3</v>
      </c>
      <c r="Y2293" s="12">
        <v>42</v>
      </c>
      <c r="Z2293" s="12">
        <v>10</v>
      </c>
      <c r="AA2293" s="12">
        <v>62</v>
      </c>
      <c r="AB2293" s="12">
        <v>63</v>
      </c>
      <c r="AC2293" s="12">
        <v>45</v>
      </c>
      <c r="AD2293" s="12">
        <v>14</v>
      </c>
      <c r="AE2293" s="12">
        <v>21</v>
      </c>
      <c r="AF2293" s="12">
        <v>19</v>
      </c>
      <c r="AG2293" s="12">
        <v>6</v>
      </c>
      <c r="AH2293" s="12">
        <v>20</v>
      </c>
      <c r="AI2293" s="12">
        <v>4</v>
      </c>
      <c r="AJ2293" s="12">
        <v>0</v>
      </c>
      <c r="AK2293" s="12">
        <v>3</v>
      </c>
      <c r="AL2293" s="12">
        <v>2</v>
      </c>
      <c r="AM2293" s="12">
        <v>0</v>
      </c>
      <c r="AN2293" s="12">
        <v>0</v>
      </c>
      <c r="AO2293" s="12">
        <v>0</v>
      </c>
      <c r="AP2293" s="12">
        <v>0</v>
      </c>
      <c r="AQ2293" s="12">
        <v>1</v>
      </c>
      <c r="AR2293" s="12">
        <v>27</v>
      </c>
      <c r="AS2293" s="12">
        <v>5</v>
      </c>
      <c r="AT2293" s="12">
        <v>45</v>
      </c>
      <c r="AU2293" s="12">
        <v>45</v>
      </c>
      <c r="AV2293" s="12">
        <v>28</v>
      </c>
      <c r="AW2293" s="12">
        <v>8</v>
      </c>
      <c r="AX2293" s="12">
        <v>16</v>
      </c>
      <c r="AY2293" s="12">
        <v>9</v>
      </c>
      <c r="AZ2293" s="12">
        <v>1</v>
      </c>
      <c r="BA2293" s="12">
        <v>11</v>
      </c>
      <c r="BB2293" s="12">
        <v>1</v>
      </c>
      <c r="BC2293" s="15">
        <v>0.11</v>
      </c>
      <c r="BD2293" s="15">
        <v>3.581</v>
      </c>
      <c r="BE2293" s="15">
        <v>2.2749999999999999</v>
      </c>
      <c r="BF2293" s="15">
        <v>0.27500000000000002</v>
      </c>
      <c r="BG2293" s="15">
        <v>0.996</v>
      </c>
      <c r="BH2293" s="15">
        <v>0</v>
      </c>
      <c r="BI2293" s="15">
        <v>0.11</v>
      </c>
      <c r="BJ2293" s="15">
        <v>1.2749999999999999</v>
      </c>
      <c r="BK2293" s="15">
        <v>33.034999999999997</v>
      </c>
      <c r="BL2293" s="15">
        <v>6.6870000000000003</v>
      </c>
      <c r="BM2293" s="15">
        <v>52.744</v>
      </c>
      <c r="BN2293" s="15">
        <v>52.807000000000002</v>
      </c>
      <c r="BO2293" s="15">
        <v>35.277999999999999</v>
      </c>
      <c r="BP2293" s="15">
        <v>10.157999999999999</v>
      </c>
      <c r="BQ2293" s="15">
        <v>17.632999999999999</v>
      </c>
      <c r="BR2293" s="15">
        <v>12.933</v>
      </c>
      <c r="BS2293" s="15">
        <v>2.9380000000000002</v>
      </c>
      <c r="BT2293" s="15">
        <v>14.339</v>
      </c>
      <c r="BU2293" s="15">
        <v>1.385</v>
      </c>
      <c r="BV2293" s="53"/>
      <c r="BW2293" s="16">
        <v>-1</v>
      </c>
      <c r="BZ2293" s="14">
        <f t="shared" si="144"/>
        <v>1</v>
      </c>
      <c r="CA2293" t="s">
        <v>5832</v>
      </c>
    </row>
    <row r="2294" spans="1:79" hidden="1">
      <c r="A2294" s="12">
        <v>2418</v>
      </c>
      <c r="B2294" s="12">
        <v>1</v>
      </c>
      <c r="C2294" s="12" t="s">
        <v>5646</v>
      </c>
      <c r="D2294" s="12" t="s">
        <v>73</v>
      </c>
      <c r="E2294" s="12" t="s">
        <v>5647</v>
      </c>
      <c r="F2294" s="12" t="s">
        <v>5637</v>
      </c>
      <c r="G2294" s="12" t="s">
        <v>5821</v>
      </c>
      <c r="H2294" s="12">
        <v>64.5</v>
      </c>
      <c r="I2294" s="12">
        <v>591</v>
      </c>
      <c r="J2294" s="12">
        <v>62270</v>
      </c>
      <c r="K2294" s="12" t="s">
        <v>5648</v>
      </c>
      <c r="L2294" s="12">
        <v>-1</v>
      </c>
      <c r="M2294" s="13"/>
      <c r="N2294" s="12">
        <v>276</v>
      </c>
      <c r="O2294" s="12">
        <v>23</v>
      </c>
      <c r="P2294" s="12">
        <v>8.3000000000000004E-2</v>
      </c>
      <c r="Q2294" s="12">
        <v>5</v>
      </c>
      <c r="R2294" s="12">
        <v>3</v>
      </c>
      <c r="S2294" s="12">
        <v>10</v>
      </c>
      <c r="T2294" s="12">
        <v>7</v>
      </c>
      <c r="U2294" s="12">
        <v>6</v>
      </c>
      <c r="V2294" s="12">
        <v>7</v>
      </c>
      <c r="W2294" s="12">
        <v>9</v>
      </c>
      <c r="X2294" s="12">
        <v>25</v>
      </c>
      <c r="Y2294" s="12">
        <v>5</v>
      </c>
      <c r="Z2294" s="12">
        <v>2</v>
      </c>
      <c r="AA2294" s="12">
        <v>29</v>
      </c>
      <c r="AB2294" s="12">
        <v>55</v>
      </c>
      <c r="AC2294" s="12">
        <v>4</v>
      </c>
      <c r="AD2294" s="12">
        <v>6</v>
      </c>
      <c r="AE2294" s="12">
        <v>12</v>
      </c>
      <c r="AF2294" s="12">
        <v>16</v>
      </c>
      <c r="AG2294" s="12">
        <v>38</v>
      </c>
      <c r="AH2294" s="12">
        <v>21</v>
      </c>
      <c r="AI2294" s="12">
        <v>16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1</v>
      </c>
      <c r="AR2294" s="12">
        <v>0</v>
      </c>
      <c r="AS2294" s="12">
        <v>0</v>
      </c>
      <c r="AT2294" s="12">
        <v>7</v>
      </c>
      <c r="AU2294" s="12">
        <v>10</v>
      </c>
      <c r="AV2294" s="12">
        <v>0</v>
      </c>
      <c r="AW2294" s="12">
        <v>0</v>
      </c>
      <c r="AX2294" s="12">
        <v>0</v>
      </c>
      <c r="AY2294" s="12">
        <v>1</v>
      </c>
      <c r="AZ2294" s="12">
        <v>4</v>
      </c>
      <c r="BA2294" s="12">
        <v>0</v>
      </c>
      <c r="BB2294" s="12">
        <v>0</v>
      </c>
      <c r="BC2294" s="15">
        <v>3.0489999999999999</v>
      </c>
      <c r="BD2294" s="15">
        <v>6.5000000000000002E-2</v>
      </c>
      <c r="BE2294" s="15">
        <v>1.361</v>
      </c>
      <c r="BF2294" s="15">
        <v>1.1559999999999999</v>
      </c>
      <c r="BG2294" s="15">
        <v>1.101</v>
      </c>
      <c r="BH2294" s="15">
        <v>2.4249999999999998</v>
      </c>
      <c r="BI2294" s="15">
        <v>5.38</v>
      </c>
      <c r="BJ2294" s="15">
        <v>18.614000000000001</v>
      </c>
      <c r="BK2294" s="15">
        <v>1.345</v>
      </c>
      <c r="BL2294" s="15">
        <v>3.1E-2</v>
      </c>
      <c r="BM2294" s="15">
        <v>22.303000000000001</v>
      </c>
      <c r="BN2294" s="15">
        <v>45.261000000000003</v>
      </c>
      <c r="BO2294" s="15">
        <v>1.3260000000000001</v>
      </c>
      <c r="BP2294" s="15">
        <v>2.355</v>
      </c>
      <c r="BQ2294" s="15">
        <v>8.6210000000000004</v>
      </c>
      <c r="BR2294" s="15">
        <v>11.959</v>
      </c>
      <c r="BS2294" s="15">
        <v>23.370999999999999</v>
      </c>
      <c r="BT2294" s="15">
        <v>14.340999999999999</v>
      </c>
      <c r="BU2294" s="15">
        <v>9.157</v>
      </c>
      <c r="BV2294" s="53"/>
      <c r="BW2294" s="16">
        <v>-1</v>
      </c>
      <c r="BZ2294" s="14">
        <f t="shared" si="144"/>
        <v>0</v>
      </c>
      <c r="CA2294" t="s">
        <v>5832</v>
      </c>
    </row>
    <row r="2295" spans="1:79" hidden="1">
      <c r="A2295" s="12">
        <v>2419</v>
      </c>
      <c r="B2295" s="12">
        <v>1</v>
      </c>
      <c r="C2295" s="12" t="s">
        <v>5649</v>
      </c>
      <c r="D2295" s="12" t="s">
        <v>73</v>
      </c>
      <c r="E2295" s="12" t="s">
        <v>5650</v>
      </c>
      <c r="F2295" s="12" t="s">
        <v>5637</v>
      </c>
      <c r="G2295" s="12" t="s">
        <v>5821</v>
      </c>
      <c r="H2295" s="12">
        <v>18.8</v>
      </c>
      <c r="I2295" s="12">
        <v>526</v>
      </c>
      <c r="J2295" s="12">
        <v>57423</v>
      </c>
      <c r="K2295" s="12" t="s">
        <v>5651</v>
      </c>
      <c r="L2295" s="12">
        <v>-1</v>
      </c>
      <c r="M2295" s="13"/>
      <c r="N2295" s="12">
        <v>70</v>
      </c>
      <c r="O2295" s="12">
        <v>11</v>
      </c>
      <c r="P2295" s="12">
        <v>0.157</v>
      </c>
      <c r="Q2295" s="12">
        <v>1</v>
      </c>
      <c r="R2295" s="12">
        <v>1</v>
      </c>
      <c r="S2295" s="12">
        <v>2</v>
      </c>
      <c r="T2295" s="12">
        <v>2</v>
      </c>
      <c r="U2295" s="12">
        <v>2</v>
      </c>
      <c r="V2295" s="12">
        <v>2</v>
      </c>
      <c r="W2295" s="12">
        <v>2</v>
      </c>
      <c r="X2295" s="12">
        <v>3</v>
      </c>
      <c r="Y2295" s="12">
        <v>3</v>
      </c>
      <c r="Z2295" s="12">
        <v>2</v>
      </c>
      <c r="AA2295" s="12">
        <v>6</v>
      </c>
      <c r="AB2295" s="12">
        <v>6</v>
      </c>
      <c r="AC2295" s="12">
        <v>2</v>
      </c>
      <c r="AD2295" s="12">
        <v>5</v>
      </c>
      <c r="AE2295" s="12">
        <v>4</v>
      </c>
      <c r="AF2295" s="12">
        <v>2</v>
      </c>
      <c r="AG2295" s="12">
        <v>12</v>
      </c>
      <c r="AH2295" s="12">
        <v>8</v>
      </c>
      <c r="AI2295" s="12">
        <v>5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0</v>
      </c>
      <c r="AT2295" s="12">
        <v>1</v>
      </c>
      <c r="AU2295" s="12">
        <v>0</v>
      </c>
      <c r="AV2295" s="12">
        <v>0</v>
      </c>
      <c r="AW2295" s="12">
        <v>2</v>
      </c>
      <c r="AX2295" s="12">
        <v>1</v>
      </c>
      <c r="AY2295" s="12">
        <v>0</v>
      </c>
      <c r="AZ2295" s="12">
        <v>4</v>
      </c>
      <c r="BA2295" s="12">
        <v>2</v>
      </c>
      <c r="BB2295" s="12">
        <v>1</v>
      </c>
      <c r="BC2295" s="15">
        <v>6.0000000000000001E-3</v>
      </c>
      <c r="BD2295" s="15">
        <v>6.0000000000000001E-3</v>
      </c>
      <c r="BE2295" s="15">
        <v>1.4999999999999999E-2</v>
      </c>
      <c r="BF2295" s="15">
        <v>1.4999999999999999E-2</v>
      </c>
      <c r="BG2295" s="15">
        <v>1.4999999999999999E-2</v>
      </c>
      <c r="BH2295" s="15">
        <v>2.8000000000000001E-2</v>
      </c>
      <c r="BI2295" s="15">
        <v>8.4000000000000005E-2</v>
      </c>
      <c r="BJ2295" s="15">
        <v>9.2999999999999999E-2</v>
      </c>
      <c r="BK2295" s="15">
        <v>2.4E-2</v>
      </c>
      <c r="BL2295" s="15">
        <v>1.4999999999999999E-2</v>
      </c>
      <c r="BM2295" s="15">
        <v>1.0940000000000001</v>
      </c>
      <c r="BN2295" s="15">
        <v>0.126</v>
      </c>
      <c r="BO2295" s="15">
        <v>1.4999999999999999E-2</v>
      </c>
      <c r="BP2295" s="15">
        <v>2.0289999999999999</v>
      </c>
      <c r="BQ2295" s="15">
        <v>1.0329999999999999</v>
      </c>
      <c r="BR2295" s="15">
        <v>1.4999999999999999E-2</v>
      </c>
      <c r="BS2295" s="15">
        <v>4.47</v>
      </c>
      <c r="BT2295" s="15">
        <v>2.1389999999999998</v>
      </c>
      <c r="BU2295" s="15">
        <v>1.0349999999999999</v>
      </c>
      <c r="BV2295" s="53"/>
      <c r="BW2295" s="16">
        <v>-1</v>
      </c>
      <c r="BZ2295" s="14">
        <f t="shared" si="144"/>
        <v>0</v>
      </c>
      <c r="CA2295" t="s">
        <v>5832</v>
      </c>
    </row>
    <row r="2296" spans="1:79" hidden="1">
      <c r="A2296" s="12">
        <v>2435</v>
      </c>
      <c r="B2296" s="12">
        <v>1</v>
      </c>
      <c r="C2296" s="12" t="s">
        <v>5707</v>
      </c>
      <c r="D2296" s="12" t="s">
        <v>73</v>
      </c>
      <c r="E2296" s="12" t="s">
        <v>5708</v>
      </c>
      <c r="F2296" s="12" t="s">
        <v>73</v>
      </c>
      <c r="G2296" s="12" t="s">
        <v>5821</v>
      </c>
      <c r="H2296" s="12">
        <v>91.8</v>
      </c>
      <c r="I2296" s="12">
        <v>147</v>
      </c>
      <c r="J2296" s="12">
        <v>16081</v>
      </c>
      <c r="K2296" s="12" t="s">
        <v>5709</v>
      </c>
      <c r="L2296" s="12">
        <v>-1</v>
      </c>
      <c r="M2296" s="13"/>
      <c r="N2296" s="12">
        <v>942</v>
      </c>
      <c r="O2296" s="12">
        <v>942</v>
      </c>
      <c r="P2296" s="12">
        <v>1</v>
      </c>
      <c r="Q2296" s="12">
        <v>19</v>
      </c>
      <c r="R2296" s="12">
        <v>3</v>
      </c>
      <c r="S2296" s="12">
        <v>8</v>
      </c>
      <c r="T2296" s="12">
        <v>4</v>
      </c>
      <c r="U2296" s="12">
        <v>2</v>
      </c>
      <c r="V2296" s="12">
        <v>0</v>
      </c>
      <c r="W2296" s="12">
        <v>0</v>
      </c>
      <c r="X2296" s="12">
        <v>61</v>
      </c>
      <c r="Y2296" s="12">
        <v>535</v>
      </c>
      <c r="Z2296" s="12">
        <v>68</v>
      </c>
      <c r="AA2296" s="12">
        <v>29</v>
      </c>
      <c r="AB2296" s="12">
        <v>26</v>
      </c>
      <c r="AC2296" s="12">
        <v>15</v>
      </c>
      <c r="AD2296" s="12">
        <v>36</v>
      </c>
      <c r="AE2296" s="12">
        <v>36</v>
      </c>
      <c r="AF2296" s="12">
        <v>13</v>
      </c>
      <c r="AG2296" s="12">
        <v>36</v>
      </c>
      <c r="AH2296" s="12">
        <v>15</v>
      </c>
      <c r="AI2296" s="12">
        <v>36</v>
      </c>
      <c r="AJ2296" s="12">
        <v>19</v>
      </c>
      <c r="AK2296" s="12">
        <v>3</v>
      </c>
      <c r="AL2296" s="12">
        <v>8</v>
      </c>
      <c r="AM2296" s="12">
        <v>4</v>
      </c>
      <c r="AN2296" s="12">
        <v>2</v>
      </c>
      <c r="AO2296" s="12">
        <v>0</v>
      </c>
      <c r="AP2296" s="12">
        <v>0</v>
      </c>
      <c r="AQ2296" s="12">
        <v>61</v>
      </c>
      <c r="AR2296" s="12">
        <v>535</v>
      </c>
      <c r="AS2296" s="12">
        <v>68</v>
      </c>
      <c r="AT2296" s="12">
        <v>29</v>
      </c>
      <c r="AU2296" s="12">
        <v>26</v>
      </c>
      <c r="AV2296" s="12">
        <v>15</v>
      </c>
      <c r="AW2296" s="12">
        <v>36</v>
      </c>
      <c r="AX2296" s="12">
        <v>36</v>
      </c>
      <c r="AY2296" s="12">
        <v>13</v>
      </c>
      <c r="AZ2296" s="12">
        <v>36</v>
      </c>
      <c r="BA2296" s="12">
        <v>15</v>
      </c>
      <c r="BB2296" s="12">
        <v>36</v>
      </c>
      <c r="BC2296" s="15">
        <v>19</v>
      </c>
      <c r="BD2296" s="15">
        <v>3</v>
      </c>
      <c r="BE2296" s="15">
        <v>8</v>
      </c>
      <c r="BF2296" s="15">
        <v>4</v>
      </c>
      <c r="BG2296" s="15">
        <v>2</v>
      </c>
      <c r="BH2296" s="15">
        <v>0</v>
      </c>
      <c r="BI2296" s="15">
        <v>0</v>
      </c>
      <c r="BJ2296" s="15">
        <v>61</v>
      </c>
      <c r="BK2296" s="15">
        <v>535</v>
      </c>
      <c r="BL2296" s="15">
        <v>68</v>
      </c>
      <c r="BM2296" s="15">
        <v>29</v>
      </c>
      <c r="BN2296" s="15">
        <v>26</v>
      </c>
      <c r="BO2296" s="15">
        <v>15</v>
      </c>
      <c r="BP2296" s="15">
        <v>36</v>
      </c>
      <c r="BQ2296" s="15">
        <v>36</v>
      </c>
      <c r="BR2296" s="15">
        <v>13</v>
      </c>
      <c r="BS2296" s="15">
        <v>36</v>
      </c>
      <c r="BT2296" s="15">
        <v>15</v>
      </c>
      <c r="BU2296" s="15">
        <v>36</v>
      </c>
      <c r="BV2296" s="53"/>
      <c r="BW2296" s="16">
        <v>-1</v>
      </c>
      <c r="BZ2296" s="14">
        <f t="shared" si="144"/>
        <v>2</v>
      </c>
      <c r="CA2296" t="s">
        <v>5832</v>
      </c>
    </row>
    <row r="2297" spans="1:79" hidden="1">
      <c r="A2297" s="12">
        <v>2456</v>
      </c>
      <c r="B2297" s="12">
        <v>1</v>
      </c>
      <c r="C2297" s="12" t="s">
        <v>5775</v>
      </c>
      <c r="D2297" s="12" t="s">
        <v>73</v>
      </c>
      <c r="E2297" s="12" t="s">
        <v>5776</v>
      </c>
      <c r="F2297" s="12" t="s">
        <v>5777</v>
      </c>
      <c r="G2297" s="12" t="s">
        <v>5821</v>
      </c>
      <c r="H2297" s="12">
        <v>97.9</v>
      </c>
      <c r="I2297" s="12">
        <v>142</v>
      </c>
      <c r="J2297" s="12">
        <v>15469</v>
      </c>
      <c r="K2297" s="12" t="s">
        <v>5778</v>
      </c>
      <c r="L2297" s="12">
        <v>-1</v>
      </c>
      <c r="M2297" s="13"/>
      <c r="N2297" s="12">
        <v>683</v>
      </c>
      <c r="O2297" s="12">
        <v>246</v>
      </c>
      <c r="P2297" s="12">
        <v>0.36</v>
      </c>
      <c r="Q2297" s="12">
        <v>9</v>
      </c>
      <c r="R2297" s="12">
        <v>1</v>
      </c>
      <c r="S2297" s="12">
        <v>2</v>
      </c>
      <c r="T2297" s="12">
        <v>0</v>
      </c>
      <c r="U2297" s="12">
        <v>0</v>
      </c>
      <c r="V2297" s="12">
        <v>0</v>
      </c>
      <c r="W2297" s="12">
        <v>1</v>
      </c>
      <c r="X2297" s="12">
        <v>42</v>
      </c>
      <c r="Y2297" s="12">
        <v>458</v>
      </c>
      <c r="Z2297" s="12">
        <v>25</v>
      </c>
      <c r="AA2297" s="12">
        <v>23</v>
      </c>
      <c r="AB2297" s="12">
        <v>9</v>
      </c>
      <c r="AC2297" s="12">
        <v>8</v>
      </c>
      <c r="AD2297" s="12">
        <v>18</v>
      </c>
      <c r="AE2297" s="12">
        <v>27</v>
      </c>
      <c r="AF2297" s="12">
        <v>8</v>
      </c>
      <c r="AG2297" s="12">
        <v>18</v>
      </c>
      <c r="AH2297" s="12">
        <v>9</v>
      </c>
      <c r="AI2297" s="12">
        <v>25</v>
      </c>
      <c r="AJ2297" s="12">
        <v>2</v>
      </c>
      <c r="AK2297" s="12">
        <v>0</v>
      </c>
      <c r="AL2297" s="12">
        <v>1</v>
      </c>
      <c r="AM2297" s="12">
        <v>0</v>
      </c>
      <c r="AN2297" s="12">
        <v>0</v>
      </c>
      <c r="AO2297" s="12">
        <v>0</v>
      </c>
      <c r="AP2297" s="12">
        <v>0</v>
      </c>
      <c r="AQ2297" s="12">
        <v>16</v>
      </c>
      <c r="AR2297" s="12">
        <v>157</v>
      </c>
      <c r="AS2297" s="12">
        <v>8</v>
      </c>
      <c r="AT2297" s="12">
        <v>13</v>
      </c>
      <c r="AU2297" s="12">
        <v>5</v>
      </c>
      <c r="AV2297" s="12">
        <v>2</v>
      </c>
      <c r="AW2297" s="12">
        <v>6</v>
      </c>
      <c r="AX2297" s="12">
        <v>16</v>
      </c>
      <c r="AY2297" s="12">
        <v>3</v>
      </c>
      <c r="AZ2297" s="12">
        <v>5</v>
      </c>
      <c r="BA2297" s="12">
        <v>2</v>
      </c>
      <c r="BB2297" s="12">
        <v>10</v>
      </c>
      <c r="BC2297" s="15">
        <v>8</v>
      </c>
      <c r="BD2297" s="15">
        <v>0.85699999999999998</v>
      </c>
      <c r="BE2297" s="15">
        <v>1.857</v>
      </c>
      <c r="BF2297" s="15">
        <v>0</v>
      </c>
      <c r="BG2297" s="15">
        <v>0</v>
      </c>
      <c r="BH2297" s="15">
        <v>0</v>
      </c>
      <c r="BI2297" s="15">
        <v>0.85699999999999998</v>
      </c>
      <c r="BJ2297" s="15">
        <v>38.286000000000001</v>
      </c>
      <c r="BK2297" s="15">
        <v>415</v>
      </c>
      <c r="BL2297" s="15">
        <v>22.571000000000002</v>
      </c>
      <c r="BM2297" s="15">
        <v>21.571000000000002</v>
      </c>
      <c r="BN2297" s="15">
        <v>8.4290000000000003</v>
      </c>
      <c r="BO2297" s="15">
        <v>7.1429999999999998</v>
      </c>
      <c r="BP2297" s="15">
        <v>16.286000000000001</v>
      </c>
      <c r="BQ2297" s="15">
        <v>25.428999999999998</v>
      </c>
      <c r="BR2297" s="15">
        <v>7.2859999999999996</v>
      </c>
      <c r="BS2297" s="15">
        <v>16.143000000000001</v>
      </c>
      <c r="BT2297" s="15">
        <v>8</v>
      </c>
      <c r="BU2297" s="15">
        <v>22.856999999999999</v>
      </c>
      <c r="BV2297" s="53"/>
      <c r="BW2297" s="16">
        <v>-1</v>
      </c>
      <c r="BZ2297" s="14">
        <f t="shared" si="144"/>
        <v>3</v>
      </c>
      <c r="CA2297" t="s">
        <v>5832</v>
      </c>
    </row>
    <row r="2298" spans="1:79" hidden="1">
      <c r="A2298" s="12">
        <v>1</v>
      </c>
      <c r="B2298" s="12">
        <v>1</v>
      </c>
      <c r="C2298" s="12" t="s">
        <v>72</v>
      </c>
      <c r="D2298" s="12" t="s">
        <v>73</v>
      </c>
      <c r="E2298" s="12" t="s">
        <v>73</v>
      </c>
      <c r="F2298" s="12" t="s">
        <v>74</v>
      </c>
      <c r="G2298" s="12" t="s">
        <v>75</v>
      </c>
      <c r="H2298" s="12">
        <v>100</v>
      </c>
      <c r="I2298" s="12">
        <v>50</v>
      </c>
      <c r="J2298" s="12">
        <v>5560</v>
      </c>
      <c r="K2298" s="12" t="s">
        <v>76</v>
      </c>
      <c r="L2298" s="12">
        <v>-2</v>
      </c>
      <c r="M2298" s="13"/>
      <c r="N2298" s="12">
        <v>190</v>
      </c>
      <c r="O2298" s="12">
        <v>113</v>
      </c>
      <c r="P2298" s="12">
        <v>0.59499999999999997</v>
      </c>
      <c r="Q2298" s="12">
        <v>7</v>
      </c>
      <c r="R2298" s="12">
        <v>3</v>
      </c>
      <c r="S2298" s="12">
        <v>7</v>
      </c>
      <c r="T2298" s="12">
        <v>3</v>
      </c>
      <c r="U2298" s="12">
        <v>4</v>
      </c>
      <c r="V2298" s="12">
        <v>7</v>
      </c>
      <c r="W2298" s="12">
        <v>8</v>
      </c>
      <c r="X2298" s="12">
        <v>24</v>
      </c>
      <c r="Y2298" s="12">
        <v>8</v>
      </c>
      <c r="Z2298" s="12">
        <v>14</v>
      </c>
      <c r="AA2298" s="12">
        <v>11</v>
      </c>
      <c r="AB2298" s="12">
        <v>10</v>
      </c>
      <c r="AC2298" s="12">
        <v>12</v>
      </c>
      <c r="AD2298" s="12">
        <v>15</v>
      </c>
      <c r="AE2298" s="12">
        <v>6</v>
      </c>
      <c r="AF2298" s="12">
        <v>11</v>
      </c>
      <c r="AG2298" s="12">
        <v>15</v>
      </c>
      <c r="AH2298" s="12">
        <v>8</v>
      </c>
      <c r="AI2298" s="12">
        <v>17</v>
      </c>
      <c r="AJ2298" s="12">
        <v>2</v>
      </c>
      <c r="AK2298" s="12">
        <v>2</v>
      </c>
      <c r="AL2298" s="12">
        <v>1</v>
      </c>
      <c r="AM2298" s="12">
        <v>1</v>
      </c>
      <c r="AN2298" s="12">
        <v>1</v>
      </c>
      <c r="AO2298" s="12">
        <v>3</v>
      </c>
      <c r="AP2298" s="12">
        <v>4</v>
      </c>
      <c r="AQ2298" s="12">
        <v>16</v>
      </c>
      <c r="AR2298" s="12">
        <v>5</v>
      </c>
      <c r="AS2298" s="12">
        <v>11</v>
      </c>
      <c r="AT2298" s="12">
        <v>9</v>
      </c>
      <c r="AU2298" s="12">
        <v>2</v>
      </c>
      <c r="AV2298" s="12">
        <v>7</v>
      </c>
      <c r="AW2298" s="12">
        <v>10</v>
      </c>
      <c r="AX2298" s="12">
        <v>4</v>
      </c>
      <c r="AY2298" s="12">
        <v>8</v>
      </c>
      <c r="AZ2298" s="12">
        <v>12</v>
      </c>
      <c r="BA2298" s="12">
        <v>2</v>
      </c>
      <c r="BB2298" s="12">
        <v>13</v>
      </c>
      <c r="BC2298" s="15">
        <v>2.4550000000000001</v>
      </c>
      <c r="BD2298" s="15">
        <v>2.105</v>
      </c>
      <c r="BE2298" s="15">
        <v>1.4</v>
      </c>
      <c r="BF2298" s="15">
        <v>1.167</v>
      </c>
      <c r="BG2298" s="15">
        <v>1.333</v>
      </c>
      <c r="BH2298" s="15">
        <v>3.75</v>
      </c>
      <c r="BI2298" s="15">
        <v>4.5709999999999997</v>
      </c>
      <c r="BJ2298" s="15">
        <v>17.91</v>
      </c>
      <c r="BK2298" s="15">
        <v>5.6820000000000004</v>
      </c>
      <c r="BL2298" s="15">
        <v>12.065</v>
      </c>
      <c r="BM2298" s="15">
        <v>9.6210000000000004</v>
      </c>
      <c r="BN2298" s="15">
        <v>2.8889999999999998</v>
      </c>
      <c r="BO2298" s="15">
        <v>8.1289999999999996</v>
      </c>
      <c r="BP2298" s="15">
        <v>11.282</v>
      </c>
      <c r="BQ2298" s="15">
        <v>4.242</v>
      </c>
      <c r="BR2298" s="15">
        <v>8.5329999999999995</v>
      </c>
      <c r="BS2298" s="15">
        <v>12.667</v>
      </c>
      <c r="BT2298" s="15">
        <v>2.5449999999999999</v>
      </c>
      <c r="BU2298" s="15">
        <v>13.881</v>
      </c>
      <c r="BV2298" s="53"/>
      <c r="BW2298" s="16">
        <v>-2</v>
      </c>
      <c r="BZ2298" s="14">
        <f t="shared" si="144"/>
        <v>0</v>
      </c>
      <c r="CA2298" t="s">
        <v>5832</v>
      </c>
    </row>
    <row r="2299" spans="1:79" hidden="1">
      <c r="A2299" s="12">
        <v>2</v>
      </c>
      <c r="B2299" s="12">
        <v>1</v>
      </c>
      <c r="C2299" s="12" t="s">
        <v>77</v>
      </c>
      <c r="D2299" s="12" t="s">
        <v>73</v>
      </c>
      <c r="E2299" s="12" t="s">
        <v>73</v>
      </c>
      <c r="F2299" s="12" t="s">
        <v>78</v>
      </c>
      <c r="G2299" s="12" t="s">
        <v>75</v>
      </c>
      <c r="H2299" s="12">
        <v>42.4</v>
      </c>
      <c r="I2299" s="12">
        <v>231</v>
      </c>
      <c r="J2299" s="12">
        <v>24409</v>
      </c>
      <c r="K2299" s="12" t="s">
        <v>79</v>
      </c>
      <c r="L2299" s="12">
        <v>-2</v>
      </c>
      <c r="M2299" s="13"/>
      <c r="N2299" s="12">
        <v>536</v>
      </c>
      <c r="O2299" s="12">
        <v>458</v>
      </c>
      <c r="P2299" s="12">
        <v>0.85399999999999998</v>
      </c>
      <c r="Q2299" s="12">
        <v>25</v>
      </c>
      <c r="R2299" s="12">
        <v>18</v>
      </c>
      <c r="S2299" s="12">
        <v>20</v>
      </c>
      <c r="T2299" s="12">
        <v>13</v>
      </c>
      <c r="U2299" s="12">
        <v>11</v>
      </c>
      <c r="V2299" s="12">
        <v>17</v>
      </c>
      <c r="W2299" s="12">
        <v>28</v>
      </c>
      <c r="X2299" s="12">
        <v>59</v>
      </c>
      <c r="Y2299" s="12">
        <v>20</v>
      </c>
      <c r="Z2299" s="12">
        <v>23</v>
      </c>
      <c r="AA2299" s="12">
        <v>22</v>
      </c>
      <c r="AB2299" s="12">
        <v>24</v>
      </c>
      <c r="AC2299" s="12">
        <v>29</v>
      </c>
      <c r="AD2299" s="12">
        <v>34</v>
      </c>
      <c r="AE2299" s="12">
        <v>31</v>
      </c>
      <c r="AF2299" s="12">
        <v>40</v>
      </c>
      <c r="AG2299" s="12">
        <v>46</v>
      </c>
      <c r="AH2299" s="12">
        <v>26</v>
      </c>
      <c r="AI2299" s="12">
        <v>50</v>
      </c>
      <c r="AJ2299" s="12">
        <v>20</v>
      </c>
      <c r="AK2299" s="12">
        <v>17</v>
      </c>
      <c r="AL2299" s="12">
        <v>14</v>
      </c>
      <c r="AM2299" s="12">
        <v>11</v>
      </c>
      <c r="AN2299" s="12">
        <v>8</v>
      </c>
      <c r="AO2299" s="12">
        <v>13</v>
      </c>
      <c r="AP2299" s="12">
        <v>24</v>
      </c>
      <c r="AQ2299" s="12">
        <v>51</v>
      </c>
      <c r="AR2299" s="12">
        <v>17</v>
      </c>
      <c r="AS2299" s="12">
        <v>20</v>
      </c>
      <c r="AT2299" s="12">
        <v>20</v>
      </c>
      <c r="AU2299" s="12">
        <v>16</v>
      </c>
      <c r="AV2299" s="12">
        <v>24</v>
      </c>
      <c r="AW2299" s="12">
        <v>29</v>
      </c>
      <c r="AX2299" s="12">
        <v>29</v>
      </c>
      <c r="AY2299" s="12">
        <v>37</v>
      </c>
      <c r="AZ2299" s="12">
        <v>42</v>
      </c>
      <c r="BA2299" s="12">
        <v>20</v>
      </c>
      <c r="BB2299" s="12">
        <v>46</v>
      </c>
      <c r="BC2299" s="15">
        <v>24.545000000000002</v>
      </c>
      <c r="BD2299" s="15">
        <v>17.895</v>
      </c>
      <c r="BE2299" s="15">
        <v>19.600000000000001</v>
      </c>
      <c r="BF2299" s="15">
        <v>12.833</v>
      </c>
      <c r="BG2299" s="15">
        <v>10.667</v>
      </c>
      <c r="BH2299" s="15">
        <v>16.25</v>
      </c>
      <c r="BI2299" s="15">
        <v>27.428999999999998</v>
      </c>
      <c r="BJ2299" s="15">
        <v>57.09</v>
      </c>
      <c r="BK2299" s="15">
        <v>19.318000000000001</v>
      </c>
      <c r="BL2299" s="15">
        <v>21.934999999999999</v>
      </c>
      <c r="BM2299" s="15">
        <v>21.379000000000001</v>
      </c>
      <c r="BN2299" s="15">
        <v>23.111000000000001</v>
      </c>
      <c r="BO2299" s="15">
        <v>27.870999999999999</v>
      </c>
      <c r="BP2299" s="15">
        <v>32.718000000000004</v>
      </c>
      <c r="BQ2299" s="15">
        <v>30.757999999999999</v>
      </c>
      <c r="BR2299" s="15">
        <v>39.466999999999999</v>
      </c>
      <c r="BS2299" s="15">
        <v>44.951000000000001</v>
      </c>
      <c r="BT2299" s="15">
        <v>25.454999999999998</v>
      </c>
      <c r="BU2299" s="15">
        <v>49.119</v>
      </c>
      <c r="BV2299" s="53"/>
      <c r="BW2299" s="16">
        <v>-2</v>
      </c>
      <c r="BZ2299" s="14">
        <f t="shared" si="144"/>
        <v>0</v>
      </c>
      <c r="CA2299" t="s">
        <v>5832</v>
      </c>
    </row>
    <row r="2300" spans="1:79" hidden="1">
      <c r="A2300" s="12">
        <v>6</v>
      </c>
      <c r="B2300" s="12">
        <v>1</v>
      </c>
      <c r="C2300" s="12" t="s">
        <v>80</v>
      </c>
      <c r="D2300" s="12" t="s">
        <v>73</v>
      </c>
      <c r="E2300" s="12" t="s">
        <v>73</v>
      </c>
      <c r="F2300" s="12" t="s">
        <v>81</v>
      </c>
      <c r="G2300" s="12" t="s">
        <v>75</v>
      </c>
      <c r="H2300" s="12">
        <v>26.6</v>
      </c>
      <c r="I2300" s="12">
        <v>608</v>
      </c>
      <c r="J2300" s="12">
        <v>68718</v>
      </c>
      <c r="K2300" s="12" t="s">
        <v>82</v>
      </c>
      <c r="L2300" s="12">
        <v>-2</v>
      </c>
      <c r="M2300" s="13"/>
      <c r="N2300" s="12">
        <v>343</v>
      </c>
      <c r="O2300" s="12">
        <v>51</v>
      </c>
      <c r="P2300" s="12">
        <v>0.14899999999999999</v>
      </c>
      <c r="Q2300" s="12">
        <v>22</v>
      </c>
      <c r="R2300" s="12">
        <v>19</v>
      </c>
      <c r="S2300" s="12">
        <v>15</v>
      </c>
      <c r="T2300" s="12">
        <v>11</v>
      </c>
      <c r="U2300" s="12">
        <v>16</v>
      </c>
      <c r="V2300" s="12">
        <v>8</v>
      </c>
      <c r="W2300" s="12">
        <v>37</v>
      </c>
      <c r="X2300" s="12">
        <v>14</v>
      </c>
      <c r="Y2300" s="12">
        <v>11</v>
      </c>
      <c r="Z2300" s="12">
        <v>20</v>
      </c>
      <c r="AA2300" s="12">
        <v>12</v>
      </c>
      <c r="AB2300" s="12">
        <v>15</v>
      </c>
      <c r="AC2300" s="12">
        <v>16</v>
      </c>
      <c r="AD2300" s="12">
        <v>26</v>
      </c>
      <c r="AE2300" s="12">
        <v>25</v>
      </c>
      <c r="AF2300" s="12">
        <v>17</v>
      </c>
      <c r="AG2300" s="12">
        <v>25</v>
      </c>
      <c r="AH2300" s="12">
        <v>20</v>
      </c>
      <c r="AI2300" s="12">
        <v>14</v>
      </c>
      <c r="AJ2300" s="12">
        <v>3</v>
      </c>
      <c r="AK2300" s="12">
        <v>3</v>
      </c>
      <c r="AL2300" s="12">
        <v>3</v>
      </c>
      <c r="AM2300" s="12">
        <v>0</v>
      </c>
      <c r="AN2300" s="12">
        <v>0</v>
      </c>
      <c r="AO2300" s="12">
        <v>0</v>
      </c>
      <c r="AP2300" s="12">
        <v>9</v>
      </c>
      <c r="AQ2300" s="12">
        <v>1</v>
      </c>
      <c r="AR2300" s="12">
        <v>4</v>
      </c>
      <c r="AS2300" s="12">
        <v>5</v>
      </c>
      <c r="AT2300" s="12">
        <v>1</v>
      </c>
      <c r="AU2300" s="12">
        <v>1</v>
      </c>
      <c r="AV2300" s="12">
        <v>3</v>
      </c>
      <c r="AW2300" s="12">
        <v>4</v>
      </c>
      <c r="AX2300" s="12">
        <v>2</v>
      </c>
      <c r="AY2300" s="12">
        <v>2</v>
      </c>
      <c r="AZ2300" s="12">
        <v>3</v>
      </c>
      <c r="BA2300" s="12">
        <v>5</v>
      </c>
      <c r="BB2300" s="12">
        <v>2</v>
      </c>
      <c r="BC2300" s="15">
        <v>4.0810000000000004</v>
      </c>
      <c r="BD2300" s="15">
        <v>4.0670000000000002</v>
      </c>
      <c r="BE2300" s="15">
        <v>4.0490000000000004</v>
      </c>
      <c r="BF2300" s="15">
        <v>4.9000000000000002E-2</v>
      </c>
      <c r="BG2300" s="15">
        <v>7.1999999999999995E-2</v>
      </c>
      <c r="BH2300" s="15">
        <v>3.5999999999999997E-2</v>
      </c>
      <c r="BI2300" s="15">
        <v>10.121</v>
      </c>
      <c r="BJ2300" s="15">
        <v>2.0539999999999998</v>
      </c>
      <c r="BK2300" s="15">
        <v>4.0309999999999997</v>
      </c>
      <c r="BL2300" s="15">
        <v>7.0579999999999998</v>
      </c>
      <c r="BM2300" s="15">
        <v>1.6060000000000001</v>
      </c>
      <c r="BN2300" s="15">
        <v>1.0629999999999999</v>
      </c>
      <c r="BO2300" s="15">
        <v>4.0540000000000003</v>
      </c>
      <c r="BP2300" s="15">
        <v>8.9160000000000004</v>
      </c>
      <c r="BQ2300" s="15">
        <v>4.0940000000000003</v>
      </c>
      <c r="BR2300" s="15">
        <v>4.0579999999999998</v>
      </c>
      <c r="BS2300" s="15">
        <v>5.09</v>
      </c>
      <c r="BT2300" s="15">
        <v>5.0670000000000002</v>
      </c>
      <c r="BU2300" s="15">
        <v>2.0539999999999998</v>
      </c>
      <c r="BV2300" s="53"/>
      <c r="BW2300" s="16">
        <v>-2</v>
      </c>
      <c r="BZ2300" s="14">
        <f t="shared" si="144"/>
        <v>0</v>
      </c>
      <c r="CA2300" t="s">
        <v>5832</v>
      </c>
    </row>
    <row r="2301" spans="1:79" hidden="1">
      <c r="A2301" s="12">
        <v>7</v>
      </c>
      <c r="B2301" s="12">
        <v>1</v>
      </c>
      <c r="C2301" s="12" t="s">
        <v>83</v>
      </c>
      <c r="D2301" s="12" t="s">
        <v>73</v>
      </c>
      <c r="E2301" s="12" t="s">
        <v>73</v>
      </c>
      <c r="F2301" s="12" t="s">
        <v>84</v>
      </c>
      <c r="G2301" s="12" t="s">
        <v>75</v>
      </c>
      <c r="H2301" s="12">
        <v>45.8</v>
      </c>
      <c r="I2301" s="12">
        <v>561</v>
      </c>
      <c r="J2301" s="12">
        <v>57247</v>
      </c>
      <c r="K2301" s="12" t="s">
        <v>85</v>
      </c>
      <c r="L2301" s="12">
        <v>-2</v>
      </c>
      <c r="M2301" s="13"/>
      <c r="N2301" s="12">
        <v>616</v>
      </c>
      <c r="O2301" s="12">
        <v>31</v>
      </c>
      <c r="P2301" s="12">
        <v>0.05</v>
      </c>
      <c r="Q2301" s="12">
        <v>38</v>
      </c>
      <c r="R2301" s="12">
        <v>21</v>
      </c>
      <c r="S2301" s="12">
        <v>24</v>
      </c>
      <c r="T2301" s="12">
        <v>20</v>
      </c>
      <c r="U2301" s="12">
        <v>23</v>
      </c>
      <c r="V2301" s="12">
        <v>28</v>
      </c>
      <c r="W2301" s="12">
        <v>33</v>
      </c>
      <c r="X2301" s="12">
        <v>47</v>
      </c>
      <c r="Y2301" s="12">
        <v>17</v>
      </c>
      <c r="Z2301" s="12">
        <v>20</v>
      </c>
      <c r="AA2301" s="12">
        <v>30</v>
      </c>
      <c r="AB2301" s="12">
        <v>38</v>
      </c>
      <c r="AC2301" s="12">
        <v>27</v>
      </c>
      <c r="AD2301" s="12">
        <v>30</v>
      </c>
      <c r="AE2301" s="12">
        <v>30</v>
      </c>
      <c r="AF2301" s="12">
        <v>37</v>
      </c>
      <c r="AG2301" s="12">
        <v>49</v>
      </c>
      <c r="AH2301" s="12">
        <v>54</v>
      </c>
      <c r="AI2301" s="12">
        <v>50</v>
      </c>
      <c r="AJ2301" s="12">
        <v>2</v>
      </c>
      <c r="AK2301" s="12">
        <v>2</v>
      </c>
      <c r="AL2301" s="12">
        <v>2</v>
      </c>
      <c r="AM2301" s="12">
        <v>1</v>
      </c>
      <c r="AN2301" s="12">
        <v>3</v>
      </c>
      <c r="AO2301" s="12">
        <v>0</v>
      </c>
      <c r="AP2301" s="12">
        <v>3</v>
      </c>
      <c r="AQ2301" s="12">
        <v>3</v>
      </c>
      <c r="AR2301" s="12">
        <v>0</v>
      </c>
      <c r="AS2301" s="12">
        <v>1</v>
      </c>
      <c r="AT2301" s="12">
        <v>1</v>
      </c>
      <c r="AU2301" s="12">
        <v>1</v>
      </c>
      <c r="AV2301" s="12">
        <v>2</v>
      </c>
      <c r="AW2301" s="12">
        <v>2</v>
      </c>
      <c r="AX2301" s="12">
        <v>2</v>
      </c>
      <c r="AY2301" s="12">
        <v>2</v>
      </c>
      <c r="AZ2301" s="12">
        <v>1</v>
      </c>
      <c r="BA2301" s="12">
        <v>2</v>
      </c>
      <c r="BB2301" s="12">
        <v>1</v>
      </c>
      <c r="BC2301" s="15">
        <v>8.093</v>
      </c>
      <c r="BD2301" s="15">
        <v>5.2480000000000002</v>
      </c>
      <c r="BE2301" s="15">
        <v>5.3319999999999999</v>
      </c>
      <c r="BF2301" s="15">
        <v>3.93</v>
      </c>
      <c r="BG2301" s="15">
        <v>5.907</v>
      </c>
      <c r="BH2301" s="15">
        <v>4.8079999999999998</v>
      </c>
      <c r="BI2301" s="15">
        <v>7.8869999999999996</v>
      </c>
      <c r="BJ2301" s="15">
        <v>10.166</v>
      </c>
      <c r="BK2301" s="15">
        <v>2.9119999999999999</v>
      </c>
      <c r="BL2301" s="15">
        <v>4.3550000000000004</v>
      </c>
      <c r="BM2301" s="15">
        <v>6.2679999999999998</v>
      </c>
      <c r="BN2301" s="15">
        <v>7.0250000000000004</v>
      </c>
      <c r="BO2301" s="15">
        <v>6.5019999999999998</v>
      </c>
      <c r="BP2301" s="15">
        <v>6.8970000000000002</v>
      </c>
      <c r="BQ2301" s="15">
        <v>7.1870000000000003</v>
      </c>
      <c r="BR2301" s="15">
        <v>8.1349999999999998</v>
      </c>
      <c r="BS2301" s="15">
        <v>9.5139999999999993</v>
      </c>
      <c r="BT2301" s="15">
        <v>10.192</v>
      </c>
      <c r="BU2301" s="15">
        <v>9.0220000000000002</v>
      </c>
      <c r="BV2301" s="53"/>
      <c r="BW2301" s="16">
        <v>-2</v>
      </c>
      <c r="BZ2301" s="14">
        <f t="shared" si="144"/>
        <v>0</v>
      </c>
      <c r="CA2301" t="s">
        <v>5832</v>
      </c>
    </row>
    <row r="2302" spans="1:79" hidden="1">
      <c r="A2302" s="12">
        <v>9</v>
      </c>
      <c r="B2302" s="12">
        <v>1</v>
      </c>
      <c r="C2302" s="12" t="s">
        <v>86</v>
      </c>
      <c r="D2302" s="12" t="s">
        <v>73</v>
      </c>
      <c r="E2302" s="12" t="s">
        <v>73</v>
      </c>
      <c r="F2302" s="12" t="s">
        <v>87</v>
      </c>
      <c r="G2302" s="12" t="s">
        <v>75</v>
      </c>
      <c r="H2302" s="12">
        <v>46.2</v>
      </c>
      <c r="I2302" s="12">
        <v>589</v>
      </c>
      <c r="J2302" s="12">
        <v>62033</v>
      </c>
      <c r="K2302" s="12" t="s">
        <v>88</v>
      </c>
      <c r="L2302" s="12">
        <v>-2</v>
      </c>
      <c r="M2302" s="13"/>
      <c r="N2302" s="12">
        <v>243</v>
      </c>
      <c r="O2302" s="12">
        <v>0</v>
      </c>
      <c r="P2302" s="12">
        <v>0</v>
      </c>
      <c r="Q2302" s="12">
        <v>5</v>
      </c>
      <c r="R2302" s="12">
        <v>4</v>
      </c>
      <c r="S2302" s="12">
        <v>7</v>
      </c>
      <c r="T2302" s="12">
        <v>4</v>
      </c>
      <c r="U2302" s="12">
        <v>4</v>
      </c>
      <c r="V2302" s="12">
        <v>5</v>
      </c>
      <c r="W2302" s="12">
        <v>9</v>
      </c>
      <c r="X2302" s="12">
        <v>24</v>
      </c>
      <c r="Y2302" s="12">
        <v>6</v>
      </c>
      <c r="Z2302" s="12">
        <v>5</v>
      </c>
      <c r="AA2302" s="12">
        <v>21</v>
      </c>
      <c r="AB2302" s="12">
        <v>34</v>
      </c>
      <c r="AC2302" s="12">
        <v>7</v>
      </c>
      <c r="AD2302" s="12">
        <v>10</v>
      </c>
      <c r="AE2302" s="12">
        <v>15</v>
      </c>
      <c r="AF2302" s="12">
        <v>16</v>
      </c>
      <c r="AG2302" s="12">
        <v>23</v>
      </c>
      <c r="AH2302" s="12">
        <v>24</v>
      </c>
      <c r="AI2302" s="12">
        <v>20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  <c r="AW2302" s="12">
        <v>0</v>
      </c>
      <c r="AX2302" s="12">
        <v>0</v>
      </c>
      <c r="AY2302" s="12">
        <v>0</v>
      </c>
      <c r="AZ2302" s="12">
        <v>0</v>
      </c>
      <c r="BA2302" s="12">
        <v>0</v>
      </c>
      <c r="BB2302" s="12">
        <v>0</v>
      </c>
      <c r="BC2302" s="15">
        <v>1</v>
      </c>
      <c r="BD2302" s="15">
        <v>0.5</v>
      </c>
      <c r="BE2302" s="15">
        <v>0.5</v>
      </c>
      <c r="BF2302" s="15">
        <v>0</v>
      </c>
      <c r="BG2302" s="15">
        <v>0</v>
      </c>
      <c r="BH2302" s="15">
        <v>0</v>
      </c>
      <c r="BI2302" s="15">
        <v>0.5</v>
      </c>
      <c r="BJ2302" s="15">
        <v>1</v>
      </c>
      <c r="BK2302" s="15">
        <v>0</v>
      </c>
      <c r="BL2302" s="15">
        <v>0.5</v>
      </c>
      <c r="BM2302" s="15">
        <v>1</v>
      </c>
      <c r="BN2302" s="15">
        <v>0.5</v>
      </c>
      <c r="BO2302" s="15">
        <v>0.5</v>
      </c>
      <c r="BP2302" s="15">
        <v>1.5</v>
      </c>
      <c r="BQ2302" s="15">
        <v>1</v>
      </c>
      <c r="BR2302" s="15">
        <v>1.5</v>
      </c>
      <c r="BS2302" s="15">
        <v>1</v>
      </c>
      <c r="BT2302" s="15">
        <v>2</v>
      </c>
      <c r="BU2302" s="15">
        <v>0.5</v>
      </c>
      <c r="BV2302" s="53"/>
      <c r="BW2302" s="16">
        <v>-2</v>
      </c>
      <c r="BZ2302" s="14">
        <f t="shared" si="144"/>
        <v>4</v>
      </c>
      <c r="CA2302" t="s">
        <v>5832</v>
      </c>
    </row>
    <row r="2303" spans="1:79" hidden="1">
      <c r="A2303" s="12">
        <v>10</v>
      </c>
      <c r="B2303" s="12">
        <v>1</v>
      </c>
      <c r="C2303" s="12" t="s">
        <v>89</v>
      </c>
      <c r="D2303" s="12" t="s">
        <v>90</v>
      </c>
      <c r="E2303" s="12" t="s">
        <v>73</v>
      </c>
      <c r="F2303" s="12" t="s">
        <v>91</v>
      </c>
      <c r="G2303" s="12" t="s">
        <v>75</v>
      </c>
      <c r="H2303" s="12">
        <v>39.799999999999997</v>
      </c>
      <c r="I2303" s="12">
        <v>420</v>
      </c>
      <c r="J2303" s="12">
        <v>45865</v>
      </c>
      <c r="K2303" s="12" t="s">
        <v>92</v>
      </c>
      <c r="L2303" s="12">
        <v>-2</v>
      </c>
      <c r="M2303" s="13"/>
      <c r="N2303" s="12">
        <v>136</v>
      </c>
      <c r="O2303" s="12">
        <v>5</v>
      </c>
      <c r="P2303" s="12">
        <v>3.6999999999999998E-2</v>
      </c>
      <c r="Q2303" s="12">
        <v>5</v>
      </c>
      <c r="R2303" s="12">
        <v>3</v>
      </c>
      <c r="S2303" s="12">
        <v>1</v>
      </c>
      <c r="T2303" s="12">
        <v>2</v>
      </c>
      <c r="U2303" s="12">
        <v>1</v>
      </c>
      <c r="V2303" s="12">
        <v>2</v>
      </c>
      <c r="W2303" s="12">
        <v>13</v>
      </c>
      <c r="X2303" s="12">
        <v>9</v>
      </c>
      <c r="Y2303" s="12">
        <v>7</v>
      </c>
      <c r="Z2303" s="12">
        <v>4</v>
      </c>
      <c r="AA2303" s="12">
        <v>17</v>
      </c>
      <c r="AB2303" s="12">
        <v>13</v>
      </c>
      <c r="AC2303" s="12">
        <v>10</v>
      </c>
      <c r="AD2303" s="12">
        <v>6</v>
      </c>
      <c r="AE2303" s="12">
        <v>7</v>
      </c>
      <c r="AF2303" s="12">
        <v>10</v>
      </c>
      <c r="AG2303" s="12">
        <v>11</v>
      </c>
      <c r="AH2303" s="12">
        <v>8</v>
      </c>
      <c r="AI2303" s="12">
        <v>7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4</v>
      </c>
      <c r="AQ2303" s="12">
        <v>1</v>
      </c>
      <c r="AR2303" s="12">
        <v>0</v>
      </c>
      <c r="AS2303" s="12">
        <v>0</v>
      </c>
      <c r="AT2303" s="12">
        <v>0</v>
      </c>
      <c r="AU2303" s="12">
        <v>0</v>
      </c>
      <c r="AV2303" s="12">
        <v>0</v>
      </c>
      <c r="AW2303" s="12">
        <v>0</v>
      </c>
      <c r="AX2303" s="12">
        <v>0</v>
      </c>
      <c r="AY2303" s="12">
        <v>0</v>
      </c>
      <c r="AZ2303" s="12">
        <v>0</v>
      </c>
      <c r="BA2303" s="12">
        <v>0</v>
      </c>
      <c r="BB2303" s="12">
        <v>0</v>
      </c>
      <c r="BC2303" s="15">
        <v>0.14000000000000001</v>
      </c>
      <c r="BD2303" s="15">
        <v>6.2E-2</v>
      </c>
      <c r="BE2303" s="15">
        <v>2.4E-2</v>
      </c>
      <c r="BF2303" s="15">
        <v>4.7E-2</v>
      </c>
      <c r="BG2303" s="15">
        <v>2.4E-2</v>
      </c>
      <c r="BH2303" s="15">
        <v>4.7E-2</v>
      </c>
      <c r="BI2303" s="15">
        <v>4.3019999999999996</v>
      </c>
      <c r="BJ2303" s="15">
        <v>1.339</v>
      </c>
      <c r="BK2303" s="15">
        <v>0.15</v>
      </c>
      <c r="BL2303" s="15">
        <v>0.115</v>
      </c>
      <c r="BM2303" s="15">
        <v>0.82399999999999995</v>
      </c>
      <c r="BN2303" s="15">
        <v>0.81100000000000005</v>
      </c>
      <c r="BO2303" s="15">
        <v>0.224</v>
      </c>
      <c r="BP2303" s="15">
        <v>0.14299999999999999</v>
      </c>
      <c r="BQ2303" s="15">
        <v>0.14699999999999999</v>
      </c>
      <c r="BR2303" s="15">
        <v>0.36799999999999999</v>
      </c>
      <c r="BS2303" s="15">
        <v>0.498</v>
      </c>
      <c r="BT2303" s="15">
        <v>0.19</v>
      </c>
      <c r="BU2303" s="15">
        <v>0.152</v>
      </c>
      <c r="BV2303" s="53"/>
      <c r="BW2303" s="16">
        <v>-2</v>
      </c>
      <c r="BZ2303" s="14">
        <f t="shared" si="144"/>
        <v>0</v>
      </c>
      <c r="CA2303" t="s">
        <v>5832</v>
      </c>
    </row>
    <row r="2304" spans="1:79" hidden="1">
      <c r="A2304" s="12">
        <v>11</v>
      </c>
      <c r="B2304" s="12">
        <v>1</v>
      </c>
      <c r="C2304" s="12" t="s">
        <v>93</v>
      </c>
      <c r="D2304" s="12" t="s">
        <v>94</v>
      </c>
      <c r="E2304" s="12" t="s">
        <v>73</v>
      </c>
      <c r="F2304" s="12" t="s">
        <v>87</v>
      </c>
      <c r="G2304" s="12" t="s">
        <v>75</v>
      </c>
      <c r="H2304" s="12">
        <v>67.8</v>
      </c>
      <c r="I2304" s="12">
        <v>645</v>
      </c>
      <c r="J2304" s="12">
        <v>65911</v>
      </c>
      <c r="K2304" s="12" t="s">
        <v>95</v>
      </c>
      <c r="L2304" s="12">
        <v>-2</v>
      </c>
      <c r="M2304" s="13"/>
      <c r="N2304" s="12">
        <v>904</v>
      </c>
      <c r="O2304" s="12">
        <v>570</v>
      </c>
      <c r="P2304" s="12">
        <v>0.63100000000000001</v>
      </c>
      <c r="Q2304" s="12">
        <v>36</v>
      </c>
      <c r="R2304" s="12">
        <v>21</v>
      </c>
      <c r="S2304" s="12">
        <v>36</v>
      </c>
      <c r="T2304" s="12">
        <v>25</v>
      </c>
      <c r="U2304" s="12">
        <v>25</v>
      </c>
      <c r="V2304" s="12">
        <v>33</v>
      </c>
      <c r="W2304" s="12">
        <v>51</v>
      </c>
      <c r="X2304" s="12">
        <v>71</v>
      </c>
      <c r="Y2304" s="12">
        <v>33</v>
      </c>
      <c r="Z2304" s="12">
        <v>26</v>
      </c>
      <c r="AA2304" s="12">
        <v>55</v>
      </c>
      <c r="AB2304" s="12">
        <v>54</v>
      </c>
      <c r="AC2304" s="12">
        <v>45</v>
      </c>
      <c r="AD2304" s="12">
        <v>56</v>
      </c>
      <c r="AE2304" s="12">
        <v>62</v>
      </c>
      <c r="AF2304" s="12">
        <v>71</v>
      </c>
      <c r="AG2304" s="12">
        <v>57</v>
      </c>
      <c r="AH2304" s="12">
        <v>65</v>
      </c>
      <c r="AI2304" s="12">
        <v>82</v>
      </c>
      <c r="AJ2304" s="12">
        <v>24</v>
      </c>
      <c r="AK2304" s="12">
        <v>9</v>
      </c>
      <c r="AL2304" s="12">
        <v>17</v>
      </c>
      <c r="AM2304" s="12">
        <v>15</v>
      </c>
      <c r="AN2304" s="12">
        <v>13</v>
      </c>
      <c r="AO2304" s="12">
        <v>21</v>
      </c>
      <c r="AP2304" s="12">
        <v>37</v>
      </c>
      <c r="AQ2304" s="12">
        <v>47</v>
      </c>
      <c r="AR2304" s="12">
        <v>20</v>
      </c>
      <c r="AS2304" s="12">
        <v>17</v>
      </c>
      <c r="AT2304" s="12">
        <v>37</v>
      </c>
      <c r="AU2304" s="12">
        <v>34</v>
      </c>
      <c r="AV2304" s="12">
        <v>29</v>
      </c>
      <c r="AW2304" s="12">
        <v>37</v>
      </c>
      <c r="AX2304" s="12">
        <v>43</v>
      </c>
      <c r="AY2304" s="12">
        <v>47</v>
      </c>
      <c r="AZ2304" s="12">
        <v>32</v>
      </c>
      <c r="BA2304" s="12">
        <v>39</v>
      </c>
      <c r="BB2304" s="12">
        <v>52</v>
      </c>
      <c r="BC2304" s="15">
        <v>32.598999999999997</v>
      </c>
      <c r="BD2304" s="15">
        <v>17.494</v>
      </c>
      <c r="BE2304" s="15">
        <v>30.486999999999998</v>
      </c>
      <c r="BF2304" s="15">
        <v>21.72</v>
      </c>
      <c r="BG2304" s="15">
        <v>21.036999999999999</v>
      </c>
      <c r="BH2304" s="15">
        <v>30.748000000000001</v>
      </c>
      <c r="BI2304" s="15">
        <v>47.866</v>
      </c>
      <c r="BJ2304" s="15">
        <v>63.353000000000002</v>
      </c>
      <c r="BK2304" s="15">
        <v>29.062000000000001</v>
      </c>
      <c r="BL2304" s="15">
        <v>23.265999999999998</v>
      </c>
      <c r="BM2304" s="15">
        <v>50.241</v>
      </c>
      <c r="BN2304" s="15">
        <v>49.253</v>
      </c>
      <c r="BO2304" s="15">
        <v>41.252000000000002</v>
      </c>
      <c r="BP2304" s="15">
        <v>50.896999999999998</v>
      </c>
      <c r="BQ2304" s="15">
        <v>56.64</v>
      </c>
      <c r="BR2304" s="15">
        <v>64.304000000000002</v>
      </c>
      <c r="BS2304" s="15">
        <v>50.468000000000004</v>
      </c>
      <c r="BT2304" s="15">
        <v>57.286000000000001</v>
      </c>
      <c r="BU2304" s="15">
        <v>73.12</v>
      </c>
      <c r="BV2304" s="53"/>
      <c r="BW2304" s="16">
        <v>-2</v>
      </c>
      <c r="BZ2304" s="14">
        <f t="shared" si="144"/>
        <v>0</v>
      </c>
      <c r="CA2304" t="s">
        <v>5832</v>
      </c>
    </row>
    <row r="2305" spans="1:79" hidden="1">
      <c r="A2305" s="12">
        <v>12</v>
      </c>
      <c r="B2305" s="12">
        <v>1</v>
      </c>
      <c r="C2305" s="12" t="s">
        <v>96</v>
      </c>
      <c r="D2305" s="12" t="s">
        <v>73</v>
      </c>
      <c r="E2305" s="12" t="s">
        <v>73</v>
      </c>
      <c r="F2305" s="12" t="s">
        <v>97</v>
      </c>
      <c r="G2305" s="12" t="s">
        <v>75</v>
      </c>
      <c r="H2305" s="12">
        <v>54.4</v>
      </c>
      <c r="I2305" s="12">
        <v>623</v>
      </c>
      <c r="J2305" s="12">
        <v>62129</v>
      </c>
      <c r="K2305" s="12" t="s">
        <v>98</v>
      </c>
      <c r="L2305" s="12">
        <v>-2</v>
      </c>
      <c r="M2305" s="13"/>
      <c r="N2305" s="12">
        <v>687</v>
      </c>
      <c r="O2305" s="12">
        <v>600</v>
      </c>
      <c r="P2305" s="12">
        <v>0.873</v>
      </c>
      <c r="Q2305" s="12">
        <v>29</v>
      </c>
      <c r="R2305" s="12">
        <v>14</v>
      </c>
      <c r="S2305" s="12">
        <v>32</v>
      </c>
      <c r="T2305" s="12">
        <v>27</v>
      </c>
      <c r="U2305" s="12">
        <v>25</v>
      </c>
      <c r="V2305" s="12">
        <v>25</v>
      </c>
      <c r="W2305" s="12">
        <v>34</v>
      </c>
      <c r="X2305" s="12">
        <v>49</v>
      </c>
      <c r="Y2305" s="12">
        <v>29</v>
      </c>
      <c r="Z2305" s="12">
        <v>41</v>
      </c>
      <c r="AA2305" s="12">
        <v>51</v>
      </c>
      <c r="AB2305" s="12">
        <v>33</v>
      </c>
      <c r="AC2305" s="12">
        <v>23</v>
      </c>
      <c r="AD2305" s="12">
        <v>48</v>
      </c>
      <c r="AE2305" s="12">
        <v>38</v>
      </c>
      <c r="AF2305" s="12">
        <v>57</v>
      </c>
      <c r="AG2305" s="12">
        <v>35</v>
      </c>
      <c r="AH2305" s="12">
        <v>40</v>
      </c>
      <c r="AI2305" s="12">
        <v>57</v>
      </c>
      <c r="AJ2305" s="12">
        <v>25</v>
      </c>
      <c r="AK2305" s="12">
        <v>12</v>
      </c>
      <c r="AL2305" s="12">
        <v>27</v>
      </c>
      <c r="AM2305" s="12">
        <v>22</v>
      </c>
      <c r="AN2305" s="12">
        <v>20</v>
      </c>
      <c r="AO2305" s="12">
        <v>22</v>
      </c>
      <c r="AP2305" s="12">
        <v>30</v>
      </c>
      <c r="AQ2305" s="12">
        <v>44</v>
      </c>
      <c r="AR2305" s="12">
        <v>27</v>
      </c>
      <c r="AS2305" s="12">
        <v>36</v>
      </c>
      <c r="AT2305" s="12">
        <v>45</v>
      </c>
      <c r="AU2305" s="12">
        <v>30</v>
      </c>
      <c r="AV2305" s="12">
        <v>19</v>
      </c>
      <c r="AW2305" s="12">
        <v>43</v>
      </c>
      <c r="AX2305" s="12">
        <v>35</v>
      </c>
      <c r="AY2305" s="12">
        <v>50</v>
      </c>
      <c r="AZ2305" s="12">
        <v>28</v>
      </c>
      <c r="BA2305" s="12">
        <v>34</v>
      </c>
      <c r="BB2305" s="12">
        <v>51</v>
      </c>
      <c r="BC2305" s="15">
        <v>28.609000000000002</v>
      </c>
      <c r="BD2305" s="15">
        <v>13.805</v>
      </c>
      <c r="BE2305" s="15">
        <v>30.611999999999998</v>
      </c>
      <c r="BF2305" s="15">
        <v>26.062000000000001</v>
      </c>
      <c r="BG2305" s="15">
        <v>23.611999999999998</v>
      </c>
      <c r="BH2305" s="15">
        <v>24.707000000000001</v>
      </c>
      <c r="BI2305" s="15">
        <v>33.609000000000002</v>
      </c>
      <c r="BJ2305" s="15">
        <v>48.511000000000003</v>
      </c>
      <c r="BK2305" s="15">
        <v>28.805</v>
      </c>
      <c r="BL2305" s="15">
        <v>40.511000000000003</v>
      </c>
      <c r="BM2305" s="15">
        <v>50.414000000000001</v>
      </c>
      <c r="BN2305" s="15">
        <v>32.707000000000001</v>
      </c>
      <c r="BO2305" s="15">
        <v>22.609000000000002</v>
      </c>
      <c r="BP2305" s="15">
        <v>47.511000000000003</v>
      </c>
      <c r="BQ2305" s="15">
        <v>37.707000000000001</v>
      </c>
      <c r="BR2305" s="15">
        <v>56.316000000000003</v>
      </c>
      <c r="BS2305" s="15">
        <v>34.316000000000003</v>
      </c>
      <c r="BT2305" s="15">
        <v>38.963999999999999</v>
      </c>
      <c r="BU2305" s="15">
        <v>56.414000000000001</v>
      </c>
      <c r="BV2305" s="53"/>
      <c r="BW2305" s="16">
        <v>-2</v>
      </c>
      <c r="BZ2305" s="14">
        <f t="shared" si="144"/>
        <v>0</v>
      </c>
      <c r="CA2305" t="s">
        <v>5832</v>
      </c>
    </row>
    <row r="2306" spans="1:79" hidden="1">
      <c r="A2306" s="12">
        <v>13</v>
      </c>
      <c r="B2306" s="12">
        <v>1</v>
      </c>
      <c r="C2306" s="12" t="s">
        <v>99</v>
      </c>
      <c r="D2306" s="12" t="s">
        <v>73</v>
      </c>
      <c r="E2306" s="12" t="s">
        <v>73</v>
      </c>
      <c r="F2306" s="12" t="s">
        <v>87</v>
      </c>
      <c r="G2306" s="12" t="s">
        <v>75</v>
      </c>
      <c r="H2306" s="12">
        <v>12.7</v>
      </c>
      <c r="I2306" s="12">
        <v>638</v>
      </c>
      <c r="J2306" s="12">
        <v>65870</v>
      </c>
      <c r="K2306" s="12" t="s">
        <v>100</v>
      </c>
      <c r="L2306" s="12">
        <v>-2</v>
      </c>
      <c r="M2306" s="13"/>
      <c r="N2306" s="12">
        <v>120</v>
      </c>
      <c r="O2306" s="12">
        <v>0</v>
      </c>
      <c r="P2306" s="12">
        <v>0</v>
      </c>
      <c r="Q2306" s="12">
        <v>3</v>
      </c>
      <c r="R2306" s="12">
        <v>3</v>
      </c>
      <c r="S2306" s="12">
        <v>7</v>
      </c>
      <c r="T2306" s="12">
        <v>3</v>
      </c>
      <c r="U2306" s="12">
        <v>5</v>
      </c>
      <c r="V2306" s="12">
        <v>4</v>
      </c>
      <c r="W2306" s="12">
        <v>3</v>
      </c>
      <c r="X2306" s="12">
        <v>7</v>
      </c>
      <c r="Y2306" s="12">
        <v>5</v>
      </c>
      <c r="Z2306" s="12">
        <v>4</v>
      </c>
      <c r="AA2306" s="12">
        <v>9</v>
      </c>
      <c r="AB2306" s="12">
        <v>10</v>
      </c>
      <c r="AC2306" s="12">
        <v>5</v>
      </c>
      <c r="AD2306" s="12">
        <v>7</v>
      </c>
      <c r="AE2306" s="12">
        <v>6</v>
      </c>
      <c r="AF2306" s="12">
        <v>8</v>
      </c>
      <c r="AG2306" s="12">
        <v>11</v>
      </c>
      <c r="AH2306" s="12">
        <v>9</v>
      </c>
      <c r="AI2306" s="12">
        <v>11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>
        <v>0</v>
      </c>
      <c r="AS2306" s="12">
        <v>0</v>
      </c>
      <c r="AT2306" s="12">
        <v>0</v>
      </c>
      <c r="AU2306" s="12">
        <v>0</v>
      </c>
      <c r="AV2306" s="12">
        <v>0</v>
      </c>
      <c r="AW2306" s="12">
        <v>0</v>
      </c>
      <c r="AX2306" s="12">
        <v>0</v>
      </c>
      <c r="AY2306" s="12">
        <v>0</v>
      </c>
      <c r="AZ2306" s="12">
        <v>0</v>
      </c>
      <c r="BA2306" s="12">
        <v>0</v>
      </c>
      <c r="BB2306" s="12">
        <v>0</v>
      </c>
      <c r="BC2306" s="15">
        <v>0</v>
      </c>
      <c r="BD2306" s="15">
        <v>0</v>
      </c>
      <c r="BE2306" s="15">
        <v>0</v>
      </c>
      <c r="BF2306" s="15">
        <v>0</v>
      </c>
      <c r="BG2306" s="15">
        <v>0</v>
      </c>
      <c r="BH2306" s="15">
        <v>0</v>
      </c>
      <c r="BI2306" s="15">
        <v>0</v>
      </c>
      <c r="BJ2306" s="15">
        <v>0</v>
      </c>
      <c r="BK2306" s="15">
        <v>0</v>
      </c>
      <c r="BL2306" s="15">
        <v>0</v>
      </c>
      <c r="BM2306" s="15">
        <v>0</v>
      </c>
      <c r="BN2306" s="15">
        <v>0</v>
      </c>
      <c r="BO2306" s="15">
        <v>0</v>
      </c>
      <c r="BP2306" s="15">
        <v>0</v>
      </c>
      <c r="BQ2306" s="15">
        <v>0</v>
      </c>
      <c r="BR2306" s="15">
        <v>0</v>
      </c>
      <c r="BS2306" s="15">
        <v>0</v>
      </c>
      <c r="BT2306" s="15">
        <v>0</v>
      </c>
      <c r="BU2306" s="15">
        <v>0</v>
      </c>
      <c r="BV2306" s="53"/>
      <c r="BW2306" s="16">
        <v>-2</v>
      </c>
      <c r="BZ2306" s="14">
        <f t="shared" si="144"/>
        <v>19</v>
      </c>
      <c r="CA2306" t="s">
        <v>5832</v>
      </c>
    </row>
    <row r="2307" spans="1:79" hidden="1">
      <c r="A2307" s="12">
        <v>14</v>
      </c>
      <c r="B2307" s="12">
        <v>1</v>
      </c>
      <c r="C2307" s="12" t="s">
        <v>101</v>
      </c>
      <c r="D2307" s="12" t="s">
        <v>102</v>
      </c>
      <c r="E2307" s="12" t="s">
        <v>73</v>
      </c>
      <c r="F2307" s="12" t="s">
        <v>103</v>
      </c>
      <c r="G2307" s="12" t="s">
        <v>75</v>
      </c>
      <c r="H2307" s="12">
        <v>28.6</v>
      </c>
      <c r="I2307" s="12">
        <v>482</v>
      </c>
      <c r="J2307" s="12">
        <v>53561</v>
      </c>
      <c r="K2307" s="12" t="s">
        <v>104</v>
      </c>
      <c r="L2307" s="12">
        <v>-2</v>
      </c>
      <c r="M2307" s="13"/>
      <c r="N2307" s="12">
        <v>160</v>
      </c>
      <c r="O2307" s="12">
        <v>0</v>
      </c>
      <c r="P2307" s="12">
        <v>0</v>
      </c>
      <c r="Q2307" s="12">
        <v>2</v>
      </c>
      <c r="R2307" s="12">
        <v>4</v>
      </c>
      <c r="S2307" s="12">
        <v>9</v>
      </c>
      <c r="T2307" s="12">
        <v>6</v>
      </c>
      <c r="U2307" s="12">
        <v>5</v>
      </c>
      <c r="V2307" s="12">
        <v>2</v>
      </c>
      <c r="W2307" s="12">
        <v>3</v>
      </c>
      <c r="X2307" s="12">
        <v>5</v>
      </c>
      <c r="Y2307" s="12">
        <v>17</v>
      </c>
      <c r="Z2307" s="12">
        <v>5</v>
      </c>
      <c r="AA2307" s="12">
        <v>16</v>
      </c>
      <c r="AB2307" s="12">
        <v>23</v>
      </c>
      <c r="AC2307" s="12">
        <v>19</v>
      </c>
      <c r="AD2307" s="12">
        <v>6</v>
      </c>
      <c r="AE2307" s="12">
        <v>10</v>
      </c>
      <c r="AF2307" s="12">
        <v>8</v>
      </c>
      <c r="AG2307" s="12">
        <v>5</v>
      </c>
      <c r="AH2307" s="12">
        <v>12</v>
      </c>
      <c r="AI2307" s="12">
        <v>3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0</v>
      </c>
      <c r="AT2307" s="12">
        <v>0</v>
      </c>
      <c r="AU2307" s="12">
        <v>0</v>
      </c>
      <c r="AV2307" s="12">
        <v>0</v>
      </c>
      <c r="AW2307" s="12">
        <v>0</v>
      </c>
      <c r="AX2307" s="12">
        <v>0</v>
      </c>
      <c r="AY2307" s="12">
        <v>0</v>
      </c>
      <c r="AZ2307" s="12">
        <v>0</v>
      </c>
      <c r="BA2307" s="12">
        <v>0</v>
      </c>
      <c r="BB2307" s="12">
        <v>0</v>
      </c>
      <c r="BC2307" s="15">
        <v>0</v>
      </c>
      <c r="BD2307" s="15">
        <v>0</v>
      </c>
      <c r="BE2307" s="15">
        <v>0</v>
      </c>
      <c r="BF2307" s="15">
        <v>0</v>
      </c>
      <c r="BG2307" s="15">
        <v>0</v>
      </c>
      <c r="BH2307" s="15">
        <v>0</v>
      </c>
      <c r="BI2307" s="15">
        <v>0</v>
      </c>
      <c r="BJ2307" s="15">
        <v>0</v>
      </c>
      <c r="BK2307" s="15">
        <v>0</v>
      </c>
      <c r="BL2307" s="15">
        <v>0</v>
      </c>
      <c r="BM2307" s="15">
        <v>0</v>
      </c>
      <c r="BN2307" s="15">
        <v>0</v>
      </c>
      <c r="BO2307" s="15">
        <v>0</v>
      </c>
      <c r="BP2307" s="15">
        <v>0</v>
      </c>
      <c r="BQ2307" s="15">
        <v>0</v>
      </c>
      <c r="BR2307" s="15">
        <v>0</v>
      </c>
      <c r="BS2307" s="15">
        <v>0</v>
      </c>
      <c r="BT2307" s="15">
        <v>0</v>
      </c>
      <c r="BU2307" s="15">
        <v>0</v>
      </c>
      <c r="BV2307" s="53"/>
      <c r="BW2307" s="16">
        <v>-2</v>
      </c>
      <c r="BZ2307" s="14">
        <f t="shared" si="144"/>
        <v>19</v>
      </c>
      <c r="CA2307" t="s">
        <v>5832</v>
      </c>
    </row>
    <row r="2308" spans="1:79" hidden="1">
      <c r="A2308" s="12">
        <v>15</v>
      </c>
      <c r="B2308" s="12">
        <v>1</v>
      </c>
      <c r="C2308" s="12" t="s">
        <v>105</v>
      </c>
      <c r="D2308" s="12" t="s">
        <v>106</v>
      </c>
      <c r="E2308" s="12" t="s">
        <v>73</v>
      </c>
      <c r="F2308" s="12" t="s">
        <v>107</v>
      </c>
      <c r="G2308" s="12" t="s">
        <v>75</v>
      </c>
      <c r="H2308" s="12">
        <v>39.5</v>
      </c>
      <c r="I2308" s="12">
        <v>400</v>
      </c>
      <c r="J2308" s="12">
        <v>44091</v>
      </c>
      <c r="K2308" s="12" t="s">
        <v>108</v>
      </c>
      <c r="L2308" s="12">
        <v>-2</v>
      </c>
      <c r="M2308" s="13"/>
      <c r="N2308" s="12">
        <v>187</v>
      </c>
      <c r="O2308" s="12">
        <v>0</v>
      </c>
      <c r="P2308" s="12">
        <v>0</v>
      </c>
      <c r="Q2308" s="12">
        <v>4</v>
      </c>
      <c r="R2308" s="12">
        <v>5</v>
      </c>
      <c r="S2308" s="12">
        <v>6</v>
      </c>
      <c r="T2308" s="12">
        <v>5</v>
      </c>
      <c r="U2308" s="12">
        <v>8</v>
      </c>
      <c r="V2308" s="12">
        <v>4</v>
      </c>
      <c r="W2308" s="12">
        <v>4</v>
      </c>
      <c r="X2308" s="12">
        <v>9</v>
      </c>
      <c r="Y2308" s="12">
        <v>8</v>
      </c>
      <c r="Z2308" s="12">
        <v>5</v>
      </c>
      <c r="AA2308" s="12">
        <v>22</v>
      </c>
      <c r="AB2308" s="12">
        <v>22</v>
      </c>
      <c r="AC2308" s="12">
        <v>20</v>
      </c>
      <c r="AD2308" s="12">
        <v>11</v>
      </c>
      <c r="AE2308" s="12">
        <v>6</v>
      </c>
      <c r="AF2308" s="12">
        <v>14</v>
      </c>
      <c r="AG2308" s="12">
        <v>12</v>
      </c>
      <c r="AH2308" s="12">
        <v>13</v>
      </c>
      <c r="AI2308" s="12">
        <v>9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0</v>
      </c>
      <c r="AR2308" s="12">
        <v>0</v>
      </c>
      <c r="AS2308" s="12">
        <v>0</v>
      </c>
      <c r="AT2308" s="12">
        <v>0</v>
      </c>
      <c r="AU2308" s="12">
        <v>0</v>
      </c>
      <c r="AV2308" s="12">
        <v>0</v>
      </c>
      <c r="AW2308" s="12">
        <v>0</v>
      </c>
      <c r="AX2308" s="12">
        <v>0</v>
      </c>
      <c r="AY2308" s="12">
        <v>0</v>
      </c>
      <c r="AZ2308" s="12">
        <v>0</v>
      </c>
      <c r="BA2308" s="12">
        <v>0</v>
      </c>
      <c r="BB2308" s="12">
        <v>0</v>
      </c>
      <c r="BC2308" s="15">
        <v>0</v>
      </c>
      <c r="BD2308" s="15">
        <v>0</v>
      </c>
      <c r="BE2308" s="15">
        <v>0</v>
      </c>
      <c r="BF2308" s="15">
        <v>0</v>
      </c>
      <c r="BG2308" s="15">
        <v>0</v>
      </c>
      <c r="BH2308" s="15">
        <v>0</v>
      </c>
      <c r="BI2308" s="15">
        <v>0</v>
      </c>
      <c r="BJ2308" s="15">
        <v>0</v>
      </c>
      <c r="BK2308" s="15">
        <v>0</v>
      </c>
      <c r="BL2308" s="15">
        <v>0</v>
      </c>
      <c r="BM2308" s="15">
        <v>0</v>
      </c>
      <c r="BN2308" s="15">
        <v>0</v>
      </c>
      <c r="BO2308" s="15">
        <v>0</v>
      </c>
      <c r="BP2308" s="15">
        <v>0</v>
      </c>
      <c r="BQ2308" s="15">
        <v>0</v>
      </c>
      <c r="BR2308" s="15">
        <v>0</v>
      </c>
      <c r="BS2308" s="15">
        <v>0</v>
      </c>
      <c r="BT2308" s="15">
        <v>0</v>
      </c>
      <c r="BU2308" s="15">
        <v>0</v>
      </c>
      <c r="BV2308" s="53"/>
      <c r="BW2308" s="16">
        <v>-2</v>
      </c>
      <c r="BZ2308" s="14">
        <f t="shared" si="144"/>
        <v>19</v>
      </c>
      <c r="CA2308" t="s">
        <v>5832</v>
      </c>
    </row>
    <row r="2309" spans="1:79" hidden="1">
      <c r="A2309" s="12">
        <v>16</v>
      </c>
      <c r="B2309" s="12">
        <v>1</v>
      </c>
      <c r="C2309" s="12" t="s">
        <v>109</v>
      </c>
      <c r="D2309" s="12" t="s">
        <v>73</v>
      </c>
      <c r="E2309" s="12" t="s">
        <v>73</v>
      </c>
      <c r="F2309" s="12" t="s">
        <v>87</v>
      </c>
      <c r="G2309" s="12" t="s">
        <v>75</v>
      </c>
      <c r="H2309" s="12">
        <v>45.8</v>
      </c>
      <c r="I2309" s="12">
        <v>590</v>
      </c>
      <c r="J2309" s="12">
        <v>62461</v>
      </c>
      <c r="K2309" s="12" t="s">
        <v>110</v>
      </c>
      <c r="L2309" s="12">
        <v>-2</v>
      </c>
      <c r="M2309" s="13"/>
      <c r="N2309" s="12">
        <v>279</v>
      </c>
      <c r="O2309" s="12">
        <v>0</v>
      </c>
      <c r="P2309" s="12">
        <v>0</v>
      </c>
      <c r="Q2309" s="12">
        <v>7</v>
      </c>
      <c r="R2309" s="12">
        <v>6</v>
      </c>
      <c r="S2309" s="12">
        <v>13</v>
      </c>
      <c r="T2309" s="12">
        <v>8</v>
      </c>
      <c r="U2309" s="12">
        <v>7</v>
      </c>
      <c r="V2309" s="12">
        <v>8</v>
      </c>
      <c r="W2309" s="12">
        <v>11</v>
      </c>
      <c r="X2309" s="12">
        <v>29</v>
      </c>
      <c r="Y2309" s="12">
        <v>6</v>
      </c>
      <c r="Z2309" s="12">
        <v>5</v>
      </c>
      <c r="AA2309" s="12">
        <v>23</v>
      </c>
      <c r="AB2309" s="12">
        <v>39</v>
      </c>
      <c r="AC2309" s="12">
        <v>7</v>
      </c>
      <c r="AD2309" s="12">
        <v>10</v>
      </c>
      <c r="AE2309" s="12">
        <v>15</v>
      </c>
      <c r="AF2309" s="12">
        <v>18</v>
      </c>
      <c r="AG2309" s="12">
        <v>24</v>
      </c>
      <c r="AH2309" s="12">
        <v>24</v>
      </c>
      <c r="AI2309" s="12">
        <v>19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  <c r="AW2309" s="12">
        <v>0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5">
        <v>1</v>
      </c>
      <c r="BD2309" s="15">
        <v>0.5</v>
      </c>
      <c r="BE2309" s="15">
        <v>0.5</v>
      </c>
      <c r="BF2309" s="15">
        <v>0</v>
      </c>
      <c r="BG2309" s="15">
        <v>0</v>
      </c>
      <c r="BH2309" s="15">
        <v>0</v>
      </c>
      <c r="BI2309" s="15">
        <v>0.5</v>
      </c>
      <c r="BJ2309" s="15">
        <v>1</v>
      </c>
      <c r="BK2309" s="15">
        <v>0</v>
      </c>
      <c r="BL2309" s="15">
        <v>0.5</v>
      </c>
      <c r="BM2309" s="15">
        <v>1</v>
      </c>
      <c r="BN2309" s="15">
        <v>0.5</v>
      </c>
      <c r="BO2309" s="15">
        <v>0.5</v>
      </c>
      <c r="BP2309" s="15">
        <v>1.5</v>
      </c>
      <c r="BQ2309" s="15">
        <v>1</v>
      </c>
      <c r="BR2309" s="15">
        <v>1.5</v>
      </c>
      <c r="BS2309" s="15">
        <v>1</v>
      </c>
      <c r="BT2309" s="15">
        <v>2</v>
      </c>
      <c r="BU2309" s="15">
        <v>0.5</v>
      </c>
      <c r="BV2309" s="53"/>
      <c r="BW2309" s="16">
        <v>-2</v>
      </c>
      <c r="BZ2309" s="14">
        <f t="shared" si="144"/>
        <v>4</v>
      </c>
      <c r="CA2309" t="s">
        <v>5832</v>
      </c>
    </row>
    <row r="2310" spans="1:79" hidden="1">
      <c r="A2310" s="12">
        <v>17</v>
      </c>
      <c r="B2310" s="12">
        <v>1</v>
      </c>
      <c r="C2310" s="12" t="s">
        <v>111</v>
      </c>
      <c r="D2310" s="12" t="s">
        <v>73</v>
      </c>
      <c r="E2310" s="12" t="s">
        <v>73</v>
      </c>
      <c r="F2310" s="12" t="s">
        <v>84</v>
      </c>
      <c r="G2310" s="12" t="s">
        <v>75</v>
      </c>
      <c r="H2310" s="12">
        <v>57.4</v>
      </c>
      <c r="I2310" s="12">
        <v>472</v>
      </c>
      <c r="J2310" s="12">
        <v>51662</v>
      </c>
      <c r="K2310" s="12" t="s">
        <v>112</v>
      </c>
      <c r="L2310" s="12">
        <v>-2</v>
      </c>
      <c r="M2310" s="13"/>
      <c r="N2310" s="12">
        <v>382</v>
      </c>
      <c r="O2310" s="12">
        <v>15</v>
      </c>
      <c r="P2310" s="12">
        <v>3.9E-2</v>
      </c>
      <c r="Q2310" s="12">
        <v>18</v>
      </c>
      <c r="R2310" s="12">
        <v>3</v>
      </c>
      <c r="S2310" s="12">
        <v>13</v>
      </c>
      <c r="T2310" s="12">
        <v>5</v>
      </c>
      <c r="U2310" s="12">
        <v>10</v>
      </c>
      <c r="V2310" s="12">
        <v>6</v>
      </c>
      <c r="W2310" s="12">
        <v>17</v>
      </c>
      <c r="X2310" s="12">
        <v>46</v>
      </c>
      <c r="Y2310" s="12">
        <v>9</v>
      </c>
      <c r="Z2310" s="12">
        <v>7</v>
      </c>
      <c r="AA2310" s="12">
        <v>37</v>
      </c>
      <c r="AB2310" s="12">
        <v>31</v>
      </c>
      <c r="AC2310" s="12">
        <v>17</v>
      </c>
      <c r="AD2310" s="12">
        <v>23</v>
      </c>
      <c r="AE2310" s="12">
        <v>17</v>
      </c>
      <c r="AF2310" s="12">
        <v>20</v>
      </c>
      <c r="AG2310" s="12">
        <v>35</v>
      </c>
      <c r="AH2310" s="12">
        <v>39</v>
      </c>
      <c r="AI2310" s="12">
        <v>29</v>
      </c>
      <c r="AJ2310" s="12">
        <v>0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1</v>
      </c>
      <c r="AQ2310" s="12">
        <v>1</v>
      </c>
      <c r="AR2310" s="12">
        <v>0</v>
      </c>
      <c r="AS2310" s="12">
        <v>0</v>
      </c>
      <c r="AT2310" s="12">
        <v>3</v>
      </c>
      <c r="AU2310" s="12">
        <v>0</v>
      </c>
      <c r="AV2310" s="12">
        <v>0</v>
      </c>
      <c r="AW2310" s="12">
        <v>1</v>
      </c>
      <c r="AX2310" s="12">
        <v>1</v>
      </c>
      <c r="AY2310" s="12">
        <v>1</v>
      </c>
      <c r="AZ2310" s="12">
        <v>1</v>
      </c>
      <c r="BA2310" s="12">
        <v>5</v>
      </c>
      <c r="BB2310" s="12">
        <v>1</v>
      </c>
      <c r="BC2310" s="15">
        <v>3.2650000000000001</v>
      </c>
      <c r="BD2310" s="15">
        <v>7.8E-2</v>
      </c>
      <c r="BE2310" s="15">
        <v>1.5149999999999999</v>
      </c>
      <c r="BF2310" s="15">
        <v>0.108</v>
      </c>
      <c r="BG2310" s="15">
        <v>1.494</v>
      </c>
      <c r="BH2310" s="15">
        <v>0.59199999999999997</v>
      </c>
      <c r="BI2310" s="15">
        <v>5.5110000000000001</v>
      </c>
      <c r="BJ2310" s="15">
        <v>14.776</v>
      </c>
      <c r="BK2310" s="15">
        <v>3.044</v>
      </c>
      <c r="BL2310" s="15">
        <v>1.6339999999999999</v>
      </c>
      <c r="BM2310" s="15">
        <v>12.779</v>
      </c>
      <c r="BN2310" s="15">
        <v>8.6950000000000003</v>
      </c>
      <c r="BO2310" s="15">
        <v>2.2679999999999998</v>
      </c>
      <c r="BP2310" s="15">
        <v>5.28</v>
      </c>
      <c r="BQ2310" s="15">
        <v>6.3019999999999996</v>
      </c>
      <c r="BR2310" s="15">
        <v>8.7110000000000003</v>
      </c>
      <c r="BS2310" s="15">
        <v>7.4640000000000004</v>
      </c>
      <c r="BT2310" s="15">
        <v>13.39</v>
      </c>
      <c r="BU2310" s="15">
        <v>6.492</v>
      </c>
      <c r="BV2310" s="53"/>
      <c r="BW2310" s="16">
        <v>-2</v>
      </c>
      <c r="BZ2310" s="14">
        <f t="shared" ref="BZ2310:BZ2341" si="146">19-COUNTIF(BC2310:BU2310, "&gt;0")</f>
        <v>0</v>
      </c>
      <c r="CA2310" t="s">
        <v>5832</v>
      </c>
    </row>
    <row r="2311" spans="1:79" hidden="1">
      <c r="A2311" s="12">
        <v>22</v>
      </c>
      <c r="B2311" s="12">
        <v>1</v>
      </c>
      <c r="C2311" s="12" t="s">
        <v>113</v>
      </c>
      <c r="D2311" s="12" t="s">
        <v>73</v>
      </c>
      <c r="E2311" s="12" t="s">
        <v>73</v>
      </c>
      <c r="F2311" s="12" t="s">
        <v>107</v>
      </c>
      <c r="G2311" s="12" t="s">
        <v>75</v>
      </c>
      <c r="H2311" s="12">
        <v>27.9</v>
      </c>
      <c r="I2311" s="12">
        <v>456</v>
      </c>
      <c r="J2311" s="12">
        <v>49167</v>
      </c>
      <c r="K2311" s="12" t="s">
        <v>114</v>
      </c>
      <c r="L2311" s="12">
        <v>-2</v>
      </c>
      <c r="M2311" s="13"/>
      <c r="N2311" s="12">
        <v>150</v>
      </c>
      <c r="O2311" s="12">
        <v>0</v>
      </c>
      <c r="P2311" s="12">
        <v>0</v>
      </c>
      <c r="Q2311" s="12">
        <v>5</v>
      </c>
      <c r="R2311" s="12">
        <v>4</v>
      </c>
      <c r="S2311" s="12">
        <v>6</v>
      </c>
      <c r="T2311" s="12">
        <v>5</v>
      </c>
      <c r="U2311" s="12">
        <v>6</v>
      </c>
      <c r="V2311" s="12">
        <v>4</v>
      </c>
      <c r="W2311" s="12">
        <v>7</v>
      </c>
      <c r="X2311" s="12">
        <v>8</v>
      </c>
      <c r="Y2311" s="12">
        <v>5</v>
      </c>
      <c r="Z2311" s="12">
        <v>3</v>
      </c>
      <c r="AA2311" s="12">
        <v>18</v>
      </c>
      <c r="AB2311" s="12">
        <v>20</v>
      </c>
      <c r="AC2311" s="12">
        <v>9</v>
      </c>
      <c r="AD2311" s="12">
        <v>7</v>
      </c>
      <c r="AE2311" s="12">
        <v>5</v>
      </c>
      <c r="AF2311" s="12">
        <v>7</v>
      </c>
      <c r="AG2311" s="12">
        <v>12</v>
      </c>
      <c r="AH2311" s="12">
        <v>11</v>
      </c>
      <c r="AI2311" s="12">
        <v>8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  <c r="AW2311" s="12">
        <v>0</v>
      </c>
      <c r="AX2311" s="12">
        <v>0</v>
      </c>
      <c r="AY2311" s="12">
        <v>0</v>
      </c>
      <c r="AZ2311" s="12">
        <v>0</v>
      </c>
      <c r="BA2311" s="12">
        <v>0</v>
      </c>
      <c r="BB2311" s="12">
        <v>0</v>
      </c>
      <c r="BC2311" s="15">
        <v>0</v>
      </c>
      <c r="BD2311" s="15">
        <v>0</v>
      </c>
      <c r="BE2311" s="15">
        <v>0</v>
      </c>
      <c r="BF2311" s="15">
        <v>0</v>
      </c>
      <c r="BG2311" s="15">
        <v>0</v>
      </c>
      <c r="BH2311" s="15">
        <v>0</v>
      </c>
      <c r="BI2311" s="15">
        <v>0</v>
      </c>
      <c r="BJ2311" s="15">
        <v>0</v>
      </c>
      <c r="BK2311" s="15">
        <v>0</v>
      </c>
      <c r="BL2311" s="15">
        <v>0</v>
      </c>
      <c r="BM2311" s="15">
        <v>0</v>
      </c>
      <c r="BN2311" s="15">
        <v>0</v>
      </c>
      <c r="BO2311" s="15">
        <v>0</v>
      </c>
      <c r="BP2311" s="15">
        <v>0</v>
      </c>
      <c r="BQ2311" s="15">
        <v>0</v>
      </c>
      <c r="BR2311" s="15">
        <v>0</v>
      </c>
      <c r="BS2311" s="15">
        <v>0</v>
      </c>
      <c r="BT2311" s="15">
        <v>0</v>
      </c>
      <c r="BU2311" s="15">
        <v>0</v>
      </c>
      <c r="BV2311" s="53"/>
      <c r="BW2311" s="16">
        <v>-2</v>
      </c>
      <c r="BZ2311" s="14">
        <f t="shared" si="146"/>
        <v>19</v>
      </c>
      <c r="CA2311" t="s">
        <v>5832</v>
      </c>
    </row>
    <row r="2312" spans="1:79" hidden="1">
      <c r="A2312" s="12">
        <v>23</v>
      </c>
      <c r="B2312" s="12">
        <v>1</v>
      </c>
      <c r="C2312" s="12" t="s">
        <v>115</v>
      </c>
      <c r="D2312" s="12" t="s">
        <v>73</v>
      </c>
      <c r="E2312" s="12" t="s">
        <v>73</v>
      </c>
      <c r="F2312" s="12" t="s">
        <v>116</v>
      </c>
      <c r="G2312" s="12" t="s">
        <v>75</v>
      </c>
      <c r="H2312" s="12">
        <v>27.7</v>
      </c>
      <c r="I2312" s="12">
        <v>534</v>
      </c>
      <c r="J2312" s="12">
        <v>57265</v>
      </c>
      <c r="K2312" s="12" t="s">
        <v>117</v>
      </c>
      <c r="L2312" s="12">
        <v>-2</v>
      </c>
      <c r="M2312" s="13"/>
      <c r="N2312" s="12">
        <v>49</v>
      </c>
      <c r="O2312" s="12">
        <v>5</v>
      </c>
      <c r="P2312" s="12">
        <v>0.10199999999999999</v>
      </c>
      <c r="Q2312" s="12">
        <v>0</v>
      </c>
      <c r="R2312" s="12">
        <v>0</v>
      </c>
      <c r="S2312" s="12">
        <v>2</v>
      </c>
      <c r="T2312" s="12">
        <v>1</v>
      </c>
      <c r="U2312" s="12">
        <v>2</v>
      </c>
      <c r="V2312" s="12">
        <v>1</v>
      </c>
      <c r="W2312" s="12">
        <v>8</v>
      </c>
      <c r="X2312" s="12">
        <v>3</v>
      </c>
      <c r="Y2312" s="12">
        <v>2</v>
      </c>
      <c r="Z2312" s="12">
        <v>1</v>
      </c>
      <c r="AA2312" s="12">
        <v>4</v>
      </c>
      <c r="AB2312" s="12">
        <v>7</v>
      </c>
      <c r="AC2312" s="12">
        <v>2</v>
      </c>
      <c r="AD2312" s="12">
        <v>1</v>
      </c>
      <c r="AE2312" s="12">
        <v>1</v>
      </c>
      <c r="AF2312" s="12">
        <v>1</v>
      </c>
      <c r="AG2312" s="12">
        <v>8</v>
      </c>
      <c r="AH2312" s="12">
        <v>3</v>
      </c>
      <c r="AI2312" s="12">
        <v>2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5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0</v>
      </c>
      <c r="AW2312" s="12">
        <v>0</v>
      </c>
      <c r="AX2312" s="12">
        <v>0</v>
      </c>
      <c r="AY2312" s="12">
        <v>0</v>
      </c>
      <c r="AZ2312" s="12">
        <v>0</v>
      </c>
      <c r="BA2312" s="12">
        <v>0</v>
      </c>
      <c r="BB2312" s="12">
        <v>0</v>
      </c>
      <c r="BC2312" s="15">
        <v>0</v>
      </c>
      <c r="BD2312" s="15">
        <v>0</v>
      </c>
      <c r="BE2312" s="15">
        <v>3.6999999999999998E-2</v>
      </c>
      <c r="BF2312" s="15">
        <v>4.0000000000000001E-3</v>
      </c>
      <c r="BG2312" s="15">
        <v>1.2E-2</v>
      </c>
      <c r="BH2312" s="15">
        <v>8.0000000000000002E-3</v>
      </c>
      <c r="BI2312" s="15">
        <v>6.0430000000000001</v>
      </c>
      <c r="BJ2312" s="15">
        <v>4.7E-2</v>
      </c>
      <c r="BK2312" s="15">
        <v>8.0000000000000002E-3</v>
      </c>
      <c r="BL2312" s="15">
        <v>4.0000000000000001E-3</v>
      </c>
      <c r="BM2312" s="15">
        <v>0.13</v>
      </c>
      <c r="BN2312" s="15">
        <v>0.23200000000000001</v>
      </c>
      <c r="BO2312" s="15">
        <v>1.6E-2</v>
      </c>
      <c r="BP2312" s="15">
        <v>4.0000000000000001E-3</v>
      </c>
      <c r="BQ2312" s="15">
        <v>4.0000000000000001E-3</v>
      </c>
      <c r="BR2312" s="15">
        <v>4.0000000000000001E-3</v>
      </c>
      <c r="BS2312" s="15">
        <v>0.29899999999999999</v>
      </c>
      <c r="BT2312" s="15">
        <v>4.7E-2</v>
      </c>
      <c r="BU2312" s="15">
        <v>1.2E-2</v>
      </c>
      <c r="BV2312" s="53"/>
      <c r="BW2312" s="16">
        <v>-2</v>
      </c>
      <c r="BZ2312" s="14">
        <f t="shared" si="146"/>
        <v>2</v>
      </c>
      <c r="CA2312" t="s">
        <v>5832</v>
      </c>
    </row>
    <row r="2313" spans="1:79" hidden="1">
      <c r="A2313" s="12">
        <v>30</v>
      </c>
      <c r="B2313" s="12">
        <v>1</v>
      </c>
      <c r="C2313" s="12" t="s">
        <v>118</v>
      </c>
      <c r="D2313" s="12" t="s">
        <v>73</v>
      </c>
      <c r="E2313" s="12" t="s">
        <v>73</v>
      </c>
      <c r="F2313" s="12" t="s">
        <v>119</v>
      </c>
      <c r="G2313" s="12" t="s">
        <v>75</v>
      </c>
      <c r="H2313" s="12">
        <v>59.4</v>
      </c>
      <c r="I2313" s="12">
        <v>564</v>
      </c>
      <c r="J2313" s="12">
        <v>60066</v>
      </c>
      <c r="K2313" s="12" t="s">
        <v>120</v>
      </c>
      <c r="L2313" s="12">
        <v>-2</v>
      </c>
      <c r="M2313" s="13"/>
      <c r="N2313" s="12">
        <v>262</v>
      </c>
      <c r="O2313" s="12">
        <v>0</v>
      </c>
      <c r="P2313" s="12">
        <v>0</v>
      </c>
      <c r="Q2313" s="12">
        <v>6</v>
      </c>
      <c r="R2313" s="12">
        <v>6</v>
      </c>
      <c r="S2313" s="12">
        <v>11</v>
      </c>
      <c r="T2313" s="12">
        <v>8</v>
      </c>
      <c r="U2313" s="12">
        <v>9</v>
      </c>
      <c r="V2313" s="12">
        <v>9</v>
      </c>
      <c r="W2313" s="12">
        <v>14</v>
      </c>
      <c r="X2313" s="12">
        <v>29</v>
      </c>
      <c r="Y2313" s="12">
        <v>7</v>
      </c>
      <c r="Z2313" s="12">
        <v>4</v>
      </c>
      <c r="AA2313" s="12">
        <v>27</v>
      </c>
      <c r="AB2313" s="12">
        <v>23</v>
      </c>
      <c r="AC2313" s="12">
        <v>11</v>
      </c>
      <c r="AD2313" s="12">
        <v>9</v>
      </c>
      <c r="AE2313" s="12">
        <v>10</v>
      </c>
      <c r="AF2313" s="12">
        <v>13</v>
      </c>
      <c r="AG2313" s="12">
        <v>24</v>
      </c>
      <c r="AH2313" s="12">
        <v>24</v>
      </c>
      <c r="AI2313" s="12">
        <v>18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0</v>
      </c>
      <c r="AW2313" s="12">
        <v>0</v>
      </c>
      <c r="AX2313" s="12">
        <v>0</v>
      </c>
      <c r="AY2313" s="12">
        <v>0</v>
      </c>
      <c r="AZ2313" s="12">
        <v>0</v>
      </c>
      <c r="BA2313" s="12">
        <v>0</v>
      </c>
      <c r="BB2313" s="12">
        <v>0</v>
      </c>
      <c r="BC2313" s="15">
        <v>0</v>
      </c>
      <c r="BD2313" s="15">
        <v>0</v>
      </c>
      <c r="BE2313" s="15">
        <v>0</v>
      </c>
      <c r="BF2313" s="15">
        <v>0</v>
      </c>
      <c r="BG2313" s="15">
        <v>0</v>
      </c>
      <c r="BH2313" s="15">
        <v>0</v>
      </c>
      <c r="BI2313" s="15">
        <v>0</v>
      </c>
      <c r="BJ2313" s="15">
        <v>0</v>
      </c>
      <c r="BK2313" s="15">
        <v>0</v>
      </c>
      <c r="BL2313" s="15">
        <v>0</v>
      </c>
      <c r="BM2313" s="15">
        <v>0</v>
      </c>
      <c r="BN2313" s="15">
        <v>0</v>
      </c>
      <c r="BO2313" s="15">
        <v>0</v>
      </c>
      <c r="BP2313" s="15">
        <v>0</v>
      </c>
      <c r="BQ2313" s="15">
        <v>0</v>
      </c>
      <c r="BR2313" s="15">
        <v>0</v>
      </c>
      <c r="BS2313" s="15">
        <v>0</v>
      </c>
      <c r="BT2313" s="15">
        <v>0</v>
      </c>
      <c r="BU2313" s="15">
        <v>0</v>
      </c>
      <c r="BV2313" s="53"/>
      <c r="BW2313" s="16">
        <v>-2</v>
      </c>
      <c r="BZ2313" s="14">
        <f t="shared" si="146"/>
        <v>19</v>
      </c>
      <c r="CA2313" t="s">
        <v>5832</v>
      </c>
    </row>
    <row r="2314" spans="1:79" hidden="1">
      <c r="A2314" s="12">
        <v>32</v>
      </c>
      <c r="B2314" s="12">
        <v>1</v>
      </c>
      <c r="C2314" s="12" t="s">
        <v>121</v>
      </c>
      <c r="D2314" s="12" t="s">
        <v>73</v>
      </c>
      <c r="E2314" s="12" t="s">
        <v>73</v>
      </c>
      <c r="F2314" s="12" t="s">
        <v>87</v>
      </c>
      <c r="G2314" s="12" t="s">
        <v>75</v>
      </c>
      <c r="H2314" s="12">
        <v>12.4</v>
      </c>
      <c r="I2314" s="12">
        <v>629</v>
      </c>
      <c r="J2314" s="12">
        <v>64447</v>
      </c>
      <c r="K2314" s="12" t="s">
        <v>122</v>
      </c>
      <c r="L2314" s="12">
        <v>-2</v>
      </c>
      <c r="M2314" s="13"/>
      <c r="N2314" s="12">
        <v>141</v>
      </c>
      <c r="O2314" s="12">
        <v>0</v>
      </c>
      <c r="P2314" s="12">
        <v>0</v>
      </c>
      <c r="Q2314" s="12">
        <v>4</v>
      </c>
      <c r="R2314" s="12">
        <v>3</v>
      </c>
      <c r="S2314" s="12">
        <v>7</v>
      </c>
      <c r="T2314" s="12">
        <v>3</v>
      </c>
      <c r="U2314" s="12">
        <v>6</v>
      </c>
      <c r="V2314" s="12">
        <v>2</v>
      </c>
      <c r="W2314" s="12">
        <v>4</v>
      </c>
      <c r="X2314" s="12">
        <v>12</v>
      </c>
      <c r="Y2314" s="12">
        <v>5</v>
      </c>
      <c r="Z2314" s="12">
        <v>4</v>
      </c>
      <c r="AA2314" s="12">
        <v>11</v>
      </c>
      <c r="AB2314" s="12">
        <v>15</v>
      </c>
      <c r="AC2314" s="12">
        <v>5</v>
      </c>
      <c r="AD2314" s="12">
        <v>7</v>
      </c>
      <c r="AE2314" s="12">
        <v>7</v>
      </c>
      <c r="AF2314" s="12">
        <v>8</v>
      </c>
      <c r="AG2314" s="12">
        <v>17</v>
      </c>
      <c r="AH2314" s="12">
        <v>10</v>
      </c>
      <c r="AI2314" s="12">
        <v>11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0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0</v>
      </c>
      <c r="AW2314" s="12">
        <v>0</v>
      </c>
      <c r="AX2314" s="12">
        <v>0</v>
      </c>
      <c r="AY2314" s="12">
        <v>0</v>
      </c>
      <c r="AZ2314" s="12">
        <v>0</v>
      </c>
      <c r="BA2314" s="12">
        <v>0</v>
      </c>
      <c r="BB2314" s="12">
        <v>0</v>
      </c>
      <c r="BC2314" s="15">
        <v>0</v>
      </c>
      <c r="BD2314" s="15">
        <v>0</v>
      </c>
      <c r="BE2314" s="15">
        <v>0</v>
      </c>
      <c r="BF2314" s="15">
        <v>0</v>
      </c>
      <c r="BG2314" s="15">
        <v>0</v>
      </c>
      <c r="BH2314" s="15">
        <v>0</v>
      </c>
      <c r="BI2314" s="15">
        <v>0</v>
      </c>
      <c r="BJ2314" s="15">
        <v>0</v>
      </c>
      <c r="BK2314" s="15">
        <v>0</v>
      </c>
      <c r="BL2314" s="15">
        <v>0</v>
      </c>
      <c r="BM2314" s="15">
        <v>0</v>
      </c>
      <c r="BN2314" s="15">
        <v>0</v>
      </c>
      <c r="BO2314" s="15">
        <v>0</v>
      </c>
      <c r="BP2314" s="15">
        <v>0</v>
      </c>
      <c r="BQ2314" s="15">
        <v>0</v>
      </c>
      <c r="BR2314" s="15">
        <v>0</v>
      </c>
      <c r="BS2314" s="15">
        <v>0</v>
      </c>
      <c r="BT2314" s="15">
        <v>0</v>
      </c>
      <c r="BU2314" s="15">
        <v>0</v>
      </c>
      <c r="BV2314" s="53"/>
      <c r="BW2314" s="16">
        <v>-2</v>
      </c>
      <c r="BZ2314" s="14">
        <f t="shared" si="146"/>
        <v>19</v>
      </c>
      <c r="CA2314" t="s">
        <v>5832</v>
      </c>
    </row>
    <row r="2315" spans="1:79" hidden="1">
      <c r="A2315" s="12">
        <v>2409</v>
      </c>
      <c r="B2315" s="12">
        <v>1</v>
      </c>
      <c r="C2315" s="12" t="s">
        <v>5613</v>
      </c>
      <c r="D2315" s="12" t="s">
        <v>73</v>
      </c>
      <c r="E2315" s="12" t="s">
        <v>5614</v>
      </c>
      <c r="F2315" s="12" t="s">
        <v>5611</v>
      </c>
      <c r="G2315" s="12" t="s">
        <v>75</v>
      </c>
      <c r="H2315" s="12">
        <v>71.5</v>
      </c>
      <c r="I2315" s="12">
        <v>607</v>
      </c>
      <c r="J2315" s="12">
        <v>69270</v>
      </c>
      <c r="K2315" s="12" t="s">
        <v>5615</v>
      </c>
      <c r="L2315" s="12">
        <v>-2</v>
      </c>
      <c r="M2315" s="13"/>
      <c r="N2315" s="12">
        <v>1947</v>
      </c>
      <c r="O2315" s="12">
        <v>175</v>
      </c>
      <c r="P2315" s="12">
        <v>0.09</v>
      </c>
      <c r="Q2315" s="12">
        <v>135</v>
      </c>
      <c r="R2315" s="12">
        <v>93</v>
      </c>
      <c r="S2315" s="12">
        <v>69</v>
      </c>
      <c r="T2315" s="12">
        <v>68</v>
      </c>
      <c r="U2315" s="12">
        <v>65</v>
      </c>
      <c r="V2315" s="12">
        <v>47</v>
      </c>
      <c r="W2315" s="12">
        <v>151</v>
      </c>
      <c r="X2315" s="12">
        <v>93</v>
      </c>
      <c r="Y2315" s="12">
        <v>53</v>
      </c>
      <c r="Z2315" s="12">
        <v>124</v>
      </c>
      <c r="AA2315" s="12">
        <v>99</v>
      </c>
      <c r="AB2315" s="12">
        <v>62</v>
      </c>
      <c r="AC2315" s="12">
        <v>123</v>
      </c>
      <c r="AD2315" s="12">
        <v>211</v>
      </c>
      <c r="AE2315" s="12">
        <v>101</v>
      </c>
      <c r="AF2315" s="12">
        <v>81</v>
      </c>
      <c r="AG2315" s="12">
        <v>104</v>
      </c>
      <c r="AH2315" s="12">
        <v>134</v>
      </c>
      <c r="AI2315" s="12">
        <v>134</v>
      </c>
      <c r="AJ2315" s="12">
        <v>2</v>
      </c>
      <c r="AK2315" s="12">
        <v>0</v>
      </c>
      <c r="AL2315" s="12">
        <v>0</v>
      </c>
      <c r="AM2315" s="12">
        <v>1</v>
      </c>
      <c r="AN2315" s="12">
        <v>0</v>
      </c>
      <c r="AO2315" s="12">
        <v>3</v>
      </c>
      <c r="AP2315" s="12">
        <v>3</v>
      </c>
      <c r="AQ2315" s="12">
        <v>2</v>
      </c>
      <c r="AR2315" s="12">
        <v>2</v>
      </c>
      <c r="AS2315" s="12">
        <v>5</v>
      </c>
      <c r="AT2315" s="12">
        <v>57</v>
      </c>
      <c r="AU2315" s="12">
        <v>2</v>
      </c>
      <c r="AV2315" s="12">
        <v>7</v>
      </c>
      <c r="AW2315" s="12">
        <v>63</v>
      </c>
      <c r="AX2315" s="12">
        <v>6</v>
      </c>
      <c r="AY2315" s="12">
        <v>3</v>
      </c>
      <c r="AZ2315" s="12">
        <v>4</v>
      </c>
      <c r="BA2315" s="12">
        <v>1</v>
      </c>
      <c r="BB2315" s="12">
        <v>14</v>
      </c>
      <c r="BC2315" s="15">
        <v>3.5110000000000001</v>
      </c>
      <c r="BD2315" s="15">
        <v>1.056</v>
      </c>
      <c r="BE2315" s="15">
        <v>0.78400000000000003</v>
      </c>
      <c r="BF2315" s="15">
        <v>1.7609999999999999</v>
      </c>
      <c r="BG2315" s="15">
        <v>0.73799999999999999</v>
      </c>
      <c r="BH2315" s="15">
        <v>3.5</v>
      </c>
      <c r="BI2315" s="15">
        <v>4.68</v>
      </c>
      <c r="BJ2315" s="15">
        <v>3.0329999999999999</v>
      </c>
      <c r="BK2315" s="15">
        <v>2.5790000000000002</v>
      </c>
      <c r="BL2315" s="15">
        <v>6.3520000000000003</v>
      </c>
      <c r="BM2315" s="15">
        <v>58.889000000000003</v>
      </c>
      <c r="BN2315" s="15">
        <v>2.681</v>
      </c>
      <c r="BO2315" s="15">
        <v>8.3179999999999996</v>
      </c>
      <c r="BP2315" s="15">
        <v>66.799000000000007</v>
      </c>
      <c r="BQ2315" s="15">
        <v>7.0789999999999997</v>
      </c>
      <c r="BR2315" s="15">
        <v>3.8860000000000001</v>
      </c>
      <c r="BS2315" s="15">
        <v>5.1360000000000001</v>
      </c>
      <c r="BT2315" s="15">
        <v>2.5099999999999998</v>
      </c>
      <c r="BU2315" s="15">
        <v>15.363</v>
      </c>
      <c r="BV2315" s="53"/>
      <c r="BW2315" s="16">
        <v>-2</v>
      </c>
      <c r="BZ2315" s="14">
        <f t="shared" si="146"/>
        <v>0</v>
      </c>
      <c r="CA2315" t="s">
        <v>5832</v>
      </c>
    </row>
    <row r="2316" spans="1:79" hidden="1">
      <c r="A2316" s="12">
        <v>2410</v>
      </c>
      <c r="B2316" s="12">
        <v>1</v>
      </c>
      <c r="C2316" s="12" t="s">
        <v>5616</v>
      </c>
      <c r="D2316" s="12" t="s">
        <v>73</v>
      </c>
      <c r="E2316" s="12" t="s">
        <v>5617</v>
      </c>
      <c r="F2316" s="12" t="s">
        <v>5618</v>
      </c>
      <c r="G2316" s="12" t="s">
        <v>75</v>
      </c>
      <c r="H2316" s="12">
        <v>52.3</v>
      </c>
      <c r="I2316" s="12">
        <v>593</v>
      </c>
      <c r="J2316" s="12">
        <v>59527</v>
      </c>
      <c r="K2316" s="12" t="s">
        <v>5619</v>
      </c>
      <c r="L2316" s="12">
        <v>-2</v>
      </c>
      <c r="M2316" s="13"/>
      <c r="N2316" s="12">
        <v>763</v>
      </c>
      <c r="O2316" s="12">
        <v>115</v>
      </c>
      <c r="P2316" s="12">
        <v>0.151</v>
      </c>
      <c r="Q2316" s="12">
        <v>45</v>
      </c>
      <c r="R2316" s="12">
        <v>27</v>
      </c>
      <c r="S2316" s="12">
        <v>31</v>
      </c>
      <c r="T2316" s="12">
        <v>30</v>
      </c>
      <c r="U2316" s="12">
        <v>29</v>
      </c>
      <c r="V2316" s="12">
        <v>37</v>
      </c>
      <c r="W2316" s="12">
        <v>45</v>
      </c>
      <c r="X2316" s="12">
        <v>54</v>
      </c>
      <c r="Y2316" s="12">
        <v>22</v>
      </c>
      <c r="Z2316" s="12">
        <v>26</v>
      </c>
      <c r="AA2316" s="12">
        <v>40</v>
      </c>
      <c r="AB2316" s="12">
        <v>47</v>
      </c>
      <c r="AC2316" s="12">
        <v>31</v>
      </c>
      <c r="AD2316" s="12">
        <v>35</v>
      </c>
      <c r="AE2316" s="12">
        <v>36</v>
      </c>
      <c r="AF2316" s="12">
        <v>44</v>
      </c>
      <c r="AG2316" s="12">
        <v>58</v>
      </c>
      <c r="AH2316" s="12">
        <v>65</v>
      </c>
      <c r="AI2316" s="12">
        <v>61</v>
      </c>
      <c r="AJ2316" s="12">
        <v>6</v>
      </c>
      <c r="AK2316" s="12">
        <v>4</v>
      </c>
      <c r="AL2316" s="12">
        <v>7</v>
      </c>
      <c r="AM2316" s="12">
        <v>10</v>
      </c>
      <c r="AN2316" s="12">
        <v>6</v>
      </c>
      <c r="AO2316" s="12">
        <v>6</v>
      </c>
      <c r="AP2316" s="12">
        <v>10</v>
      </c>
      <c r="AQ2316" s="12">
        <v>5</v>
      </c>
      <c r="AR2316" s="12">
        <v>2</v>
      </c>
      <c r="AS2316" s="12">
        <v>5</v>
      </c>
      <c r="AT2316" s="12">
        <v>6</v>
      </c>
      <c r="AU2316" s="12">
        <v>6</v>
      </c>
      <c r="AV2316" s="12">
        <v>4</v>
      </c>
      <c r="AW2316" s="12">
        <v>5</v>
      </c>
      <c r="AX2316" s="12">
        <v>4</v>
      </c>
      <c r="AY2316" s="12">
        <v>5</v>
      </c>
      <c r="AZ2316" s="12">
        <v>5</v>
      </c>
      <c r="BA2316" s="12">
        <v>11</v>
      </c>
      <c r="BB2316" s="12">
        <v>8</v>
      </c>
      <c r="BC2316" s="15">
        <v>30.934000000000001</v>
      </c>
      <c r="BD2316" s="15">
        <v>19.155999999999999</v>
      </c>
      <c r="BE2316" s="15">
        <v>20.913</v>
      </c>
      <c r="BF2316" s="15">
        <v>21.646999999999998</v>
      </c>
      <c r="BG2316" s="15">
        <v>19.114999999999998</v>
      </c>
      <c r="BH2316" s="15">
        <v>26.166</v>
      </c>
      <c r="BI2316" s="15">
        <v>32.015000000000001</v>
      </c>
      <c r="BJ2316" s="15">
        <v>35.466999999999999</v>
      </c>
      <c r="BK2316" s="15">
        <v>15.135</v>
      </c>
      <c r="BL2316" s="15">
        <v>18.998999999999999</v>
      </c>
      <c r="BM2316" s="15">
        <v>28.408999999999999</v>
      </c>
      <c r="BN2316" s="15">
        <v>31.46</v>
      </c>
      <c r="BO2316" s="15">
        <v>22.254000000000001</v>
      </c>
      <c r="BP2316" s="15">
        <v>24.722000000000001</v>
      </c>
      <c r="BQ2316" s="15">
        <v>26.352</v>
      </c>
      <c r="BR2316" s="15">
        <v>30.867999999999999</v>
      </c>
      <c r="BS2316" s="15">
        <v>38.430999999999997</v>
      </c>
      <c r="BT2316" s="15">
        <v>42.945</v>
      </c>
      <c r="BU2316" s="15">
        <v>40.866999999999997</v>
      </c>
      <c r="BV2316" s="53"/>
      <c r="BW2316" s="16">
        <v>-2</v>
      </c>
      <c r="BZ2316" s="14">
        <f t="shared" si="146"/>
        <v>0</v>
      </c>
      <c r="CA2316" t="s">
        <v>5832</v>
      </c>
    </row>
    <row r="2317" spans="1:79" hidden="1">
      <c r="A2317" s="12">
        <v>2412</v>
      </c>
      <c r="B2317" s="12">
        <v>1</v>
      </c>
      <c r="C2317" s="12" t="s">
        <v>5624</v>
      </c>
      <c r="D2317" s="12" t="s">
        <v>73</v>
      </c>
      <c r="E2317" s="12" t="s">
        <v>5625</v>
      </c>
      <c r="F2317" s="12" t="s">
        <v>5618</v>
      </c>
      <c r="G2317" s="12" t="s">
        <v>75</v>
      </c>
      <c r="H2317" s="12">
        <v>58.8</v>
      </c>
      <c r="I2317" s="12">
        <v>473</v>
      </c>
      <c r="J2317" s="12">
        <v>51237</v>
      </c>
      <c r="K2317" s="12" t="s">
        <v>5626</v>
      </c>
      <c r="L2317" s="12">
        <v>-2</v>
      </c>
      <c r="M2317" s="13"/>
      <c r="N2317" s="12">
        <v>369</v>
      </c>
      <c r="O2317" s="12">
        <v>93</v>
      </c>
      <c r="P2317" s="12">
        <v>0.252</v>
      </c>
      <c r="Q2317" s="12">
        <v>16</v>
      </c>
      <c r="R2317" s="12">
        <v>3</v>
      </c>
      <c r="S2317" s="12">
        <v>16</v>
      </c>
      <c r="T2317" s="12">
        <v>6</v>
      </c>
      <c r="U2317" s="12">
        <v>10</v>
      </c>
      <c r="V2317" s="12">
        <v>6</v>
      </c>
      <c r="W2317" s="12">
        <v>14</v>
      </c>
      <c r="X2317" s="12">
        <v>51</v>
      </c>
      <c r="Y2317" s="12">
        <v>7</v>
      </c>
      <c r="Z2317" s="12">
        <v>4</v>
      </c>
      <c r="AA2317" s="12">
        <v>45</v>
      </c>
      <c r="AB2317" s="12">
        <v>18</v>
      </c>
      <c r="AC2317" s="12">
        <v>16</v>
      </c>
      <c r="AD2317" s="12">
        <v>19</v>
      </c>
      <c r="AE2317" s="12">
        <v>10</v>
      </c>
      <c r="AF2317" s="12">
        <v>18</v>
      </c>
      <c r="AG2317" s="12">
        <v>39</v>
      </c>
      <c r="AH2317" s="12">
        <v>37</v>
      </c>
      <c r="AI2317" s="12">
        <v>34</v>
      </c>
      <c r="AJ2317" s="12">
        <v>2</v>
      </c>
      <c r="AK2317" s="12">
        <v>0</v>
      </c>
      <c r="AL2317" s="12">
        <v>4</v>
      </c>
      <c r="AM2317" s="12">
        <v>1</v>
      </c>
      <c r="AN2317" s="12">
        <v>1</v>
      </c>
      <c r="AO2317" s="12">
        <v>0</v>
      </c>
      <c r="AP2317" s="12">
        <v>3</v>
      </c>
      <c r="AQ2317" s="12">
        <v>20</v>
      </c>
      <c r="AR2317" s="12">
        <v>1</v>
      </c>
      <c r="AS2317" s="12">
        <v>0</v>
      </c>
      <c r="AT2317" s="12">
        <v>17</v>
      </c>
      <c r="AU2317" s="12">
        <v>1</v>
      </c>
      <c r="AV2317" s="12">
        <v>5</v>
      </c>
      <c r="AW2317" s="12">
        <v>3</v>
      </c>
      <c r="AX2317" s="12">
        <v>3</v>
      </c>
      <c r="AY2317" s="12">
        <v>8</v>
      </c>
      <c r="AZ2317" s="12">
        <v>3</v>
      </c>
      <c r="BA2317" s="12">
        <v>13</v>
      </c>
      <c r="BB2317" s="12">
        <v>8</v>
      </c>
      <c r="BC2317" s="15">
        <v>8.86</v>
      </c>
      <c r="BD2317" s="15">
        <v>0.48199999999999998</v>
      </c>
      <c r="BE2317" s="15">
        <v>8.7940000000000005</v>
      </c>
      <c r="BF2317" s="15">
        <v>1.6719999999999999</v>
      </c>
      <c r="BG2317" s="15">
        <v>3.7949999999999999</v>
      </c>
      <c r="BH2317" s="15">
        <v>1.8069999999999999</v>
      </c>
      <c r="BI2317" s="15">
        <v>7.5650000000000004</v>
      </c>
      <c r="BJ2317" s="15">
        <v>36.463000000000001</v>
      </c>
      <c r="BK2317" s="15">
        <v>4.375</v>
      </c>
      <c r="BL2317" s="15">
        <v>1.917</v>
      </c>
      <c r="BM2317" s="15">
        <v>34.664000000000001</v>
      </c>
      <c r="BN2317" s="15">
        <v>7.9859999999999998</v>
      </c>
      <c r="BO2317" s="15">
        <v>10.461</v>
      </c>
      <c r="BP2317" s="15">
        <v>11.239000000000001</v>
      </c>
      <c r="BQ2317" s="15">
        <v>6.375</v>
      </c>
      <c r="BR2317" s="15">
        <v>12.851000000000001</v>
      </c>
      <c r="BS2317" s="15">
        <v>24.289000000000001</v>
      </c>
      <c r="BT2317" s="15">
        <v>22.33</v>
      </c>
      <c r="BU2317" s="15">
        <v>19.946999999999999</v>
      </c>
      <c r="BV2317" s="53"/>
      <c r="BW2317" s="16">
        <v>-2</v>
      </c>
      <c r="BZ2317" s="14">
        <f t="shared" si="146"/>
        <v>0</v>
      </c>
      <c r="CA2317" t="s">
        <v>5832</v>
      </c>
    </row>
    <row r="2318" spans="1:79" hidden="1">
      <c r="A2318" s="12">
        <v>2414</v>
      </c>
      <c r="B2318" s="12">
        <v>1</v>
      </c>
      <c r="C2318" s="12" t="s">
        <v>5631</v>
      </c>
      <c r="D2318" s="12" t="s">
        <v>73</v>
      </c>
      <c r="E2318" s="12" t="s">
        <v>5632</v>
      </c>
      <c r="F2318" s="12" t="s">
        <v>5633</v>
      </c>
      <c r="G2318" s="12" t="s">
        <v>75</v>
      </c>
      <c r="H2318" s="12">
        <v>41</v>
      </c>
      <c r="I2318" s="12">
        <v>432</v>
      </c>
      <c r="J2318" s="12">
        <v>48105</v>
      </c>
      <c r="K2318" s="12" t="s">
        <v>5634</v>
      </c>
      <c r="L2318" s="12">
        <v>-2</v>
      </c>
      <c r="M2318" s="13"/>
      <c r="N2318" s="12">
        <v>211</v>
      </c>
      <c r="O2318" s="12">
        <v>16</v>
      </c>
      <c r="P2318" s="12">
        <v>7.5999999999999998E-2</v>
      </c>
      <c r="Q2318" s="12">
        <v>7</v>
      </c>
      <c r="R2318" s="12">
        <v>3</v>
      </c>
      <c r="S2318" s="12">
        <v>11</v>
      </c>
      <c r="T2318" s="12">
        <v>5</v>
      </c>
      <c r="U2318" s="12">
        <v>9</v>
      </c>
      <c r="V2318" s="12">
        <v>5</v>
      </c>
      <c r="W2318" s="12">
        <v>6</v>
      </c>
      <c r="X2318" s="12">
        <v>26</v>
      </c>
      <c r="Y2318" s="12">
        <v>3</v>
      </c>
      <c r="Z2318" s="12">
        <v>4</v>
      </c>
      <c r="AA2318" s="12">
        <v>22</v>
      </c>
      <c r="AB2318" s="12">
        <v>20</v>
      </c>
      <c r="AC2318" s="12">
        <v>9</v>
      </c>
      <c r="AD2318" s="12">
        <v>12</v>
      </c>
      <c r="AE2318" s="12">
        <v>12</v>
      </c>
      <c r="AF2318" s="12">
        <v>9</v>
      </c>
      <c r="AG2318" s="12">
        <v>16</v>
      </c>
      <c r="AH2318" s="12">
        <v>21</v>
      </c>
      <c r="AI2318" s="12">
        <v>11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4</v>
      </c>
      <c r="AR2318" s="12">
        <v>0</v>
      </c>
      <c r="AS2318" s="12">
        <v>0</v>
      </c>
      <c r="AT2318" s="12">
        <v>6</v>
      </c>
      <c r="AU2318" s="12">
        <v>0</v>
      </c>
      <c r="AV2318" s="12">
        <v>1</v>
      </c>
      <c r="AW2318" s="12">
        <v>0</v>
      </c>
      <c r="AX2318" s="12">
        <v>2</v>
      </c>
      <c r="AY2318" s="12">
        <v>1</v>
      </c>
      <c r="AZ2318" s="12">
        <v>1</v>
      </c>
      <c r="BA2318" s="12">
        <v>0</v>
      </c>
      <c r="BB2318" s="12">
        <v>1</v>
      </c>
      <c r="BC2318" s="15">
        <v>0.88700000000000001</v>
      </c>
      <c r="BD2318" s="15">
        <v>8.3000000000000004E-2</v>
      </c>
      <c r="BE2318" s="15">
        <v>1.4339999999999999</v>
      </c>
      <c r="BF2318" s="15">
        <v>0.11600000000000001</v>
      </c>
      <c r="BG2318" s="15">
        <v>1.5389999999999999</v>
      </c>
      <c r="BH2318" s="15">
        <v>0.57799999999999996</v>
      </c>
      <c r="BI2318" s="15">
        <v>0.69599999999999995</v>
      </c>
      <c r="BJ2318" s="15">
        <v>12.29</v>
      </c>
      <c r="BK2318" s="15">
        <v>0.183</v>
      </c>
      <c r="BL2318" s="15">
        <v>0.65900000000000003</v>
      </c>
      <c r="BM2318" s="15">
        <v>10.279</v>
      </c>
      <c r="BN2318" s="15">
        <v>4.59</v>
      </c>
      <c r="BO2318" s="15">
        <v>2.8079999999999998</v>
      </c>
      <c r="BP2318" s="15">
        <v>2.9889999999999999</v>
      </c>
      <c r="BQ2318" s="15">
        <v>4.7060000000000004</v>
      </c>
      <c r="BR2318" s="15">
        <v>2.5790000000000002</v>
      </c>
      <c r="BS2318" s="15">
        <v>6.8140000000000001</v>
      </c>
      <c r="BT2318" s="15">
        <v>6.0789999999999997</v>
      </c>
      <c r="BU2318" s="15">
        <v>2.512</v>
      </c>
      <c r="BV2318" s="53"/>
      <c r="BW2318" s="16">
        <v>-2</v>
      </c>
      <c r="BZ2318" s="14">
        <f t="shared" si="146"/>
        <v>0</v>
      </c>
      <c r="CA2318" t="s">
        <v>5832</v>
      </c>
    </row>
    <row r="2319" spans="1:79" hidden="1">
      <c r="A2319" s="12">
        <v>2415</v>
      </c>
      <c r="B2319" s="12">
        <v>1</v>
      </c>
      <c r="C2319" s="12" t="s">
        <v>5635</v>
      </c>
      <c r="D2319" s="12" t="s">
        <v>73</v>
      </c>
      <c r="E2319" s="12" t="s">
        <v>5636</v>
      </c>
      <c r="F2319" s="12" t="s">
        <v>5637</v>
      </c>
      <c r="G2319" s="12" t="s">
        <v>75</v>
      </c>
      <c r="H2319" s="12">
        <v>66.099999999999994</v>
      </c>
      <c r="I2319" s="12">
        <v>644</v>
      </c>
      <c r="J2319" s="12">
        <v>66017</v>
      </c>
      <c r="K2319" s="12" t="s">
        <v>5638</v>
      </c>
      <c r="L2319" s="12">
        <v>-2</v>
      </c>
      <c r="M2319" s="13"/>
      <c r="N2319" s="12">
        <v>1119</v>
      </c>
      <c r="O2319" s="12">
        <v>558</v>
      </c>
      <c r="P2319" s="12">
        <v>0.499</v>
      </c>
      <c r="Q2319" s="12">
        <v>46</v>
      </c>
      <c r="R2319" s="12">
        <v>33</v>
      </c>
      <c r="S2319" s="12">
        <v>48</v>
      </c>
      <c r="T2319" s="12">
        <v>37</v>
      </c>
      <c r="U2319" s="12">
        <v>38</v>
      </c>
      <c r="V2319" s="12">
        <v>38</v>
      </c>
      <c r="W2319" s="12">
        <v>56</v>
      </c>
      <c r="X2319" s="12">
        <v>83</v>
      </c>
      <c r="Y2319" s="12">
        <v>49</v>
      </c>
      <c r="Z2319" s="12">
        <v>49</v>
      </c>
      <c r="AA2319" s="12">
        <v>69</v>
      </c>
      <c r="AB2319" s="12">
        <v>57</v>
      </c>
      <c r="AC2319" s="12">
        <v>50</v>
      </c>
      <c r="AD2319" s="12">
        <v>65</v>
      </c>
      <c r="AE2319" s="12">
        <v>76</v>
      </c>
      <c r="AF2319" s="12">
        <v>74</v>
      </c>
      <c r="AG2319" s="12">
        <v>79</v>
      </c>
      <c r="AH2319" s="12">
        <v>80</v>
      </c>
      <c r="AI2319" s="12">
        <v>92</v>
      </c>
      <c r="AJ2319" s="12">
        <v>24</v>
      </c>
      <c r="AK2319" s="12">
        <v>14</v>
      </c>
      <c r="AL2319" s="12">
        <v>22</v>
      </c>
      <c r="AM2319" s="12">
        <v>17</v>
      </c>
      <c r="AN2319" s="12">
        <v>18</v>
      </c>
      <c r="AO2319" s="12">
        <v>19</v>
      </c>
      <c r="AP2319" s="12">
        <v>27</v>
      </c>
      <c r="AQ2319" s="12">
        <v>44</v>
      </c>
      <c r="AR2319" s="12">
        <v>23</v>
      </c>
      <c r="AS2319" s="12">
        <v>27</v>
      </c>
      <c r="AT2319" s="12">
        <v>37</v>
      </c>
      <c r="AU2319" s="12">
        <v>26</v>
      </c>
      <c r="AV2319" s="12">
        <v>29</v>
      </c>
      <c r="AW2319" s="12">
        <v>34</v>
      </c>
      <c r="AX2319" s="12">
        <v>40</v>
      </c>
      <c r="AY2319" s="12">
        <v>37</v>
      </c>
      <c r="AZ2319" s="12">
        <v>29</v>
      </c>
      <c r="BA2319" s="12">
        <v>45</v>
      </c>
      <c r="BB2319" s="12">
        <v>46</v>
      </c>
      <c r="BC2319" s="15">
        <v>41.789000000000001</v>
      </c>
      <c r="BD2319" s="15">
        <v>29.446000000000002</v>
      </c>
      <c r="BE2319" s="15">
        <v>42.86</v>
      </c>
      <c r="BF2319" s="15">
        <v>33.356000000000002</v>
      </c>
      <c r="BG2319" s="15">
        <v>34.466999999999999</v>
      </c>
      <c r="BH2319" s="15">
        <v>35.58</v>
      </c>
      <c r="BI2319" s="15">
        <v>52.3</v>
      </c>
      <c r="BJ2319" s="15">
        <v>74.525000000000006</v>
      </c>
      <c r="BK2319" s="15">
        <v>45.610999999999997</v>
      </c>
      <c r="BL2319" s="15">
        <v>45.728000000000002</v>
      </c>
      <c r="BM2319" s="15">
        <v>63.698</v>
      </c>
      <c r="BN2319" s="15">
        <v>52.308</v>
      </c>
      <c r="BO2319" s="15">
        <v>46.999000000000002</v>
      </c>
      <c r="BP2319" s="15">
        <v>59.66</v>
      </c>
      <c r="BQ2319" s="15">
        <v>69.784999999999997</v>
      </c>
      <c r="BR2319" s="15">
        <v>66.715999999999994</v>
      </c>
      <c r="BS2319" s="15">
        <v>71.233000000000004</v>
      </c>
      <c r="BT2319" s="15">
        <v>72.376000000000005</v>
      </c>
      <c r="BU2319" s="15">
        <v>82.578000000000003</v>
      </c>
      <c r="BV2319" s="53"/>
      <c r="BW2319" s="16">
        <v>-2</v>
      </c>
      <c r="BZ2319" s="14">
        <f t="shared" si="146"/>
        <v>0</v>
      </c>
      <c r="CA2319" t="s">
        <v>5832</v>
      </c>
    </row>
    <row r="2320" spans="1:79" hidden="1">
      <c r="A2320" s="12">
        <v>2420</v>
      </c>
      <c r="B2320" s="12">
        <v>1</v>
      </c>
      <c r="C2320" s="12" t="s">
        <v>5652</v>
      </c>
      <c r="D2320" s="12" t="s">
        <v>73</v>
      </c>
      <c r="E2320" s="12" t="s">
        <v>5653</v>
      </c>
      <c r="F2320" s="12" t="s">
        <v>5654</v>
      </c>
      <c r="G2320" s="12" t="s">
        <v>75</v>
      </c>
      <c r="H2320" s="12">
        <v>64.5</v>
      </c>
      <c r="I2320" s="12">
        <v>564</v>
      </c>
      <c r="J2320" s="12">
        <v>60199</v>
      </c>
      <c r="K2320" s="12" t="s">
        <v>5655</v>
      </c>
      <c r="L2320" s="12">
        <v>-2</v>
      </c>
      <c r="M2320" s="13"/>
      <c r="N2320" s="12">
        <v>272</v>
      </c>
      <c r="O2320" s="12">
        <v>10</v>
      </c>
      <c r="P2320" s="12">
        <v>3.6999999999999998E-2</v>
      </c>
      <c r="Q2320" s="12">
        <v>8</v>
      </c>
      <c r="R2320" s="12">
        <v>5</v>
      </c>
      <c r="S2320" s="12">
        <v>10</v>
      </c>
      <c r="T2320" s="12">
        <v>8</v>
      </c>
      <c r="U2320" s="12">
        <v>8</v>
      </c>
      <c r="V2320" s="12">
        <v>8</v>
      </c>
      <c r="W2320" s="12">
        <v>12</v>
      </c>
      <c r="X2320" s="12">
        <v>34</v>
      </c>
      <c r="Y2320" s="12">
        <v>6</v>
      </c>
      <c r="Z2320" s="12">
        <v>5</v>
      </c>
      <c r="AA2320" s="12">
        <v>29</v>
      </c>
      <c r="AB2320" s="12">
        <v>24</v>
      </c>
      <c r="AC2320" s="12">
        <v>13</v>
      </c>
      <c r="AD2320" s="12">
        <v>11</v>
      </c>
      <c r="AE2320" s="12">
        <v>11</v>
      </c>
      <c r="AF2320" s="12">
        <v>12</v>
      </c>
      <c r="AG2320" s="12">
        <v>23</v>
      </c>
      <c r="AH2320" s="12">
        <v>25</v>
      </c>
      <c r="AI2320" s="12">
        <v>20</v>
      </c>
      <c r="AJ2320" s="12">
        <v>1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1</v>
      </c>
      <c r="AQ2320" s="12">
        <v>2</v>
      </c>
      <c r="AR2320" s="12">
        <v>0</v>
      </c>
      <c r="AS2320" s="12">
        <v>0</v>
      </c>
      <c r="AT2320" s="12">
        <v>1</v>
      </c>
      <c r="AU2320" s="12">
        <v>1</v>
      </c>
      <c r="AV2320" s="12">
        <v>1</v>
      </c>
      <c r="AW2320" s="12">
        <v>1</v>
      </c>
      <c r="AX2320" s="12">
        <v>0</v>
      </c>
      <c r="AY2320" s="12">
        <v>0</v>
      </c>
      <c r="AZ2320" s="12">
        <v>0</v>
      </c>
      <c r="BA2320" s="12">
        <v>1</v>
      </c>
      <c r="BB2320" s="12">
        <v>1</v>
      </c>
      <c r="BC2320" s="15">
        <v>4.3849999999999998</v>
      </c>
      <c r="BD2320" s="15">
        <v>0.06</v>
      </c>
      <c r="BE2320" s="15">
        <v>1.107</v>
      </c>
      <c r="BF2320" s="15">
        <v>0.99299999999999999</v>
      </c>
      <c r="BG2320" s="15">
        <v>0.25700000000000001</v>
      </c>
      <c r="BH2320" s="15">
        <v>0.39900000000000002</v>
      </c>
      <c r="BI2320" s="15">
        <v>5.2880000000000003</v>
      </c>
      <c r="BJ2320" s="15">
        <v>21.803999999999998</v>
      </c>
      <c r="BK2320" s="15">
        <v>0.187</v>
      </c>
      <c r="BL2320" s="15">
        <v>2.0299999999999998</v>
      </c>
      <c r="BM2320" s="15">
        <v>14.369</v>
      </c>
      <c r="BN2320" s="15">
        <v>4.57</v>
      </c>
      <c r="BO2320" s="15">
        <v>7.2690000000000001</v>
      </c>
      <c r="BP2320" s="15">
        <v>6.08</v>
      </c>
      <c r="BQ2320" s="15">
        <v>4.4880000000000004</v>
      </c>
      <c r="BR2320" s="15">
        <v>2.4489999999999998</v>
      </c>
      <c r="BS2320" s="15">
        <v>3.8809999999999998</v>
      </c>
      <c r="BT2320" s="15">
        <v>11.16</v>
      </c>
      <c r="BU2320" s="15">
        <v>8.5670000000000002</v>
      </c>
      <c r="BV2320" s="53"/>
      <c r="BW2320" s="16">
        <v>-2</v>
      </c>
      <c r="BZ2320" s="14">
        <f t="shared" si="146"/>
        <v>0</v>
      </c>
      <c r="CA2320" t="s">
        <v>5832</v>
      </c>
    </row>
    <row r="2321" spans="1:79" hidden="1">
      <c r="A2321" s="12">
        <v>36</v>
      </c>
      <c r="B2321" s="12">
        <v>1</v>
      </c>
      <c r="C2321" s="12" t="s">
        <v>127</v>
      </c>
      <c r="D2321" s="12" t="s">
        <v>128</v>
      </c>
      <c r="E2321" s="12" t="s">
        <v>73</v>
      </c>
      <c r="F2321" s="12" t="s">
        <v>73</v>
      </c>
      <c r="G2321" s="12" t="s">
        <v>129</v>
      </c>
      <c r="H2321" s="12">
        <v>5.8</v>
      </c>
      <c r="I2321" s="12">
        <v>1176</v>
      </c>
      <c r="J2321" s="12">
        <v>128604</v>
      </c>
      <c r="K2321" s="12" t="s">
        <v>130</v>
      </c>
      <c r="L2321" s="12">
        <v>-3</v>
      </c>
      <c r="M2321" s="13"/>
      <c r="N2321" s="12">
        <v>3</v>
      </c>
      <c r="O2321" s="12">
        <v>3</v>
      </c>
      <c r="P2321" s="12">
        <v>1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2</v>
      </c>
      <c r="AE2321" s="12">
        <v>0</v>
      </c>
      <c r="AF2321" s="12">
        <v>0</v>
      </c>
      <c r="AG2321" s="12">
        <v>0</v>
      </c>
      <c r="AH2321" s="12">
        <v>1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  <c r="AW2321" s="12">
        <v>2</v>
      </c>
      <c r="AX2321" s="12">
        <v>0</v>
      </c>
      <c r="AY2321" s="12">
        <v>0</v>
      </c>
      <c r="AZ2321" s="12">
        <v>0</v>
      </c>
      <c r="BA2321" s="12">
        <v>1</v>
      </c>
      <c r="BB2321" s="12">
        <v>0</v>
      </c>
      <c r="BC2321" s="15">
        <v>0</v>
      </c>
      <c r="BD2321" s="15">
        <v>0</v>
      </c>
      <c r="BE2321" s="15">
        <v>0</v>
      </c>
      <c r="BF2321" s="15">
        <v>0</v>
      </c>
      <c r="BG2321" s="15">
        <v>0</v>
      </c>
      <c r="BH2321" s="15">
        <v>0</v>
      </c>
      <c r="BI2321" s="15">
        <v>0</v>
      </c>
      <c r="BJ2321" s="15">
        <v>0</v>
      </c>
      <c r="BK2321" s="15">
        <v>0</v>
      </c>
      <c r="BL2321" s="15">
        <v>0</v>
      </c>
      <c r="BM2321" s="15">
        <v>0</v>
      </c>
      <c r="BN2321" s="15">
        <v>0</v>
      </c>
      <c r="BO2321" s="15">
        <v>0</v>
      </c>
      <c r="BP2321" s="15">
        <v>2</v>
      </c>
      <c r="BQ2321" s="15">
        <v>0</v>
      </c>
      <c r="BR2321" s="15">
        <v>0</v>
      </c>
      <c r="BS2321" s="15">
        <v>0</v>
      </c>
      <c r="BT2321" s="15">
        <v>1</v>
      </c>
      <c r="BU2321" s="15">
        <v>0</v>
      </c>
      <c r="BV2321" s="53"/>
      <c r="BW2321" s="16">
        <v>-3</v>
      </c>
      <c r="BZ2321" s="14">
        <f t="shared" si="146"/>
        <v>17</v>
      </c>
      <c r="CA2321" t="s">
        <v>5832</v>
      </c>
    </row>
    <row r="2322" spans="1:79" hidden="1">
      <c r="A2322" s="12">
        <v>37</v>
      </c>
      <c r="B2322" s="12">
        <v>1</v>
      </c>
      <c r="C2322" s="12" t="s">
        <v>131</v>
      </c>
      <c r="D2322" s="12" t="s">
        <v>132</v>
      </c>
      <c r="E2322" s="12" t="s">
        <v>73</v>
      </c>
      <c r="F2322" s="12" t="s">
        <v>73</v>
      </c>
      <c r="G2322" s="12" t="s">
        <v>129</v>
      </c>
      <c r="H2322" s="12">
        <v>10.199999999999999</v>
      </c>
      <c r="I2322" s="12">
        <v>167</v>
      </c>
      <c r="J2322" s="12">
        <v>19291</v>
      </c>
      <c r="K2322" s="12" t="s">
        <v>130</v>
      </c>
      <c r="L2322" s="12">
        <v>-3</v>
      </c>
      <c r="M2322" s="13"/>
      <c r="N2322" s="12">
        <v>6</v>
      </c>
      <c r="O2322" s="12">
        <v>6</v>
      </c>
      <c r="P2322" s="12">
        <v>1</v>
      </c>
      <c r="Q2322" s="12">
        <v>0</v>
      </c>
      <c r="R2322" s="12">
        <v>0</v>
      </c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1</v>
      </c>
      <c r="Z2322" s="12">
        <v>3</v>
      </c>
      <c r="AA2322" s="12">
        <v>0</v>
      </c>
      <c r="AB2322" s="12">
        <v>0</v>
      </c>
      <c r="AC2322" s="12">
        <v>0</v>
      </c>
      <c r="AD2322" s="12">
        <v>0</v>
      </c>
      <c r="AE2322" s="12">
        <v>2</v>
      </c>
      <c r="AF2322" s="12">
        <v>0</v>
      </c>
      <c r="AG2322" s="12">
        <v>0</v>
      </c>
      <c r="AH2322" s="12">
        <v>0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0</v>
      </c>
      <c r="AP2322" s="12">
        <v>0</v>
      </c>
      <c r="AQ2322" s="12">
        <v>0</v>
      </c>
      <c r="AR2322" s="12">
        <v>1</v>
      </c>
      <c r="AS2322" s="12">
        <v>3</v>
      </c>
      <c r="AT2322" s="12">
        <v>0</v>
      </c>
      <c r="AU2322" s="12">
        <v>0</v>
      </c>
      <c r="AV2322" s="12">
        <v>0</v>
      </c>
      <c r="AW2322" s="12">
        <v>0</v>
      </c>
      <c r="AX2322" s="12">
        <v>2</v>
      </c>
      <c r="AY2322" s="12">
        <v>0</v>
      </c>
      <c r="AZ2322" s="12">
        <v>0</v>
      </c>
      <c r="BA2322" s="12">
        <v>0</v>
      </c>
      <c r="BB2322" s="12">
        <v>0</v>
      </c>
      <c r="BC2322" s="15">
        <v>0</v>
      </c>
      <c r="BD2322" s="15">
        <v>0</v>
      </c>
      <c r="BE2322" s="15">
        <v>0</v>
      </c>
      <c r="BF2322" s="15">
        <v>0</v>
      </c>
      <c r="BG2322" s="15">
        <v>0</v>
      </c>
      <c r="BH2322" s="15">
        <v>0</v>
      </c>
      <c r="BI2322" s="15">
        <v>0</v>
      </c>
      <c r="BJ2322" s="15">
        <v>0</v>
      </c>
      <c r="BK2322" s="15">
        <v>1</v>
      </c>
      <c r="BL2322" s="15">
        <v>3</v>
      </c>
      <c r="BM2322" s="15">
        <v>0</v>
      </c>
      <c r="BN2322" s="15">
        <v>0</v>
      </c>
      <c r="BO2322" s="15">
        <v>0</v>
      </c>
      <c r="BP2322" s="15">
        <v>0</v>
      </c>
      <c r="BQ2322" s="15">
        <v>2</v>
      </c>
      <c r="BR2322" s="15">
        <v>0</v>
      </c>
      <c r="BS2322" s="15">
        <v>0</v>
      </c>
      <c r="BT2322" s="15">
        <v>0</v>
      </c>
      <c r="BU2322" s="15">
        <v>0</v>
      </c>
      <c r="BV2322" s="53"/>
      <c r="BW2322" s="16">
        <v>-3</v>
      </c>
      <c r="BZ2322" s="14">
        <f t="shared" si="146"/>
        <v>16</v>
      </c>
      <c r="CA2322" t="s">
        <v>5832</v>
      </c>
    </row>
    <row r="2323" spans="1:79" hidden="1">
      <c r="A2323" s="12">
        <v>38</v>
      </c>
      <c r="B2323" s="12">
        <v>1</v>
      </c>
      <c r="C2323" s="12" t="s">
        <v>133</v>
      </c>
      <c r="D2323" s="12" t="s">
        <v>73</v>
      </c>
      <c r="E2323" s="12" t="s">
        <v>73</v>
      </c>
      <c r="F2323" s="12" t="s">
        <v>73</v>
      </c>
      <c r="G2323" s="12" t="s">
        <v>129</v>
      </c>
      <c r="H2323" s="12">
        <v>10</v>
      </c>
      <c r="I2323" s="12">
        <v>450</v>
      </c>
      <c r="J2323" s="12">
        <v>50311</v>
      </c>
      <c r="K2323" s="12" t="s">
        <v>130</v>
      </c>
      <c r="L2323" s="12">
        <v>-3</v>
      </c>
      <c r="M2323" s="13"/>
      <c r="N2323" s="12">
        <v>2</v>
      </c>
      <c r="O2323" s="12">
        <v>2</v>
      </c>
      <c r="P2323" s="12">
        <v>1</v>
      </c>
      <c r="Q2323" s="12">
        <v>0</v>
      </c>
      <c r="R2323" s="12">
        <v>0</v>
      </c>
      <c r="S2323" s="12">
        <v>2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>
        <v>0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2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0</v>
      </c>
      <c r="AW2323" s="12">
        <v>0</v>
      </c>
      <c r="AX2323" s="12">
        <v>0</v>
      </c>
      <c r="AY2323" s="12">
        <v>0</v>
      </c>
      <c r="AZ2323" s="12">
        <v>0</v>
      </c>
      <c r="BA2323" s="12">
        <v>0</v>
      </c>
      <c r="BB2323" s="12">
        <v>0</v>
      </c>
      <c r="BC2323" s="15">
        <v>0</v>
      </c>
      <c r="BD2323" s="15">
        <v>0</v>
      </c>
      <c r="BE2323" s="15">
        <v>2</v>
      </c>
      <c r="BF2323" s="15">
        <v>0</v>
      </c>
      <c r="BG2323" s="15">
        <v>0</v>
      </c>
      <c r="BH2323" s="15">
        <v>0</v>
      </c>
      <c r="BI2323" s="15">
        <v>0</v>
      </c>
      <c r="BJ2323" s="15">
        <v>0</v>
      </c>
      <c r="BK2323" s="15">
        <v>0</v>
      </c>
      <c r="BL2323" s="15">
        <v>0</v>
      </c>
      <c r="BM2323" s="15">
        <v>0</v>
      </c>
      <c r="BN2323" s="15">
        <v>0</v>
      </c>
      <c r="BO2323" s="15">
        <v>0</v>
      </c>
      <c r="BP2323" s="15">
        <v>0</v>
      </c>
      <c r="BQ2323" s="15">
        <v>0</v>
      </c>
      <c r="BR2323" s="15">
        <v>0</v>
      </c>
      <c r="BS2323" s="15">
        <v>0</v>
      </c>
      <c r="BT2323" s="15">
        <v>0</v>
      </c>
      <c r="BU2323" s="15">
        <v>0</v>
      </c>
      <c r="BV2323" s="53"/>
      <c r="BW2323" s="16">
        <v>-3</v>
      </c>
      <c r="BZ2323" s="14">
        <f t="shared" si="146"/>
        <v>18</v>
      </c>
      <c r="CA2323" t="s">
        <v>5832</v>
      </c>
    </row>
    <row r="2324" spans="1:79" hidden="1">
      <c r="A2324" s="12">
        <v>39</v>
      </c>
      <c r="B2324" s="12">
        <v>1</v>
      </c>
      <c r="C2324" s="12" t="s">
        <v>134</v>
      </c>
      <c r="D2324" s="12" t="s">
        <v>135</v>
      </c>
      <c r="E2324" s="12" t="s">
        <v>73</v>
      </c>
      <c r="F2324" s="12" t="s">
        <v>73</v>
      </c>
      <c r="G2324" s="12" t="s">
        <v>129</v>
      </c>
      <c r="H2324" s="12">
        <v>2</v>
      </c>
      <c r="I2324" s="12">
        <v>837</v>
      </c>
      <c r="J2324" s="12">
        <v>97587</v>
      </c>
      <c r="K2324" s="12" t="s">
        <v>130</v>
      </c>
      <c r="L2324" s="12">
        <v>-3</v>
      </c>
      <c r="M2324" s="13"/>
      <c r="N2324" s="12">
        <v>2</v>
      </c>
      <c r="O2324" s="12">
        <v>2</v>
      </c>
      <c r="P2324" s="12">
        <v>1</v>
      </c>
      <c r="Q2324" s="12">
        <v>0</v>
      </c>
      <c r="R2324" s="12">
        <v>0</v>
      </c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2</v>
      </c>
      <c r="AD2324" s="12">
        <v>0</v>
      </c>
      <c r="AE2324" s="12">
        <v>0</v>
      </c>
      <c r="AF2324" s="12">
        <v>0</v>
      </c>
      <c r="AG2324" s="12">
        <v>0</v>
      </c>
      <c r="AH2324" s="12">
        <v>0</v>
      </c>
      <c r="AI2324" s="12">
        <v>0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12">
        <v>0</v>
      </c>
      <c r="AP2324" s="12">
        <v>0</v>
      </c>
      <c r="AQ2324" s="12">
        <v>0</v>
      </c>
      <c r="AR2324" s="12">
        <v>0</v>
      </c>
      <c r="AS2324" s="12">
        <v>0</v>
      </c>
      <c r="AT2324" s="12">
        <v>0</v>
      </c>
      <c r="AU2324" s="12">
        <v>0</v>
      </c>
      <c r="AV2324" s="12">
        <v>2</v>
      </c>
      <c r="AW2324" s="12">
        <v>0</v>
      </c>
      <c r="AX2324" s="12">
        <v>0</v>
      </c>
      <c r="AY2324" s="12">
        <v>0</v>
      </c>
      <c r="AZ2324" s="12">
        <v>0</v>
      </c>
      <c r="BA2324" s="12">
        <v>0</v>
      </c>
      <c r="BB2324" s="12">
        <v>0</v>
      </c>
      <c r="BC2324" s="15">
        <v>0</v>
      </c>
      <c r="BD2324" s="15">
        <v>0</v>
      </c>
      <c r="BE2324" s="15">
        <v>0</v>
      </c>
      <c r="BF2324" s="15">
        <v>0</v>
      </c>
      <c r="BG2324" s="15">
        <v>0</v>
      </c>
      <c r="BH2324" s="15">
        <v>0</v>
      </c>
      <c r="BI2324" s="15">
        <v>0</v>
      </c>
      <c r="BJ2324" s="15">
        <v>0</v>
      </c>
      <c r="BK2324" s="15">
        <v>0</v>
      </c>
      <c r="BL2324" s="15">
        <v>0</v>
      </c>
      <c r="BM2324" s="15">
        <v>0</v>
      </c>
      <c r="BN2324" s="15">
        <v>0</v>
      </c>
      <c r="BO2324" s="15">
        <v>2</v>
      </c>
      <c r="BP2324" s="15">
        <v>0</v>
      </c>
      <c r="BQ2324" s="15">
        <v>0</v>
      </c>
      <c r="BR2324" s="15">
        <v>0</v>
      </c>
      <c r="BS2324" s="15">
        <v>0</v>
      </c>
      <c r="BT2324" s="15">
        <v>0</v>
      </c>
      <c r="BU2324" s="15">
        <v>0</v>
      </c>
      <c r="BV2324" s="53"/>
      <c r="BW2324" s="16">
        <v>-3</v>
      </c>
      <c r="BZ2324" s="14">
        <f t="shared" si="146"/>
        <v>18</v>
      </c>
      <c r="CA2324" t="s">
        <v>5832</v>
      </c>
    </row>
    <row r="2325" spans="1:79" hidden="1">
      <c r="A2325" s="12">
        <v>40</v>
      </c>
      <c r="B2325" s="12">
        <v>1</v>
      </c>
      <c r="C2325" s="12" t="s">
        <v>136</v>
      </c>
      <c r="D2325" s="12" t="s">
        <v>137</v>
      </c>
      <c r="E2325" s="12" t="s">
        <v>73</v>
      </c>
      <c r="F2325" s="12" t="s">
        <v>73</v>
      </c>
      <c r="G2325" s="12" t="s">
        <v>129</v>
      </c>
      <c r="H2325" s="12">
        <v>5.0999999999999996</v>
      </c>
      <c r="I2325" s="12">
        <v>764</v>
      </c>
      <c r="J2325" s="12">
        <v>82823</v>
      </c>
      <c r="K2325" s="12" t="s">
        <v>130</v>
      </c>
      <c r="L2325" s="12">
        <v>-3</v>
      </c>
      <c r="M2325" s="13"/>
      <c r="N2325" s="12">
        <v>12</v>
      </c>
      <c r="O2325" s="12">
        <v>12</v>
      </c>
      <c r="P2325" s="12">
        <v>1</v>
      </c>
      <c r="Q2325" s="12">
        <v>0</v>
      </c>
      <c r="R2325" s="12">
        <v>1</v>
      </c>
      <c r="S2325" s="12">
        <v>0</v>
      </c>
      <c r="T2325" s="12">
        <v>1</v>
      </c>
      <c r="U2325" s="12">
        <v>0</v>
      </c>
      <c r="V2325" s="12">
        <v>0</v>
      </c>
      <c r="W2325" s="12">
        <v>2</v>
      </c>
      <c r="X2325" s="12">
        <v>0</v>
      </c>
      <c r="Y2325" s="12">
        <v>0</v>
      </c>
      <c r="Z2325" s="12">
        <v>1</v>
      </c>
      <c r="AA2325" s="12">
        <v>0</v>
      </c>
      <c r="AB2325" s="12">
        <v>1</v>
      </c>
      <c r="AC2325" s="12">
        <v>1</v>
      </c>
      <c r="AD2325" s="12">
        <v>1</v>
      </c>
      <c r="AE2325" s="12">
        <v>1</v>
      </c>
      <c r="AF2325" s="12">
        <v>1</v>
      </c>
      <c r="AG2325" s="12">
        <v>0</v>
      </c>
      <c r="AH2325" s="12">
        <v>2</v>
      </c>
      <c r="AI2325" s="12">
        <v>0</v>
      </c>
      <c r="AJ2325" s="12">
        <v>0</v>
      </c>
      <c r="AK2325" s="12">
        <v>1</v>
      </c>
      <c r="AL2325" s="12">
        <v>0</v>
      </c>
      <c r="AM2325" s="12">
        <v>1</v>
      </c>
      <c r="AN2325" s="12">
        <v>0</v>
      </c>
      <c r="AO2325" s="12">
        <v>0</v>
      </c>
      <c r="AP2325" s="12">
        <v>2</v>
      </c>
      <c r="AQ2325" s="12">
        <v>0</v>
      </c>
      <c r="AR2325" s="12">
        <v>0</v>
      </c>
      <c r="AS2325" s="12">
        <v>1</v>
      </c>
      <c r="AT2325" s="12">
        <v>0</v>
      </c>
      <c r="AU2325" s="12">
        <v>1</v>
      </c>
      <c r="AV2325" s="12">
        <v>1</v>
      </c>
      <c r="AW2325" s="12">
        <v>1</v>
      </c>
      <c r="AX2325" s="12">
        <v>1</v>
      </c>
      <c r="AY2325" s="12">
        <v>1</v>
      </c>
      <c r="AZ2325" s="12">
        <v>0</v>
      </c>
      <c r="BA2325" s="12">
        <v>2</v>
      </c>
      <c r="BB2325" s="12">
        <v>0</v>
      </c>
      <c r="BC2325" s="15">
        <v>0</v>
      </c>
      <c r="BD2325" s="15">
        <v>1</v>
      </c>
      <c r="BE2325" s="15">
        <v>0</v>
      </c>
      <c r="BF2325" s="15">
        <v>1</v>
      </c>
      <c r="BG2325" s="15">
        <v>0</v>
      </c>
      <c r="BH2325" s="15">
        <v>0</v>
      </c>
      <c r="BI2325" s="15">
        <v>2</v>
      </c>
      <c r="BJ2325" s="15">
        <v>0</v>
      </c>
      <c r="BK2325" s="15">
        <v>0</v>
      </c>
      <c r="BL2325" s="15">
        <v>1</v>
      </c>
      <c r="BM2325" s="15">
        <v>0</v>
      </c>
      <c r="BN2325" s="15">
        <v>1</v>
      </c>
      <c r="BO2325" s="15">
        <v>1</v>
      </c>
      <c r="BP2325" s="15">
        <v>1</v>
      </c>
      <c r="BQ2325" s="15">
        <v>1</v>
      </c>
      <c r="BR2325" s="15">
        <v>1</v>
      </c>
      <c r="BS2325" s="15">
        <v>0</v>
      </c>
      <c r="BT2325" s="15">
        <v>2</v>
      </c>
      <c r="BU2325" s="15">
        <v>0</v>
      </c>
      <c r="BV2325" s="53"/>
      <c r="BW2325" s="16">
        <v>-3</v>
      </c>
      <c r="BZ2325" s="14">
        <f t="shared" si="146"/>
        <v>9</v>
      </c>
      <c r="CA2325" t="s">
        <v>5832</v>
      </c>
    </row>
    <row r="2326" spans="1:79" hidden="1">
      <c r="A2326" s="12">
        <v>41</v>
      </c>
      <c r="B2326" s="12">
        <v>1</v>
      </c>
      <c r="C2326" s="12" t="s">
        <v>138</v>
      </c>
      <c r="D2326" s="12" t="s">
        <v>73</v>
      </c>
      <c r="E2326" s="12" t="s">
        <v>73</v>
      </c>
      <c r="F2326" s="12" t="s">
        <v>73</v>
      </c>
      <c r="G2326" s="12" t="s">
        <v>129</v>
      </c>
      <c r="H2326" s="12">
        <v>10.199999999999999</v>
      </c>
      <c r="I2326" s="12">
        <v>520</v>
      </c>
      <c r="J2326" s="12">
        <v>58796</v>
      </c>
      <c r="K2326" s="12" t="s">
        <v>130</v>
      </c>
      <c r="L2326" s="12">
        <v>-3</v>
      </c>
      <c r="M2326" s="13"/>
      <c r="N2326" s="12">
        <v>2</v>
      </c>
      <c r="O2326" s="12">
        <v>2</v>
      </c>
      <c r="P2326" s="12">
        <v>1</v>
      </c>
      <c r="Q2326" s="12">
        <v>0</v>
      </c>
      <c r="R2326" s="12">
        <v>0</v>
      </c>
      <c r="S2326" s="12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2">
        <v>2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0</v>
      </c>
      <c r="AH2326" s="12">
        <v>0</v>
      </c>
      <c r="AI2326" s="12">
        <v>0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12">
        <v>0</v>
      </c>
      <c r="AP2326" s="12">
        <v>0</v>
      </c>
      <c r="AQ2326" s="12">
        <v>0</v>
      </c>
      <c r="AR2326" s="12">
        <v>2</v>
      </c>
      <c r="AS2326" s="12">
        <v>0</v>
      </c>
      <c r="AT2326" s="12">
        <v>0</v>
      </c>
      <c r="AU2326" s="12">
        <v>0</v>
      </c>
      <c r="AV2326" s="12">
        <v>0</v>
      </c>
      <c r="AW2326" s="12">
        <v>0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5">
        <v>0</v>
      </c>
      <c r="BD2326" s="15">
        <v>0</v>
      </c>
      <c r="BE2326" s="15">
        <v>0</v>
      </c>
      <c r="BF2326" s="15">
        <v>0</v>
      </c>
      <c r="BG2326" s="15">
        <v>0</v>
      </c>
      <c r="BH2326" s="15">
        <v>0</v>
      </c>
      <c r="BI2326" s="15">
        <v>0</v>
      </c>
      <c r="BJ2326" s="15">
        <v>0</v>
      </c>
      <c r="BK2326" s="15">
        <v>2</v>
      </c>
      <c r="BL2326" s="15">
        <v>0</v>
      </c>
      <c r="BM2326" s="15">
        <v>0</v>
      </c>
      <c r="BN2326" s="15">
        <v>0</v>
      </c>
      <c r="BO2326" s="15">
        <v>0</v>
      </c>
      <c r="BP2326" s="15">
        <v>0</v>
      </c>
      <c r="BQ2326" s="15">
        <v>0</v>
      </c>
      <c r="BR2326" s="15">
        <v>0</v>
      </c>
      <c r="BS2326" s="15">
        <v>0</v>
      </c>
      <c r="BT2326" s="15">
        <v>0</v>
      </c>
      <c r="BU2326" s="15">
        <v>0</v>
      </c>
      <c r="BV2326" s="53"/>
      <c r="BW2326" s="16">
        <v>-3</v>
      </c>
      <c r="BZ2326" s="14">
        <f t="shared" si="146"/>
        <v>18</v>
      </c>
      <c r="CA2326" t="s">
        <v>5832</v>
      </c>
    </row>
    <row r="2327" spans="1:79" hidden="1">
      <c r="A2327" s="12">
        <v>42</v>
      </c>
      <c r="B2327" s="12">
        <v>1</v>
      </c>
      <c r="C2327" s="12" t="s">
        <v>139</v>
      </c>
      <c r="D2327" s="12" t="s">
        <v>140</v>
      </c>
      <c r="E2327" s="12" t="s">
        <v>73</v>
      </c>
      <c r="F2327" s="12" t="s">
        <v>73</v>
      </c>
      <c r="G2327" s="12" t="s">
        <v>129</v>
      </c>
      <c r="H2327" s="12">
        <v>5.9</v>
      </c>
      <c r="I2327" s="12">
        <v>1213</v>
      </c>
      <c r="J2327" s="12">
        <v>132523</v>
      </c>
      <c r="K2327" s="12" t="s">
        <v>130</v>
      </c>
      <c r="L2327" s="12">
        <v>-3</v>
      </c>
      <c r="M2327" s="13"/>
      <c r="N2327" s="12">
        <v>15</v>
      </c>
      <c r="O2327" s="12">
        <v>15</v>
      </c>
      <c r="P2327" s="12">
        <v>1</v>
      </c>
      <c r="Q2327" s="12">
        <v>2</v>
      </c>
      <c r="R2327" s="12">
        <v>0</v>
      </c>
      <c r="S2327" s="12">
        <v>0</v>
      </c>
      <c r="T2327" s="12">
        <v>0</v>
      </c>
      <c r="U2327" s="12">
        <v>0</v>
      </c>
      <c r="V2327" s="12">
        <v>3</v>
      </c>
      <c r="W2327" s="12">
        <v>2</v>
      </c>
      <c r="X2327" s="12">
        <v>4</v>
      </c>
      <c r="Y2327" s="12">
        <v>0</v>
      </c>
      <c r="Z2327" s="12">
        <v>0</v>
      </c>
      <c r="AA2327" s="12">
        <v>2</v>
      </c>
      <c r="AB2327" s="12">
        <v>0</v>
      </c>
      <c r="AC2327" s="12">
        <v>0</v>
      </c>
      <c r="AD2327" s="12">
        <v>0</v>
      </c>
      <c r="AE2327" s="12">
        <v>0</v>
      </c>
      <c r="AF2327" s="12">
        <v>2</v>
      </c>
      <c r="AG2327" s="12">
        <v>0</v>
      </c>
      <c r="AH2327" s="12">
        <v>0</v>
      </c>
      <c r="AI2327" s="12">
        <v>0</v>
      </c>
      <c r="AJ2327" s="12">
        <v>2</v>
      </c>
      <c r="AK2327" s="12">
        <v>0</v>
      </c>
      <c r="AL2327" s="12">
        <v>0</v>
      </c>
      <c r="AM2327" s="12">
        <v>0</v>
      </c>
      <c r="AN2327" s="12">
        <v>0</v>
      </c>
      <c r="AO2327" s="12">
        <v>3</v>
      </c>
      <c r="AP2327" s="12">
        <v>2</v>
      </c>
      <c r="AQ2327" s="12">
        <v>4</v>
      </c>
      <c r="AR2327" s="12">
        <v>0</v>
      </c>
      <c r="AS2327" s="12">
        <v>0</v>
      </c>
      <c r="AT2327" s="12">
        <v>2</v>
      </c>
      <c r="AU2327" s="12">
        <v>0</v>
      </c>
      <c r="AV2327" s="12">
        <v>0</v>
      </c>
      <c r="AW2327" s="12">
        <v>0</v>
      </c>
      <c r="AX2327" s="12">
        <v>0</v>
      </c>
      <c r="AY2327" s="12">
        <v>2</v>
      </c>
      <c r="AZ2327" s="12">
        <v>0</v>
      </c>
      <c r="BA2327" s="12">
        <v>0</v>
      </c>
      <c r="BB2327" s="12">
        <v>0</v>
      </c>
      <c r="BC2327" s="15">
        <v>2</v>
      </c>
      <c r="BD2327" s="15">
        <v>0</v>
      </c>
      <c r="BE2327" s="15">
        <v>0</v>
      </c>
      <c r="BF2327" s="15">
        <v>0</v>
      </c>
      <c r="BG2327" s="15">
        <v>0</v>
      </c>
      <c r="BH2327" s="15">
        <v>3</v>
      </c>
      <c r="BI2327" s="15">
        <v>2</v>
      </c>
      <c r="BJ2327" s="15">
        <v>4</v>
      </c>
      <c r="BK2327" s="15">
        <v>0</v>
      </c>
      <c r="BL2327" s="15">
        <v>0</v>
      </c>
      <c r="BM2327" s="15">
        <v>2</v>
      </c>
      <c r="BN2327" s="15">
        <v>0</v>
      </c>
      <c r="BO2327" s="15">
        <v>0</v>
      </c>
      <c r="BP2327" s="15">
        <v>0</v>
      </c>
      <c r="BQ2327" s="15">
        <v>0</v>
      </c>
      <c r="BR2327" s="15">
        <v>2</v>
      </c>
      <c r="BS2327" s="15">
        <v>0</v>
      </c>
      <c r="BT2327" s="15">
        <v>0</v>
      </c>
      <c r="BU2327" s="15">
        <v>0</v>
      </c>
      <c r="BV2327" s="53"/>
      <c r="BW2327" s="16">
        <v>-3</v>
      </c>
      <c r="BZ2327" s="14">
        <f t="shared" si="146"/>
        <v>13</v>
      </c>
      <c r="CA2327" t="s">
        <v>5832</v>
      </c>
    </row>
    <row r="2328" spans="1:79" hidden="1">
      <c r="A2328" s="12">
        <v>43</v>
      </c>
      <c r="B2328" s="12">
        <v>1</v>
      </c>
      <c r="C2328" s="12" t="s">
        <v>141</v>
      </c>
      <c r="D2328" s="12" t="s">
        <v>142</v>
      </c>
      <c r="E2328" s="12" t="s">
        <v>73</v>
      </c>
      <c r="F2328" s="12" t="s">
        <v>73</v>
      </c>
      <c r="G2328" s="12" t="s">
        <v>129</v>
      </c>
      <c r="H2328" s="12">
        <v>5.4</v>
      </c>
      <c r="I2328" s="12">
        <v>442</v>
      </c>
      <c r="J2328" s="12">
        <v>48935</v>
      </c>
      <c r="K2328" s="12" t="s">
        <v>130</v>
      </c>
      <c r="L2328" s="12">
        <v>-3</v>
      </c>
      <c r="M2328" s="13"/>
      <c r="N2328" s="12">
        <v>5</v>
      </c>
      <c r="O2328" s="12">
        <v>5</v>
      </c>
      <c r="P2328" s="12">
        <v>1</v>
      </c>
      <c r="Q2328" s="12">
        <v>0</v>
      </c>
      <c r="R2328" s="12">
        <v>0</v>
      </c>
      <c r="S2328" s="12">
        <v>0</v>
      </c>
      <c r="T2328" s="12">
        <v>0</v>
      </c>
      <c r="U2328" s="12">
        <v>0</v>
      </c>
      <c r="V2328" s="12">
        <v>3</v>
      </c>
      <c r="W2328" s="12">
        <v>1</v>
      </c>
      <c r="X2328" s="12">
        <v>1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0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3</v>
      </c>
      <c r="AP2328" s="12">
        <v>1</v>
      </c>
      <c r="AQ2328" s="12">
        <v>1</v>
      </c>
      <c r="AR2328" s="12">
        <v>0</v>
      </c>
      <c r="AS2328" s="12">
        <v>0</v>
      </c>
      <c r="AT2328" s="12">
        <v>0</v>
      </c>
      <c r="AU2328" s="12">
        <v>0</v>
      </c>
      <c r="AV2328" s="12">
        <v>0</v>
      </c>
      <c r="AW2328" s="12">
        <v>0</v>
      </c>
      <c r="AX2328" s="12">
        <v>0</v>
      </c>
      <c r="AY2328" s="12">
        <v>0</v>
      </c>
      <c r="AZ2328" s="12">
        <v>0</v>
      </c>
      <c r="BA2328" s="12">
        <v>0</v>
      </c>
      <c r="BB2328" s="12">
        <v>0</v>
      </c>
      <c r="BC2328" s="15">
        <v>0</v>
      </c>
      <c r="BD2328" s="15">
        <v>0</v>
      </c>
      <c r="BE2328" s="15">
        <v>0</v>
      </c>
      <c r="BF2328" s="15">
        <v>0</v>
      </c>
      <c r="BG2328" s="15">
        <v>0</v>
      </c>
      <c r="BH2328" s="15">
        <v>3</v>
      </c>
      <c r="BI2328" s="15">
        <v>1</v>
      </c>
      <c r="BJ2328" s="15">
        <v>1</v>
      </c>
      <c r="BK2328" s="15">
        <v>0</v>
      </c>
      <c r="BL2328" s="15">
        <v>0</v>
      </c>
      <c r="BM2328" s="15">
        <v>0</v>
      </c>
      <c r="BN2328" s="15">
        <v>0</v>
      </c>
      <c r="BO2328" s="15">
        <v>0</v>
      </c>
      <c r="BP2328" s="15">
        <v>0</v>
      </c>
      <c r="BQ2328" s="15">
        <v>0</v>
      </c>
      <c r="BR2328" s="15">
        <v>0</v>
      </c>
      <c r="BS2328" s="15">
        <v>0</v>
      </c>
      <c r="BT2328" s="15">
        <v>0</v>
      </c>
      <c r="BU2328" s="15">
        <v>0</v>
      </c>
      <c r="BV2328" s="53"/>
      <c r="BW2328" s="16">
        <v>-3</v>
      </c>
      <c r="BZ2328" s="14">
        <f t="shared" si="146"/>
        <v>16</v>
      </c>
      <c r="CA2328" t="s">
        <v>5832</v>
      </c>
    </row>
    <row r="2329" spans="1:79" hidden="1">
      <c r="A2329" s="12">
        <v>44</v>
      </c>
      <c r="B2329" s="12">
        <v>1</v>
      </c>
      <c r="C2329" s="12" t="s">
        <v>143</v>
      </c>
      <c r="D2329" s="12" t="s">
        <v>73</v>
      </c>
      <c r="E2329" s="12" t="s">
        <v>73</v>
      </c>
      <c r="F2329" s="12" t="s">
        <v>73</v>
      </c>
      <c r="G2329" s="12" t="s">
        <v>129</v>
      </c>
      <c r="H2329" s="12">
        <v>5.3</v>
      </c>
      <c r="I2329" s="12">
        <v>1466</v>
      </c>
      <c r="J2329" s="12">
        <v>138879</v>
      </c>
      <c r="K2329" s="12" t="s">
        <v>130</v>
      </c>
      <c r="L2329" s="12">
        <v>-3</v>
      </c>
      <c r="M2329" s="13"/>
      <c r="N2329" s="12">
        <v>12</v>
      </c>
      <c r="O2329" s="12">
        <v>12</v>
      </c>
      <c r="P2329" s="12">
        <v>1</v>
      </c>
      <c r="Q2329" s="12">
        <v>0</v>
      </c>
      <c r="R2329" s="12">
        <v>2</v>
      </c>
      <c r="S2329" s="12">
        <v>3</v>
      </c>
      <c r="T2329" s="12">
        <v>1</v>
      </c>
      <c r="U2329" s="12">
        <v>2</v>
      </c>
      <c r="V2329" s="12">
        <v>2</v>
      </c>
      <c r="W2329" s="12">
        <v>1</v>
      </c>
      <c r="X2329" s="12">
        <v>0</v>
      </c>
      <c r="Y2329" s="12">
        <v>0</v>
      </c>
      <c r="Z2329" s="12">
        <v>0</v>
      </c>
      <c r="AA2329" s="12">
        <v>0</v>
      </c>
      <c r="AB2329" s="12">
        <v>1</v>
      </c>
      <c r="AC2329" s="12">
        <v>0</v>
      </c>
      <c r="AD2329" s="12">
        <v>0</v>
      </c>
      <c r="AE2329" s="12">
        <v>0</v>
      </c>
      <c r="AF2329" s="12">
        <v>0</v>
      </c>
      <c r="AG2329" s="12">
        <v>0</v>
      </c>
      <c r="AH2329" s="12">
        <v>0</v>
      </c>
      <c r="AI2329" s="12">
        <v>0</v>
      </c>
      <c r="AJ2329" s="12">
        <v>0</v>
      </c>
      <c r="AK2329" s="12">
        <v>2</v>
      </c>
      <c r="AL2329" s="12">
        <v>3</v>
      </c>
      <c r="AM2329" s="12">
        <v>1</v>
      </c>
      <c r="AN2329" s="12">
        <v>2</v>
      </c>
      <c r="AO2329" s="12">
        <v>2</v>
      </c>
      <c r="AP2329" s="12">
        <v>1</v>
      </c>
      <c r="AQ2329" s="12">
        <v>0</v>
      </c>
      <c r="AR2329" s="12">
        <v>0</v>
      </c>
      <c r="AS2329" s="12">
        <v>0</v>
      </c>
      <c r="AT2329" s="12">
        <v>0</v>
      </c>
      <c r="AU2329" s="12">
        <v>1</v>
      </c>
      <c r="AV2329" s="12">
        <v>0</v>
      </c>
      <c r="AW2329" s="12">
        <v>0</v>
      </c>
      <c r="AX2329" s="12">
        <v>0</v>
      </c>
      <c r="AY2329" s="12">
        <v>0</v>
      </c>
      <c r="AZ2329" s="12">
        <v>0</v>
      </c>
      <c r="BA2329" s="12">
        <v>0</v>
      </c>
      <c r="BB2329" s="12">
        <v>0</v>
      </c>
      <c r="BC2329" s="15">
        <v>0</v>
      </c>
      <c r="BD2329" s="15">
        <v>2</v>
      </c>
      <c r="BE2329" s="15">
        <v>3</v>
      </c>
      <c r="BF2329" s="15">
        <v>1</v>
      </c>
      <c r="BG2329" s="15">
        <v>2</v>
      </c>
      <c r="BH2329" s="15">
        <v>2</v>
      </c>
      <c r="BI2329" s="15">
        <v>1</v>
      </c>
      <c r="BJ2329" s="15">
        <v>0</v>
      </c>
      <c r="BK2329" s="15">
        <v>0</v>
      </c>
      <c r="BL2329" s="15">
        <v>0</v>
      </c>
      <c r="BM2329" s="15">
        <v>0</v>
      </c>
      <c r="BN2329" s="15">
        <v>1</v>
      </c>
      <c r="BO2329" s="15">
        <v>0</v>
      </c>
      <c r="BP2329" s="15">
        <v>0</v>
      </c>
      <c r="BQ2329" s="15">
        <v>0</v>
      </c>
      <c r="BR2329" s="15">
        <v>0</v>
      </c>
      <c r="BS2329" s="15">
        <v>0</v>
      </c>
      <c r="BT2329" s="15">
        <v>0</v>
      </c>
      <c r="BU2329" s="15">
        <v>0</v>
      </c>
      <c r="BV2329" s="53"/>
      <c r="BW2329" s="16">
        <v>-3</v>
      </c>
      <c r="BZ2329" s="14">
        <f t="shared" si="146"/>
        <v>12</v>
      </c>
      <c r="CA2329" t="s">
        <v>5832</v>
      </c>
    </row>
    <row r="2330" spans="1:79" hidden="1">
      <c r="A2330" s="12">
        <v>45</v>
      </c>
      <c r="B2330" s="12">
        <v>1</v>
      </c>
      <c r="C2330" s="12" t="s">
        <v>144</v>
      </c>
      <c r="D2330" s="12" t="s">
        <v>145</v>
      </c>
      <c r="E2330" s="12" t="s">
        <v>73</v>
      </c>
      <c r="F2330" s="12" t="s">
        <v>73</v>
      </c>
      <c r="G2330" s="12" t="s">
        <v>129</v>
      </c>
      <c r="H2330" s="12">
        <v>7.5</v>
      </c>
      <c r="I2330" s="12">
        <v>1499</v>
      </c>
      <c r="J2330" s="12">
        <v>145215</v>
      </c>
      <c r="K2330" s="12" t="s">
        <v>130</v>
      </c>
      <c r="L2330" s="12">
        <v>-3</v>
      </c>
      <c r="M2330" s="13"/>
      <c r="N2330" s="12">
        <v>8</v>
      </c>
      <c r="O2330" s="12">
        <v>8</v>
      </c>
      <c r="P2330" s="12">
        <v>1</v>
      </c>
      <c r="Q2330" s="12">
        <v>1</v>
      </c>
      <c r="R2330" s="12">
        <v>0</v>
      </c>
      <c r="S2330" s="12">
        <v>2</v>
      </c>
      <c r="T2330" s="12">
        <v>4</v>
      </c>
      <c r="U2330" s="12">
        <v>1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0</v>
      </c>
      <c r="AE2330" s="12">
        <v>0</v>
      </c>
      <c r="AF2330" s="12">
        <v>0</v>
      </c>
      <c r="AG2330" s="12">
        <v>0</v>
      </c>
      <c r="AH2330" s="12">
        <v>0</v>
      </c>
      <c r="AI2330" s="12">
        <v>0</v>
      </c>
      <c r="AJ2330" s="12">
        <v>1</v>
      </c>
      <c r="AK2330" s="12">
        <v>0</v>
      </c>
      <c r="AL2330" s="12">
        <v>2</v>
      </c>
      <c r="AM2330" s="12">
        <v>4</v>
      </c>
      <c r="AN2330" s="12">
        <v>1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>
        <v>0</v>
      </c>
      <c r="AU2330" s="12">
        <v>0</v>
      </c>
      <c r="AV2330" s="12">
        <v>0</v>
      </c>
      <c r="AW2330" s="12">
        <v>0</v>
      </c>
      <c r="AX2330" s="12">
        <v>0</v>
      </c>
      <c r="AY2330" s="12">
        <v>0</v>
      </c>
      <c r="AZ2330" s="12">
        <v>0</v>
      </c>
      <c r="BA2330" s="12">
        <v>0</v>
      </c>
      <c r="BB2330" s="12">
        <v>0</v>
      </c>
      <c r="BC2330" s="15">
        <v>1</v>
      </c>
      <c r="BD2330" s="15">
        <v>0</v>
      </c>
      <c r="BE2330" s="15">
        <v>2</v>
      </c>
      <c r="BF2330" s="15">
        <v>4</v>
      </c>
      <c r="BG2330" s="15">
        <v>1</v>
      </c>
      <c r="BH2330" s="15">
        <v>0</v>
      </c>
      <c r="BI2330" s="15">
        <v>0</v>
      </c>
      <c r="BJ2330" s="15">
        <v>0</v>
      </c>
      <c r="BK2330" s="15">
        <v>0</v>
      </c>
      <c r="BL2330" s="15">
        <v>0</v>
      </c>
      <c r="BM2330" s="15">
        <v>0</v>
      </c>
      <c r="BN2330" s="15">
        <v>0</v>
      </c>
      <c r="BO2330" s="15">
        <v>0</v>
      </c>
      <c r="BP2330" s="15">
        <v>0</v>
      </c>
      <c r="BQ2330" s="15">
        <v>0</v>
      </c>
      <c r="BR2330" s="15">
        <v>0</v>
      </c>
      <c r="BS2330" s="15">
        <v>0</v>
      </c>
      <c r="BT2330" s="15">
        <v>0</v>
      </c>
      <c r="BU2330" s="15">
        <v>0</v>
      </c>
      <c r="BV2330" s="53"/>
      <c r="BW2330" s="16">
        <v>-3</v>
      </c>
      <c r="BZ2330" s="14">
        <f t="shared" si="146"/>
        <v>15</v>
      </c>
      <c r="CA2330" t="s">
        <v>5832</v>
      </c>
    </row>
    <row r="2331" spans="1:79" hidden="1">
      <c r="A2331" s="12">
        <v>46</v>
      </c>
      <c r="B2331" s="12">
        <v>1</v>
      </c>
      <c r="C2331" s="12" t="s">
        <v>146</v>
      </c>
      <c r="D2331" s="12" t="s">
        <v>73</v>
      </c>
      <c r="E2331" s="12" t="s">
        <v>73</v>
      </c>
      <c r="F2331" s="12" t="s">
        <v>73</v>
      </c>
      <c r="G2331" s="12" t="s">
        <v>129</v>
      </c>
      <c r="H2331" s="12">
        <v>0.3</v>
      </c>
      <c r="I2331" s="12">
        <v>34239</v>
      </c>
      <c r="J2331" s="12">
        <v>3803282</v>
      </c>
      <c r="K2331" s="12" t="s">
        <v>130</v>
      </c>
      <c r="L2331" s="12">
        <v>-3</v>
      </c>
      <c r="M2331" s="13"/>
      <c r="N2331" s="12">
        <v>6</v>
      </c>
      <c r="O2331" s="12">
        <v>6</v>
      </c>
      <c r="P2331" s="12">
        <v>1</v>
      </c>
      <c r="Q2331" s="12">
        <v>0</v>
      </c>
      <c r="R2331" s="12">
        <v>0</v>
      </c>
      <c r="S2331" s="12">
        <v>0</v>
      </c>
      <c r="T2331" s="12">
        <v>0</v>
      </c>
      <c r="U2331" s="12">
        <v>1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1</v>
      </c>
      <c r="AC2331" s="12">
        <v>0</v>
      </c>
      <c r="AD2331" s="12">
        <v>0</v>
      </c>
      <c r="AE2331" s="12">
        <v>1</v>
      </c>
      <c r="AF2331" s="12">
        <v>0</v>
      </c>
      <c r="AG2331" s="12">
        <v>1</v>
      </c>
      <c r="AH2331" s="12">
        <v>0</v>
      </c>
      <c r="AI2331" s="12">
        <v>2</v>
      </c>
      <c r="AJ2331" s="12">
        <v>0</v>
      </c>
      <c r="AK2331" s="12">
        <v>0</v>
      </c>
      <c r="AL2331" s="12">
        <v>0</v>
      </c>
      <c r="AM2331" s="12">
        <v>0</v>
      </c>
      <c r="AN2331" s="12">
        <v>1</v>
      </c>
      <c r="AO2331" s="12">
        <v>0</v>
      </c>
      <c r="AP2331" s="12">
        <v>0</v>
      </c>
      <c r="AQ2331" s="12">
        <v>0</v>
      </c>
      <c r="AR2331" s="12">
        <v>0</v>
      </c>
      <c r="AS2331" s="12">
        <v>0</v>
      </c>
      <c r="AT2331" s="12">
        <v>0</v>
      </c>
      <c r="AU2331" s="12">
        <v>1</v>
      </c>
      <c r="AV2331" s="12">
        <v>0</v>
      </c>
      <c r="AW2331" s="12">
        <v>0</v>
      </c>
      <c r="AX2331" s="12">
        <v>1</v>
      </c>
      <c r="AY2331" s="12">
        <v>0</v>
      </c>
      <c r="AZ2331" s="12">
        <v>1</v>
      </c>
      <c r="BA2331" s="12">
        <v>0</v>
      </c>
      <c r="BB2331" s="12">
        <v>2</v>
      </c>
      <c r="BC2331" s="15">
        <v>0</v>
      </c>
      <c r="BD2331" s="15">
        <v>0</v>
      </c>
      <c r="BE2331" s="15">
        <v>0</v>
      </c>
      <c r="BF2331" s="15">
        <v>0</v>
      </c>
      <c r="BG2331" s="15">
        <v>1</v>
      </c>
      <c r="BH2331" s="15">
        <v>0</v>
      </c>
      <c r="BI2331" s="15">
        <v>0</v>
      </c>
      <c r="BJ2331" s="15">
        <v>0</v>
      </c>
      <c r="BK2331" s="15">
        <v>0</v>
      </c>
      <c r="BL2331" s="15">
        <v>0</v>
      </c>
      <c r="BM2331" s="15">
        <v>0</v>
      </c>
      <c r="BN2331" s="15">
        <v>1</v>
      </c>
      <c r="BO2331" s="15">
        <v>0</v>
      </c>
      <c r="BP2331" s="15">
        <v>0</v>
      </c>
      <c r="BQ2331" s="15">
        <v>1</v>
      </c>
      <c r="BR2331" s="15">
        <v>0</v>
      </c>
      <c r="BS2331" s="15">
        <v>1</v>
      </c>
      <c r="BT2331" s="15">
        <v>0</v>
      </c>
      <c r="BU2331" s="15">
        <v>2</v>
      </c>
      <c r="BV2331" s="53"/>
      <c r="BW2331" s="16">
        <v>-3</v>
      </c>
      <c r="BZ2331" s="14">
        <f t="shared" si="146"/>
        <v>14</v>
      </c>
      <c r="CA2331" t="s">
        <v>5832</v>
      </c>
    </row>
    <row r="2332" spans="1:79" hidden="1">
      <c r="A2332" s="12">
        <v>47</v>
      </c>
      <c r="B2332" s="12">
        <v>1</v>
      </c>
      <c r="C2332" s="12" t="s">
        <v>147</v>
      </c>
      <c r="D2332" s="12" t="s">
        <v>73</v>
      </c>
      <c r="E2332" s="12" t="s">
        <v>73</v>
      </c>
      <c r="F2332" s="12" t="s">
        <v>73</v>
      </c>
      <c r="G2332" s="12" t="s">
        <v>129</v>
      </c>
      <c r="H2332" s="12">
        <v>9</v>
      </c>
      <c r="I2332" s="12">
        <v>166</v>
      </c>
      <c r="J2332" s="12">
        <v>19067</v>
      </c>
      <c r="K2332" s="12" t="s">
        <v>130</v>
      </c>
      <c r="L2332" s="12">
        <v>-3</v>
      </c>
      <c r="M2332" s="13"/>
      <c r="N2332" s="12">
        <v>12</v>
      </c>
      <c r="O2332" s="12">
        <v>12</v>
      </c>
      <c r="P2332" s="12">
        <v>1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1</v>
      </c>
      <c r="Z2332" s="12">
        <v>2</v>
      </c>
      <c r="AA2332" s="12">
        <v>2</v>
      </c>
      <c r="AB2332" s="12">
        <v>0</v>
      </c>
      <c r="AC2332" s="12">
        <v>1</v>
      </c>
      <c r="AD2332" s="12">
        <v>1</v>
      </c>
      <c r="AE2332" s="12">
        <v>3</v>
      </c>
      <c r="AF2332" s="12">
        <v>0</v>
      </c>
      <c r="AG2332" s="12">
        <v>1</v>
      </c>
      <c r="AH2332" s="12">
        <v>1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>
        <v>0</v>
      </c>
      <c r="AP2332" s="12">
        <v>0</v>
      </c>
      <c r="AQ2332" s="12">
        <v>0</v>
      </c>
      <c r="AR2332" s="12">
        <v>1</v>
      </c>
      <c r="AS2332" s="12">
        <v>2</v>
      </c>
      <c r="AT2332" s="12">
        <v>2</v>
      </c>
      <c r="AU2332" s="12">
        <v>0</v>
      </c>
      <c r="AV2332" s="12">
        <v>1</v>
      </c>
      <c r="AW2332" s="12">
        <v>1</v>
      </c>
      <c r="AX2332" s="12">
        <v>3</v>
      </c>
      <c r="AY2332" s="12">
        <v>0</v>
      </c>
      <c r="AZ2332" s="12">
        <v>1</v>
      </c>
      <c r="BA2332" s="12">
        <v>1</v>
      </c>
      <c r="BB2332" s="12">
        <v>0</v>
      </c>
      <c r="BC2332" s="15">
        <v>0</v>
      </c>
      <c r="BD2332" s="15">
        <v>0</v>
      </c>
      <c r="BE2332" s="15">
        <v>0</v>
      </c>
      <c r="BF2332" s="15">
        <v>0</v>
      </c>
      <c r="BG2332" s="15">
        <v>0</v>
      </c>
      <c r="BH2332" s="15">
        <v>0</v>
      </c>
      <c r="BI2332" s="15">
        <v>0</v>
      </c>
      <c r="BJ2332" s="15">
        <v>0</v>
      </c>
      <c r="BK2332" s="15">
        <v>1</v>
      </c>
      <c r="BL2332" s="15">
        <v>2</v>
      </c>
      <c r="BM2332" s="15">
        <v>2</v>
      </c>
      <c r="BN2332" s="15">
        <v>0</v>
      </c>
      <c r="BO2332" s="15">
        <v>1</v>
      </c>
      <c r="BP2332" s="15">
        <v>1</v>
      </c>
      <c r="BQ2332" s="15">
        <v>3</v>
      </c>
      <c r="BR2332" s="15">
        <v>0</v>
      </c>
      <c r="BS2332" s="15">
        <v>1</v>
      </c>
      <c r="BT2332" s="15">
        <v>1</v>
      </c>
      <c r="BU2332" s="15">
        <v>0</v>
      </c>
      <c r="BV2332" s="53"/>
      <c r="BW2332" s="16">
        <v>-3</v>
      </c>
      <c r="BZ2332" s="14">
        <f t="shared" si="146"/>
        <v>11</v>
      </c>
      <c r="CA2332" t="s">
        <v>5832</v>
      </c>
    </row>
    <row r="2333" spans="1:79" hidden="1">
      <c r="A2333" s="12">
        <v>48</v>
      </c>
      <c r="B2333" s="12">
        <v>1</v>
      </c>
      <c r="C2333" s="12" t="s">
        <v>148</v>
      </c>
      <c r="D2333" s="12" t="s">
        <v>73</v>
      </c>
      <c r="E2333" s="12" t="s">
        <v>73</v>
      </c>
      <c r="F2333" s="12" t="s">
        <v>73</v>
      </c>
      <c r="G2333" s="12" t="s">
        <v>129</v>
      </c>
      <c r="H2333" s="12">
        <v>1.6</v>
      </c>
      <c r="I2333" s="12">
        <v>1699</v>
      </c>
      <c r="J2333" s="12">
        <v>187152</v>
      </c>
      <c r="K2333" s="12" t="s">
        <v>130</v>
      </c>
      <c r="L2333" s="12">
        <v>-3</v>
      </c>
      <c r="M2333" s="13"/>
      <c r="N2333" s="12">
        <v>4</v>
      </c>
      <c r="O2333" s="12">
        <v>4</v>
      </c>
      <c r="P2333" s="12">
        <v>1</v>
      </c>
      <c r="Q2333" s="12">
        <v>1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2</v>
      </c>
      <c r="AC2333" s="12">
        <v>0</v>
      </c>
      <c r="AD2333" s="12">
        <v>0</v>
      </c>
      <c r="AE2333" s="12">
        <v>1</v>
      </c>
      <c r="AF2333" s="12">
        <v>0</v>
      </c>
      <c r="AG2333" s="12">
        <v>0</v>
      </c>
      <c r="AH2333" s="12">
        <v>0</v>
      </c>
      <c r="AI2333" s="12">
        <v>0</v>
      </c>
      <c r="AJ2333" s="12">
        <v>1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2</v>
      </c>
      <c r="AV2333" s="12">
        <v>0</v>
      </c>
      <c r="AW2333" s="12">
        <v>0</v>
      </c>
      <c r="AX2333" s="12">
        <v>1</v>
      </c>
      <c r="AY2333" s="12">
        <v>0</v>
      </c>
      <c r="AZ2333" s="12">
        <v>0</v>
      </c>
      <c r="BA2333" s="12">
        <v>0</v>
      </c>
      <c r="BB2333" s="12">
        <v>0</v>
      </c>
      <c r="BC2333" s="15">
        <v>1</v>
      </c>
      <c r="BD2333" s="15">
        <v>0</v>
      </c>
      <c r="BE2333" s="15">
        <v>0</v>
      </c>
      <c r="BF2333" s="15">
        <v>0</v>
      </c>
      <c r="BG2333" s="15">
        <v>0</v>
      </c>
      <c r="BH2333" s="15">
        <v>0</v>
      </c>
      <c r="BI2333" s="15">
        <v>0</v>
      </c>
      <c r="BJ2333" s="15">
        <v>0</v>
      </c>
      <c r="BK2333" s="15">
        <v>0</v>
      </c>
      <c r="BL2333" s="15">
        <v>0</v>
      </c>
      <c r="BM2333" s="15">
        <v>0</v>
      </c>
      <c r="BN2333" s="15">
        <v>2</v>
      </c>
      <c r="BO2333" s="15">
        <v>0</v>
      </c>
      <c r="BP2333" s="15">
        <v>0</v>
      </c>
      <c r="BQ2333" s="15">
        <v>1</v>
      </c>
      <c r="BR2333" s="15">
        <v>0</v>
      </c>
      <c r="BS2333" s="15">
        <v>0</v>
      </c>
      <c r="BT2333" s="15">
        <v>0</v>
      </c>
      <c r="BU2333" s="15">
        <v>0</v>
      </c>
      <c r="BV2333" s="53"/>
      <c r="BW2333" s="16">
        <v>-3</v>
      </c>
      <c r="BZ2333" s="14">
        <f t="shared" si="146"/>
        <v>16</v>
      </c>
      <c r="CA2333" t="s">
        <v>5832</v>
      </c>
    </row>
    <row r="2334" spans="1:79" hidden="1">
      <c r="A2334" s="12">
        <v>49</v>
      </c>
      <c r="B2334" s="12">
        <v>1</v>
      </c>
      <c r="C2334" s="12" t="s">
        <v>149</v>
      </c>
      <c r="D2334" s="12" t="s">
        <v>150</v>
      </c>
      <c r="E2334" s="12" t="s">
        <v>73</v>
      </c>
      <c r="F2334" s="12" t="s">
        <v>73</v>
      </c>
      <c r="G2334" s="12" t="s">
        <v>129</v>
      </c>
      <c r="H2334" s="12">
        <v>8.6999999999999993</v>
      </c>
      <c r="I2334" s="12">
        <v>734</v>
      </c>
      <c r="J2334" s="12">
        <v>71205</v>
      </c>
      <c r="K2334" s="12" t="s">
        <v>130</v>
      </c>
      <c r="L2334" s="12">
        <v>-3</v>
      </c>
      <c r="M2334" s="13"/>
      <c r="N2334" s="12">
        <v>5</v>
      </c>
      <c r="O2334" s="12">
        <v>5</v>
      </c>
      <c r="P2334" s="12">
        <v>1</v>
      </c>
      <c r="Q2334" s="12">
        <v>0</v>
      </c>
      <c r="R2334" s="12">
        <v>0</v>
      </c>
      <c r="S2334" s="12">
        <v>2</v>
      </c>
      <c r="T2334" s="12">
        <v>1</v>
      </c>
      <c r="U2334" s="12">
        <v>1</v>
      </c>
      <c r="V2334" s="12">
        <v>1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2</v>
      </c>
      <c r="AM2334" s="12">
        <v>1</v>
      </c>
      <c r="AN2334" s="12">
        <v>1</v>
      </c>
      <c r="AO2334" s="12">
        <v>1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  <c r="AW2334" s="12">
        <v>0</v>
      </c>
      <c r="AX2334" s="12">
        <v>0</v>
      </c>
      <c r="AY2334" s="12">
        <v>0</v>
      </c>
      <c r="AZ2334" s="12">
        <v>0</v>
      </c>
      <c r="BA2334" s="12">
        <v>0</v>
      </c>
      <c r="BB2334" s="12">
        <v>0</v>
      </c>
      <c r="BC2334" s="15">
        <v>0</v>
      </c>
      <c r="BD2334" s="15">
        <v>0</v>
      </c>
      <c r="BE2334" s="15">
        <v>2</v>
      </c>
      <c r="BF2334" s="15">
        <v>1</v>
      </c>
      <c r="BG2334" s="15">
        <v>1</v>
      </c>
      <c r="BH2334" s="15">
        <v>1</v>
      </c>
      <c r="BI2334" s="15">
        <v>0</v>
      </c>
      <c r="BJ2334" s="15">
        <v>0</v>
      </c>
      <c r="BK2334" s="15">
        <v>0</v>
      </c>
      <c r="BL2334" s="15">
        <v>0</v>
      </c>
      <c r="BM2334" s="15">
        <v>0</v>
      </c>
      <c r="BN2334" s="15">
        <v>0</v>
      </c>
      <c r="BO2334" s="15">
        <v>0</v>
      </c>
      <c r="BP2334" s="15">
        <v>0</v>
      </c>
      <c r="BQ2334" s="15">
        <v>0</v>
      </c>
      <c r="BR2334" s="15">
        <v>0</v>
      </c>
      <c r="BS2334" s="15">
        <v>0</v>
      </c>
      <c r="BT2334" s="15">
        <v>0</v>
      </c>
      <c r="BU2334" s="15">
        <v>0</v>
      </c>
      <c r="BV2334" s="53"/>
      <c r="BW2334" s="16">
        <v>-3</v>
      </c>
      <c r="BZ2334" s="14">
        <f t="shared" si="146"/>
        <v>15</v>
      </c>
      <c r="CA2334" t="s">
        <v>5832</v>
      </c>
    </row>
    <row r="2335" spans="1:79" hidden="1">
      <c r="A2335" s="12">
        <v>50</v>
      </c>
      <c r="B2335" s="12">
        <v>1</v>
      </c>
      <c r="C2335" s="12" t="s">
        <v>151</v>
      </c>
      <c r="D2335" s="12" t="s">
        <v>73</v>
      </c>
      <c r="E2335" s="12" t="s">
        <v>73</v>
      </c>
      <c r="F2335" s="12" t="s">
        <v>73</v>
      </c>
      <c r="G2335" s="12" t="s">
        <v>129</v>
      </c>
      <c r="H2335" s="12">
        <v>12</v>
      </c>
      <c r="I2335" s="12">
        <v>608</v>
      </c>
      <c r="J2335" s="12">
        <v>68780</v>
      </c>
      <c r="K2335" s="12" t="s">
        <v>130</v>
      </c>
      <c r="L2335" s="12">
        <v>-3</v>
      </c>
      <c r="M2335" s="13"/>
      <c r="N2335" s="12">
        <v>4</v>
      </c>
      <c r="O2335" s="12">
        <v>4</v>
      </c>
      <c r="P2335" s="12">
        <v>1</v>
      </c>
      <c r="Q2335" s="12">
        <v>3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1</v>
      </c>
      <c r="AA2335" s="12">
        <v>0</v>
      </c>
      <c r="AB2335" s="12">
        <v>0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3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1</v>
      </c>
      <c r="AT2335" s="12">
        <v>0</v>
      </c>
      <c r="AU2335" s="12">
        <v>0</v>
      </c>
      <c r="AV2335" s="12">
        <v>0</v>
      </c>
      <c r="AW2335" s="12">
        <v>0</v>
      </c>
      <c r="AX2335" s="12">
        <v>0</v>
      </c>
      <c r="AY2335" s="12">
        <v>0</v>
      </c>
      <c r="AZ2335" s="12">
        <v>0</v>
      </c>
      <c r="BA2335" s="12">
        <v>0</v>
      </c>
      <c r="BB2335" s="12">
        <v>0</v>
      </c>
      <c r="BC2335" s="15">
        <v>3</v>
      </c>
      <c r="BD2335" s="15">
        <v>0</v>
      </c>
      <c r="BE2335" s="15">
        <v>0</v>
      </c>
      <c r="BF2335" s="15">
        <v>0</v>
      </c>
      <c r="BG2335" s="15">
        <v>0</v>
      </c>
      <c r="BH2335" s="15">
        <v>0</v>
      </c>
      <c r="BI2335" s="15">
        <v>0</v>
      </c>
      <c r="BJ2335" s="15">
        <v>0</v>
      </c>
      <c r="BK2335" s="15">
        <v>0</v>
      </c>
      <c r="BL2335" s="15">
        <v>1</v>
      </c>
      <c r="BM2335" s="15">
        <v>0</v>
      </c>
      <c r="BN2335" s="15">
        <v>0</v>
      </c>
      <c r="BO2335" s="15">
        <v>0</v>
      </c>
      <c r="BP2335" s="15">
        <v>0</v>
      </c>
      <c r="BQ2335" s="15">
        <v>0</v>
      </c>
      <c r="BR2335" s="15">
        <v>0</v>
      </c>
      <c r="BS2335" s="15">
        <v>0</v>
      </c>
      <c r="BT2335" s="15">
        <v>0</v>
      </c>
      <c r="BU2335" s="15">
        <v>0</v>
      </c>
      <c r="BV2335" s="53"/>
      <c r="BW2335" s="16">
        <v>-3</v>
      </c>
      <c r="BZ2335" s="14">
        <f t="shared" si="146"/>
        <v>17</v>
      </c>
      <c r="CA2335" t="s">
        <v>5832</v>
      </c>
    </row>
    <row r="2336" spans="1:79" hidden="1">
      <c r="A2336" s="12">
        <v>51</v>
      </c>
      <c r="B2336" s="12">
        <v>1</v>
      </c>
      <c r="C2336" s="12" t="s">
        <v>152</v>
      </c>
      <c r="D2336" s="12" t="s">
        <v>153</v>
      </c>
      <c r="E2336" s="12" t="s">
        <v>73</v>
      </c>
      <c r="F2336" s="12" t="s">
        <v>73</v>
      </c>
      <c r="G2336" s="12" t="s">
        <v>129</v>
      </c>
      <c r="H2336" s="12">
        <v>7</v>
      </c>
      <c r="I2336" s="12">
        <v>511</v>
      </c>
      <c r="J2336" s="12">
        <v>57846</v>
      </c>
      <c r="K2336" s="12" t="s">
        <v>130</v>
      </c>
      <c r="L2336" s="12">
        <v>-3</v>
      </c>
      <c r="M2336" s="13"/>
      <c r="N2336" s="12">
        <v>2</v>
      </c>
      <c r="O2336" s="12">
        <v>2</v>
      </c>
      <c r="P2336" s="12">
        <v>1</v>
      </c>
      <c r="Q2336" s="12">
        <v>0</v>
      </c>
      <c r="R2336" s="12">
        <v>0</v>
      </c>
      <c r="S2336" s="12">
        <v>0</v>
      </c>
      <c r="T2336" s="12">
        <v>2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>
        <v>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2">
        <v>2</v>
      </c>
      <c r="AN2336" s="12">
        <v>0</v>
      </c>
      <c r="AO2336" s="12">
        <v>0</v>
      </c>
      <c r="AP2336" s="12">
        <v>0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>
        <v>0</v>
      </c>
      <c r="AW2336" s="12">
        <v>0</v>
      </c>
      <c r="AX2336" s="12">
        <v>0</v>
      </c>
      <c r="AY2336" s="12">
        <v>0</v>
      </c>
      <c r="AZ2336" s="12">
        <v>0</v>
      </c>
      <c r="BA2336" s="12">
        <v>0</v>
      </c>
      <c r="BB2336" s="12">
        <v>0</v>
      </c>
      <c r="BC2336" s="15">
        <v>0</v>
      </c>
      <c r="BD2336" s="15">
        <v>0</v>
      </c>
      <c r="BE2336" s="15">
        <v>0</v>
      </c>
      <c r="BF2336" s="15">
        <v>2</v>
      </c>
      <c r="BG2336" s="15">
        <v>0</v>
      </c>
      <c r="BH2336" s="15">
        <v>0</v>
      </c>
      <c r="BI2336" s="15">
        <v>0</v>
      </c>
      <c r="BJ2336" s="15">
        <v>0</v>
      </c>
      <c r="BK2336" s="15">
        <v>0</v>
      </c>
      <c r="BL2336" s="15">
        <v>0</v>
      </c>
      <c r="BM2336" s="15">
        <v>0</v>
      </c>
      <c r="BN2336" s="15">
        <v>0</v>
      </c>
      <c r="BO2336" s="15">
        <v>0</v>
      </c>
      <c r="BP2336" s="15">
        <v>0</v>
      </c>
      <c r="BQ2336" s="15">
        <v>0</v>
      </c>
      <c r="BR2336" s="15">
        <v>0</v>
      </c>
      <c r="BS2336" s="15">
        <v>0</v>
      </c>
      <c r="BT2336" s="15">
        <v>0</v>
      </c>
      <c r="BU2336" s="15">
        <v>0</v>
      </c>
      <c r="BV2336" s="53"/>
      <c r="BW2336" s="16">
        <v>-3</v>
      </c>
      <c r="BZ2336" s="14">
        <f t="shared" si="146"/>
        <v>18</v>
      </c>
      <c r="CA2336" t="s">
        <v>5832</v>
      </c>
    </row>
    <row r="2337" spans="1:79" hidden="1">
      <c r="A2337" s="12">
        <v>52</v>
      </c>
      <c r="B2337" s="12">
        <v>1</v>
      </c>
      <c r="C2337" s="12" t="s">
        <v>154</v>
      </c>
      <c r="D2337" s="12" t="s">
        <v>155</v>
      </c>
      <c r="E2337" s="12" t="s">
        <v>73</v>
      </c>
      <c r="F2337" s="12" t="s">
        <v>73</v>
      </c>
      <c r="G2337" s="12" t="s">
        <v>129</v>
      </c>
      <c r="H2337" s="12">
        <v>0.8</v>
      </c>
      <c r="I2337" s="12">
        <v>3117</v>
      </c>
      <c r="J2337" s="12">
        <v>350967</v>
      </c>
      <c r="K2337" s="12" t="s">
        <v>130</v>
      </c>
      <c r="L2337" s="12">
        <v>-3</v>
      </c>
      <c r="M2337" s="13"/>
      <c r="N2337" s="12">
        <v>5</v>
      </c>
      <c r="O2337" s="12">
        <v>5</v>
      </c>
      <c r="P2337" s="12">
        <v>1</v>
      </c>
      <c r="Q2337" s="12">
        <v>1</v>
      </c>
      <c r="R2337" s="12">
        <v>0</v>
      </c>
      <c r="S2337" s="12">
        <v>0</v>
      </c>
      <c r="T2337" s="12">
        <v>0</v>
      </c>
      <c r="U2337" s="12">
        <v>0</v>
      </c>
      <c r="V2337" s="12">
        <v>0</v>
      </c>
      <c r="W2337" s="12">
        <v>2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1</v>
      </c>
      <c r="AE2337" s="12">
        <v>0</v>
      </c>
      <c r="AF2337" s="12">
        <v>0</v>
      </c>
      <c r="AG2337" s="12">
        <v>1</v>
      </c>
      <c r="AH2337" s="12">
        <v>0</v>
      </c>
      <c r="AI2337" s="12">
        <v>0</v>
      </c>
      <c r="AJ2337" s="12">
        <v>1</v>
      </c>
      <c r="AK2337" s="12">
        <v>0</v>
      </c>
      <c r="AL2337" s="12">
        <v>0</v>
      </c>
      <c r="AM2337" s="12">
        <v>0</v>
      </c>
      <c r="AN2337" s="12">
        <v>0</v>
      </c>
      <c r="AO2337" s="12">
        <v>0</v>
      </c>
      <c r="AP2337" s="12">
        <v>2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  <c r="AW2337" s="12">
        <v>1</v>
      </c>
      <c r="AX2337" s="12">
        <v>0</v>
      </c>
      <c r="AY2337" s="12">
        <v>0</v>
      </c>
      <c r="AZ2337" s="12">
        <v>1</v>
      </c>
      <c r="BA2337" s="12">
        <v>0</v>
      </c>
      <c r="BB2337" s="12">
        <v>0</v>
      </c>
      <c r="BC2337" s="15">
        <v>1</v>
      </c>
      <c r="BD2337" s="15">
        <v>0</v>
      </c>
      <c r="BE2337" s="15">
        <v>0</v>
      </c>
      <c r="BF2337" s="15">
        <v>0</v>
      </c>
      <c r="BG2337" s="15">
        <v>0</v>
      </c>
      <c r="BH2337" s="15">
        <v>0</v>
      </c>
      <c r="BI2337" s="15">
        <v>2</v>
      </c>
      <c r="BJ2337" s="15">
        <v>0</v>
      </c>
      <c r="BK2337" s="15">
        <v>0</v>
      </c>
      <c r="BL2337" s="15">
        <v>0</v>
      </c>
      <c r="BM2337" s="15">
        <v>0</v>
      </c>
      <c r="BN2337" s="15">
        <v>0</v>
      </c>
      <c r="BO2337" s="15">
        <v>0</v>
      </c>
      <c r="BP2337" s="15">
        <v>1</v>
      </c>
      <c r="BQ2337" s="15">
        <v>0</v>
      </c>
      <c r="BR2337" s="15">
        <v>0</v>
      </c>
      <c r="BS2337" s="15">
        <v>1</v>
      </c>
      <c r="BT2337" s="15">
        <v>0</v>
      </c>
      <c r="BU2337" s="15">
        <v>0</v>
      </c>
      <c r="BV2337" s="53"/>
      <c r="BW2337" s="16">
        <v>-3</v>
      </c>
      <c r="BZ2337" s="14">
        <f t="shared" si="146"/>
        <v>15</v>
      </c>
      <c r="CA2337" t="s">
        <v>5832</v>
      </c>
    </row>
    <row r="2338" spans="1:79" hidden="1">
      <c r="A2338" s="12">
        <v>53</v>
      </c>
      <c r="B2338" s="12">
        <v>1</v>
      </c>
      <c r="C2338" s="12" t="s">
        <v>156</v>
      </c>
      <c r="D2338" s="12" t="s">
        <v>157</v>
      </c>
      <c r="E2338" s="12" t="s">
        <v>73</v>
      </c>
      <c r="F2338" s="12" t="s">
        <v>73</v>
      </c>
      <c r="G2338" s="12" t="s">
        <v>129</v>
      </c>
      <c r="H2338" s="12">
        <v>3.8</v>
      </c>
      <c r="I2338" s="12">
        <v>1098</v>
      </c>
      <c r="J2338" s="12">
        <v>119772</v>
      </c>
      <c r="K2338" s="12" t="s">
        <v>130</v>
      </c>
      <c r="L2338" s="12">
        <v>-3</v>
      </c>
      <c r="M2338" s="13"/>
      <c r="N2338" s="12">
        <v>6</v>
      </c>
      <c r="O2338" s="12">
        <v>6</v>
      </c>
      <c r="P2338" s="12">
        <v>1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1</v>
      </c>
      <c r="W2338" s="12">
        <v>2</v>
      </c>
      <c r="X2338" s="12">
        <v>0</v>
      </c>
      <c r="Y2338" s="12">
        <v>0</v>
      </c>
      <c r="Z2338" s="12">
        <v>0</v>
      </c>
      <c r="AA2338" s="12">
        <v>0</v>
      </c>
      <c r="AB2338" s="12">
        <v>1</v>
      </c>
      <c r="AC2338" s="12">
        <v>0</v>
      </c>
      <c r="AD2338" s="12">
        <v>0</v>
      </c>
      <c r="AE2338" s="12">
        <v>0</v>
      </c>
      <c r="AF2338" s="12">
        <v>1</v>
      </c>
      <c r="AG2338" s="12">
        <v>0</v>
      </c>
      <c r="AH2338" s="12">
        <v>1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1</v>
      </c>
      <c r="AP2338" s="12">
        <v>2</v>
      </c>
      <c r="AQ2338" s="12">
        <v>0</v>
      </c>
      <c r="AR2338" s="12">
        <v>0</v>
      </c>
      <c r="AS2338" s="12">
        <v>0</v>
      </c>
      <c r="AT2338" s="12">
        <v>0</v>
      </c>
      <c r="AU2338" s="12">
        <v>1</v>
      </c>
      <c r="AV2338" s="12">
        <v>0</v>
      </c>
      <c r="AW2338" s="12">
        <v>0</v>
      </c>
      <c r="AX2338" s="12">
        <v>0</v>
      </c>
      <c r="AY2338" s="12">
        <v>1</v>
      </c>
      <c r="AZ2338" s="12">
        <v>0</v>
      </c>
      <c r="BA2338" s="12">
        <v>1</v>
      </c>
      <c r="BB2338" s="12">
        <v>0</v>
      </c>
      <c r="BC2338" s="15">
        <v>0</v>
      </c>
      <c r="BD2338" s="15">
        <v>0</v>
      </c>
      <c r="BE2338" s="15">
        <v>0</v>
      </c>
      <c r="BF2338" s="15">
        <v>0</v>
      </c>
      <c r="BG2338" s="15">
        <v>0</v>
      </c>
      <c r="BH2338" s="15">
        <v>1</v>
      </c>
      <c r="BI2338" s="15">
        <v>2</v>
      </c>
      <c r="BJ2338" s="15">
        <v>0</v>
      </c>
      <c r="BK2338" s="15">
        <v>0</v>
      </c>
      <c r="BL2338" s="15">
        <v>0</v>
      </c>
      <c r="BM2338" s="15">
        <v>0</v>
      </c>
      <c r="BN2338" s="15">
        <v>1</v>
      </c>
      <c r="BO2338" s="15">
        <v>0</v>
      </c>
      <c r="BP2338" s="15">
        <v>0</v>
      </c>
      <c r="BQ2338" s="15">
        <v>0</v>
      </c>
      <c r="BR2338" s="15">
        <v>1</v>
      </c>
      <c r="BS2338" s="15">
        <v>0</v>
      </c>
      <c r="BT2338" s="15">
        <v>1</v>
      </c>
      <c r="BU2338" s="15">
        <v>0</v>
      </c>
      <c r="BV2338" s="53"/>
      <c r="BW2338" s="16">
        <v>-3</v>
      </c>
      <c r="BZ2338" s="14">
        <f t="shared" si="146"/>
        <v>14</v>
      </c>
      <c r="CA2338" t="s">
        <v>5832</v>
      </c>
    </row>
    <row r="2339" spans="1:79" hidden="1">
      <c r="A2339" s="12">
        <v>54</v>
      </c>
      <c r="B2339" s="12">
        <v>1</v>
      </c>
      <c r="C2339" s="12" t="s">
        <v>158</v>
      </c>
      <c r="D2339" s="12" t="s">
        <v>159</v>
      </c>
      <c r="E2339" s="12" t="s">
        <v>73</v>
      </c>
      <c r="F2339" s="12" t="s">
        <v>73</v>
      </c>
      <c r="G2339" s="12" t="s">
        <v>129</v>
      </c>
      <c r="H2339" s="12">
        <v>6.4</v>
      </c>
      <c r="I2339" s="12">
        <v>549</v>
      </c>
      <c r="J2339" s="12">
        <v>58364</v>
      </c>
      <c r="K2339" s="12" t="s">
        <v>130</v>
      </c>
      <c r="L2339" s="12">
        <v>-3</v>
      </c>
      <c r="M2339" s="13"/>
      <c r="N2339" s="12">
        <v>2</v>
      </c>
      <c r="O2339" s="12">
        <v>2</v>
      </c>
      <c r="P2339" s="12">
        <v>1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2</v>
      </c>
      <c r="AE2339" s="12">
        <v>0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  <c r="AW2339" s="12">
        <v>2</v>
      </c>
      <c r="AX2339" s="12">
        <v>0</v>
      </c>
      <c r="AY2339" s="12">
        <v>0</v>
      </c>
      <c r="AZ2339" s="12">
        <v>0</v>
      </c>
      <c r="BA2339" s="12">
        <v>0</v>
      </c>
      <c r="BB2339" s="12">
        <v>0</v>
      </c>
      <c r="BC2339" s="15">
        <v>0</v>
      </c>
      <c r="BD2339" s="15">
        <v>0</v>
      </c>
      <c r="BE2339" s="15">
        <v>0</v>
      </c>
      <c r="BF2339" s="15">
        <v>0</v>
      </c>
      <c r="BG2339" s="15">
        <v>0</v>
      </c>
      <c r="BH2339" s="15">
        <v>0</v>
      </c>
      <c r="BI2339" s="15">
        <v>0</v>
      </c>
      <c r="BJ2339" s="15">
        <v>0</v>
      </c>
      <c r="BK2339" s="15">
        <v>0</v>
      </c>
      <c r="BL2339" s="15">
        <v>0</v>
      </c>
      <c r="BM2339" s="15">
        <v>0</v>
      </c>
      <c r="BN2339" s="15">
        <v>0</v>
      </c>
      <c r="BO2339" s="15">
        <v>0</v>
      </c>
      <c r="BP2339" s="15">
        <v>2</v>
      </c>
      <c r="BQ2339" s="15">
        <v>0</v>
      </c>
      <c r="BR2339" s="15">
        <v>0</v>
      </c>
      <c r="BS2339" s="15">
        <v>0</v>
      </c>
      <c r="BT2339" s="15">
        <v>0</v>
      </c>
      <c r="BU2339" s="15">
        <v>0</v>
      </c>
      <c r="BV2339" s="53"/>
      <c r="BW2339" s="16">
        <v>-3</v>
      </c>
      <c r="BZ2339" s="14">
        <f t="shared" si="146"/>
        <v>18</v>
      </c>
      <c r="CA2339" t="s">
        <v>5832</v>
      </c>
    </row>
    <row r="2340" spans="1:79" hidden="1">
      <c r="A2340" s="12">
        <v>55</v>
      </c>
      <c r="B2340" s="12">
        <v>1</v>
      </c>
      <c r="C2340" s="12" t="s">
        <v>160</v>
      </c>
      <c r="D2340" s="12" t="s">
        <v>161</v>
      </c>
      <c r="E2340" s="12" t="s">
        <v>73</v>
      </c>
      <c r="F2340" s="12" t="s">
        <v>73</v>
      </c>
      <c r="G2340" s="12" t="s">
        <v>129</v>
      </c>
      <c r="H2340" s="12">
        <v>6.5</v>
      </c>
      <c r="I2340" s="12">
        <v>1685</v>
      </c>
      <c r="J2340" s="12">
        <v>166823</v>
      </c>
      <c r="K2340" s="12" t="s">
        <v>130</v>
      </c>
      <c r="L2340" s="12">
        <v>-3</v>
      </c>
      <c r="M2340" s="13"/>
      <c r="N2340" s="12">
        <v>9</v>
      </c>
      <c r="O2340" s="12">
        <v>9</v>
      </c>
      <c r="P2340" s="12">
        <v>1</v>
      </c>
      <c r="Q2340" s="12">
        <v>1</v>
      </c>
      <c r="R2340" s="12">
        <v>2</v>
      </c>
      <c r="S2340" s="12">
        <v>0</v>
      </c>
      <c r="T2340" s="12">
        <v>2</v>
      </c>
      <c r="U2340" s="12">
        <v>0</v>
      </c>
      <c r="V2340" s="12">
        <v>0</v>
      </c>
      <c r="W2340" s="12">
        <v>2</v>
      </c>
      <c r="X2340" s="12">
        <v>0</v>
      </c>
      <c r="Y2340" s="12">
        <v>0</v>
      </c>
      <c r="Z2340" s="12">
        <v>0</v>
      </c>
      <c r="AA2340" s="12">
        <v>1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1</v>
      </c>
      <c r="AH2340" s="12">
        <v>0</v>
      </c>
      <c r="AI2340" s="12">
        <v>0</v>
      </c>
      <c r="AJ2340" s="12">
        <v>1</v>
      </c>
      <c r="AK2340" s="12">
        <v>2</v>
      </c>
      <c r="AL2340" s="12">
        <v>0</v>
      </c>
      <c r="AM2340" s="12">
        <v>2</v>
      </c>
      <c r="AN2340" s="12">
        <v>0</v>
      </c>
      <c r="AO2340" s="12">
        <v>0</v>
      </c>
      <c r="AP2340" s="12">
        <v>2</v>
      </c>
      <c r="AQ2340" s="12">
        <v>0</v>
      </c>
      <c r="AR2340" s="12">
        <v>0</v>
      </c>
      <c r="AS2340" s="12">
        <v>0</v>
      </c>
      <c r="AT2340" s="12">
        <v>1</v>
      </c>
      <c r="AU2340" s="12">
        <v>0</v>
      </c>
      <c r="AV2340" s="12">
        <v>0</v>
      </c>
      <c r="AW2340" s="12">
        <v>0</v>
      </c>
      <c r="AX2340" s="12">
        <v>0</v>
      </c>
      <c r="AY2340" s="12">
        <v>0</v>
      </c>
      <c r="AZ2340" s="12">
        <v>1</v>
      </c>
      <c r="BA2340" s="12">
        <v>0</v>
      </c>
      <c r="BB2340" s="12">
        <v>0</v>
      </c>
      <c r="BC2340" s="15">
        <v>1</v>
      </c>
      <c r="BD2340" s="15">
        <v>2</v>
      </c>
      <c r="BE2340" s="15">
        <v>0</v>
      </c>
      <c r="BF2340" s="15">
        <v>2</v>
      </c>
      <c r="BG2340" s="15">
        <v>0</v>
      </c>
      <c r="BH2340" s="15">
        <v>0</v>
      </c>
      <c r="BI2340" s="15">
        <v>2</v>
      </c>
      <c r="BJ2340" s="15">
        <v>0</v>
      </c>
      <c r="BK2340" s="15">
        <v>0</v>
      </c>
      <c r="BL2340" s="15">
        <v>0</v>
      </c>
      <c r="BM2340" s="15">
        <v>1</v>
      </c>
      <c r="BN2340" s="15">
        <v>0</v>
      </c>
      <c r="BO2340" s="15">
        <v>0</v>
      </c>
      <c r="BP2340" s="15">
        <v>0</v>
      </c>
      <c r="BQ2340" s="15">
        <v>0</v>
      </c>
      <c r="BR2340" s="15">
        <v>0</v>
      </c>
      <c r="BS2340" s="15">
        <v>1</v>
      </c>
      <c r="BT2340" s="15">
        <v>0</v>
      </c>
      <c r="BU2340" s="15">
        <v>0</v>
      </c>
      <c r="BV2340" s="53"/>
      <c r="BW2340" s="16">
        <v>-3</v>
      </c>
      <c r="BZ2340" s="14">
        <f t="shared" si="146"/>
        <v>13</v>
      </c>
      <c r="CA2340" t="s">
        <v>5832</v>
      </c>
    </row>
    <row r="2341" spans="1:79" hidden="1">
      <c r="A2341" s="12">
        <v>56</v>
      </c>
      <c r="B2341" s="12">
        <v>1</v>
      </c>
      <c r="C2341" s="12" t="s">
        <v>162</v>
      </c>
      <c r="D2341" s="12" t="s">
        <v>163</v>
      </c>
      <c r="E2341" s="12" t="s">
        <v>73</v>
      </c>
      <c r="F2341" s="12" t="s">
        <v>73</v>
      </c>
      <c r="G2341" s="12" t="s">
        <v>129</v>
      </c>
      <c r="H2341" s="12">
        <v>1.3</v>
      </c>
      <c r="I2341" s="12">
        <v>2383</v>
      </c>
      <c r="J2341" s="12">
        <v>269756</v>
      </c>
      <c r="K2341" s="12" t="s">
        <v>130</v>
      </c>
      <c r="L2341" s="12">
        <v>-3</v>
      </c>
      <c r="M2341" s="13"/>
      <c r="N2341" s="12">
        <v>11</v>
      </c>
      <c r="O2341" s="12">
        <v>11</v>
      </c>
      <c r="P2341" s="12">
        <v>1</v>
      </c>
      <c r="Q2341" s="12">
        <v>2</v>
      </c>
      <c r="R2341" s="12">
        <v>0</v>
      </c>
      <c r="S2341" s="12">
        <v>1</v>
      </c>
      <c r="T2341" s="12">
        <v>0</v>
      </c>
      <c r="U2341" s="12">
        <v>0</v>
      </c>
      <c r="V2341" s="12">
        <v>1</v>
      </c>
      <c r="W2341" s="12">
        <v>0</v>
      </c>
      <c r="X2341" s="12">
        <v>1</v>
      </c>
      <c r="Y2341" s="12">
        <v>2</v>
      </c>
      <c r="Z2341" s="12">
        <v>0</v>
      </c>
      <c r="AA2341" s="12">
        <v>1</v>
      </c>
      <c r="AB2341" s="12">
        <v>3</v>
      </c>
      <c r="AC2341" s="12">
        <v>0</v>
      </c>
      <c r="AD2341" s="12">
        <v>0</v>
      </c>
      <c r="AE2341" s="12">
        <v>0</v>
      </c>
      <c r="AF2341" s="12">
        <v>0</v>
      </c>
      <c r="AG2341" s="12">
        <v>0</v>
      </c>
      <c r="AH2341" s="12">
        <v>0</v>
      </c>
      <c r="AI2341" s="12">
        <v>0</v>
      </c>
      <c r="AJ2341" s="12">
        <v>2</v>
      </c>
      <c r="AK2341" s="12">
        <v>0</v>
      </c>
      <c r="AL2341" s="12">
        <v>1</v>
      </c>
      <c r="AM2341" s="12">
        <v>0</v>
      </c>
      <c r="AN2341" s="12">
        <v>0</v>
      </c>
      <c r="AO2341" s="12">
        <v>1</v>
      </c>
      <c r="AP2341" s="12">
        <v>0</v>
      </c>
      <c r="AQ2341" s="12">
        <v>1</v>
      </c>
      <c r="AR2341" s="12">
        <v>2</v>
      </c>
      <c r="AS2341" s="12">
        <v>0</v>
      </c>
      <c r="AT2341" s="12">
        <v>1</v>
      </c>
      <c r="AU2341" s="12">
        <v>3</v>
      </c>
      <c r="AV2341" s="12">
        <v>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5">
        <v>2</v>
      </c>
      <c r="BD2341" s="15">
        <v>0</v>
      </c>
      <c r="BE2341" s="15">
        <v>1</v>
      </c>
      <c r="BF2341" s="15">
        <v>0</v>
      </c>
      <c r="BG2341" s="15">
        <v>0</v>
      </c>
      <c r="BH2341" s="15">
        <v>1</v>
      </c>
      <c r="BI2341" s="15">
        <v>0</v>
      </c>
      <c r="BJ2341" s="15">
        <v>1</v>
      </c>
      <c r="BK2341" s="15">
        <v>2</v>
      </c>
      <c r="BL2341" s="15">
        <v>0</v>
      </c>
      <c r="BM2341" s="15">
        <v>1</v>
      </c>
      <c r="BN2341" s="15">
        <v>3</v>
      </c>
      <c r="BO2341" s="15">
        <v>0</v>
      </c>
      <c r="BP2341" s="15">
        <v>0</v>
      </c>
      <c r="BQ2341" s="15">
        <v>0</v>
      </c>
      <c r="BR2341" s="15">
        <v>0</v>
      </c>
      <c r="BS2341" s="15">
        <v>0</v>
      </c>
      <c r="BT2341" s="15">
        <v>0</v>
      </c>
      <c r="BU2341" s="15">
        <v>0</v>
      </c>
      <c r="BV2341" s="53"/>
      <c r="BW2341" s="16">
        <v>-3</v>
      </c>
      <c r="BZ2341" s="14">
        <f t="shared" si="146"/>
        <v>12</v>
      </c>
      <c r="CA2341" t="s">
        <v>5832</v>
      </c>
    </row>
  </sheetData>
  <autoFilter ref="A5:EC2341" xr:uid="{B6B122F7-10DD-7548-91B7-1542BC3F2B6E}">
    <filterColumn colId="6">
      <filters blank="1"/>
    </filterColumn>
    <filterColumn colId="77">
      <filters>
        <filter val="0"/>
      </filters>
    </filterColumn>
  </autoFilter>
  <sortState xmlns:xlrd2="http://schemas.microsoft.com/office/spreadsheetml/2017/richdata2" columnSort="1" ref="BC1:BU2343">
    <sortCondition ref="BC4:BU4"/>
  </sortState>
  <conditionalFormatting sqref="BC6:BV2267">
    <cfRule type="expression" dxfId="2" priority="2">
      <formula>BC6&lt;5</formula>
    </cfRule>
  </conditionalFormatting>
  <conditionalFormatting sqref="BC3">
    <cfRule type="expression" dxfId="1" priority="1">
      <formula>BC3&lt;5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92929-C816-5A4C-A014-58ABB3E9FCE7}">
  <dimension ref="A1:O2273"/>
  <sheetViews>
    <sheetView workbookViewId="0"/>
  </sheetViews>
  <sheetFormatPr baseColWidth="10" defaultRowHeight="16"/>
  <sheetData>
    <row r="1" spans="1:15">
      <c r="A1" s="1" t="s">
        <v>13739</v>
      </c>
    </row>
    <row r="2" spans="1:15">
      <c r="A2" t="s">
        <v>13740</v>
      </c>
    </row>
    <row r="3" spans="1:15">
      <c r="A3" t="s">
        <v>13741</v>
      </c>
    </row>
    <row r="4" spans="1:15">
      <c r="A4" t="s">
        <v>36846</v>
      </c>
    </row>
    <row r="6" spans="1:15">
      <c r="A6" s="1" t="s">
        <v>13742</v>
      </c>
      <c r="B6" s="1" t="s">
        <v>5879</v>
      </c>
      <c r="C6" s="1" t="s">
        <v>5880</v>
      </c>
      <c r="D6" s="1" t="s">
        <v>5881</v>
      </c>
      <c r="E6" s="1" t="s">
        <v>5882</v>
      </c>
      <c r="F6" s="1" t="s">
        <v>5883</v>
      </c>
      <c r="G6" s="1" t="s">
        <v>5884</v>
      </c>
      <c r="H6" s="1" t="s">
        <v>5885</v>
      </c>
      <c r="I6" s="1" t="s">
        <v>5886</v>
      </c>
      <c r="J6" s="1" t="s">
        <v>5887</v>
      </c>
      <c r="K6" s="1" t="s">
        <v>5888</v>
      </c>
      <c r="L6" s="1" t="s">
        <v>5889</v>
      </c>
      <c r="M6" s="1" t="s">
        <v>5890</v>
      </c>
      <c r="N6" s="1" t="s">
        <v>5891</v>
      </c>
      <c r="O6" s="1" t="s">
        <v>5892</v>
      </c>
    </row>
    <row r="7" spans="1:15">
      <c r="A7">
        <v>1</v>
      </c>
      <c r="B7" t="s">
        <v>123</v>
      </c>
      <c r="C7" t="s">
        <v>124</v>
      </c>
      <c r="D7" t="s">
        <v>5893</v>
      </c>
      <c r="E7" t="s">
        <v>5894</v>
      </c>
      <c r="F7" t="s">
        <v>5895</v>
      </c>
      <c r="G7" t="s">
        <v>5896</v>
      </c>
      <c r="H7">
        <v>134</v>
      </c>
      <c r="I7">
        <v>747</v>
      </c>
      <c r="J7">
        <v>72</v>
      </c>
      <c r="K7">
        <v>19</v>
      </c>
      <c r="L7">
        <v>33</v>
      </c>
      <c r="M7">
        <v>14.2</v>
      </c>
      <c r="N7">
        <v>24.6</v>
      </c>
      <c r="O7">
        <v>30.8</v>
      </c>
    </row>
    <row r="8" spans="1:15">
      <c r="A8">
        <v>2</v>
      </c>
      <c r="B8" t="s">
        <v>125</v>
      </c>
      <c r="C8" t="s">
        <v>126</v>
      </c>
      <c r="D8" t="s">
        <v>5897</v>
      </c>
      <c r="E8" t="s">
        <v>5898</v>
      </c>
      <c r="F8" t="s">
        <v>5899</v>
      </c>
      <c r="G8" t="s">
        <v>5900</v>
      </c>
      <c r="H8">
        <v>285</v>
      </c>
      <c r="I8">
        <v>73</v>
      </c>
      <c r="J8">
        <v>46</v>
      </c>
      <c r="K8">
        <v>16</v>
      </c>
      <c r="L8">
        <v>26</v>
      </c>
      <c r="M8">
        <v>5.6</v>
      </c>
      <c r="N8">
        <v>9.1</v>
      </c>
      <c r="O8">
        <v>27.7</v>
      </c>
    </row>
    <row r="9" spans="1:15">
      <c r="A9">
        <v>519</v>
      </c>
      <c r="B9" t="s">
        <v>164</v>
      </c>
      <c r="C9" t="s">
        <v>166</v>
      </c>
      <c r="D9" t="s">
        <v>5901</v>
      </c>
      <c r="E9" t="s">
        <v>5902</v>
      </c>
      <c r="F9" t="s">
        <v>5903</v>
      </c>
      <c r="G9" t="s">
        <v>5904</v>
      </c>
      <c r="H9">
        <v>183</v>
      </c>
      <c r="I9">
        <v>194</v>
      </c>
      <c r="J9">
        <v>144</v>
      </c>
      <c r="K9">
        <v>80</v>
      </c>
      <c r="L9">
        <v>98</v>
      </c>
      <c r="M9">
        <v>43.7</v>
      </c>
      <c r="N9">
        <v>53.6</v>
      </c>
      <c r="O9">
        <v>153.30000000000001</v>
      </c>
    </row>
    <row r="10" spans="1:15">
      <c r="A10">
        <v>518</v>
      </c>
      <c r="B10" t="s">
        <v>167</v>
      </c>
      <c r="C10" t="s">
        <v>169</v>
      </c>
      <c r="D10" t="s">
        <v>5905</v>
      </c>
      <c r="E10" t="s">
        <v>5906</v>
      </c>
      <c r="F10" t="s">
        <v>5907</v>
      </c>
      <c r="G10" t="s">
        <v>5904</v>
      </c>
      <c r="H10">
        <v>719</v>
      </c>
      <c r="I10">
        <v>745</v>
      </c>
      <c r="J10">
        <v>703</v>
      </c>
      <c r="K10">
        <v>613</v>
      </c>
      <c r="L10">
        <v>650</v>
      </c>
      <c r="M10">
        <v>85.3</v>
      </c>
      <c r="N10">
        <v>90.4</v>
      </c>
      <c r="O10">
        <v>1256.9000000000001</v>
      </c>
    </row>
    <row r="11" spans="1:15">
      <c r="A11">
        <v>517</v>
      </c>
      <c r="B11" t="s">
        <v>5908</v>
      </c>
      <c r="C11" t="s">
        <v>172</v>
      </c>
      <c r="D11" t="s">
        <v>5909</v>
      </c>
      <c r="E11" t="s">
        <v>5910</v>
      </c>
      <c r="F11" t="s">
        <v>5911</v>
      </c>
      <c r="G11" t="s">
        <v>5904</v>
      </c>
      <c r="H11">
        <v>1483</v>
      </c>
      <c r="I11">
        <v>1479</v>
      </c>
      <c r="J11">
        <v>1483</v>
      </c>
      <c r="K11">
        <v>1391</v>
      </c>
      <c r="L11">
        <v>1417</v>
      </c>
      <c r="M11">
        <v>93.8</v>
      </c>
      <c r="N11">
        <v>95.5</v>
      </c>
      <c r="O11">
        <v>2795.8</v>
      </c>
    </row>
    <row r="12" spans="1:15">
      <c r="A12">
        <v>516</v>
      </c>
      <c r="B12" t="s">
        <v>5912</v>
      </c>
      <c r="C12" t="s">
        <v>175</v>
      </c>
      <c r="D12" t="s">
        <v>5913</v>
      </c>
      <c r="E12" t="s">
        <v>5914</v>
      </c>
      <c r="F12" t="s">
        <v>5915</v>
      </c>
      <c r="G12" t="s">
        <v>5904</v>
      </c>
      <c r="H12">
        <v>184</v>
      </c>
      <c r="I12">
        <v>154</v>
      </c>
      <c r="J12">
        <v>154</v>
      </c>
      <c r="K12">
        <v>154</v>
      </c>
      <c r="L12">
        <v>154</v>
      </c>
      <c r="M12">
        <v>83.7</v>
      </c>
      <c r="N12">
        <v>83.7</v>
      </c>
      <c r="O12">
        <v>318.2</v>
      </c>
    </row>
    <row r="13" spans="1:15">
      <c r="A13">
        <v>515</v>
      </c>
      <c r="B13" t="s">
        <v>176</v>
      </c>
      <c r="C13" t="s">
        <v>5916</v>
      </c>
      <c r="D13" t="s">
        <v>5917</v>
      </c>
      <c r="E13" t="s">
        <v>5918</v>
      </c>
      <c r="F13" t="s">
        <v>5919</v>
      </c>
      <c r="G13" t="s">
        <v>5904</v>
      </c>
      <c r="H13">
        <v>457</v>
      </c>
      <c r="I13">
        <v>458</v>
      </c>
      <c r="J13">
        <v>440</v>
      </c>
      <c r="K13">
        <v>356</v>
      </c>
      <c r="L13">
        <v>386</v>
      </c>
      <c r="M13">
        <v>77.900000000000006</v>
      </c>
      <c r="N13">
        <v>84.5</v>
      </c>
      <c r="O13">
        <v>747.7</v>
      </c>
    </row>
    <row r="14" spans="1:15">
      <c r="A14">
        <v>514</v>
      </c>
      <c r="B14" t="s">
        <v>178</v>
      </c>
      <c r="C14" t="s">
        <v>180</v>
      </c>
      <c r="D14" t="s">
        <v>5920</v>
      </c>
      <c r="E14" t="s">
        <v>5921</v>
      </c>
      <c r="F14" t="s">
        <v>5922</v>
      </c>
      <c r="G14" t="s">
        <v>5904</v>
      </c>
      <c r="H14">
        <v>1460</v>
      </c>
      <c r="I14">
        <v>1464</v>
      </c>
      <c r="J14">
        <v>1464</v>
      </c>
      <c r="K14">
        <v>1426</v>
      </c>
      <c r="L14">
        <v>1441</v>
      </c>
      <c r="M14">
        <v>97.7</v>
      </c>
      <c r="N14">
        <v>98.7</v>
      </c>
      <c r="O14">
        <v>2568.9</v>
      </c>
    </row>
    <row r="15" spans="1:15">
      <c r="A15">
        <v>513</v>
      </c>
      <c r="B15" t="s">
        <v>181</v>
      </c>
      <c r="C15" t="s">
        <v>182</v>
      </c>
      <c r="D15" t="s">
        <v>5923</v>
      </c>
      <c r="E15" t="s">
        <v>5924</v>
      </c>
      <c r="F15" t="s">
        <v>5925</v>
      </c>
      <c r="G15" t="s">
        <v>5904</v>
      </c>
      <c r="H15">
        <v>400</v>
      </c>
      <c r="I15">
        <v>393</v>
      </c>
      <c r="J15">
        <v>402</v>
      </c>
      <c r="K15">
        <v>355</v>
      </c>
      <c r="L15">
        <v>369</v>
      </c>
      <c r="M15">
        <v>88.8</v>
      </c>
      <c r="N15">
        <v>92.2</v>
      </c>
      <c r="O15">
        <v>680.2</v>
      </c>
    </row>
    <row r="16" spans="1:15">
      <c r="A16">
        <v>512</v>
      </c>
      <c r="B16" t="s">
        <v>5926</v>
      </c>
      <c r="C16" t="s">
        <v>185</v>
      </c>
      <c r="D16" t="s">
        <v>5927</v>
      </c>
      <c r="E16" t="s">
        <v>5928</v>
      </c>
      <c r="F16" t="s">
        <v>5929</v>
      </c>
      <c r="G16" t="s">
        <v>5904</v>
      </c>
      <c r="H16">
        <v>214</v>
      </c>
      <c r="I16">
        <v>214</v>
      </c>
      <c r="J16">
        <v>214</v>
      </c>
      <c r="K16">
        <v>169</v>
      </c>
      <c r="L16">
        <v>191</v>
      </c>
      <c r="M16">
        <v>79</v>
      </c>
      <c r="N16">
        <v>89.3</v>
      </c>
      <c r="O16">
        <v>364.8</v>
      </c>
    </row>
    <row r="17" spans="1:15">
      <c r="A17">
        <v>511</v>
      </c>
      <c r="B17" t="s">
        <v>186</v>
      </c>
      <c r="C17" t="s">
        <v>187</v>
      </c>
      <c r="D17" t="s">
        <v>5930</v>
      </c>
      <c r="E17" t="s">
        <v>5931</v>
      </c>
      <c r="F17" t="s">
        <v>5932</v>
      </c>
      <c r="G17" t="s">
        <v>5904</v>
      </c>
      <c r="H17">
        <v>306</v>
      </c>
      <c r="I17">
        <v>303</v>
      </c>
      <c r="J17">
        <v>304</v>
      </c>
      <c r="K17">
        <v>233</v>
      </c>
      <c r="L17">
        <v>260</v>
      </c>
      <c r="M17">
        <v>76.099999999999994</v>
      </c>
      <c r="N17">
        <v>85</v>
      </c>
      <c r="O17">
        <v>488.8</v>
      </c>
    </row>
    <row r="18" spans="1:15">
      <c r="A18">
        <v>510</v>
      </c>
      <c r="B18" t="s">
        <v>5933</v>
      </c>
      <c r="C18" t="s">
        <v>190</v>
      </c>
      <c r="D18" t="s">
        <v>5934</v>
      </c>
      <c r="E18" t="s">
        <v>5935</v>
      </c>
      <c r="F18" t="s">
        <v>5936</v>
      </c>
      <c r="G18" t="s">
        <v>5904</v>
      </c>
      <c r="H18">
        <v>1063</v>
      </c>
      <c r="I18">
        <v>1119</v>
      </c>
      <c r="J18">
        <v>1132</v>
      </c>
      <c r="K18">
        <v>809</v>
      </c>
      <c r="L18">
        <v>880</v>
      </c>
      <c r="M18">
        <v>76.099999999999994</v>
      </c>
      <c r="N18">
        <v>82.8</v>
      </c>
      <c r="O18">
        <v>1438.3</v>
      </c>
    </row>
    <row r="19" spans="1:15">
      <c r="A19">
        <v>509</v>
      </c>
      <c r="B19" t="s">
        <v>5937</v>
      </c>
      <c r="C19" t="s">
        <v>193</v>
      </c>
      <c r="D19" t="s">
        <v>5938</v>
      </c>
      <c r="E19" t="s">
        <v>5939</v>
      </c>
      <c r="F19" t="s">
        <v>5940</v>
      </c>
      <c r="G19" t="s">
        <v>5904</v>
      </c>
      <c r="H19">
        <v>145</v>
      </c>
      <c r="I19">
        <v>145</v>
      </c>
      <c r="J19">
        <v>145</v>
      </c>
      <c r="K19">
        <v>145</v>
      </c>
      <c r="L19">
        <v>145</v>
      </c>
      <c r="M19">
        <v>100</v>
      </c>
      <c r="N19">
        <v>100</v>
      </c>
      <c r="O19">
        <v>290.39999999999998</v>
      </c>
    </row>
    <row r="20" spans="1:15">
      <c r="A20">
        <v>508</v>
      </c>
      <c r="B20" t="s">
        <v>194</v>
      </c>
      <c r="C20" t="s">
        <v>5941</v>
      </c>
      <c r="D20" t="s">
        <v>5942</v>
      </c>
      <c r="E20" t="s">
        <v>5943</v>
      </c>
      <c r="F20" t="s">
        <v>5944</v>
      </c>
      <c r="G20" t="s">
        <v>5904</v>
      </c>
      <c r="H20">
        <v>268</v>
      </c>
      <c r="I20">
        <v>275</v>
      </c>
      <c r="J20">
        <v>265</v>
      </c>
      <c r="K20">
        <v>160</v>
      </c>
      <c r="L20">
        <v>194</v>
      </c>
      <c r="M20">
        <v>59.7</v>
      </c>
      <c r="N20">
        <v>72.400000000000006</v>
      </c>
      <c r="O20">
        <v>323.60000000000002</v>
      </c>
    </row>
    <row r="21" spans="1:15">
      <c r="A21">
        <v>507</v>
      </c>
      <c r="B21" t="s">
        <v>196</v>
      </c>
      <c r="C21" t="s">
        <v>197</v>
      </c>
      <c r="D21" t="s">
        <v>5945</v>
      </c>
      <c r="E21" t="s">
        <v>5946</v>
      </c>
      <c r="F21" t="s">
        <v>5947</v>
      </c>
      <c r="G21" t="s">
        <v>5904</v>
      </c>
      <c r="H21">
        <v>828</v>
      </c>
      <c r="I21">
        <v>830</v>
      </c>
      <c r="J21">
        <v>818</v>
      </c>
      <c r="K21">
        <v>638</v>
      </c>
      <c r="L21">
        <v>679</v>
      </c>
      <c r="M21">
        <v>77.099999999999994</v>
      </c>
      <c r="N21">
        <v>82</v>
      </c>
      <c r="O21">
        <v>1185.2</v>
      </c>
    </row>
    <row r="22" spans="1:15">
      <c r="A22">
        <v>506</v>
      </c>
      <c r="B22" t="s">
        <v>5948</v>
      </c>
      <c r="C22" t="s">
        <v>200</v>
      </c>
      <c r="D22" t="s">
        <v>5949</v>
      </c>
      <c r="E22" t="s">
        <v>5950</v>
      </c>
      <c r="F22" t="s">
        <v>5951</v>
      </c>
      <c r="G22" t="s">
        <v>5904</v>
      </c>
      <c r="H22">
        <v>467</v>
      </c>
      <c r="I22">
        <v>441</v>
      </c>
      <c r="J22">
        <v>432</v>
      </c>
      <c r="K22">
        <v>397</v>
      </c>
      <c r="L22">
        <v>410</v>
      </c>
      <c r="M22">
        <v>85</v>
      </c>
      <c r="N22">
        <v>87.8</v>
      </c>
      <c r="O22">
        <v>783.1</v>
      </c>
    </row>
    <row r="23" spans="1:15">
      <c r="A23">
        <v>505</v>
      </c>
      <c r="B23" t="s">
        <v>201</v>
      </c>
      <c r="C23" t="s">
        <v>202</v>
      </c>
      <c r="D23" t="s">
        <v>5952</v>
      </c>
      <c r="E23" t="s">
        <v>5953</v>
      </c>
      <c r="F23" t="s">
        <v>5954</v>
      </c>
      <c r="G23" t="s">
        <v>5904</v>
      </c>
      <c r="H23">
        <v>140</v>
      </c>
      <c r="I23">
        <v>140</v>
      </c>
      <c r="J23">
        <v>140</v>
      </c>
      <c r="K23">
        <v>134</v>
      </c>
      <c r="L23">
        <v>138</v>
      </c>
      <c r="M23">
        <v>95.7</v>
      </c>
      <c r="N23">
        <v>98.6</v>
      </c>
      <c r="O23">
        <v>283.5</v>
      </c>
    </row>
    <row r="24" spans="1:15">
      <c r="A24">
        <v>504</v>
      </c>
      <c r="B24" t="s">
        <v>5955</v>
      </c>
      <c r="C24" t="s">
        <v>205</v>
      </c>
      <c r="D24" t="s">
        <v>5956</v>
      </c>
      <c r="E24" t="s">
        <v>5957</v>
      </c>
      <c r="F24" t="s">
        <v>5958</v>
      </c>
      <c r="G24" t="s">
        <v>5904</v>
      </c>
      <c r="H24">
        <v>392</v>
      </c>
      <c r="I24">
        <v>392</v>
      </c>
      <c r="J24">
        <v>390</v>
      </c>
      <c r="K24">
        <v>360</v>
      </c>
      <c r="L24">
        <v>373</v>
      </c>
      <c r="M24">
        <v>91.8</v>
      </c>
      <c r="N24">
        <v>95.2</v>
      </c>
      <c r="O24">
        <v>728.8</v>
      </c>
    </row>
    <row r="25" spans="1:15">
      <c r="A25">
        <v>2249</v>
      </c>
      <c r="B25" t="s">
        <v>206</v>
      </c>
      <c r="C25" t="s">
        <v>207</v>
      </c>
      <c r="D25" t="s">
        <v>5959</v>
      </c>
      <c r="E25" t="s">
        <v>5960</v>
      </c>
      <c r="F25" t="s">
        <v>5961</v>
      </c>
      <c r="G25" t="s">
        <v>5904</v>
      </c>
      <c r="H25">
        <v>166</v>
      </c>
      <c r="I25">
        <v>167</v>
      </c>
      <c r="J25">
        <v>167</v>
      </c>
      <c r="K25">
        <v>163</v>
      </c>
      <c r="L25">
        <v>163</v>
      </c>
      <c r="M25">
        <v>98.2</v>
      </c>
      <c r="N25">
        <v>98.2</v>
      </c>
      <c r="O25">
        <v>334.7</v>
      </c>
    </row>
    <row r="26" spans="1:15">
      <c r="A26">
        <v>503</v>
      </c>
      <c r="B26" t="s">
        <v>5962</v>
      </c>
      <c r="C26" t="s">
        <v>5963</v>
      </c>
      <c r="D26" t="s">
        <v>5964</v>
      </c>
      <c r="E26" t="s">
        <v>5965</v>
      </c>
      <c r="F26" t="s">
        <v>5966</v>
      </c>
      <c r="G26" t="s">
        <v>5904</v>
      </c>
      <c r="H26">
        <v>845</v>
      </c>
      <c r="I26">
        <v>837</v>
      </c>
      <c r="J26">
        <v>845</v>
      </c>
      <c r="K26">
        <v>815</v>
      </c>
      <c r="L26">
        <v>826</v>
      </c>
      <c r="M26">
        <v>96.4</v>
      </c>
      <c r="N26">
        <v>97.8</v>
      </c>
      <c r="O26">
        <v>1686</v>
      </c>
    </row>
    <row r="27" spans="1:15">
      <c r="A27">
        <v>502</v>
      </c>
      <c r="B27" t="s">
        <v>212</v>
      </c>
      <c r="C27" t="s">
        <v>213</v>
      </c>
      <c r="D27" t="s">
        <v>5967</v>
      </c>
      <c r="E27" t="s">
        <v>5968</v>
      </c>
      <c r="F27" t="s">
        <v>5969</v>
      </c>
      <c r="G27" t="s">
        <v>5904</v>
      </c>
      <c r="H27">
        <v>390</v>
      </c>
      <c r="I27">
        <v>390</v>
      </c>
      <c r="J27">
        <v>390</v>
      </c>
      <c r="K27">
        <v>368</v>
      </c>
      <c r="L27">
        <v>375</v>
      </c>
      <c r="M27">
        <v>94.4</v>
      </c>
      <c r="N27">
        <v>96.2</v>
      </c>
      <c r="O27">
        <v>666.4</v>
      </c>
    </row>
    <row r="28" spans="1:15">
      <c r="A28">
        <v>501</v>
      </c>
      <c r="B28" t="s">
        <v>214</v>
      </c>
      <c r="C28" t="s">
        <v>215</v>
      </c>
      <c r="D28" t="s">
        <v>5970</v>
      </c>
      <c r="E28" t="s">
        <v>5971</v>
      </c>
      <c r="F28" t="s">
        <v>5972</v>
      </c>
      <c r="G28" t="s">
        <v>5904</v>
      </c>
      <c r="H28">
        <v>300</v>
      </c>
      <c r="I28">
        <v>300</v>
      </c>
      <c r="J28">
        <v>299</v>
      </c>
      <c r="K28">
        <v>278</v>
      </c>
      <c r="L28">
        <v>289</v>
      </c>
      <c r="M28">
        <v>92.7</v>
      </c>
      <c r="N28">
        <v>96.3</v>
      </c>
      <c r="O28">
        <v>582</v>
      </c>
    </row>
    <row r="29" spans="1:15">
      <c r="A29">
        <v>500</v>
      </c>
      <c r="B29" t="s">
        <v>216</v>
      </c>
      <c r="C29" t="s">
        <v>217</v>
      </c>
      <c r="D29" t="s">
        <v>5973</v>
      </c>
      <c r="E29" t="s">
        <v>5974</v>
      </c>
      <c r="F29" t="s">
        <v>5975</v>
      </c>
      <c r="G29" t="s">
        <v>5904</v>
      </c>
      <c r="H29">
        <v>213</v>
      </c>
      <c r="I29">
        <v>213</v>
      </c>
      <c r="J29">
        <v>199</v>
      </c>
      <c r="K29">
        <v>189</v>
      </c>
      <c r="L29">
        <v>190</v>
      </c>
      <c r="M29">
        <v>88.7</v>
      </c>
      <c r="N29">
        <v>89.2</v>
      </c>
      <c r="O29">
        <v>359</v>
      </c>
    </row>
    <row r="30" spans="1:15">
      <c r="A30">
        <v>499</v>
      </c>
      <c r="B30" t="s">
        <v>218</v>
      </c>
      <c r="C30" t="s">
        <v>219</v>
      </c>
      <c r="D30" t="s">
        <v>5976</v>
      </c>
      <c r="E30" t="s">
        <v>5977</v>
      </c>
      <c r="F30" t="s">
        <v>5978</v>
      </c>
      <c r="G30" t="s">
        <v>5904</v>
      </c>
      <c r="H30">
        <v>455</v>
      </c>
      <c r="I30">
        <v>455</v>
      </c>
      <c r="J30">
        <v>454</v>
      </c>
      <c r="K30">
        <v>433</v>
      </c>
      <c r="L30">
        <v>448</v>
      </c>
      <c r="M30">
        <v>95.2</v>
      </c>
      <c r="N30">
        <v>98.5</v>
      </c>
      <c r="O30">
        <v>925.6</v>
      </c>
    </row>
    <row r="31" spans="1:15">
      <c r="A31">
        <v>498</v>
      </c>
      <c r="B31" t="s">
        <v>5979</v>
      </c>
      <c r="C31" t="s">
        <v>223</v>
      </c>
      <c r="D31" t="s">
        <v>5980</v>
      </c>
      <c r="E31" t="s">
        <v>5981</v>
      </c>
      <c r="F31" t="s">
        <v>5982</v>
      </c>
      <c r="G31" t="s">
        <v>5904</v>
      </c>
      <c r="H31">
        <v>1063</v>
      </c>
      <c r="I31">
        <v>1063</v>
      </c>
      <c r="J31">
        <v>1063</v>
      </c>
      <c r="K31">
        <v>1036</v>
      </c>
      <c r="L31">
        <v>1052</v>
      </c>
      <c r="M31">
        <v>97.5</v>
      </c>
      <c r="N31">
        <v>99</v>
      </c>
      <c r="O31">
        <v>2157.1</v>
      </c>
    </row>
    <row r="32" spans="1:15">
      <c r="A32">
        <v>497</v>
      </c>
      <c r="B32" t="s">
        <v>5983</v>
      </c>
      <c r="C32" t="s">
        <v>5984</v>
      </c>
      <c r="D32" t="s">
        <v>5985</v>
      </c>
      <c r="E32" t="s">
        <v>5986</v>
      </c>
      <c r="F32" t="s">
        <v>5987</v>
      </c>
      <c r="G32" t="s">
        <v>5904</v>
      </c>
      <c r="H32">
        <v>348</v>
      </c>
      <c r="I32">
        <v>350</v>
      </c>
      <c r="J32">
        <v>333</v>
      </c>
      <c r="K32">
        <v>304</v>
      </c>
      <c r="L32">
        <v>313</v>
      </c>
      <c r="M32">
        <v>87.4</v>
      </c>
      <c r="N32">
        <v>89.9</v>
      </c>
      <c r="O32">
        <v>604.4</v>
      </c>
    </row>
    <row r="33" spans="1:15">
      <c r="A33">
        <v>496</v>
      </c>
      <c r="B33" t="s">
        <v>227</v>
      </c>
      <c r="C33" t="s">
        <v>228</v>
      </c>
      <c r="D33" t="s">
        <v>5988</v>
      </c>
      <c r="E33" t="s">
        <v>5989</v>
      </c>
      <c r="F33" t="s">
        <v>5990</v>
      </c>
      <c r="G33" t="s">
        <v>5904</v>
      </c>
      <c r="H33">
        <v>140</v>
      </c>
      <c r="I33">
        <v>140</v>
      </c>
      <c r="J33">
        <v>140</v>
      </c>
      <c r="K33">
        <v>140</v>
      </c>
      <c r="L33">
        <v>140</v>
      </c>
      <c r="M33">
        <v>100</v>
      </c>
      <c r="N33">
        <v>100</v>
      </c>
      <c r="O33">
        <v>280.39999999999998</v>
      </c>
    </row>
    <row r="34" spans="1:15">
      <c r="A34">
        <v>495</v>
      </c>
      <c r="B34" t="s">
        <v>229</v>
      </c>
      <c r="C34" t="s">
        <v>5991</v>
      </c>
      <c r="D34" t="s">
        <v>5992</v>
      </c>
      <c r="E34" t="s">
        <v>5993</v>
      </c>
      <c r="F34" t="s">
        <v>5994</v>
      </c>
      <c r="G34" t="s">
        <v>5904</v>
      </c>
      <c r="H34">
        <v>484</v>
      </c>
      <c r="I34">
        <v>483</v>
      </c>
      <c r="J34">
        <v>484</v>
      </c>
      <c r="K34">
        <v>448</v>
      </c>
      <c r="L34">
        <v>464</v>
      </c>
      <c r="M34">
        <v>92.6</v>
      </c>
      <c r="N34">
        <v>95.9</v>
      </c>
      <c r="O34">
        <v>914.8</v>
      </c>
    </row>
    <row r="35" spans="1:15">
      <c r="A35">
        <v>494</v>
      </c>
      <c r="B35" t="s">
        <v>5995</v>
      </c>
      <c r="C35" t="s">
        <v>233</v>
      </c>
      <c r="D35" t="s">
        <v>5996</v>
      </c>
      <c r="E35" t="s">
        <v>5997</v>
      </c>
      <c r="F35" t="s">
        <v>5998</v>
      </c>
      <c r="G35" t="s">
        <v>5904</v>
      </c>
      <c r="H35">
        <v>554</v>
      </c>
      <c r="I35">
        <v>534</v>
      </c>
      <c r="J35">
        <v>510</v>
      </c>
      <c r="K35">
        <v>498</v>
      </c>
      <c r="L35">
        <v>503</v>
      </c>
      <c r="M35">
        <v>89.9</v>
      </c>
      <c r="N35">
        <v>90.8</v>
      </c>
      <c r="O35">
        <v>1027.3</v>
      </c>
    </row>
    <row r="36" spans="1:15">
      <c r="A36">
        <v>493</v>
      </c>
      <c r="B36" t="s">
        <v>239</v>
      </c>
      <c r="C36" t="s">
        <v>240</v>
      </c>
      <c r="D36" t="s">
        <v>5999</v>
      </c>
      <c r="E36" t="s">
        <v>6000</v>
      </c>
      <c r="F36" t="s">
        <v>6001</v>
      </c>
      <c r="G36" t="s">
        <v>5904</v>
      </c>
      <c r="H36">
        <v>612</v>
      </c>
      <c r="I36">
        <v>652</v>
      </c>
      <c r="J36">
        <v>644</v>
      </c>
      <c r="K36">
        <v>360</v>
      </c>
      <c r="L36">
        <v>412</v>
      </c>
      <c r="M36">
        <v>58.8</v>
      </c>
      <c r="N36">
        <v>67.3</v>
      </c>
      <c r="O36">
        <v>602.1</v>
      </c>
    </row>
    <row r="37" spans="1:15">
      <c r="A37">
        <v>492</v>
      </c>
      <c r="B37" t="s">
        <v>241</v>
      </c>
      <c r="C37" t="s">
        <v>242</v>
      </c>
      <c r="D37" t="s">
        <v>6002</v>
      </c>
      <c r="E37" t="s">
        <v>6003</v>
      </c>
      <c r="F37" t="s">
        <v>6004</v>
      </c>
      <c r="G37" t="s">
        <v>5904</v>
      </c>
      <c r="H37">
        <v>309</v>
      </c>
      <c r="I37">
        <v>309</v>
      </c>
      <c r="J37">
        <v>309</v>
      </c>
      <c r="K37">
        <v>274</v>
      </c>
      <c r="L37">
        <v>292</v>
      </c>
      <c r="M37">
        <v>88.7</v>
      </c>
      <c r="N37">
        <v>94.5</v>
      </c>
      <c r="O37">
        <v>582</v>
      </c>
    </row>
    <row r="38" spans="1:15">
      <c r="A38">
        <v>491</v>
      </c>
      <c r="B38" t="s">
        <v>243</v>
      </c>
      <c r="C38" t="s">
        <v>6005</v>
      </c>
      <c r="D38" t="s">
        <v>6006</v>
      </c>
      <c r="E38" t="s">
        <v>6007</v>
      </c>
      <c r="F38" t="s">
        <v>6008</v>
      </c>
      <c r="G38" t="s">
        <v>5904</v>
      </c>
      <c r="H38">
        <v>744</v>
      </c>
      <c r="I38">
        <v>745</v>
      </c>
      <c r="J38">
        <v>745</v>
      </c>
      <c r="K38">
        <v>733</v>
      </c>
      <c r="L38">
        <v>739</v>
      </c>
      <c r="M38">
        <v>98.5</v>
      </c>
      <c r="N38">
        <v>99.3</v>
      </c>
      <c r="O38">
        <v>1515</v>
      </c>
    </row>
    <row r="39" spans="1:15">
      <c r="A39">
        <v>490</v>
      </c>
      <c r="B39" t="s">
        <v>246</v>
      </c>
      <c r="C39" t="s">
        <v>248</v>
      </c>
      <c r="D39" t="s">
        <v>6009</v>
      </c>
      <c r="E39" t="s">
        <v>6010</v>
      </c>
      <c r="F39" t="s">
        <v>6011</v>
      </c>
      <c r="G39" t="s">
        <v>5904</v>
      </c>
      <c r="H39">
        <v>270</v>
      </c>
      <c r="I39">
        <v>270</v>
      </c>
      <c r="J39">
        <v>270</v>
      </c>
      <c r="K39">
        <v>269</v>
      </c>
      <c r="L39">
        <v>270</v>
      </c>
      <c r="M39">
        <v>99.6</v>
      </c>
      <c r="N39">
        <v>100</v>
      </c>
      <c r="O39">
        <v>563.9</v>
      </c>
    </row>
    <row r="40" spans="1:15">
      <c r="A40">
        <v>489</v>
      </c>
      <c r="B40" t="s">
        <v>6012</v>
      </c>
      <c r="C40" t="s">
        <v>251</v>
      </c>
      <c r="D40" t="s">
        <v>6013</v>
      </c>
      <c r="E40" t="s">
        <v>6014</v>
      </c>
      <c r="F40" t="s">
        <v>6015</v>
      </c>
      <c r="G40" t="s">
        <v>5904</v>
      </c>
      <c r="H40">
        <v>406</v>
      </c>
      <c r="I40">
        <v>406</v>
      </c>
      <c r="J40">
        <v>406</v>
      </c>
      <c r="K40">
        <v>406</v>
      </c>
      <c r="L40">
        <v>406</v>
      </c>
      <c r="M40">
        <v>100</v>
      </c>
      <c r="N40">
        <v>100</v>
      </c>
      <c r="O40">
        <v>827</v>
      </c>
    </row>
    <row r="41" spans="1:15">
      <c r="A41">
        <v>488</v>
      </c>
      <c r="B41" t="s">
        <v>252</v>
      </c>
      <c r="C41" t="s">
        <v>254</v>
      </c>
      <c r="D41" t="s">
        <v>6016</v>
      </c>
      <c r="E41" t="s">
        <v>6017</v>
      </c>
      <c r="F41" t="s">
        <v>6018</v>
      </c>
      <c r="G41" t="s">
        <v>5904</v>
      </c>
      <c r="H41">
        <v>192</v>
      </c>
      <c r="I41">
        <v>192</v>
      </c>
      <c r="J41">
        <v>192</v>
      </c>
      <c r="K41">
        <v>192</v>
      </c>
      <c r="L41">
        <v>192</v>
      </c>
      <c r="M41">
        <v>100</v>
      </c>
      <c r="N41">
        <v>100</v>
      </c>
      <c r="O41">
        <v>398.3</v>
      </c>
    </row>
    <row r="42" spans="1:15">
      <c r="A42">
        <v>487</v>
      </c>
      <c r="B42" t="s">
        <v>255</v>
      </c>
      <c r="C42" t="s">
        <v>256</v>
      </c>
      <c r="D42" t="s">
        <v>6019</v>
      </c>
      <c r="E42" t="s">
        <v>6020</v>
      </c>
      <c r="F42" t="s">
        <v>6021</v>
      </c>
      <c r="G42" t="s">
        <v>5904</v>
      </c>
      <c r="H42">
        <v>256</v>
      </c>
      <c r="I42">
        <v>257</v>
      </c>
      <c r="J42">
        <v>257</v>
      </c>
      <c r="K42">
        <v>248</v>
      </c>
      <c r="L42">
        <v>252</v>
      </c>
      <c r="M42">
        <v>96.9</v>
      </c>
      <c r="N42">
        <v>98.4</v>
      </c>
      <c r="O42">
        <v>484.6</v>
      </c>
    </row>
    <row r="43" spans="1:15">
      <c r="A43">
        <v>486</v>
      </c>
      <c r="B43" t="s">
        <v>257</v>
      </c>
      <c r="C43" t="s">
        <v>258</v>
      </c>
      <c r="D43" t="s">
        <v>6022</v>
      </c>
      <c r="E43" t="s">
        <v>6023</v>
      </c>
      <c r="F43" t="s">
        <v>6024</v>
      </c>
      <c r="G43" t="s">
        <v>5904</v>
      </c>
      <c r="H43">
        <v>272</v>
      </c>
      <c r="I43">
        <v>272</v>
      </c>
      <c r="J43">
        <v>272</v>
      </c>
      <c r="K43">
        <v>270</v>
      </c>
      <c r="L43">
        <v>271</v>
      </c>
      <c r="M43">
        <v>99.3</v>
      </c>
      <c r="N43">
        <v>99.6</v>
      </c>
      <c r="O43">
        <v>544.70000000000005</v>
      </c>
    </row>
    <row r="44" spans="1:15">
      <c r="A44">
        <v>485</v>
      </c>
      <c r="B44" t="s">
        <v>6025</v>
      </c>
      <c r="C44" t="s">
        <v>261</v>
      </c>
      <c r="D44" t="s">
        <v>6026</v>
      </c>
      <c r="E44" t="s">
        <v>6027</v>
      </c>
      <c r="F44" t="s">
        <v>6028</v>
      </c>
      <c r="G44" t="s">
        <v>5904</v>
      </c>
      <c r="H44">
        <v>261</v>
      </c>
      <c r="I44">
        <v>261</v>
      </c>
      <c r="J44">
        <v>261</v>
      </c>
      <c r="K44">
        <v>252</v>
      </c>
      <c r="L44">
        <v>259</v>
      </c>
      <c r="M44">
        <v>96.6</v>
      </c>
      <c r="N44">
        <v>99.2</v>
      </c>
      <c r="O44">
        <v>506.1</v>
      </c>
    </row>
    <row r="45" spans="1:15">
      <c r="A45">
        <v>484</v>
      </c>
      <c r="B45" t="s">
        <v>266</v>
      </c>
      <c r="C45" t="s">
        <v>267</v>
      </c>
      <c r="D45" t="s">
        <v>6029</v>
      </c>
      <c r="E45" t="s">
        <v>6030</v>
      </c>
      <c r="F45" t="s">
        <v>6031</v>
      </c>
      <c r="G45" t="s">
        <v>5904</v>
      </c>
      <c r="H45">
        <v>136</v>
      </c>
      <c r="I45">
        <v>136</v>
      </c>
      <c r="J45">
        <v>136</v>
      </c>
      <c r="K45">
        <v>136</v>
      </c>
      <c r="L45">
        <v>136</v>
      </c>
      <c r="M45">
        <v>100</v>
      </c>
      <c r="N45">
        <v>100</v>
      </c>
      <c r="O45">
        <v>273.5</v>
      </c>
    </row>
    <row r="46" spans="1:15">
      <c r="A46">
        <v>483</v>
      </c>
      <c r="B46" t="s">
        <v>6032</v>
      </c>
      <c r="C46" t="s">
        <v>270</v>
      </c>
      <c r="D46" t="s">
        <v>6033</v>
      </c>
      <c r="E46" t="s">
        <v>6034</v>
      </c>
      <c r="F46" t="s">
        <v>6035</v>
      </c>
      <c r="G46" t="s">
        <v>5904</v>
      </c>
      <c r="H46">
        <v>355</v>
      </c>
      <c r="I46">
        <v>355</v>
      </c>
      <c r="J46">
        <v>355</v>
      </c>
      <c r="K46">
        <v>270</v>
      </c>
      <c r="L46">
        <v>300</v>
      </c>
      <c r="M46">
        <v>76.099999999999994</v>
      </c>
      <c r="N46">
        <v>84.5</v>
      </c>
      <c r="O46">
        <v>565.5</v>
      </c>
    </row>
    <row r="47" spans="1:15">
      <c r="A47">
        <v>482</v>
      </c>
      <c r="B47" t="s">
        <v>6036</v>
      </c>
      <c r="C47" t="s">
        <v>273</v>
      </c>
      <c r="D47" t="s">
        <v>6037</v>
      </c>
      <c r="E47" t="s">
        <v>6038</v>
      </c>
      <c r="F47" t="s">
        <v>6039</v>
      </c>
      <c r="G47" t="s">
        <v>5904</v>
      </c>
      <c r="H47">
        <v>534</v>
      </c>
      <c r="I47">
        <v>534</v>
      </c>
      <c r="J47">
        <v>534</v>
      </c>
      <c r="K47">
        <v>464</v>
      </c>
      <c r="L47">
        <v>501</v>
      </c>
      <c r="M47">
        <v>86.9</v>
      </c>
      <c r="N47">
        <v>93.8</v>
      </c>
      <c r="O47">
        <v>897.9</v>
      </c>
    </row>
    <row r="48" spans="1:15">
      <c r="A48">
        <v>481</v>
      </c>
      <c r="B48" t="s">
        <v>274</v>
      </c>
      <c r="C48" t="s">
        <v>275</v>
      </c>
      <c r="D48" t="s">
        <v>6040</v>
      </c>
      <c r="E48" t="s">
        <v>6041</v>
      </c>
      <c r="F48" t="s">
        <v>6042</v>
      </c>
      <c r="G48" t="s">
        <v>5904</v>
      </c>
      <c r="H48">
        <v>204</v>
      </c>
      <c r="I48">
        <v>204</v>
      </c>
      <c r="J48">
        <v>204</v>
      </c>
      <c r="K48">
        <v>197</v>
      </c>
      <c r="L48">
        <v>201</v>
      </c>
      <c r="M48">
        <v>96.6</v>
      </c>
      <c r="N48">
        <v>98.5</v>
      </c>
      <c r="O48">
        <v>409.5</v>
      </c>
    </row>
    <row r="49" spans="1:15">
      <c r="A49">
        <v>480</v>
      </c>
      <c r="B49" t="s">
        <v>276</v>
      </c>
      <c r="C49" t="s">
        <v>6043</v>
      </c>
      <c r="D49" t="s">
        <v>6044</v>
      </c>
      <c r="E49" t="s">
        <v>6045</v>
      </c>
      <c r="F49" t="s">
        <v>6046</v>
      </c>
      <c r="G49" t="s">
        <v>5904</v>
      </c>
      <c r="H49">
        <v>70</v>
      </c>
      <c r="I49">
        <v>70</v>
      </c>
      <c r="J49">
        <v>70</v>
      </c>
      <c r="K49">
        <v>70</v>
      </c>
      <c r="L49">
        <v>70</v>
      </c>
      <c r="M49">
        <v>100</v>
      </c>
      <c r="N49">
        <v>100</v>
      </c>
      <c r="O49">
        <v>137.5</v>
      </c>
    </row>
    <row r="50" spans="1:15">
      <c r="A50">
        <v>479</v>
      </c>
      <c r="B50" t="s">
        <v>278</v>
      </c>
      <c r="C50" t="s">
        <v>279</v>
      </c>
      <c r="D50" t="s">
        <v>6047</v>
      </c>
      <c r="E50" t="s">
        <v>6048</v>
      </c>
      <c r="F50" t="s">
        <v>6049</v>
      </c>
      <c r="G50" t="s">
        <v>5904</v>
      </c>
      <c r="H50">
        <v>95</v>
      </c>
      <c r="I50">
        <v>95</v>
      </c>
      <c r="J50">
        <v>95</v>
      </c>
      <c r="K50">
        <v>73</v>
      </c>
      <c r="L50">
        <v>78</v>
      </c>
      <c r="M50">
        <v>76.8</v>
      </c>
      <c r="N50">
        <v>82.1</v>
      </c>
      <c r="O50">
        <v>131</v>
      </c>
    </row>
    <row r="51" spans="1:15">
      <c r="A51">
        <v>478</v>
      </c>
      <c r="B51" t="s">
        <v>6050</v>
      </c>
      <c r="C51" t="s">
        <v>282</v>
      </c>
      <c r="D51" t="s">
        <v>6051</v>
      </c>
      <c r="E51" t="s">
        <v>6052</v>
      </c>
      <c r="F51" t="s">
        <v>6053</v>
      </c>
      <c r="G51" t="s">
        <v>6054</v>
      </c>
      <c r="H51">
        <v>480</v>
      </c>
      <c r="I51">
        <v>248</v>
      </c>
      <c r="J51">
        <v>112</v>
      </c>
      <c r="K51">
        <v>63</v>
      </c>
      <c r="L51">
        <v>75</v>
      </c>
      <c r="M51">
        <v>13.1</v>
      </c>
      <c r="N51">
        <v>15.6</v>
      </c>
      <c r="O51">
        <v>124</v>
      </c>
    </row>
    <row r="52" spans="1:15">
      <c r="A52">
        <v>477</v>
      </c>
      <c r="B52" t="s">
        <v>6055</v>
      </c>
      <c r="C52" t="s">
        <v>5666</v>
      </c>
      <c r="D52" t="s">
        <v>6056</v>
      </c>
      <c r="E52" t="s">
        <v>6057</v>
      </c>
      <c r="F52" t="s">
        <v>6058</v>
      </c>
      <c r="G52" t="s">
        <v>5904</v>
      </c>
      <c r="H52">
        <v>216</v>
      </c>
      <c r="I52">
        <v>216</v>
      </c>
      <c r="J52">
        <v>216</v>
      </c>
      <c r="K52">
        <v>214</v>
      </c>
      <c r="L52">
        <v>214</v>
      </c>
      <c r="M52">
        <v>99.1</v>
      </c>
      <c r="N52">
        <v>99.1</v>
      </c>
      <c r="O52">
        <v>446.8</v>
      </c>
    </row>
    <row r="53" spans="1:15">
      <c r="A53">
        <v>476</v>
      </c>
      <c r="B53" t="s">
        <v>6059</v>
      </c>
      <c r="C53" t="s">
        <v>5662</v>
      </c>
      <c r="D53" t="s">
        <v>6060</v>
      </c>
      <c r="E53" t="s">
        <v>6061</v>
      </c>
      <c r="F53" t="s">
        <v>6062</v>
      </c>
      <c r="G53" t="s">
        <v>5904</v>
      </c>
      <c r="H53">
        <v>406</v>
      </c>
      <c r="I53">
        <v>406</v>
      </c>
      <c r="J53">
        <v>406</v>
      </c>
      <c r="K53">
        <v>406</v>
      </c>
      <c r="L53">
        <v>406</v>
      </c>
      <c r="M53">
        <v>100</v>
      </c>
      <c r="N53">
        <v>100</v>
      </c>
      <c r="O53">
        <v>841.3</v>
      </c>
    </row>
    <row r="54" spans="1:15">
      <c r="A54">
        <v>475</v>
      </c>
      <c r="B54" t="s">
        <v>6063</v>
      </c>
      <c r="C54" t="s">
        <v>285</v>
      </c>
      <c r="D54" t="s">
        <v>6064</v>
      </c>
      <c r="E54" t="s">
        <v>6065</v>
      </c>
      <c r="F54" t="s">
        <v>6066</v>
      </c>
      <c r="G54" t="s">
        <v>5904</v>
      </c>
      <c r="H54">
        <v>588</v>
      </c>
      <c r="I54">
        <v>491</v>
      </c>
      <c r="J54">
        <v>491</v>
      </c>
      <c r="K54">
        <v>396</v>
      </c>
      <c r="L54">
        <v>428</v>
      </c>
      <c r="M54">
        <v>67.3</v>
      </c>
      <c r="N54">
        <v>72.8</v>
      </c>
      <c r="O54">
        <v>791.2</v>
      </c>
    </row>
    <row r="55" spans="1:15">
      <c r="A55">
        <v>474</v>
      </c>
      <c r="B55" t="s">
        <v>286</v>
      </c>
      <c r="C55" t="s">
        <v>287</v>
      </c>
      <c r="D55" t="s">
        <v>6067</v>
      </c>
      <c r="E55" t="s">
        <v>6068</v>
      </c>
      <c r="F55" t="s">
        <v>6069</v>
      </c>
      <c r="G55" t="s">
        <v>5904</v>
      </c>
      <c r="H55">
        <v>272</v>
      </c>
      <c r="I55">
        <v>282</v>
      </c>
      <c r="J55">
        <v>282</v>
      </c>
      <c r="K55">
        <v>247</v>
      </c>
      <c r="L55">
        <v>257</v>
      </c>
      <c r="M55">
        <v>90.8</v>
      </c>
      <c r="N55">
        <v>94.5</v>
      </c>
      <c r="O55">
        <v>464.5</v>
      </c>
    </row>
    <row r="56" spans="1:15">
      <c r="A56">
        <v>473</v>
      </c>
      <c r="B56" t="s">
        <v>6070</v>
      </c>
      <c r="C56" t="s">
        <v>290</v>
      </c>
      <c r="D56" t="s">
        <v>6071</v>
      </c>
      <c r="E56" t="s">
        <v>6072</v>
      </c>
      <c r="F56" t="s">
        <v>6073</v>
      </c>
      <c r="G56" t="s">
        <v>5904</v>
      </c>
      <c r="H56">
        <v>587</v>
      </c>
      <c r="I56">
        <v>593</v>
      </c>
      <c r="J56">
        <v>593</v>
      </c>
      <c r="K56">
        <v>472</v>
      </c>
      <c r="L56">
        <v>519</v>
      </c>
      <c r="M56">
        <v>80.400000000000006</v>
      </c>
      <c r="N56">
        <v>88.4</v>
      </c>
      <c r="O56">
        <v>954.1</v>
      </c>
    </row>
    <row r="57" spans="1:15">
      <c r="A57">
        <v>472</v>
      </c>
      <c r="B57" t="s">
        <v>291</v>
      </c>
      <c r="C57" t="s">
        <v>6074</v>
      </c>
      <c r="D57" t="s">
        <v>6075</v>
      </c>
      <c r="E57" t="s">
        <v>6076</v>
      </c>
      <c r="F57" t="s">
        <v>6077</v>
      </c>
      <c r="G57" t="s">
        <v>5904</v>
      </c>
      <c r="H57">
        <v>302</v>
      </c>
      <c r="I57">
        <v>311</v>
      </c>
      <c r="J57">
        <v>309</v>
      </c>
      <c r="K57">
        <v>204</v>
      </c>
      <c r="L57">
        <v>234</v>
      </c>
      <c r="M57">
        <v>67.5</v>
      </c>
      <c r="N57">
        <v>77.5</v>
      </c>
      <c r="O57">
        <v>418.3</v>
      </c>
    </row>
    <row r="58" spans="1:15">
      <c r="A58">
        <v>471</v>
      </c>
      <c r="B58" t="s">
        <v>293</v>
      </c>
      <c r="C58" t="s">
        <v>6078</v>
      </c>
      <c r="D58" t="s">
        <v>6079</v>
      </c>
      <c r="E58" t="s">
        <v>6080</v>
      </c>
      <c r="F58" t="s">
        <v>6081</v>
      </c>
      <c r="G58" t="s">
        <v>5904</v>
      </c>
      <c r="H58">
        <v>663</v>
      </c>
      <c r="I58">
        <v>662</v>
      </c>
      <c r="J58">
        <v>663</v>
      </c>
      <c r="K58">
        <v>557</v>
      </c>
      <c r="L58">
        <v>618</v>
      </c>
      <c r="M58">
        <v>84</v>
      </c>
      <c r="N58">
        <v>93.2</v>
      </c>
      <c r="O58">
        <v>1164.0999999999999</v>
      </c>
    </row>
    <row r="59" spans="1:15">
      <c r="A59">
        <v>2125</v>
      </c>
      <c r="B59" t="s">
        <v>6082</v>
      </c>
      <c r="C59" t="s">
        <v>297</v>
      </c>
      <c r="D59" t="s">
        <v>6083</v>
      </c>
      <c r="E59" t="s">
        <v>6084</v>
      </c>
      <c r="F59" t="s">
        <v>6085</v>
      </c>
      <c r="G59" t="s">
        <v>5904</v>
      </c>
      <c r="H59">
        <v>1024</v>
      </c>
      <c r="I59">
        <v>617</v>
      </c>
      <c r="J59">
        <v>620</v>
      </c>
      <c r="K59">
        <v>446</v>
      </c>
      <c r="L59">
        <v>511</v>
      </c>
      <c r="M59">
        <v>43.6</v>
      </c>
      <c r="N59">
        <v>49.9</v>
      </c>
      <c r="O59">
        <v>818.1</v>
      </c>
    </row>
    <row r="60" spans="1:15">
      <c r="A60">
        <v>470</v>
      </c>
      <c r="B60" t="s">
        <v>6086</v>
      </c>
      <c r="C60" t="s">
        <v>300</v>
      </c>
      <c r="D60" t="s">
        <v>6087</v>
      </c>
      <c r="E60" t="s">
        <v>6088</v>
      </c>
      <c r="F60" t="s">
        <v>6089</v>
      </c>
      <c r="G60" t="s">
        <v>5904</v>
      </c>
      <c r="H60">
        <v>453</v>
      </c>
      <c r="I60">
        <v>461</v>
      </c>
      <c r="J60">
        <v>464</v>
      </c>
      <c r="K60">
        <v>382</v>
      </c>
      <c r="L60">
        <v>410</v>
      </c>
      <c r="M60">
        <v>84.3</v>
      </c>
      <c r="N60">
        <v>90.5</v>
      </c>
      <c r="O60">
        <v>690.3</v>
      </c>
    </row>
    <row r="61" spans="1:15">
      <c r="A61">
        <v>469</v>
      </c>
      <c r="B61" t="s">
        <v>301</v>
      </c>
      <c r="C61" t="s">
        <v>302</v>
      </c>
      <c r="D61" t="s">
        <v>6090</v>
      </c>
      <c r="E61" t="s">
        <v>6091</v>
      </c>
      <c r="F61" t="s">
        <v>6092</v>
      </c>
      <c r="G61" t="s">
        <v>5904</v>
      </c>
      <c r="H61">
        <v>449</v>
      </c>
      <c r="I61">
        <v>457</v>
      </c>
      <c r="J61">
        <v>462</v>
      </c>
      <c r="K61">
        <v>360</v>
      </c>
      <c r="L61">
        <v>388</v>
      </c>
      <c r="M61">
        <v>80.2</v>
      </c>
      <c r="N61">
        <v>86.4</v>
      </c>
      <c r="O61">
        <v>599</v>
      </c>
    </row>
    <row r="62" spans="1:15">
      <c r="A62">
        <v>468</v>
      </c>
      <c r="B62" t="s">
        <v>303</v>
      </c>
      <c r="C62" t="s">
        <v>305</v>
      </c>
      <c r="D62" t="s">
        <v>6093</v>
      </c>
      <c r="E62" t="s">
        <v>6094</v>
      </c>
      <c r="F62" t="s">
        <v>6095</v>
      </c>
      <c r="G62" t="s">
        <v>5904</v>
      </c>
      <c r="H62">
        <v>637</v>
      </c>
      <c r="I62">
        <v>639</v>
      </c>
      <c r="J62">
        <v>639</v>
      </c>
      <c r="K62">
        <v>634</v>
      </c>
      <c r="L62">
        <v>635</v>
      </c>
      <c r="M62">
        <v>99.5</v>
      </c>
      <c r="N62">
        <v>99.7</v>
      </c>
      <c r="O62">
        <v>1295.8</v>
      </c>
    </row>
    <row r="63" spans="1:15">
      <c r="A63">
        <v>2124</v>
      </c>
      <c r="B63" t="s">
        <v>306</v>
      </c>
      <c r="C63" t="s">
        <v>307</v>
      </c>
      <c r="D63" t="s">
        <v>6096</v>
      </c>
      <c r="E63" t="s">
        <v>6097</v>
      </c>
      <c r="F63" t="s">
        <v>6098</v>
      </c>
      <c r="G63" t="s">
        <v>5904</v>
      </c>
      <c r="H63">
        <v>563</v>
      </c>
      <c r="I63">
        <v>563</v>
      </c>
      <c r="J63">
        <v>563</v>
      </c>
      <c r="K63">
        <v>525</v>
      </c>
      <c r="L63">
        <v>547</v>
      </c>
      <c r="M63">
        <v>93.3</v>
      </c>
      <c r="N63">
        <v>97.2</v>
      </c>
      <c r="O63">
        <v>1103.2</v>
      </c>
    </row>
    <row r="64" spans="1:15">
      <c r="A64">
        <v>2123</v>
      </c>
      <c r="B64" t="s">
        <v>308</v>
      </c>
      <c r="C64" t="s">
        <v>309</v>
      </c>
      <c r="D64" t="s">
        <v>6099</v>
      </c>
      <c r="E64" t="s">
        <v>6100</v>
      </c>
      <c r="F64" t="s">
        <v>6101</v>
      </c>
      <c r="G64" t="s">
        <v>5904</v>
      </c>
      <c r="H64">
        <v>175</v>
      </c>
      <c r="I64">
        <v>181</v>
      </c>
      <c r="J64">
        <v>180</v>
      </c>
      <c r="K64">
        <v>170</v>
      </c>
      <c r="L64">
        <v>171</v>
      </c>
      <c r="M64">
        <v>97.1</v>
      </c>
      <c r="N64">
        <v>97.7</v>
      </c>
      <c r="O64">
        <v>337.8</v>
      </c>
    </row>
    <row r="65" spans="1:15">
      <c r="A65">
        <v>467</v>
      </c>
      <c r="B65" t="s">
        <v>310</v>
      </c>
      <c r="C65" t="s">
        <v>311</v>
      </c>
      <c r="D65" t="s">
        <v>6102</v>
      </c>
      <c r="E65" t="s">
        <v>6103</v>
      </c>
      <c r="F65" t="s">
        <v>6104</v>
      </c>
      <c r="G65" t="s">
        <v>5904</v>
      </c>
      <c r="H65">
        <v>2244</v>
      </c>
      <c r="I65">
        <v>2530</v>
      </c>
      <c r="J65">
        <v>2568</v>
      </c>
      <c r="K65">
        <v>1737</v>
      </c>
      <c r="L65">
        <v>1882</v>
      </c>
      <c r="M65">
        <v>77.400000000000006</v>
      </c>
      <c r="N65">
        <v>83.9</v>
      </c>
      <c r="O65">
        <v>2973</v>
      </c>
    </row>
    <row r="66" spans="1:15">
      <c r="A66">
        <v>2122</v>
      </c>
      <c r="B66" t="s">
        <v>6105</v>
      </c>
      <c r="C66" t="s">
        <v>314</v>
      </c>
      <c r="D66" t="s">
        <v>6106</v>
      </c>
      <c r="E66" t="s">
        <v>6107</v>
      </c>
      <c r="F66" t="s">
        <v>6108</v>
      </c>
      <c r="G66" t="s">
        <v>5904</v>
      </c>
      <c r="H66">
        <v>472</v>
      </c>
      <c r="I66">
        <v>472</v>
      </c>
      <c r="J66">
        <v>472</v>
      </c>
      <c r="K66">
        <v>439</v>
      </c>
      <c r="L66">
        <v>459</v>
      </c>
      <c r="M66">
        <v>93</v>
      </c>
      <c r="N66">
        <v>97.2</v>
      </c>
      <c r="O66">
        <v>918.7</v>
      </c>
    </row>
    <row r="67" spans="1:15">
      <c r="A67">
        <v>466</v>
      </c>
      <c r="B67" t="s">
        <v>315</v>
      </c>
      <c r="C67" t="s">
        <v>316</v>
      </c>
      <c r="D67" t="s">
        <v>6109</v>
      </c>
      <c r="E67" t="s">
        <v>6110</v>
      </c>
      <c r="F67" t="s">
        <v>6111</v>
      </c>
      <c r="G67" t="s">
        <v>5904</v>
      </c>
      <c r="H67">
        <v>1265</v>
      </c>
      <c r="I67">
        <v>1565</v>
      </c>
      <c r="J67">
        <v>1215</v>
      </c>
      <c r="K67">
        <v>874</v>
      </c>
      <c r="L67">
        <v>998</v>
      </c>
      <c r="M67">
        <v>69.099999999999994</v>
      </c>
      <c r="N67">
        <v>78.900000000000006</v>
      </c>
      <c r="O67">
        <v>1619.4</v>
      </c>
    </row>
    <row r="68" spans="1:15">
      <c r="A68">
        <v>465</v>
      </c>
      <c r="B68" t="s">
        <v>317</v>
      </c>
      <c r="C68" t="s">
        <v>318</v>
      </c>
      <c r="D68" t="s">
        <v>6112</v>
      </c>
      <c r="E68" t="s">
        <v>6113</v>
      </c>
      <c r="F68" t="s">
        <v>6114</v>
      </c>
      <c r="G68" t="s">
        <v>5904</v>
      </c>
      <c r="H68">
        <v>1248</v>
      </c>
      <c r="I68">
        <v>1250</v>
      </c>
      <c r="J68">
        <v>1250</v>
      </c>
      <c r="K68">
        <v>1130</v>
      </c>
      <c r="L68">
        <v>1167</v>
      </c>
      <c r="M68">
        <v>90.5</v>
      </c>
      <c r="N68">
        <v>93.5</v>
      </c>
      <c r="O68">
        <v>2241.8000000000002</v>
      </c>
    </row>
    <row r="69" spans="1:15">
      <c r="A69">
        <v>2121</v>
      </c>
      <c r="B69" t="s">
        <v>319</v>
      </c>
      <c r="C69" t="s">
        <v>320</v>
      </c>
      <c r="D69" t="s">
        <v>6115</v>
      </c>
      <c r="E69" t="s">
        <v>6116</v>
      </c>
      <c r="F69" t="s">
        <v>6117</v>
      </c>
      <c r="G69" t="s">
        <v>5904</v>
      </c>
      <c r="H69">
        <v>264</v>
      </c>
      <c r="I69">
        <v>264</v>
      </c>
      <c r="J69">
        <v>264</v>
      </c>
      <c r="K69">
        <v>247</v>
      </c>
      <c r="L69">
        <v>253</v>
      </c>
      <c r="M69">
        <v>93.6</v>
      </c>
      <c r="N69">
        <v>95.8</v>
      </c>
      <c r="O69">
        <v>505.8</v>
      </c>
    </row>
    <row r="70" spans="1:15">
      <c r="A70">
        <v>464</v>
      </c>
      <c r="B70" t="s">
        <v>321</v>
      </c>
      <c r="C70" t="s">
        <v>6118</v>
      </c>
      <c r="D70" t="s">
        <v>6119</v>
      </c>
      <c r="E70" t="s">
        <v>6120</v>
      </c>
      <c r="F70" t="s">
        <v>6121</v>
      </c>
      <c r="G70" t="s">
        <v>5904</v>
      </c>
      <c r="H70">
        <v>77</v>
      </c>
      <c r="I70">
        <v>77</v>
      </c>
      <c r="J70">
        <v>77</v>
      </c>
      <c r="K70">
        <v>75</v>
      </c>
      <c r="L70">
        <v>77</v>
      </c>
      <c r="M70">
        <v>97.4</v>
      </c>
      <c r="N70">
        <v>100</v>
      </c>
      <c r="O70">
        <v>157.1</v>
      </c>
    </row>
    <row r="71" spans="1:15">
      <c r="A71">
        <v>463</v>
      </c>
      <c r="B71" t="s">
        <v>6122</v>
      </c>
      <c r="C71" t="s">
        <v>6123</v>
      </c>
      <c r="D71" t="s">
        <v>6124</v>
      </c>
      <c r="E71" t="s">
        <v>6125</v>
      </c>
      <c r="F71" t="s">
        <v>6126</v>
      </c>
      <c r="G71" t="s">
        <v>5904</v>
      </c>
      <c r="H71">
        <v>2326</v>
      </c>
      <c r="I71">
        <v>2137</v>
      </c>
      <c r="J71">
        <v>2134</v>
      </c>
      <c r="K71">
        <v>1936</v>
      </c>
      <c r="L71">
        <v>2028</v>
      </c>
      <c r="M71">
        <v>83.2</v>
      </c>
      <c r="N71">
        <v>87.2</v>
      </c>
      <c r="O71">
        <v>3919.4</v>
      </c>
    </row>
    <row r="72" spans="1:15">
      <c r="A72">
        <v>2120</v>
      </c>
      <c r="B72" t="s">
        <v>328</v>
      </c>
      <c r="C72" t="s">
        <v>329</v>
      </c>
      <c r="D72" t="s">
        <v>6127</v>
      </c>
      <c r="E72" t="s">
        <v>6128</v>
      </c>
      <c r="F72" t="s">
        <v>6129</v>
      </c>
      <c r="G72" t="s">
        <v>5904</v>
      </c>
      <c r="H72">
        <v>333</v>
      </c>
      <c r="I72">
        <v>331</v>
      </c>
      <c r="J72">
        <v>333</v>
      </c>
      <c r="K72">
        <v>312</v>
      </c>
      <c r="L72">
        <v>323</v>
      </c>
      <c r="M72">
        <v>93.7</v>
      </c>
      <c r="N72">
        <v>97</v>
      </c>
      <c r="O72">
        <v>610.9</v>
      </c>
    </row>
    <row r="73" spans="1:15">
      <c r="A73">
        <v>462</v>
      </c>
      <c r="B73" t="s">
        <v>330</v>
      </c>
      <c r="C73" t="s">
        <v>332</v>
      </c>
      <c r="D73" t="s">
        <v>6130</v>
      </c>
      <c r="E73" t="s">
        <v>6131</v>
      </c>
      <c r="F73" t="s">
        <v>6132</v>
      </c>
      <c r="G73" t="s">
        <v>5904</v>
      </c>
      <c r="H73">
        <v>249</v>
      </c>
      <c r="I73">
        <v>249</v>
      </c>
      <c r="J73">
        <v>239</v>
      </c>
      <c r="K73">
        <v>225</v>
      </c>
      <c r="L73">
        <v>235</v>
      </c>
      <c r="M73">
        <v>90.4</v>
      </c>
      <c r="N73">
        <v>94.4</v>
      </c>
      <c r="O73">
        <v>299.3</v>
      </c>
    </row>
    <row r="74" spans="1:15">
      <c r="A74">
        <v>2119</v>
      </c>
      <c r="B74" t="s">
        <v>6133</v>
      </c>
      <c r="C74" t="s">
        <v>335</v>
      </c>
      <c r="D74" t="s">
        <v>6134</v>
      </c>
      <c r="E74" t="s">
        <v>6135</v>
      </c>
      <c r="F74" t="s">
        <v>6136</v>
      </c>
      <c r="G74" t="s">
        <v>5904</v>
      </c>
      <c r="H74">
        <v>940</v>
      </c>
      <c r="I74">
        <v>863</v>
      </c>
      <c r="J74">
        <v>940</v>
      </c>
      <c r="K74">
        <v>824</v>
      </c>
      <c r="L74">
        <v>848</v>
      </c>
      <c r="M74">
        <v>87.7</v>
      </c>
      <c r="N74">
        <v>90.2</v>
      </c>
      <c r="O74">
        <v>1706</v>
      </c>
    </row>
    <row r="75" spans="1:15">
      <c r="A75">
        <v>2118</v>
      </c>
      <c r="B75" t="s">
        <v>6137</v>
      </c>
      <c r="C75" t="s">
        <v>6138</v>
      </c>
      <c r="D75" t="s">
        <v>6139</v>
      </c>
      <c r="E75" t="s">
        <v>6140</v>
      </c>
      <c r="F75" t="s">
        <v>6141</v>
      </c>
      <c r="G75" t="s">
        <v>5904</v>
      </c>
      <c r="H75">
        <v>712</v>
      </c>
      <c r="I75">
        <v>706</v>
      </c>
      <c r="J75">
        <v>712</v>
      </c>
      <c r="K75">
        <v>643</v>
      </c>
      <c r="L75">
        <v>666</v>
      </c>
      <c r="M75">
        <v>90.3</v>
      </c>
      <c r="N75">
        <v>93.5</v>
      </c>
      <c r="O75">
        <v>1310.4000000000001</v>
      </c>
    </row>
    <row r="76" spans="1:15">
      <c r="A76">
        <v>461</v>
      </c>
      <c r="B76" t="s">
        <v>6142</v>
      </c>
      <c r="C76" t="s">
        <v>341</v>
      </c>
      <c r="D76" t="s">
        <v>6143</v>
      </c>
      <c r="E76" t="s">
        <v>6144</v>
      </c>
      <c r="F76" t="s">
        <v>6145</v>
      </c>
      <c r="G76" t="s">
        <v>5904</v>
      </c>
      <c r="H76">
        <v>498</v>
      </c>
      <c r="I76">
        <v>490</v>
      </c>
      <c r="J76">
        <v>499</v>
      </c>
      <c r="K76">
        <v>409</v>
      </c>
      <c r="L76">
        <v>429</v>
      </c>
      <c r="M76">
        <v>82.1</v>
      </c>
      <c r="N76">
        <v>86.1</v>
      </c>
      <c r="O76">
        <v>771.5</v>
      </c>
    </row>
    <row r="77" spans="1:15">
      <c r="A77">
        <v>2248</v>
      </c>
      <c r="B77" t="s">
        <v>342</v>
      </c>
      <c r="C77" t="s">
        <v>344</v>
      </c>
      <c r="D77" t="s">
        <v>6146</v>
      </c>
      <c r="E77" t="s">
        <v>6147</v>
      </c>
      <c r="F77" t="s">
        <v>6148</v>
      </c>
      <c r="G77" t="s">
        <v>5904</v>
      </c>
      <c r="H77">
        <v>700</v>
      </c>
      <c r="I77">
        <v>707</v>
      </c>
      <c r="J77">
        <v>707</v>
      </c>
      <c r="K77">
        <v>690</v>
      </c>
      <c r="L77">
        <v>691</v>
      </c>
      <c r="M77">
        <v>98.6</v>
      </c>
      <c r="N77">
        <v>98.7</v>
      </c>
      <c r="O77">
        <v>1322.4</v>
      </c>
    </row>
    <row r="78" spans="1:15">
      <c r="A78">
        <v>460</v>
      </c>
      <c r="B78" t="s">
        <v>6149</v>
      </c>
      <c r="C78" t="s">
        <v>347</v>
      </c>
      <c r="D78" t="s">
        <v>6150</v>
      </c>
      <c r="E78" t="s">
        <v>6151</v>
      </c>
      <c r="F78" t="s">
        <v>6152</v>
      </c>
      <c r="G78" t="s">
        <v>5904</v>
      </c>
      <c r="H78">
        <v>4646</v>
      </c>
      <c r="I78">
        <v>4646</v>
      </c>
      <c r="J78">
        <v>4646</v>
      </c>
      <c r="K78">
        <v>4606</v>
      </c>
      <c r="L78">
        <v>4628</v>
      </c>
      <c r="M78">
        <v>99.1</v>
      </c>
      <c r="N78">
        <v>99.6</v>
      </c>
      <c r="O78">
        <v>9572.2000000000007</v>
      </c>
    </row>
    <row r="79" spans="1:15">
      <c r="A79">
        <v>459</v>
      </c>
      <c r="B79" t="s">
        <v>6153</v>
      </c>
      <c r="C79" t="s">
        <v>350</v>
      </c>
      <c r="D79" t="s">
        <v>6154</v>
      </c>
      <c r="E79" t="s">
        <v>6155</v>
      </c>
      <c r="F79" t="s">
        <v>6156</v>
      </c>
      <c r="G79" t="s">
        <v>5904</v>
      </c>
      <c r="H79">
        <v>423</v>
      </c>
      <c r="I79">
        <v>406</v>
      </c>
      <c r="J79">
        <v>396</v>
      </c>
      <c r="K79">
        <v>293</v>
      </c>
      <c r="L79">
        <v>343</v>
      </c>
      <c r="M79">
        <v>69.3</v>
      </c>
      <c r="N79">
        <v>81.099999999999994</v>
      </c>
      <c r="O79">
        <v>609.79999999999995</v>
      </c>
    </row>
    <row r="80" spans="1:15">
      <c r="A80">
        <v>458</v>
      </c>
      <c r="B80" t="s">
        <v>351</v>
      </c>
      <c r="C80" t="s">
        <v>6157</v>
      </c>
      <c r="D80" t="s">
        <v>6158</v>
      </c>
      <c r="E80" t="s">
        <v>6159</v>
      </c>
      <c r="F80" t="s">
        <v>6160</v>
      </c>
      <c r="G80" t="s">
        <v>5904</v>
      </c>
      <c r="H80">
        <v>421</v>
      </c>
      <c r="I80">
        <v>423</v>
      </c>
      <c r="J80">
        <v>408</v>
      </c>
      <c r="K80">
        <v>270</v>
      </c>
      <c r="L80">
        <v>320</v>
      </c>
      <c r="M80">
        <v>64.099999999999994</v>
      </c>
      <c r="N80">
        <v>76</v>
      </c>
      <c r="O80">
        <v>552.4</v>
      </c>
    </row>
    <row r="81" spans="1:15">
      <c r="A81">
        <v>457</v>
      </c>
      <c r="B81" t="s">
        <v>6161</v>
      </c>
      <c r="C81" t="s">
        <v>355</v>
      </c>
      <c r="D81" t="s">
        <v>6162</v>
      </c>
      <c r="E81" t="s">
        <v>6163</v>
      </c>
      <c r="F81" t="s">
        <v>6164</v>
      </c>
      <c r="G81" t="s">
        <v>5904</v>
      </c>
      <c r="H81">
        <v>1368</v>
      </c>
      <c r="I81">
        <v>1357</v>
      </c>
      <c r="J81">
        <v>1357</v>
      </c>
      <c r="K81">
        <v>1270</v>
      </c>
      <c r="L81">
        <v>1320</v>
      </c>
      <c r="M81">
        <v>92.8</v>
      </c>
      <c r="N81">
        <v>96.5</v>
      </c>
      <c r="O81">
        <v>2377.1</v>
      </c>
    </row>
    <row r="82" spans="1:15">
      <c r="A82">
        <v>456</v>
      </c>
      <c r="B82" t="s">
        <v>356</v>
      </c>
      <c r="C82" t="s">
        <v>6165</v>
      </c>
      <c r="D82" t="s">
        <v>6166</v>
      </c>
      <c r="E82" t="s">
        <v>6167</v>
      </c>
      <c r="F82" t="s">
        <v>6168</v>
      </c>
      <c r="G82" t="s">
        <v>5904</v>
      </c>
      <c r="H82">
        <v>830</v>
      </c>
      <c r="I82">
        <v>837</v>
      </c>
      <c r="J82">
        <v>798</v>
      </c>
      <c r="K82">
        <v>691</v>
      </c>
      <c r="L82">
        <v>741</v>
      </c>
      <c r="M82">
        <v>83.3</v>
      </c>
      <c r="N82">
        <v>89.3</v>
      </c>
      <c r="O82">
        <v>1432.5</v>
      </c>
    </row>
    <row r="83" spans="1:15">
      <c r="A83">
        <v>455</v>
      </c>
      <c r="B83" t="s">
        <v>358</v>
      </c>
      <c r="C83" t="s">
        <v>6169</v>
      </c>
      <c r="D83" t="s">
        <v>6170</v>
      </c>
      <c r="E83" t="s">
        <v>6171</v>
      </c>
      <c r="F83" t="s">
        <v>6172</v>
      </c>
      <c r="G83" t="s">
        <v>5904</v>
      </c>
      <c r="H83">
        <v>149</v>
      </c>
      <c r="I83">
        <v>149</v>
      </c>
      <c r="J83">
        <v>149</v>
      </c>
      <c r="K83">
        <v>149</v>
      </c>
      <c r="L83">
        <v>149</v>
      </c>
      <c r="M83">
        <v>100</v>
      </c>
      <c r="N83">
        <v>100</v>
      </c>
      <c r="O83">
        <v>298.89999999999998</v>
      </c>
    </row>
    <row r="84" spans="1:15">
      <c r="A84">
        <v>454</v>
      </c>
      <c r="B84" t="s">
        <v>361</v>
      </c>
      <c r="C84" t="s">
        <v>362</v>
      </c>
      <c r="D84" t="s">
        <v>6173</v>
      </c>
      <c r="E84" t="s">
        <v>6174</v>
      </c>
      <c r="F84" t="s">
        <v>6175</v>
      </c>
      <c r="G84" t="s">
        <v>5904</v>
      </c>
      <c r="H84">
        <v>458</v>
      </c>
      <c r="I84">
        <v>453</v>
      </c>
      <c r="J84">
        <v>358</v>
      </c>
      <c r="K84">
        <v>283</v>
      </c>
      <c r="L84">
        <v>300</v>
      </c>
      <c r="M84">
        <v>61.8</v>
      </c>
      <c r="N84">
        <v>65.5</v>
      </c>
      <c r="O84">
        <v>561.20000000000005</v>
      </c>
    </row>
    <row r="85" spans="1:15">
      <c r="A85">
        <v>453</v>
      </c>
      <c r="B85" t="s">
        <v>363</v>
      </c>
      <c r="C85" t="s">
        <v>364</v>
      </c>
      <c r="D85" t="s">
        <v>6176</v>
      </c>
      <c r="E85" t="s">
        <v>6177</v>
      </c>
      <c r="F85" t="s">
        <v>6178</v>
      </c>
      <c r="G85" t="s">
        <v>5904</v>
      </c>
      <c r="H85">
        <v>190</v>
      </c>
      <c r="I85">
        <v>190</v>
      </c>
      <c r="J85">
        <v>190</v>
      </c>
      <c r="K85">
        <v>185</v>
      </c>
      <c r="L85">
        <v>188</v>
      </c>
      <c r="M85">
        <v>97.4</v>
      </c>
      <c r="N85">
        <v>98.9</v>
      </c>
      <c r="O85">
        <v>386.3</v>
      </c>
    </row>
    <row r="86" spans="1:15">
      <c r="A86">
        <v>452</v>
      </c>
      <c r="B86" t="s">
        <v>6179</v>
      </c>
      <c r="C86" t="s">
        <v>367</v>
      </c>
      <c r="D86" t="s">
        <v>6180</v>
      </c>
      <c r="E86" t="s">
        <v>6181</v>
      </c>
      <c r="F86" t="s">
        <v>6182</v>
      </c>
      <c r="G86" t="s">
        <v>5904</v>
      </c>
      <c r="H86">
        <v>1817</v>
      </c>
      <c r="I86">
        <v>1821</v>
      </c>
      <c r="J86">
        <v>1825</v>
      </c>
      <c r="K86">
        <v>1552</v>
      </c>
      <c r="L86">
        <v>1643</v>
      </c>
      <c r="M86">
        <v>85.4</v>
      </c>
      <c r="N86">
        <v>90.4</v>
      </c>
      <c r="O86">
        <v>3123.9</v>
      </c>
    </row>
    <row r="87" spans="1:15">
      <c r="A87">
        <v>451</v>
      </c>
      <c r="B87" t="s">
        <v>368</v>
      </c>
      <c r="C87" t="s">
        <v>6183</v>
      </c>
      <c r="D87" t="s">
        <v>6184</v>
      </c>
      <c r="E87" t="s">
        <v>6185</v>
      </c>
      <c r="F87" t="s">
        <v>6186</v>
      </c>
      <c r="G87" t="s">
        <v>5904</v>
      </c>
      <c r="H87">
        <v>317</v>
      </c>
      <c r="I87">
        <v>318</v>
      </c>
      <c r="J87">
        <v>318</v>
      </c>
      <c r="K87">
        <v>302</v>
      </c>
      <c r="L87">
        <v>308</v>
      </c>
      <c r="M87">
        <v>95.3</v>
      </c>
      <c r="N87">
        <v>97.2</v>
      </c>
      <c r="O87">
        <v>605.9</v>
      </c>
    </row>
    <row r="88" spans="1:15">
      <c r="A88">
        <v>450</v>
      </c>
      <c r="B88" t="s">
        <v>6187</v>
      </c>
      <c r="C88" t="s">
        <v>6188</v>
      </c>
      <c r="D88" t="s">
        <v>6189</v>
      </c>
      <c r="E88" t="s">
        <v>6190</v>
      </c>
      <c r="F88" t="s">
        <v>6191</v>
      </c>
      <c r="G88" t="s">
        <v>5904</v>
      </c>
      <c r="H88">
        <v>482</v>
      </c>
      <c r="I88">
        <v>471</v>
      </c>
      <c r="J88">
        <v>473</v>
      </c>
      <c r="K88">
        <v>448</v>
      </c>
      <c r="L88">
        <v>454</v>
      </c>
      <c r="M88">
        <v>92.9</v>
      </c>
      <c r="N88">
        <v>94.2</v>
      </c>
      <c r="O88">
        <v>927.9</v>
      </c>
    </row>
    <row r="89" spans="1:15">
      <c r="A89">
        <v>449</v>
      </c>
      <c r="B89" t="s">
        <v>373</v>
      </c>
      <c r="C89" t="s">
        <v>374</v>
      </c>
      <c r="D89" t="s">
        <v>6192</v>
      </c>
      <c r="E89" t="s">
        <v>6193</v>
      </c>
      <c r="F89" t="s">
        <v>6194</v>
      </c>
      <c r="G89" t="s">
        <v>5904</v>
      </c>
      <c r="H89">
        <v>1170</v>
      </c>
      <c r="I89">
        <v>1170</v>
      </c>
      <c r="J89">
        <v>1169</v>
      </c>
      <c r="K89">
        <v>1132</v>
      </c>
      <c r="L89">
        <v>1157</v>
      </c>
      <c r="M89">
        <v>96.8</v>
      </c>
      <c r="N89">
        <v>98.9</v>
      </c>
      <c r="O89">
        <v>2356.1999999999998</v>
      </c>
    </row>
    <row r="90" spans="1:15">
      <c r="A90">
        <v>448</v>
      </c>
      <c r="B90" t="s">
        <v>6195</v>
      </c>
      <c r="C90" t="s">
        <v>377</v>
      </c>
      <c r="D90" t="s">
        <v>6196</v>
      </c>
      <c r="E90" t="s">
        <v>6197</v>
      </c>
      <c r="F90" t="s">
        <v>6198</v>
      </c>
      <c r="G90" t="s">
        <v>5904</v>
      </c>
      <c r="H90">
        <v>1341</v>
      </c>
      <c r="I90">
        <v>1341</v>
      </c>
      <c r="J90">
        <v>1345</v>
      </c>
      <c r="K90">
        <v>1226</v>
      </c>
      <c r="L90">
        <v>1272</v>
      </c>
      <c r="M90">
        <v>91.4</v>
      </c>
      <c r="N90">
        <v>94.9</v>
      </c>
      <c r="O90">
        <v>1854.3</v>
      </c>
    </row>
    <row r="91" spans="1:15">
      <c r="A91">
        <v>447</v>
      </c>
      <c r="B91" t="s">
        <v>378</v>
      </c>
      <c r="C91" t="s">
        <v>379</v>
      </c>
      <c r="D91" t="s">
        <v>6199</v>
      </c>
      <c r="E91" t="s">
        <v>6200</v>
      </c>
      <c r="F91" t="s">
        <v>6201</v>
      </c>
      <c r="G91" t="s">
        <v>5904</v>
      </c>
      <c r="H91">
        <v>255</v>
      </c>
      <c r="I91">
        <v>255</v>
      </c>
      <c r="J91">
        <v>255</v>
      </c>
      <c r="K91">
        <v>252</v>
      </c>
      <c r="L91">
        <v>254</v>
      </c>
      <c r="M91">
        <v>98.8</v>
      </c>
      <c r="N91">
        <v>99.6</v>
      </c>
      <c r="O91">
        <v>523.5</v>
      </c>
    </row>
    <row r="92" spans="1:15">
      <c r="A92">
        <v>446</v>
      </c>
      <c r="B92" t="s">
        <v>6202</v>
      </c>
      <c r="C92" t="s">
        <v>5679</v>
      </c>
      <c r="D92" t="s">
        <v>6203</v>
      </c>
      <c r="E92" t="s">
        <v>6204</v>
      </c>
      <c r="F92" t="s">
        <v>6205</v>
      </c>
      <c r="G92" t="s">
        <v>5904</v>
      </c>
      <c r="H92">
        <v>284</v>
      </c>
      <c r="I92">
        <v>284</v>
      </c>
      <c r="J92">
        <v>284</v>
      </c>
      <c r="K92">
        <v>282</v>
      </c>
      <c r="L92">
        <v>283</v>
      </c>
      <c r="M92">
        <v>99.3</v>
      </c>
      <c r="N92">
        <v>99.6</v>
      </c>
      <c r="O92">
        <v>523.9</v>
      </c>
    </row>
    <row r="93" spans="1:15">
      <c r="A93">
        <v>445</v>
      </c>
      <c r="B93" t="s">
        <v>6206</v>
      </c>
      <c r="C93" t="s">
        <v>5676</v>
      </c>
      <c r="D93" t="s">
        <v>6207</v>
      </c>
      <c r="E93" t="s">
        <v>6208</v>
      </c>
      <c r="F93" t="s">
        <v>6209</v>
      </c>
      <c r="G93" t="s">
        <v>5904</v>
      </c>
      <c r="H93">
        <v>248</v>
      </c>
      <c r="I93">
        <v>248</v>
      </c>
      <c r="J93">
        <v>248</v>
      </c>
      <c r="K93">
        <v>204</v>
      </c>
      <c r="L93">
        <v>228</v>
      </c>
      <c r="M93">
        <v>82.3</v>
      </c>
      <c r="N93">
        <v>91.9</v>
      </c>
      <c r="O93">
        <v>362.8</v>
      </c>
    </row>
    <row r="94" spans="1:15">
      <c r="A94">
        <v>444</v>
      </c>
      <c r="B94" t="s">
        <v>6210</v>
      </c>
      <c r="C94" t="s">
        <v>382</v>
      </c>
      <c r="D94" t="s">
        <v>6211</v>
      </c>
      <c r="E94" t="s">
        <v>6212</v>
      </c>
      <c r="F94" t="s">
        <v>6213</v>
      </c>
      <c r="G94" t="s">
        <v>5904</v>
      </c>
      <c r="H94">
        <v>418</v>
      </c>
      <c r="I94">
        <v>416</v>
      </c>
      <c r="J94">
        <v>418</v>
      </c>
      <c r="K94">
        <v>396</v>
      </c>
      <c r="L94">
        <v>409</v>
      </c>
      <c r="M94">
        <v>94.7</v>
      </c>
      <c r="N94">
        <v>97.8</v>
      </c>
      <c r="O94">
        <v>703</v>
      </c>
    </row>
    <row r="95" spans="1:15">
      <c r="A95">
        <v>443</v>
      </c>
      <c r="B95" t="s">
        <v>383</v>
      </c>
      <c r="C95" t="s">
        <v>384</v>
      </c>
      <c r="D95" t="s">
        <v>6214</v>
      </c>
      <c r="E95" t="s">
        <v>6215</v>
      </c>
      <c r="F95" t="s">
        <v>6216</v>
      </c>
      <c r="G95" t="s">
        <v>5904</v>
      </c>
      <c r="H95">
        <v>84</v>
      </c>
      <c r="I95">
        <v>84</v>
      </c>
      <c r="J95">
        <v>84</v>
      </c>
      <c r="K95">
        <v>75</v>
      </c>
      <c r="L95">
        <v>80</v>
      </c>
      <c r="M95">
        <v>89.3</v>
      </c>
      <c r="N95">
        <v>95.2</v>
      </c>
      <c r="O95">
        <v>161.80000000000001</v>
      </c>
    </row>
    <row r="96" spans="1:15">
      <c r="A96">
        <v>442</v>
      </c>
      <c r="B96" t="s">
        <v>6217</v>
      </c>
      <c r="C96" t="s">
        <v>387</v>
      </c>
      <c r="D96" t="s">
        <v>6218</v>
      </c>
      <c r="E96" t="s">
        <v>6219</v>
      </c>
      <c r="F96" t="s">
        <v>6220</v>
      </c>
      <c r="G96" t="s">
        <v>5904</v>
      </c>
      <c r="H96">
        <v>216</v>
      </c>
      <c r="I96">
        <v>216</v>
      </c>
      <c r="J96">
        <v>216</v>
      </c>
      <c r="K96">
        <v>216</v>
      </c>
      <c r="L96">
        <v>216</v>
      </c>
      <c r="M96">
        <v>100</v>
      </c>
      <c r="N96">
        <v>100</v>
      </c>
      <c r="O96">
        <v>451.8</v>
      </c>
    </row>
    <row r="97" spans="1:15">
      <c r="A97">
        <v>441</v>
      </c>
      <c r="B97" t="s">
        <v>388</v>
      </c>
      <c r="C97" t="s">
        <v>390</v>
      </c>
      <c r="D97" t="s">
        <v>6221</v>
      </c>
      <c r="E97" t="s">
        <v>6222</v>
      </c>
      <c r="F97" t="s">
        <v>6223</v>
      </c>
      <c r="G97" t="s">
        <v>5904</v>
      </c>
      <c r="H97">
        <v>505</v>
      </c>
      <c r="I97">
        <v>505</v>
      </c>
      <c r="J97">
        <v>505</v>
      </c>
      <c r="K97">
        <v>480</v>
      </c>
      <c r="L97">
        <v>493</v>
      </c>
      <c r="M97">
        <v>95</v>
      </c>
      <c r="N97">
        <v>97.6</v>
      </c>
      <c r="O97">
        <v>967.2</v>
      </c>
    </row>
    <row r="98" spans="1:15">
      <c r="A98">
        <v>440</v>
      </c>
      <c r="B98" t="s">
        <v>391</v>
      </c>
      <c r="C98" t="s">
        <v>392</v>
      </c>
      <c r="D98" t="s">
        <v>6224</v>
      </c>
      <c r="E98" t="s">
        <v>6225</v>
      </c>
      <c r="F98" t="s">
        <v>6226</v>
      </c>
      <c r="G98" t="s">
        <v>5904</v>
      </c>
      <c r="H98">
        <v>121</v>
      </c>
      <c r="I98">
        <v>129</v>
      </c>
      <c r="J98">
        <v>121</v>
      </c>
      <c r="K98">
        <v>121</v>
      </c>
      <c r="L98">
        <v>121</v>
      </c>
      <c r="M98">
        <v>100</v>
      </c>
      <c r="N98">
        <v>100</v>
      </c>
      <c r="O98">
        <v>238</v>
      </c>
    </row>
    <row r="99" spans="1:15">
      <c r="A99">
        <v>439</v>
      </c>
      <c r="B99" t="s">
        <v>6227</v>
      </c>
      <c r="C99" t="s">
        <v>395</v>
      </c>
      <c r="D99" t="s">
        <v>6228</v>
      </c>
      <c r="E99" t="s">
        <v>6229</v>
      </c>
      <c r="F99" t="s">
        <v>6230</v>
      </c>
      <c r="G99" t="s">
        <v>5904</v>
      </c>
      <c r="H99">
        <v>171</v>
      </c>
      <c r="I99">
        <v>99</v>
      </c>
      <c r="J99">
        <v>99</v>
      </c>
      <c r="K99">
        <v>92</v>
      </c>
      <c r="L99">
        <v>98</v>
      </c>
      <c r="M99">
        <v>53.8</v>
      </c>
      <c r="N99">
        <v>57.3</v>
      </c>
      <c r="O99">
        <v>196.4</v>
      </c>
    </row>
    <row r="100" spans="1:15">
      <c r="A100">
        <v>438</v>
      </c>
      <c r="B100" t="s">
        <v>6231</v>
      </c>
      <c r="C100" t="s">
        <v>398</v>
      </c>
      <c r="D100" t="s">
        <v>6232</v>
      </c>
      <c r="E100" t="s">
        <v>6233</v>
      </c>
      <c r="F100" t="s">
        <v>6234</v>
      </c>
      <c r="G100" t="s">
        <v>5904</v>
      </c>
      <c r="H100">
        <v>1517</v>
      </c>
      <c r="I100">
        <v>1332</v>
      </c>
      <c r="J100">
        <v>1138</v>
      </c>
      <c r="K100">
        <v>890</v>
      </c>
      <c r="L100">
        <v>948</v>
      </c>
      <c r="M100">
        <v>58.7</v>
      </c>
      <c r="N100">
        <v>62.5</v>
      </c>
      <c r="O100">
        <v>1575.8</v>
      </c>
    </row>
    <row r="101" spans="1:15">
      <c r="A101">
        <v>437</v>
      </c>
      <c r="B101" t="s">
        <v>399</v>
      </c>
      <c r="C101" t="s">
        <v>400</v>
      </c>
      <c r="D101" t="s">
        <v>6235</v>
      </c>
      <c r="E101" t="s">
        <v>6236</v>
      </c>
      <c r="F101" t="s">
        <v>6237</v>
      </c>
      <c r="G101" t="s">
        <v>5904</v>
      </c>
      <c r="H101">
        <v>640</v>
      </c>
      <c r="I101">
        <v>640</v>
      </c>
      <c r="J101">
        <v>640</v>
      </c>
      <c r="K101">
        <v>613</v>
      </c>
      <c r="L101">
        <v>627</v>
      </c>
      <c r="M101">
        <v>95.8</v>
      </c>
      <c r="N101">
        <v>98</v>
      </c>
      <c r="O101">
        <v>1262.3</v>
      </c>
    </row>
    <row r="102" spans="1:15">
      <c r="A102">
        <v>436</v>
      </c>
      <c r="B102" t="s">
        <v>401</v>
      </c>
      <c r="C102" t="s">
        <v>402</v>
      </c>
      <c r="D102" t="s">
        <v>6238</v>
      </c>
      <c r="E102" t="s">
        <v>6239</v>
      </c>
      <c r="F102" t="s">
        <v>6240</v>
      </c>
      <c r="G102" t="s">
        <v>5904</v>
      </c>
      <c r="H102">
        <v>1657</v>
      </c>
      <c r="I102">
        <v>1657</v>
      </c>
      <c r="J102">
        <v>1657</v>
      </c>
      <c r="K102">
        <v>1599</v>
      </c>
      <c r="L102">
        <v>1632</v>
      </c>
      <c r="M102">
        <v>96.5</v>
      </c>
      <c r="N102">
        <v>98.5</v>
      </c>
      <c r="O102">
        <v>3323.5</v>
      </c>
    </row>
    <row r="103" spans="1:15">
      <c r="A103">
        <v>435</v>
      </c>
      <c r="B103" t="s">
        <v>403</v>
      </c>
      <c r="C103" t="s">
        <v>404</v>
      </c>
      <c r="D103" t="s">
        <v>6241</v>
      </c>
      <c r="E103" t="s">
        <v>6242</v>
      </c>
      <c r="F103" t="s">
        <v>6243</v>
      </c>
      <c r="G103" t="s">
        <v>5904</v>
      </c>
      <c r="H103">
        <v>534</v>
      </c>
      <c r="I103">
        <v>535</v>
      </c>
      <c r="J103">
        <v>534</v>
      </c>
      <c r="K103">
        <v>515</v>
      </c>
      <c r="L103">
        <v>527</v>
      </c>
      <c r="M103">
        <v>96.4</v>
      </c>
      <c r="N103">
        <v>98.7</v>
      </c>
      <c r="O103">
        <v>1072.8</v>
      </c>
    </row>
    <row r="104" spans="1:15">
      <c r="A104">
        <v>434</v>
      </c>
      <c r="B104" t="s">
        <v>6244</v>
      </c>
      <c r="C104" t="s">
        <v>407</v>
      </c>
      <c r="D104" t="s">
        <v>6245</v>
      </c>
      <c r="E104" t="s">
        <v>6246</v>
      </c>
      <c r="F104" t="s">
        <v>6247</v>
      </c>
      <c r="G104" t="s">
        <v>5904</v>
      </c>
      <c r="H104">
        <v>1480</v>
      </c>
      <c r="I104">
        <v>1461</v>
      </c>
      <c r="J104">
        <v>1481</v>
      </c>
      <c r="K104">
        <v>1409</v>
      </c>
      <c r="L104">
        <v>1434</v>
      </c>
      <c r="M104">
        <v>95.2</v>
      </c>
      <c r="N104">
        <v>96.9</v>
      </c>
      <c r="O104">
        <v>2904.4</v>
      </c>
    </row>
    <row r="105" spans="1:15">
      <c r="A105">
        <v>433</v>
      </c>
      <c r="B105" t="s">
        <v>6248</v>
      </c>
      <c r="C105" t="s">
        <v>410</v>
      </c>
      <c r="D105" t="s">
        <v>6249</v>
      </c>
      <c r="E105" t="s">
        <v>6250</v>
      </c>
      <c r="F105" t="s">
        <v>6251</v>
      </c>
      <c r="G105" t="s">
        <v>5904</v>
      </c>
      <c r="H105">
        <v>1468</v>
      </c>
      <c r="I105">
        <v>1375</v>
      </c>
      <c r="J105">
        <v>1408</v>
      </c>
      <c r="K105">
        <v>1138</v>
      </c>
      <c r="L105">
        <v>1207</v>
      </c>
      <c r="M105">
        <v>77.5</v>
      </c>
      <c r="N105">
        <v>82.2</v>
      </c>
      <c r="O105">
        <v>2290.4</v>
      </c>
    </row>
    <row r="106" spans="1:15">
      <c r="A106">
        <v>432</v>
      </c>
      <c r="B106" t="s">
        <v>6252</v>
      </c>
      <c r="C106" t="s">
        <v>6253</v>
      </c>
      <c r="D106" t="s">
        <v>6254</v>
      </c>
      <c r="E106" t="s">
        <v>6255</v>
      </c>
      <c r="F106" t="s">
        <v>6256</v>
      </c>
      <c r="G106" t="s">
        <v>5904</v>
      </c>
      <c r="H106">
        <v>2868</v>
      </c>
      <c r="I106">
        <v>2871</v>
      </c>
      <c r="J106">
        <v>2871</v>
      </c>
      <c r="K106">
        <v>2790</v>
      </c>
      <c r="L106">
        <v>2829</v>
      </c>
      <c r="M106">
        <v>97.3</v>
      </c>
      <c r="N106">
        <v>98.6</v>
      </c>
      <c r="O106">
        <v>5631.6</v>
      </c>
    </row>
    <row r="107" spans="1:15">
      <c r="A107">
        <v>431</v>
      </c>
      <c r="B107" t="s">
        <v>6257</v>
      </c>
      <c r="C107" t="s">
        <v>416</v>
      </c>
      <c r="D107" t="s">
        <v>6258</v>
      </c>
      <c r="E107" t="s">
        <v>6259</v>
      </c>
      <c r="F107" t="s">
        <v>6260</v>
      </c>
      <c r="G107" t="s">
        <v>5904</v>
      </c>
      <c r="H107">
        <v>1863</v>
      </c>
      <c r="I107">
        <v>1748</v>
      </c>
      <c r="J107">
        <v>1761</v>
      </c>
      <c r="K107">
        <v>1625</v>
      </c>
      <c r="L107">
        <v>1669</v>
      </c>
      <c r="M107">
        <v>87.2</v>
      </c>
      <c r="N107">
        <v>89.6</v>
      </c>
      <c r="O107">
        <v>3259.9</v>
      </c>
    </row>
    <row r="108" spans="1:15">
      <c r="A108">
        <v>430</v>
      </c>
      <c r="B108" t="s">
        <v>417</v>
      </c>
      <c r="C108" t="s">
        <v>418</v>
      </c>
      <c r="D108" t="s">
        <v>6261</v>
      </c>
      <c r="E108" t="s">
        <v>6262</v>
      </c>
      <c r="F108" t="s">
        <v>6263</v>
      </c>
      <c r="G108" t="s">
        <v>5904</v>
      </c>
      <c r="H108">
        <v>520</v>
      </c>
      <c r="I108">
        <v>522</v>
      </c>
      <c r="J108">
        <v>522</v>
      </c>
      <c r="K108">
        <v>508</v>
      </c>
      <c r="L108">
        <v>510</v>
      </c>
      <c r="M108">
        <v>97.7</v>
      </c>
      <c r="N108">
        <v>98.1</v>
      </c>
      <c r="O108">
        <v>1028.0999999999999</v>
      </c>
    </row>
    <row r="109" spans="1:15">
      <c r="A109">
        <v>429</v>
      </c>
      <c r="B109" t="s">
        <v>419</v>
      </c>
      <c r="C109" t="s">
        <v>420</v>
      </c>
      <c r="D109" t="s">
        <v>6264</v>
      </c>
      <c r="E109" t="s">
        <v>6265</v>
      </c>
      <c r="F109" t="s">
        <v>6266</v>
      </c>
      <c r="G109" t="s">
        <v>5904</v>
      </c>
      <c r="H109">
        <v>216</v>
      </c>
      <c r="I109">
        <v>216</v>
      </c>
      <c r="J109">
        <v>216</v>
      </c>
      <c r="K109">
        <v>207</v>
      </c>
      <c r="L109">
        <v>210</v>
      </c>
      <c r="M109">
        <v>95.8</v>
      </c>
      <c r="N109">
        <v>97.2</v>
      </c>
      <c r="O109">
        <v>420.2</v>
      </c>
    </row>
    <row r="110" spans="1:15">
      <c r="A110">
        <v>428</v>
      </c>
      <c r="B110" t="s">
        <v>6267</v>
      </c>
      <c r="C110" t="s">
        <v>423</v>
      </c>
      <c r="D110" t="s">
        <v>6268</v>
      </c>
      <c r="E110" t="s">
        <v>6269</v>
      </c>
      <c r="F110" t="s">
        <v>6270</v>
      </c>
      <c r="G110" t="s">
        <v>5904</v>
      </c>
      <c r="H110">
        <v>217</v>
      </c>
      <c r="I110">
        <v>216</v>
      </c>
      <c r="J110">
        <v>215</v>
      </c>
      <c r="K110">
        <v>184</v>
      </c>
      <c r="L110">
        <v>197</v>
      </c>
      <c r="M110">
        <v>84.8</v>
      </c>
      <c r="N110">
        <v>90.8</v>
      </c>
      <c r="O110">
        <v>382.9</v>
      </c>
    </row>
    <row r="111" spans="1:15">
      <c r="A111">
        <v>2117</v>
      </c>
      <c r="B111" t="s">
        <v>6271</v>
      </c>
      <c r="C111" t="s">
        <v>426</v>
      </c>
      <c r="D111" t="s">
        <v>6272</v>
      </c>
      <c r="E111" t="s">
        <v>6273</v>
      </c>
      <c r="F111" t="s">
        <v>6274</v>
      </c>
      <c r="G111" t="s">
        <v>5904</v>
      </c>
      <c r="H111">
        <v>115</v>
      </c>
      <c r="I111">
        <v>115</v>
      </c>
      <c r="J111">
        <v>115</v>
      </c>
      <c r="K111">
        <v>114</v>
      </c>
      <c r="L111">
        <v>114</v>
      </c>
      <c r="M111">
        <v>99.1</v>
      </c>
      <c r="N111">
        <v>99.1</v>
      </c>
      <c r="O111">
        <v>234.2</v>
      </c>
    </row>
    <row r="112" spans="1:15">
      <c r="A112">
        <v>427</v>
      </c>
      <c r="B112" t="s">
        <v>6275</v>
      </c>
      <c r="C112" t="s">
        <v>429</v>
      </c>
      <c r="D112" t="s">
        <v>6276</v>
      </c>
      <c r="E112" t="s">
        <v>6277</v>
      </c>
      <c r="F112" t="s">
        <v>6278</v>
      </c>
      <c r="G112" t="s">
        <v>5904</v>
      </c>
      <c r="H112">
        <v>1418</v>
      </c>
      <c r="I112">
        <v>1412</v>
      </c>
      <c r="J112">
        <v>1434</v>
      </c>
      <c r="K112">
        <v>1140</v>
      </c>
      <c r="L112">
        <v>1235</v>
      </c>
      <c r="M112">
        <v>80.400000000000006</v>
      </c>
      <c r="N112">
        <v>87.1</v>
      </c>
      <c r="O112">
        <v>2115.1</v>
      </c>
    </row>
    <row r="113" spans="1:15">
      <c r="A113">
        <v>426</v>
      </c>
      <c r="B113" t="s">
        <v>430</v>
      </c>
      <c r="C113" t="s">
        <v>6279</v>
      </c>
      <c r="D113" t="s">
        <v>6280</v>
      </c>
      <c r="E113" t="s">
        <v>6281</v>
      </c>
      <c r="F113" t="s">
        <v>6282</v>
      </c>
      <c r="G113" t="s">
        <v>5904</v>
      </c>
      <c r="H113">
        <v>184</v>
      </c>
      <c r="I113">
        <v>184</v>
      </c>
      <c r="J113">
        <v>184</v>
      </c>
      <c r="K113">
        <v>183</v>
      </c>
      <c r="L113">
        <v>184</v>
      </c>
      <c r="M113">
        <v>99.5</v>
      </c>
      <c r="N113">
        <v>100</v>
      </c>
      <c r="O113">
        <v>381.7</v>
      </c>
    </row>
    <row r="114" spans="1:15">
      <c r="A114">
        <v>425</v>
      </c>
      <c r="B114" t="s">
        <v>6283</v>
      </c>
      <c r="C114" t="s">
        <v>434</v>
      </c>
      <c r="D114" t="s">
        <v>6284</v>
      </c>
      <c r="E114" t="s">
        <v>6285</v>
      </c>
      <c r="F114" t="s">
        <v>6286</v>
      </c>
      <c r="G114" t="s">
        <v>5904</v>
      </c>
      <c r="H114">
        <v>448</v>
      </c>
      <c r="I114">
        <v>423</v>
      </c>
      <c r="J114">
        <v>418</v>
      </c>
      <c r="K114">
        <v>373</v>
      </c>
      <c r="L114">
        <v>392</v>
      </c>
      <c r="M114">
        <v>83.3</v>
      </c>
      <c r="N114">
        <v>87.5</v>
      </c>
      <c r="O114">
        <v>778.9</v>
      </c>
    </row>
    <row r="115" spans="1:15">
      <c r="A115">
        <v>424</v>
      </c>
      <c r="B115" t="s">
        <v>435</v>
      </c>
      <c r="C115" t="s">
        <v>436</v>
      </c>
      <c r="D115" t="s">
        <v>6287</v>
      </c>
      <c r="E115" t="s">
        <v>6288</v>
      </c>
      <c r="F115" t="s">
        <v>6289</v>
      </c>
      <c r="G115" t="s">
        <v>5904</v>
      </c>
      <c r="H115">
        <v>428</v>
      </c>
      <c r="I115">
        <v>418</v>
      </c>
      <c r="J115">
        <v>428</v>
      </c>
      <c r="K115">
        <v>294</v>
      </c>
      <c r="L115">
        <v>342</v>
      </c>
      <c r="M115">
        <v>68.7</v>
      </c>
      <c r="N115">
        <v>79.900000000000006</v>
      </c>
      <c r="O115">
        <v>585.5</v>
      </c>
    </row>
    <row r="116" spans="1:15">
      <c r="A116">
        <v>423</v>
      </c>
      <c r="B116" t="s">
        <v>6290</v>
      </c>
      <c r="C116" t="s">
        <v>439</v>
      </c>
      <c r="D116" t="s">
        <v>6291</v>
      </c>
      <c r="E116" t="s">
        <v>6292</v>
      </c>
      <c r="F116" t="s">
        <v>6293</v>
      </c>
      <c r="G116" t="s">
        <v>5904</v>
      </c>
      <c r="H116">
        <v>868</v>
      </c>
      <c r="I116">
        <v>748</v>
      </c>
      <c r="J116">
        <v>717</v>
      </c>
      <c r="K116">
        <v>670</v>
      </c>
      <c r="L116">
        <v>682</v>
      </c>
      <c r="M116">
        <v>77.2</v>
      </c>
      <c r="N116">
        <v>78.599999999999994</v>
      </c>
      <c r="O116">
        <v>1401.7</v>
      </c>
    </row>
    <row r="117" spans="1:15">
      <c r="A117">
        <v>2116</v>
      </c>
      <c r="B117" t="s">
        <v>440</v>
      </c>
      <c r="C117" t="s">
        <v>6294</v>
      </c>
      <c r="D117" t="s">
        <v>6295</v>
      </c>
      <c r="E117" t="s">
        <v>6296</v>
      </c>
      <c r="F117" t="s">
        <v>6297</v>
      </c>
      <c r="G117" t="s">
        <v>5904</v>
      </c>
      <c r="H117">
        <v>194</v>
      </c>
      <c r="I117">
        <v>177</v>
      </c>
      <c r="J117">
        <v>177</v>
      </c>
      <c r="K117">
        <v>177</v>
      </c>
      <c r="L117">
        <v>177</v>
      </c>
      <c r="M117">
        <v>91.2</v>
      </c>
      <c r="N117">
        <v>91.2</v>
      </c>
      <c r="O117">
        <v>364</v>
      </c>
    </row>
    <row r="118" spans="1:15">
      <c r="A118">
        <v>2115</v>
      </c>
      <c r="B118" t="s">
        <v>442</v>
      </c>
      <c r="C118" t="s">
        <v>443</v>
      </c>
      <c r="D118" t="s">
        <v>6298</v>
      </c>
      <c r="E118" t="s">
        <v>6299</v>
      </c>
      <c r="F118" t="s">
        <v>6300</v>
      </c>
      <c r="G118" t="s">
        <v>5904</v>
      </c>
      <c r="H118">
        <v>110</v>
      </c>
      <c r="I118">
        <v>112</v>
      </c>
      <c r="J118">
        <v>91</v>
      </c>
      <c r="K118">
        <v>67</v>
      </c>
      <c r="L118">
        <v>78</v>
      </c>
      <c r="M118">
        <v>60.9</v>
      </c>
      <c r="N118">
        <v>70.900000000000006</v>
      </c>
      <c r="O118">
        <v>146</v>
      </c>
    </row>
    <row r="119" spans="1:15">
      <c r="A119">
        <v>422</v>
      </c>
      <c r="B119" t="s">
        <v>444</v>
      </c>
      <c r="C119" t="s">
        <v>6301</v>
      </c>
      <c r="D119" t="s">
        <v>6302</v>
      </c>
      <c r="E119" t="s">
        <v>6303</v>
      </c>
      <c r="F119" t="s">
        <v>6304</v>
      </c>
      <c r="G119" t="s">
        <v>5904</v>
      </c>
      <c r="H119">
        <v>792</v>
      </c>
      <c r="I119">
        <v>794</v>
      </c>
      <c r="J119">
        <v>794</v>
      </c>
      <c r="K119">
        <v>748</v>
      </c>
      <c r="L119">
        <v>758</v>
      </c>
      <c r="M119">
        <v>94.4</v>
      </c>
      <c r="N119">
        <v>95.7</v>
      </c>
      <c r="O119">
        <v>1499.2</v>
      </c>
    </row>
    <row r="120" spans="1:15">
      <c r="A120">
        <v>421</v>
      </c>
      <c r="B120" t="s">
        <v>446</v>
      </c>
      <c r="C120" t="s">
        <v>447</v>
      </c>
      <c r="D120" t="s">
        <v>6305</v>
      </c>
      <c r="E120" t="s">
        <v>6306</v>
      </c>
      <c r="F120" t="s">
        <v>6307</v>
      </c>
      <c r="G120" t="s">
        <v>5904</v>
      </c>
      <c r="H120">
        <v>315</v>
      </c>
      <c r="I120">
        <v>315</v>
      </c>
      <c r="J120">
        <v>315</v>
      </c>
      <c r="K120">
        <v>311</v>
      </c>
      <c r="L120">
        <v>313</v>
      </c>
      <c r="M120">
        <v>98.7</v>
      </c>
      <c r="N120">
        <v>99.4</v>
      </c>
      <c r="O120">
        <v>635.6</v>
      </c>
    </row>
    <row r="121" spans="1:15">
      <c r="A121">
        <v>420</v>
      </c>
      <c r="B121" t="s">
        <v>448</v>
      </c>
      <c r="C121" t="s">
        <v>449</v>
      </c>
      <c r="D121" t="s">
        <v>6308</v>
      </c>
      <c r="E121" t="s">
        <v>6309</v>
      </c>
      <c r="F121" t="s">
        <v>6310</v>
      </c>
      <c r="G121" t="s">
        <v>5904</v>
      </c>
      <c r="H121">
        <v>247</v>
      </c>
      <c r="I121">
        <v>247</v>
      </c>
      <c r="J121">
        <v>247</v>
      </c>
      <c r="K121">
        <v>246</v>
      </c>
      <c r="L121">
        <v>247</v>
      </c>
      <c r="M121">
        <v>99.6</v>
      </c>
      <c r="N121">
        <v>100</v>
      </c>
      <c r="O121">
        <v>492.7</v>
      </c>
    </row>
    <row r="122" spans="1:15">
      <c r="A122">
        <v>419</v>
      </c>
      <c r="B122" t="s">
        <v>450</v>
      </c>
      <c r="C122" t="s">
        <v>451</v>
      </c>
      <c r="D122" t="s">
        <v>6311</v>
      </c>
      <c r="E122" t="s">
        <v>6312</v>
      </c>
      <c r="F122" t="s">
        <v>6313</v>
      </c>
      <c r="G122" t="s">
        <v>5904</v>
      </c>
      <c r="H122">
        <v>175</v>
      </c>
      <c r="I122">
        <v>175</v>
      </c>
      <c r="J122">
        <v>175</v>
      </c>
      <c r="K122">
        <v>175</v>
      </c>
      <c r="L122">
        <v>175</v>
      </c>
      <c r="M122">
        <v>100</v>
      </c>
      <c r="N122">
        <v>100</v>
      </c>
      <c r="O122">
        <v>364.4</v>
      </c>
    </row>
    <row r="123" spans="1:15">
      <c r="A123">
        <v>418</v>
      </c>
      <c r="B123" t="s">
        <v>6314</v>
      </c>
      <c r="C123" t="s">
        <v>454</v>
      </c>
      <c r="D123" t="s">
        <v>6315</v>
      </c>
      <c r="E123" t="s">
        <v>6316</v>
      </c>
      <c r="F123" t="s">
        <v>6317</v>
      </c>
      <c r="G123" t="s">
        <v>5904</v>
      </c>
      <c r="H123">
        <v>455</v>
      </c>
      <c r="I123">
        <v>453</v>
      </c>
      <c r="J123">
        <v>455</v>
      </c>
      <c r="K123">
        <v>429</v>
      </c>
      <c r="L123">
        <v>444</v>
      </c>
      <c r="M123">
        <v>94.3</v>
      </c>
      <c r="N123">
        <v>97.6</v>
      </c>
      <c r="O123">
        <v>788.1</v>
      </c>
    </row>
    <row r="124" spans="1:15">
      <c r="A124">
        <v>417</v>
      </c>
      <c r="B124" t="s">
        <v>6318</v>
      </c>
      <c r="C124" t="s">
        <v>458</v>
      </c>
      <c r="D124" t="s">
        <v>6319</v>
      </c>
      <c r="E124" t="s">
        <v>6320</v>
      </c>
      <c r="F124" t="s">
        <v>6321</v>
      </c>
      <c r="G124" t="s">
        <v>5904</v>
      </c>
      <c r="H124">
        <v>1100</v>
      </c>
      <c r="I124">
        <v>1099</v>
      </c>
      <c r="J124">
        <v>1100</v>
      </c>
      <c r="K124">
        <v>1050</v>
      </c>
      <c r="L124">
        <v>1075</v>
      </c>
      <c r="M124">
        <v>95.5</v>
      </c>
      <c r="N124">
        <v>97.7</v>
      </c>
      <c r="O124">
        <v>2104.6999999999998</v>
      </c>
    </row>
    <row r="125" spans="1:15">
      <c r="A125">
        <v>416</v>
      </c>
      <c r="B125" t="s">
        <v>459</v>
      </c>
      <c r="C125" t="s">
        <v>460</v>
      </c>
      <c r="D125" t="s">
        <v>6322</v>
      </c>
      <c r="E125" t="s">
        <v>6323</v>
      </c>
      <c r="F125" t="s">
        <v>6324</v>
      </c>
      <c r="G125" t="s">
        <v>5904</v>
      </c>
      <c r="H125">
        <v>294</v>
      </c>
      <c r="I125">
        <v>250</v>
      </c>
      <c r="J125">
        <v>294</v>
      </c>
      <c r="K125">
        <v>211</v>
      </c>
      <c r="L125">
        <v>229</v>
      </c>
      <c r="M125">
        <v>71.8</v>
      </c>
      <c r="N125">
        <v>77.900000000000006</v>
      </c>
      <c r="O125">
        <v>391.7</v>
      </c>
    </row>
    <row r="126" spans="1:15">
      <c r="A126">
        <v>415</v>
      </c>
      <c r="B126" t="s">
        <v>461</v>
      </c>
      <c r="C126" t="s">
        <v>462</v>
      </c>
      <c r="D126" t="s">
        <v>6325</v>
      </c>
      <c r="E126" t="s">
        <v>6326</v>
      </c>
      <c r="F126" t="s">
        <v>6327</v>
      </c>
      <c r="G126" t="s">
        <v>5904</v>
      </c>
      <c r="H126">
        <v>426</v>
      </c>
      <c r="I126">
        <v>448</v>
      </c>
      <c r="J126">
        <v>448</v>
      </c>
      <c r="K126">
        <v>419</v>
      </c>
      <c r="L126">
        <v>421</v>
      </c>
      <c r="M126">
        <v>98.4</v>
      </c>
      <c r="N126">
        <v>98.8</v>
      </c>
      <c r="O126">
        <v>844</v>
      </c>
    </row>
    <row r="127" spans="1:15">
      <c r="A127">
        <v>414</v>
      </c>
      <c r="B127" t="s">
        <v>6328</v>
      </c>
      <c r="C127" t="s">
        <v>5683</v>
      </c>
      <c r="D127" t="s">
        <v>6329</v>
      </c>
      <c r="E127" t="s">
        <v>6330</v>
      </c>
      <c r="F127" t="s">
        <v>6331</v>
      </c>
      <c r="G127" t="s">
        <v>5904</v>
      </c>
      <c r="H127">
        <v>761</v>
      </c>
      <c r="I127">
        <v>732</v>
      </c>
      <c r="J127">
        <v>699</v>
      </c>
      <c r="K127">
        <v>689</v>
      </c>
      <c r="L127">
        <v>697</v>
      </c>
      <c r="M127">
        <v>90.5</v>
      </c>
      <c r="N127">
        <v>91.6</v>
      </c>
      <c r="O127">
        <v>1411.7</v>
      </c>
    </row>
    <row r="128" spans="1:15">
      <c r="A128">
        <v>413</v>
      </c>
      <c r="B128" t="s">
        <v>463</v>
      </c>
      <c r="C128" t="s">
        <v>464</v>
      </c>
      <c r="D128" t="s">
        <v>6332</v>
      </c>
      <c r="E128" t="s">
        <v>6333</v>
      </c>
      <c r="F128" t="s">
        <v>6334</v>
      </c>
      <c r="G128" t="s">
        <v>5900</v>
      </c>
      <c r="H128">
        <v>247</v>
      </c>
      <c r="I128">
        <v>117</v>
      </c>
      <c r="J128">
        <v>116</v>
      </c>
      <c r="K128">
        <v>102</v>
      </c>
      <c r="L128">
        <v>106</v>
      </c>
      <c r="M128">
        <v>41.3</v>
      </c>
      <c r="N128">
        <v>42.9</v>
      </c>
      <c r="O128">
        <v>210.3</v>
      </c>
    </row>
    <row r="129" spans="1:15">
      <c r="A129">
        <v>412</v>
      </c>
      <c r="B129" t="s">
        <v>465</v>
      </c>
      <c r="C129" t="s">
        <v>466</v>
      </c>
      <c r="D129" t="s">
        <v>6335</v>
      </c>
      <c r="E129" t="s">
        <v>6336</v>
      </c>
      <c r="F129" t="s">
        <v>6337</v>
      </c>
      <c r="G129" t="s">
        <v>5904</v>
      </c>
      <c r="H129">
        <v>6266</v>
      </c>
      <c r="I129">
        <v>5795</v>
      </c>
      <c r="J129">
        <v>5433</v>
      </c>
      <c r="K129">
        <v>2745</v>
      </c>
      <c r="L129">
        <v>3580</v>
      </c>
      <c r="M129">
        <v>43.8</v>
      </c>
      <c r="N129">
        <v>57.1</v>
      </c>
      <c r="O129">
        <v>4543</v>
      </c>
    </row>
    <row r="130" spans="1:15">
      <c r="A130">
        <v>2114</v>
      </c>
      <c r="B130" t="s">
        <v>467</v>
      </c>
      <c r="C130" t="s">
        <v>469</v>
      </c>
      <c r="D130" t="s">
        <v>6338</v>
      </c>
      <c r="E130" t="s">
        <v>6339</v>
      </c>
      <c r="F130" t="s">
        <v>6340</v>
      </c>
      <c r="G130" t="s">
        <v>5904</v>
      </c>
      <c r="H130">
        <v>727</v>
      </c>
      <c r="I130">
        <v>727</v>
      </c>
      <c r="J130">
        <v>727</v>
      </c>
      <c r="K130">
        <v>682</v>
      </c>
      <c r="L130">
        <v>707</v>
      </c>
      <c r="M130">
        <v>93.8</v>
      </c>
      <c r="N130">
        <v>97.2</v>
      </c>
      <c r="O130">
        <v>1411.4</v>
      </c>
    </row>
    <row r="131" spans="1:15">
      <c r="A131">
        <v>411</v>
      </c>
      <c r="B131" t="s">
        <v>6341</v>
      </c>
      <c r="C131" t="s">
        <v>472</v>
      </c>
      <c r="D131" t="s">
        <v>6342</v>
      </c>
      <c r="E131" t="s">
        <v>6343</v>
      </c>
      <c r="F131" t="s">
        <v>6344</v>
      </c>
      <c r="G131" t="s">
        <v>5904</v>
      </c>
      <c r="H131">
        <v>351</v>
      </c>
      <c r="I131">
        <v>339</v>
      </c>
      <c r="J131">
        <v>339</v>
      </c>
      <c r="K131">
        <v>333</v>
      </c>
      <c r="L131">
        <v>336</v>
      </c>
      <c r="M131">
        <v>94.9</v>
      </c>
      <c r="N131">
        <v>95.7</v>
      </c>
      <c r="O131">
        <v>684.1</v>
      </c>
    </row>
    <row r="132" spans="1:15">
      <c r="A132">
        <v>410</v>
      </c>
      <c r="B132" t="s">
        <v>473</v>
      </c>
      <c r="C132" t="s">
        <v>475</v>
      </c>
      <c r="D132" t="s">
        <v>6345</v>
      </c>
      <c r="E132" t="s">
        <v>6346</v>
      </c>
      <c r="F132" t="s">
        <v>6347</v>
      </c>
      <c r="G132" t="s">
        <v>5904</v>
      </c>
      <c r="H132">
        <v>207</v>
      </c>
      <c r="I132">
        <v>207</v>
      </c>
      <c r="J132">
        <v>207</v>
      </c>
      <c r="K132">
        <v>204</v>
      </c>
      <c r="L132">
        <v>206</v>
      </c>
      <c r="M132">
        <v>98.6</v>
      </c>
      <c r="N132">
        <v>99.5</v>
      </c>
      <c r="O132">
        <v>418.7</v>
      </c>
    </row>
    <row r="133" spans="1:15">
      <c r="A133">
        <v>409</v>
      </c>
      <c r="B133" t="s">
        <v>6348</v>
      </c>
      <c r="C133" t="s">
        <v>478</v>
      </c>
      <c r="D133" t="s">
        <v>6349</v>
      </c>
      <c r="E133" t="s">
        <v>6350</v>
      </c>
      <c r="F133" t="s">
        <v>6351</v>
      </c>
      <c r="G133" t="s">
        <v>5900</v>
      </c>
      <c r="H133">
        <v>309</v>
      </c>
      <c r="I133">
        <v>147</v>
      </c>
      <c r="J133">
        <v>146</v>
      </c>
      <c r="K133">
        <v>131</v>
      </c>
      <c r="L133">
        <v>136</v>
      </c>
      <c r="M133">
        <v>42.4</v>
      </c>
      <c r="N133">
        <v>44</v>
      </c>
      <c r="O133">
        <v>243.4</v>
      </c>
    </row>
    <row r="134" spans="1:15">
      <c r="A134">
        <v>408</v>
      </c>
      <c r="B134" t="s">
        <v>479</v>
      </c>
      <c r="C134" t="s">
        <v>6352</v>
      </c>
      <c r="D134" t="s">
        <v>6353</v>
      </c>
      <c r="E134" t="s">
        <v>6354</v>
      </c>
      <c r="F134" t="s">
        <v>6355</v>
      </c>
      <c r="G134" t="s">
        <v>5904</v>
      </c>
      <c r="H134">
        <v>146</v>
      </c>
      <c r="I134">
        <v>147</v>
      </c>
      <c r="J134">
        <v>145</v>
      </c>
      <c r="K134">
        <v>112</v>
      </c>
      <c r="L134">
        <v>130</v>
      </c>
      <c r="M134">
        <v>76.7</v>
      </c>
      <c r="N134">
        <v>89</v>
      </c>
      <c r="O134">
        <v>213</v>
      </c>
    </row>
    <row r="135" spans="1:15">
      <c r="A135">
        <v>407</v>
      </c>
      <c r="B135" t="s">
        <v>6356</v>
      </c>
      <c r="C135" t="s">
        <v>483</v>
      </c>
      <c r="D135" t="s">
        <v>6357</v>
      </c>
      <c r="E135" t="s">
        <v>6358</v>
      </c>
      <c r="F135" t="s">
        <v>6359</v>
      </c>
      <c r="G135" t="s">
        <v>5904</v>
      </c>
      <c r="H135">
        <v>371</v>
      </c>
      <c r="I135">
        <v>371</v>
      </c>
      <c r="J135">
        <v>371</v>
      </c>
      <c r="K135">
        <v>357</v>
      </c>
      <c r="L135">
        <v>364</v>
      </c>
      <c r="M135">
        <v>96.2</v>
      </c>
      <c r="N135">
        <v>98.1</v>
      </c>
      <c r="O135">
        <v>752.7</v>
      </c>
    </row>
    <row r="136" spans="1:15">
      <c r="A136">
        <v>406</v>
      </c>
      <c r="B136" t="s">
        <v>6360</v>
      </c>
      <c r="C136" t="s">
        <v>486</v>
      </c>
      <c r="D136" t="s">
        <v>6361</v>
      </c>
      <c r="E136" t="s">
        <v>6362</v>
      </c>
      <c r="F136" t="s">
        <v>6363</v>
      </c>
      <c r="G136" t="s">
        <v>5904</v>
      </c>
      <c r="H136">
        <v>779</v>
      </c>
      <c r="I136">
        <v>774</v>
      </c>
      <c r="J136">
        <v>780</v>
      </c>
      <c r="K136">
        <v>578</v>
      </c>
      <c r="L136">
        <v>647</v>
      </c>
      <c r="M136">
        <v>74.2</v>
      </c>
      <c r="N136">
        <v>83.1</v>
      </c>
      <c r="O136">
        <v>1047.3</v>
      </c>
    </row>
    <row r="137" spans="1:15">
      <c r="A137">
        <v>2113</v>
      </c>
      <c r="B137" t="s">
        <v>487</v>
      </c>
      <c r="C137" t="s">
        <v>488</v>
      </c>
      <c r="D137" t="s">
        <v>6364</v>
      </c>
      <c r="E137" t="s">
        <v>6365</v>
      </c>
      <c r="F137" t="s">
        <v>6366</v>
      </c>
      <c r="G137" t="s">
        <v>5904</v>
      </c>
      <c r="H137">
        <v>381</v>
      </c>
      <c r="I137">
        <v>388</v>
      </c>
      <c r="J137">
        <v>367</v>
      </c>
      <c r="K137">
        <v>212</v>
      </c>
      <c r="L137">
        <v>272</v>
      </c>
      <c r="M137">
        <v>55.6</v>
      </c>
      <c r="N137">
        <v>71.400000000000006</v>
      </c>
      <c r="O137">
        <v>433.3</v>
      </c>
    </row>
    <row r="138" spans="1:15">
      <c r="A138">
        <v>405</v>
      </c>
      <c r="B138" t="s">
        <v>489</v>
      </c>
      <c r="C138" t="s">
        <v>491</v>
      </c>
      <c r="D138" t="s">
        <v>6367</v>
      </c>
      <c r="E138" t="s">
        <v>6368</v>
      </c>
      <c r="F138" t="s">
        <v>6369</v>
      </c>
      <c r="G138" t="s">
        <v>5904</v>
      </c>
      <c r="H138">
        <v>541</v>
      </c>
      <c r="I138">
        <v>541</v>
      </c>
      <c r="J138">
        <v>541</v>
      </c>
      <c r="K138">
        <v>528</v>
      </c>
      <c r="L138">
        <v>536</v>
      </c>
      <c r="M138">
        <v>97.6</v>
      </c>
      <c r="N138">
        <v>99.1</v>
      </c>
      <c r="O138">
        <v>1097.8</v>
      </c>
    </row>
    <row r="139" spans="1:15">
      <c r="A139">
        <v>404</v>
      </c>
      <c r="B139" t="s">
        <v>6370</v>
      </c>
      <c r="C139" t="s">
        <v>494</v>
      </c>
      <c r="D139" t="s">
        <v>6371</v>
      </c>
      <c r="E139" t="s">
        <v>6372</v>
      </c>
      <c r="F139" t="s">
        <v>6373</v>
      </c>
      <c r="G139" t="s">
        <v>5904</v>
      </c>
      <c r="H139">
        <v>935</v>
      </c>
      <c r="I139">
        <v>935</v>
      </c>
      <c r="J139">
        <v>935</v>
      </c>
      <c r="K139">
        <v>878</v>
      </c>
      <c r="L139">
        <v>916</v>
      </c>
      <c r="M139">
        <v>93.9</v>
      </c>
      <c r="N139">
        <v>98</v>
      </c>
      <c r="O139">
        <v>1781.9</v>
      </c>
    </row>
    <row r="140" spans="1:15">
      <c r="A140">
        <v>2112</v>
      </c>
      <c r="B140" t="s">
        <v>495</v>
      </c>
      <c r="C140" t="s">
        <v>496</v>
      </c>
      <c r="D140" t="s">
        <v>6374</v>
      </c>
      <c r="E140" t="s">
        <v>6375</v>
      </c>
      <c r="F140" t="s">
        <v>6376</v>
      </c>
      <c r="G140" t="s">
        <v>5904</v>
      </c>
      <c r="H140">
        <v>319</v>
      </c>
      <c r="I140">
        <v>318</v>
      </c>
      <c r="J140">
        <v>302</v>
      </c>
      <c r="K140">
        <v>234</v>
      </c>
      <c r="L140">
        <v>260</v>
      </c>
      <c r="M140">
        <v>73.400000000000006</v>
      </c>
      <c r="N140">
        <v>81.5</v>
      </c>
      <c r="O140">
        <v>484.2</v>
      </c>
    </row>
    <row r="141" spans="1:15">
      <c r="A141">
        <v>403</v>
      </c>
      <c r="B141" t="s">
        <v>497</v>
      </c>
      <c r="C141" t="s">
        <v>499</v>
      </c>
      <c r="D141" t="s">
        <v>6377</v>
      </c>
      <c r="E141" t="s">
        <v>6378</v>
      </c>
      <c r="F141" t="s">
        <v>6379</v>
      </c>
      <c r="G141" t="s">
        <v>5904</v>
      </c>
      <c r="H141">
        <v>114</v>
      </c>
      <c r="I141">
        <v>114</v>
      </c>
      <c r="J141">
        <v>114</v>
      </c>
      <c r="K141">
        <v>112</v>
      </c>
      <c r="L141">
        <v>112</v>
      </c>
      <c r="M141">
        <v>98.2</v>
      </c>
      <c r="N141">
        <v>98.2</v>
      </c>
      <c r="O141">
        <v>222.2</v>
      </c>
    </row>
    <row r="142" spans="1:15">
      <c r="A142">
        <v>2111</v>
      </c>
      <c r="B142" t="s">
        <v>500</v>
      </c>
      <c r="C142" t="s">
        <v>501</v>
      </c>
      <c r="D142" t="s">
        <v>6380</v>
      </c>
      <c r="E142" t="s">
        <v>6381</v>
      </c>
      <c r="F142" t="s">
        <v>6382</v>
      </c>
      <c r="G142" t="s">
        <v>5904</v>
      </c>
      <c r="H142">
        <v>465</v>
      </c>
      <c r="I142">
        <v>467</v>
      </c>
      <c r="J142">
        <v>446</v>
      </c>
      <c r="K142">
        <v>414</v>
      </c>
      <c r="L142">
        <v>428</v>
      </c>
      <c r="M142">
        <v>89</v>
      </c>
      <c r="N142">
        <v>92</v>
      </c>
      <c r="O142">
        <v>867.1</v>
      </c>
    </row>
    <row r="143" spans="1:15">
      <c r="A143">
        <v>402</v>
      </c>
      <c r="B143" t="s">
        <v>502</v>
      </c>
      <c r="C143" t="s">
        <v>503</v>
      </c>
      <c r="D143" t="s">
        <v>6383</v>
      </c>
      <c r="E143" t="s">
        <v>6384</v>
      </c>
      <c r="F143" t="s">
        <v>6385</v>
      </c>
      <c r="G143" t="s">
        <v>5904</v>
      </c>
      <c r="H143">
        <v>219</v>
      </c>
      <c r="I143">
        <v>219</v>
      </c>
      <c r="J143">
        <v>219</v>
      </c>
      <c r="K143">
        <v>211</v>
      </c>
      <c r="L143">
        <v>215</v>
      </c>
      <c r="M143">
        <v>96.3</v>
      </c>
      <c r="N143">
        <v>98.2</v>
      </c>
      <c r="O143">
        <v>435.6</v>
      </c>
    </row>
    <row r="144" spans="1:15">
      <c r="A144">
        <v>2110</v>
      </c>
      <c r="B144" t="s">
        <v>504</v>
      </c>
      <c r="C144" t="s">
        <v>505</v>
      </c>
      <c r="D144" t="s">
        <v>6386</v>
      </c>
      <c r="E144" t="s">
        <v>6387</v>
      </c>
      <c r="F144" t="s">
        <v>6388</v>
      </c>
      <c r="G144" t="s">
        <v>5904</v>
      </c>
      <c r="H144">
        <v>111</v>
      </c>
      <c r="I144">
        <v>115</v>
      </c>
      <c r="J144">
        <v>115</v>
      </c>
      <c r="K144">
        <v>82</v>
      </c>
      <c r="L144">
        <v>89</v>
      </c>
      <c r="M144">
        <v>73.900000000000006</v>
      </c>
      <c r="N144">
        <v>80.2</v>
      </c>
      <c r="O144">
        <v>160.19999999999999</v>
      </c>
    </row>
    <row r="145" spans="1:15">
      <c r="A145">
        <v>401</v>
      </c>
      <c r="B145" t="s">
        <v>506</v>
      </c>
      <c r="C145" t="s">
        <v>507</v>
      </c>
      <c r="D145" t="s">
        <v>6389</v>
      </c>
      <c r="E145" t="s">
        <v>6390</v>
      </c>
      <c r="F145" t="s">
        <v>6391</v>
      </c>
      <c r="G145" t="s">
        <v>5904</v>
      </c>
      <c r="H145">
        <v>529</v>
      </c>
      <c r="I145">
        <v>529</v>
      </c>
      <c r="J145">
        <v>529</v>
      </c>
      <c r="K145">
        <v>440</v>
      </c>
      <c r="L145">
        <v>480</v>
      </c>
      <c r="M145">
        <v>83.2</v>
      </c>
      <c r="N145">
        <v>90.7</v>
      </c>
      <c r="O145">
        <v>918.7</v>
      </c>
    </row>
    <row r="146" spans="1:15">
      <c r="A146">
        <v>2109</v>
      </c>
      <c r="B146" t="s">
        <v>508</v>
      </c>
      <c r="C146" t="s">
        <v>510</v>
      </c>
      <c r="D146" t="s">
        <v>6392</v>
      </c>
      <c r="E146" t="s">
        <v>6393</v>
      </c>
      <c r="F146" t="s">
        <v>6394</v>
      </c>
      <c r="G146" t="s">
        <v>5904</v>
      </c>
      <c r="H146">
        <v>490</v>
      </c>
      <c r="I146">
        <v>494</v>
      </c>
      <c r="J146">
        <v>456</v>
      </c>
      <c r="K146">
        <v>393</v>
      </c>
      <c r="L146">
        <v>411</v>
      </c>
      <c r="M146">
        <v>80.2</v>
      </c>
      <c r="N146">
        <v>83.9</v>
      </c>
      <c r="O146">
        <v>474.2</v>
      </c>
    </row>
    <row r="147" spans="1:15">
      <c r="A147">
        <v>400</v>
      </c>
      <c r="B147" t="s">
        <v>6395</v>
      </c>
      <c r="C147" t="s">
        <v>513</v>
      </c>
      <c r="D147" t="s">
        <v>6396</v>
      </c>
      <c r="E147" t="s">
        <v>6397</v>
      </c>
      <c r="F147" t="s">
        <v>6398</v>
      </c>
      <c r="G147" t="s">
        <v>5904</v>
      </c>
      <c r="H147">
        <v>531</v>
      </c>
      <c r="I147">
        <v>531</v>
      </c>
      <c r="J147">
        <v>531</v>
      </c>
      <c r="K147">
        <v>517</v>
      </c>
      <c r="L147">
        <v>531</v>
      </c>
      <c r="M147">
        <v>97.4</v>
      </c>
      <c r="N147">
        <v>100</v>
      </c>
      <c r="O147">
        <v>1065.5</v>
      </c>
    </row>
    <row r="148" spans="1:15">
      <c r="A148">
        <v>399</v>
      </c>
      <c r="B148" t="s">
        <v>514</v>
      </c>
      <c r="C148" t="s">
        <v>6399</v>
      </c>
      <c r="D148" t="s">
        <v>6400</v>
      </c>
      <c r="E148" t="s">
        <v>6401</v>
      </c>
      <c r="F148" t="s">
        <v>6402</v>
      </c>
      <c r="G148" t="s">
        <v>5904</v>
      </c>
      <c r="H148">
        <v>417</v>
      </c>
      <c r="I148">
        <v>417</v>
      </c>
      <c r="J148">
        <v>417</v>
      </c>
      <c r="K148">
        <v>408</v>
      </c>
      <c r="L148">
        <v>414</v>
      </c>
      <c r="M148">
        <v>97.8</v>
      </c>
      <c r="N148">
        <v>99.3</v>
      </c>
      <c r="O148">
        <v>845.5</v>
      </c>
    </row>
    <row r="149" spans="1:15">
      <c r="A149">
        <v>398</v>
      </c>
      <c r="B149" t="s">
        <v>517</v>
      </c>
      <c r="C149" t="s">
        <v>518</v>
      </c>
      <c r="D149" t="s">
        <v>6403</v>
      </c>
      <c r="E149" t="s">
        <v>6404</v>
      </c>
      <c r="F149" t="s">
        <v>6405</v>
      </c>
      <c r="G149" t="s">
        <v>5904</v>
      </c>
      <c r="H149">
        <v>335</v>
      </c>
      <c r="I149">
        <v>335</v>
      </c>
      <c r="J149">
        <v>335</v>
      </c>
      <c r="K149">
        <v>291</v>
      </c>
      <c r="L149">
        <v>304</v>
      </c>
      <c r="M149">
        <v>86.9</v>
      </c>
      <c r="N149">
        <v>90.7</v>
      </c>
      <c r="O149">
        <v>617.79999999999995</v>
      </c>
    </row>
    <row r="150" spans="1:15">
      <c r="A150">
        <v>397</v>
      </c>
      <c r="B150" t="s">
        <v>6406</v>
      </c>
      <c r="C150" t="s">
        <v>521</v>
      </c>
      <c r="D150" t="s">
        <v>6407</v>
      </c>
      <c r="E150" t="s">
        <v>6408</v>
      </c>
      <c r="F150" t="s">
        <v>6409</v>
      </c>
      <c r="G150" t="s">
        <v>5904</v>
      </c>
      <c r="H150">
        <v>222</v>
      </c>
      <c r="I150">
        <v>208</v>
      </c>
      <c r="J150">
        <v>200</v>
      </c>
      <c r="K150">
        <v>186</v>
      </c>
      <c r="L150">
        <v>190</v>
      </c>
      <c r="M150">
        <v>83.8</v>
      </c>
      <c r="N150">
        <v>85.6</v>
      </c>
      <c r="O150">
        <v>379.4</v>
      </c>
    </row>
    <row r="151" spans="1:15">
      <c r="A151">
        <v>396</v>
      </c>
      <c r="B151" t="s">
        <v>6410</v>
      </c>
      <c r="C151" t="s">
        <v>524</v>
      </c>
      <c r="D151" t="s">
        <v>6411</v>
      </c>
      <c r="E151" t="s">
        <v>6412</v>
      </c>
      <c r="F151" t="s">
        <v>6413</v>
      </c>
      <c r="G151" t="s">
        <v>5904</v>
      </c>
      <c r="H151">
        <v>964</v>
      </c>
      <c r="I151">
        <v>969</v>
      </c>
      <c r="J151">
        <v>930</v>
      </c>
      <c r="K151">
        <v>867</v>
      </c>
      <c r="L151">
        <v>896</v>
      </c>
      <c r="M151">
        <v>89.9</v>
      </c>
      <c r="N151">
        <v>92.9</v>
      </c>
      <c r="O151">
        <v>1808.1</v>
      </c>
    </row>
    <row r="152" spans="1:15">
      <c r="A152">
        <v>395</v>
      </c>
      <c r="B152" t="s">
        <v>6414</v>
      </c>
      <c r="C152" t="s">
        <v>527</v>
      </c>
      <c r="D152" t="s">
        <v>6415</v>
      </c>
      <c r="E152" t="s">
        <v>6416</v>
      </c>
      <c r="F152" t="s">
        <v>6417</v>
      </c>
      <c r="G152" t="s">
        <v>5904</v>
      </c>
      <c r="H152">
        <v>1757</v>
      </c>
      <c r="I152">
        <v>1907</v>
      </c>
      <c r="J152">
        <v>1651</v>
      </c>
      <c r="K152">
        <v>1278</v>
      </c>
      <c r="L152">
        <v>1361</v>
      </c>
      <c r="M152">
        <v>72.7</v>
      </c>
      <c r="N152">
        <v>77.5</v>
      </c>
      <c r="O152">
        <v>2307.3000000000002</v>
      </c>
    </row>
    <row r="153" spans="1:15">
      <c r="A153">
        <v>394</v>
      </c>
      <c r="B153" t="s">
        <v>528</v>
      </c>
      <c r="C153" t="s">
        <v>529</v>
      </c>
      <c r="D153" t="s">
        <v>6418</v>
      </c>
      <c r="E153" t="s">
        <v>6419</v>
      </c>
      <c r="F153" t="s">
        <v>6420</v>
      </c>
      <c r="G153" t="s">
        <v>5904</v>
      </c>
      <c r="H153">
        <v>83</v>
      </c>
      <c r="I153">
        <v>83</v>
      </c>
      <c r="J153">
        <v>83</v>
      </c>
      <c r="K153">
        <v>67</v>
      </c>
      <c r="L153">
        <v>75</v>
      </c>
      <c r="M153">
        <v>80.7</v>
      </c>
      <c r="N153">
        <v>90.4</v>
      </c>
      <c r="O153">
        <v>142.5</v>
      </c>
    </row>
    <row r="154" spans="1:15">
      <c r="A154">
        <v>393</v>
      </c>
      <c r="B154" t="s">
        <v>6421</v>
      </c>
      <c r="C154" t="s">
        <v>532</v>
      </c>
      <c r="D154" t="s">
        <v>6422</v>
      </c>
      <c r="E154" t="s">
        <v>6423</v>
      </c>
      <c r="F154" t="s">
        <v>6424</v>
      </c>
      <c r="G154" t="s">
        <v>5904</v>
      </c>
      <c r="H154">
        <v>246</v>
      </c>
      <c r="I154">
        <v>246</v>
      </c>
      <c r="J154">
        <v>246</v>
      </c>
      <c r="K154">
        <v>245</v>
      </c>
      <c r="L154">
        <v>246</v>
      </c>
      <c r="M154">
        <v>99.6</v>
      </c>
      <c r="N154">
        <v>100</v>
      </c>
      <c r="O154">
        <v>512.70000000000005</v>
      </c>
    </row>
    <row r="155" spans="1:15">
      <c r="A155">
        <v>392</v>
      </c>
      <c r="B155" t="s">
        <v>533</v>
      </c>
      <c r="C155" t="s">
        <v>534</v>
      </c>
      <c r="D155" t="s">
        <v>6425</v>
      </c>
      <c r="E155" t="s">
        <v>6426</v>
      </c>
      <c r="F155" t="s">
        <v>6427</v>
      </c>
      <c r="G155" t="s">
        <v>5904</v>
      </c>
      <c r="H155">
        <v>426</v>
      </c>
      <c r="I155">
        <v>426</v>
      </c>
      <c r="J155">
        <v>426</v>
      </c>
      <c r="K155">
        <v>394</v>
      </c>
      <c r="L155">
        <v>409</v>
      </c>
      <c r="M155">
        <v>92.5</v>
      </c>
      <c r="N155">
        <v>96</v>
      </c>
      <c r="O155">
        <v>822.8</v>
      </c>
    </row>
    <row r="156" spans="1:15">
      <c r="A156">
        <v>391</v>
      </c>
      <c r="B156" t="s">
        <v>6428</v>
      </c>
      <c r="C156" t="s">
        <v>537</v>
      </c>
      <c r="D156" t="s">
        <v>6429</v>
      </c>
      <c r="E156" t="s">
        <v>6430</v>
      </c>
      <c r="F156" t="s">
        <v>6431</v>
      </c>
      <c r="G156" t="s">
        <v>5904</v>
      </c>
      <c r="H156">
        <v>446</v>
      </c>
      <c r="I156">
        <v>434</v>
      </c>
      <c r="J156">
        <v>446</v>
      </c>
      <c r="K156">
        <v>426</v>
      </c>
      <c r="L156">
        <v>430</v>
      </c>
      <c r="M156">
        <v>95.5</v>
      </c>
      <c r="N156">
        <v>96.4</v>
      </c>
      <c r="O156">
        <v>875.5</v>
      </c>
    </row>
    <row r="157" spans="1:15">
      <c r="A157">
        <v>390</v>
      </c>
      <c r="B157" t="s">
        <v>6432</v>
      </c>
      <c r="C157" t="s">
        <v>540</v>
      </c>
      <c r="D157" t="s">
        <v>6433</v>
      </c>
      <c r="E157" t="s">
        <v>6434</v>
      </c>
      <c r="F157" t="s">
        <v>6435</v>
      </c>
      <c r="G157" t="s">
        <v>5904</v>
      </c>
      <c r="H157">
        <v>398</v>
      </c>
      <c r="I157">
        <v>398</v>
      </c>
      <c r="J157">
        <v>398</v>
      </c>
      <c r="K157">
        <v>389</v>
      </c>
      <c r="L157">
        <v>397</v>
      </c>
      <c r="M157">
        <v>97.7</v>
      </c>
      <c r="N157">
        <v>99.7</v>
      </c>
      <c r="O157">
        <v>816.2</v>
      </c>
    </row>
    <row r="158" spans="1:15">
      <c r="A158">
        <v>389</v>
      </c>
      <c r="B158" t="s">
        <v>541</v>
      </c>
      <c r="C158" t="s">
        <v>543</v>
      </c>
      <c r="D158" t="s">
        <v>6436</v>
      </c>
      <c r="E158" t="s">
        <v>6437</v>
      </c>
      <c r="F158" t="s">
        <v>6438</v>
      </c>
      <c r="G158" t="s">
        <v>5904</v>
      </c>
      <c r="H158">
        <v>451</v>
      </c>
      <c r="I158">
        <v>452</v>
      </c>
      <c r="J158">
        <v>451</v>
      </c>
      <c r="K158">
        <v>429</v>
      </c>
      <c r="L158">
        <v>442</v>
      </c>
      <c r="M158">
        <v>95.1</v>
      </c>
      <c r="N158">
        <v>98</v>
      </c>
      <c r="O158">
        <v>907.5</v>
      </c>
    </row>
    <row r="159" spans="1:15">
      <c r="A159">
        <v>2108</v>
      </c>
      <c r="B159" t="s">
        <v>544</v>
      </c>
      <c r="C159" t="s">
        <v>546</v>
      </c>
      <c r="D159" t="s">
        <v>6439</v>
      </c>
      <c r="E159" t="s">
        <v>6440</v>
      </c>
      <c r="F159" t="s">
        <v>6441</v>
      </c>
      <c r="G159" t="s">
        <v>5904</v>
      </c>
      <c r="H159">
        <v>104</v>
      </c>
      <c r="I159">
        <v>100</v>
      </c>
      <c r="J159">
        <v>82</v>
      </c>
      <c r="K159">
        <v>76</v>
      </c>
      <c r="L159">
        <v>79</v>
      </c>
      <c r="M159">
        <v>73.099999999999994</v>
      </c>
      <c r="N159">
        <v>76</v>
      </c>
      <c r="O159">
        <v>159.5</v>
      </c>
    </row>
    <row r="160" spans="1:15">
      <c r="A160">
        <v>388</v>
      </c>
      <c r="B160" t="s">
        <v>6442</v>
      </c>
      <c r="C160" t="s">
        <v>550</v>
      </c>
      <c r="D160" t="s">
        <v>6443</v>
      </c>
      <c r="E160" t="s">
        <v>6444</v>
      </c>
      <c r="F160" t="s">
        <v>6445</v>
      </c>
      <c r="G160" t="s">
        <v>5904</v>
      </c>
      <c r="H160">
        <v>914</v>
      </c>
      <c r="I160">
        <v>892</v>
      </c>
      <c r="J160">
        <v>914</v>
      </c>
      <c r="K160">
        <v>886</v>
      </c>
      <c r="L160">
        <v>889</v>
      </c>
      <c r="M160">
        <v>96.9</v>
      </c>
      <c r="N160">
        <v>97.3</v>
      </c>
      <c r="O160">
        <v>1842</v>
      </c>
    </row>
    <row r="161" spans="1:15">
      <c r="A161">
        <v>387</v>
      </c>
      <c r="B161" t="s">
        <v>551</v>
      </c>
      <c r="C161" t="s">
        <v>553</v>
      </c>
      <c r="D161" t="s">
        <v>6446</v>
      </c>
      <c r="E161" t="s">
        <v>6447</v>
      </c>
      <c r="F161" t="s">
        <v>6448</v>
      </c>
      <c r="G161" t="s">
        <v>5904</v>
      </c>
      <c r="H161">
        <v>1939</v>
      </c>
      <c r="I161">
        <v>1939</v>
      </c>
      <c r="J161">
        <v>1939</v>
      </c>
      <c r="K161">
        <v>1871</v>
      </c>
      <c r="L161">
        <v>1900</v>
      </c>
      <c r="M161">
        <v>96.5</v>
      </c>
      <c r="N161">
        <v>98</v>
      </c>
      <c r="O161">
        <v>3816.5</v>
      </c>
    </row>
    <row r="162" spans="1:15">
      <c r="A162">
        <v>386</v>
      </c>
      <c r="B162" t="s">
        <v>6449</v>
      </c>
      <c r="C162" t="s">
        <v>556</v>
      </c>
      <c r="D162" t="s">
        <v>6450</v>
      </c>
      <c r="E162" t="s">
        <v>6451</v>
      </c>
      <c r="F162" t="s">
        <v>6452</v>
      </c>
      <c r="G162" t="s">
        <v>5904</v>
      </c>
      <c r="H162">
        <v>434</v>
      </c>
      <c r="I162">
        <v>428</v>
      </c>
      <c r="J162">
        <v>401</v>
      </c>
      <c r="K162">
        <v>366</v>
      </c>
      <c r="L162">
        <v>374</v>
      </c>
      <c r="M162">
        <v>84.3</v>
      </c>
      <c r="N162">
        <v>86.2</v>
      </c>
      <c r="O162">
        <v>726.9</v>
      </c>
    </row>
    <row r="163" spans="1:15">
      <c r="A163">
        <v>385</v>
      </c>
      <c r="B163" t="s">
        <v>557</v>
      </c>
      <c r="C163" t="s">
        <v>558</v>
      </c>
      <c r="D163" t="s">
        <v>6453</v>
      </c>
      <c r="E163" t="s">
        <v>6454</v>
      </c>
      <c r="F163" t="s">
        <v>6455</v>
      </c>
      <c r="G163" t="s">
        <v>5904</v>
      </c>
      <c r="H163">
        <v>171</v>
      </c>
      <c r="I163">
        <v>181</v>
      </c>
      <c r="J163">
        <v>171</v>
      </c>
      <c r="K163">
        <v>141</v>
      </c>
      <c r="L163">
        <v>151</v>
      </c>
      <c r="M163">
        <v>82.5</v>
      </c>
      <c r="N163">
        <v>88.3</v>
      </c>
      <c r="O163">
        <v>288.5</v>
      </c>
    </row>
    <row r="164" spans="1:15">
      <c r="A164">
        <v>384</v>
      </c>
      <c r="B164" t="s">
        <v>559</v>
      </c>
      <c r="C164" t="s">
        <v>560</v>
      </c>
      <c r="D164" t="s">
        <v>6456</v>
      </c>
      <c r="E164" t="s">
        <v>6457</v>
      </c>
      <c r="F164" t="s">
        <v>6458</v>
      </c>
      <c r="G164" t="s">
        <v>5904</v>
      </c>
      <c r="H164">
        <v>137</v>
      </c>
      <c r="I164">
        <v>137</v>
      </c>
      <c r="J164">
        <v>137</v>
      </c>
      <c r="K164">
        <v>137</v>
      </c>
      <c r="L164">
        <v>137</v>
      </c>
      <c r="M164">
        <v>100</v>
      </c>
      <c r="N164">
        <v>100</v>
      </c>
      <c r="O164">
        <v>287</v>
      </c>
    </row>
    <row r="165" spans="1:15">
      <c r="A165">
        <v>2107</v>
      </c>
      <c r="B165" t="s">
        <v>6459</v>
      </c>
      <c r="C165" t="s">
        <v>563</v>
      </c>
      <c r="D165" t="s">
        <v>6460</v>
      </c>
      <c r="E165" t="s">
        <v>6461</v>
      </c>
      <c r="F165" t="s">
        <v>6462</v>
      </c>
      <c r="G165" t="s">
        <v>5904</v>
      </c>
      <c r="H165">
        <v>190</v>
      </c>
      <c r="I165">
        <v>181</v>
      </c>
      <c r="J165">
        <v>178</v>
      </c>
      <c r="K165">
        <v>128</v>
      </c>
      <c r="L165">
        <v>143</v>
      </c>
      <c r="M165">
        <v>67.400000000000006</v>
      </c>
      <c r="N165">
        <v>75.3</v>
      </c>
      <c r="O165">
        <v>257.7</v>
      </c>
    </row>
    <row r="166" spans="1:15">
      <c r="A166">
        <v>383</v>
      </c>
      <c r="B166" t="s">
        <v>564</v>
      </c>
      <c r="C166" t="s">
        <v>565</v>
      </c>
      <c r="D166" t="s">
        <v>6463</v>
      </c>
      <c r="E166" t="s">
        <v>6464</v>
      </c>
      <c r="F166" t="s">
        <v>6465</v>
      </c>
      <c r="G166" t="s">
        <v>5904</v>
      </c>
      <c r="H166">
        <v>419</v>
      </c>
      <c r="I166">
        <v>419</v>
      </c>
      <c r="J166">
        <v>419</v>
      </c>
      <c r="K166">
        <v>380</v>
      </c>
      <c r="L166">
        <v>399</v>
      </c>
      <c r="M166">
        <v>90.7</v>
      </c>
      <c r="N166">
        <v>95.2</v>
      </c>
      <c r="O166">
        <v>802.4</v>
      </c>
    </row>
    <row r="167" spans="1:15">
      <c r="A167">
        <v>382</v>
      </c>
      <c r="B167" t="s">
        <v>6466</v>
      </c>
      <c r="C167" t="s">
        <v>6467</v>
      </c>
      <c r="D167" t="s">
        <v>6468</v>
      </c>
      <c r="E167" t="s">
        <v>6469</v>
      </c>
      <c r="F167" t="s">
        <v>6470</v>
      </c>
      <c r="G167" t="s">
        <v>5904</v>
      </c>
      <c r="H167">
        <v>151</v>
      </c>
      <c r="I167">
        <v>151</v>
      </c>
      <c r="J167">
        <v>151</v>
      </c>
      <c r="K167">
        <v>149</v>
      </c>
      <c r="L167">
        <v>149</v>
      </c>
      <c r="M167">
        <v>98.7</v>
      </c>
      <c r="N167">
        <v>98.7</v>
      </c>
      <c r="O167">
        <v>303.89999999999998</v>
      </c>
    </row>
    <row r="168" spans="1:15">
      <c r="A168">
        <v>381</v>
      </c>
      <c r="B168" t="s">
        <v>569</v>
      </c>
      <c r="C168" t="s">
        <v>6471</v>
      </c>
      <c r="D168" t="s">
        <v>6472</v>
      </c>
      <c r="E168" t="s">
        <v>6473</v>
      </c>
      <c r="F168" t="s">
        <v>6474</v>
      </c>
      <c r="G168" t="s">
        <v>5904</v>
      </c>
      <c r="H168">
        <v>405</v>
      </c>
      <c r="I168">
        <v>405</v>
      </c>
      <c r="J168">
        <v>392</v>
      </c>
      <c r="K168">
        <v>268</v>
      </c>
      <c r="L168">
        <v>310</v>
      </c>
      <c r="M168">
        <v>66.2</v>
      </c>
      <c r="N168">
        <v>76.5</v>
      </c>
      <c r="O168">
        <v>551.6</v>
      </c>
    </row>
    <row r="169" spans="1:15">
      <c r="A169">
        <v>380</v>
      </c>
      <c r="B169" t="s">
        <v>571</v>
      </c>
      <c r="C169" t="s">
        <v>573</v>
      </c>
      <c r="D169" t="s">
        <v>6475</v>
      </c>
      <c r="E169" t="s">
        <v>6476</v>
      </c>
      <c r="F169" t="s">
        <v>6477</v>
      </c>
      <c r="G169" t="s">
        <v>5904</v>
      </c>
      <c r="H169">
        <v>142</v>
      </c>
      <c r="I169">
        <v>142</v>
      </c>
      <c r="J169">
        <v>142</v>
      </c>
      <c r="K169">
        <v>142</v>
      </c>
      <c r="L169">
        <v>142</v>
      </c>
      <c r="M169">
        <v>100</v>
      </c>
      <c r="N169">
        <v>100</v>
      </c>
      <c r="O169">
        <v>293.89999999999998</v>
      </c>
    </row>
    <row r="170" spans="1:15">
      <c r="A170">
        <v>379</v>
      </c>
      <c r="B170" t="s">
        <v>574</v>
      </c>
      <c r="C170" t="s">
        <v>6478</v>
      </c>
      <c r="D170" t="s">
        <v>6479</v>
      </c>
      <c r="E170" t="s">
        <v>6480</v>
      </c>
      <c r="F170" t="s">
        <v>6481</v>
      </c>
      <c r="G170" t="s">
        <v>5904</v>
      </c>
      <c r="H170">
        <v>152</v>
      </c>
      <c r="I170">
        <v>153</v>
      </c>
      <c r="J170">
        <v>153</v>
      </c>
      <c r="K170">
        <v>142</v>
      </c>
      <c r="L170">
        <v>144</v>
      </c>
      <c r="M170">
        <v>93.4</v>
      </c>
      <c r="N170">
        <v>94.7</v>
      </c>
      <c r="O170">
        <v>210.3</v>
      </c>
    </row>
    <row r="171" spans="1:15">
      <c r="A171">
        <v>378</v>
      </c>
      <c r="B171" t="s">
        <v>576</v>
      </c>
      <c r="C171" t="s">
        <v>577</v>
      </c>
      <c r="D171" t="s">
        <v>6482</v>
      </c>
      <c r="E171" t="s">
        <v>6483</v>
      </c>
      <c r="F171" t="s">
        <v>6484</v>
      </c>
      <c r="G171" t="s">
        <v>5904</v>
      </c>
      <c r="H171">
        <v>316</v>
      </c>
      <c r="I171">
        <v>316</v>
      </c>
      <c r="J171">
        <v>316</v>
      </c>
      <c r="K171">
        <v>283</v>
      </c>
      <c r="L171">
        <v>297</v>
      </c>
      <c r="M171">
        <v>89.6</v>
      </c>
      <c r="N171">
        <v>94</v>
      </c>
      <c r="O171">
        <v>568.9</v>
      </c>
    </row>
    <row r="172" spans="1:15">
      <c r="A172">
        <v>377</v>
      </c>
      <c r="B172" t="s">
        <v>578</v>
      </c>
      <c r="C172" t="s">
        <v>580</v>
      </c>
      <c r="D172" t="s">
        <v>6485</v>
      </c>
      <c r="E172" t="s">
        <v>6486</v>
      </c>
      <c r="F172" t="s">
        <v>6487</v>
      </c>
      <c r="G172" t="s">
        <v>5904</v>
      </c>
      <c r="H172">
        <v>531</v>
      </c>
      <c r="I172">
        <v>531</v>
      </c>
      <c r="J172">
        <v>531</v>
      </c>
      <c r="K172">
        <v>520</v>
      </c>
      <c r="L172">
        <v>525</v>
      </c>
      <c r="M172">
        <v>97.9</v>
      </c>
      <c r="N172">
        <v>98.9</v>
      </c>
      <c r="O172">
        <v>1077</v>
      </c>
    </row>
    <row r="173" spans="1:15">
      <c r="A173">
        <v>376</v>
      </c>
      <c r="B173" t="s">
        <v>581</v>
      </c>
      <c r="C173" t="s">
        <v>582</v>
      </c>
      <c r="D173" t="s">
        <v>6488</v>
      </c>
      <c r="E173" t="s">
        <v>6489</v>
      </c>
      <c r="F173" t="s">
        <v>6490</v>
      </c>
      <c r="G173" t="s">
        <v>5904</v>
      </c>
      <c r="H173">
        <v>363</v>
      </c>
      <c r="I173">
        <v>354</v>
      </c>
      <c r="J173">
        <v>354</v>
      </c>
      <c r="K173">
        <v>323</v>
      </c>
      <c r="L173">
        <v>337</v>
      </c>
      <c r="M173">
        <v>89</v>
      </c>
      <c r="N173">
        <v>92.8</v>
      </c>
      <c r="O173">
        <v>671.4</v>
      </c>
    </row>
    <row r="174" spans="1:15">
      <c r="A174">
        <v>375</v>
      </c>
      <c r="B174" t="s">
        <v>583</v>
      </c>
      <c r="C174" t="s">
        <v>584</v>
      </c>
      <c r="D174" t="s">
        <v>6491</v>
      </c>
      <c r="E174" t="s">
        <v>6492</v>
      </c>
      <c r="F174" t="s">
        <v>6493</v>
      </c>
      <c r="G174" t="s">
        <v>5904</v>
      </c>
      <c r="H174">
        <v>1193</v>
      </c>
      <c r="I174">
        <v>1184</v>
      </c>
      <c r="J174">
        <v>1184</v>
      </c>
      <c r="K174">
        <v>1075</v>
      </c>
      <c r="L174">
        <v>1122</v>
      </c>
      <c r="M174">
        <v>90.1</v>
      </c>
      <c r="N174">
        <v>94</v>
      </c>
      <c r="O174">
        <v>2267.6999999999998</v>
      </c>
    </row>
    <row r="175" spans="1:15">
      <c r="A175">
        <v>2106</v>
      </c>
      <c r="B175" t="s">
        <v>585</v>
      </c>
      <c r="C175" t="s">
        <v>6494</v>
      </c>
      <c r="D175" t="s">
        <v>6495</v>
      </c>
      <c r="E175" t="s">
        <v>6496</v>
      </c>
      <c r="F175" t="s">
        <v>6497</v>
      </c>
      <c r="G175" t="s">
        <v>5904</v>
      </c>
      <c r="H175">
        <v>189</v>
      </c>
      <c r="I175">
        <v>189</v>
      </c>
      <c r="J175">
        <v>189</v>
      </c>
      <c r="K175">
        <v>182</v>
      </c>
      <c r="L175">
        <v>186</v>
      </c>
      <c r="M175">
        <v>96.3</v>
      </c>
      <c r="N175">
        <v>98.4</v>
      </c>
      <c r="O175">
        <v>370.2</v>
      </c>
    </row>
    <row r="176" spans="1:15">
      <c r="A176">
        <v>374</v>
      </c>
      <c r="B176" t="s">
        <v>6498</v>
      </c>
      <c r="C176" t="s">
        <v>589</v>
      </c>
      <c r="D176" t="s">
        <v>6499</v>
      </c>
      <c r="E176" t="s">
        <v>6500</v>
      </c>
      <c r="F176" t="s">
        <v>6501</v>
      </c>
      <c r="G176" t="s">
        <v>5904</v>
      </c>
      <c r="H176">
        <v>457</v>
      </c>
      <c r="I176">
        <v>433</v>
      </c>
      <c r="J176">
        <v>421</v>
      </c>
      <c r="K176">
        <v>361</v>
      </c>
      <c r="L176">
        <v>393</v>
      </c>
      <c r="M176">
        <v>79</v>
      </c>
      <c r="N176">
        <v>86</v>
      </c>
      <c r="O176">
        <v>777.7</v>
      </c>
    </row>
    <row r="177" spans="1:15">
      <c r="A177">
        <v>373</v>
      </c>
      <c r="B177" t="s">
        <v>6502</v>
      </c>
      <c r="C177" t="s">
        <v>592</v>
      </c>
      <c r="D177" t="s">
        <v>6503</v>
      </c>
      <c r="E177" t="s">
        <v>6504</v>
      </c>
      <c r="F177" t="s">
        <v>6505</v>
      </c>
      <c r="G177" t="s">
        <v>5904</v>
      </c>
      <c r="H177">
        <v>179</v>
      </c>
      <c r="I177">
        <v>156</v>
      </c>
      <c r="J177">
        <v>152</v>
      </c>
      <c r="K177">
        <v>111</v>
      </c>
      <c r="L177">
        <v>125</v>
      </c>
      <c r="M177">
        <v>62</v>
      </c>
      <c r="N177">
        <v>69.8</v>
      </c>
      <c r="O177">
        <v>197.6</v>
      </c>
    </row>
    <row r="178" spans="1:15">
      <c r="A178">
        <v>372</v>
      </c>
      <c r="B178" t="s">
        <v>6506</v>
      </c>
      <c r="C178" t="s">
        <v>596</v>
      </c>
      <c r="D178" t="s">
        <v>6507</v>
      </c>
      <c r="E178" t="s">
        <v>6508</v>
      </c>
      <c r="F178" t="s">
        <v>6509</v>
      </c>
      <c r="G178" t="s">
        <v>5904</v>
      </c>
      <c r="H178">
        <v>166</v>
      </c>
      <c r="I178">
        <v>166</v>
      </c>
      <c r="J178">
        <v>166</v>
      </c>
      <c r="K178">
        <v>166</v>
      </c>
      <c r="L178">
        <v>166</v>
      </c>
      <c r="M178">
        <v>100</v>
      </c>
      <c r="N178">
        <v>100</v>
      </c>
      <c r="O178">
        <v>337</v>
      </c>
    </row>
    <row r="179" spans="1:15">
      <c r="A179">
        <v>371</v>
      </c>
      <c r="B179" t="s">
        <v>597</v>
      </c>
      <c r="C179" t="s">
        <v>598</v>
      </c>
      <c r="D179" t="s">
        <v>6510</v>
      </c>
      <c r="E179" t="s">
        <v>6511</v>
      </c>
      <c r="F179" t="s">
        <v>6512</v>
      </c>
      <c r="G179" t="s">
        <v>5904</v>
      </c>
      <c r="H179">
        <v>2323</v>
      </c>
      <c r="I179">
        <v>2322</v>
      </c>
      <c r="J179">
        <v>2323</v>
      </c>
      <c r="K179">
        <v>2040</v>
      </c>
      <c r="L179">
        <v>2153</v>
      </c>
      <c r="M179">
        <v>87.8</v>
      </c>
      <c r="N179">
        <v>92.7</v>
      </c>
      <c r="O179">
        <v>4008.4</v>
      </c>
    </row>
    <row r="180" spans="1:15">
      <c r="A180">
        <v>2105</v>
      </c>
      <c r="B180" t="s">
        <v>6513</v>
      </c>
      <c r="C180" t="s">
        <v>6514</v>
      </c>
      <c r="D180" t="s">
        <v>6515</v>
      </c>
      <c r="E180" t="s">
        <v>6516</v>
      </c>
      <c r="F180" t="s">
        <v>6517</v>
      </c>
      <c r="G180" t="s">
        <v>5904</v>
      </c>
      <c r="H180">
        <v>130</v>
      </c>
      <c r="I180">
        <v>130</v>
      </c>
      <c r="J180">
        <v>130</v>
      </c>
      <c r="K180">
        <v>130</v>
      </c>
      <c r="L180">
        <v>130</v>
      </c>
      <c r="M180">
        <v>100</v>
      </c>
      <c r="N180">
        <v>100</v>
      </c>
      <c r="O180">
        <v>258.8</v>
      </c>
    </row>
    <row r="181" spans="1:15">
      <c r="A181">
        <v>2104</v>
      </c>
      <c r="B181" t="s">
        <v>6518</v>
      </c>
      <c r="C181" t="s">
        <v>6519</v>
      </c>
      <c r="D181" t="s">
        <v>6520</v>
      </c>
      <c r="E181" t="s">
        <v>6521</v>
      </c>
      <c r="F181" t="s">
        <v>6522</v>
      </c>
      <c r="G181" t="s">
        <v>5904</v>
      </c>
      <c r="H181">
        <v>126</v>
      </c>
      <c r="I181">
        <v>126</v>
      </c>
      <c r="J181">
        <v>126</v>
      </c>
      <c r="K181">
        <v>126</v>
      </c>
      <c r="L181">
        <v>126</v>
      </c>
      <c r="M181">
        <v>100</v>
      </c>
      <c r="N181">
        <v>100</v>
      </c>
      <c r="O181">
        <v>254.2</v>
      </c>
    </row>
    <row r="182" spans="1:15">
      <c r="A182">
        <v>370</v>
      </c>
      <c r="B182" t="s">
        <v>607</v>
      </c>
      <c r="C182" t="s">
        <v>608</v>
      </c>
      <c r="D182" t="s">
        <v>6523</v>
      </c>
      <c r="E182" t="s">
        <v>6524</v>
      </c>
      <c r="F182" t="s">
        <v>6525</v>
      </c>
      <c r="G182" t="s">
        <v>5904</v>
      </c>
      <c r="H182">
        <v>383</v>
      </c>
      <c r="I182">
        <v>383</v>
      </c>
      <c r="J182">
        <v>383</v>
      </c>
      <c r="K182">
        <v>333</v>
      </c>
      <c r="L182">
        <v>352</v>
      </c>
      <c r="M182">
        <v>86.9</v>
      </c>
      <c r="N182">
        <v>91.9</v>
      </c>
      <c r="O182">
        <v>670.6</v>
      </c>
    </row>
    <row r="183" spans="1:15">
      <c r="A183">
        <v>369</v>
      </c>
      <c r="B183" t="s">
        <v>6526</v>
      </c>
      <c r="C183" t="s">
        <v>6527</v>
      </c>
      <c r="D183" t="s">
        <v>6528</v>
      </c>
      <c r="E183" t="s">
        <v>6529</v>
      </c>
      <c r="F183" t="s">
        <v>6530</v>
      </c>
      <c r="G183" t="s">
        <v>5904</v>
      </c>
      <c r="H183">
        <v>351</v>
      </c>
      <c r="I183">
        <v>351</v>
      </c>
      <c r="J183">
        <v>351</v>
      </c>
      <c r="K183">
        <v>320</v>
      </c>
      <c r="L183">
        <v>334</v>
      </c>
      <c r="M183">
        <v>91.2</v>
      </c>
      <c r="N183">
        <v>95.2</v>
      </c>
      <c r="O183">
        <v>666</v>
      </c>
    </row>
    <row r="184" spans="1:15">
      <c r="A184">
        <v>2103</v>
      </c>
      <c r="B184" t="s">
        <v>612</v>
      </c>
      <c r="C184" t="s">
        <v>613</v>
      </c>
      <c r="D184" t="s">
        <v>6531</v>
      </c>
      <c r="E184" t="s">
        <v>6532</v>
      </c>
      <c r="F184" t="s">
        <v>6533</v>
      </c>
      <c r="G184" t="s">
        <v>5904</v>
      </c>
      <c r="H184">
        <v>877</v>
      </c>
      <c r="I184">
        <v>831</v>
      </c>
      <c r="J184">
        <v>833</v>
      </c>
      <c r="K184">
        <v>783</v>
      </c>
      <c r="L184">
        <v>801</v>
      </c>
      <c r="M184">
        <v>89.3</v>
      </c>
      <c r="N184">
        <v>91.3</v>
      </c>
      <c r="O184">
        <v>1555.4</v>
      </c>
    </row>
    <row r="185" spans="1:15">
      <c r="A185">
        <v>2102</v>
      </c>
      <c r="B185" t="s">
        <v>614</v>
      </c>
      <c r="C185" t="s">
        <v>615</v>
      </c>
      <c r="D185" t="s">
        <v>6534</v>
      </c>
      <c r="E185" t="s">
        <v>6535</v>
      </c>
      <c r="F185" t="s">
        <v>6536</v>
      </c>
      <c r="G185" t="s">
        <v>5904</v>
      </c>
      <c r="H185">
        <v>241</v>
      </c>
      <c r="I185">
        <v>241</v>
      </c>
      <c r="J185">
        <v>241</v>
      </c>
      <c r="K185">
        <v>241</v>
      </c>
      <c r="L185">
        <v>241</v>
      </c>
      <c r="M185">
        <v>100</v>
      </c>
      <c r="N185">
        <v>100</v>
      </c>
      <c r="O185">
        <v>498</v>
      </c>
    </row>
    <row r="186" spans="1:15">
      <c r="A186">
        <v>2101</v>
      </c>
      <c r="B186" t="s">
        <v>6537</v>
      </c>
      <c r="C186" t="s">
        <v>618</v>
      </c>
      <c r="D186" t="s">
        <v>6538</v>
      </c>
      <c r="E186" t="s">
        <v>6539</v>
      </c>
      <c r="F186" t="s">
        <v>6540</v>
      </c>
      <c r="G186" t="s">
        <v>5904</v>
      </c>
      <c r="H186">
        <v>1079</v>
      </c>
      <c r="I186">
        <v>864</v>
      </c>
      <c r="J186">
        <v>729</v>
      </c>
      <c r="K186">
        <v>675</v>
      </c>
      <c r="L186">
        <v>686</v>
      </c>
      <c r="M186">
        <v>62.6</v>
      </c>
      <c r="N186">
        <v>63.6</v>
      </c>
      <c r="O186">
        <v>1341.2</v>
      </c>
    </row>
    <row r="187" spans="1:15">
      <c r="A187">
        <v>368</v>
      </c>
      <c r="B187" t="s">
        <v>619</v>
      </c>
      <c r="C187" t="s">
        <v>620</v>
      </c>
      <c r="D187" t="s">
        <v>6541</v>
      </c>
      <c r="E187" t="s">
        <v>6542</v>
      </c>
      <c r="F187" t="s">
        <v>6543</v>
      </c>
      <c r="G187" t="s">
        <v>5904</v>
      </c>
      <c r="H187">
        <v>352</v>
      </c>
      <c r="I187">
        <v>352</v>
      </c>
      <c r="J187">
        <v>352</v>
      </c>
      <c r="K187">
        <v>334</v>
      </c>
      <c r="L187">
        <v>342</v>
      </c>
      <c r="M187">
        <v>94.9</v>
      </c>
      <c r="N187">
        <v>97.2</v>
      </c>
      <c r="O187">
        <v>683.7</v>
      </c>
    </row>
    <row r="188" spans="1:15">
      <c r="A188">
        <v>367</v>
      </c>
      <c r="B188" t="s">
        <v>621</v>
      </c>
      <c r="C188" t="s">
        <v>622</v>
      </c>
      <c r="D188" t="s">
        <v>6544</v>
      </c>
      <c r="E188" t="s">
        <v>6545</v>
      </c>
      <c r="F188" t="s">
        <v>6546</v>
      </c>
      <c r="G188" t="s">
        <v>5904</v>
      </c>
      <c r="H188">
        <v>261</v>
      </c>
      <c r="I188">
        <v>261</v>
      </c>
      <c r="J188">
        <v>261</v>
      </c>
      <c r="K188">
        <v>259</v>
      </c>
      <c r="L188">
        <v>259</v>
      </c>
      <c r="M188">
        <v>99.2</v>
      </c>
      <c r="N188">
        <v>99.2</v>
      </c>
      <c r="O188">
        <v>536.20000000000005</v>
      </c>
    </row>
    <row r="189" spans="1:15">
      <c r="A189">
        <v>366</v>
      </c>
      <c r="B189" t="s">
        <v>6547</v>
      </c>
      <c r="C189" t="s">
        <v>625</v>
      </c>
      <c r="D189" t="s">
        <v>6548</v>
      </c>
      <c r="E189" t="s">
        <v>6549</v>
      </c>
      <c r="F189" t="s">
        <v>6550</v>
      </c>
      <c r="G189" t="s">
        <v>5904</v>
      </c>
      <c r="H189">
        <v>420</v>
      </c>
      <c r="I189">
        <v>427</v>
      </c>
      <c r="J189">
        <v>427</v>
      </c>
      <c r="K189">
        <v>399</v>
      </c>
      <c r="L189">
        <v>406</v>
      </c>
      <c r="M189">
        <v>95</v>
      </c>
      <c r="N189">
        <v>96.7</v>
      </c>
      <c r="O189">
        <v>719.5</v>
      </c>
    </row>
    <row r="190" spans="1:15">
      <c r="A190">
        <v>365</v>
      </c>
      <c r="B190" t="s">
        <v>626</v>
      </c>
      <c r="C190" t="s">
        <v>627</v>
      </c>
      <c r="D190" t="s">
        <v>6551</v>
      </c>
      <c r="E190" t="s">
        <v>6552</v>
      </c>
      <c r="F190" t="s">
        <v>6553</v>
      </c>
      <c r="G190" t="s">
        <v>5904</v>
      </c>
      <c r="H190">
        <v>586</v>
      </c>
      <c r="I190">
        <v>574</v>
      </c>
      <c r="J190">
        <v>588</v>
      </c>
      <c r="K190">
        <v>531</v>
      </c>
      <c r="L190">
        <v>544</v>
      </c>
      <c r="M190">
        <v>90.6</v>
      </c>
      <c r="N190">
        <v>92.8</v>
      </c>
      <c r="O190">
        <v>995.3</v>
      </c>
    </row>
    <row r="191" spans="1:15">
      <c r="A191">
        <v>364</v>
      </c>
      <c r="B191" t="s">
        <v>628</v>
      </c>
      <c r="C191" t="s">
        <v>629</v>
      </c>
      <c r="D191" t="s">
        <v>6554</v>
      </c>
      <c r="E191" t="s">
        <v>6555</v>
      </c>
      <c r="F191" t="s">
        <v>6556</v>
      </c>
      <c r="G191" t="s">
        <v>5904</v>
      </c>
      <c r="H191">
        <v>289</v>
      </c>
      <c r="I191">
        <v>289</v>
      </c>
      <c r="J191">
        <v>289</v>
      </c>
      <c r="K191">
        <v>247</v>
      </c>
      <c r="L191">
        <v>265</v>
      </c>
      <c r="M191">
        <v>85.5</v>
      </c>
      <c r="N191">
        <v>91.7</v>
      </c>
      <c r="O191">
        <v>524.20000000000005</v>
      </c>
    </row>
    <row r="192" spans="1:15">
      <c r="A192">
        <v>363</v>
      </c>
      <c r="B192" t="s">
        <v>6557</v>
      </c>
      <c r="C192" t="s">
        <v>632</v>
      </c>
      <c r="D192" t="s">
        <v>6558</v>
      </c>
      <c r="E192" t="s">
        <v>6559</v>
      </c>
      <c r="F192" t="s">
        <v>6560</v>
      </c>
      <c r="G192" t="s">
        <v>5904</v>
      </c>
      <c r="H192">
        <v>338</v>
      </c>
      <c r="I192">
        <v>338</v>
      </c>
      <c r="J192">
        <v>338</v>
      </c>
      <c r="K192">
        <v>325</v>
      </c>
      <c r="L192">
        <v>334</v>
      </c>
      <c r="M192">
        <v>96.2</v>
      </c>
      <c r="N192">
        <v>98.8</v>
      </c>
      <c r="O192">
        <v>679.1</v>
      </c>
    </row>
    <row r="193" spans="1:15">
      <c r="A193">
        <v>362</v>
      </c>
      <c r="B193" t="s">
        <v>633</v>
      </c>
      <c r="C193" t="s">
        <v>6561</v>
      </c>
      <c r="D193" t="s">
        <v>6562</v>
      </c>
      <c r="E193" t="s">
        <v>6563</v>
      </c>
      <c r="F193" t="s">
        <v>6564</v>
      </c>
      <c r="G193" t="s">
        <v>5904</v>
      </c>
      <c r="H193">
        <v>819</v>
      </c>
      <c r="I193">
        <v>817</v>
      </c>
      <c r="J193">
        <v>820</v>
      </c>
      <c r="K193">
        <v>748</v>
      </c>
      <c r="L193">
        <v>774</v>
      </c>
      <c r="M193">
        <v>91.3</v>
      </c>
      <c r="N193">
        <v>94.5</v>
      </c>
      <c r="O193">
        <v>1486.5</v>
      </c>
    </row>
    <row r="194" spans="1:15">
      <c r="A194">
        <v>361</v>
      </c>
      <c r="B194" t="s">
        <v>635</v>
      </c>
      <c r="C194" t="s">
        <v>636</v>
      </c>
      <c r="D194" t="s">
        <v>6565</v>
      </c>
      <c r="E194" t="s">
        <v>6566</v>
      </c>
      <c r="F194" t="s">
        <v>6567</v>
      </c>
      <c r="G194" t="s">
        <v>5904</v>
      </c>
      <c r="H194">
        <v>152</v>
      </c>
      <c r="I194">
        <v>150</v>
      </c>
      <c r="J194">
        <v>152</v>
      </c>
      <c r="K194">
        <v>135</v>
      </c>
      <c r="L194">
        <v>140</v>
      </c>
      <c r="M194">
        <v>88.8</v>
      </c>
      <c r="N194">
        <v>92.1</v>
      </c>
      <c r="O194">
        <v>279.3</v>
      </c>
    </row>
    <row r="195" spans="1:15">
      <c r="A195">
        <v>360</v>
      </c>
      <c r="B195" t="s">
        <v>6568</v>
      </c>
      <c r="C195" t="s">
        <v>639</v>
      </c>
      <c r="D195" t="s">
        <v>6569</v>
      </c>
      <c r="E195" t="s">
        <v>6570</v>
      </c>
      <c r="F195" t="s">
        <v>6571</v>
      </c>
      <c r="G195" t="s">
        <v>5904</v>
      </c>
      <c r="H195">
        <v>340</v>
      </c>
      <c r="I195">
        <v>333</v>
      </c>
      <c r="J195">
        <v>322</v>
      </c>
      <c r="K195">
        <v>303</v>
      </c>
      <c r="L195">
        <v>313</v>
      </c>
      <c r="M195">
        <v>89.1</v>
      </c>
      <c r="N195">
        <v>92.1</v>
      </c>
      <c r="O195">
        <v>621.29999999999995</v>
      </c>
    </row>
    <row r="196" spans="1:15">
      <c r="A196">
        <v>359</v>
      </c>
      <c r="B196" t="s">
        <v>6572</v>
      </c>
      <c r="C196" t="s">
        <v>642</v>
      </c>
      <c r="D196" t="s">
        <v>6573</v>
      </c>
      <c r="E196" t="s">
        <v>6574</v>
      </c>
      <c r="F196" t="s">
        <v>6575</v>
      </c>
      <c r="G196" t="s">
        <v>5904</v>
      </c>
      <c r="H196">
        <v>240</v>
      </c>
      <c r="I196">
        <v>184</v>
      </c>
      <c r="J196">
        <v>184</v>
      </c>
      <c r="K196">
        <v>182</v>
      </c>
      <c r="L196">
        <v>183</v>
      </c>
      <c r="M196">
        <v>75.8</v>
      </c>
      <c r="N196">
        <v>76.2</v>
      </c>
      <c r="O196">
        <v>379.8</v>
      </c>
    </row>
    <row r="197" spans="1:15">
      <c r="A197">
        <v>358</v>
      </c>
      <c r="B197" t="s">
        <v>6576</v>
      </c>
      <c r="C197" t="s">
        <v>645</v>
      </c>
      <c r="D197" t="s">
        <v>6577</v>
      </c>
      <c r="E197" t="s">
        <v>6578</v>
      </c>
      <c r="F197" t="s">
        <v>6579</v>
      </c>
      <c r="G197" t="s">
        <v>5904</v>
      </c>
      <c r="H197">
        <v>372</v>
      </c>
      <c r="I197">
        <v>329</v>
      </c>
      <c r="J197">
        <v>372</v>
      </c>
      <c r="K197">
        <v>303</v>
      </c>
      <c r="L197">
        <v>316</v>
      </c>
      <c r="M197">
        <v>81.5</v>
      </c>
      <c r="N197">
        <v>84.9</v>
      </c>
      <c r="O197">
        <v>585.5</v>
      </c>
    </row>
    <row r="198" spans="1:15">
      <c r="A198">
        <v>357</v>
      </c>
      <c r="B198" t="s">
        <v>646</v>
      </c>
      <c r="C198" t="s">
        <v>647</v>
      </c>
      <c r="D198" t="s">
        <v>6580</v>
      </c>
      <c r="E198" t="s">
        <v>6581</v>
      </c>
      <c r="F198" t="s">
        <v>6582</v>
      </c>
      <c r="G198" t="s">
        <v>5904</v>
      </c>
      <c r="H198">
        <v>153</v>
      </c>
      <c r="I198">
        <v>150</v>
      </c>
      <c r="J198">
        <v>146</v>
      </c>
      <c r="K198">
        <v>80</v>
      </c>
      <c r="L198">
        <v>100</v>
      </c>
      <c r="M198">
        <v>52.3</v>
      </c>
      <c r="N198">
        <v>65.400000000000006</v>
      </c>
      <c r="O198">
        <v>144.80000000000001</v>
      </c>
    </row>
    <row r="199" spans="1:15">
      <c r="A199">
        <v>2100</v>
      </c>
      <c r="B199" t="s">
        <v>648</v>
      </c>
      <c r="C199" t="s">
        <v>650</v>
      </c>
      <c r="D199" t="s">
        <v>6583</v>
      </c>
      <c r="E199" t="s">
        <v>6584</v>
      </c>
      <c r="F199" t="s">
        <v>6585</v>
      </c>
      <c r="G199" t="s">
        <v>5904</v>
      </c>
      <c r="H199">
        <v>245</v>
      </c>
      <c r="I199">
        <v>245</v>
      </c>
      <c r="J199">
        <v>245</v>
      </c>
      <c r="K199">
        <v>245</v>
      </c>
      <c r="L199">
        <v>245</v>
      </c>
      <c r="M199">
        <v>100</v>
      </c>
      <c r="N199">
        <v>100</v>
      </c>
      <c r="O199">
        <v>502.3</v>
      </c>
    </row>
    <row r="200" spans="1:15">
      <c r="A200">
        <v>356</v>
      </c>
      <c r="B200" t="s">
        <v>651</v>
      </c>
      <c r="C200" t="s">
        <v>652</v>
      </c>
      <c r="D200" t="s">
        <v>6580</v>
      </c>
      <c r="E200" t="s">
        <v>6581</v>
      </c>
      <c r="F200" t="s">
        <v>6586</v>
      </c>
      <c r="G200" t="s">
        <v>5904</v>
      </c>
      <c r="H200">
        <v>151</v>
      </c>
      <c r="I200">
        <v>150</v>
      </c>
      <c r="J200">
        <v>143</v>
      </c>
      <c r="K200">
        <v>84</v>
      </c>
      <c r="L200">
        <v>101</v>
      </c>
      <c r="M200">
        <v>55.6</v>
      </c>
      <c r="N200">
        <v>66.900000000000006</v>
      </c>
      <c r="O200">
        <v>169.5</v>
      </c>
    </row>
    <row r="201" spans="1:15">
      <c r="A201">
        <v>355</v>
      </c>
      <c r="B201" t="s">
        <v>6587</v>
      </c>
      <c r="C201" t="s">
        <v>6588</v>
      </c>
      <c r="D201" t="s">
        <v>6589</v>
      </c>
      <c r="E201" t="s">
        <v>6590</v>
      </c>
      <c r="F201" t="s">
        <v>6591</v>
      </c>
      <c r="G201" t="s">
        <v>5904</v>
      </c>
      <c r="H201">
        <v>307</v>
      </c>
      <c r="I201">
        <v>306</v>
      </c>
      <c r="J201">
        <v>307</v>
      </c>
      <c r="K201">
        <v>301</v>
      </c>
      <c r="L201">
        <v>303</v>
      </c>
      <c r="M201">
        <v>98</v>
      </c>
      <c r="N201">
        <v>98.7</v>
      </c>
      <c r="O201">
        <v>604.4</v>
      </c>
    </row>
    <row r="202" spans="1:15">
      <c r="A202">
        <v>354</v>
      </c>
      <c r="B202" t="s">
        <v>656</v>
      </c>
      <c r="C202" t="s">
        <v>657</v>
      </c>
      <c r="D202" t="s">
        <v>6592</v>
      </c>
      <c r="E202" t="s">
        <v>6593</v>
      </c>
      <c r="F202" t="s">
        <v>6594</v>
      </c>
      <c r="G202" t="s">
        <v>5904</v>
      </c>
      <c r="H202">
        <v>263</v>
      </c>
      <c r="I202">
        <v>263</v>
      </c>
      <c r="J202">
        <v>263</v>
      </c>
      <c r="K202">
        <v>254</v>
      </c>
      <c r="L202">
        <v>256</v>
      </c>
      <c r="M202">
        <v>96.6</v>
      </c>
      <c r="N202">
        <v>97.3</v>
      </c>
      <c r="O202">
        <v>514.20000000000005</v>
      </c>
    </row>
    <row r="203" spans="1:15">
      <c r="A203">
        <v>353</v>
      </c>
      <c r="B203" t="s">
        <v>6595</v>
      </c>
      <c r="C203" t="s">
        <v>660</v>
      </c>
      <c r="D203" t="s">
        <v>6596</v>
      </c>
      <c r="E203" t="s">
        <v>6597</v>
      </c>
      <c r="F203" t="s">
        <v>6598</v>
      </c>
      <c r="G203" t="s">
        <v>5904</v>
      </c>
      <c r="H203">
        <v>423</v>
      </c>
      <c r="I203">
        <v>423</v>
      </c>
      <c r="J203">
        <v>423</v>
      </c>
      <c r="K203">
        <v>405</v>
      </c>
      <c r="L203">
        <v>416</v>
      </c>
      <c r="M203">
        <v>95.7</v>
      </c>
      <c r="N203">
        <v>98.3</v>
      </c>
      <c r="O203">
        <v>839.3</v>
      </c>
    </row>
    <row r="204" spans="1:15">
      <c r="A204">
        <v>352</v>
      </c>
      <c r="B204" t="s">
        <v>661</v>
      </c>
      <c r="C204" t="s">
        <v>6599</v>
      </c>
      <c r="D204" t="s">
        <v>6600</v>
      </c>
      <c r="E204" t="s">
        <v>6601</v>
      </c>
      <c r="F204" t="s">
        <v>6602</v>
      </c>
      <c r="G204" t="s">
        <v>5904</v>
      </c>
      <c r="H204">
        <v>450</v>
      </c>
      <c r="I204">
        <v>450</v>
      </c>
      <c r="J204">
        <v>450</v>
      </c>
      <c r="K204">
        <v>415</v>
      </c>
      <c r="L204">
        <v>432</v>
      </c>
      <c r="M204">
        <v>92.2</v>
      </c>
      <c r="N204">
        <v>96</v>
      </c>
      <c r="O204">
        <v>863.2</v>
      </c>
    </row>
    <row r="205" spans="1:15">
      <c r="A205">
        <v>351</v>
      </c>
      <c r="B205" t="s">
        <v>663</v>
      </c>
      <c r="C205" t="s">
        <v>664</v>
      </c>
      <c r="D205" t="s">
        <v>6603</v>
      </c>
      <c r="E205" t="s">
        <v>6604</v>
      </c>
      <c r="F205" t="s">
        <v>6605</v>
      </c>
      <c r="G205" t="s">
        <v>5904</v>
      </c>
      <c r="H205">
        <v>251</v>
      </c>
      <c r="I205">
        <v>255</v>
      </c>
      <c r="J205">
        <v>234</v>
      </c>
      <c r="K205">
        <v>150</v>
      </c>
      <c r="L205">
        <v>178</v>
      </c>
      <c r="M205">
        <v>59.8</v>
      </c>
      <c r="N205">
        <v>70.900000000000006</v>
      </c>
      <c r="O205">
        <v>295</v>
      </c>
    </row>
    <row r="206" spans="1:15">
      <c r="A206">
        <v>350</v>
      </c>
      <c r="B206" t="s">
        <v>665</v>
      </c>
      <c r="C206" t="s">
        <v>666</v>
      </c>
      <c r="D206" t="s">
        <v>6606</v>
      </c>
      <c r="E206" t="s">
        <v>6607</v>
      </c>
      <c r="F206" t="s">
        <v>6608</v>
      </c>
      <c r="G206" t="s">
        <v>5904</v>
      </c>
      <c r="H206">
        <v>118</v>
      </c>
      <c r="I206">
        <v>119</v>
      </c>
      <c r="J206">
        <v>101</v>
      </c>
      <c r="K206">
        <v>75</v>
      </c>
      <c r="L206">
        <v>89</v>
      </c>
      <c r="M206">
        <v>63.6</v>
      </c>
      <c r="N206">
        <v>75.400000000000006</v>
      </c>
      <c r="O206">
        <v>167.5</v>
      </c>
    </row>
    <row r="207" spans="1:15">
      <c r="A207">
        <v>349</v>
      </c>
      <c r="B207" t="s">
        <v>667</v>
      </c>
      <c r="C207" t="s">
        <v>6609</v>
      </c>
      <c r="D207" t="s">
        <v>6610</v>
      </c>
      <c r="E207" t="s">
        <v>6611</v>
      </c>
      <c r="F207" t="s">
        <v>6612</v>
      </c>
      <c r="G207" t="s">
        <v>5904</v>
      </c>
      <c r="H207">
        <v>515</v>
      </c>
      <c r="I207">
        <v>522</v>
      </c>
      <c r="J207">
        <v>522</v>
      </c>
      <c r="K207">
        <v>428</v>
      </c>
      <c r="L207">
        <v>451</v>
      </c>
      <c r="M207">
        <v>83.1</v>
      </c>
      <c r="N207">
        <v>87.6</v>
      </c>
      <c r="O207">
        <v>782.7</v>
      </c>
    </row>
    <row r="208" spans="1:15">
      <c r="A208">
        <v>348</v>
      </c>
      <c r="B208" t="s">
        <v>669</v>
      </c>
      <c r="C208" t="s">
        <v>670</v>
      </c>
      <c r="D208" t="s">
        <v>6613</v>
      </c>
      <c r="E208" t="s">
        <v>6614</v>
      </c>
      <c r="F208" t="s">
        <v>6615</v>
      </c>
      <c r="G208" t="s">
        <v>5904</v>
      </c>
      <c r="H208">
        <v>149</v>
      </c>
      <c r="I208">
        <v>151</v>
      </c>
      <c r="J208">
        <v>147</v>
      </c>
      <c r="K208">
        <v>121</v>
      </c>
      <c r="L208">
        <v>133</v>
      </c>
      <c r="M208">
        <v>81.2</v>
      </c>
      <c r="N208">
        <v>89.3</v>
      </c>
      <c r="O208">
        <v>233</v>
      </c>
    </row>
    <row r="209" spans="1:15">
      <c r="A209">
        <v>347</v>
      </c>
      <c r="B209" t="s">
        <v>671</v>
      </c>
      <c r="C209" t="s">
        <v>6616</v>
      </c>
      <c r="D209" t="s">
        <v>6617</v>
      </c>
      <c r="E209" t="s">
        <v>6618</v>
      </c>
      <c r="F209" t="s">
        <v>6619</v>
      </c>
      <c r="G209" t="s">
        <v>5904</v>
      </c>
      <c r="H209">
        <v>1277</v>
      </c>
      <c r="I209">
        <v>1278</v>
      </c>
      <c r="J209">
        <v>1269</v>
      </c>
      <c r="K209">
        <v>988</v>
      </c>
      <c r="L209">
        <v>1068</v>
      </c>
      <c r="M209">
        <v>77.400000000000006</v>
      </c>
      <c r="N209">
        <v>83.6</v>
      </c>
      <c r="O209">
        <v>1980.3</v>
      </c>
    </row>
    <row r="210" spans="1:15">
      <c r="A210">
        <v>346</v>
      </c>
      <c r="B210" t="s">
        <v>673</v>
      </c>
      <c r="C210" t="s">
        <v>674</v>
      </c>
      <c r="D210" t="s">
        <v>6620</v>
      </c>
      <c r="E210" t="s">
        <v>6621</v>
      </c>
      <c r="F210" t="s">
        <v>6622</v>
      </c>
      <c r="G210" t="s">
        <v>5904</v>
      </c>
      <c r="H210">
        <v>249</v>
      </c>
      <c r="I210">
        <v>249</v>
      </c>
      <c r="J210">
        <v>249</v>
      </c>
      <c r="K210">
        <v>246</v>
      </c>
      <c r="L210">
        <v>248</v>
      </c>
      <c r="M210">
        <v>98.8</v>
      </c>
      <c r="N210">
        <v>99.6</v>
      </c>
      <c r="O210">
        <v>503.1</v>
      </c>
    </row>
    <row r="211" spans="1:15">
      <c r="A211">
        <v>345</v>
      </c>
      <c r="B211" t="s">
        <v>6623</v>
      </c>
      <c r="C211" t="s">
        <v>677</v>
      </c>
      <c r="D211" t="s">
        <v>6624</v>
      </c>
      <c r="E211" t="s">
        <v>6625</v>
      </c>
      <c r="F211" t="s">
        <v>6626</v>
      </c>
      <c r="G211" t="s">
        <v>5904</v>
      </c>
      <c r="H211">
        <v>317</v>
      </c>
      <c r="I211">
        <v>317</v>
      </c>
      <c r="J211">
        <v>317</v>
      </c>
      <c r="K211">
        <v>287</v>
      </c>
      <c r="L211">
        <v>298</v>
      </c>
      <c r="M211">
        <v>90.5</v>
      </c>
      <c r="N211">
        <v>94</v>
      </c>
      <c r="O211">
        <v>545.4</v>
      </c>
    </row>
    <row r="212" spans="1:15">
      <c r="A212">
        <v>344</v>
      </c>
      <c r="B212" t="s">
        <v>678</v>
      </c>
      <c r="C212" t="s">
        <v>679</v>
      </c>
      <c r="D212" t="s">
        <v>6627</v>
      </c>
      <c r="E212" t="s">
        <v>6628</v>
      </c>
      <c r="F212" t="s">
        <v>6629</v>
      </c>
      <c r="G212" t="s">
        <v>5904</v>
      </c>
      <c r="H212">
        <v>550</v>
      </c>
      <c r="I212">
        <v>550</v>
      </c>
      <c r="J212">
        <v>550</v>
      </c>
      <c r="K212">
        <v>531</v>
      </c>
      <c r="L212">
        <v>537</v>
      </c>
      <c r="M212">
        <v>96.5</v>
      </c>
      <c r="N212">
        <v>97.6</v>
      </c>
      <c r="O212">
        <v>1096.7</v>
      </c>
    </row>
    <row r="213" spans="1:15">
      <c r="A213">
        <v>343</v>
      </c>
      <c r="B213" t="s">
        <v>680</v>
      </c>
      <c r="C213" t="s">
        <v>681</v>
      </c>
      <c r="D213" t="s">
        <v>6630</v>
      </c>
      <c r="E213" t="s">
        <v>6631</v>
      </c>
      <c r="F213" t="s">
        <v>6632</v>
      </c>
      <c r="G213" t="s">
        <v>5904</v>
      </c>
      <c r="H213">
        <v>381</v>
      </c>
      <c r="I213">
        <v>381</v>
      </c>
      <c r="J213">
        <v>381</v>
      </c>
      <c r="K213">
        <v>371</v>
      </c>
      <c r="L213">
        <v>377</v>
      </c>
      <c r="M213">
        <v>97.4</v>
      </c>
      <c r="N213">
        <v>99</v>
      </c>
      <c r="O213">
        <v>775.4</v>
      </c>
    </row>
    <row r="214" spans="1:15">
      <c r="A214">
        <v>342</v>
      </c>
      <c r="B214" t="s">
        <v>6633</v>
      </c>
      <c r="C214" t="s">
        <v>685</v>
      </c>
      <c r="D214" t="s">
        <v>6634</v>
      </c>
      <c r="E214" t="s">
        <v>6635</v>
      </c>
      <c r="F214" t="s">
        <v>6636</v>
      </c>
      <c r="G214" t="s">
        <v>5904</v>
      </c>
      <c r="H214">
        <v>903</v>
      </c>
      <c r="I214">
        <v>847</v>
      </c>
      <c r="J214">
        <v>850</v>
      </c>
      <c r="K214">
        <v>796</v>
      </c>
      <c r="L214">
        <v>828</v>
      </c>
      <c r="M214">
        <v>88.2</v>
      </c>
      <c r="N214">
        <v>91.7</v>
      </c>
      <c r="O214">
        <v>1627.5</v>
      </c>
    </row>
    <row r="215" spans="1:15">
      <c r="A215">
        <v>341</v>
      </c>
      <c r="B215" t="s">
        <v>686</v>
      </c>
      <c r="C215" t="s">
        <v>6637</v>
      </c>
      <c r="D215" t="s">
        <v>6638</v>
      </c>
      <c r="E215" t="s">
        <v>6639</v>
      </c>
      <c r="F215" t="s">
        <v>6640</v>
      </c>
      <c r="G215" t="s">
        <v>5904</v>
      </c>
      <c r="H215">
        <v>430</v>
      </c>
      <c r="I215">
        <v>387</v>
      </c>
      <c r="J215">
        <v>362</v>
      </c>
      <c r="K215">
        <v>243</v>
      </c>
      <c r="L215">
        <v>278</v>
      </c>
      <c r="M215">
        <v>56.5</v>
      </c>
      <c r="N215">
        <v>64.7</v>
      </c>
      <c r="O215">
        <v>511.1</v>
      </c>
    </row>
    <row r="216" spans="1:15">
      <c r="A216">
        <v>2099</v>
      </c>
      <c r="B216" t="s">
        <v>6641</v>
      </c>
      <c r="C216" t="s">
        <v>691</v>
      </c>
      <c r="D216" t="s">
        <v>6642</v>
      </c>
      <c r="E216" t="s">
        <v>6643</v>
      </c>
      <c r="F216" t="s">
        <v>6644</v>
      </c>
      <c r="G216" t="s">
        <v>5904</v>
      </c>
      <c r="H216">
        <v>285</v>
      </c>
      <c r="I216">
        <v>285</v>
      </c>
      <c r="J216">
        <v>285</v>
      </c>
      <c r="K216">
        <v>270</v>
      </c>
      <c r="L216">
        <v>277</v>
      </c>
      <c r="M216">
        <v>94.7</v>
      </c>
      <c r="N216">
        <v>97.2</v>
      </c>
      <c r="O216">
        <v>557.79999999999995</v>
      </c>
    </row>
    <row r="217" spans="1:15">
      <c r="A217">
        <v>340</v>
      </c>
      <c r="B217" t="s">
        <v>6645</v>
      </c>
      <c r="C217" t="s">
        <v>694</v>
      </c>
      <c r="D217" t="s">
        <v>6646</v>
      </c>
      <c r="E217" t="s">
        <v>6647</v>
      </c>
      <c r="F217" t="s">
        <v>6648</v>
      </c>
      <c r="G217" t="s">
        <v>5904</v>
      </c>
      <c r="H217">
        <v>148</v>
      </c>
      <c r="I217">
        <v>148</v>
      </c>
      <c r="J217">
        <v>148</v>
      </c>
      <c r="K217">
        <v>141</v>
      </c>
      <c r="L217">
        <v>143</v>
      </c>
      <c r="M217">
        <v>95.3</v>
      </c>
      <c r="N217">
        <v>96.6</v>
      </c>
      <c r="O217">
        <v>288.10000000000002</v>
      </c>
    </row>
    <row r="218" spans="1:15">
      <c r="A218">
        <v>2098</v>
      </c>
      <c r="B218" t="s">
        <v>695</v>
      </c>
      <c r="C218" t="s">
        <v>697</v>
      </c>
      <c r="D218" t="s">
        <v>6649</v>
      </c>
      <c r="E218" t="s">
        <v>6650</v>
      </c>
      <c r="F218" t="s">
        <v>6651</v>
      </c>
      <c r="G218" t="s">
        <v>5904</v>
      </c>
      <c r="H218">
        <v>524</v>
      </c>
      <c r="I218">
        <v>524</v>
      </c>
      <c r="J218">
        <v>504</v>
      </c>
      <c r="K218">
        <v>468</v>
      </c>
      <c r="L218">
        <v>491</v>
      </c>
      <c r="M218">
        <v>89.3</v>
      </c>
      <c r="N218">
        <v>93.7</v>
      </c>
      <c r="O218">
        <v>995.3</v>
      </c>
    </row>
    <row r="219" spans="1:15">
      <c r="A219">
        <v>339</v>
      </c>
      <c r="B219" t="s">
        <v>698</v>
      </c>
      <c r="C219" t="s">
        <v>699</v>
      </c>
      <c r="D219" t="s">
        <v>6652</v>
      </c>
      <c r="E219" t="s">
        <v>6653</v>
      </c>
      <c r="F219" t="s">
        <v>6654</v>
      </c>
      <c r="G219" t="s">
        <v>5904</v>
      </c>
      <c r="H219">
        <v>356</v>
      </c>
      <c r="I219">
        <v>357</v>
      </c>
      <c r="J219">
        <v>355</v>
      </c>
      <c r="K219">
        <v>318</v>
      </c>
      <c r="L219">
        <v>339</v>
      </c>
      <c r="M219">
        <v>89.3</v>
      </c>
      <c r="N219">
        <v>95.2</v>
      </c>
      <c r="O219">
        <v>664.1</v>
      </c>
    </row>
    <row r="220" spans="1:15">
      <c r="A220">
        <v>338</v>
      </c>
      <c r="B220" t="s">
        <v>700</v>
      </c>
      <c r="C220" t="s">
        <v>701</v>
      </c>
      <c r="D220" t="s">
        <v>6655</v>
      </c>
      <c r="E220" t="s">
        <v>6656</v>
      </c>
      <c r="F220" t="s">
        <v>6657</v>
      </c>
      <c r="G220" t="s">
        <v>5904</v>
      </c>
      <c r="H220">
        <v>349</v>
      </c>
      <c r="I220">
        <v>348</v>
      </c>
      <c r="J220">
        <v>347</v>
      </c>
      <c r="K220">
        <v>331</v>
      </c>
      <c r="L220">
        <v>343</v>
      </c>
      <c r="M220">
        <v>94.8</v>
      </c>
      <c r="N220">
        <v>98.3</v>
      </c>
      <c r="O220">
        <v>689.9</v>
      </c>
    </row>
    <row r="221" spans="1:15">
      <c r="A221">
        <v>337</v>
      </c>
      <c r="B221" t="s">
        <v>702</v>
      </c>
      <c r="C221" t="s">
        <v>703</v>
      </c>
      <c r="D221" t="s">
        <v>6658</v>
      </c>
      <c r="E221" t="s">
        <v>6659</v>
      </c>
      <c r="F221" t="s">
        <v>6660</v>
      </c>
      <c r="G221" t="s">
        <v>5904</v>
      </c>
      <c r="H221">
        <v>239</v>
      </c>
      <c r="I221">
        <v>239</v>
      </c>
      <c r="J221">
        <v>239</v>
      </c>
      <c r="K221">
        <v>231</v>
      </c>
      <c r="L221">
        <v>235</v>
      </c>
      <c r="M221">
        <v>96.7</v>
      </c>
      <c r="N221">
        <v>98.3</v>
      </c>
      <c r="O221">
        <v>475.3</v>
      </c>
    </row>
    <row r="222" spans="1:15">
      <c r="A222">
        <v>336</v>
      </c>
      <c r="B222" t="s">
        <v>6661</v>
      </c>
      <c r="C222" t="s">
        <v>706</v>
      </c>
      <c r="D222" t="s">
        <v>6662</v>
      </c>
      <c r="E222" t="s">
        <v>6663</v>
      </c>
      <c r="F222" t="s">
        <v>6664</v>
      </c>
      <c r="G222" t="s">
        <v>5904</v>
      </c>
      <c r="H222">
        <v>164</v>
      </c>
      <c r="I222">
        <v>176</v>
      </c>
      <c r="J222">
        <v>164</v>
      </c>
      <c r="K222">
        <v>142</v>
      </c>
      <c r="L222">
        <v>153</v>
      </c>
      <c r="M222">
        <v>86.6</v>
      </c>
      <c r="N222">
        <v>93.3</v>
      </c>
      <c r="O222">
        <v>303.10000000000002</v>
      </c>
    </row>
    <row r="223" spans="1:15">
      <c r="A223">
        <v>335</v>
      </c>
      <c r="B223" t="s">
        <v>6665</v>
      </c>
      <c r="C223" t="s">
        <v>709</v>
      </c>
      <c r="D223" t="s">
        <v>6666</v>
      </c>
      <c r="E223" t="s">
        <v>6667</v>
      </c>
      <c r="F223" t="s">
        <v>6668</v>
      </c>
      <c r="G223" t="s">
        <v>5904</v>
      </c>
      <c r="H223">
        <v>81</v>
      </c>
      <c r="I223">
        <v>81</v>
      </c>
      <c r="J223">
        <v>81</v>
      </c>
      <c r="K223">
        <v>81</v>
      </c>
      <c r="L223">
        <v>81</v>
      </c>
      <c r="M223">
        <v>100</v>
      </c>
      <c r="N223">
        <v>100</v>
      </c>
      <c r="O223">
        <v>159.80000000000001</v>
      </c>
    </row>
    <row r="224" spans="1:15">
      <c r="A224">
        <v>334</v>
      </c>
      <c r="B224" t="s">
        <v>710</v>
      </c>
      <c r="C224" t="s">
        <v>711</v>
      </c>
      <c r="D224" t="s">
        <v>6669</v>
      </c>
      <c r="E224" t="s">
        <v>6670</v>
      </c>
      <c r="F224" t="s">
        <v>6671</v>
      </c>
      <c r="G224" t="s">
        <v>5904</v>
      </c>
      <c r="H224">
        <v>212</v>
      </c>
      <c r="I224">
        <v>212</v>
      </c>
      <c r="J224">
        <v>212</v>
      </c>
      <c r="K224">
        <v>198</v>
      </c>
      <c r="L224">
        <v>202</v>
      </c>
      <c r="M224">
        <v>93.4</v>
      </c>
      <c r="N224">
        <v>95.3</v>
      </c>
      <c r="O224">
        <v>416.8</v>
      </c>
    </row>
    <row r="225" spans="1:15">
      <c r="A225">
        <v>2097</v>
      </c>
      <c r="B225" t="s">
        <v>712</v>
      </c>
      <c r="C225" t="s">
        <v>713</v>
      </c>
      <c r="D225" t="s">
        <v>6672</v>
      </c>
      <c r="E225" t="s">
        <v>6673</v>
      </c>
      <c r="F225" t="s">
        <v>6674</v>
      </c>
      <c r="G225" t="s">
        <v>5904</v>
      </c>
      <c r="H225">
        <v>449</v>
      </c>
      <c r="I225">
        <v>388</v>
      </c>
      <c r="J225">
        <v>375</v>
      </c>
      <c r="K225">
        <v>236</v>
      </c>
      <c r="L225">
        <v>297</v>
      </c>
      <c r="M225">
        <v>52.6</v>
      </c>
      <c r="N225">
        <v>66.099999999999994</v>
      </c>
      <c r="O225">
        <v>500</v>
      </c>
    </row>
    <row r="226" spans="1:15">
      <c r="A226">
        <v>333</v>
      </c>
      <c r="B226" t="s">
        <v>714</v>
      </c>
      <c r="C226" t="s">
        <v>715</v>
      </c>
      <c r="D226" t="s">
        <v>6675</v>
      </c>
      <c r="E226" t="s">
        <v>6676</v>
      </c>
      <c r="F226" t="s">
        <v>6677</v>
      </c>
      <c r="G226" t="s">
        <v>5904</v>
      </c>
      <c r="H226">
        <v>427</v>
      </c>
      <c r="I226">
        <v>427</v>
      </c>
      <c r="J226">
        <v>426</v>
      </c>
      <c r="K226">
        <v>309</v>
      </c>
      <c r="L226">
        <v>364</v>
      </c>
      <c r="M226">
        <v>72.400000000000006</v>
      </c>
      <c r="N226">
        <v>85.2</v>
      </c>
      <c r="O226">
        <v>612.1</v>
      </c>
    </row>
    <row r="227" spans="1:15">
      <c r="A227">
        <v>2096</v>
      </c>
      <c r="B227" t="s">
        <v>6678</v>
      </c>
      <c r="C227" t="s">
        <v>718</v>
      </c>
      <c r="D227" t="s">
        <v>6679</v>
      </c>
      <c r="E227" t="s">
        <v>6680</v>
      </c>
      <c r="F227" t="s">
        <v>6681</v>
      </c>
      <c r="G227" t="s">
        <v>5904</v>
      </c>
      <c r="H227">
        <v>605</v>
      </c>
      <c r="I227">
        <v>584</v>
      </c>
      <c r="J227">
        <v>605</v>
      </c>
      <c r="K227">
        <v>473</v>
      </c>
      <c r="L227">
        <v>524</v>
      </c>
      <c r="M227">
        <v>78.2</v>
      </c>
      <c r="N227">
        <v>86.6</v>
      </c>
      <c r="O227">
        <v>958.7</v>
      </c>
    </row>
    <row r="228" spans="1:15">
      <c r="A228">
        <v>332</v>
      </c>
      <c r="B228" t="s">
        <v>719</v>
      </c>
      <c r="C228" t="s">
        <v>720</v>
      </c>
      <c r="D228" t="s">
        <v>6682</v>
      </c>
      <c r="E228" t="s">
        <v>6683</v>
      </c>
      <c r="F228" t="s">
        <v>6684</v>
      </c>
      <c r="G228" t="s">
        <v>5904</v>
      </c>
      <c r="H228">
        <v>527</v>
      </c>
      <c r="I228">
        <v>529</v>
      </c>
      <c r="J228">
        <v>542</v>
      </c>
      <c r="K228">
        <v>423</v>
      </c>
      <c r="L228">
        <v>456</v>
      </c>
      <c r="M228">
        <v>80.3</v>
      </c>
      <c r="N228">
        <v>86.5</v>
      </c>
      <c r="O228">
        <v>788.1</v>
      </c>
    </row>
    <row r="229" spans="1:15">
      <c r="A229">
        <v>331</v>
      </c>
      <c r="B229" t="s">
        <v>6685</v>
      </c>
      <c r="C229" t="s">
        <v>723</v>
      </c>
      <c r="D229" t="s">
        <v>6686</v>
      </c>
      <c r="E229" t="s">
        <v>6687</v>
      </c>
      <c r="F229" t="s">
        <v>6688</v>
      </c>
      <c r="G229" t="s">
        <v>5904</v>
      </c>
      <c r="H229">
        <v>468</v>
      </c>
      <c r="I229">
        <v>468</v>
      </c>
      <c r="J229">
        <v>468</v>
      </c>
      <c r="K229">
        <v>451</v>
      </c>
      <c r="L229">
        <v>458</v>
      </c>
      <c r="M229">
        <v>96.4</v>
      </c>
      <c r="N229">
        <v>97.9</v>
      </c>
      <c r="O229">
        <v>938.7</v>
      </c>
    </row>
    <row r="230" spans="1:15">
      <c r="A230">
        <v>330</v>
      </c>
      <c r="B230" t="s">
        <v>6689</v>
      </c>
      <c r="C230" t="s">
        <v>726</v>
      </c>
      <c r="D230" t="s">
        <v>6690</v>
      </c>
      <c r="E230" t="s">
        <v>6691</v>
      </c>
      <c r="F230" t="s">
        <v>6692</v>
      </c>
      <c r="G230" t="s">
        <v>5904</v>
      </c>
      <c r="H230">
        <v>403</v>
      </c>
      <c r="I230">
        <v>389</v>
      </c>
      <c r="J230">
        <v>389</v>
      </c>
      <c r="K230">
        <v>389</v>
      </c>
      <c r="L230">
        <v>389</v>
      </c>
      <c r="M230">
        <v>96.5</v>
      </c>
      <c r="N230">
        <v>96.5</v>
      </c>
      <c r="O230">
        <v>795.8</v>
      </c>
    </row>
    <row r="231" spans="1:15">
      <c r="A231">
        <v>329</v>
      </c>
      <c r="B231" t="s">
        <v>727</v>
      </c>
      <c r="C231" t="s">
        <v>728</v>
      </c>
      <c r="D231" t="s">
        <v>6693</v>
      </c>
      <c r="E231" t="s">
        <v>6694</v>
      </c>
      <c r="F231" t="s">
        <v>6695</v>
      </c>
      <c r="G231" t="s">
        <v>5904</v>
      </c>
      <c r="H231">
        <v>489</v>
      </c>
      <c r="I231">
        <v>490</v>
      </c>
      <c r="J231">
        <v>490</v>
      </c>
      <c r="K231">
        <v>393</v>
      </c>
      <c r="L231">
        <v>415</v>
      </c>
      <c r="M231">
        <v>80.400000000000006</v>
      </c>
      <c r="N231">
        <v>84.9</v>
      </c>
      <c r="O231">
        <v>770</v>
      </c>
    </row>
    <row r="232" spans="1:15">
      <c r="A232">
        <v>328</v>
      </c>
      <c r="B232" t="s">
        <v>729</v>
      </c>
      <c r="C232" t="s">
        <v>730</v>
      </c>
      <c r="D232" t="s">
        <v>6696</v>
      </c>
      <c r="E232" t="s">
        <v>6697</v>
      </c>
      <c r="F232" t="s">
        <v>6698</v>
      </c>
      <c r="G232" t="s">
        <v>5904</v>
      </c>
      <c r="H232">
        <v>974</v>
      </c>
      <c r="I232">
        <v>967</v>
      </c>
      <c r="J232">
        <v>974</v>
      </c>
      <c r="K232">
        <v>751</v>
      </c>
      <c r="L232">
        <v>843</v>
      </c>
      <c r="M232">
        <v>77.099999999999994</v>
      </c>
      <c r="N232">
        <v>86.6</v>
      </c>
      <c r="O232">
        <v>1545.4</v>
      </c>
    </row>
    <row r="233" spans="1:15">
      <c r="A233">
        <v>2095</v>
      </c>
      <c r="B233" t="s">
        <v>731</v>
      </c>
      <c r="C233" t="s">
        <v>732</v>
      </c>
      <c r="D233" t="s">
        <v>6699</v>
      </c>
      <c r="E233" t="s">
        <v>6700</v>
      </c>
      <c r="F233" t="s">
        <v>6701</v>
      </c>
      <c r="G233" t="s">
        <v>5904</v>
      </c>
      <c r="H233">
        <v>113</v>
      </c>
      <c r="I233">
        <v>114</v>
      </c>
      <c r="J233">
        <v>114</v>
      </c>
      <c r="K233">
        <v>96</v>
      </c>
      <c r="L233">
        <v>103</v>
      </c>
      <c r="M233">
        <v>85</v>
      </c>
      <c r="N233">
        <v>91.2</v>
      </c>
      <c r="O233">
        <v>191</v>
      </c>
    </row>
    <row r="234" spans="1:15">
      <c r="A234">
        <v>327</v>
      </c>
      <c r="B234" t="s">
        <v>733</v>
      </c>
      <c r="C234" t="s">
        <v>734</v>
      </c>
      <c r="D234" t="s">
        <v>6702</v>
      </c>
      <c r="E234" t="s">
        <v>6703</v>
      </c>
      <c r="F234" t="s">
        <v>6704</v>
      </c>
      <c r="G234" t="s">
        <v>5904</v>
      </c>
      <c r="H234">
        <v>121</v>
      </c>
      <c r="I234">
        <v>165</v>
      </c>
      <c r="J234">
        <v>121</v>
      </c>
      <c r="K234">
        <v>120</v>
      </c>
      <c r="L234">
        <v>121</v>
      </c>
      <c r="M234">
        <v>99.2</v>
      </c>
      <c r="N234">
        <v>100</v>
      </c>
      <c r="O234">
        <v>251.5</v>
      </c>
    </row>
    <row r="235" spans="1:15">
      <c r="A235">
        <v>326</v>
      </c>
      <c r="B235" t="s">
        <v>735</v>
      </c>
      <c r="C235" t="s">
        <v>736</v>
      </c>
      <c r="D235" t="s">
        <v>6705</v>
      </c>
      <c r="E235" t="s">
        <v>6706</v>
      </c>
      <c r="F235" t="s">
        <v>6707</v>
      </c>
      <c r="G235" t="s">
        <v>5904</v>
      </c>
      <c r="H235">
        <v>1367</v>
      </c>
      <c r="I235">
        <v>1366</v>
      </c>
      <c r="J235">
        <v>1367</v>
      </c>
      <c r="K235">
        <v>1281</v>
      </c>
      <c r="L235">
        <v>1314</v>
      </c>
      <c r="M235">
        <v>93.7</v>
      </c>
      <c r="N235">
        <v>96.1</v>
      </c>
      <c r="O235">
        <v>1764.6</v>
      </c>
    </row>
    <row r="236" spans="1:15">
      <c r="A236">
        <v>325</v>
      </c>
      <c r="B236" t="s">
        <v>737</v>
      </c>
      <c r="C236" t="s">
        <v>739</v>
      </c>
      <c r="D236" t="s">
        <v>6708</v>
      </c>
      <c r="E236" t="s">
        <v>6709</v>
      </c>
      <c r="F236" t="s">
        <v>6710</v>
      </c>
      <c r="G236" t="s">
        <v>5904</v>
      </c>
      <c r="H236">
        <v>217</v>
      </c>
      <c r="I236">
        <v>247</v>
      </c>
      <c r="J236">
        <v>216</v>
      </c>
      <c r="K236">
        <v>174</v>
      </c>
      <c r="L236">
        <v>195</v>
      </c>
      <c r="M236">
        <v>80.2</v>
      </c>
      <c r="N236">
        <v>89.9</v>
      </c>
      <c r="O236">
        <v>370.5</v>
      </c>
    </row>
    <row r="237" spans="1:15">
      <c r="A237">
        <v>324</v>
      </c>
      <c r="B237" t="s">
        <v>6711</v>
      </c>
      <c r="C237" t="s">
        <v>742</v>
      </c>
      <c r="D237" t="s">
        <v>6712</v>
      </c>
      <c r="E237" t="s">
        <v>6713</v>
      </c>
      <c r="F237" t="s">
        <v>6714</v>
      </c>
      <c r="G237" t="s">
        <v>5904</v>
      </c>
      <c r="H237">
        <v>226</v>
      </c>
      <c r="I237">
        <v>163</v>
      </c>
      <c r="J237">
        <v>163</v>
      </c>
      <c r="K237">
        <v>129</v>
      </c>
      <c r="L237">
        <v>146</v>
      </c>
      <c r="M237">
        <v>57.1</v>
      </c>
      <c r="N237">
        <v>64.599999999999994</v>
      </c>
      <c r="O237">
        <v>271.2</v>
      </c>
    </row>
    <row r="238" spans="1:15">
      <c r="A238">
        <v>323</v>
      </c>
      <c r="B238" t="s">
        <v>6715</v>
      </c>
      <c r="C238" t="s">
        <v>745</v>
      </c>
      <c r="D238" t="s">
        <v>6716</v>
      </c>
      <c r="E238" t="s">
        <v>6717</v>
      </c>
      <c r="F238" t="s">
        <v>6718</v>
      </c>
      <c r="G238" t="s">
        <v>5904</v>
      </c>
      <c r="H238">
        <v>1207</v>
      </c>
      <c r="I238">
        <v>1210</v>
      </c>
      <c r="J238">
        <v>1210</v>
      </c>
      <c r="K238">
        <v>1110</v>
      </c>
      <c r="L238">
        <v>1154</v>
      </c>
      <c r="M238">
        <v>92</v>
      </c>
      <c r="N238">
        <v>95.6</v>
      </c>
      <c r="O238">
        <v>2257.6</v>
      </c>
    </row>
    <row r="239" spans="1:15">
      <c r="A239">
        <v>322</v>
      </c>
      <c r="B239" t="s">
        <v>6719</v>
      </c>
      <c r="C239" t="s">
        <v>748</v>
      </c>
      <c r="D239" t="s">
        <v>6720</v>
      </c>
      <c r="E239" t="s">
        <v>6721</v>
      </c>
      <c r="F239" t="s">
        <v>6722</v>
      </c>
      <c r="G239" t="s">
        <v>5904</v>
      </c>
      <c r="H239">
        <v>243</v>
      </c>
      <c r="I239">
        <v>243</v>
      </c>
      <c r="J239">
        <v>243</v>
      </c>
      <c r="K239">
        <v>212</v>
      </c>
      <c r="L239">
        <v>225</v>
      </c>
      <c r="M239">
        <v>87.2</v>
      </c>
      <c r="N239">
        <v>92.6</v>
      </c>
      <c r="O239">
        <v>445.7</v>
      </c>
    </row>
    <row r="240" spans="1:15">
      <c r="A240">
        <v>321</v>
      </c>
      <c r="B240" t="s">
        <v>749</v>
      </c>
      <c r="C240" t="s">
        <v>750</v>
      </c>
      <c r="D240" t="s">
        <v>6723</v>
      </c>
      <c r="E240" t="s">
        <v>6724</v>
      </c>
      <c r="F240" t="s">
        <v>6725</v>
      </c>
      <c r="G240" t="s">
        <v>5904</v>
      </c>
      <c r="H240">
        <v>433</v>
      </c>
      <c r="I240">
        <v>433</v>
      </c>
      <c r="J240">
        <v>433</v>
      </c>
      <c r="K240">
        <v>433</v>
      </c>
      <c r="L240">
        <v>433</v>
      </c>
      <c r="M240">
        <v>100</v>
      </c>
      <c r="N240">
        <v>100</v>
      </c>
      <c r="O240">
        <v>888.6</v>
      </c>
    </row>
    <row r="241" spans="1:15">
      <c r="A241">
        <v>320</v>
      </c>
      <c r="B241" t="s">
        <v>751</v>
      </c>
      <c r="C241" t="s">
        <v>752</v>
      </c>
      <c r="D241" t="s">
        <v>6726</v>
      </c>
      <c r="E241" t="s">
        <v>6727</v>
      </c>
      <c r="F241" t="s">
        <v>6728</v>
      </c>
      <c r="G241" t="s">
        <v>5904</v>
      </c>
      <c r="H241">
        <v>871</v>
      </c>
      <c r="I241">
        <v>871</v>
      </c>
      <c r="J241">
        <v>871</v>
      </c>
      <c r="K241">
        <v>845</v>
      </c>
      <c r="L241">
        <v>863</v>
      </c>
      <c r="M241">
        <v>97</v>
      </c>
      <c r="N241">
        <v>99.1</v>
      </c>
      <c r="O241">
        <v>1761.9</v>
      </c>
    </row>
    <row r="242" spans="1:15">
      <c r="A242">
        <v>319</v>
      </c>
      <c r="B242" t="s">
        <v>753</v>
      </c>
      <c r="C242" t="s">
        <v>754</v>
      </c>
      <c r="D242" t="s">
        <v>6729</v>
      </c>
      <c r="E242" t="s">
        <v>6730</v>
      </c>
      <c r="F242" t="s">
        <v>6731</v>
      </c>
      <c r="G242" t="s">
        <v>5904</v>
      </c>
      <c r="H242">
        <v>417</v>
      </c>
      <c r="I242">
        <v>419</v>
      </c>
      <c r="J242">
        <v>417</v>
      </c>
      <c r="K242">
        <v>375</v>
      </c>
      <c r="L242">
        <v>394</v>
      </c>
      <c r="M242">
        <v>89.9</v>
      </c>
      <c r="N242">
        <v>94.5</v>
      </c>
      <c r="O242">
        <v>798.1</v>
      </c>
    </row>
    <row r="243" spans="1:15">
      <c r="A243">
        <v>318</v>
      </c>
      <c r="B243" t="s">
        <v>6732</v>
      </c>
      <c r="C243" t="s">
        <v>757</v>
      </c>
      <c r="D243" t="s">
        <v>6733</v>
      </c>
      <c r="E243" t="s">
        <v>6734</v>
      </c>
      <c r="F243" t="s">
        <v>6735</v>
      </c>
      <c r="G243" t="s">
        <v>5904</v>
      </c>
      <c r="H243">
        <v>1038</v>
      </c>
      <c r="I243">
        <v>1023</v>
      </c>
      <c r="J243">
        <v>1038</v>
      </c>
      <c r="K243">
        <v>993</v>
      </c>
      <c r="L243">
        <v>1009</v>
      </c>
      <c r="M243">
        <v>95.7</v>
      </c>
      <c r="N243">
        <v>97.2</v>
      </c>
      <c r="O243">
        <v>2081.6</v>
      </c>
    </row>
    <row r="244" spans="1:15">
      <c r="A244">
        <v>317</v>
      </c>
      <c r="B244" t="s">
        <v>6736</v>
      </c>
      <c r="C244" t="s">
        <v>760</v>
      </c>
      <c r="D244" t="s">
        <v>6737</v>
      </c>
      <c r="E244" t="s">
        <v>6738</v>
      </c>
      <c r="F244" t="s">
        <v>6739</v>
      </c>
      <c r="G244" t="s">
        <v>5904</v>
      </c>
      <c r="H244">
        <v>611</v>
      </c>
      <c r="I244">
        <v>611</v>
      </c>
      <c r="J244">
        <v>611</v>
      </c>
      <c r="K244">
        <v>604</v>
      </c>
      <c r="L244">
        <v>605</v>
      </c>
      <c r="M244">
        <v>98.9</v>
      </c>
      <c r="N244">
        <v>99</v>
      </c>
      <c r="O244">
        <v>1263.4000000000001</v>
      </c>
    </row>
    <row r="245" spans="1:15">
      <c r="A245">
        <v>316</v>
      </c>
      <c r="B245" t="s">
        <v>761</v>
      </c>
      <c r="C245" t="s">
        <v>762</v>
      </c>
      <c r="D245" t="s">
        <v>6740</v>
      </c>
      <c r="E245" t="s">
        <v>6741</v>
      </c>
      <c r="F245" t="s">
        <v>6742</v>
      </c>
      <c r="G245" t="s">
        <v>5904</v>
      </c>
      <c r="H245">
        <v>249</v>
      </c>
      <c r="I245">
        <v>224</v>
      </c>
      <c r="J245">
        <v>249</v>
      </c>
      <c r="K245">
        <v>183</v>
      </c>
      <c r="L245">
        <v>195</v>
      </c>
      <c r="M245">
        <v>73.5</v>
      </c>
      <c r="N245">
        <v>78.3</v>
      </c>
      <c r="O245">
        <v>356.3</v>
      </c>
    </row>
    <row r="246" spans="1:15">
      <c r="A246">
        <v>2094</v>
      </c>
      <c r="B246" t="s">
        <v>6743</v>
      </c>
      <c r="C246" t="s">
        <v>765</v>
      </c>
      <c r="D246" t="s">
        <v>6744</v>
      </c>
      <c r="E246" t="s">
        <v>6745</v>
      </c>
      <c r="F246" t="s">
        <v>6746</v>
      </c>
      <c r="G246" t="s">
        <v>5904</v>
      </c>
      <c r="H246">
        <v>172</v>
      </c>
      <c r="I246">
        <v>116</v>
      </c>
      <c r="J246">
        <v>116</v>
      </c>
      <c r="K246">
        <v>99</v>
      </c>
      <c r="L246">
        <v>104</v>
      </c>
      <c r="M246">
        <v>57.6</v>
      </c>
      <c r="N246">
        <v>60.5</v>
      </c>
      <c r="O246">
        <v>187.2</v>
      </c>
    </row>
    <row r="247" spans="1:15">
      <c r="A247">
        <v>315</v>
      </c>
      <c r="B247" t="s">
        <v>766</v>
      </c>
      <c r="C247" t="s">
        <v>6747</v>
      </c>
      <c r="D247" t="s">
        <v>6748</v>
      </c>
      <c r="E247" t="s">
        <v>6749</v>
      </c>
      <c r="F247" t="s">
        <v>6750</v>
      </c>
      <c r="G247" t="s">
        <v>5904</v>
      </c>
      <c r="H247">
        <v>577</v>
      </c>
      <c r="I247">
        <v>572</v>
      </c>
      <c r="J247">
        <v>581</v>
      </c>
      <c r="K247">
        <v>518</v>
      </c>
      <c r="L247">
        <v>530</v>
      </c>
      <c r="M247">
        <v>89.8</v>
      </c>
      <c r="N247">
        <v>91.9</v>
      </c>
      <c r="O247">
        <v>839.7</v>
      </c>
    </row>
    <row r="248" spans="1:15">
      <c r="A248">
        <v>314</v>
      </c>
      <c r="B248" t="s">
        <v>6751</v>
      </c>
      <c r="C248" t="s">
        <v>771</v>
      </c>
      <c r="D248" t="s">
        <v>6752</v>
      </c>
      <c r="E248" t="s">
        <v>6753</v>
      </c>
      <c r="F248" t="s">
        <v>6754</v>
      </c>
      <c r="G248" t="s">
        <v>5904</v>
      </c>
      <c r="H248">
        <v>1280</v>
      </c>
      <c r="I248">
        <v>1280</v>
      </c>
      <c r="J248">
        <v>1281</v>
      </c>
      <c r="K248">
        <v>1161</v>
      </c>
      <c r="L248">
        <v>1218</v>
      </c>
      <c r="M248">
        <v>90.7</v>
      </c>
      <c r="N248">
        <v>95.2</v>
      </c>
      <c r="O248">
        <v>2362</v>
      </c>
    </row>
    <row r="249" spans="1:15">
      <c r="A249">
        <v>2093</v>
      </c>
      <c r="B249" t="s">
        <v>772</v>
      </c>
      <c r="C249" t="s">
        <v>6755</v>
      </c>
      <c r="D249" t="s">
        <v>6756</v>
      </c>
      <c r="E249" t="s">
        <v>6757</v>
      </c>
      <c r="F249" t="s">
        <v>6758</v>
      </c>
      <c r="G249" t="s">
        <v>6759</v>
      </c>
      <c r="H249">
        <v>137</v>
      </c>
      <c r="I249">
        <v>131</v>
      </c>
      <c r="J249">
        <v>117</v>
      </c>
      <c r="K249">
        <v>36</v>
      </c>
      <c r="L249">
        <v>55</v>
      </c>
      <c r="M249">
        <v>26.3</v>
      </c>
      <c r="N249">
        <v>40.1</v>
      </c>
      <c r="O249">
        <v>38.9</v>
      </c>
    </row>
    <row r="250" spans="1:15">
      <c r="A250">
        <v>2092</v>
      </c>
      <c r="B250" t="s">
        <v>774</v>
      </c>
      <c r="C250" t="s">
        <v>775</v>
      </c>
      <c r="D250" t="s">
        <v>6760</v>
      </c>
      <c r="E250" t="s">
        <v>6761</v>
      </c>
      <c r="F250" t="s">
        <v>6762</v>
      </c>
      <c r="G250" t="s">
        <v>5904</v>
      </c>
      <c r="H250">
        <v>128</v>
      </c>
      <c r="I250">
        <v>128</v>
      </c>
      <c r="J250">
        <v>128</v>
      </c>
      <c r="K250">
        <v>79</v>
      </c>
      <c r="L250">
        <v>100</v>
      </c>
      <c r="M250">
        <v>61.7</v>
      </c>
      <c r="N250">
        <v>78.099999999999994</v>
      </c>
      <c r="O250">
        <v>120.2</v>
      </c>
    </row>
    <row r="251" spans="1:15">
      <c r="A251">
        <v>313</v>
      </c>
      <c r="B251" t="s">
        <v>776</v>
      </c>
      <c r="C251" t="s">
        <v>777</v>
      </c>
      <c r="D251" t="s">
        <v>6763</v>
      </c>
      <c r="E251" t="s">
        <v>6764</v>
      </c>
      <c r="F251" t="s">
        <v>6765</v>
      </c>
      <c r="G251" t="s">
        <v>5904</v>
      </c>
      <c r="H251">
        <v>246</v>
      </c>
      <c r="I251">
        <v>247</v>
      </c>
      <c r="J251">
        <v>246</v>
      </c>
      <c r="K251">
        <v>170</v>
      </c>
      <c r="L251">
        <v>200</v>
      </c>
      <c r="M251">
        <v>69.099999999999994</v>
      </c>
      <c r="N251">
        <v>81.3</v>
      </c>
      <c r="O251">
        <v>371.3</v>
      </c>
    </row>
    <row r="252" spans="1:15">
      <c r="A252">
        <v>312</v>
      </c>
      <c r="B252" t="s">
        <v>778</v>
      </c>
      <c r="C252" t="s">
        <v>6766</v>
      </c>
      <c r="D252" t="s">
        <v>6767</v>
      </c>
      <c r="E252" t="s">
        <v>6768</v>
      </c>
      <c r="F252" t="s">
        <v>6769</v>
      </c>
      <c r="G252" t="s">
        <v>5904</v>
      </c>
      <c r="H252">
        <v>175</v>
      </c>
      <c r="I252">
        <v>175</v>
      </c>
      <c r="J252">
        <v>175</v>
      </c>
      <c r="K252">
        <v>167</v>
      </c>
      <c r="L252">
        <v>169</v>
      </c>
      <c r="M252">
        <v>95.4</v>
      </c>
      <c r="N252">
        <v>96.6</v>
      </c>
      <c r="O252">
        <v>343.6</v>
      </c>
    </row>
    <row r="253" spans="1:15">
      <c r="A253">
        <v>2091</v>
      </c>
      <c r="B253" t="s">
        <v>780</v>
      </c>
      <c r="C253" t="s">
        <v>781</v>
      </c>
      <c r="D253" t="s">
        <v>6770</v>
      </c>
      <c r="E253" t="s">
        <v>6771</v>
      </c>
      <c r="F253" t="s">
        <v>6772</v>
      </c>
      <c r="G253" t="s">
        <v>5904</v>
      </c>
      <c r="H253">
        <v>103</v>
      </c>
      <c r="I253">
        <v>103</v>
      </c>
      <c r="J253">
        <v>98</v>
      </c>
      <c r="K253">
        <v>60</v>
      </c>
      <c r="L253">
        <v>77</v>
      </c>
      <c r="M253">
        <v>58.3</v>
      </c>
      <c r="N253">
        <v>74.8</v>
      </c>
      <c r="O253">
        <v>133.69999999999999</v>
      </c>
    </row>
    <row r="254" spans="1:15">
      <c r="A254">
        <v>311</v>
      </c>
      <c r="B254" t="s">
        <v>6773</v>
      </c>
      <c r="C254" t="s">
        <v>6774</v>
      </c>
      <c r="D254" t="s">
        <v>6775</v>
      </c>
      <c r="E254" t="s">
        <v>6776</v>
      </c>
      <c r="F254" t="s">
        <v>6777</v>
      </c>
      <c r="G254" t="s">
        <v>5904</v>
      </c>
      <c r="H254">
        <v>1280</v>
      </c>
      <c r="I254">
        <v>1286</v>
      </c>
      <c r="J254">
        <v>1288</v>
      </c>
      <c r="K254">
        <v>1171</v>
      </c>
      <c r="L254">
        <v>1229</v>
      </c>
      <c r="M254">
        <v>91.5</v>
      </c>
      <c r="N254">
        <v>96</v>
      </c>
      <c r="O254">
        <v>2395.1999999999998</v>
      </c>
    </row>
    <row r="255" spans="1:15">
      <c r="A255">
        <v>2247</v>
      </c>
      <c r="B255" t="s">
        <v>6778</v>
      </c>
      <c r="C255" t="s">
        <v>6779</v>
      </c>
      <c r="D255" t="s">
        <v>6780</v>
      </c>
      <c r="E255" t="s">
        <v>6781</v>
      </c>
      <c r="F255" t="s">
        <v>6782</v>
      </c>
      <c r="G255" t="s">
        <v>5904</v>
      </c>
      <c r="H255">
        <v>1449</v>
      </c>
      <c r="I255">
        <v>1437</v>
      </c>
      <c r="J255">
        <v>1437</v>
      </c>
      <c r="K255">
        <v>1268</v>
      </c>
      <c r="L255">
        <v>1350</v>
      </c>
      <c r="M255">
        <v>87.5</v>
      </c>
      <c r="N255">
        <v>93.2</v>
      </c>
      <c r="O255">
        <v>2540.8000000000002</v>
      </c>
    </row>
    <row r="256" spans="1:15">
      <c r="A256">
        <v>310</v>
      </c>
      <c r="B256" t="s">
        <v>788</v>
      </c>
      <c r="C256" t="s">
        <v>789</v>
      </c>
      <c r="D256" t="s">
        <v>6783</v>
      </c>
      <c r="E256" t="s">
        <v>6784</v>
      </c>
      <c r="F256" t="s">
        <v>6785</v>
      </c>
      <c r="G256" t="s">
        <v>5904</v>
      </c>
      <c r="H256">
        <v>226</v>
      </c>
      <c r="I256">
        <v>226</v>
      </c>
      <c r="J256">
        <v>226</v>
      </c>
      <c r="K256">
        <v>192</v>
      </c>
      <c r="L256">
        <v>214</v>
      </c>
      <c r="M256">
        <v>85</v>
      </c>
      <c r="N256">
        <v>94.7</v>
      </c>
      <c r="O256">
        <v>416.4</v>
      </c>
    </row>
    <row r="257" spans="1:15">
      <c r="A257">
        <v>309</v>
      </c>
      <c r="B257" t="s">
        <v>790</v>
      </c>
      <c r="C257" t="s">
        <v>791</v>
      </c>
      <c r="D257" t="s">
        <v>6786</v>
      </c>
      <c r="E257" t="s">
        <v>6787</v>
      </c>
      <c r="F257" t="s">
        <v>6788</v>
      </c>
      <c r="G257" t="s">
        <v>5904</v>
      </c>
      <c r="H257">
        <v>145</v>
      </c>
      <c r="I257">
        <v>146</v>
      </c>
      <c r="J257">
        <v>145</v>
      </c>
      <c r="K257">
        <v>82</v>
      </c>
      <c r="L257">
        <v>104</v>
      </c>
      <c r="M257">
        <v>56.6</v>
      </c>
      <c r="N257">
        <v>71.7</v>
      </c>
      <c r="O257">
        <v>154.80000000000001</v>
      </c>
    </row>
    <row r="258" spans="1:15">
      <c r="A258">
        <v>308</v>
      </c>
      <c r="B258" t="s">
        <v>792</v>
      </c>
      <c r="C258" t="s">
        <v>6789</v>
      </c>
      <c r="D258" t="s">
        <v>6790</v>
      </c>
      <c r="E258" t="s">
        <v>6791</v>
      </c>
      <c r="F258" t="s">
        <v>6792</v>
      </c>
      <c r="G258" t="s">
        <v>5904</v>
      </c>
      <c r="H258">
        <v>105</v>
      </c>
      <c r="I258">
        <v>105</v>
      </c>
      <c r="J258">
        <v>105</v>
      </c>
      <c r="K258">
        <v>94</v>
      </c>
      <c r="L258">
        <v>98</v>
      </c>
      <c r="M258">
        <v>89.5</v>
      </c>
      <c r="N258">
        <v>93.3</v>
      </c>
      <c r="O258">
        <v>196.4</v>
      </c>
    </row>
    <row r="259" spans="1:15">
      <c r="A259">
        <v>307</v>
      </c>
      <c r="B259" t="s">
        <v>794</v>
      </c>
      <c r="C259" t="s">
        <v>6793</v>
      </c>
      <c r="D259" t="s">
        <v>6794</v>
      </c>
      <c r="E259" t="s">
        <v>6795</v>
      </c>
      <c r="F259" t="s">
        <v>6796</v>
      </c>
      <c r="G259" t="s">
        <v>5904</v>
      </c>
      <c r="H259">
        <v>353</v>
      </c>
      <c r="I259">
        <v>353</v>
      </c>
      <c r="J259">
        <v>353</v>
      </c>
      <c r="K259">
        <v>353</v>
      </c>
      <c r="L259">
        <v>353</v>
      </c>
      <c r="M259">
        <v>100</v>
      </c>
      <c r="N259">
        <v>100</v>
      </c>
      <c r="O259">
        <v>690.3</v>
      </c>
    </row>
    <row r="260" spans="1:15">
      <c r="A260">
        <v>306</v>
      </c>
      <c r="B260" t="s">
        <v>6797</v>
      </c>
      <c r="C260" t="s">
        <v>6798</v>
      </c>
      <c r="D260" t="s">
        <v>6799</v>
      </c>
      <c r="E260" t="s">
        <v>6800</v>
      </c>
      <c r="F260" t="s">
        <v>6801</v>
      </c>
      <c r="G260" t="s">
        <v>5904</v>
      </c>
      <c r="H260">
        <v>183</v>
      </c>
      <c r="I260">
        <v>183</v>
      </c>
      <c r="J260">
        <v>183</v>
      </c>
      <c r="K260">
        <v>183</v>
      </c>
      <c r="L260">
        <v>183</v>
      </c>
      <c r="M260">
        <v>100</v>
      </c>
      <c r="N260">
        <v>100</v>
      </c>
      <c r="O260">
        <v>373.6</v>
      </c>
    </row>
    <row r="261" spans="1:15">
      <c r="A261">
        <v>305</v>
      </c>
      <c r="B261" t="s">
        <v>800</v>
      </c>
      <c r="C261" t="s">
        <v>802</v>
      </c>
      <c r="D261" t="s">
        <v>6802</v>
      </c>
      <c r="E261" t="s">
        <v>6803</v>
      </c>
      <c r="F261" t="s">
        <v>6804</v>
      </c>
      <c r="G261" t="s">
        <v>5904</v>
      </c>
      <c r="H261">
        <v>286</v>
      </c>
      <c r="I261">
        <v>286</v>
      </c>
      <c r="J261">
        <v>286</v>
      </c>
      <c r="K261">
        <v>283</v>
      </c>
      <c r="L261">
        <v>284</v>
      </c>
      <c r="M261">
        <v>99</v>
      </c>
      <c r="N261">
        <v>99.3</v>
      </c>
      <c r="O261">
        <v>593.20000000000005</v>
      </c>
    </row>
    <row r="262" spans="1:15">
      <c r="A262">
        <v>304</v>
      </c>
      <c r="B262" t="s">
        <v>6805</v>
      </c>
      <c r="C262" t="s">
        <v>805</v>
      </c>
      <c r="D262" t="s">
        <v>6806</v>
      </c>
      <c r="E262" t="s">
        <v>6807</v>
      </c>
      <c r="F262" t="s">
        <v>6808</v>
      </c>
      <c r="G262" t="s">
        <v>5904</v>
      </c>
      <c r="H262">
        <v>239</v>
      </c>
      <c r="I262">
        <v>235</v>
      </c>
      <c r="J262">
        <v>193</v>
      </c>
      <c r="K262">
        <v>138</v>
      </c>
      <c r="L262">
        <v>155</v>
      </c>
      <c r="M262">
        <v>57.7</v>
      </c>
      <c r="N262">
        <v>64.900000000000006</v>
      </c>
      <c r="O262">
        <v>282</v>
      </c>
    </row>
    <row r="263" spans="1:15">
      <c r="A263">
        <v>303</v>
      </c>
      <c r="B263" t="s">
        <v>806</v>
      </c>
      <c r="C263" t="s">
        <v>6809</v>
      </c>
      <c r="D263" t="s">
        <v>6810</v>
      </c>
      <c r="E263" t="s">
        <v>6811</v>
      </c>
      <c r="F263" t="s">
        <v>6812</v>
      </c>
      <c r="G263" t="s">
        <v>5904</v>
      </c>
      <c r="H263">
        <v>1584</v>
      </c>
      <c r="I263">
        <v>1584</v>
      </c>
      <c r="J263">
        <v>1585</v>
      </c>
      <c r="K263">
        <v>1236</v>
      </c>
      <c r="L263">
        <v>1398</v>
      </c>
      <c r="M263">
        <v>78</v>
      </c>
      <c r="N263">
        <v>88.3</v>
      </c>
      <c r="O263">
        <v>2546.5</v>
      </c>
    </row>
    <row r="264" spans="1:15">
      <c r="A264">
        <v>302</v>
      </c>
      <c r="B264" t="s">
        <v>6813</v>
      </c>
      <c r="C264" t="s">
        <v>810</v>
      </c>
      <c r="D264" t="s">
        <v>6814</v>
      </c>
      <c r="E264" t="s">
        <v>6815</v>
      </c>
      <c r="F264" t="s">
        <v>6816</v>
      </c>
      <c r="G264" t="s">
        <v>5904</v>
      </c>
      <c r="H264">
        <v>1105</v>
      </c>
      <c r="I264">
        <v>1103</v>
      </c>
      <c r="J264">
        <v>1107</v>
      </c>
      <c r="K264">
        <v>1073</v>
      </c>
      <c r="L264">
        <v>1085</v>
      </c>
      <c r="M264">
        <v>97.1</v>
      </c>
      <c r="N264">
        <v>98.2</v>
      </c>
      <c r="O264">
        <v>2221.4</v>
      </c>
    </row>
    <row r="265" spans="1:15">
      <c r="A265">
        <v>301</v>
      </c>
      <c r="B265" t="s">
        <v>6817</v>
      </c>
      <c r="C265" t="s">
        <v>6818</v>
      </c>
      <c r="D265" t="s">
        <v>6819</v>
      </c>
      <c r="E265" t="s">
        <v>6820</v>
      </c>
      <c r="F265" t="s">
        <v>6821</v>
      </c>
      <c r="G265" t="s">
        <v>5904</v>
      </c>
      <c r="H265">
        <v>235</v>
      </c>
      <c r="I265">
        <v>227</v>
      </c>
      <c r="J265">
        <v>229</v>
      </c>
      <c r="K265">
        <v>214</v>
      </c>
      <c r="L265">
        <v>219</v>
      </c>
      <c r="M265">
        <v>91.1</v>
      </c>
      <c r="N265">
        <v>93.2</v>
      </c>
      <c r="O265">
        <v>428.7</v>
      </c>
    </row>
    <row r="266" spans="1:15">
      <c r="A266">
        <v>300</v>
      </c>
      <c r="B266" t="s">
        <v>814</v>
      </c>
      <c r="C266" t="s">
        <v>816</v>
      </c>
      <c r="D266" t="s">
        <v>6822</v>
      </c>
      <c r="E266" t="s">
        <v>6823</v>
      </c>
      <c r="F266" t="s">
        <v>6824</v>
      </c>
      <c r="G266" t="s">
        <v>5904</v>
      </c>
      <c r="H266">
        <v>253</v>
      </c>
      <c r="I266">
        <v>253</v>
      </c>
      <c r="J266">
        <v>253</v>
      </c>
      <c r="K266">
        <v>239</v>
      </c>
      <c r="L266">
        <v>246</v>
      </c>
      <c r="M266">
        <v>94.5</v>
      </c>
      <c r="N266">
        <v>97.2</v>
      </c>
      <c r="O266">
        <v>504.6</v>
      </c>
    </row>
    <row r="267" spans="1:15">
      <c r="A267">
        <v>299</v>
      </c>
      <c r="B267" t="s">
        <v>6825</v>
      </c>
      <c r="C267" t="s">
        <v>819</v>
      </c>
      <c r="D267" t="s">
        <v>6826</v>
      </c>
      <c r="E267" t="s">
        <v>6827</v>
      </c>
      <c r="F267" t="s">
        <v>6828</v>
      </c>
      <c r="G267" t="s">
        <v>5904</v>
      </c>
      <c r="H267">
        <v>976</v>
      </c>
      <c r="I267">
        <v>976</v>
      </c>
      <c r="J267">
        <v>976</v>
      </c>
      <c r="K267">
        <v>875</v>
      </c>
      <c r="L267">
        <v>914</v>
      </c>
      <c r="M267">
        <v>89.7</v>
      </c>
      <c r="N267">
        <v>93.6</v>
      </c>
      <c r="O267">
        <v>1748.4</v>
      </c>
    </row>
    <row r="268" spans="1:15">
      <c r="A268">
        <v>298</v>
      </c>
      <c r="B268" t="s">
        <v>820</v>
      </c>
      <c r="C268" t="s">
        <v>821</v>
      </c>
      <c r="D268" t="s">
        <v>6829</v>
      </c>
      <c r="E268" t="s">
        <v>6830</v>
      </c>
      <c r="F268" t="s">
        <v>6831</v>
      </c>
      <c r="G268" t="s">
        <v>5904</v>
      </c>
      <c r="H268">
        <v>440</v>
      </c>
      <c r="I268">
        <v>439</v>
      </c>
      <c r="J268">
        <v>440</v>
      </c>
      <c r="K268">
        <v>392</v>
      </c>
      <c r="L268">
        <v>413</v>
      </c>
      <c r="M268">
        <v>89.1</v>
      </c>
      <c r="N268">
        <v>93.9</v>
      </c>
      <c r="O268">
        <v>825.9</v>
      </c>
    </row>
    <row r="269" spans="1:15">
      <c r="A269">
        <v>297</v>
      </c>
      <c r="B269" t="s">
        <v>822</v>
      </c>
      <c r="C269" t="s">
        <v>6832</v>
      </c>
      <c r="D269" t="s">
        <v>6833</v>
      </c>
      <c r="E269" t="s">
        <v>6834</v>
      </c>
      <c r="F269" t="s">
        <v>6835</v>
      </c>
      <c r="G269" t="s">
        <v>5904</v>
      </c>
      <c r="H269">
        <v>97</v>
      </c>
      <c r="I269">
        <v>97</v>
      </c>
      <c r="J269">
        <v>97</v>
      </c>
      <c r="K269">
        <v>95</v>
      </c>
      <c r="L269">
        <v>97</v>
      </c>
      <c r="M269">
        <v>97.9</v>
      </c>
      <c r="N269">
        <v>100</v>
      </c>
      <c r="O269">
        <v>194.1</v>
      </c>
    </row>
    <row r="270" spans="1:15">
      <c r="A270">
        <v>296</v>
      </c>
      <c r="B270" t="s">
        <v>824</v>
      </c>
      <c r="C270" t="s">
        <v>825</v>
      </c>
      <c r="D270" t="s">
        <v>6836</v>
      </c>
      <c r="E270" t="s">
        <v>6837</v>
      </c>
      <c r="F270" t="s">
        <v>6838</v>
      </c>
      <c r="G270" t="s">
        <v>5904</v>
      </c>
      <c r="H270">
        <v>118</v>
      </c>
      <c r="I270">
        <v>118</v>
      </c>
      <c r="J270">
        <v>118</v>
      </c>
      <c r="K270">
        <v>118</v>
      </c>
      <c r="L270">
        <v>118</v>
      </c>
      <c r="M270">
        <v>100</v>
      </c>
      <c r="N270">
        <v>100</v>
      </c>
      <c r="O270">
        <v>241.9</v>
      </c>
    </row>
    <row r="271" spans="1:15">
      <c r="A271">
        <v>295</v>
      </c>
      <c r="B271" t="s">
        <v>826</v>
      </c>
      <c r="C271" t="s">
        <v>827</v>
      </c>
      <c r="D271" t="s">
        <v>6839</v>
      </c>
      <c r="E271" t="s">
        <v>6840</v>
      </c>
      <c r="F271" t="s">
        <v>6841</v>
      </c>
      <c r="G271" t="s">
        <v>6759</v>
      </c>
      <c r="H271">
        <v>569</v>
      </c>
      <c r="I271">
        <v>558</v>
      </c>
      <c r="J271">
        <v>414</v>
      </c>
      <c r="K271">
        <v>228</v>
      </c>
      <c r="L271">
        <v>269</v>
      </c>
      <c r="M271">
        <v>40.1</v>
      </c>
      <c r="N271">
        <v>47.3</v>
      </c>
      <c r="O271">
        <v>394.8</v>
      </c>
    </row>
    <row r="272" spans="1:15">
      <c r="A272">
        <v>294</v>
      </c>
      <c r="B272" t="s">
        <v>6842</v>
      </c>
      <c r="C272" t="s">
        <v>6843</v>
      </c>
      <c r="D272" t="s">
        <v>6844</v>
      </c>
      <c r="E272" t="s">
        <v>6845</v>
      </c>
      <c r="F272" t="s">
        <v>6846</v>
      </c>
      <c r="G272" t="s">
        <v>5904</v>
      </c>
      <c r="H272">
        <v>437</v>
      </c>
      <c r="I272">
        <v>437</v>
      </c>
      <c r="J272">
        <v>437</v>
      </c>
      <c r="K272">
        <v>433</v>
      </c>
      <c r="L272">
        <v>436</v>
      </c>
      <c r="M272">
        <v>99.1</v>
      </c>
      <c r="N272">
        <v>99.8</v>
      </c>
      <c r="O272">
        <v>902.9</v>
      </c>
    </row>
    <row r="273" spans="1:15">
      <c r="A273">
        <v>293</v>
      </c>
      <c r="B273" t="s">
        <v>832</v>
      </c>
      <c r="C273" t="s">
        <v>6847</v>
      </c>
      <c r="D273" t="s">
        <v>6848</v>
      </c>
      <c r="E273" t="s">
        <v>6849</v>
      </c>
      <c r="F273" t="s">
        <v>6850</v>
      </c>
      <c r="G273" t="s">
        <v>5904</v>
      </c>
      <c r="H273">
        <v>316</v>
      </c>
      <c r="I273">
        <v>310</v>
      </c>
      <c r="J273">
        <v>310</v>
      </c>
      <c r="K273">
        <v>220</v>
      </c>
      <c r="L273">
        <v>269</v>
      </c>
      <c r="M273">
        <v>69.599999999999994</v>
      </c>
      <c r="N273">
        <v>85.1</v>
      </c>
      <c r="O273">
        <v>478.8</v>
      </c>
    </row>
    <row r="274" spans="1:15">
      <c r="A274">
        <v>292</v>
      </c>
      <c r="B274" t="s">
        <v>834</v>
      </c>
      <c r="C274" t="s">
        <v>836</v>
      </c>
      <c r="D274" t="s">
        <v>6851</v>
      </c>
      <c r="E274" t="s">
        <v>6852</v>
      </c>
      <c r="F274" t="s">
        <v>6853</v>
      </c>
      <c r="G274" t="s">
        <v>5904</v>
      </c>
      <c r="H274">
        <v>354</v>
      </c>
      <c r="I274">
        <v>354</v>
      </c>
      <c r="J274">
        <v>354</v>
      </c>
      <c r="K274">
        <v>353</v>
      </c>
      <c r="L274">
        <v>353</v>
      </c>
      <c r="M274">
        <v>99.7</v>
      </c>
      <c r="N274">
        <v>99.7</v>
      </c>
      <c r="O274">
        <v>734.6</v>
      </c>
    </row>
    <row r="275" spans="1:15">
      <c r="A275">
        <v>291</v>
      </c>
      <c r="B275" t="s">
        <v>837</v>
      </c>
      <c r="C275" t="s">
        <v>838</v>
      </c>
      <c r="D275" t="s">
        <v>6854</v>
      </c>
      <c r="E275" t="s">
        <v>6855</v>
      </c>
      <c r="F275" t="s">
        <v>6856</v>
      </c>
      <c r="G275" t="s">
        <v>5904</v>
      </c>
      <c r="H275">
        <v>255</v>
      </c>
      <c r="I275">
        <v>259</v>
      </c>
      <c r="J275">
        <v>263</v>
      </c>
      <c r="K275">
        <v>164</v>
      </c>
      <c r="L275">
        <v>192</v>
      </c>
      <c r="M275">
        <v>64.3</v>
      </c>
      <c r="N275">
        <v>75.3</v>
      </c>
      <c r="O275">
        <v>300.8</v>
      </c>
    </row>
    <row r="276" spans="1:15">
      <c r="A276">
        <v>290</v>
      </c>
      <c r="B276" t="s">
        <v>6857</v>
      </c>
      <c r="C276" t="s">
        <v>6858</v>
      </c>
      <c r="D276" t="s">
        <v>6859</v>
      </c>
      <c r="E276" t="s">
        <v>6860</v>
      </c>
      <c r="F276" t="s">
        <v>6861</v>
      </c>
      <c r="G276" t="s">
        <v>5904</v>
      </c>
      <c r="H276">
        <v>592</v>
      </c>
      <c r="I276">
        <v>595</v>
      </c>
      <c r="J276">
        <v>595</v>
      </c>
      <c r="K276">
        <v>524</v>
      </c>
      <c r="L276">
        <v>550</v>
      </c>
      <c r="M276">
        <v>88.5</v>
      </c>
      <c r="N276">
        <v>92.9</v>
      </c>
      <c r="O276">
        <v>1027.3</v>
      </c>
    </row>
    <row r="277" spans="1:15">
      <c r="A277">
        <v>289</v>
      </c>
      <c r="B277" t="s">
        <v>842</v>
      </c>
      <c r="C277" t="s">
        <v>843</v>
      </c>
      <c r="D277" t="s">
        <v>6862</v>
      </c>
      <c r="E277" t="s">
        <v>6863</v>
      </c>
      <c r="F277" t="s">
        <v>6864</v>
      </c>
      <c r="G277" t="s">
        <v>5904</v>
      </c>
      <c r="H277">
        <v>188</v>
      </c>
      <c r="I277">
        <v>188</v>
      </c>
      <c r="J277">
        <v>187</v>
      </c>
      <c r="K277">
        <v>162</v>
      </c>
      <c r="L277">
        <v>174</v>
      </c>
      <c r="M277">
        <v>86.2</v>
      </c>
      <c r="N277">
        <v>92.6</v>
      </c>
      <c r="O277">
        <v>342</v>
      </c>
    </row>
    <row r="278" spans="1:15">
      <c r="A278">
        <v>288</v>
      </c>
      <c r="B278" t="s">
        <v>844</v>
      </c>
      <c r="C278" t="s">
        <v>845</v>
      </c>
      <c r="D278" t="s">
        <v>6865</v>
      </c>
      <c r="E278" t="s">
        <v>6866</v>
      </c>
      <c r="F278" t="s">
        <v>6867</v>
      </c>
      <c r="G278" t="s">
        <v>5904</v>
      </c>
      <c r="H278">
        <v>640</v>
      </c>
      <c r="I278">
        <v>645</v>
      </c>
      <c r="J278">
        <v>645</v>
      </c>
      <c r="K278">
        <v>561</v>
      </c>
      <c r="L278">
        <v>598</v>
      </c>
      <c r="M278">
        <v>87.7</v>
      </c>
      <c r="N278">
        <v>93.4</v>
      </c>
      <c r="O278">
        <v>1105.0999999999999</v>
      </c>
    </row>
    <row r="279" spans="1:15">
      <c r="A279">
        <v>287</v>
      </c>
      <c r="B279" t="s">
        <v>846</v>
      </c>
      <c r="C279" t="s">
        <v>847</v>
      </c>
      <c r="D279" t="s">
        <v>6868</v>
      </c>
      <c r="E279" t="s">
        <v>6869</v>
      </c>
      <c r="F279" t="s">
        <v>6870</v>
      </c>
      <c r="G279" t="s">
        <v>5904</v>
      </c>
      <c r="H279">
        <v>234</v>
      </c>
      <c r="I279">
        <v>234</v>
      </c>
      <c r="J279">
        <v>234</v>
      </c>
      <c r="K279">
        <v>234</v>
      </c>
      <c r="L279">
        <v>234</v>
      </c>
      <c r="M279">
        <v>100</v>
      </c>
      <c r="N279">
        <v>100</v>
      </c>
      <c r="O279">
        <v>486.1</v>
      </c>
    </row>
    <row r="280" spans="1:15">
      <c r="A280">
        <v>286</v>
      </c>
      <c r="B280" t="s">
        <v>6871</v>
      </c>
      <c r="C280" t="s">
        <v>851</v>
      </c>
      <c r="D280" t="s">
        <v>6872</v>
      </c>
      <c r="E280" t="s">
        <v>6873</v>
      </c>
      <c r="F280" t="s">
        <v>6874</v>
      </c>
      <c r="G280" t="s">
        <v>5904</v>
      </c>
      <c r="H280">
        <v>128</v>
      </c>
      <c r="I280">
        <v>128</v>
      </c>
      <c r="J280">
        <v>128</v>
      </c>
      <c r="K280">
        <v>128</v>
      </c>
      <c r="L280">
        <v>128</v>
      </c>
      <c r="M280">
        <v>100</v>
      </c>
      <c r="N280">
        <v>100</v>
      </c>
      <c r="O280">
        <v>251.9</v>
      </c>
    </row>
    <row r="281" spans="1:15">
      <c r="A281">
        <v>2090</v>
      </c>
      <c r="B281" t="s">
        <v>6875</v>
      </c>
      <c r="C281" t="s">
        <v>854</v>
      </c>
      <c r="D281" t="s">
        <v>6876</v>
      </c>
      <c r="E281" t="s">
        <v>6877</v>
      </c>
      <c r="F281" t="s">
        <v>6878</v>
      </c>
      <c r="G281" t="s">
        <v>5904</v>
      </c>
      <c r="H281">
        <v>429</v>
      </c>
      <c r="I281">
        <v>428</v>
      </c>
      <c r="J281">
        <v>429</v>
      </c>
      <c r="K281">
        <v>354</v>
      </c>
      <c r="L281">
        <v>385</v>
      </c>
      <c r="M281">
        <v>82.5</v>
      </c>
      <c r="N281">
        <v>89.7</v>
      </c>
      <c r="O281">
        <v>724.2</v>
      </c>
    </row>
    <row r="282" spans="1:15">
      <c r="A282">
        <v>2089</v>
      </c>
      <c r="B282" t="s">
        <v>855</v>
      </c>
      <c r="C282" t="s">
        <v>856</v>
      </c>
      <c r="D282" t="s">
        <v>6879</v>
      </c>
      <c r="E282" t="s">
        <v>6880</v>
      </c>
      <c r="F282" t="s">
        <v>6881</v>
      </c>
      <c r="G282" t="s">
        <v>5904</v>
      </c>
      <c r="H282">
        <v>228</v>
      </c>
      <c r="I282">
        <v>196</v>
      </c>
      <c r="J282">
        <v>196</v>
      </c>
      <c r="K282">
        <v>193</v>
      </c>
      <c r="L282">
        <v>195</v>
      </c>
      <c r="M282">
        <v>84.6</v>
      </c>
      <c r="N282">
        <v>85.5</v>
      </c>
      <c r="O282">
        <v>398.3</v>
      </c>
    </row>
    <row r="283" spans="1:15">
      <c r="A283">
        <v>285</v>
      </c>
      <c r="B283" t="s">
        <v>857</v>
      </c>
      <c r="C283" t="s">
        <v>6882</v>
      </c>
      <c r="D283" t="s">
        <v>6883</v>
      </c>
      <c r="E283" t="s">
        <v>6884</v>
      </c>
      <c r="F283" t="s">
        <v>6885</v>
      </c>
      <c r="G283" t="s">
        <v>5904</v>
      </c>
      <c r="H283">
        <v>227</v>
      </c>
      <c r="I283">
        <v>227</v>
      </c>
      <c r="J283">
        <v>227</v>
      </c>
      <c r="K283">
        <v>224</v>
      </c>
      <c r="L283">
        <v>226</v>
      </c>
      <c r="M283">
        <v>98.7</v>
      </c>
      <c r="N283">
        <v>99.6</v>
      </c>
      <c r="O283">
        <v>465.7</v>
      </c>
    </row>
    <row r="284" spans="1:15">
      <c r="A284">
        <v>284</v>
      </c>
      <c r="B284" t="s">
        <v>859</v>
      </c>
      <c r="C284" t="s">
        <v>860</v>
      </c>
      <c r="D284" t="s">
        <v>6886</v>
      </c>
      <c r="E284" t="s">
        <v>6887</v>
      </c>
      <c r="F284" t="s">
        <v>6888</v>
      </c>
      <c r="G284" t="s">
        <v>5904</v>
      </c>
      <c r="H284">
        <v>271</v>
      </c>
      <c r="I284">
        <v>269</v>
      </c>
      <c r="J284">
        <v>271</v>
      </c>
      <c r="K284">
        <v>247</v>
      </c>
      <c r="L284">
        <v>257</v>
      </c>
      <c r="M284">
        <v>91.1</v>
      </c>
      <c r="N284">
        <v>94.8</v>
      </c>
      <c r="O284">
        <v>499.2</v>
      </c>
    </row>
    <row r="285" spans="1:15">
      <c r="A285">
        <v>283</v>
      </c>
      <c r="B285" t="s">
        <v>861</v>
      </c>
      <c r="C285" t="s">
        <v>862</v>
      </c>
      <c r="D285" t="s">
        <v>6889</v>
      </c>
      <c r="E285" t="s">
        <v>6890</v>
      </c>
      <c r="F285" t="s">
        <v>6891</v>
      </c>
      <c r="G285" t="s">
        <v>5904</v>
      </c>
      <c r="H285">
        <v>206</v>
      </c>
      <c r="I285">
        <v>206</v>
      </c>
      <c r="J285">
        <v>206</v>
      </c>
      <c r="K285">
        <v>204</v>
      </c>
      <c r="L285">
        <v>205</v>
      </c>
      <c r="M285">
        <v>99</v>
      </c>
      <c r="N285">
        <v>99.5</v>
      </c>
      <c r="O285">
        <v>419.5</v>
      </c>
    </row>
    <row r="286" spans="1:15">
      <c r="A286">
        <v>282</v>
      </c>
      <c r="B286" t="s">
        <v>6892</v>
      </c>
      <c r="C286" t="s">
        <v>6893</v>
      </c>
      <c r="D286" t="s">
        <v>6894</v>
      </c>
      <c r="E286" t="s">
        <v>6895</v>
      </c>
      <c r="F286" t="s">
        <v>6896</v>
      </c>
      <c r="G286" t="s">
        <v>6054</v>
      </c>
      <c r="H286">
        <v>745</v>
      </c>
      <c r="I286">
        <v>793</v>
      </c>
      <c r="J286">
        <v>291</v>
      </c>
      <c r="K286">
        <v>221</v>
      </c>
      <c r="L286">
        <v>249</v>
      </c>
      <c r="M286">
        <v>29.7</v>
      </c>
      <c r="N286">
        <v>33.4</v>
      </c>
      <c r="O286">
        <v>266.2</v>
      </c>
    </row>
    <row r="287" spans="1:15">
      <c r="A287">
        <v>281</v>
      </c>
      <c r="B287" t="s">
        <v>866</v>
      </c>
      <c r="C287" t="s">
        <v>867</v>
      </c>
      <c r="D287" t="s">
        <v>6897</v>
      </c>
      <c r="E287" t="s">
        <v>6898</v>
      </c>
      <c r="F287" t="s">
        <v>6899</v>
      </c>
      <c r="G287" t="s">
        <v>5904</v>
      </c>
      <c r="H287">
        <v>198</v>
      </c>
      <c r="I287">
        <v>198</v>
      </c>
      <c r="J287">
        <v>198</v>
      </c>
      <c r="K287">
        <v>195</v>
      </c>
      <c r="L287">
        <v>197</v>
      </c>
      <c r="M287">
        <v>98.5</v>
      </c>
      <c r="N287">
        <v>99.5</v>
      </c>
      <c r="O287">
        <v>407.9</v>
      </c>
    </row>
    <row r="288" spans="1:15">
      <c r="A288">
        <v>280</v>
      </c>
      <c r="B288" t="s">
        <v>868</v>
      </c>
      <c r="C288" t="s">
        <v>869</v>
      </c>
      <c r="D288" t="s">
        <v>6900</v>
      </c>
      <c r="E288" t="s">
        <v>6901</v>
      </c>
      <c r="F288" t="s">
        <v>6902</v>
      </c>
      <c r="G288" t="s">
        <v>5904</v>
      </c>
      <c r="H288">
        <v>421</v>
      </c>
      <c r="I288">
        <v>421</v>
      </c>
      <c r="J288">
        <v>421</v>
      </c>
      <c r="K288">
        <v>398</v>
      </c>
      <c r="L288">
        <v>405</v>
      </c>
      <c r="M288">
        <v>94.5</v>
      </c>
      <c r="N288">
        <v>96.2</v>
      </c>
      <c r="O288">
        <v>829.3</v>
      </c>
    </row>
    <row r="289" spans="1:15">
      <c r="A289">
        <v>279</v>
      </c>
      <c r="B289" t="s">
        <v>870</v>
      </c>
      <c r="C289" t="s">
        <v>871</v>
      </c>
      <c r="D289" t="s">
        <v>6903</v>
      </c>
      <c r="E289" t="s">
        <v>6904</v>
      </c>
      <c r="F289" t="s">
        <v>6905</v>
      </c>
      <c r="G289" t="s">
        <v>5904</v>
      </c>
      <c r="H289">
        <v>316</v>
      </c>
      <c r="I289">
        <v>316</v>
      </c>
      <c r="J289">
        <v>316</v>
      </c>
      <c r="K289">
        <v>282</v>
      </c>
      <c r="L289">
        <v>301</v>
      </c>
      <c r="M289">
        <v>89.2</v>
      </c>
      <c r="N289">
        <v>95.3</v>
      </c>
      <c r="O289">
        <v>570.5</v>
      </c>
    </row>
    <row r="290" spans="1:15">
      <c r="A290">
        <v>278</v>
      </c>
      <c r="B290" t="s">
        <v>6906</v>
      </c>
      <c r="C290" t="s">
        <v>6907</v>
      </c>
      <c r="D290" t="s">
        <v>6908</v>
      </c>
      <c r="E290" t="s">
        <v>6909</v>
      </c>
      <c r="F290" t="s">
        <v>6910</v>
      </c>
      <c r="G290" t="s">
        <v>5904</v>
      </c>
      <c r="H290">
        <v>392</v>
      </c>
      <c r="I290">
        <v>392</v>
      </c>
      <c r="J290">
        <v>392</v>
      </c>
      <c r="K290">
        <v>388</v>
      </c>
      <c r="L290">
        <v>390</v>
      </c>
      <c r="M290">
        <v>99</v>
      </c>
      <c r="N290">
        <v>99.5</v>
      </c>
      <c r="O290">
        <v>757.7</v>
      </c>
    </row>
    <row r="291" spans="1:15">
      <c r="A291">
        <v>277</v>
      </c>
      <c r="B291" t="s">
        <v>875</v>
      </c>
      <c r="C291" t="s">
        <v>876</v>
      </c>
      <c r="D291" t="s">
        <v>6911</v>
      </c>
      <c r="E291" t="s">
        <v>6912</v>
      </c>
      <c r="F291" t="s">
        <v>6913</v>
      </c>
      <c r="G291" t="s">
        <v>5904</v>
      </c>
      <c r="H291">
        <v>296</v>
      </c>
      <c r="I291">
        <v>296</v>
      </c>
      <c r="J291">
        <v>296</v>
      </c>
      <c r="K291">
        <v>276</v>
      </c>
      <c r="L291">
        <v>288</v>
      </c>
      <c r="M291">
        <v>93.2</v>
      </c>
      <c r="N291">
        <v>97.3</v>
      </c>
      <c r="O291">
        <v>543.9</v>
      </c>
    </row>
    <row r="292" spans="1:15">
      <c r="A292">
        <v>276</v>
      </c>
      <c r="B292" t="s">
        <v>6914</v>
      </c>
      <c r="C292" t="s">
        <v>880</v>
      </c>
      <c r="D292" t="s">
        <v>6915</v>
      </c>
      <c r="E292" t="s">
        <v>6916</v>
      </c>
      <c r="F292" t="s">
        <v>6917</v>
      </c>
      <c r="G292" t="s">
        <v>5904</v>
      </c>
      <c r="H292">
        <v>2719</v>
      </c>
      <c r="I292">
        <v>2725</v>
      </c>
      <c r="J292">
        <v>2726</v>
      </c>
      <c r="K292">
        <v>2666</v>
      </c>
      <c r="L292">
        <v>2686</v>
      </c>
      <c r="M292">
        <v>98.1</v>
      </c>
      <c r="N292">
        <v>98.8</v>
      </c>
      <c r="O292">
        <v>5432.8</v>
      </c>
    </row>
    <row r="293" spans="1:15">
      <c r="A293">
        <v>275</v>
      </c>
      <c r="B293" t="s">
        <v>6918</v>
      </c>
      <c r="C293" t="s">
        <v>883</v>
      </c>
      <c r="D293" t="s">
        <v>6919</v>
      </c>
      <c r="E293" t="s">
        <v>6920</v>
      </c>
      <c r="F293" t="s">
        <v>6921</v>
      </c>
      <c r="G293" t="s">
        <v>5904</v>
      </c>
      <c r="H293">
        <v>1482</v>
      </c>
      <c r="I293">
        <v>1480</v>
      </c>
      <c r="J293">
        <v>1483</v>
      </c>
      <c r="K293">
        <v>1349</v>
      </c>
      <c r="L293">
        <v>1416</v>
      </c>
      <c r="M293">
        <v>91</v>
      </c>
      <c r="N293">
        <v>95.5</v>
      </c>
      <c r="O293">
        <v>2734.1</v>
      </c>
    </row>
    <row r="294" spans="1:15">
      <c r="A294">
        <v>274</v>
      </c>
      <c r="B294" t="s">
        <v>884</v>
      </c>
      <c r="C294" t="s">
        <v>885</v>
      </c>
      <c r="D294" t="s">
        <v>6922</v>
      </c>
      <c r="E294" t="s">
        <v>6923</v>
      </c>
      <c r="F294" t="s">
        <v>6924</v>
      </c>
      <c r="G294" t="s">
        <v>5904</v>
      </c>
      <c r="H294">
        <v>293</v>
      </c>
      <c r="I294">
        <v>291</v>
      </c>
      <c r="J294">
        <v>293</v>
      </c>
      <c r="K294">
        <v>242</v>
      </c>
      <c r="L294">
        <v>261</v>
      </c>
      <c r="M294">
        <v>82.6</v>
      </c>
      <c r="N294">
        <v>89.1</v>
      </c>
      <c r="O294">
        <v>479.9</v>
      </c>
    </row>
    <row r="295" spans="1:15">
      <c r="A295">
        <v>2088</v>
      </c>
      <c r="B295" t="s">
        <v>886</v>
      </c>
      <c r="C295" t="s">
        <v>887</v>
      </c>
      <c r="D295" t="s">
        <v>6925</v>
      </c>
      <c r="E295" t="s">
        <v>6926</v>
      </c>
      <c r="F295" t="s">
        <v>6927</v>
      </c>
      <c r="G295" t="s">
        <v>5904</v>
      </c>
      <c r="H295">
        <v>589</v>
      </c>
      <c r="I295">
        <v>585</v>
      </c>
      <c r="J295">
        <v>589</v>
      </c>
      <c r="K295">
        <v>427</v>
      </c>
      <c r="L295">
        <v>488</v>
      </c>
      <c r="M295">
        <v>72.5</v>
      </c>
      <c r="N295">
        <v>82.9</v>
      </c>
      <c r="O295">
        <v>852</v>
      </c>
    </row>
    <row r="296" spans="1:15">
      <c r="A296">
        <v>273</v>
      </c>
      <c r="B296" t="s">
        <v>888</v>
      </c>
      <c r="C296" t="s">
        <v>889</v>
      </c>
      <c r="D296" t="s">
        <v>6928</v>
      </c>
      <c r="E296" t="s">
        <v>6929</v>
      </c>
      <c r="F296" t="s">
        <v>6930</v>
      </c>
      <c r="G296" t="s">
        <v>5904</v>
      </c>
      <c r="H296">
        <v>556</v>
      </c>
      <c r="I296">
        <v>419</v>
      </c>
      <c r="J296">
        <v>397</v>
      </c>
      <c r="K296">
        <v>344</v>
      </c>
      <c r="L296">
        <v>369</v>
      </c>
      <c r="M296">
        <v>61.9</v>
      </c>
      <c r="N296">
        <v>66.400000000000006</v>
      </c>
      <c r="O296">
        <v>733</v>
      </c>
    </row>
    <row r="297" spans="1:15">
      <c r="A297">
        <v>272</v>
      </c>
      <c r="B297" t="s">
        <v>6931</v>
      </c>
      <c r="C297" t="s">
        <v>5963</v>
      </c>
      <c r="D297" t="s">
        <v>6932</v>
      </c>
      <c r="E297" t="s">
        <v>6933</v>
      </c>
      <c r="F297" t="s">
        <v>6934</v>
      </c>
      <c r="G297" t="s">
        <v>5904</v>
      </c>
      <c r="H297">
        <v>840</v>
      </c>
      <c r="I297">
        <v>840</v>
      </c>
      <c r="J297">
        <v>840</v>
      </c>
      <c r="K297">
        <v>756</v>
      </c>
      <c r="L297">
        <v>790</v>
      </c>
      <c r="M297">
        <v>90</v>
      </c>
      <c r="N297">
        <v>94</v>
      </c>
      <c r="O297">
        <v>1574.3</v>
      </c>
    </row>
    <row r="298" spans="1:15">
      <c r="A298">
        <v>271</v>
      </c>
      <c r="B298" t="s">
        <v>893</v>
      </c>
      <c r="C298" t="s">
        <v>894</v>
      </c>
      <c r="D298" t="s">
        <v>6935</v>
      </c>
      <c r="E298" t="s">
        <v>6936</v>
      </c>
      <c r="F298" t="s">
        <v>6937</v>
      </c>
      <c r="G298" t="s">
        <v>5904</v>
      </c>
      <c r="H298">
        <v>1786</v>
      </c>
      <c r="I298">
        <v>1786</v>
      </c>
      <c r="J298">
        <v>1786</v>
      </c>
      <c r="K298">
        <v>1671</v>
      </c>
      <c r="L298">
        <v>1735</v>
      </c>
      <c r="M298">
        <v>93.6</v>
      </c>
      <c r="N298">
        <v>97.1</v>
      </c>
      <c r="O298">
        <v>3499.9</v>
      </c>
    </row>
    <row r="299" spans="1:15">
      <c r="A299">
        <v>270</v>
      </c>
      <c r="B299" t="s">
        <v>895</v>
      </c>
      <c r="C299" t="s">
        <v>896</v>
      </c>
      <c r="D299" t="s">
        <v>6938</v>
      </c>
      <c r="E299" t="s">
        <v>6939</v>
      </c>
      <c r="F299" t="s">
        <v>6940</v>
      </c>
      <c r="G299" t="s">
        <v>5904</v>
      </c>
      <c r="H299">
        <v>509</v>
      </c>
      <c r="I299">
        <v>509</v>
      </c>
      <c r="J299">
        <v>509</v>
      </c>
      <c r="K299">
        <v>501</v>
      </c>
      <c r="L299">
        <v>506</v>
      </c>
      <c r="M299">
        <v>98.4</v>
      </c>
      <c r="N299">
        <v>99.4</v>
      </c>
      <c r="O299">
        <v>1032.7</v>
      </c>
    </row>
    <row r="300" spans="1:15">
      <c r="A300">
        <v>269</v>
      </c>
      <c r="B300" t="s">
        <v>897</v>
      </c>
      <c r="C300" t="s">
        <v>898</v>
      </c>
      <c r="D300" t="s">
        <v>6941</v>
      </c>
      <c r="E300" t="s">
        <v>6942</v>
      </c>
      <c r="F300" t="s">
        <v>6943</v>
      </c>
      <c r="G300" t="s">
        <v>5904</v>
      </c>
      <c r="H300">
        <v>426</v>
      </c>
      <c r="I300">
        <v>430</v>
      </c>
      <c r="J300">
        <v>437</v>
      </c>
      <c r="K300">
        <v>366</v>
      </c>
      <c r="L300">
        <v>389</v>
      </c>
      <c r="M300">
        <v>85.9</v>
      </c>
      <c r="N300">
        <v>91.3</v>
      </c>
      <c r="O300">
        <v>694.9</v>
      </c>
    </row>
    <row r="301" spans="1:15">
      <c r="A301">
        <v>268</v>
      </c>
      <c r="B301" t="s">
        <v>6944</v>
      </c>
      <c r="C301" t="s">
        <v>901</v>
      </c>
      <c r="D301" t="s">
        <v>6945</v>
      </c>
      <c r="E301" t="s">
        <v>6946</v>
      </c>
      <c r="F301" t="s">
        <v>6947</v>
      </c>
      <c r="G301" t="s">
        <v>5904</v>
      </c>
      <c r="H301">
        <v>188</v>
      </c>
      <c r="I301">
        <v>188</v>
      </c>
      <c r="J301">
        <v>188</v>
      </c>
      <c r="K301">
        <v>184</v>
      </c>
      <c r="L301">
        <v>187</v>
      </c>
      <c r="M301">
        <v>97.9</v>
      </c>
      <c r="N301">
        <v>99.5</v>
      </c>
      <c r="O301">
        <v>372.1</v>
      </c>
    </row>
    <row r="302" spans="1:15">
      <c r="A302">
        <v>2087</v>
      </c>
      <c r="B302" t="s">
        <v>6948</v>
      </c>
      <c r="C302" t="s">
        <v>904</v>
      </c>
      <c r="D302" t="s">
        <v>6949</v>
      </c>
      <c r="E302" t="s">
        <v>6950</v>
      </c>
      <c r="F302" t="s">
        <v>6951</v>
      </c>
      <c r="G302" t="s">
        <v>5904</v>
      </c>
      <c r="H302">
        <v>659</v>
      </c>
      <c r="I302">
        <v>658</v>
      </c>
      <c r="J302">
        <v>659</v>
      </c>
      <c r="K302">
        <v>583</v>
      </c>
      <c r="L302">
        <v>623</v>
      </c>
      <c r="M302">
        <v>88.5</v>
      </c>
      <c r="N302">
        <v>94.5</v>
      </c>
      <c r="O302">
        <v>1237.5999999999999</v>
      </c>
    </row>
    <row r="303" spans="1:15">
      <c r="A303">
        <v>267</v>
      </c>
      <c r="B303" t="s">
        <v>905</v>
      </c>
      <c r="C303" t="s">
        <v>6952</v>
      </c>
      <c r="D303" t="s">
        <v>6953</v>
      </c>
      <c r="E303" t="s">
        <v>6954</v>
      </c>
      <c r="F303" t="s">
        <v>6955</v>
      </c>
      <c r="G303" t="s">
        <v>5904</v>
      </c>
      <c r="H303">
        <v>260</v>
      </c>
      <c r="I303">
        <v>259</v>
      </c>
      <c r="J303">
        <v>256</v>
      </c>
      <c r="K303">
        <v>244</v>
      </c>
      <c r="L303">
        <v>252</v>
      </c>
      <c r="M303">
        <v>93.8</v>
      </c>
      <c r="N303">
        <v>96.9</v>
      </c>
      <c r="O303">
        <v>511.5</v>
      </c>
    </row>
    <row r="304" spans="1:15">
      <c r="A304">
        <v>266</v>
      </c>
      <c r="B304" t="s">
        <v>6956</v>
      </c>
      <c r="C304" t="s">
        <v>909</v>
      </c>
      <c r="D304" t="s">
        <v>6957</v>
      </c>
      <c r="E304" t="s">
        <v>6958</v>
      </c>
      <c r="F304" t="s">
        <v>6959</v>
      </c>
      <c r="G304" t="s">
        <v>5904</v>
      </c>
      <c r="H304">
        <v>1148</v>
      </c>
      <c r="I304">
        <v>1125</v>
      </c>
      <c r="J304">
        <v>1148</v>
      </c>
      <c r="K304">
        <v>986</v>
      </c>
      <c r="L304">
        <v>1049</v>
      </c>
      <c r="M304">
        <v>85.9</v>
      </c>
      <c r="N304">
        <v>91.4</v>
      </c>
      <c r="O304">
        <v>1657.5</v>
      </c>
    </row>
    <row r="305" spans="1:15">
      <c r="A305">
        <v>265</v>
      </c>
      <c r="B305" t="s">
        <v>910</v>
      </c>
      <c r="C305" t="s">
        <v>911</v>
      </c>
      <c r="D305" t="s">
        <v>6960</v>
      </c>
      <c r="E305" t="s">
        <v>6961</v>
      </c>
      <c r="F305" t="s">
        <v>6962</v>
      </c>
      <c r="G305" t="s">
        <v>5904</v>
      </c>
      <c r="H305">
        <v>434</v>
      </c>
      <c r="I305">
        <v>437</v>
      </c>
      <c r="J305">
        <v>437</v>
      </c>
      <c r="K305">
        <v>433</v>
      </c>
      <c r="L305">
        <v>433</v>
      </c>
      <c r="M305">
        <v>99.8</v>
      </c>
      <c r="N305">
        <v>99.8</v>
      </c>
      <c r="O305">
        <v>895.2</v>
      </c>
    </row>
    <row r="306" spans="1:15">
      <c r="A306">
        <v>2086</v>
      </c>
      <c r="B306" t="s">
        <v>6963</v>
      </c>
      <c r="C306" t="s">
        <v>914</v>
      </c>
      <c r="D306" t="s">
        <v>6964</v>
      </c>
      <c r="E306" t="s">
        <v>6965</v>
      </c>
      <c r="F306" t="s">
        <v>6966</v>
      </c>
      <c r="G306" t="s">
        <v>5904</v>
      </c>
      <c r="H306">
        <v>445</v>
      </c>
      <c r="I306">
        <v>442</v>
      </c>
      <c r="J306">
        <v>432</v>
      </c>
      <c r="K306">
        <v>369</v>
      </c>
      <c r="L306">
        <v>386</v>
      </c>
      <c r="M306">
        <v>82.9</v>
      </c>
      <c r="N306">
        <v>86.7</v>
      </c>
      <c r="O306">
        <v>691.8</v>
      </c>
    </row>
    <row r="307" spans="1:15">
      <c r="A307">
        <v>264</v>
      </c>
      <c r="B307" t="s">
        <v>6967</v>
      </c>
      <c r="C307" t="s">
        <v>5698</v>
      </c>
      <c r="D307" t="s">
        <v>6968</v>
      </c>
      <c r="E307" t="s">
        <v>6969</v>
      </c>
      <c r="F307" t="s">
        <v>6970</v>
      </c>
      <c r="G307" t="s">
        <v>5904</v>
      </c>
      <c r="H307">
        <v>1837</v>
      </c>
      <c r="I307">
        <v>1857</v>
      </c>
      <c r="J307">
        <v>1857</v>
      </c>
      <c r="K307">
        <v>1584</v>
      </c>
      <c r="L307">
        <v>1708</v>
      </c>
      <c r="M307">
        <v>86.2</v>
      </c>
      <c r="N307">
        <v>93</v>
      </c>
      <c r="O307">
        <v>3341.2</v>
      </c>
    </row>
    <row r="308" spans="1:15">
      <c r="A308">
        <v>263</v>
      </c>
      <c r="B308" t="s">
        <v>915</v>
      </c>
      <c r="C308" t="s">
        <v>6971</v>
      </c>
      <c r="D308" t="s">
        <v>6972</v>
      </c>
      <c r="E308" t="s">
        <v>6973</v>
      </c>
      <c r="F308" t="s">
        <v>6974</v>
      </c>
      <c r="G308" t="s">
        <v>5904</v>
      </c>
      <c r="H308">
        <v>1014</v>
      </c>
      <c r="I308">
        <v>1021</v>
      </c>
      <c r="J308">
        <v>1023</v>
      </c>
      <c r="K308">
        <v>941</v>
      </c>
      <c r="L308">
        <v>972</v>
      </c>
      <c r="M308">
        <v>92.8</v>
      </c>
      <c r="N308">
        <v>95.9</v>
      </c>
      <c r="O308">
        <v>1826.6</v>
      </c>
    </row>
    <row r="309" spans="1:15">
      <c r="A309">
        <v>262</v>
      </c>
      <c r="B309" t="s">
        <v>6975</v>
      </c>
      <c r="C309" t="s">
        <v>919</v>
      </c>
      <c r="D309" t="s">
        <v>6976</v>
      </c>
      <c r="E309" t="s">
        <v>6977</v>
      </c>
      <c r="F309" t="s">
        <v>6978</v>
      </c>
      <c r="G309" t="s">
        <v>5904</v>
      </c>
      <c r="H309">
        <v>346</v>
      </c>
      <c r="I309">
        <v>346</v>
      </c>
      <c r="J309">
        <v>346</v>
      </c>
      <c r="K309">
        <v>332</v>
      </c>
      <c r="L309">
        <v>337</v>
      </c>
      <c r="M309">
        <v>96</v>
      </c>
      <c r="N309">
        <v>97.4</v>
      </c>
      <c r="O309">
        <v>647.1</v>
      </c>
    </row>
    <row r="310" spans="1:15">
      <c r="A310">
        <v>261</v>
      </c>
      <c r="B310" t="s">
        <v>920</v>
      </c>
      <c r="C310" t="s">
        <v>921</v>
      </c>
      <c r="D310" t="s">
        <v>6979</v>
      </c>
      <c r="E310" t="s">
        <v>6980</v>
      </c>
      <c r="F310" t="s">
        <v>6981</v>
      </c>
      <c r="G310" t="s">
        <v>5904</v>
      </c>
      <c r="H310">
        <v>556</v>
      </c>
      <c r="I310">
        <v>572</v>
      </c>
      <c r="J310">
        <v>569</v>
      </c>
      <c r="K310">
        <v>428</v>
      </c>
      <c r="L310">
        <v>475</v>
      </c>
      <c r="M310">
        <v>77</v>
      </c>
      <c r="N310">
        <v>85.4</v>
      </c>
      <c r="O310">
        <v>825.9</v>
      </c>
    </row>
    <row r="311" spans="1:15">
      <c r="A311">
        <v>260</v>
      </c>
      <c r="B311" t="s">
        <v>922</v>
      </c>
      <c r="C311" t="s">
        <v>923</v>
      </c>
      <c r="D311" t="s">
        <v>6982</v>
      </c>
      <c r="E311" t="s">
        <v>6983</v>
      </c>
      <c r="F311" t="s">
        <v>6984</v>
      </c>
      <c r="G311" t="s">
        <v>5904</v>
      </c>
      <c r="H311">
        <v>491</v>
      </c>
      <c r="I311">
        <v>491</v>
      </c>
      <c r="J311">
        <v>491</v>
      </c>
      <c r="K311">
        <v>468</v>
      </c>
      <c r="L311">
        <v>483</v>
      </c>
      <c r="M311">
        <v>95.3</v>
      </c>
      <c r="N311">
        <v>98.4</v>
      </c>
      <c r="O311">
        <v>951.8</v>
      </c>
    </row>
    <row r="312" spans="1:15">
      <c r="A312">
        <v>259</v>
      </c>
      <c r="B312" t="s">
        <v>924</v>
      </c>
      <c r="C312" t="s">
        <v>925</v>
      </c>
      <c r="D312" t="s">
        <v>6985</v>
      </c>
      <c r="E312" t="s">
        <v>6986</v>
      </c>
      <c r="F312" t="s">
        <v>6987</v>
      </c>
      <c r="G312" t="s">
        <v>5904</v>
      </c>
      <c r="H312">
        <v>257</v>
      </c>
      <c r="I312">
        <v>259</v>
      </c>
      <c r="J312">
        <v>259</v>
      </c>
      <c r="K312">
        <v>228</v>
      </c>
      <c r="L312">
        <v>238</v>
      </c>
      <c r="M312">
        <v>88.7</v>
      </c>
      <c r="N312">
        <v>92.6</v>
      </c>
      <c r="O312">
        <v>468</v>
      </c>
    </row>
    <row r="313" spans="1:15">
      <c r="A313">
        <v>258</v>
      </c>
      <c r="B313" t="s">
        <v>6988</v>
      </c>
      <c r="C313" t="s">
        <v>928</v>
      </c>
      <c r="D313" t="s">
        <v>6989</v>
      </c>
      <c r="E313" t="s">
        <v>6990</v>
      </c>
      <c r="F313" t="s">
        <v>6991</v>
      </c>
      <c r="G313" t="s">
        <v>5904</v>
      </c>
      <c r="H313">
        <v>220</v>
      </c>
      <c r="I313">
        <v>236</v>
      </c>
      <c r="J313">
        <v>220</v>
      </c>
      <c r="K313">
        <v>186</v>
      </c>
      <c r="L313">
        <v>205</v>
      </c>
      <c r="M313">
        <v>84.5</v>
      </c>
      <c r="N313">
        <v>93.2</v>
      </c>
      <c r="O313">
        <v>356.3</v>
      </c>
    </row>
    <row r="314" spans="1:15">
      <c r="A314">
        <v>257</v>
      </c>
      <c r="B314" t="s">
        <v>6992</v>
      </c>
      <c r="C314" t="s">
        <v>931</v>
      </c>
      <c r="D314" t="s">
        <v>6993</v>
      </c>
      <c r="E314" t="s">
        <v>6994</v>
      </c>
      <c r="F314" t="s">
        <v>6995</v>
      </c>
      <c r="G314" t="s">
        <v>5904</v>
      </c>
      <c r="H314">
        <v>831</v>
      </c>
      <c r="I314">
        <v>822</v>
      </c>
      <c r="J314">
        <v>814</v>
      </c>
      <c r="K314">
        <v>629</v>
      </c>
      <c r="L314">
        <v>696</v>
      </c>
      <c r="M314">
        <v>75.7</v>
      </c>
      <c r="N314">
        <v>83.8</v>
      </c>
      <c r="O314">
        <v>1286.2</v>
      </c>
    </row>
    <row r="315" spans="1:15">
      <c r="A315">
        <v>256</v>
      </c>
      <c r="B315" t="s">
        <v>932</v>
      </c>
      <c r="C315" t="s">
        <v>933</v>
      </c>
      <c r="D315" t="s">
        <v>6996</v>
      </c>
      <c r="E315" t="s">
        <v>6997</v>
      </c>
      <c r="F315" t="s">
        <v>6998</v>
      </c>
      <c r="G315" t="s">
        <v>5904</v>
      </c>
      <c r="H315">
        <v>793</v>
      </c>
      <c r="I315">
        <v>793</v>
      </c>
      <c r="J315">
        <v>793</v>
      </c>
      <c r="K315">
        <v>782</v>
      </c>
      <c r="L315">
        <v>787</v>
      </c>
      <c r="M315">
        <v>98.6</v>
      </c>
      <c r="N315">
        <v>99.2</v>
      </c>
      <c r="O315">
        <v>1563.5</v>
      </c>
    </row>
    <row r="316" spans="1:15">
      <c r="A316">
        <v>255</v>
      </c>
      <c r="B316" t="s">
        <v>6999</v>
      </c>
      <c r="C316" t="s">
        <v>936</v>
      </c>
      <c r="D316" t="s">
        <v>7000</v>
      </c>
      <c r="E316" t="s">
        <v>7001</v>
      </c>
      <c r="F316" t="s">
        <v>7002</v>
      </c>
      <c r="G316" t="s">
        <v>5904</v>
      </c>
      <c r="H316">
        <v>704</v>
      </c>
      <c r="I316">
        <v>701</v>
      </c>
      <c r="J316">
        <v>704</v>
      </c>
      <c r="K316">
        <v>602</v>
      </c>
      <c r="L316">
        <v>640</v>
      </c>
      <c r="M316">
        <v>85.5</v>
      </c>
      <c r="N316">
        <v>90.9</v>
      </c>
      <c r="O316">
        <v>1261.9000000000001</v>
      </c>
    </row>
    <row r="317" spans="1:15">
      <c r="A317">
        <v>254</v>
      </c>
      <c r="B317" t="s">
        <v>7003</v>
      </c>
      <c r="C317" t="s">
        <v>939</v>
      </c>
      <c r="D317" t="s">
        <v>7004</v>
      </c>
      <c r="E317" t="s">
        <v>7005</v>
      </c>
      <c r="F317" t="s">
        <v>7006</v>
      </c>
      <c r="G317" t="s">
        <v>5904</v>
      </c>
      <c r="H317">
        <v>272</v>
      </c>
      <c r="I317">
        <v>271</v>
      </c>
      <c r="J317">
        <v>269</v>
      </c>
      <c r="K317">
        <v>263</v>
      </c>
      <c r="L317">
        <v>266</v>
      </c>
      <c r="M317">
        <v>96.7</v>
      </c>
      <c r="N317">
        <v>97.8</v>
      </c>
      <c r="O317">
        <v>554.29999999999995</v>
      </c>
    </row>
    <row r="318" spans="1:15">
      <c r="A318">
        <v>253</v>
      </c>
      <c r="B318" t="s">
        <v>7007</v>
      </c>
      <c r="C318" t="s">
        <v>942</v>
      </c>
      <c r="D318" t="s">
        <v>7008</v>
      </c>
      <c r="E318" t="s">
        <v>7009</v>
      </c>
      <c r="F318" t="s">
        <v>7010</v>
      </c>
      <c r="G318" t="s">
        <v>5904</v>
      </c>
      <c r="H318">
        <v>494</v>
      </c>
      <c r="I318">
        <v>494</v>
      </c>
      <c r="J318">
        <v>494</v>
      </c>
      <c r="K318">
        <v>489</v>
      </c>
      <c r="L318">
        <v>492</v>
      </c>
      <c r="M318">
        <v>99</v>
      </c>
      <c r="N318">
        <v>99.6</v>
      </c>
      <c r="O318">
        <v>1018.5</v>
      </c>
    </row>
    <row r="319" spans="1:15">
      <c r="A319">
        <v>252</v>
      </c>
      <c r="B319" t="s">
        <v>7011</v>
      </c>
      <c r="C319" t="s">
        <v>946</v>
      </c>
      <c r="D319" t="s">
        <v>7012</v>
      </c>
      <c r="E319" t="s">
        <v>7013</v>
      </c>
      <c r="F319" t="s">
        <v>7014</v>
      </c>
      <c r="G319" t="s">
        <v>5904</v>
      </c>
      <c r="H319">
        <v>523</v>
      </c>
      <c r="I319">
        <v>524</v>
      </c>
      <c r="J319">
        <v>524</v>
      </c>
      <c r="K319">
        <v>451</v>
      </c>
      <c r="L319">
        <v>485</v>
      </c>
      <c r="M319">
        <v>86.2</v>
      </c>
      <c r="N319">
        <v>92.7</v>
      </c>
      <c r="O319">
        <v>902.9</v>
      </c>
    </row>
    <row r="320" spans="1:15">
      <c r="A320">
        <v>2246</v>
      </c>
      <c r="B320" t="s">
        <v>947</v>
      </c>
      <c r="C320" t="s">
        <v>948</v>
      </c>
      <c r="D320" t="s">
        <v>7015</v>
      </c>
      <c r="E320" t="s">
        <v>7016</v>
      </c>
      <c r="F320" t="s">
        <v>7017</v>
      </c>
      <c r="G320" t="s">
        <v>5904</v>
      </c>
      <c r="H320">
        <v>467</v>
      </c>
      <c r="I320">
        <v>466</v>
      </c>
      <c r="J320">
        <v>439</v>
      </c>
      <c r="K320">
        <v>377</v>
      </c>
      <c r="L320">
        <v>404</v>
      </c>
      <c r="M320">
        <v>80.7</v>
      </c>
      <c r="N320">
        <v>86.5</v>
      </c>
      <c r="O320">
        <v>798.5</v>
      </c>
    </row>
    <row r="321" spans="1:15">
      <c r="A321">
        <v>251</v>
      </c>
      <c r="B321" t="s">
        <v>949</v>
      </c>
      <c r="C321" t="s">
        <v>950</v>
      </c>
      <c r="D321" t="s">
        <v>7018</v>
      </c>
      <c r="E321" t="s">
        <v>7019</v>
      </c>
      <c r="F321" t="s">
        <v>7020</v>
      </c>
      <c r="G321" t="s">
        <v>5904</v>
      </c>
      <c r="H321">
        <v>199</v>
      </c>
      <c r="I321">
        <v>199</v>
      </c>
      <c r="J321">
        <v>199</v>
      </c>
      <c r="K321">
        <v>196</v>
      </c>
      <c r="L321">
        <v>197</v>
      </c>
      <c r="M321">
        <v>98.5</v>
      </c>
      <c r="N321">
        <v>99</v>
      </c>
      <c r="O321">
        <v>397.9</v>
      </c>
    </row>
    <row r="322" spans="1:15">
      <c r="A322">
        <v>250</v>
      </c>
      <c r="B322" t="s">
        <v>951</v>
      </c>
      <c r="C322" t="s">
        <v>952</v>
      </c>
      <c r="D322" t="s">
        <v>7021</v>
      </c>
      <c r="E322" t="s">
        <v>7022</v>
      </c>
      <c r="F322" t="s">
        <v>7023</v>
      </c>
      <c r="G322" t="s">
        <v>5904</v>
      </c>
      <c r="H322">
        <v>288</v>
      </c>
      <c r="I322">
        <v>263</v>
      </c>
      <c r="J322">
        <v>295</v>
      </c>
      <c r="K322">
        <v>223</v>
      </c>
      <c r="L322">
        <v>237</v>
      </c>
      <c r="M322">
        <v>77.400000000000006</v>
      </c>
      <c r="N322">
        <v>82.3</v>
      </c>
      <c r="O322">
        <v>423.7</v>
      </c>
    </row>
    <row r="323" spans="1:15">
      <c r="A323">
        <v>249</v>
      </c>
      <c r="B323" t="s">
        <v>953</v>
      </c>
      <c r="C323" t="s">
        <v>954</v>
      </c>
      <c r="D323" t="s">
        <v>7024</v>
      </c>
      <c r="E323" t="s">
        <v>7025</v>
      </c>
      <c r="F323" t="s">
        <v>7026</v>
      </c>
      <c r="G323" t="s">
        <v>5904</v>
      </c>
      <c r="H323">
        <v>1001</v>
      </c>
      <c r="I323">
        <v>894</v>
      </c>
      <c r="J323">
        <v>870</v>
      </c>
      <c r="K323">
        <v>740</v>
      </c>
      <c r="L323">
        <v>801</v>
      </c>
      <c r="M323">
        <v>73.900000000000006</v>
      </c>
      <c r="N323">
        <v>80</v>
      </c>
      <c r="O323">
        <v>1538.1</v>
      </c>
    </row>
    <row r="324" spans="1:15">
      <c r="A324">
        <v>2085</v>
      </c>
      <c r="B324" t="s">
        <v>7027</v>
      </c>
      <c r="C324" t="s">
        <v>7028</v>
      </c>
      <c r="D324" t="s">
        <v>7029</v>
      </c>
      <c r="E324" t="s">
        <v>7030</v>
      </c>
      <c r="F324" t="s">
        <v>7031</v>
      </c>
      <c r="G324" t="s">
        <v>5904</v>
      </c>
      <c r="H324">
        <v>873</v>
      </c>
      <c r="I324">
        <v>874</v>
      </c>
      <c r="J324">
        <v>867</v>
      </c>
      <c r="K324">
        <v>786</v>
      </c>
      <c r="L324">
        <v>816</v>
      </c>
      <c r="M324">
        <v>90</v>
      </c>
      <c r="N324">
        <v>93.5</v>
      </c>
      <c r="O324">
        <v>1568.1</v>
      </c>
    </row>
    <row r="325" spans="1:15">
      <c r="A325">
        <v>248</v>
      </c>
      <c r="B325" t="s">
        <v>958</v>
      </c>
      <c r="C325" t="s">
        <v>959</v>
      </c>
      <c r="D325" t="s">
        <v>7032</v>
      </c>
      <c r="E325" t="s">
        <v>7033</v>
      </c>
      <c r="F325" t="s">
        <v>7034</v>
      </c>
      <c r="G325" t="s">
        <v>5904</v>
      </c>
      <c r="H325">
        <v>496</v>
      </c>
      <c r="I325">
        <v>499</v>
      </c>
      <c r="J325">
        <v>499</v>
      </c>
      <c r="K325">
        <v>424</v>
      </c>
      <c r="L325">
        <v>452</v>
      </c>
      <c r="M325">
        <v>85.5</v>
      </c>
      <c r="N325">
        <v>91.1</v>
      </c>
      <c r="O325">
        <v>883.2</v>
      </c>
    </row>
    <row r="326" spans="1:15">
      <c r="A326">
        <v>247</v>
      </c>
      <c r="B326" t="s">
        <v>7035</v>
      </c>
      <c r="C326" t="s">
        <v>962</v>
      </c>
      <c r="D326" t="s">
        <v>7036</v>
      </c>
      <c r="E326" t="s">
        <v>7037</v>
      </c>
      <c r="F326" t="s">
        <v>7038</v>
      </c>
      <c r="G326" t="s">
        <v>5904</v>
      </c>
      <c r="H326">
        <v>1507</v>
      </c>
      <c r="I326">
        <v>1452</v>
      </c>
      <c r="J326">
        <v>1507</v>
      </c>
      <c r="K326">
        <v>1428</v>
      </c>
      <c r="L326">
        <v>1445</v>
      </c>
      <c r="M326">
        <v>94.8</v>
      </c>
      <c r="N326">
        <v>95.9</v>
      </c>
      <c r="O326">
        <v>2977.2</v>
      </c>
    </row>
    <row r="327" spans="1:15">
      <c r="A327">
        <v>246</v>
      </c>
      <c r="B327" t="s">
        <v>963</v>
      </c>
      <c r="C327" t="s">
        <v>965</v>
      </c>
      <c r="D327" t="s">
        <v>7039</v>
      </c>
      <c r="E327" t="s">
        <v>7040</v>
      </c>
      <c r="F327" t="s">
        <v>7041</v>
      </c>
      <c r="G327" t="s">
        <v>5904</v>
      </c>
      <c r="H327">
        <v>521</v>
      </c>
      <c r="I327">
        <v>517</v>
      </c>
      <c r="J327">
        <v>521</v>
      </c>
      <c r="K327">
        <v>491</v>
      </c>
      <c r="L327">
        <v>505</v>
      </c>
      <c r="M327">
        <v>94.2</v>
      </c>
      <c r="N327">
        <v>96.9</v>
      </c>
      <c r="O327">
        <v>1025</v>
      </c>
    </row>
    <row r="328" spans="1:15">
      <c r="A328">
        <v>245</v>
      </c>
      <c r="B328" t="s">
        <v>7042</v>
      </c>
      <c r="C328" t="s">
        <v>968</v>
      </c>
      <c r="D328" t="s">
        <v>7043</v>
      </c>
      <c r="E328" t="s">
        <v>7044</v>
      </c>
      <c r="F328" t="s">
        <v>7045</v>
      </c>
      <c r="G328" t="s">
        <v>5896</v>
      </c>
      <c r="H328">
        <v>976</v>
      </c>
      <c r="I328">
        <v>1087</v>
      </c>
      <c r="J328">
        <v>514</v>
      </c>
      <c r="K328">
        <v>482</v>
      </c>
      <c r="L328">
        <v>495</v>
      </c>
      <c r="M328">
        <v>49.4</v>
      </c>
      <c r="N328">
        <v>50.7</v>
      </c>
      <c r="O328">
        <v>910.2</v>
      </c>
    </row>
    <row r="329" spans="1:15">
      <c r="A329">
        <v>244</v>
      </c>
      <c r="B329" t="s">
        <v>7046</v>
      </c>
      <c r="C329" t="s">
        <v>971</v>
      </c>
      <c r="D329" t="s">
        <v>7047</v>
      </c>
      <c r="E329" t="s">
        <v>7048</v>
      </c>
      <c r="F329" t="s">
        <v>7049</v>
      </c>
      <c r="G329" t="s">
        <v>5904</v>
      </c>
      <c r="H329">
        <v>507</v>
      </c>
      <c r="I329">
        <v>507</v>
      </c>
      <c r="J329">
        <v>508</v>
      </c>
      <c r="K329">
        <v>425</v>
      </c>
      <c r="L329">
        <v>464</v>
      </c>
      <c r="M329">
        <v>83.8</v>
      </c>
      <c r="N329">
        <v>91.5</v>
      </c>
      <c r="O329">
        <v>865.5</v>
      </c>
    </row>
    <row r="330" spans="1:15">
      <c r="A330">
        <v>243</v>
      </c>
      <c r="B330" t="s">
        <v>7050</v>
      </c>
      <c r="C330" t="s">
        <v>974</v>
      </c>
      <c r="D330" t="s">
        <v>7051</v>
      </c>
      <c r="E330" t="s">
        <v>7052</v>
      </c>
      <c r="F330" t="s">
        <v>7053</v>
      </c>
      <c r="G330" t="s">
        <v>5904</v>
      </c>
      <c r="H330">
        <v>294</v>
      </c>
      <c r="I330">
        <v>249</v>
      </c>
      <c r="J330">
        <v>294</v>
      </c>
      <c r="K330">
        <v>244</v>
      </c>
      <c r="L330">
        <v>245</v>
      </c>
      <c r="M330">
        <v>83</v>
      </c>
      <c r="N330">
        <v>83.3</v>
      </c>
      <c r="O330">
        <v>485.3</v>
      </c>
    </row>
    <row r="331" spans="1:15">
      <c r="A331">
        <v>242</v>
      </c>
      <c r="B331" t="s">
        <v>7054</v>
      </c>
      <c r="C331" t="s">
        <v>977</v>
      </c>
      <c r="D331" t="s">
        <v>7055</v>
      </c>
      <c r="E331" t="s">
        <v>7056</v>
      </c>
      <c r="F331" t="s">
        <v>7057</v>
      </c>
      <c r="G331" t="s">
        <v>5904</v>
      </c>
      <c r="H331">
        <v>1787</v>
      </c>
      <c r="I331">
        <v>1685</v>
      </c>
      <c r="J331">
        <v>1694</v>
      </c>
      <c r="K331">
        <v>1496</v>
      </c>
      <c r="L331">
        <v>1580</v>
      </c>
      <c r="M331">
        <v>83.7</v>
      </c>
      <c r="N331">
        <v>88.4</v>
      </c>
      <c r="O331">
        <v>3085.4</v>
      </c>
    </row>
    <row r="332" spans="1:15">
      <c r="A332">
        <v>241</v>
      </c>
      <c r="B332" t="s">
        <v>7058</v>
      </c>
      <c r="C332" t="s">
        <v>980</v>
      </c>
      <c r="D332" t="s">
        <v>7059</v>
      </c>
      <c r="E332" t="s">
        <v>7060</v>
      </c>
      <c r="F332" t="s">
        <v>7061</v>
      </c>
      <c r="G332" t="s">
        <v>5904</v>
      </c>
      <c r="H332">
        <v>178</v>
      </c>
      <c r="I332">
        <v>172</v>
      </c>
      <c r="J332">
        <v>172</v>
      </c>
      <c r="K332">
        <v>170</v>
      </c>
      <c r="L332">
        <v>171</v>
      </c>
      <c r="M332">
        <v>95.5</v>
      </c>
      <c r="N332">
        <v>96.1</v>
      </c>
      <c r="O332">
        <v>351.3</v>
      </c>
    </row>
    <row r="333" spans="1:15">
      <c r="A333">
        <v>240</v>
      </c>
      <c r="B333" t="s">
        <v>981</v>
      </c>
      <c r="C333" t="s">
        <v>982</v>
      </c>
      <c r="D333" t="s">
        <v>7062</v>
      </c>
      <c r="E333" t="s">
        <v>7063</v>
      </c>
      <c r="F333" t="s">
        <v>7064</v>
      </c>
      <c r="G333" t="s">
        <v>5904</v>
      </c>
      <c r="H333">
        <v>569</v>
      </c>
      <c r="I333">
        <v>569</v>
      </c>
      <c r="J333">
        <v>547</v>
      </c>
      <c r="K333">
        <v>478</v>
      </c>
      <c r="L333">
        <v>513</v>
      </c>
      <c r="M333">
        <v>84</v>
      </c>
      <c r="N333">
        <v>90.2</v>
      </c>
      <c r="O333">
        <v>997.3</v>
      </c>
    </row>
    <row r="334" spans="1:15">
      <c r="A334">
        <v>239</v>
      </c>
      <c r="B334" t="s">
        <v>983</v>
      </c>
      <c r="C334" t="s">
        <v>984</v>
      </c>
      <c r="D334" t="s">
        <v>7065</v>
      </c>
      <c r="E334" t="s">
        <v>7066</v>
      </c>
      <c r="F334" t="s">
        <v>7067</v>
      </c>
      <c r="G334" t="s">
        <v>5904</v>
      </c>
      <c r="H334">
        <v>589</v>
      </c>
      <c r="I334">
        <v>589</v>
      </c>
      <c r="J334">
        <v>589</v>
      </c>
      <c r="K334">
        <v>494</v>
      </c>
      <c r="L334">
        <v>530</v>
      </c>
      <c r="M334">
        <v>83.9</v>
      </c>
      <c r="N334">
        <v>90</v>
      </c>
      <c r="O334">
        <v>990.7</v>
      </c>
    </row>
    <row r="335" spans="1:15">
      <c r="A335">
        <v>238</v>
      </c>
      <c r="B335" t="s">
        <v>7068</v>
      </c>
      <c r="C335" t="s">
        <v>987</v>
      </c>
      <c r="D335" t="s">
        <v>7069</v>
      </c>
      <c r="E335" t="s">
        <v>7070</v>
      </c>
      <c r="F335" t="s">
        <v>7071</v>
      </c>
      <c r="G335" t="s">
        <v>5904</v>
      </c>
      <c r="H335">
        <v>191</v>
      </c>
      <c r="I335">
        <v>106</v>
      </c>
      <c r="J335">
        <v>106</v>
      </c>
      <c r="K335">
        <v>83</v>
      </c>
      <c r="L335">
        <v>92</v>
      </c>
      <c r="M335">
        <v>43.5</v>
      </c>
      <c r="N335">
        <v>48.2</v>
      </c>
      <c r="O335">
        <v>166.8</v>
      </c>
    </row>
    <row r="336" spans="1:15">
      <c r="A336">
        <v>237</v>
      </c>
      <c r="B336" t="s">
        <v>988</v>
      </c>
      <c r="C336" t="s">
        <v>989</v>
      </c>
      <c r="D336" t="s">
        <v>7072</v>
      </c>
      <c r="E336" t="s">
        <v>7073</v>
      </c>
      <c r="F336" t="s">
        <v>7074</v>
      </c>
      <c r="G336" t="s">
        <v>5904</v>
      </c>
      <c r="H336">
        <v>553</v>
      </c>
      <c r="I336">
        <v>553</v>
      </c>
      <c r="J336">
        <v>553</v>
      </c>
      <c r="K336">
        <v>540</v>
      </c>
      <c r="L336">
        <v>547</v>
      </c>
      <c r="M336">
        <v>97.6</v>
      </c>
      <c r="N336">
        <v>98.9</v>
      </c>
      <c r="O336">
        <v>1095.0999999999999</v>
      </c>
    </row>
    <row r="337" spans="1:15">
      <c r="A337">
        <v>236</v>
      </c>
      <c r="B337" t="s">
        <v>7075</v>
      </c>
      <c r="C337" t="s">
        <v>992</v>
      </c>
      <c r="D337" t="s">
        <v>7076</v>
      </c>
      <c r="E337" t="s">
        <v>7077</v>
      </c>
      <c r="F337" t="s">
        <v>7078</v>
      </c>
      <c r="G337" t="s">
        <v>5904</v>
      </c>
      <c r="H337">
        <v>981</v>
      </c>
      <c r="I337">
        <v>963</v>
      </c>
      <c r="J337">
        <v>982</v>
      </c>
      <c r="K337">
        <v>877</v>
      </c>
      <c r="L337">
        <v>912</v>
      </c>
      <c r="M337">
        <v>89.4</v>
      </c>
      <c r="N337">
        <v>93</v>
      </c>
      <c r="O337">
        <v>1739.9</v>
      </c>
    </row>
    <row r="338" spans="1:15">
      <c r="A338">
        <v>235</v>
      </c>
      <c r="B338" t="s">
        <v>993</v>
      </c>
      <c r="C338" t="s">
        <v>994</v>
      </c>
      <c r="D338" t="s">
        <v>7079</v>
      </c>
      <c r="E338" t="s">
        <v>7080</v>
      </c>
      <c r="F338" t="s">
        <v>7081</v>
      </c>
      <c r="G338" t="s">
        <v>5904</v>
      </c>
      <c r="H338">
        <v>906</v>
      </c>
      <c r="I338">
        <v>906</v>
      </c>
      <c r="J338">
        <v>906</v>
      </c>
      <c r="K338">
        <v>886</v>
      </c>
      <c r="L338">
        <v>897</v>
      </c>
      <c r="M338">
        <v>97.8</v>
      </c>
      <c r="N338">
        <v>99</v>
      </c>
      <c r="O338">
        <v>1827.8</v>
      </c>
    </row>
    <row r="339" spans="1:15">
      <c r="A339">
        <v>234</v>
      </c>
      <c r="B339" t="s">
        <v>995</v>
      </c>
      <c r="C339" t="s">
        <v>996</v>
      </c>
      <c r="D339" t="s">
        <v>7082</v>
      </c>
      <c r="E339" t="s">
        <v>7083</v>
      </c>
      <c r="F339" t="s">
        <v>7084</v>
      </c>
      <c r="G339" t="s">
        <v>5904</v>
      </c>
      <c r="H339">
        <v>711</v>
      </c>
      <c r="I339">
        <v>719</v>
      </c>
      <c r="J339">
        <v>712</v>
      </c>
      <c r="K339">
        <v>503</v>
      </c>
      <c r="L339">
        <v>578</v>
      </c>
      <c r="M339">
        <v>70.7</v>
      </c>
      <c r="N339">
        <v>81.3</v>
      </c>
      <c r="O339">
        <v>1012.3</v>
      </c>
    </row>
    <row r="340" spans="1:15">
      <c r="A340">
        <v>233</v>
      </c>
      <c r="B340" t="s">
        <v>7085</v>
      </c>
      <c r="C340" t="s">
        <v>1000</v>
      </c>
      <c r="D340" t="s">
        <v>7086</v>
      </c>
      <c r="E340" t="s">
        <v>7087</v>
      </c>
      <c r="F340" t="s">
        <v>7088</v>
      </c>
      <c r="G340" t="s">
        <v>5904</v>
      </c>
      <c r="H340">
        <v>414</v>
      </c>
      <c r="I340">
        <v>374</v>
      </c>
      <c r="J340">
        <v>374</v>
      </c>
      <c r="K340">
        <v>313</v>
      </c>
      <c r="L340">
        <v>339</v>
      </c>
      <c r="M340">
        <v>75.599999999999994</v>
      </c>
      <c r="N340">
        <v>81.900000000000006</v>
      </c>
      <c r="O340">
        <v>634.79999999999995</v>
      </c>
    </row>
    <row r="341" spans="1:15">
      <c r="A341">
        <v>232</v>
      </c>
      <c r="B341" t="s">
        <v>7089</v>
      </c>
      <c r="C341" t="s">
        <v>1003</v>
      </c>
      <c r="D341" t="s">
        <v>7090</v>
      </c>
      <c r="E341" t="s">
        <v>7091</v>
      </c>
      <c r="F341" t="s">
        <v>7092</v>
      </c>
      <c r="G341" t="s">
        <v>5904</v>
      </c>
      <c r="H341">
        <v>496</v>
      </c>
      <c r="I341">
        <v>474</v>
      </c>
      <c r="J341">
        <v>474</v>
      </c>
      <c r="K341">
        <v>467</v>
      </c>
      <c r="L341">
        <v>471</v>
      </c>
      <c r="M341">
        <v>94.2</v>
      </c>
      <c r="N341">
        <v>95</v>
      </c>
      <c r="O341">
        <v>980.7</v>
      </c>
    </row>
    <row r="342" spans="1:15">
      <c r="A342">
        <v>231</v>
      </c>
      <c r="B342" t="s">
        <v>7093</v>
      </c>
      <c r="C342" t="s">
        <v>1006</v>
      </c>
      <c r="D342" t="s">
        <v>7094</v>
      </c>
      <c r="E342" t="s">
        <v>7095</v>
      </c>
      <c r="F342" t="s">
        <v>7096</v>
      </c>
      <c r="G342" t="s">
        <v>5904</v>
      </c>
      <c r="H342">
        <v>178</v>
      </c>
      <c r="I342">
        <v>154</v>
      </c>
      <c r="J342">
        <v>178</v>
      </c>
      <c r="K342">
        <v>154</v>
      </c>
      <c r="L342">
        <v>154</v>
      </c>
      <c r="M342">
        <v>86.5</v>
      </c>
      <c r="N342">
        <v>86.5</v>
      </c>
      <c r="O342">
        <v>305.8</v>
      </c>
    </row>
    <row r="343" spans="1:15">
      <c r="A343">
        <v>230</v>
      </c>
      <c r="B343" t="s">
        <v>1007</v>
      </c>
      <c r="C343" t="s">
        <v>1009</v>
      </c>
      <c r="D343" t="s">
        <v>7097</v>
      </c>
      <c r="E343" t="s">
        <v>7098</v>
      </c>
      <c r="F343" t="s">
        <v>7099</v>
      </c>
      <c r="G343" t="s">
        <v>5904</v>
      </c>
      <c r="H343">
        <v>997</v>
      </c>
      <c r="I343">
        <v>1042</v>
      </c>
      <c r="J343">
        <v>994</v>
      </c>
      <c r="K343">
        <v>982</v>
      </c>
      <c r="L343">
        <v>991</v>
      </c>
      <c r="M343">
        <v>98.5</v>
      </c>
      <c r="N343">
        <v>99.4</v>
      </c>
      <c r="O343">
        <v>2030.4</v>
      </c>
    </row>
    <row r="344" spans="1:15">
      <c r="A344">
        <v>229</v>
      </c>
      <c r="B344" t="s">
        <v>1010</v>
      </c>
      <c r="C344" t="s">
        <v>7100</v>
      </c>
      <c r="D344" t="s">
        <v>7101</v>
      </c>
      <c r="E344" t="s">
        <v>7102</v>
      </c>
      <c r="F344" t="s">
        <v>7103</v>
      </c>
      <c r="G344" t="s">
        <v>5904</v>
      </c>
      <c r="H344">
        <v>541</v>
      </c>
      <c r="I344">
        <v>543</v>
      </c>
      <c r="J344">
        <v>543</v>
      </c>
      <c r="K344">
        <v>531</v>
      </c>
      <c r="L344">
        <v>535</v>
      </c>
      <c r="M344">
        <v>98.2</v>
      </c>
      <c r="N344">
        <v>98.9</v>
      </c>
      <c r="O344">
        <v>1107</v>
      </c>
    </row>
    <row r="345" spans="1:15">
      <c r="A345">
        <v>228</v>
      </c>
      <c r="B345" t="s">
        <v>1013</v>
      </c>
      <c r="C345" t="s">
        <v>7104</v>
      </c>
      <c r="D345" t="s">
        <v>7105</v>
      </c>
      <c r="E345" t="s">
        <v>7106</v>
      </c>
      <c r="F345" t="s">
        <v>7107</v>
      </c>
      <c r="G345" t="s">
        <v>5904</v>
      </c>
      <c r="H345">
        <v>473</v>
      </c>
      <c r="I345">
        <v>475</v>
      </c>
      <c r="J345">
        <v>473</v>
      </c>
      <c r="K345">
        <v>431</v>
      </c>
      <c r="L345">
        <v>461</v>
      </c>
      <c r="M345">
        <v>91.1</v>
      </c>
      <c r="N345">
        <v>97.5</v>
      </c>
      <c r="O345">
        <v>909.8</v>
      </c>
    </row>
    <row r="346" spans="1:15">
      <c r="A346">
        <v>2084</v>
      </c>
      <c r="B346" t="s">
        <v>1015</v>
      </c>
      <c r="C346" t="s">
        <v>1017</v>
      </c>
      <c r="D346" t="s">
        <v>7108</v>
      </c>
      <c r="E346" t="s">
        <v>7109</v>
      </c>
      <c r="F346" t="s">
        <v>7110</v>
      </c>
      <c r="G346" t="s">
        <v>5904</v>
      </c>
      <c r="H346">
        <v>132</v>
      </c>
      <c r="I346">
        <v>132</v>
      </c>
      <c r="J346">
        <v>132</v>
      </c>
      <c r="K346">
        <v>125</v>
      </c>
      <c r="L346">
        <v>127</v>
      </c>
      <c r="M346">
        <v>94.7</v>
      </c>
      <c r="N346">
        <v>96.2</v>
      </c>
      <c r="O346">
        <v>253.4</v>
      </c>
    </row>
    <row r="347" spans="1:15">
      <c r="A347">
        <v>2083</v>
      </c>
      <c r="B347" t="s">
        <v>1018</v>
      </c>
      <c r="C347" t="s">
        <v>1020</v>
      </c>
      <c r="D347" t="s">
        <v>7111</v>
      </c>
      <c r="E347" t="s">
        <v>7112</v>
      </c>
      <c r="F347" t="s">
        <v>7113</v>
      </c>
      <c r="G347" t="s">
        <v>5904</v>
      </c>
      <c r="H347">
        <v>132</v>
      </c>
      <c r="I347">
        <v>132</v>
      </c>
      <c r="J347">
        <v>132</v>
      </c>
      <c r="K347">
        <v>99</v>
      </c>
      <c r="L347">
        <v>117</v>
      </c>
      <c r="M347">
        <v>75</v>
      </c>
      <c r="N347">
        <v>88.6</v>
      </c>
      <c r="O347">
        <v>209.5</v>
      </c>
    </row>
    <row r="348" spans="1:15">
      <c r="A348">
        <v>227</v>
      </c>
      <c r="B348" t="s">
        <v>1021</v>
      </c>
      <c r="C348" t="s">
        <v>1022</v>
      </c>
      <c r="D348" t="s">
        <v>7114</v>
      </c>
      <c r="E348" t="s">
        <v>7115</v>
      </c>
      <c r="F348" t="s">
        <v>7116</v>
      </c>
      <c r="G348" t="s">
        <v>5904</v>
      </c>
      <c r="H348">
        <v>118</v>
      </c>
      <c r="I348">
        <v>118</v>
      </c>
      <c r="J348">
        <v>118</v>
      </c>
      <c r="K348">
        <v>102</v>
      </c>
      <c r="L348">
        <v>107</v>
      </c>
      <c r="M348">
        <v>86.4</v>
      </c>
      <c r="N348">
        <v>90.7</v>
      </c>
      <c r="O348">
        <v>210.3</v>
      </c>
    </row>
    <row r="349" spans="1:15">
      <c r="A349">
        <v>226</v>
      </c>
      <c r="B349" t="s">
        <v>1023</v>
      </c>
      <c r="C349" t="s">
        <v>1025</v>
      </c>
      <c r="D349" t="s">
        <v>7117</v>
      </c>
      <c r="E349" t="s">
        <v>7118</v>
      </c>
      <c r="F349" t="s">
        <v>7119</v>
      </c>
      <c r="G349" t="s">
        <v>5904</v>
      </c>
      <c r="H349">
        <v>785</v>
      </c>
      <c r="I349">
        <v>785</v>
      </c>
      <c r="J349">
        <v>785</v>
      </c>
      <c r="K349">
        <v>777</v>
      </c>
      <c r="L349">
        <v>782</v>
      </c>
      <c r="M349">
        <v>99</v>
      </c>
      <c r="N349">
        <v>99.6</v>
      </c>
      <c r="O349">
        <v>1605.1</v>
      </c>
    </row>
    <row r="350" spans="1:15">
      <c r="A350">
        <v>225</v>
      </c>
      <c r="B350" t="s">
        <v>1026</v>
      </c>
      <c r="C350" t="s">
        <v>1027</v>
      </c>
      <c r="D350" t="s">
        <v>7120</v>
      </c>
      <c r="E350" t="s">
        <v>7121</v>
      </c>
      <c r="F350" t="s">
        <v>7122</v>
      </c>
      <c r="G350" t="s">
        <v>5904</v>
      </c>
      <c r="H350">
        <v>307</v>
      </c>
      <c r="I350">
        <v>307</v>
      </c>
      <c r="J350">
        <v>307</v>
      </c>
      <c r="K350">
        <v>306</v>
      </c>
      <c r="L350">
        <v>306</v>
      </c>
      <c r="M350">
        <v>99.7</v>
      </c>
      <c r="N350">
        <v>99.7</v>
      </c>
      <c r="O350">
        <v>636.70000000000005</v>
      </c>
    </row>
    <row r="351" spans="1:15">
      <c r="A351">
        <v>224</v>
      </c>
      <c r="B351" t="s">
        <v>1028</v>
      </c>
      <c r="C351" t="s">
        <v>1029</v>
      </c>
      <c r="D351" t="s">
        <v>7123</v>
      </c>
      <c r="E351" t="s">
        <v>7124</v>
      </c>
      <c r="F351" t="s">
        <v>7125</v>
      </c>
      <c r="G351" t="s">
        <v>5904</v>
      </c>
      <c r="H351">
        <v>134</v>
      </c>
      <c r="I351">
        <v>134</v>
      </c>
      <c r="J351">
        <v>134</v>
      </c>
      <c r="K351">
        <v>118</v>
      </c>
      <c r="L351">
        <v>125</v>
      </c>
      <c r="M351">
        <v>88.1</v>
      </c>
      <c r="N351">
        <v>93.3</v>
      </c>
      <c r="O351">
        <v>250</v>
      </c>
    </row>
    <row r="352" spans="1:15">
      <c r="A352">
        <v>223</v>
      </c>
      <c r="B352" t="s">
        <v>7126</v>
      </c>
      <c r="C352" t="s">
        <v>1032</v>
      </c>
      <c r="D352" t="s">
        <v>7127</v>
      </c>
      <c r="E352" t="s">
        <v>7128</v>
      </c>
      <c r="F352" t="s">
        <v>7129</v>
      </c>
      <c r="G352" t="s">
        <v>5904</v>
      </c>
      <c r="H352">
        <v>870</v>
      </c>
      <c r="I352">
        <v>871</v>
      </c>
      <c r="J352">
        <v>871</v>
      </c>
      <c r="K352">
        <v>802</v>
      </c>
      <c r="L352">
        <v>815</v>
      </c>
      <c r="M352">
        <v>92.2</v>
      </c>
      <c r="N352">
        <v>93.7</v>
      </c>
      <c r="O352">
        <v>1362.8</v>
      </c>
    </row>
    <row r="353" spans="1:15">
      <c r="A353">
        <v>222</v>
      </c>
      <c r="B353" t="s">
        <v>1033</v>
      </c>
      <c r="C353" t="s">
        <v>1034</v>
      </c>
      <c r="D353" t="s">
        <v>7130</v>
      </c>
      <c r="E353" t="s">
        <v>7131</v>
      </c>
      <c r="F353" t="s">
        <v>7132</v>
      </c>
      <c r="G353" t="s">
        <v>5904</v>
      </c>
      <c r="H353">
        <v>397</v>
      </c>
      <c r="I353">
        <v>397</v>
      </c>
      <c r="J353">
        <v>397</v>
      </c>
      <c r="K353">
        <v>321</v>
      </c>
      <c r="L353">
        <v>357</v>
      </c>
      <c r="M353">
        <v>80.900000000000006</v>
      </c>
      <c r="N353">
        <v>89.9</v>
      </c>
      <c r="O353">
        <v>678.3</v>
      </c>
    </row>
    <row r="354" spans="1:15">
      <c r="A354">
        <v>221</v>
      </c>
      <c r="B354" t="s">
        <v>1035</v>
      </c>
      <c r="C354" t="s">
        <v>7133</v>
      </c>
      <c r="D354" t="s">
        <v>7134</v>
      </c>
      <c r="E354" t="s">
        <v>7135</v>
      </c>
      <c r="F354" t="s">
        <v>7136</v>
      </c>
      <c r="G354" t="s">
        <v>5904</v>
      </c>
      <c r="H354">
        <v>518</v>
      </c>
      <c r="I354">
        <v>510</v>
      </c>
      <c r="J354">
        <v>518</v>
      </c>
      <c r="K354">
        <v>469</v>
      </c>
      <c r="L354">
        <v>492</v>
      </c>
      <c r="M354">
        <v>90.5</v>
      </c>
      <c r="N354">
        <v>95</v>
      </c>
      <c r="O354">
        <v>950.7</v>
      </c>
    </row>
    <row r="355" spans="1:15">
      <c r="A355">
        <v>220</v>
      </c>
      <c r="B355" t="s">
        <v>7137</v>
      </c>
      <c r="C355" t="s">
        <v>1039</v>
      </c>
      <c r="D355" t="s">
        <v>7138</v>
      </c>
      <c r="E355" t="s">
        <v>7139</v>
      </c>
      <c r="F355" t="s">
        <v>7140</v>
      </c>
      <c r="G355" t="s">
        <v>5904</v>
      </c>
      <c r="H355">
        <v>1056</v>
      </c>
      <c r="I355">
        <v>656</v>
      </c>
      <c r="J355">
        <v>659</v>
      </c>
      <c r="K355">
        <v>649</v>
      </c>
      <c r="L355">
        <v>651</v>
      </c>
      <c r="M355">
        <v>61.5</v>
      </c>
      <c r="N355">
        <v>61.6</v>
      </c>
      <c r="O355">
        <v>1249.5999999999999</v>
      </c>
    </row>
    <row r="356" spans="1:15">
      <c r="A356">
        <v>219</v>
      </c>
      <c r="B356" t="s">
        <v>1040</v>
      </c>
      <c r="C356" t="s">
        <v>1042</v>
      </c>
      <c r="D356" t="s">
        <v>7141</v>
      </c>
      <c r="E356" t="s">
        <v>7142</v>
      </c>
      <c r="F356" t="s">
        <v>7143</v>
      </c>
      <c r="G356" t="s">
        <v>5904</v>
      </c>
      <c r="H356">
        <v>303</v>
      </c>
      <c r="I356">
        <v>303</v>
      </c>
      <c r="J356">
        <v>303</v>
      </c>
      <c r="K356">
        <v>296</v>
      </c>
      <c r="L356">
        <v>299</v>
      </c>
      <c r="M356">
        <v>97.7</v>
      </c>
      <c r="N356">
        <v>98.7</v>
      </c>
      <c r="O356">
        <v>620.20000000000005</v>
      </c>
    </row>
    <row r="357" spans="1:15">
      <c r="A357">
        <v>218</v>
      </c>
      <c r="B357" t="s">
        <v>1043</v>
      </c>
      <c r="C357" t="s">
        <v>1044</v>
      </c>
      <c r="D357" t="s">
        <v>7144</v>
      </c>
      <c r="E357" t="s">
        <v>7145</v>
      </c>
      <c r="F357" t="s">
        <v>7146</v>
      </c>
      <c r="G357" t="s">
        <v>5904</v>
      </c>
      <c r="H357">
        <v>393</v>
      </c>
      <c r="I357">
        <v>393</v>
      </c>
      <c r="J357">
        <v>393</v>
      </c>
      <c r="K357">
        <v>357</v>
      </c>
      <c r="L357">
        <v>378</v>
      </c>
      <c r="M357">
        <v>90.8</v>
      </c>
      <c r="N357">
        <v>96.2</v>
      </c>
      <c r="O357">
        <v>757.7</v>
      </c>
    </row>
    <row r="358" spans="1:15">
      <c r="A358">
        <v>2082</v>
      </c>
      <c r="B358" t="s">
        <v>1045</v>
      </c>
      <c r="C358" t="s">
        <v>1046</v>
      </c>
      <c r="D358" t="s">
        <v>7147</v>
      </c>
      <c r="E358" t="s">
        <v>7148</v>
      </c>
      <c r="F358" t="s">
        <v>7149</v>
      </c>
      <c r="G358" t="s">
        <v>5904</v>
      </c>
      <c r="H358">
        <v>513</v>
      </c>
      <c r="I358">
        <v>514</v>
      </c>
      <c r="J358">
        <v>514</v>
      </c>
      <c r="K358">
        <v>499</v>
      </c>
      <c r="L358">
        <v>505</v>
      </c>
      <c r="M358">
        <v>97.3</v>
      </c>
      <c r="N358">
        <v>98.4</v>
      </c>
      <c r="O358">
        <v>1035.8</v>
      </c>
    </row>
    <row r="359" spans="1:15">
      <c r="A359">
        <v>217</v>
      </c>
      <c r="B359" t="s">
        <v>7150</v>
      </c>
      <c r="C359" t="s">
        <v>7151</v>
      </c>
      <c r="D359" t="s">
        <v>7152</v>
      </c>
      <c r="E359" t="s">
        <v>7153</v>
      </c>
      <c r="F359" t="s">
        <v>7154</v>
      </c>
      <c r="G359" t="s">
        <v>5904</v>
      </c>
      <c r="H359">
        <v>125</v>
      </c>
      <c r="I359">
        <v>125</v>
      </c>
      <c r="J359">
        <v>125</v>
      </c>
      <c r="K359">
        <v>124</v>
      </c>
      <c r="L359">
        <v>125</v>
      </c>
      <c r="M359">
        <v>99.2</v>
      </c>
      <c r="N359">
        <v>100</v>
      </c>
      <c r="O359">
        <v>244.6</v>
      </c>
    </row>
    <row r="360" spans="1:15">
      <c r="A360">
        <v>216</v>
      </c>
      <c r="B360" t="s">
        <v>1050</v>
      </c>
      <c r="C360" t="s">
        <v>1051</v>
      </c>
      <c r="D360" t="s">
        <v>7155</v>
      </c>
      <c r="E360" t="s">
        <v>7156</v>
      </c>
      <c r="F360" t="s">
        <v>7157</v>
      </c>
      <c r="G360" t="s">
        <v>5904</v>
      </c>
      <c r="H360">
        <v>384</v>
      </c>
      <c r="I360">
        <v>384</v>
      </c>
      <c r="J360">
        <v>384</v>
      </c>
      <c r="K360">
        <v>346</v>
      </c>
      <c r="L360">
        <v>366</v>
      </c>
      <c r="M360">
        <v>90.1</v>
      </c>
      <c r="N360">
        <v>95.3</v>
      </c>
      <c r="O360">
        <v>736.5</v>
      </c>
    </row>
    <row r="361" spans="1:15">
      <c r="A361">
        <v>215</v>
      </c>
      <c r="B361" t="s">
        <v>1052</v>
      </c>
      <c r="C361" t="s">
        <v>1053</v>
      </c>
      <c r="D361" t="s">
        <v>7158</v>
      </c>
      <c r="E361" t="s">
        <v>7159</v>
      </c>
      <c r="F361" t="s">
        <v>7160</v>
      </c>
      <c r="G361" t="s">
        <v>5904</v>
      </c>
      <c r="H361">
        <v>279</v>
      </c>
      <c r="I361">
        <v>283</v>
      </c>
      <c r="J361">
        <v>255</v>
      </c>
      <c r="K361">
        <v>201</v>
      </c>
      <c r="L361">
        <v>213</v>
      </c>
      <c r="M361">
        <v>72</v>
      </c>
      <c r="N361">
        <v>76.3</v>
      </c>
      <c r="O361">
        <v>352.1</v>
      </c>
    </row>
    <row r="362" spans="1:15">
      <c r="A362">
        <v>214</v>
      </c>
      <c r="B362" t="s">
        <v>1054</v>
      </c>
      <c r="C362" t="s">
        <v>1056</v>
      </c>
      <c r="D362" t="s">
        <v>7161</v>
      </c>
      <c r="E362" t="s">
        <v>7162</v>
      </c>
      <c r="F362" t="s">
        <v>7163</v>
      </c>
      <c r="G362" t="s">
        <v>5904</v>
      </c>
      <c r="H362">
        <v>89</v>
      </c>
      <c r="I362">
        <v>89</v>
      </c>
      <c r="J362">
        <v>89</v>
      </c>
      <c r="K362">
        <v>89</v>
      </c>
      <c r="L362">
        <v>89</v>
      </c>
      <c r="M362">
        <v>100</v>
      </c>
      <c r="N362">
        <v>100</v>
      </c>
      <c r="O362">
        <v>189.1</v>
      </c>
    </row>
    <row r="363" spans="1:15">
      <c r="A363">
        <v>213</v>
      </c>
      <c r="B363" t="s">
        <v>1057</v>
      </c>
      <c r="C363" t="s">
        <v>1058</v>
      </c>
      <c r="D363" t="s">
        <v>7164</v>
      </c>
      <c r="E363" t="s">
        <v>7165</v>
      </c>
      <c r="F363" t="s">
        <v>7166</v>
      </c>
      <c r="G363" t="s">
        <v>5904</v>
      </c>
      <c r="H363">
        <v>147</v>
      </c>
      <c r="I363">
        <v>147</v>
      </c>
      <c r="J363">
        <v>147</v>
      </c>
      <c r="K363">
        <v>126</v>
      </c>
      <c r="L363">
        <v>138</v>
      </c>
      <c r="M363">
        <v>85.7</v>
      </c>
      <c r="N363">
        <v>93.9</v>
      </c>
      <c r="O363">
        <v>244.2</v>
      </c>
    </row>
    <row r="364" spans="1:15">
      <c r="A364">
        <v>212</v>
      </c>
      <c r="B364" t="s">
        <v>7167</v>
      </c>
      <c r="C364" t="s">
        <v>1061</v>
      </c>
      <c r="D364" t="s">
        <v>7168</v>
      </c>
      <c r="E364" t="s">
        <v>7169</v>
      </c>
      <c r="F364" t="s">
        <v>7170</v>
      </c>
      <c r="G364" t="s">
        <v>5904</v>
      </c>
      <c r="H364">
        <v>444</v>
      </c>
      <c r="I364">
        <v>444</v>
      </c>
      <c r="J364">
        <v>444</v>
      </c>
      <c r="K364">
        <v>426</v>
      </c>
      <c r="L364">
        <v>434</v>
      </c>
      <c r="M364">
        <v>95.9</v>
      </c>
      <c r="N364">
        <v>97.7</v>
      </c>
      <c r="O364">
        <v>884.8</v>
      </c>
    </row>
    <row r="365" spans="1:15">
      <c r="A365">
        <v>2081</v>
      </c>
      <c r="B365" t="s">
        <v>1062</v>
      </c>
      <c r="C365" t="s">
        <v>1063</v>
      </c>
      <c r="D365" t="s">
        <v>7171</v>
      </c>
      <c r="E365" t="s">
        <v>7172</v>
      </c>
      <c r="F365" t="s">
        <v>7173</v>
      </c>
      <c r="G365" t="s">
        <v>5904</v>
      </c>
      <c r="H365">
        <v>340</v>
      </c>
      <c r="I365">
        <v>331</v>
      </c>
      <c r="J365">
        <v>330</v>
      </c>
      <c r="K365">
        <v>293</v>
      </c>
      <c r="L365">
        <v>312</v>
      </c>
      <c r="M365">
        <v>86.2</v>
      </c>
      <c r="N365">
        <v>91.8</v>
      </c>
      <c r="O365">
        <v>622.9</v>
      </c>
    </row>
    <row r="366" spans="1:15">
      <c r="A366">
        <v>211</v>
      </c>
      <c r="B366" t="s">
        <v>7174</v>
      </c>
      <c r="C366" t="s">
        <v>1066</v>
      </c>
      <c r="D366" t="s">
        <v>7175</v>
      </c>
      <c r="E366" t="s">
        <v>7176</v>
      </c>
      <c r="F366" t="s">
        <v>7177</v>
      </c>
      <c r="G366" t="s">
        <v>5904</v>
      </c>
      <c r="H366">
        <v>147</v>
      </c>
      <c r="I366">
        <v>148</v>
      </c>
      <c r="J366">
        <v>130</v>
      </c>
      <c r="K366">
        <v>113</v>
      </c>
      <c r="L366">
        <v>121</v>
      </c>
      <c r="M366">
        <v>76.900000000000006</v>
      </c>
      <c r="N366">
        <v>82.3</v>
      </c>
      <c r="O366">
        <v>240.3</v>
      </c>
    </row>
    <row r="367" spans="1:15">
      <c r="A367">
        <v>210</v>
      </c>
      <c r="B367" t="s">
        <v>7178</v>
      </c>
      <c r="C367" t="s">
        <v>1069</v>
      </c>
      <c r="D367" t="s">
        <v>7179</v>
      </c>
      <c r="E367" t="s">
        <v>7180</v>
      </c>
      <c r="F367" t="s">
        <v>7181</v>
      </c>
      <c r="G367" t="s">
        <v>5904</v>
      </c>
      <c r="H367">
        <v>287</v>
      </c>
      <c r="I367">
        <v>285</v>
      </c>
      <c r="J367">
        <v>287</v>
      </c>
      <c r="K367">
        <v>260</v>
      </c>
      <c r="L367">
        <v>269</v>
      </c>
      <c r="M367">
        <v>90.6</v>
      </c>
      <c r="N367">
        <v>93.7</v>
      </c>
      <c r="O367">
        <v>434.5</v>
      </c>
    </row>
    <row r="368" spans="1:15">
      <c r="A368">
        <v>209</v>
      </c>
      <c r="B368" t="s">
        <v>7182</v>
      </c>
      <c r="C368" t="s">
        <v>1072</v>
      </c>
      <c r="D368" t="s">
        <v>7183</v>
      </c>
      <c r="E368" t="s">
        <v>7184</v>
      </c>
      <c r="F368" t="s">
        <v>7185</v>
      </c>
      <c r="G368" t="s">
        <v>5904</v>
      </c>
      <c r="H368">
        <v>559</v>
      </c>
      <c r="I368">
        <v>548</v>
      </c>
      <c r="J368">
        <v>548</v>
      </c>
      <c r="K368">
        <v>524</v>
      </c>
      <c r="L368">
        <v>544</v>
      </c>
      <c r="M368">
        <v>93.7</v>
      </c>
      <c r="N368">
        <v>97.3</v>
      </c>
      <c r="O368">
        <v>1108.5999999999999</v>
      </c>
    </row>
    <row r="369" spans="1:15">
      <c r="A369">
        <v>208</v>
      </c>
      <c r="B369" t="s">
        <v>1073</v>
      </c>
      <c r="C369" t="s">
        <v>1074</v>
      </c>
      <c r="D369" t="s">
        <v>7186</v>
      </c>
      <c r="E369" t="s">
        <v>7187</v>
      </c>
      <c r="F369" t="s">
        <v>7188</v>
      </c>
      <c r="G369" t="s">
        <v>5904</v>
      </c>
      <c r="H369">
        <v>375</v>
      </c>
      <c r="I369">
        <v>375</v>
      </c>
      <c r="J369">
        <v>375</v>
      </c>
      <c r="K369">
        <v>343</v>
      </c>
      <c r="L369">
        <v>362</v>
      </c>
      <c r="M369">
        <v>91.5</v>
      </c>
      <c r="N369">
        <v>96.5</v>
      </c>
      <c r="O369">
        <v>717.2</v>
      </c>
    </row>
    <row r="370" spans="1:15">
      <c r="A370">
        <v>207</v>
      </c>
      <c r="B370" t="s">
        <v>1075</v>
      </c>
      <c r="C370" t="s">
        <v>1076</v>
      </c>
      <c r="D370" t="s">
        <v>7189</v>
      </c>
      <c r="E370" t="s">
        <v>7190</v>
      </c>
      <c r="F370" t="s">
        <v>7191</v>
      </c>
      <c r="G370" t="s">
        <v>5904</v>
      </c>
      <c r="H370">
        <v>166</v>
      </c>
      <c r="I370">
        <v>166</v>
      </c>
      <c r="J370">
        <v>166</v>
      </c>
      <c r="K370">
        <v>162</v>
      </c>
      <c r="L370">
        <v>165</v>
      </c>
      <c r="M370">
        <v>97.6</v>
      </c>
      <c r="N370">
        <v>99.4</v>
      </c>
      <c r="O370">
        <v>331.6</v>
      </c>
    </row>
    <row r="371" spans="1:15">
      <c r="A371">
        <v>206</v>
      </c>
      <c r="B371" t="s">
        <v>1077</v>
      </c>
      <c r="C371" t="s">
        <v>1079</v>
      </c>
      <c r="D371" t="s">
        <v>7192</v>
      </c>
      <c r="E371" t="s">
        <v>7193</v>
      </c>
      <c r="F371" t="s">
        <v>7194</v>
      </c>
      <c r="G371" t="s">
        <v>5904</v>
      </c>
      <c r="H371">
        <v>187</v>
      </c>
      <c r="I371">
        <v>187</v>
      </c>
      <c r="J371">
        <v>187</v>
      </c>
      <c r="K371">
        <v>172</v>
      </c>
      <c r="L371">
        <v>174</v>
      </c>
      <c r="M371">
        <v>92</v>
      </c>
      <c r="N371">
        <v>93</v>
      </c>
      <c r="O371">
        <v>353.6</v>
      </c>
    </row>
    <row r="372" spans="1:15">
      <c r="A372">
        <v>205</v>
      </c>
      <c r="B372" t="s">
        <v>1080</v>
      </c>
      <c r="C372" t="s">
        <v>7195</v>
      </c>
      <c r="D372" t="s">
        <v>7196</v>
      </c>
      <c r="E372" t="s">
        <v>7197</v>
      </c>
      <c r="F372" t="s">
        <v>7198</v>
      </c>
      <c r="G372" t="s">
        <v>5904</v>
      </c>
      <c r="H372">
        <v>223</v>
      </c>
      <c r="I372">
        <v>223</v>
      </c>
      <c r="J372">
        <v>223</v>
      </c>
      <c r="K372">
        <v>215</v>
      </c>
      <c r="L372">
        <v>218</v>
      </c>
      <c r="M372">
        <v>96.4</v>
      </c>
      <c r="N372">
        <v>97.8</v>
      </c>
      <c r="O372">
        <v>444.5</v>
      </c>
    </row>
    <row r="373" spans="1:15">
      <c r="A373">
        <v>204</v>
      </c>
      <c r="B373" t="s">
        <v>7199</v>
      </c>
      <c r="C373" t="s">
        <v>1085</v>
      </c>
      <c r="D373" t="s">
        <v>7200</v>
      </c>
      <c r="E373" t="s">
        <v>7201</v>
      </c>
      <c r="F373" t="s">
        <v>7202</v>
      </c>
      <c r="G373" t="s">
        <v>5904</v>
      </c>
      <c r="H373">
        <v>946</v>
      </c>
      <c r="I373">
        <v>949</v>
      </c>
      <c r="J373">
        <v>949</v>
      </c>
      <c r="K373">
        <v>930</v>
      </c>
      <c r="L373">
        <v>933</v>
      </c>
      <c r="M373">
        <v>98.3</v>
      </c>
      <c r="N373">
        <v>98.6</v>
      </c>
      <c r="O373">
        <v>1901.3</v>
      </c>
    </row>
    <row r="374" spans="1:15">
      <c r="A374">
        <v>203</v>
      </c>
      <c r="B374" t="s">
        <v>1086</v>
      </c>
      <c r="C374" t="s">
        <v>1087</v>
      </c>
      <c r="D374" t="s">
        <v>7203</v>
      </c>
      <c r="E374" t="s">
        <v>7204</v>
      </c>
      <c r="F374" t="s">
        <v>7205</v>
      </c>
      <c r="G374" t="s">
        <v>5904</v>
      </c>
      <c r="H374">
        <v>1063</v>
      </c>
      <c r="I374">
        <v>1049</v>
      </c>
      <c r="J374">
        <v>1068</v>
      </c>
      <c r="K374">
        <v>872</v>
      </c>
      <c r="L374">
        <v>942</v>
      </c>
      <c r="M374">
        <v>82</v>
      </c>
      <c r="N374">
        <v>88.6</v>
      </c>
      <c r="O374">
        <v>1736.8</v>
      </c>
    </row>
    <row r="375" spans="1:15">
      <c r="A375">
        <v>202</v>
      </c>
      <c r="B375" t="s">
        <v>1088</v>
      </c>
      <c r="C375" t="s">
        <v>1089</v>
      </c>
      <c r="D375" t="s">
        <v>7206</v>
      </c>
      <c r="E375" t="s">
        <v>7207</v>
      </c>
      <c r="F375" t="s">
        <v>7208</v>
      </c>
      <c r="G375" t="s">
        <v>5904</v>
      </c>
      <c r="H375">
        <v>3334</v>
      </c>
      <c r="I375">
        <v>3333</v>
      </c>
      <c r="J375">
        <v>3307</v>
      </c>
      <c r="K375">
        <v>2728</v>
      </c>
      <c r="L375">
        <v>2989</v>
      </c>
      <c r="M375">
        <v>81.8</v>
      </c>
      <c r="N375">
        <v>89.7</v>
      </c>
      <c r="O375">
        <v>5684</v>
      </c>
    </row>
    <row r="376" spans="1:15">
      <c r="A376">
        <v>2080</v>
      </c>
      <c r="B376" t="s">
        <v>1090</v>
      </c>
      <c r="C376" t="s">
        <v>1091</v>
      </c>
      <c r="D376" t="s">
        <v>7209</v>
      </c>
      <c r="E376" t="s">
        <v>7210</v>
      </c>
      <c r="F376" t="s">
        <v>7211</v>
      </c>
      <c r="G376" t="s">
        <v>5904</v>
      </c>
      <c r="H376">
        <v>277</v>
      </c>
      <c r="I376">
        <v>277</v>
      </c>
      <c r="J376">
        <v>277</v>
      </c>
      <c r="K376">
        <v>253</v>
      </c>
      <c r="L376">
        <v>267</v>
      </c>
      <c r="M376">
        <v>91.3</v>
      </c>
      <c r="N376">
        <v>96.4</v>
      </c>
      <c r="O376">
        <v>535.4</v>
      </c>
    </row>
    <row r="377" spans="1:15">
      <c r="A377">
        <v>201</v>
      </c>
      <c r="B377" t="s">
        <v>1092</v>
      </c>
      <c r="C377" t="s">
        <v>1093</v>
      </c>
      <c r="D377" t="s">
        <v>7212</v>
      </c>
      <c r="E377" t="s">
        <v>7213</v>
      </c>
      <c r="F377" t="s">
        <v>7214</v>
      </c>
      <c r="G377" t="s">
        <v>5904</v>
      </c>
      <c r="H377">
        <v>201</v>
      </c>
      <c r="I377">
        <v>201</v>
      </c>
      <c r="J377">
        <v>201</v>
      </c>
      <c r="K377">
        <v>201</v>
      </c>
      <c r="L377">
        <v>201</v>
      </c>
      <c r="M377">
        <v>100</v>
      </c>
      <c r="N377">
        <v>100</v>
      </c>
      <c r="O377">
        <v>415.6</v>
      </c>
    </row>
    <row r="378" spans="1:15">
      <c r="A378">
        <v>200</v>
      </c>
      <c r="B378" t="s">
        <v>1094</v>
      </c>
      <c r="C378" t="s">
        <v>1095</v>
      </c>
      <c r="D378" t="s">
        <v>7215</v>
      </c>
      <c r="E378" t="s">
        <v>7216</v>
      </c>
      <c r="F378" t="s">
        <v>7217</v>
      </c>
      <c r="G378" t="s">
        <v>5904</v>
      </c>
      <c r="H378">
        <v>388</v>
      </c>
      <c r="I378">
        <v>388</v>
      </c>
      <c r="J378">
        <v>388</v>
      </c>
      <c r="K378">
        <v>347</v>
      </c>
      <c r="L378">
        <v>371</v>
      </c>
      <c r="M378">
        <v>89.4</v>
      </c>
      <c r="N378">
        <v>95.6</v>
      </c>
      <c r="O378">
        <v>748</v>
      </c>
    </row>
    <row r="379" spans="1:15">
      <c r="A379">
        <v>2079</v>
      </c>
      <c r="B379" t="s">
        <v>7218</v>
      </c>
      <c r="C379" t="s">
        <v>1098</v>
      </c>
      <c r="D379" t="s">
        <v>7219</v>
      </c>
      <c r="E379" t="s">
        <v>7220</v>
      </c>
      <c r="F379" t="s">
        <v>7221</v>
      </c>
      <c r="G379" t="s">
        <v>5904</v>
      </c>
      <c r="H379">
        <v>306</v>
      </c>
      <c r="I379">
        <v>306</v>
      </c>
      <c r="J379">
        <v>305</v>
      </c>
      <c r="K379">
        <v>284</v>
      </c>
      <c r="L379">
        <v>295</v>
      </c>
      <c r="M379">
        <v>92.8</v>
      </c>
      <c r="N379">
        <v>96.4</v>
      </c>
      <c r="O379">
        <v>601.70000000000005</v>
      </c>
    </row>
    <row r="380" spans="1:15">
      <c r="A380">
        <v>199</v>
      </c>
      <c r="B380" t="s">
        <v>1099</v>
      </c>
      <c r="C380" t="s">
        <v>1100</v>
      </c>
      <c r="D380" t="s">
        <v>7222</v>
      </c>
      <c r="E380" t="s">
        <v>7223</v>
      </c>
      <c r="F380" t="s">
        <v>7224</v>
      </c>
      <c r="G380" t="s">
        <v>5904</v>
      </c>
      <c r="H380">
        <v>288</v>
      </c>
      <c r="I380">
        <v>288</v>
      </c>
      <c r="J380">
        <v>288</v>
      </c>
      <c r="K380">
        <v>274</v>
      </c>
      <c r="L380">
        <v>282</v>
      </c>
      <c r="M380">
        <v>95.1</v>
      </c>
      <c r="N380">
        <v>97.9</v>
      </c>
      <c r="O380">
        <v>513.79999999999995</v>
      </c>
    </row>
    <row r="381" spans="1:15">
      <c r="A381">
        <v>198</v>
      </c>
      <c r="B381" t="s">
        <v>1101</v>
      </c>
      <c r="C381" t="s">
        <v>1102</v>
      </c>
      <c r="D381" t="s">
        <v>7225</v>
      </c>
      <c r="E381" t="s">
        <v>7226</v>
      </c>
      <c r="F381" t="s">
        <v>7227</v>
      </c>
      <c r="G381" t="s">
        <v>5904</v>
      </c>
      <c r="H381">
        <v>186</v>
      </c>
      <c r="I381">
        <v>182</v>
      </c>
      <c r="J381">
        <v>180</v>
      </c>
      <c r="K381">
        <v>180</v>
      </c>
      <c r="L381">
        <v>180</v>
      </c>
      <c r="M381">
        <v>96.8</v>
      </c>
      <c r="N381">
        <v>96.8</v>
      </c>
      <c r="O381">
        <v>373.2</v>
      </c>
    </row>
    <row r="382" spans="1:15">
      <c r="A382">
        <v>197</v>
      </c>
      <c r="B382" t="s">
        <v>1103</v>
      </c>
      <c r="C382" t="s">
        <v>1104</v>
      </c>
      <c r="D382" t="s">
        <v>7228</v>
      </c>
      <c r="E382" t="s">
        <v>7229</v>
      </c>
      <c r="F382" t="s">
        <v>7230</v>
      </c>
      <c r="G382" t="s">
        <v>5904</v>
      </c>
      <c r="H382">
        <v>201</v>
      </c>
      <c r="I382">
        <v>201</v>
      </c>
      <c r="J382">
        <v>201</v>
      </c>
      <c r="K382">
        <v>200</v>
      </c>
      <c r="L382">
        <v>200</v>
      </c>
      <c r="M382">
        <v>99.5</v>
      </c>
      <c r="N382">
        <v>99.5</v>
      </c>
      <c r="O382">
        <v>415.2</v>
      </c>
    </row>
    <row r="383" spans="1:15">
      <c r="A383">
        <v>196</v>
      </c>
      <c r="B383" t="s">
        <v>7231</v>
      </c>
      <c r="C383" t="s">
        <v>1108</v>
      </c>
      <c r="D383" t="s">
        <v>7232</v>
      </c>
      <c r="E383" t="s">
        <v>7233</v>
      </c>
      <c r="F383" t="s">
        <v>7234</v>
      </c>
      <c r="G383" t="s">
        <v>5904</v>
      </c>
      <c r="H383">
        <v>320</v>
      </c>
      <c r="I383">
        <v>320</v>
      </c>
      <c r="J383">
        <v>320</v>
      </c>
      <c r="K383">
        <v>303</v>
      </c>
      <c r="L383">
        <v>309</v>
      </c>
      <c r="M383">
        <v>94.7</v>
      </c>
      <c r="N383">
        <v>96.6</v>
      </c>
      <c r="O383">
        <v>486.9</v>
      </c>
    </row>
    <row r="384" spans="1:15">
      <c r="A384">
        <v>195</v>
      </c>
      <c r="B384" t="s">
        <v>7235</v>
      </c>
      <c r="C384" t="s">
        <v>7236</v>
      </c>
      <c r="D384" t="s">
        <v>7237</v>
      </c>
      <c r="E384" t="s">
        <v>7238</v>
      </c>
      <c r="F384" t="s">
        <v>7239</v>
      </c>
      <c r="G384" t="s">
        <v>5904</v>
      </c>
      <c r="H384">
        <v>233</v>
      </c>
      <c r="I384">
        <v>216</v>
      </c>
      <c r="J384">
        <v>204</v>
      </c>
      <c r="K384">
        <v>203</v>
      </c>
      <c r="L384">
        <v>203</v>
      </c>
      <c r="M384">
        <v>87.1</v>
      </c>
      <c r="N384">
        <v>87.1</v>
      </c>
      <c r="O384">
        <v>424.9</v>
      </c>
    </row>
    <row r="385" spans="1:15">
      <c r="A385">
        <v>194</v>
      </c>
      <c r="B385" t="s">
        <v>1112</v>
      </c>
      <c r="C385" t="s">
        <v>1113</v>
      </c>
      <c r="D385" t="s">
        <v>7240</v>
      </c>
      <c r="E385" t="s">
        <v>7241</v>
      </c>
      <c r="F385" t="s">
        <v>7242</v>
      </c>
      <c r="G385" t="s">
        <v>5904</v>
      </c>
      <c r="H385">
        <v>571</v>
      </c>
      <c r="I385">
        <v>616</v>
      </c>
      <c r="J385">
        <v>576</v>
      </c>
      <c r="K385">
        <v>414</v>
      </c>
      <c r="L385">
        <v>452</v>
      </c>
      <c r="M385">
        <v>72.5</v>
      </c>
      <c r="N385">
        <v>79.2</v>
      </c>
      <c r="O385">
        <v>776.9</v>
      </c>
    </row>
    <row r="386" spans="1:15">
      <c r="A386">
        <v>193</v>
      </c>
      <c r="B386" t="s">
        <v>7243</v>
      </c>
      <c r="C386" t="s">
        <v>1116</v>
      </c>
      <c r="D386" t="s">
        <v>7244</v>
      </c>
      <c r="E386" t="s">
        <v>7245</v>
      </c>
      <c r="F386" t="s">
        <v>7246</v>
      </c>
      <c r="G386" t="s">
        <v>5904</v>
      </c>
      <c r="H386">
        <v>902</v>
      </c>
      <c r="I386">
        <v>901</v>
      </c>
      <c r="J386">
        <v>902</v>
      </c>
      <c r="K386">
        <v>736</v>
      </c>
      <c r="L386">
        <v>809</v>
      </c>
      <c r="M386">
        <v>81.599999999999994</v>
      </c>
      <c r="N386">
        <v>89.7</v>
      </c>
      <c r="O386">
        <v>1503.4</v>
      </c>
    </row>
    <row r="387" spans="1:15">
      <c r="A387">
        <v>192</v>
      </c>
      <c r="B387" t="s">
        <v>1117</v>
      </c>
      <c r="C387" t="s">
        <v>7247</v>
      </c>
      <c r="D387" t="s">
        <v>7248</v>
      </c>
      <c r="E387" t="s">
        <v>7249</v>
      </c>
      <c r="F387" t="s">
        <v>7250</v>
      </c>
      <c r="G387" t="s">
        <v>5904</v>
      </c>
      <c r="H387">
        <v>198</v>
      </c>
      <c r="I387">
        <v>198</v>
      </c>
      <c r="J387">
        <v>198</v>
      </c>
      <c r="K387">
        <v>193</v>
      </c>
      <c r="L387">
        <v>194</v>
      </c>
      <c r="M387">
        <v>97.5</v>
      </c>
      <c r="N387">
        <v>98</v>
      </c>
      <c r="O387">
        <v>394</v>
      </c>
    </row>
    <row r="388" spans="1:15">
      <c r="A388">
        <v>191</v>
      </c>
      <c r="B388" t="s">
        <v>1119</v>
      </c>
      <c r="C388" t="s">
        <v>1120</v>
      </c>
      <c r="D388" t="s">
        <v>7251</v>
      </c>
      <c r="E388" t="s">
        <v>7252</v>
      </c>
      <c r="F388" t="s">
        <v>7253</v>
      </c>
      <c r="G388" t="s">
        <v>5904</v>
      </c>
      <c r="H388">
        <v>253</v>
      </c>
      <c r="I388">
        <v>223</v>
      </c>
      <c r="J388">
        <v>223</v>
      </c>
      <c r="K388">
        <v>200</v>
      </c>
      <c r="L388">
        <v>210</v>
      </c>
      <c r="M388">
        <v>79.099999999999994</v>
      </c>
      <c r="N388">
        <v>83</v>
      </c>
      <c r="O388">
        <v>418.7</v>
      </c>
    </row>
    <row r="389" spans="1:15">
      <c r="A389">
        <v>190</v>
      </c>
      <c r="B389" t="s">
        <v>1121</v>
      </c>
      <c r="C389" t="s">
        <v>1122</v>
      </c>
      <c r="D389" t="s">
        <v>7254</v>
      </c>
      <c r="E389" t="s">
        <v>7255</v>
      </c>
      <c r="F389" t="s">
        <v>7256</v>
      </c>
      <c r="G389" t="s">
        <v>5904</v>
      </c>
      <c r="H389">
        <v>397</v>
      </c>
      <c r="I389">
        <v>397</v>
      </c>
      <c r="J389">
        <v>397</v>
      </c>
      <c r="K389">
        <v>353</v>
      </c>
      <c r="L389">
        <v>380</v>
      </c>
      <c r="M389">
        <v>88.9</v>
      </c>
      <c r="N389">
        <v>95.7</v>
      </c>
      <c r="O389">
        <v>745</v>
      </c>
    </row>
    <row r="390" spans="1:15">
      <c r="A390">
        <v>189</v>
      </c>
      <c r="B390" t="s">
        <v>1123</v>
      </c>
      <c r="C390" t="s">
        <v>1124</v>
      </c>
      <c r="D390" t="s">
        <v>7257</v>
      </c>
      <c r="E390" t="s">
        <v>7258</v>
      </c>
      <c r="F390" t="s">
        <v>7259</v>
      </c>
      <c r="G390" t="s">
        <v>5904</v>
      </c>
      <c r="H390">
        <v>208</v>
      </c>
      <c r="I390">
        <v>201</v>
      </c>
      <c r="J390">
        <v>195</v>
      </c>
      <c r="K390">
        <v>189</v>
      </c>
      <c r="L390">
        <v>190</v>
      </c>
      <c r="M390">
        <v>90.9</v>
      </c>
      <c r="N390">
        <v>91.3</v>
      </c>
      <c r="O390">
        <v>383.6</v>
      </c>
    </row>
    <row r="391" spans="1:15">
      <c r="A391">
        <v>188</v>
      </c>
      <c r="B391" t="s">
        <v>1125</v>
      </c>
      <c r="C391" t="s">
        <v>1126</v>
      </c>
      <c r="D391" t="s">
        <v>7260</v>
      </c>
      <c r="E391" t="s">
        <v>7261</v>
      </c>
      <c r="F391" t="s">
        <v>7262</v>
      </c>
      <c r="G391" t="s">
        <v>5904</v>
      </c>
      <c r="H391">
        <v>242</v>
      </c>
      <c r="I391">
        <v>240</v>
      </c>
      <c r="J391">
        <v>234</v>
      </c>
      <c r="K391">
        <v>128</v>
      </c>
      <c r="L391">
        <v>162</v>
      </c>
      <c r="M391">
        <v>52.9</v>
      </c>
      <c r="N391">
        <v>66.900000000000006</v>
      </c>
      <c r="O391">
        <v>251.1</v>
      </c>
    </row>
    <row r="392" spans="1:15">
      <c r="A392">
        <v>187</v>
      </c>
      <c r="B392" t="s">
        <v>7263</v>
      </c>
      <c r="C392" t="s">
        <v>1129</v>
      </c>
      <c r="D392" t="s">
        <v>7264</v>
      </c>
      <c r="E392" t="s">
        <v>7265</v>
      </c>
      <c r="F392" t="s">
        <v>7266</v>
      </c>
      <c r="G392" t="s">
        <v>5904</v>
      </c>
      <c r="H392">
        <v>178</v>
      </c>
      <c r="I392">
        <v>178</v>
      </c>
      <c r="J392">
        <v>178</v>
      </c>
      <c r="K392">
        <v>178</v>
      </c>
      <c r="L392">
        <v>178</v>
      </c>
      <c r="M392">
        <v>100</v>
      </c>
      <c r="N392">
        <v>100</v>
      </c>
      <c r="O392">
        <v>373.2</v>
      </c>
    </row>
    <row r="393" spans="1:15">
      <c r="A393">
        <v>186</v>
      </c>
      <c r="B393" t="s">
        <v>7267</v>
      </c>
      <c r="C393" t="s">
        <v>1132</v>
      </c>
      <c r="D393" t="s">
        <v>7268</v>
      </c>
      <c r="E393" t="s">
        <v>7269</v>
      </c>
      <c r="F393" t="s">
        <v>7270</v>
      </c>
      <c r="G393" t="s">
        <v>5904</v>
      </c>
      <c r="H393">
        <v>292</v>
      </c>
      <c r="I393">
        <v>289</v>
      </c>
      <c r="J393">
        <v>282</v>
      </c>
      <c r="K393">
        <v>280</v>
      </c>
      <c r="L393">
        <v>281</v>
      </c>
      <c r="M393">
        <v>95.9</v>
      </c>
      <c r="N393">
        <v>96.2</v>
      </c>
      <c r="O393">
        <v>583.6</v>
      </c>
    </row>
    <row r="394" spans="1:15">
      <c r="A394">
        <v>185</v>
      </c>
      <c r="B394" t="s">
        <v>7271</v>
      </c>
      <c r="C394" t="s">
        <v>1135</v>
      </c>
      <c r="D394" t="s">
        <v>7272</v>
      </c>
      <c r="E394" t="s">
        <v>7273</v>
      </c>
      <c r="F394" t="s">
        <v>7274</v>
      </c>
      <c r="G394" t="s">
        <v>5904</v>
      </c>
      <c r="H394">
        <v>1091</v>
      </c>
      <c r="I394">
        <v>1053</v>
      </c>
      <c r="J394">
        <v>1092</v>
      </c>
      <c r="K394">
        <v>870</v>
      </c>
      <c r="L394">
        <v>943</v>
      </c>
      <c r="M394">
        <v>79.7</v>
      </c>
      <c r="N394">
        <v>86.4</v>
      </c>
      <c r="O394">
        <v>1713</v>
      </c>
    </row>
    <row r="395" spans="1:15">
      <c r="A395">
        <v>184</v>
      </c>
      <c r="B395" t="s">
        <v>7275</v>
      </c>
      <c r="C395" t="s">
        <v>1138</v>
      </c>
      <c r="D395" t="s">
        <v>7276</v>
      </c>
      <c r="E395" t="s">
        <v>7277</v>
      </c>
      <c r="F395" t="s">
        <v>7278</v>
      </c>
      <c r="G395" t="s">
        <v>5904</v>
      </c>
      <c r="H395">
        <v>742</v>
      </c>
      <c r="I395">
        <v>742</v>
      </c>
      <c r="J395">
        <v>742</v>
      </c>
      <c r="K395">
        <v>718</v>
      </c>
      <c r="L395">
        <v>732</v>
      </c>
      <c r="M395">
        <v>96.8</v>
      </c>
      <c r="N395">
        <v>98.7</v>
      </c>
      <c r="O395">
        <v>1486.1</v>
      </c>
    </row>
    <row r="396" spans="1:15">
      <c r="A396">
        <v>183</v>
      </c>
      <c r="B396" t="s">
        <v>7279</v>
      </c>
      <c r="C396" t="s">
        <v>1141</v>
      </c>
      <c r="D396" t="s">
        <v>7280</v>
      </c>
      <c r="E396" t="s">
        <v>7281</v>
      </c>
      <c r="F396" t="s">
        <v>7282</v>
      </c>
      <c r="G396" t="s">
        <v>5904</v>
      </c>
      <c r="H396">
        <v>1440</v>
      </c>
      <c r="I396">
        <v>1438</v>
      </c>
      <c r="J396">
        <v>1440</v>
      </c>
      <c r="K396">
        <v>1326</v>
      </c>
      <c r="L396">
        <v>1377</v>
      </c>
      <c r="M396">
        <v>92.1</v>
      </c>
      <c r="N396">
        <v>95.6</v>
      </c>
      <c r="O396">
        <v>2587.4</v>
      </c>
    </row>
    <row r="397" spans="1:15">
      <c r="A397">
        <v>182</v>
      </c>
      <c r="B397" t="s">
        <v>7283</v>
      </c>
      <c r="C397" t="s">
        <v>1144</v>
      </c>
      <c r="D397" t="s">
        <v>7284</v>
      </c>
      <c r="E397" t="s">
        <v>7285</v>
      </c>
      <c r="F397" t="s">
        <v>7286</v>
      </c>
      <c r="G397" t="s">
        <v>5904</v>
      </c>
      <c r="H397">
        <v>77</v>
      </c>
      <c r="I397">
        <v>128</v>
      </c>
      <c r="J397">
        <v>77</v>
      </c>
      <c r="K397">
        <v>76</v>
      </c>
      <c r="L397">
        <v>77</v>
      </c>
      <c r="M397">
        <v>98.7</v>
      </c>
      <c r="N397">
        <v>100</v>
      </c>
      <c r="O397">
        <v>157.1</v>
      </c>
    </row>
    <row r="398" spans="1:15">
      <c r="A398">
        <v>181</v>
      </c>
      <c r="B398" t="s">
        <v>7287</v>
      </c>
      <c r="C398" t="s">
        <v>1147</v>
      </c>
      <c r="D398" t="s">
        <v>7288</v>
      </c>
      <c r="E398" t="s">
        <v>7289</v>
      </c>
      <c r="F398" t="s">
        <v>7290</v>
      </c>
      <c r="G398" t="s">
        <v>5904</v>
      </c>
      <c r="H398">
        <v>662</v>
      </c>
      <c r="I398">
        <v>664</v>
      </c>
      <c r="J398">
        <v>664</v>
      </c>
      <c r="K398">
        <v>579</v>
      </c>
      <c r="L398">
        <v>623</v>
      </c>
      <c r="M398">
        <v>87.5</v>
      </c>
      <c r="N398">
        <v>94.1</v>
      </c>
      <c r="O398">
        <v>1167.5</v>
      </c>
    </row>
    <row r="399" spans="1:15">
      <c r="A399">
        <v>180</v>
      </c>
      <c r="B399" t="s">
        <v>1148</v>
      </c>
      <c r="C399" t="s">
        <v>1149</v>
      </c>
      <c r="D399" t="s">
        <v>7291</v>
      </c>
      <c r="E399" t="s">
        <v>7292</v>
      </c>
      <c r="F399" t="s">
        <v>7293</v>
      </c>
      <c r="G399" t="s">
        <v>5904</v>
      </c>
      <c r="H399">
        <v>294</v>
      </c>
      <c r="I399">
        <v>292</v>
      </c>
      <c r="J399">
        <v>297</v>
      </c>
      <c r="K399">
        <v>283</v>
      </c>
      <c r="L399">
        <v>286</v>
      </c>
      <c r="M399">
        <v>96.3</v>
      </c>
      <c r="N399">
        <v>97.3</v>
      </c>
      <c r="O399">
        <v>571.20000000000005</v>
      </c>
    </row>
    <row r="400" spans="1:15">
      <c r="A400">
        <v>179</v>
      </c>
      <c r="B400" t="s">
        <v>1150</v>
      </c>
      <c r="C400" t="s">
        <v>1151</v>
      </c>
      <c r="D400" t="s">
        <v>7294</v>
      </c>
      <c r="E400" t="s">
        <v>7295</v>
      </c>
      <c r="F400" t="s">
        <v>7296</v>
      </c>
      <c r="G400" t="s">
        <v>5904</v>
      </c>
      <c r="H400">
        <v>142</v>
      </c>
      <c r="I400">
        <v>145</v>
      </c>
      <c r="J400">
        <v>119</v>
      </c>
      <c r="K400">
        <v>103</v>
      </c>
      <c r="L400">
        <v>105</v>
      </c>
      <c r="M400">
        <v>72.5</v>
      </c>
      <c r="N400">
        <v>73.900000000000006</v>
      </c>
      <c r="O400">
        <v>211.5</v>
      </c>
    </row>
    <row r="401" spans="1:15">
      <c r="A401">
        <v>178</v>
      </c>
      <c r="B401" t="s">
        <v>1152</v>
      </c>
      <c r="C401" t="s">
        <v>1153</v>
      </c>
      <c r="D401" t="s">
        <v>7297</v>
      </c>
      <c r="E401" t="s">
        <v>7298</v>
      </c>
      <c r="F401" t="s">
        <v>7299</v>
      </c>
      <c r="G401" t="s">
        <v>5904</v>
      </c>
      <c r="H401">
        <v>261</v>
      </c>
      <c r="I401">
        <v>261</v>
      </c>
      <c r="J401">
        <v>261</v>
      </c>
      <c r="K401">
        <v>242</v>
      </c>
      <c r="L401">
        <v>252</v>
      </c>
      <c r="M401">
        <v>92.7</v>
      </c>
      <c r="N401">
        <v>96.6</v>
      </c>
      <c r="O401">
        <v>469.9</v>
      </c>
    </row>
    <row r="402" spans="1:15">
      <c r="A402">
        <v>177</v>
      </c>
      <c r="B402" t="s">
        <v>1154</v>
      </c>
      <c r="C402" t="s">
        <v>1155</v>
      </c>
      <c r="D402" t="s">
        <v>7300</v>
      </c>
      <c r="E402" t="s">
        <v>7301</v>
      </c>
      <c r="F402" t="s">
        <v>7302</v>
      </c>
      <c r="G402" t="s">
        <v>5904</v>
      </c>
      <c r="H402">
        <v>317</v>
      </c>
      <c r="I402">
        <v>317</v>
      </c>
      <c r="J402">
        <v>317</v>
      </c>
      <c r="K402">
        <v>310</v>
      </c>
      <c r="L402">
        <v>312</v>
      </c>
      <c r="M402">
        <v>97.8</v>
      </c>
      <c r="N402">
        <v>98.4</v>
      </c>
      <c r="O402">
        <v>639</v>
      </c>
    </row>
    <row r="403" spans="1:15">
      <c r="A403">
        <v>176</v>
      </c>
      <c r="B403" t="s">
        <v>7303</v>
      </c>
      <c r="C403" t="s">
        <v>1158</v>
      </c>
      <c r="D403" t="s">
        <v>7304</v>
      </c>
      <c r="E403" t="s">
        <v>7305</v>
      </c>
      <c r="F403" t="s">
        <v>7306</v>
      </c>
      <c r="G403" t="s">
        <v>5904</v>
      </c>
      <c r="H403">
        <v>463</v>
      </c>
      <c r="I403">
        <v>423</v>
      </c>
      <c r="J403">
        <v>421</v>
      </c>
      <c r="K403">
        <v>372</v>
      </c>
      <c r="L403">
        <v>384</v>
      </c>
      <c r="M403">
        <v>80.3</v>
      </c>
      <c r="N403">
        <v>82.9</v>
      </c>
      <c r="O403">
        <v>769.2</v>
      </c>
    </row>
    <row r="404" spans="1:15">
      <c r="A404">
        <v>175</v>
      </c>
      <c r="B404" t="s">
        <v>7307</v>
      </c>
      <c r="C404" t="s">
        <v>1161</v>
      </c>
      <c r="D404" t="s">
        <v>7308</v>
      </c>
      <c r="E404" t="s">
        <v>7309</v>
      </c>
      <c r="F404" t="s">
        <v>7310</v>
      </c>
      <c r="G404" t="s">
        <v>5904</v>
      </c>
      <c r="H404">
        <v>896</v>
      </c>
      <c r="I404">
        <v>896</v>
      </c>
      <c r="J404">
        <v>897</v>
      </c>
      <c r="K404">
        <v>748</v>
      </c>
      <c r="L404">
        <v>813</v>
      </c>
      <c r="M404">
        <v>83.5</v>
      </c>
      <c r="N404">
        <v>90.7</v>
      </c>
      <c r="O404">
        <v>1566.6</v>
      </c>
    </row>
    <row r="405" spans="1:15">
      <c r="A405">
        <v>2245</v>
      </c>
      <c r="B405" t="s">
        <v>1162</v>
      </c>
      <c r="C405" t="s">
        <v>1164</v>
      </c>
      <c r="D405" t="s">
        <v>7311</v>
      </c>
      <c r="E405" t="s">
        <v>7312</v>
      </c>
      <c r="F405" t="s">
        <v>7313</v>
      </c>
      <c r="G405" t="s">
        <v>5904</v>
      </c>
      <c r="H405">
        <v>253</v>
      </c>
      <c r="I405">
        <v>253</v>
      </c>
      <c r="J405">
        <v>253</v>
      </c>
      <c r="K405">
        <v>249</v>
      </c>
      <c r="L405">
        <v>252</v>
      </c>
      <c r="M405">
        <v>98.4</v>
      </c>
      <c r="N405">
        <v>99.6</v>
      </c>
      <c r="O405">
        <v>513.1</v>
      </c>
    </row>
    <row r="406" spans="1:15">
      <c r="A406">
        <v>174</v>
      </c>
      <c r="B406" t="s">
        <v>7314</v>
      </c>
      <c r="C406" t="s">
        <v>1167</v>
      </c>
      <c r="D406" t="s">
        <v>7315</v>
      </c>
      <c r="E406" t="s">
        <v>7316</v>
      </c>
      <c r="F406" t="s">
        <v>7317</v>
      </c>
      <c r="G406" t="s">
        <v>5904</v>
      </c>
      <c r="H406">
        <v>400</v>
      </c>
      <c r="I406">
        <v>377</v>
      </c>
      <c r="J406">
        <v>400</v>
      </c>
      <c r="K406">
        <v>238</v>
      </c>
      <c r="L406">
        <v>282</v>
      </c>
      <c r="M406">
        <v>59.5</v>
      </c>
      <c r="N406">
        <v>70.5</v>
      </c>
      <c r="O406">
        <v>476.1</v>
      </c>
    </row>
    <row r="407" spans="1:15">
      <c r="A407">
        <v>173</v>
      </c>
      <c r="B407" t="s">
        <v>1168</v>
      </c>
      <c r="C407" t="s">
        <v>1169</v>
      </c>
      <c r="D407" t="s">
        <v>7318</v>
      </c>
      <c r="E407" t="s">
        <v>7319</v>
      </c>
      <c r="F407" t="s">
        <v>7320</v>
      </c>
      <c r="G407" t="s">
        <v>5904</v>
      </c>
      <c r="H407">
        <v>312</v>
      </c>
      <c r="I407">
        <v>312</v>
      </c>
      <c r="J407">
        <v>312</v>
      </c>
      <c r="K407">
        <v>262</v>
      </c>
      <c r="L407">
        <v>288</v>
      </c>
      <c r="M407">
        <v>84</v>
      </c>
      <c r="N407">
        <v>92.3</v>
      </c>
      <c r="O407">
        <v>550.4</v>
      </c>
    </row>
    <row r="408" spans="1:15">
      <c r="A408">
        <v>172</v>
      </c>
      <c r="B408" t="s">
        <v>7321</v>
      </c>
      <c r="C408" t="s">
        <v>1172</v>
      </c>
      <c r="D408" t="s">
        <v>7322</v>
      </c>
      <c r="E408" t="s">
        <v>7323</v>
      </c>
      <c r="F408" t="s">
        <v>7324</v>
      </c>
      <c r="G408" t="s">
        <v>5904</v>
      </c>
      <c r="H408">
        <v>1140</v>
      </c>
      <c r="I408">
        <v>1140</v>
      </c>
      <c r="J408">
        <v>1140</v>
      </c>
      <c r="K408">
        <v>1135</v>
      </c>
      <c r="L408">
        <v>1135</v>
      </c>
      <c r="M408">
        <v>99.6</v>
      </c>
      <c r="N408">
        <v>99.6</v>
      </c>
      <c r="O408">
        <v>2349.6999999999998</v>
      </c>
    </row>
    <row r="409" spans="1:15">
      <c r="A409">
        <v>171</v>
      </c>
      <c r="B409" t="s">
        <v>7325</v>
      </c>
      <c r="C409" t="s">
        <v>7326</v>
      </c>
      <c r="D409" t="s">
        <v>7327</v>
      </c>
      <c r="E409" t="s">
        <v>7328</v>
      </c>
      <c r="F409" t="s">
        <v>7329</v>
      </c>
      <c r="G409" t="s">
        <v>5904</v>
      </c>
      <c r="H409">
        <v>578</v>
      </c>
      <c r="I409">
        <v>575</v>
      </c>
      <c r="J409">
        <v>574</v>
      </c>
      <c r="K409">
        <v>524</v>
      </c>
      <c r="L409">
        <v>549</v>
      </c>
      <c r="M409">
        <v>90.7</v>
      </c>
      <c r="N409">
        <v>95</v>
      </c>
      <c r="O409">
        <v>1006.5</v>
      </c>
    </row>
    <row r="410" spans="1:15">
      <c r="A410">
        <v>170</v>
      </c>
      <c r="B410" t="s">
        <v>7330</v>
      </c>
      <c r="C410" t="s">
        <v>1178</v>
      </c>
      <c r="D410" t="s">
        <v>7331</v>
      </c>
      <c r="E410" t="s">
        <v>7332</v>
      </c>
      <c r="F410" t="s">
        <v>7333</v>
      </c>
      <c r="G410" t="s">
        <v>5900</v>
      </c>
      <c r="H410">
        <v>246</v>
      </c>
      <c r="I410">
        <v>184</v>
      </c>
      <c r="J410">
        <v>115</v>
      </c>
      <c r="K410">
        <v>105</v>
      </c>
      <c r="L410">
        <v>111</v>
      </c>
      <c r="M410">
        <v>42.7</v>
      </c>
      <c r="N410">
        <v>45.1</v>
      </c>
      <c r="O410">
        <v>209.5</v>
      </c>
    </row>
    <row r="411" spans="1:15">
      <c r="A411">
        <v>169</v>
      </c>
      <c r="B411" t="s">
        <v>7334</v>
      </c>
      <c r="C411" t="s">
        <v>1181</v>
      </c>
      <c r="D411" t="s">
        <v>7335</v>
      </c>
      <c r="E411" t="s">
        <v>7336</v>
      </c>
      <c r="F411" t="s">
        <v>7337</v>
      </c>
      <c r="G411" t="s">
        <v>5904</v>
      </c>
      <c r="H411">
        <v>807</v>
      </c>
      <c r="I411">
        <v>807</v>
      </c>
      <c r="J411">
        <v>807</v>
      </c>
      <c r="K411">
        <v>788</v>
      </c>
      <c r="L411">
        <v>803</v>
      </c>
      <c r="M411">
        <v>97.6</v>
      </c>
      <c r="N411">
        <v>99.5</v>
      </c>
      <c r="O411">
        <v>1640.5</v>
      </c>
    </row>
    <row r="412" spans="1:15">
      <c r="A412">
        <v>168</v>
      </c>
      <c r="B412" t="s">
        <v>1182</v>
      </c>
      <c r="C412" t="s">
        <v>1184</v>
      </c>
      <c r="D412" t="s">
        <v>7338</v>
      </c>
      <c r="E412" t="s">
        <v>7339</v>
      </c>
      <c r="F412" t="s">
        <v>7340</v>
      </c>
      <c r="G412" t="s">
        <v>5904</v>
      </c>
      <c r="H412">
        <v>204</v>
      </c>
      <c r="I412">
        <v>204</v>
      </c>
      <c r="J412">
        <v>204</v>
      </c>
      <c r="K412">
        <v>204</v>
      </c>
      <c r="L412">
        <v>204</v>
      </c>
      <c r="M412">
        <v>100</v>
      </c>
      <c r="N412">
        <v>100</v>
      </c>
      <c r="O412">
        <v>422.9</v>
      </c>
    </row>
    <row r="413" spans="1:15">
      <c r="A413">
        <v>167</v>
      </c>
      <c r="B413" t="s">
        <v>7341</v>
      </c>
      <c r="C413" t="s">
        <v>1187</v>
      </c>
      <c r="D413" t="s">
        <v>7342</v>
      </c>
      <c r="E413" t="s">
        <v>7343</v>
      </c>
      <c r="F413" t="s">
        <v>7344</v>
      </c>
      <c r="G413" t="s">
        <v>5904</v>
      </c>
      <c r="H413">
        <v>393</v>
      </c>
      <c r="I413">
        <v>343</v>
      </c>
      <c r="J413">
        <v>343</v>
      </c>
      <c r="K413">
        <v>304</v>
      </c>
      <c r="L413">
        <v>320</v>
      </c>
      <c r="M413">
        <v>77.400000000000006</v>
      </c>
      <c r="N413">
        <v>81.400000000000006</v>
      </c>
      <c r="O413">
        <v>582.79999999999995</v>
      </c>
    </row>
    <row r="414" spans="1:15">
      <c r="A414">
        <v>166</v>
      </c>
      <c r="B414" t="s">
        <v>7345</v>
      </c>
      <c r="C414" t="s">
        <v>1190</v>
      </c>
      <c r="D414" t="s">
        <v>7346</v>
      </c>
      <c r="E414" t="s">
        <v>7347</v>
      </c>
      <c r="F414" t="s">
        <v>7348</v>
      </c>
      <c r="G414" t="s">
        <v>5904</v>
      </c>
      <c r="H414">
        <v>772</v>
      </c>
      <c r="I414">
        <v>845</v>
      </c>
      <c r="J414">
        <v>858</v>
      </c>
      <c r="K414">
        <v>514</v>
      </c>
      <c r="L414">
        <v>587</v>
      </c>
      <c r="M414">
        <v>66.599999999999994</v>
      </c>
      <c r="N414">
        <v>76</v>
      </c>
      <c r="O414">
        <v>832.8</v>
      </c>
    </row>
    <row r="415" spans="1:15">
      <c r="A415">
        <v>2078</v>
      </c>
      <c r="B415" t="s">
        <v>7349</v>
      </c>
      <c r="C415" t="s">
        <v>1193</v>
      </c>
      <c r="D415" t="s">
        <v>7350</v>
      </c>
      <c r="E415" t="s">
        <v>7351</v>
      </c>
      <c r="F415" t="s">
        <v>7352</v>
      </c>
      <c r="G415" t="s">
        <v>5904</v>
      </c>
      <c r="H415">
        <v>134</v>
      </c>
      <c r="I415">
        <v>134</v>
      </c>
      <c r="J415">
        <v>134</v>
      </c>
      <c r="K415">
        <v>125</v>
      </c>
      <c r="L415">
        <v>128</v>
      </c>
      <c r="M415">
        <v>93.3</v>
      </c>
      <c r="N415">
        <v>95.5</v>
      </c>
      <c r="O415">
        <v>265.8</v>
      </c>
    </row>
    <row r="416" spans="1:15">
      <c r="A416">
        <v>165</v>
      </c>
      <c r="B416" t="s">
        <v>1194</v>
      </c>
      <c r="C416" t="s">
        <v>1195</v>
      </c>
      <c r="D416" t="s">
        <v>7353</v>
      </c>
      <c r="E416" t="s">
        <v>7354</v>
      </c>
      <c r="F416" t="s">
        <v>7355</v>
      </c>
      <c r="G416" t="s">
        <v>6759</v>
      </c>
      <c r="H416">
        <v>160</v>
      </c>
      <c r="I416">
        <v>128</v>
      </c>
      <c r="J416">
        <v>166</v>
      </c>
      <c r="K416">
        <v>50</v>
      </c>
      <c r="L416">
        <v>70</v>
      </c>
      <c r="M416">
        <v>31.2</v>
      </c>
      <c r="N416">
        <v>43.8</v>
      </c>
      <c r="O416">
        <v>65.5</v>
      </c>
    </row>
    <row r="417" spans="1:15">
      <c r="A417">
        <v>2077</v>
      </c>
      <c r="B417" t="s">
        <v>1196</v>
      </c>
      <c r="C417" t="s">
        <v>1197</v>
      </c>
      <c r="D417" t="s">
        <v>7356</v>
      </c>
      <c r="E417" t="s">
        <v>7357</v>
      </c>
      <c r="F417" t="s">
        <v>7358</v>
      </c>
      <c r="G417" t="s">
        <v>5904</v>
      </c>
      <c r="H417">
        <v>405</v>
      </c>
      <c r="I417">
        <v>405</v>
      </c>
      <c r="J417">
        <v>402</v>
      </c>
      <c r="K417">
        <v>369</v>
      </c>
      <c r="L417">
        <v>384</v>
      </c>
      <c r="M417">
        <v>91.1</v>
      </c>
      <c r="N417">
        <v>94.8</v>
      </c>
      <c r="O417">
        <v>750.4</v>
      </c>
    </row>
    <row r="418" spans="1:15">
      <c r="A418">
        <v>164</v>
      </c>
      <c r="B418" t="s">
        <v>1198</v>
      </c>
      <c r="C418" t="s">
        <v>1200</v>
      </c>
      <c r="D418" t="s">
        <v>7359</v>
      </c>
      <c r="E418" t="s">
        <v>7360</v>
      </c>
      <c r="F418" t="s">
        <v>7361</v>
      </c>
      <c r="G418" t="s">
        <v>5896</v>
      </c>
      <c r="H418">
        <v>253</v>
      </c>
      <c r="I418">
        <v>646</v>
      </c>
      <c r="J418">
        <v>253</v>
      </c>
      <c r="K418">
        <v>253</v>
      </c>
      <c r="L418">
        <v>253</v>
      </c>
      <c r="M418">
        <v>100</v>
      </c>
      <c r="N418">
        <v>100</v>
      </c>
      <c r="O418">
        <v>525.79999999999995</v>
      </c>
    </row>
    <row r="419" spans="1:15">
      <c r="A419">
        <v>2244</v>
      </c>
      <c r="B419" t="s">
        <v>1201</v>
      </c>
      <c r="C419" t="s">
        <v>1202</v>
      </c>
      <c r="D419" t="s">
        <v>7362</v>
      </c>
      <c r="E419" t="s">
        <v>7363</v>
      </c>
      <c r="F419" t="s">
        <v>7364</v>
      </c>
      <c r="G419" t="s">
        <v>5904</v>
      </c>
      <c r="H419">
        <v>231</v>
      </c>
      <c r="I419">
        <v>231</v>
      </c>
      <c r="J419">
        <v>231</v>
      </c>
      <c r="K419">
        <v>230</v>
      </c>
      <c r="L419">
        <v>231</v>
      </c>
      <c r="M419">
        <v>99.6</v>
      </c>
      <c r="N419">
        <v>100</v>
      </c>
      <c r="O419">
        <v>473.8</v>
      </c>
    </row>
    <row r="420" spans="1:15">
      <c r="A420">
        <v>163</v>
      </c>
      <c r="B420" t="s">
        <v>1203</v>
      </c>
      <c r="C420" t="s">
        <v>1204</v>
      </c>
      <c r="D420" t="s">
        <v>7365</v>
      </c>
      <c r="E420" t="s">
        <v>7366</v>
      </c>
      <c r="F420" t="s">
        <v>7367</v>
      </c>
      <c r="G420" t="s">
        <v>5904</v>
      </c>
      <c r="H420">
        <v>256</v>
      </c>
      <c r="I420">
        <v>229</v>
      </c>
      <c r="J420">
        <v>229</v>
      </c>
      <c r="K420">
        <v>228</v>
      </c>
      <c r="L420">
        <v>228</v>
      </c>
      <c r="M420">
        <v>89.1</v>
      </c>
      <c r="N420">
        <v>89.1</v>
      </c>
      <c r="O420">
        <v>472.6</v>
      </c>
    </row>
    <row r="421" spans="1:15">
      <c r="A421">
        <v>162</v>
      </c>
      <c r="B421" t="s">
        <v>7368</v>
      </c>
      <c r="C421" t="s">
        <v>1207</v>
      </c>
      <c r="D421" t="s">
        <v>7369</v>
      </c>
      <c r="E421" t="s">
        <v>7370</v>
      </c>
      <c r="F421" t="s">
        <v>7371</v>
      </c>
      <c r="G421" t="s">
        <v>5904</v>
      </c>
      <c r="H421">
        <v>171</v>
      </c>
      <c r="I421">
        <v>173</v>
      </c>
      <c r="J421">
        <v>173</v>
      </c>
      <c r="K421">
        <v>151</v>
      </c>
      <c r="L421">
        <v>158</v>
      </c>
      <c r="M421">
        <v>88.3</v>
      </c>
      <c r="N421">
        <v>92.4</v>
      </c>
      <c r="O421">
        <v>300.8</v>
      </c>
    </row>
    <row r="422" spans="1:15">
      <c r="A422">
        <v>161</v>
      </c>
      <c r="B422" t="s">
        <v>1208</v>
      </c>
      <c r="C422" t="s">
        <v>1209</v>
      </c>
      <c r="D422" t="s">
        <v>7372</v>
      </c>
      <c r="E422" t="s">
        <v>7373</v>
      </c>
      <c r="F422" t="s">
        <v>7374</v>
      </c>
      <c r="G422" t="s">
        <v>5904</v>
      </c>
      <c r="H422">
        <v>90</v>
      </c>
      <c r="I422">
        <v>90</v>
      </c>
      <c r="J422">
        <v>90</v>
      </c>
      <c r="K422">
        <v>45</v>
      </c>
      <c r="L422">
        <v>61</v>
      </c>
      <c r="M422">
        <v>50</v>
      </c>
      <c r="N422">
        <v>67.8</v>
      </c>
      <c r="O422">
        <v>87</v>
      </c>
    </row>
    <row r="423" spans="1:15">
      <c r="A423">
        <v>160</v>
      </c>
      <c r="B423" t="s">
        <v>7375</v>
      </c>
      <c r="C423" t="s">
        <v>1212</v>
      </c>
      <c r="D423" t="s">
        <v>7376</v>
      </c>
      <c r="E423" t="s">
        <v>7377</v>
      </c>
      <c r="F423" t="s">
        <v>7378</v>
      </c>
      <c r="G423" t="s">
        <v>5904</v>
      </c>
      <c r="H423">
        <v>3339</v>
      </c>
      <c r="I423">
        <v>3298</v>
      </c>
      <c r="J423">
        <v>3298</v>
      </c>
      <c r="K423">
        <v>3121</v>
      </c>
      <c r="L423">
        <v>3198</v>
      </c>
      <c r="M423">
        <v>93.5</v>
      </c>
      <c r="N423">
        <v>95.8</v>
      </c>
      <c r="O423">
        <v>5919.4</v>
      </c>
    </row>
    <row r="424" spans="1:15">
      <c r="A424">
        <v>159</v>
      </c>
      <c r="B424" t="s">
        <v>1213</v>
      </c>
      <c r="C424" t="s">
        <v>7379</v>
      </c>
      <c r="D424" t="s">
        <v>7380</v>
      </c>
      <c r="E424" t="s">
        <v>7381</v>
      </c>
      <c r="F424" t="s">
        <v>7382</v>
      </c>
      <c r="G424" t="s">
        <v>5904</v>
      </c>
      <c r="H424">
        <v>104</v>
      </c>
      <c r="I424">
        <v>104</v>
      </c>
      <c r="J424">
        <v>104</v>
      </c>
      <c r="K424">
        <v>104</v>
      </c>
      <c r="L424">
        <v>104</v>
      </c>
      <c r="M424">
        <v>100</v>
      </c>
      <c r="N424">
        <v>100</v>
      </c>
      <c r="O424">
        <v>221.1</v>
      </c>
    </row>
    <row r="425" spans="1:15">
      <c r="A425">
        <v>158</v>
      </c>
      <c r="B425" t="s">
        <v>7383</v>
      </c>
      <c r="C425" t="s">
        <v>1217</v>
      </c>
      <c r="D425" t="s">
        <v>7384</v>
      </c>
      <c r="E425" t="s">
        <v>7385</v>
      </c>
      <c r="F425" t="s">
        <v>7386</v>
      </c>
      <c r="G425" t="s">
        <v>5904</v>
      </c>
      <c r="H425">
        <v>267</v>
      </c>
      <c r="I425">
        <v>166</v>
      </c>
      <c r="J425">
        <v>166</v>
      </c>
      <c r="K425">
        <v>166</v>
      </c>
      <c r="L425">
        <v>166</v>
      </c>
      <c r="M425">
        <v>62.2</v>
      </c>
      <c r="N425">
        <v>62.2</v>
      </c>
      <c r="O425">
        <v>335.9</v>
      </c>
    </row>
    <row r="426" spans="1:15">
      <c r="A426">
        <v>157</v>
      </c>
      <c r="B426" t="s">
        <v>1218</v>
      </c>
      <c r="C426" t="s">
        <v>1220</v>
      </c>
      <c r="D426" t="s">
        <v>7387</v>
      </c>
      <c r="E426" t="s">
        <v>7388</v>
      </c>
      <c r="F426" t="s">
        <v>7389</v>
      </c>
      <c r="G426" t="s">
        <v>5904</v>
      </c>
      <c r="H426">
        <v>602</v>
      </c>
      <c r="I426">
        <v>583</v>
      </c>
      <c r="J426">
        <v>579</v>
      </c>
      <c r="K426">
        <v>574</v>
      </c>
      <c r="L426">
        <v>578</v>
      </c>
      <c r="M426">
        <v>95.3</v>
      </c>
      <c r="N426">
        <v>96</v>
      </c>
      <c r="O426">
        <v>1171.8</v>
      </c>
    </row>
    <row r="427" spans="1:15">
      <c r="A427">
        <v>2243</v>
      </c>
      <c r="B427" t="s">
        <v>1221</v>
      </c>
      <c r="C427" t="s">
        <v>1223</v>
      </c>
      <c r="D427" t="s">
        <v>7390</v>
      </c>
      <c r="E427" t="s">
        <v>7391</v>
      </c>
      <c r="F427" t="s">
        <v>7392</v>
      </c>
      <c r="G427" t="s">
        <v>5904</v>
      </c>
      <c r="H427">
        <v>211</v>
      </c>
      <c r="I427">
        <v>211</v>
      </c>
      <c r="J427">
        <v>211</v>
      </c>
      <c r="K427">
        <v>208</v>
      </c>
      <c r="L427">
        <v>210</v>
      </c>
      <c r="M427">
        <v>98.6</v>
      </c>
      <c r="N427">
        <v>99.5</v>
      </c>
      <c r="O427">
        <v>439.1</v>
      </c>
    </row>
    <row r="428" spans="1:15">
      <c r="A428">
        <v>156</v>
      </c>
      <c r="B428" t="s">
        <v>7393</v>
      </c>
      <c r="C428" t="s">
        <v>1226</v>
      </c>
      <c r="D428" t="s">
        <v>7394</v>
      </c>
      <c r="E428" t="s">
        <v>7395</v>
      </c>
      <c r="F428" t="s">
        <v>7396</v>
      </c>
      <c r="G428" t="s">
        <v>5904</v>
      </c>
      <c r="H428">
        <v>340</v>
      </c>
      <c r="I428">
        <v>332</v>
      </c>
      <c r="J428">
        <v>340</v>
      </c>
      <c r="K428">
        <v>312</v>
      </c>
      <c r="L428">
        <v>320</v>
      </c>
      <c r="M428">
        <v>91.8</v>
      </c>
      <c r="N428">
        <v>94.1</v>
      </c>
      <c r="O428">
        <v>647.1</v>
      </c>
    </row>
    <row r="429" spans="1:15">
      <c r="A429">
        <v>155</v>
      </c>
      <c r="B429" t="s">
        <v>1227</v>
      </c>
      <c r="C429" t="s">
        <v>1228</v>
      </c>
      <c r="D429" t="s">
        <v>7397</v>
      </c>
      <c r="E429" t="s">
        <v>7398</v>
      </c>
      <c r="F429" t="s">
        <v>7399</v>
      </c>
      <c r="G429" t="s">
        <v>5904</v>
      </c>
      <c r="H429">
        <v>647</v>
      </c>
      <c r="I429">
        <v>647</v>
      </c>
      <c r="J429">
        <v>647</v>
      </c>
      <c r="K429">
        <v>579</v>
      </c>
      <c r="L429">
        <v>601</v>
      </c>
      <c r="M429">
        <v>89.5</v>
      </c>
      <c r="N429">
        <v>92.9</v>
      </c>
      <c r="O429">
        <v>1085.0999999999999</v>
      </c>
    </row>
    <row r="430" spans="1:15">
      <c r="A430">
        <v>154</v>
      </c>
      <c r="B430" t="s">
        <v>1229</v>
      </c>
      <c r="C430" t="s">
        <v>1230</v>
      </c>
      <c r="D430" t="s">
        <v>7400</v>
      </c>
      <c r="E430" t="s">
        <v>7401</v>
      </c>
      <c r="F430" t="s">
        <v>7402</v>
      </c>
      <c r="G430" t="s">
        <v>5904</v>
      </c>
      <c r="H430">
        <v>193</v>
      </c>
      <c r="I430">
        <v>193</v>
      </c>
      <c r="J430">
        <v>192</v>
      </c>
      <c r="K430">
        <v>150</v>
      </c>
      <c r="L430">
        <v>175</v>
      </c>
      <c r="M430">
        <v>77.7</v>
      </c>
      <c r="N430">
        <v>90.7</v>
      </c>
      <c r="O430">
        <v>316.2</v>
      </c>
    </row>
    <row r="431" spans="1:15">
      <c r="A431">
        <v>2076</v>
      </c>
      <c r="B431" t="s">
        <v>1231</v>
      </c>
      <c r="C431" t="s">
        <v>1232</v>
      </c>
      <c r="D431" t="s">
        <v>7403</v>
      </c>
      <c r="E431" t="s">
        <v>7404</v>
      </c>
      <c r="F431" t="s">
        <v>7405</v>
      </c>
      <c r="G431" t="s">
        <v>5904</v>
      </c>
      <c r="H431">
        <v>226</v>
      </c>
      <c r="I431">
        <v>225</v>
      </c>
      <c r="J431">
        <v>221</v>
      </c>
      <c r="K431">
        <v>201</v>
      </c>
      <c r="L431">
        <v>215</v>
      </c>
      <c r="M431">
        <v>88.9</v>
      </c>
      <c r="N431">
        <v>95.1</v>
      </c>
      <c r="O431">
        <v>430.6</v>
      </c>
    </row>
    <row r="432" spans="1:15">
      <c r="A432">
        <v>153</v>
      </c>
      <c r="B432" t="s">
        <v>7406</v>
      </c>
      <c r="C432" t="s">
        <v>7407</v>
      </c>
      <c r="D432" t="s">
        <v>7408</v>
      </c>
      <c r="E432" t="s">
        <v>7409</v>
      </c>
      <c r="F432" t="s">
        <v>7410</v>
      </c>
      <c r="G432" t="s">
        <v>5904</v>
      </c>
      <c r="H432">
        <v>717</v>
      </c>
      <c r="I432">
        <v>715</v>
      </c>
      <c r="J432">
        <v>716</v>
      </c>
      <c r="K432">
        <v>624</v>
      </c>
      <c r="L432">
        <v>660</v>
      </c>
      <c r="M432">
        <v>87</v>
      </c>
      <c r="N432">
        <v>92.1</v>
      </c>
      <c r="O432">
        <v>1232.2</v>
      </c>
    </row>
    <row r="433" spans="1:15">
      <c r="A433">
        <v>152</v>
      </c>
      <c r="B433" t="s">
        <v>7411</v>
      </c>
      <c r="C433" t="s">
        <v>1238</v>
      </c>
      <c r="D433" t="s">
        <v>7412</v>
      </c>
      <c r="E433" t="s">
        <v>7413</v>
      </c>
      <c r="F433" t="s">
        <v>7414</v>
      </c>
      <c r="G433" t="s">
        <v>5904</v>
      </c>
      <c r="H433">
        <v>450</v>
      </c>
      <c r="I433">
        <v>423</v>
      </c>
      <c r="J433">
        <v>379</v>
      </c>
      <c r="K433">
        <v>353</v>
      </c>
      <c r="L433">
        <v>368</v>
      </c>
      <c r="M433">
        <v>78.400000000000006</v>
      </c>
      <c r="N433">
        <v>81.8</v>
      </c>
      <c r="O433">
        <v>716.1</v>
      </c>
    </row>
    <row r="434" spans="1:15">
      <c r="A434">
        <v>151</v>
      </c>
      <c r="B434" t="s">
        <v>7415</v>
      </c>
      <c r="C434" t="s">
        <v>1241</v>
      </c>
      <c r="D434" t="s">
        <v>7416</v>
      </c>
      <c r="E434" t="s">
        <v>7417</v>
      </c>
      <c r="F434" t="s">
        <v>7418</v>
      </c>
      <c r="G434" t="s">
        <v>5904</v>
      </c>
      <c r="H434">
        <v>430</v>
      </c>
      <c r="I434">
        <v>424</v>
      </c>
      <c r="J434">
        <v>430</v>
      </c>
      <c r="K434">
        <v>411</v>
      </c>
      <c r="L434">
        <v>417</v>
      </c>
      <c r="M434">
        <v>95.6</v>
      </c>
      <c r="N434">
        <v>97</v>
      </c>
      <c r="O434">
        <v>836.6</v>
      </c>
    </row>
    <row r="435" spans="1:15">
      <c r="A435">
        <v>150</v>
      </c>
      <c r="B435" t="s">
        <v>7419</v>
      </c>
      <c r="C435" t="s">
        <v>1244</v>
      </c>
      <c r="D435" t="s">
        <v>7420</v>
      </c>
      <c r="E435" t="s">
        <v>7421</v>
      </c>
      <c r="F435" t="s">
        <v>7422</v>
      </c>
      <c r="G435" t="s">
        <v>5904</v>
      </c>
      <c r="H435">
        <v>512</v>
      </c>
      <c r="I435">
        <v>504</v>
      </c>
      <c r="J435">
        <v>458</v>
      </c>
      <c r="K435">
        <v>436</v>
      </c>
      <c r="L435">
        <v>445</v>
      </c>
      <c r="M435">
        <v>85.2</v>
      </c>
      <c r="N435">
        <v>86.9</v>
      </c>
      <c r="O435">
        <v>859.8</v>
      </c>
    </row>
    <row r="436" spans="1:15">
      <c r="A436">
        <v>149</v>
      </c>
      <c r="B436" t="s">
        <v>7423</v>
      </c>
      <c r="C436" t="s">
        <v>7424</v>
      </c>
      <c r="D436" t="s">
        <v>7425</v>
      </c>
      <c r="E436" t="s">
        <v>7426</v>
      </c>
      <c r="F436" t="s">
        <v>7427</v>
      </c>
      <c r="G436" t="s">
        <v>5904</v>
      </c>
      <c r="H436">
        <v>3053</v>
      </c>
      <c r="I436">
        <v>3056</v>
      </c>
      <c r="J436">
        <v>3057</v>
      </c>
      <c r="K436">
        <v>2729</v>
      </c>
      <c r="L436">
        <v>2873</v>
      </c>
      <c r="M436">
        <v>89.4</v>
      </c>
      <c r="N436">
        <v>94.1</v>
      </c>
      <c r="O436">
        <v>5655.9</v>
      </c>
    </row>
    <row r="437" spans="1:15">
      <c r="A437">
        <v>148</v>
      </c>
      <c r="B437" t="s">
        <v>7428</v>
      </c>
      <c r="C437" t="s">
        <v>1250</v>
      </c>
      <c r="D437" t="s">
        <v>7429</v>
      </c>
      <c r="E437" t="s">
        <v>7430</v>
      </c>
      <c r="F437" t="s">
        <v>7431</v>
      </c>
      <c r="G437" t="s">
        <v>5904</v>
      </c>
      <c r="H437">
        <v>944</v>
      </c>
      <c r="I437">
        <v>944</v>
      </c>
      <c r="J437">
        <v>931</v>
      </c>
      <c r="K437">
        <v>873</v>
      </c>
      <c r="L437">
        <v>909</v>
      </c>
      <c r="M437">
        <v>92.5</v>
      </c>
      <c r="N437">
        <v>96.3</v>
      </c>
      <c r="O437">
        <v>1823.1</v>
      </c>
    </row>
    <row r="438" spans="1:15">
      <c r="A438">
        <v>147</v>
      </c>
      <c r="B438" t="s">
        <v>7432</v>
      </c>
      <c r="C438" t="s">
        <v>1253</v>
      </c>
      <c r="D438" t="s">
        <v>7433</v>
      </c>
      <c r="E438" t="s">
        <v>7434</v>
      </c>
      <c r="F438" t="s">
        <v>7435</v>
      </c>
      <c r="G438" t="s">
        <v>5904</v>
      </c>
      <c r="H438">
        <v>742</v>
      </c>
      <c r="I438">
        <v>742</v>
      </c>
      <c r="J438">
        <v>786</v>
      </c>
      <c r="K438">
        <v>539</v>
      </c>
      <c r="L438">
        <v>583</v>
      </c>
      <c r="M438">
        <v>72.599999999999994</v>
      </c>
      <c r="N438">
        <v>78.599999999999994</v>
      </c>
      <c r="O438">
        <v>928.3</v>
      </c>
    </row>
    <row r="439" spans="1:15">
      <c r="A439">
        <v>146</v>
      </c>
      <c r="B439" t="s">
        <v>7436</v>
      </c>
      <c r="C439" t="s">
        <v>1256</v>
      </c>
      <c r="D439" t="s">
        <v>7437</v>
      </c>
      <c r="E439" t="s">
        <v>7438</v>
      </c>
      <c r="F439" t="s">
        <v>7439</v>
      </c>
      <c r="G439" t="s">
        <v>5904</v>
      </c>
      <c r="H439">
        <v>612</v>
      </c>
      <c r="I439">
        <v>534</v>
      </c>
      <c r="J439">
        <v>534</v>
      </c>
      <c r="K439">
        <v>532</v>
      </c>
      <c r="L439">
        <v>533</v>
      </c>
      <c r="M439">
        <v>86.9</v>
      </c>
      <c r="N439">
        <v>87.1</v>
      </c>
      <c r="O439">
        <v>1095.9000000000001</v>
      </c>
    </row>
    <row r="440" spans="1:15">
      <c r="A440">
        <v>145</v>
      </c>
      <c r="B440" t="s">
        <v>7440</v>
      </c>
      <c r="C440" t="s">
        <v>1259</v>
      </c>
      <c r="D440" t="s">
        <v>7441</v>
      </c>
      <c r="E440" t="s">
        <v>7442</v>
      </c>
      <c r="F440" t="s">
        <v>7443</v>
      </c>
      <c r="G440" t="s">
        <v>5904</v>
      </c>
      <c r="H440">
        <v>530</v>
      </c>
      <c r="I440">
        <v>537</v>
      </c>
      <c r="J440">
        <v>516</v>
      </c>
      <c r="K440">
        <v>508</v>
      </c>
      <c r="L440">
        <v>510</v>
      </c>
      <c r="M440">
        <v>95.8</v>
      </c>
      <c r="N440">
        <v>96.2</v>
      </c>
      <c r="O440">
        <v>1048.0999999999999</v>
      </c>
    </row>
    <row r="441" spans="1:15">
      <c r="A441">
        <v>144</v>
      </c>
      <c r="B441" t="s">
        <v>1260</v>
      </c>
      <c r="C441" t="s">
        <v>1261</v>
      </c>
      <c r="D441" t="s">
        <v>7444</v>
      </c>
      <c r="E441" t="s">
        <v>7445</v>
      </c>
      <c r="F441" t="s">
        <v>7446</v>
      </c>
      <c r="G441" t="s">
        <v>5904</v>
      </c>
      <c r="H441">
        <v>417</v>
      </c>
      <c r="I441">
        <v>417</v>
      </c>
      <c r="J441">
        <v>417</v>
      </c>
      <c r="K441">
        <v>333</v>
      </c>
      <c r="L441">
        <v>368</v>
      </c>
      <c r="M441">
        <v>79.900000000000006</v>
      </c>
      <c r="N441">
        <v>88.2</v>
      </c>
      <c r="O441">
        <v>689.9</v>
      </c>
    </row>
    <row r="442" spans="1:15">
      <c r="A442">
        <v>143</v>
      </c>
      <c r="B442" t="s">
        <v>7447</v>
      </c>
      <c r="C442" t="s">
        <v>1264</v>
      </c>
      <c r="D442" t="s">
        <v>7448</v>
      </c>
      <c r="E442" t="s">
        <v>7449</v>
      </c>
      <c r="F442" t="s">
        <v>7450</v>
      </c>
      <c r="G442" t="s">
        <v>5904</v>
      </c>
      <c r="H442">
        <v>302</v>
      </c>
      <c r="I442">
        <v>289</v>
      </c>
      <c r="J442">
        <v>244</v>
      </c>
      <c r="K442">
        <v>229</v>
      </c>
      <c r="L442">
        <v>235</v>
      </c>
      <c r="M442">
        <v>75.8</v>
      </c>
      <c r="N442">
        <v>77.8</v>
      </c>
      <c r="O442">
        <v>459.9</v>
      </c>
    </row>
    <row r="443" spans="1:15">
      <c r="A443">
        <v>142</v>
      </c>
      <c r="B443" t="s">
        <v>7451</v>
      </c>
      <c r="C443" t="s">
        <v>1268</v>
      </c>
      <c r="D443" t="s">
        <v>7452</v>
      </c>
      <c r="E443" t="s">
        <v>7453</v>
      </c>
      <c r="F443" t="s">
        <v>7454</v>
      </c>
      <c r="G443" t="s">
        <v>5904</v>
      </c>
      <c r="H443">
        <v>1215</v>
      </c>
      <c r="I443">
        <v>1337</v>
      </c>
      <c r="J443">
        <v>1215</v>
      </c>
      <c r="K443">
        <v>894</v>
      </c>
      <c r="L443">
        <v>990</v>
      </c>
      <c r="M443">
        <v>73.599999999999994</v>
      </c>
      <c r="N443">
        <v>81.5</v>
      </c>
      <c r="O443">
        <v>1778.5</v>
      </c>
    </row>
    <row r="444" spans="1:15">
      <c r="A444">
        <v>141</v>
      </c>
      <c r="B444" t="s">
        <v>1269</v>
      </c>
      <c r="C444" t="s">
        <v>1270</v>
      </c>
      <c r="D444" t="s">
        <v>7455</v>
      </c>
      <c r="E444" t="s">
        <v>7456</v>
      </c>
      <c r="F444" t="s">
        <v>7457</v>
      </c>
      <c r="G444" t="s">
        <v>5904</v>
      </c>
      <c r="H444">
        <v>243</v>
      </c>
      <c r="I444">
        <v>243</v>
      </c>
      <c r="J444">
        <v>243</v>
      </c>
      <c r="K444">
        <v>242</v>
      </c>
      <c r="L444">
        <v>243</v>
      </c>
      <c r="M444">
        <v>99.6</v>
      </c>
      <c r="N444">
        <v>100</v>
      </c>
      <c r="O444">
        <v>490.7</v>
      </c>
    </row>
    <row r="445" spans="1:15">
      <c r="A445">
        <v>2075</v>
      </c>
      <c r="B445" t="s">
        <v>1271</v>
      </c>
      <c r="C445" t="s">
        <v>7458</v>
      </c>
      <c r="D445" t="s">
        <v>7459</v>
      </c>
      <c r="E445" t="s">
        <v>7460</v>
      </c>
      <c r="F445" t="s">
        <v>7461</v>
      </c>
      <c r="G445" t="s">
        <v>5904</v>
      </c>
      <c r="H445">
        <v>199</v>
      </c>
      <c r="I445">
        <v>199</v>
      </c>
      <c r="J445">
        <v>199</v>
      </c>
      <c r="K445">
        <v>195</v>
      </c>
      <c r="L445">
        <v>198</v>
      </c>
      <c r="M445">
        <v>98</v>
      </c>
      <c r="N445">
        <v>99.5</v>
      </c>
      <c r="O445">
        <v>407.5</v>
      </c>
    </row>
    <row r="446" spans="1:15">
      <c r="A446">
        <v>140</v>
      </c>
      <c r="B446" t="s">
        <v>1274</v>
      </c>
      <c r="C446" t="s">
        <v>7462</v>
      </c>
      <c r="D446" t="s">
        <v>7463</v>
      </c>
      <c r="E446" t="s">
        <v>7464</v>
      </c>
      <c r="F446" t="s">
        <v>7465</v>
      </c>
      <c r="G446" t="s">
        <v>5904</v>
      </c>
      <c r="H446">
        <v>2211</v>
      </c>
      <c r="I446">
        <v>2214</v>
      </c>
      <c r="J446">
        <v>2214</v>
      </c>
      <c r="K446">
        <v>2085</v>
      </c>
      <c r="L446">
        <v>2149</v>
      </c>
      <c r="M446">
        <v>94.3</v>
      </c>
      <c r="N446">
        <v>97.2</v>
      </c>
      <c r="O446">
        <v>4376.6000000000004</v>
      </c>
    </row>
    <row r="447" spans="1:15">
      <c r="A447">
        <v>139</v>
      </c>
      <c r="B447" t="s">
        <v>1276</v>
      </c>
      <c r="C447" t="s">
        <v>7466</v>
      </c>
      <c r="D447" t="s">
        <v>7467</v>
      </c>
      <c r="E447" t="s">
        <v>7468</v>
      </c>
      <c r="F447" t="s">
        <v>7469</v>
      </c>
      <c r="G447" t="s">
        <v>5904</v>
      </c>
      <c r="H447">
        <v>6009</v>
      </c>
      <c r="I447">
        <v>5890</v>
      </c>
      <c r="J447">
        <v>5818</v>
      </c>
      <c r="K447">
        <v>4442</v>
      </c>
      <c r="L447">
        <v>4981</v>
      </c>
      <c r="M447">
        <v>73.900000000000006</v>
      </c>
      <c r="N447">
        <v>82.9</v>
      </c>
      <c r="O447">
        <v>8075.7</v>
      </c>
    </row>
    <row r="448" spans="1:15">
      <c r="A448">
        <v>138</v>
      </c>
      <c r="B448" t="s">
        <v>7470</v>
      </c>
      <c r="C448" t="s">
        <v>1280</v>
      </c>
      <c r="D448" t="s">
        <v>7471</v>
      </c>
      <c r="E448" t="s">
        <v>7472</v>
      </c>
      <c r="F448" t="s">
        <v>7473</v>
      </c>
      <c r="G448" t="s">
        <v>5904</v>
      </c>
      <c r="H448">
        <v>1157</v>
      </c>
      <c r="I448">
        <v>858</v>
      </c>
      <c r="J448">
        <v>854</v>
      </c>
      <c r="K448">
        <v>794</v>
      </c>
      <c r="L448">
        <v>810</v>
      </c>
      <c r="M448">
        <v>68.599999999999994</v>
      </c>
      <c r="N448">
        <v>70</v>
      </c>
      <c r="O448">
        <v>1599</v>
      </c>
    </row>
    <row r="449" spans="1:15">
      <c r="A449">
        <v>137</v>
      </c>
      <c r="B449" t="s">
        <v>1281</v>
      </c>
      <c r="C449" t="s">
        <v>1282</v>
      </c>
      <c r="D449" t="s">
        <v>7474</v>
      </c>
      <c r="E449" t="s">
        <v>7475</v>
      </c>
      <c r="F449" t="s">
        <v>7476</v>
      </c>
      <c r="G449" t="s">
        <v>5904</v>
      </c>
      <c r="H449">
        <v>842</v>
      </c>
      <c r="I449">
        <v>842</v>
      </c>
      <c r="J449">
        <v>842</v>
      </c>
      <c r="K449">
        <v>808</v>
      </c>
      <c r="L449">
        <v>832</v>
      </c>
      <c r="M449">
        <v>96</v>
      </c>
      <c r="N449">
        <v>98.8</v>
      </c>
      <c r="O449">
        <v>1661.7</v>
      </c>
    </row>
    <row r="450" spans="1:15">
      <c r="A450">
        <v>136</v>
      </c>
      <c r="B450" t="s">
        <v>7477</v>
      </c>
      <c r="C450" t="s">
        <v>1285</v>
      </c>
      <c r="D450" t="s">
        <v>7478</v>
      </c>
      <c r="E450" t="s">
        <v>7479</v>
      </c>
      <c r="F450" t="s">
        <v>7480</v>
      </c>
      <c r="G450" t="s">
        <v>5904</v>
      </c>
      <c r="H450">
        <v>495</v>
      </c>
      <c r="I450">
        <v>461</v>
      </c>
      <c r="J450">
        <v>455</v>
      </c>
      <c r="K450">
        <v>328</v>
      </c>
      <c r="L450">
        <v>386</v>
      </c>
      <c r="M450">
        <v>66.3</v>
      </c>
      <c r="N450">
        <v>78</v>
      </c>
      <c r="O450">
        <v>633.6</v>
      </c>
    </row>
    <row r="451" spans="1:15">
      <c r="A451">
        <v>135</v>
      </c>
      <c r="B451" t="s">
        <v>7481</v>
      </c>
      <c r="C451" t="s">
        <v>1288</v>
      </c>
      <c r="D451" t="s">
        <v>7482</v>
      </c>
      <c r="E451" t="s">
        <v>7483</v>
      </c>
      <c r="F451" t="s">
        <v>7484</v>
      </c>
      <c r="G451" t="s">
        <v>5904</v>
      </c>
      <c r="H451">
        <v>133</v>
      </c>
      <c r="I451">
        <v>74</v>
      </c>
      <c r="J451">
        <v>74</v>
      </c>
      <c r="K451">
        <v>71</v>
      </c>
      <c r="L451">
        <v>71</v>
      </c>
      <c r="M451">
        <v>53.4</v>
      </c>
      <c r="N451">
        <v>53.4</v>
      </c>
      <c r="O451">
        <v>142.1</v>
      </c>
    </row>
    <row r="452" spans="1:15">
      <c r="A452">
        <v>134</v>
      </c>
      <c r="B452" t="s">
        <v>1289</v>
      </c>
      <c r="C452" t="s">
        <v>1291</v>
      </c>
      <c r="D452" t="s">
        <v>7485</v>
      </c>
      <c r="E452" t="s">
        <v>7486</v>
      </c>
      <c r="F452" t="s">
        <v>7487</v>
      </c>
      <c r="G452" t="s">
        <v>5904</v>
      </c>
      <c r="H452">
        <v>225</v>
      </c>
      <c r="I452">
        <v>269</v>
      </c>
      <c r="J452">
        <v>221</v>
      </c>
      <c r="K452">
        <v>211</v>
      </c>
      <c r="L452">
        <v>217</v>
      </c>
      <c r="M452">
        <v>93.8</v>
      </c>
      <c r="N452">
        <v>96.4</v>
      </c>
      <c r="O452">
        <v>396.7</v>
      </c>
    </row>
    <row r="453" spans="1:15">
      <c r="A453">
        <v>133</v>
      </c>
      <c r="B453" t="s">
        <v>1292</v>
      </c>
      <c r="C453" t="s">
        <v>7488</v>
      </c>
      <c r="D453" t="s">
        <v>7489</v>
      </c>
      <c r="E453" t="s">
        <v>7490</v>
      </c>
      <c r="F453" t="s">
        <v>7491</v>
      </c>
      <c r="G453" t="s">
        <v>5904</v>
      </c>
      <c r="H453">
        <v>312</v>
      </c>
      <c r="I453">
        <v>310</v>
      </c>
      <c r="J453">
        <v>312</v>
      </c>
      <c r="K453">
        <v>293</v>
      </c>
      <c r="L453">
        <v>302</v>
      </c>
      <c r="M453">
        <v>93.9</v>
      </c>
      <c r="N453">
        <v>96.8</v>
      </c>
      <c r="O453">
        <v>554.70000000000005</v>
      </c>
    </row>
    <row r="454" spans="1:15">
      <c r="A454">
        <v>132</v>
      </c>
      <c r="B454" t="s">
        <v>7492</v>
      </c>
      <c r="C454" t="s">
        <v>1296</v>
      </c>
      <c r="D454" t="s">
        <v>7493</v>
      </c>
      <c r="E454" t="s">
        <v>7494</v>
      </c>
      <c r="F454" t="s">
        <v>7495</v>
      </c>
      <c r="G454" t="s">
        <v>5904</v>
      </c>
      <c r="H454">
        <v>403</v>
      </c>
      <c r="I454">
        <v>394</v>
      </c>
      <c r="J454">
        <v>370</v>
      </c>
      <c r="K454">
        <v>261</v>
      </c>
      <c r="L454">
        <v>297</v>
      </c>
      <c r="M454">
        <v>64.8</v>
      </c>
      <c r="N454">
        <v>73.7</v>
      </c>
      <c r="O454">
        <v>451.1</v>
      </c>
    </row>
    <row r="455" spans="1:15">
      <c r="A455">
        <v>131</v>
      </c>
      <c r="B455" t="s">
        <v>1297</v>
      </c>
      <c r="C455" t="s">
        <v>7496</v>
      </c>
      <c r="D455" t="s">
        <v>7497</v>
      </c>
      <c r="E455" t="s">
        <v>7498</v>
      </c>
      <c r="F455" t="s">
        <v>7499</v>
      </c>
      <c r="G455" t="s">
        <v>5904</v>
      </c>
      <c r="H455">
        <v>161</v>
      </c>
      <c r="I455">
        <v>161</v>
      </c>
      <c r="J455">
        <v>161</v>
      </c>
      <c r="K455">
        <v>131</v>
      </c>
      <c r="L455">
        <v>144</v>
      </c>
      <c r="M455">
        <v>81.400000000000006</v>
      </c>
      <c r="N455">
        <v>89.4</v>
      </c>
      <c r="O455">
        <v>250</v>
      </c>
    </row>
    <row r="456" spans="1:15">
      <c r="A456">
        <v>130</v>
      </c>
      <c r="B456" t="s">
        <v>7500</v>
      </c>
      <c r="C456" t="s">
        <v>1301</v>
      </c>
      <c r="D456" t="s">
        <v>7501</v>
      </c>
      <c r="E456" t="s">
        <v>7502</v>
      </c>
      <c r="F456" t="s">
        <v>7503</v>
      </c>
      <c r="G456" t="s">
        <v>5904</v>
      </c>
      <c r="H456">
        <v>475</v>
      </c>
      <c r="I456">
        <v>442</v>
      </c>
      <c r="J456">
        <v>475</v>
      </c>
      <c r="K456">
        <v>438</v>
      </c>
      <c r="L456">
        <v>439</v>
      </c>
      <c r="M456">
        <v>92.2</v>
      </c>
      <c r="N456">
        <v>92.4</v>
      </c>
      <c r="O456">
        <v>894</v>
      </c>
    </row>
    <row r="457" spans="1:15">
      <c r="A457">
        <v>129</v>
      </c>
      <c r="B457" t="s">
        <v>1302</v>
      </c>
      <c r="C457" t="s">
        <v>1303</v>
      </c>
      <c r="D457" t="s">
        <v>7504</v>
      </c>
      <c r="E457" t="s">
        <v>7505</v>
      </c>
      <c r="F457" t="s">
        <v>7506</v>
      </c>
      <c r="G457" t="s">
        <v>5904</v>
      </c>
      <c r="H457">
        <v>235</v>
      </c>
      <c r="I457">
        <v>237</v>
      </c>
      <c r="J457">
        <v>237</v>
      </c>
      <c r="K457">
        <v>212</v>
      </c>
      <c r="L457">
        <v>221</v>
      </c>
      <c r="M457">
        <v>90.2</v>
      </c>
      <c r="N457">
        <v>94</v>
      </c>
      <c r="O457">
        <v>382.1</v>
      </c>
    </row>
    <row r="458" spans="1:15">
      <c r="A458">
        <v>128</v>
      </c>
      <c r="B458" t="s">
        <v>1304</v>
      </c>
      <c r="C458" t="s">
        <v>1305</v>
      </c>
      <c r="D458" t="s">
        <v>7507</v>
      </c>
      <c r="E458" t="s">
        <v>7508</v>
      </c>
      <c r="F458" t="s">
        <v>7509</v>
      </c>
      <c r="G458" t="s">
        <v>5904</v>
      </c>
      <c r="H458">
        <v>461</v>
      </c>
      <c r="I458">
        <v>463</v>
      </c>
      <c r="J458">
        <v>463</v>
      </c>
      <c r="K458">
        <v>386</v>
      </c>
      <c r="L458">
        <v>416</v>
      </c>
      <c r="M458">
        <v>83.7</v>
      </c>
      <c r="N458">
        <v>90.2</v>
      </c>
      <c r="O458">
        <v>805.1</v>
      </c>
    </row>
    <row r="459" spans="1:15">
      <c r="A459">
        <v>127</v>
      </c>
      <c r="B459" t="s">
        <v>1306</v>
      </c>
      <c r="C459" t="s">
        <v>1307</v>
      </c>
      <c r="D459" t="s">
        <v>7510</v>
      </c>
      <c r="E459" t="s">
        <v>7511</v>
      </c>
      <c r="F459" t="s">
        <v>7512</v>
      </c>
      <c r="G459" t="s">
        <v>5904</v>
      </c>
      <c r="H459">
        <v>337</v>
      </c>
      <c r="I459">
        <v>337</v>
      </c>
      <c r="J459">
        <v>337</v>
      </c>
      <c r="K459">
        <v>321</v>
      </c>
      <c r="L459">
        <v>331</v>
      </c>
      <c r="M459">
        <v>95.3</v>
      </c>
      <c r="N459">
        <v>98.2</v>
      </c>
      <c r="O459">
        <v>670.2</v>
      </c>
    </row>
    <row r="460" spans="1:15">
      <c r="A460">
        <v>126</v>
      </c>
      <c r="B460" t="s">
        <v>7513</v>
      </c>
      <c r="C460" t="s">
        <v>1310</v>
      </c>
      <c r="D460" t="s">
        <v>7514</v>
      </c>
      <c r="E460" t="s">
        <v>7515</v>
      </c>
      <c r="F460" t="s">
        <v>7516</v>
      </c>
      <c r="G460" t="s">
        <v>5904</v>
      </c>
      <c r="H460">
        <v>368</v>
      </c>
      <c r="I460">
        <v>373</v>
      </c>
      <c r="J460">
        <v>357</v>
      </c>
      <c r="K460">
        <v>330</v>
      </c>
      <c r="L460">
        <v>343</v>
      </c>
      <c r="M460">
        <v>89.7</v>
      </c>
      <c r="N460">
        <v>93.2</v>
      </c>
      <c r="O460">
        <v>610.5</v>
      </c>
    </row>
    <row r="461" spans="1:15">
      <c r="A461">
        <v>125</v>
      </c>
      <c r="B461" t="s">
        <v>1311</v>
      </c>
      <c r="C461" t="s">
        <v>1312</v>
      </c>
      <c r="D461" t="s">
        <v>7517</v>
      </c>
      <c r="E461" t="s">
        <v>7518</v>
      </c>
      <c r="F461" t="s">
        <v>7519</v>
      </c>
      <c r="G461" t="s">
        <v>5904</v>
      </c>
      <c r="H461">
        <v>271</v>
      </c>
      <c r="I461">
        <v>271</v>
      </c>
      <c r="J461">
        <v>271</v>
      </c>
      <c r="K461">
        <v>271</v>
      </c>
      <c r="L461">
        <v>271</v>
      </c>
      <c r="M461">
        <v>100</v>
      </c>
      <c r="N461">
        <v>100</v>
      </c>
      <c r="O461">
        <v>561.20000000000005</v>
      </c>
    </row>
    <row r="462" spans="1:15">
      <c r="A462">
        <v>124</v>
      </c>
      <c r="B462" t="s">
        <v>1313</v>
      </c>
      <c r="C462" t="s">
        <v>7520</v>
      </c>
      <c r="D462" t="s">
        <v>7521</v>
      </c>
      <c r="E462" t="s">
        <v>7522</v>
      </c>
      <c r="F462" t="s">
        <v>7523</v>
      </c>
      <c r="G462" t="s">
        <v>5904</v>
      </c>
      <c r="H462">
        <v>1754</v>
      </c>
      <c r="I462">
        <v>1729</v>
      </c>
      <c r="J462">
        <v>1769</v>
      </c>
      <c r="K462">
        <v>1308</v>
      </c>
      <c r="L462">
        <v>1406</v>
      </c>
      <c r="M462">
        <v>74.599999999999994</v>
      </c>
      <c r="N462">
        <v>80.2</v>
      </c>
      <c r="O462">
        <v>2214.5</v>
      </c>
    </row>
    <row r="463" spans="1:15">
      <c r="A463">
        <v>123</v>
      </c>
      <c r="B463" t="s">
        <v>7524</v>
      </c>
      <c r="C463" t="s">
        <v>1317</v>
      </c>
      <c r="D463" t="s">
        <v>7525</v>
      </c>
      <c r="E463" t="s">
        <v>7526</v>
      </c>
      <c r="F463" t="s">
        <v>7527</v>
      </c>
      <c r="G463" t="s">
        <v>5904</v>
      </c>
      <c r="H463">
        <v>188</v>
      </c>
      <c r="I463">
        <v>185</v>
      </c>
      <c r="J463">
        <v>175</v>
      </c>
      <c r="K463">
        <v>155</v>
      </c>
      <c r="L463">
        <v>161</v>
      </c>
      <c r="M463">
        <v>82.4</v>
      </c>
      <c r="N463">
        <v>85.6</v>
      </c>
      <c r="O463">
        <v>317</v>
      </c>
    </row>
    <row r="464" spans="1:15">
      <c r="A464">
        <v>122</v>
      </c>
      <c r="B464" t="s">
        <v>1318</v>
      </c>
      <c r="C464" t="s">
        <v>1319</v>
      </c>
      <c r="D464" t="s">
        <v>7528</v>
      </c>
      <c r="E464" t="s">
        <v>7529</v>
      </c>
      <c r="F464" t="s">
        <v>7530</v>
      </c>
      <c r="G464" t="s">
        <v>5904</v>
      </c>
      <c r="H464">
        <v>950</v>
      </c>
      <c r="I464">
        <v>950</v>
      </c>
      <c r="J464">
        <v>950</v>
      </c>
      <c r="K464">
        <v>893</v>
      </c>
      <c r="L464">
        <v>909</v>
      </c>
      <c r="M464">
        <v>94</v>
      </c>
      <c r="N464">
        <v>95.7</v>
      </c>
      <c r="O464">
        <v>1811.2</v>
      </c>
    </row>
    <row r="465" spans="1:15">
      <c r="A465">
        <v>121</v>
      </c>
      <c r="B465" t="s">
        <v>1320</v>
      </c>
      <c r="C465" t="s">
        <v>1321</v>
      </c>
      <c r="D465" t="s">
        <v>7531</v>
      </c>
      <c r="E465" t="s">
        <v>7532</v>
      </c>
      <c r="F465" t="s">
        <v>7533</v>
      </c>
      <c r="G465" t="s">
        <v>5904</v>
      </c>
      <c r="H465">
        <v>916</v>
      </c>
      <c r="I465">
        <v>889</v>
      </c>
      <c r="J465">
        <v>877</v>
      </c>
      <c r="K465">
        <v>786</v>
      </c>
      <c r="L465">
        <v>819</v>
      </c>
      <c r="M465">
        <v>85.8</v>
      </c>
      <c r="N465">
        <v>89.4</v>
      </c>
      <c r="O465">
        <v>1590.9</v>
      </c>
    </row>
    <row r="466" spans="1:15">
      <c r="A466">
        <v>120</v>
      </c>
      <c r="B466" t="s">
        <v>1322</v>
      </c>
      <c r="C466" t="s">
        <v>1324</v>
      </c>
      <c r="D466" t="s">
        <v>7534</v>
      </c>
      <c r="E466" t="s">
        <v>7535</v>
      </c>
      <c r="F466" t="s">
        <v>7536</v>
      </c>
      <c r="G466" t="s">
        <v>5904</v>
      </c>
      <c r="H466">
        <v>763</v>
      </c>
      <c r="I466">
        <v>763</v>
      </c>
      <c r="J466">
        <v>738</v>
      </c>
      <c r="K466">
        <v>702</v>
      </c>
      <c r="L466">
        <v>719</v>
      </c>
      <c r="M466">
        <v>92</v>
      </c>
      <c r="N466">
        <v>94.2</v>
      </c>
      <c r="O466">
        <v>1374</v>
      </c>
    </row>
    <row r="467" spans="1:15">
      <c r="A467">
        <v>119</v>
      </c>
      <c r="B467" t="s">
        <v>1325</v>
      </c>
      <c r="C467" t="s">
        <v>1326</v>
      </c>
      <c r="D467" t="s">
        <v>7537</v>
      </c>
      <c r="E467" t="s">
        <v>7538</v>
      </c>
      <c r="F467" t="s">
        <v>7539</v>
      </c>
      <c r="G467" t="s">
        <v>5904</v>
      </c>
      <c r="H467">
        <v>427</v>
      </c>
      <c r="I467">
        <v>427</v>
      </c>
      <c r="J467">
        <v>427</v>
      </c>
      <c r="K467">
        <v>378</v>
      </c>
      <c r="L467">
        <v>398</v>
      </c>
      <c r="M467">
        <v>88.5</v>
      </c>
      <c r="N467">
        <v>93.2</v>
      </c>
      <c r="O467">
        <v>785</v>
      </c>
    </row>
    <row r="468" spans="1:15">
      <c r="A468">
        <v>118</v>
      </c>
      <c r="B468" t="s">
        <v>1327</v>
      </c>
      <c r="C468" t="s">
        <v>1328</v>
      </c>
      <c r="D468" t="s">
        <v>7540</v>
      </c>
      <c r="E468" t="s">
        <v>7541</v>
      </c>
      <c r="F468" t="s">
        <v>7542</v>
      </c>
      <c r="G468" t="s">
        <v>5904</v>
      </c>
      <c r="H468">
        <v>437</v>
      </c>
      <c r="I468">
        <v>437</v>
      </c>
      <c r="J468">
        <v>437</v>
      </c>
      <c r="K468">
        <v>430</v>
      </c>
      <c r="L468">
        <v>435</v>
      </c>
      <c r="M468">
        <v>98.4</v>
      </c>
      <c r="N468">
        <v>99.5</v>
      </c>
      <c r="O468">
        <v>898.3</v>
      </c>
    </row>
    <row r="469" spans="1:15">
      <c r="A469">
        <v>117</v>
      </c>
      <c r="B469" t="s">
        <v>7543</v>
      </c>
      <c r="C469" t="s">
        <v>1331</v>
      </c>
      <c r="D469" t="s">
        <v>7544</v>
      </c>
      <c r="E469" t="s">
        <v>7545</v>
      </c>
      <c r="F469" t="s">
        <v>7546</v>
      </c>
      <c r="G469" t="s">
        <v>5904</v>
      </c>
      <c r="H469">
        <v>310</v>
      </c>
      <c r="I469">
        <v>310</v>
      </c>
      <c r="J469">
        <v>310</v>
      </c>
      <c r="K469">
        <v>290</v>
      </c>
      <c r="L469">
        <v>302</v>
      </c>
      <c r="M469">
        <v>93.5</v>
      </c>
      <c r="N469">
        <v>97.4</v>
      </c>
      <c r="O469">
        <v>570.9</v>
      </c>
    </row>
    <row r="470" spans="1:15">
      <c r="A470">
        <v>116</v>
      </c>
      <c r="B470" t="s">
        <v>7547</v>
      </c>
      <c r="C470" t="s">
        <v>1334</v>
      </c>
      <c r="D470" t="s">
        <v>7548</v>
      </c>
      <c r="E470" t="s">
        <v>7549</v>
      </c>
      <c r="F470" t="s">
        <v>7550</v>
      </c>
      <c r="G470" t="s">
        <v>5904</v>
      </c>
      <c r="H470">
        <v>757</v>
      </c>
      <c r="I470">
        <v>737</v>
      </c>
      <c r="J470">
        <v>737</v>
      </c>
      <c r="K470">
        <v>692</v>
      </c>
      <c r="L470">
        <v>712</v>
      </c>
      <c r="M470">
        <v>91.4</v>
      </c>
      <c r="N470">
        <v>94.1</v>
      </c>
      <c r="O470">
        <v>1421</v>
      </c>
    </row>
    <row r="471" spans="1:15">
      <c r="A471">
        <v>115</v>
      </c>
      <c r="B471" t="s">
        <v>1335</v>
      </c>
      <c r="C471" t="s">
        <v>1336</v>
      </c>
      <c r="D471" t="s">
        <v>7551</v>
      </c>
      <c r="E471" t="s">
        <v>7552</v>
      </c>
      <c r="F471" t="s">
        <v>7553</v>
      </c>
      <c r="G471" t="s">
        <v>5904</v>
      </c>
      <c r="H471">
        <v>243</v>
      </c>
      <c r="I471">
        <v>243</v>
      </c>
      <c r="J471">
        <v>243</v>
      </c>
      <c r="K471">
        <v>234</v>
      </c>
      <c r="L471">
        <v>238</v>
      </c>
      <c r="M471">
        <v>96.3</v>
      </c>
      <c r="N471">
        <v>97.9</v>
      </c>
      <c r="O471">
        <v>422.6</v>
      </c>
    </row>
    <row r="472" spans="1:15">
      <c r="A472">
        <v>114</v>
      </c>
      <c r="B472" t="s">
        <v>1337</v>
      </c>
      <c r="C472" t="s">
        <v>1338</v>
      </c>
      <c r="D472" t="s">
        <v>7554</v>
      </c>
      <c r="E472" t="s">
        <v>7555</v>
      </c>
      <c r="F472" t="s">
        <v>7556</v>
      </c>
      <c r="G472" t="s">
        <v>5904</v>
      </c>
      <c r="H472">
        <v>182</v>
      </c>
      <c r="I472">
        <v>183</v>
      </c>
      <c r="J472">
        <v>183</v>
      </c>
      <c r="K472">
        <v>181</v>
      </c>
      <c r="L472">
        <v>181</v>
      </c>
      <c r="M472">
        <v>99.5</v>
      </c>
      <c r="N472">
        <v>99.5</v>
      </c>
      <c r="O472">
        <v>359.8</v>
      </c>
    </row>
    <row r="473" spans="1:15">
      <c r="A473">
        <v>113</v>
      </c>
      <c r="B473" t="s">
        <v>1339</v>
      </c>
      <c r="C473" t="s">
        <v>1340</v>
      </c>
      <c r="D473" t="s">
        <v>7557</v>
      </c>
      <c r="E473" t="s">
        <v>7558</v>
      </c>
      <c r="F473" t="s">
        <v>7559</v>
      </c>
      <c r="G473" t="s">
        <v>5904</v>
      </c>
      <c r="H473">
        <v>64</v>
      </c>
      <c r="I473">
        <v>66</v>
      </c>
      <c r="J473">
        <v>57</v>
      </c>
      <c r="K473">
        <v>45</v>
      </c>
      <c r="L473">
        <v>53</v>
      </c>
      <c r="M473">
        <v>70.3</v>
      </c>
      <c r="N473">
        <v>82.8</v>
      </c>
      <c r="O473">
        <v>102.4</v>
      </c>
    </row>
    <row r="474" spans="1:15">
      <c r="A474">
        <v>112</v>
      </c>
      <c r="B474" t="s">
        <v>1341</v>
      </c>
      <c r="C474" t="s">
        <v>1342</v>
      </c>
      <c r="D474" t="s">
        <v>7560</v>
      </c>
      <c r="E474" t="s">
        <v>7561</v>
      </c>
      <c r="F474" t="s">
        <v>7562</v>
      </c>
      <c r="G474" t="s">
        <v>5904</v>
      </c>
      <c r="H474">
        <v>476</v>
      </c>
      <c r="I474">
        <v>477</v>
      </c>
      <c r="J474">
        <v>477</v>
      </c>
      <c r="K474">
        <v>380</v>
      </c>
      <c r="L474">
        <v>418</v>
      </c>
      <c r="M474">
        <v>79.8</v>
      </c>
      <c r="N474">
        <v>87.8</v>
      </c>
      <c r="O474">
        <v>760.4</v>
      </c>
    </row>
    <row r="475" spans="1:15">
      <c r="A475">
        <v>111</v>
      </c>
      <c r="B475" t="s">
        <v>1343</v>
      </c>
      <c r="C475" t="s">
        <v>1345</v>
      </c>
      <c r="D475" t="s">
        <v>7359</v>
      </c>
      <c r="E475" t="s">
        <v>7360</v>
      </c>
      <c r="F475" t="s">
        <v>7563</v>
      </c>
      <c r="G475" t="s">
        <v>5896</v>
      </c>
      <c r="H475">
        <v>237</v>
      </c>
      <c r="I475">
        <v>646</v>
      </c>
      <c r="J475">
        <v>237</v>
      </c>
      <c r="K475">
        <v>237</v>
      </c>
      <c r="L475">
        <v>237</v>
      </c>
      <c r="M475">
        <v>100</v>
      </c>
      <c r="N475">
        <v>100</v>
      </c>
      <c r="O475">
        <v>489.2</v>
      </c>
    </row>
    <row r="476" spans="1:15">
      <c r="A476">
        <v>110</v>
      </c>
      <c r="B476" t="s">
        <v>1346</v>
      </c>
      <c r="C476" t="s">
        <v>1347</v>
      </c>
      <c r="D476" t="s">
        <v>7564</v>
      </c>
      <c r="E476" t="s">
        <v>7565</v>
      </c>
      <c r="F476" t="s">
        <v>7566</v>
      </c>
      <c r="G476" t="s">
        <v>5904</v>
      </c>
      <c r="H476">
        <v>330</v>
      </c>
      <c r="I476">
        <v>330</v>
      </c>
      <c r="J476">
        <v>330</v>
      </c>
      <c r="K476">
        <v>310</v>
      </c>
      <c r="L476">
        <v>322</v>
      </c>
      <c r="M476">
        <v>93.9</v>
      </c>
      <c r="N476">
        <v>97.6</v>
      </c>
      <c r="O476">
        <v>655.20000000000005</v>
      </c>
    </row>
    <row r="477" spans="1:15">
      <c r="A477">
        <v>109</v>
      </c>
      <c r="B477" t="s">
        <v>1348</v>
      </c>
      <c r="C477" t="s">
        <v>1350</v>
      </c>
      <c r="D477" t="s">
        <v>7567</v>
      </c>
      <c r="E477" t="s">
        <v>7568</v>
      </c>
      <c r="F477" t="s">
        <v>7569</v>
      </c>
      <c r="G477" t="s">
        <v>6054</v>
      </c>
      <c r="H477">
        <v>3320</v>
      </c>
      <c r="I477">
        <v>5762</v>
      </c>
      <c r="J477">
        <v>1024</v>
      </c>
      <c r="K477">
        <v>795</v>
      </c>
      <c r="L477">
        <v>890</v>
      </c>
      <c r="M477">
        <v>23.9</v>
      </c>
      <c r="N477">
        <v>26.8</v>
      </c>
      <c r="O477">
        <v>1696</v>
      </c>
    </row>
    <row r="478" spans="1:15">
      <c r="A478">
        <v>108</v>
      </c>
      <c r="B478" t="s">
        <v>1351</v>
      </c>
      <c r="C478" t="s">
        <v>1352</v>
      </c>
      <c r="D478" t="s">
        <v>7570</v>
      </c>
      <c r="E478" t="s">
        <v>7571</v>
      </c>
      <c r="F478" t="s">
        <v>7572</v>
      </c>
      <c r="G478" t="s">
        <v>5904</v>
      </c>
      <c r="H478">
        <v>210</v>
      </c>
      <c r="I478">
        <v>210</v>
      </c>
      <c r="J478">
        <v>210</v>
      </c>
      <c r="K478">
        <v>176</v>
      </c>
      <c r="L478">
        <v>194</v>
      </c>
      <c r="M478">
        <v>83.8</v>
      </c>
      <c r="N478">
        <v>92.4</v>
      </c>
      <c r="O478">
        <v>372.9</v>
      </c>
    </row>
    <row r="479" spans="1:15">
      <c r="A479">
        <v>107</v>
      </c>
      <c r="B479" t="s">
        <v>1353</v>
      </c>
      <c r="C479" t="s">
        <v>1354</v>
      </c>
      <c r="D479" t="s">
        <v>7573</v>
      </c>
      <c r="E479" t="s">
        <v>7574</v>
      </c>
      <c r="F479" t="s">
        <v>7575</v>
      </c>
      <c r="G479" t="s">
        <v>5904</v>
      </c>
      <c r="H479">
        <v>391</v>
      </c>
      <c r="I479">
        <v>390</v>
      </c>
      <c r="J479">
        <v>391</v>
      </c>
      <c r="K479">
        <v>382</v>
      </c>
      <c r="L479">
        <v>386</v>
      </c>
      <c r="M479">
        <v>97.7</v>
      </c>
      <c r="N479">
        <v>98.7</v>
      </c>
      <c r="O479">
        <v>783.5</v>
      </c>
    </row>
    <row r="480" spans="1:15">
      <c r="A480">
        <v>106</v>
      </c>
      <c r="B480" t="s">
        <v>1355</v>
      </c>
      <c r="C480" t="s">
        <v>1356</v>
      </c>
      <c r="D480" t="s">
        <v>7576</v>
      </c>
      <c r="E480" t="s">
        <v>7577</v>
      </c>
      <c r="F480" t="s">
        <v>7578</v>
      </c>
      <c r="G480" t="s">
        <v>5904</v>
      </c>
      <c r="H480">
        <v>115</v>
      </c>
      <c r="I480">
        <v>115</v>
      </c>
      <c r="J480">
        <v>115</v>
      </c>
      <c r="K480">
        <v>113</v>
      </c>
      <c r="L480">
        <v>115</v>
      </c>
      <c r="M480">
        <v>98.3</v>
      </c>
      <c r="N480">
        <v>100</v>
      </c>
      <c r="O480">
        <v>217.6</v>
      </c>
    </row>
    <row r="481" spans="1:15">
      <c r="A481">
        <v>105</v>
      </c>
      <c r="B481" t="s">
        <v>1357</v>
      </c>
      <c r="C481" t="s">
        <v>1358</v>
      </c>
      <c r="D481" t="s">
        <v>7579</v>
      </c>
      <c r="E481" t="s">
        <v>7580</v>
      </c>
      <c r="F481" t="s">
        <v>7581</v>
      </c>
      <c r="G481" t="s">
        <v>5904</v>
      </c>
      <c r="H481">
        <v>1025</v>
      </c>
      <c r="I481">
        <v>999</v>
      </c>
      <c r="J481">
        <v>1028</v>
      </c>
      <c r="K481">
        <v>911</v>
      </c>
      <c r="L481">
        <v>939</v>
      </c>
      <c r="M481">
        <v>88.9</v>
      </c>
      <c r="N481">
        <v>91.6</v>
      </c>
      <c r="O481">
        <v>1849.3</v>
      </c>
    </row>
    <row r="482" spans="1:15">
      <c r="A482">
        <v>104</v>
      </c>
      <c r="B482" t="s">
        <v>1359</v>
      </c>
      <c r="C482" t="s">
        <v>7582</v>
      </c>
      <c r="D482" t="s">
        <v>7583</v>
      </c>
      <c r="E482" t="s">
        <v>7584</v>
      </c>
      <c r="F482" t="s">
        <v>7585</v>
      </c>
      <c r="G482" t="s">
        <v>5904</v>
      </c>
      <c r="H482">
        <v>330</v>
      </c>
      <c r="I482">
        <v>329</v>
      </c>
      <c r="J482">
        <v>329</v>
      </c>
      <c r="K482">
        <v>300</v>
      </c>
      <c r="L482">
        <v>316</v>
      </c>
      <c r="M482">
        <v>90.9</v>
      </c>
      <c r="N482">
        <v>95.8</v>
      </c>
      <c r="O482">
        <v>617.79999999999995</v>
      </c>
    </row>
    <row r="483" spans="1:15">
      <c r="A483">
        <v>103</v>
      </c>
      <c r="B483" t="s">
        <v>1361</v>
      </c>
      <c r="C483" t="s">
        <v>1363</v>
      </c>
      <c r="D483" t="s">
        <v>7586</v>
      </c>
      <c r="E483" t="s">
        <v>7587</v>
      </c>
      <c r="F483" t="s">
        <v>7588</v>
      </c>
      <c r="G483" t="s">
        <v>5904</v>
      </c>
      <c r="H483">
        <v>669</v>
      </c>
      <c r="I483">
        <v>669</v>
      </c>
      <c r="J483">
        <v>669</v>
      </c>
      <c r="K483">
        <v>666</v>
      </c>
      <c r="L483">
        <v>667</v>
      </c>
      <c r="M483">
        <v>99.6</v>
      </c>
      <c r="N483">
        <v>99.7</v>
      </c>
      <c r="O483">
        <v>1303.9000000000001</v>
      </c>
    </row>
    <row r="484" spans="1:15">
      <c r="A484">
        <v>102</v>
      </c>
      <c r="B484" t="s">
        <v>7589</v>
      </c>
      <c r="C484" t="s">
        <v>1366</v>
      </c>
      <c r="D484" t="s">
        <v>7590</v>
      </c>
      <c r="E484" t="s">
        <v>7591</v>
      </c>
      <c r="F484" t="s">
        <v>7592</v>
      </c>
      <c r="G484" t="s">
        <v>5904</v>
      </c>
      <c r="H484">
        <v>481</v>
      </c>
      <c r="I484">
        <v>364</v>
      </c>
      <c r="J484">
        <v>365</v>
      </c>
      <c r="K484">
        <v>362</v>
      </c>
      <c r="L484">
        <v>362</v>
      </c>
      <c r="M484">
        <v>75.3</v>
      </c>
      <c r="N484">
        <v>75.3</v>
      </c>
      <c r="O484">
        <v>746.9</v>
      </c>
    </row>
    <row r="485" spans="1:15">
      <c r="A485">
        <v>101</v>
      </c>
      <c r="B485" t="s">
        <v>7593</v>
      </c>
      <c r="C485" t="s">
        <v>1369</v>
      </c>
      <c r="D485" t="s">
        <v>7594</v>
      </c>
      <c r="E485" t="s">
        <v>7595</v>
      </c>
      <c r="F485" t="s">
        <v>7596</v>
      </c>
      <c r="G485" t="s">
        <v>5904</v>
      </c>
      <c r="H485">
        <v>944</v>
      </c>
      <c r="I485">
        <v>939</v>
      </c>
      <c r="J485">
        <v>917</v>
      </c>
      <c r="K485">
        <v>887</v>
      </c>
      <c r="L485">
        <v>901</v>
      </c>
      <c r="M485">
        <v>94</v>
      </c>
      <c r="N485">
        <v>95.4</v>
      </c>
      <c r="O485">
        <v>1822.8</v>
      </c>
    </row>
    <row r="486" spans="1:15">
      <c r="A486">
        <v>100</v>
      </c>
      <c r="B486" t="s">
        <v>1370</v>
      </c>
      <c r="C486" t="s">
        <v>1371</v>
      </c>
      <c r="D486" t="s">
        <v>7597</v>
      </c>
      <c r="E486" t="s">
        <v>7598</v>
      </c>
      <c r="F486" t="s">
        <v>7599</v>
      </c>
      <c r="G486" t="s">
        <v>5904</v>
      </c>
      <c r="H486">
        <v>325</v>
      </c>
      <c r="I486">
        <v>322</v>
      </c>
      <c r="J486">
        <v>327</v>
      </c>
      <c r="K486">
        <v>236</v>
      </c>
      <c r="L486">
        <v>265</v>
      </c>
      <c r="M486">
        <v>72.599999999999994</v>
      </c>
      <c r="N486">
        <v>81.5</v>
      </c>
      <c r="O486">
        <v>438.7</v>
      </c>
    </row>
    <row r="487" spans="1:15">
      <c r="A487">
        <v>99</v>
      </c>
      <c r="B487" t="s">
        <v>7600</v>
      </c>
      <c r="C487" t="s">
        <v>1374</v>
      </c>
      <c r="D487" t="s">
        <v>7601</v>
      </c>
      <c r="E487" t="s">
        <v>7602</v>
      </c>
      <c r="F487" t="s">
        <v>7603</v>
      </c>
      <c r="G487" t="s">
        <v>5904</v>
      </c>
      <c r="H487">
        <v>378</v>
      </c>
      <c r="I487">
        <v>273</v>
      </c>
      <c r="J487">
        <v>246</v>
      </c>
      <c r="K487">
        <v>221</v>
      </c>
      <c r="L487">
        <v>231</v>
      </c>
      <c r="M487">
        <v>58.5</v>
      </c>
      <c r="N487">
        <v>61.1</v>
      </c>
      <c r="O487">
        <v>463.8</v>
      </c>
    </row>
    <row r="488" spans="1:15">
      <c r="A488">
        <v>98</v>
      </c>
      <c r="B488" t="s">
        <v>1375</v>
      </c>
      <c r="C488" t="s">
        <v>1376</v>
      </c>
      <c r="D488" t="s">
        <v>7604</v>
      </c>
      <c r="E488" t="s">
        <v>7605</v>
      </c>
      <c r="F488" t="s">
        <v>7606</v>
      </c>
      <c r="G488" t="s">
        <v>5904</v>
      </c>
      <c r="H488">
        <v>471</v>
      </c>
      <c r="I488">
        <v>443</v>
      </c>
      <c r="J488">
        <v>447</v>
      </c>
      <c r="K488">
        <v>395</v>
      </c>
      <c r="L488">
        <v>410</v>
      </c>
      <c r="M488">
        <v>83.9</v>
      </c>
      <c r="N488">
        <v>87</v>
      </c>
      <c r="O488">
        <v>745.3</v>
      </c>
    </row>
    <row r="489" spans="1:15">
      <c r="A489">
        <v>97</v>
      </c>
      <c r="B489" t="s">
        <v>7607</v>
      </c>
      <c r="C489" t="s">
        <v>1379</v>
      </c>
      <c r="D489" t="s">
        <v>7608</v>
      </c>
      <c r="E489" t="s">
        <v>7609</v>
      </c>
      <c r="F489" t="s">
        <v>7610</v>
      </c>
      <c r="G489" t="s">
        <v>5904</v>
      </c>
      <c r="H489">
        <v>658</v>
      </c>
      <c r="I489">
        <v>646</v>
      </c>
      <c r="J489">
        <v>637</v>
      </c>
      <c r="K489">
        <v>510</v>
      </c>
      <c r="L489">
        <v>552</v>
      </c>
      <c r="M489">
        <v>77.5</v>
      </c>
      <c r="N489">
        <v>83.9</v>
      </c>
      <c r="O489">
        <v>1020.8</v>
      </c>
    </row>
    <row r="490" spans="1:15">
      <c r="A490">
        <v>96</v>
      </c>
      <c r="B490" t="s">
        <v>1380</v>
      </c>
      <c r="C490" t="s">
        <v>1381</v>
      </c>
      <c r="D490" t="s">
        <v>7611</v>
      </c>
      <c r="E490" t="s">
        <v>7612</v>
      </c>
      <c r="F490" t="s">
        <v>7613</v>
      </c>
      <c r="G490" t="s">
        <v>5904</v>
      </c>
      <c r="H490">
        <v>319</v>
      </c>
      <c r="I490">
        <v>214</v>
      </c>
      <c r="J490">
        <v>178</v>
      </c>
      <c r="K490">
        <v>155</v>
      </c>
      <c r="L490">
        <v>164</v>
      </c>
      <c r="M490">
        <v>48.6</v>
      </c>
      <c r="N490">
        <v>51.4</v>
      </c>
      <c r="O490">
        <v>318.5</v>
      </c>
    </row>
    <row r="491" spans="1:15">
      <c r="A491">
        <v>95</v>
      </c>
      <c r="B491" t="s">
        <v>1382</v>
      </c>
      <c r="C491" t="s">
        <v>1383</v>
      </c>
      <c r="D491" t="s">
        <v>7614</v>
      </c>
      <c r="E491" t="s">
        <v>7615</v>
      </c>
      <c r="F491" t="s">
        <v>7616</v>
      </c>
      <c r="G491" t="s">
        <v>5904</v>
      </c>
      <c r="H491">
        <v>100</v>
      </c>
      <c r="I491">
        <v>99</v>
      </c>
      <c r="J491">
        <v>96</v>
      </c>
      <c r="K491">
        <v>74</v>
      </c>
      <c r="L491">
        <v>80</v>
      </c>
      <c r="M491">
        <v>74</v>
      </c>
      <c r="N491">
        <v>80</v>
      </c>
      <c r="O491">
        <v>116.7</v>
      </c>
    </row>
    <row r="492" spans="1:15">
      <c r="A492">
        <v>94</v>
      </c>
      <c r="B492" t="s">
        <v>1384</v>
      </c>
      <c r="C492" t="s">
        <v>1385</v>
      </c>
      <c r="D492" t="s">
        <v>7617</v>
      </c>
      <c r="E492" t="s">
        <v>7618</v>
      </c>
      <c r="F492" t="s">
        <v>7619</v>
      </c>
      <c r="G492" t="s">
        <v>5904</v>
      </c>
      <c r="H492">
        <v>386</v>
      </c>
      <c r="I492">
        <v>388</v>
      </c>
      <c r="J492">
        <v>388</v>
      </c>
      <c r="K492">
        <v>314</v>
      </c>
      <c r="L492">
        <v>357</v>
      </c>
      <c r="M492">
        <v>81.3</v>
      </c>
      <c r="N492">
        <v>92.5</v>
      </c>
      <c r="O492">
        <v>646.70000000000005</v>
      </c>
    </row>
    <row r="493" spans="1:15">
      <c r="A493">
        <v>93</v>
      </c>
      <c r="B493" t="s">
        <v>7620</v>
      </c>
      <c r="C493" t="s">
        <v>1388</v>
      </c>
      <c r="D493" t="s">
        <v>7621</v>
      </c>
      <c r="E493" t="s">
        <v>7622</v>
      </c>
      <c r="F493" t="s">
        <v>7623</v>
      </c>
      <c r="G493" t="s">
        <v>5904</v>
      </c>
      <c r="H493">
        <v>1298</v>
      </c>
      <c r="I493">
        <v>1303</v>
      </c>
      <c r="J493">
        <v>1303</v>
      </c>
      <c r="K493">
        <v>1248</v>
      </c>
      <c r="L493">
        <v>1265</v>
      </c>
      <c r="M493">
        <v>96.1</v>
      </c>
      <c r="N493">
        <v>97.5</v>
      </c>
      <c r="O493">
        <v>2372.4</v>
      </c>
    </row>
    <row r="494" spans="1:15">
      <c r="A494">
        <v>92</v>
      </c>
      <c r="B494" t="s">
        <v>1389</v>
      </c>
      <c r="C494" t="s">
        <v>1390</v>
      </c>
      <c r="D494" t="s">
        <v>7624</v>
      </c>
      <c r="E494" t="s">
        <v>7625</v>
      </c>
      <c r="F494" t="s">
        <v>7626</v>
      </c>
      <c r="G494" t="s">
        <v>5904</v>
      </c>
      <c r="H494">
        <v>775</v>
      </c>
      <c r="I494">
        <v>757</v>
      </c>
      <c r="J494">
        <v>767</v>
      </c>
      <c r="K494">
        <v>604</v>
      </c>
      <c r="L494">
        <v>641</v>
      </c>
      <c r="M494">
        <v>77.900000000000006</v>
      </c>
      <c r="N494">
        <v>82.7</v>
      </c>
      <c r="O494">
        <v>1136.7</v>
      </c>
    </row>
    <row r="495" spans="1:15">
      <c r="A495">
        <v>91</v>
      </c>
      <c r="B495" t="s">
        <v>1391</v>
      </c>
      <c r="C495" t="s">
        <v>1392</v>
      </c>
      <c r="D495" t="s">
        <v>7627</v>
      </c>
      <c r="E495" t="s">
        <v>7628</v>
      </c>
      <c r="F495" t="s">
        <v>7629</v>
      </c>
      <c r="G495" t="s">
        <v>5904</v>
      </c>
      <c r="H495">
        <v>807</v>
      </c>
      <c r="I495">
        <v>807</v>
      </c>
      <c r="J495">
        <v>807</v>
      </c>
      <c r="K495">
        <v>789</v>
      </c>
      <c r="L495">
        <v>799</v>
      </c>
      <c r="M495">
        <v>97.8</v>
      </c>
      <c r="N495">
        <v>99</v>
      </c>
      <c r="O495">
        <v>1656</v>
      </c>
    </row>
    <row r="496" spans="1:15">
      <c r="A496">
        <v>90</v>
      </c>
      <c r="B496" t="s">
        <v>7630</v>
      </c>
      <c r="C496" t="s">
        <v>7631</v>
      </c>
      <c r="D496" t="s">
        <v>7632</v>
      </c>
      <c r="E496" t="s">
        <v>7633</v>
      </c>
      <c r="F496" t="s">
        <v>7634</v>
      </c>
      <c r="G496" t="s">
        <v>5904</v>
      </c>
      <c r="H496">
        <v>315</v>
      </c>
      <c r="I496">
        <v>315</v>
      </c>
      <c r="J496">
        <v>315</v>
      </c>
      <c r="K496">
        <v>287</v>
      </c>
      <c r="L496">
        <v>297</v>
      </c>
      <c r="M496">
        <v>91.1</v>
      </c>
      <c r="N496">
        <v>94.3</v>
      </c>
      <c r="O496">
        <v>597.79999999999995</v>
      </c>
    </row>
    <row r="497" spans="1:15">
      <c r="A497">
        <v>89</v>
      </c>
      <c r="B497" t="s">
        <v>7635</v>
      </c>
      <c r="C497" t="s">
        <v>7636</v>
      </c>
      <c r="D497" t="s">
        <v>7637</v>
      </c>
      <c r="E497" t="s">
        <v>7638</v>
      </c>
      <c r="F497" t="s">
        <v>7639</v>
      </c>
      <c r="G497" t="s">
        <v>5904</v>
      </c>
      <c r="H497">
        <v>539</v>
      </c>
      <c r="I497">
        <v>550</v>
      </c>
      <c r="J497">
        <v>549</v>
      </c>
      <c r="K497">
        <v>492</v>
      </c>
      <c r="L497">
        <v>518</v>
      </c>
      <c r="M497">
        <v>91.3</v>
      </c>
      <c r="N497">
        <v>96.1</v>
      </c>
      <c r="O497">
        <v>1017.7</v>
      </c>
    </row>
    <row r="498" spans="1:15">
      <c r="A498">
        <v>88</v>
      </c>
      <c r="B498" t="s">
        <v>7640</v>
      </c>
      <c r="C498" t="s">
        <v>1401</v>
      </c>
      <c r="D498" t="s">
        <v>7641</v>
      </c>
      <c r="E498" t="s">
        <v>7642</v>
      </c>
      <c r="F498" t="s">
        <v>7643</v>
      </c>
      <c r="G498" t="s">
        <v>5904</v>
      </c>
      <c r="H498">
        <v>434</v>
      </c>
      <c r="I498">
        <v>433</v>
      </c>
      <c r="J498">
        <v>434</v>
      </c>
      <c r="K498">
        <v>281</v>
      </c>
      <c r="L498">
        <v>334</v>
      </c>
      <c r="M498">
        <v>64.7</v>
      </c>
      <c r="N498">
        <v>77</v>
      </c>
      <c r="O498">
        <v>563.9</v>
      </c>
    </row>
    <row r="499" spans="1:15">
      <c r="A499">
        <v>87</v>
      </c>
      <c r="B499" t="s">
        <v>1402</v>
      </c>
      <c r="C499" t="s">
        <v>1403</v>
      </c>
      <c r="D499" t="s">
        <v>7644</v>
      </c>
      <c r="E499" t="s">
        <v>7645</v>
      </c>
      <c r="F499" t="s">
        <v>7646</v>
      </c>
      <c r="G499" t="s">
        <v>5904</v>
      </c>
      <c r="H499">
        <v>382</v>
      </c>
      <c r="I499">
        <v>396</v>
      </c>
      <c r="J499">
        <v>373</v>
      </c>
      <c r="K499">
        <v>301</v>
      </c>
      <c r="L499">
        <v>337</v>
      </c>
      <c r="M499">
        <v>78.8</v>
      </c>
      <c r="N499">
        <v>88.2</v>
      </c>
      <c r="O499">
        <v>609.79999999999995</v>
      </c>
    </row>
    <row r="500" spans="1:15">
      <c r="A500">
        <v>86</v>
      </c>
      <c r="B500" t="s">
        <v>1404</v>
      </c>
      <c r="C500" t="s">
        <v>1405</v>
      </c>
      <c r="D500" t="s">
        <v>7647</v>
      </c>
      <c r="E500" t="s">
        <v>7648</v>
      </c>
      <c r="F500" t="s">
        <v>7649</v>
      </c>
      <c r="G500" t="s">
        <v>5904</v>
      </c>
      <c r="H500">
        <v>420</v>
      </c>
      <c r="I500">
        <v>420</v>
      </c>
      <c r="J500">
        <v>420</v>
      </c>
      <c r="K500">
        <v>409</v>
      </c>
      <c r="L500">
        <v>412</v>
      </c>
      <c r="M500">
        <v>97.4</v>
      </c>
      <c r="N500">
        <v>98.1</v>
      </c>
      <c r="O500">
        <v>810.1</v>
      </c>
    </row>
    <row r="501" spans="1:15">
      <c r="A501">
        <v>85</v>
      </c>
      <c r="B501" t="s">
        <v>7650</v>
      </c>
      <c r="C501" t="s">
        <v>1408</v>
      </c>
      <c r="D501" t="s">
        <v>7651</v>
      </c>
      <c r="E501" t="s">
        <v>7652</v>
      </c>
      <c r="F501" t="s">
        <v>7653</v>
      </c>
      <c r="G501" t="s">
        <v>5904</v>
      </c>
      <c r="H501">
        <v>1027</v>
      </c>
      <c r="I501">
        <v>1023</v>
      </c>
      <c r="J501">
        <v>1027</v>
      </c>
      <c r="K501">
        <v>922</v>
      </c>
      <c r="L501">
        <v>953</v>
      </c>
      <c r="M501">
        <v>89.8</v>
      </c>
      <c r="N501">
        <v>92.8</v>
      </c>
      <c r="O501">
        <v>1779.6</v>
      </c>
    </row>
    <row r="502" spans="1:15">
      <c r="A502">
        <v>84</v>
      </c>
      <c r="B502" t="s">
        <v>1409</v>
      </c>
      <c r="C502" t="s">
        <v>1411</v>
      </c>
      <c r="D502" t="s">
        <v>7654</v>
      </c>
      <c r="E502" t="s">
        <v>7655</v>
      </c>
      <c r="F502" t="s">
        <v>7656</v>
      </c>
      <c r="G502" t="s">
        <v>5904</v>
      </c>
      <c r="H502">
        <v>473</v>
      </c>
      <c r="I502">
        <v>475</v>
      </c>
      <c r="J502">
        <v>475</v>
      </c>
      <c r="K502">
        <v>419</v>
      </c>
      <c r="L502">
        <v>442</v>
      </c>
      <c r="M502">
        <v>88.6</v>
      </c>
      <c r="N502">
        <v>93.4</v>
      </c>
      <c r="O502">
        <v>869.4</v>
      </c>
    </row>
    <row r="503" spans="1:15">
      <c r="A503">
        <v>83</v>
      </c>
      <c r="B503" t="s">
        <v>7657</v>
      </c>
      <c r="C503" t="s">
        <v>1414</v>
      </c>
      <c r="D503" t="s">
        <v>7658</v>
      </c>
      <c r="E503" t="s">
        <v>7659</v>
      </c>
      <c r="F503" t="s">
        <v>7660</v>
      </c>
      <c r="G503" t="s">
        <v>5904</v>
      </c>
      <c r="H503">
        <v>238</v>
      </c>
      <c r="I503">
        <v>180</v>
      </c>
      <c r="J503">
        <v>182</v>
      </c>
      <c r="K503">
        <v>166</v>
      </c>
      <c r="L503">
        <v>170</v>
      </c>
      <c r="M503">
        <v>69.7</v>
      </c>
      <c r="N503">
        <v>71.400000000000006</v>
      </c>
      <c r="O503">
        <v>335.9</v>
      </c>
    </row>
    <row r="504" spans="1:15">
      <c r="A504">
        <v>82</v>
      </c>
      <c r="B504" t="s">
        <v>7661</v>
      </c>
      <c r="C504" t="s">
        <v>5713</v>
      </c>
      <c r="D504" t="s">
        <v>7662</v>
      </c>
      <c r="E504" t="s">
        <v>7663</v>
      </c>
      <c r="F504" t="s">
        <v>7664</v>
      </c>
      <c r="G504" t="s">
        <v>5904</v>
      </c>
      <c r="H504">
        <v>332</v>
      </c>
      <c r="I504">
        <v>332</v>
      </c>
      <c r="J504">
        <v>332</v>
      </c>
      <c r="K504">
        <v>319</v>
      </c>
      <c r="L504">
        <v>327</v>
      </c>
      <c r="M504">
        <v>96.1</v>
      </c>
      <c r="N504">
        <v>98.5</v>
      </c>
      <c r="O504">
        <v>660.2</v>
      </c>
    </row>
    <row r="505" spans="1:15">
      <c r="A505">
        <v>81</v>
      </c>
      <c r="B505" t="s">
        <v>7665</v>
      </c>
      <c r="C505" t="s">
        <v>1417</v>
      </c>
      <c r="D505" t="s">
        <v>7666</v>
      </c>
      <c r="E505" t="s">
        <v>7667</v>
      </c>
      <c r="F505" t="s">
        <v>7668</v>
      </c>
      <c r="G505" t="s">
        <v>5904</v>
      </c>
      <c r="H505">
        <v>1473</v>
      </c>
      <c r="I505">
        <v>1523</v>
      </c>
      <c r="J505">
        <v>1566</v>
      </c>
      <c r="K505">
        <v>1111</v>
      </c>
      <c r="L505">
        <v>1188</v>
      </c>
      <c r="M505">
        <v>75.400000000000006</v>
      </c>
      <c r="N505">
        <v>80.7</v>
      </c>
      <c r="O505">
        <v>1842</v>
      </c>
    </row>
    <row r="506" spans="1:15">
      <c r="A506">
        <v>80</v>
      </c>
      <c r="B506" t="s">
        <v>1418</v>
      </c>
      <c r="C506" t="s">
        <v>1419</v>
      </c>
      <c r="D506" t="s">
        <v>7669</v>
      </c>
      <c r="E506" t="s">
        <v>7670</v>
      </c>
      <c r="F506" t="s">
        <v>7671</v>
      </c>
      <c r="G506" t="s">
        <v>5904</v>
      </c>
      <c r="H506">
        <v>261</v>
      </c>
      <c r="I506">
        <v>261</v>
      </c>
      <c r="J506">
        <v>261</v>
      </c>
      <c r="K506">
        <v>231</v>
      </c>
      <c r="L506">
        <v>241</v>
      </c>
      <c r="M506">
        <v>88.5</v>
      </c>
      <c r="N506">
        <v>92.3</v>
      </c>
      <c r="O506">
        <v>404.8</v>
      </c>
    </row>
    <row r="507" spans="1:15">
      <c r="A507">
        <v>79</v>
      </c>
      <c r="B507" t="s">
        <v>1420</v>
      </c>
      <c r="C507" t="s">
        <v>1421</v>
      </c>
      <c r="D507" t="s">
        <v>7672</v>
      </c>
      <c r="E507" t="s">
        <v>7673</v>
      </c>
      <c r="F507" t="s">
        <v>7674</v>
      </c>
      <c r="G507" t="s">
        <v>5904</v>
      </c>
      <c r="H507">
        <v>410</v>
      </c>
      <c r="I507">
        <v>412</v>
      </c>
      <c r="J507">
        <v>412</v>
      </c>
      <c r="K507">
        <v>361</v>
      </c>
      <c r="L507">
        <v>384</v>
      </c>
      <c r="M507">
        <v>88</v>
      </c>
      <c r="N507">
        <v>93.7</v>
      </c>
      <c r="O507">
        <v>725.7</v>
      </c>
    </row>
    <row r="508" spans="1:15">
      <c r="A508">
        <v>78</v>
      </c>
      <c r="B508" t="s">
        <v>1422</v>
      </c>
      <c r="C508" t="s">
        <v>1423</v>
      </c>
      <c r="D508" t="s">
        <v>7675</v>
      </c>
      <c r="E508" t="s">
        <v>7676</v>
      </c>
      <c r="F508" t="s">
        <v>7677</v>
      </c>
      <c r="G508" t="s">
        <v>5904</v>
      </c>
      <c r="H508">
        <v>556</v>
      </c>
      <c r="I508">
        <v>550</v>
      </c>
      <c r="J508">
        <v>554</v>
      </c>
      <c r="K508">
        <v>400</v>
      </c>
      <c r="L508">
        <v>469</v>
      </c>
      <c r="M508">
        <v>71.900000000000006</v>
      </c>
      <c r="N508">
        <v>84.4</v>
      </c>
      <c r="O508">
        <v>818.5</v>
      </c>
    </row>
    <row r="509" spans="1:15">
      <c r="A509">
        <v>77</v>
      </c>
      <c r="B509" t="s">
        <v>1424</v>
      </c>
      <c r="C509" t="s">
        <v>1425</v>
      </c>
      <c r="D509" t="s">
        <v>7678</v>
      </c>
      <c r="E509" t="s">
        <v>7679</v>
      </c>
      <c r="F509" t="s">
        <v>7680</v>
      </c>
      <c r="G509" t="s">
        <v>5904</v>
      </c>
      <c r="H509">
        <v>91</v>
      </c>
      <c r="I509">
        <v>91</v>
      </c>
      <c r="J509">
        <v>90</v>
      </c>
      <c r="K509">
        <v>53</v>
      </c>
      <c r="L509">
        <v>67</v>
      </c>
      <c r="M509">
        <v>58.2</v>
      </c>
      <c r="N509">
        <v>73.599999999999994</v>
      </c>
      <c r="O509">
        <v>108.2</v>
      </c>
    </row>
    <row r="510" spans="1:15">
      <c r="A510">
        <v>76</v>
      </c>
      <c r="B510" t="s">
        <v>1426</v>
      </c>
      <c r="C510" t="s">
        <v>7681</v>
      </c>
      <c r="D510" t="s">
        <v>7682</v>
      </c>
      <c r="E510" t="s">
        <v>7683</v>
      </c>
      <c r="F510" t="s">
        <v>7684</v>
      </c>
      <c r="G510" t="s">
        <v>5904</v>
      </c>
      <c r="H510">
        <v>89</v>
      </c>
      <c r="I510">
        <v>89</v>
      </c>
      <c r="J510">
        <v>89</v>
      </c>
      <c r="K510">
        <v>89</v>
      </c>
      <c r="L510">
        <v>89</v>
      </c>
      <c r="M510">
        <v>100</v>
      </c>
      <c r="N510">
        <v>100</v>
      </c>
      <c r="O510">
        <v>183.7</v>
      </c>
    </row>
    <row r="511" spans="1:15">
      <c r="A511">
        <v>75</v>
      </c>
      <c r="B511" t="s">
        <v>1428</v>
      </c>
      <c r="C511" t="s">
        <v>7685</v>
      </c>
      <c r="D511" t="s">
        <v>7686</v>
      </c>
      <c r="E511" t="s">
        <v>7687</v>
      </c>
      <c r="F511" t="s">
        <v>7688</v>
      </c>
      <c r="G511" t="s">
        <v>5904</v>
      </c>
      <c r="H511">
        <v>476</v>
      </c>
      <c r="I511">
        <v>500</v>
      </c>
      <c r="J511">
        <v>484</v>
      </c>
      <c r="K511">
        <v>336</v>
      </c>
      <c r="L511">
        <v>384</v>
      </c>
      <c r="M511">
        <v>70.599999999999994</v>
      </c>
      <c r="N511">
        <v>80.7</v>
      </c>
      <c r="O511">
        <v>629.79999999999995</v>
      </c>
    </row>
    <row r="512" spans="1:15">
      <c r="A512">
        <v>74</v>
      </c>
      <c r="B512" t="s">
        <v>7689</v>
      </c>
      <c r="C512" t="s">
        <v>1433</v>
      </c>
      <c r="D512" t="s">
        <v>7690</v>
      </c>
      <c r="E512" t="s">
        <v>7691</v>
      </c>
      <c r="F512" t="s">
        <v>7692</v>
      </c>
      <c r="G512" t="s">
        <v>5904</v>
      </c>
      <c r="H512">
        <v>367</v>
      </c>
      <c r="I512">
        <v>344</v>
      </c>
      <c r="J512">
        <v>340</v>
      </c>
      <c r="K512">
        <v>305</v>
      </c>
      <c r="L512">
        <v>309</v>
      </c>
      <c r="M512">
        <v>83.1</v>
      </c>
      <c r="N512">
        <v>84.2</v>
      </c>
      <c r="O512">
        <v>619.4</v>
      </c>
    </row>
    <row r="513" spans="1:15">
      <c r="A513">
        <v>73</v>
      </c>
      <c r="B513" t="s">
        <v>1434</v>
      </c>
      <c r="C513" t="s">
        <v>1435</v>
      </c>
      <c r="D513" t="s">
        <v>7693</v>
      </c>
      <c r="E513" t="s">
        <v>7694</v>
      </c>
      <c r="F513" t="s">
        <v>7695</v>
      </c>
      <c r="G513" t="s">
        <v>5904</v>
      </c>
      <c r="H513">
        <v>393</v>
      </c>
      <c r="I513">
        <v>390</v>
      </c>
      <c r="J513">
        <v>393</v>
      </c>
      <c r="K513">
        <v>322</v>
      </c>
      <c r="L513">
        <v>345</v>
      </c>
      <c r="M513">
        <v>81.900000000000006</v>
      </c>
      <c r="N513">
        <v>87.8</v>
      </c>
      <c r="O513">
        <v>532.29999999999995</v>
      </c>
    </row>
    <row r="514" spans="1:15">
      <c r="A514">
        <v>72</v>
      </c>
      <c r="B514" t="s">
        <v>1436</v>
      </c>
      <c r="C514" t="s">
        <v>1437</v>
      </c>
      <c r="D514" t="s">
        <v>7696</v>
      </c>
      <c r="E514" t="s">
        <v>7697</v>
      </c>
      <c r="F514" t="s">
        <v>7698</v>
      </c>
      <c r="G514" t="s">
        <v>5904</v>
      </c>
      <c r="H514">
        <v>329</v>
      </c>
      <c r="I514">
        <v>327</v>
      </c>
      <c r="J514">
        <v>329</v>
      </c>
      <c r="K514">
        <v>288</v>
      </c>
      <c r="L514">
        <v>308</v>
      </c>
      <c r="M514">
        <v>87.5</v>
      </c>
      <c r="N514">
        <v>93.6</v>
      </c>
      <c r="O514">
        <v>560.1</v>
      </c>
    </row>
    <row r="515" spans="1:15">
      <c r="A515">
        <v>71</v>
      </c>
      <c r="B515" t="s">
        <v>1438</v>
      </c>
      <c r="C515" t="s">
        <v>7699</v>
      </c>
      <c r="D515" t="s">
        <v>7700</v>
      </c>
      <c r="E515" t="s">
        <v>7701</v>
      </c>
      <c r="F515" t="s">
        <v>7702</v>
      </c>
      <c r="G515" t="s">
        <v>5904</v>
      </c>
      <c r="H515">
        <v>44</v>
      </c>
      <c r="I515">
        <v>44</v>
      </c>
      <c r="J515">
        <v>44</v>
      </c>
      <c r="K515">
        <v>44</v>
      </c>
      <c r="L515">
        <v>44</v>
      </c>
      <c r="M515">
        <v>100</v>
      </c>
      <c r="N515">
        <v>100</v>
      </c>
      <c r="O515">
        <v>87</v>
      </c>
    </row>
    <row r="516" spans="1:15">
      <c r="A516">
        <v>70</v>
      </c>
      <c r="B516" t="s">
        <v>1440</v>
      </c>
      <c r="C516" t="s">
        <v>1441</v>
      </c>
      <c r="D516" t="s">
        <v>7703</v>
      </c>
      <c r="E516" t="s">
        <v>7704</v>
      </c>
      <c r="F516" t="s">
        <v>7705</v>
      </c>
      <c r="G516" t="s">
        <v>5904</v>
      </c>
      <c r="H516">
        <v>619</v>
      </c>
      <c r="I516">
        <v>618</v>
      </c>
      <c r="J516">
        <v>619</v>
      </c>
      <c r="K516">
        <v>559</v>
      </c>
      <c r="L516">
        <v>587</v>
      </c>
      <c r="M516">
        <v>90.3</v>
      </c>
      <c r="N516">
        <v>94.8</v>
      </c>
      <c r="O516">
        <v>1155.5999999999999</v>
      </c>
    </row>
    <row r="517" spans="1:15">
      <c r="A517">
        <v>69</v>
      </c>
      <c r="B517" t="s">
        <v>1442</v>
      </c>
      <c r="C517" t="s">
        <v>1443</v>
      </c>
      <c r="D517" t="s">
        <v>7706</v>
      </c>
      <c r="E517" t="s">
        <v>7707</v>
      </c>
      <c r="F517" t="s">
        <v>7708</v>
      </c>
      <c r="G517" t="s">
        <v>5904</v>
      </c>
      <c r="H517">
        <v>274</v>
      </c>
      <c r="I517">
        <v>274</v>
      </c>
      <c r="J517">
        <v>273</v>
      </c>
      <c r="K517">
        <v>247</v>
      </c>
      <c r="L517">
        <v>263</v>
      </c>
      <c r="M517">
        <v>90.1</v>
      </c>
      <c r="N517">
        <v>96</v>
      </c>
      <c r="O517">
        <v>523.1</v>
      </c>
    </row>
    <row r="518" spans="1:15">
      <c r="A518">
        <v>68</v>
      </c>
      <c r="B518" t="s">
        <v>1444</v>
      </c>
      <c r="C518" t="s">
        <v>1445</v>
      </c>
      <c r="D518" t="s">
        <v>7709</v>
      </c>
      <c r="E518" t="s">
        <v>7710</v>
      </c>
      <c r="F518" t="s">
        <v>7711</v>
      </c>
      <c r="G518" t="s">
        <v>5904</v>
      </c>
      <c r="H518">
        <v>895</v>
      </c>
      <c r="I518">
        <v>895</v>
      </c>
      <c r="J518">
        <v>898</v>
      </c>
      <c r="K518">
        <v>882</v>
      </c>
      <c r="L518">
        <v>886</v>
      </c>
      <c r="M518">
        <v>98.5</v>
      </c>
      <c r="N518">
        <v>99</v>
      </c>
      <c r="O518">
        <v>1758.8</v>
      </c>
    </row>
    <row r="519" spans="1:15">
      <c r="A519">
        <v>67</v>
      </c>
      <c r="B519" t="s">
        <v>1446</v>
      </c>
      <c r="C519" t="s">
        <v>1447</v>
      </c>
      <c r="D519" t="s">
        <v>7712</v>
      </c>
      <c r="E519" t="s">
        <v>7713</v>
      </c>
      <c r="F519" t="s">
        <v>7714</v>
      </c>
      <c r="G519" t="s">
        <v>5904</v>
      </c>
      <c r="H519">
        <v>236</v>
      </c>
      <c r="I519">
        <v>236</v>
      </c>
      <c r="J519">
        <v>236</v>
      </c>
      <c r="K519">
        <v>229</v>
      </c>
      <c r="L519">
        <v>234</v>
      </c>
      <c r="M519">
        <v>97</v>
      </c>
      <c r="N519">
        <v>99.2</v>
      </c>
      <c r="O519">
        <v>471.9</v>
      </c>
    </row>
    <row r="520" spans="1:15">
      <c r="A520">
        <v>66</v>
      </c>
      <c r="B520" t="s">
        <v>1448</v>
      </c>
      <c r="C520" t="s">
        <v>1449</v>
      </c>
      <c r="D520" t="s">
        <v>7715</v>
      </c>
      <c r="E520" t="s">
        <v>7716</v>
      </c>
      <c r="F520" t="s">
        <v>7717</v>
      </c>
      <c r="G520" t="s">
        <v>5904</v>
      </c>
      <c r="H520">
        <v>201</v>
      </c>
      <c r="I520">
        <v>201</v>
      </c>
      <c r="J520">
        <v>201</v>
      </c>
      <c r="K520">
        <v>196</v>
      </c>
      <c r="L520">
        <v>200</v>
      </c>
      <c r="M520">
        <v>97.5</v>
      </c>
      <c r="N520">
        <v>99.5</v>
      </c>
      <c r="O520">
        <v>410.2</v>
      </c>
    </row>
    <row r="521" spans="1:15">
      <c r="A521">
        <v>65</v>
      </c>
      <c r="B521" t="s">
        <v>1450</v>
      </c>
      <c r="C521" t="s">
        <v>7718</v>
      </c>
      <c r="D521" t="s">
        <v>7719</v>
      </c>
      <c r="E521" t="s">
        <v>7720</v>
      </c>
      <c r="F521" t="s">
        <v>7721</v>
      </c>
      <c r="G521" t="s">
        <v>5904</v>
      </c>
      <c r="H521">
        <v>715</v>
      </c>
      <c r="I521">
        <v>714</v>
      </c>
      <c r="J521">
        <v>715</v>
      </c>
      <c r="K521">
        <v>691</v>
      </c>
      <c r="L521">
        <v>706</v>
      </c>
      <c r="M521">
        <v>96.6</v>
      </c>
      <c r="N521">
        <v>98.7</v>
      </c>
      <c r="O521">
        <v>1437.2</v>
      </c>
    </row>
    <row r="522" spans="1:15">
      <c r="A522">
        <v>64</v>
      </c>
      <c r="B522" t="s">
        <v>1452</v>
      </c>
      <c r="C522" t="s">
        <v>1453</v>
      </c>
      <c r="D522" t="s">
        <v>7722</v>
      </c>
      <c r="E522" t="s">
        <v>7723</v>
      </c>
      <c r="F522" t="s">
        <v>7724</v>
      </c>
      <c r="G522" t="s">
        <v>5904</v>
      </c>
      <c r="H522">
        <v>189</v>
      </c>
      <c r="I522">
        <v>182</v>
      </c>
      <c r="J522">
        <v>178</v>
      </c>
      <c r="K522">
        <v>171</v>
      </c>
      <c r="L522">
        <v>178</v>
      </c>
      <c r="M522">
        <v>90.5</v>
      </c>
      <c r="N522">
        <v>94.2</v>
      </c>
      <c r="O522">
        <v>354</v>
      </c>
    </row>
    <row r="523" spans="1:15">
      <c r="A523">
        <v>63</v>
      </c>
      <c r="B523" t="s">
        <v>1454</v>
      </c>
      <c r="C523" t="s">
        <v>1455</v>
      </c>
      <c r="D523" t="s">
        <v>7725</v>
      </c>
      <c r="E523" t="s">
        <v>7726</v>
      </c>
      <c r="F523" t="s">
        <v>7727</v>
      </c>
      <c r="G523" t="s">
        <v>5904</v>
      </c>
      <c r="H523">
        <v>150</v>
      </c>
      <c r="I523">
        <v>149</v>
      </c>
      <c r="J523">
        <v>149</v>
      </c>
      <c r="K523">
        <v>114</v>
      </c>
      <c r="L523">
        <v>129</v>
      </c>
      <c r="M523">
        <v>76</v>
      </c>
      <c r="N523">
        <v>86</v>
      </c>
      <c r="O523">
        <v>217.6</v>
      </c>
    </row>
    <row r="524" spans="1:15">
      <c r="A524">
        <v>62</v>
      </c>
      <c r="B524" t="s">
        <v>1456</v>
      </c>
      <c r="C524" t="s">
        <v>1457</v>
      </c>
      <c r="D524" t="s">
        <v>7728</v>
      </c>
      <c r="E524" t="s">
        <v>7729</v>
      </c>
      <c r="F524" t="s">
        <v>7730</v>
      </c>
      <c r="G524" t="s">
        <v>5904</v>
      </c>
      <c r="H524">
        <v>415</v>
      </c>
      <c r="I524">
        <v>415</v>
      </c>
      <c r="J524">
        <v>415</v>
      </c>
      <c r="K524">
        <v>408</v>
      </c>
      <c r="L524">
        <v>410</v>
      </c>
      <c r="M524">
        <v>98.3</v>
      </c>
      <c r="N524">
        <v>98.8</v>
      </c>
      <c r="O524">
        <v>847.4</v>
      </c>
    </row>
    <row r="525" spans="1:15">
      <c r="A525">
        <v>61</v>
      </c>
      <c r="B525" t="s">
        <v>7731</v>
      </c>
      <c r="C525" t="s">
        <v>1460</v>
      </c>
      <c r="D525" t="s">
        <v>7732</v>
      </c>
      <c r="E525" t="s">
        <v>7733</v>
      </c>
      <c r="F525" t="s">
        <v>7734</v>
      </c>
      <c r="G525" t="s">
        <v>5904</v>
      </c>
      <c r="H525">
        <v>912</v>
      </c>
      <c r="I525">
        <v>968</v>
      </c>
      <c r="J525">
        <v>912</v>
      </c>
      <c r="K525">
        <v>892</v>
      </c>
      <c r="L525">
        <v>901</v>
      </c>
      <c r="M525">
        <v>97.8</v>
      </c>
      <c r="N525">
        <v>98.8</v>
      </c>
      <c r="O525">
        <v>1848.9</v>
      </c>
    </row>
    <row r="526" spans="1:15">
      <c r="A526">
        <v>60</v>
      </c>
      <c r="B526" t="s">
        <v>1461</v>
      </c>
      <c r="C526" t="s">
        <v>1462</v>
      </c>
      <c r="D526" t="s">
        <v>7735</v>
      </c>
      <c r="E526" t="s">
        <v>7736</v>
      </c>
      <c r="F526" t="s">
        <v>7737</v>
      </c>
      <c r="G526" t="s">
        <v>5904</v>
      </c>
      <c r="H526">
        <v>500</v>
      </c>
      <c r="I526">
        <v>500</v>
      </c>
      <c r="J526">
        <v>500</v>
      </c>
      <c r="K526">
        <v>391</v>
      </c>
      <c r="L526">
        <v>447</v>
      </c>
      <c r="M526">
        <v>78.2</v>
      </c>
      <c r="N526">
        <v>89.4</v>
      </c>
      <c r="O526">
        <v>821.6</v>
      </c>
    </row>
    <row r="527" spans="1:15">
      <c r="A527">
        <v>59</v>
      </c>
      <c r="B527" t="s">
        <v>1463</v>
      </c>
      <c r="C527" t="s">
        <v>7738</v>
      </c>
      <c r="D527" t="s">
        <v>7739</v>
      </c>
      <c r="E527" t="s">
        <v>7740</v>
      </c>
      <c r="F527" t="s">
        <v>7741</v>
      </c>
      <c r="G527" t="s">
        <v>5904</v>
      </c>
      <c r="H527">
        <v>189</v>
      </c>
      <c r="I527">
        <v>189</v>
      </c>
      <c r="J527">
        <v>189</v>
      </c>
      <c r="K527">
        <v>185</v>
      </c>
      <c r="L527">
        <v>188</v>
      </c>
      <c r="M527">
        <v>97.9</v>
      </c>
      <c r="N527">
        <v>99.5</v>
      </c>
      <c r="O527">
        <v>386.7</v>
      </c>
    </row>
    <row r="528" spans="1:15">
      <c r="A528">
        <v>58</v>
      </c>
      <c r="B528" t="s">
        <v>1466</v>
      </c>
      <c r="C528" t="s">
        <v>7742</v>
      </c>
      <c r="D528" t="s">
        <v>7743</v>
      </c>
      <c r="E528" t="s">
        <v>7744</v>
      </c>
      <c r="F528" t="s">
        <v>7745</v>
      </c>
      <c r="G528" t="s">
        <v>5904</v>
      </c>
      <c r="H528">
        <v>997</v>
      </c>
      <c r="I528">
        <v>999</v>
      </c>
      <c r="J528">
        <v>1000</v>
      </c>
      <c r="K528">
        <v>923</v>
      </c>
      <c r="L528">
        <v>945</v>
      </c>
      <c r="M528">
        <v>92.6</v>
      </c>
      <c r="N528">
        <v>94.8</v>
      </c>
      <c r="O528">
        <v>1819.3</v>
      </c>
    </row>
    <row r="529" spans="1:15">
      <c r="A529">
        <v>57</v>
      </c>
      <c r="B529" t="s">
        <v>1468</v>
      </c>
      <c r="C529" t="s">
        <v>1469</v>
      </c>
      <c r="D529" t="s">
        <v>7746</v>
      </c>
      <c r="E529" t="s">
        <v>7747</v>
      </c>
      <c r="F529" t="s">
        <v>7748</v>
      </c>
      <c r="G529" t="s">
        <v>5896</v>
      </c>
      <c r="H529">
        <v>2746</v>
      </c>
      <c r="I529">
        <v>5654</v>
      </c>
      <c r="J529">
        <v>1876</v>
      </c>
      <c r="K529">
        <v>1301</v>
      </c>
      <c r="L529">
        <v>1473</v>
      </c>
      <c r="M529">
        <v>47.4</v>
      </c>
      <c r="N529">
        <v>53.6</v>
      </c>
      <c r="O529">
        <v>2589.6999999999998</v>
      </c>
    </row>
    <row r="530" spans="1:15">
      <c r="A530">
        <v>56</v>
      </c>
      <c r="B530" t="s">
        <v>1470</v>
      </c>
      <c r="C530" t="s">
        <v>1471</v>
      </c>
      <c r="D530" t="s">
        <v>7749</v>
      </c>
      <c r="E530" t="s">
        <v>7750</v>
      </c>
      <c r="F530" t="s">
        <v>7751</v>
      </c>
      <c r="G530" t="s">
        <v>5896</v>
      </c>
      <c r="H530">
        <v>2257</v>
      </c>
      <c r="I530">
        <v>5179</v>
      </c>
      <c r="J530">
        <v>1263</v>
      </c>
      <c r="K530">
        <v>1066</v>
      </c>
      <c r="L530">
        <v>1155</v>
      </c>
      <c r="M530">
        <v>47.2</v>
      </c>
      <c r="N530">
        <v>51.2</v>
      </c>
      <c r="O530">
        <v>2253.4</v>
      </c>
    </row>
    <row r="531" spans="1:15">
      <c r="A531">
        <v>55</v>
      </c>
      <c r="B531" t="s">
        <v>1472</v>
      </c>
      <c r="C531" t="s">
        <v>1473</v>
      </c>
      <c r="D531" t="s">
        <v>7752</v>
      </c>
      <c r="E531" t="s">
        <v>7753</v>
      </c>
      <c r="F531" t="s">
        <v>7754</v>
      </c>
      <c r="G531" t="s">
        <v>5904</v>
      </c>
      <c r="H531">
        <v>545</v>
      </c>
      <c r="I531">
        <v>541</v>
      </c>
      <c r="J531">
        <v>534</v>
      </c>
      <c r="K531">
        <v>368</v>
      </c>
      <c r="L531">
        <v>444</v>
      </c>
      <c r="M531">
        <v>67.5</v>
      </c>
      <c r="N531">
        <v>81.5</v>
      </c>
      <c r="O531">
        <v>774.6</v>
      </c>
    </row>
    <row r="532" spans="1:15">
      <c r="A532">
        <v>54</v>
      </c>
      <c r="B532" t="s">
        <v>7755</v>
      </c>
      <c r="C532" t="s">
        <v>1476</v>
      </c>
      <c r="D532" t="s">
        <v>7756</v>
      </c>
      <c r="E532" t="s">
        <v>7757</v>
      </c>
      <c r="F532" t="s">
        <v>7758</v>
      </c>
      <c r="G532" t="s">
        <v>5904</v>
      </c>
      <c r="H532">
        <v>194</v>
      </c>
      <c r="I532">
        <v>194</v>
      </c>
      <c r="J532">
        <v>194</v>
      </c>
      <c r="K532">
        <v>192</v>
      </c>
      <c r="L532">
        <v>193</v>
      </c>
      <c r="M532">
        <v>99</v>
      </c>
      <c r="N532">
        <v>99.5</v>
      </c>
      <c r="O532">
        <v>396.7</v>
      </c>
    </row>
    <row r="533" spans="1:15">
      <c r="A533">
        <v>2074</v>
      </c>
      <c r="B533" t="s">
        <v>1477</v>
      </c>
      <c r="C533" t="s">
        <v>1478</v>
      </c>
      <c r="D533" t="s">
        <v>7759</v>
      </c>
      <c r="E533" t="s">
        <v>7760</v>
      </c>
      <c r="F533" t="s">
        <v>7761</v>
      </c>
      <c r="G533" t="s">
        <v>5904</v>
      </c>
      <c r="H533">
        <v>135</v>
      </c>
      <c r="I533">
        <v>135</v>
      </c>
      <c r="J533">
        <v>135</v>
      </c>
      <c r="K533">
        <v>120</v>
      </c>
      <c r="L533">
        <v>132</v>
      </c>
      <c r="M533">
        <v>88.9</v>
      </c>
      <c r="N533">
        <v>97.8</v>
      </c>
      <c r="O533">
        <v>256.10000000000002</v>
      </c>
    </row>
    <row r="534" spans="1:15">
      <c r="A534">
        <v>53</v>
      </c>
      <c r="B534" t="s">
        <v>1479</v>
      </c>
      <c r="C534" t="s">
        <v>1481</v>
      </c>
      <c r="D534" t="s">
        <v>7762</v>
      </c>
      <c r="E534" t="s">
        <v>7763</v>
      </c>
      <c r="F534" t="s">
        <v>7764</v>
      </c>
      <c r="G534" t="s">
        <v>5904</v>
      </c>
      <c r="H534">
        <v>193</v>
      </c>
      <c r="I534">
        <v>122</v>
      </c>
      <c r="J534">
        <v>130</v>
      </c>
      <c r="K534">
        <v>93</v>
      </c>
      <c r="L534">
        <v>100</v>
      </c>
      <c r="M534">
        <v>48.2</v>
      </c>
      <c r="N534">
        <v>51.8</v>
      </c>
      <c r="O534">
        <v>184.5</v>
      </c>
    </row>
    <row r="535" spans="1:15">
      <c r="A535">
        <v>52</v>
      </c>
      <c r="B535" t="s">
        <v>1482</v>
      </c>
      <c r="C535" t="s">
        <v>1483</v>
      </c>
      <c r="D535" t="s">
        <v>7765</v>
      </c>
      <c r="E535" t="s">
        <v>7766</v>
      </c>
      <c r="F535" t="s">
        <v>7767</v>
      </c>
      <c r="G535" t="s">
        <v>5904</v>
      </c>
      <c r="H535">
        <v>495</v>
      </c>
      <c r="I535">
        <v>494</v>
      </c>
      <c r="J535">
        <v>510</v>
      </c>
      <c r="K535">
        <v>351</v>
      </c>
      <c r="L535">
        <v>391</v>
      </c>
      <c r="M535">
        <v>70.900000000000006</v>
      </c>
      <c r="N535">
        <v>79</v>
      </c>
      <c r="O535">
        <v>592.4</v>
      </c>
    </row>
    <row r="536" spans="1:15">
      <c r="A536">
        <v>51</v>
      </c>
      <c r="B536" t="s">
        <v>1484</v>
      </c>
      <c r="C536" t="s">
        <v>1485</v>
      </c>
      <c r="D536" t="s">
        <v>7768</v>
      </c>
      <c r="E536" t="s">
        <v>7769</v>
      </c>
      <c r="F536" t="s">
        <v>7770</v>
      </c>
      <c r="G536" t="s">
        <v>5904</v>
      </c>
      <c r="H536">
        <v>372</v>
      </c>
      <c r="I536">
        <v>382</v>
      </c>
      <c r="J536">
        <v>382</v>
      </c>
      <c r="K536">
        <v>302</v>
      </c>
      <c r="L536">
        <v>327</v>
      </c>
      <c r="M536">
        <v>81.2</v>
      </c>
      <c r="N536">
        <v>87.9</v>
      </c>
      <c r="O536">
        <v>578.9</v>
      </c>
    </row>
    <row r="537" spans="1:15">
      <c r="A537">
        <v>50</v>
      </c>
      <c r="B537" t="s">
        <v>7771</v>
      </c>
      <c r="C537" t="s">
        <v>1488</v>
      </c>
      <c r="D537" t="s">
        <v>7772</v>
      </c>
      <c r="E537" t="s">
        <v>7773</v>
      </c>
      <c r="F537" t="s">
        <v>7774</v>
      </c>
      <c r="G537" t="s">
        <v>5904</v>
      </c>
      <c r="H537">
        <v>553</v>
      </c>
      <c r="I537">
        <v>553</v>
      </c>
      <c r="J537">
        <v>553</v>
      </c>
      <c r="K537">
        <v>458</v>
      </c>
      <c r="L537">
        <v>490</v>
      </c>
      <c r="M537">
        <v>82.8</v>
      </c>
      <c r="N537">
        <v>88.6</v>
      </c>
      <c r="O537">
        <v>883.6</v>
      </c>
    </row>
    <row r="538" spans="1:15">
      <c r="A538">
        <v>49</v>
      </c>
      <c r="B538" t="s">
        <v>1489</v>
      </c>
      <c r="C538" t="s">
        <v>1490</v>
      </c>
      <c r="D538" t="s">
        <v>7775</v>
      </c>
      <c r="E538" t="s">
        <v>7776</v>
      </c>
      <c r="F538" t="s">
        <v>7777</v>
      </c>
      <c r="G538" t="s">
        <v>5904</v>
      </c>
      <c r="H538">
        <v>226</v>
      </c>
      <c r="I538">
        <v>222</v>
      </c>
      <c r="J538">
        <v>226</v>
      </c>
      <c r="K538">
        <v>136</v>
      </c>
      <c r="L538">
        <v>162</v>
      </c>
      <c r="M538">
        <v>60.2</v>
      </c>
      <c r="N538">
        <v>71.7</v>
      </c>
      <c r="O538">
        <v>217.6</v>
      </c>
    </row>
    <row r="539" spans="1:15">
      <c r="A539">
        <v>48</v>
      </c>
      <c r="B539" t="s">
        <v>1491</v>
      </c>
      <c r="C539" t="s">
        <v>1492</v>
      </c>
      <c r="D539" t="s">
        <v>7778</v>
      </c>
      <c r="E539" t="s">
        <v>7779</v>
      </c>
      <c r="F539" t="s">
        <v>7780</v>
      </c>
      <c r="G539" t="s">
        <v>5904</v>
      </c>
      <c r="H539">
        <v>175</v>
      </c>
      <c r="I539">
        <v>175</v>
      </c>
      <c r="J539">
        <v>175</v>
      </c>
      <c r="K539">
        <v>172</v>
      </c>
      <c r="L539">
        <v>172</v>
      </c>
      <c r="M539">
        <v>98.3</v>
      </c>
      <c r="N539">
        <v>98.3</v>
      </c>
      <c r="O539">
        <v>347.8</v>
      </c>
    </row>
    <row r="540" spans="1:15">
      <c r="A540">
        <v>47</v>
      </c>
      <c r="B540" t="s">
        <v>1493</v>
      </c>
      <c r="C540" t="s">
        <v>1494</v>
      </c>
      <c r="D540" t="s">
        <v>7781</v>
      </c>
      <c r="E540" t="s">
        <v>7782</v>
      </c>
      <c r="F540" t="s">
        <v>7783</v>
      </c>
      <c r="G540" t="s">
        <v>5904</v>
      </c>
      <c r="H540">
        <v>266</v>
      </c>
      <c r="I540">
        <v>267</v>
      </c>
      <c r="J540">
        <v>267</v>
      </c>
      <c r="K540">
        <v>223</v>
      </c>
      <c r="L540">
        <v>243</v>
      </c>
      <c r="M540">
        <v>83.8</v>
      </c>
      <c r="N540">
        <v>91.4</v>
      </c>
      <c r="O540">
        <v>451.1</v>
      </c>
    </row>
    <row r="541" spans="1:15">
      <c r="A541">
        <v>46</v>
      </c>
      <c r="B541" t="s">
        <v>1495</v>
      </c>
      <c r="C541" t="s">
        <v>1497</v>
      </c>
      <c r="D541" t="s">
        <v>7784</v>
      </c>
      <c r="E541" t="s">
        <v>7785</v>
      </c>
      <c r="F541" t="s">
        <v>7786</v>
      </c>
      <c r="G541" t="s">
        <v>5904</v>
      </c>
      <c r="H541">
        <v>477</v>
      </c>
      <c r="I541">
        <v>467</v>
      </c>
      <c r="J541">
        <v>452</v>
      </c>
      <c r="K541">
        <v>352</v>
      </c>
      <c r="L541">
        <v>393</v>
      </c>
      <c r="M541">
        <v>73.8</v>
      </c>
      <c r="N541">
        <v>82.4</v>
      </c>
      <c r="O541">
        <v>749.6</v>
      </c>
    </row>
    <row r="542" spans="1:15">
      <c r="A542">
        <v>45</v>
      </c>
      <c r="B542" t="s">
        <v>1498</v>
      </c>
      <c r="C542" t="s">
        <v>1499</v>
      </c>
      <c r="D542" t="s">
        <v>7787</v>
      </c>
      <c r="E542" t="s">
        <v>7788</v>
      </c>
      <c r="F542" t="s">
        <v>7789</v>
      </c>
      <c r="G542" t="s">
        <v>5904</v>
      </c>
      <c r="H542">
        <v>463</v>
      </c>
      <c r="I542">
        <v>462</v>
      </c>
      <c r="J542">
        <v>464</v>
      </c>
      <c r="K542">
        <v>373</v>
      </c>
      <c r="L542">
        <v>406</v>
      </c>
      <c r="M542">
        <v>80.599999999999994</v>
      </c>
      <c r="N542">
        <v>87.7</v>
      </c>
      <c r="O542">
        <v>776.5</v>
      </c>
    </row>
    <row r="543" spans="1:15">
      <c r="A543">
        <v>44</v>
      </c>
      <c r="B543" t="s">
        <v>1500</v>
      </c>
      <c r="C543" t="s">
        <v>1501</v>
      </c>
      <c r="D543" t="s">
        <v>7790</v>
      </c>
      <c r="E543" t="s">
        <v>7791</v>
      </c>
      <c r="F543" t="s">
        <v>7792</v>
      </c>
      <c r="G543" t="s">
        <v>5904</v>
      </c>
      <c r="H543">
        <v>543</v>
      </c>
      <c r="I543">
        <v>543</v>
      </c>
      <c r="J543">
        <v>543</v>
      </c>
      <c r="K543">
        <v>528</v>
      </c>
      <c r="L543">
        <v>537</v>
      </c>
      <c r="M543">
        <v>97.2</v>
      </c>
      <c r="N543">
        <v>98.9</v>
      </c>
      <c r="O543">
        <v>1090.9000000000001</v>
      </c>
    </row>
    <row r="544" spans="1:15">
      <c r="A544">
        <v>43</v>
      </c>
      <c r="B544" t="s">
        <v>7793</v>
      </c>
      <c r="C544" t="s">
        <v>1504</v>
      </c>
      <c r="D544" t="s">
        <v>7794</v>
      </c>
      <c r="E544" t="s">
        <v>7795</v>
      </c>
      <c r="F544" t="s">
        <v>7796</v>
      </c>
      <c r="G544" t="s">
        <v>5904</v>
      </c>
      <c r="H544">
        <v>1003</v>
      </c>
      <c r="I544">
        <v>1007</v>
      </c>
      <c r="J544">
        <v>981</v>
      </c>
      <c r="K544">
        <v>832</v>
      </c>
      <c r="L544">
        <v>868</v>
      </c>
      <c r="M544">
        <v>83</v>
      </c>
      <c r="N544">
        <v>86.5</v>
      </c>
      <c r="O544">
        <v>1483.8</v>
      </c>
    </row>
    <row r="545" spans="1:15">
      <c r="A545">
        <v>42</v>
      </c>
      <c r="B545" t="s">
        <v>1505</v>
      </c>
      <c r="C545" t="s">
        <v>1506</v>
      </c>
      <c r="D545" t="s">
        <v>7797</v>
      </c>
      <c r="E545" t="s">
        <v>7798</v>
      </c>
      <c r="F545" t="s">
        <v>7799</v>
      </c>
      <c r="G545" t="s">
        <v>5904</v>
      </c>
      <c r="H545">
        <v>295</v>
      </c>
      <c r="I545">
        <v>296</v>
      </c>
      <c r="J545">
        <v>295</v>
      </c>
      <c r="K545">
        <v>228</v>
      </c>
      <c r="L545">
        <v>253</v>
      </c>
      <c r="M545">
        <v>77.3</v>
      </c>
      <c r="N545">
        <v>85.8</v>
      </c>
      <c r="O545">
        <v>485.3</v>
      </c>
    </row>
    <row r="546" spans="1:15">
      <c r="A546">
        <v>41</v>
      </c>
      <c r="B546" t="s">
        <v>1507</v>
      </c>
      <c r="C546" t="s">
        <v>1508</v>
      </c>
      <c r="D546" t="s">
        <v>7800</v>
      </c>
      <c r="E546" t="s">
        <v>7801</v>
      </c>
      <c r="F546" t="s">
        <v>7802</v>
      </c>
      <c r="G546" t="s">
        <v>5904</v>
      </c>
      <c r="H546">
        <v>516</v>
      </c>
      <c r="I546">
        <v>517</v>
      </c>
      <c r="J546">
        <v>517</v>
      </c>
      <c r="K546">
        <v>501</v>
      </c>
      <c r="L546">
        <v>511</v>
      </c>
      <c r="M546">
        <v>97.1</v>
      </c>
      <c r="N546">
        <v>99</v>
      </c>
      <c r="O546">
        <v>1047.3</v>
      </c>
    </row>
    <row r="547" spans="1:15">
      <c r="A547">
        <v>40</v>
      </c>
      <c r="B547" t="s">
        <v>7803</v>
      </c>
      <c r="C547" t="s">
        <v>1511</v>
      </c>
      <c r="D547" t="s">
        <v>7804</v>
      </c>
      <c r="E547" t="s">
        <v>7805</v>
      </c>
      <c r="F547" t="s">
        <v>7806</v>
      </c>
      <c r="G547" t="s">
        <v>5904</v>
      </c>
      <c r="H547">
        <v>346</v>
      </c>
      <c r="I547">
        <v>345</v>
      </c>
      <c r="J547">
        <v>346</v>
      </c>
      <c r="K547">
        <v>326</v>
      </c>
      <c r="L547">
        <v>331</v>
      </c>
      <c r="M547">
        <v>94.2</v>
      </c>
      <c r="N547">
        <v>95.7</v>
      </c>
      <c r="O547">
        <v>589</v>
      </c>
    </row>
    <row r="548" spans="1:15">
      <c r="A548">
        <v>39</v>
      </c>
      <c r="B548" t="s">
        <v>7807</v>
      </c>
      <c r="C548" t="s">
        <v>1514</v>
      </c>
      <c r="D548" t="s">
        <v>7808</v>
      </c>
      <c r="E548" t="s">
        <v>7809</v>
      </c>
      <c r="F548" t="s">
        <v>7810</v>
      </c>
      <c r="G548" t="s">
        <v>5904</v>
      </c>
      <c r="H548">
        <v>374</v>
      </c>
      <c r="I548">
        <v>345</v>
      </c>
      <c r="J548">
        <v>307</v>
      </c>
      <c r="K548">
        <v>285</v>
      </c>
      <c r="L548">
        <v>292</v>
      </c>
      <c r="M548">
        <v>76.2</v>
      </c>
      <c r="N548">
        <v>78.099999999999994</v>
      </c>
      <c r="O548">
        <v>591.70000000000005</v>
      </c>
    </row>
    <row r="549" spans="1:15">
      <c r="A549">
        <v>38</v>
      </c>
      <c r="B549" t="s">
        <v>7811</v>
      </c>
      <c r="C549" t="s">
        <v>7812</v>
      </c>
      <c r="D549" t="s">
        <v>7813</v>
      </c>
      <c r="E549" t="s">
        <v>7814</v>
      </c>
      <c r="F549" t="s">
        <v>7815</v>
      </c>
      <c r="G549" t="s">
        <v>5904</v>
      </c>
      <c r="H549">
        <v>2108</v>
      </c>
      <c r="I549">
        <v>2115</v>
      </c>
      <c r="J549">
        <v>2126</v>
      </c>
      <c r="K549">
        <v>1880</v>
      </c>
      <c r="L549">
        <v>1985</v>
      </c>
      <c r="M549">
        <v>89.2</v>
      </c>
      <c r="N549">
        <v>94.2</v>
      </c>
      <c r="O549">
        <v>3498.4</v>
      </c>
    </row>
    <row r="550" spans="1:15">
      <c r="A550">
        <v>37</v>
      </c>
      <c r="B550" t="s">
        <v>1518</v>
      </c>
      <c r="C550" t="s">
        <v>7816</v>
      </c>
      <c r="D550" t="s">
        <v>7817</v>
      </c>
      <c r="E550" t="s">
        <v>7818</v>
      </c>
      <c r="F550" t="s">
        <v>7819</v>
      </c>
      <c r="G550" t="s">
        <v>5904</v>
      </c>
      <c r="H550">
        <v>254</v>
      </c>
      <c r="I550">
        <v>257</v>
      </c>
      <c r="J550">
        <v>245</v>
      </c>
      <c r="K550">
        <v>188</v>
      </c>
      <c r="L550">
        <v>210</v>
      </c>
      <c r="M550">
        <v>74</v>
      </c>
      <c r="N550">
        <v>82.7</v>
      </c>
      <c r="O550">
        <v>389.4</v>
      </c>
    </row>
    <row r="551" spans="1:15">
      <c r="A551">
        <v>36</v>
      </c>
      <c r="B551" t="s">
        <v>1521</v>
      </c>
      <c r="C551" t="s">
        <v>1522</v>
      </c>
      <c r="D551" t="s">
        <v>7820</v>
      </c>
      <c r="E551" t="s">
        <v>7821</v>
      </c>
      <c r="F551" t="s">
        <v>7822</v>
      </c>
      <c r="G551" t="s">
        <v>5904</v>
      </c>
      <c r="H551">
        <v>253</v>
      </c>
      <c r="I551">
        <v>255</v>
      </c>
      <c r="J551">
        <v>231</v>
      </c>
      <c r="K551">
        <v>194</v>
      </c>
      <c r="L551">
        <v>209</v>
      </c>
      <c r="M551">
        <v>76.7</v>
      </c>
      <c r="N551">
        <v>82.6</v>
      </c>
      <c r="O551">
        <v>418.3</v>
      </c>
    </row>
    <row r="552" spans="1:15">
      <c r="A552">
        <v>35</v>
      </c>
      <c r="B552" t="s">
        <v>7823</v>
      </c>
      <c r="C552" t="s">
        <v>1525</v>
      </c>
      <c r="D552" t="s">
        <v>7824</v>
      </c>
      <c r="E552" t="s">
        <v>7825</v>
      </c>
      <c r="F552" t="s">
        <v>7826</v>
      </c>
      <c r="G552" t="s">
        <v>5904</v>
      </c>
      <c r="H552">
        <v>188</v>
      </c>
      <c r="I552">
        <v>194</v>
      </c>
      <c r="J552">
        <v>186</v>
      </c>
      <c r="K552">
        <v>129</v>
      </c>
      <c r="L552">
        <v>143</v>
      </c>
      <c r="M552">
        <v>68.599999999999994</v>
      </c>
      <c r="N552">
        <v>76.099999999999994</v>
      </c>
      <c r="O552">
        <v>246.5</v>
      </c>
    </row>
    <row r="553" spans="1:15">
      <c r="A553">
        <v>34</v>
      </c>
      <c r="B553" t="s">
        <v>1526</v>
      </c>
      <c r="C553" t="s">
        <v>1527</v>
      </c>
      <c r="D553" t="s">
        <v>7827</v>
      </c>
      <c r="E553" t="s">
        <v>7828</v>
      </c>
      <c r="F553" t="s">
        <v>7829</v>
      </c>
      <c r="G553" t="s">
        <v>5904</v>
      </c>
      <c r="H553">
        <v>533</v>
      </c>
      <c r="I553">
        <v>630</v>
      </c>
      <c r="J553">
        <v>533</v>
      </c>
      <c r="K553">
        <v>432</v>
      </c>
      <c r="L553">
        <v>465</v>
      </c>
      <c r="M553">
        <v>81.099999999999994</v>
      </c>
      <c r="N553">
        <v>87.2</v>
      </c>
      <c r="O553">
        <v>815.1</v>
      </c>
    </row>
    <row r="554" spans="1:15">
      <c r="A554">
        <v>33</v>
      </c>
      <c r="B554" t="s">
        <v>1528</v>
      </c>
      <c r="C554" t="s">
        <v>7830</v>
      </c>
      <c r="D554" t="s">
        <v>7831</v>
      </c>
      <c r="E554" t="s">
        <v>7832</v>
      </c>
      <c r="F554" t="s">
        <v>7833</v>
      </c>
      <c r="G554" t="s">
        <v>5904</v>
      </c>
      <c r="H554">
        <v>103</v>
      </c>
      <c r="I554">
        <v>103</v>
      </c>
      <c r="J554">
        <v>103</v>
      </c>
      <c r="K554">
        <v>94</v>
      </c>
      <c r="L554">
        <v>98</v>
      </c>
      <c r="M554">
        <v>91.3</v>
      </c>
      <c r="N554">
        <v>95.1</v>
      </c>
      <c r="O554">
        <v>192.2</v>
      </c>
    </row>
    <row r="555" spans="1:15">
      <c r="A555">
        <v>2073</v>
      </c>
      <c r="B555" t="s">
        <v>1530</v>
      </c>
      <c r="C555" t="s">
        <v>1532</v>
      </c>
      <c r="D555" t="s">
        <v>7834</v>
      </c>
      <c r="E555" t="s">
        <v>7835</v>
      </c>
      <c r="F555" t="s">
        <v>7836</v>
      </c>
      <c r="G555" t="s">
        <v>5904</v>
      </c>
      <c r="H555">
        <v>133</v>
      </c>
      <c r="I555">
        <v>133</v>
      </c>
      <c r="J555">
        <v>133</v>
      </c>
      <c r="K555">
        <v>119</v>
      </c>
      <c r="L555">
        <v>128</v>
      </c>
      <c r="M555">
        <v>89.5</v>
      </c>
      <c r="N555">
        <v>96.2</v>
      </c>
      <c r="O555">
        <v>250.4</v>
      </c>
    </row>
    <row r="556" spans="1:15">
      <c r="A556">
        <v>2072</v>
      </c>
      <c r="B556" t="s">
        <v>1533</v>
      </c>
      <c r="C556" t="s">
        <v>1534</v>
      </c>
      <c r="D556" t="s">
        <v>7837</v>
      </c>
      <c r="E556" t="s">
        <v>7838</v>
      </c>
      <c r="F556" t="s">
        <v>7839</v>
      </c>
      <c r="G556" t="s">
        <v>5904</v>
      </c>
      <c r="H556">
        <v>316</v>
      </c>
      <c r="I556">
        <v>316</v>
      </c>
      <c r="J556">
        <v>316</v>
      </c>
      <c r="K556">
        <v>316</v>
      </c>
      <c r="L556">
        <v>316</v>
      </c>
      <c r="M556">
        <v>100</v>
      </c>
      <c r="N556">
        <v>100</v>
      </c>
      <c r="O556">
        <v>652.9</v>
      </c>
    </row>
    <row r="557" spans="1:15">
      <c r="A557">
        <v>32</v>
      </c>
      <c r="B557" t="s">
        <v>1535</v>
      </c>
      <c r="C557" t="s">
        <v>1536</v>
      </c>
      <c r="D557" t="s">
        <v>7840</v>
      </c>
      <c r="E557" t="s">
        <v>7841</v>
      </c>
      <c r="F557" t="s">
        <v>7842</v>
      </c>
      <c r="G557" t="s">
        <v>5904</v>
      </c>
      <c r="H557">
        <v>201</v>
      </c>
      <c r="I557">
        <v>201</v>
      </c>
      <c r="J557">
        <v>201</v>
      </c>
      <c r="K557">
        <v>201</v>
      </c>
      <c r="L557">
        <v>201</v>
      </c>
      <c r="M557">
        <v>100</v>
      </c>
      <c r="N557">
        <v>100</v>
      </c>
      <c r="O557">
        <v>417.2</v>
      </c>
    </row>
    <row r="558" spans="1:15">
      <c r="A558">
        <v>31</v>
      </c>
      <c r="B558" t="s">
        <v>1537</v>
      </c>
      <c r="C558" t="s">
        <v>1538</v>
      </c>
      <c r="D558" t="s">
        <v>7843</v>
      </c>
      <c r="E558" t="s">
        <v>7844</v>
      </c>
      <c r="F558" t="s">
        <v>7845</v>
      </c>
      <c r="G558" t="s">
        <v>5904</v>
      </c>
      <c r="H558">
        <v>439</v>
      </c>
      <c r="I558">
        <v>439</v>
      </c>
      <c r="J558">
        <v>439</v>
      </c>
      <c r="K558">
        <v>437</v>
      </c>
      <c r="L558">
        <v>438</v>
      </c>
      <c r="M558">
        <v>99.5</v>
      </c>
      <c r="N558">
        <v>99.8</v>
      </c>
      <c r="O558">
        <v>896.3</v>
      </c>
    </row>
    <row r="559" spans="1:15">
      <c r="A559">
        <v>2071</v>
      </c>
      <c r="B559" t="s">
        <v>1539</v>
      </c>
      <c r="C559" t="s">
        <v>1541</v>
      </c>
      <c r="D559" t="s">
        <v>7846</v>
      </c>
      <c r="E559" t="s">
        <v>7847</v>
      </c>
      <c r="F559" t="s">
        <v>7848</v>
      </c>
      <c r="G559" t="s">
        <v>5904</v>
      </c>
      <c r="H559">
        <v>325</v>
      </c>
      <c r="I559">
        <v>325</v>
      </c>
      <c r="J559">
        <v>325</v>
      </c>
      <c r="K559">
        <v>311</v>
      </c>
      <c r="L559">
        <v>321</v>
      </c>
      <c r="M559">
        <v>95.7</v>
      </c>
      <c r="N559">
        <v>98.8</v>
      </c>
      <c r="O559">
        <v>649.79999999999995</v>
      </c>
    </row>
    <row r="560" spans="1:15">
      <c r="A560">
        <v>30</v>
      </c>
      <c r="B560" t="s">
        <v>1542</v>
      </c>
      <c r="C560" t="s">
        <v>1543</v>
      </c>
      <c r="D560" t="s">
        <v>7849</v>
      </c>
      <c r="E560" t="s">
        <v>7850</v>
      </c>
      <c r="F560" t="s">
        <v>7851</v>
      </c>
      <c r="G560" t="s">
        <v>5904</v>
      </c>
      <c r="H560">
        <v>489</v>
      </c>
      <c r="I560">
        <v>489</v>
      </c>
      <c r="J560">
        <v>489</v>
      </c>
      <c r="K560">
        <v>461</v>
      </c>
      <c r="L560">
        <v>468</v>
      </c>
      <c r="M560">
        <v>94.3</v>
      </c>
      <c r="N560">
        <v>95.7</v>
      </c>
      <c r="O560">
        <v>947.2</v>
      </c>
    </row>
    <row r="561" spans="1:15">
      <c r="A561">
        <v>29</v>
      </c>
      <c r="B561" t="s">
        <v>1544</v>
      </c>
      <c r="C561" t="s">
        <v>1546</v>
      </c>
      <c r="D561" t="s">
        <v>7762</v>
      </c>
      <c r="E561" t="s">
        <v>7763</v>
      </c>
      <c r="F561" t="s">
        <v>7852</v>
      </c>
      <c r="G561" t="s">
        <v>5904</v>
      </c>
      <c r="H561">
        <v>129</v>
      </c>
      <c r="I561">
        <v>122</v>
      </c>
      <c r="J561">
        <v>130</v>
      </c>
      <c r="K561">
        <v>99</v>
      </c>
      <c r="L561">
        <v>107</v>
      </c>
      <c r="M561">
        <v>76.7</v>
      </c>
      <c r="N561">
        <v>82.9</v>
      </c>
      <c r="O561">
        <v>191</v>
      </c>
    </row>
    <row r="562" spans="1:15">
      <c r="A562">
        <v>28</v>
      </c>
      <c r="B562" t="s">
        <v>1547</v>
      </c>
      <c r="C562" t="s">
        <v>1548</v>
      </c>
      <c r="D562" t="s">
        <v>7853</v>
      </c>
      <c r="E562" t="s">
        <v>7854</v>
      </c>
      <c r="F562" t="s">
        <v>7855</v>
      </c>
      <c r="G562" t="s">
        <v>5904</v>
      </c>
      <c r="H562">
        <v>263</v>
      </c>
      <c r="I562">
        <v>263</v>
      </c>
      <c r="J562">
        <v>263</v>
      </c>
      <c r="K562">
        <v>262</v>
      </c>
      <c r="L562">
        <v>262</v>
      </c>
      <c r="M562">
        <v>99.6</v>
      </c>
      <c r="N562">
        <v>99.6</v>
      </c>
      <c r="O562">
        <v>549.29999999999995</v>
      </c>
    </row>
    <row r="563" spans="1:15">
      <c r="A563">
        <v>27</v>
      </c>
      <c r="B563" t="s">
        <v>1549</v>
      </c>
      <c r="C563" t="s">
        <v>1550</v>
      </c>
      <c r="D563" t="s">
        <v>7856</v>
      </c>
      <c r="E563" t="s">
        <v>7857</v>
      </c>
      <c r="F563" t="s">
        <v>7858</v>
      </c>
      <c r="G563" t="s">
        <v>5904</v>
      </c>
      <c r="H563">
        <v>572</v>
      </c>
      <c r="I563">
        <v>563</v>
      </c>
      <c r="J563">
        <v>563</v>
      </c>
      <c r="K563">
        <v>512</v>
      </c>
      <c r="L563">
        <v>538</v>
      </c>
      <c r="M563">
        <v>89.5</v>
      </c>
      <c r="N563">
        <v>94.1</v>
      </c>
      <c r="O563">
        <v>1040</v>
      </c>
    </row>
    <row r="564" spans="1:15">
      <c r="A564">
        <v>26</v>
      </c>
      <c r="B564" t="s">
        <v>1551</v>
      </c>
      <c r="C564" t="s">
        <v>1481</v>
      </c>
      <c r="D564" t="s">
        <v>7762</v>
      </c>
      <c r="E564" t="s">
        <v>7763</v>
      </c>
      <c r="F564" t="s">
        <v>7859</v>
      </c>
      <c r="G564" t="s">
        <v>5904</v>
      </c>
      <c r="H564">
        <v>130</v>
      </c>
      <c r="I564">
        <v>122</v>
      </c>
      <c r="J564">
        <v>130</v>
      </c>
      <c r="K564">
        <v>93</v>
      </c>
      <c r="L564">
        <v>101</v>
      </c>
      <c r="M564">
        <v>71.5</v>
      </c>
      <c r="N564">
        <v>77.7</v>
      </c>
      <c r="O564">
        <v>184.1</v>
      </c>
    </row>
    <row r="565" spans="1:15">
      <c r="A565">
        <v>25</v>
      </c>
      <c r="B565" t="s">
        <v>7860</v>
      </c>
      <c r="C565" t="s">
        <v>1555</v>
      </c>
      <c r="D565" t="s">
        <v>7861</v>
      </c>
      <c r="E565" t="s">
        <v>7862</v>
      </c>
      <c r="F565" t="s">
        <v>7863</v>
      </c>
      <c r="G565" t="s">
        <v>5904</v>
      </c>
      <c r="H565">
        <v>377</v>
      </c>
      <c r="I565">
        <v>350</v>
      </c>
      <c r="J565">
        <v>319</v>
      </c>
      <c r="K565">
        <v>279</v>
      </c>
      <c r="L565">
        <v>294</v>
      </c>
      <c r="M565">
        <v>74</v>
      </c>
      <c r="N565">
        <v>78</v>
      </c>
      <c r="O565">
        <v>536.20000000000005</v>
      </c>
    </row>
    <row r="566" spans="1:15">
      <c r="A566">
        <v>24</v>
      </c>
      <c r="B566" t="s">
        <v>1556</v>
      </c>
      <c r="C566" t="s">
        <v>1557</v>
      </c>
      <c r="D566" t="s">
        <v>7864</v>
      </c>
      <c r="E566" t="s">
        <v>7865</v>
      </c>
      <c r="F566" t="s">
        <v>7866</v>
      </c>
      <c r="G566" t="s">
        <v>5904</v>
      </c>
      <c r="H566">
        <v>459</v>
      </c>
      <c r="I566">
        <v>484</v>
      </c>
      <c r="J566">
        <v>484</v>
      </c>
      <c r="K566">
        <v>375</v>
      </c>
      <c r="L566">
        <v>411</v>
      </c>
      <c r="M566">
        <v>81.7</v>
      </c>
      <c r="N566">
        <v>89.5</v>
      </c>
      <c r="O566">
        <v>733</v>
      </c>
    </row>
    <row r="567" spans="1:15">
      <c r="A567">
        <v>23</v>
      </c>
      <c r="B567" t="s">
        <v>7867</v>
      </c>
      <c r="C567" t="s">
        <v>1560</v>
      </c>
      <c r="D567" t="s">
        <v>7868</v>
      </c>
      <c r="E567" t="s">
        <v>7869</v>
      </c>
      <c r="F567" t="s">
        <v>7870</v>
      </c>
      <c r="G567" t="s">
        <v>5904</v>
      </c>
      <c r="H567">
        <v>274</v>
      </c>
      <c r="I567">
        <v>274</v>
      </c>
      <c r="J567">
        <v>274</v>
      </c>
      <c r="K567">
        <v>250</v>
      </c>
      <c r="L567">
        <v>261</v>
      </c>
      <c r="M567">
        <v>91.2</v>
      </c>
      <c r="N567">
        <v>95.3</v>
      </c>
      <c r="O567">
        <v>508.4</v>
      </c>
    </row>
    <row r="568" spans="1:15">
      <c r="A568">
        <v>22</v>
      </c>
      <c r="B568" t="s">
        <v>7871</v>
      </c>
      <c r="C568" t="s">
        <v>1563</v>
      </c>
      <c r="D568" t="s">
        <v>7872</v>
      </c>
      <c r="E568" t="s">
        <v>7873</v>
      </c>
      <c r="F568" t="s">
        <v>7874</v>
      </c>
      <c r="G568" t="s">
        <v>5904</v>
      </c>
      <c r="H568">
        <v>162</v>
      </c>
      <c r="I568">
        <v>142</v>
      </c>
      <c r="J568">
        <v>142</v>
      </c>
      <c r="K568">
        <v>137</v>
      </c>
      <c r="L568">
        <v>139</v>
      </c>
      <c r="M568">
        <v>84.6</v>
      </c>
      <c r="N568">
        <v>85.8</v>
      </c>
      <c r="O568">
        <v>277.3</v>
      </c>
    </row>
    <row r="569" spans="1:15">
      <c r="A569">
        <v>21</v>
      </c>
      <c r="B569" t="s">
        <v>7875</v>
      </c>
      <c r="C569" t="s">
        <v>1566</v>
      </c>
      <c r="D569" t="s">
        <v>7876</v>
      </c>
      <c r="E569" t="s">
        <v>7877</v>
      </c>
      <c r="F569" t="s">
        <v>7878</v>
      </c>
      <c r="G569" t="s">
        <v>5904</v>
      </c>
      <c r="H569">
        <v>367</v>
      </c>
      <c r="I569">
        <v>339</v>
      </c>
      <c r="J569">
        <v>339</v>
      </c>
      <c r="K569">
        <v>243</v>
      </c>
      <c r="L569">
        <v>266</v>
      </c>
      <c r="M569">
        <v>66.2</v>
      </c>
      <c r="N569">
        <v>72.5</v>
      </c>
      <c r="O569">
        <v>422.6</v>
      </c>
    </row>
    <row r="570" spans="1:15">
      <c r="A570">
        <v>20</v>
      </c>
      <c r="B570" t="s">
        <v>1567</v>
      </c>
      <c r="C570" t="s">
        <v>7879</v>
      </c>
      <c r="D570" t="s">
        <v>7880</v>
      </c>
      <c r="E570" t="s">
        <v>7881</v>
      </c>
      <c r="F570" t="s">
        <v>7882</v>
      </c>
      <c r="G570" t="s">
        <v>5904</v>
      </c>
      <c r="H570">
        <v>122</v>
      </c>
      <c r="I570">
        <v>122</v>
      </c>
      <c r="J570">
        <v>122</v>
      </c>
      <c r="K570">
        <v>110</v>
      </c>
      <c r="L570">
        <v>116</v>
      </c>
      <c r="M570">
        <v>90.2</v>
      </c>
      <c r="N570">
        <v>95.1</v>
      </c>
      <c r="O570">
        <v>231.1</v>
      </c>
    </row>
    <row r="571" spans="1:15">
      <c r="A571">
        <v>19</v>
      </c>
      <c r="B571" t="s">
        <v>1569</v>
      </c>
      <c r="C571" t="s">
        <v>1570</v>
      </c>
      <c r="D571" t="s">
        <v>7883</v>
      </c>
      <c r="E571" t="s">
        <v>7884</v>
      </c>
      <c r="F571" t="s">
        <v>7885</v>
      </c>
      <c r="G571" t="s">
        <v>5904</v>
      </c>
      <c r="H571">
        <v>622</v>
      </c>
      <c r="I571">
        <v>622</v>
      </c>
      <c r="J571">
        <v>622</v>
      </c>
      <c r="K571">
        <v>514</v>
      </c>
      <c r="L571">
        <v>558</v>
      </c>
      <c r="M571">
        <v>82.6</v>
      </c>
      <c r="N571">
        <v>89.7</v>
      </c>
      <c r="O571">
        <v>1081.2</v>
      </c>
    </row>
    <row r="572" spans="1:15">
      <c r="A572">
        <v>18</v>
      </c>
      <c r="B572" t="s">
        <v>1571</v>
      </c>
      <c r="C572" t="s">
        <v>1572</v>
      </c>
      <c r="D572" t="s">
        <v>7886</v>
      </c>
      <c r="E572" t="s">
        <v>7887</v>
      </c>
      <c r="F572" t="s">
        <v>7888</v>
      </c>
      <c r="G572" t="s">
        <v>5904</v>
      </c>
      <c r="H572">
        <v>215</v>
      </c>
      <c r="I572">
        <v>215</v>
      </c>
      <c r="J572">
        <v>215</v>
      </c>
      <c r="K572">
        <v>190</v>
      </c>
      <c r="L572">
        <v>202</v>
      </c>
      <c r="M572">
        <v>88.4</v>
      </c>
      <c r="N572">
        <v>94</v>
      </c>
      <c r="O572">
        <v>386</v>
      </c>
    </row>
    <row r="573" spans="1:15">
      <c r="A573">
        <v>17</v>
      </c>
      <c r="B573" t="s">
        <v>7889</v>
      </c>
      <c r="C573" t="s">
        <v>7890</v>
      </c>
      <c r="D573" t="s">
        <v>7891</v>
      </c>
      <c r="E573" t="s">
        <v>7892</v>
      </c>
      <c r="F573" t="s">
        <v>7893</v>
      </c>
      <c r="G573" t="s">
        <v>5904</v>
      </c>
      <c r="H573">
        <v>420</v>
      </c>
      <c r="I573">
        <v>420</v>
      </c>
      <c r="J573">
        <v>420</v>
      </c>
      <c r="K573">
        <v>395</v>
      </c>
      <c r="L573">
        <v>408</v>
      </c>
      <c r="M573">
        <v>94</v>
      </c>
      <c r="N573">
        <v>97.1</v>
      </c>
      <c r="O573">
        <v>741.9</v>
      </c>
    </row>
    <row r="574" spans="1:15">
      <c r="A574">
        <v>16</v>
      </c>
      <c r="B574" t="s">
        <v>1576</v>
      </c>
      <c r="C574" t="s">
        <v>1577</v>
      </c>
      <c r="D574" t="s">
        <v>7894</v>
      </c>
      <c r="E574" t="s">
        <v>7895</v>
      </c>
      <c r="F574" t="s">
        <v>7896</v>
      </c>
      <c r="G574" t="s">
        <v>5904</v>
      </c>
      <c r="H574">
        <v>151</v>
      </c>
      <c r="I574">
        <v>151</v>
      </c>
      <c r="J574">
        <v>151</v>
      </c>
      <c r="K574">
        <v>151</v>
      </c>
      <c r="L574">
        <v>151</v>
      </c>
      <c r="M574">
        <v>100</v>
      </c>
      <c r="N574">
        <v>100</v>
      </c>
      <c r="O574">
        <v>305.10000000000002</v>
      </c>
    </row>
    <row r="575" spans="1:15">
      <c r="A575">
        <v>15</v>
      </c>
      <c r="B575" t="s">
        <v>1578</v>
      </c>
      <c r="C575" t="s">
        <v>1579</v>
      </c>
      <c r="D575" t="s">
        <v>7897</v>
      </c>
      <c r="E575" t="s">
        <v>7898</v>
      </c>
      <c r="F575" t="s">
        <v>7899</v>
      </c>
      <c r="G575" t="s">
        <v>5904</v>
      </c>
      <c r="H575">
        <v>527</v>
      </c>
      <c r="I575">
        <v>527</v>
      </c>
      <c r="J575">
        <v>527</v>
      </c>
      <c r="K575">
        <v>475</v>
      </c>
      <c r="L575">
        <v>503</v>
      </c>
      <c r="M575">
        <v>90.1</v>
      </c>
      <c r="N575">
        <v>95.4</v>
      </c>
      <c r="O575">
        <v>1015.8</v>
      </c>
    </row>
    <row r="576" spans="1:15">
      <c r="A576">
        <v>2070</v>
      </c>
      <c r="B576" t="s">
        <v>7900</v>
      </c>
      <c r="C576" t="s">
        <v>1582</v>
      </c>
      <c r="D576" t="s">
        <v>7901</v>
      </c>
      <c r="E576" t="s">
        <v>7902</v>
      </c>
      <c r="F576" t="s">
        <v>7903</v>
      </c>
      <c r="G576" t="s">
        <v>5904</v>
      </c>
      <c r="H576">
        <v>964</v>
      </c>
      <c r="I576">
        <v>1055</v>
      </c>
      <c r="J576">
        <v>963</v>
      </c>
      <c r="K576">
        <v>959</v>
      </c>
      <c r="L576">
        <v>962</v>
      </c>
      <c r="M576">
        <v>99.5</v>
      </c>
      <c r="N576">
        <v>99.8</v>
      </c>
      <c r="O576">
        <v>2012.7</v>
      </c>
    </row>
    <row r="577" spans="1:15">
      <c r="A577">
        <v>14</v>
      </c>
      <c r="B577" t="s">
        <v>1583</v>
      </c>
      <c r="C577" t="s">
        <v>1584</v>
      </c>
      <c r="D577" t="s">
        <v>7904</v>
      </c>
      <c r="E577" t="s">
        <v>7905</v>
      </c>
      <c r="F577" t="s">
        <v>7906</v>
      </c>
      <c r="G577" t="s">
        <v>5904</v>
      </c>
      <c r="H577">
        <v>191</v>
      </c>
      <c r="I577">
        <v>191</v>
      </c>
      <c r="J577">
        <v>191</v>
      </c>
      <c r="K577">
        <v>190</v>
      </c>
      <c r="L577">
        <v>191</v>
      </c>
      <c r="M577">
        <v>99.5</v>
      </c>
      <c r="N577">
        <v>100</v>
      </c>
      <c r="O577">
        <v>398.7</v>
      </c>
    </row>
    <row r="578" spans="1:15">
      <c r="A578">
        <v>2069</v>
      </c>
      <c r="B578" t="s">
        <v>1585</v>
      </c>
      <c r="C578" t="s">
        <v>1586</v>
      </c>
      <c r="D578" t="s">
        <v>7907</v>
      </c>
      <c r="E578" t="s">
        <v>7908</v>
      </c>
      <c r="F578" t="s">
        <v>7909</v>
      </c>
      <c r="G578" t="s">
        <v>5904</v>
      </c>
      <c r="H578">
        <v>91</v>
      </c>
      <c r="I578">
        <v>91</v>
      </c>
      <c r="J578">
        <v>91</v>
      </c>
      <c r="K578">
        <v>91</v>
      </c>
      <c r="L578">
        <v>91</v>
      </c>
      <c r="M578">
        <v>100</v>
      </c>
      <c r="N578">
        <v>100</v>
      </c>
      <c r="O578">
        <v>186</v>
      </c>
    </row>
    <row r="579" spans="1:15">
      <c r="A579">
        <v>13</v>
      </c>
      <c r="B579" t="s">
        <v>1587</v>
      </c>
      <c r="C579" t="s">
        <v>1588</v>
      </c>
      <c r="D579" t="s">
        <v>7910</v>
      </c>
      <c r="E579" t="s">
        <v>7911</v>
      </c>
      <c r="F579" t="s">
        <v>7912</v>
      </c>
      <c r="G579" t="s">
        <v>5904</v>
      </c>
      <c r="H579">
        <v>466</v>
      </c>
      <c r="I579">
        <v>469</v>
      </c>
      <c r="J579">
        <v>455</v>
      </c>
      <c r="K579">
        <v>358</v>
      </c>
      <c r="L579">
        <v>400</v>
      </c>
      <c r="M579">
        <v>76.8</v>
      </c>
      <c r="N579">
        <v>85.8</v>
      </c>
      <c r="O579">
        <v>760</v>
      </c>
    </row>
    <row r="580" spans="1:15">
      <c r="A580">
        <v>12</v>
      </c>
      <c r="B580" t="s">
        <v>1589</v>
      </c>
      <c r="C580" t="s">
        <v>7913</v>
      </c>
      <c r="D580" t="s">
        <v>7762</v>
      </c>
      <c r="E580" t="s">
        <v>7763</v>
      </c>
      <c r="F580" t="s">
        <v>7914</v>
      </c>
      <c r="G580" t="s">
        <v>5904</v>
      </c>
      <c r="H580">
        <v>129</v>
      </c>
      <c r="I580">
        <v>122</v>
      </c>
      <c r="J580">
        <v>130</v>
      </c>
      <c r="K580">
        <v>97</v>
      </c>
      <c r="L580">
        <v>105</v>
      </c>
      <c r="M580">
        <v>75.2</v>
      </c>
      <c r="N580">
        <v>81.400000000000006</v>
      </c>
      <c r="O580">
        <v>188.7</v>
      </c>
    </row>
    <row r="581" spans="1:15">
      <c r="A581">
        <v>11</v>
      </c>
      <c r="B581" t="s">
        <v>7915</v>
      </c>
      <c r="C581" t="s">
        <v>1593</v>
      </c>
      <c r="D581" t="s">
        <v>7916</v>
      </c>
      <c r="E581" t="s">
        <v>7917</v>
      </c>
      <c r="F581" t="s">
        <v>7918</v>
      </c>
      <c r="G581" t="s">
        <v>5904</v>
      </c>
      <c r="H581">
        <v>1190</v>
      </c>
      <c r="I581">
        <v>1178</v>
      </c>
      <c r="J581">
        <v>1178</v>
      </c>
      <c r="K581">
        <v>1142</v>
      </c>
      <c r="L581">
        <v>1162</v>
      </c>
      <c r="M581">
        <v>96</v>
      </c>
      <c r="N581">
        <v>97.6</v>
      </c>
      <c r="O581">
        <v>2370.1</v>
      </c>
    </row>
    <row r="582" spans="1:15">
      <c r="A582">
        <v>10</v>
      </c>
      <c r="B582" t="s">
        <v>1594</v>
      </c>
      <c r="C582" t="s">
        <v>1596</v>
      </c>
      <c r="D582" t="s">
        <v>7919</v>
      </c>
      <c r="E582" t="s">
        <v>7920</v>
      </c>
      <c r="F582" t="s">
        <v>7921</v>
      </c>
      <c r="G582" t="s">
        <v>5896</v>
      </c>
      <c r="H582">
        <v>160</v>
      </c>
      <c r="I582">
        <v>365</v>
      </c>
      <c r="J582">
        <v>148</v>
      </c>
      <c r="K582">
        <v>102</v>
      </c>
      <c r="L582">
        <v>117</v>
      </c>
      <c r="M582">
        <v>63.8</v>
      </c>
      <c r="N582">
        <v>73.099999999999994</v>
      </c>
      <c r="O582">
        <v>209.9</v>
      </c>
    </row>
    <row r="583" spans="1:15">
      <c r="A583">
        <v>9</v>
      </c>
      <c r="B583" t="s">
        <v>1597</v>
      </c>
      <c r="C583" t="s">
        <v>1599</v>
      </c>
      <c r="D583" t="s">
        <v>7919</v>
      </c>
      <c r="E583" t="s">
        <v>7920</v>
      </c>
      <c r="F583" t="s">
        <v>7922</v>
      </c>
      <c r="G583" t="s">
        <v>5904</v>
      </c>
      <c r="H583">
        <v>244</v>
      </c>
      <c r="I583">
        <v>365</v>
      </c>
      <c r="J583">
        <v>205</v>
      </c>
      <c r="K583">
        <v>159</v>
      </c>
      <c r="L583">
        <v>178</v>
      </c>
      <c r="M583">
        <v>65.2</v>
      </c>
      <c r="N583">
        <v>73</v>
      </c>
      <c r="O583">
        <v>334.7</v>
      </c>
    </row>
    <row r="584" spans="1:15">
      <c r="A584">
        <v>8</v>
      </c>
      <c r="B584" t="s">
        <v>1600</v>
      </c>
      <c r="C584" t="s">
        <v>7923</v>
      </c>
      <c r="D584" t="s">
        <v>7924</v>
      </c>
      <c r="E584" t="s">
        <v>7925</v>
      </c>
      <c r="F584" t="s">
        <v>7926</v>
      </c>
      <c r="G584" t="s">
        <v>5904</v>
      </c>
      <c r="H584">
        <v>149</v>
      </c>
      <c r="I584">
        <v>146</v>
      </c>
      <c r="J584">
        <v>128</v>
      </c>
      <c r="K584">
        <v>87</v>
      </c>
      <c r="L584">
        <v>103</v>
      </c>
      <c r="M584">
        <v>58.4</v>
      </c>
      <c r="N584">
        <v>69.099999999999994</v>
      </c>
      <c r="O584">
        <v>192.2</v>
      </c>
    </row>
    <row r="585" spans="1:15">
      <c r="A585">
        <v>7</v>
      </c>
      <c r="B585" t="s">
        <v>1602</v>
      </c>
      <c r="C585" t="s">
        <v>1604</v>
      </c>
      <c r="D585" t="s">
        <v>7927</v>
      </c>
      <c r="E585" t="s">
        <v>7928</v>
      </c>
      <c r="F585" t="s">
        <v>7929</v>
      </c>
      <c r="G585" t="s">
        <v>5904</v>
      </c>
      <c r="H585">
        <v>298</v>
      </c>
      <c r="I585">
        <v>444</v>
      </c>
      <c r="J585">
        <v>298</v>
      </c>
      <c r="K585">
        <v>298</v>
      </c>
      <c r="L585">
        <v>298</v>
      </c>
      <c r="M585">
        <v>100</v>
      </c>
      <c r="N585">
        <v>100</v>
      </c>
      <c r="O585">
        <v>626.70000000000005</v>
      </c>
    </row>
    <row r="586" spans="1:15">
      <c r="A586">
        <v>6</v>
      </c>
      <c r="B586" t="s">
        <v>1605</v>
      </c>
      <c r="C586" t="s">
        <v>1606</v>
      </c>
      <c r="D586" t="s">
        <v>7930</v>
      </c>
      <c r="E586" t="s">
        <v>7931</v>
      </c>
      <c r="F586" t="s">
        <v>7932</v>
      </c>
      <c r="G586" t="s">
        <v>5896</v>
      </c>
      <c r="H586">
        <v>217</v>
      </c>
      <c r="I586">
        <v>363</v>
      </c>
      <c r="J586">
        <v>178</v>
      </c>
      <c r="K586">
        <v>140</v>
      </c>
      <c r="L586">
        <v>153</v>
      </c>
      <c r="M586">
        <v>64.5</v>
      </c>
      <c r="N586">
        <v>70.5</v>
      </c>
      <c r="O586">
        <v>285.39999999999998</v>
      </c>
    </row>
    <row r="587" spans="1:15">
      <c r="A587">
        <v>5</v>
      </c>
      <c r="B587" t="s">
        <v>1607</v>
      </c>
      <c r="C587" t="s">
        <v>1608</v>
      </c>
      <c r="D587" t="s">
        <v>7930</v>
      </c>
      <c r="E587" t="s">
        <v>7931</v>
      </c>
      <c r="F587" t="s">
        <v>7933</v>
      </c>
      <c r="G587" t="s">
        <v>5904</v>
      </c>
      <c r="H587">
        <v>303</v>
      </c>
      <c r="I587">
        <v>363</v>
      </c>
      <c r="J587">
        <v>183</v>
      </c>
      <c r="K587">
        <v>147</v>
      </c>
      <c r="L587">
        <v>164</v>
      </c>
      <c r="M587">
        <v>48.5</v>
      </c>
      <c r="N587">
        <v>54.1</v>
      </c>
      <c r="O587">
        <v>308.5</v>
      </c>
    </row>
    <row r="588" spans="1:15">
      <c r="A588">
        <v>4</v>
      </c>
      <c r="B588" t="s">
        <v>1609</v>
      </c>
      <c r="C588" t="s">
        <v>1610</v>
      </c>
      <c r="D588" t="s">
        <v>7934</v>
      </c>
      <c r="E588" t="s">
        <v>7935</v>
      </c>
      <c r="F588" t="s">
        <v>7936</v>
      </c>
      <c r="G588" t="s">
        <v>5896</v>
      </c>
      <c r="H588">
        <v>302</v>
      </c>
      <c r="I588">
        <v>372</v>
      </c>
      <c r="J588">
        <v>183</v>
      </c>
      <c r="K588">
        <v>149</v>
      </c>
      <c r="L588">
        <v>163</v>
      </c>
      <c r="M588">
        <v>49.3</v>
      </c>
      <c r="N588">
        <v>54</v>
      </c>
      <c r="O588">
        <v>308.89999999999998</v>
      </c>
    </row>
    <row r="589" spans="1:15">
      <c r="A589">
        <v>3</v>
      </c>
      <c r="B589" t="s">
        <v>7937</v>
      </c>
      <c r="C589" t="s">
        <v>5720</v>
      </c>
      <c r="D589" t="s">
        <v>7938</v>
      </c>
      <c r="E589" t="s">
        <v>7939</v>
      </c>
      <c r="F589" t="s">
        <v>7940</v>
      </c>
      <c r="G589" t="s">
        <v>5904</v>
      </c>
      <c r="H589">
        <v>221</v>
      </c>
      <c r="I589">
        <v>221</v>
      </c>
      <c r="J589">
        <v>148</v>
      </c>
      <c r="K589">
        <v>133</v>
      </c>
      <c r="L589">
        <v>137</v>
      </c>
      <c r="M589">
        <v>60.2</v>
      </c>
      <c r="N589">
        <v>62</v>
      </c>
      <c r="O589">
        <v>183.3</v>
      </c>
    </row>
    <row r="590" spans="1:15">
      <c r="A590">
        <v>2068</v>
      </c>
      <c r="B590" t="s">
        <v>1611</v>
      </c>
      <c r="C590" t="s">
        <v>1612</v>
      </c>
      <c r="D590" t="s">
        <v>7941</v>
      </c>
      <c r="E590" t="s">
        <v>7942</v>
      </c>
      <c r="F590" t="s">
        <v>7943</v>
      </c>
      <c r="G590" t="s">
        <v>5904</v>
      </c>
      <c r="H590">
        <v>590</v>
      </c>
      <c r="I590">
        <v>591</v>
      </c>
      <c r="J590">
        <v>590</v>
      </c>
      <c r="K590">
        <v>496</v>
      </c>
      <c r="L590">
        <v>526</v>
      </c>
      <c r="M590">
        <v>84.1</v>
      </c>
      <c r="N590">
        <v>89.2</v>
      </c>
      <c r="O590">
        <v>1049.7</v>
      </c>
    </row>
    <row r="591" spans="1:15">
      <c r="A591">
        <v>1078</v>
      </c>
      <c r="B591" t="s">
        <v>1613</v>
      </c>
      <c r="C591" t="s">
        <v>1614</v>
      </c>
      <c r="D591" t="s">
        <v>7944</v>
      </c>
      <c r="E591" t="s">
        <v>7945</v>
      </c>
      <c r="F591" t="s">
        <v>7946</v>
      </c>
      <c r="G591" t="s">
        <v>5904</v>
      </c>
      <c r="H591">
        <v>98</v>
      </c>
      <c r="I591">
        <v>98</v>
      </c>
      <c r="J591">
        <v>98</v>
      </c>
      <c r="K591">
        <v>76</v>
      </c>
      <c r="L591">
        <v>88</v>
      </c>
      <c r="M591">
        <v>77.599999999999994</v>
      </c>
      <c r="N591">
        <v>89.8</v>
      </c>
      <c r="O591">
        <v>167.9</v>
      </c>
    </row>
    <row r="592" spans="1:15">
      <c r="A592">
        <v>1077</v>
      </c>
      <c r="B592" t="s">
        <v>7947</v>
      </c>
      <c r="C592" t="s">
        <v>1618</v>
      </c>
      <c r="D592" t="s">
        <v>7948</v>
      </c>
      <c r="E592" t="s">
        <v>7949</v>
      </c>
      <c r="F592" t="s">
        <v>7950</v>
      </c>
      <c r="G592" t="s">
        <v>5904</v>
      </c>
      <c r="H592">
        <v>76</v>
      </c>
      <c r="I592">
        <v>95</v>
      </c>
      <c r="J592">
        <v>95</v>
      </c>
      <c r="K592">
        <v>72</v>
      </c>
      <c r="L592">
        <v>74</v>
      </c>
      <c r="M592">
        <v>94.7</v>
      </c>
      <c r="N592">
        <v>97.4</v>
      </c>
      <c r="O592">
        <v>141</v>
      </c>
    </row>
    <row r="593" spans="1:15">
      <c r="A593">
        <v>1076</v>
      </c>
      <c r="B593" t="s">
        <v>7951</v>
      </c>
      <c r="C593" t="s">
        <v>1621</v>
      </c>
      <c r="D593" t="s">
        <v>7952</v>
      </c>
      <c r="E593" t="s">
        <v>7953</v>
      </c>
      <c r="F593" t="s">
        <v>7954</v>
      </c>
      <c r="G593" t="s">
        <v>5904</v>
      </c>
      <c r="H593">
        <v>590</v>
      </c>
      <c r="I593">
        <v>578</v>
      </c>
      <c r="J593">
        <v>572</v>
      </c>
      <c r="K593">
        <v>506</v>
      </c>
      <c r="L593">
        <v>541</v>
      </c>
      <c r="M593">
        <v>85.8</v>
      </c>
      <c r="N593">
        <v>91.7</v>
      </c>
      <c r="O593">
        <v>1065.0999999999999</v>
      </c>
    </row>
    <row r="594" spans="1:15">
      <c r="A594">
        <v>1075</v>
      </c>
      <c r="B594" t="s">
        <v>7955</v>
      </c>
      <c r="C594" t="s">
        <v>1624</v>
      </c>
      <c r="D594" t="s">
        <v>7956</v>
      </c>
      <c r="E594" t="s">
        <v>7957</v>
      </c>
      <c r="F594" t="s">
        <v>7958</v>
      </c>
      <c r="G594" t="s">
        <v>5904</v>
      </c>
      <c r="H594">
        <v>532</v>
      </c>
      <c r="I594">
        <v>543</v>
      </c>
      <c r="J594">
        <v>531</v>
      </c>
      <c r="K594">
        <v>442</v>
      </c>
      <c r="L594">
        <v>490</v>
      </c>
      <c r="M594">
        <v>83.1</v>
      </c>
      <c r="N594">
        <v>92.1</v>
      </c>
      <c r="O594">
        <v>953.7</v>
      </c>
    </row>
    <row r="595" spans="1:15">
      <c r="A595">
        <v>2067</v>
      </c>
      <c r="B595" t="s">
        <v>7959</v>
      </c>
      <c r="C595" t="s">
        <v>1627</v>
      </c>
      <c r="D595" t="s">
        <v>7960</v>
      </c>
      <c r="E595" t="s">
        <v>7961</v>
      </c>
      <c r="F595" t="s">
        <v>7962</v>
      </c>
      <c r="G595" t="s">
        <v>5904</v>
      </c>
      <c r="H595">
        <v>412</v>
      </c>
      <c r="I595">
        <v>377</v>
      </c>
      <c r="J595">
        <v>412</v>
      </c>
      <c r="K595">
        <v>373</v>
      </c>
      <c r="L595">
        <v>374</v>
      </c>
      <c r="M595">
        <v>90.5</v>
      </c>
      <c r="N595">
        <v>90.8</v>
      </c>
      <c r="O595">
        <v>748</v>
      </c>
    </row>
    <row r="596" spans="1:15">
      <c r="A596">
        <v>1074</v>
      </c>
      <c r="B596" t="s">
        <v>1628</v>
      </c>
      <c r="C596" t="s">
        <v>1629</v>
      </c>
      <c r="D596" t="s">
        <v>7963</v>
      </c>
      <c r="E596" t="s">
        <v>7964</v>
      </c>
      <c r="F596" t="s">
        <v>7965</v>
      </c>
      <c r="G596" t="s">
        <v>5904</v>
      </c>
      <c r="H596">
        <v>1034</v>
      </c>
      <c r="I596">
        <v>1019</v>
      </c>
      <c r="J596">
        <v>1034</v>
      </c>
      <c r="K596">
        <v>862</v>
      </c>
      <c r="L596">
        <v>930</v>
      </c>
      <c r="M596">
        <v>83.4</v>
      </c>
      <c r="N596">
        <v>89.9</v>
      </c>
      <c r="O596">
        <v>1812.3</v>
      </c>
    </row>
    <row r="597" spans="1:15">
      <c r="A597">
        <v>1073</v>
      </c>
      <c r="B597" t="s">
        <v>7966</v>
      </c>
      <c r="C597" t="s">
        <v>7967</v>
      </c>
      <c r="D597" t="s">
        <v>7968</v>
      </c>
      <c r="E597" t="s">
        <v>7969</v>
      </c>
      <c r="F597" t="s">
        <v>7970</v>
      </c>
      <c r="G597" t="s">
        <v>5904</v>
      </c>
      <c r="H597">
        <v>331</v>
      </c>
      <c r="I597">
        <v>331</v>
      </c>
      <c r="J597">
        <v>330</v>
      </c>
      <c r="K597">
        <v>312</v>
      </c>
      <c r="L597">
        <v>321</v>
      </c>
      <c r="M597">
        <v>94.3</v>
      </c>
      <c r="N597">
        <v>97</v>
      </c>
      <c r="O597">
        <v>653.70000000000005</v>
      </c>
    </row>
    <row r="598" spans="1:15">
      <c r="A598">
        <v>1072</v>
      </c>
      <c r="B598" t="s">
        <v>1633</v>
      </c>
      <c r="C598" t="s">
        <v>1634</v>
      </c>
      <c r="D598" t="s">
        <v>7971</v>
      </c>
      <c r="E598" t="s">
        <v>7972</v>
      </c>
      <c r="F598" t="s">
        <v>7973</v>
      </c>
      <c r="G598" t="s">
        <v>5904</v>
      </c>
      <c r="H598">
        <v>1050</v>
      </c>
      <c r="I598">
        <v>1065</v>
      </c>
      <c r="J598">
        <v>1063</v>
      </c>
      <c r="K598">
        <v>637</v>
      </c>
      <c r="L598">
        <v>810</v>
      </c>
      <c r="M598">
        <v>60.7</v>
      </c>
      <c r="N598">
        <v>77.099999999999994</v>
      </c>
      <c r="O598">
        <v>1340.5</v>
      </c>
    </row>
    <row r="599" spans="1:15">
      <c r="A599">
        <v>1071</v>
      </c>
      <c r="B599" t="s">
        <v>7974</v>
      </c>
      <c r="C599" t="s">
        <v>5723</v>
      </c>
      <c r="D599" t="s">
        <v>7975</v>
      </c>
      <c r="E599" t="s">
        <v>7976</v>
      </c>
      <c r="F599" t="s">
        <v>7977</v>
      </c>
      <c r="G599" t="s">
        <v>5904</v>
      </c>
      <c r="H599">
        <v>285</v>
      </c>
      <c r="I599">
        <v>295</v>
      </c>
      <c r="J599">
        <v>295</v>
      </c>
      <c r="K599">
        <v>279</v>
      </c>
      <c r="L599">
        <v>280</v>
      </c>
      <c r="M599">
        <v>97.9</v>
      </c>
      <c r="N599">
        <v>98.2</v>
      </c>
      <c r="O599">
        <v>565.1</v>
      </c>
    </row>
    <row r="600" spans="1:15">
      <c r="A600">
        <v>2242</v>
      </c>
      <c r="B600" t="s">
        <v>1635</v>
      </c>
      <c r="C600" t="s">
        <v>7978</v>
      </c>
      <c r="D600" t="s">
        <v>7979</v>
      </c>
      <c r="E600" t="s">
        <v>7980</v>
      </c>
      <c r="F600" t="s">
        <v>7981</v>
      </c>
      <c r="G600" t="s">
        <v>5904</v>
      </c>
      <c r="H600">
        <v>472</v>
      </c>
      <c r="I600">
        <v>472</v>
      </c>
      <c r="J600">
        <v>472</v>
      </c>
      <c r="K600">
        <v>429</v>
      </c>
      <c r="L600">
        <v>445</v>
      </c>
      <c r="M600">
        <v>90.9</v>
      </c>
      <c r="N600">
        <v>94.3</v>
      </c>
      <c r="O600">
        <v>859</v>
      </c>
    </row>
    <row r="601" spans="1:15">
      <c r="A601">
        <v>1070</v>
      </c>
      <c r="B601" t="s">
        <v>7982</v>
      </c>
      <c r="C601" t="s">
        <v>7983</v>
      </c>
      <c r="D601" t="s">
        <v>7984</v>
      </c>
      <c r="E601" t="s">
        <v>7985</v>
      </c>
      <c r="F601" t="s">
        <v>7986</v>
      </c>
      <c r="G601" t="s">
        <v>5904</v>
      </c>
      <c r="H601">
        <v>404</v>
      </c>
      <c r="I601">
        <v>400</v>
      </c>
      <c r="J601">
        <v>404</v>
      </c>
      <c r="K601">
        <v>377</v>
      </c>
      <c r="L601">
        <v>383</v>
      </c>
      <c r="M601">
        <v>93.3</v>
      </c>
      <c r="N601">
        <v>94.8</v>
      </c>
      <c r="O601">
        <v>584.70000000000005</v>
      </c>
    </row>
    <row r="602" spans="1:15">
      <c r="A602">
        <v>1069</v>
      </c>
      <c r="B602" t="s">
        <v>1640</v>
      </c>
      <c r="C602" t="s">
        <v>1641</v>
      </c>
      <c r="D602" t="s">
        <v>7987</v>
      </c>
      <c r="E602" t="s">
        <v>7988</v>
      </c>
      <c r="F602" t="s">
        <v>7989</v>
      </c>
      <c r="G602" t="s">
        <v>5904</v>
      </c>
      <c r="H602">
        <v>624</v>
      </c>
      <c r="I602">
        <v>593</v>
      </c>
      <c r="J602">
        <v>625</v>
      </c>
      <c r="K602">
        <v>526</v>
      </c>
      <c r="L602">
        <v>549</v>
      </c>
      <c r="M602">
        <v>84.3</v>
      </c>
      <c r="N602">
        <v>88</v>
      </c>
      <c r="O602">
        <v>1056.2</v>
      </c>
    </row>
    <row r="603" spans="1:15">
      <c r="A603">
        <v>1068</v>
      </c>
      <c r="B603" t="s">
        <v>1642</v>
      </c>
      <c r="C603" t="s">
        <v>1643</v>
      </c>
      <c r="D603" t="s">
        <v>7990</v>
      </c>
      <c r="E603" t="s">
        <v>7991</v>
      </c>
      <c r="F603" t="s">
        <v>7992</v>
      </c>
      <c r="G603" t="s">
        <v>5904</v>
      </c>
      <c r="H603">
        <v>2029</v>
      </c>
      <c r="I603">
        <v>1948</v>
      </c>
      <c r="J603">
        <v>1871</v>
      </c>
      <c r="K603">
        <v>1824</v>
      </c>
      <c r="L603">
        <v>1853</v>
      </c>
      <c r="M603">
        <v>89.9</v>
      </c>
      <c r="N603">
        <v>91.3</v>
      </c>
      <c r="O603">
        <v>3787.7</v>
      </c>
    </row>
    <row r="604" spans="1:15">
      <c r="A604">
        <v>1067</v>
      </c>
      <c r="B604" t="s">
        <v>1644</v>
      </c>
      <c r="C604" t="s">
        <v>1645</v>
      </c>
      <c r="D604" t="s">
        <v>7993</v>
      </c>
      <c r="E604" t="s">
        <v>7994</v>
      </c>
      <c r="F604" t="s">
        <v>7995</v>
      </c>
      <c r="G604" t="s">
        <v>5904</v>
      </c>
      <c r="H604">
        <v>413</v>
      </c>
      <c r="I604">
        <v>331</v>
      </c>
      <c r="J604">
        <v>340</v>
      </c>
      <c r="K604">
        <v>220</v>
      </c>
      <c r="L604">
        <v>245</v>
      </c>
      <c r="M604">
        <v>53.3</v>
      </c>
      <c r="N604">
        <v>59.3</v>
      </c>
      <c r="O604">
        <v>281.2</v>
      </c>
    </row>
    <row r="605" spans="1:15">
      <c r="A605">
        <v>1066</v>
      </c>
      <c r="B605" t="s">
        <v>1646</v>
      </c>
      <c r="C605" t="s">
        <v>1647</v>
      </c>
      <c r="D605" t="s">
        <v>7996</v>
      </c>
      <c r="E605" t="s">
        <v>7997</v>
      </c>
      <c r="F605" t="s">
        <v>7998</v>
      </c>
      <c r="G605" t="s">
        <v>5904</v>
      </c>
      <c r="H605">
        <v>265</v>
      </c>
      <c r="I605">
        <v>267</v>
      </c>
      <c r="J605">
        <v>266</v>
      </c>
      <c r="K605">
        <v>193</v>
      </c>
      <c r="L605">
        <v>219</v>
      </c>
      <c r="M605">
        <v>72.8</v>
      </c>
      <c r="N605">
        <v>82.6</v>
      </c>
      <c r="O605">
        <v>373.2</v>
      </c>
    </row>
    <row r="606" spans="1:15">
      <c r="A606">
        <v>1065</v>
      </c>
      <c r="B606" t="s">
        <v>1648</v>
      </c>
      <c r="C606" t="s">
        <v>1649</v>
      </c>
      <c r="D606" t="s">
        <v>7999</v>
      </c>
      <c r="E606" t="s">
        <v>8000</v>
      </c>
      <c r="F606" t="s">
        <v>8001</v>
      </c>
      <c r="G606" t="s">
        <v>5904</v>
      </c>
      <c r="H606">
        <v>152</v>
      </c>
      <c r="I606">
        <v>213</v>
      </c>
      <c r="J606">
        <v>152</v>
      </c>
      <c r="K606">
        <v>148</v>
      </c>
      <c r="L606">
        <v>150</v>
      </c>
      <c r="M606">
        <v>97.4</v>
      </c>
      <c r="N606">
        <v>98.7</v>
      </c>
      <c r="O606">
        <v>304.7</v>
      </c>
    </row>
    <row r="607" spans="1:15">
      <c r="A607">
        <v>1064</v>
      </c>
      <c r="B607" t="s">
        <v>1650</v>
      </c>
      <c r="C607" t="s">
        <v>1651</v>
      </c>
      <c r="D607" t="s">
        <v>8002</v>
      </c>
      <c r="E607" t="s">
        <v>8003</v>
      </c>
      <c r="F607" t="s">
        <v>8004</v>
      </c>
      <c r="G607" t="s">
        <v>5904</v>
      </c>
      <c r="H607">
        <v>236</v>
      </c>
      <c r="I607">
        <v>236</v>
      </c>
      <c r="J607">
        <v>235</v>
      </c>
      <c r="K607">
        <v>215</v>
      </c>
      <c r="L607">
        <v>224</v>
      </c>
      <c r="M607">
        <v>91.1</v>
      </c>
      <c r="N607">
        <v>94.9</v>
      </c>
      <c r="O607">
        <v>433.3</v>
      </c>
    </row>
    <row r="608" spans="1:15">
      <c r="A608">
        <v>1063</v>
      </c>
      <c r="B608" t="s">
        <v>1652</v>
      </c>
      <c r="C608" t="s">
        <v>1653</v>
      </c>
      <c r="D608" t="s">
        <v>8005</v>
      </c>
      <c r="E608" t="s">
        <v>8006</v>
      </c>
      <c r="F608" t="s">
        <v>8007</v>
      </c>
      <c r="G608" t="s">
        <v>5904</v>
      </c>
      <c r="H608">
        <v>400</v>
      </c>
      <c r="I608">
        <v>400</v>
      </c>
      <c r="J608">
        <v>400</v>
      </c>
      <c r="K608">
        <v>368</v>
      </c>
      <c r="L608">
        <v>381</v>
      </c>
      <c r="M608">
        <v>92</v>
      </c>
      <c r="N608">
        <v>95.2</v>
      </c>
      <c r="O608">
        <v>769.2</v>
      </c>
    </row>
    <row r="609" spans="1:15">
      <c r="A609">
        <v>2241</v>
      </c>
      <c r="B609" t="s">
        <v>1654</v>
      </c>
      <c r="C609" t="s">
        <v>1655</v>
      </c>
      <c r="D609" t="s">
        <v>8008</v>
      </c>
      <c r="E609" t="s">
        <v>8009</v>
      </c>
      <c r="F609" t="s">
        <v>8010</v>
      </c>
      <c r="G609" t="s">
        <v>5904</v>
      </c>
      <c r="H609">
        <v>201</v>
      </c>
      <c r="I609">
        <v>201</v>
      </c>
      <c r="J609">
        <v>201</v>
      </c>
      <c r="K609">
        <v>192</v>
      </c>
      <c r="L609">
        <v>196</v>
      </c>
      <c r="M609">
        <v>95.5</v>
      </c>
      <c r="N609">
        <v>97.5</v>
      </c>
      <c r="O609">
        <v>365.9</v>
      </c>
    </row>
    <row r="610" spans="1:15">
      <c r="A610">
        <v>2066</v>
      </c>
      <c r="B610" t="s">
        <v>1656</v>
      </c>
      <c r="C610" t="s">
        <v>1657</v>
      </c>
      <c r="D610" t="s">
        <v>8011</v>
      </c>
      <c r="E610" t="s">
        <v>8012</v>
      </c>
      <c r="F610" t="s">
        <v>8013</v>
      </c>
      <c r="G610" t="s">
        <v>5904</v>
      </c>
      <c r="H610">
        <v>353</v>
      </c>
      <c r="I610">
        <v>357</v>
      </c>
      <c r="J610">
        <v>357</v>
      </c>
      <c r="K610">
        <v>296</v>
      </c>
      <c r="L610">
        <v>319</v>
      </c>
      <c r="M610">
        <v>83.9</v>
      </c>
      <c r="N610">
        <v>90.4</v>
      </c>
      <c r="O610">
        <v>582.79999999999995</v>
      </c>
    </row>
    <row r="611" spans="1:15">
      <c r="A611">
        <v>1062</v>
      </c>
      <c r="B611" t="s">
        <v>8014</v>
      </c>
      <c r="C611" t="s">
        <v>1660</v>
      </c>
      <c r="D611" t="s">
        <v>8015</v>
      </c>
      <c r="E611" t="s">
        <v>8016</v>
      </c>
      <c r="F611" t="s">
        <v>8017</v>
      </c>
      <c r="G611" t="s">
        <v>5904</v>
      </c>
      <c r="H611">
        <v>178</v>
      </c>
      <c r="I611">
        <v>178</v>
      </c>
      <c r="J611">
        <v>178</v>
      </c>
      <c r="K611">
        <v>176</v>
      </c>
      <c r="L611">
        <v>177</v>
      </c>
      <c r="M611">
        <v>98.9</v>
      </c>
      <c r="N611">
        <v>99.4</v>
      </c>
      <c r="O611">
        <v>352.1</v>
      </c>
    </row>
    <row r="612" spans="1:15">
      <c r="A612">
        <v>1061</v>
      </c>
      <c r="B612" t="s">
        <v>1661</v>
      </c>
      <c r="C612" t="s">
        <v>1662</v>
      </c>
      <c r="D612" t="s">
        <v>8018</v>
      </c>
      <c r="E612" t="s">
        <v>8019</v>
      </c>
      <c r="F612" t="s">
        <v>8020</v>
      </c>
      <c r="G612" t="s">
        <v>5904</v>
      </c>
      <c r="H612">
        <v>157</v>
      </c>
      <c r="I612">
        <v>157</v>
      </c>
      <c r="J612">
        <v>157</v>
      </c>
      <c r="K612">
        <v>157</v>
      </c>
      <c r="L612">
        <v>157</v>
      </c>
      <c r="M612">
        <v>100</v>
      </c>
      <c r="N612">
        <v>100</v>
      </c>
      <c r="O612">
        <v>315.10000000000002</v>
      </c>
    </row>
    <row r="613" spans="1:15">
      <c r="A613">
        <v>2065</v>
      </c>
      <c r="B613" t="s">
        <v>1663</v>
      </c>
      <c r="C613" t="s">
        <v>1664</v>
      </c>
      <c r="D613" t="s">
        <v>8021</v>
      </c>
      <c r="E613" t="s">
        <v>8022</v>
      </c>
      <c r="F613" t="s">
        <v>8023</v>
      </c>
      <c r="G613" t="s">
        <v>5904</v>
      </c>
      <c r="H613">
        <v>249</v>
      </c>
      <c r="I613">
        <v>253</v>
      </c>
      <c r="J613">
        <v>231</v>
      </c>
      <c r="K613">
        <v>200</v>
      </c>
      <c r="L613">
        <v>211</v>
      </c>
      <c r="M613">
        <v>80.3</v>
      </c>
      <c r="N613">
        <v>84.7</v>
      </c>
      <c r="O613">
        <v>365.9</v>
      </c>
    </row>
    <row r="614" spans="1:15">
      <c r="A614">
        <v>1060</v>
      </c>
      <c r="B614" t="s">
        <v>8024</v>
      </c>
      <c r="C614" t="s">
        <v>8025</v>
      </c>
      <c r="D614" t="s">
        <v>8026</v>
      </c>
      <c r="E614" t="s">
        <v>8027</v>
      </c>
      <c r="F614" t="s">
        <v>8028</v>
      </c>
      <c r="G614" t="s">
        <v>5904</v>
      </c>
      <c r="H614">
        <v>770</v>
      </c>
      <c r="I614">
        <v>760</v>
      </c>
      <c r="J614">
        <v>770</v>
      </c>
      <c r="K614">
        <v>600</v>
      </c>
      <c r="L614">
        <v>694</v>
      </c>
      <c r="M614">
        <v>77.900000000000006</v>
      </c>
      <c r="N614">
        <v>90.1</v>
      </c>
      <c r="O614">
        <v>1278.8</v>
      </c>
    </row>
    <row r="615" spans="1:15">
      <c r="A615">
        <v>1059</v>
      </c>
      <c r="B615" t="s">
        <v>8029</v>
      </c>
      <c r="C615" t="s">
        <v>1670</v>
      </c>
      <c r="D615" t="s">
        <v>8030</v>
      </c>
      <c r="E615" t="s">
        <v>8031</v>
      </c>
      <c r="F615" t="s">
        <v>8032</v>
      </c>
      <c r="G615" t="s">
        <v>5904</v>
      </c>
      <c r="H615">
        <v>830</v>
      </c>
      <c r="I615">
        <v>835</v>
      </c>
      <c r="J615">
        <v>826</v>
      </c>
      <c r="K615">
        <v>579</v>
      </c>
      <c r="L615">
        <v>668</v>
      </c>
      <c r="M615">
        <v>69.8</v>
      </c>
      <c r="N615">
        <v>80.5</v>
      </c>
      <c r="O615">
        <v>1168.3</v>
      </c>
    </row>
    <row r="616" spans="1:15">
      <c r="A616">
        <v>1058</v>
      </c>
      <c r="B616" t="s">
        <v>8033</v>
      </c>
      <c r="C616" t="s">
        <v>8034</v>
      </c>
      <c r="D616" t="s">
        <v>8035</v>
      </c>
      <c r="E616" t="s">
        <v>8036</v>
      </c>
      <c r="F616" t="s">
        <v>8037</v>
      </c>
      <c r="G616" t="s">
        <v>5904</v>
      </c>
      <c r="H616">
        <v>368</v>
      </c>
      <c r="I616">
        <v>333</v>
      </c>
      <c r="J616">
        <v>368</v>
      </c>
      <c r="K616">
        <v>323</v>
      </c>
      <c r="L616">
        <v>328</v>
      </c>
      <c r="M616">
        <v>87.8</v>
      </c>
      <c r="N616">
        <v>89.1</v>
      </c>
      <c r="O616">
        <v>561.6</v>
      </c>
    </row>
    <row r="617" spans="1:15">
      <c r="A617">
        <v>1057</v>
      </c>
      <c r="B617" t="s">
        <v>1674</v>
      </c>
      <c r="C617" t="s">
        <v>1675</v>
      </c>
      <c r="D617" t="s">
        <v>8038</v>
      </c>
      <c r="E617" t="s">
        <v>8039</v>
      </c>
      <c r="F617" t="s">
        <v>8040</v>
      </c>
      <c r="G617" t="s">
        <v>5904</v>
      </c>
      <c r="H617">
        <v>412</v>
      </c>
      <c r="I617">
        <v>406</v>
      </c>
      <c r="J617">
        <v>412</v>
      </c>
      <c r="K617">
        <v>333</v>
      </c>
      <c r="L617">
        <v>355</v>
      </c>
      <c r="M617">
        <v>80.8</v>
      </c>
      <c r="N617">
        <v>86.2</v>
      </c>
      <c r="O617">
        <v>673.7</v>
      </c>
    </row>
    <row r="618" spans="1:15">
      <c r="A618">
        <v>1056</v>
      </c>
      <c r="B618" t="s">
        <v>1676</v>
      </c>
      <c r="C618" t="s">
        <v>8041</v>
      </c>
      <c r="D618" t="s">
        <v>8042</v>
      </c>
      <c r="E618" t="s">
        <v>8043</v>
      </c>
      <c r="F618" t="s">
        <v>8044</v>
      </c>
      <c r="G618" t="s">
        <v>5904</v>
      </c>
      <c r="H618">
        <v>193</v>
      </c>
      <c r="I618">
        <v>193</v>
      </c>
      <c r="J618">
        <v>193</v>
      </c>
      <c r="K618">
        <v>193</v>
      </c>
      <c r="L618">
        <v>193</v>
      </c>
      <c r="M618">
        <v>100</v>
      </c>
      <c r="N618">
        <v>100</v>
      </c>
      <c r="O618">
        <v>400.6</v>
      </c>
    </row>
    <row r="619" spans="1:15">
      <c r="A619">
        <v>1055</v>
      </c>
      <c r="B619" t="s">
        <v>1679</v>
      </c>
      <c r="C619" t="s">
        <v>8045</v>
      </c>
      <c r="D619" t="s">
        <v>8046</v>
      </c>
      <c r="E619" t="s">
        <v>8047</v>
      </c>
      <c r="F619" t="s">
        <v>8048</v>
      </c>
      <c r="G619" t="s">
        <v>5904</v>
      </c>
      <c r="H619">
        <v>1845</v>
      </c>
      <c r="I619">
        <v>1843</v>
      </c>
      <c r="J619">
        <v>1858</v>
      </c>
      <c r="K619">
        <v>1425</v>
      </c>
      <c r="L619">
        <v>1523</v>
      </c>
      <c r="M619">
        <v>77.2</v>
      </c>
      <c r="N619">
        <v>82.5</v>
      </c>
      <c r="O619">
        <v>2578.9</v>
      </c>
    </row>
    <row r="620" spans="1:15">
      <c r="A620">
        <v>1054</v>
      </c>
      <c r="B620" t="s">
        <v>1681</v>
      </c>
      <c r="C620" t="s">
        <v>1682</v>
      </c>
      <c r="D620" t="s">
        <v>8049</v>
      </c>
      <c r="E620" t="s">
        <v>8050</v>
      </c>
      <c r="F620" t="s">
        <v>8051</v>
      </c>
      <c r="G620" t="s">
        <v>5904</v>
      </c>
      <c r="H620">
        <v>1133</v>
      </c>
      <c r="I620">
        <v>1152</v>
      </c>
      <c r="J620">
        <v>1171</v>
      </c>
      <c r="K620">
        <v>837</v>
      </c>
      <c r="L620">
        <v>929</v>
      </c>
      <c r="M620">
        <v>73.900000000000006</v>
      </c>
      <c r="N620">
        <v>82</v>
      </c>
      <c r="O620">
        <v>1521.5</v>
      </c>
    </row>
    <row r="621" spans="1:15">
      <c r="A621">
        <v>1053</v>
      </c>
      <c r="B621" t="s">
        <v>8052</v>
      </c>
      <c r="C621" t="s">
        <v>1686</v>
      </c>
      <c r="D621" t="s">
        <v>8053</v>
      </c>
      <c r="E621" t="s">
        <v>8054</v>
      </c>
      <c r="F621" t="s">
        <v>8055</v>
      </c>
      <c r="G621" t="s">
        <v>5904</v>
      </c>
      <c r="H621">
        <v>492</v>
      </c>
      <c r="I621">
        <v>547</v>
      </c>
      <c r="J621">
        <v>488</v>
      </c>
      <c r="K621">
        <v>334</v>
      </c>
      <c r="L621">
        <v>388</v>
      </c>
      <c r="M621">
        <v>67.900000000000006</v>
      </c>
      <c r="N621">
        <v>78.900000000000006</v>
      </c>
      <c r="O621">
        <v>655.20000000000005</v>
      </c>
    </row>
    <row r="622" spans="1:15">
      <c r="A622">
        <v>1052</v>
      </c>
      <c r="B622" t="s">
        <v>8056</v>
      </c>
      <c r="C622" t="s">
        <v>1689</v>
      </c>
      <c r="D622" t="s">
        <v>8057</v>
      </c>
      <c r="E622" t="s">
        <v>8058</v>
      </c>
      <c r="F622" t="s">
        <v>8059</v>
      </c>
      <c r="G622" t="s">
        <v>5904</v>
      </c>
      <c r="H622">
        <v>350</v>
      </c>
      <c r="I622">
        <v>350</v>
      </c>
      <c r="J622">
        <v>350</v>
      </c>
      <c r="K622">
        <v>327</v>
      </c>
      <c r="L622">
        <v>339</v>
      </c>
      <c r="M622">
        <v>93.4</v>
      </c>
      <c r="N622">
        <v>96.9</v>
      </c>
      <c r="O622">
        <v>687.6</v>
      </c>
    </row>
    <row r="623" spans="1:15">
      <c r="A623">
        <v>1051</v>
      </c>
      <c r="B623" t="s">
        <v>1690</v>
      </c>
      <c r="C623" t="s">
        <v>1691</v>
      </c>
      <c r="D623" t="s">
        <v>8060</v>
      </c>
      <c r="E623" t="s">
        <v>8061</v>
      </c>
      <c r="F623" t="s">
        <v>8062</v>
      </c>
      <c r="G623" t="s">
        <v>5904</v>
      </c>
      <c r="H623">
        <v>204</v>
      </c>
      <c r="I623">
        <v>204</v>
      </c>
      <c r="J623">
        <v>204</v>
      </c>
      <c r="K623">
        <v>204</v>
      </c>
      <c r="L623">
        <v>204</v>
      </c>
      <c r="M623">
        <v>100</v>
      </c>
      <c r="N623">
        <v>100</v>
      </c>
      <c r="O623">
        <v>417.2</v>
      </c>
    </row>
    <row r="624" spans="1:15">
      <c r="A624">
        <v>1050</v>
      </c>
      <c r="B624" t="s">
        <v>1692</v>
      </c>
      <c r="C624" t="s">
        <v>1693</v>
      </c>
      <c r="D624" t="s">
        <v>8063</v>
      </c>
      <c r="E624" t="s">
        <v>8064</v>
      </c>
      <c r="F624" t="s">
        <v>8065</v>
      </c>
      <c r="G624" t="s">
        <v>5904</v>
      </c>
      <c r="H624">
        <v>205</v>
      </c>
      <c r="I624">
        <v>205</v>
      </c>
      <c r="J624">
        <v>205</v>
      </c>
      <c r="K624">
        <v>177</v>
      </c>
      <c r="L624">
        <v>190</v>
      </c>
      <c r="M624">
        <v>86.3</v>
      </c>
      <c r="N624">
        <v>92.7</v>
      </c>
      <c r="O624">
        <v>345.5</v>
      </c>
    </row>
    <row r="625" spans="1:15">
      <c r="A625">
        <v>1049</v>
      </c>
      <c r="B625" t="s">
        <v>1694</v>
      </c>
      <c r="C625" t="s">
        <v>1695</v>
      </c>
      <c r="D625" t="s">
        <v>8066</v>
      </c>
      <c r="E625" t="s">
        <v>8067</v>
      </c>
      <c r="F625" t="s">
        <v>8068</v>
      </c>
      <c r="G625" t="s">
        <v>5904</v>
      </c>
      <c r="H625">
        <v>188</v>
      </c>
      <c r="I625">
        <v>189</v>
      </c>
      <c r="J625">
        <v>173</v>
      </c>
      <c r="K625">
        <v>138</v>
      </c>
      <c r="L625">
        <v>154</v>
      </c>
      <c r="M625">
        <v>73.400000000000006</v>
      </c>
      <c r="N625">
        <v>81.900000000000006</v>
      </c>
      <c r="O625">
        <v>300.39999999999998</v>
      </c>
    </row>
    <row r="626" spans="1:15">
      <c r="A626">
        <v>1048</v>
      </c>
      <c r="B626" t="s">
        <v>1696</v>
      </c>
      <c r="C626" t="s">
        <v>1697</v>
      </c>
      <c r="D626" t="s">
        <v>8069</v>
      </c>
      <c r="E626" t="s">
        <v>8070</v>
      </c>
      <c r="F626" t="s">
        <v>8071</v>
      </c>
      <c r="G626" t="s">
        <v>5904</v>
      </c>
      <c r="H626">
        <v>623</v>
      </c>
      <c r="I626">
        <v>623</v>
      </c>
      <c r="J626">
        <v>623</v>
      </c>
      <c r="K626">
        <v>572</v>
      </c>
      <c r="L626">
        <v>597</v>
      </c>
      <c r="M626">
        <v>91.8</v>
      </c>
      <c r="N626">
        <v>95.8</v>
      </c>
      <c r="O626">
        <v>1213</v>
      </c>
    </row>
    <row r="627" spans="1:15">
      <c r="A627">
        <v>1047</v>
      </c>
      <c r="B627" t="s">
        <v>8072</v>
      </c>
      <c r="C627" t="s">
        <v>1701</v>
      </c>
      <c r="D627" t="s">
        <v>8073</v>
      </c>
      <c r="E627" t="s">
        <v>8074</v>
      </c>
      <c r="F627" t="s">
        <v>8075</v>
      </c>
      <c r="G627" t="s">
        <v>5904</v>
      </c>
      <c r="H627">
        <v>651</v>
      </c>
      <c r="I627">
        <v>620</v>
      </c>
      <c r="J627">
        <v>651</v>
      </c>
      <c r="K627">
        <v>550</v>
      </c>
      <c r="L627">
        <v>575</v>
      </c>
      <c r="M627">
        <v>84.5</v>
      </c>
      <c r="N627">
        <v>88.3</v>
      </c>
      <c r="O627">
        <v>975.7</v>
      </c>
    </row>
    <row r="628" spans="1:15">
      <c r="A628">
        <v>1046</v>
      </c>
      <c r="B628" t="s">
        <v>1702</v>
      </c>
      <c r="C628" t="s">
        <v>1703</v>
      </c>
      <c r="D628" t="s">
        <v>8076</v>
      </c>
      <c r="E628" t="s">
        <v>8077</v>
      </c>
      <c r="F628" t="s">
        <v>8078</v>
      </c>
      <c r="G628" t="s">
        <v>5904</v>
      </c>
      <c r="H628">
        <v>401</v>
      </c>
      <c r="I628">
        <v>404</v>
      </c>
      <c r="J628">
        <v>404</v>
      </c>
      <c r="K628">
        <v>365</v>
      </c>
      <c r="L628">
        <v>381</v>
      </c>
      <c r="M628">
        <v>91</v>
      </c>
      <c r="N628">
        <v>95</v>
      </c>
      <c r="O628">
        <v>726.1</v>
      </c>
    </row>
    <row r="629" spans="1:15">
      <c r="A629">
        <v>1045</v>
      </c>
      <c r="B629" t="s">
        <v>8079</v>
      </c>
      <c r="C629" t="s">
        <v>1706</v>
      </c>
      <c r="D629" t="s">
        <v>8080</v>
      </c>
      <c r="E629" t="s">
        <v>8081</v>
      </c>
      <c r="F629" t="s">
        <v>8082</v>
      </c>
      <c r="G629" t="s">
        <v>5904</v>
      </c>
      <c r="H629">
        <v>2602</v>
      </c>
      <c r="I629">
        <v>2602</v>
      </c>
      <c r="J629">
        <v>2602</v>
      </c>
      <c r="K629">
        <v>2532</v>
      </c>
      <c r="L629">
        <v>2578</v>
      </c>
      <c r="M629">
        <v>97.3</v>
      </c>
      <c r="N629">
        <v>99.1</v>
      </c>
      <c r="O629">
        <v>5194.8</v>
      </c>
    </row>
    <row r="630" spans="1:15">
      <c r="A630">
        <v>1044</v>
      </c>
      <c r="B630" t="s">
        <v>1707</v>
      </c>
      <c r="C630" t="s">
        <v>1708</v>
      </c>
      <c r="D630" t="s">
        <v>8083</v>
      </c>
      <c r="E630" t="s">
        <v>8084</v>
      </c>
      <c r="F630" t="s">
        <v>8085</v>
      </c>
      <c r="G630" t="s">
        <v>5904</v>
      </c>
      <c r="H630">
        <v>326</v>
      </c>
      <c r="I630">
        <v>326</v>
      </c>
      <c r="J630">
        <v>326</v>
      </c>
      <c r="K630">
        <v>325</v>
      </c>
      <c r="L630">
        <v>325</v>
      </c>
      <c r="M630">
        <v>99.7</v>
      </c>
      <c r="N630">
        <v>99.7</v>
      </c>
      <c r="O630">
        <v>679.5</v>
      </c>
    </row>
    <row r="631" spans="1:15">
      <c r="A631">
        <v>1043</v>
      </c>
      <c r="B631" t="s">
        <v>1709</v>
      </c>
      <c r="C631" t="s">
        <v>1710</v>
      </c>
      <c r="D631" t="s">
        <v>8086</v>
      </c>
      <c r="E631" t="s">
        <v>8087</v>
      </c>
      <c r="F631" t="s">
        <v>8088</v>
      </c>
      <c r="G631" t="s">
        <v>5904</v>
      </c>
      <c r="H631">
        <v>111</v>
      </c>
      <c r="I631">
        <v>103</v>
      </c>
      <c r="J631">
        <v>98</v>
      </c>
      <c r="K631">
        <v>94</v>
      </c>
      <c r="L631">
        <v>95</v>
      </c>
      <c r="M631">
        <v>84.7</v>
      </c>
      <c r="N631">
        <v>85.6</v>
      </c>
      <c r="O631">
        <v>195.7</v>
      </c>
    </row>
    <row r="632" spans="1:15">
      <c r="A632">
        <v>1042</v>
      </c>
      <c r="B632" t="s">
        <v>8089</v>
      </c>
      <c r="C632" t="s">
        <v>1713</v>
      </c>
      <c r="D632" t="s">
        <v>8090</v>
      </c>
      <c r="E632" t="s">
        <v>8091</v>
      </c>
      <c r="F632" t="s">
        <v>8092</v>
      </c>
      <c r="G632" t="s">
        <v>5904</v>
      </c>
      <c r="H632">
        <v>1474</v>
      </c>
      <c r="I632">
        <v>1474</v>
      </c>
      <c r="J632">
        <v>1475</v>
      </c>
      <c r="K632">
        <v>1455</v>
      </c>
      <c r="L632">
        <v>1462</v>
      </c>
      <c r="M632">
        <v>98.7</v>
      </c>
      <c r="N632">
        <v>99.2</v>
      </c>
      <c r="O632">
        <v>3010.3</v>
      </c>
    </row>
    <row r="633" spans="1:15">
      <c r="A633">
        <v>1041</v>
      </c>
      <c r="B633" t="s">
        <v>1714</v>
      </c>
      <c r="C633" t="s">
        <v>1715</v>
      </c>
      <c r="D633" t="s">
        <v>8093</v>
      </c>
      <c r="E633" t="s">
        <v>8094</v>
      </c>
      <c r="F633" t="s">
        <v>8095</v>
      </c>
      <c r="G633" t="s">
        <v>5904</v>
      </c>
      <c r="H633">
        <v>956</v>
      </c>
      <c r="I633">
        <v>950</v>
      </c>
      <c r="J633">
        <v>958</v>
      </c>
      <c r="K633">
        <v>842</v>
      </c>
      <c r="L633">
        <v>875</v>
      </c>
      <c r="M633">
        <v>88.1</v>
      </c>
      <c r="N633">
        <v>91.5</v>
      </c>
      <c r="O633">
        <v>1578.9</v>
      </c>
    </row>
    <row r="634" spans="1:15">
      <c r="A634">
        <v>1040</v>
      </c>
      <c r="B634" t="s">
        <v>1716</v>
      </c>
      <c r="C634" t="s">
        <v>1717</v>
      </c>
      <c r="D634" t="s">
        <v>8096</v>
      </c>
      <c r="E634" t="s">
        <v>8097</v>
      </c>
      <c r="F634" t="s">
        <v>8098</v>
      </c>
      <c r="G634" t="s">
        <v>5904</v>
      </c>
      <c r="H634">
        <v>858</v>
      </c>
      <c r="I634">
        <v>858</v>
      </c>
      <c r="J634">
        <v>858</v>
      </c>
      <c r="K634">
        <v>854</v>
      </c>
      <c r="L634">
        <v>858</v>
      </c>
      <c r="M634">
        <v>99.5</v>
      </c>
      <c r="N634">
        <v>100</v>
      </c>
      <c r="O634">
        <v>1774.2</v>
      </c>
    </row>
    <row r="635" spans="1:15">
      <c r="A635">
        <v>1039</v>
      </c>
      <c r="B635" t="s">
        <v>1718</v>
      </c>
      <c r="C635" t="s">
        <v>1719</v>
      </c>
      <c r="D635" t="s">
        <v>8099</v>
      </c>
      <c r="E635" t="s">
        <v>8100</v>
      </c>
      <c r="F635" t="s">
        <v>8101</v>
      </c>
      <c r="G635" t="s">
        <v>5904</v>
      </c>
      <c r="H635">
        <v>426</v>
      </c>
      <c r="I635">
        <v>424</v>
      </c>
      <c r="J635">
        <v>426</v>
      </c>
      <c r="K635">
        <v>396</v>
      </c>
      <c r="L635">
        <v>406</v>
      </c>
      <c r="M635">
        <v>93</v>
      </c>
      <c r="N635">
        <v>95.3</v>
      </c>
      <c r="O635">
        <v>790</v>
      </c>
    </row>
    <row r="636" spans="1:15">
      <c r="A636">
        <v>1038</v>
      </c>
      <c r="B636" t="s">
        <v>8102</v>
      </c>
      <c r="C636" t="s">
        <v>1722</v>
      </c>
      <c r="D636" t="s">
        <v>8103</v>
      </c>
      <c r="E636" t="s">
        <v>8104</v>
      </c>
      <c r="F636" t="s">
        <v>8105</v>
      </c>
      <c r="G636" t="s">
        <v>5904</v>
      </c>
      <c r="H636">
        <v>296</v>
      </c>
      <c r="I636">
        <v>296</v>
      </c>
      <c r="J636">
        <v>281</v>
      </c>
      <c r="K636">
        <v>262</v>
      </c>
      <c r="L636">
        <v>269</v>
      </c>
      <c r="M636">
        <v>88.5</v>
      </c>
      <c r="N636">
        <v>90.9</v>
      </c>
      <c r="O636">
        <v>540</v>
      </c>
    </row>
    <row r="637" spans="1:15">
      <c r="A637">
        <v>1037</v>
      </c>
      <c r="B637" t="s">
        <v>1723</v>
      </c>
      <c r="C637" t="s">
        <v>1724</v>
      </c>
      <c r="D637" t="s">
        <v>8106</v>
      </c>
      <c r="E637" t="s">
        <v>8107</v>
      </c>
      <c r="F637" t="s">
        <v>8108</v>
      </c>
      <c r="G637" t="s">
        <v>5904</v>
      </c>
      <c r="H637">
        <v>129</v>
      </c>
      <c r="I637">
        <v>130</v>
      </c>
      <c r="J637">
        <v>130</v>
      </c>
      <c r="K637">
        <v>81</v>
      </c>
      <c r="L637">
        <v>98</v>
      </c>
      <c r="M637">
        <v>62.8</v>
      </c>
      <c r="N637">
        <v>76</v>
      </c>
      <c r="O637">
        <v>118.6</v>
      </c>
    </row>
    <row r="638" spans="1:15">
      <c r="A638">
        <v>1036</v>
      </c>
      <c r="B638" t="s">
        <v>8109</v>
      </c>
      <c r="C638" t="s">
        <v>1727</v>
      </c>
      <c r="D638" t="s">
        <v>8110</v>
      </c>
      <c r="E638" t="s">
        <v>8111</v>
      </c>
      <c r="F638" t="s">
        <v>8112</v>
      </c>
      <c r="G638" t="s">
        <v>5904</v>
      </c>
      <c r="H638">
        <v>462</v>
      </c>
      <c r="I638">
        <v>365</v>
      </c>
      <c r="J638">
        <v>339</v>
      </c>
      <c r="K638">
        <v>303</v>
      </c>
      <c r="L638">
        <v>318</v>
      </c>
      <c r="M638">
        <v>65.599999999999994</v>
      </c>
      <c r="N638">
        <v>68.8</v>
      </c>
      <c r="O638">
        <v>617.1</v>
      </c>
    </row>
    <row r="639" spans="1:15">
      <c r="A639">
        <v>1035</v>
      </c>
      <c r="B639" t="s">
        <v>8113</v>
      </c>
      <c r="C639" t="s">
        <v>1730</v>
      </c>
      <c r="D639" t="s">
        <v>8114</v>
      </c>
      <c r="E639" t="s">
        <v>8115</v>
      </c>
      <c r="F639" t="s">
        <v>8116</v>
      </c>
      <c r="G639" t="s">
        <v>5904</v>
      </c>
      <c r="H639">
        <v>273</v>
      </c>
      <c r="I639">
        <v>273</v>
      </c>
      <c r="J639">
        <v>273</v>
      </c>
      <c r="K639">
        <v>261</v>
      </c>
      <c r="L639">
        <v>264</v>
      </c>
      <c r="M639">
        <v>95.6</v>
      </c>
      <c r="N639">
        <v>96.7</v>
      </c>
      <c r="O639">
        <v>501.9</v>
      </c>
    </row>
    <row r="640" spans="1:15">
      <c r="A640">
        <v>1034</v>
      </c>
      <c r="B640" t="s">
        <v>8117</v>
      </c>
      <c r="C640" t="s">
        <v>1734</v>
      </c>
      <c r="D640" t="s">
        <v>8118</v>
      </c>
      <c r="E640" t="s">
        <v>8119</v>
      </c>
      <c r="F640" t="s">
        <v>8120</v>
      </c>
      <c r="G640" t="s">
        <v>5904</v>
      </c>
      <c r="H640">
        <v>1733</v>
      </c>
      <c r="I640">
        <v>1754</v>
      </c>
      <c r="J640">
        <v>1759</v>
      </c>
      <c r="K640">
        <v>1283</v>
      </c>
      <c r="L640">
        <v>1392</v>
      </c>
      <c r="M640">
        <v>74</v>
      </c>
      <c r="N640">
        <v>80.3</v>
      </c>
      <c r="O640">
        <v>1818.5</v>
      </c>
    </row>
    <row r="641" spans="1:15">
      <c r="A641">
        <v>1033</v>
      </c>
      <c r="B641" t="s">
        <v>1735</v>
      </c>
      <c r="C641" t="s">
        <v>1736</v>
      </c>
      <c r="D641" t="s">
        <v>8121</v>
      </c>
      <c r="E641" t="s">
        <v>8122</v>
      </c>
      <c r="F641" t="s">
        <v>8123</v>
      </c>
      <c r="G641" t="s">
        <v>5896</v>
      </c>
      <c r="H641">
        <v>3295</v>
      </c>
      <c r="I641">
        <v>14507</v>
      </c>
      <c r="J641">
        <v>3436</v>
      </c>
      <c r="K641">
        <v>1636</v>
      </c>
      <c r="L641">
        <v>2025</v>
      </c>
      <c r="M641">
        <v>49.7</v>
      </c>
      <c r="N641">
        <v>61.5</v>
      </c>
      <c r="O641">
        <v>2377.8000000000002</v>
      </c>
    </row>
    <row r="642" spans="1:15">
      <c r="A642">
        <v>1032</v>
      </c>
      <c r="B642" t="s">
        <v>8124</v>
      </c>
      <c r="C642" t="s">
        <v>1739</v>
      </c>
      <c r="D642" t="s">
        <v>8125</v>
      </c>
      <c r="E642" t="s">
        <v>8126</v>
      </c>
      <c r="F642" t="s">
        <v>8127</v>
      </c>
      <c r="G642" t="s">
        <v>5904</v>
      </c>
      <c r="H642">
        <v>518</v>
      </c>
      <c r="I642">
        <v>549</v>
      </c>
      <c r="J642">
        <v>509</v>
      </c>
      <c r="K642">
        <v>496</v>
      </c>
      <c r="L642">
        <v>501</v>
      </c>
      <c r="M642">
        <v>95.8</v>
      </c>
      <c r="N642">
        <v>96.7</v>
      </c>
      <c r="O642">
        <v>1028.8</v>
      </c>
    </row>
    <row r="643" spans="1:15">
      <c r="A643">
        <v>1031</v>
      </c>
      <c r="B643" t="s">
        <v>8128</v>
      </c>
      <c r="C643" t="s">
        <v>1742</v>
      </c>
      <c r="D643" t="s">
        <v>8129</v>
      </c>
      <c r="E643" t="s">
        <v>8130</v>
      </c>
      <c r="F643" t="s">
        <v>8131</v>
      </c>
      <c r="G643" t="s">
        <v>5904</v>
      </c>
      <c r="H643">
        <v>900</v>
      </c>
      <c r="I643">
        <v>894</v>
      </c>
      <c r="J643">
        <v>900</v>
      </c>
      <c r="K643">
        <v>868</v>
      </c>
      <c r="L643">
        <v>882</v>
      </c>
      <c r="M643">
        <v>96.4</v>
      </c>
      <c r="N643">
        <v>98</v>
      </c>
      <c r="O643">
        <v>1764.2</v>
      </c>
    </row>
    <row r="644" spans="1:15">
      <c r="A644">
        <v>2064</v>
      </c>
      <c r="B644" t="s">
        <v>1743</v>
      </c>
      <c r="C644" t="s">
        <v>1744</v>
      </c>
      <c r="D644" t="s">
        <v>8132</v>
      </c>
      <c r="E644" t="s">
        <v>8133</v>
      </c>
      <c r="F644" t="s">
        <v>8134</v>
      </c>
      <c r="G644" t="s">
        <v>5904</v>
      </c>
      <c r="H644">
        <v>367</v>
      </c>
      <c r="I644">
        <v>367</v>
      </c>
      <c r="J644">
        <v>367</v>
      </c>
      <c r="K644">
        <v>317</v>
      </c>
      <c r="L644">
        <v>333</v>
      </c>
      <c r="M644">
        <v>86.4</v>
      </c>
      <c r="N644">
        <v>90.7</v>
      </c>
      <c r="O644">
        <v>644</v>
      </c>
    </row>
    <row r="645" spans="1:15">
      <c r="A645">
        <v>1030</v>
      </c>
      <c r="B645" t="s">
        <v>1745</v>
      </c>
      <c r="C645" t="s">
        <v>1746</v>
      </c>
      <c r="D645" t="s">
        <v>8135</v>
      </c>
      <c r="E645" t="s">
        <v>8136</v>
      </c>
      <c r="F645" t="s">
        <v>8137</v>
      </c>
      <c r="G645" t="s">
        <v>5904</v>
      </c>
      <c r="H645">
        <v>669</v>
      </c>
      <c r="I645">
        <v>677</v>
      </c>
      <c r="J645">
        <v>638</v>
      </c>
      <c r="K645">
        <v>534</v>
      </c>
      <c r="L645">
        <v>580</v>
      </c>
      <c r="M645">
        <v>79.8</v>
      </c>
      <c r="N645">
        <v>86.7</v>
      </c>
      <c r="O645">
        <v>1117.5</v>
      </c>
    </row>
    <row r="646" spans="1:15">
      <c r="A646">
        <v>1029</v>
      </c>
      <c r="B646" t="s">
        <v>1747</v>
      </c>
      <c r="C646" t="s">
        <v>1748</v>
      </c>
      <c r="D646" t="s">
        <v>8138</v>
      </c>
      <c r="E646" t="s">
        <v>8139</v>
      </c>
      <c r="F646" t="s">
        <v>8140</v>
      </c>
      <c r="G646" t="s">
        <v>5904</v>
      </c>
      <c r="H646">
        <v>869</v>
      </c>
      <c r="I646">
        <v>868</v>
      </c>
      <c r="J646">
        <v>869</v>
      </c>
      <c r="K646">
        <v>838</v>
      </c>
      <c r="L646">
        <v>850</v>
      </c>
      <c r="M646">
        <v>96.4</v>
      </c>
      <c r="N646">
        <v>97.8</v>
      </c>
      <c r="O646">
        <v>1723.4</v>
      </c>
    </row>
    <row r="647" spans="1:15">
      <c r="A647">
        <v>2063</v>
      </c>
      <c r="B647" t="s">
        <v>8141</v>
      </c>
      <c r="C647" t="s">
        <v>1751</v>
      </c>
      <c r="D647" t="s">
        <v>8142</v>
      </c>
      <c r="E647" t="s">
        <v>8143</v>
      </c>
      <c r="F647" t="s">
        <v>8144</v>
      </c>
      <c r="G647" t="s">
        <v>5904</v>
      </c>
      <c r="H647">
        <v>113</v>
      </c>
      <c r="I647">
        <v>97</v>
      </c>
      <c r="J647">
        <v>97</v>
      </c>
      <c r="K647">
        <v>96</v>
      </c>
      <c r="L647">
        <v>97</v>
      </c>
      <c r="M647">
        <v>85</v>
      </c>
      <c r="N647">
        <v>85.8</v>
      </c>
      <c r="O647">
        <v>202.6</v>
      </c>
    </row>
    <row r="648" spans="1:15">
      <c r="A648">
        <v>1028</v>
      </c>
      <c r="B648" t="s">
        <v>1752</v>
      </c>
      <c r="C648" t="s">
        <v>1753</v>
      </c>
      <c r="D648" t="s">
        <v>8145</v>
      </c>
      <c r="E648" t="s">
        <v>8146</v>
      </c>
      <c r="F648" t="s">
        <v>8147</v>
      </c>
      <c r="G648" t="s">
        <v>5904</v>
      </c>
      <c r="H648">
        <v>905</v>
      </c>
      <c r="I648">
        <v>906</v>
      </c>
      <c r="J648">
        <v>906</v>
      </c>
      <c r="K648">
        <v>894</v>
      </c>
      <c r="L648">
        <v>901</v>
      </c>
      <c r="M648">
        <v>98.8</v>
      </c>
      <c r="N648">
        <v>99.6</v>
      </c>
      <c r="O648">
        <v>1868.2</v>
      </c>
    </row>
    <row r="649" spans="1:15">
      <c r="A649">
        <v>1027</v>
      </c>
      <c r="B649" t="s">
        <v>1754</v>
      </c>
      <c r="C649" t="s">
        <v>1756</v>
      </c>
      <c r="D649" t="s">
        <v>6207</v>
      </c>
      <c r="E649" t="s">
        <v>6208</v>
      </c>
      <c r="F649" t="s">
        <v>8148</v>
      </c>
      <c r="G649" t="s">
        <v>5904</v>
      </c>
      <c r="H649">
        <v>248</v>
      </c>
      <c r="I649">
        <v>248</v>
      </c>
      <c r="J649">
        <v>248</v>
      </c>
      <c r="K649">
        <v>248</v>
      </c>
      <c r="L649">
        <v>248</v>
      </c>
      <c r="M649">
        <v>100</v>
      </c>
      <c r="N649">
        <v>100</v>
      </c>
      <c r="O649">
        <v>467.2</v>
      </c>
    </row>
    <row r="650" spans="1:15">
      <c r="A650">
        <v>1026</v>
      </c>
      <c r="B650" t="s">
        <v>1757</v>
      </c>
      <c r="C650" t="s">
        <v>1758</v>
      </c>
      <c r="D650" t="s">
        <v>8149</v>
      </c>
      <c r="E650" t="s">
        <v>8150</v>
      </c>
      <c r="F650" t="s">
        <v>8151</v>
      </c>
      <c r="G650" t="s">
        <v>5904</v>
      </c>
      <c r="H650">
        <v>359</v>
      </c>
      <c r="I650">
        <v>359</v>
      </c>
      <c r="J650">
        <v>359</v>
      </c>
      <c r="K650">
        <v>343</v>
      </c>
      <c r="L650">
        <v>353</v>
      </c>
      <c r="M650">
        <v>95.5</v>
      </c>
      <c r="N650">
        <v>98.3</v>
      </c>
      <c r="O650">
        <v>716.8</v>
      </c>
    </row>
    <row r="651" spans="1:15">
      <c r="A651">
        <v>1025</v>
      </c>
      <c r="B651" t="s">
        <v>8152</v>
      </c>
      <c r="C651" t="s">
        <v>1761</v>
      </c>
      <c r="D651" t="s">
        <v>8153</v>
      </c>
      <c r="E651" t="s">
        <v>8154</v>
      </c>
      <c r="F651" t="s">
        <v>8155</v>
      </c>
      <c r="G651" t="s">
        <v>5904</v>
      </c>
      <c r="H651">
        <v>1470</v>
      </c>
      <c r="I651">
        <v>1381</v>
      </c>
      <c r="J651">
        <v>858</v>
      </c>
      <c r="K651">
        <v>654</v>
      </c>
      <c r="L651">
        <v>706</v>
      </c>
      <c r="M651">
        <v>44.5</v>
      </c>
      <c r="N651">
        <v>48</v>
      </c>
      <c r="O651">
        <v>1188.3</v>
      </c>
    </row>
    <row r="652" spans="1:15">
      <c r="A652">
        <v>1024</v>
      </c>
      <c r="B652" t="s">
        <v>8156</v>
      </c>
      <c r="C652" t="s">
        <v>5726</v>
      </c>
      <c r="D652" t="s">
        <v>8157</v>
      </c>
      <c r="E652" t="s">
        <v>8158</v>
      </c>
      <c r="F652" t="s">
        <v>8159</v>
      </c>
      <c r="G652" t="s">
        <v>5904</v>
      </c>
      <c r="H652">
        <v>921</v>
      </c>
      <c r="I652">
        <v>930</v>
      </c>
      <c r="J652">
        <v>933</v>
      </c>
      <c r="K652">
        <v>676</v>
      </c>
      <c r="L652">
        <v>766</v>
      </c>
      <c r="M652">
        <v>73.400000000000006</v>
      </c>
      <c r="N652">
        <v>83.2</v>
      </c>
      <c r="O652">
        <v>1333.5</v>
      </c>
    </row>
    <row r="653" spans="1:15">
      <c r="A653">
        <v>1023</v>
      </c>
      <c r="B653" t="s">
        <v>1762</v>
      </c>
      <c r="C653" t="s">
        <v>1763</v>
      </c>
      <c r="D653" t="s">
        <v>8160</v>
      </c>
      <c r="E653" t="s">
        <v>8161</v>
      </c>
      <c r="F653" t="s">
        <v>8162</v>
      </c>
      <c r="G653" t="s">
        <v>5904</v>
      </c>
      <c r="H653">
        <v>82</v>
      </c>
      <c r="I653">
        <v>82</v>
      </c>
      <c r="J653">
        <v>82</v>
      </c>
      <c r="K653">
        <v>74</v>
      </c>
      <c r="L653">
        <v>77</v>
      </c>
      <c r="M653">
        <v>90.2</v>
      </c>
      <c r="N653">
        <v>93.9</v>
      </c>
      <c r="O653">
        <v>152.5</v>
      </c>
    </row>
    <row r="654" spans="1:15">
      <c r="A654">
        <v>1022</v>
      </c>
      <c r="B654" t="s">
        <v>8163</v>
      </c>
      <c r="C654" t="s">
        <v>1766</v>
      </c>
      <c r="D654" t="s">
        <v>8164</v>
      </c>
      <c r="E654" t="s">
        <v>8165</v>
      </c>
      <c r="F654" t="s">
        <v>8166</v>
      </c>
      <c r="G654" t="s">
        <v>5904</v>
      </c>
      <c r="H654">
        <v>538</v>
      </c>
      <c r="I654">
        <v>514</v>
      </c>
      <c r="J654">
        <v>538</v>
      </c>
      <c r="K654">
        <v>509</v>
      </c>
      <c r="L654">
        <v>511</v>
      </c>
      <c r="M654">
        <v>94.6</v>
      </c>
      <c r="N654">
        <v>95</v>
      </c>
      <c r="O654">
        <v>1026.2</v>
      </c>
    </row>
    <row r="655" spans="1:15">
      <c r="A655">
        <v>1021</v>
      </c>
      <c r="B655" t="s">
        <v>1767</v>
      </c>
      <c r="C655" t="s">
        <v>1768</v>
      </c>
      <c r="D655" t="s">
        <v>8167</v>
      </c>
      <c r="E655" t="s">
        <v>8168</v>
      </c>
      <c r="F655" t="s">
        <v>8169</v>
      </c>
      <c r="G655" t="s">
        <v>5904</v>
      </c>
      <c r="H655">
        <v>533</v>
      </c>
      <c r="I655">
        <v>532</v>
      </c>
      <c r="J655">
        <v>515</v>
      </c>
      <c r="K655">
        <v>317</v>
      </c>
      <c r="L655">
        <v>379</v>
      </c>
      <c r="M655">
        <v>59.5</v>
      </c>
      <c r="N655">
        <v>71.099999999999994</v>
      </c>
      <c r="O655">
        <v>617.5</v>
      </c>
    </row>
    <row r="656" spans="1:15">
      <c r="A656">
        <v>1020</v>
      </c>
      <c r="B656" t="s">
        <v>8170</v>
      </c>
      <c r="C656" t="s">
        <v>1771</v>
      </c>
      <c r="D656" t="s">
        <v>8171</v>
      </c>
      <c r="E656" t="s">
        <v>8172</v>
      </c>
      <c r="F656" t="s">
        <v>8173</v>
      </c>
      <c r="G656" t="s">
        <v>5904</v>
      </c>
      <c r="H656">
        <v>1360</v>
      </c>
      <c r="I656">
        <v>1360</v>
      </c>
      <c r="J656">
        <v>1360</v>
      </c>
      <c r="K656">
        <v>1349</v>
      </c>
      <c r="L656">
        <v>1355</v>
      </c>
      <c r="M656">
        <v>99.2</v>
      </c>
      <c r="N656">
        <v>99.6</v>
      </c>
      <c r="O656">
        <v>2798.5</v>
      </c>
    </row>
    <row r="657" spans="1:15">
      <c r="A657">
        <v>2062</v>
      </c>
      <c r="B657" t="s">
        <v>1772</v>
      </c>
      <c r="C657" t="s">
        <v>1773</v>
      </c>
      <c r="D657" t="s">
        <v>8174</v>
      </c>
      <c r="E657" t="s">
        <v>8175</v>
      </c>
      <c r="F657" t="s">
        <v>8176</v>
      </c>
      <c r="G657" t="s">
        <v>5904</v>
      </c>
      <c r="H657">
        <v>665</v>
      </c>
      <c r="I657">
        <v>663</v>
      </c>
      <c r="J657">
        <v>668</v>
      </c>
      <c r="K657">
        <v>509</v>
      </c>
      <c r="L657">
        <v>579</v>
      </c>
      <c r="M657">
        <v>76.5</v>
      </c>
      <c r="N657">
        <v>87.1</v>
      </c>
      <c r="O657">
        <v>1040.8</v>
      </c>
    </row>
    <row r="658" spans="1:15">
      <c r="A658">
        <v>1019</v>
      </c>
      <c r="B658" t="s">
        <v>8177</v>
      </c>
      <c r="C658" t="s">
        <v>1776</v>
      </c>
      <c r="D658" t="s">
        <v>8178</v>
      </c>
      <c r="E658" t="s">
        <v>8179</v>
      </c>
      <c r="F658" t="s">
        <v>8180</v>
      </c>
      <c r="G658" t="s">
        <v>5904</v>
      </c>
      <c r="H658">
        <v>264</v>
      </c>
      <c r="I658">
        <v>240</v>
      </c>
      <c r="J658">
        <v>216</v>
      </c>
      <c r="K658">
        <v>179</v>
      </c>
      <c r="L658">
        <v>188</v>
      </c>
      <c r="M658">
        <v>67.8</v>
      </c>
      <c r="N658">
        <v>71.2</v>
      </c>
      <c r="O658">
        <v>242.7</v>
      </c>
    </row>
    <row r="659" spans="1:15">
      <c r="A659">
        <v>1018</v>
      </c>
      <c r="B659" t="s">
        <v>8181</v>
      </c>
      <c r="C659" t="s">
        <v>1780</v>
      </c>
      <c r="D659" t="s">
        <v>8182</v>
      </c>
      <c r="E659" t="s">
        <v>8183</v>
      </c>
      <c r="F659" t="s">
        <v>8184</v>
      </c>
      <c r="G659" t="s">
        <v>5904</v>
      </c>
      <c r="H659">
        <v>699</v>
      </c>
      <c r="I659">
        <v>698</v>
      </c>
      <c r="J659">
        <v>708</v>
      </c>
      <c r="K659">
        <v>444</v>
      </c>
      <c r="L659">
        <v>534</v>
      </c>
      <c r="M659">
        <v>63.5</v>
      </c>
      <c r="N659">
        <v>76.400000000000006</v>
      </c>
      <c r="O659">
        <v>903.7</v>
      </c>
    </row>
    <row r="660" spans="1:15">
      <c r="A660">
        <v>1017</v>
      </c>
      <c r="B660" t="s">
        <v>1781</v>
      </c>
      <c r="C660" t="s">
        <v>1783</v>
      </c>
      <c r="D660" t="s">
        <v>8182</v>
      </c>
      <c r="E660" t="s">
        <v>8183</v>
      </c>
      <c r="F660" t="s">
        <v>8185</v>
      </c>
      <c r="G660" t="s">
        <v>5904</v>
      </c>
      <c r="H660">
        <v>1006</v>
      </c>
      <c r="I660">
        <v>698</v>
      </c>
      <c r="J660">
        <v>702</v>
      </c>
      <c r="K660">
        <v>496</v>
      </c>
      <c r="L660">
        <v>581</v>
      </c>
      <c r="M660">
        <v>49.3</v>
      </c>
      <c r="N660">
        <v>57.8</v>
      </c>
      <c r="O660">
        <v>1024.2</v>
      </c>
    </row>
    <row r="661" spans="1:15">
      <c r="A661">
        <v>1016</v>
      </c>
      <c r="B661" t="s">
        <v>1784</v>
      </c>
      <c r="C661" t="s">
        <v>8186</v>
      </c>
      <c r="D661" t="s">
        <v>8187</v>
      </c>
      <c r="E661" t="s">
        <v>8188</v>
      </c>
      <c r="F661" t="s">
        <v>8189</v>
      </c>
      <c r="G661" t="s">
        <v>5904</v>
      </c>
      <c r="H661">
        <v>189</v>
      </c>
      <c r="I661">
        <v>275</v>
      </c>
      <c r="J661">
        <v>189</v>
      </c>
      <c r="K661">
        <v>168</v>
      </c>
      <c r="L661">
        <v>181</v>
      </c>
      <c r="M661">
        <v>88.9</v>
      </c>
      <c r="N661">
        <v>95.8</v>
      </c>
      <c r="O661">
        <v>342</v>
      </c>
    </row>
    <row r="662" spans="1:15">
      <c r="A662">
        <v>1015</v>
      </c>
      <c r="B662" t="s">
        <v>8190</v>
      </c>
      <c r="C662" t="s">
        <v>1788</v>
      </c>
      <c r="D662" t="s">
        <v>8191</v>
      </c>
      <c r="E662" t="s">
        <v>8192</v>
      </c>
      <c r="F662" t="s">
        <v>8193</v>
      </c>
      <c r="G662" t="s">
        <v>5904</v>
      </c>
      <c r="H662">
        <v>763</v>
      </c>
      <c r="I662">
        <v>730</v>
      </c>
      <c r="J662">
        <v>763</v>
      </c>
      <c r="K662">
        <v>725</v>
      </c>
      <c r="L662">
        <v>726</v>
      </c>
      <c r="M662">
        <v>95</v>
      </c>
      <c r="N662">
        <v>95.2</v>
      </c>
      <c r="O662">
        <v>1411</v>
      </c>
    </row>
    <row r="663" spans="1:15">
      <c r="A663">
        <v>1014</v>
      </c>
      <c r="B663" t="s">
        <v>8194</v>
      </c>
      <c r="C663" t="s">
        <v>1791</v>
      </c>
      <c r="D663" t="s">
        <v>8195</v>
      </c>
      <c r="E663" t="s">
        <v>8196</v>
      </c>
      <c r="F663" t="s">
        <v>8197</v>
      </c>
      <c r="G663" t="s">
        <v>5904</v>
      </c>
      <c r="H663">
        <v>770</v>
      </c>
      <c r="I663">
        <v>770</v>
      </c>
      <c r="J663">
        <v>752</v>
      </c>
      <c r="K663">
        <v>725</v>
      </c>
      <c r="L663">
        <v>733</v>
      </c>
      <c r="M663">
        <v>94.2</v>
      </c>
      <c r="N663">
        <v>95.2</v>
      </c>
      <c r="O663">
        <v>1379</v>
      </c>
    </row>
    <row r="664" spans="1:15">
      <c r="A664">
        <v>1013</v>
      </c>
      <c r="B664" t="s">
        <v>1792</v>
      </c>
      <c r="C664" t="s">
        <v>1793</v>
      </c>
      <c r="D664" t="s">
        <v>8198</v>
      </c>
      <c r="E664" t="s">
        <v>8199</v>
      </c>
      <c r="F664" t="s">
        <v>8200</v>
      </c>
      <c r="G664" t="s">
        <v>5904</v>
      </c>
      <c r="H664">
        <v>231</v>
      </c>
      <c r="I664">
        <v>224</v>
      </c>
      <c r="J664">
        <v>222</v>
      </c>
      <c r="K664">
        <v>172</v>
      </c>
      <c r="L664">
        <v>194</v>
      </c>
      <c r="M664">
        <v>74.5</v>
      </c>
      <c r="N664">
        <v>84</v>
      </c>
      <c r="O664">
        <v>359</v>
      </c>
    </row>
    <row r="665" spans="1:15">
      <c r="A665">
        <v>2061</v>
      </c>
      <c r="B665" t="s">
        <v>1794</v>
      </c>
      <c r="C665" t="s">
        <v>1795</v>
      </c>
      <c r="D665" t="s">
        <v>8201</v>
      </c>
      <c r="E665" t="s">
        <v>8202</v>
      </c>
      <c r="F665" t="s">
        <v>8203</v>
      </c>
      <c r="G665" t="s">
        <v>5904</v>
      </c>
      <c r="H665">
        <v>168</v>
      </c>
      <c r="I665">
        <v>170</v>
      </c>
      <c r="J665">
        <v>170</v>
      </c>
      <c r="K665">
        <v>159</v>
      </c>
      <c r="L665">
        <v>165</v>
      </c>
      <c r="M665">
        <v>94.6</v>
      </c>
      <c r="N665">
        <v>98.2</v>
      </c>
      <c r="O665">
        <v>298.10000000000002</v>
      </c>
    </row>
    <row r="666" spans="1:15">
      <c r="A666">
        <v>1012</v>
      </c>
      <c r="B666" t="s">
        <v>8204</v>
      </c>
      <c r="C666" t="s">
        <v>1799</v>
      </c>
      <c r="D666" t="s">
        <v>8205</v>
      </c>
      <c r="E666" t="s">
        <v>8206</v>
      </c>
      <c r="F666" t="s">
        <v>8207</v>
      </c>
      <c r="G666" t="s">
        <v>5904</v>
      </c>
      <c r="H666">
        <v>408</v>
      </c>
      <c r="I666">
        <v>407</v>
      </c>
      <c r="J666">
        <v>408</v>
      </c>
      <c r="K666">
        <v>407</v>
      </c>
      <c r="L666">
        <v>407</v>
      </c>
      <c r="M666">
        <v>99.8</v>
      </c>
      <c r="N666">
        <v>99.8</v>
      </c>
      <c r="O666">
        <v>839.7</v>
      </c>
    </row>
    <row r="667" spans="1:15">
      <c r="A667">
        <v>1011</v>
      </c>
      <c r="B667" t="s">
        <v>1800</v>
      </c>
      <c r="C667" t="s">
        <v>8208</v>
      </c>
      <c r="D667" t="s">
        <v>8209</v>
      </c>
      <c r="E667" t="s">
        <v>8210</v>
      </c>
      <c r="F667" t="s">
        <v>8211</v>
      </c>
      <c r="G667" t="s">
        <v>5904</v>
      </c>
      <c r="H667">
        <v>793</v>
      </c>
      <c r="I667">
        <v>711</v>
      </c>
      <c r="J667">
        <v>711</v>
      </c>
      <c r="K667">
        <v>629</v>
      </c>
      <c r="L667">
        <v>662</v>
      </c>
      <c r="M667">
        <v>79.3</v>
      </c>
      <c r="N667">
        <v>83.5</v>
      </c>
      <c r="O667">
        <v>1298.5</v>
      </c>
    </row>
    <row r="668" spans="1:15">
      <c r="A668">
        <v>1010</v>
      </c>
      <c r="B668" t="s">
        <v>1802</v>
      </c>
      <c r="C668" t="s">
        <v>1803</v>
      </c>
      <c r="D668" t="s">
        <v>8212</v>
      </c>
      <c r="E668" t="s">
        <v>8213</v>
      </c>
      <c r="F668" t="s">
        <v>8214</v>
      </c>
      <c r="G668" t="s">
        <v>5904</v>
      </c>
      <c r="H668">
        <v>257</v>
      </c>
      <c r="I668">
        <v>258</v>
      </c>
      <c r="J668">
        <v>258</v>
      </c>
      <c r="K668">
        <v>242</v>
      </c>
      <c r="L668">
        <v>247</v>
      </c>
      <c r="M668">
        <v>94.2</v>
      </c>
      <c r="N668">
        <v>96.1</v>
      </c>
      <c r="O668">
        <v>384.4</v>
      </c>
    </row>
    <row r="669" spans="1:15">
      <c r="A669">
        <v>1009</v>
      </c>
      <c r="B669" t="s">
        <v>8215</v>
      </c>
      <c r="C669" t="s">
        <v>1806</v>
      </c>
      <c r="D669" t="s">
        <v>8216</v>
      </c>
      <c r="E669" t="s">
        <v>8217</v>
      </c>
      <c r="F669" t="s">
        <v>8218</v>
      </c>
      <c r="G669" t="s">
        <v>5904</v>
      </c>
      <c r="H669">
        <v>264</v>
      </c>
      <c r="I669">
        <v>268</v>
      </c>
      <c r="J669">
        <v>268</v>
      </c>
      <c r="K669">
        <v>235</v>
      </c>
      <c r="L669">
        <v>248</v>
      </c>
      <c r="M669">
        <v>89</v>
      </c>
      <c r="N669">
        <v>93.9</v>
      </c>
      <c r="O669">
        <v>469.9</v>
      </c>
    </row>
    <row r="670" spans="1:15">
      <c r="A670">
        <v>1008</v>
      </c>
      <c r="B670" t="s">
        <v>8219</v>
      </c>
      <c r="C670" t="s">
        <v>1809</v>
      </c>
      <c r="D670" t="s">
        <v>8220</v>
      </c>
      <c r="E670" t="s">
        <v>8221</v>
      </c>
      <c r="F670" t="s">
        <v>8222</v>
      </c>
      <c r="G670" t="s">
        <v>5904</v>
      </c>
      <c r="H670">
        <v>2039</v>
      </c>
      <c r="I670">
        <v>1914</v>
      </c>
      <c r="J670">
        <v>2015</v>
      </c>
      <c r="K670">
        <v>1609</v>
      </c>
      <c r="L670">
        <v>1705</v>
      </c>
      <c r="M670">
        <v>78.900000000000006</v>
      </c>
      <c r="N670">
        <v>83.6</v>
      </c>
      <c r="O670">
        <v>3196</v>
      </c>
    </row>
    <row r="671" spans="1:15">
      <c r="A671">
        <v>1007</v>
      </c>
      <c r="B671" t="s">
        <v>1810</v>
      </c>
      <c r="C671" t="s">
        <v>1812</v>
      </c>
      <c r="D671" t="s">
        <v>8223</v>
      </c>
      <c r="E671" t="s">
        <v>8224</v>
      </c>
      <c r="F671" t="s">
        <v>8225</v>
      </c>
      <c r="G671" t="s">
        <v>5904</v>
      </c>
      <c r="H671">
        <v>1661</v>
      </c>
      <c r="I671">
        <v>1663</v>
      </c>
      <c r="J671">
        <v>1665</v>
      </c>
      <c r="K671">
        <v>1237</v>
      </c>
      <c r="L671">
        <v>1437</v>
      </c>
      <c r="M671">
        <v>74.5</v>
      </c>
      <c r="N671">
        <v>86.5</v>
      </c>
      <c r="O671">
        <v>2582.4</v>
      </c>
    </row>
    <row r="672" spans="1:15">
      <c r="A672">
        <v>1006</v>
      </c>
      <c r="B672" t="s">
        <v>8226</v>
      </c>
      <c r="C672" t="s">
        <v>1816</v>
      </c>
      <c r="D672" t="s">
        <v>8227</v>
      </c>
      <c r="E672" t="s">
        <v>8228</v>
      </c>
      <c r="F672" t="s">
        <v>8229</v>
      </c>
      <c r="G672" t="s">
        <v>5904</v>
      </c>
      <c r="H672">
        <v>326</v>
      </c>
      <c r="I672">
        <v>351</v>
      </c>
      <c r="J672">
        <v>313</v>
      </c>
      <c r="K672">
        <v>309</v>
      </c>
      <c r="L672">
        <v>311</v>
      </c>
      <c r="M672">
        <v>94.8</v>
      </c>
      <c r="N672">
        <v>95.4</v>
      </c>
      <c r="O672">
        <v>641.70000000000005</v>
      </c>
    </row>
    <row r="673" spans="1:15">
      <c r="A673">
        <v>1005</v>
      </c>
      <c r="B673" t="s">
        <v>8230</v>
      </c>
      <c r="C673" t="s">
        <v>1820</v>
      </c>
      <c r="D673" t="s">
        <v>8231</v>
      </c>
      <c r="E673" t="s">
        <v>8232</v>
      </c>
      <c r="F673" t="s">
        <v>8233</v>
      </c>
      <c r="G673" t="s">
        <v>5904</v>
      </c>
      <c r="H673">
        <v>473</v>
      </c>
      <c r="I673">
        <v>470</v>
      </c>
      <c r="J673">
        <v>455</v>
      </c>
      <c r="K673">
        <v>396</v>
      </c>
      <c r="L673">
        <v>412</v>
      </c>
      <c r="M673">
        <v>83.7</v>
      </c>
      <c r="N673">
        <v>87.1</v>
      </c>
      <c r="O673">
        <v>756.1</v>
      </c>
    </row>
    <row r="674" spans="1:15">
      <c r="A674">
        <v>1004</v>
      </c>
      <c r="B674" t="s">
        <v>1821</v>
      </c>
      <c r="C674" t="s">
        <v>1822</v>
      </c>
      <c r="D674" t="s">
        <v>8234</v>
      </c>
      <c r="E674" t="s">
        <v>8235</v>
      </c>
      <c r="F674" t="s">
        <v>8236</v>
      </c>
      <c r="G674" t="s">
        <v>5904</v>
      </c>
      <c r="H674">
        <v>320</v>
      </c>
      <c r="I674">
        <v>320</v>
      </c>
      <c r="J674">
        <v>320</v>
      </c>
      <c r="K674">
        <v>319</v>
      </c>
      <c r="L674">
        <v>319</v>
      </c>
      <c r="M674">
        <v>99.7</v>
      </c>
      <c r="N674">
        <v>99.7</v>
      </c>
      <c r="O674">
        <v>659.1</v>
      </c>
    </row>
    <row r="675" spans="1:15">
      <c r="A675">
        <v>1003</v>
      </c>
      <c r="B675" t="s">
        <v>1823</v>
      </c>
      <c r="C675" t="s">
        <v>1824</v>
      </c>
      <c r="D675" t="s">
        <v>8237</v>
      </c>
      <c r="E675" t="s">
        <v>8238</v>
      </c>
      <c r="F675" t="s">
        <v>8239</v>
      </c>
      <c r="G675" t="s">
        <v>5904</v>
      </c>
      <c r="H675">
        <v>270</v>
      </c>
      <c r="I675">
        <v>173</v>
      </c>
      <c r="J675">
        <v>173</v>
      </c>
      <c r="K675">
        <v>150</v>
      </c>
      <c r="L675">
        <v>156</v>
      </c>
      <c r="M675">
        <v>55.6</v>
      </c>
      <c r="N675">
        <v>57.8</v>
      </c>
      <c r="O675">
        <v>297.7</v>
      </c>
    </row>
    <row r="676" spans="1:15">
      <c r="A676">
        <v>1002</v>
      </c>
      <c r="B676" t="s">
        <v>8240</v>
      </c>
      <c r="C676" t="s">
        <v>8241</v>
      </c>
      <c r="D676" t="s">
        <v>8242</v>
      </c>
      <c r="E676" t="s">
        <v>8243</v>
      </c>
      <c r="F676" t="s">
        <v>8244</v>
      </c>
      <c r="G676" t="s">
        <v>5904</v>
      </c>
      <c r="H676">
        <v>1611</v>
      </c>
      <c r="I676">
        <v>1599</v>
      </c>
      <c r="J676">
        <v>1613</v>
      </c>
      <c r="K676">
        <v>1506</v>
      </c>
      <c r="L676">
        <v>1534</v>
      </c>
      <c r="M676">
        <v>93.5</v>
      </c>
      <c r="N676">
        <v>95.2</v>
      </c>
      <c r="O676">
        <v>2822.3</v>
      </c>
    </row>
    <row r="677" spans="1:15">
      <c r="A677">
        <v>1001</v>
      </c>
      <c r="B677" t="s">
        <v>1828</v>
      </c>
      <c r="C677" t="s">
        <v>1829</v>
      </c>
      <c r="D677" t="s">
        <v>8245</v>
      </c>
      <c r="E677" t="s">
        <v>8246</v>
      </c>
      <c r="F677" t="s">
        <v>8247</v>
      </c>
      <c r="G677" t="s">
        <v>5904</v>
      </c>
      <c r="H677">
        <v>312</v>
      </c>
      <c r="I677">
        <v>312</v>
      </c>
      <c r="J677">
        <v>312</v>
      </c>
      <c r="K677">
        <v>271</v>
      </c>
      <c r="L677">
        <v>294</v>
      </c>
      <c r="M677">
        <v>86.9</v>
      </c>
      <c r="N677">
        <v>94.2</v>
      </c>
      <c r="O677">
        <v>575.5</v>
      </c>
    </row>
    <row r="678" spans="1:15">
      <c r="A678">
        <v>1000</v>
      </c>
      <c r="B678" t="s">
        <v>1830</v>
      </c>
      <c r="C678" t="s">
        <v>8248</v>
      </c>
      <c r="D678" t="s">
        <v>8249</v>
      </c>
      <c r="E678" t="s">
        <v>8250</v>
      </c>
      <c r="F678" t="s">
        <v>8251</v>
      </c>
      <c r="G678" t="s">
        <v>5904</v>
      </c>
      <c r="H678">
        <v>135</v>
      </c>
      <c r="I678">
        <v>135</v>
      </c>
      <c r="J678">
        <v>135</v>
      </c>
      <c r="K678">
        <v>135</v>
      </c>
      <c r="L678">
        <v>135</v>
      </c>
      <c r="M678">
        <v>100</v>
      </c>
      <c r="N678">
        <v>100</v>
      </c>
      <c r="O678">
        <v>275.39999999999998</v>
      </c>
    </row>
    <row r="679" spans="1:15">
      <c r="A679">
        <v>999</v>
      </c>
      <c r="B679" t="s">
        <v>8252</v>
      </c>
      <c r="C679" t="s">
        <v>1834</v>
      </c>
      <c r="D679" t="s">
        <v>8253</v>
      </c>
      <c r="E679" t="s">
        <v>8254</v>
      </c>
      <c r="F679" t="s">
        <v>8255</v>
      </c>
      <c r="G679" t="s">
        <v>5904</v>
      </c>
      <c r="H679">
        <v>413</v>
      </c>
      <c r="I679">
        <v>432</v>
      </c>
      <c r="J679">
        <v>413</v>
      </c>
      <c r="K679">
        <v>382</v>
      </c>
      <c r="L679">
        <v>391</v>
      </c>
      <c r="M679">
        <v>92.5</v>
      </c>
      <c r="N679">
        <v>94.7</v>
      </c>
      <c r="O679">
        <v>771.5</v>
      </c>
    </row>
    <row r="680" spans="1:15">
      <c r="A680">
        <v>998</v>
      </c>
      <c r="B680" t="s">
        <v>1835</v>
      </c>
      <c r="C680" t="s">
        <v>1836</v>
      </c>
      <c r="D680" t="s">
        <v>8256</v>
      </c>
      <c r="E680" t="s">
        <v>8257</v>
      </c>
      <c r="F680" t="s">
        <v>8258</v>
      </c>
      <c r="G680" t="s">
        <v>5904</v>
      </c>
      <c r="H680">
        <v>150</v>
      </c>
      <c r="I680">
        <v>150</v>
      </c>
      <c r="J680">
        <v>150</v>
      </c>
      <c r="K680">
        <v>150</v>
      </c>
      <c r="L680">
        <v>150</v>
      </c>
      <c r="M680">
        <v>100</v>
      </c>
      <c r="N680">
        <v>100</v>
      </c>
      <c r="O680">
        <v>305.8</v>
      </c>
    </row>
    <row r="681" spans="1:15">
      <c r="A681">
        <v>997</v>
      </c>
      <c r="B681" t="s">
        <v>1837</v>
      </c>
      <c r="C681" t="s">
        <v>8259</v>
      </c>
      <c r="D681" t="s">
        <v>8260</v>
      </c>
      <c r="E681" t="s">
        <v>8261</v>
      </c>
      <c r="F681" t="s">
        <v>8262</v>
      </c>
      <c r="G681" t="s">
        <v>5904</v>
      </c>
      <c r="H681">
        <v>629</v>
      </c>
      <c r="I681">
        <v>629</v>
      </c>
      <c r="J681">
        <v>630</v>
      </c>
      <c r="K681">
        <v>596</v>
      </c>
      <c r="L681">
        <v>610</v>
      </c>
      <c r="M681">
        <v>94.8</v>
      </c>
      <c r="N681">
        <v>97</v>
      </c>
      <c r="O681">
        <v>1214.5</v>
      </c>
    </row>
    <row r="682" spans="1:15">
      <c r="A682">
        <v>996</v>
      </c>
      <c r="B682" t="s">
        <v>1840</v>
      </c>
      <c r="C682" t="s">
        <v>1841</v>
      </c>
      <c r="D682" t="s">
        <v>8263</v>
      </c>
      <c r="E682" t="s">
        <v>8264</v>
      </c>
      <c r="F682" t="s">
        <v>8265</v>
      </c>
      <c r="G682" t="s">
        <v>5904</v>
      </c>
      <c r="H682">
        <v>135</v>
      </c>
      <c r="I682">
        <v>135</v>
      </c>
      <c r="J682">
        <v>135</v>
      </c>
      <c r="K682">
        <v>131</v>
      </c>
      <c r="L682">
        <v>133</v>
      </c>
      <c r="M682">
        <v>97</v>
      </c>
      <c r="N682">
        <v>98.5</v>
      </c>
      <c r="O682">
        <v>273.5</v>
      </c>
    </row>
    <row r="683" spans="1:15">
      <c r="A683">
        <v>995</v>
      </c>
      <c r="B683" t="s">
        <v>8266</v>
      </c>
      <c r="C683" t="s">
        <v>1844</v>
      </c>
      <c r="D683" t="s">
        <v>8267</v>
      </c>
      <c r="E683" t="s">
        <v>8268</v>
      </c>
      <c r="F683" t="s">
        <v>8269</v>
      </c>
      <c r="G683" t="s">
        <v>5904</v>
      </c>
      <c r="H683">
        <v>417</v>
      </c>
      <c r="I683">
        <v>417</v>
      </c>
      <c r="J683">
        <v>417</v>
      </c>
      <c r="K683">
        <v>356</v>
      </c>
      <c r="L683">
        <v>390</v>
      </c>
      <c r="M683">
        <v>85.4</v>
      </c>
      <c r="N683">
        <v>93.5</v>
      </c>
      <c r="O683">
        <v>769.6</v>
      </c>
    </row>
    <row r="684" spans="1:15">
      <c r="A684">
        <v>994</v>
      </c>
      <c r="B684" t="s">
        <v>1845</v>
      </c>
      <c r="C684" t="s">
        <v>1846</v>
      </c>
      <c r="D684" t="s">
        <v>8270</v>
      </c>
      <c r="E684" t="s">
        <v>8271</v>
      </c>
      <c r="F684" t="s">
        <v>8272</v>
      </c>
      <c r="G684" t="s">
        <v>5904</v>
      </c>
      <c r="H684">
        <v>675</v>
      </c>
      <c r="I684">
        <v>676</v>
      </c>
      <c r="J684">
        <v>676</v>
      </c>
      <c r="K684">
        <v>565</v>
      </c>
      <c r="L684">
        <v>610</v>
      </c>
      <c r="M684">
        <v>83.7</v>
      </c>
      <c r="N684">
        <v>90.4</v>
      </c>
      <c r="O684">
        <v>1171.8</v>
      </c>
    </row>
    <row r="685" spans="1:15">
      <c r="A685">
        <v>993</v>
      </c>
      <c r="B685" t="s">
        <v>8273</v>
      </c>
      <c r="C685" t="s">
        <v>1849</v>
      </c>
      <c r="D685" t="s">
        <v>8274</v>
      </c>
      <c r="E685" t="s">
        <v>8275</v>
      </c>
      <c r="F685" t="s">
        <v>8276</v>
      </c>
      <c r="G685" t="s">
        <v>5904</v>
      </c>
      <c r="H685">
        <v>928</v>
      </c>
      <c r="I685">
        <v>930</v>
      </c>
      <c r="J685">
        <v>930</v>
      </c>
      <c r="K685">
        <v>864</v>
      </c>
      <c r="L685">
        <v>878</v>
      </c>
      <c r="M685">
        <v>93.1</v>
      </c>
      <c r="N685">
        <v>94.6</v>
      </c>
      <c r="O685">
        <v>1721.8</v>
      </c>
    </row>
    <row r="686" spans="1:15">
      <c r="A686">
        <v>2060</v>
      </c>
      <c r="B686" t="s">
        <v>1850</v>
      </c>
      <c r="C686" t="s">
        <v>8277</v>
      </c>
      <c r="D686" t="s">
        <v>8278</v>
      </c>
      <c r="E686" t="s">
        <v>8279</v>
      </c>
      <c r="F686" t="s">
        <v>8280</v>
      </c>
      <c r="G686" t="s">
        <v>5904</v>
      </c>
      <c r="H686">
        <v>140</v>
      </c>
      <c r="I686">
        <v>140</v>
      </c>
      <c r="J686">
        <v>140</v>
      </c>
      <c r="K686">
        <v>131</v>
      </c>
      <c r="L686">
        <v>131</v>
      </c>
      <c r="M686">
        <v>93.6</v>
      </c>
      <c r="N686">
        <v>93.6</v>
      </c>
      <c r="O686">
        <v>215.3</v>
      </c>
    </row>
    <row r="687" spans="1:15">
      <c r="A687">
        <v>992</v>
      </c>
      <c r="B687" t="s">
        <v>8281</v>
      </c>
      <c r="C687" t="s">
        <v>1854</v>
      </c>
      <c r="D687" t="s">
        <v>8282</v>
      </c>
      <c r="E687" t="s">
        <v>8283</v>
      </c>
      <c r="F687" t="s">
        <v>8284</v>
      </c>
      <c r="G687" t="s">
        <v>5904</v>
      </c>
      <c r="H687">
        <v>241</v>
      </c>
      <c r="I687">
        <v>197</v>
      </c>
      <c r="J687">
        <v>169</v>
      </c>
      <c r="K687">
        <v>159</v>
      </c>
      <c r="L687">
        <v>165</v>
      </c>
      <c r="M687">
        <v>66</v>
      </c>
      <c r="N687">
        <v>68.5</v>
      </c>
      <c r="O687">
        <v>343.2</v>
      </c>
    </row>
    <row r="688" spans="1:15">
      <c r="A688">
        <v>991</v>
      </c>
      <c r="B688" t="s">
        <v>1855</v>
      </c>
      <c r="C688" t="s">
        <v>1856</v>
      </c>
      <c r="D688" t="s">
        <v>8285</v>
      </c>
      <c r="E688" t="s">
        <v>8286</v>
      </c>
      <c r="F688" t="s">
        <v>8287</v>
      </c>
      <c r="G688" t="s">
        <v>5904</v>
      </c>
      <c r="H688">
        <v>1218</v>
      </c>
      <c r="I688">
        <v>1357</v>
      </c>
      <c r="J688">
        <v>1358</v>
      </c>
      <c r="K688">
        <v>852</v>
      </c>
      <c r="L688">
        <v>1017</v>
      </c>
      <c r="M688">
        <v>70</v>
      </c>
      <c r="N688">
        <v>83.5</v>
      </c>
      <c r="O688">
        <v>1519.6</v>
      </c>
    </row>
    <row r="689" spans="1:15">
      <c r="A689">
        <v>990</v>
      </c>
      <c r="B689" t="s">
        <v>8288</v>
      </c>
      <c r="C689" t="s">
        <v>1859</v>
      </c>
      <c r="D689" t="s">
        <v>8289</v>
      </c>
      <c r="E689" t="s">
        <v>8290</v>
      </c>
      <c r="F689" t="s">
        <v>8291</v>
      </c>
      <c r="G689" t="s">
        <v>5904</v>
      </c>
      <c r="H689">
        <v>481</v>
      </c>
      <c r="I689">
        <v>461</v>
      </c>
      <c r="J689">
        <v>483</v>
      </c>
      <c r="K689">
        <v>349</v>
      </c>
      <c r="L689">
        <v>378</v>
      </c>
      <c r="M689">
        <v>72.599999999999994</v>
      </c>
      <c r="N689">
        <v>78.599999999999994</v>
      </c>
      <c r="O689">
        <v>664.1</v>
      </c>
    </row>
    <row r="690" spans="1:15">
      <c r="A690">
        <v>989</v>
      </c>
      <c r="B690" t="s">
        <v>8292</v>
      </c>
      <c r="C690" t="s">
        <v>1862</v>
      </c>
      <c r="D690" t="s">
        <v>8293</v>
      </c>
      <c r="E690" t="s">
        <v>8294</v>
      </c>
      <c r="F690" t="s">
        <v>8295</v>
      </c>
      <c r="G690" t="s">
        <v>5904</v>
      </c>
      <c r="H690">
        <v>404</v>
      </c>
      <c r="I690">
        <v>368</v>
      </c>
      <c r="J690">
        <v>404</v>
      </c>
      <c r="K690">
        <v>358</v>
      </c>
      <c r="L690">
        <v>361</v>
      </c>
      <c r="M690">
        <v>88.6</v>
      </c>
      <c r="N690">
        <v>89.4</v>
      </c>
      <c r="O690">
        <v>717.6</v>
      </c>
    </row>
    <row r="691" spans="1:15">
      <c r="A691">
        <v>988</v>
      </c>
      <c r="B691" t="s">
        <v>1863</v>
      </c>
      <c r="C691" t="s">
        <v>1864</v>
      </c>
      <c r="D691" t="s">
        <v>8296</v>
      </c>
      <c r="E691" t="s">
        <v>8297</v>
      </c>
      <c r="F691" t="s">
        <v>8298</v>
      </c>
      <c r="G691" t="s">
        <v>5904</v>
      </c>
      <c r="H691">
        <v>161</v>
      </c>
      <c r="I691">
        <v>161</v>
      </c>
      <c r="J691">
        <v>161</v>
      </c>
      <c r="K691">
        <v>160</v>
      </c>
      <c r="L691">
        <v>161</v>
      </c>
      <c r="M691">
        <v>99.4</v>
      </c>
      <c r="N691">
        <v>100</v>
      </c>
      <c r="O691">
        <v>317</v>
      </c>
    </row>
    <row r="692" spans="1:15">
      <c r="A692">
        <v>987</v>
      </c>
      <c r="B692" t="s">
        <v>1865</v>
      </c>
      <c r="C692" t="s">
        <v>1866</v>
      </c>
      <c r="D692" t="s">
        <v>8299</v>
      </c>
      <c r="E692" t="s">
        <v>8300</v>
      </c>
      <c r="F692" t="s">
        <v>8301</v>
      </c>
      <c r="G692" t="s">
        <v>5904</v>
      </c>
      <c r="H692">
        <v>476</v>
      </c>
      <c r="I692">
        <v>486</v>
      </c>
      <c r="J692">
        <v>486</v>
      </c>
      <c r="K692">
        <v>408</v>
      </c>
      <c r="L692">
        <v>430</v>
      </c>
      <c r="M692">
        <v>85.7</v>
      </c>
      <c r="N692">
        <v>90.3</v>
      </c>
      <c r="O692">
        <v>756.9</v>
      </c>
    </row>
    <row r="693" spans="1:15">
      <c r="A693">
        <v>2059</v>
      </c>
      <c r="B693" t="s">
        <v>1867</v>
      </c>
      <c r="C693" t="s">
        <v>1868</v>
      </c>
      <c r="D693" t="s">
        <v>8302</v>
      </c>
      <c r="E693" t="s">
        <v>8303</v>
      </c>
      <c r="F693" t="s">
        <v>8304</v>
      </c>
      <c r="G693" t="s">
        <v>6054</v>
      </c>
      <c r="H693">
        <v>3257</v>
      </c>
      <c r="I693">
        <v>2391</v>
      </c>
      <c r="J693">
        <v>1138</v>
      </c>
      <c r="K693">
        <v>596</v>
      </c>
      <c r="L693">
        <v>734</v>
      </c>
      <c r="M693">
        <v>18.3</v>
      </c>
      <c r="N693">
        <v>22.5</v>
      </c>
      <c r="O693">
        <v>697.2</v>
      </c>
    </row>
    <row r="694" spans="1:15">
      <c r="A694">
        <v>986</v>
      </c>
      <c r="B694" t="s">
        <v>8305</v>
      </c>
      <c r="C694" t="s">
        <v>1872</v>
      </c>
      <c r="D694" t="s">
        <v>8306</v>
      </c>
      <c r="E694" t="s">
        <v>8307</v>
      </c>
      <c r="F694" t="s">
        <v>8308</v>
      </c>
      <c r="G694" t="s">
        <v>5904</v>
      </c>
      <c r="H694">
        <v>728</v>
      </c>
      <c r="I694">
        <v>699</v>
      </c>
      <c r="J694">
        <v>725</v>
      </c>
      <c r="K694">
        <v>498</v>
      </c>
      <c r="L694">
        <v>557</v>
      </c>
      <c r="M694">
        <v>68.400000000000006</v>
      </c>
      <c r="N694">
        <v>76.5</v>
      </c>
      <c r="O694">
        <v>989.2</v>
      </c>
    </row>
    <row r="695" spans="1:15">
      <c r="A695">
        <v>985</v>
      </c>
      <c r="B695" t="s">
        <v>8309</v>
      </c>
      <c r="C695" t="s">
        <v>1875</v>
      </c>
      <c r="D695" t="s">
        <v>8310</v>
      </c>
      <c r="E695" t="s">
        <v>8311</v>
      </c>
      <c r="F695" t="s">
        <v>8312</v>
      </c>
      <c r="G695" t="s">
        <v>5904</v>
      </c>
      <c r="H695">
        <v>694</v>
      </c>
      <c r="I695">
        <v>696</v>
      </c>
      <c r="J695">
        <v>697</v>
      </c>
      <c r="K695">
        <v>610</v>
      </c>
      <c r="L695">
        <v>636</v>
      </c>
      <c r="M695">
        <v>87.9</v>
      </c>
      <c r="N695">
        <v>91.6</v>
      </c>
      <c r="O695">
        <v>1100.5</v>
      </c>
    </row>
    <row r="696" spans="1:15">
      <c r="A696">
        <v>984</v>
      </c>
      <c r="B696" t="s">
        <v>1876</v>
      </c>
      <c r="C696" t="s">
        <v>1877</v>
      </c>
      <c r="D696" t="s">
        <v>8313</v>
      </c>
      <c r="E696" t="s">
        <v>8314</v>
      </c>
      <c r="F696" t="s">
        <v>8315</v>
      </c>
      <c r="G696" t="s">
        <v>5904</v>
      </c>
      <c r="H696">
        <v>1097</v>
      </c>
      <c r="I696">
        <v>1098</v>
      </c>
      <c r="J696">
        <v>1098</v>
      </c>
      <c r="K696">
        <v>1047</v>
      </c>
      <c r="L696">
        <v>1073</v>
      </c>
      <c r="M696">
        <v>95.4</v>
      </c>
      <c r="N696">
        <v>97.8</v>
      </c>
      <c r="O696">
        <v>2151.3000000000002</v>
      </c>
    </row>
    <row r="697" spans="1:15">
      <c r="A697">
        <v>983</v>
      </c>
      <c r="B697" t="s">
        <v>1878</v>
      </c>
      <c r="C697" t="s">
        <v>1879</v>
      </c>
      <c r="D697" t="s">
        <v>8316</v>
      </c>
      <c r="E697" t="s">
        <v>8317</v>
      </c>
      <c r="F697" t="s">
        <v>8318</v>
      </c>
      <c r="G697" t="s">
        <v>5904</v>
      </c>
      <c r="H697">
        <v>219</v>
      </c>
      <c r="I697">
        <v>168</v>
      </c>
      <c r="J697">
        <v>168</v>
      </c>
      <c r="K697">
        <v>151</v>
      </c>
      <c r="L697">
        <v>157</v>
      </c>
      <c r="M697">
        <v>68.900000000000006</v>
      </c>
      <c r="N697">
        <v>71.7</v>
      </c>
      <c r="O697">
        <v>275.39999999999998</v>
      </c>
    </row>
    <row r="698" spans="1:15">
      <c r="A698">
        <v>982</v>
      </c>
      <c r="B698" t="s">
        <v>8319</v>
      </c>
      <c r="C698" t="s">
        <v>8320</v>
      </c>
      <c r="D698" t="s">
        <v>8321</v>
      </c>
      <c r="E698" t="s">
        <v>8322</v>
      </c>
      <c r="F698" t="s">
        <v>8323</v>
      </c>
      <c r="G698" t="s">
        <v>5904</v>
      </c>
      <c r="H698">
        <v>222</v>
      </c>
      <c r="I698">
        <v>222</v>
      </c>
      <c r="J698">
        <v>222</v>
      </c>
      <c r="K698">
        <v>195</v>
      </c>
      <c r="L698">
        <v>208</v>
      </c>
      <c r="M698">
        <v>87.8</v>
      </c>
      <c r="N698">
        <v>93.7</v>
      </c>
      <c r="O698">
        <v>412.9</v>
      </c>
    </row>
    <row r="699" spans="1:15">
      <c r="A699">
        <v>981</v>
      </c>
      <c r="B699" t="s">
        <v>1883</v>
      </c>
      <c r="C699" t="s">
        <v>1884</v>
      </c>
      <c r="D699" t="s">
        <v>8324</v>
      </c>
      <c r="E699" t="s">
        <v>8325</v>
      </c>
      <c r="F699" t="s">
        <v>8326</v>
      </c>
      <c r="G699" t="s">
        <v>5904</v>
      </c>
      <c r="H699">
        <v>756</v>
      </c>
      <c r="I699">
        <v>757</v>
      </c>
      <c r="J699">
        <v>757</v>
      </c>
      <c r="K699">
        <v>705</v>
      </c>
      <c r="L699">
        <v>721</v>
      </c>
      <c r="M699">
        <v>93.3</v>
      </c>
      <c r="N699">
        <v>95.4</v>
      </c>
      <c r="O699">
        <v>1327.4</v>
      </c>
    </row>
    <row r="700" spans="1:15">
      <c r="A700">
        <v>980</v>
      </c>
      <c r="B700" t="s">
        <v>1885</v>
      </c>
      <c r="C700" t="s">
        <v>1886</v>
      </c>
      <c r="D700" t="s">
        <v>8327</v>
      </c>
      <c r="E700" t="s">
        <v>8328</v>
      </c>
      <c r="F700" t="s">
        <v>8329</v>
      </c>
      <c r="G700" t="s">
        <v>5904</v>
      </c>
      <c r="H700">
        <v>163</v>
      </c>
      <c r="I700">
        <v>163</v>
      </c>
      <c r="J700">
        <v>163</v>
      </c>
      <c r="K700">
        <v>161</v>
      </c>
      <c r="L700">
        <v>161</v>
      </c>
      <c r="M700">
        <v>98.8</v>
      </c>
      <c r="N700">
        <v>98.8</v>
      </c>
      <c r="O700">
        <v>334.3</v>
      </c>
    </row>
    <row r="701" spans="1:15">
      <c r="A701">
        <v>979</v>
      </c>
      <c r="B701" t="s">
        <v>1887</v>
      </c>
      <c r="C701" t="s">
        <v>1888</v>
      </c>
      <c r="D701" t="s">
        <v>8330</v>
      </c>
      <c r="E701" t="s">
        <v>8331</v>
      </c>
      <c r="F701" t="s">
        <v>8332</v>
      </c>
      <c r="G701" t="s">
        <v>5904</v>
      </c>
      <c r="H701">
        <v>110</v>
      </c>
      <c r="I701">
        <v>108</v>
      </c>
      <c r="J701">
        <v>89</v>
      </c>
      <c r="K701">
        <v>69</v>
      </c>
      <c r="L701">
        <v>76</v>
      </c>
      <c r="M701">
        <v>62.7</v>
      </c>
      <c r="N701">
        <v>69.099999999999994</v>
      </c>
      <c r="O701">
        <v>145.19999999999999</v>
      </c>
    </row>
    <row r="702" spans="1:15">
      <c r="A702">
        <v>978</v>
      </c>
      <c r="B702" t="s">
        <v>8333</v>
      </c>
      <c r="C702" t="s">
        <v>8334</v>
      </c>
      <c r="D702" t="s">
        <v>8335</v>
      </c>
      <c r="E702" t="s">
        <v>8336</v>
      </c>
      <c r="F702" t="s">
        <v>8337</v>
      </c>
      <c r="G702" t="s">
        <v>5904</v>
      </c>
      <c r="H702">
        <v>768</v>
      </c>
      <c r="I702">
        <v>750</v>
      </c>
      <c r="J702">
        <v>769</v>
      </c>
      <c r="K702">
        <v>704</v>
      </c>
      <c r="L702">
        <v>729</v>
      </c>
      <c r="M702">
        <v>91.7</v>
      </c>
      <c r="N702">
        <v>94.9</v>
      </c>
      <c r="O702">
        <v>1454.1</v>
      </c>
    </row>
    <row r="703" spans="1:15">
      <c r="A703">
        <v>977</v>
      </c>
      <c r="B703" t="s">
        <v>8338</v>
      </c>
      <c r="C703" t="s">
        <v>1894</v>
      </c>
      <c r="D703" t="s">
        <v>8339</v>
      </c>
      <c r="E703" t="s">
        <v>8340</v>
      </c>
      <c r="F703" t="s">
        <v>8341</v>
      </c>
      <c r="G703" t="s">
        <v>5904</v>
      </c>
      <c r="H703">
        <v>557</v>
      </c>
      <c r="I703">
        <v>531</v>
      </c>
      <c r="J703">
        <v>557</v>
      </c>
      <c r="K703">
        <v>520</v>
      </c>
      <c r="L703">
        <v>528</v>
      </c>
      <c r="M703">
        <v>93.4</v>
      </c>
      <c r="N703">
        <v>94.8</v>
      </c>
      <c r="O703">
        <v>1055</v>
      </c>
    </row>
    <row r="704" spans="1:15">
      <c r="A704">
        <v>976</v>
      </c>
      <c r="B704" t="s">
        <v>1895</v>
      </c>
      <c r="C704" t="s">
        <v>1896</v>
      </c>
      <c r="D704" t="s">
        <v>8342</v>
      </c>
      <c r="E704" t="s">
        <v>8343</v>
      </c>
      <c r="F704" t="s">
        <v>8344</v>
      </c>
      <c r="G704" t="s">
        <v>5904</v>
      </c>
      <c r="H704">
        <v>354</v>
      </c>
      <c r="I704">
        <v>347</v>
      </c>
      <c r="J704">
        <v>347</v>
      </c>
      <c r="K704">
        <v>260</v>
      </c>
      <c r="L704">
        <v>290</v>
      </c>
      <c r="M704">
        <v>73.400000000000006</v>
      </c>
      <c r="N704">
        <v>81.900000000000006</v>
      </c>
      <c r="O704">
        <v>499.2</v>
      </c>
    </row>
    <row r="705" spans="1:15">
      <c r="A705">
        <v>975</v>
      </c>
      <c r="B705" t="s">
        <v>1897</v>
      </c>
      <c r="C705" t="s">
        <v>1898</v>
      </c>
      <c r="D705" t="s">
        <v>8345</v>
      </c>
      <c r="E705" t="s">
        <v>8346</v>
      </c>
      <c r="F705" t="s">
        <v>8347</v>
      </c>
      <c r="G705" t="s">
        <v>5904</v>
      </c>
      <c r="H705">
        <v>273</v>
      </c>
      <c r="I705">
        <v>273</v>
      </c>
      <c r="J705">
        <v>273</v>
      </c>
      <c r="K705">
        <v>248</v>
      </c>
      <c r="L705">
        <v>257</v>
      </c>
      <c r="M705">
        <v>90.8</v>
      </c>
      <c r="N705">
        <v>94.1</v>
      </c>
      <c r="O705">
        <v>501.1</v>
      </c>
    </row>
    <row r="706" spans="1:15">
      <c r="A706">
        <v>974</v>
      </c>
      <c r="B706" t="s">
        <v>8348</v>
      </c>
      <c r="C706" t="s">
        <v>1901</v>
      </c>
      <c r="D706" t="s">
        <v>8349</v>
      </c>
      <c r="E706" t="s">
        <v>8350</v>
      </c>
      <c r="F706" t="s">
        <v>8351</v>
      </c>
      <c r="G706" t="s">
        <v>5904</v>
      </c>
      <c r="H706">
        <v>317</v>
      </c>
      <c r="I706">
        <v>302</v>
      </c>
      <c r="J706">
        <v>306</v>
      </c>
      <c r="K706">
        <v>178</v>
      </c>
      <c r="L706">
        <v>213</v>
      </c>
      <c r="M706">
        <v>56.2</v>
      </c>
      <c r="N706">
        <v>67.2</v>
      </c>
      <c r="O706">
        <v>308.5</v>
      </c>
    </row>
    <row r="707" spans="1:15">
      <c r="A707">
        <v>973</v>
      </c>
      <c r="B707" t="s">
        <v>1902</v>
      </c>
      <c r="C707" t="s">
        <v>1903</v>
      </c>
      <c r="D707" t="s">
        <v>8352</v>
      </c>
      <c r="E707" t="s">
        <v>8353</v>
      </c>
      <c r="F707" t="s">
        <v>8354</v>
      </c>
      <c r="G707" t="s">
        <v>5904</v>
      </c>
      <c r="H707">
        <v>168</v>
      </c>
      <c r="I707">
        <v>168</v>
      </c>
      <c r="J707">
        <v>168</v>
      </c>
      <c r="K707">
        <v>168</v>
      </c>
      <c r="L707">
        <v>168</v>
      </c>
      <c r="M707">
        <v>100</v>
      </c>
      <c r="N707">
        <v>100</v>
      </c>
      <c r="O707">
        <v>341.7</v>
      </c>
    </row>
    <row r="708" spans="1:15">
      <c r="A708">
        <v>972</v>
      </c>
      <c r="B708" t="s">
        <v>1904</v>
      </c>
      <c r="C708" t="s">
        <v>1906</v>
      </c>
      <c r="D708" t="s">
        <v>8355</v>
      </c>
      <c r="E708" t="s">
        <v>8356</v>
      </c>
      <c r="F708" t="s">
        <v>8357</v>
      </c>
      <c r="G708" t="s">
        <v>5904</v>
      </c>
      <c r="H708">
        <v>1827</v>
      </c>
      <c r="I708">
        <v>1827</v>
      </c>
      <c r="J708">
        <v>1827</v>
      </c>
      <c r="K708">
        <v>1525</v>
      </c>
      <c r="L708">
        <v>1659</v>
      </c>
      <c r="M708">
        <v>83.5</v>
      </c>
      <c r="N708">
        <v>90.8</v>
      </c>
      <c r="O708">
        <v>3220.6</v>
      </c>
    </row>
    <row r="709" spans="1:15">
      <c r="A709">
        <v>971</v>
      </c>
      <c r="B709" t="s">
        <v>1907</v>
      </c>
      <c r="C709" t="s">
        <v>1908</v>
      </c>
      <c r="D709" t="s">
        <v>8358</v>
      </c>
      <c r="E709" t="s">
        <v>8359</v>
      </c>
      <c r="F709" t="s">
        <v>8360</v>
      </c>
      <c r="G709" t="s">
        <v>5904</v>
      </c>
      <c r="H709">
        <v>357</v>
      </c>
      <c r="I709">
        <v>360</v>
      </c>
      <c r="J709">
        <v>345</v>
      </c>
      <c r="K709">
        <v>263</v>
      </c>
      <c r="L709">
        <v>292</v>
      </c>
      <c r="M709">
        <v>73.7</v>
      </c>
      <c r="N709">
        <v>81.8</v>
      </c>
      <c r="O709">
        <v>537.70000000000005</v>
      </c>
    </row>
    <row r="710" spans="1:15">
      <c r="A710">
        <v>970</v>
      </c>
      <c r="B710" t="s">
        <v>8361</v>
      </c>
      <c r="C710" t="s">
        <v>1911</v>
      </c>
      <c r="D710" t="s">
        <v>8362</v>
      </c>
      <c r="E710" t="s">
        <v>8363</v>
      </c>
      <c r="F710" t="s">
        <v>8364</v>
      </c>
      <c r="G710" t="s">
        <v>5904</v>
      </c>
      <c r="H710">
        <v>442</v>
      </c>
      <c r="I710">
        <v>408</v>
      </c>
      <c r="J710">
        <v>408</v>
      </c>
      <c r="K710">
        <v>365</v>
      </c>
      <c r="L710">
        <v>384</v>
      </c>
      <c r="M710">
        <v>82.6</v>
      </c>
      <c r="N710">
        <v>86.9</v>
      </c>
      <c r="O710">
        <v>765.4</v>
      </c>
    </row>
    <row r="711" spans="1:15">
      <c r="A711">
        <v>969</v>
      </c>
      <c r="B711" t="s">
        <v>1912</v>
      </c>
      <c r="C711" t="s">
        <v>1913</v>
      </c>
      <c r="D711" t="s">
        <v>8365</v>
      </c>
      <c r="E711" t="s">
        <v>8366</v>
      </c>
      <c r="F711" t="s">
        <v>8367</v>
      </c>
      <c r="G711" t="s">
        <v>5904</v>
      </c>
      <c r="H711">
        <v>210</v>
      </c>
      <c r="I711">
        <v>210</v>
      </c>
      <c r="J711">
        <v>208</v>
      </c>
      <c r="K711">
        <v>182</v>
      </c>
      <c r="L711">
        <v>190</v>
      </c>
      <c r="M711">
        <v>86.7</v>
      </c>
      <c r="N711">
        <v>90.5</v>
      </c>
      <c r="O711">
        <v>367.1</v>
      </c>
    </row>
    <row r="712" spans="1:15">
      <c r="A712">
        <v>968</v>
      </c>
      <c r="B712" t="s">
        <v>1914</v>
      </c>
      <c r="C712" t="s">
        <v>1915</v>
      </c>
      <c r="D712" t="s">
        <v>8368</v>
      </c>
      <c r="E712" t="s">
        <v>8369</v>
      </c>
      <c r="F712" t="s">
        <v>8370</v>
      </c>
      <c r="G712" t="s">
        <v>5904</v>
      </c>
      <c r="H712">
        <v>2595</v>
      </c>
      <c r="I712">
        <v>2590</v>
      </c>
      <c r="J712">
        <v>2603</v>
      </c>
      <c r="K712">
        <v>2120</v>
      </c>
      <c r="L712">
        <v>2281</v>
      </c>
      <c r="M712">
        <v>81.7</v>
      </c>
      <c r="N712">
        <v>87.9</v>
      </c>
      <c r="O712">
        <v>4182.8999999999996</v>
      </c>
    </row>
    <row r="713" spans="1:15">
      <c r="A713">
        <v>967</v>
      </c>
      <c r="B713" t="s">
        <v>8371</v>
      </c>
      <c r="C713" t="s">
        <v>1918</v>
      </c>
      <c r="D713" t="s">
        <v>8372</v>
      </c>
      <c r="E713" t="s">
        <v>8373</v>
      </c>
      <c r="F713" t="s">
        <v>8374</v>
      </c>
      <c r="G713" t="s">
        <v>5904</v>
      </c>
      <c r="H713">
        <v>481</v>
      </c>
      <c r="I713">
        <v>480</v>
      </c>
      <c r="J713">
        <v>481</v>
      </c>
      <c r="K713">
        <v>433</v>
      </c>
      <c r="L713">
        <v>451</v>
      </c>
      <c r="M713">
        <v>90</v>
      </c>
      <c r="N713">
        <v>93.8</v>
      </c>
      <c r="O713">
        <v>905.2</v>
      </c>
    </row>
    <row r="714" spans="1:15">
      <c r="A714">
        <v>966</v>
      </c>
      <c r="B714" t="s">
        <v>1919</v>
      </c>
      <c r="C714" t="s">
        <v>1921</v>
      </c>
      <c r="D714" t="s">
        <v>8375</v>
      </c>
      <c r="E714" t="s">
        <v>8376</v>
      </c>
      <c r="F714" t="s">
        <v>8377</v>
      </c>
      <c r="G714" t="s">
        <v>5904</v>
      </c>
      <c r="H714">
        <v>180</v>
      </c>
      <c r="I714">
        <v>180</v>
      </c>
      <c r="J714">
        <v>180</v>
      </c>
      <c r="K714">
        <v>174</v>
      </c>
      <c r="L714">
        <v>177</v>
      </c>
      <c r="M714">
        <v>96.7</v>
      </c>
      <c r="N714">
        <v>98.3</v>
      </c>
      <c r="O714">
        <v>359</v>
      </c>
    </row>
    <row r="715" spans="1:15">
      <c r="A715">
        <v>965</v>
      </c>
      <c r="B715" t="s">
        <v>8378</v>
      </c>
      <c r="C715" t="s">
        <v>1924</v>
      </c>
      <c r="D715" t="s">
        <v>8379</v>
      </c>
      <c r="E715" t="s">
        <v>8380</v>
      </c>
      <c r="F715" t="s">
        <v>8381</v>
      </c>
      <c r="G715" t="s">
        <v>5904</v>
      </c>
      <c r="H715">
        <v>381</v>
      </c>
      <c r="I715">
        <v>382</v>
      </c>
      <c r="J715">
        <v>369</v>
      </c>
      <c r="K715">
        <v>196</v>
      </c>
      <c r="L715">
        <v>225</v>
      </c>
      <c r="M715">
        <v>51.4</v>
      </c>
      <c r="N715">
        <v>59.1</v>
      </c>
      <c r="O715">
        <v>274.2</v>
      </c>
    </row>
    <row r="716" spans="1:15">
      <c r="A716">
        <v>964</v>
      </c>
      <c r="B716" t="s">
        <v>1925</v>
      </c>
      <c r="C716" t="s">
        <v>1926</v>
      </c>
      <c r="D716" t="s">
        <v>8382</v>
      </c>
      <c r="E716" t="s">
        <v>8383</v>
      </c>
      <c r="F716" t="s">
        <v>8384</v>
      </c>
      <c r="G716" t="s">
        <v>5904</v>
      </c>
      <c r="H716">
        <v>1887</v>
      </c>
      <c r="I716">
        <v>1887</v>
      </c>
      <c r="J716">
        <v>1889</v>
      </c>
      <c r="K716">
        <v>1625</v>
      </c>
      <c r="L716">
        <v>1751</v>
      </c>
      <c r="M716">
        <v>86.1</v>
      </c>
      <c r="N716">
        <v>92.8</v>
      </c>
      <c r="O716">
        <v>3269.2</v>
      </c>
    </row>
    <row r="717" spans="1:15">
      <c r="A717">
        <v>963</v>
      </c>
      <c r="B717" t="s">
        <v>1927</v>
      </c>
      <c r="C717" t="s">
        <v>8385</v>
      </c>
      <c r="D717" t="s">
        <v>8386</v>
      </c>
      <c r="E717" t="s">
        <v>8387</v>
      </c>
      <c r="F717" t="s">
        <v>8388</v>
      </c>
      <c r="G717" t="s">
        <v>5904</v>
      </c>
      <c r="H717">
        <v>892</v>
      </c>
      <c r="I717">
        <v>895</v>
      </c>
      <c r="J717">
        <v>895</v>
      </c>
      <c r="K717">
        <v>851</v>
      </c>
      <c r="L717">
        <v>868</v>
      </c>
      <c r="M717">
        <v>95.4</v>
      </c>
      <c r="N717">
        <v>97.3</v>
      </c>
      <c r="O717">
        <v>1572.4</v>
      </c>
    </row>
    <row r="718" spans="1:15">
      <c r="A718">
        <v>962</v>
      </c>
      <c r="B718" t="s">
        <v>1929</v>
      </c>
      <c r="C718" t="s">
        <v>1930</v>
      </c>
      <c r="D718" t="s">
        <v>8389</v>
      </c>
      <c r="E718" t="s">
        <v>8390</v>
      </c>
      <c r="F718" t="s">
        <v>8391</v>
      </c>
      <c r="G718" t="s">
        <v>5904</v>
      </c>
      <c r="H718">
        <v>258</v>
      </c>
      <c r="I718">
        <v>282</v>
      </c>
      <c r="J718">
        <v>242</v>
      </c>
      <c r="K718">
        <v>142</v>
      </c>
      <c r="L718">
        <v>160</v>
      </c>
      <c r="M718">
        <v>55</v>
      </c>
      <c r="N718">
        <v>62</v>
      </c>
      <c r="O718">
        <v>219.9</v>
      </c>
    </row>
    <row r="719" spans="1:15">
      <c r="A719">
        <v>961</v>
      </c>
      <c r="B719" t="s">
        <v>8392</v>
      </c>
      <c r="C719" t="s">
        <v>1933</v>
      </c>
      <c r="D719" t="s">
        <v>8393</v>
      </c>
      <c r="E719" t="s">
        <v>8394</v>
      </c>
      <c r="F719" t="s">
        <v>8395</v>
      </c>
      <c r="G719" t="s">
        <v>5896</v>
      </c>
      <c r="H719">
        <v>249</v>
      </c>
      <c r="I719">
        <v>404</v>
      </c>
      <c r="J719">
        <v>162</v>
      </c>
      <c r="K719">
        <v>80</v>
      </c>
      <c r="L719">
        <v>111</v>
      </c>
      <c r="M719">
        <v>32.1</v>
      </c>
      <c r="N719">
        <v>44.6</v>
      </c>
      <c r="O719">
        <v>183.3</v>
      </c>
    </row>
    <row r="720" spans="1:15">
      <c r="A720">
        <v>960</v>
      </c>
      <c r="B720" t="s">
        <v>1934</v>
      </c>
      <c r="C720" t="s">
        <v>1935</v>
      </c>
      <c r="D720" t="s">
        <v>8396</v>
      </c>
      <c r="E720" t="s">
        <v>8397</v>
      </c>
      <c r="F720" t="s">
        <v>8398</v>
      </c>
      <c r="G720" t="s">
        <v>5904</v>
      </c>
      <c r="H720">
        <v>162</v>
      </c>
      <c r="I720">
        <v>206</v>
      </c>
      <c r="J720">
        <v>162</v>
      </c>
      <c r="K720">
        <v>160</v>
      </c>
      <c r="L720">
        <v>162</v>
      </c>
      <c r="M720">
        <v>98.8</v>
      </c>
      <c r="N720">
        <v>100</v>
      </c>
      <c r="O720">
        <v>325.89999999999998</v>
      </c>
    </row>
    <row r="721" spans="1:15">
      <c r="A721">
        <v>959</v>
      </c>
      <c r="B721" t="s">
        <v>1936</v>
      </c>
      <c r="C721" t="s">
        <v>1937</v>
      </c>
      <c r="D721" t="s">
        <v>8399</v>
      </c>
      <c r="E721" t="s">
        <v>8400</v>
      </c>
      <c r="F721" t="s">
        <v>8401</v>
      </c>
      <c r="G721" t="s">
        <v>5904</v>
      </c>
      <c r="H721">
        <v>632</v>
      </c>
      <c r="I721">
        <v>632</v>
      </c>
      <c r="J721">
        <v>632</v>
      </c>
      <c r="K721">
        <v>569</v>
      </c>
      <c r="L721">
        <v>606</v>
      </c>
      <c r="M721">
        <v>90</v>
      </c>
      <c r="N721">
        <v>95.9</v>
      </c>
      <c r="O721">
        <v>1175.5999999999999</v>
      </c>
    </row>
    <row r="722" spans="1:15">
      <c r="A722">
        <v>958</v>
      </c>
      <c r="B722" t="s">
        <v>1938</v>
      </c>
      <c r="C722" t="s">
        <v>1939</v>
      </c>
      <c r="D722" t="s">
        <v>8402</v>
      </c>
      <c r="E722" t="s">
        <v>8403</v>
      </c>
      <c r="F722" t="s">
        <v>8404</v>
      </c>
      <c r="G722" t="s">
        <v>5904</v>
      </c>
      <c r="H722">
        <v>593</v>
      </c>
      <c r="I722">
        <v>704</v>
      </c>
      <c r="J722">
        <v>443</v>
      </c>
      <c r="K722">
        <v>341</v>
      </c>
      <c r="L722">
        <v>356</v>
      </c>
      <c r="M722">
        <v>57.5</v>
      </c>
      <c r="N722">
        <v>60</v>
      </c>
      <c r="O722">
        <v>622.5</v>
      </c>
    </row>
    <row r="723" spans="1:15">
      <c r="A723">
        <v>957</v>
      </c>
      <c r="B723" t="s">
        <v>1940</v>
      </c>
      <c r="C723" t="s">
        <v>8405</v>
      </c>
      <c r="D723" t="s">
        <v>8406</v>
      </c>
      <c r="E723" t="s">
        <v>8407</v>
      </c>
      <c r="F723" t="s">
        <v>8408</v>
      </c>
      <c r="G723" t="s">
        <v>5904</v>
      </c>
      <c r="H723">
        <v>163</v>
      </c>
      <c r="I723">
        <v>163</v>
      </c>
      <c r="J723">
        <v>163</v>
      </c>
      <c r="K723">
        <v>163</v>
      </c>
      <c r="L723">
        <v>163</v>
      </c>
      <c r="M723">
        <v>100</v>
      </c>
      <c r="N723">
        <v>100</v>
      </c>
      <c r="O723">
        <v>330.5</v>
      </c>
    </row>
    <row r="724" spans="1:15">
      <c r="A724">
        <v>956</v>
      </c>
      <c r="B724" t="s">
        <v>1942</v>
      </c>
      <c r="C724" t="s">
        <v>1943</v>
      </c>
      <c r="D724" t="s">
        <v>8409</v>
      </c>
      <c r="E724" t="s">
        <v>8410</v>
      </c>
      <c r="F724" t="s">
        <v>8411</v>
      </c>
      <c r="G724" t="s">
        <v>5904</v>
      </c>
      <c r="H724">
        <v>342</v>
      </c>
      <c r="I724">
        <v>308</v>
      </c>
      <c r="J724">
        <v>269</v>
      </c>
      <c r="K724">
        <v>254</v>
      </c>
      <c r="L724">
        <v>263</v>
      </c>
      <c r="M724">
        <v>74.3</v>
      </c>
      <c r="N724">
        <v>76.900000000000006</v>
      </c>
      <c r="O724">
        <v>522.70000000000005</v>
      </c>
    </row>
    <row r="725" spans="1:15">
      <c r="A725">
        <v>955</v>
      </c>
      <c r="B725" t="s">
        <v>1944</v>
      </c>
      <c r="C725" t="s">
        <v>1945</v>
      </c>
      <c r="D725" t="s">
        <v>8412</v>
      </c>
      <c r="E725" t="s">
        <v>8413</v>
      </c>
      <c r="F725" t="s">
        <v>8414</v>
      </c>
      <c r="G725" t="s">
        <v>5904</v>
      </c>
      <c r="H725">
        <v>202</v>
      </c>
      <c r="I725">
        <v>202</v>
      </c>
      <c r="J725">
        <v>202</v>
      </c>
      <c r="K725">
        <v>181</v>
      </c>
      <c r="L725">
        <v>184</v>
      </c>
      <c r="M725">
        <v>89.6</v>
      </c>
      <c r="N725">
        <v>91.1</v>
      </c>
      <c r="O725">
        <v>355.5</v>
      </c>
    </row>
    <row r="726" spans="1:15">
      <c r="A726">
        <v>954</v>
      </c>
      <c r="B726" t="s">
        <v>8415</v>
      </c>
      <c r="C726" t="s">
        <v>1948</v>
      </c>
      <c r="D726" t="s">
        <v>8416</v>
      </c>
      <c r="E726" t="s">
        <v>8417</v>
      </c>
      <c r="F726" t="s">
        <v>8418</v>
      </c>
      <c r="G726" t="s">
        <v>5904</v>
      </c>
      <c r="H726">
        <v>583</v>
      </c>
      <c r="I726">
        <v>583</v>
      </c>
      <c r="J726">
        <v>583</v>
      </c>
      <c r="K726">
        <v>555</v>
      </c>
      <c r="L726">
        <v>568</v>
      </c>
      <c r="M726">
        <v>95.2</v>
      </c>
      <c r="N726">
        <v>97.4</v>
      </c>
      <c r="O726">
        <v>1156.3</v>
      </c>
    </row>
    <row r="727" spans="1:15">
      <c r="A727">
        <v>953</v>
      </c>
      <c r="B727" t="s">
        <v>1949</v>
      </c>
      <c r="C727" t="s">
        <v>1950</v>
      </c>
      <c r="D727" t="s">
        <v>8419</v>
      </c>
      <c r="E727" t="s">
        <v>8420</v>
      </c>
      <c r="F727" t="s">
        <v>8421</v>
      </c>
      <c r="G727" t="s">
        <v>5904</v>
      </c>
      <c r="H727">
        <v>355</v>
      </c>
      <c r="I727">
        <v>355</v>
      </c>
      <c r="J727">
        <v>355</v>
      </c>
      <c r="K727">
        <v>354</v>
      </c>
      <c r="L727">
        <v>355</v>
      </c>
      <c r="M727">
        <v>99.7</v>
      </c>
      <c r="N727">
        <v>100</v>
      </c>
      <c r="O727">
        <v>740.3</v>
      </c>
    </row>
    <row r="728" spans="1:15">
      <c r="A728">
        <v>952</v>
      </c>
      <c r="B728" t="s">
        <v>1951</v>
      </c>
      <c r="C728" t="s">
        <v>1952</v>
      </c>
      <c r="D728" t="s">
        <v>8422</v>
      </c>
      <c r="E728" t="s">
        <v>8423</v>
      </c>
      <c r="F728" t="s">
        <v>8424</v>
      </c>
      <c r="G728" t="s">
        <v>5904</v>
      </c>
      <c r="H728">
        <v>952</v>
      </c>
      <c r="I728">
        <v>967</v>
      </c>
      <c r="J728">
        <v>959</v>
      </c>
      <c r="K728">
        <v>818</v>
      </c>
      <c r="L728">
        <v>858</v>
      </c>
      <c r="M728">
        <v>85.9</v>
      </c>
      <c r="N728">
        <v>90.1</v>
      </c>
      <c r="O728">
        <v>1660.6</v>
      </c>
    </row>
    <row r="729" spans="1:15">
      <c r="A729">
        <v>951</v>
      </c>
      <c r="B729" t="s">
        <v>8425</v>
      </c>
      <c r="C729" t="s">
        <v>1955</v>
      </c>
      <c r="D729" t="s">
        <v>8426</v>
      </c>
      <c r="E729" t="s">
        <v>8427</v>
      </c>
      <c r="F729" t="s">
        <v>8428</v>
      </c>
      <c r="G729" t="s">
        <v>5904</v>
      </c>
      <c r="H729">
        <v>748</v>
      </c>
      <c r="I729">
        <v>711</v>
      </c>
      <c r="J729">
        <v>713</v>
      </c>
      <c r="K729">
        <v>706</v>
      </c>
      <c r="L729">
        <v>707</v>
      </c>
      <c r="M729">
        <v>94.4</v>
      </c>
      <c r="N729">
        <v>94.5</v>
      </c>
      <c r="O729">
        <v>1356.3</v>
      </c>
    </row>
    <row r="730" spans="1:15">
      <c r="A730">
        <v>950</v>
      </c>
      <c r="B730" t="s">
        <v>1956</v>
      </c>
      <c r="C730" t="s">
        <v>1957</v>
      </c>
      <c r="D730" t="s">
        <v>8429</v>
      </c>
      <c r="E730" t="s">
        <v>8430</v>
      </c>
      <c r="F730" t="s">
        <v>8431</v>
      </c>
      <c r="G730" t="s">
        <v>5904</v>
      </c>
      <c r="H730">
        <v>242</v>
      </c>
      <c r="I730">
        <v>242</v>
      </c>
      <c r="J730">
        <v>242</v>
      </c>
      <c r="K730">
        <v>203</v>
      </c>
      <c r="L730">
        <v>221</v>
      </c>
      <c r="M730">
        <v>83.9</v>
      </c>
      <c r="N730">
        <v>91.3</v>
      </c>
      <c r="O730">
        <v>426</v>
      </c>
    </row>
    <row r="731" spans="1:15">
      <c r="A731">
        <v>949</v>
      </c>
      <c r="B731" t="s">
        <v>1958</v>
      </c>
      <c r="C731" t="s">
        <v>1959</v>
      </c>
      <c r="D731" t="s">
        <v>8432</v>
      </c>
      <c r="E731" t="s">
        <v>8433</v>
      </c>
      <c r="F731" t="s">
        <v>8434</v>
      </c>
      <c r="G731" t="s">
        <v>5904</v>
      </c>
      <c r="H731">
        <v>382</v>
      </c>
      <c r="I731">
        <v>512</v>
      </c>
      <c r="J731">
        <v>378</v>
      </c>
      <c r="K731">
        <v>206</v>
      </c>
      <c r="L731">
        <v>265</v>
      </c>
      <c r="M731">
        <v>53.9</v>
      </c>
      <c r="N731">
        <v>69.400000000000006</v>
      </c>
      <c r="O731">
        <v>412.9</v>
      </c>
    </row>
    <row r="732" spans="1:15">
      <c r="A732">
        <v>948</v>
      </c>
      <c r="B732" t="s">
        <v>8435</v>
      </c>
      <c r="C732" t="s">
        <v>1962</v>
      </c>
      <c r="D732" t="s">
        <v>8436</v>
      </c>
      <c r="E732" t="s">
        <v>8437</v>
      </c>
      <c r="F732" t="s">
        <v>8438</v>
      </c>
      <c r="G732" t="s">
        <v>5904</v>
      </c>
      <c r="H732">
        <v>687</v>
      </c>
      <c r="I732">
        <v>570</v>
      </c>
      <c r="J732">
        <v>567</v>
      </c>
      <c r="K732">
        <v>450</v>
      </c>
      <c r="L732">
        <v>506</v>
      </c>
      <c r="M732">
        <v>65.5</v>
      </c>
      <c r="N732">
        <v>73.7</v>
      </c>
      <c r="O732">
        <v>924.5</v>
      </c>
    </row>
    <row r="733" spans="1:15">
      <c r="A733">
        <v>947</v>
      </c>
      <c r="B733" t="s">
        <v>1963</v>
      </c>
      <c r="C733" t="s">
        <v>1964</v>
      </c>
      <c r="D733" t="s">
        <v>8439</v>
      </c>
      <c r="E733" t="s">
        <v>8440</v>
      </c>
      <c r="F733" t="s">
        <v>8441</v>
      </c>
      <c r="G733" t="s">
        <v>5904</v>
      </c>
      <c r="H733">
        <v>580</v>
      </c>
      <c r="I733">
        <v>581</v>
      </c>
      <c r="J733">
        <v>581</v>
      </c>
      <c r="K733">
        <v>518</v>
      </c>
      <c r="L733">
        <v>550</v>
      </c>
      <c r="M733">
        <v>89.3</v>
      </c>
      <c r="N733">
        <v>94.8</v>
      </c>
      <c r="O733">
        <v>1030</v>
      </c>
    </row>
    <row r="734" spans="1:15">
      <c r="A734">
        <v>946</v>
      </c>
      <c r="B734" t="s">
        <v>8442</v>
      </c>
      <c r="C734" t="s">
        <v>1967</v>
      </c>
      <c r="D734" t="s">
        <v>8443</v>
      </c>
      <c r="E734" t="s">
        <v>8444</v>
      </c>
      <c r="F734" t="s">
        <v>8445</v>
      </c>
      <c r="G734" t="s">
        <v>5904</v>
      </c>
      <c r="H734">
        <v>361</v>
      </c>
      <c r="I734">
        <v>338</v>
      </c>
      <c r="J734">
        <v>361</v>
      </c>
      <c r="K734">
        <v>333</v>
      </c>
      <c r="L734">
        <v>336</v>
      </c>
      <c r="M734">
        <v>92.2</v>
      </c>
      <c r="N734">
        <v>93.1</v>
      </c>
      <c r="O734">
        <v>672.9</v>
      </c>
    </row>
    <row r="735" spans="1:15">
      <c r="A735">
        <v>945</v>
      </c>
      <c r="B735" t="s">
        <v>8446</v>
      </c>
      <c r="C735" t="s">
        <v>8447</v>
      </c>
      <c r="D735" t="s">
        <v>8448</v>
      </c>
      <c r="E735" t="s">
        <v>8449</v>
      </c>
      <c r="F735" t="s">
        <v>8450</v>
      </c>
      <c r="G735" t="s">
        <v>5904</v>
      </c>
      <c r="H735">
        <v>2233</v>
      </c>
      <c r="I735">
        <v>2245</v>
      </c>
      <c r="J735">
        <v>2246</v>
      </c>
      <c r="K735">
        <v>1969</v>
      </c>
      <c r="L735">
        <v>2058</v>
      </c>
      <c r="M735">
        <v>88.2</v>
      </c>
      <c r="N735">
        <v>92.2</v>
      </c>
      <c r="O735">
        <v>3711.4</v>
      </c>
    </row>
    <row r="736" spans="1:15">
      <c r="A736">
        <v>944</v>
      </c>
      <c r="B736" t="s">
        <v>1971</v>
      </c>
      <c r="C736" t="s">
        <v>1972</v>
      </c>
      <c r="D736" t="s">
        <v>8451</v>
      </c>
      <c r="E736" t="s">
        <v>8452</v>
      </c>
      <c r="F736" t="s">
        <v>8453</v>
      </c>
      <c r="G736" t="s">
        <v>5904</v>
      </c>
      <c r="H736">
        <v>113</v>
      </c>
      <c r="I736">
        <v>113</v>
      </c>
      <c r="J736">
        <v>113</v>
      </c>
      <c r="K736">
        <v>100</v>
      </c>
      <c r="L736">
        <v>106</v>
      </c>
      <c r="M736">
        <v>88.5</v>
      </c>
      <c r="N736">
        <v>93.8</v>
      </c>
      <c r="O736">
        <v>210.7</v>
      </c>
    </row>
    <row r="737" spans="1:15">
      <c r="A737">
        <v>943</v>
      </c>
      <c r="B737" t="s">
        <v>1973</v>
      </c>
      <c r="C737" t="s">
        <v>1974</v>
      </c>
      <c r="D737" t="s">
        <v>8454</v>
      </c>
      <c r="E737" t="s">
        <v>8455</v>
      </c>
      <c r="F737" t="s">
        <v>8456</v>
      </c>
      <c r="G737" t="s">
        <v>5904</v>
      </c>
      <c r="H737">
        <v>69</v>
      </c>
      <c r="I737">
        <v>69</v>
      </c>
      <c r="J737">
        <v>69</v>
      </c>
      <c r="K737">
        <v>69</v>
      </c>
      <c r="L737">
        <v>69</v>
      </c>
      <c r="M737">
        <v>100</v>
      </c>
      <c r="N737">
        <v>100</v>
      </c>
      <c r="O737">
        <v>137.1</v>
      </c>
    </row>
    <row r="738" spans="1:15">
      <c r="A738">
        <v>942</v>
      </c>
      <c r="B738" t="s">
        <v>1975</v>
      </c>
      <c r="C738" t="s">
        <v>1976</v>
      </c>
      <c r="D738" t="s">
        <v>8457</v>
      </c>
      <c r="E738" t="s">
        <v>8458</v>
      </c>
      <c r="F738" t="s">
        <v>8459</v>
      </c>
      <c r="G738" t="s">
        <v>5904</v>
      </c>
      <c r="H738">
        <v>170</v>
      </c>
      <c r="I738">
        <v>170</v>
      </c>
      <c r="J738">
        <v>171</v>
      </c>
      <c r="K738">
        <v>96</v>
      </c>
      <c r="L738">
        <v>123</v>
      </c>
      <c r="M738">
        <v>56.5</v>
      </c>
      <c r="N738">
        <v>72.400000000000006</v>
      </c>
      <c r="O738">
        <v>167.5</v>
      </c>
    </row>
    <row r="739" spans="1:15">
      <c r="A739">
        <v>941</v>
      </c>
      <c r="B739" t="s">
        <v>1977</v>
      </c>
      <c r="C739" t="s">
        <v>1978</v>
      </c>
      <c r="D739" t="s">
        <v>8460</v>
      </c>
      <c r="E739" t="s">
        <v>8461</v>
      </c>
      <c r="F739" t="s">
        <v>8462</v>
      </c>
      <c r="G739" t="s">
        <v>5904</v>
      </c>
      <c r="H739">
        <v>626</v>
      </c>
      <c r="I739">
        <v>621</v>
      </c>
      <c r="J739">
        <v>622</v>
      </c>
      <c r="K739">
        <v>537</v>
      </c>
      <c r="L739">
        <v>576</v>
      </c>
      <c r="M739">
        <v>85.8</v>
      </c>
      <c r="N739">
        <v>92</v>
      </c>
      <c r="O739">
        <v>1126.7</v>
      </c>
    </row>
    <row r="740" spans="1:15">
      <c r="A740">
        <v>940</v>
      </c>
      <c r="B740" t="s">
        <v>1979</v>
      </c>
      <c r="C740" t="s">
        <v>8463</v>
      </c>
      <c r="D740" t="s">
        <v>8464</v>
      </c>
      <c r="E740" t="s">
        <v>8465</v>
      </c>
      <c r="F740" t="s">
        <v>8466</v>
      </c>
      <c r="G740" t="s">
        <v>5904</v>
      </c>
      <c r="H740">
        <v>781</v>
      </c>
      <c r="I740">
        <v>781</v>
      </c>
      <c r="J740">
        <v>781</v>
      </c>
      <c r="K740">
        <v>780</v>
      </c>
      <c r="L740">
        <v>781</v>
      </c>
      <c r="M740">
        <v>99.9</v>
      </c>
      <c r="N740">
        <v>100</v>
      </c>
      <c r="O740">
        <v>1616.3</v>
      </c>
    </row>
    <row r="741" spans="1:15">
      <c r="A741">
        <v>939</v>
      </c>
      <c r="B741" t="s">
        <v>8467</v>
      </c>
      <c r="C741" t="s">
        <v>1983</v>
      </c>
      <c r="D741" t="s">
        <v>8468</v>
      </c>
      <c r="E741" t="s">
        <v>8469</v>
      </c>
      <c r="F741" t="s">
        <v>8470</v>
      </c>
      <c r="G741" t="s">
        <v>5904</v>
      </c>
      <c r="H741">
        <v>364</v>
      </c>
      <c r="I741">
        <v>367</v>
      </c>
      <c r="J741">
        <v>367</v>
      </c>
      <c r="K741">
        <v>253</v>
      </c>
      <c r="L741">
        <v>285</v>
      </c>
      <c r="M741">
        <v>69.5</v>
      </c>
      <c r="N741">
        <v>78.3</v>
      </c>
      <c r="O741">
        <v>465.7</v>
      </c>
    </row>
    <row r="742" spans="1:15">
      <c r="A742">
        <v>938</v>
      </c>
      <c r="B742" t="s">
        <v>1984</v>
      </c>
      <c r="C742" t="s">
        <v>1985</v>
      </c>
      <c r="D742" t="s">
        <v>8471</v>
      </c>
      <c r="E742" t="s">
        <v>8472</v>
      </c>
      <c r="F742" t="s">
        <v>8473</v>
      </c>
      <c r="G742" t="s">
        <v>5904</v>
      </c>
      <c r="H742">
        <v>351</v>
      </c>
      <c r="I742">
        <v>351</v>
      </c>
      <c r="J742">
        <v>350</v>
      </c>
      <c r="K742">
        <v>335</v>
      </c>
      <c r="L742">
        <v>346</v>
      </c>
      <c r="M742">
        <v>95.4</v>
      </c>
      <c r="N742">
        <v>98.6</v>
      </c>
      <c r="O742">
        <v>695.7</v>
      </c>
    </row>
    <row r="743" spans="1:15">
      <c r="A743">
        <v>937</v>
      </c>
      <c r="B743" t="s">
        <v>1986</v>
      </c>
      <c r="C743" t="s">
        <v>1988</v>
      </c>
      <c r="D743" t="s">
        <v>8474</v>
      </c>
      <c r="E743" t="s">
        <v>8475</v>
      </c>
      <c r="F743" t="s">
        <v>8476</v>
      </c>
      <c r="G743" t="s">
        <v>5904</v>
      </c>
      <c r="H743">
        <v>198</v>
      </c>
      <c r="I743">
        <v>195</v>
      </c>
      <c r="J743">
        <v>160</v>
      </c>
      <c r="K743">
        <v>156</v>
      </c>
      <c r="L743">
        <v>160</v>
      </c>
      <c r="M743">
        <v>78.8</v>
      </c>
      <c r="N743">
        <v>80.8</v>
      </c>
      <c r="O743">
        <v>328.6</v>
      </c>
    </row>
    <row r="744" spans="1:15">
      <c r="A744">
        <v>936</v>
      </c>
      <c r="B744" t="s">
        <v>1989</v>
      </c>
      <c r="C744" t="s">
        <v>1991</v>
      </c>
      <c r="D744" t="s">
        <v>8477</v>
      </c>
      <c r="E744" t="s">
        <v>8478</v>
      </c>
      <c r="F744" t="s">
        <v>8479</v>
      </c>
      <c r="G744" t="s">
        <v>5904</v>
      </c>
      <c r="H744">
        <v>359</v>
      </c>
      <c r="I744">
        <v>359</v>
      </c>
      <c r="J744">
        <v>359</v>
      </c>
      <c r="K744">
        <v>353</v>
      </c>
      <c r="L744">
        <v>356</v>
      </c>
      <c r="M744">
        <v>98.3</v>
      </c>
      <c r="N744">
        <v>99.2</v>
      </c>
      <c r="O744">
        <v>733.8</v>
      </c>
    </row>
    <row r="745" spans="1:15">
      <c r="A745">
        <v>935</v>
      </c>
      <c r="B745" t="s">
        <v>1992</v>
      </c>
      <c r="C745" t="s">
        <v>1993</v>
      </c>
      <c r="D745" t="s">
        <v>8480</v>
      </c>
      <c r="E745" t="s">
        <v>8481</v>
      </c>
      <c r="F745" t="s">
        <v>8482</v>
      </c>
      <c r="G745" t="s">
        <v>5904</v>
      </c>
      <c r="H745">
        <v>902</v>
      </c>
      <c r="I745">
        <v>902</v>
      </c>
      <c r="J745">
        <v>902</v>
      </c>
      <c r="K745">
        <v>839</v>
      </c>
      <c r="L745">
        <v>875</v>
      </c>
      <c r="M745">
        <v>93</v>
      </c>
      <c r="N745">
        <v>97</v>
      </c>
      <c r="O745">
        <v>1729.2</v>
      </c>
    </row>
    <row r="746" spans="1:15">
      <c r="A746">
        <v>934</v>
      </c>
      <c r="B746" t="s">
        <v>8483</v>
      </c>
      <c r="C746" t="s">
        <v>1996</v>
      </c>
      <c r="D746" t="s">
        <v>8484</v>
      </c>
      <c r="E746" t="s">
        <v>8485</v>
      </c>
      <c r="F746" t="s">
        <v>8486</v>
      </c>
      <c r="G746" t="s">
        <v>5904</v>
      </c>
      <c r="H746">
        <v>497</v>
      </c>
      <c r="I746">
        <v>438</v>
      </c>
      <c r="J746">
        <v>417</v>
      </c>
      <c r="K746">
        <v>370</v>
      </c>
      <c r="L746">
        <v>390</v>
      </c>
      <c r="M746">
        <v>74.400000000000006</v>
      </c>
      <c r="N746">
        <v>78.5</v>
      </c>
      <c r="O746">
        <v>776.5</v>
      </c>
    </row>
    <row r="747" spans="1:15">
      <c r="A747">
        <v>933</v>
      </c>
      <c r="B747" t="s">
        <v>1997</v>
      </c>
      <c r="C747" t="s">
        <v>1998</v>
      </c>
      <c r="D747" t="s">
        <v>8487</v>
      </c>
      <c r="E747" t="s">
        <v>8488</v>
      </c>
      <c r="F747" t="s">
        <v>8489</v>
      </c>
      <c r="G747" t="s">
        <v>5904</v>
      </c>
      <c r="H747">
        <v>98</v>
      </c>
      <c r="I747">
        <v>98</v>
      </c>
      <c r="J747">
        <v>98</v>
      </c>
      <c r="K747">
        <v>76</v>
      </c>
      <c r="L747">
        <v>85</v>
      </c>
      <c r="M747">
        <v>77.599999999999994</v>
      </c>
      <c r="N747">
        <v>86.7</v>
      </c>
      <c r="O747">
        <v>160.6</v>
      </c>
    </row>
    <row r="748" spans="1:15">
      <c r="A748">
        <v>932</v>
      </c>
      <c r="B748" t="s">
        <v>8490</v>
      </c>
      <c r="C748" t="s">
        <v>2001</v>
      </c>
      <c r="D748" t="s">
        <v>8491</v>
      </c>
      <c r="E748" t="s">
        <v>8492</v>
      </c>
      <c r="F748" t="s">
        <v>8493</v>
      </c>
      <c r="G748" t="s">
        <v>5904</v>
      </c>
      <c r="H748">
        <v>363</v>
      </c>
      <c r="I748">
        <v>365</v>
      </c>
      <c r="J748">
        <v>365</v>
      </c>
      <c r="K748">
        <v>337</v>
      </c>
      <c r="L748">
        <v>346</v>
      </c>
      <c r="M748">
        <v>92.8</v>
      </c>
      <c r="N748">
        <v>95.3</v>
      </c>
      <c r="O748">
        <v>699.5</v>
      </c>
    </row>
    <row r="749" spans="1:15">
      <c r="A749">
        <v>931</v>
      </c>
      <c r="B749" t="s">
        <v>8494</v>
      </c>
      <c r="C749" t="s">
        <v>2004</v>
      </c>
      <c r="D749" t="s">
        <v>8495</v>
      </c>
      <c r="E749" t="s">
        <v>8496</v>
      </c>
      <c r="F749" t="s">
        <v>8497</v>
      </c>
      <c r="G749" t="s">
        <v>5904</v>
      </c>
      <c r="H749">
        <v>259</v>
      </c>
      <c r="I749">
        <v>253</v>
      </c>
      <c r="J749">
        <v>247</v>
      </c>
      <c r="K749">
        <v>209</v>
      </c>
      <c r="L749">
        <v>224</v>
      </c>
      <c r="M749">
        <v>80.7</v>
      </c>
      <c r="N749">
        <v>86.5</v>
      </c>
      <c r="O749">
        <v>426.8</v>
      </c>
    </row>
    <row r="750" spans="1:15">
      <c r="A750">
        <v>930</v>
      </c>
      <c r="B750" t="s">
        <v>2005</v>
      </c>
      <c r="C750" t="s">
        <v>2006</v>
      </c>
      <c r="D750" t="s">
        <v>8498</v>
      </c>
      <c r="E750" t="s">
        <v>8499</v>
      </c>
      <c r="F750" t="s">
        <v>8500</v>
      </c>
      <c r="G750" t="s">
        <v>5904</v>
      </c>
      <c r="H750">
        <v>874</v>
      </c>
      <c r="I750">
        <v>874</v>
      </c>
      <c r="J750">
        <v>874</v>
      </c>
      <c r="K750">
        <v>865</v>
      </c>
      <c r="L750">
        <v>868</v>
      </c>
      <c r="M750">
        <v>99</v>
      </c>
      <c r="N750">
        <v>99.3</v>
      </c>
      <c r="O750">
        <v>1796.9</v>
      </c>
    </row>
    <row r="751" spans="1:15">
      <c r="A751">
        <v>929</v>
      </c>
      <c r="B751" t="s">
        <v>2007</v>
      </c>
      <c r="C751" t="s">
        <v>2008</v>
      </c>
      <c r="D751" t="s">
        <v>8501</v>
      </c>
      <c r="E751" t="s">
        <v>8502</v>
      </c>
      <c r="F751" t="s">
        <v>8503</v>
      </c>
      <c r="G751" t="s">
        <v>5904</v>
      </c>
      <c r="H751">
        <v>80</v>
      </c>
      <c r="I751">
        <v>94</v>
      </c>
      <c r="J751">
        <v>80</v>
      </c>
      <c r="K751">
        <v>56</v>
      </c>
      <c r="L751">
        <v>62</v>
      </c>
      <c r="M751">
        <v>70</v>
      </c>
      <c r="N751">
        <v>77.5</v>
      </c>
      <c r="O751">
        <v>107.8</v>
      </c>
    </row>
    <row r="752" spans="1:15">
      <c r="A752">
        <v>928</v>
      </c>
      <c r="B752" t="s">
        <v>2009</v>
      </c>
      <c r="C752" t="s">
        <v>8504</v>
      </c>
      <c r="D752" t="s">
        <v>8505</v>
      </c>
      <c r="E752" t="s">
        <v>8506</v>
      </c>
      <c r="F752" t="s">
        <v>8507</v>
      </c>
      <c r="G752" t="s">
        <v>5904</v>
      </c>
      <c r="H752">
        <v>1225</v>
      </c>
      <c r="I752">
        <v>1208</v>
      </c>
      <c r="J752">
        <v>1225</v>
      </c>
      <c r="K752">
        <v>1100</v>
      </c>
      <c r="L752">
        <v>1151</v>
      </c>
      <c r="M752">
        <v>89.8</v>
      </c>
      <c r="N752">
        <v>94</v>
      </c>
      <c r="O752">
        <v>2280</v>
      </c>
    </row>
    <row r="753" spans="1:15">
      <c r="A753">
        <v>927</v>
      </c>
      <c r="B753" t="s">
        <v>8508</v>
      </c>
      <c r="C753" t="s">
        <v>5729</v>
      </c>
      <c r="D753" t="s">
        <v>8509</v>
      </c>
      <c r="E753" t="s">
        <v>8510</v>
      </c>
      <c r="F753" t="s">
        <v>8511</v>
      </c>
      <c r="G753" t="s">
        <v>5904</v>
      </c>
      <c r="H753">
        <v>456</v>
      </c>
      <c r="I753">
        <v>434</v>
      </c>
      <c r="J753">
        <v>412</v>
      </c>
      <c r="K753">
        <v>354</v>
      </c>
      <c r="L753">
        <v>386</v>
      </c>
      <c r="M753">
        <v>77.599999999999994</v>
      </c>
      <c r="N753">
        <v>84.6</v>
      </c>
      <c r="O753">
        <v>708</v>
      </c>
    </row>
    <row r="754" spans="1:15">
      <c r="A754">
        <v>926</v>
      </c>
      <c r="B754" t="s">
        <v>8512</v>
      </c>
      <c r="C754" t="s">
        <v>2013</v>
      </c>
      <c r="D754" t="s">
        <v>8513</v>
      </c>
      <c r="E754" t="s">
        <v>8514</v>
      </c>
      <c r="F754" t="s">
        <v>8515</v>
      </c>
      <c r="G754" t="s">
        <v>5904</v>
      </c>
      <c r="H754">
        <v>349</v>
      </c>
      <c r="I754">
        <v>349</v>
      </c>
      <c r="J754">
        <v>349</v>
      </c>
      <c r="K754">
        <v>335</v>
      </c>
      <c r="L754">
        <v>343</v>
      </c>
      <c r="M754">
        <v>96</v>
      </c>
      <c r="N754">
        <v>98.3</v>
      </c>
      <c r="O754">
        <v>697.6</v>
      </c>
    </row>
    <row r="755" spans="1:15">
      <c r="A755">
        <v>925</v>
      </c>
      <c r="B755" t="s">
        <v>8516</v>
      </c>
      <c r="C755" t="s">
        <v>2016</v>
      </c>
      <c r="D755" t="s">
        <v>8517</v>
      </c>
      <c r="E755" t="s">
        <v>8518</v>
      </c>
      <c r="F755" t="s">
        <v>8519</v>
      </c>
      <c r="G755" t="s">
        <v>5904</v>
      </c>
      <c r="H755">
        <v>452</v>
      </c>
      <c r="I755">
        <v>416</v>
      </c>
      <c r="J755">
        <v>368</v>
      </c>
      <c r="K755">
        <v>256</v>
      </c>
      <c r="L755">
        <v>280</v>
      </c>
      <c r="M755">
        <v>56.6</v>
      </c>
      <c r="N755">
        <v>61.9</v>
      </c>
      <c r="O755">
        <v>445.3</v>
      </c>
    </row>
    <row r="756" spans="1:15">
      <c r="A756">
        <v>924</v>
      </c>
      <c r="B756" t="s">
        <v>2017</v>
      </c>
      <c r="C756" t="s">
        <v>2019</v>
      </c>
      <c r="D756" t="s">
        <v>8520</v>
      </c>
      <c r="E756" t="s">
        <v>8521</v>
      </c>
      <c r="F756" t="s">
        <v>8522</v>
      </c>
      <c r="G756" t="s">
        <v>5904</v>
      </c>
      <c r="H756">
        <v>1016</v>
      </c>
      <c r="I756">
        <v>1019</v>
      </c>
      <c r="J756">
        <v>1019</v>
      </c>
      <c r="K756">
        <v>905</v>
      </c>
      <c r="L756">
        <v>960</v>
      </c>
      <c r="M756">
        <v>89.1</v>
      </c>
      <c r="N756">
        <v>94.5</v>
      </c>
      <c r="O756">
        <v>1683.7</v>
      </c>
    </row>
    <row r="757" spans="1:15">
      <c r="A757">
        <v>923</v>
      </c>
      <c r="B757" t="s">
        <v>2020</v>
      </c>
      <c r="C757" t="s">
        <v>2021</v>
      </c>
      <c r="D757" t="s">
        <v>8520</v>
      </c>
      <c r="E757" t="s">
        <v>8521</v>
      </c>
      <c r="F757" t="s">
        <v>8523</v>
      </c>
      <c r="G757" t="s">
        <v>5904</v>
      </c>
      <c r="H757">
        <v>915</v>
      </c>
      <c r="I757">
        <v>1019</v>
      </c>
      <c r="J757">
        <v>821</v>
      </c>
      <c r="K757">
        <v>738</v>
      </c>
      <c r="L757">
        <v>780</v>
      </c>
      <c r="M757">
        <v>80.7</v>
      </c>
      <c r="N757">
        <v>85.2</v>
      </c>
      <c r="O757">
        <v>1333.9</v>
      </c>
    </row>
    <row r="758" spans="1:15">
      <c r="A758">
        <v>922</v>
      </c>
      <c r="B758" t="s">
        <v>2022</v>
      </c>
      <c r="C758" t="s">
        <v>2023</v>
      </c>
      <c r="D758" t="s">
        <v>8524</v>
      </c>
      <c r="E758" t="s">
        <v>8525</v>
      </c>
      <c r="F758" t="s">
        <v>8526</v>
      </c>
      <c r="G758" t="s">
        <v>5904</v>
      </c>
      <c r="H758">
        <v>153</v>
      </c>
      <c r="I758">
        <v>154</v>
      </c>
      <c r="J758">
        <v>154</v>
      </c>
      <c r="K758">
        <v>125</v>
      </c>
      <c r="L758">
        <v>137</v>
      </c>
      <c r="M758">
        <v>81.7</v>
      </c>
      <c r="N758">
        <v>89.5</v>
      </c>
      <c r="O758">
        <v>248.8</v>
      </c>
    </row>
    <row r="759" spans="1:15">
      <c r="A759">
        <v>921</v>
      </c>
      <c r="B759" t="s">
        <v>8527</v>
      </c>
      <c r="C759" t="s">
        <v>2026</v>
      </c>
      <c r="D759" t="s">
        <v>8528</v>
      </c>
      <c r="E759" t="s">
        <v>8529</v>
      </c>
      <c r="F759" t="s">
        <v>8530</v>
      </c>
      <c r="G759" t="s">
        <v>5904</v>
      </c>
      <c r="H759">
        <v>622</v>
      </c>
      <c r="I759">
        <v>576</v>
      </c>
      <c r="J759">
        <v>581</v>
      </c>
      <c r="K759">
        <v>426</v>
      </c>
      <c r="L759">
        <v>465</v>
      </c>
      <c r="M759">
        <v>68.5</v>
      </c>
      <c r="N759">
        <v>74.8</v>
      </c>
      <c r="O759">
        <v>833.6</v>
      </c>
    </row>
    <row r="760" spans="1:15">
      <c r="A760">
        <v>920</v>
      </c>
      <c r="B760" t="s">
        <v>8531</v>
      </c>
      <c r="C760" t="s">
        <v>8532</v>
      </c>
      <c r="D760" t="s">
        <v>8533</v>
      </c>
      <c r="E760" t="s">
        <v>8534</v>
      </c>
      <c r="F760" t="s">
        <v>8535</v>
      </c>
      <c r="G760" t="s">
        <v>5900</v>
      </c>
      <c r="H760">
        <v>376</v>
      </c>
      <c r="I760">
        <v>219</v>
      </c>
      <c r="J760">
        <v>183</v>
      </c>
      <c r="K760">
        <v>175</v>
      </c>
      <c r="L760">
        <v>177</v>
      </c>
      <c r="M760">
        <v>46.5</v>
      </c>
      <c r="N760">
        <v>47.1</v>
      </c>
      <c r="O760">
        <v>365.2</v>
      </c>
    </row>
    <row r="761" spans="1:15">
      <c r="A761">
        <v>919</v>
      </c>
      <c r="B761" t="s">
        <v>2030</v>
      </c>
      <c r="C761" t="s">
        <v>8536</v>
      </c>
      <c r="D761" t="s">
        <v>8537</v>
      </c>
      <c r="E761" t="s">
        <v>8538</v>
      </c>
      <c r="F761" t="s">
        <v>8539</v>
      </c>
      <c r="G761" t="s">
        <v>5904</v>
      </c>
      <c r="H761">
        <v>207</v>
      </c>
      <c r="I761">
        <v>207</v>
      </c>
      <c r="J761">
        <v>207</v>
      </c>
      <c r="K761">
        <v>207</v>
      </c>
      <c r="L761">
        <v>207</v>
      </c>
      <c r="M761">
        <v>100</v>
      </c>
      <c r="N761">
        <v>100</v>
      </c>
      <c r="O761">
        <v>431</v>
      </c>
    </row>
    <row r="762" spans="1:15">
      <c r="A762">
        <v>918</v>
      </c>
      <c r="B762" t="s">
        <v>8540</v>
      </c>
      <c r="C762" t="s">
        <v>8541</v>
      </c>
      <c r="D762" t="s">
        <v>8542</v>
      </c>
      <c r="E762" t="s">
        <v>8543</v>
      </c>
      <c r="F762" t="s">
        <v>8544</v>
      </c>
      <c r="G762" t="s">
        <v>5904</v>
      </c>
      <c r="H762">
        <v>778</v>
      </c>
      <c r="I762">
        <v>435</v>
      </c>
      <c r="J762">
        <v>434</v>
      </c>
      <c r="K762">
        <v>362</v>
      </c>
      <c r="L762">
        <v>393</v>
      </c>
      <c r="M762">
        <v>46.5</v>
      </c>
      <c r="N762">
        <v>50.5</v>
      </c>
      <c r="O762">
        <v>739.2</v>
      </c>
    </row>
    <row r="763" spans="1:15">
      <c r="A763">
        <v>917</v>
      </c>
      <c r="B763" t="s">
        <v>2035</v>
      </c>
      <c r="C763" t="s">
        <v>2036</v>
      </c>
      <c r="D763" t="s">
        <v>8545</v>
      </c>
      <c r="E763" t="s">
        <v>8546</v>
      </c>
      <c r="F763" t="s">
        <v>8547</v>
      </c>
      <c r="G763" t="s">
        <v>5904</v>
      </c>
      <c r="H763">
        <v>62</v>
      </c>
      <c r="I763">
        <v>62</v>
      </c>
      <c r="J763">
        <v>62</v>
      </c>
      <c r="K763">
        <v>62</v>
      </c>
      <c r="L763">
        <v>62</v>
      </c>
      <c r="M763">
        <v>100</v>
      </c>
      <c r="N763">
        <v>100</v>
      </c>
      <c r="O763">
        <v>123.6</v>
      </c>
    </row>
    <row r="764" spans="1:15">
      <c r="A764">
        <v>916</v>
      </c>
      <c r="B764" t="s">
        <v>8548</v>
      </c>
      <c r="C764" t="s">
        <v>2039</v>
      </c>
      <c r="D764" t="s">
        <v>8549</v>
      </c>
      <c r="E764" t="s">
        <v>8550</v>
      </c>
      <c r="F764" t="s">
        <v>8551</v>
      </c>
      <c r="G764" t="s">
        <v>5904</v>
      </c>
      <c r="H764">
        <v>1749</v>
      </c>
      <c r="I764">
        <v>1745</v>
      </c>
      <c r="J764">
        <v>1749</v>
      </c>
      <c r="K764">
        <v>1559</v>
      </c>
      <c r="L764">
        <v>1617</v>
      </c>
      <c r="M764">
        <v>89.1</v>
      </c>
      <c r="N764">
        <v>92.5</v>
      </c>
      <c r="O764">
        <v>2098.9</v>
      </c>
    </row>
    <row r="765" spans="1:15">
      <c r="A765">
        <v>915</v>
      </c>
      <c r="B765" t="s">
        <v>2040</v>
      </c>
      <c r="C765" t="s">
        <v>2041</v>
      </c>
      <c r="D765" t="s">
        <v>8552</v>
      </c>
      <c r="E765" t="s">
        <v>8553</v>
      </c>
      <c r="F765" t="s">
        <v>8554</v>
      </c>
      <c r="G765" t="s">
        <v>5904</v>
      </c>
      <c r="H765">
        <v>132</v>
      </c>
      <c r="I765">
        <v>129</v>
      </c>
      <c r="J765">
        <v>108</v>
      </c>
      <c r="K765">
        <v>81</v>
      </c>
      <c r="L765">
        <v>92</v>
      </c>
      <c r="M765">
        <v>61.4</v>
      </c>
      <c r="N765">
        <v>69.7</v>
      </c>
      <c r="O765">
        <v>177.9</v>
      </c>
    </row>
    <row r="766" spans="1:15">
      <c r="A766">
        <v>914</v>
      </c>
      <c r="B766" t="s">
        <v>2042</v>
      </c>
      <c r="C766" t="s">
        <v>2043</v>
      </c>
      <c r="D766" t="s">
        <v>8555</v>
      </c>
      <c r="E766" t="s">
        <v>8556</v>
      </c>
      <c r="F766" t="s">
        <v>8557</v>
      </c>
      <c r="G766" t="s">
        <v>5904</v>
      </c>
      <c r="H766">
        <v>81</v>
      </c>
      <c r="I766">
        <v>84</v>
      </c>
      <c r="J766">
        <v>81</v>
      </c>
      <c r="K766">
        <v>46</v>
      </c>
      <c r="L766">
        <v>59</v>
      </c>
      <c r="M766">
        <v>56.8</v>
      </c>
      <c r="N766">
        <v>72.8</v>
      </c>
      <c r="O766">
        <v>102.8</v>
      </c>
    </row>
    <row r="767" spans="1:15">
      <c r="A767">
        <v>913</v>
      </c>
      <c r="B767" t="s">
        <v>8558</v>
      </c>
      <c r="C767" t="s">
        <v>2047</v>
      </c>
      <c r="D767" t="s">
        <v>8559</v>
      </c>
      <c r="E767" t="s">
        <v>8560</v>
      </c>
      <c r="F767" t="s">
        <v>8561</v>
      </c>
      <c r="G767" t="s">
        <v>5904</v>
      </c>
      <c r="H767">
        <v>798</v>
      </c>
      <c r="I767">
        <v>780</v>
      </c>
      <c r="J767">
        <v>798</v>
      </c>
      <c r="K767">
        <v>736</v>
      </c>
      <c r="L767">
        <v>753</v>
      </c>
      <c r="M767">
        <v>92.2</v>
      </c>
      <c r="N767">
        <v>94.4</v>
      </c>
      <c r="O767">
        <v>1513.4</v>
      </c>
    </row>
    <row r="768" spans="1:15">
      <c r="A768">
        <v>912</v>
      </c>
      <c r="B768" t="s">
        <v>2048</v>
      </c>
      <c r="C768" t="s">
        <v>2049</v>
      </c>
      <c r="D768" t="s">
        <v>8562</v>
      </c>
      <c r="E768" t="s">
        <v>8563</v>
      </c>
      <c r="F768" t="s">
        <v>8564</v>
      </c>
      <c r="G768" t="s">
        <v>5904</v>
      </c>
      <c r="H768">
        <v>908</v>
      </c>
      <c r="I768">
        <v>908</v>
      </c>
      <c r="J768">
        <v>908</v>
      </c>
      <c r="K768">
        <v>900</v>
      </c>
      <c r="L768">
        <v>902</v>
      </c>
      <c r="M768">
        <v>99.1</v>
      </c>
      <c r="N768">
        <v>99.3</v>
      </c>
      <c r="O768">
        <v>1855.1</v>
      </c>
    </row>
    <row r="769" spans="1:15">
      <c r="A769">
        <v>911</v>
      </c>
      <c r="B769" t="s">
        <v>8565</v>
      </c>
      <c r="C769" t="s">
        <v>2052</v>
      </c>
      <c r="D769" t="s">
        <v>8566</v>
      </c>
      <c r="E769" t="s">
        <v>8567</v>
      </c>
      <c r="F769" t="s">
        <v>8568</v>
      </c>
      <c r="G769" t="s">
        <v>5904</v>
      </c>
      <c r="H769">
        <v>1174</v>
      </c>
      <c r="I769">
        <v>1114</v>
      </c>
      <c r="J769">
        <v>1116</v>
      </c>
      <c r="K769">
        <v>991</v>
      </c>
      <c r="L769">
        <v>1026</v>
      </c>
      <c r="M769">
        <v>84.4</v>
      </c>
      <c r="N769">
        <v>87.4</v>
      </c>
      <c r="O769">
        <v>1964.5</v>
      </c>
    </row>
    <row r="770" spans="1:15">
      <c r="A770">
        <v>910</v>
      </c>
      <c r="B770" t="s">
        <v>8569</v>
      </c>
      <c r="C770" t="s">
        <v>2055</v>
      </c>
      <c r="D770" t="s">
        <v>8570</v>
      </c>
      <c r="E770" t="s">
        <v>8571</v>
      </c>
      <c r="F770" t="s">
        <v>8572</v>
      </c>
      <c r="G770" t="s">
        <v>5904</v>
      </c>
      <c r="H770">
        <v>758</v>
      </c>
      <c r="I770">
        <v>737</v>
      </c>
      <c r="J770">
        <v>758</v>
      </c>
      <c r="K770">
        <v>702</v>
      </c>
      <c r="L770">
        <v>726</v>
      </c>
      <c r="M770">
        <v>92.6</v>
      </c>
      <c r="N770">
        <v>95.8</v>
      </c>
      <c r="O770">
        <v>1461.8</v>
      </c>
    </row>
    <row r="771" spans="1:15">
      <c r="A771">
        <v>909</v>
      </c>
      <c r="B771" t="s">
        <v>8573</v>
      </c>
      <c r="C771" t="s">
        <v>2058</v>
      </c>
      <c r="D771" t="s">
        <v>8574</v>
      </c>
      <c r="E771" t="s">
        <v>8575</v>
      </c>
      <c r="F771" t="s">
        <v>8576</v>
      </c>
      <c r="G771" t="s">
        <v>5904</v>
      </c>
      <c r="H771">
        <v>376</v>
      </c>
      <c r="I771">
        <v>374</v>
      </c>
      <c r="J771">
        <v>374</v>
      </c>
      <c r="K771">
        <v>335</v>
      </c>
      <c r="L771">
        <v>345</v>
      </c>
      <c r="M771">
        <v>89.1</v>
      </c>
      <c r="N771">
        <v>91.8</v>
      </c>
      <c r="O771">
        <v>664.5</v>
      </c>
    </row>
    <row r="772" spans="1:15">
      <c r="A772">
        <v>2058</v>
      </c>
      <c r="B772" t="s">
        <v>8577</v>
      </c>
      <c r="C772" t="s">
        <v>8578</v>
      </c>
      <c r="D772" t="s">
        <v>8579</v>
      </c>
      <c r="E772" t="s">
        <v>8580</v>
      </c>
      <c r="F772" t="s">
        <v>8581</v>
      </c>
      <c r="G772" t="s">
        <v>5904</v>
      </c>
      <c r="H772">
        <v>993</v>
      </c>
      <c r="I772">
        <v>949</v>
      </c>
      <c r="J772">
        <v>896</v>
      </c>
      <c r="K772">
        <v>673</v>
      </c>
      <c r="L772">
        <v>736</v>
      </c>
      <c r="M772">
        <v>67.8</v>
      </c>
      <c r="N772">
        <v>74.099999999999994</v>
      </c>
      <c r="O772">
        <v>1308.9000000000001</v>
      </c>
    </row>
    <row r="773" spans="1:15">
      <c r="A773">
        <v>908</v>
      </c>
      <c r="B773" t="s">
        <v>8582</v>
      </c>
      <c r="C773" t="s">
        <v>2064</v>
      </c>
      <c r="D773" t="s">
        <v>8583</v>
      </c>
      <c r="E773" t="s">
        <v>8584</v>
      </c>
      <c r="F773" t="s">
        <v>8585</v>
      </c>
      <c r="G773" t="s">
        <v>5904</v>
      </c>
      <c r="H773">
        <v>921</v>
      </c>
      <c r="I773">
        <v>911</v>
      </c>
      <c r="J773">
        <v>922</v>
      </c>
      <c r="K773">
        <v>771</v>
      </c>
      <c r="L773">
        <v>835</v>
      </c>
      <c r="M773">
        <v>83.7</v>
      </c>
      <c r="N773">
        <v>90.7</v>
      </c>
      <c r="O773">
        <v>1604.3</v>
      </c>
    </row>
    <row r="774" spans="1:15">
      <c r="A774">
        <v>907</v>
      </c>
      <c r="B774" t="s">
        <v>8586</v>
      </c>
      <c r="C774" t="s">
        <v>2068</v>
      </c>
      <c r="D774" t="s">
        <v>8587</v>
      </c>
      <c r="E774" t="s">
        <v>8588</v>
      </c>
      <c r="F774" t="s">
        <v>8589</v>
      </c>
      <c r="G774" t="s">
        <v>5904</v>
      </c>
      <c r="H774">
        <v>363</v>
      </c>
      <c r="I774">
        <v>363</v>
      </c>
      <c r="J774">
        <v>363</v>
      </c>
      <c r="K774">
        <v>353</v>
      </c>
      <c r="L774">
        <v>353</v>
      </c>
      <c r="M774">
        <v>97.2</v>
      </c>
      <c r="N774">
        <v>97.2</v>
      </c>
      <c r="O774">
        <v>715.7</v>
      </c>
    </row>
    <row r="775" spans="1:15">
      <c r="A775">
        <v>906</v>
      </c>
      <c r="B775" t="s">
        <v>2069</v>
      </c>
      <c r="C775" t="s">
        <v>2070</v>
      </c>
      <c r="D775" t="s">
        <v>8590</v>
      </c>
      <c r="E775" t="s">
        <v>8591</v>
      </c>
      <c r="F775" t="s">
        <v>8592</v>
      </c>
      <c r="G775" t="s">
        <v>5904</v>
      </c>
      <c r="H775">
        <v>891</v>
      </c>
      <c r="I775">
        <v>890</v>
      </c>
      <c r="J775">
        <v>891</v>
      </c>
      <c r="K775">
        <v>785</v>
      </c>
      <c r="L775">
        <v>834</v>
      </c>
      <c r="M775">
        <v>88.1</v>
      </c>
      <c r="N775">
        <v>93.6</v>
      </c>
      <c r="O775">
        <v>1621.3</v>
      </c>
    </row>
    <row r="776" spans="1:15">
      <c r="A776">
        <v>2057</v>
      </c>
      <c r="B776" t="s">
        <v>8593</v>
      </c>
      <c r="C776" t="s">
        <v>2073</v>
      </c>
      <c r="D776" t="s">
        <v>8594</v>
      </c>
      <c r="E776" t="s">
        <v>8595</v>
      </c>
      <c r="F776" t="s">
        <v>8596</v>
      </c>
      <c r="G776" t="s">
        <v>5904</v>
      </c>
      <c r="H776">
        <v>674</v>
      </c>
      <c r="I776">
        <v>727</v>
      </c>
      <c r="J776">
        <v>727</v>
      </c>
      <c r="K776">
        <v>578</v>
      </c>
      <c r="L776">
        <v>605</v>
      </c>
      <c r="M776">
        <v>85.8</v>
      </c>
      <c r="N776">
        <v>89.8</v>
      </c>
      <c r="O776">
        <v>1056.2</v>
      </c>
    </row>
    <row r="777" spans="1:15">
      <c r="A777">
        <v>905</v>
      </c>
      <c r="B777" t="s">
        <v>2074</v>
      </c>
      <c r="C777" t="s">
        <v>2075</v>
      </c>
      <c r="D777" t="s">
        <v>8597</v>
      </c>
      <c r="E777" t="s">
        <v>8598</v>
      </c>
      <c r="F777" t="s">
        <v>8599</v>
      </c>
      <c r="G777" t="s">
        <v>5904</v>
      </c>
      <c r="H777">
        <v>213</v>
      </c>
      <c r="I777">
        <v>213</v>
      </c>
      <c r="J777">
        <v>213</v>
      </c>
      <c r="K777">
        <v>194</v>
      </c>
      <c r="L777">
        <v>201</v>
      </c>
      <c r="M777">
        <v>91.1</v>
      </c>
      <c r="N777">
        <v>94.4</v>
      </c>
      <c r="O777">
        <v>264.60000000000002</v>
      </c>
    </row>
    <row r="778" spans="1:15">
      <c r="A778">
        <v>904</v>
      </c>
      <c r="B778" t="s">
        <v>2076</v>
      </c>
      <c r="C778" t="s">
        <v>2077</v>
      </c>
      <c r="D778" t="s">
        <v>8600</v>
      </c>
      <c r="E778" t="s">
        <v>8601</v>
      </c>
      <c r="F778" t="s">
        <v>8602</v>
      </c>
      <c r="G778" t="s">
        <v>5900</v>
      </c>
      <c r="H778">
        <v>427</v>
      </c>
      <c r="I778">
        <v>239</v>
      </c>
      <c r="J778">
        <v>215</v>
      </c>
      <c r="K778">
        <v>146</v>
      </c>
      <c r="L778">
        <v>154</v>
      </c>
      <c r="M778">
        <v>34.200000000000003</v>
      </c>
      <c r="N778">
        <v>36.1</v>
      </c>
      <c r="O778">
        <v>267.7</v>
      </c>
    </row>
    <row r="779" spans="1:15">
      <c r="A779">
        <v>903</v>
      </c>
      <c r="B779" t="s">
        <v>8603</v>
      </c>
      <c r="C779" t="s">
        <v>2080</v>
      </c>
      <c r="D779" t="s">
        <v>8604</v>
      </c>
      <c r="E779" t="s">
        <v>8605</v>
      </c>
      <c r="F779" t="s">
        <v>8606</v>
      </c>
      <c r="G779" t="s">
        <v>5904</v>
      </c>
      <c r="H779">
        <v>1064</v>
      </c>
      <c r="I779">
        <v>1059</v>
      </c>
      <c r="J779">
        <v>1056</v>
      </c>
      <c r="K779">
        <v>871</v>
      </c>
      <c r="L779">
        <v>908</v>
      </c>
      <c r="M779">
        <v>81.900000000000006</v>
      </c>
      <c r="N779">
        <v>85.3</v>
      </c>
      <c r="O779">
        <v>1634.4</v>
      </c>
    </row>
    <row r="780" spans="1:15">
      <c r="A780">
        <v>902</v>
      </c>
      <c r="B780" t="s">
        <v>2081</v>
      </c>
      <c r="C780" t="s">
        <v>2082</v>
      </c>
      <c r="D780" t="s">
        <v>8607</v>
      </c>
      <c r="E780" t="s">
        <v>8608</v>
      </c>
      <c r="F780" t="s">
        <v>8609</v>
      </c>
      <c r="G780" t="s">
        <v>5904</v>
      </c>
      <c r="H780">
        <v>208</v>
      </c>
      <c r="I780">
        <v>203</v>
      </c>
      <c r="J780">
        <v>190</v>
      </c>
      <c r="K780">
        <v>179</v>
      </c>
      <c r="L780">
        <v>184</v>
      </c>
      <c r="M780">
        <v>86.1</v>
      </c>
      <c r="N780">
        <v>88.5</v>
      </c>
      <c r="O780">
        <v>373.2</v>
      </c>
    </row>
    <row r="781" spans="1:15">
      <c r="A781">
        <v>901</v>
      </c>
      <c r="B781" t="s">
        <v>2083</v>
      </c>
      <c r="C781" t="s">
        <v>2084</v>
      </c>
      <c r="D781" t="s">
        <v>8610</v>
      </c>
      <c r="E781" t="s">
        <v>8611</v>
      </c>
      <c r="F781" t="s">
        <v>8612</v>
      </c>
      <c r="G781" t="s">
        <v>5904</v>
      </c>
      <c r="H781">
        <v>198</v>
      </c>
      <c r="I781">
        <v>198</v>
      </c>
      <c r="J781">
        <v>198</v>
      </c>
      <c r="K781">
        <v>187</v>
      </c>
      <c r="L781">
        <v>189</v>
      </c>
      <c r="M781">
        <v>94.4</v>
      </c>
      <c r="N781">
        <v>95.5</v>
      </c>
      <c r="O781">
        <v>386</v>
      </c>
    </row>
    <row r="782" spans="1:15">
      <c r="A782">
        <v>900</v>
      </c>
      <c r="B782" t="s">
        <v>2085</v>
      </c>
      <c r="C782" t="s">
        <v>2086</v>
      </c>
      <c r="D782" t="s">
        <v>8613</v>
      </c>
      <c r="E782" t="s">
        <v>8614</v>
      </c>
      <c r="F782" t="s">
        <v>8615</v>
      </c>
      <c r="G782" t="s">
        <v>5904</v>
      </c>
      <c r="H782">
        <v>260</v>
      </c>
      <c r="I782">
        <v>260</v>
      </c>
      <c r="J782">
        <v>260</v>
      </c>
      <c r="K782">
        <v>244</v>
      </c>
      <c r="L782">
        <v>256</v>
      </c>
      <c r="M782">
        <v>93.8</v>
      </c>
      <c r="N782">
        <v>98.5</v>
      </c>
      <c r="O782">
        <v>519.20000000000005</v>
      </c>
    </row>
    <row r="783" spans="1:15">
      <c r="A783">
        <v>899</v>
      </c>
      <c r="B783" t="s">
        <v>8616</v>
      </c>
      <c r="C783" t="s">
        <v>2089</v>
      </c>
      <c r="D783" t="s">
        <v>8617</v>
      </c>
      <c r="E783" t="s">
        <v>8618</v>
      </c>
      <c r="F783" t="s">
        <v>8619</v>
      </c>
      <c r="G783" t="s">
        <v>5904</v>
      </c>
      <c r="H783">
        <v>1228</v>
      </c>
      <c r="I783">
        <v>1184</v>
      </c>
      <c r="J783">
        <v>1249</v>
      </c>
      <c r="K783">
        <v>832</v>
      </c>
      <c r="L783">
        <v>919</v>
      </c>
      <c r="M783">
        <v>67.8</v>
      </c>
      <c r="N783">
        <v>74.8</v>
      </c>
      <c r="O783">
        <v>1476.8</v>
      </c>
    </row>
    <row r="784" spans="1:15">
      <c r="A784">
        <v>898</v>
      </c>
      <c r="B784" t="s">
        <v>2090</v>
      </c>
      <c r="C784" t="s">
        <v>2091</v>
      </c>
      <c r="D784" t="s">
        <v>8620</v>
      </c>
      <c r="E784" t="s">
        <v>8621</v>
      </c>
      <c r="F784" t="s">
        <v>8622</v>
      </c>
      <c r="G784" t="s">
        <v>5904</v>
      </c>
      <c r="H784">
        <v>607</v>
      </c>
      <c r="I784">
        <v>607</v>
      </c>
      <c r="J784">
        <v>607</v>
      </c>
      <c r="K784">
        <v>587</v>
      </c>
      <c r="L784">
        <v>596</v>
      </c>
      <c r="M784">
        <v>96.7</v>
      </c>
      <c r="N784">
        <v>98.2</v>
      </c>
      <c r="O784">
        <v>1211.4000000000001</v>
      </c>
    </row>
    <row r="785" spans="1:15">
      <c r="A785">
        <v>897</v>
      </c>
      <c r="B785" t="s">
        <v>8623</v>
      </c>
      <c r="C785" t="s">
        <v>2094</v>
      </c>
      <c r="D785" t="s">
        <v>8624</v>
      </c>
      <c r="E785" t="s">
        <v>8625</v>
      </c>
      <c r="F785" t="s">
        <v>8626</v>
      </c>
      <c r="G785" t="s">
        <v>5904</v>
      </c>
      <c r="H785">
        <v>1102</v>
      </c>
      <c r="I785">
        <v>1093</v>
      </c>
      <c r="J785">
        <v>1103</v>
      </c>
      <c r="K785">
        <v>917</v>
      </c>
      <c r="L785">
        <v>979</v>
      </c>
      <c r="M785">
        <v>83.2</v>
      </c>
      <c r="N785">
        <v>88.8</v>
      </c>
      <c r="O785">
        <v>1780.4</v>
      </c>
    </row>
    <row r="786" spans="1:15">
      <c r="A786">
        <v>896</v>
      </c>
      <c r="B786" t="s">
        <v>2095</v>
      </c>
      <c r="C786" t="s">
        <v>2096</v>
      </c>
      <c r="D786" t="s">
        <v>8627</v>
      </c>
      <c r="E786" t="s">
        <v>8628</v>
      </c>
      <c r="F786" t="s">
        <v>8629</v>
      </c>
      <c r="G786" t="s">
        <v>5904</v>
      </c>
      <c r="H786">
        <v>161</v>
      </c>
      <c r="I786">
        <v>159</v>
      </c>
      <c r="J786">
        <v>163</v>
      </c>
      <c r="K786">
        <v>145</v>
      </c>
      <c r="L786">
        <v>146</v>
      </c>
      <c r="M786">
        <v>90.1</v>
      </c>
      <c r="N786">
        <v>90.7</v>
      </c>
      <c r="O786">
        <v>237.7</v>
      </c>
    </row>
    <row r="787" spans="1:15">
      <c r="A787">
        <v>895</v>
      </c>
      <c r="B787" t="s">
        <v>2097</v>
      </c>
      <c r="C787" t="s">
        <v>2098</v>
      </c>
      <c r="D787" t="s">
        <v>8630</v>
      </c>
      <c r="E787" t="s">
        <v>8631</v>
      </c>
      <c r="F787" t="s">
        <v>8632</v>
      </c>
      <c r="G787" t="s">
        <v>5904</v>
      </c>
      <c r="H787">
        <v>1027</v>
      </c>
      <c r="I787">
        <v>1028</v>
      </c>
      <c r="J787">
        <v>1014</v>
      </c>
      <c r="K787">
        <v>917</v>
      </c>
      <c r="L787">
        <v>954</v>
      </c>
      <c r="M787">
        <v>89.3</v>
      </c>
      <c r="N787">
        <v>92.9</v>
      </c>
      <c r="O787">
        <v>1699.9</v>
      </c>
    </row>
    <row r="788" spans="1:15">
      <c r="A788">
        <v>2056</v>
      </c>
      <c r="B788" t="s">
        <v>2099</v>
      </c>
      <c r="C788" t="s">
        <v>2100</v>
      </c>
      <c r="D788" t="s">
        <v>8633</v>
      </c>
      <c r="E788" t="s">
        <v>8634</v>
      </c>
      <c r="F788" t="s">
        <v>8635</v>
      </c>
      <c r="G788" t="s">
        <v>5904</v>
      </c>
      <c r="H788">
        <v>1320</v>
      </c>
      <c r="I788">
        <v>1320</v>
      </c>
      <c r="J788">
        <v>1320</v>
      </c>
      <c r="K788">
        <v>1233</v>
      </c>
      <c r="L788">
        <v>1261</v>
      </c>
      <c r="M788">
        <v>93.4</v>
      </c>
      <c r="N788">
        <v>95.5</v>
      </c>
      <c r="O788">
        <v>2473.3000000000002</v>
      </c>
    </row>
    <row r="789" spans="1:15">
      <c r="A789">
        <v>894</v>
      </c>
      <c r="B789" t="s">
        <v>8636</v>
      </c>
      <c r="C789" t="s">
        <v>2103</v>
      </c>
      <c r="D789" t="s">
        <v>8637</v>
      </c>
      <c r="E789" t="s">
        <v>8638</v>
      </c>
      <c r="F789" t="s">
        <v>8639</v>
      </c>
      <c r="G789" t="s">
        <v>5904</v>
      </c>
      <c r="H789">
        <v>1008</v>
      </c>
      <c r="I789">
        <v>1011</v>
      </c>
      <c r="J789">
        <v>1011</v>
      </c>
      <c r="K789">
        <v>821</v>
      </c>
      <c r="L789">
        <v>886</v>
      </c>
      <c r="M789">
        <v>81.400000000000006</v>
      </c>
      <c r="N789">
        <v>87.9</v>
      </c>
      <c r="O789">
        <v>1647.9</v>
      </c>
    </row>
    <row r="790" spans="1:15">
      <c r="A790">
        <v>893</v>
      </c>
      <c r="B790" t="s">
        <v>2104</v>
      </c>
      <c r="C790" t="s">
        <v>2105</v>
      </c>
      <c r="D790" t="s">
        <v>8640</v>
      </c>
      <c r="E790" t="s">
        <v>8641</v>
      </c>
      <c r="F790" t="s">
        <v>8642</v>
      </c>
      <c r="G790" t="s">
        <v>5904</v>
      </c>
      <c r="H790">
        <v>548</v>
      </c>
      <c r="I790">
        <v>548</v>
      </c>
      <c r="J790">
        <v>548</v>
      </c>
      <c r="K790">
        <v>542</v>
      </c>
      <c r="L790">
        <v>546</v>
      </c>
      <c r="M790">
        <v>98.9</v>
      </c>
      <c r="N790">
        <v>99.6</v>
      </c>
      <c r="O790">
        <v>1120.9000000000001</v>
      </c>
    </row>
    <row r="791" spans="1:15">
      <c r="A791">
        <v>892</v>
      </c>
      <c r="B791" t="s">
        <v>2106</v>
      </c>
      <c r="C791" t="s">
        <v>2107</v>
      </c>
      <c r="D791" t="s">
        <v>8643</v>
      </c>
      <c r="E791" t="s">
        <v>8644</v>
      </c>
      <c r="F791" t="s">
        <v>8645</v>
      </c>
      <c r="G791" t="s">
        <v>5904</v>
      </c>
      <c r="H791">
        <v>291</v>
      </c>
      <c r="I791">
        <v>294</v>
      </c>
      <c r="J791">
        <v>296</v>
      </c>
      <c r="K791">
        <v>225</v>
      </c>
      <c r="L791">
        <v>245</v>
      </c>
      <c r="M791">
        <v>77.3</v>
      </c>
      <c r="N791">
        <v>84.2</v>
      </c>
      <c r="O791">
        <v>431.4</v>
      </c>
    </row>
    <row r="792" spans="1:15">
      <c r="A792">
        <v>891</v>
      </c>
      <c r="B792" t="s">
        <v>2108</v>
      </c>
      <c r="C792" t="s">
        <v>2109</v>
      </c>
      <c r="D792" t="s">
        <v>8646</v>
      </c>
      <c r="E792" t="s">
        <v>8647</v>
      </c>
      <c r="F792" t="s">
        <v>8648</v>
      </c>
      <c r="G792" t="s">
        <v>5904</v>
      </c>
      <c r="H792">
        <v>547</v>
      </c>
      <c r="I792">
        <v>545</v>
      </c>
      <c r="J792">
        <v>546</v>
      </c>
      <c r="K792">
        <v>432</v>
      </c>
      <c r="L792">
        <v>476</v>
      </c>
      <c r="M792">
        <v>79</v>
      </c>
      <c r="N792">
        <v>87</v>
      </c>
      <c r="O792">
        <v>819.3</v>
      </c>
    </row>
    <row r="793" spans="1:15">
      <c r="A793">
        <v>890</v>
      </c>
      <c r="B793" t="s">
        <v>2110</v>
      </c>
      <c r="C793" t="s">
        <v>2111</v>
      </c>
      <c r="D793" t="s">
        <v>8649</v>
      </c>
      <c r="E793" t="s">
        <v>8650</v>
      </c>
      <c r="F793" t="s">
        <v>8651</v>
      </c>
      <c r="G793" t="s">
        <v>5904</v>
      </c>
      <c r="H793">
        <v>2322</v>
      </c>
      <c r="I793">
        <v>2321</v>
      </c>
      <c r="J793">
        <v>2281</v>
      </c>
      <c r="K793">
        <v>2145</v>
      </c>
      <c r="L793">
        <v>2188</v>
      </c>
      <c r="M793">
        <v>92.4</v>
      </c>
      <c r="N793">
        <v>94.2</v>
      </c>
      <c r="O793">
        <v>4155.5</v>
      </c>
    </row>
    <row r="794" spans="1:15">
      <c r="A794">
        <v>889</v>
      </c>
      <c r="B794" t="s">
        <v>2112</v>
      </c>
      <c r="C794" t="s">
        <v>2113</v>
      </c>
      <c r="D794" t="s">
        <v>8652</v>
      </c>
      <c r="E794" t="s">
        <v>8653</v>
      </c>
      <c r="F794" t="s">
        <v>8654</v>
      </c>
      <c r="G794" t="s">
        <v>5904</v>
      </c>
      <c r="H794">
        <v>729</v>
      </c>
      <c r="I794">
        <v>729</v>
      </c>
      <c r="J794">
        <v>729</v>
      </c>
      <c r="K794">
        <v>645</v>
      </c>
      <c r="L794">
        <v>681</v>
      </c>
      <c r="M794">
        <v>88.5</v>
      </c>
      <c r="N794">
        <v>93.4</v>
      </c>
      <c r="O794">
        <v>1306.2</v>
      </c>
    </row>
    <row r="795" spans="1:15">
      <c r="A795">
        <v>888</v>
      </c>
      <c r="B795" t="s">
        <v>8655</v>
      </c>
      <c r="C795" t="s">
        <v>5732</v>
      </c>
      <c r="D795" t="s">
        <v>8656</v>
      </c>
      <c r="E795" t="s">
        <v>8657</v>
      </c>
      <c r="F795" t="s">
        <v>8658</v>
      </c>
      <c r="G795" t="s">
        <v>5904</v>
      </c>
      <c r="H795">
        <v>426</v>
      </c>
      <c r="I795">
        <v>644</v>
      </c>
      <c r="J795">
        <v>401</v>
      </c>
      <c r="K795">
        <v>300</v>
      </c>
      <c r="L795">
        <v>349</v>
      </c>
      <c r="M795">
        <v>70.400000000000006</v>
      </c>
      <c r="N795">
        <v>81.900000000000006</v>
      </c>
      <c r="O795">
        <v>644</v>
      </c>
    </row>
    <row r="796" spans="1:15">
      <c r="A796">
        <v>887</v>
      </c>
      <c r="B796" t="s">
        <v>8659</v>
      </c>
      <c r="C796" t="s">
        <v>2116</v>
      </c>
      <c r="D796" t="s">
        <v>7971</v>
      </c>
      <c r="E796" t="s">
        <v>7972</v>
      </c>
      <c r="F796" t="s">
        <v>8660</v>
      </c>
      <c r="G796" t="s">
        <v>5904</v>
      </c>
      <c r="H796">
        <v>1094</v>
      </c>
      <c r="I796">
        <v>1065</v>
      </c>
      <c r="J796">
        <v>1061</v>
      </c>
      <c r="K796">
        <v>937</v>
      </c>
      <c r="L796">
        <v>997</v>
      </c>
      <c r="M796">
        <v>85.6</v>
      </c>
      <c r="N796">
        <v>91.1</v>
      </c>
      <c r="O796">
        <v>1975.3</v>
      </c>
    </row>
    <row r="797" spans="1:15">
      <c r="A797">
        <v>886</v>
      </c>
      <c r="B797" t="s">
        <v>2117</v>
      </c>
      <c r="C797" t="s">
        <v>2118</v>
      </c>
      <c r="D797" t="s">
        <v>8661</v>
      </c>
      <c r="E797" t="s">
        <v>8662</v>
      </c>
      <c r="F797" t="s">
        <v>8663</v>
      </c>
      <c r="G797" t="s">
        <v>5904</v>
      </c>
      <c r="H797">
        <v>362</v>
      </c>
      <c r="I797">
        <v>308</v>
      </c>
      <c r="J797">
        <v>289</v>
      </c>
      <c r="K797">
        <v>280</v>
      </c>
      <c r="L797">
        <v>285</v>
      </c>
      <c r="M797">
        <v>77.3</v>
      </c>
      <c r="N797">
        <v>78.7</v>
      </c>
      <c r="O797">
        <v>585.5</v>
      </c>
    </row>
    <row r="798" spans="1:15">
      <c r="A798">
        <v>885</v>
      </c>
      <c r="B798" t="s">
        <v>2119</v>
      </c>
      <c r="C798" t="s">
        <v>8664</v>
      </c>
      <c r="D798" t="s">
        <v>8665</v>
      </c>
      <c r="E798" t="s">
        <v>8666</v>
      </c>
      <c r="F798" t="s">
        <v>8667</v>
      </c>
      <c r="G798" t="s">
        <v>5904</v>
      </c>
      <c r="H798">
        <v>716</v>
      </c>
      <c r="I798">
        <v>716</v>
      </c>
      <c r="J798">
        <v>716</v>
      </c>
      <c r="K798">
        <v>694</v>
      </c>
      <c r="L798">
        <v>708</v>
      </c>
      <c r="M798">
        <v>96.9</v>
      </c>
      <c r="N798">
        <v>98.9</v>
      </c>
      <c r="O798">
        <v>1445.2</v>
      </c>
    </row>
    <row r="799" spans="1:15">
      <c r="A799">
        <v>884</v>
      </c>
      <c r="B799" t="s">
        <v>2121</v>
      </c>
      <c r="C799" t="s">
        <v>8668</v>
      </c>
      <c r="D799" t="s">
        <v>8669</v>
      </c>
      <c r="E799" t="s">
        <v>8670</v>
      </c>
      <c r="F799" t="s">
        <v>8671</v>
      </c>
      <c r="G799" t="s">
        <v>5904</v>
      </c>
      <c r="H799">
        <v>244</v>
      </c>
      <c r="I799">
        <v>244</v>
      </c>
      <c r="J799">
        <v>231</v>
      </c>
      <c r="K799">
        <v>195</v>
      </c>
      <c r="L799">
        <v>211</v>
      </c>
      <c r="M799">
        <v>79.900000000000006</v>
      </c>
      <c r="N799">
        <v>86.5</v>
      </c>
      <c r="O799">
        <v>406.8</v>
      </c>
    </row>
    <row r="800" spans="1:15">
      <c r="A800">
        <v>883</v>
      </c>
      <c r="B800" t="s">
        <v>8672</v>
      </c>
      <c r="C800" t="s">
        <v>2125</v>
      </c>
      <c r="D800" t="s">
        <v>8673</v>
      </c>
      <c r="E800" t="s">
        <v>8674</v>
      </c>
      <c r="F800" t="s">
        <v>8675</v>
      </c>
      <c r="G800" t="s">
        <v>5904</v>
      </c>
      <c r="H800">
        <v>671</v>
      </c>
      <c r="I800">
        <v>676</v>
      </c>
      <c r="J800">
        <v>676</v>
      </c>
      <c r="K800">
        <v>613</v>
      </c>
      <c r="L800">
        <v>639</v>
      </c>
      <c r="M800">
        <v>91.4</v>
      </c>
      <c r="N800">
        <v>95.2</v>
      </c>
      <c r="O800">
        <v>1275.4000000000001</v>
      </c>
    </row>
    <row r="801" spans="1:15">
      <c r="A801">
        <v>882</v>
      </c>
      <c r="B801" t="s">
        <v>2126</v>
      </c>
      <c r="C801" t="s">
        <v>2127</v>
      </c>
      <c r="D801" t="s">
        <v>8676</v>
      </c>
      <c r="E801" t="s">
        <v>8677</v>
      </c>
      <c r="F801" t="s">
        <v>8678</v>
      </c>
      <c r="G801" t="s">
        <v>5904</v>
      </c>
      <c r="H801">
        <v>380</v>
      </c>
      <c r="I801">
        <v>378</v>
      </c>
      <c r="J801">
        <v>380</v>
      </c>
      <c r="K801">
        <v>365</v>
      </c>
      <c r="L801">
        <v>372</v>
      </c>
      <c r="M801">
        <v>96.1</v>
      </c>
      <c r="N801">
        <v>97.9</v>
      </c>
      <c r="O801">
        <v>745.7</v>
      </c>
    </row>
    <row r="802" spans="1:15">
      <c r="A802">
        <v>881</v>
      </c>
      <c r="B802" t="s">
        <v>2128</v>
      </c>
      <c r="C802" t="s">
        <v>2129</v>
      </c>
      <c r="D802" t="s">
        <v>8679</v>
      </c>
      <c r="E802" t="s">
        <v>8680</v>
      </c>
      <c r="F802" t="s">
        <v>8681</v>
      </c>
      <c r="G802" t="s">
        <v>5904</v>
      </c>
      <c r="H802">
        <v>268</v>
      </c>
      <c r="I802">
        <v>385</v>
      </c>
      <c r="J802">
        <v>244</v>
      </c>
      <c r="K802">
        <v>156</v>
      </c>
      <c r="L802">
        <v>197</v>
      </c>
      <c r="M802">
        <v>58.2</v>
      </c>
      <c r="N802">
        <v>73.5</v>
      </c>
      <c r="O802">
        <v>334</v>
      </c>
    </row>
    <row r="803" spans="1:15">
      <c r="A803">
        <v>880</v>
      </c>
      <c r="B803" t="s">
        <v>2130</v>
      </c>
      <c r="C803" t="s">
        <v>2131</v>
      </c>
      <c r="D803" t="s">
        <v>8682</v>
      </c>
      <c r="E803" t="s">
        <v>8683</v>
      </c>
      <c r="F803" t="s">
        <v>8684</v>
      </c>
      <c r="G803" t="s">
        <v>5904</v>
      </c>
      <c r="H803">
        <v>213</v>
      </c>
      <c r="I803">
        <v>213</v>
      </c>
      <c r="J803">
        <v>213</v>
      </c>
      <c r="K803">
        <v>183</v>
      </c>
      <c r="L803">
        <v>205</v>
      </c>
      <c r="M803">
        <v>85.9</v>
      </c>
      <c r="N803">
        <v>96.2</v>
      </c>
      <c r="O803">
        <v>387.5</v>
      </c>
    </row>
    <row r="804" spans="1:15">
      <c r="A804">
        <v>879</v>
      </c>
      <c r="B804" t="s">
        <v>2132</v>
      </c>
      <c r="C804" t="s">
        <v>2133</v>
      </c>
      <c r="D804" t="s">
        <v>8685</v>
      </c>
      <c r="E804" t="s">
        <v>8686</v>
      </c>
      <c r="F804" t="s">
        <v>8687</v>
      </c>
      <c r="G804" t="s">
        <v>5904</v>
      </c>
      <c r="H804">
        <v>551</v>
      </c>
      <c r="I804">
        <v>551</v>
      </c>
      <c r="J804">
        <v>550</v>
      </c>
      <c r="K804">
        <v>447</v>
      </c>
      <c r="L804">
        <v>494</v>
      </c>
      <c r="M804">
        <v>81.099999999999994</v>
      </c>
      <c r="N804">
        <v>89.7</v>
      </c>
      <c r="O804">
        <v>928.3</v>
      </c>
    </row>
    <row r="805" spans="1:15">
      <c r="A805">
        <v>878</v>
      </c>
      <c r="B805" t="s">
        <v>8688</v>
      </c>
      <c r="C805" t="s">
        <v>2136</v>
      </c>
      <c r="D805" t="s">
        <v>8689</v>
      </c>
      <c r="E805" t="s">
        <v>8690</v>
      </c>
      <c r="F805" t="s">
        <v>8691</v>
      </c>
      <c r="G805" t="s">
        <v>6759</v>
      </c>
      <c r="H805">
        <v>294</v>
      </c>
      <c r="I805">
        <v>278</v>
      </c>
      <c r="J805">
        <v>155</v>
      </c>
      <c r="K805">
        <v>49</v>
      </c>
      <c r="L805">
        <v>77</v>
      </c>
      <c r="M805">
        <v>16.7</v>
      </c>
      <c r="N805">
        <v>26.2</v>
      </c>
      <c r="O805">
        <v>85.1</v>
      </c>
    </row>
    <row r="806" spans="1:15">
      <c r="A806">
        <v>877</v>
      </c>
      <c r="B806" t="s">
        <v>8692</v>
      </c>
      <c r="C806" t="s">
        <v>2136</v>
      </c>
      <c r="D806" t="s">
        <v>8689</v>
      </c>
      <c r="E806" t="s">
        <v>8690</v>
      </c>
      <c r="F806" t="s">
        <v>8693</v>
      </c>
      <c r="G806" t="s">
        <v>5904</v>
      </c>
      <c r="H806">
        <v>267</v>
      </c>
      <c r="I806">
        <v>278</v>
      </c>
      <c r="J806">
        <v>267</v>
      </c>
      <c r="K806">
        <v>206</v>
      </c>
      <c r="L806">
        <v>226</v>
      </c>
      <c r="M806">
        <v>77.2</v>
      </c>
      <c r="N806">
        <v>84.6</v>
      </c>
      <c r="O806">
        <v>383.6</v>
      </c>
    </row>
    <row r="807" spans="1:15">
      <c r="A807">
        <v>876</v>
      </c>
      <c r="B807" t="s">
        <v>2139</v>
      </c>
      <c r="C807" t="s">
        <v>2140</v>
      </c>
      <c r="D807" t="s">
        <v>8694</v>
      </c>
      <c r="E807" t="s">
        <v>8695</v>
      </c>
      <c r="F807" t="s">
        <v>8696</v>
      </c>
      <c r="G807" t="s">
        <v>5904</v>
      </c>
      <c r="H807">
        <v>63</v>
      </c>
      <c r="I807">
        <v>63</v>
      </c>
      <c r="J807">
        <v>63</v>
      </c>
      <c r="K807">
        <v>57</v>
      </c>
      <c r="L807">
        <v>60</v>
      </c>
      <c r="M807">
        <v>90.5</v>
      </c>
      <c r="N807">
        <v>95.2</v>
      </c>
      <c r="O807">
        <v>117.5</v>
      </c>
    </row>
    <row r="808" spans="1:15">
      <c r="A808">
        <v>875</v>
      </c>
      <c r="B808" t="s">
        <v>2141</v>
      </c>
      <c r="C808" t="s">
        <v>2142</v>
      </c>
      <c r="D808" t="s">
        <v>8697</v>
      </c>
      <c r="E808" t="s">
        <v>8698</v>
      </c>
      <c r="F808" t="s">
        <v>8699</v>
      </c>
      <c r="G808" t="s">
        <v>5904</v>
      </c>
      <c r="H808">
        <v>537</v>
      </c>
      <c r="I808">
        <v>528</v>
      </c>
      <c r="J808">
        <v>528</v>
      </c>
      <c r="K808">
        <v>459</v>
      </c>
      <c r="L808">
        <v>479</v>
      </c>
      <c r="M808">
        <v>85.5</v>
      </c>
      <c r="N808">
        <v>89.2</v>
      </c>
      <c r="O808">
        <v>867.5</v>
      </c>
    </row>
    <row r="809" spans="1:15">
      <c r="A809">
        <v>874</v>
      </c>
      <c r="B809" t="s">
        <v>2143</v>
      </c>
      <c r="C809" t="s">
        <v>2144</v>
      </c>
      <c r="D809" t="s">
        <v>8700</v>
      </c>
      <c r="E809" t="s">
        <v>8701</v>
      </c>
      <c r="F809" t="s">
        <v>8702</v>
      </c>
      <c r="G809" t="s">
        <v>5904</v>
      </c>
      <c r="H809">
        <v>384</v>
      </c>
      <c r="I809">
        <v>382</v>
      </c>
      <c r="J809">
        <v>373</v>
      </c>
      <c r="K809">
        <v>260</v>
      </c>
      <c r="L809">
        <v>304</v>
      </c>
      <c r="M809">
        <v>67.7</v>
      </c>
      <c r="N809">
        <v>79.2</v>
      </c>
      <c r="O809">
        <v>501.1</v>
      </c>
    </row>
    <row r="810" spans="1:15">
      <c r="A810">
        <v>873</v>
      </c>
      <c r="B810" t="s">
        <v>8703</v>
      </c>
      <c r="C810" t="s">
        <v>2147</v>
      </c>
      <c r="D810" t="s">
        <v>8704</v>
      </c>
      <c r="E810" t="s">
        <v>8705</v>
      </c>
      <c r="F810" t="s">
        <v>8706</v>
      </c>
      <c r="G810" t="s">
        <v>5904</v>
      </c>
      <c r="H810">
        <v>456</v>
      </c>
      <c r="I810">
        <v>456</v>
      </c>
      <c r="J810">
        <v>456</v>
      </c>
      <c r="K810">
        <v>456</v>
      </c>
      <c r="L810">
        <v>456</v>
      </c>
      <c r="M810">
        <v>100</v>
      </c>
      <c r="N810">
        <v>100</v>
      </c>
      <c r="O810">
        <v>929.5</v>
      </c>
    </row>
    <row r="811" spans="1:15">
      <c r="A811">
        <v>872</v>
      </c>
      <c r="B811" t="s">
        <v>8707</v>
      </c>
      <c r="C811" t="s">
        <v>2150</v>
      </c>
      <c r="D811" t="s">
        <v>8708</v>
      </c>
      <c r="E811" t="s">
        <v>8709</v>
      </c>
      <c r="F811" t="s">
        <v>8710</v>
      </c>
      <c r="G811" t="s">
        <v>5904</v>
      </c>
      <c r="H811">
        <v>315</v>
      </c>
      <c r="I811">
        <v>276</v>
      </c>
      <c r="J811">
        <v>276</v>
      </c>
      <c r="K811">
        <v>250</v>
      </c>
      <c r="L811">
        <v>266</v>
      </c>
      <c r="M811">
        <v>79.400000000000006</v>
      </c>
      <c r="N811">
        <v>84.4</v>
      </c>
      <c r="O811">
        <v>533.1</v>
      </c>
    </row>
    <row r="812" spans="1:15">
      <c r="A812">
        <v>871</v>
      </c>
      <c r="B812" t="s">
        <v>8711</v>
      </c>
      <c r="C812" t="s">
        <v>2153</v>
      </c>
      <c r="D812" t="s">
        <v>8712</v>
      </c>
      <c r="E812" t="s">
        <v>8713</v>
      </c>
      <c r="F812" t="s">
        <v>8714</v>
      </c>
      <c r="G812" t="s">
        <v>5904</v>
      </c>
      <c r="H812">
        <v>870</v>
      </c>
      <c r="I812">
        <v>870</v>
      </c>
      <c r="J812">
        <v>870</v>
      </c>
      <c r="K812">
        <v>844</v>
      </c>
      <c r="L812">
        <v>856</v>
      </c>
      <c r="M812">
        <v>97</v>
      </c>
      <c r="N812">
        <v>98.4</v>
      </c>
      <c r="O812">
        <v>1744.5</v>
      </c>
    </row>
    <row r="813" spans="1:15">
      <c r="A813">
        <v>870</v>
      </c>
      <c r="B813" t="s">
        <v>8715</v>
      </c>
      <c r="C813" t="s">
        <v>2156</v>
      </c>
      <c r="D813" t="s">
        <v>8716</v>
      </c>
      <c r="E813" t="s">
        <v>8717</v>
      </c>
      <c r="F813" t="s">
        <v>8718</v>
      </c>
      <c r="G813" t="s">
        <v>5904</v>
      </c>
      <c r="H813">
        <v>795</v>
      </c>
      <c r="I813">
        <v>769</v>
      </c>
      <c r="J813">
        <v>748</v>
      </c>
      <c r="K813">
        <v>627</v>
      </c>
      <c r="L813">
        <v>680</v>
      </c>
      <c r="M813">
        <v>78.900000000000006</v>
      </c>
      <c r="N813">
        <v>85.5</v>
      </c>
      <c r="O813">
        <v>1306.5999999999999</v>
      </c>
    </row>
    <row r="814" spans="1:15">
      <c r="A814">
        <v>869</v>
      </c>
      <c r="B814" t="s">
        <v>8719</v>
      </c>
      <c r="C814" t="s">
        <v>8720</v>
      </c>
      <c r="D814" t="s">
        <v>8721</v>
      </c>
      <c r="E814" t="s">
        <v>8722</v>
      </c>
      <c r="F814" t="s">
        <v>8723</v>
      </c>
      <c r="G814" t="s">
        <v>5904</v>
      </c>
      <c r="H814">
        <v>623</v>
      </c>
      <c r="I814">
        <v>612</v>
      </c>
      <c r="J814">
        <v>614</v>
      </c>
      <c r="K814">
        <v>564</v>
      </c>
      <c r="L814">
        <v>572</v>
      </c>
      <c r="M814">
        <v>90.5</v>
      </c>
      <c r="N814">
        <v>91.8</v>
      </c>
      <c r="O814">
        <v>1127.0999999999999</v>
      </c>
    </row>
    <row r="815" spans="1:15">
      <c r="A815">
        <v>868</v>
      </c>
      <c r="B815" t="s">
        <v>8724</v>
      </c>
      <c r="C815" t="s">
        <v>8725</v>
      </c>
      <c r="D815" t="s">
        <v>8726</v>
      </c>
      <c r="E815" t="s">
        <v>8727</v>
      </c>
      <c r="F815" t="s">
        <v>8728</v>
      </c>
      <c r="G815" t="s">
        <v>5904</v>
      </c>
      <c r="H815">
        <v>533</v>
      </c>
      <c r="I815">
        <v>536</v>
      </c>
      <c r="J815">
        <v>536</v>
      </c>
      <c r="K815">
        <v>483</v>
      </c>
      <c r="L815">
        <v>507</v>
      </c>
      <c r="M815">
        <v>90.6</v>
      </c>
      <c r="N815">
        <v>95.1</v>
      </c>
      <c r="O815">
        <v>1006.1</v>
      </c>
    </row>
    <row r="816" spans="1:15">
      <c r="A816">
        <v>2055</v>
      </c>
      <c r="B816" t="s">
        <v>8729</v>
      </c>
      <c r="C816" t="s">
        <v>2165</v>
      </c>
      <c r="D816" t="s">
        <v>8730</v>
      </c>
      <c r="E816" t="s">
        <v>8731</v>
      </c>
      <c r="F816" t="s">
        <v>8732</v>
      </c>
      <c r="G816" t="s">
        <v>5904</v>
      </c>
      <c r="H816">
        <v>2079</v>
      </c>
      <c r="I816">
        <v>2061</v>
      </c>
      <c r="J816">
        <v>2080</v>
      </c>
      <c r="K816">
        <v>1932</v>
      </c>
      <c r="L816">
        <v>2002</v>
      </c>
      <c r="M816">
        <v>92.9</v>
      </c>
      <c r="N816">
        <v>96.3</v>
      </c>
      <c r="O816">
        <v>3903.6</v>
      </c>
    </row>
    <row r="817" spans="1:15">
      <c r="A817">
        <v>867</v>
      </c>
      <c r="B817" t="s">
        <v>2166</v>
      </c>
      <c r="C817" t="s">
        <v>2167</v>
      </c>
      <c r="D817" t="s">
        <v>8733</v>
      </c>
      <c r="E817" t="s">
        <v>8734</v>
      </c>
      <c r="F817" t="s">
        <v>8735</v>
      </c>
      <c r="G817" t="s">
        <v>5904</v>
      </c>
      <c r="H817">
        <v>2939</v>
      </c>
      <c r="I817">
        <v>2944</v>
      </c>
      <c r="J817">
        <v>2946</v>
      </c>
      <c r="K817">
        <v>2577</v>
      </c>
      <c r="L817">
        <v>2701</v>
      </c>
      <c r="M817">
        <v>87.7</v>
      </c>
      <c r="N817">
        <v>91.9</v>
      </c>
      <c r="O817">
        <v>4134.3</v>
      </c>
    </row>
    <row r="818" spans="1:15">
      <c r="A818">
        <v>866</v>
      </c>
      <c r="B818" t="s">
        <v>8736</v>
      </c>
      <c r="C818" t="s">
        <v>2170</v>
      </c>
      <c r="D818" t="s">
        <v>8737</v>
      </c>
      <c r="E818" t="s">
        <v>8738</v>
      </c>
      <c r="F818" t="s">
        <v>8739</v>
      </c>
      <c r="G818" t="s">
        <v>5904</v>
      </c>
      <c r="H818">
        <v>1468</v>
      </c>
      <c r="I818">
        <v>1445</v>
      </c>
      <c r="J818">
        <v>1470</v>
      </c>
      <c r="K818">
        <v>1364</v>
      </c>
      <c r="L818">
        <v>1396</v>
      </c>
      <c r="M818">
        <v>92.9</v>
      </c>
      <c r="N818">
        <v>95.1</v>
      </c>
      <c r="O818">
        <v>2787.7</v>
      </c>
    </row>
    <row r="819" spans="1:15">
      <c r="A819">
        <v>865</v>
      </c>
      <c r="B819" t="s">
        <v>8740</v>
      </c>
      <c r="C819" t="s">
        <v>2173</v>
      </c>
      <c r="D819" t="s">
        <v>8741</v>
      </c>
      <c r="E819" t="s">
        <v>8742</v>
      </c>
      <c r="F819" t="s">
        <v>8743</v>
      </c>
      <c r="G819" t="s">
        <v>5904</v>
      </c>
      <c r="H819">
        <v>643</v>
      </c>
      <c r="I819">
        <v>602</v>
      </c>
      <c r="J819">
        <v>602</v>
      </c>
      <c r="K819">
        <v>525</v>
      </c>
      <c r="L819">
        <v>548</v>
      </c>
      <c r="M819">
        <v>81.599999999999994</v>
      </c>
      <c r="N819">
        <v>85.2</v>
      </c>
      <c r="O819">
        <v>1084.7</v>
      </c>
    </row>
    <row r="820" spans="1:15">
      <c r="A820">
        <v>864</v>
      </c>
      <c r="B820" t="s">
        <v>2174</v>
      </c>
      <c r="C820" t="s">
        <v>2175</v>
      </c>
      <c r="D820" t="s">
        <v>8744</v>
      </c>
      <c r="E820" t="s">
        <v>8745</v>
      </c>
      <c r="F820" t="s">
        <v>8746</v>
      </c>
      <c r="G820" t="s">
        <v>5904</v>
      </c>
      <c r="H820">
        <v>277</v>
      </c>
      <c r="I820">
        <v>277</v>
      </c>
      <c r="J820">
        <v>277</v>
      </c>
      <c r="K820">
        <v>237</v>
      </c>
      <c r="L820">
        <v>251</v>
      </c>
      <c r="M820">
        <v>85.6</v>
      </c>
      <c r="N820">
        <v>90.6</v>
      </c>
      <c r="O820">
        <v>488.4</v>
      </c>
    </row>
    <row r="821" spans="1:15">
      <c r="A821">
        <v>863</v>
      </c>
      <c r="B821" t="s">
        <v>2176</v>
      </c>
      <c r="C821" t="s">
        <v>2177</v>
      </c>
      <c r="D821" t="s">
        <v>8747</v>
      </c>
      <c r="E821" t="s">
        <v>8748</v>
      </c>
      <c r="F821" t="s">
        <v>8749</v>
      </c>
      <c r="G821" t="s">
        <v>5904</v>
      </c>
      <c r="H821">
        <v>310</v>
      </c>
      <c r="I821">
        <v>309</v>
      </c>
      <c r="J821">
        <v>310</v>
      </c>
      <c r="K821">
        <v>296</v>
      </c>
      <c r="L821">
        <v>299</v>
      </c>
      <c r="M821">
        <v>95.5</v>
      </c>
      <c r="N821">
        <v>96.5</v>
      </c>
      <c r="O821">
        <v>614.4</v>
      </c>
    </row>
    <row r="822" spans="1:15">
      <c r="A822">
        <v>862</v>
      </c>
      <c r="B822" t="s">
        <v>2178</v>
      </c>
      <c r="C822" t="s">
        <v>8750</v>
      </c>
      <c r="D822" t="s">
        <v>8751</v>
      </c>
      <c r="E822" t="s">
        <v>8752</v>
      </c>
      <c r="F822" t="s">
        <v>8753</v>
      </c>
      <c r="G822" t="s">
        <v>5904</v>
      </c>
      <c r="H822">
        <v>358</v>
      </c>
      <c r="I822">
        <v>369</v>
      </c>
      <c r="J822">
        <v>358</v>
      </c>
      <c r="K822">
        <v>329</v>
      </c>
      <c r="L822">
        <v>341</v>
      </c>
      <c r="M822">
        <v>91.9</v>
      </c>
      <c r="N822">
        <v>95.3</v>
      </c>
      <c r="O822">
        <v>642.9</v>
      </c>
    </row>
    <row r="823" spans="1:15">
      <c r="A823">
        <v>861</v>
      </c>
      <c r="B823" t="s">
        <v>2180</v>
      </c>
      <c r="C823" t="s">
        <v>2181</v>
      </c>
      <c r="D823" t="s">
        <v>8754</v>
      </c>
      <c r="E823" t="s">
        <v>8755</v>
      </c>
      <c r="F823" t="s">
        <v>8756</v>
      </c>
      <c r="G823" t="s">
        <v>5904</v>
      </c>
      <c r="H823">
        <v>411</v>
      </c>
      <c r="I823">
        <v>417</v>
      </c>
      <c r="J823">
        <v>345</v>
      </c>
      <c r="K823">
        <v>335</v>
      </c>
      <c r="L823">
        <v>340</v>
      </c>
      <c r="M823">
        <v>81.5</v>
      </c>
      <c r="N823">
        <v>82.7</v>
      </c>
      <c r="O823">
        <v>694.1</v>
      </c>
    </row>
    <row r="824" spans="1:15">
      <c r="A824">
        <v>860</v>
      </c>
      <c r="B824" t="s">
        <v>2182</v>
      </c>
      <c r="C824" t="s">
        <v>2183</v>
      </c>
      <c r="D824" t="s">
        <v>8757</v>
      </c>
      <c r="E824" t="s">
        <v>8758</v>
      </c>
      <c r="F824" t="s">
        <v>8759</v>
      </c>
      <c r="G824" t="s">
        <v>5904</v>
      </c>
      <c r="H824">
        <v>134</v>
      </c>
      <c r="I824">
        <v>134</v>
      </c>
      <c r="J824">
        <v>134</v>
      </c>
      <c r="K824">
        <v>117</v>
      </c>
      <c r="L824">
        <v>127</v>
      </c>
      <c r="M824">
        <v>87.3</v>
      </c>
      <c r="N824">
        <v>94.8</v>
      </c>
      <c r="O824">
        <v>247.3</v>
      </c>
    </row>
    <row r="825" spans="1:15">
      <c r="A825">
        <v>859</v>
      </c>
      <c r="B825" t="s">
        <v>8760</v>
      </c>
      <c r="C825" t="s">
        <v>2186</v>
      </c>
      <c r="D825" t="s">
        <v>8761</v>
      </c>
      <c r="E825" t="s">
        <v>8762</v>
      </c>
      <c r="F825" t="s">
        <v>8763</v>
      </c>
      <c r="G825" t="s">
        <v>5904</v>
      </c>
      <c r="H825">
        <v>445</v>
      </c>
      <c r="I825">
        <v>410</v>
      </c>
      <c r="J825">
        <v>410</v>
      </c>
      <c r="K825">
        <v>377</v>
      </c>
      <c r="L825">
        <v>397</v>
      </c>
      <c r="M825">
        <v>84.7</v>
      </c>
      <c r="N825">
        <v>89.2</v>
      </c>
      <c r="O825">
        <v>791.2</v>
      </c>
    </row>
    <row r="826" spans="1:15">
      <c r="A826">
        <v>858</v>
      </c>
      <c r="B826" t="s">
        <v>2187</v>
      </c>
      <c r="C826" t="s">
        <v>2189</v>
      </c>
      <c r="D826" t="s">
        <v>8764</v>
      </c>
      <c r="E826" t="s">
        <v>8765</v>
      </c>
      <c r="F826" t="s">
        <v>8766</v>
      </c>
      <c r="G826" t="s">
        <v>5904</v>
      </c>
      <c r="H826">
        <v>708</v>
      </c>
      <c r="I826">
        <v>710</v>
      </c>
      <c r="J826">
        <v>699</v>
      </c>
      <c r="K826">
        <v>508</v>
      </c>
      <c r="L826">
        <v>585</v>
      </c>
      <c r="M826">
        <v>71.8</v>
      </c>
      <c r="N826">
        <v>82.6</v>
      </c>
      <c r="O826">
        <v>1069.3</v>
      </c>
    </row>
    <row r="827" spans="1:15">
      <c r="A827">
        <v>857</v>
      </c>
      <c r="B827" t="s">
        <v>2190</v>
      </c>
      <c r="C827" t="s">
        <v>2191</v>
      </c>
      <c r="D827" t="s">
        <v>8767</v>
      </c>
      <c r="E827" t="s">
        <v>8768</v>
      </c>
      <c r="F827" t="s">
        <v>8769</v>
      </c>
      <c r="G827" t="s">
        <v>5904</v>
      </c>
      <c r="H827">
        <v>524</v>
      </c>
      <c r="I827">
        <v>524</v>
      </c>
      <c r="J827">
        <v>524</v>
      </c>
      <c r="K827">
        <v>510</v>
      </c>
      <c r="L827">
        <v>517</v>
      </c>
      <c r="M827">
        <v>97.3</v>
      </c>
      <c r="N827">
        <v>98.7</v>
      </c>
      <c r="O827">
        <v>1052</v>
      </c>
    </row>
    <row r="828" spans="1:15">
      <c r="A828">
        <v>856</v>
      </c>
      <c r="B828" t="s">
        <v>8770</v>
      </c>
      <c r="C828" t="s">
        <v>5735</v>
      </c>
      <c r="D828" t="s">
        <v>8771</v>
      </c>
      <c r="E828" t="s">
        <v>8772</v>
      </c>
      <c r="F828" t="s">
        <v>8773</v>
      </c>
      <c r="G828" t="s">
        <v>5904</v>
      </c>
      <c r="H828">
        <v>140</v>
      </c>
      <c r="I828">
        <v>140</v>
      </c>
      <c r="J828">
        <v>140</v>
      </c>
      <c r="K828">
        <v>139</v>
      </c>
      <c r="L828">
        <v>140</v>
      </c>
      <c r="M828">
        <v>99.3</v>
      </c>
      <c r="N828">
        <v>100</v>
      </c>
      <c r="O828">
        <v>287.7</v>
      </c>
    </row>
    <row r="829" spans="1:15">
      <c r="A829">
        <v>855</v>
      </c>
      <c r="B829" t="s">
        <v>8774</v>
      </c>
      <c r="C829" t="s">
        <v>2194</v>
      </c>
      <c r="D829" t="s">
        <v>8775</v>
      </c>
      <c r="E829" t="s">
        <v>8776</v>
      </c>
      <c r="F829" t="s">
        <v>8777</v>
      </c>
      <c r="G829" t="s">
        <v>5904</v>
      </c>
      <c r="H829">
        <v>1040</v>
      </c>
      <c r="I829">
        <v>998</v>
      </c>
      <c r="J829">
        <v>1041</v>
      </c>
      <c r="K829">
        <v>975</v>
      </c>
      <c r="L829">
        <v>985</v>
      </c>
      <c r="M829">
        <v>93.8</v>
      </c>
      <c r="N829">
        <v>94.7</v>
      </c>
      <c r="O829">
        <v>1990.7</v>
      </c>
    </row>
    <row r="830" spans="1:15">
      <c r="A830">
        <v>854</v>
      </c>
      <c r="B830" t="s">
        <v>2195</v>
      </c>
      <c r="C830" t="s">
        <v>2196</v>
      </c>
      <c r="D830" t="s">
        <v>8778</v>
      </c>
      <c r="E830" t="s">
        <v>8779</v>
      </c>
      <c r="F830" t="s">
        <v>8780</v>
      </c>
      <c r="G830" t="s">
        <v>5904</v>
      </c>
      <c r="H830">
        <v>262</v>
      </c>
      <c r="I830">
        <v>263</v>
      </c>
      <c r="J830">
        <v>263</v>
      </c>
      <c r="K830">
        <v>237</v>
      </c>
      <c r="L830">
        <v>248</v>
      </c>
      <c r="M830">
        <v>90.5</v>
      </c>
      <c r="N830">
        <v>94.7</v>
      </c>
      <c r="O830">
        <v>478.8</v>
      </c>
    </row>
    <row r="831" spans="1:15">
      <c r="A831">
        <v>853</v>
      </c>
      <c r="B831" t="s">
        <v>2197</v>
      </c>
      <c r="C831" t="s">
        <v>2198</v>
      </c>
      <c r="D831" t="s">
        <v>8781</v>
      </c>
      <c r="E831" t="s">
        <v>8782</v>
      </c>
      <c r="F831" t="s">
        <v>8783</v>
      </c>
      <c r="G831" t="s">
        <v>5904</v>
      </c>
      <c r="H831">
        <v>1177</v>
      </c>
      <c r="I831">
        <v>2169</v>
      </c>
      <c r="J831">
        <v>1149</v>
      </c>
      <c r="K831">
        <v>825</v>
      </c>
      <c r="L831">
        <v>928</v>
      </c>
      <c r="M831">
        <v>70.099999999999994</v>
      </c>
      <c r="N831">
        <v>78.8</v>
      </c>
      <c r="O831">
        <v>1724.5</v>
      </c>
    </row>
    <row r="832" spans="1:15">
      <c r="A832">
        <v>852</v>
      </c>
      <c r="B832" t="s">
        <v>2199</v>
      </c>
      <c r="C832" t="s">
        <v>2200</v>
      </c>
      <c r="D832" t="s">
        <v>8784</v>
      </c>
      <c r="E832" t="s">
        <v>8785</v>
      </c>
      <c r="F832" t="s">
        <v>8786</v>
      </c>
      <c r="G832" t="s">
        <v>5904</v>
      </c>
      <c r="H832">
        <v>210</v>
      </c>
      <c r="I832">
        <v>215</v>
      </c>
      <c r="J832">
        <v>215</v>
      </c>
      <c r="K832">
        <v>197</v>
      </c>
      <c r="L832">
        <v>200</v>
      </c>
      <c r="M832">
        <v>93.8</v>
      </c>
      <c r="N832">
        <v>95.2</v>
      </c>
      <c r="O832">
        <v>364.8</v>
      </c>
    </row>
    <row r="833" spans="1:15">
      <c r="A833">
        <v>851</v>
      </c>
      <c r="B833" t="s">
        <v>8787</v>
      </c>
      <c r="C833" t="s">
        <v>2203</v>
      </c>
      <c r="D833" t="s">
        <v>8788</v>
      </c>
      <c r="E833" t="s">
        <v>8789</v>
      </c>
      <c r="F833" t="s">
        <v>8790</v>
      </c>
      <c r="G833" t="s">
        <v>5904</v>
      </c>
      <c r="H833">
        <v>297</v>
      </c>
      <c r="I833">
        <v>258</v>
      </c>
      <c r="J833">
        <v>258</v>
      </c>
      <c r="K833">
        <v>247</v>
      </c>
      <c r="L833">
        <v>253</v>
      </c>
      <c r="M833">
        <v>83.2</v>
      </c>
      <c r="N833">
        <v>85.2</v>
      </c>
      <c r="O833">
        <v>474.6</v>
      </c>
    </row>
    <row r="834" spans="1:15">
      <c r="A834">
        <v>850</v>
      </c>
      <c r="B834" t="s">
        <v>2204</v>
      </c>
      <c r="C834" t="s">
        <v>2205</v>
      </c>
      <c r="D834" t="s">
        <v>8791</v>
      </c>
      <c r="E834" t="s">
        <v>8792</v>
      </c>
      <c r="F834" t="s">
        <v>8793</v>
      </c>
      <c r="G834" t="s">
        <v>5904</v>
      </c>
      <c r="H834">
        <v>415</v>
      </c>
      <c r="I834">
        <v>415</v>
      </c>
      <c r="J834">
        <v>415</v>
      </c>
      <c r="K834">
        <v>393</v>
      </c>
      <c r="L834">
        <v>403</v>
      </c>
      <c r="M834">
        <v>94.7</v>
      </c>
      <c r="N834">
        <v>97.1</v>
      </c>
      <c r="O834">
        <v>762.7</v>
      </c>
    </row>
    <row r="835" spans="1:15">
      <c r="A835">
        <v>849</v>
      </c>
      <c r="B835" t="s">
        <v>2206</v>
      </c>
      <c r="C835" t="s">
        <v>8794</v>
      </c>
      <c r="D835" t="s">
        <v>8795</v>
      </c>
      <c r="E835" t="s">
        <v>8796</v>
      </c>
      <c r="F835" t="s">
        <v>8797</v>
      </c>
      <c r="G835" t="s">
        <v>5904</v>
      </c>
      <c r="H835">
        <v>618</v>
      </c>
      <c r="I835">
        <v>617</v>
      </c>
      <c r="J835">
        <v>617</v>
      </c>
      <c r="K835">
        <v>609</v>
      </c>
      <c r="L835">
        <v>617</v>
      </c>
      <c r="M835">
        <v>98.5</v>
      </c>
      <c r="N835">
        <v>99.8</v>
      </c>
      <c r="O835">
        <v>1268.5</v>
      </c>
    </row>
    <row r="836" spans="1:15">
      <c r="A836">
        <v>848</v>
      </c>
      <c r="B836" t="s">
        <v>8798</v>
      </c>
      <c r="C836" t="s">
        <v>2210</v>
      </c>
      <c r="D836" t="s">
        <v>8799</v>
      </c>
      <c r="E836" t="s">
        <v>8800</v>
      </c>
      <c r="F836" t="s">
        <v>8801</v>
      </c>
      <c r="G836" t="s">
        <v>5904</v>
      </c>
      <c r="H836">
        <v>592</v>
      </c>
      <c r="I836">
        <v>592</v>
      </c>
      <c r="J836">
        <v>592</v>
      </c>
      <c r="K836">
        <v>538</v>
      </c>
      <c r="L836">
        <v>565</v>
      </c>
      <c r="M836">
        <v>90.9</v>
      </c>
      <c r="N836">
        <v>95.4</v>
      </c>
      <c r="O836">
        <v>1097</v>
      </c>
    </row>
    <row r="837" spans="1:15">
      <c r="A837">
        <v>847</v>
      </c>
      <c r="B837" t="s">
        <v>2211</v>
      </c>
      <c r="C837" t="s">
        <v>2212</v>
      </c>
      <c r="D837" t="s">
        <v>8802</v>
      </c>
      <c r="E837" t="s">
        <v>8803</v>
      </c>
      <c r="F837" t="s">
        <v>8804</v>
      </c>
      <c r="G837" t="s">
        <v>5904</v>
      </c>
      <c r="H837">
        <v>1157</v>
      </c>
      <c r="I837">
        <v>1156</v>
      </c>
      <c r="J837">
        <v>1157</v>
      </c>
      <c r="K837">
        <v>1037</v>
      </c>
      <c r="L837">
        <v>1082</v>
      </c>
      <c r="M837">
        <v>89.6</v>
      </c>
      <c r="N837">
        <v>93.5</v>
      </c>
      <c r="O837">
        <v>2094.3000000000002</v>
      </c>
    </row>
    <row r="838" spans="1:15">
      <c r="A838">
        <v>846</v>
      </c>
      <c r="B838" t="s">
        <v>2213</v>
      </c>
      <c r="C838" t="s">
        <v>2214</v>
      </c>
      <c r="D838" t="s">
        <v>8805</v>
      </c>
      <c r="E838" t="s">
        <v>8806</v>
      </c>
      <c r="F838" t="s">
        <v>8807</v>
      </c>
      <c r="G838" t="s">
        <v>5904</v>
      </c>
      <c r="H838">
        <v>308</v>
      </c>
      <c r="I838">
        <v>308</v>
      </c>
      <c r="J838">
        <v>311</v>
      </c>
      <c r="K838">
        <v>204</v>
      </c>
      <c r="L838">
        <v>235</v>
      </c>
      <c r="M838">
        <v>66.2</v>
      </c>
      <c r="N838">
        <v>76.3</v>
      </c>
      <c r="O838">
        <v>360.9</v>
      </c>
    </row>
    <row r="839" spans="1:15">
      <c r="A839">
        <v>2054</v>
      </c>
      <c r="B839" t="s">
        <v>2215</v>
      </c>
      <c r="C839" t="s">
        <v>2216</v>
      </c>
      <c r="D839" t="s">
        <v>8808</v>
      </c>
      <c r="E839" t="s">
        <v>8809</v>
      </c>
      <c r="F839" t="s">
        <v>8810</v>
      </c>
      <c r="G839" t="s">
        <v>5904</v>
      </c>
      <c r="H839">
        <v>229</v>
      </c>
      <c r="I839">
        <v>226</v>
      </c>
      <c r="J839">
        <v>229</v>
      </c>
      <c r="K839">
        <v>170</v>
      </c>
      <c r="L839">
        <v>191</v>
      </c>
      <c r="M839">
        <v>74.2</v>
      </c>
      <c r="N839">
        <v>83.4</v>
      </c>
      <c r="O839">
        <v>311.2</v>
      </c>
    </row>
    <row r="840" spans="1:15">
      <c r="A840">
        <v>2053</v>
      </c>
      <c r="B840" t="s">
        <v>2217</v>
      </c>
      <c r="C840" t="s">
        <v>2218</v>
      </c>
      <c r="D840" t="s">
        <v>8811</v>
      </c>
      <c r="E840" t="s">
        <v>8812</v>
      </c>
      <c r="F840" t="s">
        <v>8813</v>
      </c>
      <c r="G840" t="s">
        <v>5904</v>
      </c>
      <c r="H840">
        <v>327</v>
      </c>
      <c r="I840">
        <v>327</v>
      </c>
      <c r="J840">
        <v>327</v>
      </c>
      <c r="K840">
        <v>305</v>
      </c>
      <c r="L840">
        <v>318</v>
      </c>
      <c r="M840">
        <v>93.3</v>
      </c>
      <c r="N840">
        <v>97.2</v>
      </c>
      <c r="O840">
        <v>636.29999999999995</v>
      </c>
    </row>
    <row r="841" spans="1:15">
      <c r="A841">
        <v>845</v>
      </c>
      <c r="B841" t="s">
        <v>2219</v>
      </c>
      <c r="C841" t="s">
        <v>2220</v>
      </c>
      <c r="D841" t="s">
        <v>8814</v>
      </c>
      <c r="E841" t="s">
        <v>8815</v>
      </c>
      <c r="F841" t="s">
        <v>8816</v>
      </c>
      <c r="G841" t="s">
        <v>5904</v>
      </c>
      <c r="H841">
        <v>504</v>
      </c>
      <c r="I841">
        <v>510</v>
      </c>
      <c r="J841">
        <v>495</v>
      </c>
      <c r="K841">
        <v>392</v>
      </c>
      <c r="L841">
        <v>425</v>
      </c>
      <c r="M841">
        <v>77.8</v>
      </c>
      <c r="N841">
        <v>84.3</v>
      </c>
      <c r="O841">
        <v>745.3</v>
      </c>
    </row>
    <row r="842" spans="1:15">
      <c r="A842">
        <v>844</v>
      </c>
      <c r="B842" t="s">
        <v>8817</v>
      </c>
      <c r="C842" t="s">
        <v>2223</v>
      </c>
      <c r="D842" t="s">
        <v>8818</v>
      </c>
      <c r="E842" t="s">
        <v>8819</v>
      </c>
      <c r="F842" t="s">
        <v>8820</v>
      </c>
      <c r="G842" t="s">
        <v>5904</v>
      </c>
      <c r="H842">
        <v>486</v>
      </c>
      <c r="I842">
        <v>488</v>
      </c>
      <c r="J842">
        <v>483</v>
      </c>
      <c r="K842">
        <v>363</v>
      </c>
      <c r="L842">
        <v>406</v>
      </c>
      <c r="M842">
        <v>74.7</v>
      </c>
      <c r="N842">
        <v>83.5</v>
      </c>
      <c r="O842">
        <v>726.5</v>
      </c>
    </row>
    <row r="843" spans="1:15">
      <c r="A843">
        <v>843</v>
      </c>
      <c r="B843" t="s">
        <v>8821</v>
      </c>
      <c r="C843" t="s">
        <v>2226</v>
      </c>
      <c r="D843" t="s">
        <v>8822</v>
      </c>
      <c r="E843" t="s">
        <v>8823</v>
      </c>
      <c r="F843" t="s">
        <v>8824</v>
      </c>
      <c r="G843" t="s">
        <v>5904</v>
      </c>
      <c r="H843">
        <v>476</v>
      </c>
      <c r="I843">
        <v>520</v>
      </c>
      <c r="J843">
        <v>522</v>
      </c>
      <c r="K843">
        <v>326</v>
      </c>
      <c r="L843">
        <v>373</v>
      </c>
      <c r="M843">
        <v>68.5</v>
      </c>
      <c r="N843">
        <v>78.400000000000006</v>
      </c>
      <c r="O843">
        <v>584.70000000000005</v>
      </c>
    </row>
    <row r="844" spans="1:15">
      <c r="A844">
        <v>842</v>
      </c>
      <c r="B844" t="s">
        <v>2227</v>
      </c>
      <c r="C844" t="s">
        <v>2228</v>
      </c>
      <c r="D844" t="s">
        <v>8825</v>
      </c>
      <c r="E844" t="s">
        <v>8826</v>
      </c>
      <c r="F844" t="s">
        <v>8827</v>
      </c>
      <c r="G844" t="s">
        <v>5904</v>
      </c>
      <c r="H844">
        <v>536</v>
      </c>
      <c r="I844">
        <v>528</v>
      </c>
      <c r="J844">
        <v>491</v>
      </c>
      <c r="K844">
        <v>408</v>
      </c>
      <c r="L844">
        <v>438</v>
      </c>
      <c r="M844">
        <v>76.099999999999994</v>
      </c>
      <c r="N844">
        <v>81.7</v>
      </c>
      <c r="O844">
        <v>849.7</v>
      </c>
    </row>
    <row r="845" spans="1:15">
      <c r="A845">
        <v>841</v>
      </c>
      <c r="B845" t="s">
        <v>2229</v>
      </c>
      <c r="C845" t="s">
        <v>8828</v>
      </c>
      <c r="D845" t="s">
        <v>8829</v>
      </c>
      <c r="E845" t="s">
        <v>8830</v>
      </c>
      <c r="F845" t="s">
        <v>8831</v>
      </c>
      <c r="G845" t="s">
        <v>5904</v>
      </c>
      <c r="H845">
        <v>3179</v>
      </c>
      <c r="I845">
        <v>3177</v>
      </c>
      <c r="J845">
        <v>3189</v>
      </c>
      <c r="K845">
        <v>2820</v>
      </c>
      <c r="L845">
        <v>2984</v>
      </c>
      <c r="M845">
        <v>88.7</v>
      </c>
      <c r="N845">
        <v>93.9</v>
      </c>
      <c r="O845">
        <v>5504.1</v>
      </c>
    </row>
    <row r="846" spans="1:15">
      <c r="A846">
        <v>840</v>
      </c>
      <c r="B846" t="s">
        <v>8832</v>
      </c>
      <c r="C846" t="s">
        <v>8833</v>
      </c>
      <c r="D846" t="s">
        <v>8834</v>
      </c>
      <c r="E846" t="s">
        <v>8835</v>
      </c>
      <c r="F846" t="s">
        <v>8836</v>
      </c>
      <c r="G846" t="s">
        <v>5904</v>
      </c>
      <c r="H846">
        <v>177</v>
      </c>
      <c r="I846">
        <v>153</v>
      </c>
      <c r="J846">
        <v>156</v>
      </c>
      <c r="K846">
        <v>113</v>
      </c>
      <c r="L846">
        <v>126</v>
      </c>
      <c r="M846">
        <v>63.8</v>
      </c>
      <c r="N846">
        <v>71.2</v>
      </c>
      <c r="O846">
        <v>224.2</v>
      </c>
    </row>
    <row r="847" spans="1:15">
      <c r="A847">
        <v>839</v>
      </c>
      <c r="B847" t="s">
        <v>8837</v>
      </c>
      <c r="C847" t="s">
        <v>5738</v>
      </c>
      <c r="D847" t="s">
        <v>8838</v>
      </c>
      <c r="E847" t="s">
        <v>8839</v>
      </c>
      <c r="F847" t="s">
        <v>8840</v>
      </c>
      <c r="G847" t="s">
        <v>5904</v>
      </c>
      <c r="H847">
        <v>2387</v>
      </c>
      <c r="I847">
        <v>2386</v>
      </c>
      <c r="J847">
        <v>2396</v>
      </c>
      <c r="K847">
        <v>1961</v>
      </c>
      <c r="L847">
        <v>2103</v>
      </c>
      <c r="M847">
        <v>82.2</v>
      </c>
      <c r="N847">
        <v>88.1</v>
      </c>
      <c r="O847">
        <v>3941.7</v>
      </c>
    </row>
    <row r="848" spans="1:15">
      <c r="A848">
        <v>838</v>
      </c>
      <c r="B848" t="s">
        <v>2234</v>
      </c>
      <c r="C848" t="s">
        <v>2236</v>
      </c>
      <c r="D848" t="s">
        <v>8841</v>
      </c>
      <c r="E848" t="s">
        <v>8842</v>
      </c>
      <c r="F848" t="s">
        <v>8843</v>
      </c>
      <c r="G848" t="s">
        <v>5904</v>
      </c>
      <c r="H848">
        <v>192</v>
      </c>
      <c r="I848">
        <v>194</v>
      </c>
      <c r="J848">
        <v>193</v>
      </c>
      <c r="K848">
        <v>181</v>
      </c>
      <c r="L848">
        <v>184</v>
      </c>
      <c r="M848">
        <v>94.3</v>
      </c>
      <c r="N848">
        <v>95.8</v>
      </c>
      <c r="O848">
        <v>317</v>
      </c>
    </row>
    <row r="849" spans="1:15">
      <c r="A849">
        <v>837</v>
      </c>
      <c r="B849" t="s">
        <v>2237</v>
      </c>
      <c r="C849" t="s">
        <v>2238</v>
      </c>
      <c r="D849" t="s">
        <v>8844</v>
      </c>
      <c r="E849" t="s">
        <v>8845</v>
      </c>
      <c r="F849" t="s">
        <v>8846</v>
      </c>
      <c r="G849" t="s">
        <v>5904</v>
      </c>
      <c r="H849">
        <v>368</v>
      </c>
      <c r="I849">
        <v>366</v>
      </c>
      <c r="J849">
        <v>355</v>
      </c>
      <c r="K849">
        <v>289</v>
      </c>
      <c r="L849">
        <v>307</v>
      </c>
      <c r="M849">
        <v>78.5</v>
      </c>
      <c r="N849">
        <v>83.4</v>
      </c>
      <c r="O849">
        <v>570.9</v>
      </c>
    </row>
    <row r="850" spans="1:15">
      <c r="A850">
        <v>836</v>
      </c>
      <c r="B850" t="s">
        <v>2239</v>
      </c>
      <c r="C850" t="s">
        <v>2240</v>
      </c>
      <c r="D850" t="s">
        <v>8847</v>
      </c>
      <c r="E850" t="s">
        <v>8848</v>
      </c>
      <c r="F850" t="s">
        <v>8849</v>
      </c>
      <c r="G850" t="s">
        <v>5904</v>
      </c>
      <c r="H850">
        <v>327</v>
      </c>
      <c r="I850">
        <v>325</v>
      </c>
      <c r="J850">
        <v>327</v>
      </c>
      <c r="K850">
        <v>322</v>
      </c>
      <c r="L850">
        <v>324</v>
      </c>
      <c r="M850">
        <v>98.5</v>
      </c>
      <c r="N850">
        <v>99.1</v>
      </c>
      <c r="O850">
        <v>644.4</v>
      </c>
    </row>
    <row r="851" spans="1:15">
      <c r="A851">
        <v>835</v>
      </c>
      <c r="B851" t="s">
        <v>8850</v>
      </c>
      <c r="C851" t="s">
        <v>8851</v>
      </c>
      <c r="D851" t="s">
        <v>8852</v>
      </c>
      <c r="E851" t="s">
        <v>8853</v>
      </c>
      <c r="F851" t="s">
        <v>8854</v>
      </c>
      <c r="G851" t="s">
        <v>5904</v>
      </c>
      <c r="H851">
        <v>334</v>
      </c>
      <c r="I851">
        <v>304</v>
      </c>
      <c r="J851">
        <v>335</v>
      </c>
      <c r="K851">
        <v>215</v>
      </c>
      <c r="L851">
        <v>248</v>
      </c>
      <c r="M851">
        <v>64.400000000000006</v>
      </c>
      <c r="N851">
        <v>74.3</v>
      </c>
      <c r="O851">
        <v>398.7</v>
      </c>
    </row>
    <row r="852" spans="1:15">
      <c r="A852">
        <v>834</v>
      </c>
      <c r="B852" t="s">
        <v>2244</v>
      </c>
      <c r="C852" t="s">
        <v>2245</v>
      </c>
      <c r="D852" t="s">
        <v>8855</v>
      </c>
      <c r="E852" t="s">
        <v>8856</v>
      </c>
      <c r="F852" t="s">
        <v>8857</v>
      </c>
      <c r="G852" t="s">
        <v>5904</v>
      </c>
      <c r="H852">
        <v>1360</v>
      </c>
      <c r="I852">
        <v>1304</v>
      </c>
      <c r="J852">
        <v>1304</v>
      </c>
      <c r="K852">
        <v>1304</v>
      </c>
      <c r="L852">
        <v>1304</v>
      </c>
      <c r="M852">
        <v>95.9</v>
      </c>
      <c r="N852">
        <v>95.9</v>
      </c>
      <c r="O852">
        <v>2701.8</v>
      </c>
    </row>
    <row r="853" spans="1:15">
      <c r="A853">
        <v>833</v>
      </c>
      <c r="B853" t="s">
        <v>8858</v>
      </c>
      <c r="C853" t="s">
        <v>2248</v>
      </c>
      <c r="D853" t="s">
        <v>8859</v>
      </c>
      <c r="E853" t="s">
        <v>8860</v>
      </c>
      <c r="F853" t="s">
        <v>8861</v>
      </c>
      <c r="G853" t="s">
        <v>5904</v>
      </c>
      <c r="H853">
        <v>413</v>
      </c>
      <c r="I853">
        <v>417</v>
      </c>
      <c r="J853">
        <v>417</v>
      </c>
      <c r="K853">
        <v>329</v>
      </c>
      <c r="L853">
        <v>369</v>
      </c>
      <c r="M853">
        <v>79.7</v>
      </c>
      <c r="N853">
        <v>89.3</v>
      </c>
      <c r="O853">
        <v>617.1</v>
      </c>
    </row>
    <row r="854" spans="1:15">
      <c r="A854">
        <v>832</v>
      </c>
      <c r="B854" t="s">
        <v>2249</v>
      </c>
      <c r="C854" t="s">
        <v>2250</v>
      </c>
      <c r="D854" t="s">
        <v>8862</v>
      </c>
      <c r="E854" t="s">
        <v>8863</v>
      </c>
      <c r="F854" t="s">
        <v>8864</v>
      </c>
      <c r="G854" t="s">
        <v>5904</v>
      </c>
      <c r="H854">
        <v>172</v>
      </c>
      <c r="I854">
        <v>172</v>
      </c>
      <c r="J854">
        <v>172</v>
      </c>
      <c r="K854">
        <v>172</v>
      </c>
      <c r="L854">
        <v>172</v>
      </c>
      <c r="M854">
        <v>100</v>
      </c>
      <c r="N854">
        <v>100</v>
      </c>
      <c r="O854">
        <v>355.1</v>
      </c>
    </row>
    <row r="855" spans="1:15">
      <c r="A855">
        <v>831</v>
      </c>
      <c r="B855" t="s">
        <v>8865</v>
      </c>
      <c r="C855" t="s">
        <v>2253</v>
      </c>
      <c r="D855" t="s">
        <v>8866</v>
      </c>
      <c r="E855" t="s">
        <v>8867</v>
      </c>
      <c r="F855" t="s">
        <v>8868</v>
      </c>
      <c r="G855" t="s">
        <v>5904</v>
      </c>
      <c r="H855">
        <v>441</v>
      </c>
      <c r="I855">
        <v>593</v>
      </c>
      <c r="J855">
        <v>335</v>
      </c>
      <c r="K855">
        <v>327</v>
      </c>
      <c r="L855">
        <v>329</v>
      </c>
      <c r="M855">
        <v>74.099999999999994</v>
      </c>
      <c r="N855">
        <v>74.599999999999994</v>
      </c>
      <c r="O855">
        <v>669.8</v>
      </c>
    </row>
    <row r="856" spans="1:15">
      <c r="A856">
        <v>830</v>
      </c>
      <c r="B856" t="s">
        <v>8869</v>
      </c>
      <c r="C856" t="s">
        <v>8870</v>
      </c>
      <c r="D856" t="s">
        <v>8871</v>
      </c>
      <c r="E856" t="s">
        <v>8872</v>
      </c>
      <c r="F856" t="s">
        <v>8873</v>
      </c>
      <c r="G856" t="s">
        <v>5904</v>
      </c>
      <c r="H856">
        <v>378</v>
      </c>
      <c r="I856">
        <v>378</v>
      </c>
      <c r="J856">
        <v>379</v>
      </c>
      <c r="K856">
        <v>377</v>
      </c>
      <c r="L856">
        <v>377</v>
      </c>
      <c r="M856">
        <v>99.7</v>
      </c>
      <c r="N856">
        <v>99.7</v>
      </c>
      <c r="O856">
        <v>717.6</v>
      </c>
    </row>
    <row r="857" spans="1:15">
      <c r="A857">
        <v>829</v>
      </c>
      <c r="B857" t="s">
        <v>2257</v>
      </c>
      <c r="C857" t="s">
        <v>2258</v>
      </c>
      <c r="D857" t="s">
        <v>8874</v>
      </c>
      <c r="E857" t="s">
        <v>8875</v>
      </c>
      <c r="F857" t="s">
        <v>8876</v>
      </c>
      <c r="G857" t="s">
        <v>5904</v>
      </c>
      <c r="H857">
        <v>418</v>
      </c>
      <c r="I857">
        <v>418</v>
      </c>
      <c r="J857">
        <v>418</v>
      </c>
      <c r="K857">
        <v>418</v>
      </c>
      <c r="L857">
        <v>418</v>
      </c>
      <c r="M857">
        <v>100</v>
      </c>
      <c r="N857">
        <v>100</v>
      </c>
      <c r="O857">
        <v>869</v>
      </c>
    </row>
    <row r="858" spans="1:15">
      <c r="A858">
        <v>828</v>
      </c>
      <c r="B858" t="s">
        <v>8877</v>
      </c>
      <c r="C858" t="s">
        <v>2261</v>
      </c>
      <c r="D858" t="s">
        <v>8878</v>
      </c>
      <c r="E858" t="s">
        <v>8879</v>
      </c>
      <c r="F858" t="s">
        <v>8880</v>
      </c>
      <c r="G858" t="s">
        <v>5904</v>
      </c>
      <c r="H858">
        <v>2188</v>
      </c>
      <c r="I858">
        <v>2116</v>
      </c>
      <c r="J858">
        <v>2128</v>
      </c>
      <c r="K858">
        <v>1809</v>
      </c>
      <c r="L858">
        <v>1946</v>
      </c>
      <c r="M858">
        <v>82.7</v>
      </c>
      <c r="N858">
        <v>88.9</v>
      </c>
      <c r="O858">
        <v>3751.8</v>
      </c>
    </row>
    <row r="859" spans="1:15">
      <c r="A859">
        <v>827</v>
      </c>
      <c r="B859" t="s">
        <v>8881</v>
      </c>
      <c r="C859" t="s">
        <v>2264</v>
      </c>
      <c r="D859" t="s">
        <v>8882</v>
      </c>
      <c r="E859" t="s">
        <v>8883</v>
      </c>
      <c r="F859" t="s">
        <v>8884</v>
      </c>
      <c r="G859" t="s">
        <v>6054</v>
      </c>
      <c r="H859">
        <v>899</v>
      </c>
      <c r="I859">
        <v>808</v>
      </c>
      <c r="J859">
        <v>395</v>
      </c>
      <c r="K859">
        <v>213</v>
      </c>
      <c r="L859">
        <v>267</v>
      </c>
      <c r="M859">
        <v>23.7</v>
      </c>
      <c r="N859">
        <v>29.7</v>
      </c>
      <c r="O859">
        <v>323.89999999999998</v>
      </c>
    </row>
    <row r="860" spans="1:15">
      <c r="A860">
        <v>2240</v>
      </c>
      <c r="B860" t="s">
        <v>8885</v>
      </c>
      <c r="C860" t="s">
        <v>8886</v>
      </c>
      <c r="D860" t="s">
        <v>8887</v>
      </c>
      <c r="E860" t="s">
        <v>8888</v>
      </c>
      <c r="F860" t="s">
        <v>8889</v>
      </c>
      <c r="G860" t="s">
        <v>5904</v>
      </c>
      <c r="H860">
        <v>859</v>
      </c>
      <c r="I860">
        <v>851</v>
      </c>
      <c r="J860">
        <v>851</v>
      </c>
      <c r="K860">
        <v>751</v>
      </c>
      <c r="L860">
        <v>800</v>
      </c>
      <c r="M860">
        <v>87.4</v>
      </c>
      <c r="N860">
        <v>93.1</v>
      </c>
      <c r="O860">
        <v>1560</v>
      </c>
    </row>
    <row r="861" spans="1:15">
      <c r="A861">
        <v>826</v>
      </c>
      <c r="B861" t="s">
        <v>2268</v>
      </c>
      <c r="C861" t="s">
        <v>8890</v>
      </c>
      <c r="D861" t="s">
        <v>8891</v>
      </c>
      <c r="E861" t="s">
        <v>8892</v>
      </c>
      <c r="F861" t="s">
        <v>8893</v>
      </c>
      <c r="G861" t="s">
        <v>5904</v>
      </c>
      <c r="H861">
        <v>750</v>
      </c>
      <c r="I861">
        <v>750</v>
      </c>
      <c r="J861">
        <v>750</v>
      </c>
      <c r="K861">
        <v>729</v>
      </c>
      <c r="L861">
        <v>740</v>
      </c>
      <c r="M861">
        <v>97.2</v>
      </c>
      <c r="N861">
        <v>98.7</v>
      </c>
      <c r="O861">
        <v>1513.4</v>
      </c>
    </row>
    <row r="862" spans="1:15">
      <c r="A862">
        <v>2052</v>
      </c>
      <c r="B862" t="s">
        <v>2270</v>
      </c>
      <c r="C862" t="s">
        <v>2271</v>
      </c>
      <c r="D862" t="s">
        <v>8894</v>
      </c>
      <c r="E862" t="s">
        <v>8895</v>
      </c>
      <c r="F862" t="s">
        <v>8896</v>
      </c>
      <c r="G862" t="s">
        <v>5904</v>
      </c>
      <c r="H862">
        <v>330</v>
      </c>
      <c r="I862">
        <v>329</v>
      </c>
      <c r="J862">
        <v>330</v>
      </c>
      <c r="K862">
        <v>306</v>
      </c>
      <c r="L862">
        <v>319</v>
      </c>
      <c r="M862">
        <v>92.7</v>
      </c>
      <c r="N862">
        <v>96.7</v>
      </c>
      <c r="O862">
        <v>644.4</v>
      </c>
    </row>
    <row r="863" spans="1:15">
      <c r="A863">
        <v>825</v>
      </c>
      <c r="B863" t="s">
        <v>2272</v>
      </c>
      <c r="C863" t="s">
        <v>8897</v>
      </c>
      <c r="D863" t="s">
        <v>8898</v>
      </c>
      <c r="E863" t="s">
        <v>8899</v>
      </c>
      <c r="F863" t="s">
        <v>8900</v>
      </c>
      <c r="G863" t="s">
        <v>5904</v>
      </c>
      <c r="H863">
        <v>300</v>
      </c>
      <c r="I863">
        <v>300</v>
      </c>
      <c r="J863">
        <v>300</v>
      </c>
      <c r="K863">
        <v>300</v>
      </c>
      <c r="L863">
        <v>300</v>
      </c>
      <c r="M863">
        <v>100</v>
      </c>
      <c r="N863">
        <v>100</v>
      </c>
      <c r="O863">
        <v>622.1</v>
      </c>
    </row>
    <row r="864" spans="1:15">
      <c r="A864">
        <v>824</v>
      </c>
      <c r="B864" t="s">
        <v>2274</v>
      </c>
      <c r="C864" t="s">
        <v>8901</v>
      </c>
      <c r="D864" t="s">
        <v>8902</v>
      </c>
      <c r="E864" t="s">
        <v>8903</v>
      </c>
      <c r="F864" t="s">
        <v>8904</v>
      </c>
      <c r="G864" t="s">
        <v>5904</v>
      </c>
      <c r="H864">
        <v>341</v>
      </c>
      <c r="I864">
        <v>341</v>
      </c>
      <c r="J864">
        <v>341</v>
      </c>
      <c r="K864">
        <v>339</v>
      </c>
      <c r="L864">
        <v>340</v>
      </c>
      <c r="M864">
        <v>99.4</v>
      </c>
      <c r="N864">
        <v>99.7</v>
      </c>
      <c r="O864">
        <v>698</v>
      </c>
    </row>
    <row r="865" spans="1:15">
      <c r="A865">
        <v>823</v>
      </c>
      <c r="B865" t="s">
        <v>2276</v>
      </c>
      <c r="C865" t="s">
        <v>2277</v>
      </c>
      <c r="D865" t="s">
        <v>8905</v>
      </c>
      <c r="E865" t="s">
        <v>8906</v>
      </c>
      <c r="F865" t="s">
        <v>8907</v>
      </c>
      <c r="G865" t="s">
        <v>5904</v>
      </c>
      <c r="H865">
        <v>598</v>
      </c>
      <c r="I865">
        <v>558</v>
      </c>
      <c r="J865">
        <v>598</v>
      </c>
      <c r="K865">
        <v>468</v>
      </c>
      <c r="L865">
        <v>497</v>
      </c>
      <c r="M865">
        <v>78.3</v>
      </c>
      <c r="N865">
        <v>83.1</v>
      </c>
      <c r="O865">
        <v>847.8</v>
      </c>
    </row>
    <row r="866" spans="1:15">
      <c r="A866">
        <v>822</v>
      </c>
      <c r="B866" t="s">
        <v>8908</v>
      </c>
      <c r="C866" t="s">
        <v>8909</v>
      </c>
      <c r="D866" t="s">
        <v>8910</v>
      </c>
      <c r="E866" t="s">
        <v>8911</v>
      </c>
      <c r="F866" t="s">
        <v>8912</v>
      </c>
      <c r="G866" t="s">
        <v>5904</v>
      </c>
      <c r="H866">
        <v>362</v>
      </c>
      <c r="I866">
        <v>361</v>
      </c>
      <c r="J866">
        <v>362</v>
      </c>
      <c r="K866">
        <v>355</v>
      </c>
      <c r="L866">
        <v>359</v>
      </c>
      <c r="M866">
        <v>98.1</v>
      </c>
      <c r="N866">
        <v>99.2</v>
      </c>
      <c r="O866">
        <v>734.2</v>
      </c>
    </row>
    <row r="867" spans="1:15">
      <c r="A867">
        <v>821</v>
      </c>
      <c r="B867" t="s">
        <v>8913</v>
      </c>
      <c r="C867" t="s">
        <v>2284</v>
      </c>
      <c r="D867" t="s">
        <v>8914</v>
      </c>
      <c r="E867" t="s">
        <v>8915</v>
      </c>
      <c r="F867" t="s">
        <v>8916</v>
      </c>
      <c r="G867" t="s">
        <v>5904</v>
      </c>
      <c r="H867">
        <v>364</v>
      </c>
      <c r="I867">
        <v>360</v>
      </c>
      <c r="J867">
        <v>364</v>
      </c>
      <c r="K867">
        <v>340</v>
      </c>
      <c r="L867">
        <v>351</v>
      </c>
      <c r="M867">
        <v>93.4</v>
      </c>
      <c r="N867">
        <v>96.4</v>
      </c>
      <c r="O867">
        <v>635.6</v>
      </c>
    </row>
    <row r="868" spans="1:15">
      <c r="A868">
        <v>820</v>
      </c>
      <c r="B868" t="s">
        <v>2285</v>
      </c>
      <c r="C868" t="s">
        <v>2287</v>
      </c>
      <c r="D868" t="s">
        <v>8917</v>
      </c>
      <c r="E868" t="s">
        <v>8918</v>
      </c>
      <c r="F868" t="s">
        <v>8919</v>
      </c>
      <c r="G868" t="s">
        <v>5904</v>
      </c>
      <c r="H868">
        <v>470</v>
      </c>
      <c r="I868">
        <v>470</v>
      </c>
      <c r="J868">
        <v>470</v>
      </c>
      <c r="K868">
        <v>459</v>
      </c>
      <c r="L868">
        <v>466</v>
      </c>
      <c r="M868">
        <v>97.7</v>
      </c>
      <c r="N868">
        <v>99.1</v>
      </c>
      <c r="O868">
        <v>938.7</v>
      </c>
    </row>
    <row r="869" spans="1:15">
      <c r="A869">
        <v>819</v>
      </c>
      <c r="B869" t="s">
        <v>2288</v>
      </c>
      <c r="C869" t="s">
        <v>2289</v>
      </c>
      <c r="D869" t="s">
        <v>8920</v>
      </c>
      <c r="E869" t="s">
        <v>8921</v>
      </c>
      <c r="F869" t="s">
        <v>8922</v>
      </c>
      <c r="G869" t="s">
        <v>5904</v>
      </c>
      <c r="H869">
        <v>266</v>
      </c>
      <c r="I869">
        <v>266</v>
      </c>
      <c r="J869">
        <v>265</v>
      </c>
      <c r="K869">
        <v>255</v>
      </c>
      <c r="L869">
        <v>260</v>
      </c>
      <c r="M869">
        <v>95.9</v>
      </c>
      <c r="N869">
        <v>97.7</v>
      </c>
      <c r="O869">
        <v>532.29999999999995</v>
      </c>
    </row>
    <row r="870" spans="1:15">
      <c r="A870">
        <v>818</v>
      </c>
      <c r="B870" t="s">
        <v>8923</v>
      </c>
      <c r="C870" t="s">
        <v>2292</v>
      </c>
      <c r="D870" t="s">
        <v>8924</v>
      </c>
      <c r="E870" t="s">
        <v>8925</v>
      </c>
      <c r="F870" t="s">
        <v>8926</v>
      </c>
      <c r="G870" t="s">
        <v>5904</v>
      </c>
      <c r="H870">
        <v>1399</v>
      </c>
      <c r="I870">
        <v>1683</v>
      </c>
      <c r="J870">
        <v>1351</v>
      </c>
      <c r="K870">
        <v>1101</v>
      </c>
      <c r="L870">
        <v>1166</v>
      </c>
      <c r="M870">
        <v>78.7</v>
      </c>
      <c r="N870">
        <v>83.3</v>
      </c>
      <c r="O870">
        <v>2097</v>
      </c>
    </row>
    <row r="871" spans="1:15">
      <c r="A871">
        <v>817</v>
      </c>
      <c r="B871" t="s">
        <v>2293</v>
      </c>
      <c r="C871" t="s">
        <v>2294</v>
      </c>
      <c r="D871" t="s">
        <v>8927</v>
      </c>
      <c r="E871" t="s">
        <v>8928</v>
      </c>
      <c r="F871" t="s">
        <v>8929</v>
      </c>
      <c r="G871" t="s">
        <v>5904</v>
      </c>
      <c r="H871">
        <v>953</v>
      </c>
      <c r="I871">
        <v>953</v>
      </c>
      <c r="J871">
        <v>953</v>
      </c>
      <c r="K871">
        <v>946</v>
      </c>
      <c r="L871">
        <v>949</v>
      </c>
      <c r="M871">
        <v>99.3</v>
      </c>
      <c r="N871">
        <v>99.6</v>
      </c>
      <c r="O871">
        <v>1968.4</v>
      </c>
    </row>
    <row r="872" spans="1:15">
      <c r="A872">
        <v>816</v>
      </c>
      <c r="B872" t="s">
        <v>8930</v>
      </c>
      <c r="C872" t="s">
        <v>2297</v>
      </c>
      <c r="D872" t="s">
        <v>8931</v>
      </c>
      <c r="E872" t="s">
        <v>8932</v>
      </c>
      <c r="F872" t="s">
        <v>8933</v>
      </c>
      <c r="G872" t="s">
        <v>5904</v>
      </c>
      <c r="H872">
        <v>445</v>
      </c>
      <c r="I872">
        <v>443</v>
      </c>
      <c r="J872">
        <v>445</v>
      </c>
      <c r="K872">
        <v>424</v>
      </c>
      <c r="L872">
        <v>432</v>
      </c>
      <c r="M872">
        <v>95.3</v>
      </c>
      <c r="N872">
        <v>97.1</v>
      </c>
      <c r="O872">
        <v>822</v>
      </c>
    </row>
    <row r="873" spans="1:15">
      <c r="A873">
        <v>2051</v>
      </c>
      <c r="B873" t="s">
        <v>2298</v>
      </c>
      <c r="C873" t="s">
        <v>2300</v>
      </c>
      <c r="D873" t="s">
        <v>8934</v>
      </c>
      <c r="E873" t="s">
        <v>8935</v>
      </c>
      <c r="F873" t="s">
        <v>8936</v>
      </c>
      <c r="G873" t="s">
        <v>5904</v>
      </c>
      <c r="H873">
        <v>328</v>
      </c>
      <c r="I873">
        <v>324</v>
      </c>
      <c r="J873">
        <v>328</v>
      </c>
      <c r="K873">
        <v>316</v>
      </c>
      <c r="L873">
        <v>319</v>
      </c>
      <c r="M873">
        <v>96.3</v>
      </c>
      <c r="N873">
        <v>97.3</v>
      </c>
      <c r="O873">
        <v>618.20000000000005</v>
      </c>
    </row>
    <row r="874" spans="1:15">
      <c r="A874">
        <v>815</v>
      </c>
      <c r="B874" t="s">
        <v>2301</v>
      </c>
      <c r="C874" t="s">
        <v>2303</v>
      </c>
      <c r="D874" t="s">
        <v>8937</v>
      </c>
      <c r="E874" t="s">
        <v>8938</v>
      </c>
      <c r="F874" t="s">
        <v>8939</v>
      </c>
      <c r="G874" t="s">
        <v>5904</v>
      </c>
      <c r="H874">
        <v>6674</v>
      </c>
      <c r="I874">
        <v>6669</v>
      </c>
      <c r="J874">
        <v>6674</v>
      </c>
      <c r="K874">
        <v>6260</v>
      </c>
      <c r="L874">
        <v>6494</v>
      </c>
      <c r="M874">
        <v>93.8</v>
      </c>
      <c r="N874">
        <v>97.3</v>
      </c>
      <c r="O874">
        <v>13006.2</v>
      </c>
    </row>
    <row r="875" spans="1:15">
      <c r="A875">
        <v>814</v>
      </c>
      <c r="B875" t="s">
        <v>2304</v>
      </c>
      <c r="C875" t="s">
        <v>8940</v>
      </c>
      <c r="D875" t="s">
        <v>8941</v>
      </c>
      <c r="E875" t="s">
        <v>8942</v>
      </c>
      <c r="F875" t="s">
        <v>8943</v>
      </c>
      <c r="G875" t="s">
        <v>5904</v>
      </c>
      <c r="H875">
        <v>627</v>
      </c>
      <c r="I875">
        <v>627</v>
      </c>
      <c r="J875">
        <v>627</v>
      </c>
      <c r="K875">
        <v>616</v>
      </c>
      <c r="L875">
        <v>624</v>
      </c>
      <c r="M875">
        <v>98.2</v>
      </c>
      <c r="N875">
        <v>99.5</v>
      </c>
      <c r="O875">
        <v>1274.5999999999999</v>
      </c>
    </row>
    <row r="876" spans="1:15">
      <c r="A876">
        <v>813</v>
      </c>
      <c r="B876" t="s">
        <v>2306</v>
      </c>
      <c r="C876" t="s">
        <v>2307</v>
      </c>
      <c r="D876" t="s">
        <v>8944</v>
      </c>
      <c r="E876" t="s">
        <v>8945</v>
      </c>
      <c r="F876" t="s">
        <v>8946</v>
      </c>
      <c r="G876" t="s">
        <v>5904</v>
      </c>
      <c r="H876">
        <v>230</v>
      </c>
      <c r="I876">
        <v>230</v>
      </c>
      <c r="J876">
        <v>230</v>
      </c>
      <c r="K876">
        <v>230</v>
      </c>
      <c r="L876">
        <v>230</v>
      </c>
      <c r="M876">
        <v>100</v>
      </c>
      <c r="N876">
        <v>100</v>
      </c>
      <c r="O876">
        <v>481.1</v>
      </c>
    </row>
    <row r="877" spans="1:15">
      <c r="A877">
        <v>812</v>
      </c>
      <c r="B877" t="s">
        <v>2308</v>
      </c>
      <c r="C877" t="s">
        <v>8947</v>
      </c>
      <c r="D877" t="s">
        <v>8948</v>
      </c>
      <c r="E877" t="s">
        <v>8949</v>
      </c>
      <c r="F877" t="s">
        <v>8950</v>
      </c>
      <c r="G877" t="s">
        <v>5904</v>
      </c>
      <c r="H877">
        <v>741</v>
      </c>
      <c r="I877">
        <v>741</v>
      </c>
      <c r="J877">
        <v>741</v>
      </c>
      <c r="K877">
        <v>728</v>
      </c>
      <c r="L877">
        <v>738</v>
      </c>
      <c r="M877">
        <v>98.2</v>
      </c>
      <c r="N877">
        <v>99.6</v>
      </c>
      <c r="O877">
        <v>1530.4</v>
      </c>
    </row>
    <row r="878" spans="1:15">
      <c r="A878">
        <v>811</v>
      </c>
      <c r="B878" t="s">
        <v>8951</v>
      </c>
      <c r="C878" t="s">
        <v>2312</v>
      </c>
      <c r="D878" t="s">
        <v>8952</v>
      </c>
      <c r="E878" t="s">
        <v>8953</v>
      </c>
      <c r="F878" t="s">
        <v>8954</v>
      </c>
      <c r="G878" t="s">
        <v>5904</v>
      </c>
      <c r="H878">
        <v>4651</v>
      </c>
      <c r="I878">
        <v>4655</v>
      </c>
      <c r="J878">
        <v>4657</v>
      </c>
      <c r="K878">
        <v>3669</v>
      </c>
      <c r="L878">
        <v>4080</v>
      </c>
      <c r="M878">
        <v>78.900000000000006</v>
      </c>
      <c r="N878">
        <v>87.7</v>
      </c>
      <c r="O878">
        <v>7709.8</v>
      </c>
    </row>
    <row r="879" spans="1:15">
      <c r="A879">
        <v>810</v>
      </c>
      <c r="B879" t="s">
        <v>2313</v>
      </c>
      <c r="C879" t="s">
        <v>2314</v>
      </c>
      <c r="D879" t="s">
        <v>7232</v>
      </c>
      <c r="E879" t="s">
        <v>7233</v>
      </c>
      <c r="F879" t="s">
        <v>8955</v>
      </c>
      <c r="G879" t="s">
        <v>5904</v>
      </c>
      <c r="H879">
        <v>300</v>
      </c>
      <c r="I879">
        <v>320</v>
      </c>
      <c r="J879">
        <v>300</v>
      </c>
      <c r="K879">
        <v>280</v>
      </c>
      <c r="L879">
        <v>285</v>
      </c>
      <c r="M879">
        <v>93.3</v>
      </c>
      <c r="N879">
        <v>95</v>
      </c>
      <c r="O879">
        <v>458</v>
      </c>
    </row>
    <row r="880" spans="1:15">
      <c r="A880">
        <v>809</v>
      </c>
      <c r="B880" t="s">
        <v>2315</v>
      </c>
      <c r="C880" t="s">
        <v>2314</v>
      </c>
      <c r="D880" t="s">
        <v>7232</v>
      </c>
      <c r="E880" t="s">
        <v>7233</v>
      </c>
      <c r="F880" t="s">
        <v>8956</v>
      </c>
      <c r="G880" t="s">
        <v>5904</v>
      </c>
      <c r="H880">
        <v>312</v>
      </c>
      <c r="I880">
        <v>320</v>
      </c>
      <c r="J880">
        <v>312</v>
      </c>
      <c r="K880">
        <v>265</v>
      </c>
      <c r="L880">
        <v>269</v>
      </c>
      <c r="M880">
        <v>84.9</v>
      </c>
      <c r="N880">
        <v>86.2</v>
      </c>
      <c r="O880">
        <v>409.5</v>
      </c>
    </row>
    <row r="881" spans="1:15">
      <c r="A881">
        <v>808</v>
      </c>
      <c r="B881" t="s">
        <v>2317</v>
      </c>
      <c r="C881" t="s">
        <v>2318</v>
      </c>
      <c r="D881" t="s">
        <v>8957</v>
      </c>
      <c r="E881" t="s">
        <v>8958</v>
      </c>
      <c r="F881" t="s">
        <v>8959</v>
      </c>
      <c r="G881" t="s">
        <v>5904</v>
      </c>
      <c r="H881">
        <v>271</v>
      </c>
      <c r="I881">
        <v>272</v>
      </c>
      <c r="J881">
        <v>271</v>
      </c>
      <c r="K881">
        <v>264</v>
      </c>
      <c r="L881">
        <v>268</v>
      </c>
      <c r="M881">
        <v>97.4</v>
      </c>
      <c r="N881">
        <v>98.9</v>
      </c>
      <c r="O881">
        <v>545.79999999999995</v>
      </c>
    </row>
    <row r="882" spans="1:15">
      <c r="A882">
        <v>807</v>
      </c>
      <c r="B882" t="s">
        <v>8960</v>
      </c>
      <c r="C882" t="s">
        <v>8961</v>
      </c>
      <c r="D882" t="s">
        <v>8962</v>
      </c>
      <c r="E882" t="s">
        <v>8963</v>
      </c>
      <c r="F882" t="s">
        <v>8964</v>
      </c>
      <c r="G882" t="s">
        <v>5904</v>
      </c>
      <c r="H882">
        <v>1136</v>
      </c>
      <c r="I882">
        <v>1136</v>
      </c>
      <c r="J882">
        <v>1136</v>
      </c>
      <c r="K882">
        <v>1118</v>
      </c>
      <c r="L882">
        <v>1125</v>
      </c>
      <c r="M882">
        <v>98.4</v>
      </c>
      <c r="N882">
        <v>99</v>
      </c>
      <c r="O882">
        <v>2322.3000000000002</v>
      </c>
    </row>
    <row r="883" spans="1:15">
      <c r="A883">
        <v>2050</v>
      </c>
      <c r="B883" t="s">
        <v>2322</v>
      </c>
      <c r="C883" t="s">
        <v>8965</v>
      </c>
      <c r="D883" t="s">
        <v>8966</v>
      </c>
      <c r="E883" t="s">
        <v>8967</v>
      </c>
      <c r="F883" t="s">
        <v>8968</v>
      </c>
      <c r="G883" t="s">
        <v>5904</v>
      </c>
      <c r="H883">
        <v>414</v>
      </c>
      <c r="I883">
        <v>415</v>
      </c>
      <c r="J883">
        <v>415</v>
      </c>
      <c r="K883">
        <v>406</v>
      </c>
      <c r="L883">
        <v>409</v>
      </c>
      <c r="M883">
        <v>98.1</v>
      </c>
      <c r="N883">
        <v>98.8</v>
      </c>
      <c r="O883">
        <v>838.6</v>
      </c>
    </row>
    <row r="884" spans="1:15">
      <c r="A884">
        <v>806</v>
      </c>
      <c r="B884" t="s">
        <v>8969</v>
      </c>
      <c r="C884" t="s">
        <v>5741</v>
      </c>
      <c r="D884" t="s">
        <v>8970</v>
      </c>
      <c r="E884" t="s">
        <v>8971</v>
      </c>
      <c r="F884" t="s">
        <v>8972</v>
      </c>
      <c r="G884" t="s">
        <v>5904</v>
      </c>
      <c r="H884">
        <v>87</v>
      </c>
      <c r="I884">
        <v>87</v>
      </c>
      <c r="J884">
        <v>87</v>
      </c>
      <c r="K884">
        <v>73</v>
      </c>
      <c r="L884">
        <v>81</v>
      </c>
      <c r="M884">
        <v>83.9</v>
      </c>
      <c r="N884">
        <v>93.1</v>
      </c>
      <c r="O884">
        <v>159.5</v>
      </c>
    </row>
    <row r="885" spans="1:15">
      <c r="A885">
        <v>805</v>
      </c>
      <c r="B885" t="s">
        <v>2325</v>
      </c>
      <c r="C885" t="s">
        <v>2326</v>
      </c>
      <c r="D885" t="s">
        <v>8973</v>
      </c>
      <c r="E885" t="s">
        <v>8974</v>
      </c>
      <c r="F885" t="s">
        <v>8975</v>
      </c>
      <c r="G885" t="s">
        <v>5904</v>
      </c>
      <c r="H885">
        <v>225</v>
      </c>
      <c r="I885">
        <v>225</v>
      </c>
      <c r="J885">
        <v>225</v>
      </c>
      <c r="K885">
        <v>221</v>
      </c>
      <c r="L885">
        <v>223</v>
      </c>
      <c r="M885">
        <v>98.2</v>
      </c>
      <c r="N885">
        <v>99.1</v>
      </c>
      <c r="O885">
        <v>446</v>
      </c>
    </row>
    <row r="886" spans="1:15">
      <c r="A886">
        <v>804</v>
      </c>
      <c r="B886" t="s">
        <v>2327</v>
      </c>
      <c r="C886" t="s">
        <v>8976</v>
      </c>
      <c r="D886" t="s">
        <v>8977</v>
      </c>
      <c r="E886" t="s">
        <v>8978</v>
      </c>
      <c r="F886" t="s">
        <v>8979</v>
      </c>
      <c r="G886" t="s">
        <v>5904</v>
      </c>
      <c r="H886">
        <v>618</v>
      </c>
      <c r="I886">
        <v>617</v>
      </c>
      <c r="J886">
        <v>619</v>
      </c>
      <c r="K886">
        <v>560</v>
      </c>
      <c r="L886">
        <v>584</v>
      </c>
      <c r="M886">
        <v>90.6</v>
      </c>
      <c r="N886">
        <v>94.5</v>
      </c>
      <c r="O886">
        <v>1124.8</v>
      </c>
    </row>
    <row r="887" spans="1:15">
      <c r="A887">
        <v>803</v>
      </c>
      <c r="B887" t="s">
        <v>2329</v>
      </c>
      <c r="C887" t="s">
        <v>2330</v>
      </c>
      <c r="D887" t="s">
        <v>8980</v>
      </c>
      <c r="E887" t="s">
        <v>8981</v>
      </c>
      <c r="F887" t="s">
        <v>8982</v>
      </c>
      <c r="G887" t="s">
        <v>5904</v>
      </c>
      <c r="H887">
        <v>1875</v>
      </c>
      <c r="I887">
        <v>1722</v>
      </c>
      <c r="J887">
        <v>1665</v>
      </c>
      <c r="K887">
        <v>1370</v>
      </c>
      <c r="L887">
        <v>1503</v>
      </c>
      <c r="M887">
        <v>73.099999999999994</v>
      </c>
      <c r="N887">
        <v>80.2</v>
      </c>
      <c r="O887">
        <v>2914.4</v>
      </c>
    </row>
    <row r="888" spans="1:15">
      <c r="A888">
        <v>802</v>
      </c>
      <c r="B888" t="s">
        <v>8983</v>
      </c>
      <c r="C888" t="s">
        <v>2333</v>
      </c>
      <c r="D888" t="s">
        <v>8984</v>
      </c>
      <c r="E888" t="s">
        <v>8985</v>
      </c>
      <c r="F888" t="s">
        <v>8986</v>
      </c>
      <c r="G888" t="s">
        <v>5904</v>
      </c>
      <c r="H888">
        <v>986</v>
      </c>
      <c r="I888">
        <v>986</v>
      </c>
      <c r="J888">
        <v>986</v>
      </c>
      <c r="K888">
        <v>973</v>
      </c>
      <c r="L888">
        <v>980</v>
      </c>
      <c r="M888">
        <v>98.7</v>
      </c>
      <c r="N888">
        <v>99.4</v>
      </c>
      <c r="O888">
        <v>2033.5</v>
      </c>
    </row>
    <row r="889" spans="1:15">
      <c r="A889">
        <v>801</v>
      </c>
      <c r="B889" t="s">
        <v>2334</v>
      </c>
      <c r="C889" t="s">
        <v>2335</v>
      </c>
      <c r="D889" t="s">
        <v>8987</v>
      </c>
      <c r="E889" t="s">
        <v>8988</v>
      </c>
      <c r="F889" t="s">
        <v>8989</v>
      </c>
      <c r="G889" t="s">
        <v>5904</v>
      </c>
      <c r="H889">
        <v>827</v>
      </c>
      <c r="I889">
        <v>827</v>
      </c>
      <c r="J889">
        <v>827</v>
      </c>
      <c r="K889">
        <v>740</v>
      </c>
      <c r="L889">
        <v>778</v>
      </c>
      <c r="M889">
        <v>89.5</v>
      </c>
      <c r="N889">
        <v>94.1</v>
      </c>
      <c r="O889">
        <v>1558.9</v>
      </c>
    </row>
    <row r="890" spans="1:15">
      <c r="A890">
        <v>800</v>
      </c>
      <c r="B890" t="s">
        <v>8990</v>
      </c>
      <c r="C890" t="s">
        <v>2338</v>
      </c>
      <c r="D890" t="s">
        <v>8991</v>
      </c>
      <c r="E890" t="s">
        <v>8992</v>
      </c>
      <c r="F890" t="s">
        <v>8993</v>
      </c>
      <c r="G890" t="s">
        <v>5904</v>
      </c>
      <c r="H890">
        <v>1244</v>
      </c>
      <c r="I890">
        <v>1204</v>
      </c>
      <c r="J890">
        <v>1218</v>
      </c>
      <c r="K890">
        <v>911</v>
      </c>
      <c r="L890">
        <v>997</v>
      </c>
      <c r="M890">
        <v>73.2</v>
      </c>
      <c r="N890">
        <v>80.099999999999994</v>
      </c>
      <c r="O890">
        <v>1723.4</v>
      </c>
    </row>
    <row r="891" spans="1:15">
      <c r="A891">
        <v>2049</v>
      </c>
      <c r="B891" t="s">
        <v>8994</v>
      </c>
      <c r="C891" t="s">
        <v>2341</v>
      </c>
      <c r="D891" t="s">
        <v>8995</v>
      </c>
      <c r="E891" t="s">
        <v>8996</v>
      </c>
      <c r="F891" t="s">
        <v>8997</v>
      </c>
      <c r="G891" t="s">
        <v>5904</v>
      </c>
      <c r="H891">
        <v>163</v>
      </c>
      <c r="I891">
        <v>93</v>
      </c>
      <c r="J891">
        <v>88</v>
      </c>
      <c r="K891">
        <v>84</v>
      </c>
      <c r="L891">
        <v>86</v>
      </c>
      <c r="M891">
        <v>51.5</v>
      </c>
      <c r="N891">
        <v>52.8</v>
      </c>
      <c r="O891">
        <v>159.80000000000001</v>
      </c>
    </row>
    <row r="892" spans="1:15">
      <c r="A892">
        <v>799</v>
      </c>
      <c r="B892" t="s">
        <v>2342</v>
      </c>
      <c r="C892" t="s">
        <v>2343</v>
      </c>
      <c r="D892" t="s">
        <v>8998</v>
      </c>
      <c r="E892" t="s">
        <v>8999</v>
      </c>
      <c r="F892" t="s">
        <v>9000</v>
      </c>
      <c r="G892" t="s">
        <v>5904</v>
      </c>
      <c r="H892">
        <v>592</v>
      </c>
      <c r="I892">
        <v>592</v>
      </c>
      <c r="J892">
        <v>592</v>
      </c>
      <c r="K892">
        <v>562</v>
      </c>
      <c r="L892">
        <v>584</v>
      </c>
      <c r="M892">
        <v>94.9</v>
      </c>
      <c r="N892">
        <v>98.6</v>
      </c>
      <c r="O892">
        <v>1181.4000000000001</v>
      </c>
    </row>
    <row r="893" spans="1:15">
      <c r="A893">
        <v>798</v>
      </c>
      <c r="B893" t="s">
        <v>2344</v>
      </c>
      <c r="C893" t="s">
        <v>9001</v>
      </c>
      <c r="D893" t="s">
        <v>9002</v>
      </c>
      <c r="E893" t="s">
        <v>9003</v>
      </c>
      <c r="F893" t="s">
        <v>9004</v>
      </c>
      <c r="G893" t="s">
        <v>5904</v>
      </c>
      <c r="H893">
        <v>727</v>
      </c>
      <c r="I893">
        <v>727</v>
      </c>
      <c r="J893">
        <v>727</v>
      </c>
      <c r="K893">
        <v>705</v>
      </c>
      <c r="L893">
        <v>718</v>
      </c>
      <c r="M893">
        <v>97</v>
      </c>
      <c r="N893">
        <v>98.8</v>
      </c>
      <c r="O893">
        <v>1473</v>
      </c>
    </row>
    <row r="894" spans="1:15">
      <c r="A894">
        <v>797</v>
      </c>
      <c r="B894" t="s">
        <v>2346</v>
      </c>
      <c r="C894" t="s">
        <v>2347</v>
      </c>
      <c r="D894" t="s">
        <v>9005</v>
      </c>
      <c r="E894" t="s">
        <v>9006</v>
      </c>
      <c r="F894" t="s">
        <v>9007</v>
      </c>
      <c r="G894" t="s">
        <v>5904</v>
      </c>
      <c r="H894">
        <v>85</v>
      </c>
      <c r="I894">
        <v>85</v>
      </c>
      <c r="J894">
        <v>85</v>
      </c>
      <c r="K894">
        <v>85</v>
      </c>
      <c r="L894">
        <v>85</v>
      </c>
      <c r="M894">
        <v>100</v>
      </c>
      <c r="N894">
        <v>100</v>
      </c>
      <c r="O894">
        <v>173.7</v>
      </c>
    </row>
    <row r="895" spans="1:15">
      <c r="A895">
        <v>796</v>
      </c>
      <c r="B895" t="s">
        <v>2348</v>
      </c>
      <c r="C895" t="s">
        <v>9008</v>
      </c>
      <c r="D895" t="s">
        <v>9009</v>
      </c>
      <c r="E895" t="s">
        <v>9010</v>
      </c>
      <c r="F895" t="s">
        <v>9011</v>
      </c>
      <c r="G895" t="s">
        <v>5904</v>
      </c>
      <c r="H895">
        <v>727</v>
      </c>
      <c r="I895">
        <v>727</v>
      </c>
      <c r="J895">
        <v>727</v>
      </c>
      <c r="K895">
        <v>707</v>
      </c>
      <c r="L895">
        <v>719</v>
      </c>
      <c r="M895">
        <v>97.2</v>
      </c>
      <c r="N895">
        <v>98.9</v>
      </c>
      <c r="O895">
        <v>1472.6</v>
      </c>
    </row>
    <row r="896" spans="1:15">
      <c r="A896">
        <v>795</v>
      </c>
      <c r="B896" t="s">
        <v>2350</v>
      </c>
      <c r="C896" t="s">
        <v>2351</v>
      </c>
      <c r="D896" t="s">
        <v>9012</v>
      </c>
      <c r="E896" t="s">
        <v>9013</v>
      </c>
      <c r="F896" t="s">
        <v>9014</v>
      </c>
      <c r="G896" t="s">
        <v>5904</v>
      </c>
      <c r="H896">
        <v>333</v>
      </c>
      <c r="I896">
        <v>333</v>
      </c>
      <c r="J896">
        <v>333</v>
      </c>
      <c r="K896">
        <v>322</v>
      </c>
      <c r="L896">
        <v>329</v>
      </c>
      <c r="M896">
        <v>96.7</v>
      </c>
      <c r="N896">
        <v>98.8</v>
      </c>
      <c r="O896">
        <v>677.6</v>
      </c>
    </row>
    <row r="897" spans="1:15">
      <c r="A897">
        <v>794</v>
      </c>
      <c r="B897" t="s">
        <v>2352</v>
      </c>
      <c r="C897" t="s">
        <v>2353</v>
      </c>
      <c r="D897" t="s">
        <v>9015</v>
      </c>
      <c r="E897" t="s">
        <v>9016</v>
      </c>
      <c r="F897" t="s">
        <v>9017</v>
      </c>
      <c r="G897" t="s">
        <v>5904</v>
      </c>
      <c r="H897">
        <v>101</v>
      </c>
      <c r="I897">
        <v>101</v>
      </c>
      <c r="J897">
        <v>101</v>
      </c>
      <c r="K897">
        <v>100</v>
      </c>
      <c r="L897">
        <v>101</v>
      </c>
      <c r="M897">
        <v>99</v>
      </c>
      <c r="N897">
        <v>100</v>
      </c>
      <c r="O897">
        <v>208.4</v>
      </c>
    </row>
    <row r="898" spans="1:15">
      <c r="A898">
        <v>2048</v>
      </c>
      <c r="B898" t="s">
        <v>2354</v>
      </c>
      <c r="C898" t="s">
        <v>2356</v>
      </c>
      <c r="D898" t="s">
        <v>9018</v>
      </c>
      <c r="E898" t="s">
        <v>9019</v>
      </c>
      <c r="F898" t="s">
        <v>9020</v>
      </c>
      <c r="G898" t="s">
        <v>5904</v>
      </c>
      <c r="H898">
        <v>529</v>
      </c>
      <c r="I898">
        <v>527</v>
      </c>
      <c r="J898">
        <v>528</v>
      </c>
      <c r="K898">
        <v>440</v>
      </c>
      <c r="L898">
        <v>483</v>
      </c>
      <c r="M898">
        <v>83.2</v>
      </c>
      <c r="N898">
        <v>91.3</v>
      </c>
      <c r="O898">
        <v>911</v>
      </c>
    </row>
    <row r="899" spans="1:15">
      <c r="A899">
        <v>793</v>
      </c>
      <c r="B899" t="s">
        <v>2357</v>
      </c>
      <c r="C899" t="s">
        <v>2358</v>
      </c>
      <c r="D899" t="s">
        <v>9021</v>
      </c>
      <c r="E899" t="s">
        <v>9022</v>
      </c>
      <c r="F899" t="s">
        <v>9023</v>
      </c>
      <c r="G899" t="s">
        <v>5904</v>
      </c>
      <c r="H899">
        <v>663</v>
      </c>
      <c r="I899">
        <v>663</v>
      </c>
      <c r="J899">
        <v>663</v>
      </c>
      <c r="K899">
        <v>643</v>
      </c>
      <c r="L899">
        <v>649</v>
      </c>
      <c r="M899">
        <v>97</v>
      </c>
      <c r="N899">
        <v>97.9</v>
      </c>
      <c r="O899">
        <v>1333.5</v>
      </c>
    </row>
    <row r="900" spans="1:15">
      <c r="A900">
        <v>792</v>
      </c>
      <c r="B900" t="s">
        <v>2359</v>
      </c>
      <c r="C900" t="s">
        <v>2360</v>
      </c>
      <c r="D900" t="s">
        <v>9024</v>
      </c>
      <c r="E900" t="s">
        <v>9025</v>
      </c>
      <c r="F900" t="s">
        <v>9026</v>
      </c>
      <c r="G900" t="s">
        <v>5904</v>
      </c>
      <c r="H900">
        <v>319</v>
      </c>
      <c r="I900">
        <v>319</v>
      </c>
      <c r="J900">
        <v>319</v>
      </c>
      <c r="K900">
        <v>265</v>
      </c>
      <c r="L900">
        <v>291</v>
      </c>
      <c r="M900">
        <v>83.1</v>
      </c>
      <c r="N900">
        <v>91.2</v>
      </c>
      <c r="O900">
        <v>560.79999999999995</v>
      </c>
    </row>
    <row r="901" spans="1:15">
      <c r="A901">
        <v>791</v>
      </c>
      <c r="B901" t="s">
        <v>2361</v>
      </c>
      <c r="C901" t="s">
        <v>2362</v>
      </c>
      <c r="D901" t="s">
        <v>9027</v>
      </c>
      <c r="E901" t="s">
        <v>9028</v>
      </c>
      <c r="F901" t="s">
        <v>9029</v>
      </c>
      <c r="G901" t="s">
        <v>5904</v>
      </c>
      <c r="H901">
        <v>423</v>
      </c>
      <c r="I901">
        <v>423</v>
      </c>
      <c r="J901">
        <v>423</v>
      </c>
      <c r="K901">
        <v>339</v>
      </c>
      <c r="L901">
        <v>373</v>
      </c>
      <c r="M901">
        <v>80.099999999999994</v>
      </c>
      <c r="N901">
        <v>88.2</v>
      </c>
      <c r="O901">
        <v>718.8</v>
      </c>
    </row>
    <row r="902" spans="1:15">
      <c r="A902">
        <v>790</v>
      </c>
      <c r="B902" t="s">
        <v>2363</v>
      </c>
      <c r="C902" t="s">
        <v>9030</v>
      </c>
      <c r="D902" t="s">
        <v>9031</v>
      </c>
      <c r="E902" t="s">
        <v>9032</v>
      </c>
      <c r="F902" t="s">
        <v>9033</v>
      </c>
      <c r="G902" t="s">
        <v>5904</v>
      </c>
      <c r="H902">
        <v>215</v>
      </c>
      <c r="I902">
        <v>215</v>
      </c>
      <c r="J902">
        <v>215</v>
      </c>
      <c r="K902">
        <v>215</v>
      </c>
      <c r="L902">
        <v>215</v>
      </c>
      <c r="M902">
        <v>100</v>
      </c>
      <c r="N902">
        <v>100</v>
      </c>
      <c r="O902">
        <v>420.6</v>
      </c>
    </row>
    <row r="903" spans="1:15">
      <c r="A903">
        <v>789</v>
      </c>
      <c r="B903" t="s">
        <v>2366</v>
      </c>
      <c r="C903" t="s">
        <v>2367</v>
      </c>
      <c r="D903" t="s">
        <v>9034</v>
      </c>
      <c r="E903" t="s">
        <v>9035</v>
      </c>
      <c r="F903" t="s">
        <v>9036</v>
      </c>
      <c r="G903" t="s">
        <v>5904</v>
      </c>
      <c r="H903">
        <v>183</v>
      </c>
      <c r="I903">
        <v>211</v>
      </c>
      <c r="J903">
        <v>194</v>
      </c>
      <c r="K903">
        <v>128</v>
      </c>
      <c r="L903">
        <v>146</v>
      </c>
      <c r="M903">
        <v>69.900000000000006</v>
      </c>
      <c r="N903">
        <v>79.8</v>
      </c>
      <c r="O903">
        <v>231.5</v>
      </c>
    </row>
    <row r="904" spans="1:15">
      <c r="A904">
        <v>788</v>
      </c>
      <c r="B904" t="s">
        <v>9037</v>
      </c>
      <c r="C904" t="s">
        <v>2370</v>
      </c>
      <c r="D904" t="s">
        <v>9038</v>
      </c>
      <c r="E904" t="s">
        <v>9039</v>
      </c>
      <c r="F904" t="s">
        <v>9040</v>
      </c>
      <c r="G904" t="s">
        <v>5904</v>
      </c>
      <c r="H904">
        <v>446</v>
      </c>
      <c r="I904">
        <v>466</v>
      </c>
      <c r="J904">
        <v>426</v>
      </c>
      <c r="K904">
        <v>313</v>
      </c>
      <c r="L904">
        <v>362</v>
      </c>
      <c r="M904">
        <v>70.2</v>
      </c>
      <c r="N904">
        <v>81.2</v>
      </c>
      <c r="O904">
        <v>679.5</v>
      </c>
    </row>
    <row r="905" spans="1:15">
      <c r="A905">
        <v>787</v>
      </c>
      <c r="B905" t="s">
        <v>2371</v>
      </c>
      <c r="C905" t="s">
        <v>9041</v>
      </c>
      <c r="D905" t="s">
        <v>9042</v>
      </c>
      <c r="E905" t="s">
        <v>9043</v>
      </c>
      <c r="F905" t="s">
        <v>9044</v>
      </c>
      <c r="G905" t="s">
        <v>5904</v>
      </c>
      <c r="H905">
        <v>44</v>
      </c>
      <c r="I905">
        <v>44</v>
      </c>
      <c r="J905">
        <v>44</v>
      </c>
      <c r="K905">
        <v>44</v>
      </c>
      <c r="L905">
        <v>44</v>
      </c>
      <c r="M905">
        <v>100</v>
      </c>
      <c r="N905">
        <v>100</v>
      </c>
      <c r="O905">
        <v>85.5</v>
      </c>
    </row>
    <row r="906" spans="1:15">
      <c r="A906">
        <v>786</v>
      </c>
      <c r="B906" t="s">
        <v>9045</v>
      </c>
      <c r="C906" t="s">
        <v>9046</v>
      </c>
      <c r="D906" t="s">
        <v>9047</v>
      </c>
      <c r="E906" t="s">
        <v>9048</v>
      </c>
      <c r="F906" t="s">
        <v>9049</v>
      </c>
      <c r="G906" t="s">
        <v>5904</v>
      </c>
      <c r="H906">
        <v>282</v>
      </c>
      <c r="I906">
        <v>282</v>
      </c>
      <c r="J906">
        <v>282</v>
      </c>
      <c r="K906">
        <v>277</v>
      </c>
      <c r="L906">
        <v>281</v>
      </c>
      <c r="M906">
        <v>98.2</v>
      </c>
      <c r="N906">
        <v>99.6</v>
      </c>
      <c r="O906">
        <v>586.6</v>
      </c>
    </row>
    <row r="907" spans="1:15">
      <c r="A907">
        <v>785</v>
      </c>
      <c r="B907" t="s">
        <v>9050</v>
      </c>
      <c r="C907" t="s">
        <v>2378</v>
      </c>
      <c r="D907" t="s">
        <v>9051</v>
      </c>
      <c r="E907" t="s">
        <v>9052</v>
      </c>
      <c r="F907" t="s">
        <v>9053</v>
      </c>
      <c r="G907" t="s">
        <v>5904</v>
      </c>
      <c r="H907">
        <v>211</v>
      </c>
      <c r="I907">
        <v>185</v>
      </c>
      <c r="J907">
        <v>211</v>
      </c>
      <c r="K907">
        <v>179</v>
      </c>
      <c r="L907">
        <v>184</v>
      </c>
      <c r="M907">
        <v>84.8</v>
      </c>
      <c r="N907">
        <v>87.2</v>
      </c>
      <c r="O907">
        <v>363.6</v>
      </c>
    </row>
    <row r="908" spans="1:15">
      <c r="A908">
        <v>784</v>
      </c>
      <c r="B908" t="s">
        <v>2379</v>
      </c>
      <c r="C908" t="s">
        <v>2380</v>
      </c>
      <c r="D908" t="s">
        <v>9054</v>
      </c>
      <c r="E908" t="s">
        <v>9055</v>
      </c>
      <c r="F908" t="s">
        <v>9056</v>
      </c>
      <c r="G908" t="s">
        <v>5904</v>
      </c>
      <c r="H908">
        <v>347</v>
      </c>
      <c r="I908">
        <v>347</v>
      </c>
      <c r="J908">
        <v>347</v>
      </c>
      <c r="K908">
        <v>299</v>
      </c>
      <c r="L908">
        <v>325</v>
      </c>
      <c r="M908">
        <v>86.2</v>
      </c>
      <c r="N908">
        <v>93.7</v>
      </c>
      <c r="O908">
        <v>637.9</v>
      </c>
    </row>
    <row r="909" spans="1:15">
      <c r="A909">
        <v>783</v>
      </c>
      <c r="B909" t="s">
        <v>2381</v>
      </c>
      <c r="C909" t="s">
        <v>9057</v>
      </c>
      <c r="D909" t="s">
        <v>9058</v>
      </c>
      <c r="E909" t="s">
        <v>9059</v>
      </c>
      <c r="F909" t="s">
        <v>9060</v>
      </c>
      <c r="G909" t="s">
        <v>5904</v>
      </c>
      <c r="H909">
        <v>414</v>
      </c>
      <c r="I909">
        <v>414</v>
      </c>
      <c r="J909">
        <v>414</v>
      </c>
      <c r="K909">
        <v>396</v>
      </c>
      <c r="L909">
        <v>407</v>
      </c>
      <c r="M909">
        <v>95.7</v>
      </c>
      <c r="N909">
        <v>98.3</v>
      </c>
      <c r="O909">
        <v>836.6</v>
      </c>
    </row>
    <row r="910" spans="1:15">
      <c r="A910">
        <v>782</v>
      </c>
      <c r="B910" t="s">
        <v>2383</v>
      </c>
      <c r="C910" t="s">
        <v>2384</v>
      </c>
      <c r="D910" t="s">
        <v>9061</v>
      </c>
      <c r="E910" t="s">
        <v>9062</v>
      </c>
      <c r="F910" t="s">
        <v>9063</v>
      </c>
      <c r="G910" t="s">
        <v>5904</v>
      </c>
      <c r="H910">
        <v>714</v>
      </c>
      <c r="I910">
        <v>710</v>
      </c>
      <c r="J910">
        <v>657</v>
      </c>
      <c r="K910">
        <v>573</v>
      </c>
      <c r="L910">
        <v>619</v>
      </c>
      <c r="M910">
        <v>80.3</v>
      </c>
      <c r="N910">
        <v>86.7</v>
      </c>
      <c r="O910">
        <v>874.4</v>
      </c>
    </row>
    <row r="911" spans="1:15">
      <c r="A911">
        <v>781</v>
      </c>
      <c r="B911" t="s">
        <v>9064</v>
      </c>
      <c r="C911" t="s">
        <v>2387</v>
      </c>
      <c r="D911" t="s">
        <v>9065</v>
      </c>
      <c r="E911" t="s">
        <v>9066</v>
      </c>
      <c r="F911" t="s">
        <v>9067</v>
      </c>
      <c r="G911" t="s">
        <v>5904</v>
      </c>
      <c r="H911">
        <v>6964</v>
      </c>
      <c r="I911">
        <v>6907</v>
      </c>
      <c r="J911">
        <v>7002</v>
      </c>
      <c r="K911">
        <v>4921</v>
      </c>
      <c r="L911">
        <v>5671</v>
      </c>
      <c r="M911">
        <v>70.7</v>
      </c>
      <c r="N911">
        <v>81.400000000000006</v>
      </c>
      <c r="O911">
        <v>9435.1</v>
      </c>
    </row>
    <row r="912" spans="1:15">
      <c r="A912">
        <v>780</v>
      </c>
      <c r="B912" t="s">
        <v>2388</v>
      </c>
      <c r="C912" t="s">
        <v>2389</v>
      </c>
      <c r="D912" t="s">
        <v>9068</v>
      </c>
      <c r="E912" t="s">
        <v>9069</v>
      </c>
      <c r="F912" t="s">
        <v>9070</v>
      </c>
      <c r="G912" t="s">
        <v>5904</v>
      </c>
      <c r="H912">
        <v>1466</v>
      </c>
      <c r="I912">
        <v>1466</v>
      </c>
      <c r="J912">
        <v>1466</v>
      </c>
      <c r="K912">
        <v>1359</v>
      </c>
      <c r="L912">
        <v>1405</v>
      </c>
      <c r="M912">
        <v>92.7</v>
      </c>
      <c r="N912">
        <v>95.8</v>
      </c>
      <c r="O912">
        <v>1594.7</v>
      </c>
    </row>
    <row r="913" spans="1:15">
      <c r="A913">
        <v>779</v>
      </c>
      <c r="B913" t="s">
        <v>9071</v>
      </c>
      <c r="C913" t="s">
        <v>9072</v>
      </c>
      <c r="D913" t="s">
        <v>9073</v>
      </c>
      <c r="E913" t="s">
        <v>9074</v>
      </c>
      <c r="F913" t="s">
        <v>9075</v>
      </c>
      <c r="G913" t="s">
        <v>5904</v>
      </c>
      <c r="H913">
        <v>632</v>
      </c>
      <c r="I913">
        <v>638</v>
      </c>
      <c r="J913">
        <v>638</v>
      </c>
      <c r="K913">
        <v>628</v>
      </c>
      <c r="L913">
        <v>631</v>
      </c>
      <c r="M913">
        <v>99.4</v>
      </c>
      <c r="N913">
        <v>99.8</v>
      </c>
      <c r="O913">
        <v>1304.7</v>
      </c>
    </row>
    <row r="914" spans="1:15">
      <c r="A914">
        <v>778</v>
      </c>
      <c r="B914" t="s">
        <v>2393</v>
      </c>
      <c r="C914" t="s">
        <v>2394</v>
      </c>
      <c r="D914" t="s">
        <v>9076</v>
      </c>
      <c r="E914" t="s">
        <v>9077</v>
      </c>
      <c r="F914" t="s">
        <v>9078</v>
      </c>
      <c r="G914" t="s">
        <v>5904</v>
      </c>
      <c r="H914">
        <v>1323</v>
      </c>
      <c r="I914">
        <v>1325</v>
      </c>
      <c r="J914">
        <v>1325</v>
      </c>
      <c r="K914">
        <v>1182</v>
      </c>
      <c r="L914">
        <v>1245</v>
      </c>
      <c r="M914">
        <v>89.3</v>
      </c>
      <c r="N914">
        <v>94.1</v>
      </c>
      <c r="O914">
        <v>2420.1999999999998</v>
      </c>
    </row>
    <row r="915" spans="1:15">
      <c r="A915">
        <v>777</v>
      </c>
      <c r="B915" t="s">
        <v>2395</v>
      </c>
      <c r="C915" t="s">
        <v>2396</v>
      </c>
      <c r="D915" t="s">
        <v>9079</v>
      </c>
      <c r="E915" t="s">
        <v>9080</v>
      </c>
      <c r="F915" t="s">
        <v>9081</v>
      </c>
      <c r="G915" t="s">
        <v>5904</v>
      </c>
      <c r="H915">
        <v>453</v>
      </c>
      <c r="I915">
        <v>452</v>
      </c>
      <c r="J915">
        <v>453</v>
      </c>
      <c r="K915">
        <v>412</v>
      </c>
      <c r="L915">
        <v>426</v>
      </c>
      <c r="M915">
        <v>90.9</v>
      </c>
      <c r="N915">
        <v>94</v>
      </c>
      <c r="O915">
        <v>766.9</v>
      </c>
    </row>
    <row r="916" spans="1:15">
      <c r="A916">
        <v>776</v>
      </c>
      <c r="B916" t="s">
        <v>9082</v>
      </c>
      <c r="C916" t="s">
        <v>2399</v>
      </c>
      <c r="D916" t="s">
        <v>9083</v>
      </c>
      <c r="E916" t="s">
        <v>9084</v>
      </c>
      <c r="F916" t="s">
        <v>9085</v>
      </c>
      <c r="G916" t="s">
        <v>5904</v>
      </c>
      <c r="H916">
        <v>1499</v>
      </c>
      <c r="I916">
        <v>1499</v>
      </c>
      <c r="J916">
        <v>1499</v>
      </c>
      <c r="K916">
        <v>1455</v>
      </c>
      <c r="L916">
        <v>1473</v>
      </c>
      <c r="M916">
        <v>97.1</v>
      </c>
      <c r="N916">
        <v>98.3</v>
      </c>
      <c r="O916">
        <v>2658.2</v>
      </c>
    </row>
    <row r="917" spans="1:15">
      <c r="A917">
        <v>775</v>
      </c>
      <c r="B917" t="s">
        <v>2400</v>
      </c>
      <c r="C917" t="s">
        <v>2401</v>
      </c>
      <c r="D917" t="s">
        <v>7654</v>
      </c>
      <c r="E917" t="s">
        <v>7655</v>
      </c>
      <c r="F917" t="s">
        <v>9086</v>
      </c>
      <c r="G917" t="s">
        <v>5904</v>
      </c>
      <c r="H917">
        <v>484</v>
      </c>
      <c r="I917">
        <v>475</v>
      </c>
      <c r="J917">
        <v>474</v>
      </c>
      <c r="K917">
        <v>418</v>
      </c>
      <c r="L917">
        <v>436</v>
      </c>
      <c r="M917">
        <v>86.4</v>
      </c>
      <c r="N917">
        <v>90.1</v>
      </c>
      <c r="O917">
        <v>862.1</v>
      </c>
    </row>
    <row r="918" spans="1:15">
      <c r="A918">
        <v>774</v>
      </c>
      <c r="B918" t="s">
        <v>9087</v>
      </c>
      <c r="C918" t="s">
        <v>2404</v>
      </c>
      <c r="D918" t="s">
        <v>9088</v>
      </c>
      <c r="E918" t="s">
        <v>9089</v>
      </c>
      <c r="F918" t="s">
        <v>9090</v>
      </c>
      <c r="G918" t="s">
        <v>5904</v>
      </c>
      <c r="H918">
        <v>99</v>
      </c>
      <c r="I918">
        <v>106</v>
      </c>
      <c r="J918">
        <v>102</v>
      </c>
      <c r="K918">
        <v>84</v>
      </c>
      <c r="L918">
        <v>91</v>
      </c>
      <c r="M918">
        <v>84.8</v>
      </c>
      <c r="N918">
        <v>91.9</v>
      </c>
      <c r="O918">
        <v>162.9</v>
      </c>
    </row>
    <row r="919" spans="1:15">
      <c r="A919">
        <v>773</v>
      </c>
      <c r="B919" t="s">
        <v>2405</v>
      </c>
      <c r="C919" t="s">
        <v>2406</v>
      </c>
      <c r="D919" t="s">
        <v>9091</v>
      </c>
      <c r="E919" t="s">
        <v>9092</v>
      </c>
      <c r="F919" t="s">
        <v>9093</v>
      </c>
      <c r="G919" t="s">
        <v>5904</v>
      </c>
      <c r="H919">
        <v>34239</v>
      </c>
      <c r="I919">
        <v>34350</v>
      </c>
      <c r="J919">
        <v>23335</v>
      </c>
      <c r="K919">
        <v>21851</v>
      </c>
      <c r="L919">
        <v>22572</v>
      </c>
      <c r="M919">
        <v>63.8</v>
      </c>
      <c r="N919">
        <v>65.900000000000006</v>
      </c>
      <c r="O919">
        <v>44359.6</v>
      </c>
    </row>
    <row r="920" spans="1:15">
      <c r="A920">
        <v>772</v>
      </c>
      <c r="B920" t="s">
        <v>2407</v>
      </c>
      <c r="C920" t="s">
        <v>2408</v>
      </c>
      <c r="D920" t="s">
        <v>9094</v>
      </c>
      <c r="E920" t="s">
        <v>9095</v>
      </c>
      <c r="F920" t="s">
        <v>9096</v>
      </c>
      <c r="G920" t="s">
        <v>5904</v>
      </c>
      <c r="H920">
        <v>1542</v>
      </c>
      <c r="I920">
        <v>1555</v>
      </c>
      <c r="J920">
        <v>1557</v>
      </c>
      <c r="K920">
        <v>1463</v>
      </c>
      <c r="L920">
        <v>1501</v>
      </c>
      <c r="M920">
        <v>94.9</v>
      </c>
      <c r="N920">
        <v>97.3</v>
      </c>
      <c r="O920">
        <v>2949.5</v>
      </c>
    </row>
    <row r="921" spans="1:15">
      <c r="A921">
        <v>771</v>
      </c>
      <c r="B921" t="s">
        <v>2409</v>
      </c>
      <c r="C921" t="s">
        <v>2410</v>
      </c>
      <c r="D921" t="s">
        <v>9097</v>
      </c>
      <c r="E921" t="s">
        <v>9098</v>
      </c>
      <c r="F921" t="s">
        <v>9099</v>
      </c>
      <c r="G921" t="s">
        <v>5904</v>
      </c>
      <c r="H921">
        <v>1592</v>
      </c>
      <c r="I921">
        <v>1712</v>
      </c>
      <c r="J921">
        <v>1559</v>
      </c>
      <c r="K921">
        <v>1244</v>
      </c>
      <c r="L921">
        <v>1329</v>
      </c>
      <c r="M921">
        <v>78.099999999999994</v>
      </c>
      <c r="N921">
        <v>83.5</v>
      </c>
      <c r="O921">
        <v>1736.8</v>
      </c>
    </row>
    <row r="922" spans="1:15">
      <c r="A922">
        <v>770</v>
      </c>
      <c r="B922" t="s">
        <v>2411</v>
      </c>
      <c r="C922" t="s">
        <v>2314</v>
      </c>
      <c r="D922" t="s">
        <v>7232</v>
      </c>
      <c r="E922" t="s">
        <v>7233</v>
      </c>
      <c r="F922" t="s">
        <v>9100</v>
      </c>
      <c r="G922" t="s">
        <v>5904</v>
      </c>
      <c r="H922">
        <v>274</v>
      </c>
      <c r="I922">
        <v>320</v>
      </c>
      <c r="J922">
        <v>275</v>
      </c>
      <c r="K922">
        <v>235</v>
      </c>
      <c r="L922">
        <v>243</v>
      </c>
      <c r="M922">
        <v>85.8</v>
      </c>
      <c r="N922">
        <v>88.7</v>
      </c>
      <c r="O922">
        <v>377.1</v>
      </c>
    </row>
    <row r="923" spans="1:15">
      <c r="A923">
        <v>769</v>
      </c>
      <c r="B923" t="s">
        <v>9101</v>
      </c>
      <c r="C923" t="s">
        <v>2415</v>
      </c>
      <c r="D923" t="s">
        <v>9102</v>
      </c>
      <c r="E923" t="s">
        <v>9103</v>
      </c>
      <c r="F923" t="s">
        <v>9104</v>
      </c>
      <c r="G923" t="s">
        <v>5904</v>
      </c>
      <c r="H923">
        <v>1096</v>
      </c>
      <c r="I923">
        <v>1095</v>
      </c>
      <c r="J923">
        <v>1096</v>
      </c>
      <c r="K923">
        <v>1063</v>
      </c>
      <c r="L923">
        <v>1079</v>
      </c>
      <c r="M923">
        <v>97</v>
      </c>
      <c r="N923">
        <v>98.4</v>
      </c>
      <c r="O923">
        <v>2209.9</v>
      </c>
    </row>
    <row r="924" spans="1:15">
      <c r="A924">
        <v>768</v>
      </c>
      <c r="B924" t="s">
        <v>2416</v>
      </c>
      <c r="C924" t="s">
        <v>2417</v>
      </c>
      <c r="D924" t="s">
        <v>9105</v>
      </c>
      <c r="E924" t="s">
        <v>9106</v>
      </c>
      <c r="F924" t="s">
        <v>9107</v>
      </c>
      <c r="G924" t="s">
        <v>5904</v>
      </c>
      <c r="H924">
        <v>265</v>
      </c>
      <c r="I924">
        <v>267</v>
      </c>
      <c r="J924">
        <v>267</v>
      </c>
      <c r="K924">
        <v>253</v>
      </c>
      <c r="L924">
        <v>259</v>
      </c>
      <c r="M924">
        <v>95.5</v>
      </c>
      <c r="N924">
        <v>97.7</v>
      </c>
      <c r="O924">
        <v>483</v>
      </c>
    </row>
    <row r="925" spans="1:15">
      <c r="A925">
        <v>767</v>
      </c>
      <c r="B925" t="s">
        <v>9108</v>
      </c>
      <c r="C925" t="s">
        <v>2420</v>
      </c>
      <c r="D925" t="s">
        <v>9109</v>
      </c>
      <c r="E925" t="s">
        <v>9110</v>
      </c>
      <c r="F925" t="s">
        <v>9111</v>
      </c>
      <c r="G925" t="s">
        <v>5904</v>
      </c>
      <c r="H925">
        <v>574</v>
      </c>
      <c r="I925">
        <v>574</v>
      </c>
      <c r="J925">
        <v>574</v>
      </c>
      <c r="K925">
        <v>562</v>
      </c>
      <c r="L925">
        <v>566</v>
      </c>
      <c r="M925">
        <v>97.9</v>
      </c>
      <c r="N925">
        <v>98.6</v>
      </c>
      <c r="O925">
        <v>1156.3</v>
      </c>
    </row>
    <row r="926" spans="1:15">
      <c r="A926">
        <v>766</v>
      </c>
      <c r="B926" t="s">
        <v>2421</v>
      </c>
      <c r="C926" t="s">
        <v>2422</v>
      </c>
      <c r="D926" t="s">
        <v>9112</v>
      </c>
      <c r="E926" t="s">
        <v>9113</v>
      </c>
      <c r="F926" t="s">
        <v>9114</v>
      </c>
      <c r="G926" t="s">
        <v>5904</v>
      </c>
      <c r="H926">
        <v>507</v>
      </c>
      <c r="I926">
        <v>508</v>
      </c>
      <c r="J926">
        <v>508</v>
      </c>
      <c r="K926">
        <v>469</v>
      </c>
      <c r="L926">
        <v>480</v>
      </c>
      <c r="M926">
        <v>92.5</v>
      </c>
      <c r="N926">
        <v>94.7</v>
      </c>
      <c r="O926">
        <v>873.6</v>
      </c>
    </row>
    <row r="927" spans="1:15">
      <c r="A927">
        <v>765</v>
      </c>
      <c r="B927" t="s">
        <v>9115</v>
      </c>
      <c r="C927" t="s">
        <v>2426</v>
      </c>
      <c r="D927" t="s">
        <v>9116</v>
      </c>
      <c r="E927" t="s">
        <v>9117</v>
      </c>
      <c r="F927" t="s">
        <v>9118</v>
      </c>
      <c r="G927" t="s">
        <v>5904</v>
      </c>
      <c r="H927">
        <v>836</v>
      </c>
      <c r="I927">
        <v>836</v>
      </c>
      <c r="J927">
        <v>836</v>
      </c>
      <c r="K927">
        <v>800</v>
      </c>
      <c r="L927">
        <v>823</v>
      </c>
      <c r="M927">
        <v>95.7</v>
      </c>
      <c r="N927">
        <v>98.4</v>
      </c>
      <c r="O927">
        <v>1643.2</v>
      </c>
    </row>
    <row r="928" spans="1:15">
      <c r="A928">
        <v>764</v>
      </c>
      <c r="B928" t="s">
        <v>9119</v>
      </c>
      <c r="C928" t="s">
        <v>2429</v>
      </c>
      <c r="D928" t="s">
        <v>9116</v>
      </c>
      <c r="E928" t="s">
        <v>9117</v>
      </c>
      <c r="F928" t="s">
        <v>9120</v>
      </c>
      <c r="G928" t="s">
        <v>5904</v>
      </c>
      <c r="H928">
        <v>808</v>
      </c>
      <c r="I928">
        <v>836</v>
      </c>
      <c r="J928">
        <v>836</v>
      </c>
      <c r="K928">
        <v>773</v>
      </c>
      <c r="L928">
        <v>796</v>
      </c>
      <c r="M928">
        <v>95.7</v>
      </c>
      <c r="N928">
        <v>98.5</v>
      </c>
      <c r="O928">
        <v>1574.3</v>
      </c>
    </row>
    <row r="929" spans="1:15">
      <c r="A929">
        <v>763</v>
      </c>
      <c r="B929" t="s">
        <v>2430</v>
      </c>
      <c r="C929" t="s">
        <v>2431</v>
      </c>
      <c r="D929" t="s">
        <v>9121</v>
      </c>
      <c r="E929" t="s">
        <v>9122</v>
      </c>
      <c r="F929" t="s">
        <v>9123</v>
      </c>
      <c r="G929" t="s">
        <v>5904</v>
      </c>
      <c r="H929">
        <v>674</v>
      </c>
      <c r="I929">
        <v>678</v>
      </c>
      <c r="J929">
        <v>637</v>
      </c>
      <c r="K929">
        <v>538</v>
      </c>
      <c r="L929">
        <v>582</v>
      </c>
      <c r="M929">
        <v>79.8</v>
      </c>
      <c r="N929">
        <v>86.4</v>
      </c>
      <c r="O929">
        <v>1140.2</v>
      </c>
    </row>
    <row r="930" spans="1:15">
      <c r="A930">
        <v>762</v>
      </c>
      <c r="B930" t="s">
        <v>2432</v>
      </c>
      <c r="C930" t="s">
        <v>2433</v>
      </c>
      <c r="D930" t="s">
        <v>9124</v>
      </c>
      <c r="E930" t="s">
        <v>9125</v>
      </c>
      <c r="F930" t="s">
        <v>9126</v>
      </c>
      <c r="G930" t="s">
        <v>5904</v>
      </c>
      <c r="H930">
        <v>765</v>
      </c>
      <c r="I930">
        <v>766</v>
      </c>
      <c r="J930">
        <v>766</v>
      </c>
      <c r="K930">
        <v>680</v>
      </c>
      <c r="L930">
        <v>721</v>
      </c>
      <c r="M930">
        <v>88.9</v>
      </c>
      <c r="N930">
        <v>94.2</v>
      </c>
      <c r="O930">
        <v>1423.7</v>
      </c>
    </row>
    <row r="931" spans="1:15">
      <c r="A931">
        <v>2047</v>
      </c>
      <c r="B931" t="s">
        <v>2434</v>
      </c>
      <c r="C931" t="s">
        <v>2435</v>
      </c>
      <c r="D931" t="s">
        <v>9127</v>
      </c>
      <c r="E931" t="s">
        <v>9128</v>
      </c>
      <c r="F931" t="s">
        <v>9129</v>
      </c>
      <c r="G931" t="s">
        <v>5904</v>
      </c>
      <c r="H931">
        <v>748</v>
      </c>
      <c r="I931">
        <v>780</v>
      </c>
      <c r="J931">
        <v>779</v>
      </c>
      <c r="K931">
        <v>635</v>
      </c>
      <c r="L931">
        <v>684</v>
      </c>
      <c r="M931">
        <v>84.9</v>
      </c>
      <c r="N931">
        <v>91.4</v>
      </c>
      <c r="O931">
        <v>1328.2</v>
      </c>
    </row>
    <row r="932" spans="1:15">
      <c r="A932">
        <v>761</v>
      </c>
      <c r="B932" t="s">
        <v>2436</v>
      </c>
      <c r="C932" t="s">
        <v>2437</v>
      </c>
      <c r="D932" t="s">
        <v>9130</v>
      </c>
      <c r="E932" t="s">
        <v>9131</v>
      </c>
      <c r="F932" t="s">
        <v>9132</v>
      </c>
      <c r="G932" t="s">
        <v>5904</v>
      </c>
      <c r="H932">
        <v>327</v>
      </c>
      <c r="I932">
        <v>325</v>
      </c>
      <c r="J932">
        <v>294</v>
      </c>
      <c r="K932">
        <v>268</v>
      </c>
      <c r="L932">
        <v>275</v>
      </c>
      <c r="M932">
        <v>82</v>
      </c>
      <c r="N932">
        <v>84.1</v>
      </c>
      <c r="O932">
        <v>518.5</v>
      </c>
    </row>
    <row r="933" spans="1:15">
      <c r="A933">
        <v>760</v>
      </c>
      <c r="B933" t="s">
        <v>9133</v>
      </c>
      <c r="C933" t="s">
        <v>2440</v>
      </c>
      <c r="D933" t="s">
        <v>9134</v>
      </c>
      <c r="E933" t="s">
        <v>9135</v>
      </c>
      <c r="F933" t="s">
        <v>9136</v>
      </c>
      <c r="G933" t="s">
        <v>5904</v>
      </c>
      <c r="H933">
        <v>180</v>
      </c>
      <c r="I933">
        <v>180</v>
      </c>
      <c r="J933">
        <v>180</v>
      </c>
      <c r="K933">
        <v>168</v>
      </c>
      <c r="L933">
        <v>175</v>
      </c>
      <c r="M933">
        <v>93.3</v>
      </c>
      <c r="N933">
        <v>97.2</v>
      </c>
      <c r="O933">
        <v>354.8</v>
      </c>
    </row>
    <row r="934" spans="1:15">
      <c r="A934">
        <v>759</v>
      </c>
      <c r="B934" t="s">
        <v>2441</v>
      </c>
      <c r="C934" t="s">
        <v>2442</v>
      </c>
      <c r="D934" t="s">
        <v>9137</v>
      </c>
      <c r="E934" t="s">
        <v>9138</v>
      </c>
      <c r="F934" t="s">
        <v>9139</v>
      </c>
      <c r="G934" t="s">
        <v>5904</v>
      </c>
      <c r="H934">
        <v>337</v>
      </c>
      <c r="I934">
        <v>365</v>
      </c>
      <c r="J934">
        <v>358</v>
      </c>
      <c r="K934">
        <v>299</v>
      </c>
      <c r="L934">
        <v>312</v>
      </c>
      <c r="M934">
        <v>88.7</v>
      </c>
      <c r="N934">
        <v>92.6</v>
      </c>
      <c r="O934">
        <v>575.5</v>
      </c>
    </row>
    <row r="935" spans="1:15">
      <c r="A935">
        <v>758</v>
      </c>
      <c r="B935" t="s">
        <v>9140</v>
      </c>
      <c r="C935" t="s">
        <v>9141</v>
      </c>
      <c r="D935" t="s">
        <v>9142</v>
      </c>
      <c r="E935" t="s">
        <v>9143</v>
      </c>
      <c r="F935" t="s">
        <v>9144</v>
      </c>
      <c r="G935" t="s">
        <v>5904</v>
      </c>
      <c r="H935">
        <v>487</v>
      </c>
      <c r="I935">
        <v>448</v>
      </c>
      <c r="J935">
        <v>447</v>
      </c>
      <c r="K935">
        <v>447</v>
      </c>
      <c r="L935">
        <v>447</v>
      </c>
      <c r="M935">
        <v>91.8</v>
      </c>
      <c r="N935">
        <v>91.8</v>
      </c>
      <c r="O935">
        <v>937.2</v>
      </c>
    </row>
    <row r="936" spans="1:15">
      <c r="A936">
        <v>2046</v>
      </c>
      <c r="B936" t="s">
        <v>2447</v>
      </c>
      <c r="C936" t="s">
        <v>2448</v>
      </c>
      <c r="D936" t="s">
        <v>9145</v>
      </c>
      <c r="E936" t="s">
        <v>9146</v>
      </c>
      <c r="F936" t="s">
        <v>9147</v>
      </c>
      <c r="G936" t="s">
        <v>5904</v>
      </c>
      <c r="H936">
        <v>970</v>
      </c>
      <c r="I936">
        <v>977</v>
      </c>
      <c r="J936">
        <v>981</v>
      </c>
      <c r="K936">
        <v>898</v>
      </c>
      <c r="L936">
        <v>915</v>
      </c>
      <c r="M936">
        <v>92.6</v>
      </c>
      <c r="N936">
        <v>94.3</v>
      </c>
      <c r="O936">
        <v>1464.1</v>
      </c>
    </row>
    <row r="937" spans="1:15">
      <c r="A937">
        <v>757</v>
      </c>
      <c r="B937" t="s">
        <v>2449</v>
      </c>
      <c r="C937" t="s">
        <v>9148</v>
      </c>
      <c r="D937" t="s">
        <v>9149</v>
      </c>
      <c r="E937" t="s">
        <v>9150</v>
      </c>
      <c r="F937" t="s">
        <v>9151</v>
      </c>
      <c r="G937" t="s">
        <v>5904</v>
      </c>
      <c r="H937">
        <v>325</v>
      </c>
      <c r="I937">
        <v>325</v>
      </c>
      <c r="J937">
        <v>325</v>
      </c>
      <c r="K937">
        <v>314</v>
      </c>
      <c r="L937">
        <v>322</v>
      </c>
      <c r="M937">
        <v>96.6</v>
      </c>
      <c r="N937">
        <v>99.1</v>
      </c>
      <c r="O937">
        <v>655.6</v>
      </c>
    </row>
    <row r="938" spans="1:15">
      <c r="A938">
        <v>756</v>
      </c>
      <c r="B938" t="s">
        <v>9152</v>
      </c>
      <c r="C938" t="s">
        <v>2453</v>
      </c>
      <c r="D938" t="s">
        <v>9153</v>
      </c>
      <c r="E938" t="s">
        <v>9154</v>
      </c>
      <c r="F938" t="s">
        <v>9155</v>
      </c>
      <c r="G938" t="s">
        <v>5904</v>
      </c>
      <c r="H938">
        <v>1047</v>
      </c>
      <c r="I938">
        <v>1073</v>
      </c>
      <c r="J938">
        <v>1074</v>
      </c>
      <c r="K938">
        <v>932</v>
      </c>
      <c r="L938">
        <v>960</v>
      </c>
      <c r="M938">
        <v>89</v>
      </c>
      <c r="N938">
        <v>91.7</v>
      </c>
      <c r="O938">
        <v>1427.5</v>
      </c>
    </row>
    <row r="939" spans="1:15">
      <c r="A939">
        <v>755</v>
      </c>
      <c r="B939" t="s">
        <v>9156</v>
      </c>
      <c r="C939" t="s">
        <v>2456</v>
      </c>
      <c r="D939" t="s">
        <v>9157</v>
      </c>
      <c r="E939" t="s">
        <v>9158</v>
      </c>
      <c r="F939" t="s">
        <v>9159</v>
      </c>
      <c r="G939" t="s">
        <v>5904</v>
      </c>
      <c r="H939">
        <v>477</v>
      </c>
      <c r="I939">
        <v>461</v>
      </c>
      <c r="J939">
        <v>461</v>
      </c>
      <c r="K939">
        <v>368</v>
      </c>
      <c r="L939">
        <v>401</v>
      </c>
      <c r="M939">
        <v>77.099999999999994</v>
      </c>
      <c r="N939">
        <v>84.1</v>
      </c>
      <c r="O939">
        <v>771.9</v>
      </c>
    </row>
    <row r="940" spans="1:15">
      <c r="A940">
        <v>754</v>
      </c>
      <c r="B940" t="s">
        <v>2457</v>
      </c>
      <c r="C940" t="s">
        <v>9160</v>
      </c>
      <c r="D940" t="s">
        <v>9161</v>
      </c>
      <c r="E940" t="s">
        <v>9162</v>
      </c>
      <c r="F940" t="s">
        <v>9163</v>
      </c>
      <c r="G940" t="s">
        <v>5904</v>
      </c>
      <c r="H940">
        <v>573</v>
      </c>
      <c r="I940">
        <v>573</v>
      </c>
      <c r="J940">
        <v>573</v>
      </c>
      <c r="K940">
        <v>562</v>
      </c>
      <c r="L940">
        <v>567</v>
      </c>
      <c r="M940">
        <v>98.1</v>
      </c>
      <c r="N940">
        <v>99</v>
      </c>
      <c r="O940">
        <v>1124</v>
      </c>
    </row>
    <row r="941" spans="1:15">
      <c r="A941">
        <v>753</v>
      </c>
      <c r="B941" t="s">
        <v>2459</v>
      </c>
      <c r="C941" t="s">
        <v>2460</v>
      </c>
      <c r="D941" t="s">
        <v>9164</v>
      </c>
      <c r="E941" t="s">
        <v>9165</v>
      </c>
      <c r="F941" t="s">
        <v>9166</v>
      </c>
      <c r="G941" t="s">
        <v>5904</v>
      </c>
      <c r="H941">
        <v>102</v>
      </c>
      <c r="I941">
        <v>102</v>
      </c>
      <c r="J941">
        <v>102</v>
      </c>
      <c r="K941">
        <v>102</v>
      </c>
      <c r="L941">
        <v>102</v>
      </c>
      <c r="M941">
        <v>100</v>
      </c>
      <c r="N941">
        <v>100</v>
      </c>
      <c r="O941">
        <v>199.5</v>
      </c>
    </row>
    <row r="942" spans="1:15">
      <c r="A942">
        <v>752</v>
      </c>
      <c r="B942" t="s">
        <v>9167</v>
      </c>
      <c r="C942" t="s">
        <v>2463</v>
      </c>
      <c r="D942" t="s">
        <v>9168</v>
      </c>
      <c r="E942" t="s">
        <v>9169</v>
      </c>
      <c r="F942" t="s">
        <v>9170</v>
      </c>
      <c r="G942" t="s">
        <v>5904</v>
      </c>
      <c r="H942">
        <v>1038</v>
      </c>
      <c r="I942">
        <v>1038</v>
      </c>
      <c r="J942">
        <v>1038</v>
      </c>
      <c r="K942">
        <v>1008</v>
      </c>
      <c r="L942">
        <v>1015</v>
      </c>
      <c r="M942">
        <v>97.1</v>
      </c>
      <c r="N942">
        <v>97.8</v>
      </c>
      <c r="O942">
        <v>2105.5</v>
      </c>
    </row>
    <row r="943" spans="1:15">
      <c r="A943">
        <v>2045</v>
      </c>
      <c r="B943" t="s">
        <v>2464</v>
      </c>
      <c r="C943" t="s">
        <v>2465</v>
      </c>
      <c r="D943" t="s">
        <v>9171</v>
      </c>
      <c r="E943" t="s">
        <v>9172</v>
      </c>
      <c r="F943" t="s">
        <v>9173</v>
      </c>
      <c r="G943" t="s">
        <v>5904</v>
      </c>
      <c r="H943">
        <v>467</v>
      </c>
      <c r="I943">
        <v>467</v>
      </c>
      <c r="J943">
        <v>467</v>
      </c>
      <c r="K943">
        <v>385</v>
      </c>
      <c r="L943">
        <v>425</v>
      </c>
      <c r="M943">
        <v>82.4</v>
      </c>
      <c r="N943">
        <v>91</v>
      </c>
      <c r="O943">
        <v>835.1</v>
      </c>
    </row>
    <row r="944" spans="1:15">
      <c r="A944">
        <v>2044</v>
      </c>
      <c r="B944" t="s">
        <v>9174</v>
      </c>
      <c r="C944" t="s">
        <v>9175</v>
      </c>
      <c r="D944" t="s">
        <v>9176</v>
      </c>
      <c r="E944" t="s">
        <v>9177</v>
      </c>
      <c r="F944" t="s">
        <v>9178</v>
      </c>
      <c r="G944" t="s">
        <v>5904</v>
      </c>
      <c r="H944">
        <v>663</v>
      </c>
      <c r="I944">
        <v>631</v>
      </c>
      <c r="J944">
        <v>594</v>
      </c>
      <c r="K944">
        <v>535</v>
      </c>
      <c r="L944">
        <v>560</v>
      </c>
      <c r="M944">
        <v>80.7</v>
      </c>
      <c r="N944">
        <v>84.5</v>
      </c>
      <c r="O944">
        <v>974.9</v>
      </c>
    </row>
    <row r="945" spans="1:15">
      <c r="A945">
        <v>751</v>
      </c>
      <c r="B945" t="s">
        <v>9179</v>
      </c>
      <c r="C945" t="s">
        <v>2471</v>
      </c>
      <c r="D945" t="s">
        <v>9180</v>
      </c>
      <c r="E945" t="s">
        <v>9181</v>
      </c>
      <c r="F945" t="s">
        <v>9182</v>
      </c>
      <c r="G945" t="s">
        <v>5904</v>
      </c>
      <c r="H945">
        <v>449</v>
      </c>
      <c r="I945">
        <v>493</v>
      </c>
      <c r="J945">
        <v>493</v>
      </c>
      <c r="K945">
        <v>390</v>
      </c>
      <c r="L945">
        <v>409</v>
      </c>
      <c r="M945">
        <v>86.9</v>
      </c>
      <c r="N945">
        <v>91.1</v>
      </c>
      <c r="O945">
        <v>778.5</v>
      </c>
    </row>
    <row r="946" spans="1:15">
      <c r="A946">
        <v>750</v>
      </c>
      <c r="B946" t="s">
        <v>9183</v>
      </c>
      <c r="C946" t="s">
        <v>2474</v>
      </c>
      <c r="D946" t="s">
        <v>9184</v>
      </c>
      <c r="E946" t="s">
        <v>9185</v>
      </c>
      <c r="F946" t="s">
        <v>9186</v>
      </c>
      <c r="G946" t="s">
        <v>5904</v>
      </c>
      <c r="H946">
        <v>535</v>
      </c>
      <c r="I946">
        <v>535</v>
      </c>
      <c r="J946">
        <v>535</v>
      </c>
      <c r="K946">
        <v>526</v>
      </c>
      <c r="L946">
        <v>535</v>
      </c>
      <c r="M946">
        <v>98.3</v>
      </c>
      <c r="N946">
        <v>100</v>
      </c>
      <c r="O946">
        <v>1072.4000000000001</v>
      </c>
    </row>
    <row r="947" spans="1:15">
      <c r="A947">
        <v>749</v>
      </c>
      <c r="B947" t="s">
        <v>9187</v>
      </c>
      <c r="C947" t="s">
        <v>2477</v>
      </c>
      <c r="D947" t="s">
        <v>9188</v>
      </c>
      <c r="E947" t="s">
        <v>9189</v>
      </c>
      <c r="F947" t="s">
        <v>9190</v>
      </c>
      <c r="G947" t="s">
        <v>5904</v>
      </c>
      <c r="H947">
        <v>891</v>
      </c>
      <c r="I947">
        <v>858</v>
      </c>
      <c r="J947">
        <v>858</v>
      </c>
      <c r="K947">
        <v>841</v>
      </c>
      <c r="L947">
        <v>848</v>
      </c>
      <c r="M947">
        <v>94.4</v>
      </c>
      <c r="N947">
        <v>95.2</v>
      </c>
      <c r="O947">
        <v>1747.6</v>
      </c>
    </row>
    <row r="948" spans="1:15">
      <c r="A948">
        <v>2043</v>
      </c>
      <c r="B948" t="s">
        <v>2478</v>
      </c>
      <c r="C948" t="s">
        <v>2479</v>
      </c>
      <c r="D948" t="s">
        <v>9191</v>
      </c>
      <c r="E948" t="s">
        <v>9192</v>
      </c>
      <c r="F948" t="s">
        <v>9193</v>
      </c>
      <c r="G948" t="s">
        <v>5904</v>
      </c>
      <c r="H948">
        <v>254</v>
      </c>
      <c r="I948">
        <v>254</v>
      </c>
      <c r="J948">
        <v>254</v>
      </c>
      <c r="K948">
        <v>251</v>
      </c>
      <c r="L948">
        <v>252</v>
      </c>
      <c r="M948">
        <v>98.8</v>
      </c>
      <c r="N948">
        <v>99.2</v>
      </c>
      <c r="O948">
        <v>522.70000000000005</v>
      </c>
    </row>
    <row r="949" spans="1:15">
      <c r="A949">
        <v>748</v>
      </c>
      <c r="B949" t="s">
        <v>2480</v>
      </c>
      <c r="C949" t="s">
        <v>2481</v>
      </c>
      <c r="D949" t="s">
        <v>9194</v>
      </c>
      <c r="E949" t="s">
        <v>9195</v>
      </c>
      <c r="F949" t="s">
        <v>9196</v>
      </c>
      <c r="G949" t="s">
        <v>5904</v>
      </c>
      <c r="H949">
        <v>286</v>
      </c>
      <c r="I949">
        <v>286</v>
      </c>
      <c r="J949">
        <v>286</v>
      </c>
      <c r="K949">
        <v>270</v>
      </c>
      <c r="L949">
        <v>276</v>
      </c>
      <c r="M949">
        <v>94.4</v>
      </c>
      <c r="N949">
        <v>96.5</v>
      </c>
      <c r="O949">
        <v>554.29999999999995</v>
      </c>
    </row>
    <row r="950" spans="1:15">
      <c r="A950">
        <v>747</v>
      </c>
      <c r="B950" t="s">
        <v>2482</v>
      </c>
      <c r="C950" t="s">
        <v>2483</v>
      </c>
      <c r="D950" t="s">
        <v>9197</v>
      </c>
      <c r="E950" t="s">
        <v>9198</v>
      </c>
      <c r="F950" t="s">
        <v>9199</v>
      </c>
      <c r="G950" t="s">
        <v>5904</v>
      </c>
      <c r="H950">
        <v>369</v>
      </c>
      <c r="I950">
        <v>369</v>
      </c>
      <c r="J950">
        <v>369</v>
      </c>
      <c r="K950">
        <v>354</v>
      </c>
      <c r="L950">
        <v>360</v>
      </c>
      <c r="M950">
        <v>95.9</v>
      </c>
      <c r="N950">
        <v>97.6</v>
      </c>
      <c r="O950">
        <v>605.9</v>
      </c>
    </row>
    <row r="951" spans="1:15">
      <c r="A951">
        <v>746</v>
      </c>
      <c r="B951" t="s">
        <v>9200</v>
      </c>
      <c r="C951" t="s">
        <v>2486</v>
      </c>
      <c r="D951" t="s">
        <v>9201</v>
      </c>
      <c r="E951" t="s">
        <v>9202</v>
      </c>
      <c r="F951" t="s">
        <v>9203</v>
      </c>
      <c r="G951" t="s">
        <v>5904</v>
      </c>
      <c r="H951">
        <v>610</v>
      </c>
      <c r="I951">
        <v>649</v>
      </c>
      <c r="J951">
        <v>509</v>
      </c>
      <c r="K951">
        <v>479</v>
      </c>
      <c r="L951">
        <v>497</v>
      </c>
      <c r="M951">
        <v>78.5</v>
      </c>
      <c r="N951">
        <v>81.5</v>
      </c>
      <c r="O951">
        <v>973.8</v>
      </c>
    </row>
    <row r="952" spans="1:15">
      <c r="A952">
        <v>745</v>
      </c>
      <c r="B952" t="s">
        <v>2487</v>
      </c>
      <c r="C952" t="s">
        <v>2488</v>
      </c>
      <c r="D952" t="s">
        <v>9204</v>
      </c>
      <c r="E952" t="s">
        <v>9205</v>
      </c>
      <c r="F952" t="s">
        <v>9206</v>
      </c>
      <c r="G952" t="s">
        <v>5904</v>
      </c>
      <c r="H952">
        <v>1960</v>
      </c>
      <c r="I952">
        <v>1960</v>
      </c>
      <c r="J952">
        <v>1960</v>
      </c>
      <c r="K952">
        <v>1924</v>
      </c>
      <c r="L952">
        <v>1943</v>
      </c>
      <c r="M952">
        <v>98.2</v>
      </c>
      <c r="N952">
        <v>99.1</v>
      </c>
      <c r="O952">
        <v>3897.8</v>
      </c>
    </row>
    <row r="953" spans="1:15">
      <c r="A953">
        <v>744</v>
      </c>
      <c r="B953" t="s">
        <v>2489</v>
      </c>
      <c r="C953" t="s">
        <v>2490</v>
      </c>
      <c r="D953" t="s">
        <v>9207</v>
      </c>
      <c r="E953" t="s">
        <v>9208</v>
      </c>
      <c r="F953" t="s">
        <v>9209</v>
      </c>
      <c r="G953" t="s">
        <v>5904</v>
      </c>
      <c r="H953">
        <v>4544</v>
      </c>
      <c r="I953">
        <v>4544</v>
      </c>
      <c r="J953">
        <v>4544</v>
      </c>
      <c r="K953">
        <v>4478</v>
      </c>
      <c r="L953">
        <v>4513</v>
      </c>
      <c r="M953">
        <v>98.5</v>
      </c>
      <c r="N953">
        <v>99.3</v>
      </c>
      <c r="O953">
        <v>9290.6</v>
      </c>
    </row>
    <row r="954" spans="1:15">
      <c r="A954">
        <v>743</v>
      </c>
      <c r="B954" t="s">
        <v>9210</v>
      </c>
      <c r="C954" t="s">
        <v>9211</v>
      </c>
      <c r="D954" t="s">
        <v>9212</v>
      </c>
      <c r="E954" t="s">
        <v>9213</v>
      </c>
      <c r="F954" t="s">
        <v>9214</v>
      </c>
      <c r="G954" t="s">
        <v>5904</v>
      </c>
      <c r="H954">
        <v>219</v>
      </c>
      <c r="I954">
        <v>219</v>
      </c>
      <c r="J954">
        <v>219</v>
      </c>
      <c r="K954">
        <v>200</v>
      </c>
      <c r="L954">
        <v>209</v>
      </c>
      <c r="M954">
        <v>91.3</v>
      </c>
      <c r="N954">
        <v>95.4</v>
      </c>
      <c r="O954">
        <v>421.8</v>
      </c>
    </row>
    <row r="955" spans="1:15">
      <c r="A955">
        <v>742</v>
      </c>
      <c r="B955" t="s">
        <v>9215</v>
      </c>
      <c r="C955" t="s">
        <v>9216</v>
      </c>
      <c r="D955" t="s">
        <v>9217</v>
      </c>
      <c r="E955" t="s">
        <v>9218</v>
      </c>
      <c r="F955" t="s">
        <v>9219</v>
      </c>
      <c r="G955" t="s">
        <v>5904</v>
      </c>
      <c r="H955">
        <v>366</v>
      </c>
      <c r="I955">
        <v>365</v>
      </c>
      <c r="J955">
        <v>366</v>
      </c>
      <c r="K955">
        <v>365</v>
      </c>
      <c r="L955">
        <v>365</v>
      </c>
      <c r="M955">
        <v>99.7</v>
      </c>
      <c r="N955">
        <v>99.7</v>
      </c>
      <c r="O955">
        <v>738</v>
      </c>
    </row>
    <row r="956" spans="1:15">
      <c r="A956">
        <v>2042</v>
      </c>
      <c r="B956" t="s">
        <v>2498</v>
      </c>
      <c r="C956" t="s">
        <v>2499</v>
      </c>
      <c r="D956" t="s">
        <v>9220</v>
      </c>
      <c r="E956" t="s">
        <v>9221</v>
      </c>
      <c r="F956" t="s">
        <v>9222</v>
      </c>
      <c r="G956" t="s">
        <v>5904</v>
      </c>
      <c r="H956">
        <v>558</v>
      </c>
      <c r="I956">
        <v>560</v>
      </c>
      <c r="J956">
        <v>560</v>
      </c>
      <c r="K956">
        <v>472</v>
      </c>
      <c r="L956">
        <v>507</v>
      </c>
      <c r="M956">
        <v>84.6</v>
      </c>
      <c r="N956">
        <v>90.9</v>
      </c>
      <c r="O956">
        <v>1008.8</v>
      </c>
    </row>
    <row r="957" spans="1:15">
      <c r="A957">
        <v>741</v>
      </c>
      <c r="B957" t="s">
        <v>2500</v>
      </c>
      <c r="C957" t="s">
        <v>2501</v>
      </c>
      <c r="D957" t="s">
        <v>9223</v>
      </c>
      <c r="E957" t="s">
        <v>9224</v>
      </c>
      <c r="F957" t="s">
        <v>9225</v>
      </c>
      <c r="G957" t="s">
        <v>5904</v>
      </c>
      <c r="H957">
        <v>403</v>
      </c>
      <c r="I957">
        <v>403</v>
      </c>
      <c r="J957">
        <v>403</v>
      </c>
      <c r="K957">
        <v>398</v>
      </c>
      <c r="L957">
        <v>402</v>
      </c>
      <c r="M957">
        <v>98.8</v>
      </c>
      <c r="N957">
        <v>99.8</v>
      </c>
      <c r="O957">
        <v>822.8</v>
      </c>
    </row>
    <row r="958" spans="1:15">
      <c r="A958">
        <v>740</v>
      </c>
      <c r="B958" t="s">
        <v>2502</v>
      </c>
      <c r="C958" t="s">
        <v>9226</v>
      </c>
      <c r="D958" t="s">
        <v>9227</v>
      </c>
      <c r="E958" t="s">
        <v>9228</v>
      </c>
      <c r="F958" t="s">
        <v>9229</v>
      </c>
      <c r="G958" t="s">
        <v>5904</v>
      </c>
      <c r="H958">
        <v>215</v>
      </c>
      <c r="I958">
        <v>213</v>
      </c>
      <c r="J958">
        <v>215</v>
      </c>
      <c r="K958">
        <v>193</v>
      </c>
      <c r="L958">
        <v>200</v>
      </c>
      <c r="M958">
        <v>89.8</v>
      </c>
      <c r="N958">
        <v>93</v>
      </c>
      <c r="O958">
        <v>372.1</v>
      </c>
    </row>
    <row r="959" spans="1:15">
      <c r="A959">
        <v>739</v>
      </c>
      <c r="B959" t="s">
        <v>9230</v>
      </c>
      <c r="C959" t="s">
        <v>2506</v>
      </c>
      <c r="D959" t="s">
        <v>9231</v>
      </c>
      <c r="E959" t="s">
        <v>9232</v>
      </c>
      <c r="F959" t="s">
        <v>9233</v>
      </c>
      <c r="G959" t="s">
        <v>5904</v>
      </c>
      <c r="H959">
        <v>963</v>
      </c>
      <c r="I959">
        <v>963</v>
      </c>
      <c r="J959">
        <v>963</v>
      </c>
      <c r="K959">
        <v>950</v>
      </c>
      <c r="L959">
        <v>956</v>
      </c>
      <c r="M959">
        <v>98.7</v>
      </c>
      <c r="N959">
        <v>99.3</v>
      </c>
      <c r="O959">
        <v>1961.8</v>
      </c>
    </row>
    <row r="960" spans="1:15">
      <c r="A960">
        <v>738</v>
      </c>
      <c r="B960" t="s">
        <v>2507</v>
      </c>
      <c r="C960" t="s">
        <v>9234</v>
      </c>
      <c r="D960" t="s">
        <v>9235</v>
      </c>
      <c r="E960" t="s">
        <v>9236</v>
      </c>
      <c r="F960" t="s">
        <v>9237</v>
      </c>
      <c r="G960" t="s">
        <v>5904</v>
      </c>
      <c r="H960">
        <v>215</v>
      </c>
      <c r="I960">
        <v>215</v>
      </c>
      <c r="J960">
        <v>215</v>
      </c>
      <c r="K960">
        <v>215</v>
      </c>
      <c r="L960">
        <v>215</v>
      </c>
      <c r="M960">
        <v>100</v>
      </c>
      <c r="N960">
        <v>100</v>
      </c>
      <c r="O960">
        <v>450.7</v>
      </c>
    </row>
    <row r="961" spans="1:15">
      <c r="A961">
        <v>737</v>
      </c>
      <c r="B961" t="s">
        <v>2510</v>
      </c>
      <c r="C961" t="s">
        <v>2511</v>
      </c>
      <c r="D961" t="s">
        <v>9238</v>
      </c>
      <c r="E961" t="s">
        <v>9239</v>
      </c>
      <c r="F961" t="s">
        <v>9240</v>
      </c>
      <c r="G961" t="s">
        <v>5904</v>
      </c>
      <c r="H961">
        <v>798</v>
      </c>
      <c r="I961">
        <v>798</v>
      </c>
      <c r="J961">
        <v>798</v>
      </c>
      <c r="K961">
        <v>760</v>
      </c>
      <c r="L961">
        <v>780</v>
      </c>
      <c r="M961">
        <v>95.2</v>
      </c>
      <c r="N961">
        <v>97.7</v>
      </c>
      <c r="O961">
        <v>1550</v>
      </c>
    </row>
    <row r="962" spans="1:15">
      <c r="A962">
        <v>736</v>
      </c>
      <c r="B962" t="s">
        <v>2512</v>
      </c>
      <c r="C962" t="s">
        <v>2513</v>
      </c>
      <c r="D962" t="s">
        <v>9241</v>
      </c>
      <c r="E962" t="s">
        <v>9242</v>
      </c>
      <c r="F962" t="s">
        <v>9243</v>
      </c>
      <c r="G962" t="s">
        <v>5904</v>
      </c>
      <c r="H962">
        <v>184</v>
      </c>
      <c r="I962">
        <v>184</v>
      </c>
      <c r="J962">
        <v>184</v>
      </c>
      <c r="K962">
        <v>182</v>
      </c>
      <c r="L962">
        <v>183</v>
      </c>
      <c r="M962">
        <v>98.9</v>
      </c>
      <c r="N962">
        <v>99.5</v>
      </c>
      <c r="O962">
        <v>377.1</v>
      </c>
    </row>
    <row r="963" spans="1:15">
      <c r="A963">
        <v>735</v>
      </c>
      <c r="B963" t="s">
        <v>2514</v>
      </c>
      <c r="C963" t="s">
        <v>2515</v>
      </c>
      <c r="D963" t="s">
        <v>9244</v>
      </c>
      <c r="E963" t="s">
        <v>9245</v>
      </c>
      <c r="F963" t="s">
        <v>9246</v>
      </c>
      <c r="G963" t="s">
        <v>5904</v>
      </c>
      <c r="H963">
        <v>210</v>
      </c>
      <c r="I963">
        <v>210</v>
      </c>
      <c r="J963">
        <v>210</v>
      </c>
      <c r="K963">
        <v>204</v>
      </c>
      <c r="L963">
        <v>207</v>
      </c>
      <c r="M963">
        <v>97.1</v>
      </c>
      <c r="N963">
        <v>98.6</v>
      </c>
      <c r="O963">
        <v>403.7</v>
      </c>
    </row>
    <row r="964" spans="1:15">
      <c r="A964">
        <v>734</v>
      </c>
      <c r="B964" t="s">
        <v>2539</v>
      </c>
      <c r="C964" t="s">
        <v>2540</v>
      </c>
      <c r="D964" t="s">
        <v>9247</v>
      </c>
      <c r="E964" t="s">
        <v>9248</v>
      </c>
      <c r="F964" t="s">
        <v>9249</v>
      </c>
      <c r="G964" t="s">
        <v>5904</v>
      </c>
      <c r="H964">
        <v>310</v>
      </c>
      <c r="I964">
        <v>372</v>
      </c>
      <c r="J964">
        <v>381</v>
      </c>
      <c r="K964">
        <v>268</v>
      </c>
      <c r="L964">
        <v>275</v>
      </c>
      <c r="M964">
        <v>86.5</v>
      </c>
      <c r="N964">
        <v>88.7</v>
      </c>
      <c r="O964">
        <v>317.39999999999998</v>
      </c>
    </row>
    <row r="965" spans="1:15">
      <c r="A965">
        <v>733</v>
      </c>
      <c r="B965" t="s">
        <v>9250</v>
      </c>
      <c r="C965" t="s">
        <v>2543</v>
      </c>
      <c r="D965" t="s">
        <v>9251</v>
      </c>
      <c r="E965" t="s">
        <v>9252</v>
      </c>
      <c r="F965" t="s">
        <v>9253</v>
      </c>
      <c r="G965" t="s">
        <v>5904</v>
      </c>
      <c r="H965">
        <v>221</v>
      </c>
      <c r="I965">
        <v>193</v>
      </c>
      <c r="J965">
        <v>221</v>
      </c>
      <c r="K965">
        <v>191</v>
      </c>
      <c r="L965">
        <v>192</v>
      </c>
      <c r="M965">
        <v>86.4</v>
      </c>
      <c r="N965">
        <v>86.9</v>
      </c>
      <c r="O965">
        <v>381.7</v>
      </c>
    </row>
    <row r="966" spans="1:15">
      <c r="A966">
        <v>732</v>
      </c>
      <c r="B966" t="s">
        <v>2544</v>
      </c>
      <c r="C966" t="s">
        <v>2545</v>
      </c>
      <c r="D966" t="s">
        <v>9254</v>
      </c>
      <c r="E966" t="s">
        <v>9255</v>
      </c>
      <c r="F966" t="s">
        <v>9256</v>
      </c>
      <c r="G966" t="s">
        <v>5904</v>
      </c>
      <c r="H966">
        <v>611</v>
      </c>
      <c r="I966">
        <v>611</v>
      </c>
      <c r="J966">
        <v>611</v>
      </c>
      <c r="K966">
        <v>576</v>
      </c>
      <c r="L966">
        <v>596</v>
      </c>
      <c r="M966">
        <v>94.3</v>
      </c>
      <c r="N966">
        <v>97.5</v>
      </c>
      <c r="O966">
        <v>1218</v>
      </c>
    </row>
    <row r="967" spans="1:15">
      <c r="A967">
        <v>731</v>
      </c>
      <c r="B967" t="s">
        <v>2546</v>
      </c>
      <c r="C967" t="s">
        <v>2547</v>
      </c>
      <c r="D967" t="s">
        <v>9257</v>
      </c>
      <c r="E967" t="s">
        <v>9258</v>
      </c>
      <c r="F967" t="s">
        <v>9259</v>
      </c>
      <c r="G967" t="s">
        <v>5904</v>
      </c>
      <c r="H967">
        <v>505</v>
      </c>
      <c r="I967">
        <v>505</v>
      </c>
      <c r="J967">
        <v>505</v>
      </c>
      <c r="K967">
        <v>503</v>
      </c>
      <c r="L967">
        <v>505</v>
      </c>
      <c r="M967">
        <v>99.6</v>
      </c>
      <c r="N967">
        <v>100</v>
      </c>
      <c r="O967">
        <v>1049.3</v>
      </c>
    </row>
    <row r="968" spans="1:15">
      <c r="A968">
        <v>730</v>
      </c>
      <c r="B968" t="s">
        <v>2548</v>
      </c>
      <c r="C968" t="s">
        <v>2549</v>
      </c>
      <c r="D968" t="s">
        <v>9260</v>
      </c>
      <c r="E968" t="s">
        <v>9261</v>
      </c>
      <c r="F968" t="s">
        <v>9262</v>
      </c>
      <c r="G968" t="s">
        <v>5904</v>
      </c>
      <c r="H968">
        <v>1191</v>
      </c>
      <c r="I968">
        <v>2078</v>
      </c>
      <c r="J968">
        <v>1252</v>
      </c>
      <c r="K968">
        <v>756</v>
      </c>
      <c r="L968">
        <v>827</v>
      </c>
      <c r="M968">
        <v>63.5</v>
      </c>
      <c r="N968">
        <v>69.400000000000006</v>
      </c>
      <c r="O968">
        <v>912.9</v>
      </c>
    </row>
    <row r="969" spans="1:15">
      <c r="A969">
        <v>729</v>
      </c>
      <c r="B969" t="s">
        <v>9263</v>
      </c>
      <c r="C969" t="s">
        <v>2552</v>
      </c>
      <c r="D969" t="s">
        <v>9264</v>
      </c>
      <c r="E969" t="s">
        <v>9265</v>
      </c>
      <c r="F969" t="s">
        <v>9266</v>
      </c>
      <c r="G969" t="s">
        <v>5904</v>
      </c>
      <c r="H969">
        <v>1029</v>
      </c>
      <c r="I969">
        <v>1030</v>
      </c>
      <c r="J969">
        <v>1030</v>
      </c>
      <c r="K969">
        <v>1010</v>
      </c>
      <c r="L969">
        <v>1024</v>
      </c>
      <c r="M969">
        <v>98.2</v>
      </c>
      <c r="N969">
        <v>99.5</v>
      </c>
      <c r="O969">
        <v>2064.6999999999998</v>
      </c>
    </row>
    <row r="970" spans="1:15">
      <c r="A970">
        <v>728</v>
      </c>
      <c r="B970" t="s">
        <v>2553</v>
      </c>
      <c r="C970" t="s">
        <v>2554</v>
      </c>
      <c r="D970" t="s">
        <v>9267</v>
      </c>
      <c r="E970" t="s">
        <v>9268</v>
      </c>
      <c r="F970" t="s">
        <v>9269</v>
      </c>
      <c r="G970" t="s">
        <v>5904</v>
      </c>
      <c r="H970">
        <v>209</v>
      </c>
      <c r="I970">
        <v>208</v>
      </c>
      <c r="J970">
        <v>210</v>
      </c>
      <c r="K970">
        <v>192</v>
      </c>
      <c r="L970">
        <v>197</v>
      </c>
      <c r="M970">
        <v>91.9</v>
      </c>
      <c r="N970">
        <v>94.3</v>
      </c>
      <c r="O970">
        <v>365.9</v>
      </c>
    </row>
    <row r="971" spans="1:15">
      <c r="A971">
        <v>727</v>
      </c>
      <c r="B971" t="s">
        <v>9270</v>
      </c>
      <c r="C971" t="s">
        <v>2557</v>
      </c>
      <c r="D971" t="s">
        <v>9271</v>
      </c>
      <c r="E971" t="s">
        <v>9272</v>
      </c>
      <c r="F971" t="s">
        <v>9273</v>
      </c>
      <c r="G971" t="s">
        <v>5904</v>
      </c>
      <c r="H971">
        <v>160</v>
      </c>
      <c r="I971">
        <v>151</v>
      </c>
      <c r="J971">
        <v>150</v>
      </c>
      <c r="K971">
        <v>145</v>
      </c>
      <c r="L971">
        <v>147</v>
      </c>
      <c r="M971">
        <v>90.6</v>
      </c>
      <c r="N971">
        <v>91.9</v>
      </c>
      <c r="O971">
        <v>300.8</v>
      </c>
    </row>
    <row r="972" spans="1:15">
      <c r="A972">
        <v>726</v>
      </c>
      <c r="B972" t="s">
        <v>9274</v>
      </c>
      <c r="C972" t="s">
        <v>2560</v>
      </c>
      <c r="D972" t="s">
        <v>9275</v>
      </c>
      <c r="E972" t="s">
        <v>9276</v>
      </c>
      <c r="F972" t="s">
        <v>9277</v>
      </c>
      <c r="G972" t="s">
        <v>5904</v>
      </c>
      <c r="H972">
        <v>1230</v>
      </c>
      <c r="I972">
        <v>1230</v>
      </c>
      <c r="J972">
        <v>1230</v>
      </c>
      <c r="K972">
        <v>1230</v>
      </c>
      <c r="L972">
        <v>1230</v>
      </c>
      <c r="M972">
        <v>100</v>
      </c>
      <c r="N972">
        <v>100</v>
      </c>
      <c r="O972">
        <v>2516.5</v>
      </c>
    </row>
    <row r="973" spans="1:15">
      <c r="A973">
        <v>725</v>
      </c>
      <c r="B973" t="s">
        <v>9278</v>
      </c>
      <c r="C973" t="s">
        <v>2563</v>
      </c>
      <c r="D973" t="s">
        <v>9279</v>
      </c>
      <c r="E973" t="s">
        <v>9280</v>
      </c>
      <c r="F973" t="s">
        <v>9281</v>
      </c>
      <c r="G973" t="s">
        <v>5904</v>
      </c>
      <c r="H973">
        <v>616</v>
      </c>
      <c r="I973">
        <v>611</v>
      </c>
      <c r="J973">
        <v>617</v>
      </c>
      <c r="K973">
        <v>584</v>
      </c>
      <c r="L973">
        <v>595</v>
      </c>
      <c r="M973">
        <v>94.8</v>
      </c>
      <c r="N973">
        <v>96.6</v>
      </c>
      <c r="O973">
        <v>1015</v>
      </c>
    </row>
    <row r="974" spans="1:15">
      <c r="A974">
        <v>724</v>
      </c>
      <c r="B974" t="s">
        <v>2564</v>
      </c>
      <c r="C974" t="s">
        <v>2565</v>
      </c>
      <c r="D974" t="s">
        <v>9282</v>
      </c>
      <c r="E974" t="s">
        <v>9283</v>
      </c>
      <c r="F974" t="s">
        <v>9284</v>
      </c>
      <c r="G974" t="s">
        <v>5904</v>
      </c>
      <c r="H974">
        <v>349</v>
      </c>
      <c r="I974">
        <v>349</v>
      </c>
      <c r="J974">
        <v>349</v>
      </c>
      <c r="K974">
        <v>322</v>
      </c>
      <c r="L974">
        <v>337</v>
      </c>
      <c r="M974">
        <v>92.3</v>
      </c>
      <c r="N974">
        <v>96.6</v>
      </c>
      <c r="O974">
        <v>669.1</v>
      </c>
    </row>
    <row r="975" spans="1:15">
      <c r="A975">
        <v>723</v>
      </c>
      <c r="B975" t="s">
        <v>9285</v>
      </c>
      <c r="C975" t="s">
        <v>2568</v>
      </c>
      <c r="D975" t="s">
        <v>9286</v>
      </c>
      <c r="E975" t="s">
        <v>9287</v>
      </c>
      <c r="F975" t="s">
        <v>9288</v>
      </c>
      <c r="G975" t="s">
        <v>6054</v>
      </c>
      <c r="H975">
        <v>454</v>
      </c>
      <c r="I975">
        <v>694</v>
      </c>
      <c r="J975">
        <v>186</v>
      </c>
      <c r="K975">
        <v>178</v>
      </c>
      <c r="L975">
        <v>180</v>
      </c>
      <c r="M975">
        <v>39.200000000000003</v>
      </c>
      <c r="N975">
        <v>39.6</v>
      </c>
      <c r="O975">
        <v>316.2</v>
      </c>
    </row>
    <row r="976" spans="1:15">
      <c r="A976">
        <v>722</v>
      </c>
      <c r="B976" t="s">
        <v>9289</v>
      </c>
      <c r="C976" t="s">
        <v>2571</v>
      </c>
      <c r="D976" t="s">
        <v>9290</v>
      </c>
      <c r="E976" t="s">
        <v>9291</v>
      </c>
      <c r="F976" t="s">
        <v>9292</v>
      </c>
      <c r="G976" t="s">
        <v>5904</v>
      </c>
      <c r="H976">
        <v>226</v>
      </c>
      <c r="I976">
        <v>226</v>
      </c>
      <c r="J976">
        <v>226</v>
      </c>
      <c r="K976">
        <v>222</v>
      </c>
      <c r="L976">
        <v>225</v>
      </c>
      <c r="M976">
        <v>98.2</v>
      </c>
      <c r="N976">
        <v>99.6</v>
      </c>
      <c r="O976">
        <v>448</v>
      </c>
    </row>
    <row r="977" spans="1:15">
      <c r="A977">
        <v>721</v>
      </c>
      <c r="B977" t="s">
        <v>2572</v>
      </c>
      <c r="C977" t="s">
        <v>2573</v>
      </c>
      <c r="D977" t="s">
        <v>9293</v>
      </c>
      <c r="E977" t="s">
        <v>9294</v>
      </c>
      <c r="F977" t="s">
        <v>9295</v>
      </c>
      <c r="G977" t="s">
        <v>5904</v>
      </c>
      <c r="H977">
        <v>459</v>
      </c>
      <c r="I977">
        <v>459</v>
      </c>
      <c r="J977">
        <v>459</v>
      </c>
      <c r="K977">
        <v>426</v>
      </c>
      <c r="L977">
        <v>449</v>
      </c>
      <c r="M977">
        <v>92.8</v>
      </c>
      <c r="N977">
        <v>97.8</v>
      </c>
      <c r="O977">
        <v>896</v>
      </c>
    </row>
    <row r="978" spans="1:15">
      <c r="A978">
        <v>720</v>
      </c>
      <c r="B978" t="s">
        <v>9296</v>
      </c>
      <c r="C978" t="s">
        <v>2576</v>
      </c>
      <c r="D978" t="s">
        <v>9297</v>
      </c>
      <c r="E978" t="s">
        <v>9298</v>
      </c>
      <c r="F978" t="s">
        <v>9299</v>
      </c>
      <c r="G978" t="s">
        <v>5904</v>
      </c>
      <c r="H978">
        <v>362</v>
      </c>
      <c r="I978">
        <v>297</v>
      </c>
      <c r="J978">
        <v>297</v>
      </c>
      <c r="K978">
        <v>272</v>
      </c>
      <c r="L978">
        <v>285</v>
      </c>
      <c r="M978">
        <v>75.099999999999994</v>
      </c>
      <c r="N978">
        <v>78.7</v>
      </c>
      <c r="O978">
        <v>569.29999999999995</v>
      </c>
    </row>
    <row r="979" spans="1:15">
      <c r="A979">
        <v>719</v>
      </c>
      <c r="B979" t="s">
        <v>2577</v>
      </c>
      <c r="C979" t="s">
        <v>2578</v>
      </c>
      <c r="D979" t="s">
        <v>9300</v>
      </c>
      <c r="E979" t="s">
        <v>9301</v>
      </c>
      <c r="F979" t="s">
        <v>9302</v>
      </c>
      <c r="G979" t="s">
        <v>5904</v>
      </c>
      <c r="H979">
        <v>320</v>
      </c>
      <c r="I979">
        <v>297</v>
      </c>
      <c r="J979">
        <v>297</v>
      </c>
      <c r="K979">
        <v>268</v>
      </c>
      <c r="L979">
        <v>279</v>
      </c>
      <c r="M979">
        <v>83.8</v>
      </c>
      <c r="N979">
        <v>87.2</v>
      </c>
      <c r="O979">
        <v>555.79999999999995</v>
      </c>
    </row>
    <row r="980" spans="1:15">
      <c r="A980">
        <v>718</v>
      </c>
      <c r="B980" t="s">
        <v>9303</v>
      </c>
      <c r="C980" t="s">
        <v>2581</v>
      </c>
      <c r="D980" t="s">
        <v>9304</v>
      </c>
      <c r="E980" t="s">
        <v>9305</v>
      </c>
      <c r="F980" t="s">
        <v>9306</v>
      </c>
      <c r="G980" t="s">
        <v>5904</v>
      </c>
      <c r="H980">
        <v>505</v>
      </c>
      <c r="I980">
        <v>505</v>
      </c>
      <c r="J980">
        <v>505</v>
      </c>
      <c r="K980">
        <v>497</v>
      </c>
      <c r="L980">
        <v>502</v>
      </c>
      <c r="M980">
        <v>98.4</v>
      </c>
      <c r="N980">
        <v>99.4</v>
      </c>
      <c r="O980">
        <v>1042.3</v>
      </c>
    </row>
    <row r="981" spans="1:15">
      <c r="A981">
        <v>717</v>
      </c>
      <c r="B981" t="s">
        <v>2582</v>
      </c>
      <c r="C981" t="s">
        <v>9307</v>
      </c>
      <c r="D981" t="s">
        <v>9308</v>
      </c>
      <c r="E981" t="s">
        <v>9309</v>
      </c>
      <c r="F981" t="s">
        <v>9310</v>
      </c>
      <c r="G981" t="s">
        <v>5904</v>
      </c>
      <c r="H981">
        <v>1841</v>
      </c>
      <c r="I981">
        <v>1838</v>
      </c>
      <c r="J981">
        <v>1841</v>
      </c>
      <c r="K981">
        <v>1646</v>
      </c>
      <c r="L981">
        <v>1721</v>
      </c>
      <c r="M981">
        <v>89.4</v>
      </c>
      <c r="N981">
        <v>93.5</v>
      </c>
      <c r="O981">
        <v>3411.7</v>
      </c>
    </row>
    <row r="982" spans="1:15">
      <c r="A982">
        <v>716</v>
      </c>
      <c r="B982" t="s">
        <v>2584</v>
      </c>
      <c r="C982" t="s">
        <v>2585</v>
      </c>
      <c r="D982" t="s">
        <v>9311</v>
      </c>
      <c r="E982" t="s">
        <v>9312</v>
      </c>
      <c r="F982" t="s">
        <v>9313</v>
      </c>
      <c r="G982" t="s">
        <v>5904</v>
      </c>
      <c r="H982">
        <v>517</v>
      </c>
      <c r="I982">
        <v>516</v>
      </c>
      <c r="J982">
        <v>517</v>
      </c>
      <c r="K982">
        <v>454</v>
      </c>
      <c r="L982">
        <v>483</v>
      </c>
      <c r="M982">
        <v>87.8</v>
      </c>
      <c r="N982">
        <v>93.4</v>
      </c>
      <c r="O982">
        <v>874.8</v>
      </c>
    </row>
    <row r="983" spans="1:15">
      <c r="A983">
        <v>715</v>
      </c>
      <c r="B983" t="s">
        <v>2586</v>
      </c>
      <c r="C983" t="s">
        <v>2587</v>
      </c>
      <c r="D983" t="s">
        <v>9314</v>
      </c>
      <c r="E983" t="s">
        <v>9315</v>
      </c>
      <c r="F983" t="s">
        <v>9316</v>
      </c>
      <c r="G983" t="s">
        <v>5904</v>
      </c>
      <c r="H983">
        <v>529</v>
      </c>
      <c r="I983">
        <v>529</v>
      </c>
      <c r="J983">
        <v>529</v>
      </c>
      <c r="K983">
        <v>490</v>
      </c>
      <c r="L983">
        <v>509</v>
      </c>
      <c r="M983">
        <v>92.6</v>
      </c>
      <c r="N983">
        <v>96.2</v>
      </c>
      <c r="O983">
        <v>994.2</v>
      </c>
    </row>
    <row r="984" spans="1:15">
      <c r="A984">
        <v>714</v>
      </c>
      <c r="B984" t="s">
        <v>9317</v>
      </c>
      <c r="C984" t="s">
        <v>9318</v>
      </c>
      <c r="D984" t="s">
        <v>9319</v>
      </c>
      <c r="E984" t="s">
        <v>9320</v>
      </c>
      <c r="F984" t="s">
        <v>9321</v>
      </c>
      <c r="G984" t="s">
        <v>5904</v>
      </c>
      <c r="H984">
        <v>189</v>
      </c>
      <c r="I984">
        <v>189</v>
      </c>
      <c r="J984">
        <v>189</v>
      </c>
      <c r="K984">
        <v>187</v>
      </c>
      <c r="L984">
        <v>189</v>
      </c>
      <c r="M984">
        <v>98.9</v>
      </c>
      <c r="N984">
        <v>100</v>
      </c>
      <c r="O984">
        <v>389.4</v>
      </c>
    </row>
    <row r="985" spans="1:15">
      <c r="A985">
        <v>713</v>
      </c>
      <c r="B985" t="s">
        <v>9322</v>
      </c>
      <c r="C985" t="s">
        <v>2593</v>
      </c>
      <c r="D985" t="s">
        <v>9323</v>
      </c>
      <c r="E985" t="s">
        <v>9324</v>
      </c>
      <c r="F985" t="s">
        <v>9325</v>
      </c>
      <c r="G985" t="s">
        <v>5904</v>
      </c>
      <c r="H985">
        <v>181</v>
      </c>
      <c r="I985">
        <v>181</v>
      </c>
      <c r="J985">
        <v>181</v>
      </c>
      <c r="K985">
        <v>181</v>
      </c>
      <c r="L985">
        <v>181</v>
      </c>
      <c r="M985">
        <v>100</v>
      </c>
      <c r="N985">
        <v>100</v>
      </c>
      <c r="O985">
        <v>373.2</v>
      </c>
    </row>
    <row r="986" spans="1:15">
      <c r="A986">
        <v>712</v>
      </c>
      <c r="B986" t="s">
        <v>9326</v>
      </c>
      <c r="C986" t="s">
        <v>2596</v>
      </c>
      <c r="D986" t="s">
        <v>9327</v>
      </c>
      <c r="E986" t="s">
        <v>9328</v>
      </c>
      <c r="F986" t="s">
        <v>9329</v>
      </c>
      <c r="G986" t="s">
        <v>5904</v>
      </c>
      <c r="H986">
        <v>1100</v>
      </c>
      <c r="I986">
        <v>1104</v>
      </c>
      <c r="J986">
        <v>1104</v>
      </c>
      <c r="K986">
        <v>999</v>
      </c>
      <c r="L986">
        <v>1052</v>
      </c>
      <c r="M986">
        <v>90.8</v>
      </c>
      <c r="N986">
        <v>95.6</v>
      </c>
      <c r="O986">
        <v>1922.9</v>
      </c>
    </row>
    <row r="987" spans="1:15">
      <c r="A987">
        <v>711</v>
      </c>
      <c r="B987" t="s">
        <v>9330</v>
      </c>
      <c r="C987" t="s">
        <v>2599</v>
      </c>
      <c r="D987" t="s">
        <v>9331</v>
      </c>
      <c r="E987" t="s">
        <v>9332</v>
      </c>
      <c r="F987" t="s">
        <v>9333</v>
      </c>
      <c r="G987" t="s">
        <v>5904</v>
      </c>
      <c r="H987">
        <v>170</v>
      </c>
      <c r="I987">
        <v>173</v>
      </c>
      <c r="J987">
        <v>173</v>
      </c>
      <c r="K987">
        <v>144</v>
      </c>
      <c r="L987">
        <v>153</v>
      </c>
      <c r="M987">
        <v>84.7</v>
      </c>
      <c r="N987">
        <v>90</v>
      </c>
      <c r="O987">
        <v>298.89999999999998</v>
      </c>
    </row>
    <row r="988" spans="1:15">
      <c r="A988">
        <v>710</v>
      </c>
      <c r="B988" t="s">
        <v>9334</v>
      </c>
      <c r="C988" t="s">
        <v>2602</v>
      </c>
      <c r="D988" t="s">
        <v>9335</v>
      </c>
      <c r="E988" t="s">
        <v>9336</v>
      </c>
      <c r="F988" t="s">
        <v>9337</v>
      </c>
      <c r="G988" t="s">
        <v>5904</v>
      </c>
      <c r="H988">
        <v>558</v>
      </c>
      <c r="I988">
        <v>503</v>
      </c>
      <c r="J988">
        <v>504</v>
      </c>
      <c r="K988">
        <v>475</v>
      </c>
      <c r="L988">
        <v>485</v>
      </c>
      <c r="M988">
        <v>85.1</v>
      </c>
      <c r="N988">
        <v>86.9</v>
      </c>
      <c r="O988">
        <v>953</v>
      </c>
    </row>
    <row r="989" spans="1:15">
      <c r="A989">
        <v>2041</v>
      </c>
      <c r="B989" t="s">
        <v>2603</v>
      </c>
      <c r="C989" t="s">
        <v>2604</v>
      </c>
      <c r="D989" t="s">
        <v>9338</v>
      </c>
      <c r="E989" t="s">
        <v>9339</v>
      </c>
      <c r="F989" t="s">
        <v>9340</v>
      </c>
      <c r="G989" t="s">
        <v>5904</v>
      </c>
      <c r="H989">
        <v>559</v>
      </c>
      <c r="I989">
        <v>558</v>
      </c>
      <c r="J989">
        <v>559</v>
      </c>
      <c r="K989">
        <v>546</v>
      </c>
      <c r="L989">
        <v>550</v>
      </c>
      <c r="M989">
        <v>97.7</v>
      </c>
      <c r="N989">
        <v>98.4</v>
      </c>
      <c r="O989">
        <v>1129</v>
      </c>
    </row>
    <row r="990" spans="1:15">
      <c r="A990">
        <v>2040</v>
      </c>
      <c r="B990" t="s">
        <v>9341</v>
      </c>
      <c r="C990" t="s">
        <v>2607</v>
      </c>
      <c r="D990" t="s">
        <v>9342</v>
      </c>
      <c r="E990" t="s">
        <v>9343</v>
      </c>
      <c r="F990" t="s">
        <v>9344</v>
      </c>
      <c r="G990" t="s">
        <v>5904</v>
      </c>
      <c r="H990">
        <v>527</v>
      </c>
      <c r="I990">
        <v>524</v>
      </c>
      <c r="J990">
        <v>527</v>
      </c>
      <c r="K990">
        <v>448</v>
      </c>
      <c r="L990">
        <v>488</v>
      </c>
      <c r="M990">
        <v>85</v>
      </c>
      <c r="N990">
        <v>92.6</v>
      </c>
      <c r="O990">
        <v>910.6</v>
      </c>
    </row>
    <row r="991" spans="1:15">
      <c r="A991">
        <v>709</v>
      </c>
      <c r="B991" t="s">
        <v>9345</v>
      </c>
      <c r="C991" t="s">
        <v>9346</v>
      </c>
      <c r="D991" t="s">
        <v>9347</v>
      </c>
      <c r="E991" t="s">
        <v>9348</v>
      </c>
      <c r="F991" t="s">
        <v>9349</v>
      </c>
      <c r="G991" t="s">
        <v>5904</v>
      </c>
      <c r="H991">
        <v>488</v>
      </c>
      <c r="I991">
        <v>486</v>
      </c>
      <c r="J991">
        <v>488</v>
      </c>
      <c r="K991">
        <v>446</v>
      </c>
      <c r="L991">
        <v>465</v>
      </c>
      <c r="M991">
        <v>91.4</v>
      </c>
      <c r="N991">
        <v>95.3</v>
      </c>
      <c r="O991">
        <v>909.1</v>
      </c>
    </row>
    <row r="992" spans="1:15">
      <c r="A992">
        <v>708</v>
      </c>
      <c r="B992" t="s">
        <v>2611</v>
      </c>
      <c r="C992" t="s">
        <v>2612</v>
      </c>
      <c r="D992" t="s">
        <v>9350</v>
      </c>
      <c r="E992" t="s">
        <v>9351</v>
      </c>
      <c r="F992" t="s">
        <v>9352</v>
      </c>
      <c r="G992" t="s">
        <v>5904</v>
      </c>
      <c r="H992">
        <v>466</v>
      </c>
      <c r="I992">
        <v>466</v>
      </c>
      <c r="J992">
        <v>466</v>
      </c>
      <c r="K992">
        <v>452</v>
      </c>
      <c r="L992">
        <v>461</v>
      </c>
      <c r="M992">
        <v>97</v>
      </c>
      <c r="N992">
        <v>98.9</v>
      </c>
      <c r="O992">
        <v>921</v>
      </c>
    </row>
    <row r="993" spans="1:15">
      <c r="A993">
        <v>707</v>
      </c>
      <c r="B993" t="s">
        <v>2613</v>
      </c>
      <c r="C993" t="s">
        <v>9353</v>
      </c>
      <c r="D993" t="s">
        <v>9354</v>
      </c>
      <c r="E993" t="s">
        <v>9355</v>
      </c>
      <c r="F993" t="s">
        <v>9356</v>
      </c>
      <c r="G993" t="s">
        <v>5904</v>
      </c>
      <c r="H993">
        <v>443</v>
      </c>
      <c r="I993">
        <v>431</v>
      </c>
      <c r="J993">
        <v>445</v>
      </c>
      <c r="K993">
        <v>298</v>
      </c>
      <c r="L993">
        <v>337</v>
      </c>
      <c r="M993">
        <v>67.3</v>
      </c>
      <c r="N993">
        <v>76.099999999999994</v>
      </c>
      <c r="O993">
        <v>532.29999999999995</v>
      </c>
    </row>
    <row r="994" spans="1:15">
      <c r="A994">
        <v>706</v>
      </c>
      <c r="B994" t="s">
        <v>2615</v>
      </c>
      <c r="C994" t="s">
        <v>9357</v>
      </c>
      <c r="D994" t="s">
        <v>9358</v>
      </c>
      <c r="E994" t="s">
        <v>9359</v>
      </c>
      <c r="F994" t="s">
        <v>9360</v>
      </c>
      <c r="G994" t="s">
        <v>5904</v>
      </c>
      <c r="H994">
        <v>1018</v>
      </c>
      <c r="I994">
        <v>1018</v>
      </c>
      <c r="J994">
        <v>1016</v>
      </c>
      <c r="K994">
        <v>986</v>
      </c>
      <c r="L994">
        <v>1001</v>
      </c>
      <c r="M994">
        <v>96.9</v>
      </c>
      <c r="N994">
        <v>98.3</v>
      </c>
      <c r="O994">
        <v>2055.8000000000002</v>
      </c>
    </row>
    <row r="995" spans="1:15">
      <c r="A995">
        <v>705</v>
      </c>
      <c r="B995" t="s">
        <v>2617</v>
      </c>
      <c r="C995" t="s">
        <v>2618</v>
      </c>
      <c r="D995" t="s">
        <v>9361</v>
      </c>
      <c r="E995" t="s">
        <v>9362</v>
      </c>
      <c r="F995" t="s">
        <v>9363</v>
      </c>
      <c r="G995" t="s">
        <v>5904</v>
      </c>
      <c r="H995">
        <v>160</v>
      </c>
      <c r="I995">
        <v>160</v>
      </c>
      <c r="J995">
        <v>160</v>
      </c>
      <c r="K995">
        <v>160</v>
      </c>
      <c r="L995">
        <v>160</v>
      </c>
      <c r="M995">
        <v>100</v>
      </c>
      <c r="N995">
        <v>100</v>
      </c>
      <c r="O995">
        <v>325.89999999999998</v>
      </c>
    </row>
    <row r="996" spans="1:15">
      <c r="A996">
        <v>704</v>
      </c>
      <c r="B996" t="s">
        <v>2619</v>
      </c>
      <c r="C996" t="s">
        <v>2620</v>
      </c>
      <c r="D996" t="s">
        <v>9364</v>
      </c>
      <c r="E996" t="s">
        <v>9365</v>
      </c>
      <c r="F996" t="s">
        <v>9366</v>
      </c>
      <c r="G996" t="s">
        <v>5904</v>
      </c>
      <c r="H996">
        <v>1487</v>
      </c>
      <c r="I996">
        <v>1487</v>
      </c>
      <c r="J996">
        <v>1487</v>
      </c>
      <c r="K996">
        <v>1461</v>
      </c>
      <c r="L996">
        <v>1475</v>
      </c>
      <c r="M996">
        <v>98.3</v>
      </c>
      <c r="N996">
        <v>99.2</v>
      </c>
      <c r="O996">
        <v>2639.4</v>
      </c>
    </row>
    <row r="997" spans="1:15">
      <c r="A997">
        <v>703</v>
      </c>
      <c r="B997" t="s">
        <v>2621</v>
      </c>
      <c r="C997" t="s">
        <v>2622</v>
      </c>
      <c r="D997" t="s">
        <v>9367</v>
      </c>
      <c r="E997" t="s">
        <v>9368</v>
      </c>
      <c r="F997" t="s">
        <v>9369</v>
      </c>
      <c r="G997" t="s">
        <v>5904</v>
      </c>
      <c r="H997">
        <v>338</v>
      </c>
      <c r="I997">
        <v>338</v>
      </c>
      <c r="J997">
        <v>338</v>
      </c>
      <c r="K997">
        <v>306</v>
      </c>
      <c r="L997">
        <v>327</v>
      </c>
      <c r="M997">
        <v>90.5</v>
      </c>
      <c r="N997">
        <v>96.7</v>
      </c>
      <c r="O997">
        <v>638.29999999999995</v>
      </c>
    </row>
    <row r="998" spans="1:15">
      <c r="A998">
        <v>702</v>
      </c>
      <c r="B998" t="s">
        <v>9370</v>
      </c>
      <c r="C998" t="s">
        <v>2625</v>
      </c>
      <c r="D998" t="s">
        <v>9371</v>
      </c>
      <c r="E998" t="s">
        <v>9372</v>
      </c>
      <c r="F998" t="s">
        <v>9373</v>
      </c>
      <c r="G998" t="s">
        <v>5904</v>
      </c>
      <c r="H998">
        <v>555</v>
      </c>
      <c r="I998">
        <v>565</v>
      </c>
      <c r="J998">
        <v>550</v>
      </c>
      <c r="K998">
        <v>447</v>
      </c>
      <c r="L998">
        <v>486</v>
      </c>
      <c r="M998">
        <v>80.5</v>
      </c>
      <c r="N998">
        <v>87.6</v>
      </c>
      <c r="O998">
        <v>782.3</v>
      </c>
    </row>
    <row r="999" spans="1:15">
      <c r="A999">
        <v>701</v>
      </c>
      <c r="B999" t="s">
        <v>2626</v>
      </c>
      <c r="C999" t="s">
        <v>2628</v>
      </c>
      <c r="D999" t="s">
        <v>9374</v>
      </c>
      <c r="E999" t="s">
        <v>9375</v>
      </c>
      <c r="F999" t="s">
        <v>9376</v>
      </c>
      <c r="G999" t="s">
        <v>5904</v>
      </c>
      <c r="H999">
        <v>148</v>
      </c>
      <c r="I999">
        <v>148</v>
      </c>
      <c r="J999">
        <v>145</v>
      </c>
      <c r="K999">
        <v>77</v>
      </c>
      <c r="L999">
        <v>98</v>
      </c>
      <c r="M999">
        <v>52</v>
      </c>
      <c r="N999">
        <v>66.2</v>
      </c>
      <c r="O999">
        <v>164.5</v>
      </c>
    </row>
    <row r="1000" spans="1:15">
      <c r="A1000">
        <v>700</v>
      </c>
      <c r="B1000" t="s">
        <v>2629</v>
      </c>
      <c r="C1000" t="s">
        <v>2630</v>
      </c>
      <c r="D1000" t="s">
        <v>9377</v>
      </c>
      <c r="E1000" t="s">
        <v>9378</v>
      </c>
      <c r="F1000" t="s">
        <v>9379</v>
      </c>
      <c r="G1000" t="s">
        <v>5904</v>
      </c>
      <c r="H1000">
        <v>89</v>
      </c>
      <c r="I1000">
        <v>88</v>
      </c>
      <c r="J1000">
        <v>87</v>
      </c>
      <c r="K1000">
        <v>75</v>
      </c>
      <c r="L1000">
        <v>79</v>
      </c>
      <c r="M1000">
        <v>84.3</v>
      </c>
      <c r="N1000">
        <v>88.8</v>
      </c>
      <c r="O1000">
        <v>153.69999999999999</v>
      </c>
    </row>
    <row r="1001" spans="1:15">
      <c r="A1001">
        <v>699</v>
      </c>
      <c r="B1001" t="s">
        <v>2631</v>
      </c>
      <c r="C1001" t="s">
        <v>2632</v>
      </c>
      <c r="D1001" t="s">
        <v>9380</v>
      </c>
      <c r="E1001" t="s">
        <v>9381</v>
      </c>
      <c r="F1001" t="s">
        <v>9382</v>
      </c>
      <c r="G1001" t="s">
        <v>5904</v>
      </c>
      <c r="H1001">
        <v>152</v>
      </c>
      <c r="I1001">
        <v>152</v>
      </c>
      <c r="J1001">
        <v>152</v>
      </c>
      <c r="K1001">
        <v>152</v>
      </c>
      <c r="L1001">
        <v>152</v>
      </c>
      <c r="M1001">
        <v>100</v>
      </c>
      <c r="N1001">
        <v>100</v>
      </c>
      <c r="O1001">
        <v>314.3</v>
      </c>
    </row>
    <row r="1002" spans="1:15">
      <c r="A1002">
        <v>698</v>
      </c>
      <c r="B1002" t="s">
        <v>9383</v>
      </c>
      <c r="C1002" t="s">
        <v>2636</v>
      </c>
      <c r="D1002" t="s">
        <v>9384</v>
      </c>
      <c r="E1002" t="s">
        <v>9385</v>
      </c>
      <c r="F1002" t="s">
        <v>9386</v>
      </c>
      <c r="G1002" t="s">
        <v>5904</v>
      </c>
      <c r="H1002">
        <v>181</v>
      </c>
      <c r="I1002">
        <v>181</v>
      </c>
      <c r="J1002">
        <v>181</v>
      </c>
      <c r="K1002">
        <v>178</v>
      </c>
      <c r="L1002">
        <v>179</v>
      </c>
      <c r="M1002">
        <v>98.3</v>
      </c>
      <c r="N1002">
        <v>98.9</v>
      </c>
      <c r="O1002">
        <v>374.8</v>
      </c>
    </row>
    <row r="1003" spans="1:15">
      <c r="A1003">
        <v>697</v>
      </c>
      <c r="B1003" t="s">
        <v>2637</v>
      </c>
      <c r="C1003" t="s">
        <v>2638</v>
      </c>
      <c r="D1003" t="s">
        <v>9387</v>
      </c>
      <c r="E1003" t="s">
        <v>9388</v>
      </c>
      <c r="F1003" t="s">
        <v>9389</v>
      </c>
      <c r="G1003" t="s">
        <v>5904</v>
      </c>
      <c r="H1003">
        <v>445</v>
      </c>
      <c r="I1003">
        <v>455</v>
      </c>
      <c r="J1003">
        <v>459</v>
      </c>
      <c r="K1003">
        <v>335</v>
      </c>
      <c r="L1003">
        <v>369</v>
      </c>
      <c r="M1003">
        <v>75.3</v>
      </c>
      <c r="N1003">
        <v>82.9</v>
      </c>
      <c r="O1003">
        <v>620.5</v>
      </c>
    </row>
    <row r="1004" spans="1:15">
      <c r="A1004">
        <v>696</v>
      </c>
      <c r="B1004" t="s">
        <v>2639</v>
      </c>
      <c r="C1004" t="s">
        <v>2640</v>
      </c>
      <c r="D1004" t="s">
        <v>9390</v>
      </c>
      <c r="E1004" t="s">
        <v>9391</v>
      </c>
      <c r="F1004" t="s">
        <v>9392</v>
      </c>
      <c r="G1004" t="s">
        <v>5904</v>
      </c>
      <c r="H1004">
        <v>469</v>
      </c>
      <c r="I1004">
        <v>469</v>
      </c>
      <c r="J1004">
        <v>469</v>
      </c>
      <c r="K1004">
        <v>453</v>
      </c>
      <c r="L1004">
        <v>463</v>
      </c>
      <c r="M1004">
        <v>96.6</v>
      </c>
      <c r="N1004">
        <v>98.7</v>
      </c>
      <c r="O1004">
        <v>943.3</v>
      </c>
    </row>
    <row r="1005" spans="1:15">
      <c r="A1005">
        <v>695</v>
      </c>
      <c r="B1005" t="s">
        <v>2641</v>
      </c>
      <c r="C1005" t="s">
        <v>2643</v>
      </c>
      <c r="D1005" t="s">
        <v>9393</v>
      </c>
      <c r="E1005" t="s">
        <v>9394</v>
      </c>
      <c r="F1005" t="s">
        <v>9395</v>
      </c>
      <c r="G1005" t="s">
        <v>5904</v>
      </c>
      <c r="H1005">
        <v>803</v>
      </c>
      <c r="I1005">
        <v>803</v>
      </c>
      <c r="J1005">
        <v>804</v>
      </c>
      <c r="K1005">
        <v>788</v>
      </c>
      <c r="L1005">
        <v>797</v>
      </c>
      <c r="M1005">
        <v>98.1</v>
      </c>
      <c r="N1005">
        <v>99.3</v>
      </c>
      <c r="O1005">
        <v>1607</v>
      </c>
    </row>
    <row r="1006" spans="1:15">
      <c r="A1006">
        <v>694</v>
      </c>
      <c r="B1006" t="s">
        <v>2644</v>
      </c>
      <c r="C1006" t="s">
        <v>2645</v>
      </c>
      <c r="D1006" t="s">
        <v>9396</v>
      </c>
      <c r="E1006" t="s">
        <v>9397</v>
      </c>
      <c r="F1006" t="s">
        <v>9398</v>
      </c>
      <c r="G1006" t="s">
        <v>5904</v>
      </c>
      <c r="H1006">
        <v>946</v>
      </c>
      <c r="I1006">
        <v>946</v>
      </c>
      <c r="J1006">
        <v>946</v>
      </c>
      <c r="K1006">
        <v>818</v>
      </c>
      <c r="L1006">
        <v>884</v>
      </c>
      <c r="M1006">
        <v>86.5</v>
      </c>
      <c r="N1006">
        <v>93.4</v>
      </c>
      <c r="O1006">
        <v>1731.5</v>
      </c>
    </row>
    <row r="1007" spans="1:15">
      <c r="A1007">
        <v>693</v>
      </c>
      <c r="B1007" t="s">
        <v>2646</v>
      </c>
      <c r="C1007" t="s">
        <v>9399</v>
      </c>
      <c r="D1007" t="s">
        <v>9400</v>
      </c>
      <c r="E1007" t="s">
        <v>9401</v>
      </c>
      <c r="F1007" t="s">
        <v>9402</v>
      </c>
      <c r="G1007" t="s">
        <v>5904</v>
      </c>
      <c r="H1007">
        <v>177</v>
      </c>
      <c r="I1007">
        <v>177</v>
      </c>
      <c r="J1007">
        <v>177</v>
      </c>
      <c r="K1007">
        <v>161</v>
      </c>
      <c r="L1007">
        <v>165</v>
      </c>
      <c r="M1007">
        <v>91</v>
      </c>
      <c r="N1007">
        <v>93.2</v>
      </c>
      <c r="O1007">
        <v>273.10000000000002</v>
      </c>
    </row>
    <row r="1008" spans="1:15">
      <c r="A1008">
        <v>692</v>
      </c>
      <c r="B1008" t="s">
        <v>9403</v>
      </c>
      <c r="C1008" t="s">
        <v>9404</v>
      </c>
      <c r="D1008" t="s">
        <v>9405</v>
      </c>
      <c r="E1008" t="s">
        <v>9406</v>
      </c>
      <c r="F1008" t="s">
        <v>9407</v>
      </c>
      <c r="G1008" t="s">
        <v>5904</v>
      </c>
      <c r="H1008">
        <v>707</v>
      </c>
      <c r="I1008">
        <v>669</v>
      </c>
      <c r="J1008">
        <v>633</v>
      </c>
      <c r="K1008">
        <v>555</v>
      </c>
      <c r="L1008">
        <v>578</v>
      </c>
      <c r="M1008">
        <v>78.5</v>
      </c>
      <c r="N1008">
        <v>81.8</v>
      </c>
      <c r="O1008">
        <v>1154</v>
      </c>
    </row>
    <row r="1009" spans="1:15">
      <c r="A1009">
        <v>691</v>
      </c>
      <c r="B1009" t="s">
        <v>9408</v>
      </c>
      <c r="C1009" t="s">
        <v>2653</v>
      </c>
      <c r="D1009" t="s">
        <v>9409</v>
      </c>
      <c r="E1009" t="s">
        <v>9410</v>
      </c>
      <c r="F1009" t="s">
        <v>9411</v>
      </c>
      <c r="G1009" t="s">
        <v>5904</v>
      </c>
      <c r="H1009">
        <v>402</v>
      </c>
      <c r="I1009">
        <v>435</v>
      </c>
      <c r="J1009">
        <v>386</v>
      </c>
      <c r="K1009">
        <v>285</v>
      </c>
      <c r="L1009">
        <v>318</v>
      </c>
      <c r="M1009">
        <v>70.900000000000006</v>
      </c>
      <c r="N1009">
        <v>79.099999999999994</v>
      </c>
      <c r="O1009">
        <v>518.5</v>
      </c>
    </row>
    <row r="1010" spans="1:15">
      <c r="A1010">
        <v>690</v>
      </c>
      <c r="B1010" t="s">
        <v>2654</v>
      </c>
      <c r="C1010" t="s">
        <v>9412</v>
      </c>
      <c r="D1010" t="s">
        <v>9413</v>
      </c>
      <c r="E1010" t="s">
        <v>9414</v>
      </c>
      <c r="F1010" t="s">
        <v>9415</v>
      </c>
      <c r="G1010" t="s">
        <v>5904</v>
      </c>
      <c r="H1010">
        <v>299</v>
      </c>
      <c r="I1010">
        <v>299</v>
      </c>
      <c r="J1010">
        <v>299</v>
      </c>
      <c r="K1010">
        <v>297</v>
      </c>
      <c r="L1010">
        <v>298</v>
      </c>
      <c r="M1010">
        <v>99.3</v>
      </c>
      <c r="N1010">
        <v>99.7</v>
      </c>
      <c r="O1010">
        <v>601.70000000000005</v>
      </c>
    </row>
    <row r="1011" spans="1:15">
      <c r="A1011">
        <v>689</v>
      </c>
      <c r="B1011" t="s">
        <v>9416</v>
      </c>
      <c r="C1011" t="s">
        <v>9417</v>
      </c>
      <c r="D1011" t="s">
        <v>9418</v>
      </c>
      <c r="E1011" t="s">
        <v>9419</v>
      </c>
      <c r="F1011" t="s">
        <v>9420</v>
      </c>
      <c r="G1011" t="s">
        <v>5904</v>
      </c>
      <c r="H1011">
        <v>283</v>
      </c>
      <c r="I1011">
        <v>283</v>
      </c>
      <c r="J1011">
        <v>283</v>
      </c>
      <c r="K1011">
        <v>279</v>
      </c>
      <c r="L1011">
        <v>281</v>
      </c>
      <c r="M1011">
        <v>98.6</v>
      </c>
      <c r="N1011">
        <v>99.3</v>
      </c>
      <c r="O1011">
        <v>568.9</v>
      </c>
    </row>
    <row r="1012" spans="1:15">
      <c r="A1012">
        <v>688</v>
      </c>
      <c r="B1012" t="s">
        <v>9421</v>
      </c>
      <c r="C1012" t="s">
        <v>2662</v>
      </c>
      <c r="D1012" t="s">
        <v>9422</v>
      </c>
      <c r="E1012" t="s">
        <v>9423</v>
      </c>
      <c r="F1012" t="s">
        <v>9424</v>
      </c>
      <c r="G1012" t="s">
        <v>5904</v>
      </c>
      <c r="H1012">
        <v>298</v>
      </c>
      <c r="I1012">
        <v>298</v>
      </c>
      <c r="J1012">
        <v>298</v>
      </c>
      <c r="K1012">
        <v>286</v>
      </c>
      <c r="L1012">
        <v>293</v>
      </c>
      <c r="M1012">
        <v>96</v>
      </c>
      <c r="N1012">
        <v>98.3</v>
      </c>
      <c r="O1012">
        <v>589</v>
      </c>
    </row>
    <row r="1013" spans="1:15">
      <c r="A1013">
        <v>687</v>
      </c>
      <c r="B1013" t="s">
        <v>9425</v>
      </c>
      <c r="C1013" t="s">
        <v>2665</v>
      </c>
      <c r="D1013" t="s">
        <v>9426</v>
      </c>
      <c r="E1013" t="s">
        <v>9427</v>
      </c>
      <c r="F1013" t="s">
        <v>9428</v>
      </c>
      <c r="G1013" t="s">
        <v>5904</v>
      </c>
      <c r="H1013">
        <v>385</v>
      </c>
      <c r="I1013">
        <v>419</v>
      </c>
      <c r="J1013">
        <v>419</v>
      </c>
      <c r="K1013">
        <v>355</v>
      </c>
      <c r="L1013">
        <v>363</v>
      </c>
      <c r="M1013">
        <v>92.2</v>
      </c>
      <c r="N1013">
        <v>94.3</v>
      </c>
      <c r="O1013">
        <v>699.1</v>
      </c>
    </row>
    <row r="1014" spans="1:15">
      <c r="A1014">
        <v>686</v>
      </c>
      <c r="B1014" t="s">
        <v>2666</v>
      </c>
      <c r="C1014" t="s">
        <v>2667</v>
      </c>
      <c r="D1014" t="s">
        <v>9429</v>
      </c>
      <c r="E1014" t="s">
        <v>9430</v>
      </c>
      <c r="F1014" t="s">
        <v>9431</v>
      </c>
      <c r="G1014" t="s">
        <v>5904</v>
      </c>
      <c r="H1014">
        <v>103</v>
      </c>
      <c r="I1014">
        <v>103</v>
      </c>
      <c r="J1014">
        <v>103</v>
      </c>
      <c r="K1014">
        <v>81</v>
      </c>
      <c r="L1014">
        <v>93</v>
      </c>
      <c r="M1014">
        <v>78.599999999999994</v>
      </c>
      <c r="N1014">
        <v>90.3</v>
      </c>
      <c r="O1014">
        <v>161.4</v>
      </c>
    </row>
    <row r="1015" spans="1:15">
      <c r="A1015">
        <v>685</v>
      </c>
      <c r="B1015" t="s">
        <v>2668</v>
      </c>
      <c r="C1015" t="s">
        <v>2669</v>
      </c>
      <c r="D1015" t="s">
        <v>9432</v>
      </c>
      <c r="E1015" t="s">
        <v>9433</v>
      </c>
      <c r="F1015" t="s">
        <v>9434</v>
      </c>
      <c r="G1015" t="s">
        <v>5904</v>
      </c>
      <c r="H1015">
        <v>145</v>
      </c>
      <c r="I1015">
        <v>145</v>
      </c>
      <c r="J1015">
        <v>145</v>
      </c>
      <c r="K1015">
        <v>133</v>
      </c>
      <c r="L1015">
        <v>140</v>
      </c>
      <c r="M1015">
        <v>91.7</v>
      </c>
      <c r="N1015">
        <v>96.6</v>
      </c>
      <c r="O1015">
        <v>287.3</v>
      </c>
    </row>
    <row r="1016" spans="1:15">
      <c r="A1016">
        <v>684</v>
      </c>
      <c r="B1016" t="s">
        <v>2670</v>
      </c>
      <c r="C1016" t="s">
        <v>2671</v>
      </c>
      <c r="D1016" t="s">
        <v>9435</v>
      </c>
      <c r="E1016" t="s">
        <v>9436</v>
      </c>
      <c r="F1016" t="s">
        <v>9437</v>
      </c>
      <c r="G1016" t="s">
        <v>5904</v>
      </c>
      <c r="H1016">
        <v>287</v>
      </c>
      <c r="I1016">
        <v>240</v>
      </c>
      <c r="J1016">
        <v>218</v>
      </c>
      <c r="K1016">
        <v>185</v>
      </c>
      <c r="L1016">
        <v>193</v>
      </c>
      <c r="M1016">
        <v>64.5</v>
      </c>
      <c r="N1016">
        <v>67.2</v>
      </c>
      <c r="O1016">
        <v>367.5</v>
      </c>
    </row>
    <row r="1017" spans="1:15">
      <c r="A1017">
        <v>683</v>
      </c>
      <c r="B1017" t="s">
        <v>2672</v>
      </c>
      <c r="C1017" t="s">
        <v>2673</v>
      </c>
      <c r="D1017" t="s">
        <v>9438</v>
      </c>
      <c r="E1017" t="s">
        <v>9439</v>
      </c>
      <c r="F1017" t="s">
        <v>9440</v>
      </c>
      <c r="G1017" t="s">
        <v>5904</v>
      </c>
      <c r="H1017">
        <v>261</v>
      </c>
      <c r="I1017">
        <v>260</v>
      </c>
      <c r="J1017">
        <v>258</v>
      </c>
      <c r="K1017">
        <v>193</v>
      </c>
      <c r="L1017">
        <v>210</v>
      </c>
      <c r="M1017">
        <v>73.900000000000006</v>
      </c>
      <c r="N1017">
        <v>80.5</v>
      </c>
      <c r="O1017">
        <v>390.2</v>
      </c>
    </row>
    <row r="1018" spans="1:15">
      <c r="A1018">
        <v>682</v>
      </c>
      <c r="B1018" t="s">
        <v>9441</v>
      </c>
      <c r="C1018" t="s">
        <v>2676</v>
      </c>
      <c r="D1018" t="s">
        <v>9442</v>
      </c>
      <c r="E1018" t="s">
        <v>9443</v>
      </c>
      <c r="F1018" t="s">
        <v>9444</v>
      </c>
      <c r="G1018" t="s">
        <v>5904</v>
      </c>
      <c r="H1018">
        <v>1133</v>
      </c>
      <c r="I1018">
        <v>1156</v>
      </c>
      <c r="J1018">
        <v>1139</v>
      </c>
      <c r="K1018">
        <v>929</v>
      </c>
      <c r="L1018">
        <v>1012</v>
      </c>
      <c r="M1018">
        <v>82</v>
      </c>
      <c r="N1018">
        <v>89.3</v>
      </c>
      <c r="O1018">
        <v>1912.1</v>
      </c>
    </row>
    <row r="1019" spans="1:15">
      <c r="A1019">
        <v>681</v>
      </c>
      <c r="B1019" t="s">
        <v>2677</v>
      </c>
      <c r="C1019" t="s">
        <v>2678</v>
      </c>
      <c r="D1019" t="s">
        <v>9445</v>
      </c>
      <c r="E1019" t="s">
        <v>9446</v>
      </c>
      <c r="F1019" t="s">
        <v>9447</v>
      </c>
      <c r="G1019" t="s">
        <v>5904</v>
      </c>
      <c r="H1019">
        <v>695</v>
      </c>
      <c r="I1019">
        <v>688</v>
      </c>
      <c r="J1019">
        <v>689</v>
      </c>
      <c r="K1019">
        <v>560</v>
      </c>
      <c r="L1019">
        <v>617</v>
      </c>
      <c r="M1019">
        <v>80.599999999999994</v>
      </c>
      <c r="N1019">
        <v>88.8</v>
      </c>
      <c r="O1019">
        <v>1181.4000000000001</v>
      </c>
    </row>
    <row r="1020" spans="1:15">
      <c r="A1020">
        <v>680</v>
      </c>
      <c r="B1020" t="s">
        <v>9448</v>
      </c>
      <c r="C1020" t="s">
        <v>2681</v>
      </c>
      <c r="D1020" t="s">
        <v>9449</v>
      </c>
      <c r="E1020" t="s">
        <v>9450</v>
      </c>
      <c r="F1020" t="s">
        <v>9451</v>
      </c>
      <c r="G1020" t="s">
        <v>5904</v>
      </c>
      <c r="H1020">
        <v>820</v>
      </c>
      <c r="I1020">
        <v>822</v>
      </c>
      <c r="J1020">
        <v>822</v>
      </c>
      <c r="K1020">
        <v>761</v>
      </c>
      <c r="L1020">
        <v>787</v>
      </c>
      <c r="M1020">
        <v>92.8</v>
      </c>
      <c r="N1020">
        <v>96</v>
      </c>
      <c r="O1020">
        <v>1442.9</v>
      </c>
    </row>
    <row r="1021" spans="1:15">
      <c r="A1021">
        <v>679</v>
      </c>
      <c r="B1021" t="s">
        <v>2682</v>
      </c>
      <c r="C1021" t="s">
        <v>2683</v>
      </c>
      <c r="D1021" t="s">
        <v>9452</v>
      </c>
      <c r="E1021" t="s">
        <v>9453</v>
      </c>
      <c r="F1021" t="s">
        <v>9454</v>
      </c>
      <c r="G1021" t="s">
        <v>5904</v>
      </c>
      <c r="H1021">
        <v>551</v>
      </c>
      <c r="I1021">
        <v>552</v>
      </c>
      <c r="J1021">
        <v>552</v>
      </c>
      <c r="K1021">
        <v>516</v>
      </c>
      <c r="L1021">
        <v>528</v>
      </c>
      <c r="M1021">
        <v>93.6</v>
      </c>
      <c r="N1021">
        <v>95.8</v>
      </c>
      <c r="O1021">
        <v>1062.8</v>
      </c>
    </row>
    <row r="1022" spans="1:15">
      <c r="A1022">
        <v>2239</v>
      </c>
      <c r="B1022" t="s">
        <v>9455</v>
      </c>
      <c r="C1022" t="s">
        <v>2686</v>
      </c>
      <c r="D1022" t="s">
        <v>9456</v>
      </c>
      <c r="E1022" t="s">
        <v>9457</v>
      </c>
      <c r="F1022" t="s">
        <v>9458</v>
      </c>
      <c r="G1022" t="s">
        <v>5904</v>
      </c>
      <c r="H1022">
        <v>267</v>
      </c>
      <c r="I1022">
        <v>263</v>
      </c>
      <c r="J1022">
        <v>267</v>
      </c>
      <c r="K1022">
        <v>246</v>
      </c>
      <c r="L1022">
        <v>253</v>
      </c>
      <c r="M1022">
        <v>92.1</v>
      </c>
      <c r="N1022">
        <v>94.8</v>
      </c>
      <c r="O1022">
        <v>494.6</v>
      </c>
    </row>
    <row r="1023" spans="1:15">
      <c r="A1023">
        <v>678</v>
      </c>
      <c r="B1023" t="s">
        <v>9459</v>
      </c>
      <c r="C1023" t="s">
        <v>2689</v>
      </c>
      <c r="D1023" t="s">
        <v>9460</v>
      </c>
      <c r="E1023" t="s">
        <v>9461</v>
      </c>
      <c r="F1023" t="s">
        <v>9462</v>
      </c>
      <c r="G1023" t="s">
        <v>5904</v>
      </c>
      <c r="H1023">
        <v>213</v>
      </c>
      <c r="I1023">
        <v>184</v>
      </c>
      <c r="J1023">
        <v>217</v>
      </c>
      <c r="K1023">
        <v>132</v>
      </c>
      <c r="L1023">
        <v>137</v>
      </c>
      <c r="M1023">
        <v>62</v>
      </c>
      <c r="N1023">
        <v>64.3</v>
      </c>
      <c r="O1023">
        <v>167.2</v>
      </c>
    </row>
    <row r="1024" spans="1:15">
      <c r="A1024">
        <v>677</v>
      </c>
      <c r="B1024" t="s">
        <v>2690</v>
      </c>
      <c r="C1024" t="s">
        <v>2692</v>
      </c>
      <c r="D1024" t="s">
        <v>9463</v>
      </c>
      <c r="E1024" t="s">
        <v>9464</v>
      </c>
      <c r="F1024" t="s">
        <v>9465</v>
      </c>
      <c r="G1024" t="s">
        <v>5904</v>
      </c>
      <c r="H1024">
        <v>1478</v>
      </c>
      <c r="I1024">
        <v>1474</v>
      </c>
      <c r="J1024">
        <v>1463</v>
      </c>
      <c r="K1024">
        <v>899</v>
      </c>
      <c r="L1024">
        <v>1106</v>
      </c>
      <c r="M1024">
        <v>60.8</v>
      </c>
      <c r="N1024">
        <v>74.8</v>
      </c>
      <c r="O1024">
        <v>1780</v>
      </c>
    </row>
    <row r="1025" spans="1:15">
      <c r="A1025">
        <v>676</v>
      </c>
      <c r="B1025" t="s">
        <v>2693</v>
      </c>
      <c r="C1025" t="s">
        <v>2694</v>
      </c>
      <c r="D1025" t="s">
        <v>9466</v>
      </c>
      <c r="E1025" t="s">
        <v>9467</v>
      </c>
      <c r="F1025" t="s">
        <v>9468</v>
      </c>
      <c r="G1025" t="s">
        <v>5904</v>
      </c>
      <c r="H1025">
        <v>163</v>
      </c>
      <c r="I1025">
        <v>154</v>
      </c>
      <c r="J1025">
        <v>154</v>
      </c>
      <c r="K1025">
        <v>135</v>
      </c>
      <c r="L1025">
        <v>143</v>
      </c>
      <c r="M1025">
        <v>82.8</v>
      </c>
      <c r="N1025">
        <v>87.7</v>
      </c>
      <c r="O1025">
        <v>278.5</v>
      </c>
    </row>
    <row r="1026" spans="1:15">
      <c r="A1026">
        <v>675</v>
      </c>
      <c r="B1026" t="s">
        <v>9469</v>
      </c>
      <c r="C1026" t="s">
        <v>9470</v>
      </c>
      <c r="D1026" t="s">
        <v>9471</v>
      </c>
      <c r="E1026" t="s">
        <v>9472</v>
      </c>
      <c r="F1026" t="s">
        <v>9473</v>
      </c>
      <c r="G1026" t="s">
        <v>5904</v>
      </c>
      <c r="H1026">
        <v>362</v>
      </c>
      <c r="I1026">
        <v>362</v>
      </c>
      <c r="J1026">
        <v>362</v>
      </c>
      <c r="K1026">
        <v>346</v>
      </c>
      <c r="L1026">
        <v>349</v>
      </c>
      <c r="M1026">
        <v>95.6</v>
      </c>
      <c r="N1026">
        <v>96.4</v>
      </c>
      <c r="O1026">
        <v>665.6</v>
      </c>
    </row>
    <row r="1027" spans="1:15">
      <c r="A1027">
        <v>674</v>
      </c>
      <c r="B1027" t="s">
        <v>9474</v>
      </c>
      <c r="C1027" t="s">
        <v>2700</v>
      </c>
      <c r="D1027" t="s">
        <v>9463</v>
      </c>
      <c r="E1027" t="s">
        <v>9464</v>
      </c>
      <c r="F1027" t="s">
        <v>9475</v>
      </c>
      <c r="G1027" t="s">
        <v>5904</v>
      </c>
      <c r="H1027">
        <v>1480</v>
      </c>
      <c r="I1027">
        <v>1474</v>
      </c>
      <c r="J1027">
        <v>1473</v>
      </c>
      <c r="K1027">
        <v>1194</v>
      </c>
      <c r="L1027">
        <v>1320</v>
      </c>
      <c r="M1027">
        <v>80.7</v>
      </c>
      <c r="N1027">
        <v>89.2</v>
      </c>
      <c r="O1027">
        <v>2443.3000000000002</v>
      </c>
    </row>
    <row r="1028" spans="1:15">
      <c r="A1028">
        <v>673</v>
      </c>
      <c r="B1028" t="s">
        <v>9476</v>
      </c>
      <c r="C1028" t="s">
        <v>2703</v>
      </c>
      <c r="D1028" t="s">
        <v>9477</v>
      </c>
      <c r="E1028" t="s">
        <v>9478</v>
      </c>
      <c r="F1028" t="s">
        <v>9479</v>
      </c>
      <c r="G1028" t="s">
        <v>5904</v>
      </c>
      <c r="H1028">
        <v>466</v>
      </c>
      <c r="I1028">
        <v>466</v>
      </c>
      <c r="J1028">
        <v>455</v>
      </c>
      <c r="K1028">
        <v>439</v>
      </c>
      <c r="L1028">
        <v>446</v>
      </c>
      <c r="M1028">
        <v>94.2</v>
      </c>
      <c r="N1028">
        <v>95.7</v>
      </c>
      <c r="O1028">
        <v>919.1</v>
      </c>
    </row>
    <row r="1029" spans="1:15">
      <c r="A1029">
        <v>672</v>
      </c>
      <c r="B1029" t="s">
        <v>9480</v>
      </c>
      <c r="C1029" t="s">
        <v>2706</v>
      </c>
      <c r="D1029" t="s">
        <v>9481</v>
      </c>
      <c r="E1029" t="s">
        <v>9482</v>
      </c>
      <c r="F1029" t="s">
        <v>9483</v>
      </c>
      <c r="G1029" t="s">
        <v>5904</v>
      </c>
      <c r="H1029">
        <v>195</v>
      </c>
      <c r="I1029">
        <v>263</v>
      </c>
      <c r="J1029">
        <v>168</v>
      </c>
      <c r="K1029">
        <v>165</v>
      </c>
      <c r="L1029">
        <v>167</v>
      </c>
      <c r="M1029">
        <v>84.6</v>
      </c>
      <c r="N1029">
        <v>85.6</v>
      </c>
      <c r="O1029">
        <v>344.7</v>
      </c>
    </row>
    <row r="1030" spans="1:15">
      <c r="A1030">
        <v>671</v>
      </c>
      <c r="B1030" t="s">
        <v>2707</v>
      </c>
      <c r="C1030" t="s">
        <v>9484</v>
      </c>
      <c r="D1030" t="s">
        <v>9485</v>
      </c>
      <c r="E1030" t="s">
        <v>9486</v>
      </c>
      <c r="F1030" t="s">
        <v>9487</v>
      </c>
      <c r="G1030" t="s">
        <v>5904</v>
      </c>
      <c r="H1030">
        <v>214</v>
      </c>
      <c r="I1030">
        <v>214</v>
      </c>
      <c r="J1030">
        <v>214</v>
      </c>
      <c r="K1030">
        <v>214</v>
      </c>
      <c r="L1030">
        <v>214</v>
      </c>
      <c r="M1030">
        <v>100</v>
      </c>
      <c r="N1030">
        <v>100</v>
      </c>
      <c r="O1030">
        <v>444.9</v>
      </c>
    </row>
    <row r="1031" spans="1:15">
      <c r="A1031">
        <v>670</v>
      </c>
      <c r="B1031" t="s">
        <v>2709</v>
      </c>
      <c r="C1031" t="s">
        <v>2711</v>
      </c>
      <c r="D1031" t="s">
        <v>9488</v>
      </c>
      <c r="E1031" t="s">
        <v>9489</v>
      </c>
      <c r="F1031" t="s">
        <v>9490</v>
      </c>
      <c r="G1031" t="s">
        <v>5904</v>
      </c>
      <c r="H1031">
        <v>705</v>
      </c>
      <c r="I1031">
        <v>703</v>
      </c>
      <c r="J1031">
        <v>706</v>
      </c>
      <c r="K1031">
        <v>638</v>
      </c>
      <c r="L1031">
        <v>668</v>
      </c>
      <c r="M1031">
        <v>90.5</v>
      </c>
      <c r="N1031">
        <v>94.8</v>
      </c>
      <c r="O1031">
        <v>1279.2</v>
      </c>
    </row>
    <row r="1032" spans="1:15">
      <c r="A1032">
        <v>669</v>
      </c>
      <c r="B1032" t="s">
        <v>2712</v>
      </c>
      <c r="C1032" t="s">
        <v>2713</v>
      </c>
      <c r="D1032" t="s">
        <v>9488</v>
      </c>
      <c r="E1032" t="s">
        <v>9489</v>
      </c>
      <c r="F1032" t="s">
        <v>9491</v>
      </c>
      <c r="G1032" t="s">
        <v>5904</v>
      </c>
      <c r="H1032">
        <v>685</v>
      </c>
      <c r="I1032">
        <v>703</v>
      </c>
      <c r="J1032">
        <v>702</v>
      </c>
      <c r="K1032">
        <v>542</v>
      </c>
      <c r="L1032">
        <v>584</v>
      </c>
      <c r="M1032">
        <v>79.099999999999994</v>
      </c>
      <c r="N1032">
        <v>85.3</v>
      </c>
      <c r="O1032">
        <v>1028.8</v>
      </c>
    </row>
    <row r="1033" spans="1:15">
      <c r="A1033">
        <v>668</v>
      </c>
      <c r="B1033" t="s">
        <v>9492</v>
      </c>
      <c r="C1033" t="s">
        <v>2716</v>
      </c>
      <c r="D1033" t="s">
        <v>9493</v>
      </c>
      <c r="E1033" t="s">
        <v>9494</v>
      </c>
      <c r="F1033" t="s">
        <v>9495</v>
      </c>
      <c r="G1033" t="s">
        <v>5904</v>
      </c>
      <c r="H1033">
        <v>758</v>
      </c>
      <c r="I1033">
        <v>759</v>
      </c>
      <c r="J1033">
        <v>759</v>
      </c>
      <c r="K1033">
        <v>626</v>
      </c>
      <c r="L1033">
        <v>678</v>
      </c>
      <c r="M1033">
        <v>82.6</v>
      </c>
      <c r="N1033">
        <v>89.4</v>
      </c>
      <c r="O1033">
        <v>1250.3</v>
      </c>
    </row>
    <row r="1034" spans="1:15">
      <c r="A1034">
        <v>667</v>
      </c>
      <c r="B1034" t="s">
        <v>9496</v>
      </c>
      <c r="C1034" t="s">
        <v>2720</v>
      </c>
      <c r="D1034" t="s">
        <v>9497</v>
      </c>
      <c r="E1034" t="s">
        <v>9498</v>
      </c>
      <c r="F1034" t="s">
        <v>9499</v>
      </c>
      <c r="G1034" t="s">
        <v>5904</v>
      </c>
      <c r="H1034">
        <v>713</v>
      </c>
      <c r="I1034">
        <v>705</v>
      </c>
      <c r="J1034">
        <v>704</v>
      </c>
      <c r="K1034">
        <v>598</v>
      </c>
      <c r="L1034">
        <v>651</v>
      </c>
      <c r="M1034">
        <v>83.9</v>
      </c>
      <c r="N1034">
        <v>91.3</v>
      </c>
      <c r="O1034">
        <v>1286.2</v>
      </c>
    </row>
    <row r="1035" spans="1:15">
      <c r="A1035">
        <v>666</v>
      </c>
      <c r="B1035" t="s">
        <v>9500</v>
      </c>
      <c r="C1035" t="s">
        <v>2726</v>
      </c>
      <c r="D1035" t="s">
        <v>9501</v>
      </c>
      <c r="E1035" t="s">
        <v>9502</v>
      </c>
      <c r="F1035" t="s">
        <v>9503</v>
      </c>
      <c r="G1035" t="s">
        <v>5904</v>
      </c>
      <c r="H1035">
        <v>187</v>
      </c>
      <c r="I1035">
        <v>195</v>
      </c>
      <c r="J1035">
        <v>187</v>
      </c>
      <c r="K1035">
        <v>172</v>
      </c>
      <c r="L1035">
        <v>175</v>
      </c>
      <c r="M1035">
        <v>92</v>
      </c>
      <c r="N1035">
        <v>93.6</v>
      </c>
      <c r="O1035">
        <v>351.7</v>
      </c>
    </row>
    <row r="1036" spans="1:15">
      <c r="A1036">
        <v>665</v>
      </c>
      <c r="B1036" t="s">
        <v>2727</v>
      </c>
      <c r="C1036" t="s">
        <v>2728</v>
      </c>
      <c r="D1036" t="s">
        <v>9504</v>
      </c>
      <c r="E1036" t="s">
        <v>9505</v>
      </c>
      <c r="F1036" t="s">
        <v>9506</v>
      </c>
      <c r="G1036" t="s">
        <v>5904</v>
      </c>
      <c r="H1036">
        <v>463</v>
      </c>
      <c r="I1036">
        <v>525</v>
      </c>
      <c r="J1036">
        <v>500</v>
      </c>
      <c r="K1036">
        <v>356</v>
      </c>
      <c r="L1036">
        <v>377</v>
      </c>
      <c r="M1036">
        <v>76.900000000000006</v>
      </c>
      <c r="N1036">
        <v>81.400000000000006</v>
      </c>
      <c r="O1036">
        <v>626.29999999999995</v>
      </c>
    </row>
    <row r="1037" spans="1:15">
      <c r="A1037">
        <v>664</v>
      </c>
      <c r="B1037" t="s">
        <v>9507</v>
      </c>
      <c r="C1037" t="s">
        <v>2732</v>
      </c>
      <c r="D1037" t="s">
        <v>9508</v>
      </c>
      <c r="E1037" t="s">
        <v>9509</v>
      </c>
      <c r="F1037" t="s">
        <v>9510</v>
      </c>
      <c r="G1037" t="s">
        <v>5896</v>
      </c>
      <c r="H1037">
        <v>189</v>
      </c>
      <c r="I1037">
        <v>449</v>
      </c>
      <c r="J1037">
        <v>189</v>
      </c>
      <c r="K1037">
        <v>189</v>
      </c>
      <c r="L1037">
        <v>189</v>
      </c>
      <c r="M1037">
        <v>100</v>
      </c>
      <c r="N1037">
        <v>100</v>
      </c>
      <c r="O1037">
        <v>396.4</v>
      </c>
    </row>
    <row r="1038" spans="1:15">
      <c r="A1038">
        <v>663</v>
      </c>
      <c r="B1038" t="s">
        <v>2736</v>
      </c>
      <c r="C1038" t="s">
        <v>2737</v>
      </c>
      <c r="D1038" t="s">
        <v>9511</v>
      </c>
      <c r="E1038" t="s">
        <v>9512</v>
      </c>
      <c r="F1038" t="s">
        <v>9513</v>
      </c>
      <c r="G1038" t="s">
        <v>5904</v>
      </c>
      <c r="H1038">
        <v>1575</v>
      </c>
      <c r="I1038">
        <v>1568</v>
      </c>
      <c r="J1038">
        <v>1577</v>
      </c>
      <c r="K1038">
        <v>1406</v>
      </c>
      <c r="L1038">
        <v>1468</v>
      </c>
      <c r="M1038">
        <v>89.3</v>
      </c>
      <c r="N1038">
        <v>93.2</v>
      </c>
      <c r="O1038">
        <v>2811.6</v>
      </c>
    </row>
    <row r="1039" spans="1:15">
      <c r="A1039">
        <v>662</v>
      </c>
      <c r="B1039" t="s">
        <v>2738</v>
      </c>
      <c r="C1039" t="s">
        <v>2740</v>
      </c>
      <c r="D1039" t="s">
        <v>9514</v>
      </c>
      <c r="E1039" t="s">
        <v>9515</v>
      </c>
      <c r="F1039" t="s">
        <v>9516</v>
      </c>
      <c r="G1039" t="s">
        <v>5904</v>
      </c>
      <c r="H1039">
        <v>1202</v>
      </c>
      <c r="I1039">
        <v>1141</v>
      </c>
      <c r="J1039">
        <v>1103</v>
      </c>
      <c r="K1039">
        <v>1029</v>
      </c>
      <c r="L1039">
        <v>1072</v>
      </c>
      <c r="M1039">
        <v>85.6</v>
      </c>
      <c r="N1039">
        <v>89.2</v>
      </c>
      <c r="O1039">
        <v>2158.3000000000002</v>
      </c>
    </row>
    <row r="1040" spans="1:15">
      <c r="A1040">
        <v>661</v>
      </c>
      <c r="B1040" t="s">
        <v>2741</v>
      </c>
      <c r="C1040" t="s">
        <v>2742</v>
      </c>
      <c r="D1040" t="s">
        <v>9374</v>
      </c>
      <c r="E1040" t="s">
        <v>9375</v>
      </c>
      <c r="F1040" t="s">
        <v>9517</v>
      </c>
      <c r="G1040" t="s">
        <v>5904</v>
      </c>
      <c r="H1040">
        <v>148</v>
      </c>
      <c r="I1040">
        <v>148</v>
      </c>
      <c r="J1040">
        <v>148</v>
      </c>
      <c r="K1040">
        <v>116</v>
      </c>
      <c r="L1040">
        <v>133</v>
      </c>
      <c r="M1040">
        <v>78.400000000000006</v>
      </c>
      <c r="N1040">
        <v>89.9</v>
      </c>
      <c r="O1040">
        <v>255</v>
      </c>
    </row>
    <row r="1041" spans="1:15">
      <c r="A1041">
        <v>2039</v>
      </c>
      <c r="B1041" t="s">
        <v>2743</v>
      </c>
      <c r="C1041" t="s">
        <v>2744</v>
      </c>
      <c r="D1041" t="s">
        <v>9518</v>
      </c>
      <c r="E1041" t="s">
        <v>9519</v>
      </c>
      <c r="F1041" t="s">
        <v>9520</v>
      </c>
      <c r="G1041" t="s">
        <v>5904</v>
      </c>
      <c r="H1041">
        <v>1241</v>
      </c>
      <c r="I1041">
        <v>1235</v>
      </c>
      <c r="J1041">
        <v>1242</v>
      </c>
      <c r="K1041">
        <v>1119</v>
      </c>
      <c r="L1041">
        <v>1171</v>
      </c>
      <c r="M1041">
        <v>90.2</v>
      </c>
      <c r="N1041">
        <v>94.4</v>
      </c>
      <c r="O1041">
        <v>2199.5</v>
      </c>
    </row>
    <row r="1042" spans="1:15">
      <c r="A1042">
        <v>660</v>
      </c>
      <c r="B1042" t="s">
        <v>2745</v>
      </c>
      <c r="C1042" t="s">
        <v>2746</v>
      </c>
      <c r="D1042" t="s">
        <v>9521</v>
      </c>
      <c r="E1042" t="s">
        <v>9522</v>
      </c>
      <c r="F1042" t="s">
        <v>9523</v>
      </c>
      <c r="G1042" t="s">
        <v>5904</v>
      </c>
      <c r="H1042">
        <v>281</v>
      </c>
      <c r="I1042">
        <v>326</v>
      </c>
      <c r="J1042">
        <v>283</v>
      </c>
      <c r="K1042">
        <v>197</v>
      </c>
      <c r="L1042">
        <v>220</v>
      </c>
      <c r="M1042">
        <v>70.099999999999994</v>
      </c>
      <c r="N1042">
        <v>78.3</v>
      </c>
      <c r="O1042">
        <v>348.2</v>
      </c>
    </row>
    <row r="1043" spans="1:15">
      <c r="A1043">
        <v>659</v>
      </c>
      <c r="B1043" t="s">
        <v>2747</v>
      </c>
      <c r="C1043" t="s">
        <v>2748</v>
      </c>
      <c r="D1043" t="s">
        <v>9524</v>
      </c>
      <c r="E1043" t="s">
        <v>9525</v>
      </c>
      <c r="F1043" t="s">
        <v>9526</v>
      </c>
      <c r="G1043" t="s">
        <v>5904</v>
      </c>
      <c r="H1043">
        <v>350</v>
      </c>
      <c r="I1043">
        <v>350</v>
      </c>
      <c r="J1043">
        <v>350</v>
      </c>
      <c r="K1043">
        <v>340</v>
      </c>
      <c r="L1043">
        <v>347</v>
      </c>
      <c r="M1043">
        <v>97.1</v>
      </c>
      <c r="N1043">
        <v>99.1</v>
      </c>
      <c r="O1043">
        <v>710.3</v>
      </c>
    </row>
    <row r="1044" spans="1:15">
      <c r="A1044">
        <v>2038</v>
      </c>
      <c r="B1044" t="s">
        <v>9527</v>
      </c>
      <c r="C1044" t="s">
        <v>9528</v>
      </c>
      <c r="D1044" t="s">
        <v>9529</v>
      </c>
      <c r="E1044" t="s">
        <v>9530</v>
      </c>
      <c r="F1044" t="s">
        <v>9531</v>
      </c>
      <c r="G1044" t="s">
        <v>5904</v>
      </c>
      <c r="H1044">
        <v>111</v>
      </c>
      <c r="I1044">
        <v>108</v>
      </c>
      <c r="J1044">
        <v>98</v>
      </c>
      <c r="K1044">
        <v>93</v>
      </c>
      <c r="L1044">
        <v>98</v>
      </c>
      <c r="M1044">
        <v>83.8</v>
      </c>
      <c r="N1044">
        <v>88.3</v>
      </c>
      <c r="O1044">
        <v>204.9</v>
      </c>
    </row>
    <row r="1045" spans="1:15">
      <c r="A1045">
        <v>658</v>
      </c>
      <c r="B1045" t="s">
        <v>2752</v>
      </c>
      <c r="C1045" t="s">
        <v>2753</v>
      </c>
      <c r="D1045" t="s">
        <v>9532</v>
      </c>
      <c r="E1045" t="s">
        <v>9533</v>
      </c>
      <c r="F1045" t="s">
        <v>9534</v>
      </c>
      <c r="G1045" t="s">
        <v>5904</v>
      </c>
      <c r="H1045">
        <v>421</v>
      </c>
      <c r="I1045">
        <v>421</v>
      </c>
      <c r="J1045">
        <v>421</v>
      </c>
      <c r="K1045">
        <v>411</v>
      </c>
      <c r="L1045">
        <v>416</v>
      </c>
      <c r="M1045">
        <v>97.6</v>
      </c>
      <c r="N1045">
        <v>98.8</v>
      </c>
      <c r="O1045">
        <v>849.7</v>
      </c>
    </row>
    <row r="1046" spans="1:15">
      <c r="A1046">
        <v>657</v>
      </c>
      <c r="B1046" t="s">
        <v>2754</v>
      </c>
      <c r="C1046" t="s">
        <v>2755</v>
      </c>
      <c r="D1046" t="s">
        <v>9535</v>
      </c>
      <c r="E1046" t="s">
        <v>9536</v>
      </c>
      <c r="F1046" t="s">
        <v>9537</v>
      </c>
      <c r="G1046" t="s">
        <v>5904</v>
      </c>
      <c r="H1046">
        <v>781</v>
      </c>
      <c r="I1046">
        <v>780</v>
      </c>
      <c r="J1046">
        <v>780</v>
      </c>
      <c r="K1046">
        <v>754</v>
      </c>
      <c r="L1046">
        <v>769</v>
      </c>
      <c r="M1046">
        <v>96.5</v>
      </c>
      <c r="N1046">
        <v>98.5</v>
      </c>
      <c r="O1046">
        <v>1570.8</v>
      </c>
    </row>
    <row r="1047" spans="1:15">
      <c r="A1047">
        <v>656</v>
      </c>
      <c r="B1047" t="s">
        <v>2756</v>
      </c>
      <c r="C1047" t="s">
        <v>2757</v>
      </c>
      <c r="D1047" t="s">
        <v>9538</v>
      </c>
      <c r="E1047" t="s">
        <v>9539</v>
      </c>
      <c r="F1047" t="s">
        <v>9540</v>
      </c>
      <c r="G1047" t="s">
        <v>5904</v>
      </c>
      <c r="H1047">
        <v>1017</v>
      </c>
      <c r="I1047">
        <v>988</v>
      </c>
      <c r="J1047">
        <v>1018</v>
      </c>
      <c r="K1047">
        <v>922</v>
      </c>
      <c r="L1047">
        <v>945</v>
      </c>
      <c r="M1047">
        <v>90.7</v>
      </c>
      <c r="N1047">
        <v>92.9</v>
      </c>
      <c r="O1047">
        <v>1892.1</v>
      </c>
    </row>
    <row r="1048" spans="1:15">
      <c r="A1048">
        <v>655</v>
      </c>
      <c r="B1048" t="s">
        <v>2758</v>
      </c>
      <c r="C1048" t="s">
        <v>2759</v>
      </c>
      <c r="D1048" t="s">
        <v>9541</v>
      </c>
      <c r="E1048" t="s">
        <v>9542</v>
      </c>
      <c r="F1048" t="s">
        <v>9543</v>
      </c>
      <c r="G1048" t="s">
        <v>5904</v>
      </c>
      <c r="H1048">
        <v>528</v>
      </c>
      <c r="I1048">
        <v>529</v>
      </c>
      <c r="J1048">
        <v>528</v>
      </c>
      <c r="K1048">
        <v>510</v>
      </c>
      <c r="L1048">
        <v>514</v>
      </c>
      <c r="M1048">
        <v>96.6</v>
      </c>
      <c r="N1048">
        <v>97.3</v>
      </c>
      <c r="O1048">
        <v>1020.8</v>
      </c>
    </row>
    <row r="1049" spans="1:15">
      <c r="A1049">
        <v>654</v>
      </c>
      <c r="B1049" t="s">
        <v>2760</v>
      </c>
      <c r="C1049" t="s">
        <v>2761</v>
      </c>
      <c r="D1049" t="s">
        <v>9544</v>
      </c>
      <c r="E1049" t="s">
        <v>9545</v>
      </c>
      <c r="F1049" t="s">
        <v>9546</v>
      </c>
      <c r="G1049" t="s">
        <v>5904</v>
      </c>
      <c r="H1049">
        <v>135</v>
      </c>
      <c r="I1049">
        <v>135</v>
      </c>
      <c r="J1049">
        <v>135</v>
      </c>
      <c r="K1049">
        <v>112</v>
      </c>
      <c r="L1049">
        <v>122</v>
      </c>
      <c r="M1049">
        <v>83</v>
      </c>
      <c r="N1049">
        <v>90.4</v>
      </c>
      <c r="O1049">
        <v>242.7</v>
      </c>
    </row>
    <row r="1050" spans="1:15">
      <c r="A1050">
        <v>653</v>
      </c>
      <c r="B1050" t="s">
        <v>9547</v>
      </c>
      <c r="C1050" t="s">
        <v>2764</v>
      </c>
      <c r="D1050" t="s">
        <v>9548</v>
      </c>
      <c r="E1050" t="s">
        <v>9549</v>
      </c>
      <c r="F1050" t="s">
        <v>9550</v>
      </c>
      <c r="G1050" t="s">
        <v>5904</v>
      </c>
      <c r="H1050">
        <v>411</v>
      </c>
      <c r="I1050">
        <v>411</v>
      </c>
      <c r="J1050">
        <v>411</v>
      </c>
      <c r="K1050">
        <v>354</v>
      </c>
      <c r="L1050">
        <v>382</v>
      </c>
      <c r="M1050">
        <v>86.1</v>
      </c>
      <c r="N1050">
        <v>92.9</v>
      </c>
      <c r="O1050">
        <v>753.1</v>
      </c>
    </row>
    <row r="1051" spans="1:15">
      <c r="A1051">
        <v>652</v>
      </c>
      <c r="B1051" t="s">
        <v>2765</v>
      </c>
      <c r="C1051" t="s">
        <v>2766</v>
      </c>
      <c r="D1051" t="s">
        <v>9551</v>
      </c>
      <c r="E1051" t="s">
        <v>9552</v>
      </c>
      <c r="F1051" t="s">
        <v>9553</v>
      </c>
      <c r="G1051" t="s">
        <v>5904</v>
      </c>
      <c r="H1051">
        <v>280</v>
      </c>
      <c r="I1051">
        <v>227</v>
      </c>
      <c r="J1051">
        <v>227</v>
      </c>
      <c r="K1051">
        <v>199</v>
      </c>
      <c r="L1051">
        <v>213</v>
      </c>
      <c r="M1051">
        <v>71.099999999999994</v>
      </c>
      <c r="N1051">
        <v>76.099999999999994</v>
      </c>
      <c r="O1051">
        <v>406.4</v>
      </c>
    </row>
    <row r="1052" spans="1:15">
      <c r="A1052">
        <v>2037</v>
      </c>
      <c r="B1052" t="s">
        <v>2767</v>
      </c>
      <c r="C1052" t="s">
        <v>2768</v>
      </c>
      <c r="D1052" t="s">
        <v>9554</v>
      </c>
      <c r="E1052" t="s">
        <v>9555</v>
      </c>
      <c r="F1052" t="s">
        <v>9556</v>
      </c>
      <c r="G1052" t="s">
        <v>5904</v>
      </c>
      <c r="H1052">
        <v>428</v>
      </c>
      <c r="I1052">
        <v>429</v>
      </c>
      <c r="J1052">
        <v>429</v>
      </c>
      <c r="K1052">
        <v>358</v>
      </c>
      <c r="L1052">
        <v>390</v>
      </c>
      <c r="M1052">
        <v>83.6</v>
      </c>
      <c r="N1052">
        <v>91.1</v>
      </c>
      <c r="O1052">
        <v>748.8</v>
      </c>
    </row>
    <row r="1053" spans="1:15">
      <c r="A1053">
        <v>651</v>
      </c>
      <c r="B1053" t="s">
        <v>2769</v>
      </c>
      <c r="C1053" t="s">
        <v>2770</v>
      </c>
      <c r="D1053" t="s">
        <v>9557</v>
      </c>
      <c r="E1053" t="s">
        <v>9558</v>
      </c>
      <c r="F1053" t="s">
        <v>9559</v>
      </c>
      <c r="G1053" t="s">
        <v>5904</v>
      </c>
      <c r="H1053">
        <v>611</v>
      </c>
      <c r="I1053">
        <v>610</v>
      </c>
      <c r="J1053">
        <v>611</v>
      </c>
      <c r="K1053">
        <v>555</v>
      </c>
      <c r="L1053">
        <v>585</v>
      </c>
      <c r="M1053">
        <v>90.8</v>
      </c>
      <c r="N1053">
        <v>95.7</v>
      </c>
      <c r="O1053">
        <v>1139.8</v>
      </c>
    </row>
    <row r="1054" spans="1:15">
      <c r="A1054">
        <v>650</v>
      </c>
      <c r="B1054" t="s">
        <v>9560</v>
      </c>
      <c r="C1054" t="s">
        <v>2773</v>
      </c>
      <c r="D1054" t="s">
        <v>9561</v>
      </c>
      <c r="E1054" t="s">
        <v>9562</v>
      </c>
      <c r="F1054" t="s">
        <v>9563</v>
      </c>
      <c r="G1054" t="s">
        <v>5904</v>
      </c>
      <c r="H1054">
        <v>405</v>
      </c>
      <c r="I1054">
        <v>401</v>
      </c>
      <c r="J1054">
        <v>405</v>
      </c>
      <c r="K1054">
        <v>388</v>
      </c>
      <c r="L1054">
        <v>395</v>
      </c>
      <c r="M1054">
        <v>95.8</v>
      </c>
      <c r="N1054">
        <v>97.5</v>
      </c>
      <c r="O1054">
        <v>778.5</v>
      </c>
    </row>
    <row r="1055" spans="1:15">
      <c r="A1055">
        <v>649</v>
      </c>
      <c r="B1055" t="s">
        <v>2774</v>
      </c>
      <c r="C1055" t="s">
        <v>2775</v>
      </c>
      <c r="D1055" t="s">
        <v>9564</v>
      </c>
      <c r="E1055" t="s">
        <v>9565</v>
      </c>
      <c r="F1055" t="s">
        <v>9566</v>
      </c>
      <c r="G1055" t="s">
        <v>5904</v>
      </c>
      <c r="H1055">
        <v>301</v>
      </c>
      <c r="I1055">
        <v>301</v>
      </c>
      <c r="J1055">
        <v>301</v>
      </c>
      <c r="K1055">
        <v>280</v>
      </c>
      <c r="L1055">
        <v>294</v>
      </c>
      <c r="M1055">
        <v>93</v>
      </c>
      <c r="N1055">
        <v>97.7</v>
      </c>
      <c r="O1055">
        <v>589.70000000000005</v>
      </c>
    </row>
    <row r="1056" spans="1:15">
      <c r="A1056">
        <v>648</v>
      </c>
      <c r="B1056" t="s">
        <v>2776</v>
      </c>
      <c r="C1056" t="s">
        <v>9567</v>
      </c>
      <c r="D1056" t="s">
        <v>9568</v>
      </c>
      <c r="E1056" t="s">
        <v>9569</v>
      </c>
      <c r="F1056" t="s">
        <v>9570</v>
      </c>
      <c r="G1056" t="s">
        <v>5904</v>
      </c>
      <c r="H1056">
        <v>349</v>
      </c>
      <c r="I1056">
        <v>349</v>
      </c>
      <c r="J1056">
        <v>349</v>
      </c>
      <c r="K1056">
        <v>307</v>
      </c>
      <c r="L1056">
        <v>328</v>
      </c>
      <c r="M1056">
        <v>88</v>
      </c>
      <c r="N1056">
        <v>94</v>
      </c>
      <c r="O1056">
        <v>626.29999999999995</v>
      </c>
    </row>
    <row r="1057" spans="1:15">
      <c r="A1057">
        <v>647</v>
      </c>
      <c r="B1057" t="s">
        <v>2778</v>
      </c>
      <c r="C1057" t="s">
        <v>2779</v>
      </c>
      <c r="D1057" t="s">
        <v>9571</v>
      </c>
      <c r="E1057" t="s">
        <v>9572</v>
      </c>
      <c r="F1057" t="s">
        <v>9573</v>
      </c>
      <c r="G1057" t="s">
        <v>5904</v>
      </c>
      <c r="H1057">
        <v>255</v>
      </c>
      <c r="I1057">
        <v>255</v>
      </c>
      <c r="J1057">
        <v>255</v>
      </c>
      <c r="K1057">
        <v>254</v>
      </c>
      <c r="L1057">
        <v>255</v>
      </c>
      <c r="M1057">
        <v>99.6</v>
      </c>
      <c r="N1057">
        <v>100</v>
      </c>
      <c r="O1057">
        <v>519.6</v>
      </c>
    </row>
    <row r="1058" spans="1:15">
      <c r="A1058">
        <v>646</v>
      </c>
      <c r="B1058" t="s">
        <v>9574</v>
      </c>
      <c r="C1058" t="s">
        <v>2782</v>
      </c>
      <c r="D1058" t="s">
        <v>9575</v>
      </c>
      <c r="E1058" t="s">
        <v>9576</v>
      </c>
      <c r="F1058" t="s">
        <v>9577</v>
      </c>
      <c r="G1058" t="s">
        <v>5904</v>
      </c>
      <c r="H1058">
        <v>513</v>
      </c>
      <c r="I1058">
        <v>492</v>
      </c>
      <c r="J1058">
        <v>513</v>
      </c>
      <c r="K1058">
        <v>445</v>
      </c>
      <c r="L1058">
        <v>460</v>
      </c>
      <c r="M1058">
        <v>86.7</v>
      </c>
      <c r="N1058">
        <v>89.7</v>
      </c>
      <c r="O1058">
        <v>870.9</v>
      </c>
    </row>
    <row r="1059" spans="1:15">
      <c r="A1059">
        <v>645</v>
      </c>
      <c r="B1059" t="s">
        <v>9578</v>
      </c>
      <c r="C1059" t="s">
        <v>5744</v>
      </c>
      <c r="D1059" t="s">
        <v>9579</v>
      </c>
      <c r="E1059" t="s">
        <v>9580</v>
      </c>
      <c r="F1059" t="s">
        <v>9581</v>
      </c>
      <c r="G1059" t="s">
        <v>5904</v>
      </c>
      <c r="H1059">
        <v>333</v>
      </c>
      <c r="I1059">
        <v>335</v>
      </c>
      <c r="J1059">
        <v>332</v>
      </c>
      <c r="K1059">
        <v>319</v>
      </c>
      <c r="L1059">
        <v>323</v>
      </c>
      <c r="M1059">
        <v>95.8</v>
      </c>
      <c r="N1059">
        <v>97</v>
      </c>
      <c r="O1059">
        <v>659.1</v>
      </c>
    </row>
    <row r="1060" spans="1:15">
      <c r="A1060">
        <v>644</v>
      </c>
      <c r="B1060" t="s">
        <v>2783</v>
      </c>
      <c r="C1060" t="s">
        <v>2784</v>
      </c>
      <c r="D1060" t="s">
        <v>9582</v>
      </c>
      <c r="E1060" t="s">
        <v>9583</v>
      </c>
      <c r="F1060" t="s">
        <v>9584</v>
      </c>
      <c r="G1060" t="s">
        <v>5904</v>
      </c>
      <c r="H1060">
        <v>192</v>
      </c>
      <c r="I1060">
        <v>192</v>
      </c>
      <c r="J1060">
        <v>192</v>
      </c>
      <c r="K1060">
        <v>188</v>
      </c>
      <c r="L1060">
        <v>190</v>
      </c>
      <c r="M1060">
        <v>97.9</v>
      </c>
      <c r="N1060">
        <v>99</v>
      </c>
      <c r="O1060">
        <v>390.6</v>
      </c>
    </row>
    <row r="1061" spans="1:15">
      <c r="A1061">
        <v>643</v>
      </c>
      <c r="B1061" t="s">
        <v>9585</v>
      </c>
      <c r="C1061" t="s">
        <v>9586</v>
      </c>
      <c r="D1061" t="s">
        <v>9587</v>
      </c>
      <c r="E1061" t="s">
        <v>9588</v>
      </c>
      <c r="F1061" t="s">
        <v>9589</v>
      </c>
      <c r="G1061" t="s">
        <v>5904</v>
      </c>
      <c r="H1061">
        <v>316</v>
      </c>
      <c r="I1061">
        <v>320</v>
      </c>
      <c r="J1061">
        <v>335</v>
      </c>
      <c r="K1061">
        <v>235</v>
      </c>
      <c r="L1061">
        <v>268</v>
      </c>
      <c r="M1061">
        <v>74.400000000000006</v>
      </c>
      <c r="N1061">
        <v>84.8</v>
      </c>
      <c r="O1061">
        <v>487.6</v>
      </c>
    </row>
    <row r="1062" spans="1:15">
      <c r="A1062">
        <v>642</v>
      </c>
      <c r="B1062" t="s">
        <v>9590</v>
      </c>
      <c r="C1062" t="s">
        <v>2790</v>
      </c>
      <c r="D1062" t="s">
        <v>9591</v>
      </c>
      <c r="E1062" t="s">
        <v>9592</v>
      </c>
      <c r="F1062" t="s">
        <v>9593</v>
      </c>
      <c r="G1062" t="s">
        <v>5904</v>
      </c>
      <c r="H1062">
        <v>1216</v>
      </c>
      <c r="I1062">
        <v>1216</v>
      </c>
      <c r="J1062">
        <v>1216</v>
      </c>
      <c r="K1062">
        <v>1166</v>
      </c>
      <c r="L1062">
        <v>1190</v>
      </c>
      <c r="M1062">
        <v>95.9</v>
      </c>
      <c r="N1062">
        <v>97.9</v>
      </c>
      <c r="O1062">
        <v>2388.1999999999998</v>
      </c>
    </row>
    <row r="1063" spans="1:15">
      <c r="A1063">
        <v>2036</v>
      </c>
      <c r="B1063" t="s">
        <v>2791</v>
      </c>
      <c r="C1063" t="s">
        <v>2792</v>
      </c>
      <c r="D1063" t="s">
        <v>9594</v>
      </c>
      <c r="E1063" t="s">
        <v>9595</v>
      </c>
      <c r="F1063" t="s">
        <v>9596</v>
      </c>
      <c r="G1063" t="s">
        <v>5904</v>
      </c>
      <c r="H1063">
        <v>327</v>
      </c>
      <c r="I1063">
        <v>327</v>
      </c>
      <c r="J1063">
        <v>326</v>
      </c>
      <c r="K1063">
        <v>305</v>
      </c>
      <c r="L1063">
        <v>316</v>
      </c>
      <c r="M1063">
        <v>93.3</v>
      </c>
      <c r="N1063">
        <v>96.6</v>
      </c>
      <c r="O1063">
        <v>634.79999999999995</v>
      </c>
    </row>
    <row r="1064" spans="1:15">
      <c r="A1064">
        <v>641</v>
      </c>
      <c r="B1064" t="s">
        <v>2793</v>
      </c>
      <c r="C1064" t="s">
        <v>2795</v>
      </c>
      <c r="D1064" t="s">
        <v>9597</v>
      </c>
      <c r="E1064" t="s">
        <v>9598</v>
      </c>
      <c r="F1064" t="s">
        <v>9599</v>
      </c>
      <c r="G1064" t="s">
        <v>5904</v>
      </c>
      <c r="H1064">
        <v>334</v>
      </c>
      <c r="I1064">
        <v>334</v>
      </c>
      <c r="J1064">
        <v>334</v>
      </c>
      <c r="K1064">
        <v>333</v>
      </c>
      <c r="L1064">
        <v>334</v>
      </c>
      <c r="M1064">
        <v>99.7</v>
      </c>
      <c r="N1064">
        <v>100</v>
      </c>
      <c r="O1064">
        <v>680.2</v>
      </c>
    </row>
    <row r="1065" spans="1:15">
      <c r="A1065">
        <v>640</v>
      </c>
      <c r="B1065" t="s">
        <v>2796</v>
      </c>
      <c r="C1065" t="s">
        <v>2797</v>
      </c>
      <c r="D1065" t="s">
        <v>9600</v>
      </c>
      <c r="E1065" t="s">
        <v>9601</v>
      </c>
      <c r="F1065" t="s">
        <v>9602</v>
      </c>
      <c r="G1065" t="s">
        <v>5904</v>
      </c>
      <c r="H1065">
        <v>238</v>
      </c>
      <c r="I1065">
        <v>237</v>
      </c>
      <c r="J1065">
        <v>238</v>
      </c>
      <c r="K1065">
        <v>164</v>
      </c>
      <c r="L1065">
        <v>191</v>
      </c>
      <c r="M1065">
        <v>68.900000000000006</v>
      </c>
      <c r="N1065">
        <v>80.3</v>
      </c>
      <c r="O1065">
        <v>302.39999999999998</v>
      </c>
    </row>
    <row r="1066" spans="1:15">
      <c r="A1066">
        <v>639</v>
      </c>
      <c r="B1066" t="s">
        <v>9603</v>
      </c>
      <c r="C1066" t="s">
        <v>9604</v>
      </c>
      <c r="D1066" t="s">
        <v>9605</v>
      </c>
      <c r="E1066" t="s">
        <v>9606</v>
      </c>
      <c r="F1066" t="s">
        <v>9607</v>
      </c>
      <c r="G1066" t="s">
        <v>5904</v>
      </c>
      <c r="H1066">
        <v>242</v>
      </c>
      <c r="I1066">
        <v>241</v>
      </c>
      <c r="J1066">
        <v>242</v>
      </c>
      <c r="K1066">
        <v>225</v>
      </c>
      <c r="L1066">
        <v>230</v>
      </c>
      <c r="M1066">
        <v>93</v>
      </c>
      <c r="N1066">
        <v>95</v>
      </c>
      <c r="O1066">
        <v>459.9</v>
      </c>
    </row>
    <row r="1067" spans="1:15">
      <c r="A1067">
        <v>638</v>
      </c>
      <c r="B1067" t="s">
        <v>9608</v>
      </c>
      <c r="C1067" t="s">
        <v>2804</v>
      </c>
      <c r="D1067" t="s">
        <v>9609</v>
      </c>
      <c r="E1067" t="s">
        <v>9610</v>
      </c>
      <c r="F1067" t="s">
        <v>9611</v>
      </c>
      <c r="G1067" t="s">
        <v>5904</v>
      </c>
      <c r="H1067">
        <v>652</v>
      </c>
      <c r="I1067">
        <v>729</v>
      </c>
      <c r="J1067">
        <v>652</v>
      </c>
      <c r="K1067">
        <v>649</v>
      </c>
      <c r="L1067">
        <v>649</v>
      </c>
      <c r="M1067">
        <v>99.5</v>
      </c>
      <c r="N1067">
        <v>99.5</v>
      </c>
      <c r="O1067">
        <v>1346.3</v>
      </c>
    </row>
    <row r="1068" spans="1:15">
      <c r="A1068">
        <v>2035</v>
      </c>
      <c r="B1068" t="s">
        <v>2805</v>
      </c>
      <c r="C1068" t="s">
        <v>2806</v>
      </c>
      <c r="D1068" t="s">
        <v>9612</v>
      </c>
      <c r="E1068" t="s">
        <v>9613</v>
      </c>
      <c r="F1068" t="s">
        <v>9614</v>
      </c>
      <c r="G1068" t="s">
        <v>5904</v>
      </c>
      <c r="H1068">
        <v>894</v>
      </c>
      <c r="I1068">
        <v>894</v>
      </c>
      <c r="J1068">
        <v>894</v>
      </c>
      <c r="K1068">
        <v>886</v>
      </c>
      <c r="L1068">
        <v>891</v>
      </c>
      <c r="M1068">
        <v>99.1</v>
      </c>
      <c r="N1068">
        <v>99.7</v>
      </c>
      <c r="O1068">
        <v>1848.9</v>
      </c>
    </row>
    <row r="1069" spans="1:15">
      <c r="A1069">
        <v>637</v>
      </c>
      <c r="B1069" t="s">
        <v>2807</v>
      </c>
      <c r="C1069" t="s">
        <v>2808</v>
      </c>
      <c r="D1069" t="s">
        <v>9615</v>
      </c>
      <c r="E1069" t="s">
        <v>9616</v>
      </c>
      <c r="F1069" t="s">
        <v>9617</v>
      </c>
      <c r="G1069" t="s">
        <v>5904</v>
      </c>
      <c r="H1069">
        <v>287</v>
      </c>
      <c r="I1069">
        <v>287</v>
      </c>
      <c r="J1069">
        <v>287</v>
      </c>
      <c r="K1069">
        <v>241</v>
      </c>
      <c r="L1069">
        <v>260</v>
      </c>
      <c r="M1069">
        <v>84</v>
      </c>
      <c r="N1069">
        <v>90.6</v>
      </c>
      <c r="O1069">
        <v>501.5</v>
      </c>
    </row>
    <row r="1070" spans="1:15">
      <c r="A1070">
        <v>636</v>
      </c>
      <c r="B1070" t="s">
        <v>2809</v>
      </c>
      <c r="C1070" t="s">
        <v>9618</v>
      </c>
      <c r="D1070" t="s">
        <v>9619</v>
      </c>
      <c r="E1070" t="s">
        <v>9620</v>
      </c>
      <c r="F1070" t="s">
        <v>9621</v>
      </c>
      <c r="G1070" t="s">
        <v>5904</v>
      </c>
      <c r="H1070">
        <v>298</v>
      </c>
      <c r="I1070">
        <v>298</v>
      </c>
      <c r="J1070">
        <v>298</v>
      </c>
      <c r="K1070">
        <v>283</v>
      </c>
      <c r="L1070">
        <v>291</v>
      </c>
      <c r="M1070">
        <v>95</v>
      </c>
      <c r="N1070">
        <v>97.7</v>
      </c>
      <c r="O1070">
        <v>589.70000000000005</v>
      </c>
    </row>
    <row r="1071" spans="1:15">
      <c r="A1071">
        <v>635</v>
      </c>
      <c r="B1071" t="s">
        <v>2811</v>
      </c>
      <c r="C1071" t="s">
        <v>9622</v>
      </c>
      <c r="D1071" t="s">
        <v>9623</v>
      </c>
      <c r="E1071" t="s">
        <v>9624</v>
      </c>
      <c r="F1071" t="s">
        <v>9625</v>
      </c>
      <c r="G1071" t="s">
        <v>5904</v>
      </c>
      <c r="H1071">
        <v>155</v>
      </c>
      <c r="I1071">
        <v>155</v>
      </c>
      <c r="J1071">
        <v>155</v>
      </c>
      <c r="K1071">
        <v>140</v>
      </c>
      <c r="L1071">
        <v>148</v>
      </c>
      <c r="M1071">
        <v>90.3</v>
      </c>
      <c r="N1071">
        <v>95.5</v>
      </c>
      <c r="O1071">
        <v>292.39999999999998</v>
      </c>
    </row>
    <row r="1072" spans="1:15">
      <c r="A1072">
        <v>634</v>
      </c>
      <c r="B1072" t="s">
        <v>9626</v>
      </c>
      <c r="C1072" t="s">
        <v>5706</v>
      </c>
      <c r="D1072" t="s">
        <v>9627</v>
      </c>
      <c r="E1072" t="s">
        <v>9628</v>
      </c>
      <c r="F1072" t="s">
        <v>9629</v>
      </c>
      <c r="G1072" t="s">
        <v>5904</v>
      </c>
      <c r="H1072">
        <v>136</v>
      </c>
      <c r="I1072">
        <v>136</v>
      </c>
      <c r="J1072">
        <v>136</v>
      </c>
      <c r="K1072">
        <v>126</v>
      </c>
      <c r="L1072">
        <v>129</v>
      </c>
      <c r="M1072">
        <v>92.6</v>
      </c>
      <c r="N1072">
        <v>94.9</v>
      </c>
      <c r="O1072">
        <v>252.7</v>
      </c>
    </row>
    <row r="1073" spans="1:15">
      <c r="A1073">
        <v>633</v>
      </c>
      <c r="B1073" t="s">
        <v>9630</v>
      </c>
      <c r="C1073" t="s">
        <v>2815</v>
      </c>
      <c r="D1073" t="s">
        <v>9631</v>
      </c>
      <c r="E1073" t="s">
        <v>9632</v>
      </c>
      <c r="F1073" t="s">
        <v>9633</v>
      </c>
      <c r="G1073" t="s">
        <v>6759</v>
      </c>
      <c r="H1073">
        <v>280</v>
      </c>
      <c r="I1073">
        <v>388</v>
      </c>
      <c r="J1073">
        <v>242</v>
      </c>
      <c r="K1073">
        <v>104</v>
      </c>
      <c r="L1073">
        <v>140</v>
      </c>
      <c r="M1073">
        <v>37.1</v>
      </c>
      <c r="N1073">
        <v>50</v>
      </c>
      <c r="O1073">
        <v>170.6</v>
      </c>
    </row>
    <row r="1074" spans="1:15">
      <c r="A1074">
        <v>632</v>
      </c>
      <c r="B1074" t="s">
        <v>2816</v>
      </c>
      <c r="C1074" t="s">
        <v>2817</v>
      </c>
      <c r="D1074" t="s">
        <v>9634</v>
      </c>
      <c r="E1074" t="s">
        <v>9635</v>
      </c>
      <c r="F1074" t="s">
        <v>9636</v>
      </c>
      <c r="G1074" t="s">
        <v>5904</v>
      </c>
      <c r="H1074">
        <v>2813</v>
      </c>
      <c r="I1074">
        <v>2813</v>
      </c>
      <c r="J1074">
        <v>2813</v>
      </c>
      <c r="K1074">
        <v>2404</v>
      </c>
      <c r="L1074">
        <v>2576</v>
      </c>
      <c r="M1074">
        <v>85.5</v>
      </c>
      <c r="N1074">
        <v>91.6</v>
      </c>
      <c r="O1074">
        <v>4970.2</v>
      </c>
    </row>
    <row r="1075" spans="1:15">
      <c r="A1075">
        <v>631</v>
      </c>
      <c r="B1075" t="s">
        <v>2818</v>
      </c>
      <c r="C1075" t="s">
        <v>9637</v>
      </c>
      <c r="D1075" t="s">
        <v>9638</v>
      </c>
      <c r="E1075" t="s">
        <v>9639</v>
      </c>
      <c r="F1075" t="s">
        <v>9640</v>
      </c>
      <c r="G1075" t="s">
        <v>5904</v>
      </c>
      <c r="H1075">
        <v>154</v>
      </c>
      <c r="I1075">
        <v>154</v>
      </c>
      <c r="J1075">
        <v>154</v>
      </c>
      <c r="K1075">
        <v>152</v>
      </c>
      <c r="L1075">
        <v>154</v>
      </c>
      <c r="M1075">
        <v>98.7</v>
      </c>
      <c r="N1075">
        <v>100</v>
      </c>
      <c r="O1075">
        <v>311.2</v>
      </c>
    </row>
    <row r="1076" spans="1:15">
      <c r="A1076">
        <v>630</v>
      </c>
      <c r="B1076" t="s">
        <v>9641</v>
      </c>
      <c r="C1076" t="s">
        <v>2822</v>
      </c>
      <c r="D1076" t="s">
        <v>9642</v>
      </c>
      <c r="E1076" t="s">
        <v>9643</v>
      </c>
      <c r="F1076" t="s">
        <v>9644</v>
      </c>
      <c r="G1076" t="s">
        <v>5904</v>
      </c>
      <c r="H1076">
        <v>208</v>
      </c>
      <c r="I1076">
        <v>201</v>
      </c>
      <c r="J1076">
        <v>201</v>
      </c>
      <c r="K1076">
        <v>185</v>
      </c>
      <c r="L1076">
        <v>188</v>
      </c>
      <c r="M1076">
        <v>88.9</v>
      </c>
      <c r="N1076">
        <v>90.4</v>
      </c>
      <c r="O1076">
        <v>367.1</v>
      </c>
    </row>
    <row r="1077" spans="1:15">
      <c r="A1077">
        <v>629</v>
      </c>
      <c r="B1077" t="s">
        <v>2823</v>
      </c>
      <c r="C1077" t="s">
        <v>2824</v>
      </c>
      <c r="D1077" t="s">
        <v>9645</v>
      </c>
      <c r="E1077" t="s">
        <v>9646</v>
      </c>
      <c r="F1077" t="s">
        <v>9647</v>
      </c>
      <c r="G1077" t="s">
        <v>5904</v>
      </c>
      <c r="H1077">
        <v>177</v>
      </c>
      <c r="I1077">
        <v>177</v>
      </c>
      <c r="J1077">
        <v>177</v>
      </c>
      <c r="K1077">
        <v>177</v>
      </c>
      <c r="L1077">
        <v>177</v>
      </c>
      <c r="M1077">
        <v>100</v>
      </c>
      <c r="N1077">
        <v>100</v>
      </c>
      <c r="O1077">
        <v>360.9</v>
      </c>
    </row>
    <row r="1078" spans="1:15">
      <c r="A1078">
        <v>628</v>
      </c>
      <c r="B1078" t="s">
        <v>2825</v>
      </c>
      <c r="C1078" t="s">
        <v>2827</v>
      </c>
      <c r="D1078" t="s">
        <v>9648</v>
      </c>
      <c r="E1078" t="s">
        <v>9649</v>
      </c>
      <c r="F1078" t="s">
        <v>9650</v>
      </c>
      <c r="G1078" t="s">
        <v>5904</v>
      </c>
      <c r="H1078">
        <v>445</v>
      </c>
      <c r="I1078">
        <v>445</v>
      </c>
      <c r="J1078">
        <v>445</v>
      </c>
      <c r="K1078">
        <v>435</v>
      </c>
      <c r="L1078">
        <v>441</v>
      </c>
      <c r="M1078">
        <v>97.8</v>
      </c>
      <c r="N1078">
        <v>99.1</v>
      </c>
      <c r="O1078">
        <v>897.9</v>
      </c>
    </row>
    <row r="1079" spans="1:15">
      <c r="A1079">
        <v>627</v>
      </c>
      <c r="B1079" t="s">
        <v>9651</v>
      </c>
      <c r="C1079" t="s">
        <v>9652</v>
      </c>
      <c r="D1079" t="s">
        <v>9653</v>
      </c>
      <c r="E1079" t="s">
        <v>9654</v>
      </c>
      <c r="F1079" t="s">
        <v>9655</v>
      </c>
      <c r="G1079" t="s">
        <v>5904</v>
      </c>
      <c r="H1079">
        <v>391</v>
      </c>
      <c r="I1079">
        <v>391</v>
      </c>
      <c r="J1079">
        <v>391</v>
      </c>
      <c r="K1079">
        <v>389</v>
      </c>
      <c r="L1079">
        <v>390</v>
      </c>
      <c r="M1079">
        <v>99.5</v>
      </c>
      <c r="N1079">
        <v>99.7</v>
      </c>
      <c r="O1079">
        <v>789.6</v>
      </c>
    </row>
    <row r="1080" spans="1:15">
      <c r="A1080">
        <v>626</v>
      </c>
      <c r="B1080" t="s">
        <v>2831</v>
      </c>
      <c r="C1080" t="s">
        <v>2832</v>
      </c>
      <c r="D1080" t="s">
        <v>9656</v>
      </c>
      <c r="E1080" t="s">
        <v>9657</v>
      </c>
      <c r="F1080" t="s">
        <v>9658</v>
      </c>
      <c r="G1080" t="s">
        <v>5904</v>
      </c>
      <c r="H1080">
        <v>115</v>
      </c>
      <c r="I1080">
        <v>115</v>
      </c>
      <c r="J1080">
        <v>115</v>
      </c>
      <c r="K1080">
        <v>115</v>
      </c>
      <c r="L1080">
        <v>115</v>
      </c>
      <c r="M1080">
        <v>100</v>
      </c>
      <c r="N1080">
        <v>100</v>
      </c>
      <c r="O1080">
        <v>230.3</v>
      </c>
    </row>
    <row r="1081" spans="1:15">
      <c r="A1081">
        <v>625</v>
      </c>
      <c r="B1081" t="s">
        <v>9659</v>
      </c>
      <c r="C1081" t="s">
        <v>2835</v>
      </c>
      <c r="D1081" t="s">
        <v>9660</v>
      </c>
      <c r="E1081" t="s">
        <v>9661</v>
      </c>
      <c r="F1081" t="s">
        <v>9662</v>
      </c>
      <c r="G1081" t="s">
        <v>5904</v>
      </c>
      <c r="H1081">
        <v>197</v>
      </c>
      <c r="I1081">
        <v>195</v>
      </c>
      <c r="J1081">
        <v>195</v>
      </c>
      <c r="K1081">
        <v>127</v>
      </c>
      <c r="L1081">
        <v>157</v>
      </c>
      <c r="M1081">
        <v>64.5</v>
      </c>
      <c r="N1081">
        <v>79.7</v>
      </c>
      <c r="O1081">
        <v>220.3</v>
      </c>
    </row>
    <row r="1082" spans="1:15">
      <c r="A1082">
        <v>624</v>
      </c>
      <c r="B1082" t="s">
        <v>2836</v>
      </c>
      <c r="C1082" t="s">
        <v>2837</v>
      </c>
      <c r="D1082" t="s">
        <v>9663</v>
      </c>
      <c r="E1082" t="s">
        <v>9664</v>
      </c>
      <c r="F1082" t="s">
        <v>9665</v>
      </c>
      <c r="G1082" t="s">
        <v>5904</v>
      </c>
      <c r="H1082">
        <v>469</v>
      </c>
      <c r="I1082">
        <v>469</v>
      </c>
      <c r="J1082">
        <v>469</v>
      </c>
      <c r="K1082">
        <v>422</v>
      </c>
      <c r="L1082">
        <v>449</v>
      </c>
      <c r="M1082">
        <v>90</v>
      </c>
      <c r="N1082">
        <v>95.7</v>
      </c>
      <c r="O1082">
        <v>894</v>
      </c>
    </row>
    <row r="1083" spans="1:15">
      <c r="A1083">
        <v>623</v>
      </c>
      <c r="B1083" t="s">
        <v>9666</v>
      </c>
      <c r="C1083" t="s">
        <v>2840</v>
      </c>
      <c r="D1083" t="s">
        <v>9667</v>
      </c>
      <c r="E1083" t="s">
        <v>9668</v>
      </c>
      <c r="F1083" t="s">
        <v>9669</v>
      </c>
      <c r="G1083" t="s">
        <v>5904</v>
      </c>
      <c r="H1083">
        <v>770</v>
      </c>
      <c r="I1083">
        <v>784</v>
      </c>
      <c r="J1083">
        <v>754</v>
      </c>
      <c r="K1083">
        <v>621</v>
      </c>
      <c r="L1083">
        <v>650</v>
      </c>
      <c r="M1083">
        <v>80.599999999999994</v>
      </c>
      <c r="N1083">
        <v>84.4</v>
      </c>
      <c r="O1083">
        <v>1228.8</v>
      </c>
    </row>
    <row r="1084" spans="1:15">
      <c r="A1084">
        <v>622</v>
      </c>
      <c r="B1084" t="s">
        <v>2841</v>
      </c>
      <c r="C1084" t="s">
        <v>2842</v>
      </c>
      <c r="D1084" t="s">
        <v>9670</v>
      </c>
      <c r="E1084" t="s">
        <v>9671</v>
      </c>
      <c r="F1084" t="s">
        <v>9672</v>
      </c>
      <c r="G1084" t="s">
        <v>5904</v>
      </c>
      <c r="H1084">
        <v>238</v>
      </c>
      <c r="I1084">
        <v>238</v>
      </c>
      <c r="J1084">
        <v>238</v>
      </c>
      <c r="K1084">
        <v>209</v>
      </c>
      <c r="L1084">
        <v>219</v>
      </c>
      <c r="M1084">
        <v>87.8</v>
      </c>
      <c r="N1084">
        <v>92</v>
      </c>
      <c r="O1084">
        <v>420.2</v>
      </c>
    </row>
    <row r="1085" spans="1:15">
      <c r="A1085">
        <v>621</v>
      </c>
      <c r="B1085" t="s">
        <v>2843</v>
      </c>
      <c r="C1085" t="s">
        <v>2844</v>
      </c>
      <c r="D1085" t="s">
        <v>6170</v>
      </c>
      <c r="E1085" t="s">
        <v>6171</v>
      </c>
      <c r="F1085" t="s">
        <v>9673</v>
      </c>
      <c r="G1085" t="s">
        <v>5904</v>
      </c>
      <c r="H1085">
        <v>149</v>
      </c>
      <c r="I1085">
        <v>149</v>
      </c>
      <c r="J1085">
        <v>149</v>
      </c>
      <c r="K1085">
        <v>84</v>
      </c>
      <c r="L1085">
        <v>116</v>
      </c>
      <c r="M1085">
        <v>56.4</v>
      </c>
      <c r="N1085">
        <v>77.900000000000006</v>
      </c>
      <c r="O1085">
        <v>177.9</v>
      </c>
    </row>
    <row r="1086" spans="1:15">
      <c r="A1086">
        <v>620</v>
      </c>
      <c r="B1086" t="s">
        <v>2845</v>
      </c>
      <c r="C1086" t="s">
        <v>2846</v>
      </c>
      <c r="D1086" t="s">
        <v>9674</v>
      </c>
      <c r="E1086" t="s">
        <v>9675</v>
      </c>
      <c r="F1086" t="s">
        <v>9676</v>
      </c>
      <c r="G1086" t="s">
        <v>5904</v>
      </c>
      <c r="H1086">
        <v>260</v>
      </c>
      <c r="I1086">
        <v>260</v>
      </c>
      <c r="J1086">
        <v>260</v>
      </c>
      <c r="K1086">
        <v>250</v>
      </c>
      <c r="L1086">
        <v>257</v>
      </c>
      <c r="M1086">
        <v>96.2</v>
      </c>
      <c r="N1086">
        <v>98.8</v>
      </c>
      <c r="O1086">
        <v>525</v>
      </c>
    </row>
    <row r="1087" spans="1:15">
      <c r="A1087">
        <v>619</v>
      </c>
      <c r="B1087" t="s">
        <v>2847</v>
      </c>
      <c r="C1087" t="s">
        <v>2849</v>
      </c>
      <c r="D1087" t="s">
        <v>9677</v>
      </c>
      <c r="E1087" t="s">
        <v>9678</v>
      </c>
      <c r="F1087" t="s">
        <v>9679</v>
      </c>
      <c r="G1087" t="s">
        <v>5904</v>
      </c>
      <c r="H1087">
        <v>491</v>
      </c>
      <c r="I1087">
        <v>487</v>
      </c>
      <c r="J1087">
        <v>481</v>
      </c>
      <c r="K1087">
        <v>366</v>
      </c>
      <c r="L1087">
        <v>413</v>
      </c>
      <c r="M1087">
        <v>74.5</v>
      </c>
      <c r="N1087">
        <v>84.1</v>
      </c>
      <c r="O1087">
        <v>770.8</v>
      </c>
    </row>
    <row r="1088" spans="1:15">
      <c r="A1088">
        <v>618</v>
      </c>
      <c r="B1088" t="s">
        <v>2850</v>
      </c>
      <c r="C1088" t="s">
        <v>2851</v>
      </c>
      <c r="D1088" t="s">
        <v>9680</v>
      </c>
      <c r="E1088" t="s">
        <v>9681</v>
      </c>
      <c r="F1088" t="s">
        <v>9682</v>
      </c>
      <c r="G1088" t="s">
        <v>5904</v>
      </c>
      <c r="H1088">
        <v>194</v>
      </c>
      <c r="I1088">
        <v>194</v>
      </c>
      <c r="J1088">
        <v>194</v>
      </c>
      <c r="K1088">
        <v>187</v>
      </c>
      <c r="L1088">
        <v>191</v>
      </c>
      <c r="M1088">
        <v>96.4</v>
      </c>
      <c r="N1088">
        <v>98.5</v>
      </c>
      <c r="O1088">
        <v>342.8</v>
      </c>
    </row>
    <row r="1089" spans="1:15">
      <c r="A1089">
        <v>617</v>
      </c>
      <c r="B1089" t="s">
        <v>2852</v>
      </c>
      <c r="C1089" t="s">
        <v>2854</v>
      </c>
      <c r="D1089" t="s">
        <v>9683</v>
      </c>
      <c r="E1089" t="s">
        <v>9684</v>
      </c>
      <c r="F1089" t="s">
        <v>9685</v>
      </c>
      <c r="G1089" t="s">
        <v>5904</v>
      </c>
      <c r="H1089">
        <v>3620</v>
      </c>
      <c r="I1089">
        <v>3623</v>
      </c>
      <c r="J1089">
        <v>3621</v>
      </c>
      <c r="K1089">
        <v>2995</v>
      </c>
      <c r="L1089">
        <v>3261</v>
      </c>
      <c r="M1089">
        <v>82.7</v>
      </c>
      <c r="N1089">
        <v>90.1</v>
      </c>
      <c r="O1089">
        <v>6266.4</v>
      </c>
    </row>
    <row r="1090" spans="1:15">
      <c r="A1090">
        <v>616</v>
      </c>
      <c r="B1090" t="s">
        <v>2855</v>
      </c>
      <c r="C1090" t="s">
        <v>2856</v>
      </c>
      <c r="D1090" t="s">
        <v>9686</v>
      </c>
      <c r="E1090" t="s">
        <v>9687</v>
      </c>
      <c r="F1090" t="s">
        <v>9688</v>
      </c>
      <c r="G1090" t="s">
        <v>5904</v>
      </c>
      <c r="H1090">
        <v>691</v>
      </c>
      <c r="I1090">
        <v>694</v>
      </c>
      <c r="J1090">
        <v>696</v>
      </c>
      <c r="K1090">
        <v>674</v>
      </c>
      <c r="L1090">
        <v>676</v>
      </c>
      <c r="M1090">
        <v>97.5</v>
      </c>
      <c r="N1090">
        <v>97.8</v>
      </c>
      <c r="O1090">
        <v>1349.7</v>
      </c>
    </row>
    <row r="1091" spans="1:15">
      <c r="A1091">
        <v>615</v>
      </c>
      <c r="B1091" t="s">
        <v>2857</v>
      </c>
      <c r="C1091" t="s">
        <v>2858</v>
      </c>
      <c r="D1091" t="s">
        <v>9689</v>
      </c>
      <c r="E1091" t="s">
        <v>9690</v>
      </c>
      <c r="F1091" t="s">
        <v>9691</v>
      </c>
      <c r="G1091" t="s">
        <v>5904</v>
      </c>
      <c r="H1091">
        <v>322</v>
      </c>
      <c r="I1091">
        <v>288</v>
      </c>
      <c r="J1091">
        <v>288</v>
      </c>
      <c r="K1091">
        <v>241</v>
      </c>
      <c r="L1091">
        <v>263</v>
      </c>
      <c r="M1091">
        <v>74.8</v>
      </c>
      <c r="N1091">
        <v>81.7</v>
      </c>
      <c r="O1091">
        <v>500</v>
      </c>
    </row>
    <row r="1092" spans="1:15">
      <c r="A1092">
        <v>614</v>
      </c>
      <c r="B1092" t="s">
        <v>2859</v>
      </c>
      <c r="C1092" t="s">
        <v>9692</v>
      </c>
      <c r="D1092" t="s">
        <v>9693</v>
      </c>
      <c r="E1092" t="s">
        <v>9694</v>
      </c>
      <c r="F1092" t="s">
        <v>9695</v>
      </c>
      <c r="G1092" t="s">
        <v>5904</v>
      </c>
      <c r="H1092">
        <v>523</v>
      </c>
      <c r="I1092">
        <v>511</v>
      </c>
      <c r="J1092">
        <v>514</v>
      </c>
      <c r="K1092">
        <v>361</v>
      </c>
      <c r="L1092">
        <v>439</v>
      </c>
      <c r="M1092">
        <v>69</v>
      </c>
      <c r="N1092">
        <v>83.9</v>
      </c>
      <c r="O1092">
        <v>782.3</v>
      </c>
    </row>
    <row r="1093" spans="1:15">
      <c r="A1093">
        <v>613</v>
      </c>
      <c r="B1093" t="s">
        <v>2861</v>
      </c>
      <c r="C1093" t="s">
        <v>2862</v>
      </c>
      <c r="D1093" t="s">
        <v>9696</v>
      </c>
      <c r="E1093" t="s">
        <v>9697</v>
      </c>
      <c r="F1093" t="s">
        <v>9698</v>
      </c>
      <c r="G1093" t="s">
        <v>5904</v>
      </c>
      <c r="H1093">
        <v>189</v>
      </c>
      <c r="I1093">
        <v>189</v>
      </c>
      <c r="J1093">
        <v>188</v>
      </c>
      <c r="K1093">
        <v>162</v>
      </c>
      <c r="L1093">
        <v>175</v>
      </c>
      <c r="M1093">
        <v>85.7</v>
      </c>
      <c r="N1093">
        <v>92.6</v>
      </c>
      <c r="O1093">
        <v>348.6</v>
      </c>
    </row>
    <row r="1094" spans="1:15">
      <c r="A1094">
        <v>612</v>
      </c>
      <c r="B1094" t="s">
        <v>2863</v>
      </c>
      <c r="C1094" t="s">
        <v>9699</v>
      </c>
      <c r="D1094" t="s">
        <v>9700</v>
      </c>
      <c r="E1094" t="s">
        <v>9701</v>
      </c>
      <c r="F1094" t="s">
        <v>9702</v>
      </c>
      <c r="G1094" t="s">
        <v>5904</v>
      </c>
      <c r="H1094">
        <v>110</v>
      </c>
      <c r="I1094">
        <v>110</v>
      </c>
      <c r="J1094">
        <v>110</v>
      </c>
      <c r="K1094">
        <v>102</v>
      </c>
      <c r="L1094">
        <v>106</v>
      </c>
      <c r="M1094">
        <v>92.7</v>
      </c>
      <c r="N1094">
        <v>96.4</v>
      </c>
      <c r="O1094">
        <v>199.1</v>
      </c>
    </row>
    <row r="1095" spans="1:15">
      <c r="A1095">
        <v>611</v>
      </c>
      <c r="B1095" t="s">
        <v>2865</v>
      </c>
      <c r="C1095" t="s">
        <v>2866</v>
      </c>
      <c r="D1095" t="s">
        <v>9703</v>
      </c>
      <c r="E1095" t="s">
        <v>9704</v>
      </c>
      <c r="F1095" t="s">
        <v>9705</v>
      </c>
      <c r="G1095" t="s">
        <v>5904</v>
      </c>
      <c r="H1095">
        <v>271</v>
      </c>
      <c r="I1095">
        <v>271</v>
      </c>
      <c r="J1095">
        <v>271</v>
      </c>
      <c r="K1095">
        <v>258</v>
      </c>
      <c r="L1095">
        <v>264</v>
      </c>
      <c r="M1095">
        <v>95.2</v>
      </c>
      <c r="N1095">
        <v>97.4</v>
      </c>
      <c r="O1095">
        <v>522.70000000000005</v>
      </c>
    </row>
    <row r="1096" spans="1:15">
      <c r="A1096">
        <v>610</v>
      </c>
      <c r="B1096" t="s">
        <v>2867</v>
      </c>
      <c r="C1096" t="s">
        <v>2868</v>
      </c>
      <c r="D1096" t="s">
        <v>9706</v>
      </c>
      <c r="E1096" t="s">
        <v>9707</v>
      </c>
      <c r="F1096" t="s">
        <v>9708</v>
      </c>
      <c r="G1096" t="s">
        <v>5904</v>
      </c>
      <c r="H1096">
        <v>351</v>
      </c>
      <c r="I1096">
        <v>350</v>
      </c>
      <c r="J1096">
        <v>351</v>
      </c>
      <c r="K1096">
        <v>298</v>
      </c>
      <c r="L1096">
        <v>310</v>
      </c>
      <c r="M1096">
        <v>84.9</v>
      </c>
      <c r="N1096">
        <v>88.3</v>
      </c>
      <c r="O1096">
        <v>571.6</v>
      </c>
    </row>
    <row r="1097" spans="1:15">
      <c r="A1097">
        <v>609</v>
      </c>
      <c r="B1097" t="s">
        <v>2869</v>
      </c>
      <c r="C1097" t="s">
        <v>9709</v>
      </c>
      <c r="D1097" t="s">
        <v>9710</v>
      </c>
      <c r="E1097" t="s">
        <v>9711</v>
      </c>
      <c r="F1097" t="s">
        <v>9712</v>
      </c>
      <c r="G1097" t="s">
        <v>5904</v>
      </c>
      <c r="H1097">
        <v>507</v>
      </c>
      <c r="I1097">
        <v>507</v>
      </c>
      <c r="J1097">
        <v>488</v>
      </c>
      <c r="K1097">
        <v>443</v>
      </c>
      <c r="L1097">
        <v>463</v>
      </c>
      <c r="M1097">
        <v>87.4</v>
      </c>
      <c r="N1097">
        <v>91.3</v>
      </c>
      <c r="O1097">
        <v>877.5</v>
      </c>
    </row>
    <row r="1098" spans="1:15">
      <c r="A1098">
        <v>608</v>
      </c>
      <c r="B1098" t="s">
        <v>2871</v>
      </c>
      <c r="C1098" t="s">
        <v>2872</v>
      </c>
      <c r="D1098" t="s">
        <v>9713</v>
      </c>
      <c r="E1098" t="s">
        <v>9714</v>
      </c>
      <c r="F1098" t="s">
        <v>9715</v>
      </c>
      <c r="G1098" t="s">
        <v>5904</v>
      </c>
      <c r="H1098">
        <v>699</v>
      </c>
      <c r="I1098">
        <v>701</v>
      </c>
      <c r="J1098">
        <v>705</v>
      </c>
      <c r="K1098">
        <v>617</v>
      </c>
      <c r="L1098">
        <v>642</v>
      </c>
      <c r="M1098">
        <v>88.3</v>
      </c>
      <c r="N1098">
        <v>91.8</v>
      </c>
      <c r="O1098">
        <v>1001.1</v>
      </c>
    </row>
    <row r="1099" spans="1:15">
      <c r="A1099">
        <v>2034</v>
      </c>
      <c r="B1099" t="s">
        <v>2873</v>
      </c>
      <c r="C1099" t="s">
        <v>2874</v>
      </c>
      <c r="D1099" t="s">
        <v>9716</v>
      </c>
      <c r="E1099" t="s">
        <v>9717</v>
      </c>
      <c r="F1099" t="s">
        <v>9718</v>
      </c>
      <c r="G1099" t="s">
        <v>5904</v>
      </c>
      <c r="H1099">
        <v>1241</v>
      </c>
      <c r="I1099">
        <v>1247</v>
      </c>
      <c r="J1099">
        <v>1247</v>
      </c>
      <c r="K1099">
        <v>1098</v>
      </c>
      <c r="L1099">
        <v>1149</v>
      </c>
      <c r="M1099">
        <v>88.5</v>
      </c>
      <c r="N1099">
        <v>92.6</v>
      </c>
      <c r="O1099">
        <v>2227.1999999999998</v>
      </c>
    </row>
    <row r="1100" spans="1:15">
      <c r="A1100">
        <v>2033</v>
      </c>
      <c r="B1100" t="s">
        <v>9719</v>
      </c>
      <c r="C1100" t="s">
        <v>2877</v>
      </c>
      <c r="D1100" t="s">
        <v>9720</v>
      </c>
      <c r="E1100" t="s">
        <v>9721</v>
      </c>
      <c r="F1100" t="s">
        <v>9722</v>
      </c>
      <c r="G1100" t="s">
        <v>5904</v>
      </c>
      <c r="H1100">
        <v>1183</v>
      </c>
      <c r="I1100">
        <v>1134</v>
      </c>
      <c r="J1100">
        <v>1134</v>
      </c>
      <c r="K1100">
        <v>1122</v>
      </c>
      <c r="L1100">
        <v>1129</v>
      </c>
      <c r="M1100">
        <v>94.8</v>
      </c>
      <c r="N1100">
        <v>95.4</v>
      </c>
      <c r="O1100">
        <v>2286.5</v>
      </c>
    </row>
    <row r="1101" spans="1:15">
      <c r="A1101">
        <v>2032</v>
      </c>
      <c r="B1101" t="s">
        <v>9723</v>
      </c>
      <c r="C1101" t="s">
        <v>2880</v>
      </c>
      <c r="D1101" t="s">
        <v>9724</v>
      </c>
      <c r="E1101" t="s">
        <v>9725</v>
      </c>
      <c r="F1101" t="s">
        <v>9726</v>
      </c>
      <c r="G1101" t="s">
        <v>5904</v>
      </c>
      <c r="H1101">
        <v>362</v>
      </c>
      <c r="I1101">
        <v>362</v>
      </c>
      <c r="J1101">
        <v>362</v>
      </c>
      <c r="K1101">
        <v>331</v>
      </c>
      <c r="L1101">
        <v>349</v>
      </c>
      <c r="M1101">
        <v>91.4</v>
      </c>
      <c r="N1101">
        <v>96.4</v>
      </c>
      <c r="O1101">
        <v>703.7</v>
      </c>
    </row>
    <row r="1102" spans="1:15">
      <c r="A1102">
        <v>2031</v>
      </c>
      <c r="B1102" t="s">
        <v>9727</v>
      </c>
      <c r="C1102" t="s">
        <v>2883</v>
      </c>
      <c r="D1102" t="s">
        <v>9728</v>
      </c>
      <c r="E1102" t="s">
        <v>9729</v>
      </c>
      <c r="F1102" t="s">
        <v>9730</v>
      </c>
      <c r="G1102" t="s">
        <v>5904</v>
      </c>
      <c r="H1102">
        <v>470</v>
      </c>
      <c r="I1102">
        <v>465</v>
      </c>
      <c r="J1102">
        <v>459</v>
      </c>
      <c r="K1102">
        <v>386</v>
      </c>
      <c r="L1102">
        <v>421</v>
      </c>
      <c r="M1102">
        <v>82.1</v>
      </c>
      <c r="N1102">
        <v>89.6</v>
      </c>
      <c r="O1102">
        <v>824.7</v>
      </c>
    </row>
    <row r="1103" spans="1:15">
      <c r="A1103">
        <v>2030</v>
      </c>
      <c r="B1103" t="s">
        <v>2884</v>
      </c>
      <c r="C1103" t="s">
        <v>2885</v>
      </c>
      <c r="D1103" t="s">
        <v>9731</v>
      </c>
      <c r="E1103" t="s">
        <v>9732</v>
      </c>
      <c r="F1103" t="s">
        <v>9733</v>
      </c>
      <c r="G1103" t="s">
        <v>5904</v>
      </c>
      <c r="H1103">
        <v>294</v>
      </c>
      <c r="I1103">
        <v>294</v>
      </c>
      <c r="J1103">
        <v>294</v>
      </c>
      <c r="K1103">
        <v>290</v>
      </c>
      <c r="L1103">
        <v>293</v>
      </c>
      <c r="M1103">
        <v>98.6</v>
      </c>
      <c r="N1103">
        <v>99.7</v>
      </c>
      <c r="O1103">
        <v>598.20000000000005</v>
      </c>
    </row>
    <row r="1104" spans="1:15">
      <c r="A1104">
        <v>2029</v>
      </c>
      <c r="B1104" t="s">
        <v>2886</v>
      </c>
      <c r="C1104" t="s">
        <v>2887</v>
      </c>
      <c r="D1104" t="s">
        <v>9734</v>
      </c>
      <c r="E1104" t="s">
        <v>9735</v>
      </c>
      <c r="F1104" t="s">
        <v>9736</v>
      </c>
      <c r="G1104" t="s">
        <v>5904</v>
      </c>
      <c r="H1104">
        <v>296</v>
      </c>
      <c r="I1104">
        <v>299</v>
      </c>
      <c r="J1104">
        <v>299</v>
      </c>
      <c r="K1104">
        <v>266</v>
      </c>
      <c r="L1104">
        <v>272</v>
      </c>
      <c r="M1104">
        <v>89.9</v>
      </c>
      <c r="N1104">
        <v>91.9</v>
      </c>
      <c r="O1104">
        <v>484.6</v>
      </c>
    </row>
    <row r="1105" spans="1:15">
      <c r="A1105">
        <v>2238</v>
      </c>
      <c r="B1105" t="s">
        <v>9737</v>
      </c>
      <c r="C1105" t="s">
        <v>2890</v>
      </c>
      <c r="D1105" t="s">
        <v>9738</v>
      </c>
      <c r="E1105" t="s">
        <v>9739</v>
      </c>
      <c r="F1105" t="s">
        <v>9740</v>
      </c>
      <c r="G1105" t="s">
        <v>5904</v>
      </c>
      <c r="H1105">
        <v>666</v>
      </c>
      <c r="I1105">
        <v>630</v>
      </c>
      <c r="J1105">
        <v>592</v>
      </c>
      <c r="K1105">
        <v>539</v>
      </c>
      <c r="L1105">
        <v>558</v>
      </c>
      <c r="M1105">
        <v>80.900000000000006</v>
      </c>
      <c r="N1105">
        <v>83.8</v>
      </c>
      <c r="O1105">
        <v>1053.0999999999999</v>
      </c>
    </row>
    <row r="1106" spans="1:15">
      <c r="A1106">
        <v>2028</v>
      </c>
      <c r="B1106" t="s">
        <v>9741</v>
      </c>
      <c r="C1106" t="s">
        <v>2893</v>
      </c>
      <c r="D1106" t="s">
        <v>9742</v>
      </c>
      <c r="E1106" t="s">
        <v>9743</v>
      </c>
      <c r="F1106" t="s">
        <v>9744</v>
      </c>
      <c r="G1106" t="s">
        <v>5904</v>
      </c>
      <c r="H1106">
        <v>759</v>
      </c>
      <c r="I1106">
        <v>756</v>
      </c>
      <c r="J1106">
        <v>759</v>
      </c>
      <c r="K1106">
        <v>697</v>
      </c>
      <c r="L1106">
        <v>725</v>
      </c>
      <c r="M1106">
        <v>91.8</v>
      </c>
      <c r="N1106">
        <v>95.5</v>
      </c>
      <c r="O1106">
        <v>1426</v>
      </c>
    </row>
    <row r="1107" spans="1:15">
      <c r="A1107">
        <v>2027</v>
      </c>
      <c r="B1107" t="s">
        <v>9745</v>
      </c>
      <c r="C1107" t="s">
        <v>2896</v>
      </c>
      <c r="D1107" t="s">
        <v>9746</v>
      </c>
      <c r="E1107" t="s">
        <v>9747</v>
      </c>
      <c r="F1107" t="s">
        <v>9748</v>
      </c>
      <c r="G1107" t="s">
        <v>5904</v>
      </c>
      <c r="H1107">
        <v>426</v>
      </c>
      <c r="I1107">
        <v>424</v>
      </c>
      <c r="J1107">
        <v>393</v>
      </c>
      <c r="K1107">
        <v>369</v>
      </c>
      <c r="L1107">
        <v>375</v>
      </c>
      <c r="M1107">
        <v>86.6</v>
      </c>
      <c r="N1107">
        <v>88</v>
      </c>
      <c r="O1107">
        <v>740.7</v>
      </c>
    </row>
    <row r="1108" spans="1:15">
      <c r="A1108">
        <v>2026</v>
      </c>
      <c r="B1108" t="s">
        <v>2897</v>
      </c>
      <c r="C1108" t="s">
        <v>2898</v>
      </c>
      <c r="D1108" t="s">
        <v>9749</v>
      </c>
      <c r="E1108" t="s">
        <v>9750</v>
      </c>
      <c r="F1108" t="s">
        <v>9751</v>
      </c>
      <c r="G1108" t="s">
        <v>5904</v>
      </c>
      <c r="H1108">
        <v>104</v>
      </c>
      <c r="I1108">
        <v>104</v>
      </c>
      <c r="J1108">
        <v>104</v>
      </c>
      <c r="K1108">
        <v>103</v>
      </c>
      <c r="L1108">
        <v>104</v>
      </c>
      <c r="M1108">
        <v>99</v>
      </c>
      <c r="N1108">
        <v>100</v>
      </c>
      <c r="O1108">
        <v>217.2</v>
      </c>
    </row>
    <row r="1109" spans="1:15">
      <c r="A1109">
        <v>2025</v>
      </c>
      <c r="B1109" t="s">
        <v>9752</v>
      </c>
      <c r="C1109" t="s">
        <v>2901</v>
      </c>
      <c r="D1109" t="s">
        <v>9753</v>
      </c>
      <c r="E1109" t="s">
        <v>9754</v>
      </c>
      <c r="F1109" t="s">
        <v>9755</v>
      </c>
      <c r="G1109" t="s">
        <v>5904</v>
      </c>
      <c r="H1109">
        <v>917</v>
      </c>
      <c r="I1109">
        <v>917</v>
      </c>
      <c r="J1109">
        <v>917</v>
      </c>
      <c r="K1109">
        <v>880</v>
      </c>
      <c r="L1109">
        <v>902</v>
      </c>
      <c r="M1109">
        <v>96</v>
      </c>
      <c r="N1109">
        <v>98.4</v>
      </c>
      <c r="O1109">
        <v>1828.9</v>
      </c>
    </row>
    <row r="1110" spans="1:15">
      <c r="A1110">
        <v>2237</v>
      </c>
      <c r="B1110" t="s">
        <v>2902</v>
      </c>
      <c r="C1110" t="s">
        <v>2903</v>
      </c>
      <c r="D1110" t="s">
        <v>9756</v>
      </c>
      <c r="E1110" t="s">
        <v>9757</v>
      </c>
      <c r="F1110" t="s">
        <v>9758</v>
      </c>
      <c r="G1110" t="s">
        <v>5904</v>
      </c>
      <c r="H1110">
        <v>324</v>
      </c>
      <c r="I1110">
        <v>324</v>
      </c>
      <c r="J1110">
        <v>324</v>
      </c>
      <c r="K1110">
        <v>313</v>
      </c>
      <c r="L1110">
        <v>315</v>
      </c>
      <c r="M1110">
        <v>96.6</v>
      </c>
      <c r="N1110">
        <v>97.2</v>
      </c>
      <c r="O1110">
        <v>649</v>
      </c>
    </row>
    <row r="1111" spans="1:15">
      <c r="A1111">
        <v>2024</v>
      </c>
      <c r="B1111" t="s">
        <v>9759</v>
      </c>
      <c r="C1111" t="s">
        <v>2906</v>
      </c>
      <c r="D1111" t="s">
        <v>9760</v>
      </c>
      <c r="E1111" t="s">
        <v>9761</v>
      </c>
      <c r="F1111" t="s">
        <v>9762</v>
      </c>
      <c r="G1111" t="s">
        <v>5904</v>
      </c>
      <c r="H1111">
        <v>288</v>
      </c>
      <c r="I1111">
        <v>288</v>
      </c>
      <c r="J1111">
        <v>288</v>
      </c>
      <c r="K1111">
        <v>263</v>
      </c>
      <c r="L1111">
        <v>276</v>
      </c>
      <c r="M1111">
        <v>91.3</v>
      </c>
      <c r="N1111">
        <v>95.8</v>
      </c>
      <c r="O1111">
        <v>555.79999999999995</v>
      </c>
    </row>
    <row r="1112" spans="1:15">
      <c r="A1112">
        <v>2023</v>
      </c>
      <c r="B1112" t="s">
        <v>2907</v>
      </c>
      <c r="C1112" t="s">
        <v>2908</v>
      </c>
      <c r="D1112" t="s">
        <v>9763</v>
      </c>
      <c r="E1112" t="s">
        <v>9764</v>
      </c>
      <c r="F1112" t="s">
        <v>9765</v>
      </c>
      <c r="G1112" t="s">
        <v>5904</v>
      </c>
      <c r="H1112">
        <v>289</v>
      </c>
      <c r="I1112">
        <v>289</v>
      </c>
      <c r="J1112">
        <v>289</v>
      </c>
      <c r="K1112">
        <v>278</v>
      </c>
      <c r="L1112">
        <v>287</v>
      </c>
      <c r="M1112">
        <v>96.2</v>
      </c>
      <c r="N1112">
        <v>99.3</v>
      </c>
      <c r="O1112">
        <v>583.20000000000005</v>
      </c>
    </row>
    <row r="1113" spans="1:15">
      <c r="A1113">
        <v>2022</v>
      </c>
      <c r="B1113" t="s">
        <v>9766</v>
      </c>
      <c r="C1113" t="s">
        <v>2911</v>
      </c>
      <c r="D1113" t="s">
        <v>9767</v>
      </c>
      <c r="E1113" t="s">
        <v>9768</v>
      </c>
      <c r="F1113" t="s">
        <v>9769</v>
      </c>
      <c r="G1113" t="s">
        <v>5904</v>
      </c>
      <c r="H1113">
        <v>334</v>
      </c>
      <c r="I1113">
        <v>335</v>
      </c>
      <c r="J1113">
        <v>318</v>
      </c>
      <c r="K1113">
        <v>296</v>
      </c>
      <c r="L1113">
        <v>308</v>
      </c>
      <c r="M1113">
        <v>88.6</v>
      </c>
      <c r="N1113">
        <v>92.2</v>
      </c>
      <c r="O1113">
        <v>617.5</v>
      </c>
    </row>
    <row r="1114" spans="1:15">
      <c r="A1114">
        <v>2021</v>
      </c>
      <c r="B1114" t="s">
        <v>9770</v>
      </c>
      <c r="C1114" t="s">
        <v>2914</v>
      </c>
      <c r="D1114" t="s">
        <v>9771</v>
      </c>
      <c r="E1114" t="s">
        <v>9772</v>
      </c>
      <c r="F1114" t="s">
        <v>9773</v>
      </c>
      <c r="G1114" t="s">
        <v>5904</v>
      </c>
      <c r="H1114">
        <v>920</v>
      </c>
      <c r="I1114">
        <v>909</v>
      </c>
      <c r="J1114">
        <v>923</v>
      </c>
      <c r="K1114">
        <v>754</v>
      </c>
      <c r="L1114">
        <v>808</v>
      </c>
      <c r="M1114">
        <v>82</v>
      </c>
      <c r="N1114">
        <v>87.8</v>
      </c>
      <c r="O1114">
        <v>1486.5</v>
      </c>
    </row>
    <row r="1115" spans="1:15">
      <c r="A1115">
        <v>2020</v>
      </c>
      <c r="B1115" t="s">
        <v>2915</v>
      </c>
      <c r="C1115" t="s">
        <v>2916</v>
      </c>
      <c r="D1115" t="s">
        <v>9774</v>
      </c>
      <c r="E1115" t="s">
        <v>9775</v>
      </c>
      <c r="F1115" t="s">
        <v>9776</v>
      </c>
      <c r="G1115" t="s">
        <v>5904</v>
      </c>
      <c r="H1115">
        <v>725</v>
      </c>
      <c r="I1115">
        <v>726</v>
      </c>
      <c r="J1115">
        <v>726</v>
      </c>
      <c r="K1115">
        <v>660</v>
      </c>
      <c r="L1115">
        <v>696</v>
      </c>
      <c r="M1115">
        <v>91</v>
      </c>
      <c r="N1115">
        <v>96</v>
      </c>
      <c r="O1115">
        <v>1377.8</v>
      </c>
    </row>
    <row r="1116" spans="1:15">
      <c r="A1116">
        <v>2019</v>
      </c>
      <c r="B1116" t="s">
        <v>2917</v>
      </c>
      <c r="C1116" t="s">
        <v>2919</v>
      </c>
      <c r="D1116" t="s">
        <v>9777</v>
      </c>
      <c r="E1116" t="s">
        <v>9778</v>
      </c>
      <c r="F1116" t="s">
        <v>9779</v>
      </c>
      <c r="G1116" t="s">
        <v>5904</v>
      </c>
      <c r="H1116">
        <v>578</v>
      </c>
      <c r="I1116">
        <v>575</v>
      </c>
      <c r="J1116">
        <v>579</v>
      </c>
      <c r="K1116">
        <v>467</v>
      </c>
      <c r="L1116">
        <v>497</v>
      </c>
      <c r="M1116">
        <v>80.8</v>
      </c>
      <c r="N1116">
        <v>86</v>
      </c>
      <c r="O1116">
        <v>835.1</v>
      </c>
    </row>
    <row r="1117" spans="1:15">
      <c r="A1117">
        <v>2018</v>
      </c>
      <c r="B1117" t="s">
        <v>2920</v>
      </c>
      <c r="C1117" t="s">
        <v>2921</v>
      </c>
      <c r="D1117" t="s">
        <v>9777</v>
      </c>
      <c r="E1117" t="s">
        <v>9778</v>
      </c>
      <c r="F1117" t="s">
        <v>9780</v>
      </c>
      <c r="G1117" t="s">
        <v>5904</v>
      </c>
      <c r="H1117">
        <v>577</v>
      </c>
      <c r="I1117">
        <v>575</v>
      </c>
      <c r="J1117">
        <v>579</v>
      </c>
      <c r="K1117">
        <v>466</v>
      </c>
      <c r="L1117">
        <v>497</v>
      </c>
      <c r="M1117">
        <v>80.8</v>
      </c>
      <c r="N1117">
        <v>86.1</v>
      </c>
      <c r="O1117">
        <v>828.5</v>
      </c>
    </row>
    <row r="1118" spans="1:15">
      <c r="A1118">
        <v>2236</v>
      </c>
      <c r="B1118" t="s">
        <v>9781</v>
      </c>
      <c r="C1118" t="s">
        <v>2924</v>
      </c>
      <c r="D1118" t="s">
        <v>9782</v>
      </c>
      <c r="E1118" t="s">
        <v>9783</v>
      </c>
      <c r="F1118" t="s">
        <v>9784</v>
      </c>
      <c r="G1118" t="s">
        <v>5904</v>
      </c>
      <c r="H1118">
        <v>483</v>
      </c>
      <c r="I1118">
        <v>483</v>
      </c>
      <c r="J1118">
        <v>483</v>
      </c>
      <c r="K1118">
        <v>463</v>
      </c>
      <c r="L1118">
        <v>476</v>
      </c>
      <c r="M1118">
        <v>95.9</v>
      </c>
      <c r="N1118">
        <v>98.6</v>
      </c>
      <c r="O1118">
        <v>942.6</v>
      </c>
    </row>
    <row r="1119" spans="1:15">
      <c r="A1119">
        <v>2017</v>
      </c>
      <c r="B1119" t="s">
        <v>9785</v>
      </c>
      <c r="C1119" t="s">
        <v>2927</v>
      </c>
      <c r="D1119" t="s">
        <v>9786</v>
      </c>
      <c r="E1119" t="s">
        <v>9787</v>
      </c>
      <c r="F1119" t="s">
        <v>9788</v>
      </c>
      <c r="G1119" t="s">
        <v>5904</v>
      </c>
      <c r="H1119">
        <v>492</v>
      </c>
      <c r="I1119">
        <v>480</v>
      </c>
      <c r="J1119">
        <v>496</v>
      </c>
      <c r="K1119">
        <v>456</v>
      </c>
      <c r="L1119">
        <v>466</v>
      </c>
      <c r="M1119">
        <v>92.7</v>
      </c>
      <c r="N1119">
        <v>94.7</v>
      </c>
      <c r="O1119">
        <v>881.7</v>
      </c>
    </row>
    <row r="1120" spans="1:15">
      <c r="A1120">
        <v>2016</v>
      </c>
      <c r="B1120" t="s">
        <v>2928</v>
      </c>
      <c r="C1120" t="s">
        <v>9789</v>
      </c>
      <c r="D1120" t="s">
        <v>9790</v>
      </c>
      <c r="E1120" t="s">
        <v>9791</v>
      </c>
      <c r="F1120" t="s">
        <v>9792</v>
      </c>
      <c r="G1120" t="s">
        <v>5904</v>
      </c>
      <c r="H1120">
        <v>504</v>
      </c>
      <c r="I1120">
        <v>505</v>
      </c>
      <c r="J1120">
        <v>469</v>
      </c>
      <c r="K1120">
        <v>436</v>
      </c>
      <c r="L1120">
        <v>453</v>
      </c>
      <c r="M1120">
        <v>86.5</v>
      </c>
      <c r="N1120">
        <v>89.9</v>
      </c>
      <c r="O1120">
        <v>826.6</v>
      </c>
    </row>
    <row r="1121" spans="1:15">
      <c r="A1121">
        <v>2015</v>
      </c>
      <c r="B1121" t="s">
        <v>2931</v>
      </c>
      <c r="C1121" t="s">
        <v>2932</v>
      </c>
      <c r="D1121" t="s">
        <v>9793</v>
      </c>
      <c r="E1121" t="s">
        <v>9794</v>
      </c>
      <c r="F1121" t="s">
        <v>9795</v>
      </c>
      <c r="G1121" t="s">
        <v>5904</v>
      </c>
      <c r="H1121">
        <v>241</v>
      </c>
      <c r="I1121">
        <v>241</v>
      </c>
      <c r="J1121">
        <v>241</v>
      </c>
      <c r="K1121">
        <v>204</v>
      </c>
      <c r="L1121">
        <v>219</v>
      </c>
      <c r="M1121">
        <v>84.6</v>
      </c>
      <c r="N1121">
        <v>90.9</v>
      </c>
      <c r="O1121">
        <v>426.4</v>
      </c>
    </row>
    <row r="1122" spans="1:15">
      <c r="A1122">
        <v>2014</v>
      </c>
      <c r="B1122" t="s">
        <v>2933</v>
      </c>
      <c r="C1122" t="s">
        <v>2934</v>
      </c>
      <c r="D1122" t="s">
        <v>9796</v>
      </c>
      <c r="E1122" t="s">
        <v>9797</v>
      </c>
      <c r="F1122" t="s">
        <v>9798</v>
      </c>
      <c r="G1122" t="s">
        <v>5904</v>
      </c>
      <c r="H1122">
        <v>201</v>
      </c>
      <c r="I1122">
        <v>201</v>
      </c>
      <c r="J1122">
        <v>201</v>
      </c>
      <c r="K1122">
        <v>185</v>
      </c>
      <c r="L1122">
        <v>194</v>
      </c>
      <c r="M1122">
        <v>92</v>
      </c>
      <c r="N1122">
        <v>96.5</v>
      </c>
      <c r="O1122">
        <v>382.5</v>
      </c>
    </row>
    <row r="1123" spans="1:15">
      <c r="A1123">
        <v>2013</v>
      </c>
      <c r="B1123" t="s">
        <v>9799</v>
      </c>
      <c r="C1123" t="s">
        <v>2937</v>
      </c>
      <c r="D1123" t="s">
        <v>9800</v>
      </c>
      <c r="E1123" t="s">
        <v>9801</v>
      </c>
      <c r="F1123" t="s">
        <v>9802</v>
      </c>
      <c r="G1123" t="s">
        <v>5904</v>
      </c>
      <c r="H1123">
        <v>666</v>
      </c>
      <c r="I1123">
        <v>623</v>
      </c>
      <c r="J1123">
        <v>623</v>
      </c>
      <c r="K1123">
        <v>609</v>
      </c>
      <c r="L1123">
        <v>615</v>
      </c>
      <c r="M1123">
        <v>91.4</v>
      </c>
      <c r="N1123">
        <v>92.3</v>
      </c>
      <c r="O1123">
        <v>1272.7</v>
      </c>
    </row>
    <row r="1124" spans="1:15">
      <c r="A1124">
        <v>2012</v>
      </c>
      <c r="B1124" t="s">
        <v>9803</v>
      </c>
      <c r="C1124" t="s">
        <v>2940</v>
      </c>
      <c r="D1124" t="s">
        <v>9804</v>
      </c>
      <c r="E1124" t="s">
        <v>9805</v>
      </c>
      <c r="F1124" t="s">
        <v>9806</v>
      </c>
      <c r="G1124" t="s">
        <v>5904</v>
      </c>
      <c r="H1124">
        <v>360</v>
      </c>
      <c r="I1124">
        <v>327</v>
      </c>
      <c r="J1124">
        <v>326</v>
      </c>
      <c r="K1124">
        <v>324</v>
      </c>
      <c r="L1124">
        <v>326</v>
      </c>
      <c r="M1124">
        <v>90</v>
      </c>
      <c r="N1124">
        <v>90.6</v>
      </c>
      <c r="O1124">
        <v>669.1</v>
      </c>
    </row>
    <row r="1125" spans="1:15">
      <c r="A1125">
        <v>2011</v>
      </c>
      <c r="B1125" t="s">
        <v>2941</v>
      </c>
      <c r="C1125" t="s">
        <v>2942</v>
      </c>
      <c r="D1125" t="s">
        <v>9807</v>
      </c>
      <c r="E1125" t="s">
        <v>9808</v>
      </c>
      <c r="F1125" t="s">
        <v>9809</v>
      </c>
      <c r="G1125" t="s">
        <v>5904</v>
      </c>
      <c r="H1125">
        <v>413</v>
      </c>
      <c r="I1125">
        <v>413</v>
      </c>
      <c r="J1125">
        <v>413</v>
      </c>
      <c r="K1125">
        <v>385</v>
      </c>
      <c r="L1125">
        <v>400</v>
      </c>
      <c r="M1125">
        <v>93.2</v>
      </c>
      <c r="N1125">
        <v>96.9</v>
      </c>
      <c r="O1125">
        <v>807.7</v>
      </c>
    </row>
    <row r="1126" spans="1:15">
      <c r="A1126">
        <v>2010</v>
      </c>
      <c r="B1126" t="s">
        <v>2943</v>
      </c>
      <c r="C1126" t="s">
        <v>2945</v>
      </c>
      <c r="D1126" t="s">
        <v>9810</v>
      </c>
      <c r="E1126" t="s">
        <v>9811</v>
      </c>
      <c r="F1126" t="s">
        <v>9812</v>
      </c>
      <c r="G1126" t="s">
        <v>5904</v>
      </c>
      <c r="H1126">
        <v>218</v>
      </c>
      <c r="I1126">
        <v>218</v>
      </c>
      <c r="J1126">
        <v>218</v>
      </c>
      <c r="K1126">
        <v>217</v>
      </c>
      <c r="L1126">
        <v>218</v>
      </c>
      <c r="M1126">
        <v>99.5</v>
      </c>
      <c r="N1126">
        <v>100</v>
      </c>
      <c r="O1126">
        <v>452.6</v>
      </c>
    </row>
    <row r="1127" spans="1:15">
      <c r="A1127">
        <v>2009</v>
      </c>
      <c r="B1127" t="s">
        <v>2946</v>
      </c>
      <c r="C1127" t="s">
        <v>2947</v>
      </c>
      <c r="D1127" t="s">
        <v>9813</v>
      </c>
      <c r="E1127" t="s">
        <v>9814</v>
      </c>
      <c r="F1127" t="s">
        <v>9815</v>
      </c>
      <c r="G1127" t="s">
        <v>5904</v>
      </c>
      <c r="H1127">
        <v>511</v>
      </c>
      <c r="I1127">
        <v>511</v>
      </c>
      <c r="J1127">
        <v>511</v>
      </c>
      <c r="K1127">
        <v>497</v>
      </c>
      <c r="L1127">
        <v>509</v>
      </c>
      <c r="M1127">
        <v>97.3</v>
      </c>
      <c r="N1127">
        <v>99.6</v>
      </c>
      <c r="O1127">
        <v>1038.0999999999999</v>
      </c>
    </row>
    <row r="1128" spans="1:15">
      <c r="A1128">
        <v>2008</v>
      </c>
      <c r="B1128" t="s">
        <v>2948</v>
      </c>
      <c r="C1128" t="s">
        <v>9816</v>
      </c>
      <c r="D1128" t="s">
        <v>9817</v>
      </c>
      <c r="E1128" t="s">
        <v>9818</v>
      </c>
      <c r="F1128" t="s">
        <v>9819</v>
      </c>
      <c r="G1128" t="s">
        <v>5904</v>
      </c>
      <c r="H1128">
        <v>399</v>
      </c>
      <c r="I1128">
        <v>399</v>
      </c>
      <c r="J1128">
        <v>398</v>
      </c>
      <c r="K1128">
        <v>322</v>
      </c>
      <c r="L1128">
        <v>355</v>
      </c>
      <c r="M1128">
        <v>80.7</v>
      </c>
      <c r="N1128">
        <v>89</v>
      </c>
      <c r="O1128">
        <v>687.2</v>
      </c>
    </row>
    <row r="1129" spans="1:15">
      <c r="A1129">
        <v>2007</v>
      </c>
      <c r="B1129" t="s">
        <v>9820</v>
      </c>
      <c r="C1129" t="s">
        <v>2952</v>
      </c>
      <c r="D1129" t="s">
        <v>9821</v>
      </c>
      <c r="E1129" t="s">
        <v>9822</v>
      </c>
      <c r="F1129" t="s">
        <v>9823</v>
      </c>
      <c r="G1129" t="s">
        <v>5904</v>
      </c>
      <c r="H1129">
        <v>271</v>
      </c>
      <c r="I1129">
        <v>270</v>
      </c>
      <c r="J1129">
        <v>258</v>
      </c>
      <c r="K1129">
        <v>237</v>
      </c>
      <c r="L1129">
        <v>247</v>
      </c>
      <c r="M1129">
        <v>87.5</v>
      </c>
      <c r="N1129">
        <v>91.1</v>
      </c>
      <c r="O1129">
        <v>441.4</v>
      </c>
    </row>
    <row r="1130" spans="1:15">
      <c r="A1130">
        <v>2006</v>
      </c>
      <c r="B1130" t="s">
        <v>9824</v>
      </c>
      <c r="C1130" t="s">
        <v>5694</v>
      </c>
      <c r="D1130" t="s">
        <v>9825</v>
      </c>
      <c r="E1130" t="s">
        <v>9826</v>
      </c>
      <c r="F1130" t="s">
        <v>9827</v>
      </c>
      <c r="G1130" t="s">
        <v>5904</v>
      </c>
      <c r="H1130">
        <v>2150</v>
      </c>
      <c r="I1130">
        <v>2413</v>
      </c>
      <c r="J1130">
        <v>2223</v>
      </c>
      <c r="K1130">
        <v>1637</v>
      </c>
      <c r="L1130">
        <v>1775</v>
      </c>
      <c r="M1130">
        <v>76.099999999999994</v>
      </c>
      <c r="N1130">
        <v>82.6</v>
      </c>
      <c r="O1130">
        <v>3182.9</v>
      </c>
    </row>
    <row r="1131" spans="1:15">
      <c r="A1131">
        <v>2005</v>
      </c>
      <c r="B1131" t="s">
        <v>2953</v>
      </c>
      <c r="C1131" t="s">
        <v>2954</v>
      </c>
      <c r="D1131" t="s">
        <v>9828</v>
      </c>
      <c r="E1131" t="s">
        <v>9829</v>
      </c>
      <c r="F1131" t="s">
        <v>9830</v>
      </c>
      <c r="G1131" t="s">
        <v>5904</v>
      </c>
      <c r="H1131">
        <v>156</v>
      </c>
      <c r="I1131">
        <v>151</v>
      </c>
      <c r="J1131">
        <v>158</v>
      </c>
      <c r="K1131">
        <v>84</v>
      </c>
      <c r="L1131">
        <v>96</v>
      </c>
      <c r="M1131">
        <v>53.8</v>
      </c>
      <c r="N1131">
        <v>61.5</v>
      </c>
      <c r="O1131">
        <v>104.8</v>
      </c>
    </row>
    <row r="1132" spans="1:15">
      <c r="A1132">
        <v>2004</v>
      </c>
      <c r="B1132" t="s">
        <v>9831</v>
      </c>
      <c r="C1132" t="s">
        <v>9832</v>
      </c>
      <c r="D1132" t="s">
        <v>9833</v>
      </c>
      <c r="E1132" t="s">
        <v>9834</v>
      </c>
      <c r="F1132" t="s">
        <v>9835</v>
      </c>
      <c r="G1132" t="s">
        <v>5904</v>
      </c>
      <c r="H1132">
        <v>346</v>
      </c>
      <c r="I1132">
        <v>346</v>
      </c>
      <c r="J1132">
        <v>346</v>
      </c>
      <c r="K1132">
        <v>346</v>
      </c>
      <c r="L1132">
        <v>346</v>
      </c>
      <c r="M1132">
        <v>100</v>
      </c>
      <c r="N1132">
        <v>100</v>
      </c>
      <c r="O1132">
        <v>678.3</v>
      </c>
    </row>
    <row r="1133" spans="1:15">
      <c r="A1133">
        <v>2235</v>
      </c>
      <c r="B1133" t="s">
        <v>2958</v>
      </c>
      <c r="C1133" t="s">
        <v>2959</v>
      </c>
      <c r="D1133" t="s">
        <v>9836</v>
      </c>
      <c r="E1133" t="s">
        <v>9837</v>
      </c>
      <c r="F1133" t="s">
        <v>9838</v>
      </c>
      <c r="G1133" t="s">
        <v>5904</v>
      </c>
      <c r="H1133">
        <v>373</v>
      </c>
      <c r="I1133">
        <v>331</v>
      </c>
      <c r="J1133">
        <v>338</v>
      </c>
      <c r="K1133">
        <v>284</v>
      </c>
      <c r="L1133">
        <v>299</v>
      </c>
      <c r="M1133">
        <v>76.099999999999994</v>
      </c>
      <c r="N1133">
        <v>80.2</v>
      </c>
      <c r="O1133">
        <v>599.70000000000005</v>
      </c>
    </row>
    <row r="1134" spans="1:15">
      <c r="A1134">
        <v>2003</v>
      </c>
      <c r="B1134" t="s">
        <v>9839</v>
      </c>
      <c r="C1134" t="s">
        <v>2962</v>
      </c>
      <c r="D1134" t="s">
        <v>9840</v>
      </c>
      <c r="E1134" t="s">
        <v>9841</v>
      </c>
      <c r="F1134" t="s">
        <v>9842</v>
      </c>
      <c r="G1134" t="s">
        <v>5904</v>
      </c>
      <c r="H1134">
        <v>848</v>
      </c>
      <c r="I1134">
        <v>778</v>
      </c>
      <c r="J1134">
        <v>848</v>
      </c>
      <c r="K1134">
        <v>724</v>
      </c>
      <c r="L1134">
        <v>746</v>
      </c>
      <c r="M1134">
        <v>85.4</v>
      </c>
      <c r="N1134">
        <v>88</v>
      </c>
      <c r="O1134">
        <v>1472.6</v>
      </c>
    </row>
    <row r="1135" spans="1:15">
      <c r="A1135">
        <v>2002</v>
      </c>
      <c r="B1135" t="s">
        <v>9843</v>
      </c>
      <c r="C1135" t="s">
        <v>2965</v>
      </c>
      <c r="D1135" t="s">
        <v>9844</v>
      </c>
      <c r="E1135" t="s">
        <v>9845</v>
      </c>
      <c r="F1135" t="s">
        <v>9846</v>
      </c>
      <c r="G1135" t="s">
        <v>5904</v>
      </c>
      <c r="H1135">
        <v>836</v>
      </c>
      <c r="I1135">
        <v>824</v>
      </c>
      <c r="J1135">
        <v>826</v>
      </c>
      <c r="K1135">
        <v>532</v>
      </c>
      <c r="L1135">
        <v>608</v>
      </c>
      <c r="M1135">
        <v>63.6</v>
      </c>
      <c r="N1135">
        <v>72.7</v>
      </c>
      <c r="O1135">
        <v>1030.8</v>
      </c>
    </row>
    <row r="1136" spans="1:15">
      <c r="A1136">
        <v>2001</v>
      </c>
      <c r="B1136" t="s">
        <v>2966</v>
      </c>
      <c r="C1136" t="s">
        <v>2967</v>
      </c>
      <c r="D1136" t="s">
        <v>9847</v>
      </c>
      <c r="E1136" t="s">
        <v>9848</v>
      </c>
      <c r="F1136" t="s">
        <v>9849</v>
      </c>
      <c r="G1136" t="s">
        <v>5904</v>
      </c>
      <c r="H1136">
        <v>290</v>
      </c>
      <c r="I1136">
        <v>290</v>
      </c>
      <c r="J1136">
        <v>290</v>
      </c>
      <c r="K1136">
        <v>249</v>
      </c>
      <c r="L1136">
        <v>266</v>
      </c>
      <c r="M1136">
        <v>85.9</v>
      </c>
      <c r="N1136">
        <v>91.7</v>
      </c>
      <c r="O1136">
        <v>509.2</v>
      </c>
    </row>
    <row r="1137" spans="1:15">
      <c r="A1137">
        <v>2000</v>
      </c>
      <c r="B1137" t="s">
        <v>2968</v>
      </c>
      <c r="C1137" t="s">
        <v>2969</v>
      </c>
      <c r="D1137" t="s">
        <v>9850</v>
      </c>
      <c r="E1137" t="s">
        <v>9851</v>
      </c>
      <c r="F1137" t="s">
        <v>9852</v>
      </c>
      <c r="G1137" t="s">
        <v>5904</v>
      </c>
      <c r="H1137">
        <v>129</v>
      </c>
      <c r="I1137">
        <v>127</v>
      </c>
      <c r="J1137">
        <v>129</v>
      </c>
      <c r="K1137">
        <v>110</v>
      </c>
      <c r="L1137">
        <v>120</v>
      </c>
      <c r="M1137">
        <v>85.3</v>
      </c>
      <c r="N1137">
        <v>93</v>
      </c>
      <c r="O1137">
        <v>191.8</v>
      </c>
    </row>
    <row r="1138" spans="1:15">
      <c r="A1138">
        <v>1999</v>
      </c>
      <c r="B1138" t="s">
        <v>2970</v>
      </c>
      <c r="C1138" t="s">
        <v>2971</v>
      </c>
      <c r="D1138" t="s">
        <v>9853</v>
      </c>
      <c r="E1138" t="s">
        <v>9854</v>
      </c>
      <c r="F1138" t="s">
        <v>9855</v>
      </c>
      <c r="G1138" t="s">
        <v>5904</v>
      </c>
      <c r="H1138">
        <v>75</v>
      </c>
      <c r="I1138">
        <v>76</v>
      </c>
      <c r="J1138">
        <v>75</v>
      </c>
      <c r="K1138">
        <v>65</v>
      </c>
      <c r="L1138">
        <v>72</v>
      </c>
      <c r="M1138">
        <v>86.7</v>
      </c>
      <c r="N1138">
        <v>96</v>
      </c>
      <c r="O1138">
        <v>105.1</v>
      </c>
    </row>
    <row r="1139" spans="1:15">
      <c r="A1139">
        <v>1998</v>
      </c>
      <c r="B1139" t="s">
        <v>2972</v>
      </c>
      <c r="C1139" t="s">
        <v>2973</v>
      </c>
      <c r="D1139" t="s">
        <v>9856</v>
      </c>
      <c r="E1139" t="s">
        <v>9857</v>
      </c>
      <c r="F1139" t="s">
        <v>9858</v>
      </c>
      <c r="G1139" t="s">
        <v>5904</v>
      </c>
      <c r="H1139">
        <v>375</v>
      </c>
      <c r="I1139">
        <v>375</v>
      </c>
      <c r="J1139">
        <v>363</v>
      </c>
      <c r="K1139">
        <v>283</v>
      </c>
      <c r="L1139">
        <v>310</v>
      </c>
      <c r="M1139">
        <v>75.5</v>
      </c>
      <c r="N1139">
        <v>82.7</v>
      </c>
      <c r="O1139">
        <v>502.3</v>
      </c>
    </row>
    <row r="1140" spans="1:15">
      <c r="A1140">
        <v>1997</v>
      </c>
      <c r="B1140" t="s">
        <v>9859</v>
      </c>
      <c r="C1140" t="s">
        <v>5691</v>
      </c>
      <c r="D1140" t="s">
        <v>9860</v>
      </c>
      <c r="E1140" t="s">
        <v>9861</v>
      </c>
      <c r="F1140" t="s">
        <v>9862</v>
      </c>
      <c r="G1140" t="s">
        <v>5904</v>
      </c>
      <c r="H1140">
        <v>377</v>
      </c>
      <c r="I1140">
        <v>377</v>
      </c>
      <c r="J1140">
        <v>377</v>
      </c>
      <c r="K1140">
        <v>347</v>
      </c>
      <c r="L1140">
        <v>347</v>
      </c>
      <c r="M1140">
        <v>92</v>
      </c>
      <c r="N1140">
        <v>92</v>
      </c>
      <c r="O1140">
        <v>716.5</v>
      </c>
    </row>
    <row r="1141" spans="1:15">
      <c r="A1141">
        <v>1996</v>
      </c>
      <c r="B1141" t="s">
        <v>9863</v>
      </c>
      <c r="C1141" t="s">
        <v>2976</v>
      </c>
      <c r="D1141" t="s">
        <v>9864</v>
      </c>
      <c r="E1141" t="s">
        <v>9865</v>
      </c>
      <c r="F1141" t="s">
        <v>9866</v>
      </c>
      <c r="G1141" t="s">
        <v>5904</v>
      </c>
      <c r="H1141">
        <v>262</v>
      </c>
      <c r="I1141">
        <v>256</v>
      </c>
      <c r="J1141">
        <v>262</v>
      </c>
      <c r="K1141">
        <v>237</v>
      </c>
      <c r="L1141">
        <v>243</v>
      </c>
      <c r="M1141">
        <v>90.5</v>
      </c>
      <c r="N1141">
        <v>92.7</v>
      </c>
      <c r="O1141">
        <v>479.6</v>
      </c>
    </row>
    <row r="1142" spans="1:15">
      <c r="A1142">
        <v>1995</v>
      </c>
      <c r="B1142" t="s">
        <v>2977</v>
      </c>
      <c r="C1142" t="s">
        <v>2978</v>
      </c>
      <c r="D1142" t="s">
        <v>9867</v>
      </c>
      <c r="E1142" t="s">
        <v>9868</v>
      </c>
      <c r="F1142" t="s">
        <v>9869</v>
      </c>
      <c r="G1142" t="s">
        <v>5904</v>
      </c>
      <c r="H1142">
        <v>270</v>
      </c>
      <c r="I1142">
        <v>270</v>
      </c>
      <c r="J1142">
        <v>270</v>
      </c>
      <c r="K1142">
        <v>231</v>
      </c>
      <c r="L1142">
        <v>249</v>
      </c>
      <c r="M1142">
        <v>85.6</v>
      </c>
      <c r="N1142">
        <v>92.2</v>
      </c>
      <c r="O1142">
        <v>459.9</v>
      </c>
    </row>
    <row r="1143" spans="1:15">
      <c r="A1143">
        <v>1994</v>
      </c>
      <c r="B1143" t="s">
        <v>2979</v>
      </c>
      <c r="C1143" t="s">
        <v>2980</v>
      </c>
      <c r="D1143" t="s">
        <v>9870</v>
      </c>
      <c r="E1143" t="s">
        <v>9871</v>
      </c>
      <c r="F1143" t="s">
        <v>9872</v>
      </c>
      <c r="G1143" t="s">
        <v>5904</v>
      </c>
      <c r="H1143">
        <v>477</v>
      </c>
      <c r="I1143">
        <v>485</v>
      </c>
      <c r="J1143">
        <v>476</v>
      </c>
      <c r="K1143">
        <v>335</v>
      </c>
      <c r="L1143">
        <v>392</v>
      </c>
      <c r="M1143">
        <v>70.2</v>
      </c>
      <c r="N1143">
        <v>82.2</v>
      </c>
      <c r="O1143">
        <v>684.9</v>
      </c>
    </row>
    <row r="1144" spans="1:15">
      <c r="A1144">
        <v>1993</v>
      </c>
      <c r="B1144" t="s">
        <v>2981</v>
      </c>
      <c r="C1144" t="s">
        <v>2982</v>
      </c>
      <c r="D1144" t="s">
        <v>9873</v>
      </c>
      <c r="E1144" t="s">
        <v>9874</v>
      </c>
      <c r="F1144" t="s">
        <v>9875</v>
      </c>
      <c r="G1144" t="s">
        <v>5904</v>
      </c>
      <c r="H1144">
        <v>432</v>
      </c>
      <c r="I1144">
        <v>431</v>
      </c>
      <c r="J1144">
        <v>416</v>
      </c>
      <c r="K1144">
        <v>332</v>
      </c>
      <c r="L1144">
        <v>366</v>
      </c>
      <c r="M1144">
        <v>76.900000000000006</v>
      </c>
      <c r="N1144">
        <v>84.7</v>
      </c>
      <c r="O1144">
        <v>698.4</v>
      </c>
    </row>
    <row r="1145" spans="1:15">
      <c r="A1145">
        <v>1992</v>
      </c>
      <c r="B1145" t="s">
        <v>9876</v>
      </c>
      <c r="C1145" t="s">
        <v>2985</v>
      </c>
      <c r="D1145" t="s">
        <v>9877</v>
      </c>
      <c r="E1145" t="s">
        <v>9878</v>
      </c>
      <c r="F1145" t="s">
        <v>9879</v>
      </c>
      <c r="G1145" t="s">
        <v>5904</v>
      </c>
      <c r="H1145">
        <v>343</v>
      </c>
      <c r="I1145">
        <v>376</v>
      </c>
      <c r="J1145">
        <v>343</v>
      </c>
      <c r="K1145">
        <v>343</v>
      </c>
      <c r="L1145">
        <v>343</v>
      </c>
      <c r="M1145">
        <v>100</v>
      </c>
      <c r="N1145">
        <v>100</v>
      </c>
      <c r="O1145">
        <v>708.4</v>
      </c>
    </row>
    <row r="1146" spans="1:15">
      <c r="A1146">
        <v>1991</v>
      </c>
      <c r="B1146" t="s">
        <v>9880</v>
      </c>
      <c r="C1146" t="s">
        <v>2988</v>
      </c>
      <c r="D1146" t="s">
        <v>9881</v>
      </c>
      <c r="E1146" t="s">
        <v>9882</v>
      </c>
      <c r="F1146" t="s">
        <v>9883</v>
      </c>
      <c r="G1146" t="s">
        <v>5904</v>
      </c>
      <c r="H1146">
        <v>488</v>
      </c>
      <c r="I1146">
        <v>488</v>
      </c>
      <c r="J1146">
        <v>488</v>
      </c>
      <c r="K1146">
        <v>446</v>
      </c>
      <c r="L1146">
        <v>470</v>
      </c>
      <c r="M1146">
        <v>91.4</v>
      </c>
      <c r="N1146">
        <v>96.3</v>
      </c>
      <c r="O1146">
        <v>816.6</v>
      </c>
    </row>
    <row r="1147" spans="1:15">
      <c r="A1147">
        <v>1990</v>
      </c>
      <c r="B1147" t="s">
        <v>2989</v>
      </c>
      <c r="C1147" t="s">
        <v>2990</v>
      </c>
      <c r="D1147" t="s">
        <v>9884</v>
      </c>
      <c r="E1147" t="s">
        <v>9885</v>
      </c>
      <c r="F1147" t="s">
        <v>9886</v>
      </c>
      <c r="G1147" t="s">
        <v>5904</v>
      </c>
      <c r="H1147">
        <v>442</v>
      </c>
      <c r="I1147">
        <v>458</v>
      </c>
      <c r="J1147">
        <v>419</v>
      </c>
      <c r="K1147">
        <v>367</v>
      </c>
      <c r="L1147">
        <v>391</v>
      </c>
      <c r="M1147">
        <v>83</v>
      </c>
      <c r="N1147">
        <v>88.5</v>
      </c>
      <c r="O1147">
        <v>783.9</v>
      </c>
    </row>
    <row r="1148" spans="1:15">
      <c r="A1148">
        <v>2234</v>
      </c>
      <c r="B1148" t="s">
        <v>9887</v>
      </c>
      <c r="C1148" t="s">
        <v>2993</v>
      </c>
      <c r="D1148" t="s">
        <v>9888</v>
      </c>
      <c r="E1148" t="s">
        <v>9889</v>
      </c>
      <c r="F1148" t="s">
        <v>9890</v>
      </c>
      <c r="G1148" t="s">
        <v>5904</v>
      </c>
      <c r="H1148">
        <v>286</v>
      </c>
      <c r="I1148">
        <v>286</v>
      </c>
      <c r="J1148">
        <v>286</v>
      </c>
      <c r="K1148">
        <v>280</v>
      </c>
      <c r="L1148">
        <v>284</v>
      </c>
      <c r="M1148">
        <v>97.9</v>
      </c>
      <c r="N1148">
        <v>99.3</v>
      </c>
      <c r="O1148">
        <v>592.4</v>
      </c>
    </row>
    <row r="1149" spans="1:15">
      <c r="A1149">
        <v>2233</v>
      </c>
      <c r="B1149" t="s">
        <v>2994</v>
      </c>
      <c r="C1149" t="s">
        <v>2995</v>
      </c>
      <c r="D1149" t="s">
        <v>9891</v>
      </c>
      <c r="E1149" t="s">
        <v>9892</v>
      </c>
      <c r="F1149" t="s">
        <v>8044</v>
      </c>
      <c r="G1149" t="s">
        <v>5904</v>
      </c>
      <c r="H1149">
        <v>193</v>
      </c>
      <c r="I1149">
        <v>193</v>
      </c>
      <c r="J1149">
        <v>193</v>
      </c>
      <c r="K1149">
        <v>193</v>
      </c>
      <c r="L1149">
        <v>193</v>
      </c>
      <c r="M1149">
        <v>100</v>
      </c>
      <c r="N1149">
        <v>100</v>
      </c>
      <c r="O1149">
        <v>400.6</v>
      </c>
    </row>
    <row r="1150" spans="1:15">
      <c r="A1150">
        <v>1989</v>
      </c>
      <c r="B1150" t="s">
        <v>2996</v>
      </c>
      <c r="C1150" t="s">
        <v>9893</v>
      </c>
      <c r="D1150" t="s">
        <v>9894</v>
      </c>
      <c r="E1150" t="s">
        <v>9895</v>
      </c>
      <c r="F1150" t="s">
        <v>9896</v>
      </c>
      <c r="G1150" t="s">
        <v>5904</v>
      </c>
      <c r="H1150">
        <v>518</v>
      </c>
      <c r="I1150">
        <v>513</v>
      </c>
      <c r="J1150">
        <v>521</v>
      </c>
      <c r="K1150">
        <v>398</v>
      </c>
      <c r="L1150">
        <v>443</v>
      </c>
      <c r="M1150">
        <v>76.8</v>
      </c>
      <c r="N1150">
        <v>85.5</v>
      </c>
      <c r="O1150">
        <v>531.6</v>
      </c>
    </row>
    <row r="1151" spans="1:15">
      <c r="A1151">
        <v>1988</v>
      </c>
      <c r="B1151" t="s">
        <v>2998</v>
      </c>
      <c r="C1151" t="s">
        <v>2999</v>
      </c>
      <c r="D1151" t="s">
        <v>9897</v>
      </c>
      <c r="E1151" t="s">
        <v>9898</v>
      </c>
      <c r="F1151" t="s">
        <v>9899</v>
      </c>
      <c r="G1151" t="s">
        <v>5904</v>
      </c>
      <c r="H1151">
        <v>69</v>
      </c>
      <c r="I1151">
        <v>68</v>
      </c>
      <c r="J1151">
        <v>52</v>
      </c>
      <c r="K1151">
        <v>33</v>
      </c>
      <c r="L1151">
        <v>39</v>
      </c>
      <c r="M1151">
        <v>47.8</v>
      </c>
      <c r="N1151">
        <v>56.5</v>
      </c>
      <c r="O1151">
        <v>75.099999999999994</v>
      </c>
    </row>
    <row r="1152" spans="1:15">
      <c r="A1152">
        <v>1987</v>
      </c>
      <c r="B1152" t="s">
        <v>3000</v>
      </c>
      <c r="C1152" t="s">
        <v>3001</v>
      </c>
      <c r="D1152" t="s">
        <v>9900</v>
      </c>
      <c r="E1152" t="s">
        <v>9901</v>
      </c>
      <c r="F1152" t="s">
        <v>9902</v>
      </c>
      <c r="G1152" t="s">
        <v>5904</v>
      </c>
      <c r="H1152">
        <v>132</v>
      </c>
      <c r="I1152">
        <v>132</v>
      </c>
      <c r="J1152">
        <v>132</v>
      </c>
      <c r="K1152">
        <v>110</v>
      </c>
      <c r="L1152">
        <v>123</v>
      </c>
      <c r="M1152">
        <v>83.3</v>
      </c>
      <c r="N1152">
        <v>93.2</v>
      </c>
      <c r="O1152">
        <v>233.4</v>
      </c>
    </row>
    <row r="1153" spans="1:15">
      <c r="A1153">
        <v>1986</v>
      </c>
      <c r="B1153" t="s">
        <v>9903</v>
      </c>
      <c r="C1153" t="s">
        <v>5751</v>
      </c>
      <c r="D1153" t="s">
        <v>9904</v>
      </c>
      <c r="E1153" t="s">
        <v>9905</v>
      </c>
      <c r="F1153" t="s">
        <v>9906</v>
      </c>
      <c r="G1153" t="s">
        <v>5904</v>
      </c>
      <c r="H1153">
        <v>607</v>
      </c>
      <c r="I1153">
        <v>596</v>
      </c>
      <c r="J1153">
        <v>607</v>
      </c>
      <c r="K1153">
        <v>541</v>
      </c>
      <c r="L1153">
        <v>561</v>
      </c>
      <c r="M1153">
        <v>89.1</v>
      </c>
      <c r="N1153">
        <v>92.4</v>
      </c>
      <c r="O1153">
        <v>1119</v>
      </c>
    </row>
    <row r="1154" spans="1:15">
      <c r="A1154">
        <v>1985</v>
      </c>
      <c r="B1154" t="s">
        <v>9907</v>
      </c>
      <c r="C1154" t="s">
        <v>3005</v>
      </c>
      <c r="D1154" t="s">
        <v>9908</v>
      </c>
      <c r="E1154" t="s">
        <v>9909</v>
      </c>
      <c r="F1154" t="s">
        <v>9910</v>
      </c>
      <c r="G1154" t="s">
        <v>5904</v>
      </c>
      <c r="H1154">
        <v>356</v>
      </c>
      <c r="I1154">
        <v>355</v>
      </c>
      <c r="J1154">
        <v>356</v>
      </c>
      <c r="K1154">
        <v>352</v>
      </c>
      <c r="L1154">
        <v>354</v>
      </c>
      <c r="M1154">
        <v>98.9</v>
      </c>
      <c r="N1154">
        <v>99.4</v>
      </c>
      <c r="O1154">
        <v>714.5</v>
      </c>
    </row>
    <row r="1155" spans="1:15">
      <c r="A1155">
        <v>1984</v>
      </c>
      <c r="B1155" t="s">
        <v>9911</v>
      </c>
      <c r="C1155" t="s">
        <v>3008</v>
      </c>
      <c r="D1155" t="s">
        <v>9912</v>
      </c>
      <c r="E1155" t="s">
        <v>9913</v>
      </c>
      <c r="F1155" t="s">
        <v>9914</v>
      </c>
      <c r="G1155" t="s">
        <v>5904</v>
      </c>
      <c r="H1155">
        <v>444</v>
      </c>
      <c r="I1155">
        <v>449</v>
      </c>
      <c r="J1155">
        <v>448</v>
      </c>
      <c r="K1155">
        <v>343</v>
      </c>
      <c r="L1155">
        <v>391</v>
      </c>
      <c r="M1155">
        <v>77.3</v>
      </c>
      <c r="N1155">
        <v>88.1</v>
      </c>
      <c r="O1155">
        <v>705.3</v>
      </c>
    </row>
    <row r="1156" spans="1:15">
      <c r="A1156">
        <v>1983</v>
      </c>
      <c r="B1156" t="s">
        <v>3009</v>
      </c>
      <c r="C1156" t="s">
        <v>3011</v>
      </c>
      <c r="D1156" t="s">
        <v>9915</v>
      </c>
      <c r="E1156" t="s">
        <v>9916</v>
      </c>
      <c r="F1156" t="s">
        <v>9917</v>
      </c>
      <c r="G1156" t="s">
        <v>5904</v>
      </c>
      <c r="H1156">
        <v>303</v>
      </c>
      <c r="I1156">
        <v>240</v>
      </c>
      <c r="J1156">
        <v>231</v>
      </c>
      <c r="K1156">
        <v>183</v>
      </c>
      <c r="L1156">
        <v>198</v>
      </c>
      <c r="M1156">
        <v>60.4</v>
      </c>
      <c r="N1156">
        <v>65.3</v>
      </c>
      <c r="O1156">
        <v>367.5</v>
      </c>
    </row>
    <row r="1157" spans="1:15">
      <c r="A1157">
        <v>1982</v>
      </c>
      <c r="B1157" t="s">
        <v>9918</v>
      </c>
      <c r="C1157" t="s">
        <v>3014</v>
      </c>
      <c r="D1157" t="s">
        <v>9919</v>
      </c>
      <c r="E1157" t="s">
        <v>9920</v>
      </c>
      <c r="F1157" t="s">
        <v>9921</v>
      </c>
      <c r="G1157" t="s">
        <v>5904</v>
      </c>
      <c r="H1157">
        <v>1943</v>
      </c>
      <c r="I1157">
        <v>1881</v>
      </c>
      <c r="J1157">
        <v>1876</v>
      </c>
      <c r="K1157">
        <v>1729</v>
      </c>
      <c r="L1157">
        <v>1788</v>
      </c>
      <c r="M1157">
        <v>89</v>
      </c>
      <c r="N1157">
        <v>92</v>
      </c>
      <c r="O1157">
        <v>3522.2</v>
      </c>
    </row>
    <row r="1158" spans="1:15">
      <c r="A1158">
        <v>1981</v>
      </c>
      <c r="B1158" t="s">
        <v>9922</v>
      </c>
      <c r="C1158" t="s">
        <v>3017</v>
      </c>
      <c r="D1158" t="s">
        <v>9923</v>
      </c>
      <c r="E1158" t="s">
        <v>9924</v>
      </c>
      <c r="F1158" t="s">
        <v>9925</v>
      </c>
      <c r="G1158" t="s">
        <v>5904</v>
      </c>
      <c r="H1158">
        <v>1264</v>
      </c>
      <c r="I1158">
        <v>1093</v>
      </c>
      <c r="J1158">
        <v>1085</v>
      </c>
      <c r="K1158">
        <v>931</v>
      </c>
      <c r="L1158">
        <v>991</v>
      </c>
      <c r="M1158">
        <v>73.7</v>
      </c>
      <c r="N1158">
        <v>78.400000000000006</v>
      </c>
      <c r="O1158">
        <v>1726.8</v>
      </c>
    </row>
    <row r="1159" spans="1:15">
      <c r="A1159">
        <v>1980</v>
      </c>
      <c r="B1159" t="s">
        <v>9926</v>
      </c>
      <c r="C1159" t="s">
        <v>3020</v>
      </c>
      <c r="D1159" t="s">
        <v>9927</v>
      </c>
      <c r="E1159" t="s">
        <v>9928</v>
      </c>
      <c r="F1159" t="s">
        <v>9929</v>
      </c>
      <c r="G1159" t="s">
        <v>5904</v>
      </c>
      <c r="H1159">
        <v>264</v>
      </c>
      <c r="I1159">
        <v>264</v>
      </c>
      <c r="J1159">
        <v>264</v>
      </c>
      <c r="K1159">
        <v>243</v>
      </c>
      <c r="L1159">
        <v>257</v>
      </c>
      <c r="M1159">
        <v>92</v>
      </c>
      <c r="N1159">
        <v>97.3</v>
      </c>
      <c r="O1159">
        <v>513.1</v>
      </c>
    </row>
    <row r="1160" spans="1:15">
      <c r="A1160">
        <v>2232</v>
      </c>
      <c r="B1160" t="s">
        <v>9930</v>
      </c>
      <c r="C1160" t="s">
        <v>3023</v>
      </c>
      <c r="D1160" t="s">
        <v>9931</v>
      </c>
      <c r="E1160" t="s">
        <v>9932</v>
      </c>
      <c r="F1160" t="s">
        <v>9933</v>
      </c>
      <c r="G1160" t="s">
        <v>5904</v>
      </c>
      <c r="H1160">
        <v>384</v>
      </c>
      <c r="I1160">
        <v>394</v>
      </c>
      <c r="J1160">
        <v>394</v>
      </c>
      <c r="K1160">
        <v>367</v>
      </c>
      <c r="L1160">
        <v>375</v>
      </c>
      <c r="M1160">
        <v>95.6</v>
      </c>
      <c r="N1160">
        <v>97.7</v>
      </c>
      <c r="O1160">
        <v>770</v>
      </c>
    </row>
    <row r="1161" spans="1:15">
      <c r="A1161">
        <v>1979</v>
      </c>
      <c r="B1161" t="s">
        <v>3024</v>
      </c>
      <c r="C1161" t="s">
        <v>9934</v>
      </c>
      <c r="D1161" t="s">
        <v>9935</v>
      </c>
      <c r="E1161" t="s">
        <v>9936</v>
      </c>
      <c r="F1161" t="s">
        <v>9937</v>
      </c>
      <c r="G1161" t="s">
        <v>5904</v>
      </c>
      <c r="H1161">
        <v>247</v>
      </c>
      <c r="I1161">
        <v>245</v>
      </c>
      <c r="J1161">
        <v>247</v>
      </c>
      <c r="K1161">
        <v>227</v>
      </c>
      <c r="L1161">
        <v>233</v>
      </c>
      <c r="M1161">
        <v>91.9</v>
      </c>
      <c r="N1161">
        <v>94.3</v>
      </c>
      <c r="O1161">
        <v>470.7</v>
      </c>
    </row>
    <row r="1162" spans="1:15">
      <c r="A1162">
        <v>1978</v>
      </c>
      <c r="B1162" t="s">
        <v>9938</v>
      </c>
      <c r="C1162" t="s">
        <v>3028</v>
      </c>
      <c r="D1162" t="s">
        <v>9939</v>
      </c>
      <c r="E1162" t="s">
        <v>9940</v>
      </c>
      <c r="F1162" t="s">
        <v>9941</v>
      </c>
      <c r="G1162" t="s">
        <v>5904</v>
      </c>
      <c r="H1162">
        <v>690</v>
      </c>
      <c r="I1162">
        <v>653</v>
      </c>
      <c r="J1162">
        <v>662</v>
      </c>
      <c r="K1162">
        <v>528</v>
      </c>
      <c r="L1162">
        <v>555</v>
      </c>
      <c r="M1162">
        <v>76.5</v>
      </c>
      <c r="N1162">
        <v>80.400000000000006</v>
      </c>
      <c r="O1162">
        <v>1060.0999999999999</v>
      </c>
    </row>
    <row r="1163" spans="1:15">
      <c r="A1163">
        <v>1977</v>
      </c>
      <c r="B1163" t="s">
        <v>9942</v>
      </c>
      <c r="C1163" t="s">
        <v>3031</v>
      </c>
      <c r="D1163" t="s">
        <v>9943</v>
      </c>
      <c r="E1163" t="s">
        <v>9944</v>
      </c>
      <c r="F1163" t="s">
        <v>9945</v>
      </c>
      <c r="G1163" t="s">
        <v>5904</v>
      </c>
      <c r="H1163">
        <v>495</v>
      </c>
      <c r="I1163">
        <v>496</v>
      </c>
      <c r="J1163">
        <v>496</v>
      </c>
      <c r="K1163">
        <v>457</v>
      </c>
      <c r="L1163">
        <v>480</v>
      </c>
      <c r="M1163">
        <v>92.3</v>
      </c>
      <c r="N1163">
        <v>97</v>
      </c>
      <c r="O1163">
        <v>963.8</v>
      </c>
    </row>
    <row r="1164" spans="1:15">
      <c r="A1164">
        <v>1976</v>
      </c>
      <c r="B1164" t="s">
        <v>9946</v>
      </c>
      <c r="C1164" t="s">
        <v>3034</v>
      </c>
      <c r="D1164" t="s">
        <v>9947</v>
      </c>
      <c r="E1164" t="s">
        <v>9948</v>
      </c>
      <c r="F1164" t="s">
        <v>9949</v>
      </c>
      <c r="G1164" t="s">
        <v>5904</v>
      </c>
      <c r="H1164">
        <v>2859</v>
      </c>
      <c r="I1164">
        <v>2863</v>
      </c>
      <c r="J1164">
        <v>2872</v>
      </c>
      <c r="K1164">
        <v>2624</v>
      </c>
      <c r="L1164">
        <v>2707</v>
      </c>
      <c r="M1164">
        <v>91.8</v>
      </c>
      <c r="N1164">
        <v>94.7</v>
      </c>
      <c r="O1164">
        <v>5316.9</v>
      </c>
    </row>
    <row r="1165" spans="1:15">
      <c r="A1165">
        <v>1975</v>
      </c>
      <c r="B1165" t="s">
        <v>3035</v>
      </c>
      <c r="C1165" t="s">
        <v>3036</v>
      </c>
      <c r="D1165" t="s">
        <v>9950</v>
      </c>
      <c r="E1165" t="s">
        <v>9951</v>
      </c>
      <c r="F1165" t="s">
        <v>9952</v>
      </c>
      <c r="G1165" t="s">
        <v>5904</v>
      </c>
      <c r="H1165">
        <v>635</v>
      </c>
      <c r="I1165">
        <v>583</v>
      </c>
      <c r="J1165">
        <v>609</v>
      </c>
      <c r="K1165">
        <v>419</v>
      </c>
      <c r="L1165">
        <v>487</v>
      </c>
      <c r="M1165">
        <v>66</v>
      </c>
      <c r="N1165">
        <v>76.7</v>
      </c>
      <c r="O1165">
        <v>881.3</v>
      </c>
    </row>
    <row r="1166" spans="1:15">
      <c r="A1166">
        <v>1974</v>
      </c>
      <c r="B1166" t="s">
        <v>3037</v>
      </c>
      <c r="C1166" t="s">
        <v>3038</v>
      </c>
      <c r="D1166" t="s">
        <v>9953</v>
      </c>
      <c r="E1166" t="s">
        <v>9954</v>
      </c>
      <c r="F1166" t="s">
        <v>9955</v>
      </c>
      <c r="G1166" t="s">
        <v>5904</v>
      </c>
      <c r="H1166">
        <v>270</v>
      </c>
      <c r="I1166">
        <v>282</v>
      </c>
      <c r="J1166">
        <v>270</v>
      </c>
      <c r="K1166">
        <v>253</v>
      </c>
      <c r="L1166">
        <v>257</v>
      </c>
      <c r="M1166">
        <v>93.7</v>
      </c>
      <c r="N1166">
        <v>95.2</v>
      </c>
      <c r="O1166">
        <v>366.7</v>
      </c>
    </row>
    <row r="1167" spans="1:15">
      <c r="A1167">
        <v>1973</v>
      </c>
      <c r="B1167" t="s">
        <v>9956</v>
      </c>
      <c r="C1167" t="s">
        <v>9957</v>
      </c>
      <c r="D1167" t="s">
        <v>9958</v>
      </c>
      <c r="E1167" t="s">
        <v>9959</v>
      </c>
      <c r="F1167" t="s">
        <v>9960</v>
      </c>
      <c r="G1167" t="s">
        <v>5904</v>
      </c>
      <c r="H1167">
        <v>666</v>
      </c>
      <c r="I1167">
        <v>664</v>
      </c>
      <c r="J1167">
        <v>677</v>
      </c>
      <c r="K1167">
        <v>508</v>
      </c>
      <c r="L1167">
        <v>567</v>
      </c>
      <c r="M1167">
        <v>76.3</v>
      </c>
      <c r="N1167">
        <v>85.1</v>
      </c>
      <c r="O1167">
        <v>968.4</v>
      </c>
    </row>
    <row r="1168" spans="1:15">
      <c r="A1168">
        <v>1972</v>
      </c>
      <c r="B1168" t="s">
        <v>9961</v>
      </c>
      <c r="C1168" t="s">
        <v>3044</v>
      </c>
      <c r="D1168" t="s">
        <v>9962</v>
      </c>
      <c r="E1168" t="s">
        <v>9963</v>
      </c>
      <c r="F1168" t="s">
        <v>9964</v>
      </c>
      <c r="G1168" t="s">
        <v>5904</v>
      </c>
      <c r="H1168">
        <v>976</v>
      </c>
      <c r="I1168">
        <v>976</v>
      </c>
      <c r="J1168">
        <v>976</v>
      </c>
      <c r="K1168">
        <v>873</v>
      </c>
      <c r="L1168">
        <v>918</v>
      </c>
      <c r="M1168">
        <v>89.4</v>
      </c>
      <c r="N1168">
        <v>94.1</v>
      </c>
      <c r="O1168">
        <v>1806.6</v>
      </c>
    </row>
    <row r="1169" spans="1:15">
      <c r="A1169">
        <v>1971</v>
      </c>
      <c r="B1169" t="s">
        <v>9965</v>
      </c>
      <c r="C1169" t="s">
        <v>3047</v>
      </c>
      <c r="D1169" t="s">
        <v>9966</v>
      </c>
      <c r="E1169" t="s">
        <v>9967</v>
      </c>
      <c r="F1169" t="s">
        <v>9968</v>
      </c>
      <c r="G1169" t="s">
        <v>5904</v>
      </c>
      <c r="H1169">
        <v>820</v>
      </c>
      <c r="I1169">
        <v>822</v>
      </c>
      <c r="J1169">
        <v>822</v>
      </c>
      <c r="K1169">
        <v>811</v>
      </c>
      <c r="L1169">
        <v>817</v>
      </c>
      <c r="M1169">
        <v>98.9</v>
      </c>
      <c r="N1169">
        <v>99.6</v>
      </c>
      <c r="O1169">
        <v>1688.3</v>
      </c>
    </row>
    <row r="1170" spans="1:15">
      <c r="A1170">
        <v>1970</v>
      </c>
      <c r="B1170" t="s">
        <v>9969</v>
      </c>
      <c r="C1170" t="s">
        <v>3050</v>
      </c>
      <c r="D1170" t="s">
        <v>9970</v>
      </c>
      <c r="E1170" t="s">
        <v>9971</v>
      </c>
      <c r="F1170" t="s">
        <v>9972</v>
      </c>
      <c r="G1170" t="s">
        <v>5904</v>
      </c>
      <c r="H1170">
        <v>606</v>
      </c>
      <c r="I1170">
        <v>606</v>
      </c>
      <c r="J1170">
        <v>584</v>
      </c>
      <c r="K1170">
        <v>535</v>
      </c>
      <c r="L1170">
        <v>553</v>
      </c>
      <c r="M1170">
        <v>88.3</v>
      </c>
      <c r="N1170">
        <v>91.3</v>
      </c>
      <c r="O1170">
        <v>949.5</v>
      </c>
    </row>
    <row r="1171" spans="1:15">
      <c r="A1171">
        <v>2231</v>
      </c>
      <c r="B1171" t="s">
        <v>9973</v>
      </c>
      <c r="C1171" t="s">
        <v>3053</v>
      </c>
      <c r="D1171" t="s">
        <v>9974</v>
      </c>
      <c r="E1171" t="s">
        <v>9975</v>
      </c>
      <c r="F1171" t="s">
        <v>9976</v>
      </c>
      <c r="G1171" t="s">
        <v>5904</v>
      </c>
      <c r="H1171">
        <v>297</v>
      </c>
      <c r="I1171">
        <v>297</v>
      </c>
      <c r="J1171">
        <v>297</v>
      </c>
      <c r="K1171">
        <v>296</v>
      </c>
      <c r="L1171">
        <v>297</v>
      </c>
      <c r="M1171">
        <v>99.7</v>
      </c>
      <c r="N1171">
        <v>100</v>
      </c>
      <c r="O1171">
        <v>614.4</v>
      </c>
    </row>
    <row r="1172" spans="1:15">
      <c r="A1172">
        <v>1969</v>
      </c>
      <c r="B1172" t="s">
        <v>3054</v>
      </c>
      <c r="C1172" t="s">
        <v>3055</v>
      </c>
      <c r="D1172" t="s">
        <v>9977</v>
      </c>
      <c r="E1172" t="s">
        <v>9978</v>
      </c>
      <c r="F1172" t="s">
        <v>9979</v>
      </c>
      <c r="G1172" t="s">
        <v>5904</v>
      </c>
      <c r="H1172">
        <v>484</v>
      </c>
      <c r="I1172">
        <v>491</v>
      </c>
      <c r="J1172">
        <v>484</v>
      </c>
      <c r="K1172">
        <v>409</v>
      </c>
      <c r="L1172">
        <v>447</v>
      </c>
      <c r="M1172">
        <v>84.5</v>
      </c>
      <c r="N1172">
        <v>92.4</v>
      </c>
      <c r="O1172">
        <v>865.9</v>
      </c>
    </row>
    <row r="1173" spans="1:15">
      <c r="A1173">
        <v>1968</v>
      </c>
      <c r="B1173" t="s">
        <v>3056</v>
      </c>
      <c r="C1173" t="s">
        <v>3057</v>
      </c>
      <c r="D1173" t="s">
        <v>9980</v>
      </c>
      <c r="E1173" t="s">
        <v>9981</v>
      </c>
      <c r="F1173" t="s">
        <v>9982</v>
      </c>
      <c r="G1173" t="s">
        <v>5904</v>
      </c>
      <c r="H1173">
        <v>507</v>
      </c>
      <c r="I1173">
        <v>489</v>
      </c>
      <c r="J1173">
        <v>489</v>
      </c>
      <c r="K1173">
        <v>440</v>
      </c>
      <c r="L1173">
        <v>452</v>
      </c>
      <c r="M1173">
        <v>86.8</v>
      </c>
      <c r="N1173">
        <v>89.2</v>
      </c>
      <c r="O1173">
        <v>792.3</v>
      </c>
    </row>
    <row r="1174" spans="1:15">
      <c r="A1174">
        <v>1967</v>
      </c>
      <c r="B1174" t="s">
        <v>9983</v>
      </c>
      <c r="C1174" t="s">
        <v>3060</v>
      </c>
      <c r="D1174" t="s">
        <v>9984</v>
      </c>
      <c r="E1174" t="s">
        <v>9985</v>
      </c>
      <c r="F1174" t="s">
        <v>9986</v>
      </c>
      <c r="G1174" t="s">
        <v>5904</v>
      </c>
      <c r="H1174">
        <v>1929</v>
      </c>
      <c r="I1174">
        <v>1826</v>
      </c>
      <c r="J1174">
        <v>1640</v>
      </c>
      <c r="K1174">
        <v>1502</v>
      </c>
      <c r="L1174">
        <v>1555</v>
      </c>
      <c r="M1174">
        <v>77.900000000000006</v>
      </c>
      <c r="N1174">
        <v>80.599999999999994</v>
      </c>
      <c r="O1174">
        <v>3002.6</v>
      </c>
    </row>
    <row r="1175" spans="1:15">
      <c r="A1175">
        <v>1966</v>
      </c>
      <c r="B1175" t="s">
        <v>9987</v>
      </c>
      <c r="C1175" t="s">
        <v>3063</v>
      </c>
      <c r="D1175" t="s">
        <v>9988</v>
      </c>
      <c r="E1175" t="s">
        <v>9989</v>
      </c>
      <c r="F1175" t="s">
        <v>9990</v>
      </c>
      <c r="G1175" t="s">
        <v>5904</v>
      </c>
      <c r="H1175">
        <v>1112</v>
      </c>
      <c r="I1175">
        <v>1079</v>
      </c>
      <c r="J1175">
        <v>1081</v>
      </c>
      <c r="K1175">
        <v>1053</v>
      </c>
      <c r="L1175">
        <v>1064</v>
      </c>
      <c r="M1175">
        <v>94.7</v>
      </c>
      <c r="N1175">
        <v>95.7</v>
      </c>
      <c r="O1175">
        <v>2169.8000000000002</v>
      </c>
    </row>
    <row r="1176" spans="1:15">
      <c r="A1176">
        <v>1965</v>
      </c>
      <c r="B1176" t="s">
        <v>3064</v>
      </c>
      <c r="C1176" t="s">
        <v>9991</v>
      </c>
      <c r="D1176" t="s">
        <v>9992</v>
      </c>
      <c r="E1176" t="s">
        <v>9993</v>
      </c>
      <c r="F1176" t="s">
        <v>9994</v>
      </c>
      <c r="G1176" t="s">
        <v>5904</v>
      </c>
      <c r="H1176">
        <v>149</v>
      </c>
      <c r="I1176">
        <v>149</v>
      </c>
      <c r="J1176">
        <v>149</v>
      </c>
      <c r="K1176">
        <v>149</v>
      </c>
      <c r="L1176">
        <v>149</v>
      </c>
      <c r="M1176">
        <v>100</v>
      </c>
      <c r="N1176">
        <v>100</v>
      </c>
      <c r="O1176">
        <v>285.39999999999998</v>
      </c>
    </row>
    <row r="1177" spans="1:15">
      <c r="A1177">
        <v>1964</v>
      </c>
      <c r="B1177" t="s">
        <v>3066</v>
      </c>
      <c r="C1177" t="s">
        <v>3067</v>
      </c>
      <c r="D1177" t="s">
        <v>9995</v>
      </c>
      <c r="E1177" t="s">
        <v>9996</v>
      </c>
      <c r="F1177" t="s">
        <v>9997</v>
      </c>
      <c r="G1177" t="s">
        <v>5904</v>
      </c>
      <c r="H1177">
        <v>478</v>
      </c>
      <c r="I1177">
        <v>475</v>
      </c>
      <c r="J1177">
        <v>478</v>
      </c>
      <c r="K1177">
        <v>450</v>
      </c>
      <c r="L1177">
        <v>464</v>
      </c>
      <c r="M1177">
        <v>94.1</v>
      </c>
      <c r="N1177">
        <v>97.1</v>
      </c>
      <c r="O1177">
        <v>945.3</v>
      </c>
    </row>
    <row r="1178" spans="1:15">
      <c r="A1178">
        <v>1963</v>
      </c>
      <c r="B1178" t="s">
        <v>3068</v>
      </c>
      <c r="C1178" t="s">
        <v>9998</v>
      </c>
      <c r="D1178" t="s">
        <v>9999</v>
      </c>
      <c r="E1178" t="s">
        <v>10000</v>
      </c>
      <c r="F1178" t="s">
        <v>10001</v>
      </c>
      <c r="G1178" t="s">
        <v>5904</v>
      </c>
      <c r="H1178">
        <v>73</v>
      </c>
      <c r="I1178">
        <v>73</v>
      </c>
      <c r="J1178">
        <v>73</v>
      </c>
      <c r="K1178">
        <v>68</v>
      </c>
      <c r="L1178">
        <v>72</v>
      </c>
      <c r="M1178">
        <v>93.2</v>
      </c>
      <c r="N1178">
        <v>98.6</v>
      </c>
      <c r="O1178">
        <v>145.19999999999999</v>
      </c>
    </row>
    <row r="1179" spans="1:15">
      <c r="A1179">
        <v>1962</v>
      </c>
      <c r="B1179" t="s">
        <v>10002</v>
      </c>
      <c r="C1179" t="s">
        <v>3072</v>
      </c>
      <c r="D1179" t="s">
        <v>10003</v>
      </c>
      <c r="E1179" t="s">
        <v>10004</v>
      </c>
      <c r="F1179" t="s">
        <v>10005</v>
      </c>
      <c r="G1179" t="s">
        <v>5904</v>
      </c>
      <c r="H1179">
        <v>125</v>
      </c>
      <c r="I1179">
        <v>84</v>
      </c>
      <c r="J1179">
        <v>65</v>
      </c>
      <c r="K1179">
        <v>51</v>
      </c>
      <c r="L1179">
        <v>55</v>
      </c>
      <c r="M1179">
        <v>40.799999999999997</v>
      </c>
      <c r="N1179">
        <v>44</v>
      </c>
      <c r="O1179">
        <v>109</v>
      </c>
    </row>
    <row r="1180" spans="1:15">
      <c r="A1180">
        <v>1961</v>
      </c>
      <c r="B1180" t="s">
        <v>10006</v>
      </c>
      <c r="C1180" t="s">
        <v>3075</v>
      </c>
      <c r="D1180" t="s">
        <v>10007</v>
      </c>
      <c r="E1180" t="s">
        <v>10008</v>
      </c>
      <c r="F1180" t="s">
        <v>10009</v>
      </c>
      <c r="G1180" t="s">
        <v>5904</v>
      </c>
      <c r="H1180">
        <v>260</v>
      </c>
      <c r="I1180">
        <v>261</v>
      </c>
      <c r="J1180">
        <v>260</v>
      </c>
      <c r="K1180">
        <v>253</v>
      </c>
      <c r="L1180">
        <v>254</v>
      </c>
      <c r="M1180">
        <v>97.3</v>
      </c>
      <c r="N1180">
        <v>97.7</v>
      </c>
      <c r="O1180">
        <v>521.20000000000005</v>
      </c>
    </row>
    <row r="1181" spans="1:15">
      <c r="A1181">
        <v>1960</v>
      </c>
      <c r="B1181" t="s">
        <v>3076</v>
      </c>
      <c r="C1181" t="s">
        <v>3077</v>
      </c>
      <c r="D1181" t="s">
        <v>10010</v>
      </c>
      <c r="E1181" t="s">
        <v>10011</v>
      </c>
      <c r="F1181" t="s">
        <v>10012</v>
      </c>
      <c r="G1181" t="s">
        <v>5904</v>
      </c>
      <c r="H1181">
        <v>519</v>
      </c>
      <c r="I1181">
        <v>522</v>
      </c>
      <c r="J1181">
        <v>522</v>
      </c>
      <c r="K1181">
        <v>462</v>
      </c>
      <c r="L1181">
        <v>485</v>
      </c>
      <c r="M1181">
        <v>89</v>
      </c>
      <c r="N1181">
        <v>93.4</v>
      </c>
      <c r="O1181">
        <v>911</v>
      </c>
    </row>
    <row r="1182" spans="1:15">
      <c r="A1182">
        <v>2230</v>
      </c>
      <c r="B1182" t="s">
        <v>10013</v>
      </c>
      <c r="C1182" t="s">
        <v>3080</v>
      </c>
      <c r="D1182" t="s">
        <v>10014</v>
      </c>
      <c r="E1182" t="s">
        <v>10015</v>
      </c>
      <c r="F1182" t="s">
        <v>10016</v>
      </c>
      <c r="G1182" t="s">
        <v>5904</v>
      </c>
      <c r="H1182">
        <v>251</v>
      </c>
      <c r="I1182">
        <v>250</v>
      </c>
      <c r="J1182">
        <v>252</v>
      </c>
      <c r="K1182">
        <v>120</v>
      </c>
      <c r="L1182">
        <v>157</v>
      </c>
      <c r="M1182">
        <v>47.8</v>
      </c>
      <c r="N1182">
        <v>62.5</v>
      </c>
      <c r="O1182">
        <v>214.2</v>
      </c>
    </row>
    <row r="1183" spans="1:15">
      <c r="A1183">
        <v>1959</v>
      </c>
      <c r="B1183" t="s">
        <v>3081</v>
      </c>
      <c r="C1183" t="s">
        <v>3082</v>
      </c>
      <c r="D1183" t="s">
        <v>10017</v>
      </c>
      <c r="E1183" t="s">
        <v>10018</v>
      </c>
      <c r="F1183" t="s">
        <v>10019</v>
      </c>
      <c r="G1183" t="s">
        <v>5904</v>
      </c>
      <c r="H1183">
        <v>606</v>
      </c>
      <c r="I1183">
        <v>606</v>
      </c>
      <c r="J1183">
        <v>606</v>
      </c>
      <c r="K1183">
        <v>588</v>
      </c>
      <c r="L1183">
        <v>598</v>
      </c>
      <c r="M1183">
        <v>97</v>
      </c>
      <c r="N1183">
        <v>98.7</v>
      </c>
      <c r="O1183">
        <v>1223.8</v>
      </c>
    </row>
    <row r="1184" spans="1:15">
      <c r="A1184">
        <v>1958</v>
      </c>
      <c r="B1184" t="s">
        <v>10020</v>
      </c>
      <c r="C1184" t="s">
        <v>3085</v>
      </c>
      <c r="D1184" t="s">
        <v>10021</v>
      </c>
      <c r="E1184" t="s">
        <v>10022</v>
      </c>
      <c r="F1184" t="s">
        <v>10023</v>
      </c>
      <c r="G1184" t="s">
        <v>5904</v>
      </c>
      <c r="H1184">
        <v>451</v>
      </c>
      <c r="I1184">
        <v>425</v>
      </c>
      <c r="J1184">
        <v>425</v>
      </c>
      <c r="K1184">
        <v>410</v>
      </c>
      <c r="L1184">
        <v>418</v>
      </c>
      <c r="M1184">
        <v>90.9</v>
      </c>
      <c r="N1184">
        <v>92.7</v>
      </c>
      <c r="O1184">
        <v>853.2</v>
      </c>
    </row>
    <row r="1185" spans="1:15">
      <c r="A1185">
        <v>1957</v>
      </c>
      <c r="B1185" t="s">
        <v>10024</v>
      </c>
      <c r="C1185" t="s">
        <v>3088</v>
      </c>
      <c r="D1185" t="s">
        <v>10025</v>
      </c>
      <c r="E1185" t="s">
        <v>10026</v>
      </c>
      <c r="F1185" t="s">
        <v>10027</v>
      </c>
      <c r="G1185" t="s">
        <v>5904</v>
      </c>
      <c r="H1185">
        <v>986</v>
      </c>
      <c r="I1185">
        <v>986</v>
      </c>
      <c r="J1185">
        <v>988</v>
      </c>
      <c r="K1185">
        <v>952</v>
      </c>
      <c r="L1185">
        <v>966</v>
      </c>
      <c r="M1185">
        <v>96.6</v>
      </c>
      <c r="N1185">
        <v>98</v>
      </c>
      <c r="O1185">
        <v>1976.8</v>
      </c>
    </row>
    <row r="1186" spans="1:15">
      <c r="A1186">
        <v>1956</v>
      </c>
      <c r="B1186" t="s">
        <v>10028</v>
      </c>
      <c r="C1186" t="s">
        <v>3091</v>
      </c>
      <c r="D1186" t="s">
        <v>10029</v>
      </c>
      <c r="E1186" t="s">
        <v>10030</v>
      </c>
      <c r="F1186" t="s">
        <v>10031</v>
      </c>
      <c r="G1186" t="s">
        <v>5904</v>
      </c>
      <c r="H1186">
        <v>407</v>
      </c>
      <c r="I1186">
        <v>420</v>
      </c>
      <c r="J1186">
        <v>406</v>
      </c>
      <c r="K1186">
        <v>323</v>
      </c>
      <c r="L1186">
        <v>359</v>
      </c>
      <c r="M1186">
        <v>79.400000000000006</v>
      </c>
      <c r="N1186">
        <v>88.2</v>
      </c>
      <c r="O1186">
        <v>641.29999999999995</v>
      </c>
    </row>
    <row r="1187" spans="1:15">
      <c r="A1187">
        <v>1955</v>
      </c>
      <c r="B1187" t="s">
        <v>3092</v>
      </c>
      <c r="C1187" t="s">
        <v>3093</v>
      </c>
      <c r="D1187" t="s">
        <v>10032</v>
      </c>
      <c r="E1187" t="s">
        <v>10033</v>
      </c>
      <c r="F1187" t="s">
        <v>10034</v>
      </c>
      <c r="G1187" t="s">
        <v>5904</v>
      </c>
      <c r="H1187">
        <v>1274</v>
      </c>
      <c r="I1187">
        <v>1283</v>
      </c>
      <c r="J1187">
        <v>1289</v>
      </c>
      <c r="K1187">
        <v>918</v>
      </c>
      <c r="L1187">
        <v>1005</v>
      </c>
      <c r="M1187">
        <v>72.099999999999994</v>
      </c>
      <c r="N1187">
        <v>78.900000000000006</v>
      </c>
      <c r="O1187">
        <v>1629.8</v>
      </c>
    </row>
    <row r="1188" spans="1:15">
      <c r="A1188">
        <v>1954</v>
      </c>
      <c r="B1188" t="s">
        <v>3094</v>
      </c>
      <c r="C1188" t="s">
        <v>3095</v>
      </c>
      <c r="D1188" t="s">
        <v>10035</v>
      </c>
      <c r="E1188" t="s">
        <v>10036</v>
      </c>
      <c r="F1188" t="s">
        <v>10037</v>
      </c>
      <c r="G1188" t="s">
        <v>5904</v>
      </c>
      <c r="H1188">
        <v>95</v>
      </c>
      <c r="I1188">
        <v>95</v>
      </c>
      <c r="J1188">
        <v>94</v>
      </c>
      <c r="K1188">
        <v>76</v>
      </c>
      <c r="L1188">
        <v>90</v>
      </c>
      <c r="M1188">
        <v>80</v>
      </c>
      <c r="N1188">
        <v>94.7</v>
      </c>
      <c r="O1188">
        <v>165.6</v>
      </c>
    </row>
    <row r="1189" spans="1:15">
      <c r="A1189">
        <v>1953</v>
      </c>
      <c r="B1189" t="s">
        <v>3096</v>
      </c>
      <c r="C1189" t="s">
        <v>3097</v>
      </c>
      <c r="D1189" t="s">
        <v>10038</v>
      </c>
      <c r="E1189" t="s">
        <v>10039</v>
      </c>
      <c r="F1189" t="s">
        <v>10040</v>
      </c>
      <c r="G1189" t="s">
        <v>5904</v>
      </c>
      <c r="H1189">
        <v>245</v>
      </c>
      <c r="I1189">
        <v>245</v>
      </c>
      <c r="J1189">
        <v>245</v>
      </c>
      <c r="K1189">
        <v>229</v>
      </c>
      <c r="L1189">
        <v>238</v>
      </c>
      <c r="M1189">
        <v>93.5</v>
      </c>
      <c r="N1189">
        <v>97.1</v>
      </c>
      <c r="O1189">
        <v>459.5</v>
      </c>
    </row>
    <row r="1190" spans="1:15">
      <c r="A1190">
        <v>1952</v>
      </c>
      <c r="B1190" t="s">
        <v>10041</v>
      </c>
      <c r="C1190" t="s">
        <v>10042</v>
      </c>
      <c r="D1190" t="s">
        <v>10043</v>
      </c>
      <c r="E1190" t="s">
        <v>10044</v>
      </c>
      <c r="F1190" t="s">
        <v>10045</v>
      </c>
      <c r="G1190" t="s">
        <v>5904</v>
      </c>
      <c r="H1190">
        <v>148</v>
      </c>
      <c r="I1190">
        <v>147</v>
      </c>
      <c r="J1190">
        <v>147</v>
      </c>
      <c r="K1190">
        <v>144</v>
      </c>
      <c r="L1190">
        <v>147</v>
      </c>
      <c r="M1190">
        <v>97.3</v>
      </c>
      <c r="N1190">
        <v>99.3</v>
      </c>
      <c r="O1190">
        <v>305.10000000000002</v>
      </c>
    </row>
    <row r="1191" spans="1:15">
      <c r="A1191">
        <v>2229</v>
      </c>
      <c r="B1191" t="s">
        <v>3101</v>
      </c>
      <c r="C1191" t="s">
        <v>10046</v>
      </c>
      <c r="D1191" t="s">
        <v>10047</v>
      </c>
      <c r="E1191" t="s">
        <v>10048</v>
      </c>
      <c r="F1191" t="s">
        <v>10049</v>
      </c>
      <c r="G1191" t="s">
        <v>5904</v>
      </c>
      <c r="H1191">
        <v>158</v>
      </c>
      <c r="I1191">
        <v>158</v>
      </c>
      <c r="J1191">
        <v>158</v>
      </c>
      <c r="K1191">
        <v>158</v>
      </c>
      <c r="L1191">
        <v>158</v>
      </c>
      <c r="M1191">
        <v>100</v>
      </c>
      <c r="N1191">
        <v>100</v>
      </c>
      <c r="O1191">
        <v>318.89999999999998</v>
      </c>
    </row>
    <row r="1192" spans="1:15">
      <c r="A1192">
        <v>1951</v>
      </c>
      <c r="B1192" t="s">
        <v>3103</v>
      </c>
      <c r="C1192" t="s">
        <v>10050</v>
      </c>
      <c r="D1192" t="s">
        <v>10051</v>
      </c>
      <c r="E1192" t="s">
        <v>10052</v>
      </c>
      <c r="F1192" t="s">
        <v>10053</v>
      </c>
      <c r="G1192" t="s">
        <v>5904</v>
      </c>
      <c r="H1192">
        <v>425</v>
      </c>
      <c r="I1192">
        <v>425</v>
      </c>
      <c r="J1192">
        <v>425</v>
      </c>
      <c r="K1192">
        <v>386</v>
      </c>
      <c r="L1192">
        <v>404</v>
      </c>
      <c r="M1192">
        <v>90.8</v>
      </c>
      <c r="N1192">
        <v>95.1</v>
      </c>
      <c r="O1192">
        <v>788.1</v>
      </c>
    </row>
    <row r="1193" spans="1:15">
      <c r="A1193">
        <v>1950</v>
      </c>
      <c r="B1193" t="s">
        <v>10054</v>
      </c>
      <c r="C1193" t="s">
        <v>3107</v>
      </c>
      <c r="D1193" t="s">
        <v>10055</v>
      </c>
      <c r="E1193" t="s">
        <v>10056</v>
      </c>
      <c r="F1193" t="s">
        <v>10057</v>
      </c>
      <c r="G1193" t="s">
        <v>5904</v>
      </c>
      <c r="H1193">
        <v>894</v>
      </c>
      <c r="I1193">
        <v>894</v>
      </c>
      <c r="J1193">
        <v>894</v>
      </c>
      <c r="K1193">
        <v>802</v>
      </c>
      <c r="L1193">
        <v>845</v>
      </c>
      <c r="M1193">
        <v>89.7</v>
      </c>
      <c r="N1193">
        <v>94.5</v>
      </c>
      <c r="O1193">
        <v>1667.9</v>
      </c>
    </row>
    <row r="1194" spans="1:15">
      <c r="A1194">
        <v>1949</v>
      </c>
      <c r="B1194" t="s">
        <v>10058</v>
      </c>
      <c r="C1194" t="s">
        <v>5754</v>
      </c>
      <c r="D1194" t="s">
        <v>10059</v>
      </c>
      <c r="E1194" t="s">
        <v>10060</v>
      </c>
      <c r="F1194" t="s">
        <v>10061</v>
      </c>
      <c r="G1194" t="s">
        <v>5904</v>
      </c>
      <c r="H1194">
        <v>264</v>
      </c>
      <c r="I1194">
        <v>264</v>
      </c>
      <c r="J1194">
        <v>264</v>
      </c>
      <c r="K1194">
        <v>264</v>
      </c>
      <c r="L1194">
        <v>264</v>
      </c>
      <c r="M1194">
        <v>100</v>
      </c>
      <c r="N1194">
        <v>100</v>
      </c>
      <c r="O1194">
        <v>545.79999999999995</v>
      </c>
    </row>
    <row r="1195" spans="1:15">
      <c r="A1195">
        <v>1948</v>
      </c>
      <c r="B1195" t="s">
        <v>3108</v>
      </c>
      <c r="C1195" t="s">
        <v>3109</v>
      </c>
      <c r="D1195" t="s">
        <v>10062</v>
      </c>
      <c r="E1195" t="s">
        <v>10063</v>
      </c>
      <c r="F1195" t="s">
        <v>10064</v>
      </c>
      <c r="G1195" t="s">
        <v>5904</v>
      </c>
      <c r="H1195">
        <v>519</v>
      </c>
      <c r="I1195">
        <v>519</v>
      </c>
      <c r="J1195">
        <v>519</v>
      </c>
      <c r="K1195">
        <v>476</v>
      </c>
      <c r="L1195">
        <v>507</v>
      </c>
      <c r="M1195">
        <v>91.7</v>
      </c>
      <c r="N1195">
        <v>97.7</v>
      </c>
      <c r="O1195">
        <v>986.1</v>
      </c>
    </row>
    <row r="1196" spans="1:15">
      <c r="A1196">
        <v>1947</v>
      </c>
      <c r="B1196" t="s">
        <v>3110</v>
      </c>
      <c r="C1196" t="s">
        <v>3111</v>
      </c>
      <c r="D1196" t="s">
        <v>10065</v>
      </c>
      <c r="E1196" t="s">
        <v>10066</v>
      </c>
      <c r="F1196" t="s">
        <v>10067</v>
      </c>
      <c r="G1196" t="s">
        <v>5904</v>
      </c>
      <c r="H1196">
        <v>223</v>
      </c>
      <c r="I1196">
        <v>223</v>
      </c>
      <c r="J1196">
        <v>223</v>
      </c>
      <c r="K1196">
        <v>214</v>
      </c>
      <c r="L1196">
        <v>220</v>
      </c>
      <c r="M1196">
        <v>96</v>
      </c>
      <c r="N1196">
        <v>98.7</v>
      </c>
      <c r="O1196">
        <v>448</v>
      </c>
    </row>
    <row r="1197" spans="1:15">
      <c r="A1197">
        <v>1946</v>
      </c>
      <c r="B1197" t="s">
        <v>3112</v>
      </c>
      <c r="C1197" t="s">
        <v>3113</v>
      </c>
      <c r="D1197" t="s">
        <v>10068</v>
      </c>
      <c r="E1197" t="s">
        <v>10069</v>
      </c>
      <c r="F1197" t="s">
        <v>10070</v>
      </c>
      <c r="G1197" t="s">
        <v>5904</v>
      </c>
      <c r="H1197">
        <v>379</v>
      </c>
      <c r="I1197">
        <v>358</v>
      </c>
      <c r="J1197">
        <v>360</v>
      </c>
      <c r="K1197">
        <v>253</v>
      </c>
      <c r="L1197">
        <v>298</v>
      </c>
      <c r="M1197">
        <v>66.8</v>
      </c>
      <c r="N1197">
        <v>78.599999999999994</v>
      </c>
      <c r="O1197">
        <v>503.4</v>
      </c>
    </row>
    <row r="1198" spans="1:15">
      <c r="A1198">
        <v>1945</v>
      </c>
      <c r="B1198" t="s">
        <v>3114</v>
      </c>
      <c r="C1198" t="s">
        <v>3115</v>
      </c>
      <c r="D1198" t="s">
        <v>10071</v>
      </c>
      <c r="E1198" t="s">
        <v>10072</v>
      </c>
      <c r="F1198" t="s">
        <v>10073</v>
      </c>
      <c r="G1198" t="s">
        <v>5904</v>
      </c>
      <c r="H1198">
        <v>364</v>
      </c>
      <c r="I1198">
        <v>364</v>
      </c>
      <c r="J1198">
        <v>364</v>
      </c>
      <c r="K1198">
        <v>336</v>
      </c>
      <c r="L1198">
        <v>349</v>
      </c>
      <c r="M1198">
        <v>92.3</v>
      </c>
      <c r="N1198">
        <v>95.9</v>
      </c>
      <c r="O1198">
        <v>686.8</v>
      </c>
    </row>
    <row r="1199" spans="1:15">
      <c r="A1199">
        <v>1944</v>
      </c>
      <c r="B1199" t="s">
        <v>3116</v>
      </c>
      <c r="C1199" t="s">
        <v>3117</v>
      </c>
      <c r="D1199" t="s">
        <v>10074</v>
      </c>
      <c r="E1199" t="s">
        <v>10075</v>
      </c>
      <c r="F1199" t="s">
        <v>10076</v>
      </c>
      <c r="G1199" t="s">
        <v>5904</v>
      </c>
      <c r="H1199">
        <v>247</v>
      </c>
      <c r="I1199">
        <v>223</v>
      </c>
      <c r="J1199">
        <v>223</v>
      </c>
      <c r="K1199">
        <v>215</v>
      </c>
      <c r="L1199">
        <v>217</v>
      </c>
      <c r="M1199">
        <v>87</v>
      </c>
      <c r="N1199">
        <v>87.9</v>
      </c>
      <c r="O1199">
        <v>429.9</v>
      </c>
    </row>
    <row r="1200" spans="1:15">
      <c r="A1200">
        <v>1943</v>
      </c>
      <c r="B1200" t="s">
        <v>10077</v>
      </c>
      <c r="C1200" t="s">
        <v>10078</v>
      </c>
      <c r="D1200" t="s">
        <v>10079</v>
      </c>
      <c r="E1200" t="s">
        <v>10080</v>
      </c>
      <c r="F1200" t="s">
        <v>10081</v>
      </c>
      <c r="G1200" t="s">
        <v>5904</v>
      </c>
      <c r="H1200">
        <v>804</v>
      </c>
      <c r="I1200">
        <v>737</v>
      </c>
      <c r="J1200">
        <v>806</v>
      </c>
      <c r="K1200">
        <v>682</v>
      </c>
      <c r="L1200">
        <v>701</v>
      </c>
      <c r="M1200">
        <v>84.8</v>
      </c>
      <c r="N1200">
        <v>87.2</v>
      </c>
      <c r="O1200">
        <v>1323.9</v>
      </c>
    </row>
    <row r="1201" spans="1:15">
      <c r="A1201">
        <v>1942</v>
      </c>
      <c r="B1201" t="s">
        <v>10082</v>
      </c>
      <c r="C1201" t="s">
        <v>3123</v>
      </c>
      <c r="D1201" t="s">
        <v>10083</v>
      </c>
      <c r="E1201" t="s">
        <v>10084</v>
      </c>
      <c r="F1201" t="s">
        <v>10085</v>
      </c>
      <c r="G1201" t="s">
        <v>5904</v>
      </c>
      <c r="H1201">
        <v>353</v>
      </c>
      <c r="I1201">
        <v>339</v>
      </c>
      <c r="J1201">
        <v>339</v>
      </c>
      <c r="K1201">
        <v>324</v>
      </c>
      <c r="L1201">
        <v>333</v>
      </c>
      <c r="M1201">
        <v>91.8</v>
      </c>
      <c r="N1201">
        <v>94.3</v>
      </c>
      <c r="O1201">
        <v>664.5</v>
      </c>
    </row>
    <row r="1202" spans="1:15">
      <c r="A1202">
        <v>1941</v>
      </c>
      <c r="B1202" t="s">
        <v>3124</v>
      </c>
      <c r="C1202" t="s">
        <v>3125</v>
      </c>
      <c r="D1202" t="s">
        <v>10086</v>
      </c>
      <c r="E1202" t="s">
        <v>10087</v>
      </c>
      <c r="F1202" t="s">
        <v>10088</v>
      </c>
      <c r="G1202" t="s">
        <v>5904</v>
      </c>
      <c r="H1202">
        <v>339</v>
      </c>
      <c r="I1202">
        <v>339</v>
      </c>
      <c r="J1202">
        <v>339</v>
      </c>
      <c r="K1202">
        <v>282</v>
      </c>
      <c r="L1202">
        <v>316</v>
      </c>
      <c r="M1202">
        <v>83.2</v>
      </c>
      <c r="N1202">
        <v>93.2</v>
      </c>
      <c r="O1202">
        <v>609</v>
      </c>
    </row>
    <row r="1203" spans="1:15">
      <c r="A1203">
        <v>2228</v>
      </c>
      <c r="B1203" t="s">
        <v>10089</v>
      </c>
      <c r="C1203" t="s">
        <v>3128</v>
      </c>
      <c r="D1203" t="s">
        <v>10090</v>
      </c>
      <c r="E1203" t="s">
        <v>10091</v>
      </c>
      <c r="F1203" t="s">
        <v>10092</v>
      </c>
      <c r="G1203" t="s">
        <v>5904</v>
      </c>
      <c r="H1203">
        <v>952</v>
      </c>
      <c r="I1203">
        <v>981</v>
      </c>
      <c r="J1203">
        <v>956</v>
      </c>
      <c r="K1203">
        <v>840</v>
      </c>
      <c r="L1203">
        <v>888</v>
      </c>
      <c r="M1203">
        <v>88.2</v>
      </c>
      <c r="N1203">
        <v>93.3</v>
      </c>
      <c r="O1203">
        <v>1713</v>
      </c>
    </row>
    <row r="1204" spans="1:15">
      <c r="A1204">
        <v>1940</v>
      </c>
      <c r="B1204" t="s">
        <v>10093</v>
      </c>
      <c r="C1204" t="s">
        <v>3131</v>
      </c>
      <c r="D1204" t="s">
        <v>10094</v>
      </c>
      <c r="E1204" t="s">
        <v>10095</v>
      </c>
      <c r="F1204" t="s">
        <v>10096</v>
      </c>
      <c r="G1204" t="s">
        <v>5904</v>
      </c>
      <c r="H1204">
        <v>470</v>
      </c>
      <c r="I1204">
        <v>470</v>
      </c>
      <c r="J1204">
        <v>471</v>
      </c>
      <c r="K1204">
        <v>371</v>
      </c>
      <c r="L1204">
        <v>407</v>
      </c>
      <c r="M1204">
        <v>78.900000000000006</v>
      </c>
      <c r="N1204">
        <v>86.6</v>
      </c>
      <c r="O1204">
        <v>765.8</v>
      </c>
    </row>
    <row r="1205" spans="1:15">
      <c r="A1205">
        <v>2227</v>
      </c>
      <c r="B1205" t="s">
        <v>3132</v>
      </c>
      <c r="C1205" t="s">
        <v>3133</v>
      </c>
      <c r="D1205" t="s">
        <v>10097</v>
      </c>
      <c r="E1205" t="s">
        <v>10098</v>
      </c>
      <c r="F1205" t="s">
        <v>10099</v>
      </c>
      <c r="G1205" t="s">
        <v>5904</v>
      </c>
      <c r="H1205">
        <v>256</v>
      </c>
      <c r="I1205">
        <v>256</v>
      </c>
      <c r="J1205">
        <v>256</v>
      </c>
      <c r="K1205">
        <v>220</v>
      </c>
      <c r="L1205">
        <v>237</v>
      </c>
      <c r="M1205">
        <v>85.9</v>
      </c>
      <c r="N1205">
        <v>92.6</v>
      </c>
      <c r="O1205">
        <v>441</v>
      </c>
    </row>
    <row r="1206" spans="1:15">
      <c r="A1206">
        <v>1939</v>
      </c>
      <c r="B1206" t="s">
        <v>10100</v>
      </c>
      <c r="C1206" t="s">
        <v>3136</v>
      </c>
      <c r="D1206" t="s">
        <v>10101</v>
      </c>
      <c r="E1206" t="s">
        <v>10102</v>
      </c>
      <c r="F1206" t="s">
        <v>10103</v>
      </c>
      <c r="G1206" t="s">
        <v>5904</v>
      </c>
      <c r="H1206">
        <v>314</v>
      </c>
      <c r="I1206">
        <v>314</v>
      </c>
      <c r="J1206">
        <v>314</v>
      </c>
      <c r="K1206">
        <v>292</v>
      </c>
      <c r="L1206">
        <v>307</v>
      </c>
      <c r="M1206">
        <v>93</v>
      </c>
      <c r="N1206">
        <v>97.8</v>
      </c>
      <c r="O1206">
        <v>583.6</v>
      </c>
    </row>
    <row r="1207" spans="1:15">
      <c r="A1207">
        <v>1938</v>
      </c>
      <c r="B1207" t="s">
        <v>3137</v>
      </c>
      <c r="C1207" t="s">
        <v>3138</v>
      </c>
      <c r="D1207" t="s">
        <v>10104</v>
      </c>
      <c r="E1207" t="s">
        <v>10105</v>
      </c>
      <c r="F1207" t="s">
        <v>10106</v>
      </c>
      <c r="G1207" t="s">
        <v>5904</v>
      </c>
      <c r="H1207">
        <v>656</v>
      </c>
      <c r="I1207">
        <v>655</v>
      </c>
      <c r="J1207">
        <v>639</v>
      </c>
      <c r="K1207">
        <v>528</v>
      </c>
      <c r="L1207">
        <v>553</v>
      </c>
      <c r="M1207">
        <v>80.5</v>
      </c>
      <c r="N1207">
        <v>84.3</v>
      </c>
      <c r="O1207">
        <v>1057.7</v>
      </c>
    </row>
    <row r="1208" spans="1:15">
      <c r="A1208">
        <v>1937</v>
      </c>
      <c r="B1208" t="s">
        <v>3139</v>
      </c>
      <c r="C1208" t="s">
        <v>3141</v>
      </c>
      <c r="D1208" t="s">
        <v>10107</v>
      </c>
      <c r="E1208" t="s">
        <v>10108</v>
      </c>
      <c r="F1208" t="s">
        <v>10109</v>
      </c>
      <c r="G1208" t="s">
        <v>5904</v>
      </c>
      <c r="H1208">
        <v>298</v>
      </c>
      <c r="I1208">
        <v>298</v>
      </c>
      <c r="J1208">
        <v>298</v>
      </c>
      <c r="K1208">
        <v>289</v>
      </c>
      <c r="L1208">
        <v>293</v>
      </c>
      <c r="M1208">
        <v>97</v>
      </c>
      <c r="N1208">
        <v>98.3</v>
      </c>
      <c r="O1208">
        <v>593.6</v>
      </c>
    </row>
    <row r="1209" spans="1:15">
      <c r="A1209">
        <v>1936</v>
      </c>
      <c r="B1209" t="s">
        <v>3142</v>
      </c>
      <c r="C1209" t="s">
        <v>3144</v>
      </c>
      <c r="D1209" t="s">
        <v>10110</v>
      </c>
      <c r="E1209" t="s">
        <v>10111</v>
      </c>
      <c r="F1209" t="s">
        <v>10112</v>
      </c>
      <c r="G1209" t="s">
        <v>5904</v>
      </c>
      <c r="H1209">
        <v>511</v>
      </c>
      <c r="I1209">
        <v>511</v>
      </c>
      <c r="J1209">
        <v>511</v>
      </c>
      <c r="K1209">
        <v>507</v>
      </c>
      <c r="L1209">
        <v>509</v>
      </c>
      <c r="M1209">
        <v>99.2</v>
      </c>
      <c r="N1209">
        <v>99.6</v>
      </c>
      <c r="O1209">
        <v>1049.3</v>
      </c>
    </row>
    <row r="1210" spans="1:15">
      <c r="A1210">
        <v>1935</v>
      </c>
      <c r="B1210" t="s">
        <v>3145</v>
      </c>
      <c r="C1210" t="s">
        <v>3146</v>
      </c>
      <c r="D1210" t="s">
        <v>10113</v>
      </c>
      <c r="E1210" t="s">
        <v>10114</v>
      </c>
      <c r="F1210" t="s">
        <v>10115</v>
      </c>
      <c r="G1210" t="s">
        <v>5904</v>
      </c>
      <c r="H1210">
        <v>98</v>
      </c>
      <c r="I1210">
        <v>98</v>
      </c>
      <c r="J1210">
        <v>98</v>
      </c>
      <c r="K1210">
        <v>86</v>
      </c>
      <c r="L1210">
        <v>91</v>
      </c>
      <c r="M1210">
        <v>87.8</v>
      </c>
      <c r="N1210">
        <v>92.9</v>
      </c>
      <c r="O1210">
        <v>186.8</v>
      </c>
    </row>
    <row r="1211" spans="1:15">
      <c r="A1211">
        <v>1934</v>
      </c>
      <c r="B1211" t="s">
        <v>3147</v>
      </c>
      <c r="C1211" t="s">
        <v>3148</v>
      </c>
      <c r="D1211" t="s">
        <v>10116</v>
      </c>
      <c r="E1211" t="s">
        <v>10117</v>
      </c>
      <c r="F1211" t="s">
        <v>10118</v>
      </c>
      <c r="G1211" t="s">
        <v>5904</v>
      </c>
      <c r="H1211">
        <v>107</v>
      </c>
      <c r="I1211">
        <v>107</v>
      </c>
      <c r="J1211">
        <v>107</v>
      </c>
      <c r="K1211">
        <v>80</v>
      </c>
      <c r="L1211">
        <v>87</v>
      </c>
      <c r="M1211">
        <v>74.8</v>
      </c>
      <c r="N1211">
        <v>81.3</v>
      </c>
      <c r="O1211">
        <v>132.1</v>
      </c>
    </row>
    <row r="1212" spans="1:15">
      <c r="A1212">
        <v>1933</v>
      </c>
      <c r="B1212" t="s">
        <v>10119</v>
      </c>
      <c r="C1212" t="s">
        <v>3151</v>
      </c>
      <c r="D1212" t="s">
        <v>10120</v>
      </c>
      <c r="E1212" t="s">
        <v>10121</v>
      </c>
      <c r="F1212" t="s">
        <v>10122</v>
      </c>
      <c r="G1212" t="s">
        <v>5904</v>
      </c>
      <c r="H1212">
        <v>217</v>
      </c>
      <c r="I1212">
        <v>217</v>
      </c>
      <c r="J1212">
        <v>217</v>
      </c>
      <c r="K1212">
        <v>214</v>
      </c>
      <c r="L1212">
        <v>215</v>
      </c>
      <c r="M1212">
        <v>98.6</v>
      </c>
      <c r="N1212">
        <v>99.1</v>
      </c>
      <c r="O1212">
        <v>449.5</v>
      </c>
    </row>
    <row r="1213" spans="1:15">
      <c r="A1213">
        <v>1932</v>
      </c>
      <c r="B1213" t="s">
        <v>10123</v>
      </c>
      <c r="C1213" t="s">
        <v>5612</v>
      </c>
      <c r="D1213" t="s">
        <v>10124</v>
      </c>
      <c r="E1213" t="s">
        <v>10125</v>
      </c>
      <c r="F1213" t="s">
        <v>10126</v>
      </c>
      <c r="G1213" t="s">
        <v>5904</v>
      </c>
      <c r="H1213">
        <v>608</v>
      </c>
      <c r="I1213">
        <v>609</v>
      </c>
      <c r="J1213">
        <v>608</v>
      </c>
      <c r="K1213">
        <v>481</v>
      </c>
      <c r="L1213">
        <v>539</v>
      </c>
      <c r="M1213">
        <v>79.099999999999994</v>
      </c>
      <c r="N1213">
        <v>88.7</v>
      </c>
      <c r="O1213">
        <v>1019.6</v>
      </c>
    </row>
    <row r="1214" spans="1:15">
      <c r="A1214">
        <v>1931</v>
      </c>
      <c r="B1214" t="s">
        <v>10127</v>
      </c>
      <c r="C1214" t="s">
        <v>3155</v>
      </c>
      <c r="D1214" t="s">
        <v>10128</v>
      </c>
      <c r="E1214" t="s">
        <v>10129</v>
      </c>
      <c r="F1214" t="s">
        <v>10130</v>
      </c>
      <c r="G1214" t="s">
        <v>5904</v>
      </c>
      <c r="H1214">
        <v>652</v>
      </c>
      <c r="I1214">
        <v>625</v>
      </c>
      <c r="J1214">
        <v>645</v>
      </c>
      <c r="K1214">
        <v>549</v>
      </c>
      <c r="L1214">
        <v>587</v>
      </c>
      <c r="M1214">
        <v>84.2</v>
      </c>
      <c r="N1214">
        <v>90</v>
      </c>
      <c r="O1214">
        <v>1159</v>
      </c>
    </row>
    <row r="1215" spans="1:15">
      <c r="A1215">
        <v>1930</v>
      </c>
      <c r="B1215" t="s">
        <v>3156</v>
      </c>
      <c r="C1215" t="s">
        <v>10131</v>
      </c>
      <c r="D1215" t="s">
        <v>10132</v>
      </c>
      <c r="E1215" t="s">
        <v>10133</v>
      </c>
      <c r="F1215" t="s">
        <v>10134</v>
      </c>
      <c r="G1215" t="s">
        <v>5904</v>
      </c>
      <c r="H1215">
        <v>391</v>
      </c>
      <c r="I1215">
        <v>389</v>
      </c>
      <c r="J1215">
        <v>400</v>
      </c>
      <c r="K1215">
        <v>293</v>
      </c>
      <c r="L1215">
        <v>327</v>
      </c>
      <c r="M1215">
        <v>74.900000000000006</v>
      </c>
      <c r="N1215">
        <v>83.6</v>
      </c>
      <c r="O1215">
        <v>573.20000000000005</v>
      </c>
    </row>
    <row r="1216" spans="1:15">
      <c r="A1216">
        <v>1929</v>
      </c>
      <c r="B1216" t="s">
        <v>3159</v>
      </c>
      <c r="C1216" t="s">
        <v>3160</v>
      </c>
      <c r="D1216" t="s">
        <v>10132</v>
      </c>
      <c r="E1216" t="s">
        <v>10133</v>
      </c>
      <c r="F1216" t="s">
        <v>10135</v>
      </c>
      <c r="G1216" t="s">
        <v>5904</v>
      </c>
      <c r="H1216">
        <v>380</v>
      </c>
      <c r="I1216">
        <v>389</v>
      </c>
      <c r="J1216">
        <v>389</v>
      </c>
      <c r="K1216">
        <v>288</v>
      </c>
      <c r="L1216">
        <v>321</v>
      </c>
      <c r="M1216">
        <v>75.8</v>
      </c>
      <c r="N1216">
        <v>84.5</v>
      </c>
      <c r="O1216">
        <v>566.6</v>
      </c>
    </row>
    <row r="1217" spans="1:15">
      <c r="A1217">
        <v>1928</v>
      </c>
      <c r="B1217" t="s">
        <v>3161</v>
      </c>
      <c r="C1217" t="s">
        <v>3162</v>
      </c>
      <c r="D1217" t="s">
        <v>10136</v>
      </c>
      <c r="E1217" t="s">
        <v>10137</v>
      </c>
      <c r="F1217" t="s">
        <v>10138</v>
      </c>
      <c r="G1217" t="s">
        <v>5904</v>
      </c>
      <c r="H1217">
        <v>118</v>
      </c>
      <c r="I1217">
        <v>118</v>
      </c>
      <c r="J1217">
        <v>118</v>
      </c>
      <c r="K1217">
        <v>111</v>
      </c>
      <c r="L1217">
        <v>115</v>
      </c>
      <c r="M1217">
        <v>94.1</v>
      </c>
      <c r="N1217">
        <v>97.5</v>
      </c>
      <c r="O1217">
        <v>224.6</v>
      </c>
    </row>
    <row r="1218" spans="1:15">
      <c r="A1218">
        <v>1927</v>
      </c>
      <c r="B1218" t="s">
        <v>10139</v>
      </c>
      <c r="C1218" t="s">
        <v>3165</v>
      </c>
      <c r="D1218" t="s">
        <v>10140</v>
      </c>
      <c r="E1218" t="s">
        <v>10141</v>
      </c>
      <c r="F1218" t="s">
        <v>10142</v>
      </c>
      <c r="G1218" t="s">
        <v>5904</v>
      </c>
      <c r="H1218">
        <v>656</v>
      </c>
      <c r="I1218">
        <v>652</v>
      </c>
      <c r="J1218">
        <v>638</v>
      </c>
      <c r="K1218">
        <v>560</v>
      </c>
      <c r="L1218">
        <v>586</v>
      </c>
      <c r="M1218">
        <v>85.4</v>
      </c>
      <c r="N1218">
        <v>89.3</v>
      </c>
      <c r="O1218">
        <v>1165.2</v>
      </c>
    </row>
    <row r="1219" spans="1:15">
      <c r="A1219">
        <v>1926</v>
      </c>
      <c r="B1219" t="s">
        <v>3166</v>
      </c>
      <c r="C1219" t="s">
        <v>3167</v>
      </c>
      <c r="D1219" t="s">
        <v>10143</v>
      </c>
      <c r="E1219" t="s">
        <v>10144</v>
      </c>
      <c r="F1219" t="s">
        <v>10145</v>
      </c>
      <c r="G1219" t="s">
        <v>5904</v>
      </c>
      <c r="H1219">
        <v>445</v>
      </c>
      <c r="I1219">
        <v>453</v>
      </c>
      <c r="J1219">
        <v>445</v>
      </c>
      <c r="K1219">
        <v>382</v>
      </c>
      <c r="L1219">
        <v>415</v>
      </c>
      <c r="M1219">
        <v>85.8</v>
      </c>
      <c r="N1219">
        <v>93.3</v>
      </c>
      <c r="O1219">
        <v>823.9</v>
      </c>
    </row>
    <row r="1220" spans="1:15">
      <c r="A1220">
        <v>2226</v>
      </c>
      <c r="B1220" t="s">
        <v>3168</v>
      </c>
      <c r="C1220" t="s">
        <v>3169</v>
      </c>
      <c r="D1220" t="s">
        <v>10146</v>
      </c>
      <c r="E1220" t="s">
        <v>10147</v>
      </c>
      <c r="F1220" t="s">
        <v>10148</v>
      </c>
      <c r="G1220" t="s">
        <v>5904</v>
      </c>
      <c r="H1220">
        <v>121</v>
      </c>
      <c r="I1220">
        <v>121</v>
      </c>
      <c r="J1220">
        <v>121</v>
      </c>
      <c r="K1220">
        <v>121</v>
      </c>
      <c r="L1220">
        <v>121</v>
      </c>
      <c r="M1220">
        <v>100</v>
      </c>
      <c r="N1220">
        <v>100</v>
      </c>
      <c r="O1220">
        <v>243</v>
      </c>
    </row>
    <row r="1221" spans="1:15">
      <c r="A1221">
        <v>2225</v>
      </c>
      <c r="B1221" t="s">
        <v>10149</v>
      </c>
      <c r="C1221" t="s">
        <v>10150</v>
      </c>
      <c r="D1221" t="s">
        <v>10151</v>
      </c>
      <c r="E1221" t="s">
        <v>10152</v>
      </c>
      <c r="F1221" t="s">
        <v>10153</v>
      </c>
      <c r="G1221" t="s">
        <v>5904</v>
      </c>
      <c r="H1221">
        <v>678</v>
      </c>
      <c r="I1221">
        <v>613</v>
      </c>
      <c r="J1221">
        <v>595</v>
      </c>
      <c r="K1221">
        <v>559</v>
      </c>
      <c r="L1221">
        <v>572</v>
      </c>
      <c r="M1221">
        <v>82.4</v>
      </c>
      <c r="N1221">
        <v>84.4</v>
      </c>
      <c r="O1221">
        <v>1060.4000000000001</v>
      </c>
    </row>
    <row r="1222" spans="1:15">
      <c r="A1222">
        <v>1925</v>
      </c>
      <c r="B1222" t="s">
        <v>3173</v>
      </c>
      <c r="C1222" t="s">
        <v>10154</v>
      </c>
      <c r="D1222" t="s">
        <v>10155</v>
      </c>
      <c r="E1222" t="s">
        <v>10156</v>
      </c>
      <c r="F1222" t="s">
        <v>10157</v>
      </c>
      <c r="G1222" t="s">
        <v>5904</v>
      </c>
      <c r="H1222">
        <v>560</v>
      </c>
      <c r="I1222">
        <v>562</v>
      </c>
      <c r="J1222">
        <v>559</v>
      </c>
      <c r="K1222">
        <v>452</v>
      </c>
      <c r="L1222">
        <v>492</v>
      </c>
      <c r="M1222">
        <v>80.7</v>
      </c>
      <c r="N1222">
        <v>87.9</v>
      </c>
      <c r="O1222">
        <v>961.4</v>
      </c>
    </row>
    <row r="1223" spans="1:15">
      <c r="A1223">
        <v>1924</v>
      </c>
      <c r="B1223" t="s">
        <v>10158</v>
      </c>
      <c r="C1223" t="s">
        <v>3177</v>
      </c>
      <c r="D1223" t="s">
        <v>10159</v>
      </c>
      <c r="E1223" t="s">
        <v>10160</v>
      </c>
      <c r="F1223" t="s">
        <v>10161</v>
      </c>
      <c r="G1223" t="s">
        <v>5904</v>
      </c>
      <c r="H1223">
        <v>200</v>
      </c>
      <c r="I1223">
        <v>200</v>
      </c>
      <c r="J1223">
        <v>200</v>
      </c>
      <c r="K1223">
        <v>200</v>
      </c>
      <c r="L1223">
        <v>200</v>
      </c>
      <c r="M1223">
        <v>100</v>
      </c>
      <c r="N1223">
        <v>100</v>
      </c>
      <c r="O1223">
        <v>414.8</v>
      </c>
    </row>
    <row r="1224" spans="1:15">
      <c r="A1224">
        <v>1923</v>
      </c>
      <c r="B1224" t="s">
        <v>3178</v>
      </c>
      <c r="C1224" t="s">
        <v>3179</v>
      </c>
      <c r="D1224" t="s">
        <v>10162</v>
      </c>
      <c r="E1224" t="s">
        <v>10163</v>
      </c>
      <c r="F1224" t="s">
        <v>10164</v>
      </c>
      <c r="G1224" t="s">
        <v>5904</v>
      </c>
      <c r="H1224">
        <v>395</v>
      </c>
      <c r="I1224">
        <v>395</v>
      </c>
      <c r="J1224">
        <v>395</v>
      </c>
      <c r="K1224">
        <v>341</v>
      </c>
      <c r="L1224">
        <v>373</v>
      </c>
      <c r="M1224">
        <v>86.3</v>
      </c>
      <c r="N1224">
        <v>94.4</v>
      </c>
      <c r="O1224">
        <v>720.3</v>
      </c>
    </row>
    <row r="1225" spans="1:15">
      <c r="A1225">
        <v>1922</v>
      </c>
      <c r="B1225" t="s">
        <v>3180</v>
      </c>
      <c r="C1225" t="s">
        <v>3181</v>
      </c>
      <c r="D1225" t="s">
        <v>10165</v>
      </c>
      <c r="E1225" t="s">
        <v>10166</v>
      </c>
      <c r="F1225" t="s">
        <v>10167</v>
      </c>
      <c r="G1225" t="s">
        <v>5904</v>
      </c>
      <c r="H1225">
        <v>356</v>
      </c>
      <c r="I1225">
        <v>359</v>
      </c>
      <c r="J1225">
        <v>326</v>
      </c>
      <c r="K1225">
        <v>276</v>
      </c>
      <c r="L1225">
        <v>299</v>
      </c>
      <c r="M1225">
        <v>77.5</v>
      </c>
      <c r="N1225">
        <v>84</v>
      </c>
      <c r="O1225">
        <v>591.29999999999995</v>
      </c>
    </row>
    <row r="1226" spans="1:15">
      <c r="A1226">
        <v>2224</v>
      </c>
      <c r="B1226" t="s">
        <v>10168</v>
      </c>
      <c r="C1226" t="s">
        <v>3184</v>
      </c>
      <c r="D1226" t="s">
        <v>10169</v>
      </c>
      <c r="E1226" t="s">
        <v>10170</v>
      </c>
      <c r="F1226" t="s">
        <v>10171</v>
      </c>
      <c r="G1226" t="s">
        <v>5904</v>
      </c>
      <c r="H1226">
        <v>711</v>
      </c>
      <c r="I1226">
        <v>644</v>
      </c>
      <c r="J1226">
        <v>686</v>
      </c>
      <c r="K1226">
        <v>640</v>
      </c>
      <c r="L1226">
        <v>641</v>
      </c>
      <c r="M1226">
        <v>90</v>
      </c>
      <c r="N1226">
        <v>90.2</v>
      </c>
      <c r="O1226">
        <v>1244.5999999999999</v>
      </c>
    </row>
    <row r="1227" spans="1:15">
      <c r="A1227">
        <v>1921</v>
      </c>
      <c r="B1227" t="s">
        <v>3185</v>
      </c>
      <c r="C1227" t="s">
        <v>3186</v>
      </c>
      <c r="D1227" t="s">
        <v>10172</v>
      </c>
      <c r="E1227" t="s">
        <v>10173</v>
      </c>
      <c r="F1227" t="s">
        <v>10174</v>
      </c>
      <c r="G1227" t="s">
        <v>5904</v>
      </c>
      <c r="H1227">
        <v>945</v>
      </c>
      <c r="I1227">
        <v>957</v>
      </c>
      <c r="J1227">
        <v>953</v>
      </c>
      <c r="K1227">
        <v>805</v>
      </c>
      <c r="L1227">
        <v>870</v>
      </c>
      <c r="M1227">
        <v>85.2</v>
      </c>
      <c r="N1227">
        <v>92.1</v>
      </c>
      <c r="O1227">
        <v>1656.3</v>
      </c>
    </row>
    <row r="1228" spans="1:15">
      <c r="A1228">
        <v>1920</v>
      </c>
      <c r="B1228" t="s">
        <v>3187</v>
      </c>
      <c r="C1228" t="s">
        <v>3188</v>
      </c>
      <c r="D1228" t="s">
        <v>10175</v>
      </c>
      <c r="E1228" t="s">
        <v>10176</v>
      </c>
      <c r="F1228" t="s">
        <v>10177</v>
      </c>
      <c r="G1228" t="s">
        <v>5904</v>
      </c>
      <c r="H1228">
        <v>615</v>
      </c>
      <c r="I1228">
        <v>612</v>
      </c>
      <c r="J1228">
        <v>611</v>
      </c>
      <c r="K1228">
        <v>565</v>
      </c>
      <c r="L1228">
        <v>585</v>
      </c>
      <c r="M1228">
        <v>91.9</v>
      </c>
      <c r="N1228">
        <v>95.1</v>
      </c>
      <c r="O1228">
        <v>1186.8</v>
      </c>
    </row>
    <row r="1229" spans="1:15">
      <c r="A1229">
        <v>1919</v>
      </c>
      <c r="B1229" t="s">
        <v>3189</v>
      </c>
      <c r="C1229" t="s">
        <v>3190</v>
      </c>
      <c r="D1229" t="s">
        <v>10178</v>
      </c>
      <c r="E1229" t="s">
        <v>10179</v>
      </c>
      <c r="F1229" t="s">
        <v>10180</v>
      </c>
      <c r="G1229" t="s">
        <v>5904</v>
      </c>
      <c r="H1229">
        <v>134</v>
      </c>
      <c r="I1229">
        <v>136</v>
      </c>
      <c r="J1229">
        <v>116</v>
      </c>
      <c r="K1229">
        <v>94</v>
      </c>
      <c r="L1229">
        <v>101</v>
      </c>
      <c r="M1229">
        <v>70.099999999999994</v>
      </c>
      <c r="N1229">
        <v>75.400000000000006</v>
      </c>
      <c r="O1229">
        <v>195.3</v>
      </c>
    </row>
    <row r="1230" spans="1:15">
      <c r="A1230">
        <v>1918</v>
      </c>
      <c r="B1230" t="s">
        <v>3191</v>
      </c>
      <c r="C1230" t="s">
        <v>3192</v>
      </c>
      <c r="D1230" t="s">
        <v>10181</v>
      </c>
      <c r="E1230" t="s">
        <v>10182</v>
      </c>
      <c r="F1230" t="s">
        <v>10183</v>
      </c>
      <c r="G1230" t="s">
        <v>5904</v>
      </c>
      <c r="H1230">
        <v>247</v>
      </c>
      <c r="I1230">
        <v>247</v>
      </c>
      <c r="J1230">
        <v>247</v>
      </c>
      <c r="K1230">
        <v>243</v>
      </c>
      <c r="L1230">
        <v>245</v>
      </c>
      <c r="M1230">
        <v>98.4</v>
      </c>
      <c r="N1230">
        <v>99.2</v>
      </c>
      <c r="O1230">
        <v>505.4</v>
      </c>
    </row>
    <row r="1231" spans="1:15">
      <c r="A1231">
        <v>1917</v>
      </c>
      <c r="B1231" t="s">
        <v>3193</v>
      </c>
      <c r="C1231" t="s">
        <v>3194</v>
      </c>
      <c r="D1231" t="s">
        <v>10184</v>
      </c>
      <c r="E1231" t="s">
        <v>10185</v>
      </c>
      <c r="F1231" t="s">
        <v>10186</v>
      </c>
      <c r="G1231" t="s">
        <v>5904</v>
      </c>
      <c r="H1231">
        <v>324</v>
      </c>
      <c r="I1231">
        <v>324</v>
      </c>
      <c r="J1231">
        <v>324</v>
      </c>
      <c r="K1231">
        <v>304</v>
      </c>
      <c r="L1231">
        <v>318</v>
      </c>
      <c r="M1231">
        <v>93.8</v>
      </c>
      <c r="N1231">
        <v>98.1</v>
      </c>
      <c r="O1231">
        <v>650.20000000000005</v>
      </c>
    </row>
    <row r="1232" spans="1:15">
      <c r="A1232">
        <v>1916</v>
      </c>
      <c r="B1232" t="s">
        <v>3195</v>
      </c>
      <c r="C1232" t="s">
        <v>3196</v>
      </c>
      <c r="D1232" t="s">
        <v>10187</v>
      </c>
      <c r="E1232" t="s">
        <v>10188</v>
      </c>
      <c r="F1232" t="s">
        <v>10189</v>
      </c>
      <c r="G1232" t="s">
        <v>5904</v>
      </c>
      <c r="H1232">
        <v>872</v>
      </c>
      <c r="I1232">
        <v>866</v>
      </c>
      <c r="J1232">
        <v>892</v>
      </c>
      <c r="K1232">
        <v>624</v>
      </c>
      <c r="L1232">
        <v>709</v>
      </c>
      <c r="M1232">
        <v>71.599999999999994</v>
      </c>
      <c r="N1232">
        <v>81.3</v>
      </c>
      <c r="O1232">
        <v>1188.3</v>
      </c>
    </row>
    <row r="1233" spans="1:15">
      <c r="A1233">
        <v>1915</v>
      </c>
      <c r="B1233" t="s">
        <v>3197</v>
      </c>
      <c r="C1233" t="s">
        <v>3198</v>
      </c>
      <c r="D1233" t="s">
        <v>10190</v>
      </c>
      <c r="E1233" t="s">
        <v>10191</v>
      </c>
      <c r="F1233" t="s">
        <v>10192</v>
      </c>
      <c r="G1233" t="s">
        <v>5904</v>
      </c>
      <c r="H1233">
        <v>158</v>
      </c>
      <c r="I1233">
        <v>159</v>
      </c>
      <c r="J1233">
        <v>160</v>
      </c>
      <c r="K1233">
        <v>135</v>
      </c>
      <c r="L1233">
        <v>144</v>
      </c>
      <c r="M1233">
        <v>85.4</v>
      </c>
      <c r="N1233">
        <v>91.1</v>
      </c>
      <c r="O1233">
        <v>277.3</v>
      </c>
    </row>
    <row r="1234" spans="1:15">
      <c r="A1234">
        <v>1914</v>
      </c>
      <c r="B1234" t="s">
        <v>3199</v>
      </c>
      <c r="C1234" t="s">
        <v>3200</v>
      </c>
      <c r="D1234" t="s">
        <v>10193</v>
      </c>
      <c r="E1234" t="s">
        <v>10194</v>
      </c>
      <c r="F1234" t="s">
        <v>10195</v>
      </c>
      <c r="G1234" t="s">
        <v>5904</v>
      </c>
      <c r="H1234">
        <v>394</v>
      </c>
      <c r="I1234">
        <v>374</v>
      </c>
      <c r="J1234">
        <v>374</v>
      </c>
      <c r="K1234">
        <v>354</v>
      </c>
      <c r="L1234">
        <v>366</v>
      </c>
      <c r="M1234">
        <v>89.8</v>
      </c>
      <c r="N1234">
        <v>92.9</v>
      </c>
      <c r="O1234">
        <v>706.4</v>
      </c>
    </row>
    <row r="1235" spans="1:15">
      <c r="A1235">
        <v>1913</v>
      </c>
      <c r="B1235" t="s">
        <v>3201</v>
      </c>
      <c r="C1235" t="s">
        <v>3202</v>
      </c>
      <c r="D1235" t="s">
        <v>10196</v>
      </c>
      <c r="E1235" t="s">
        <v>10197</v>
      </c>
      <c r="F1235" t="s">
        <v>10198</v>
      </c>
      <c r="G1235" t="s">
        <v>5904</v>
      </c>
      <c r="H1235">
        <v>312</v>
      </c>
      <c r="I1235">
        <v>312</v>
      </c>
      <c r="J1235">
        <v>312</v>
      </c>
      <c r="K1235">
        <v>271</v>
      </c>
      <c r="L1235">
        <v>284</v>
      </c>
      <c r="M1235">
        <v>86.9</v>
      </c>
      <c r="N1235">
        <v>91</v>
      </c>
      <c r="O1235">
        <v>570.5</v>
      </c>
    </row>
    <row r="1236" spans="1:15">
      <c r="A1236">
        <v>1912</v>
      </c>
      <c r="B1236" t="s">
        <v>10199</v>
      </c>
      <c r="C1236" t="s">
        <v>10200</v>
      </c>
      <c r="D1236" t="s">
        <v>10201</v>
      </c>
      <c r="E1236" t="s">
        <v>10202</v>
      </c>
      <c r="F1236" t="s">
        <v>10203</v>
      </c>
      <c r="G1236" t="s">
        <v>5904</v>
      </c>
      <c r="H1236">
        <v>140</v>
      </c>
      <c r="I1236">
        <v>140</v>
      </c>
      <c r="J1236">
        <v>140</v>
      </c>
      <c r="K1236">
        <v>134</v>
      </c>
      <c r="L1236">
        <v>135</v>
      </c>
      <c r="M1236">
        <v>95.7</v>
      </c>
      <c r="N1236">
        <v>96.4</v>
      </c>
      <c r="O1236">
        <v>256.5</v>
      </c>
    </row>
    <row r="1237" spans="1:15">
      <c r="A1237">
        <v>1911</v>
      </c>
      <c r="B1237" t="s">
        <v>10204</v>
      </c>
      <c r="C1237" t="s">
        <v>3208</v>
      </c>
      <c r="D1237" t="s">
        <v>10205</v>
      </c>
      <c r="E1237" t="s">
        <v>10206</v>
      </c>
      <c r="F1237" t="s">
        <v>10207</v>
      </c>
      <c r="G1237" t="s">
        <v>5904</v>
      </c>
      <c r="H1237">
        <v>495</v>
      </c>
      <c r="I1237">
        <v>453</v>
      </c>
      <c r="J1237">
        <v>435</v>
      </c>
      <c r="K1237">
        <v>406</v>
      </c>
      <c r="L1237">
        <v>417</v>
      </c>
      <c r="M1237">
        <v>82</v>
      </c>
      <c r="N1237">
        <v>84.2</v>
      </c>
      <c r="O1237">
        <v>833.9</v>
      </c>
    </row>
    <row r="1238" spans="1:15">
      <c r="A1238">
        <v>1910</v>
      </c>
      <c r="B1238" t="s">
        <v>3209</v>
      </c>
      <c r="C1238" t="s">
        <v>3210</v>
      </c>
      <c r="D1238" t="s">
        <v>10208</v>
      </c>
      <c r="E1238" t="s">
        <v>10209</v>
      </c>
      <c r="F1238" t="s">
        <v>10210</v>
      </c>
      <c r="G1238" t="s">
        <v>5904</v>
      </c>
      <c r="H1238">
        <v>346</v>
      </c>
      <c r="I1238">
        <v>346</v>
      </c>
      <c r="J1238">
        <v>327</v>
      </c>
      <c r="K1238">
        <v>286</v>
      </c>
      <c r="L1238">
        <v>303</v>
      </c>
      <c r="M1238">
        <v>82.7</v>
      </c>
      <c r="N1238">
        <v>87.6</v>
      </c>
      <c r="O1238">
        <v>582.79999999999995</v>
      </c>
    </row>
    <row r="1239" spans="1:15">
      <c r="A1239">
        <v>1909</v>
      </c>
      <c r="B1239" t="s">
        <v>10211</v>
      </c>
      <c r="C1239" t="s">
        <v>5757</v>
      </c>
      <c r="D1239" t="s">
        <v>10212</v>
      </c>
      <c r="E1239" t="s">
        <v>10213</v>
      </c>
      <c r="F1239" t="s">
        <v>10214</v>
      </c>
      <c r="G1239" t="s">
        <v>5904</v>
      </c>
      <c r="H1239">
        <v>272</v>
      </c>
      <c r="I1239">
        <v>314</v>
      </c>
      <c r="J1239">
        <v>314</v>
      </c>
      <c r="K1239">
        <v>168</v>
      </c>
      <c r="L1239">
        <v>204</v>
      </c>
      <c r="M1239">
        <v>61.8</v>
      </c>
      <c r="N1239">
        <v>75</v>
      </c>
      <c r="O1239">
        <v>279.3</v>
      </c>
    </row>
    <row r="1240" spans="1:15">
      <c r="A1240">
        <v>1908</v>
      </c>
      <c r="B1240" t="s">
        <v>3211</v>
      </c>
      <c r="C1240" t="s">
        <v>10215</v>
      </c>
      <c r="D1240" t="s">
        <v>10216</v>
      </c>
      <c r="E1240" t="s">
        <v>10217</v>
      </c>
      <c r="F1240" t="s">
        <v>10218</v>
      </c>
      <c r="G1240" t="s">
        <v>5904</v>
      </c>
      <c r="H1240">
        <v>488</v>
      </c>
      <c r="I1240">
        <v>474</v>
      </c>
      <c r="J1240">
        <v>474</v>
      </c>
      <c r="K1240">
        <v>394</v>
      </c>
      <c r="L1240">
        <v>434</v>
      </c>
      <c r="M1240">
        <v>80.7</v>
      </c>
      <c r="N1240">
        <v>88.9</v>
      </c>
      <c r="O1240">
        <v>827.4</v>
      </c>
    </row>
    <row r="1241" spans="1:15">
      <c r="A1241">
        <v>1907</v>
      </c>
      <c r="B1241" t="s">
        <v>3213</v>
      </c>
      <c r="C1241" t="s">
        <v>3214</v>
      </c>
      <c r="D1241" t="s">
        <v>10219</v>
      </c>
      <c r="E1241" t="s">
        <v>10220</v>
      </c>
      <c r="F1241" t="s">
        <v>10221</v>
      </c>
      <c r="G1241" t="s">
        <v>5904</v>
      </c>
      <c r="H1241">
        <v>117</v>
      </c>
      <c r="I1241">
        <v>117</v>
      </c>
      <c r="J1241">
        <v>117</v>
      </c>
      <c r="K1241">
        <v>117</v>
      </c>
      <c r="L1241">
        <v>117</v>
      </c>
      <c r="M1241">
        <v>100</v>
      </c>
      <c r="N1241">
        <v>100</v>
      </c>
      <c r="O1241">
        <v>233.4</v>
      </c>
    </row>
    <row r="1242" spans="1:15">
      <c r="A1242">
        <v>1906</v>
      </c>
      <c r="B1242" t="s">
        <v>10222</v>
      </c>
      <c r="C1242" t="s">
        <v>10223</v>
      </c>
      <c r="D1242" t="s">
        <v>10224</v>
      </c>
      <c r="E1242" t="s">
        <v>10225</v>
      </c>
      <c r="F1242" t="s">
        <v>10226</v>
      </c>
      <c r="G1242" t="s">
        <v>5904</v>
      </c>
      <c r="H1242">
        <v>1234</v>
      </c>
      <c r="I1242">
        <v>1220</v>
      </c>
      <c r="J1242">
        <v>1234</v>
      </c>
      <c r="K1242">
        <v>1157</v>
      </c>
      <c r="L1242">
        <v>1183</v>
      </c>
      <c r="M1242">
        <v>93.8</v>
      </c>
      <c r="N1242">
        <v>95.9</v>
      </c>
      <c r="O1242">
        <v>2311.9</v>
      </c>
    </row>
    <row r="1243" spans="1:15">
      <c r="A1243">
        <v>1905</v>
      </c>
      <c r="B1243" t="s">
        <v>3218</v>
      </c>
      <c r="C1243" t="s">
        <v>3219</v>
      </c>
      <c r="D1243" t="s">
        <v>10227</v>
      </c>
      <c r="E1243" t="s">
        <v>10228</v>
      </c>
      <c r="F1243" t="s">
        <v>10229</v>
      </c>
      <c r="G1243" t="s">
        <v>5904</v>
      </c>
      <c r="H1243">
        <v>321</v>
      </c>
      <c r="I1243">
        <v>320</v>
      </c>
      <c r="J1243">
        <v>317</v>
      </c>
      <c r="K1243">
        <v>305</v>
      </c>
      <c r="L1243">
        <v>312</v>
      </c>
      <c r="M1243">
        <v>95</v>
      </c>
      <c r="N1243">
        <v>97.2</v>
      </c>
      <c r="O1243">
        <v>624</v>
      </c>
    </row>
    <row r="1244" spans="1:15">
      <c r="A1244">
        <v>1904</v>
      </c>
      <c r="B1244" t="s">
        <v>10230</v>
      </c>
      <c r="C1244" t="s">
        <v>10231</v>
      </c>
      <c r="D1244" t="s">
        <v>10232</v>
      </c>
      <c r="E1244" t="s">
        <v>10233</v>
      </c>
      <c r="F1244" t="s">
        <v>10234</v>
      </c>
      <c r="G1244" t="s">
        <v>5904</v>
      </c>
      <c r="H1244">
        <v>440</v>
      </c>
      <c r="I1244">
        <v>440</v>
      </c>
      <c r="J1244">
        <v>429</v>
      </c>
      <c r="K1244">
        <v>402</v>
      </c>
      <c r="L1244">
        <v>411</v>
      </c>
      <c r="M1244">
        <v>91.4</v>
      </c>
      <c r="N1244">
        <v>93.4</v>
      </c>
      <c r="O1244">
        <v>823.2</v>
      </c>
    </row>
    <row r="1245" spans="1:15">
      <c r="A1245">
        <v>1903</v>
      </c>
      <c r="B1245" t="s">
        <v>3223</v>
      </c>
      <c r="C1245" t="s">
        <v>10235</v>
      </c>
      <c r="D1245" t="s">
        <v>10236</v>
      </c>
      <c r="E1245" t="s">
        <v>10237</v>
      </c>
      <c r="F1245" t="s">
        <v>10238</v>
      </c>
      <c r="G1245" t="s">
        <v>5904</v>
      </c>
      <c r="H1245">
        <v>1089</v>
      </c>
      <c r="I1245">
        <v>1089</v>
      </c>
      <c r="J1245">
        <v>1089</v>
      </c>
      <c r="K1245">
        <v>1042</v>
      </c>
      <c r="L1245">
        <v>1068</v>
      </c>
      <c r="M1245">
        <v>95.7</v>
      </c>
      <c r="N1245">
        <v>98.1</v>
      </c>
      <c r="O1245">
        <v>2117.4</v>
      </c>
    </row>
    <row r="1246" spans="1:15">
      <c r="A1246">
        <v>1902</v>
      </c>
      <c r="B1246" t="s">
        <v>3225</v>
      </c>
      <c r="C1246" t="s">
        <v>3227</v>
      </c>
      <c r="D1246" t="s">
        <v>10239</v>
      </c>
      <c r="E1246" t="s">
        <v>10240</v>
      </c>
      <c r="F1246" t="s">
        <v>10241</v>
      </c>
      <c r="G1246" t="s">
        <v>5904</v>
      </c>
      <c r="H1246">
        <v>495</v>
      </c>
      <c r="I1246">
        <v>495</v>
      </c>
      <c r="J1246">
        <v>495</v>
      </c>
      <c r="K1246">
        <v>455</v>
      </c>
      <c r="L1246">
        <v>468</v>
      </c>
      <c r="M1246">
        <v>91.9</v>
      </c>
      <c r="N1246">
        <v>94.5</v>
      </c>
      <c r="O1246">
        <v>894.4</v>
      </c>
    </row>
    <row r="1247" spans="1:15">
      <c r="A1247">
        <v>1901</v>
      </c>
      <c r="B1247" t="s">
        <v>3228</v>
      </c>
      <c r="C1247" t="s">
        <v>3229</v>
      </c>
      <c r="D1247" t="s">
        <v>10239</v>
      </c>
      <c r="E1247" t="s">
        <v>10240</v>
      </c>
      <c r="F1247" t="s">
        <v>10242</v>
      </c>
      <c r="G1247" t="s">
        <v>5904</v>
      </c>
      <c r="H1247">
        <v>494</v>
      </c>
      <c r="I1247">
        <v>495</v>
      </c>
      <c r="J1247">
        <v>495</v>
      </c>
      <c r="K1247">
        <v>457</v>
      </c>
      <c r="L1247">
        <v>470</v>
      </c>
      <c r="M1247">
        <v>92.5</v>
      </c>
      <c r="N1247">
        <v>95.1</v>
      </c>
      <c r="O1247">
        <v>895.2</v>
      </c>
    </row>
    <row r="1248" spans="1:15">
      <c r="A1248">
        <v>1900</v>
      </c>
      <c r="B1248" t="s">
        <v>3230</v>
      </c>
      <c r="C1248" t="s">
        <v>3231</v>
      </c>
      <c r="D1248" t="s">
        <v>10243</v>
      </c>
      <c r="E1248" t="s">
        <v>10244</v>
      </c>
      <c r="F1248" t="s">
        <v>10245</v>
      </c>
      <c r="G1248" t="s">
        <v>5904</v>
      </c>
      <c r="H1248">
        <v>181</v>
      </c>
      <c r="I1248">
        <v>209</v>
      </c>
      <c r="J1248">
        <v>159</v>
      </c>
      <c r="K1248">
        <v>157</v>
      </c>
      <c r="L1248">
        <v>158</v>
      </c>
      <c r="M1248">
        <v>86.7</v>
      </c>
      <c r="N1248">
        <v>87.3</v>
      </c>
      <c r="O1248">
        <v>320.89999999999998</v>
      </c>
    </row>
    <row r="1249" spans="1:15">
      <c r="A1249">
        <v>2259</v>
      </c>
      <c r="B1249" t="s">
        <v>3232</v>
      </c>
      <c r="C1249" t="s">
        <v>3233</v>
      </c>
      <c r="D1249" t="s">
        <v>10246</v>
      </c>
      <c r="E1249" t="s">
        <v>10247</v>
      </c>
      <c r="F1249" t="s">
        <v>10248</v>
      </c>
      <c r="G1249" t="s">
        <v>5904</v>
      </c>
      <c r="H1249">
        <v>261</v>
      </c>
      <c r="I1249">
        <v>261</v>
      </c>
      <c r="J1249">
        <v>261</v>
      </c>
      <c r="K1249">
        <v>221</v>
      </c>
      <c r="L1249">
        <v>240</v>
      </c>
      <c r="M1249">
        <v>84.7</v>
      </c>
      <c r="N1249">
        <v>92</v>
      </c>
      <c r="O1249">
        <v>473</v>
      </c>
    </row>
    <row r="1250" spans="1:15">
      <c r="A1250">
        <v>1899</v>
      </c>
      <c r="B1250" t="s">
        <v>3234</v>
      </c>
      <c r="C1250" t="s">
        <v>3235</v>
      </c>
      <c r="D1250" t="s">
        <v>10249</v>
      </c>
      <c r="E1250" t="s">
        <v>10250</v>
      </c>
      <c r="F1250" t="s">
        <v>10251</v>
      </c>
      <c r="G1250" t="s">
        <v>5904</v>
      </c>
      <c r="H1250">
        <v>1369</v>
      </c>
      <c r="I1250">
        <v>1447</v>
      </c>
      <c r="J1250">
        <v>1447</v>
      </c>
      <c r="K1250">
        <v>1145</v>
      </c>
      <c r="L1250">
        <v>1225</v>
      </c>
      <c r="M1250">
        <v>83.6</v>
      </c>
      <c r="N1250">
        <v>89.5</v>
      </c>
      <c r="O1250">
        <v>2249.1999999999998</v>
      </c>
    </row>
    <row r="1251" spans="1:15">
      <c r="A1251">
        <v>2223</v>
      </c>
      <c r="B1251" t="s">
        <v>10252</v>
      </c>
      <c r="C1251" t="s">
        <v>5748</v>
      </c>
      <c r="D1251" t="s">
        <v>10253</v>
      </c>
      <c r="E1251" t="s">
        <v>10254</v>
      </c>
      <c r="F1251" t="s">
        <v>10255</v>
      </c>
      <c r="G1251" t="s">
        <v>5904</v>
      </c>
      <c r="H1251">
        <v>344</v>
      </c>
      <c r="I1251">
        <v>451</v>
      </c>
      <c r="J1251">
        <v>280</v>
      </c>
      <c r="K1251">
        <v>275</v>
      </c>
      <c r="L1251">
        <v>276</v>
      </c>
      <c r="M1251">
        <v>79.900000000000006</v>
      </c>
      <c r="N1251">
        <v>80.2</v>
      </c>
      <c r="O1251">
        <v>574.29999999999995</v>
      </c>
    </row>
    <row r="1252" spans="1:15">
      <c r="A1252">
        <v>1898</v>
      </c>
      <c r="B1252" t="s">
        <v>3236</v>
      </c>
      <c r="C1252" t="s">
        <v>3237</v>
      </c>
      <c r="D1252" t="s">
        <v>10256</v>
      </c>
      <c r="E1252" t="s">
        <v>10257</v>
      </c>
      <c r="F1252" t="s">
        <v>10258</v>
      </c>
      <c r="G1252" t="s">
        <v>5904</v>
      </c>
      <c r="H1252">
        <v>242</v>
      </c>
      <c r="I1252">
        <v>244</v>
      </c>
      <c r="J1252">
        <v>241</v>
      </c>
      <c r="K1252">
        <v>233</v>
      </c>
      <c r="L1252">
        <v>239</v>
      </c>
      <c r="M1252">
        <v>96.3</v>
      </c>
      <c r="N1252">
        <v>98.8</v>
      </c>
      <c r="O1252">
        <v>486.1</v>
      </c>
    </row>
    <row r="1253" spans="1:15">
      <c r="A1253">
        <v>1897</v>
      </c>
      <c r="B1253" t="s">
        <v>10259</v>
      </c>
      <c r="C1253" t="s">
        <v>3240</v>
      </c>
      <c r="D1253" t="s">
        <v>10260</v>
      </c>
      <c r="E1253" t="s">
        <v>10261</v>
      </c>
      <c r="F1253" t="s">
        <v>10262</v>
      </c>
      <c r="G1253" t="s">
        <v>5904</v>
      </c>
      <c r="H1253">
        <v>1201</v>
      </c>
      <c r="I1253">
        <v>1205</v>
      </c>
      <c r="J1253">
        <v>1205</v>
      </c>
      <c r="K1253">
        <v>1078</v>
      </c>
      <c r="L1253">
        <v>1126</v>
      </c>
      <c r="M1253">
        <v>89.8</v>
      </c>
      <c r="N1253">
        <v>93.8</v>
      </c>
      <c r="O1253">
        <v>2259.1999999999998</v>
      </c>
    </row>
    <row r="1254" spans="1:15">
      <c r="A1254">
        <v>1896</v>
      </c>
      <c r="B1254" t="s">
        <v>10263</v>
      </c>
      <c r="C1254" t="s">
        <v>3243</v>
      </c>
      <c r="D1254" t="s">
        <v>10264</v>
      </c>
      <c r="E1254" t="s">
        <v>10265</v>
      </c>
      <c r="F1254" t="s">
        <v>10266</v>
      </c>
      <c r="G1254" t="s">
        <v>5904</v>
      </c>
      <c r="H1254">
        <v>604</v>
      </c>
      <c r="I1254">
        <v>599</v>
      </c>
      <c r="J1254">
        <v>597</v>
      </c>
      <c r="K1254">
        <v>441</v>
      </c>
      <c r="L1254">
        <v>518</v>
      </c>
      <c r="M1254">
        <v>73</v>
      </c>
      <c r="N1254">
        <v>85.8</v>
      </c>
      <c r="O1254">
        <v>937.2</v>
      </c>
    </row>
    <row r="1255" spans="1:15">
      <c r="A1255">
        <v>2222</v>
      </c>
      <c r="B1255" t="s">
        <v>3244</v>
      </c>
      <c r="C1255" t="s">
        <v>3246</v>
      </c>
      <c r="D1255" t="s">
        <v>10267</v>
      </c>
      <c r="E1255" t="s">
        <v>10268</v>
      </c>
      <c r="F1255" t="s">
        <v>10269</v>
      </c>
      <c r="G1255" t="s">
        <v>5904</v>
      </c>
      <c r="H1255">
        <v>352</v>
      </c>
      <c r="I1255">
        <v>462</v>
      </c>
      <c r="J1255">
        <v>257</v>
      </c>
      <c r="K1255">
        <v>253</v>
      </c>
      <c r="L1255">
        <v>254</v>
      </c>
      <c r="M1255">
        <v>71.900000000000006</v>
      </c>
      <c r="N1255">
        <v>72.2</v>
      </c>
      <c r="O1255">
        <v>521.20000000000005</v>
      </c>
    </row>
    <row r="1256" spans="1:15">
      <c r="A1256">
        <v>1895</v>
      </c>
      <c r="B1256" t="s">
        <v>3247</v>
      </c>
      <c r="C1256" t="s">
        <v>3248</v>
      </c>
      <c r="D1256" t="s">
        <v>10270</v>
      </c>
      <c r="E1256" t="s">
        <v>10271</v>
      </c>
      <c r="F1256" t="s">
        <v>10272</v>
      </c>
      <c r="G1256" t="s">
        <v>5904</v>
      </c>
      <c r="H1256">
        <v>323</v>
      </c>
      <c r="I1256">
        <v>323</v>
      </c>
      <c r="J1256">
        <v>323</v>
      </c>
      <c r="K1256">
        <v>297</v>
      </c>
      <c r="L1256">
        <v>309</v>
      </c>
      <c r="M1256">
        <v>92</v>
      </c>
      <c r="N1256">
        <v>95.7</v>
      </c>
      <c r="O1256">
        <v>608.20000000000005</v>
      </c>
    </row>
    <row r="1257" spans="1:15">
      <c r="A1257">
        <v>1894</v>
      </c>
      <c r="B1257" t="s">
        <v>3249</v>
      </c>
      <c r="C1257" t="s">
        <v>3250</v>
      </c>
      <c r="D1257" t="s">
        <v>10273</v>
      </c>
      <c r="E1257" t="s">
        <v>10274</v>
      </c>
      <c r="F1257" t="s">
        <v>10275</v>
      </c>
      <c r="G1257" t="s">
        <v>5904</v>
      </c>
      <c r="H1257">
        <v>314</v>
      </c>
      <c r="I1257">
        <v>314</v>
      </c>
      <c r="J1257">
        <v>314</v>
      </c>
      <c r="K1257">
        <v>302</v>
      </c>
      <c r="L1257">
        <v>303</v>
      </c>
      <c r="M1257">
        <v>96.2</v>
      </c>
      <c r="N1257">
        <v>96.5</v>
      </c>
      <c r="O1257">
        <v>626.70000000000005</v>
      </c>
    </row>
    <row r="1258" spans="1:15">
      <c r="A1258">
        <v>1893</v>
      </c>
      <c r="B1258" t="s">
        <v>10276</v>
      </c>
      <c r="C1258" t="s">
        <v>10277</v>
      </c>
      <c r="D1258" t="s">
        <v>10278</v>
      </c>
      <c r="E1258" t="s">
        <v>10279</v>
      </c>
      <c r="F1258" t="s">
        <v>10280</v>
      </c>
      <c r="G1258" t="s">
        <v>5904</v>
      </c>
      <c r="H1258">
        <v>1468</v>
      </c>
      <c r="I1258">
        <v>1465</v>
      </c>
      <c r="J1258">
        <v>1468</v>
      </c>
      <c r="K1258">
        <v>1287</v>
      </c>
      <c r="L1258">
        <v>1397</v>
      </c>
      <c r="M1258">
        <v>87.7</v>
      </c>
      <c r="N1258">
        <v>95.2</v>
      </c>
      <c r="O1258">
        <v>2727.6</v>
      </c>
    </row>
    <row r="1259" spans="1:15">
      <c r="A1259">
        <v>1892</v>
      </c>
      <c r="B1259" t="s">
        <v>3254</v>
      </c>
      <c r="C1259" t="s">
        <v>3255</v>
      </c>
      <c r="D1259" t="s">
        <v>10281</v>
      </c>
      <c r="E1259" t="s">
        <v>10282</v>
      </c>
      <c r="F1259" t="s">
        <v>10283</v>
      </c>
      <c r="G1259" t="s">
        <v>5904</v>
      </c>
      <c r="H1259">
        <v>1206</v>
      </c>
      <c r="I1259">
        <v>1207</v>
      </c>
      <c r="J1259">
        <v>1199</v>
      </c>
      <c r="K1259">
        <v>947</v>
      </c>
      <c r="L1259">
        <v>1042</v>
      </c>
      <c r="M1259">
        <v>78.5</v>
      </c>
      <c r="N1259">
        <v>86.4</v>
      </c>
      <c r="O1259">
        <v>1928.7</v>
      </c>
    </row>
    <row r="1260" spans="1:15">
      <c r="A1260">
        <v>1891</v>
      </c>
      <c r="B1260" t="s">
        <v>10284</v>
      </c>
      <c r="C1260" t="s">
        <v>3258</v>
      </c>
      <c r="D1260" t="s">
        <v>10285</v>
      </c>
      <c r="E1260" t="s">
        <v>10286</v>
      </c>
      <c r="F1260" t="s">
        <v>10287</v>
      </c>
      <c r="G1260" t="s">
        <v>5904</v>
      </c>
      <c r="H1260">
        <v>970</v>
      </c>
      <c r="I1260">
        <v>962</v>
      </c>
      <c r="J1260">
        <v>970</v>
      </c>
      <c r="K1260">
        <v>905</v>
      </c>
      <c r="L1260">
        <v>929</v>
      </c>
      <c r="M1260">
        <v>93.3</v>
      </c>
      <c r="N1260">
        <v>95.8</v>
      </c>
      <c r="O1260">
        <v>1726.5</v>
      </c>
    </row>
    <row r="1261" spans="1:15">
      <c r="A1261">
        <v>1890</v>
      </c>
      <c r="B1261" t="s">
        <v>3259</v>
      </c>
      <c r="C1261" t="s">
        <v>3260</v>
      </c>
      <c r="D1261" t="s">
        <v>10288</v>
      </c>
      <c r="E1261" t="s">
        <v>10289</v>
      </c>
      <c r="F1261" t="s">
        <v>10290</v>
      </c>
      <c r="G1261" t="s">
        <v>5904</v>
      </c>
      <c r="H1261">
        <v>233</v>
      </c>
      <c r="I1261">
        <v>235</v>
      </c>
      <c r="J1261">
        <v>235</v>
      </c>
      <c r="K1261">
        <v>202</v>
      </c>
      <c r="L1261">
        <v>213</v>
      </c>
      <c r="M1261">
        <v>86.7</v>
      </c>
      <c r="N1261">
        <v>91.4</v>
      </c>
      <c r="O1261">
        <v>423.7</v>
      </c>
    </row>
    <row r="1262" spans="1:15">
      <c r="A1262">
        <v>1889</v>
      </c>
      <c r="B1262" t="s">
        <v>3261</v>
      </c>
      <c r="C1262" t="s">
        <v>3262</v>
      </c>
      <c r="D1262" t="s">
        <v>10291</v>
      </c>
      <c r="E1262" t="s">
        <v>10292</v>
      </c>
      <c r="F1262" t="s">
        <v>10293</v>
      </c>
      <c r="G1262" t="s">
        <v>5904</v>
      </c>
      <c r="H1262">
        <v>1217</v>
      </c>
      <c r="I1262">
        <v>1228</v>
      </c>
      <c r="J1262">
        <v>1233</v>
      </c>
      <c r="K1262">
        <v>971</v>
      </c>
      <c r="L1262">
        <v>1085</v>
      </c>
      <c r="M1262">
        <v>79.8</v>
      </c>
      <c r="N1262">
        <v>89.2</v>
      </c>
      <c r="O1262">
        <v>2023</v>
      </c>
    </row>
    <row r="1263" spans="1:15">
      <c r="A1263">
        <v>1888</v>
      </c>
      <c r="B1263" t="s">
        <v>3263</v>
      </c>
      <c r="C1263" t="s">
        <v>3264</v>
      </c>
      <c r="D1263" t="s">
        <v>10294</v>
      </c>
      <c r="E1263" t="s">
        <v>10295</v>
      </c>
      <c r="F1263" t="s">
        <v>10296</v>
      </c>
      <c r="G1263" t="s">
        <v>5904</v>
      </c>
      <c r="H1263">
        <v>375</v>
      </c>
      <c r="I1263">
        <v>375</v>
      </c>
      <c r="J1263">
        <v>375</v>
      </c>
      <c r="K1263">
        <v>320</v>
      </c>
      <c r="L1263">
        <v>351</v>
      </c>
      <c r="M1263">
        <v>85.3</v>
      </c>
      <c r="N1263">
        <v>93.6</v>
      </c>
      <c r="O1263">
        <v>668.3</v>
      </c>
    </row>
    <row r="1264" spans="1:15">
      <c r="A1264">
        <v>1887</v>
      </c>
      <c r="B1264" t="s">
        <v>10297</v>
      </c>
      <c r="C1264" t="s">
        <v>10298</v>
      </c>
      <c r="D1264" t="s">
        <v>10299</v>
      </c>
      <c r="E1264" t="s">
        <v>10300</v>
      </c>
      <c r="F1264" t="s">
        <v>10301</v>
      </c>
      <c r="G1264" t="s">
        <v>5904</v>
      </c>
      <c r="H1264">
        <v>542</v>
      </c>
      <c r="I1264">
        <v>542</v>
      </c>
      <c r="J1264">
        <v>542</v>
      </c>
      <c r="K1264">
        <v>499</v>
      </c>
      <c r="L1264">
        <v>519</v>
      </c>
      <c r="M1264">
        <v>92.1</v>
      </c>
      <c r="N1264">
        <v>95.8</v>
      </c>
      <c r="O1264">
        <v>1045</v>
      </c>
    </row>
    <row r="1265" spans="1:15">
      <c r="A1265">
        <v>1886</v>
      </c>
      <c r="B1265" t="s">
        <v>10302</v>
      </c>
      <c r="C1265" t="s">
        <v>3270</v>
      </c>
      <c r="D1265" t="s">
        <v>10303</v>
      </c>
      <c r="E1265" t="s">
        <v>10304</v>
      </c>
      <c r="F1265" t="s">
        <v>10305</v>
      </c>
      <c r="G1265" t="s">
        <v>5904</v>
      </c>
      <c r="H1265">
        <v>1288</v>
      </c>
      <c r="I1265">
        <v>1294</v>
      </c>
      <c r="J1265">
        <v>1298</v>
      </c>
      <c r="K1265">
        <v>1241</v>
      </c>
      <c r="L1265">
        <v>1264</v>
      </c>
      <c r="M1265">
        <v>96.4</v>
      </c>
      <c r="N1265">
        <v>98.1</v>
      </c>
      <c r="O1265">
        <v>2574.3000000000002</v>
      </c>
    </row>
    <row r="1266" spans="1:15">
      <c r="A1266">
        <v>1885</v>
      </c>
      <c r="B1266" t="s">
        <v>3271</v>
      </c>
      <c r="C1266" t="s">
        <v>10306</v>
      </c>
      <c r="D1266" t="s">
        <v>10307</v>
      </c>
      <c r="E1266" t="s">
        <v>10308</v>
      </c>
      <c r="F1266" t="s">
        <v>10309</v>
      </c>
      <c r="G1266" t="s">
        <v>5904</v>
      </c>
      <c r="H1266">
        <v>3358</v>
      </c>
      <c r="I1266">
        <v>4244</v>
      </c>
      <c r="J1266">
        <v>3290</v>
      </c>
      <c r="K1266">
        <v>1761</v>
      </c>
      <c r="L1266">
        <v>2076</v>
      </c>
      <c r="M1266">
        <v>52.4</v>
      </c>
      <c r="N1266">
        <v>61.8</v>
      </c>
      <c r="O1266">
        <v>3014.9</v>
      </c>
    </row>
    <row r="1267" spans="1:15">
      <c r="A1267">
        <v>1884</v>
      </c>
      <c r="B1267" t="s">
        <v>3274</v>
      </c>
      <c r="C1267" t="s">
        <v>3275</v>
      </c>
      <c r="D1267" t="s">
        <v>10307</v>
      </c>
      <c r="E1267" t="s">
        <v>10308</v>
      </c>
      <c r="F1267" t="s">
        <v>10310</v>
      </c>
      <c r="G1267" t="s">
        <v>5904</v>
      </c>
      <c r="H1267">
        <v>3064</v>
      </c>
      <c r="I1267">
        <v>4244</v>
      </c>
      <c r="J1267">
        <v>3024</v>
      </c>
      <c r="K1267">
        <v>1707</v>
      </c>
      <c r="L1267">
        <v>2001</v>
      </c>
      <c r="M1267">
        <v>55.7</v>
      </c>
      <c r="N1267">
        <v>65.3</v>
      </c>
      <c r="O1267">
        <v>3057.7</v>
      </c>
    </row>
    <row r="1268" spans="1:15">
      <c r="A1268">
        <v>1883</v>
      </c>
      <c r="B1268" t="s">
        <v>10311</v>
      </c>
      <c r="C1268" t="s">
        <v>3278</v>
      </c>
      <c r="D1268" t="s">
        <v>10312</v>
      </c>
      <c r="E1268" t="s">
        <v>10313</v>
      </c>
      <c r="F1268" t="s">
        <v>10314</v>
      </c>
      <c r="G1268" t="s">
        <v>5904</v>
      </c>
      <c r="H1268">
        <v>117</v>
      </c>
      <c r="I1268">
        <v>115</v>
      </c>
      <c r="J1268">
        <v>109</v>
      </c>
      <c r="K1268">
        <v>82</v>
      </c>
      <c r="L1268">
        <v>97</v>
      </c>
      <c r="M1268">
        <v>70.099999999999994</v>
      </c>
      <c r="N1268">
        <v>82.9</v>
      </c>
      <c r="O1268">
        <v>168.7</v>
      </c>
    </row>
    <row r="1269" spans="1:15">
      <c r="A1269">
        <v>2221</v>
      </c>
      <c r="B1269" t="s">
        <v>3279</v>
      </c>
      <c r="C1269" t="s">
        <v>3280</v>
      </c>
      <c r="D1269" t="s">
        <v>10315</v>
      </c>
      <c r="E1269" t="s">
        <v>10316</v>
      </c>
      <c r="F1269" t="s">
        <v>10317</v>
      </c>
      <c r="G1269" t="s">
        <v>5904</v>
      </c>
      <c r="H1269">
        <v>325</v>
      </c>
      <c r="I1269">
        <v>325</v>
      </c>
      <c r="J1269">
        <v>325</v>
      </c>
      <c r="K1269">
        <v>300</v>
      </c>
      <c r="L1269">
        <v>312</v>
      </c>
      <c r="M1269">
        <v>92.3</v>
      </c>
      <c r="N1269">
        <v>96</v>
      </c>
      <c r="O1269">
        <v>560.5</v>
      </c>
    </row>
    <row r="1270" spans="1:15">
      <c r="A1270">
        <v>2220</v>
      </c>
      <c r="B1270" t="s">
        <v>10318</v>
      </c>
      <c r="C1270" t="s">
        <v>10319</v>
      </c>
      <c r="D1270" t="s">
        <v>10320</v>
      </c>
      <c r="E1270" t="s">
        <v>10321</v>
      </c>
      <c r="F1270" t="s">
        <v>10322</v>
      </c>
      <c r="G1270" t="s">
        <v>5904</v>
      </c>
      <c r="H1270">
        <v>221</v>
      </c>
      <c r="I1270">
        <v>221</v>
      </c>
      <c r="J1270">
        <v>221</v>
      </c>
      <c r="K1270">
        <v>217</v>
      </c>
      <c r="L1270">
        <v>221</v>
      </c>
      <c r="M1270">
        <v>98.2</v>
      </c>
      <c r="N1270">
        <v>100</v>
      </c>
      <c r="O1270">
        <v>458</v>
      </c>
    </row>
    <row r="1271" spans="1:15">
      <c r="A1271">
        <v>1882</v>
      </c>
      <c r="B1271" t="s">
        <v>10323</v>
      </c>
      <c r="C1271" t="s">
        <v>3287</v>
      </c>
      <c r="D1271" t="s">
        <v>10324</v>
      </c>
      <c r="E1271" t="s">
        <v>10325</v>
      </c>
      <c r="F1271" t="s">
        <v>10326</v>
      </c>
      <c r="G1271" t="s">
        <v>5904</v>
      </c>
      <c r="H1271">
        <v>623</v>
      </c>
      <c r="I1271">
        <v>623</v>
      </c>
      <c r="J1271">
        <v>623</v>
      </c>
      <c r="K1271">
        <v>623</v>
      </c>
      <c r="L1271">
        <v>623</v>
      </c>
      <c r="M1271">
        <v>100</v>
      </c>
      <c r="N1271">
        <v>100</v>
      </c>
      <c r="O1271">
        <v>1283.5</v>
      </c>
    </row>
    <row r="1272" spans="1:15">
      <c r="A1272">
        <v>1881</v>
      </c>
      <c r="B1272" t="s">
        <v>10327</v>
      </c>
      <c r="C1272" t="s">
        <v>10328</v>
      </c>
      <c r="D1272" t="s">
        <v>10329</v>
      </c>
      <c r="E1272" t="s">
        <v>10330</v>
      </c>
      <c r="F1272" t="s">
        <v>10331</v>
      </c>
      <c r="G1272" t="s">
        <v>5904</v>
      </c>
      <c r="H1272">
        <v>1102</v>
      </c>
      <c r="I1272">
        <v>1005</v>
      </c>
      <c r="J1272">
        <v>682</v>
      </c>
      <c r="K1272">
        <v>614</v>
      </c>
      <c r="L1272">
        <v>641</v>
      </c>
      <c r="M1272">
        <v>55.7</v>
      </c>
      <c r="N1272">
        <v>58.2</v>
      </c>
      <c r="O1272">
        <v>1266.5</v>
      </c>
    </row>
    <row r="1273" spans="1:15">
      <c r="A1273">
        <v>1880</v>
      </c>
      <c r="B1273" t="s">
        <v>10332</v>
      </c>
      <c r="C1273" t="s">
        <v>3293</v>
      </c>
      <c r="D1273" t="s">
        <v>10333</v>
      </c>
      <c r="E1273" t="s">
        <v>10334</v>
      </c>
      <c r="F1273" t="s">
        <v>10335</v>
      </c>
      <c r="G1273" t="s">
        <v>5904</v>
      </c>
      <c r="H1273">
        <v>639</v>
      </c>
      <c r="I1273">
        <v>639</v>
      </c>
      <c r="J1273">
        <v>639</v>
      </c>
      <c r="K1273">
        <v>584</v>
      </c>
      <c r="L1273">
        <v>608</v>
      </c>
      <c r="M1273">
        <v>91.4</v>
      </c>
      <c r="N1273">
        <v>95.1</v>
      </c>
      <c r="O1273">
        <v>1070.0999999999999</v>
      </c>
    </row>
    <row r="1274" spans="1:15">
      <c r="A1274">
        <v>2219</v>
      </c>
      <c r="B1274" t="s">
        <v>3294</v>
      </c>
      <c r="C1274" t="s">
        <v>3295</v>
      </c>
      <c r="D1274" t="s">
        <v>10336</v>
      </c>
      <c r="E1274" t="s">
        <v>10337</v>
      </c>
      <c r="F1274" t="s">
        <v>10338</v>
      </c>
      <c r="G1274" t="s">
        <v>5904</v>
      </c>
      <c r="H1274">
        <v>982</v>
      </c>
      <c r="I1274">
        <v>1023</v>
      </c>
      <c r="J1274">
        <v>1023</v>
      </c>
      <c r="K1274">
        <v>968</v>
      </c>
      <c r="L1274">
        <v>978</v>
      </c>
      <c r="M1274">
        <v>98.6</v>
      </c>
      <c r="N1274">
        <v>99.6</v>
      </c>
      <c r="O1274">
        <v>1993.8</v>
      </c>
    </row>
    <row r="1275" spans="1:15">
      <c r="A1275">
        <v>1879</v>
      </c>
      <c r="B1275" t="s">
        <v>3296</v>
      </c>
      <c r="C1275" t="s">
        <v>3297</v>
      </c>
      <c r="D1275" t="s">
        <v>10339</v>
      </c>
      <c r="E1275" t="s">
        <v>10340</v>
      </c>
      <c r="F1275" t="s">
        <v>10341</v>
      </c>
      <c r="G1275" t="s">
        <v>5904</v>
      </c>
      <c r="H1275">
        <v>222</v>
      </c>
      <c r="I1275">
        <v>222</v>
      </c>
      <c r="J1275">
        <v>222</v>
      </c>
      <c r="K1275">
        <v>198</v>
      </c>
      <c r="L1275">
        <v>203</v>
      </c>
      <c r="M1275">
        <v>89.2</v>
      </c>
      <c r="N1275">
        <v>91.4</v>
      </c>
      <c r="O1275">
        <v>417.2</v>
      </c>
    </row>
    <row r="1276" spans="1:15">
      <c r="A1276">
        <v>1878</v>
      </c>
      <c r="B1276" t="s">
        <v>3298</v>
      </c>
      <c r="C1276" t="s">
        <v>10342</v>
      </c>
      <c r="D1276" t="s">
        <v>10343</v>
      </c>
      <c r="E1276" t="s">
        <v>10344</v>
      </c>
      <c r="F1276" t="s">
        <v>10345</v>
      </c>
      <c r="G1276" t="s">
        <v>5904</v>
      </c>
      <c r="H1276">
        <v>222</v>
      </c>
      <c r="I1276">
        <v>222</v>
      </c>
      <c r="J1276">
        <v>222</v>
      </c>
      <c r="K1276">
        <v>208</v>
      </c>
      <c r="L1276">
        <v>217</v>
      </c>
      <c r="M1276">
        <v>93.7</v>
      </c>
      <c r="N1276">
        <v>97.7</v>
      </c>
      <c r="O1276">
        <v>428.3</v>
      </c>
    </row>
    <row r="1277" spans="1:15">
      <c r="A1277">
        <v>1877</v>
      </c>
      <c r="B1277" t="s">
        <v>3300</v>
      </c>
      <c r="C1277" t="s">
        <v>10346</v>
      </c>
      <c r="D1277" t="s">
        <v>10347</v>
      </c>
      <c r="E1277" t="s">
        <v>10348</v>
      </c>
      <c r="F1277" t="s">
        <v>10349</v>
      </c>
      <c r="G1277" t="s">
        <v>5904</v>
      </c>
      <c r="H1277">
        <v>659</v>
      </c>
      <c r="I1277">
        <v>653</v>
      </c>
      <c r="J1277">
        <v>659</v>
      </c>
      <c r="K1277">
        <v>609</v>
      </c>
      <c r="L1277">
        <v>630</v>
      </c>
      <c r="M1277">
        <v>92.4</v>
      </c>
      <c r="N1277">
        <v>95.6</v>
      </c>
      <c r="O1277">
        <v>1211.8</v>
      </c>
    </row>
    <row r="1278" spans="1:15">
      <c r="A1278">
        <v>1876</v>
      </c>
      <c r="B1278" t="s">
        <v>3302</v>
      </c>
      <c r="C1278" t="s">
        <v>10350</v>
      </c>
      <c r="D1278" t="s">
        <v>10351</v>
      </c>
      <c r="E1278" t="s">
        <v>10352</v>
      </c>
      <c r="F1278" t="s">
        <v>10353</v>
      </c>
      <c r="G1278" t="s">
        <v>5904</v>
      </c>
      <c r="H1278">
        <v>586</v>
      </c>
      <c r="I1278">
        <v>586</v>
      </c>
      <c r="J1278">
        <v>586</v>
      </c>
      <c r="K1278">
        <v>564</v>
      </c>
      <c r="L1278">
        <v>579</v>
      </c>
      <c r="M1278">
        <v>96.2</v>
      </c>
      <c r="N1278">
        <v>98.8</v>
      </c>
      <c r="O1278">
        <v>1162.5</v>
      </c>
    </row>
    <row r="1279" spans="1:15">
      <c r="A1279">
        <v>1875</v>
      </c>
      <c r="B1279" t="s">
        <v>3304</v>
      </c>
      <c r="C1279" t="s">
        <v>3305</v>
      </c>
      <c r="D1279" t="s">
        <v>10354</v>
      </c>
      <c r="E1279" t="s">
        <v>10355</v>
      </c>
      <c r="F1279" t="s">
        <v>10356</v>
      </c>
      <c r="G1279" t="s">
        <v>5904</v>
      </c>
      <c r="H1279">
        <v>921</v>
      </c>
      <c r="I1279">
        <v>920</v>
      </c>
      <c r="J1279">
        <v>921</v>
      </c>
      <c r="K1279">
        <v>896</v>
      </c>
      <c r="L1279">
        <v>903</v>
      </c>
      <c r="M1279">
        <v>97.3</v>
      </c>
      <c r="N1279">
        <v>98</v>
      </c>
      <c r="O1279">
        <v>1788.5</v>
      </c>
    </row>
    <row r="1280" spans="1:15">
      <c r="A1280">
        <v>1874</v>
      </c>
      <c r="B1280" t="s">
        <v>10357</v>
      </c>
      <c r="C1280" t="s">
        <v>3308</v>
      </c>
      <c r="D1280" t="s">
        <v>10358</v>
      </c>
      <c r="E1280" t="s">
        <v>10359</v>
      </c>
      <c r="F1280" t="s">
        <v>10360</v>
      </c>
      <c r="G1280" t="s">
        <v>5904</v>
      </c>
      <c r="H1280">
        <v>2502</v>
      </c>
      <c r="I1280">
        <v>2491</v>
      </c>
      <c r="J1280">
        <v>2505</v>
      </c>
      <c r="K1280">
        <v>2129</v>
      </c>
      <c r="L1280">
        <v>2276</v>
      </c>
      <c r="M1280">
        <v>85.1</v>
      </c>
      <c r="N1280">
        <v>91</v>
      </c>
      <c r="O1280">
        <v>4371.6000000000004</v>
      </c>
    </row>
    <row r="1281" spans="1:15">
      <c r="A1281">
        <v>1873</v>
      </c>
      <c r="B1281" t="s">
        <v>10361</v>
      </c>
      <c r="C1281" t="s">
        <v>10362</v>
      </c>
      <c r="D1281" t="s">
        <v>10363</v>
      </c>
      <c r="E1281" t="s">
        <v>10364</v>
      </c>
      <c r="F1281" t="s">
        <v>10365</v>
      </c>
      <c r="G1281" t="s">
        <v>5904</v>
      </c>
      <c r="H1281">
        <v>367</v>
      </c>
      <c r="I1281">
        <v>360</v>
      </c>
      <c r="J1281">
        <v>329</v>
      </c>
      <c r="K1281">
        <v>322</v>
      </c>
      <c r="L1281">
        <v>323</v>
      </c>
      <c r="M1281">
        <v>87.7</v>
      </c>
      <c r="N1281">
        <v>88</v>
      </c>
      <c r="O1281">
        <v>662.1</v>
      </c>
    </row>
    <row r="1282" spans="1:15">
      <c r="A1282">
        <v>1872</v>
      </c>
      <c r="B1282" t="s">
        <v>10366</v>
      </c>
      <c r="C1282" t="s">
        <v>3314</v>
      </c>
      <c r="D1282" t="s">
        <v>10367</v>
      </c>
      <c r="E1282" t="s">
        <v>10368</v>
      </c>
      <c r="F1282" t="s">
        <v>10369</v>
      </c>
      <c r="G1282" t="s">
        <v>5904</v>
      </c>
      <c r="H1282">
        <v>843</v>
      </c>
      <c r="I1282">
        <v>840</v>
      </c>
      <c r="J1282">
        <v>837</v>
      </c>
      <c r="K1282">
        <v>694</v>
      </c>
      <c r="L1282">
        <v>761</v>
      </c>
      <c r="M1282">
        <v>82.3</v>
      </c>
      <c r="N1282">
        <v>90.3</v>
      </c>
      <c r="O1282">
        <v>1443.3</v>
      </c>
    </row>
    <row r="1283" spans="1:15">
      <c r="A1283">
        <v>1871</v>
      </c>
      <c r="B1283" t="s">
        <v>3315</v>
      </c>
      <c r="C1283" t="s">
        <v>3317</v>
      </c>
      <c r="D1283" t="s">
        <v>7919</v>
      </c>
      <c r="E1283" t="s">
        <v>7920</v>
      </c>
      <c r="F1283" t="s">
        <v>10370</v>
      </c>
      <c r="G1283" t="s">
        <v>5904</v>
      </c>
      <c r="H1283">
        <v>379</v>
      </c>
      <c r="I1283">
        <v>365</v>
      </c>
      <c r="J1283">
        <v>365</v>
      </c>
      <c r="K1283">
        <v>267</v>
      </c>
      <c r="L1283">
        <v>298</v>
      </c>
      <c r="M1283">
        <v>70.400000000000006</v>
      </c>
      <c r="N1283">
        <v>78.599999999999994</v>
      </c>
      <c r="O1283">
        <v>550.4</v>
      </c>
    </row>
    <row r="1284" spans="1:15">
      <c r="A1284">
        <v>1870</v>
      </c>
      <c r="B1284" t="s">
        <v>3318</v>
      </c>
      <c r="C1284" t="s">
        <v>3319</v>
      </c>
      <c r="D1284" t="s">
        <v>10371</v>
      </c>
      <c r="E1284" t="s">
        <v>10372</v>
      </c>
      <c r="F1284" t="s">
        <v>10373</v>
      </c>
      <c r="G1284" t="s">
        <v>5904</v>
      </c>
      <c r="H1284">
        <v>433</v>
      </c>
      <c r="I1284">
        <v>432</v>
      </c>
      <c r="J1284">
        <v>434</v>
      </c>
      <c r="K1284">
        <v>379</v>
      </c>
      <c r="L1284">
        <v>392</v>
      </c>
      <c r="M1284">
        <v>87.5</v>
      </c>
      <c r="N1284">
        <v>90.5</v>
      </c>
      <c r="O1284">
        <v>718.4</v>
      </c>
    </row>
    <row r="1285" spans="1:15">
      <c r="A1285">
        <v>1869</v>
      </c>
      <c r="B1285" t="s">
        <v>10374</v>
      </c>
      <c r="C1285" t="s">
        <v>3322</v>
      </c>
      <c r="D1285" t="s">
        <v>10375</v>
      </c>
      <c r="E1285" t="s">
        <v>10376</v>
      </c>
      <c r="F1285" t="s">
        <v>10377</v>
      </c>
      <c r="G1285" t="s">
        <v>5904</v>
      </c>
      <c r="H1285">
        <v>792</v>
      </c>
      <c r="I1285">
        <v>794</v>
      </c>
      <c r="J1285">
        <v>794</v>
      </c>
      <c r="K1285">
        <v>735</v>
      </c>
      <c r="L1285">
        <v>770</v>
      </c>
      <c r="M1285">
        <v>92.8</v>
      </c>
      <c r="N1285">
        <v>97.2</v>
      </c>
      <c r="O1285">
        <v>1478.4</v>
      </c>
    </row>
    <row r="1286" spans="1:15">
      <c r="A1286">
        <v>1868</v>
      </c>
      <c r="B1286" t="s">
        <v>10378</v>
      </c>
      <c r="C1286" t="s">
        <v>5687</v>
      </c>
      <c r="D1286" t="s">
        <v>10379</v>
      </c>
      <c r="E1286" t="s">
        <v>10380</v>
      </c>
      <c r="F1286" t="s">
        <v>10381</v>
      </c>
      <c r="G1286" t="s">
        <v>5904</v>
      </c>
      <c r="H1286">
        <v>724</v>
      </c>
      <c r="I1286">
        <v>724</v>
      </c>
      <c r="J1286">
        <v>724</v>
      </c>
      <c r="K1286">
        <v>722</v>
      </c>
      <c r="L1286">
        <v>723</v>
      </c>
      <c r="M1286">
        <v>99.7</v>
      </c>
      <c r="N1286">
        <v>99.9</v>
      </c>
      <c r="O1286">
        <v>1476.8</v>
      </c>
    </row>
    <row r="1287" spans="1:15">
      <c r="A1287">
        <v>1867</v>
      </c>
      <c r="B1287" t="s">
        <v>3323</v>
      </c>
      <c r="C1287" t="s">
        <v>10382</v>
      </c>
      <c r="D1287" t="s">
        <v>10383</v>
      </c>
      <c r="E1287" t="s">
        <v>10384</v>
      </c>
      <c r="F1287" t="s">
        <v>10385</v>
      </c>
      <c r="G1287" t="s">
        <v>5904</v>
      </c>
      <c r="H1287">
        <v>375</v>
      </c>
      <c r="I1287">
        <v>376</v>
      </c>
      <c r="J1287">
        <v>376</v>
      </c>
      <c r="K1287">
        <v>296</v>
      </c>
      <c r="L1287">
        <v>336</v>
      </c>
      <c r="M1287">
        <v>78.900000000000006</v>
      </c>
      <c r="N1287">
        <v>89.6</v>
      </c>
      <c r="O1287">
        <v>625.20000000000005</v>
      </c>
    </row>
    <row r="1288" spans="1:15">
      <c r="A1288">
        <v>1866</v>
      </c>
      <c r="B1288" t="s">
        <v>3325</v>
      </c>
      <c r="C1288" t="s">
        <v>3326</v>
      </c>
      <c r="D1288" t="s">
        <v>10386</v>
      </c>
      <c r="E1288" t="s">
        <v>10387</v>
      </c>
      <c r="F1288" t="s">
        <v>10388</v>
      </c>
      <c r="G1288" t="s">
        <v>5904</v>
      </c>
      <c r="H1288">
        <v>166</v>
      </c>
      <c r="I1288">
        <v>174</v>
      </c>
      <c r="J1288">
        <v>165</v>
      </c>
      <c r="K1288">
        <v>143</v>
      </c>
      <c r="L1288">
        <v>150</v>
      </c>
      <c r="M1288">
        <v>86.1</v>
      </c>
      <c r="N1288">
        <v>90.4</v>
      </c>
      <c r="O1288">
        <v>280.8</v>
      </c>
    </row>
    <row r="1289" spans="1:15">
      <c r="A1289">
        <v>1865</v>
      </c>
      <c r="B1289" t="s">
        <v>10389</v>
      </c>
      <c r="C1289" t="s">
        <v>3329</v>
      </c>
      <c r="D1289" t="s">
        <v>10390</v>
      </c>
      <c r="E1289" t="s">
        <v>10391</v>
      </c>
      <c r="F1289" t="s">
        <v>10392</v>
      </c>
      <c r="G1289" t="s">
        <v>5904</v>
      </c>
      <c r="H1289">
        <v>637</v>
      </c>
      <c r="I1289">
        <v>637</v>
      </c>
      <c r="J1289">
        <v>637</v>
      </c>
      <c r="K1289">
        <v>618</v>
      </c>
      <c r="L1289">
        <v>625</v>
      </c>
      <c r="M1289">
        <v>97</v>
      </c>
      <c r="N1289">
        <v>98.1</v>
      </c>
      <c r="O1289">
        <v>1297</v>
      </c>
    </row>
    <row r="1290" spans="1:15">
      <c r="A1290">
        <v>1864</v>
      </c>
      <c r="B1290" t="s">
        <v>3330</v>
      </c>
      <c r="C1290" t="s">
        <v>3332</v>
      </c>
      <c r="D1290" t="s">
        <v>10393</v>
      </c>
      <c r="E1290" t="s">
        <v>10394</v>
      </c>
      <c r="F1290" t="s">
        <v>10395</v>
      </c>
      <c r="G1290" t="s">
        <v>5904</v>
      </c>
      <c r="H1290">
        <v>107</v>
      </c>
      <c r="I1290">
        <v>107</v>
      </c>
      <c r="J1290">
        <v>107</v>
      </c>
      <c r="K1290">
        <v>107</v>
      </c>
      <c r="L1290">
        <v>107</v>
      </c>
      <c r="M1290">
        <v>100</v>
      </c>
      <c r="N1290">
        <v>100</v>
      </c>
      <c r="O1290">
        <v>196.8</v>
      </c>
    </row>
    <row r="1291" spans="1:15">
      <c r="A1291">
        <v>1863</v>
      </c>
      <c r="B1291" t="s">
        <v>3333</v>
      </c>
      <c r="C1291" t="s">
        <v>3334</v>
      </c>
      <c r="D1291" t="s">
        <v>10393</v>
      </c>
      <c r="E1291" t="s">
        <v>10394</v>
      </c>
      <c r="F1291" t="s">
        <v>10396</v>
      </c>
      <c r="G1291" t="s">
        <v>5904</v>
      </c>
      <c r="H1291">
        <v>96</v>
      </c>
      <c r="I1291">
        <v>107</v>
      </c>
      <c r="J1291">
        <v>107</v>
      </c>
      <c r="K1291">
        <v>96</v>
      </c>
      <c r="L1291">
        <v>96</v>
      </c>
      <c r="M1291">
        <v>100</v>
      </c>
      <c r="N1291">
        <v>100</v>
      </c>
      <c r="O1291">
        <v>166.4</v>
      </c>
    </row>
    <row r="1292" spans="1:15">
      <c r="A1292">
        <v>1862</v>
      </c>
      <c r="B1292" t="s">
        <v>3335</v>
      </c>
      <c r="C1292" t="s">
        <v>3336</v>
      </c>
      <c r="D1292" t="s">
        <v>10397</v>
      </c>
      <c r="E1292" t="s">
        <v>10398</v>
      </c>
      <c r="F1292" t="s">
        <v>10399</v>
      </c>
      <c r="G1292" t="s">
        <v>5904</v>
      </c>
      <c r="H1292">
        <v>230</v>
      </c>
      <c r="I1292">
        <v>224</v>
      </c>
      <c r="J1292">
        <v>210</v>
      </c>
      <c r="K1292">
        <v>200</v>
      </c>
      <c r="L1292">
        <v>208</v>
      </c>
      <c r="M1292">
        <v>87</v>
      </c>
      <c r="N1292">
        <v>90.4</v>
      </c>
      <c r="O1292">
        <v>401.4</v>
      </c>
    </row>
    <row r="1293" spans="1:15">
      <c r="A1293">
        <v>1861</v>
      </c>
      <c r="B1293" t="s">
        <v>3337</v>
      </c>
      <c r="C1293" t="s">
        <v>10400</v>
      </c>
      <c r="D1293" t="s">
        <v>10401</v>
      </c>
      <c r="E1293" t="s">
        <v>10402</v>
      </c>
      <c r="F1293" t="s">
        <v>10403</v>
      </c>
      <c r="G1293" t="s">
        <v>5904</v>
      </c>
      <c r="H1293">
        <v>152</v>
      </c>
      <c r="I1293">
        <v>152</v>
      </c>
      <c r="J1293">
        <v>152</v>
      </c>
      <c r="K1293">
        <v>152</v>
      </c>
      <c r="L1293">
        <v>152</v>
      </c>
      <c r="M1293">
        <v>100</v>
      </c>
      <c r="N1293">
        <v>100</v>
      </c>
      <c r="O1293">
        <v>307.39999999999998</v>
      </c>
    </row>
    <row r="1294" spans="1:15">
      <c r="A1294">
        <v>1860</v>
      </c>
      <c r="B1294" t="s">
        <v>3339</v>
      </c>
      <c r="C1294" t="s">
        <v>3340</v>
      </c>
      <c r="D1294" t="s">
        <v>10404</v>
      </c>
      <c r="E1294" t="s">
        <v>10405</v>
      </c>
      <c r="F1294" t="s">
        <v>10406</v>
      </c>
      <c r="G1294" t="s">
        <v>5904</v>
      </c>
      <c r="H1294">
        <v>556</v>
      </c>
      <c r="I1294">
        <v>556</v>
      </c>
      <c r="J1294">
        <v>556</v>
      </c>
      <c r="K1294">
        <v>542</v>
      </c>
      <c r="L1294">
        <v>551</v>
      </c>
      <c r="M1294">
        <v>97.5</v>
      </c>
      <c r="N1294">
        <v>99.1</v>
      </c>
      <c r="O1294">
        <v>1112.0999999999999</v>
      </c>
    </row>
    <row r="1295" spans="1:15">
      <c r="A1295">
        <v>1859</v>
      </c>
      <c r="B1295" t="s">
        <v>3341</v>
      </c>
      <c r="C1295" t="s">
        <v>3342</v>
      </c>
      <c r="D1295" t="s">
        <v>10407</v>
      </c>
      <c r="E1295" t="s">
        <v>10408</v>
      </c>
      <c r="F1295" t="s">
        <v>10409</v>
      </c>
      <c r="G1295" t="s">
        <v>5904</v>
      </c>
      <c r="H1295">
        <v>397</v>
      </c>
      <c r="I1295">
        <v>397</v>
      </c>
      <c r="J1295">
        <v>396</v>
      </c>
      <c r="K1295">
        <v>352</v>
      </c>
      <c r="L1295">
        <v>370</v>
      </c>
      <c r="M1295">
        <v>88.7</v>
      </c>
      <c r="N1295">
        <v>93.2</v>
      </c>
      <c r="O1295">
        <v>723</v>
      </c>
    </row>
    <row r="1296" spans="1:15">
      <c r="A1296">
        <v>1858</v>
      </c>
      <c r="B1296" t="s">
        <v>3343</v>
      </c>
      <c r="C1296" t="s">
        <v>3344</v>
      </c>
      <c r="D1296" t="s">
        <v>10410</v>
      </c>
      <c r="E1296" t="s">
        <v>10411</v>
      </c>
      <c r="F1296" t="s">
        <v>10412</v>
      </c>
      <c r="G1296" t="s">
        <v>5904</v>
      </c>
      <c r="H1296">
        <v>2897</v>
      </c>
      <c r="I1296">
        <v>2871</v>
      </c>
      <c r="J1296">
        <v>2897</v>
      </c>
      <c r="K1296">
        <v>2740</v>
      </c>
      <c r="L1296">
        <v>2817</v>
      </c>
      <c r="M1296">
        <v>94.6</v>
      </c>
      <c r="N1296">
        <v>97.2</v>
      </c>
      <c r="O1296">
        <v>5518.7</v>
      </c>
    </row>
    <row r="1297" spans="1:15">
      <c r="A1297">
        <v>1857</v>
      </c>
      <c r="B1297" t="s">
        <v>3345</v>
      </c>
      <c r="C1297" t="s">
        <v>10413</v>
      </c>
      <c r="D1297" t="s">
        <v>10414</v>
      </c>
      <c r="E1297" t="s">
        <v>10415</v>
      </c>
      <c r="F1297" t="s">
        <v>10416</v>
      </c>
      <c r="G1297" t="s">
        <v>5904</v>
      </c>
      <c r="H1297">
        <v>440</v>
      </c>
      <c r="I1297">
        <v>441</v>
      </c>
      <c r="J1297">
        <v>440</v>
      </c>
      <c r="K1297">
        <v>364</v>
      </c>
      <c r="L1297">
        <v>403</v>
      </c>
      <c r="M1297">
        <v>82.7</v>
      </c>
      <c r="N1297">
        <v>91.6</v>
      </c>
      <c r="O1297">
        <v>777.7</v>
      </c>
    </row>
    <row r="1298" spans="1:15">
      <c r="A1298">
        <v>1856</v>
      </c>
      <c r="B1298" t="s">
        <v>3347</v>
      </c>
      <c r="C1298" t="s">
        <v>3348</v>
      </c>
      <c r="D1298" t="s">
        <v>10417</v>
      </c>
      <c r="E1298" t="s">
        <v>10418</v>
      </c>
      <c r="F1298" t="s">
        <v>10419</v>
      </c>
      <c r="G1298" t="s">
        <v>5904</v>
      </c>
      <c r="H1298">
        <v>2022</v>
      </c>
      <c r="I1298">
        <v>1723</v>
      </c>
      <c r="J1298">
        <v>1738</v>
      </c>
      <c r="K1298">
        <v>1403</v>
      </c>
      <c r="L1298">
        <v>1511</v>
      </c>
      <c r="M1298">
        <v>69.400000000000006</v>
      </c>
      <c r="N1298">
        <v>74.7</v>
      </c>
      <c r="O1298">
        <v>2747.2</v>
      </c>
    </row>
    <row r="1299" spans="1:15">
      <c r="A1299">
        <v>1855</v>
      </c>
      <c r="B1299" t="s">
        <v>10420</v>
      </c>
      <c r="C1299" t="s">
        <v>3351</v>
      </c>
      <c r="D1299" t="s">
        <v>10421</v>
      </c>
      <c r="E1299" t="s">
        <v>10422</v>
      </c>
      <c r="F1299" t="s">
        <v>10423</v>
      </c>
      <c r="G1299" t="s">
        <v>5904</v>
      </c>
      <c r="H1299">
        <v>3120</v>
      </c>
      <c r="I1299">
        <v>3063</v>
      </c>
      <c r="J1299">
        <v>3062</v>
      </c>
      <c r="K1299">
        <v>2898</v>
      </c>
      <c r="L1299">
        <v>2975</v>
      </c>
      <c r="M1299">
        <v>92.9</v>
      </c>
      <c r="N1299">
        <v>95.4</v>
      </c>
      <c r="O1299">
        <v>5522.2</v>
      </c>
    </row>
    <row r="1300" spans="1:15">
      <c r="A1300">
        <v>1854</v>
      </c>
      <c r="B1300" t="s">
        <v>10424</v>
      </c>
      <c r="C1300" t="s">
        <v>3354</v>
      </c>
      <c r="D1300" t="s">
        <v>10425</v>
      </c>
      <c r="E1300" t="s">
        <v>10426</v>
      </c>
      <c r="F1300" t="s">
        <v>10427</v>
      </c>
      <c r="G1300" t="s">
        <v>5904</v>
      </c>
      <c r="H1300">
        <v>251</v>
      </c>
      <c r="I1300">
        <v>217</v>
      </c>
      <c r="J1300">
        <v>215</v>
      </c>
      <c r="K1300">
        <v>215</v>
      </c>
      <c r="L1300">
        <v>215</v>
      </c>
      <c r="M1300">
        <v>85.7</v>
      </c>
      <c r="N1300">
        <v>85.7</v>
      </c>
      <c r="O1300">
        <v>439.5</v>
      </c>
    </row>
    <row r="1301" spans="1:15">
      <c r="A1301">
        <v>1853</v>
      </c>
      <c r="B1301" t="s">
        <v>3355</v>
      </c>
      <c r="C1301" t="s">
        <v>3357</v>
      </c>
      <c r="D1301" t="s">
        <v>10428</v>
      </c>
      <c r="E1301" t="s">
        <v>10429</v>
      </c>
      <c r="F1301" t="s">
        <v>10430</v>
      </c>
      <c r="G1301" t="s">
        <v>5904</v>
      </c>
      <c r="H1301">
        <v>464</v>
      </c>
      <c r="I1301">
        <v>463</v>
      </c>
      <c r="J1301">
        <v>459</v>
      </c>
      <c r="K1301">
        <v>450</v>
      </c>
      <c r="L1301">
        <v>452</v>
      </c>
      <c r="M1301">
        <v>97</v>
      </c>
      <c r="N1301">
        <v>97.4</v>
      </c>
      <c r="O1301">
        <v>909.4</v>
      </c>
    </row>
    <row r="1302" spans="1:15">
      <c r="A1302">
        <v>1852</v>
      </c>
      <c r="B1302" t="s">
        <v>3358</v>
      </c>
      <c r="C1302" t="s">
        <v>3359</v>
      </c>
      <c r="D1302" t="s">
        <v>10431</v>
      </c>
      <c r="E1302" t="s">
        <v>10432</v>
      </c>
      <c r="F1302" t="s">
        <v>10433</v>
      </c>
      <c r="G1302" t="s">
        <v>5904</v>
      </c>
      <c r="H1302">
        <v>164</v>
      </c>
      <c r="I1302">
        <v>164</v>
      </c>
      <c r="J1302">
        <v>164</v>
      </c>
      <c r="K1302">
        <v>164</v>
      </c>
      <c r="L1302">
        <v>164</v>
      </c>
      <c r="M1302">
        <v>100</v>
      </c>
      <c r="N1302">
        <v>100</v>
      </c>
      <c r="O1302">
        <v>315.8</v>
      </c>
    </row>
    <row r="1303" spans="1:15">
      <c r="A1303">
        <v>1851</v>
      </c>
      <c r="B1303" t="s">
        <v>3360</v>
      </c>
      <c r="C1303" t="s">
        <v>3361</v>
      </c>
      <c r="D1303" t="s">
        <v>10434</v>
      </c>
      <c r="E1303" t="s">
        <v>10435</v>
      </c>
      <c r="F1303" t="s">
        <v>10436</v>
      </c>
      <c r="G1303" t="s">
        <v>5904</v>
      </c>
      <c r="H1303">
        <v>333</v>
      </c>
      <c r="I1303">
        <v>332</v>
      </c>
      <c r="J1303">
        <v>325</v>
      </c>
      <c r="K1303">
        <v>292</v>
      </c>
      <c r="L1303">
        <v>299</v>
      </c>
      <c r="M1303">
        <v>87.7</v>
      </c>
      <c r="N1303">
        <v>89.8</v>
      </c>
      <c r="O1303">
        <v>201.4</v>
      </c>
    </row>
    <row r="1304" spans="1:15">
      <c r="A1304">
        <v>1850</v>
      </c>
      <c r="B1304" t="s">
        <v>10437</v>
      </c>
      <c r="C1304" t="s">
        <v>3364</v>
      </c>
      <c r="D1304" t="s">
        <v>10438</v>
      </c>
      <c r="E1304" t="s">
        <v>10439</v>
      </c>
      <c r="F1304" t="s">
        <v>10440</v>
      </c>
      <c r="G1304" t="s">
        <v>5904</v>
      </c>
      <c r="H1304">
        <v>497</v>
      </c>
      <c r="I1304">
        <v>420</v>
      </c>
      <c r="J1304">
        <v>322</v>
      </c>
      <c r="K1304">
        <v>231</v>
      </c>
      <c r="L1304">
        <v>271</v>
      </c>
      <c r="M1304">
        <v>46.5</v>
      </c>
      <c r="N1304">
        <v>54.5</v>
      </c>
      <c r="O1304">
        <v>495.7</v>
      </c>
    </row>
    <row r="1305" spans="1:15">
      <c r="A1305">
        <v>1849</v>
      </c>
      <c r="B1305" t="s">
        <v>3365</v>
      </c>
      <c r="C1305" t="s">
        <v>3366</v>
      </c>
      <c r="D1305" t="s">
        <v>10441</v>
      </c>
      <c r="E1305" t="s">
        <v>10442</v>
      </c>
      <c r="F1305" t="s">
        <v>10443</v>
      </c>
      <c r="G1305" t="s">
        <v>5904</v>
      </c>
      <c r="H1305">
        <v>446</v>
      </c>
      <c r="I1305">
        <v>535</v>
      </c>
      <c r="J1305">
        <v>430</v>
      </c>
      <c r="K1305">
        <v>195</v>
      </c>
      <c r="L1305">
        <v>253</v>
      </c>
      <c r="M1305">
        <v>43.7</v>
      </c>
      <c r="N1305">
        <v>56.7</v>
      </c>
      <c r="O1305">
        <v>355.9</v>
      </c>
    </row>
    <row r="1306" spans="1:15">
      <c r="A1306">
        <v>2218</v>
      </c>
      <c r="B1306" t="s">
        <v>3367</v>
      </c>
      <c r="C1306" t="s">
        <v>3368</v>
      </c>
      <c r="D1306" t="s">
        <v>10444</v>
      </c>
      <c r="E1306" t="s">
        <v>10445</v>
      </c>
      <c r="F1306" t="s">
        <v>10446</v>
      </c>
      <c r="G1306" t="s">
        <v>5904</v>
      </c>
      <c r="H1306">
        <v>1113</v>
      </c>
      <c r="I1306">
        <v>1138</v>
      </c>
      <c r="J1306">
        <v>1143</v>
      </c>
      <c r="K1306">
        <v>1021</v>
      </c>
      <c r="L1306">
        <v>1055</v>
      </c>
      <c r="M1306">
        <v>91.7</v>
      </c>
      <c r="N1306">
        <v>94.8</v>
      </c>
      <c r="O1306">
        <v>2050.4</v>
      </c>
    </row>
    <row r="1307" spans="1:15">
      <c r="A1307">
        <v>2217</v>
      </c>
      <c r="B1307" t="s">
        <v>3369</v>
      </c>
      <c r="C1307" t="s">
        <v>3370</v>
      </c>
      <c r="D1307" t="s">
        <v>8934</v>
      </c>
      <c r="E1307" t="s">
        <v>8935</v>
      </c>
      <c r="F1307" t="s">
        <v>10447</v>
      </c>
      <c r="G1307" t="s">
        <v>5904</v>
      </c>
      <c r="H1307">
        <v>280</v>
      </c>
      <c r="I1307">
        <v>324</v>
      </c>
      <c r="J1307">
        <v>181</v>
      </c>
      <c r="K1307">
        <v>181</v>
      </c>
      <c r="L1307">
        <v>181</v>
      </c>
      <c r="M1307">
        <v>64.599999999999994</v>
      </c>
      <c r="N1307">
        <v>64.599999999999994</v>
      </c>
      <c r="O1307">
        <v>369</v>
      </c>
    </row>
    <row r="1308" spans="1:15">
      <c r="A1308">
        <v>1848</v>
      </c>
      <c r="B1308" t="s">
        <v>3371</v>
      </c>
      <c r="C1308" t="s">
        <v>3373</v>
      </c>
      <c r="D1308" t="s">
        <v>10448</v>
      </c>
      <c r="E1308" t="s">
        <v>10449</v>
      </c>
      <c r="F1308" t="s">
        <v>10450</v>
      </c>
      <c r="G1308" t="s">
        <v>5904</v>
      </c>
      <c r="H1308">
        <v>221</v>
      </c>
      <c r="I1308">
        <v>221</v>
      </c>
      <c r="J1308">
        <v>221</v>
      </c>
      <c r="K1308">
        <v>171</v>
      </c>
      <c r="L1308">
        <v>196</v>
      </c>
      <c r="M1308">
        <v>77.400000000000006</v>
      </c>
      <c r="N1308">
        <v>88.7</v>
      </c>
      <c r="O1308">
        <v>368.2</v>
      </c>
    </row>
    <row r="1309" spans="1:15">
      <c r="A1309">
        <v>1847</v>
      </c>
      <c r="B1309" t="s">
        <v>10451</v>
      </c>
      <c r="C1309" t="s">
        <v>3377</v>
      </c>
      <c r="D1309" t="s">
        <v>10452</v>
      </c>
      <c r="E1309" t="s">
        <v>10453</v>
      </c>
      <c r="F1309" t="s">
        <v>10454</v>
      </c>
      <c r="G1309" t="s">
        <v>5904</v>
      </c>
      <c r="H1309">
        <v>224</v>
      </c>
      <c r="I1309">
        <v>136</v>
      </c>
      <c r="J1309">
        <v>122</v>
      </c>
      <c r="K1309">
        <v>118</v>
      </c>
      <c r="L1309">
        <v>119</v>
      </c>
      <c r="M1309">
        <v>52.7</v>
      </c>
      <c r="N1309">
        <v>53.1</v>
      </c>
      <c r="O1309">
        <v>235.7</v>
      </c>
    </row>
    <row r="1310" spans="1:15">
      <c r="A1310">
        <v>1846</v>
      </c>
      <c r="B1310" t="s">
        <v>10455</v>
      </c>
      <c r="C1310" t="s">
        <v>10456</v>
      </c>
      <c r="D1310" t="s">
        <v>10457</v>
      </c>
      <c r="E1310" t="s">
        <v>10458</v>
      </c>
      <c r="F1310" t="s">
        <v>10459</v>
      </c>
      <c r="G1310" t="s">
        <v>5904</v>
      </c>
      <c r="H1310">
        <v>130</v>
      </c>
      <c r="I1310">
        <v>130</v>
      </c>
      <c r="J1310">
        <v>130</v>
      </c>
      <c r="K1310">
        <v>130</v>
      </c>
      <c r="L1310">
        <v>130</v>
      </c>
      <c r="M1310">
        <v>100</v>
      </c>
      <c r="N1310">
        <v>100</v>
      </c>
      <c r="O1310">
        <v>258.10000000000002</v>
      </c>
    </row>
    <row r="1311" spans="1:15">
      <c r="A1311">
        <v>1845</v>
      </c>
      <c r="B1311" t="s">
        <v>10460</v>
      </c>
      <c r="C1311" t="s">
        <v>10461</v>
      </c>
      <c r="D1311" t="s">
        <v>10462</v>
      </c>
      <c r="E1311" t="s">
        <v>10463</v>
      </c>
      <c r="F1311" t="s">
        <v>6522</v>
      </c>
      <c r="G1311" t="s">
        <v>5904</v>
      </c>
      <c r="H1311">
        <v>126</v>
      </c>
      <c r="I1311">
        <v>126</v>
      </c>
      <c r="J1311">
        <v>126</v>
      </c>
      <c r="K1311">
        <v>126</v>
      </c>
      <c r="L1311">
        <v>126</v>
      </c>
      <c r="M1311">
        <v>100</v>
      </c>
      <c r="N1311">
        <v>100</v>
      </c>
      <c r="O1311">
        <v>254.2</v>
      </c>
    </row>
    <row r="1312" spans="1:15">
      <c r="A1312">
        <v>1844</v>
      </c>
      <c r="B1312" t="s">
        <v>3384</v>
      </c>
      <c r="C1312" t="s">
        <v>10464</v>
      </c>
      <c r="D1312" t="s">
        <v>10465</v>
      </c>
      <c r="E1312" t="s">
        <v>10466</v>
      </c>
      <c r="F1312" t="s">
        <v>10467</v>
      </c>
      <c r="G1312" t="s">
        <v>5904</v>
      </c>
      <c r="H1312">
        <v>90</v>
      </c>
      <c r="I1312">
        <v>90</v>
      </c>
      <c r="J1312">
        <v>90</v>
      </c>
      <c r="K1312">
        <v>81</v>
      </c>
      <c r="L1312">
        <v>84</v>
      </c>
      <c r="M1312">
        <v>90</v>
      </c>
      <c r="N1312">
        <v>93.3</v>
      </c>
      <c r="O1312">
        <v>116.3</v>
      </c>
    </row>
    <row r="1313" spans="1:15">
      <c r="A1313">
        <v>1843</v>
      </c>
      <c r="B1313" t="s">
        <v>10468</v>
      </c>
      <c r="C1313" t="s">
        <v>3388</v>
      </c>
      <c r="D1313" t="s">
        <v>10469</v>
      </c>
      <c r="E1313" t="s">
        <v>10470</v>
      </c>
      <c r="F1313" t="s">
        <v>10471</v>
      </c>
      <c r="G1313" t="s">
        <v>5904</v>
      </c>
      <c r="H1313">
        <v>895</v>
      </c>
      <c r="I1313">
        <v>913</v>
      </c>
      <c r="J1313">
        <v>902</v>
      </c>
      <c r="K1313">
        <v>838</v>
      </c>
      <c r="L1313">
        <v>852</v>
      </c>
      <c r="M1313">
        <v>93.6</v>
      </c>
      <c r="N1313">
        <v>95.2</v>
      </c>
      <c r="O1313">
        <v>1529.2</v>
      </c>
    </row>
    <row r="1314" spans="1:15">
      <c r="A1314">
        <v>1842</v>
      </c>
      <c r="B1314" t="s">
        <v>3389</v>
      </c>
      <c r="C1314" t="s">
        <v>3390</v>
      </c>
      <c r="D1314" t="s">
        <v>10472</v>
      </c>
      <c r="E1314" t="s">
        <v>10473</v>
      </c>
      <c r="F1314" t="s">
        <v>10474</v>
      </c>
      <c r="G1314" t="s">
        <v>5904</v>
      </c>
      <c r="H1314">
        <v>132</v>
      </c>
      <c r="I1314">
        <v>132</v>
      </c>
      <c r="J1314">
        <v>132</v>
      </c>
      <c r="K1314">
        <v>132</v>
      </c>
      <c r="L1314">
        <v>132</v>
      </c>
      <c r="M1314">
        <v>100</v>
      </c>
      <c r="N1314">
        <v>100</v>
      </c>
      <c r="O1314">
        <v>265.8</v>
      </c>
    </row>
    <row r="1315" spans="1:15">
      <c r="A1315">
        <v>1841</v>
      </c>
      <c r="B1315" t="s">
        <v>3391</v>
      </c>
      <c r="C1315" t="s">
        <v>3392</v>
      </c>
      <c r="D1315" t="s">
        <v>10475</v>
      </c>
      <c r="E1315" t="s">
        <v>10476</v>
      </c>
      <c r="F1315" t="s">
        <v>10477</v>
      </c>
      <c r="G1315" t="s">
        <v>5904</v>
      </c>
      <c r="H1315">
        <v>261</v>
      </c>
      <c r="I1315">
        <v>261</v>
      </c>
      <c r="J1315">
        <v>257</v>
      </c>
      <c r="K1315">
        <v>243</v>
      </c>
      <c r="L1315">
        <v>249</v>
      </c>
      <c r="M1315">
        <v>93.1</v>
      </c>
      <c r="N1315">
        <v>95.4</v>
      </c>
      <c r="O1315">
        <v>458.4</v>
      </c>
    </row>
    <row r="1316" spans="1:15">
      <c r="A1316">
        <v>1840</v>
      </c>
      <c r="B1316" t="s">
        <v>3393</v>
      </c>
      <c r="C1316" t="s">
        <v>3394</v>
      </c>
      <c r="D1316" t="s">
        <v>10478</v>
      </c>
      <c r="E1316" t="s">
        <v>10479</v>
      </c>
      <c r="F1316" t="s">
        <v>10480</v>
      </c>
      <c r="G1316" t="s">
        <v>5904</v>
      </c>
      <c r="H1316">
        <v>132</v>
      </c>
      <c r="I1316">
        <v>132</v>
      </c>
      <c r="J1316">
        <v>132</v>
      </c>
      <c r="K1316">
        <v>125</v>
      </c>
      <c r="L1316">
        <v>128</v>
      </c>
      <c r="M1316">
        <v>94.7</v>
      </c>
      <c r="N1316">
        <v>97</v>
      </c>
      <c r="O1316">
        <v>260.39999999999998</v>
      </c>
    </row>
    <row r="1317" spans="1:15">
      <c r="A1317">
        <v>1839</v>
      </c>
      <c r="B1317" t="s">
        <v>3395</v>
      </c>
      <c r="C1317" t="s">
        <v>3396</v>
      </c>
      <c r="D1317" t="s">
        <v>10481</v>
      </c>
      <c r="E1317" t="s">
        <v>10482</v>
      </c>
      <c r="F1317" t="s">
        <v>10483</v>
      </c>
      <c r="G1317" t="s">
        <v>5904</v>
      </c>
      <c r="H1317">
        <v>732</v>
      </c>
      <c r="I1317">
        <v>732</v>
      </c>
      <c r="J1317">
        <v>731</v>
      </c>
      <c r="K1317">
        <v>641</v>
      </c>
      <c r="L1317">
        <v>702</v>
      </c>
      <c r="M1317">
        <v>87.6</v>
      </c>
      <c r="N1317">
        <v>95.9</v>
      </c>
      <c r="O1317">
        <v>1380.5</v>
      </c>
    </row>
    <row r="1318" spans="1:15">
      <c r="A1318">
        <v>2216</v>
      </c>
      <c r="B1318" t="s">
        <v>3397</v>
      </c>
      <c r="C1318" t="s">
        <v>3398</v>
      </c>
      <c r="D1318" t="s">
        <v>10484</v>
      </c>
      <c r="E1318" t="s">
        <v>10485</v>
      </c>
      <c r="F1318" t="s">
        <v>10486</v>
      </c>
      <c r="G1318" t="s">
        <v>5900</v>
      </c>
      <c r="H1318">
        <v>538</v>
      </c>
      <c r="I1318">
        <v>245</v>
      </c>
      <c r="J1318">
        <v>244</v>
      </c>
      <c r="K1318">
        <v>198</v>
      </c>
      <c r="L1318">
        <v>220</v>
      </c>
      <c r="M1318">
        <v>36.799999999999997</v>
      </c>
      <c r="N1318">
        <v>40.9</v>
      </c>
      <c r="O1318">
        <v>391.3</v>
      </c>
    </row>
    <row r="1319" spans="1:15">
      <c r="A1319">
        <v>1838</v>
      </c>
      <c r="B1319" t="s">
        <v>3399</v>
      </c>
      <c r="C1319" t="s">
        <v>3400</v>
      </c>
      <c r="D1319" t="s">
        <v>10487</v>
      </c>
      <c r="E1319" t="s">
        <v>10488</v>
      </c>
      <c r="F1319" t="s">
        <v>10489</v>
      </c>
      <c r="G1319" t="s">
        <v>5904</v>
      </c>
      <c r="H1319">
        <v>624</v>
      </c>
      <c r="I1319">
        <v>613</v>
      </c>
      <c r="J1319">
        <v>624</v>
      </c>
      <c r="K1319">
        <v>530</v>
      </c>
      <c r="L1319">
        <v>557</v>
      </c>
      <c r="M1319">
        <v>84.9</v>
      </c>
      <c r="N1319">
        <v>89.3</v>
      </c>
      <c r="O1319">
        <v>857.4</v>
      </c>
    </row>
    <row r="1320" spans="1:15">
      <c r="A1320">
        <v>1837</v>
      </c>
      <c r="B1320" t="s">
        <v>10490</v>
      </c>
      <c r="C1320" t="s">
        <v>3403</v>
      </c>
      <c r="D1320" t="s">
        <v>10491</v>
      </c>
      <c r="E1320" t="s">
        <v>10492</v>
      </c>
      <c r="F1320" t="s">
        <v>10493</v>
      </c>
      <c r="G1320" t="s">
        <v>5904</v>
      </c>
      <c r="H1320">
        <v>296</v>
      </c>
      <c r="I1320">
        <v>293</v>
      </c>
      <c r="J1320">
        <v>296</v>
      </c>
      <c r="K1320">
        <v>283</v>
      </c>
      <c r="L1320">
        <v>284</v>
      </c>
      <c r="M1320">
        <v>95.6</v>
      </c>
      <c r="N1320">
        <v>95.9</v>
      </c>
      <c r="O1320">
        <v>559.29999999999995</v>
      </c>
    </row>
    <row r="1321" spans="1:15">
      <c r="A1321">
        <v>2215</v>
      </c>
      <c r="B1321" t="s">
        <v>3404</v>
      </c>
      <c r="C1321" t="s">
        <v>3405</v>
      </c>
      <c r="D1321" t="s">
        <v>10494</v>
      </c>
      <c r="E1321" t="s">
        <v>10495</v>
      </c>
      <c r="F1321" t="s">
        <v>10496</v>
      </c>
      <c r="G1321" t="s">
        <v>5904</v>
      </c>
      <c r="H1321">
        <v>268</v>
      </c>
      <c r="I1321">
        <v>268</v>
      </c>
      <c r="J1321">
        <v>267</v>
      </c>
      <c r="K1321">
        <v>224</v>
      </c>
      <c r="L1321">
        <v>243</v>
      </c>
      <c r="M1321">
        <v>83.6</v>
      </c>
      <c r="N1321">
        <v>90.7</v>
      </c>
      <c r="O1321">
        <v>468</v>
      </c>
    </row>
    <row r="1322" spans="1:15">
      <c r="A1322">
        <v>1836</v>
      </c>
      <c r="B1322" t="s">
        <v>3406</v>
      </c>
      <c r="C1322" t="s">
        <v>10497</v>
      </c>
      <c r="D1322" t="s">
        <v>10498</v>
      </c>
      <c r="E1322" t="s">
        <v>10499</v>
      </c>
      <c r="F1322" t="s">
        <v>10500</v>
      </c>
      <c r="G1322" t="s">
        <v>5904</v>
      </c>
      <c r="H1322">
        <v>208</v>
      </c>
      <c r="I1322">
        <v>208</v>
      </c>
      <c r="J1322">
        <v>208</v>
      </c>
      <c r="K1322">
        <v>208</v>
      </c>
      <c r="L1322">
        <v>208</v>
      </c>
      <c r="M1322">
        <v>100</v>
      </c>
      <c r="N1322">
        <v>100</v>
      </c>
      <c r="O1322">
        <v>423.7</v>
      </c>
    </row>
    <row r="1323" spans="1:15">
      <c r="A1323">
        <v>1835</v>
      </c>
      <c r="B1323" t="s">
        <v>3408</v>
      </c>
      <c r="C1323" t="s">
        <v>3409</v>
      </c>
      <c r="D1323" t="s">
        <v>10501</v>
      </c>
      <c r="E1323" t="s">
        <v>10502</v>
      </c>
      <c r="F1323" t="s">
        <v>10503</v>
      </c>
      <c r="G1323" t="s">
        <v>5904</v>
      </c>
      <c r="H1323">
        <v>453</v>
      </c>
      <c r="I1323">
        <v>453</v>
      </c>
      <c r="J1323">
        <v>450</v>
      </c>
      <c r="K1323">
        <v>383</v>
      </c>
      <c r="L1323">
        <v>414</v>
      </c>
      <c r="M1323">
        <v>84.5</v>
      </c>
      <c r="N1323">
        <v>91.4</v>
      </c>
      <c r="O1323">
        <v>810.4</v>
      </c>
    </row>
    <row r="1324" spans="1:15">
      <c r="A1324">
        <v>1834</v>
      </c>
      <c r="B1324" t="s">
        <v>3410</v>
      </c>
      <c r="C1324" t="s">
        <v>3411</v>
      </c>
      <c r="D1324" t="s">
        <v>10504</v>
      </c>
      <c r="E1324" t="s">
        <v>10505</v>
      </c>
      <c r="F1324" t="s">
        <v>10506</v>
      </c>
      <c r="G1324" t="s">
        <v>5904</v>
      </c>
      <c r="H1324">
        <v>456</v>
      </c>
      <c r="I1324">
        <v>463</v>
      </c>
      <c r="J1324">
        <v>425</v>
      </c>
      <c r="K1324">
        <v>337</v>
      </c>
      <c r="L1324">
        <v>364</v>
      </c>
      <c r="M1324">
        <v>73.900000000000006</v>
      </c>
      <c r="N1324">
        <v>79.8</v>
      </c>
      <c r="O1324">
        <v>665.2</v>
      </c>
    </row>
    <row r="1325" spans="1:15">
      <c r="A1325">
        <v>1833</v>
      </c>
      <c r="B1325" t="s">
        <v>10507</v>
      </c>
      <c r="C1325" t="s">
        <v>3414</v>
      </c>
      <c r="D1325" t="s">
        <v>10508</v>
      </c>
      <c r="E1325" t="s">
        <v>10509</v>
      </c>
      <c r="F1325" t="s">
        <v>10510</v>
      </c>
      <c r="G1325" t="s">
        <v>5904</v>
      </c>
      <c r="H1325">
        <v>331</v>
      </c>
      <c r="I1325">
        <v>330</v>
      </c>
      <c r="J1325">
        <v>331</v>
      </c>
      <c r="K1325">
        <v>286</v>
      </c>
      <c r="L1325">
        <v>303</v>
      </c>
      <c r="M1325">
        <v>86.4</v>
      </c>
      <c r="N1325">
        <v>91.5</v>
      </c>
      <c r="O1325">
        <v>558.9</v>
      </c>
    </row>
    <row r="1326" spans="1:15">
      <c r="A1326">
        <v>1832</v>
      </c>
      <c r="B1326" t="s">
        <v>3415</v>
      </c>
      <c r="C1326" t="s">
        <v>3416</v>
      </c>
      <c r="D1326" t="s">
        <v>10511</v>
      </c>
      <c r="E1326" t="s">
        <v>10512</v>
      </c>
      <c r="F1326" t="s">
        <v>10513</v>
      </c>
      <c r="G1326" t="s">
        <v>5904</v>
      </c>
      <c r="H1326">
        <v>753</v>
      </c>
      <c r="I1326">
        <v>746</v>
      </c>
      <c r="J1326">
        <v>749</v>
      </c>
      <c r="K1326">
        <v>628</v>
      </c>
      <c r="L1326">
        <v>684</v>
      </c>
      <c r="M1326">
        <v>83.4</v>
      </c>
      <c r="N1326">
        <v>90.8</v>
      </c>
      <c r="O1326">
        <v>1349.7</v>
      </c>
    </row>
    <row r="1327" spans="1:15">
      <c r="A1327">
        <v>2214</v>
      </c>
      <c r="B1327" t="s">
        <v>3417</v>
      </c>
      <c r="C1327" t="s">
        <v>3418</v>
      </c>
      <c r="D1327" t="s">
        <v>10514</v>
      </c>
      <c r="E1327" t="s">
        <v>10515</v>
      </c>
      <c r="F1327" t="s">
        <v>10516</v>
      </c>
      <c r="G1327" t="s">
        <v>5904</v>
      </c>
      <c r="H1327">
        <v>165</v>
      </c>
      <c r="I1327">
        <v>165</v>
      </c>
      <c r="J1327">
        <v>165</v>
      </c>
      <c r="K1327">
        <v>156</v>
      </c>
      <c r="L1327">
        <v>158</v>
      </c>
      <c r="M1327">
        <v>94.5</v>
      </c>
      <c r="N1327">
        <v>95.8</v>
      </c>
      <c r="O1327">
        <v>314.7</v>
      </c>
    </row>
    <row r="1328" spans="1:15">
      <c r="A1328">
        <v>1831</v>
      </c>
      <c r="B1328" t="s">
        <v>10517</v>
      </c>
      <c r="C1328" t="s">
        <v>3421</v>
      </c>
      <c r="D1328" t="s">
        <v>10518</v>
      </c>
      <c r="E1328" t="s">
        <v>10519</v>
      </c>
      <c r="F1328" t="s">
        <v>10520</v>
      </c>
      <c r="G1328" t="s">
        <v>5904</v>
      </c>
      <c r="H1328">
        <v>445</v>
      </c>
      <c r="I1328">
        <v>376</v>
      </c>
      <c r="J1328">
        <v>377</v>
      </c>
      <c r="K1328">
        <v>309</v>
      </c>
      <c r="L1328">
        <v>341</v>
      </c>
      <c r="M1328">
        <v>69.400000000000006</v>
      </c>
      <c r="N1328">
        <v>76.599999999999994</v>
      </c>
      <c r="O1328">
        <v>623.20000000000005</v>
      </c>
    </row>
    <row r="1329" spans="1:15">
      <c r="A1329">
        <v>1830</v>
      </c>
      <c r="B1329" t="s">
        <v>10521</v>
      </c>
      <c r="C1329" t="s">
        <v>3425</v>
      </c>
      <c r="D1329" t="s">
        <v>10522</v>
      </c>
      <c r="E1329" t="s">
        <v>10523</v>
      </c>
      <c r="F1329" t="s">
        <v>10524</v>
      </c>
      <c r="G1329" t="s">
        <v>5904</v>
      </c>
      <c r="H1329">
        <v>330</v>
      </c>
      <c r="I1329">
        <v>445</v>
      </c>
      <c r="J1329">
        <v>276</v>
      </c>
      <c r="K1329">
        <v>269</v>
      </c>
      <c r="L1329">
        <v>270</v>
      </c>
      <c r="M1329">
        <v>81.5</v>
      </c>
      <c r="N1329">
        <v>81.8</v>
      </c>
      <c r="O1329">
        <v>570.1</v>
      </c>
    </row>
    <row r="1330" spans="1:15">
      <c r="A1330">
        <v>1829</v>
      </c>
      <c r="B1330" t="s">
        <v>3426</v>
      </c>
      <c r="C1330" t="s">
        <v>3427</v>
      </c>
      <c r="D1330" t="s">
        <v>10525</v>
      </c>
      <c r="E1330" t="s">
        <v>10526</v>
      </c>
      <c r="F1330" t="s">
        <v>10527</v>
      </c>
      <c r="G1330" t="s">
        <v>5904</v>
      </c>
      <c r="H1330">
        <v>487</v>
      </c>
      <c r="I1330">
        <v>487</v>
      </c>
      <c r="J1330">
        <v>487</v>
      </c>
      <c r="K1330">
        <v>433</v>
      </c>
      <c r="L1330">
        <v>470</v>
      </c>
      <c r="M1330">
        <v>88.9</v>
      </c>
      <c r="N1330">
        <v>96.5</v>
      </c>
      <c r="O1330">
        <v>926</v>
      </c>
    </row>
    <row r="1331" spans="1:15">
      <c r="A1331">
        <v>1828</v>
      </c>
      <c r="B1331" t="s">
        <v>3428</v>
      </c>
      <c r="C1331" t="s">
        <v>3429</v>
      </c>
      <c r="D1331" t="s">
        <v>10528</v>
      </c>
      <c r="E1331" t="s">
        <v>10529</v>
      </c>
      <c r="F1331" t="s">
        <v>10530</v>
      </c>
      <c r="G1331" t="s">
        <v>5904</v>
      </c>
      <c r="H1331">
        <v>112</v>
      </c>
      <c r="I1331">
        <v>112</v>
      </c>
      <c r="J1331">
        <v>112</v>
      </c>
      <c r="K1331">
        <v>90</v>
      </c>
      <c r="L1331">
        <v>101</v>
      </c>
      <c r="M1331">
        <v>80.400000000000006</v>
      </c>
      <c r="N1331">
        <v>90.2</v>
      </c>
      <c r="O1331">
        <v>195.7</v>
      </c>
    </row>
    <row r="1332" spans="1:15">
      <c r="A1332">
        <v>1827</v>
      </c>
      <c r="B1332" t="s">
        <v>3430</v>
      </c>
      <c r="C1332" t="s">
        <v>3431</v>
      </c>
      <c r="D1332" t="s">
        <v>10531</v>
      </c>
      <c r="E1332" t="s">
        <v>10532</v>
      </c>
      <c r="F1332" t="s">
        <v>10533</v>
      </c>
      <c r="G1332" t="s">
        <v>5904</v>
      </c>
      <c r="H1332">
        <v>286</v>
      </c>
      <c r="I1332">
        <v>227</v>
      </c>
      <c r="J1332">
        <v>225</v>
      </c>
      <c r="K1332">
        <v>219</v>
      </c>
      <c r="L1332">
        <v>223</v>
      </c>
      <c r="M1332">
        <v>76.599999999999994</v>
      </c>
      <c r="N1332">
        <v>78</v>
      </c>
      <c r="O1332">
        <v>456.4</v>
      </c>
    </row>
    <row r="1333" spans="1:15">
      <c r="A1333">
        <v>1826</v>
      </c>
      <c r="B1333" t="s">
        <v>10534</v>
      </c>
      <c r="C1333" t="s">
        <v>3434</v>
      </c>
      <c r="D1333" t="s">
        <v>10535</v>
      </c>
      <c r="E1333" t="s">
        <v>10536</v>
      </c>
      <c r="F1333" t="s">
        <v>10537</v>
      </c>
      <c r="G1333" t="s">
        <v>5904</v>
      </c>
      <c r="H1333">
        <v>248</v>
      </c>
      <c r="I1333">
        <v>222</v>
      </c>
      <c r="J1333">
        <v>222</v>
      </c>
      <c r="K1333">
        <v>186</v>
      </c>
      <c r="L1333">
        <v>208</v>
      </c>
      <c r="M1333">
        <v>75</v>
      </c>
      <c r="N1333">
        <v>83.9</v>
      </c>
      <c r="O1333">
        <v>393.7</v>
      </c>
    </row>
    <row r="1334" spans="1:15">
      <c r="A1334">
        <v>2213</v>
      </c>
      <c r="B1334" t="s">
        <v>3435</v>
      </c>
      <c r="C1334" t="s">
        <v>3436</v>
      </c>
      <c r="D1334" t="s">
        <v>10538</v>
      </c>
      <c r="E1334" t="s">
        <v>10539</v>
      </c>
      <c r="F1334" t="s">
        <v>10540</v>
      </c>
      <c r="G1334" t="s">
        <v>5904</v>
      </c>
      <c r="H1334">
        <v>735</v>
      </c>
      <c r="I1334">
        <v>739</v>
      </c>
      <c r="J1334">
        <v>735</v>
      </c>
      <c r="K1334">
        <v>601</v>
      </c>
      <c r="L1334">
        <v>662</v>
      </c>
      <c r="M1334">
        <v>81.8</v>
      </c>
      <c r="N1334">
        <v>90.1</v>
      </c>
      <c r="O1334">
        <v>1242.2</v>
      </c>
    </row>
    <row r="1335" spans="1:15">
      <c r="A1335">
        <v>1825</v>
      </c>
      <c r="B1335" t="s">
        <v>3437</v>
      </c>
      <c r="C1335" t="s">
        <v>3438</v>
      </c>
      <c r="D1335" t="s">
        <v>10541</v>
      </c>
      <c r="E1335" t="s">
        <v>10542</v>
      </c>
      <c r="F1335" t="s">
        <v>10543</v>
      </c>
      <c r="G1335" t="s">
        <v>5904</v>
      </c>
      <c r="H1335">
        <v>205</v>
      </c>
      <c r="I1335">
        <v>205</v>
      </c>
      <c r="J1335">
        <v>205</v>
      </c>
      <c r="K1335">
        <v>186</v>
      </c>
      <c r="L1335">
        <v>194</v>
      </c>
      <c r="M1335">
        <v>90.7</v>
      </c>
      <c r="N1335">
        <v>94.6</v>
      </c>
      <c r="O1335">
        <v>371.7</v>
      </c>
    </row>
    <row r="1336" spans="1:15">
      <c r="A1336">
        <v>1824</v>
      </c>
      <c r="B1336" t="s">
        <v>10544</v>
      </c>
      <c r="C1336" t="s">
        <v>3441</v>
      </c>
      <c r="D1336" t="s">
        <v>10545</v>
      </c>
      <c r="E1336" t="s">
        <v>10546</v>
      </c>
      <c r="F1336" t="s">
        <v>10547</v>
      </c>
      <c r="G1336" t="s">
        <v>5904</v>
      </c>
      <c r="H1336">
        <v>306</v>
      </c>
      <c r="I1336">
        <v>307</v>
      </c>
      <c r="J1336">
        <v>295</v>
      </c>
      <c r="K1336">
        <v>278</v>
      </c>
      <c r="L1336">
        <v>287</v>
      </c>
      <c r="M1336">
        <v>90.8</v>
      </c>
      <c r="N1336">
        <v>93.8</v>
      </c>
      <c r="O1336">
        <v>556.20000000000005</v>
      </c>
    </row>
    <row r="1337" spans="1:15">
      <c r="A1337">
        <v>1823</v>
      </c>
      <c r="B1337" t="s">
        <v>3442</v>
      </c>
      <c r="C1337" t="s">
        <v>3443</v>
      </c>
      <c r="D1337" t="s">
        <v>10548</v>
      </c>
      <c r="E1337" t="s">
        <v>10549</v>
      </c>
      <c r="F1337" t="s">
        <v>10550</v>
      </c>
      <c r="G1337" t="s">
        <v>5904</v>
      </c>
      <c r="H1337">
        <v>1742</v>
      </c>
      <c r="I1337">
        <v>1744</v>
      </c>
      <c r="J1337">
        <v>1745</v>
      </c>
      <c r="K1337">
        <v>1454</v>
      </c>
      <c r="L1337">
        <v>1570</v>
      </c>
      <c r="M1337">
        <v>83.5</v>
      </c>
      <c r="N1337">
        <v>90.1</v>
      </c>
      <c r="O1337">
        <v>2885.9</v>
      </c>
    </row>
    <row r="1338" spans="1:15">
      <c r="A1338">
        <v>1822</v>
      </c>
      <c r="B1338" t="s">
        <v>3444</v>
      </c>
      <c r="C1338" t="s">
        <v>3445</v>
      </c>
      <c r="D1338" t="s">
        <v>10551</v>
      </c>
      <c r="E1338" t="s">
        <v>10552</v>
      </c>
      <c r="F1338" t="s">
        <v>10553</v>
      </c>
      <c r="G1338" t="s">
        <v>5904</v>
      </c>
      <c r="H1338">
        <v>170</v>
      </c>
      <c r="I1338">
        <v>170</v>
      </c>
      <c r="J1338">
        <v>170</v>
      </c>
      <c r="K1338">
        <v>145</v>
      </c>
      <c r="L1338">
        <v>157</v>
      </c>
      <c r="M1338">
        <v>85.3</v>
      </c>
      <c r="N1338">
        <v>92.4</v>
      </c>
      <c r="O1338">
        <v>277.7</v>
      </c>
    </row>
    <row r="1339" spans="1:15">
      <c r="A1339">
        <v>1821</v>
      </c>
      <c r="B1339" t="s">
        <v>3446</v>
      </c>
      <c r="C1339" t="s">
        <v>3447</v>
      </c>
      <c r="D1339" t="s">
        <v>10554</v>
      </c>
      <c r="E1339" t="s">
        <v>10555</v>
      </c>
      <c r="F1339" t="s">
        <v>10556</v>
      </c>
      <c r="G1339" t="s">
        <v>5904</v>
      </c>
      <c r="H1339">
        <v>523</v>
      </c>
      <c r="I1339">
        <v>535</v>
      </c>
      <c r="J1339">
        <v>535</v>
      </c>
      <c r="K1339">
        <v>456</v>
      </c>
      <c r="L1339">
        <v>483</v>
      </c>
      <c r="M1339">
        <v>87.2</v>
      </c>
      <c r="N1339">
        <v>92.4</v>
      </c>
      <c r="O1339">
        <v>874.4</v>
      </c>
    </row>
    <row r="1340" spans="1:15">
      <c r="A1340">
        <v>1820</v>
      </c>
      <c r="B1340" t="s">
        <v>3448</v>
      </c>
      <c r="C1340" t="s">
        <v>3449</v>
      </c>
      <c r="D1340" t="s">
        <v>10557</v>
      </c>
      <c r="E1340" t="s">
        <v>10558</v>
      </c>
      <c r="F1340" t="s">
        <v>10559</v>
      </c>
      <c r="G1340" t="s">
        <v>5904</v>
      </c>
      <c r="H1340">
        <v>449</v>
      </c>
      <c r="I1340">
        <v>448</v>
      </c>
      <c r="J1340">
        <v>429</v>
      </c>
      <c r="K1340">
        <v>362</v>
      </c>
      <c r="L1340">
        <v>381</v>
      </c>
      <c r="M1340">
        <v>80.599999999999994</v>
      </c>
      <c r="N1340">
        <v>84.9</v>
      </c>
      <c r="O1340">
        <v>697.6</v>
      </c>
    </row>
    <row r="1341" spans="1:15">
      <c r="A1341">
        <v>1819</v>
      </c>
      <c r="B1341" t="s">
        <v>3450</v>
      </c>
      <c r="C1341" t="s">
        <v>10560</v>
      </c>
      <c r="D1341" t="s">
        <v>10561</v>
      </c>
      <c r="E1341" t="s">
        <v>10562</v>
      </c>
      <c r="F1341" t="s">
        <v>10563</v>
      </c>
      <c r="G1341" t="s">
        <v>5904</v>
      </c>
      <c r="H1341">
        <v>247</v>
      </c>
      <c r="I1341">
        <v>256</v>
      </c>
      <c r="J1341">
        <v>229</v>
      </c>
      <c r="K1341">
        <v>166</v>
      </c>
      <c r="L1341">
        <v>186</v>
      </c>
      <c r="M1341">
        <v>67.2</v>
      </c>
      <c r="N1341">
        <v>75.3</v>
      </c>
      <c r="O1341">
        <v>345.9</v>
      </c>
    </row>
    <row r="1342" spans="1:15">
      <c r="A1342">
        <v>1818</v>
      </c>
      <c r="B1342" t="s">
        <v>10564</v>
      </c>
      <c r="C1342" t="s">
        <v>3454</v>
      </c>
      <c r="D1342" t="s">
        <v>10565</v>
      </c>
      <c r="E1342" t="s">
        <v>10566</v>
      </c>
      <c r="F1342" t="s">
        <v>10567</v>
      </c>
      <c r="G1342" t="s">
        <v>5904</v>
      </c>
      <c r="H1342">
        <v>159</v>
      </c>
      <c r="I1342">
        <v>162</v>
      </c>
      <c r="J1342">
        <v>162</v>
      </c>
      <c r="K1342">
        <v>121</v>
      </c>
      <c r="L1342">
        <v>136</v>
      </c>
      <c r="M1342">
        <v>76.099999999999994</v>
      </c>
      <c r="N1342">
        <v>85.5</v>
      </c>
      <c r="O1342">
        <v>251.5</v>
      </c>
    </row>
    <row r="1343" spans="1:15">
      <c r="A1343">
        <v>1817</v>
      </c>
      <c r="B1343" t="s">
        <v>3455</v>
      </c>
      <c r="C1343" t="s">
        <v>3456</v>
      </c>
      <c r="D1343" t="s">
        <v>10568</v>
      </c>
      <c r="E1343" t="s">
        <v>10569</v>
      </c>
      <c r="F1343" t="s">
        <v>10570</v>
      </c>
      <c r="G1343" t="s">
        <v>5904</v>
      </c>
      <c r="H1343">
        <v>383</v>
      </c>
      <c r="I1343">
        <v>383</v>
      </c>
      <c r="J1343">
        <v>383</v>
      </c>
      <c r="K1343">
        <v>355</v>
      </c>
      <c r="L1343">
        <v>364</v>
      </c>
      <c r="M1343">
        <v>92.7</v>
      </c>
      <c r="N1343">
        <v>95</v>
      </c>
      <c r="O1343">
        <v>678.7</v>
      </c>
    </row>
    <row r="1344" spans="1:15">
      <c r="A1344">
        <v>1816</v>
      </c>
      <c r="B1344" t="s">
        <v>10571</v>
      </c>
      <c r="C1344" t="s">
        <v>3459</v>
      </c>
      <c r="D1344" t="s">
        <v>10572</v>
      </c>
      <c r="E1344" t="s">
        <v>10573</v>
      </c>
      <c r="F1344" t="s">
        <v>10574</v>
      </c>
      <c r="G1344" t="s">
        <v>5904</v>
      </c>
      <c r="H1344">
        <v>998</v>
      </c>
      <c r="I1344">
        <v>998</v>
      </c>
      <c r="J1344">
        <v>998</v>
      </c>
      <c r="K1344">
        <v>995</v>
      </c>
      <c r="L1344">
        <v>998</v>
      </c>
      <c r="M1344">
        <v>99.7</v>
      </c>
      <c r="N1344">
        <v>100</v>
      </c>
      <c r="O1344">
        <v>2087.8000000000002</v>
      </c>
    </row>
    <row r="1345" spans="1:15">
      <c r="A1345">
        <v>1815</v>
      </c>
      <c r="B1345" t="s">
        <v>3460</v>
      </c>
      <c r="C1345" t="s">
        <v>3461</v>
      </c>
      <c r="D1345" t="s">
        <v>10575</v>
      </c>
      <c r="E1345" t="s">
        <v>10576</v>
      </c>
      <c r="F1345" t="s">
        <v>10577</v>
      </c>
      <c r="G1345" t="s">
        <v>5904</v>
      </c>
      <c r="H1345">
        <v>1923</v>
      </c>
      <c r="I1345">
        <v>1894</v>
      </c>
      <c r="J1345">
        <v>1514</v>
      </c>
      <c r="K1345">
        <v>1051</v>
      </c>
      <c r="L1345">
        <v>1157</v>
      </c>
      <c r="M1345">
        <v>54.7</v>
      </c>
      <c r="N1345">
        <v>60.2</v>
      </c>
      <c r="O1345">
        <v>1761.1</v>
      </c>
    </row>
    <row r="1346" spans="1:15">
      <c r="A1346">
        <v>1814</v>
      </c>
      <c r="B1346" t="s">
        <v>3462</v>
      </c>
      <c r="C1346" t="s">
        <v>3463</v>
      </c>
      <c r="D1346" t="s">
        <v>10578</v>
      </c>
      <c r="E1346" t="s">
        <v>10579</v>
      </c>
      <c r="F1346" t="s">
        <v>10580</v>
      </c>
      <c r="G1346" t="s">
        <v>5904</v>
      </c>
      <c r="H1346">
        <v>351</v>
      </c>
      <c r="I1346">
        <v>349</v>
      </c>
      <c r="J1346">
        <v>351</v>
      </c>
      <c r="K1346">
        <v>324</v>
      </c>
      <c r="L1346">
        <v>337</v>
      </c>
      <c r="M1346">
        <v>92.3</v>
      </c>
      <c r="N1346">
        <v>96</v>
      </c>
      <c r="O1346">
        <v>664.1</v>
      </c>
    </row>
    <row r="1347" spans="1:15">
      <c r="A1347">
        <v>1813</v>
      </c>
      <c r="B1347" t="s">
        <v>3464</v>
      </c>
      <c r="C1347" t="s">
        <v>3465</v>
      </c>
      <c r="D1347" t="s">
        <v>10581</v>
      </c>
      <c r="E1347" t="s">
        <v>10582</v>
      </c>
      <c r="F1347" t="s">
        <v>10583</v>
      </c>
      <c r="G1347" t="s">
        <v>5904</v>
      </c>
      <c r="H1347">
        <v>1445</v>
      </c>
      <c r="I1347">
        <v>1445</v>
      </c>
      <c r="J1347">
        <v>1445</v>
      </c>
      <c r="K1347">
        <v>1269</v>
      </c>
      <c r="L1347">
        <v>1349</v>
      </c>
      <c r="M1347">
        <v>87.8</v>
      </c>
      <c r="N1347">
        <v>93.4</v>
      </c>
      <c r="O1347">
        <v>2616.6999999999998</v>
      </c>
    </row>
    <row r="1348" spans="1:15">
      <c r="A1348">
        <v>1812</v>
      </c>
      <c r="B1348" t="s">
        <v>3466</v>
      </c>
      <c r="C1348" t="s">
        <v>10584</v>
      </c>
      <c r="D1348" t="s">
        <v>10585</v>
      </c>
      <c r="E1348" t="s">
        <v>10586</v>
      </c>
      <c r="F1348" t="s">
        <v>10587</v>
      </c>
      <c r="G1348" t="s">
        <v>5904</v>
      </c>
      <c r="H1348">
        <v>378</v>
      </c>
      <c r="I1348">
        <v>379</v>
      </c>
      <c r="J1348">
        <v>379</v>
      </c>
      <c r="K1348">
        <v>319</v>
      </c>
      <c r="L1348">
        <v>353</v>
      </c>
      <c r="M1348">
        <v>84.4</v>
      </c>
      <c r="N1348">
        <v>93.4</v>
      </c>
      <c r="O1348">
        <v>635.20000000000005</v>
      </c>
    </row>
    <row r="1349" spans="1:15">
      <c r="A1349">
        <v>1811</v>
      </c>
      <c r="B1349" t="s">
        <v>3468</v>
      </c>
      <c r="C1349" t="s">
        <v>3469</v>
      </c>
      <c r="D1349" t="s">
        <v>10588</v>
      </c>
      <c r="E1349" t="s">
        <v>10589</v>
      </c>
      <c r="F1349" t="s">
        <v>10590</v>
      </c>
      <c r="G1349" t="s">
        <v>5904</v>
      </c>
      <c r="H1349">
        <v>166</v>
      </c>
      <c r="I1349">
        <v>166</v>
      </c>
      <c r="J1349">
        <v>166</v>
      </c>
      <c r="K1349">
        <v>165</v>
      </c>
      <c r="L1349">
        <v>165</v>
      </c>
      <c r="M1349">
        <v>99.4</v>
      </c>
      <c r="N1349">
        <v>99.4</v>
      </c>
      <c r="O1349">
        <v>345.9</v>
      </c>
    </row>
    <row r="1350" spans="1:15">
      <c r="A1350">
        <v>1810</v>
      </c>
      <c r="B1350" t="s">
        <v>3470</v>
      </c>
      <c r="C1350" t="s">
        <v>3471</v>
      </c>
      <c r="D1350" t="s">
        <v>10591</v>
      </c>
      <c r="E1350" t="s">
        <v>10592</v>
      </c>
      <c r="F1350" t="s">
        <v>10593</v>
      </c>
      <c r="G1350" t="s">
        <v>5904</v>
      </c>
      <c r="H1350">
        <v>241</v>
      </c>
      <c r="I1350">
        <v>241</v>
      </c>
      <c r="J1350">
        <v>241</v>
      </c>
      <c r="K1350">
        <v>223</v>
      </c>
      <c r="L1350">
        <v>229</v>
      </c>
      <c r="M1350">
        <v>92.5</v>
      </c>
      <c r="N1350">
        <v>95</v>
      </c>
      <c r="O1350">
        <v>466.8</v>
      </c>
    </row>
    <row r="1351" spans="1:15">
      <c r="A1351">
        <v>1809</v>
      </c>
      <c r="B1351" t="s">
        <v>3472</v>
      </c>
      <c r="C1351" t="s">
        <v>10594</v>
      </c>
      <c r="D1351" t="s">
        <v>10595</v>
      </c>
      <c r="E1351" t="s">
        <v>10596</v>
      </c>
      <c r="F1351" t="s">
        <v>10597</v>
      </c>
      <c r="G1351" t="s">
        <v>5904</v>
      </c>
      <c r="H1351">
        <v>359</v>
      </c>
      <c r="I1351">
        <v>394</v>
      </c>
      <c r="J1351">
        <v>359</v>
      </c>
      <c r="K1351">
        <v>292</v>
      </c>
      <c r="L1351">
        <v>324</v>
      </c>
      <c r="M1351">
        <v>81.3</v>
      </c>
      <c r="N1351">
        <v>90.3</v>
      </c>
      <c r="O1351">
        <v>606.29999999999995</v>
      </c>
    </row>
    <row r="1352" spans="1:15">
      <c r="A1352">
        <v>1808</v>
      </c>
      <c r="B1352" t="s">
        <v>10598</v>
      </c>
      <c r="C1352" t="s">
        <v>3476</v>
      </c>
      <c r="D1352" t="s">
        <v>10599</v>
      </c>
      <c r="E1352" t="s">
        <v>10600</v>
      </c>
      <c r="F1352" t="s">
        <v>10601</v>
      </c>
      <c r="G1352" t="s">
        <v>5904</v>
      </c>
      <c r="H1352">
        <v>710</v>
      </c>
      <c r="I1352">
        <v>710</v>
      </c>
      <c r="J1352">
        <v>709</v>
      </c>
      <c r="K1352">
        <v>687</v>
      </c>
      <c r="L1352">
        <v>701</v>
      </c>
      <c r="M1352">
        <v>96.8</v>
      </c>
      <c r="N1352">
        <v>98.7</v>
      </c>
      <c r="O1352">
        <v>1443.3</v>
      </c>
    </row>
    <row r="1353" spans="1:15">
      <c r="A1353">
        <v>1807</v>
      </c>
      <c r="B1353" t="s">
        <v>3477</v>
      </c>
      <c r="C1353" t="s">
        <v>3478</v>
      </c>
      <c r="D1353" t="s">
        <v>10602</v>
      </c>
      <c r="E1353" t="s">
        <v>10603</v>
      </c>
      <c r="F1353" t="s">
        <v>10604</v>
      </c>
      <c r="G1353" t="s">
        <v>5904</v>
      </c>
      <c r="H1353">
        <v>308</v>
      </c>
      <c r="I1353">
        <v>311</v>
      </c>
      <c r="J1353">
        <v>297</v>
      </c>
      <c r="K1353">
        <v>212</v>
      </c>
      <c r="L1353">
        <v>241</v>
      </c>
      <c r="M1353">
        <v>68.8</v>
      </c>
      <c r="N1353">
        <v>78.2</v>
      </c>
      <c r="O1353">
        <v>390.6</v>
      </c>
    </row>
    <row r="1354" spans="1:15">
      <c r="A1354">
        <v>1806</v>
      </c>
      <c r="B1354" t="s">
        <v>3479</v>
      </c>
      <c r="C1354" t="s">
        <v>3480</v>
      </c>
      <c r="D1354" t="s">
        <v>10605</v>
      </c>
      <c r="E1354" t="s">
        <v>10606</v>
      </c>
      <c r="F1354" t="s">
        <v>10607</v>
      </c>
      <c r="G1354" t="s">
        <v>5904</v>
      </c>
      <c r="H1354">
        <v>874</v>
      </c>
      <c r="I1354">
        <v>875</v>
      </c>
      <c r="J1354">
        <v>875</v>
      </c>
      <c r="K1354">
        <v>741</v>
      </c>
      <c r="L1354">
        <v>820</v>
      </c>
      <c r="M1354">
        <v>84.8</v>
      </c>
      <c r="N1354">
        <v>93.8</v>
      </c>
      <c r="O1354">
        <v>1578.2</v>
      </c>
    </row>
    <row r="1355" spans="1:15">
      <c r="A1355">
        <v>1805</v>
      </c>
      <c r="B1355" t="s">
        <v>3481</v>
      </c>
      <c r="C1355" t="s">
        <v>3482</v>
      </c>
      <c r="D1355" t="s">
        <v>10608</v>
      </c>
      <c r="E1355" t="s">
        <v>10609</v>
      </c>
      <c r="F1355" t="s">
        <v>10610</v>
      </c>
      <c r="G1355" t="s">
        <v>5904</v>
      </c>
      <c r="H1355">
        <v>812</v>
      </c>
      <c r="I1355">
        <v>810</v>
      </c>
      <c r="J1355">
        <v>812</v>
      </c>
      <c r="K1355">
        <v>665</v>
      </c>
      <c r="L1355">
        <v>732</v>
      </c>
      <c r="M1355">
        <v>81.900000000000006</v>
      </c>
      <c r="N1355">
        <v>90.1</v>
      </c>
      <c r="O1355">
        <v>1378.6</v>
      </c>
    </row>
    <row r="1356" spans="1:15">
      <c r="A1356">
        <v>1804</v>
      </c>
      <c r="B1356" t="s">
        <v>3483</v>
      </c>
      <c r="C1356" t="s">
        <v>3484</v>
      </c>
      <c r="D1356" t="s">
        <v>10611</v>
      </c>
      <c r="E1356" t="s">
        <v>10612</v>
      </c>
      <c r="F1356" t="s">
        <v>10613</v>
      </c>
      <c r="G1356" t="s">
        <v>5904</v>
      </c>
      <c r="H1356">
        <v>925</v>
      </c>
      <c r="I1356">
        <v>925</v>
      </c>
      <c r="J1356">
        <v>925</v>
      </c>
      <c r="K1356">
        <v>805</v>
      </c>
      <c r="L1356">
        <v>862</v>
      </c>
      <c r="M1356">
        <v>87</v>
      </c>
      <c r="N1356">
        <v>93.2</v>
      </c>
      <c r="O1356">
        <v>1684.8</v>
      </c>
    </row>
    <row r="1357" spans="1:15">
      <c r="A1357">
        <v>1803</v>
      </c>
      <c r="B1357" t="s">
        <v>3485</v>
      </c>
      <c r="C1357" t="s">
        <v>3486</v>
      </c>
      <c r="D1357" t="s">
        <v>10614</v>
      </c>
      <c r="E1357" t="s">
        <v>10615</v>
      </c>
      <c r="F1357" t="s">
        <v>10616</v>
      </c>
      <c r="G1357" t="s">
        <v>5904</v>
      </c>
      <c r="H1357">
        <v>1172</v>
      </c>
      <c r="I1357">
        <v>1172</v>
      </c>
      <c r="J1357">
        <v>1172</v>
      </c>
      <c r="K1357">
        <v>1062</v>
      </c>
      <c r="L1357">
        <v>1101</v>
      </c>
      <c r="M1357">
        <v>90.6</v>
      </c>
      <c r="N1357">
        <v>93.9</v>
      </c>
      <c r="O1357">
        <v>2134.4</v>
      </c>
    </row>
    <row r="1358" spans="1:15">
      <c r="A1358">
        <v>1802</v>
      </c>
      <c r="B1358" t="s">
        <v>3487</v>
      </c>
      <c r="C1358" t="s">
        <v>3488</v>
      </c>
      <c r="D1358" t="s">
        <v>10617</v>
      </c>
      <c r="E1358" t="s">
        <v>10618</v>
      </c>
      <c r="F1358" t="s">
        <v>10619</v>
      </c>
      <c r="G1358" t="s">
        <v>5904</v>
      </c>
      <c r="H1358">
        <v>1751</v>
      </c>
      <c r="I1358">
        <v>1782</v>
      </c>
      <c r="J1358">
        <v>1793</v>
      </c>
      <c r="K1358">
        <v>1212</v>
      </c>
      <c r="L1358">
        <v>1382</v>
      </c>
      <c r="M1358">
        <v>69.2</v>
      </c>
      <c r="N1358">
        <v>78.900000000000006</v>
      </c>
      <c r="O1358">
        <v>1993.8</v>
      </c>
    </row>
    <row r="1359" spans="1:15">
      <c r="A1359">
        <v>1801</v>
      </c>
      <c r="B1359" t="s">
        <v>3489</v>
      </c>
      <c r="C1359" t="s">
        <v>3491</v>
      </c>
      <c r="D1359" t="s">
        <v>10620</v>
      </c>
      <c r="E1359" t="s">
        <v>10621</v>
      </c>
      <c r="F1359" t="s">
        <v>10622</v>
      </c>
      <c r="G1359" t="s">
        <v>5904</v>
      </c>
      <c r="H1359">
        <v>162</v>
      </c>
      <c r="I1359">
        <v>162</v>
      </c>
      <c r="J1359">
        <v>162</v>
      </c>
      <c r="K1359">
        <v>162</v>
      </c>
      <c r="L1359">
        <v>162</v>
      </c>
      <c r="M1359">
        <v>100</v>
      </c>
      <c r="N1359">
        <v>100</v>
      </c>
      <c r="O1359">
        <v>335.9</v>
      </c>
    </row>
    <row r="1360" spans="1:15">
      <c r="A1360">
        <v>1800</v>
      </c>
      <c r="B1360" t="s">
        <v>3492</v>
      </c>
      <c r="C1360" t="s">
        <v>3493</v>
      </c>
      <c r="D1360" t="s">
        <v>10623</v>
      </c>
      <c r="E1360" t="s">
        <v>10624</v>
      </c>
      <c r="F1360" t="s">
        <v>10625</v>
      </c>
      <c r="G1360" t="s">
        <v>5904</v>
      </c>
      <c r="H1360">
        <v>494</v>
      </c>
      <c r="I1360">
        <v>513</v>
      </c>
      <c r="J1360">
        <v>490</v>
      </c>
      <c r="K1360">
        <v>406</v>
      </c>
      <c r="L1360">
        <v>447</v>
      </c>
      <c r="M1360">
        <v>82.2</v>
      </c>
      <c r="N1360">
        <v>90.5</v>
      </c>
      <c r="O1360">
        <v>863.6</v>
      </c>
    </row>
    <row r="1361" spans="1:15">
      <c r="A1361">
        <v>1799</v>
      </c>
      <c r="B1361" t="s">
        <v>3494</v>
      </c>
      <c r="C1361" t="s">
        <v>3495</v>
      </c>
      <c r="D1361" t="s">
        <v>10626</v>
      </c>
      <c r="E1361" t="s">
        <v>10627</v>
      </c>
      <c r="F1361" t="s">
        <v>10628</v>
      </c>
      <c r="G1361" t="s">
        <v>5904</v>
      </c>
      <c r="H1361">
        <v>172</v>
      </c>
      <c r="I1361">
        <v>172</v>
      </c>
      <c r="J1361">
        <v>172</v>
      </c>
      <c r="K1361">
        <v>169</v>
      </c>
      <c r="L1361">
        <v>170</v>
      </c>
      <c r="M1361">
        <v>98.3</v>
      </c>
      <c r="N1361">
        <v>98.8</v>
      </c>
      <c r="O1361">
        <v>352.8</v>
      </c>
    </row>
    <row r="1362" spans="1:15">
      <c r="A1362">
        <v>1798</v>
      </c>
      <c r="B1362" t="s">
        <v>3496</v>
      </c>
      <c r="C1362" t="s">
        <v>3497</v>
      </c>
      <c r="D1362" t="s">
        <v>10629</v>
      </c>
      <c r="E1362" t="s">
        <v>10630</v>
      </c>
      <c r="F1362" t="s">
        <v>10631</v>
      </c>
      <c r="G1362" t="s">
        <v>5904</v>
      </c>
      <c r="H1362">
        <v>174</v>
      </c>
      <c r="I1362">
        <v>174</v>
      </c>
      <c r="J1362">
        <v>174</v>
      </c>
      <c r="K1362">
        <v>169</v>
      </c>
      <c r="L1362">
        <v>173</v>
      </c>
      <c r="M1362">
        <v>97.1</v>
      </c>
      <c r="N1362">
        <v>99.4</v>
      </c>
      <c r="O1362">
        <v>350.1</v>
      </c>
    </row>
    <row r="1363" spans="1:15">
      <c r="A1363">
        <v>1797</v>
      </c>
      <c r="B1363" t="s">
        <v>3498</v>
      </c>
      <c r="C1363" t="s">
        <v>3499</v>
      </c>
      <c r="D1363" t="s">
        <v>10632</v>
      </c>
      <c r="E1363" t="s">
        <v>10633</v>
      </c>
      <c r="F1363" t="s">
        <v>10634</v>
      </c>
      <c r="G1363" t="s">
        <v>5904</v>
      </c>
      <c r="H1363">
        <v>501</v>
      </c>
      <c r="I1363">
        <v>529</v>
      </c>
      <c r="J1363">
        <v>369</v>
      </c>
      <c r="K1363">
        <v>275</v>
      </c>
      <c r="L1363">
        <v>298</v>
      </c>
      <c r="M1363">
        <v>54.9</v>
      </c>
      <c r="N1363">
        <v>59.5</v>
      </c>
      <c r="O1363">
        <v>437.6</v>
      </c>
    </row>
    <row r="1364" spans="1:15">
      <c r="A1364">
        <v>1796</v>
      </c>
      <c r="B1364" t="s">
        <v>10635</v>
      </c>
      <c r="C1364" t="s">
        <v>3502</v>
      </c>
      <c r="D1364" t="s">
        <v>10636</v>
      </c>
      <c r="E1364" t="s">
        <v>10637</v>
      </c>
      <c r="F1364" t="s">
        <v>10638</v>
      </c>
      <c r="G1364" t="s">
        <v>5904</v>
      </c>
      <c r="H1364">
        <v>372</v>
      </c>
      <c r="I1364">
        <v>372</v>
      </c>
      <c r="J1364">
        <v>372</v>
      </c>
      <c r="K1364">
        <v>366</v>
      </c>
      <c r="L1364">
        <v>367</v>
      </c>
      <c r="M1364">
        <v>98.4</v>
      </c>
      <c r="N1364">
        <v>98.7</v>
      </c>
      <c r="O1364">
        <v>765.8</v>
      </c>
    </row>
    <row r="1365" spans="1:15">
      <c r="A1365">
        <v>1795</v>
      </c>
      <c r="B1365" t="s">
        <v>10639</v>
      </c>
      <c r="C1365" t="s">
        <v>3506</v>
      </c>
      <c r="D1365" t="s">
        <v>10640</v>
      </c>
      <c r="E1365" t="s">
        <v>10641</v>
      </c>
      <c r="F1365" t="s">
        <v>10642</v>
      </c>
      <c r="G1365" t="s">
        <v>5904</v>
      </c>
      <c r="H1365">
        <v>204</v>
      </c>
      <c r="I1365">
        <v>99</v>
      </c>
      <c r="J1365">
        <v>128</v>
      </c>
      <c r="K1365">
        <v>95</v>
      </c>
      <c r="L1365">
        <v>98</v>
      </c>
      <c r="M1365">
        <v>46.6</v>
      </c>
      <c r="N1365">
        <v>48</v>
      </c>
      <c r="O1365">
        <v>133.69999999999999</v>
      </c>
    </row>
    <row r="1366" spans="1:15">
      <c r="A1366">
        <v>1794</v>
      </c>
      <c r="B1366" t="s">
        <v>10643</v>
      </c>
      <c r="C1366" t="s">
        <v>3509</v>
      </c>
      <c r="D1366" t="s">
        <v>10644</v>
      </c>
      <c r="E1366" t="s">
        <v>10645</v>
      </c>
      <c r="F1366" t="s">
        <v>10646</v>
      </c>
      <c r="G1366" t="s">
        <v>5904</v>
      </c>
      <c r="H1366">
        <v>1092</v>
      </c>
      <c r="I1366">
        <v>1070</v>
      </c>
      <c r="J1366">
        <v>1042</v>
      </c>
      <c r="K1366">
        <v>980</v>
      </c>
      <c r="L1366">
        <v>1009</v>
      </c>
      <c r="M1366">
        <v>89.7</v>
      </c>
      <c r="N1366">
        <v>92.4</v>
      </c>
      <c r="O1366">
        <v>2058.5</v>
      </c>
    </row>
    <row r="1367" spans="1:15">
      <c r="A1367">
        <v>1793</v>
      </c>
      <c r="B1367" t="s">
        <v>3510</v>
      </c>
      <c r="C1367" t="s">
        <v>3511</v>
      </c>
      <c r="D1367" t="s">
        <v>10647</v>
      </c>
      <c r="E1367" t="s">
        <v>10648</v>
      </c>
      <c r="F1367" t="s">
        <v>10649</v>
      </c>
      <c r="G1367" t="s">
        <v>5904</v>
      </c>
      <c r="H1367">
        <v>81</v>
      </c>
      <c r="I1367">
        <v>81</v>
      </c>
      <c r="J1367">
        <v>81</v>
      </c>
      <c r="K1367">
        <v>80</v>
      </c>
      <c r="L1367">
        <v>81</v>
      </c>
      <c r="M1367">
        <v>98.8</v>
      </c>
      <c r="N1367">
        <v>100</v>
      </c>
      <c r="O1367">
        <v>162.5</v>
      </c>
    </row>
    <row r="1368" spans="1:15">
      <c r="A1368">
        <v>2212</v>
      </c>
      <c r="B1368" t="s">
        <v>10650</v>
      </c>
      <c r="C1368" t="s">
        <v>10651</v>
      </c>
      <c r="D1368" t="s">
        <v>10652</v>
      </c>
      <c r="E1368" t="s">
        <v>10653</v>
      </c>
      <c r="F1368" t="s">
        <v>10654</v>
      </c>
      <c r="G1368" t="s">
        <v>5904</v>
      </c>
      <c r="H1368">
        <v>636</v>
      </c>
      <c r="I1368">
        <v>633</v>
      </c>
      <c r="J1368">
        <v>636</v>
      </c>
      <c r="K1368">
        <v>633</v>
      </c>
      <c r="L1368">
        <v>633</v>
      </c>
      <c r="M1368">
        <v>99.5</v>
      </c>
      <c r="N1368">
        <v>99.5</v>
      </c>
      <c r="O1368">
        <v>1290</v>
      </c>
    </row>
    <row r="1369" spans="1:15">
      <c r="A1369">
        <v>1792</v>
      </c>
      <c r="B1369" t="s">
        <v>3515</v>
      </c>
      <c r="C1369" t="s">
        <v>3516</v>
      </c>
      <c r="D1369" t="s">
        <v>10655</v>
      </c>
      <c r="E1369" t="s">
        <v>10656</v>
      </c>
      <c r="F1369" t="s">
        <v>10657</v>
      </c>
      <c r="G1369" t="s">
        <v>5904</v>
      </c>
      <c r="H1369">
        <v>184</v>
      </c>
      <c r="I1369">
        <v>184</v>
      </c>
      <c r="J1369">
        <v>184</v>
      </c>
      <c r="K1369">
        <v>165</v>
      </c>
      <c r="L1369">
        <v>174</v>
      </c>
      <c r="M1369">
        <v>89.7</v>
      </c>
      <c r="N1369">
        <v>94.6</v>
      </c>
      <c r="O1369">
        <v>352.4</v>
      </c>
    </row>
    <row r="1370" spans="1:15">
      <c r="A1370">
        <v>1791</v>
      </c>
      <c r="B1370" t="s">
        <v>10658</v>
      </c>
      <c r="C1370" t="s">
        <v>3519</v>
      </c>
      <c r="D1370" t="s">
        <v>10659</v>
      </c>
      <c r="E1370" t="s">
        <v>10660</v>
      </c>
      <c r="F1370" t="s">
        <v>10661</v>
      </c>
      <c r="G1370" t="s">
        <v>5904</v>
      </c>
      <c r="H1370">
        <v>1297</v>
      </c>
      <c r="I1370">
        <v>1264</v>
      </c>
      <c r="J1370">
        <v>1297</v>
      </c>
      <c r="K1370">
        <v>1197</v>
      </c>
      <c r="L1370">
        <v>1228</v>
      </c>
      <c r="M1370">
        <v>92.3</v>
      </c>
      <c r="N1370">
        <v>94.7</v>
      </c>
      <c r="O1370">
        <v>2379</v>
      </c>
    </row>
    <row r="1371" spans="1:15">
      <c r="A1371">
        <v>1790</v>
      </c>
      <c r="B1371" t="s">
        <v>3520</v>
      </c>
      <c r="C1371" t="s">
        <v>3521</v>
      </c>
      <c r="D1371" t="s">
        <v>10662</v>
      </c>
      <c r="E1371" t="s">
        <v>10663</v>
      </c>
      <c r="F1371" t="s">
        <v>10664</v>
      </c>
      <c r="G1371" t="s">
        <v>5904</v>
      </c>
      <c r="H1371">
        <v>769</v>
      </c>
      <c r="I1371">
        <v>752</v>
      </c>
      <c r="J1371">
        <v>752</v>
      </c>
      <c r="K1371">
        <v>631</v>
      </c>
      <c r="L1371">
        <v>693</v>
      </c>
      <c r="M1371">
        <v>82.1</v>
      </c>
      <c r="N1371">
        <v>90.1</v>
      </c>
      <c r="O1371">
        <v>1325.1</v>
      </c>
    </row>
    <row r="1372" spans="1:15">
      <c r="A1372">
        <v>1789</v>
      </c>
      <c r="B1372" t="s">
        <v>3522</v>
      </c>
      <c r="C1372" t="s">
        <v>3523</v>
      </c>
      <c r="D1372" t="s">
        <v>10665</v>
      </c>
      <c r="E1372" t="s">
        <v>10666</v>
      </c>
      <c r="F1372" t="s">
        <v>10667</v>
      </c>
      <c r="G1372" t="s">
        <v>5904</v>
      </c>
      <c r="H1372">
        <v>768</v>
      </c>
      <c r="I1372">
        <v>764</v>
      </c>
      <c r="J1372">
        <v>768</v>
      </c>
      <c r="K1372">
        <v>635</v>
      </c>
      <c r="L1372">
        <v>699</v>
      </c>
      <c r="M1372">
        <v>82.7</v>
      </c>
      <c r="N1372">
        <v>91</v>
      </c>
      <c r="O1372">
        <v>1354.3</v>
      </c>
    </row>
    <row r="1373" spans="1:15">
      <c r="A1373">
        <v>1788</v>
      </c>
      <c r="B1373" t="s">
        <v>3524</v>
      </c>
      <c r="C1373" t="s">
        <v>3525</v>
      </c>
      <c r="D1373" t="s">
        <v>10668</v>
      </c>
      <c r="E1373" t="s">
        <v>10669</v>
      </c>
      <c r="F1373" t="s">
        <v>10670</v>
      </c>
      <c r="G1373" t="s">
        <v>5904</v>
      </c>
      <c r="H1373">
        <v>710</v>
      </c>
      <c r="I1373">
        <v>710</v>
      </c>
      <c r="J1373">
        <v>711</v>
      </c>
      <c r="K1373">
        <v>611</v>
      </c>
      <c r="L1373">
        <v>655</v>
      </c>
      <c r="M1373">
        <v>86.1</v>
      </c>
      <c r="N1373">
        <v>92.3</v>
      </c>
      <c r="O1373">
        <v>1179.5</v>
      </c>
    </row>
    <row r="1374" spans="1:15">
      <c r="A1374">
        <v>1787</v>
      </c>
      <c r="B1374" t="s">
        <v>10671</v>
      </c>
      <c r="C1374" t="s">
        <v>3529</v>
      </c>
      <c r="D1374" t="s">
        <v>10672</v>
      </c>
      <c r="E1374" t="s">
        <v>10673</v>
      </c>
      <c r="F1374" t="s">
        <v>10674</v>
      </c>
      <c r="G1374" t="s">
        <v>5904</v>
      </c>
      <c r="H1374">
        <v>661</v>
      </c>
      <c r="I1374">
        <v>641</v>
      </c>
      <c r="J1374">
        <v>641</v>
      </c>
      <c r="K1374">
        <v>618</v>
      </c>
      <c r="L1374">
        <v>628</v>
      </c>
      <c r="M1374">
        <v>93.5</v>
      </c>
      <c r="N1374">
        <v>95</v>
      </c>
      <c r="O1374">
        <v>1280.8</v>
      </c>
    </row>
    <row r="1375" spans="1:15">
      <c r="A1375">
        <v>1786</v>
      </c>
      <c r="B1375" t="s">
        <v>3530</v>
      </c>
      <c r="C1375" t="s">
        <v>10675</v>
      </c>
      <c r="D1375" t="s">
        <v>10676</v>
      </c>
      <c r="E1375" t="s">
        <v>10677</v>
      </c>
      <c r="F1375" t="s">
        <v>10678</v>
      </c>
      <c r="G1375" t="s">
        <v>5904</v>
      </c>
      <c r="H1375">
        <v>641</v>
      </c>
      <c r="I1375">
        <v>641</v>
      </c>
      <c r="J1375">
        <v>641</v>
      </c>
      <c r="K1375">
        <v>635</v>
      </c>
      <c r="L1375">
        <v>638</v>
      </c>
      <c r="M1375">
        <v>99.1</v>
      </c>
      <c r="N1375">
        <v>99.5</v>
      </c>
      <c r="O1375">
        <v>1304.7</v>
      </c>
    </row>
    <row r="1376" spans="1:15">
      <c r="A1376">
        <v>1785</v>
      </c>
      <c r="B1376" t="s">
        <v>3532</v>
      </c>
      <c r="C1376" t="s">
        <v>3533</v>
      </c>
      <c r="D1376" t="s">
        <v>10679</v>
      </c>
      <c r="E1376" t="s">
        <v>10680</v>
      </c>
      <c r="F1376" t="s">
        <v>10681</v>
      </c>
      <c r="G1376" t="s">
        <v>5904</v>
      </c>
      <c r="H1376">
        <v>428</v>
      </c>
      <c r="I1376">
        <v>428</v>
      </c>
      <c r="J1376">
        <v>428</v>
      </c>
      <c r="K1376">
        <v>427</v>
      </c>
      <c r="L1376">
        <v>428</v>
      </c>
      <c r="M1376">
        <v>99.8</v>
      </c>
      <c r="N1376">
        <v>100</v>
      </c>
      <c r="O1376">
        <v>882.1</v>
      </c>
    </row>
    <row r="1377" spans="1:15">
      <c r="A1377">
        <v>1784</v>
      </c>
      <c r="B1377" t="s">
        <v>3534</v>
      </c>
      <c r="C1377" t="s">
        <v>10682</v>
      </c>
      <c r="D1377" t="s">
        <v>10683</v>
      </c>
      <c r="E1377" t="s">
        <v>10684</v>
      </c>
      <c r="F1377" t="s">
        <v>10685</v>
      </c>
      <c r="G1377" t="s">
        <v>5904</v>
      </c>
      <c r="H1377">
        <v>285</v>
      </c>
      <c r="I1377">
        <v>285</v>
      </c>
      <c r="J1377">
        <v>285</v>
      </c>
      <c r="K1377">
        <v>281</v>
      </c>
      <c r="L1377">
        <v>284</v>
      </c>
      <c r="M1377">
        <v>98.6</v>
      </c>
      <c r="N1377">
        <v>99.6</v>
      </c>
      <c r="O1377">
        <v>555.1</v>
      </c>
    </row>
    <row r="1378" spans="1:15">
      <c r="A1378">
        <v>1783</v>
      </c>
      <c r="B1378" t="s">
        <v>3536</v>
      </c>
      <c r="C1378" t="s">
        <v>3537</v>
      </c>
      <c r="D1378" t="s">
        <v>10686</v>
      </c>
      <c r="E1378" t="s">
        <v>10687</v>
      </c>
      <c r="F1378" t="s">
        <v>10688</v>
      </c>
      <c r="G1378" t="s">
        <v>5904</v>
      </c>
      <c r="H1378">
        <v>240</v>
      </c>
      <c r="I1378">
        <v>241</v>
      </c>
      <c r="J1378">
        <v>241</v>
      </c>
      <c r="K1378">
        <v>236</v>
      </c>
      <c r="L1378">
        <v>238</v>
      </c>
      <c r="M1378">
        <v>98.3</v>
      </c>
      <c r="N1378">
        <v>99.2</v>
      </c>
      <c r="O1378">
        <v>484.6</v>
      </c>
    </row>
    <row r="1379" spans="1:15">
      <c r="A1379">
        <v>2211</v>
      </c>
      <c r="B1379" t="s">
        <v>10689</v>
      </c>
      <c r="C1379" t="s">
        <v>3540</v>
      </c>
      <c r="D1379" t="s">
        <v>10690</v>
      </c>
      <c r="E1379" t="s">
        <v>10691</v>
      </c>
      <c r="F1379" t="s">
        <v>10692</v>
      </c>
      <c r="G1379" t="s">
        <v>5904</v>
      </c>
      <c r="H1379">
        <v>278</v>
      </c>
      <c r="I1379">
        <v>277</v>
      </c>
      <c r="J1379">
        <v>266</v>
      </c>
      <c r="K1379">
        <v>236</v>
      </c>
      <c r="L1379">
        <v>251</v>
      </c>
      <c r="M1379">
        <v>84.9</v>
      </c>
      <c r="N1379">
        <v>90.3</v>
      </c>
      <c r="O1379">
        <v>461.1</v>
      </c>
    </row>
    <row r="1380" spans="1:15">
      <c r="A1380">
        <v>1782</v>
      </c>
      <c r="B1380" t="s">
        <v>3541</v>
      </c>
      <c r="C1380" t="s">
        <v>10693</v>
      </c>
      <c r="D1380" t="s">
        <v>10694</v>
      </c>
      <c r="E1380" t="s">
        <v>10695</v>
      </c>
      <c r="F1380" t="s">
        <v>10696</v>
      </c>
      <c r="G1380" t="s">
        <v>5904</v>
      </c>
      <c r="H1380">
        <v>188</v>
      </c>
      <c r="I1380">
        <v>188</v>
      </c>
      <c r="J1380">
        <v>188</v>
      </c>
      <c r="K1380">
        <v>167</v>
      </c>
      <c r="L1380">
        <v>177</v>
      </c>
      <c r="M1380">
        <v>88.8</v>
      </c>
      <c r="N1380">
        <v>94.1</v>
      </c>
      <c r="O1380">
        <v>356.7</v>
      </c>
    </row>
    <row r="1381" spans="1:15">
      <c r="A1381">
        <v>1781</v>
      </c>
      <c r="B1381" t="s">
        <v>3543</v>
      </c>
      <c r="C1381" t="s">
        <v>3544</v>
      </c>
      <c r="D1381" t="s">
        <v>10697</v>
      </c>
      <c r="E1381" t="s">
        <v>10698</v>
      </c>
      <c r="F1381" t="s">
        <v>10699</v>
      </c>
      <c r="G1381" t="s">
        <v>5904</v>
      </c>
      <c r="H1381">
        <v>374</v>
      </c>
      <c r="I1381">
        <v>338</v>
      </c>
      <c r="J1381">
        <v>272</v>
      </c>
      <c r="K1381">
        <v>194</v>
      </c>
      <c r="L1381">
        <v>216</v>
      </c>
      <c r="M1381">
        <v>51.9</v>
      </c>
      <c r="N1381">
        <v>57.8</v>
      </c>
      <c r="O1381">
        <v>397.9</v>
      </c>
    </row>
    <row r="1382" spans="1:15">
      <c r="A1382">
        <v>1780</v>
      </c>
      <c r="B1382" t="s">
        <v>3545</v>
      </c>
      <c r="C1382" t="s">
        <v>3546</v>
      </c>
      <c r="D1382" t="s">
        <v>10700</v>
      </c>
      <c r="E1382" t="s">
        <v>10701</v>
      </c>
      <c r="F1382" t="s">
        <v>10702</v>
      </c>
      <c r="G1382" t="s">
        <v>5904</v>
      </c>
      <c r="H1382">
        <v>276</v>
      </c>
      <c r="I1382">
        <v>276</v>
      </c>
      <c r="J1382">
        <v>276</v>
      </c>
      <c r="K1382">
        <v>242</v>
      </c>
      <c r="L1382">
        <v>257</v>
      </c>
      <c r="M1382">
        <v>87.7</v>
      </c>
      <c r="N1382">
        <v>93.1</v>
      </c>
      <c r="O1382">
        <v>509.6</v>
      </c>
    </row>
    <row r="1383" spans="1:15">
      <c r="A1383">
        <v>2210</v>
      </c>
      <c r="B1383" t="s">
        <v>3547</v>
      </c>
      <c r="C1383" t="s">
        <v>3549</v>
      </c>
      <c r="D1383" t="s">
        <v>10703</v>
      </c>
      <c r="E1383" t="s">
        <v>10704</v>
      </c>
      <c r="F1383" t="s">
        <v>10705</v>
      </c>
      <c r="G1383" t="s">
        <v>5904</v>
      </c>
      <c r="H1383">
        <v>145</v>
      </c>
      <c r="I1383">
        <v>145</v>
      </c>
      <c r="J1383">
        <v>145</v>
      </c>
      <c r="K1383">
        <v>145</v>
      </c>
      <c r="L1383">
        <v>145</v>
      </c>
      <c r="M1383">
        <v>100</v>
      </c>
      <c r="N1383">
        <v>100</v>
      </c>
      <c r="O1383">
        <v>298.10000000000002</v>
      </c>
    </row>
    <row r="1384" spans="1:15">
      <c r="A1384">
        <v>1779</v>
      </c>
      <c r="B1384" t="s">
        <v>10706</v>
      </c>
      <c r="C1384" t="s">
        <v>3552</v>
      </c>
      <c r="D1384" t="s">
        <v>10707</v>
      </c>
      <c r="E1384" t="s">
        <v>10708</v>
      </c>
      <c r="F1384" t="s">
        <v>10709</v>
      </c>
      <c r="G1384" t="s">
        <v>5904</v>
      </c>
      <c r="H1384">
        <v>349</v>
      </c>
      <c r="I1384">
        <v>290</v>
      </c>
      <c r="J1384">
        <v>198</v>
      </c>
      <c r="K1384">
        <v>196</v>
      </c>
      <c r="L1384">
        <v>196</v>
      </c>
      <c r="M1384">
        <v>56.2</v>
      </c>
      <c r="N1384">
        <v>56.2</v>
      </c>
      <c r="O1384">
        <v>404.4</v>
      </c>
    </row>
    <row r="1385" spans="1:15">
      <c r="A1385">
        <v>1778</v>
      </c>
      <c r="B1385" t="s">
        <v>3553</v>
      </c>
      <c r="C1385" t="s">
        <v>3554</v>
      </c>
      <c r="D1385" t="s">
        <v>10710</v>
      </c>
      <c r="E1385" t="s">
        <v>10711</v>
      </c>
      <c r="F1385" t="s">
        <v>10712</v>
      </c>
      <c r="G1385" t="s">
        <v>5900</v>
      </c>
      <c r="H1385">
        <v>230</v>
      </c>
      <c r="I1385">
        <v>107</v>
      </c>
      <c r="J1385">
        <v>107</v>
      </c>
      <c r="K1385">
        <v>103</v>
      </c>
      <c r="L1385">
        <v>106</v>
      </c>
      <c r="M1385">
        <v>44.8</v>
      </c>
      <c r="N1385">
        <v>46.1</v>
      </c>
      <c r="O1385">
        <v>220.3</v>
      </c>
    </row>
    <row r="1386" spans="1:15">
      <c r="A1386">
        <v>1777</v>
      </c>
      <c r="B1386" t="s">
        <v>3555</v>
      </c>
      <c r="C1386" t="s">
        <v>3556</v>
      </c>
      <c r="D1386" t="s">
        <v>10713</v>
      </c>
      <c r="E1386" t="s">
        <v>10714</v>
      </c>
      <c r="F1386" t="s">
        <v>10715</v>
      </c>
      <c r="G1386" t="s">
        <v>5904</v>
      </c>
      <c r="H1386">
        <v>247</v>
      </c>
      <c r="I1386">
        <v>243</v>
      </c>
      <c r="J1386">
        <v>244</v>
      </c>
      <c r="K1386">
        <v>141</v>
      </c>
      <c r="L1386">
        <v>173</v>
      </c>
      <c r="M1386">
        <v>57.1</v>
      </c>
      <c r="N1386">
        <v>70</v>
      </c>
      <c r="O1386">
        <v>280</v>
      </c>
    </row>
    <row r="1387" spans="1:15">
      <c r="A1387">
        <v>1776</v>
      </c>
      <c r="B1387" t="s">
        <v>3557</v>
      </c>
      <c r="C1387" t="s">
        <v>3558</v>
      </c>
      <c r="D1387" t="s">
        <v>10716</v>
      </c>
      <c r="E1387" t="s">
        <v>10717</v>
      </c>
      <c r="F1387" t="s">
        <v>10718</v>
      </c>
      <c r="G1387" t="s">
        <v>5900</v>
      </c>
      <c r="H1387">
        <v>473</v>
      </c>
      <c r="I1387">
        <v>232</v>
      </c>
      <c r="J1387">
        <v>232</v>
      </c>
      <c r="K1387">
        <v>204</v>
      </c>
      <c r="L1387">
        <v>207</v>
      </c>
      <c r="M1387">
        <v>43.1</v>
      </c>
      <c r="N1387">
        <v>43.8</v>
      </c>
      <c r="O1387">
        <v>368.6</v>
      </c>
    </row>
    <row r="1388" spans="1:15">
      <c r="A1388">
        <v>2258</v>
      </c>
      <c r="B1388" t="s">
        <v>3559</v>
      </c>
      <c r="C1388" t="s">
        <v>3560</v>
      </c>
      <c r="D1388" t="s">
        <v>10719</v>
      </c>
      <c r="E1388" t="s">
        <v>10720</v>
      </c>
      <c r="F1388" t="s">
        <v>10721</v>
      </c>
      <c r="G1388" t="s">
        <v>5904</v>
      </c>
      <c r="H1388">
        <v>243</v>
      </c>
      <c r="I1388">
        <v>240</v>
      </c>
      <c r="J1388">
        <v>243</v>
      </c>
      <c r="K1388">
        <v>232</v>
      </c>
      <c r="L1388">
        <v>235</v>
      </c>
      <c r="M1388">
        <v>95.5</v>
      </c>
      <c r="N1388">
        <v>96.7</v>
      </c>
      <c r="O1388">
        <v>455.3</v>
      </c>
    </row>
    <row r="1389" spans="1:15">
      <c r="A1389">
        <v>1775</v>
      </c>
      <c r="B1389" t="s">
        <v>3561</v>
      </c>
      <c r="C1389" t="s">
        <v>3563</v>
      </c>
      <c r="D1389" t="s">
        <v>7927</v>
      </c>
      <c r="E1389" t="s">
        <v>7928</v>
      </c>
      <c r="F1389" t="s">
        <v>10722</v>
      </c>
      <c r="G1389" t="s">
        <v>5896</v>
      </c>
      <c r="H1389">
        <v>175</v>
      </c>
      <c r="I1389">
        <v>444</v>
      </c>
      <c r="J1389">
        <v>161</v>
      </c>
      <c r="K1389">
        <v>159</v>
      </c>
      <c r="L1389">
        <v>159</v>
      </c>
      <c r="M1389">
        <v>90.9</v>
      </c>
      <c r="N1389">
        <v>90.9</v>
      </c>
      <c r="O1389">
        <v>334.7</v>
      </c>
    </row>
    <row r="1390" spans="1:15">
      <c r="A1390">
        <v>2209</v>
      </c>
      <c r="B1390" t="s">
        <v>10723</v>
      </c>
      <c r="C1390" t="s">
        <v>3566</v>
      </c>
      <c r="D1390" t="s">
        <v>10724</v>
      </c>
      <c r="E1390" t="s">
        <v>10725</v>
      </c>
      <c r="F1390" t="s">
        <v>10726</v>
      </c>
      <c r="G1390" t="s">
        <v>5904</v>
      </c>
      <c r="H1390">
        <v>407</v>
      </c>
      <c r="I1390">
        <v>408</v>
      </c>
      <c r="J1390">
        <v>408</v>
      </c>
      <c r="K1390">
        <v>404</v>
      </c>
      <c r="L1390">
        <v>404</v>
      </c>
      <c r="M1390">
        <v>99.3</v>
      </c>
      <c r="N1390">
        <v>99.3</v>
      </c>
      <c r="O1390">
        <v>804.7</v>
      </c>
    </row>
    <row r="1391" spans="1:15">
      <c r="A1391">
        <v>2208</v>
      </c>
      <c r="B1391" t="s">
        <v>10727</v>
      </c>
      <c r="C1391" t="s">
        <v>10728</v>
      </c>
      <c r="D1391" t="s">
        <v>10729</v>
      </c>
      <c r="E1391" t="s">
        <v>10730</v>
      </c>
      <c r="F1391" t="s">
        <v>10731</v>
      </c>
      <c r="G1391" t="s">
        <v>5904</v>
      </c>
      <c r="H1391">
        <v>558</v>
      </c>
      <c r="I1391">
        <v>553</v>
      </c>
      <c r="J1391">
        <v>558</v>
      </c>
      <c r="K1391">
        <v>530</v>
      </c>
      <c r="L1391">
        <v>540</v>
      </c>
      <c r="M1391">
        <v>95</v>
      </c>
      <c r="N1391">
        <v>96.8</v>
      </c>
      <c r="O1391">
        <v>962.2</v>
      </c>
    </row>
    <row r="1392" spans="1:15">
      <c r="A1392">
        <v>2207</v>
      </c>
      <c r="B1392" t="s">
        <v>3570</v>
      </c>
      <c r="C1392" t="s">
        <v>3571</v>
      </c>
      <c r="D1392" t="s">
        <v>10732</v>
      </c>
      <c r="E1392" t="s">
        <v>10733</v>
      </c>
      <c r="F1392" t="s">
        <v>10734</v>
      </c>
      <c r="G1392" t="s">
        <v>5904</v>
      </c>
      <c r="H1392">
        <v>270</v>
      </c>
      <c r="I1392">
        <v>270</v>
      </c>
      <c r="J1392">
        <v>270</v>
      </c>
      <c r="K1392">
        <v>226</v>
      </c>
      <c r="L1392">
        <v>248</v>
      </c>
      <c r="M1392">
        <v>83.7</v>
      </c>
      <c r="N1392">
        <v>91.9</v>
      </c>
      <c r="O1392">
        <v>453</v>
      </c>
    </row>
    <row r="1393" spans="1:15">
      <c r="A1393">
        <v>1774</v>
      </c>
      <c r="B1393" t="s">
        <v>10735</v>
      </c>
      <c r="C1393" t="s">
        <v>3574</v>
      </c>
      <c r="D1393" t="s">
        <v>10736</v>
      </c>
      <c r="E1393" t="s">
        <v>10737</v>
      </c>
      <c r="F1393" t="s">
        <v>10738</v>
      </c>
      <c r="G1393" t="s">
        <v>5904</v>
      </c>
      <c r="H1393">
        <v>665</v>
      </c>
      <c r="I1393">
        <v>664</v>
      </c>
      <c r="J1393">
        <v>665</v>
      </c>
      <c r="K1393">
        <v>637</v>
      </c>
      <c r="L1393">
        <v>649</v>
      </c>
      <c r="M1393">
        <v>95.8</v>
      </c>
      <c r="N1393">
        <v>97.6</v>
      </c>
      <c r="O1393">
        <v>1294.3</v>
      </c>
    </row>
    <row r="1394" spans="1:15">
      <c r="A1394">
        <v>1773</v>
      </c>
      <c r="B1394" t="s">
        <v>3575</v>
      </c>
      <c r="C1394" t="s">
        <v>3577</v>
      </c>
      <c r="D1394" t="s">
        <v>7192</v>
      </c>
      <c r="E1394" t="s">
        <v>7193</v>
      </c>
      <c r="F1394" t="s">
        <v>10739</v>
      </c>
      <c r="G1394" t="s">
        <v>6759</v>
      </c>
      <c r="H1394">
        <v>327</v>
      </c>
      <c r="I1394">
        <v>187</v>
      </c>
      <c r="J1394">
        <v>186</v>
      </c>
      <c r="K1394">
        <v>119</v>
      </c>
      <c r="L1394">
        <v>134</v>
      </c>
      <c r="M1394">
        <v>36.4</v>
      </c>
      <c r="N1394">
        <v>41</v>
      </c>
      <c r="O1394">
        <v>228.4</v>
      </c>
    </row>
    <row r="1395" spans="1:15">
      <c r="A1395">
        <v>2206</v>
      </c>
      <c r="B1395" t="s">
        <v>10740</v>
      </c>
      <c r="C1395" t="s">
        <v>10741</v>
      </c>
      <c r="D1395" t="s">
        <v>10742</v>
      </c>
      <c r="E1395" t="s">
        <v>10743</v>
      </c>
      <c r="F1395" t="s">
        <v>10744</v>
      </c>
      <c r="G1395" t="s">
        <v>5904</v>
      </c>
      <c r="H1395">
        <v>809</v>
      </c>
      <c r="I1395">
        <v>791</v>
      </c>
      <c r="J1395">
        <v>791</v>
      </c>
      <c r="K1395">
        <v>674</v>
      </c>
      <c r="L1395">
        <v>729</v>
      </c>
      <c r="M1395">
        <v>83.3</v>
      </c>
      <c r="N1395">
        <v>90.1</v>
      </c>
      <c r="O1395">
        <v>1407.1</v>
      </c>
    </row>
    <row r="1396" spans="1:15">
      <c r="A1396">
        <v>1772</v>
      </c>
      <c r="B1396" t="s">
        <v>3581</v>
      </c>
      <c r="C1396" t="s">
        <v>3582</v>
      </c>
      <c r="D1396" t="s">
        <v>10745</v>
      </c>
      <c r="E1396" t="s">
        <v>10746</v>
      </c>
      <c r="F1396" t="s">
        <v>10747</v>
      </c>
      <c r="G1396" t="s">
        <v>5904</v>
      </c>
      <c r="H1396">
        <v>580</v>
      </c>
      <c r="I1396">
        <v>556</v>
      </c>
      <c r="J1396">
        <v>510</v>
      </c>
      <c r="K1396">
        <v>384</v>
      </c>
      <c r="L1396">
        <v>440</v>
      </c>
      <c r="M1396">
        <v>66.2</v>
      </c>
      <c r="N1396">
        <v>75.900000000000006</v>
      </c>
      <c r="O1396">
        <v>830.1</v>
      </c>
    </row>
    <row r="1397" spans="1:15">
      <c r="A1397">
        <v>1771</v>
      </c>
      <c r="B1397" t="s">
        <v>3583</v>
      </c>
      <c r="C1397" t="s">
        <v>3584</v>
      </c>
      <c r="D1397" t="s">
        <v>10748</v>
      </c>
      <c r="E1397" t="s">
        <v>10749</v>
      </c>
      <c r="F1397" t="s">
        <v>10750</v>
      </c>
      <c r="G1397" t="s">
        <v>5904</v>
      </c>
      <c r="H1397">
        <v>1109</v>
      </c>
      <c r="I1397">
        <v>1064</v>
      </c>
      <c r="J1397">
        <v>1070</v>
      </c>
      <c r="K1397">
        <v>844</v>
      </c>
      <c r="L1397">
        <v>941</v>
      </c>
      <c r="M1397">
        <v>76.099999999999994</v>
      </c>
      <c r="N1397">
        <v>84.9</v>
      </c>
      <c r="O1397">
        <v>1603.2</v>
      </c>
    </row>
    <row r="1398" spans="1:15">
      <c r="A1398">
        <v>1770</v>
      </c>
      <c r="B1398" t="s">
        <v>3585</v>
      </c>
      <c r="C1398" t="s">
        <v>3586</v>
      </c>
      <c r="D1398" t="s">
        <v>10751</v>
      </c>
      <c r="E1398" t="s">
        <v>10752</v>
      </c>
      <c r="F1398" t="s">
        <v>10753</v>
      </c>
      <c r="G1398" t="s">
        <v>5900</v>
      </c>
      <c r="H1398">
        <v>198</v>
      </c>
      <c r="I1398">
        <v>102</v>
      </c>
      <c r="J1398">
        <v>97</v>
      </c>
      <c r="K1398">
        <v>86</v>
      </c>
      <c r="L1398">
        <v>92</v>
      </c>
      <c r="M1398">
        <v>43.4</v>
      </c>
      <c r="N1398">
        <v>46.5</v>
      </c>
      <c r="O1398">
        <v>64.3</v>
      </c>
    </row>
    <row r="1399" spans="1:15">
      <c r="A1399">
        <v>1769</v>
      </c>
      <c r="B1399" t="s">
        <v>3587</v>
      </c>
      <c r="C1399" t="s">
        <v>3588</v>
      </c>
      <c r="D1399" t="s">
        <v>10754</v>
      </c>
      <c r="E1399" t="s">
        <v>10755</v>
      </c>
      <c r="F1399" t="s">
        <v>10756</v>
      </c>
      <c r="G1399" t="s">
        <v>5904</v>
      </c>
      <c r="H1399">
        <v>254</v>
      </c>
      <c r="I1399">
        <v>237</v>
      </c>
      <c r="J1399">
        <v>224</v>
      </c>
      <c r="K1399">
        <v>137</v>
      </c>
      <c r="L1399">
        <v>164</v>
      </c>
      <c r="M1399">
        <v>53.9</v>
      </c>
      <c r="N1399">
        <v>64.599999999999994</v>
      </c>
      <c r="O1399">
        <v>238</v>
      </c>
    </row>
    <row r="1400" spans="1:15">
      <c r="A1400">
        <v>2205</v>
      </c>
      <c r="B1400" t="s">
        <v>3589</v>
      </c>
      <c r="C1400" t="s">
        <v>10757</v>
      </c>
      <c r="D1400" t="s">
        <v>10758</v>
      </c>
      <c r="E1400" t="s">
        <v>10759</v>
      </c>
      <c r="F1400" t="s">
        <v>10760</v>
      </c>
      <c r="G1400" t="s">
        <v>5904</v>
      </c>
      <c r="H1400">
        <v>184</v>
      </c>
      <c r="I1400">
        <v>184</v>
      </c>
      <c r="J1400">
        <v>184</v>
      </c>
      <c r="K1400">
        <v>184</v>
      </c>
      <c r="L1400">
        <v>184</v>
      </c>
      <c r="M1400">
        <v>100</v>
      </c>
      <c r="N1400">
        <v>100</v>
      </c>
      <c r="O1400">
        <v>378.6</v>
      </c>
    </row>
    <row r="1401" spans="1:15">
      <c r="A1401">
        <v>2204</v>
      </c>
      <c r="B1401" t="s">
        <v>10761</v>
      </c>
      <c r="C1401" t="s">
        <v>3593</v>
      </c>
      <c r="D1401" t="s">
        <v>10762</v>
      </c>
      <c r="E1401" t="s">
        <v>10763</v>
      </c>
      <c r="F1401" t="s">
        <v>10764</v>
      </c>
      <c r="G1401" t="s">
        <v>5904</v>
      </c>
      <c r="H1401">
        <v>283</v>
      </c>
      <c r="I1401">
        <v>248</v>
      </c>
      <c r="J1401">
        <v>243</v>
      </c>
      <c r="K1401">
        <v>240</v>
      </c>
      <c r="L1401">
        <v>242</v>
      </c>
      <c r="M1401">
        <v>84.8</v>
      </c>
      <c r="N1401">
        <v>85.5</v>
      </c>
      <c r="O1401">
        <v>486.9</v>
      </c>
    </row>
    <row r="1402" spans="1:15">
      <c r="A1402">
        <v>2203</v>
      </c>
      <c r="B1402" t="s">
        <v>3594</v>
      </c>
      <c r="C1402" t="s">
        <v>3595</v>
      </c>
      <c r="D1402" t="s">
        <v>10765</v>
      </c>
      <c r="E1402" t="s">
        <v>10766</v>
      </c>
      <c r="F1402" t="s">
        <v>10767</v>
      </c>
      <c r="G1402" t="s">
        <v>5904</v>
      </c>
      <c r="H1402">
        <v>426</v>
      </c>
      <c r="I1402">
        <v>362</v>
      </c>
      <c r="J1402">
        <v>359</v>
      </c>
      <c r="K1402">
        <v>308</v>
      </c>
      <c r="L1402">
        <v>333</v>
      </c>
      <c r="M1402">
        <v>72.3</v>
      </c>
      <c r="N1402">
        <v>78.2</v>
      </c>
      <c r="O1402">
        <v>641.70000000000005</v>
      </c>
    </row>
    <row r="1403" spans="1:15">
      <c r="A1403">
        <v>1768</v>
      </c>
      <c r="B1403" t="s">
        <v>3596</v>
      </c>
      <c r="C1403" t="s">
        <v>10768</v>
      </c>
      <c r="D1403" t="s">
        <v>10769</v>
      </c>
      <c r="E1403" t="s">
        <v>10770</v>
      </c>
      <c r="F1403" t="s">
        <v>10771</v>
      </c>
      <c r="G1403" t="s">
        <v>5904</v>
      </c>
      <c r="H1403">
        <v>323</v>
      </c>
      <c r="I1403">
        <v>322</v>
      </c>
      <c r="J1403">
        <v>323</v>
      </c>
      <c r="K1403">
        <v>322</v>
      </c>
      <c r="L1403">
        <v>322</v>
      </c>
      <c r="M1403">
        <v>99.7</v>
      </c>
      <c r="N1403">
        <v>99.7</v>
      </c>
      <c r="O1403">
        <v>648.29999999999995</v>
      </c>
    </row>
    <row r="1404" spans="1:15">
      <c r="A1404">
        <v>1767</v>
      </c>
      <c r="B1404" t="s">
        <v>10772</v>
      </c>
      <c r="C1404" t="s">
        <v>10773</v>
      </c>
      <c r="D1404" t="s">
        <v>10774</v>
      </c>
      <c r="E1404" t="s">
        <v>10775</v>
      </c>
      <c r="F1404" t="s">
        <v>10776</v>
      </c>
      <c r="G1404" t="s">
        <v>5904</v>
      </c>
      <c r="H1404">
        <v>372</v>
      </c>
      <c r="I1404">
        <v>372</v>
      </c>
      <c r="J1404">
        <v>372</v>
      </c>
      <c r="K1404">
        <v>372</v>
      </c>
      <c r="L1404">
        <v>372</v>
      </c>
      <c r="M1404">
        <v>100</v>
      </c>
      <c r="N1404">
        <v>100</v>
      </c>
      <c r="O1404">
        <v>748</v>
      </c>
    </row>
    <row r="1405" spans="1:15">
      <c r="A1405">
        <v>1766</v>
      </c>
      <c r="B1405" t="s">
        <v>10777</v>
      </c>
      <c r="C1405" t="s">
        <v>3604</v>
      </c>
      <c r="D1405" t="s">
        <v>10778</v>
      </c>
      <c r="E1405" t="s">
        <v>10779</v>
      </c>
      <c r="F1405" t="s">
        <v>10780</v>
      </c>
      <c r="G1405" t="s">
        <v>5904</v>
      </c>
      <c r="H1405">
        <v>1205</v>
      </c>
      <c r="I1405">
        <v>1212</v>
      </c>
      <c r="J1405">
        <v>1213</v>
      </c>
      <c r="K1405">
        <v>1150</v>
      </c>
      <c r="L1405">
        <v>1172</v>
      </c>
      <c r="M1405">
        <v>95.4</v>
      </c>
      <c r="N1405">
        <v>97.3</v>
      </c>
      <c r="O1405">
        <v>2245.3000000000002</v>
      </c>
    </row>
    <row r="1406" spans="1:15">
      <c r="A1406">
        <v>1765</v>
      </c>
      <c r="B1406" t="s">
        <v>3605</v>
      </c>
      <c r="C1406" t="s">
        <v>3606</v>
      </c>
      <c r="D1406" t="s">
        <v>10781</v>
      </c>
      <c r="E1406" t="s">
        <v>10782</v>
      </c>
      <c r="F1406" t="s">
        <v>10783</v>
      </c>
      <c r="G1406" t="s">
        <v>5904</v>
      </c>
      <c r="H1406">
        <v>1216</v>
      </c>
      <c r="I1406">
        <v>1211</v>
      </c>
      <c r="J1406">
        <v>1216</v>
      </c>
      <c r="K1406">
        <v>1105</v>
      </c>
      <c r="L1406">
        <v>1146</v>
      </c>
      <c r="M1406">
        <v>90.9</v>
      </c>
      <c r="N1406">
        <v>94.2</v>
      </c>
      <c r="O1406">
        <v>2204.1</v>
      </c>
    </row>
    <row r="1407" spans="1:15">
      <c r="A1407">
        <v>1764</v>
      </c>
      <c r="B1407" t="s">
        <v>3607</v>
      </c>
      <c r="C1407" t="s">
        <v>3608</v>
      </c>
      <c r="D1407" t="s">
        <v>10784</v>
      </c>
      <c r="E1407" t="s">
        <v>10785</v>
      </c>
      <c r="F1407" t="s">
        <v>10786</v>
      </c>
      <c r="G1407" t="s">
        <v>5904</v>
      </c>
      <c r="H1407">
        <v>737</v>
      </c>
      <c r="I1407">
        <v>736</v>
      </c>
      <c r="J1407">
        <v>737</v>
      </c>
      <c r="K1407">
        <v>634</v>
      </c>
      <c r="L1407">
        <v>681</v>
      </c>
      <c r="M1407">
        <v>86</v>
      </c>
      <c r="N1407">
        <v>92.4</v>
      </c>
      <c r="O1407">
        <v>1322</v>
      </c>
    </row>
    <row r="1408" spans="1:15">
      <c r="A1408">
        <v>1763</v>
      </c>
      <c r="B1408" t="s">
        <v>3609</v>
      </c>
      <c r="C1408" t="s">
        <v>10787</v>
      </c>
      <c r="D1408" t="s">
        <v>10788</v>
      </c>
      <c r="E1408" t="s">
        <v>10789</v>
      </c>
      <c r="F1408" t="s">
        <v>10790</v>
      </c>
      <c r="G1408" t="s">
        <v>5904</v>
      </c>
      <c r="H1408">
        <v>419</v>
      </c>
      <c r="I1408">
        <v>419</v>
      </c>
      <c r="J1408">
        <v>419</v>
      </c>
      <c r="K1408">
        <v>396</v>
      </c>
      <c r="L1408">
        <v>406</v>
      </c>
      <c r="M1408">
        <v>94.5</v>
      </c>
      <c r="N1408">
        <v>96.9</v>
      </c>
      <c r="O1408">
        <v>832</v>
      </c>
    </row>
    <row r="1409" spans="1:15">
      <c r="A1409">
        <v>1762</v>
      </c>
      <c r="B1409" t="s">
        <v>3611</v>
      </c>
      <c r="C1409" t="s">
        <v>3612</v>
      </c>
      <c r="D1409" t="s">
        <v>10791</v>
      </c>
      <c r="E1409" t="s">
        <v>10792</v>
      </c>
      <c r="F1409" t="s">
        <v>10793</v>
      </c>
      <c r="G1409" t="s">
        <v>5904</v>
      </c>
      <c r="H1409">
        <v>843</v>
      </c>
      <c r="I1409">
        <v>843</v>
      </c>
      <c r="J1409">
        <v>842</v>
      </c>
      <c r="K1409">
        <v>710</v>
      </c>
      <c r="L1409">
        <v>762</v>
      </c>
      <c r="M1409">
        <v>84.2</v>
      </c>
      <c r="N1409">
        <v>90.4</v>
      </c>
      <c r="O1409">
        <v>1432.9</v>
      </c>
    </row>
    <row r="1410" spans="1:15">
      <c r="A1410">
        <v>1761</v>
      </c>
      <c r="B1410" t="s">
        <v>10794</v>
      </c>
      <c r="C1410" t="s">
        <v>10795</v>
      </c>
      <c r="D1410" t="s">
        <v>10796</v>
      </c>
      <c r="E1410" t="s">
        <v>10797</v>
      </c>
      <c r="F1410" t="s">
        <v>10798</v>
      </c>
      <c r="G1410" t="s">
        <v>5904</v>
      </c>
      <c r="H1410">
        <v>1164</v>
      </c>
      <c r="I1410">
        <v>929</v>
      </c>
      <c r="J1410">
        <v>910</v>
      </c>
      <c r="K1410">
        <v>757</v>
      </c>
      <c r="L1410">
        <v>803</v>
      </c>
      <c r="M1410">
        <v>65</v>
      </c>
      <c r="N1410">
        <v>69</v>
      </c>
      <c r="O1410">
        <v>1420.6</v>
      </c>
    </row>
    <row r="1411" spans="1:15">
      <c r="A1411">
        <v>1760</v>
      </c>
      <c r="B1411" t="s">
        <v>3616</v>
      </c>
      <c r="C1411" t="s">
        <v>3617</v>
      </c>
      <c r="D1411" t="s">
        <v>10799</v>
      </c>
      <c r="E1411" t="s">
        <v>10800</v>
      </c>
      <c r="F1411" t="s">
        <v>10801</v>
      </c>
      <c r="G1411" t="s">
        <v>5904</v>
      </c>
      <c r="H1411">
        <v>224</v>
      </c>
      <c r="I1411">
        <v>224</v>
      </c>
      <c r="J1411">
        <v>224</v>
      </c>
      <c r="K1411">
        <v>220</v>
      </c>
      <c r="L1411">
        <v>220</v>
      </c>
      <c r="M1411">
        <v>98.2</v>
      </c>
      <c r="N1411">
        <v>98.2</v>
      </c>
      <c r="O1411">
        <v>460.7</v>
      </c>
    </row>
    <row r="1412" spans="1:15">
      <c r="A1412">
        <v>1759</v>
      </c>
      <c r="B1412" t="s">
        <v>10802</v>
      </c>
      <c r="C1412" t="s">
        <v>3620</v>
      </c>
      <c r="D1412" t="s">
        <v>10803</v>
      </c>
      <c r="E1412" t="s">
        <v>10804</v>
      </c>
      <c r="F1412" t="s">
        <v>10805</v>
      </c>
      <c r="G1412" t="s">
        <v>5904</v>
      </c>
      <c r="H1412">
        <v>624</v>
      </c>
      <c r="I1412">
        <v>628</v>
      </c>
      <c r="J1412">
        <v>542</v>
      </c>
      <c r="K1412">
        <v>531</v>
      </c>
      <c r="L1412">
        <v>531</v>
      </c>
      <c r="M1412">
        <v>85.1</v>
      </c>
      <c r="N1412">
        <v>85.1</v>
      </c>
      <c r="O1412">
        <v>1087.8</v>
      </c>
    </row>
    <row r="1413" spans="1:15">
      <c r="A1413">
        <v>1758</v>
      </c>
      <c r="B1413" t="s">
        <v>3621</v>
      </c>
      <c r="C1413" t="s">
        <v>3622</v>
      </c>
      <c r="D1413" t="s">
        <v>10806</v>
      </c>
      <c r="E1413" t="s">
        <v>10807</v>
      </c>
      <c r="F1413" t="s">
        <v>10808</v>
      </c>
      <c r="G1413" t="s">
        <v>5904</v>
      </c>
      <c r="H1413">
        <v>838</v>
      </c>
      <c r="I1413">
        <v>840</v>
      </c>
      <c r="J1413">
        <v>840</v>
      </c>
      <c r="K1413">
        <v>812</v>
      </c>
      <c r="L1413">
        <v>824</v>
      </c>
      <c r="M1413">
        <v>96.9</v>
      </c>
      <c r="N1413">
        <v>98.3</v>
      </c>
      <c r="O1413">
        <v>1672.5</v>
      </c>
    </row>
    <row r="1414" spans="1:15">
      <c r="A1414">
        <v>1757</v>
      </c>
      <c r="B1414" t="s">
        <v>3623</v>
      </c>
      <c r="C1414" t="s">
        <v>10809</v>
      </c>
      <c r="D1414" t="s">
        <v>10810</v>
      </c>
      <c r="E1414" t="s">
        <v>10811</v>
      </c>
      <c r="F1414" t="s">
        <v>10812</v>
      </c>
      <c r="G1414" t="s">
        <v>5904</v>
      </c>
      <c r="H1414">
        <v>90</v>
      </c>
      <c r="I1414">
        <v>90</v>
      </c>
      <c r="J1414">
        <v>90</v>
      </c>
      <c r="K1414">
        <v>89</v>
      </c>
      <c r="L1414">
        <v>90</v>
      </c>
      <c r="M1414">
        <v>98.9</v>
      </c>
      <c r="N1414">
        <v>100</v>
      </c>
      <c r="O1414">
        <v>159.1</v>
      </c>
    </row>
    <row r="1415" spans="1:15">
      <c r="A1415">
        <v>2202</v>
      </c>
      <c r="B1415" t="s">
        <v>3625</v>
      </c>
      <c r="C1415" t="s">
        <v>3626</v>
      </c>
      <c r="D1415" t="s">
        <v>10813</v>
      </c>
      <c r="E1415" t="s">
        <v>10814</v>
      </c>
      <c r="F1415" t="s">
        <v>10815</v>
      </c>
      <c r="G1415" t="s">
        <v>5904</v>
      </c>
      <c r="H1415">
        <v>4401</v>
      </c>
      <c r="I1415">
        <v>4391</v>
      </c>
      <c r="J1415">
        <v>4382</v>
      </c>
      <c r="K1415">
        <v>3958</v>
      </c>
      <c r="L1415">
        <v>4120</v>
      </c>
      <c r="M1415">
        <v>89.9</v>
      </c>
      <c r="N1415">
        <v>93.6</v>
      </c>
      <c r="O1415">
        <v>8116.5</v>
      </c>
    </row>
    <row r="1416" spans="1:15">
      <c r="A1416">
        <v>1756</v>
      </c>
      <c r="B1416" t="s">
        <v>3627</v>
      </c>
      <c r="C1416" t="s">
        <v>10816</v>
      </c>
      <c r="D1416" t="s">
        <v>10817</v>
      </c>
      <c r="E1416" t="s">
        <v>10818</v>
      </c>
      <c r="F1416" t="s">
        <v>10819</v>
      </c>
      <c r="G1416" t="s">
        <v>5904</v>
      </c>
      <c r="H1416">
        <v>322</v>
      </c>
      <c r="I1416">
        <v>322</v>
      </c>
      <c r="J1416">
        <v>322</v>
      </c>
      <c r="K1416">
        <v>316</v>
      </c>
      <c r="L1416">
        <v>322</v>
      </c>
      <c r="M1416">
        <v>98.1</v>
      </c>
      <c r="N1416">
        <v>100</v>
      </c>
      <c r="O1416">
        <v>662.9</v>
      </c>
    </row>
    <row r="1417" spans="1:15">
      <c r="A1417">
        <v>1755</v>
      </c>
      <c r="B1417" t="s">
        <v>10820</v>
      </c>
      <c r="C1417" t="s">
        <v>3631</v>
      </c>
      <c r="D1417" t="s">
        <v>10821</v>
      </c>
      <c r="E1417" t="s">
        <v>10822</v>
      </c>
      <c r="F1417" t="s">
        <v>10823</v>
      </c>
      <c r="G1417" t="s">
        <v>5904</v>
      </c>
      <c r="H1417">
        <v>770</v>
      </c>
      <c r="I1417">
        <v>770</v>
      </c>
      <c r="J1417">
        <v>743</v>
      </c>
      <c r="K1417">
        <v>672</v>
      </c>
      <c r="L1417">
        <v>690</v>
      </c>
      <c r="M1417">
        <v>87.3</v>
      </c>
      <c r="N1417">
        <v>89.6</v>
      </c>
      <c r="O1417">
        <v>1264.5999999999999</v>
      </c>
    </row>
    <row r="1418" spans="1:15">
      <c r="A1418">
        <v>1754</v>
      </c>
      <c r="B1418" t="s">
        <v>10824</v>
      </c>
      <c r="C1418" t="s">
        <v>10825</v>
      </c>
      <c r="D1418" t="s">
        <v>10826</v>
      </c>
      <c r="E1418" t="s">
        <v>10827</v>
      </c>
      <c r="F1418" t="s">
        <v>10828</v>
      </c>
      <c r="G1418" t="s">
        <v>5904</v>
      </c>
      <c r="H1418">
        <v>1073</v>
      </c>
      <c r="I1418">
        <v>1074</v>
      </c>
      <c r="J1418">
        <v>1074</v>
      </c>
      <c r="K1418">
        <v>1020</v>
      </c>
      <c r="L1418">
        <v>1046</v>
      </c>
      <c r="M1418">
        <v>95.1</v>
      </c>
      <c r="N1418">
        <v>97.5</v>
      </c>
      <c r="O1418">
        <v>2142.5</v>
      </c>
    </row>
    <row r="1419" spans="1:15">
      <c r="A1419">
        <v>1753</v>
      </c>
      <c r="B1419" t="s">
        <v>10829</v>
      </c>
      <c r="C1419" t="s">
        <v>5768</v>
      </c>
      <c r="D1419" t="s">
        <v>10830</v>
      </c>
      <c r="E1419" t="s">
        <v>10831</v>
      </c>
      <c r="F1419" t="s">
        <v>10832</v>
      </c>
      <c r="G1419" t="s">
        <v>5904</v>
      </c>
      <c r="H1419">
        <v>640</v>
      </c>
      <c r="I1419">
        <v>598</v>
      </c>
      <c r="J1419">
        <v>604</v>
      </c>
      <c r="K1419">
        <v>559</v>
      </c>
      <c r="L1419">
        <v>577</v>
      </c>
      <c r="M1419">
        <v>87.3</v>
      </c>
      <c r="N1419">
        <v>90.2</v>
      </c>
      <c r="O1419">
        <v>1120.2</v>
      </c>
    </row>
    <row r="1420" spans="1:15">
      <c r="A1420">
        <v>1752</v>
      </c>
      <c r="B1420" t="s">
        <v>3635</v>
      </c>
      <c r="C1420" t="s">
        <v>3636</v>
      </c>
      <c r="D1420" t="s">
        <v>10833</v>
      </c>
      <c r="E1420" t="s">
        <v>10834</v>
      </c>
      <c r="F1420" t="s">
        <v>10835</v>
      </c>
      <c r="G1420" t="s">
        <v>5904</v>
      </c>
      <c r="H1420">
        <v>593</v>
      </c>
      <c r="I1420">
        <v>592</v>
      </c>
      <c r="J1420">
        <v>594</v>
      </c>
      <c r="K1420">
        <v>564</v>
      </c>
      <c r="L1420">
        <v>586</v>
      </c>
      <c r="M1420">
        <v>95.1</v>
      </c>
      <c r="N1420">
        <v>98.8</v>
      </c>
      <c r="O1420">
        <v>1068.0999999999999</v>
      </c>
    </row>
    <row r="1421" spans="1:15">
      <c r="A1421">
        <v>1751</v>
      </c>
      <c r="B1421" t="s">
        <v>10836</v>
      </c>
      <c r="C1421" t="s">
        <v>5771</v>
      </c>
      <c r="D1421" t="s">
        <v>10837</v>
      </c>
      <c r="E1421" t="s">
        <v>10838</v>
      </c>
      <c r="F1421" t="s">
        <v>10839</v>
      </c>
      <c r="G1421" t="s">
        <v>5904</v>
      </c>
      <c r="H1421">
        <v>800</v>
      </c>
      <c r="I1421">
        <v>708</v>
      </c>
      <c r="J1421">
        <v>713</v>
      </c>
      <c r="K1421">
        <v>555</v>
      </c>
      <c r="L1421">
        <v>609</v>
      </c>
      <c r="M1421">
        <v>69.400000000000006</v>
      </c>
      <c r="N1421">
        <v>76.099999999999994</v>
      </c>
      <c r="O1421">
        <v>956.8</v>
      </c>
    </row>
    <row r="1422" spans="1:15">
      <c r="A1422">
        <v>1750</v>
      </c>
      <c r="B1422" t="s">
        <v>10840</v>
      </c>
      <c r="C1422" t="s">
        <v>3639</v>
      </c>
      <c r="D1422" t="s">
        <v>10841</v>
      </c>
      <c r="E1422" t="s">
        <v>10842</v>
      </c>
      <c r="F1422" t="s">
        <v>10843</v>
      </c>
      <c r="G1422" t="s">
        <v>5904</v>
      </c>
      <c r="H1422">
        <v>898</v>
      </c>
      <c r="I1422">
        <v>898</v>
      </c>
      <c r="J1422">
        <v>898</v>
      </c>
      <c r="K1422">
        <v>898</v>
      </c>
      <c r="L1422">
        <v>898</v>
      </c>
      <c r="M1422">
        <v>100</v>
      </c>
      <c r="N1422">
        <v>100</v>
      </c>
      <c r="O1422">
        <v>1855.9</v>
      </c>
    </row>
    <row r="1423" spans="1:15">
      <c r="A1423">
        <v>1749</v>
      </c>
      <c r="B1423" t="s">
        <v>10844</v>
      </c>
      <c r="C1423" t="s">
        <v>3642</v>
      </c>
      <c r="D1423" t="s">
        <v>10845</v>
      </c>
      <c r="E1423" t="s">
        <v>10846</v>
      </c>
      <c r="F1423" t="s">
        <v>10847</v>
      </c>
      <c r="G1423" t="s">
        <v>5904</v>
      </c>
      <c r="H1423">
        <v>643</v>
      </c>
      <c r="I1423">
        <v>625</v>
      </c>
      <c r="J1423">
        <v>643</v>
      </c>
      <c r="K1423">
        <v>610</v>
      </c>
      <c r="L1423">
        <v>619</v>
      </c>
      <c r="M1423">
        <v>94.9</v>
      </c>
      <c r="N1423">
        <v>96.3</v>
      </c>
      <c r="O1423">
        <v>1251.0999999999999</v>
      </c>
    </row>
    <row r="1424" spans="1:15">
      <c r="A1424">
        <v>1748</v>
      </c>
      <c r="B1424" t="s">
        <v>3643</v>
      </c>
      <c r="C1424" t="s">
        <v>10848</v>
      </c>
      <c r="D1424" t="s">
        <v>10849</v>
      </c>
      <c r="E1424" t="s">
        <v>10850</v>
      </c>
      <c r="F1424" t="s">
        <v>10851</v>
      </c>
      <c r="G1424" t="s">
        <v>5904</v>
      </c>
      <c r="H1424">
        <v>539</v>
      </c>
      <c r="I1424">
        <v>539</v>
      </c>
      <c r="J1424">
        <v>539</v>
      </c>
      <c r="K1424">
        <v>516</v>
      </c>
      <c r="L1424">
        <v>529</v>
      </c>
      <c r="M1424">
        <v>95.7</v>
      </c>
      <c r="N1424">
        <v>98.1</v>
      </c>
      <c r="O1424">
        <v>1070.0999999999999</v>
      </c>
    </row>
    <row r="1425" spans="1:15">
      <c r="A1425">
        <v>1747</v>
      </c>
      <c r="B1425" t="s">
        <v>3645</v>
      </c>
      <c r="C1425" t="s">
        <v>10852</v>
      </c>
      <c r="D1425" t="s">
        <v>10853</v>
      </c>
      <c r="E1425" t="s">
        <v>10854</v>
      </c>
      <c r="F1425" t="s">
        <v>10855</v>
      </c>
      <c r="G1425" t="s">
        <v>5904</v>
      </c>
      <c r="H1425">
        <v>1086</v>
      </c>
      <c r="I1425">
        <v>1086</v>
      </c>
      <c r="J1425">
        <v>1086</v>
      </c>
      <c r="K1425">
        <v>1049</v>
      </c>
      <c r="L1425">
        <v>1068</v>
      </c>
      <c r="M1425">
        <v>96.6</v>
      </c>
      <c r="N1425">
        <v>98.3</v>
      </c>
      <c r="O1425">
        <v>2130.5</v>
      </c>
    </row>
    <row r="1426" spans="1:15">
      <c r="A1426">
        <v>1746</v>
      </c>
      <c r="B1426" t="s">
        <v>3647</v>
      </c>
      <c r="C1426" t="s">
        <v>3648</v>
      </c>
      <c r="D1426" t="s">
        <v>10856</v>
      </c>
      <c r="E1426" t="s">
        <v>10857</v>
      </c>
      <c r="F1426" t="s">
        <v>10858</v>
      </c>
      <c r="G1426" t="s">
        <v>5904</v>
      </c>
      <c r="H1426">
        <v>322</v>
      </c>
      <c r="I1426">
        <v>356</v>
      </c>
      <c r="J1426">
        <v>303</v>
      </c>
      <c r="K1426">
        <v>293</v>
      </c>
      <c r="L1426">
        <v>296</v>
      </c>
      <c r="M1426">
        <v>91</v>
      </c>
      <c r="N1426">
        <v>91.9</v>
      </c>
      <c r="O1426">
        <v>611.70000000000005</v>
      </c>
    </row>
    <row r="1427" spans="1:15">
      <c r="A1427">
        <v>1745</v>
      </c>
      <c r="B1427" t="s">
        <v>3649</v>
      </c>
      <c r="C1427" t="s">
        <v>3650</v>
      </c>
      <c r="D1427" t="s">
        <v>10859</v>
      </c>
      <c r="E1427" t="s">
        <v>10860</v>
      </c>
      <c r="F1427" t="s">
        <v>10861</v>
      </c>
      <c r="G1427" t="s">
        <v>5904</v>
      </c>
      <c r="H1427">
        <v>470</v>
      </c>
      <c r="I1427">
        <v>375</v>
      </c>
      <c r="J1427">
        <v>358</v>
      </c>
      <c r="K1427">
        <v>257</v>
      </c>
      <c r="L1427">
        <v>289</v>
      </c>
      <c r="M1427">
        <v>54.7</v>
      </c>
      <c r="N1427">
        <v>61.5</v>
      </c>
      <c r="O1427">
        <v>515</v>
      </c>
    </row>
    <row r="1428" spans="1:15">
      <c r="A1428">
        <v>1744</v>
      </c>
      <c r="B1428" t="s">
        <v>10862</v>
      </c>
      <c r="C1428" t="s">
        <v>3653</v>
      </c>
      <c r="D1428" t="s">
        <v>10863</v>
      </c>
      <c r="E1428" t="s">
        <v>10864</v>
      </c>
      <c r="F1428" t="s">
        <v>10865</v>
      </c>
      <c r="G1428" t="s">
        <v>5904</v>
      </c>
      <c r="H1428">
        <v>361</v>
      </c>
      <c r="I1428">
        <v>332</v>
      </c>
      <c r="J1428">
        <v>333</v>
      </c>
      <c r="K1428">
        <v>313</v>
      </c>
      <c r="L1428">
        <v>319</v>
      </c>
      <c r="M1428">
        <v>86.7</v>
      </c>
      <c r="N1428">
        <v>88.4</v>
      </c>
      <c r="O1428">
        <v>626.29999999999995</v>
      </c>
    </row>
    <row r="1429" spans="1:15">
      <c r="A1429">
        <v>1743</v>
      </c>
      <c r="B1429" t="s">
        <v>3654</v>
      </c>
      <c r="C1429" t="s">
        <v>3656</v>
      </c>
      <c r="D1429" t="s">
        <v>10866</v>
      </c>
      <c r="E1429" t="s">
        <v>10867</v>
      </c>
      <c r="F1429" t="s">
        <v>10868</v>
      </c>
      <c r="G1429" t="s">
        <v>5904</v>
      </c>
      <c r="H1429">
        <v>673</v>
      </c>
      <c r="I1429">
        <v>673</v>
      </c>
      <c r="J1429">
        <v>673</v>
      </c>
      <c r="K1429">
        <v>643</v>
      </c>
      <c r="L1429">
        <v>660</v>
      </c>
      <c r="M1429">
        <v>95.5</v>
      </c>
      <c r="N1429">
        <v>98.1</v>
      </c>
      <c r="O1429">
        <v>1327.4</v>
      </c>
    </row>
    <row r="1430" spans="1:15">
      <c r="A1430">
        <v>1742</v>
      </c>
      <c r="B1430" t="s">
        <v>3657</v>
      </c>
      <c r="C1430" t="s">
        <v>3658</v>
      </c>
      <c r="D1430" t="s">
        <v>10869</v>
      </c>
      <c r="E1430" t="s">
        <v>10870</v>
      </c>
      <c r="F1430" t="s">
        <v>10871</v>
      </c>
      <c r="G1430" t="s">
        <v>5904</v>
      </c>
      <c r="H1430">
        <v>950</v>
      </c>
      <c r="I1430">
        <v>934</v>
      </c>
      <c r="J1430">
        <v>936</v>
      </c>
      <c r="K1430">
        <v>772</v>
      </c>
      <c r="L1430">
        <v>852</v>
      </c>
      <c r="M1430">
        <v>81.3</v>
      </c>
      <c r="N1430">
        <v>89.7</v>
      </c>
      <c r="O1430">
        <v>1609</v>
      </c>
    </row>
    <row r="1431" spans="1:15">
      <c r="A1431">
        <v>1741</v>
      </c>
      <c r="B1431" t="s">
        <v>10872</v>
      </c>
      <c r="C1431" t="s">
        <v>10873</v>
      </c>
      <c r="D1431" t="s">
        <v>10874</v>
      </c>
      <c r="E1431" t="s">
        <v>10875</v>
      </c>
      <c r="F1431" t="s">
        <v>10876</v>
      </c>
      <c r="G1431" t="s">
        <v>5904</v>
      </c>
      <c r="H1431">
        <v>304</v>
      </c>
      <c r="I1431">
        <v>303</v>
      </c>
      <c r="J1431">
        <v>304</v>
      </c>
      <c r="K1431">
        <v>295</v>
      </c>
      <c r="L1431">
        <v>300</v>
      </c>
      <c r="M1431">
        <v>97</v>
      </c>
      <c r="N1431">
        <v>98.7</v>
      </c>
      <c r="O1431">
        <v>609.79999999999995</v>
      </c>
    </row>
    <row r="1432" spans="1:15">
      <c r="A1432">
        <v>1740</v>
      </c>
      <c r="B1432" t="s">
        <v>3662</v>
      </c>
      <c r="C1432" t="s">
        <v>3663</v>
      </c>
      <c r="D1432" t="s">
        <v>10877</v>
      </c>
      <c r="E1432" t="s">
        <v>10878</v>
      </c>
      <c r="F1432" t="s">
        <v>10879</v>
      </c>
      <c r="G1432" t="s">
        <v>5904</v>
      </c>
      <c r="H1432">
        <v>68</v>
      </c>
      <c r="I1432">
        <v>68</v>
      </c>
      <c r="J1432">
        <v>66</v>
      </c>
      <c r="K1432">
        <v>55</v>
      </c>
      <c r="L1432">
        <v>60</v>
      </c>
      <c r="M1432">
        <v>80.900000000000006</v>
      </c>
      <c r="N1432">
        <v>88.2</v>
      </c>
      <c r="O1432">
        <v>117.1</v>
      </c>
    </row>
    <row r="1433" spans="1:15">
      <c r="A1433">
        <v>1739</v>
      </c>
      <c r="B1433" t="s">
        <v>10880</v>
      </c>
      <c r="C1433" t="s">
        <v>3666</v>
      </c>
      <c r="D1433" t="s">
        <v>10881</v>
      </c>
      <c r="E1433" t="s">
        <v>10882</v>
      </c>
      <c r="F1433" t="s">
        <v>10883</v>
      </c>
      <c r="G1433" t="s">
        <v>5904</v>
      </c>
      <c r="H1433">
        <v>348</v>
      </c>
      <c r="I1433">
        <v>330</v>
      </c>
      <c r="J1433">
        <v>348</v>
      </c>
      <c r="K1433">
        <v>302</v>
      </c>
      <c r="L1433">
        <v>306</v>
      </c>
      <c r="M1433">
        <v>86.8</v>
      </c>
      <c r="N1433">
        <v>87.9</v>
      </c>
      <c r="O1433">
        <v>574.70000000000005</v>
      </c>
    </row>
    <row r="1434" spans="1:15">
      <c r="A1434">
        <v>1738</v>
      </c>
      <c r="B1434" t="s">
        <v>3667</v>
      </c>
      <c r="C1434" t="s">
        <v>3668</v>
      </c>
      <c r="D1434" t="s">
        <v>10884</v>
      </c>
      <c r="E1434" t="s">
        <v>10885</v>
      </c>
      <c r="F1434" t="s">
        <v>10886</v>
      </c>
      <c r="G1434" t="s">
        <v>5904</v>
      </c>
      <c r="H1434">
        <v>3982</v>
      </c>
      <c r="I1434">
        <v>4069</v>
      </c>
      <c r="J1434">
        <v>2718</v>
      </c>
      <c r="K1434">
        <v>1853</v>
      </c>
      <c r="L1434">
        <v>2108</v>
      </c>
      <c r="M1434">
        <v>46.5</v>
      </c>
      <c r="N1434">
        <v>52.9</v>
      </c>
      <c r="O1434">
        <v>3221.4</v>
      </c>
    </row>
    <row r="1435" spans="1:15">
      <c r="A1435">
        <v>1737</v>
      </c>
      <c r="B1435" t="s">
        <v>10887</v>
      </c>
      <c r="C1435" t="s">
        <v>5774</v>
      </c>
      <c r="D1435" t="s">
        <v>10888</v>
      </c>
      <c r="E1435" t="s">
        <v>10889</v>
      </c>
      <c r="F1435" t="s">
        <v>10890</v>
      </c>
      <c r="G1435" t="s">
        <v>5904</v>
      </c>
      <c r="H1435">
        <v>936</v>
      </c>
      <c r="I1435">
        <v>973</v>
      </c>
      <c r="J1435">
        <v>869</v>
      </c>
      <c r="K1435">
        <v>773</v>
      </c>
      <c r="L1435">
        <v>797</v>
      </c>
      <c r="M1435">
        <v>82.6</v>
      </c>
      <c r="N1435">
        <v>85.1</v>
      </c>
      <c r="O1435">
        <v>1583.9</v>
      </c>
    </row>
    <row r="1436" spans="1:15">
      <c r="A1436">
        <v>1736</v>
      </c>
      <c r="B1436" t="s">
        <v>10891</v>
      </c>
      <c r="C1436" t="s">
        <v>3671</v>
      </c>
      <c r="D1436" t="s">
        <v>10892</v>
      </c>
      <c r="E1436" t="s">
        <v>10893</v>
      </c>
      <c r="F1436" t="s">
        <v>10894</v>
      </c>
      <c r="G1436" t="s">
        <v>5904</v>
      </c>
      <c r="H1436">
        <v>294</v>
      </c>
      <c r="I1436">
        <v>294</v>
      </c>
      <c r="J1436">
        <v>295</v>
      </c>
      <c r="K1436">
        <v>289</v>
      </c>
      <c r="L1436">
        <v>292</v>
      </c>
      <c r="M1436">
        <v>98.3</v>
      </c>
      <c r="N1436">
        <v>99.3</v>
      </c>
      <c r="O1436">
        <v>581.29999999999995</v>
      </c>
    </row>
    <row r="1437" spans="1:15">
      <c r="A1437">
        <v>1735</v>
      </c>
      <c r="B1437" t="s">
        <v>10895</v>
      </c>
      <c r="C1437" t="s">
        <v>5765</v>
      </c>
      <c r="D1437" t="s">
        <v>10896</v>
      </c>
      <c r="E1437" t="s">
        <v>10897</v>
      </c>
      <c r="F1437" t="s">
        <v>10898</v>
      </c>
      <c r="G1437" t="s">
        <v>5904</v>
      </c>
      <c r="H1437">
        <v>226</v>
      </c>
      <c r="I1437">
        <v>226</v>
      </c>
      <c r="J1437">
        <v>226</v>
      </c>
      <c r="K1437">
        <v>203</v>
      </c>
      <c r="L1437">
        <v>215</v>
      </c>
      <c r="M1437">
        <v>89.8</v>
      </c>
      <c r="N1437">
        <v>95.1</v>
      </c>
      <c r="O1437">
        <v>402.9</v>
      </c>
    </row>
    <row r="1438" spans="1:15">
      <c r="A1438">
        <v>1734</v>
      </c>
      <c r="B1438" t="s">
        <v>10899</v>
      </c>
      <c r="C1438" t="s">
        <v>3674</v>
      </c>
      <c r="D1438" t="s">
        <v>10900</v>
      </c>
      <c r="E1438" t="s">
        <v>10901</v>
      </c>
      <c r="F1438" t="s">
        <v>10902</v>
      </c>
      <c r="G1438" t="s">
        <v>5904</v>
      </c>
      <c r="H1438">
        <v>514</v>
      </c>
      <c r="I1438">
        <v>514</v>
      </c>
      <c r="J1438">
        <v>514</v>
      </c>
      <c r="K1438">
        <v>441</v>
      </c>
      <c r="L1438">
        <v>471</v>
      </c>
      <c r="M1438">
        <v>85.8</v>
      </c>
      <c r="N1438">
        <v>91.6</v>
      </c>
      <c r="O1438">
        <v>926.4</v>
      </c>
    </row>
    <row r="1439" spans="1:15">
      <c r="A1439">
        <v>1733</v>
      </c>
      <c r="B1439" t="s">
        <v>3675</v>
      </c>
      <c r="C1439" t="s">
        <v>3676</v>
      </c>
      <c r="D1439" t="s">
        <v>10903</v>
      </c>
      <c r="E1439" t="s">
        <v>10904</v>
      </c>
      <c r="F1439" t="s">
        <v>10905</v>
      </c>
      <c r="G1439" t="s">
        <v>5904</v>
      </c>
      <c r="H1439">
        <v>598</v>
      </c>
      <c r="I1439">
        <v>615</v>
      </c>
      <c r="J1439">
        <v>618</v>
      </c>
      <c r="K1439">
        <v>451</v>
      </c>
      <c r="L1439">
        <v>501</v>
      </c>
      <c r="M1439">
        <v>75.400000000000006</v>
      </c>
      <c r="N1439">
        <v>83.8</v>
      </c>
      <c r="O1439">
        <v>894</v>
      </c>
    </row>
    <row r="1440" spans="1:15">
      <c r="A1440">
        <v>1732</v>
      </c>
      <c r="B1440" t="s">
        <v>3677</v>
      </c>
      <c r="C1440" t="s">
        <v>10906</v>
      </c>
      <c r="D1440" t="s">
        <v>10907</v>
      </c>
      <c r="E1440" t="s">
        <v>10908</v>
      </c>
      <c r="F1440" t="s">
        <v>10909</v>
      </c>
      <c r="G1440" t="s">
        <v>5904</v>
      </c>
      <c r="H1440">
        <v>639</v>
      </c>
      <c r="I1440">
        <v>639</v>
      </c>
      <c r="J1440">
        <v>639</v>
      </c>
      <c r="K1440">
        <v>588</v>
      </c>
      <c r="L1440">
        <v>612</v>
      </c>
      <c r="M1440">
        <v>92</v>
      </c>
      <c r="N1440">
        <v>95.8</v>
      </c>
      <c r="O1440">
        <v>1122.0999999999999</v>
      </c>
    </row>
    <row r="1441" spans="1:15">
      <c r="A1441">
        <v>1731</v>
      </c>
      <c r="B1441" t="s">
        <v>3679</v>
      </c>
      <c r="C1441" t="s">
        <v>3680</v>
      </c>
      <c r="D1441" t="s">
        <v>10910</v>
      </c>
      <c r="E1441" t="s">
        <v>10911</v>
      </c>
      <c r="F1441" t="s">
        <v>10912</v>
      </c>
      <c r="G1441" t="s">
        <v>5904</v>
      </c>
      <c r="H1441">
        <v>723</v>
      </c>
      <c r="I1441">
        <v>723</v>
      </c>
      <c r="J1441">
        <v>723</v>
      </c>
      <c r="K1441">
        <v>692</v>
      </c>
      <c r="L1441">
        <v>706</v>
      </c>
      <c r="M1441">
        <v>95.7</v>
      </c>
      <c r="N1441">
        <v>97.6</v>
      </c>
      <c r="O1441">
        <v>1418.3</v>
      </c>
    </row>
    <row r="1442" spans="1:15">
      <c r="A1442">
        <v>1730</v>
      </c>
      <c r="B1442" t="s">
        <v>10913</v>
      </c>
      <c r="C1442" t="s">
        <v>3683</v>
      </c>
      <c r="D1442" t="s">
        <v>10914</v>
      </c>
      <c r="E1442" t="s">
        <v>10915</v>
      </c>
      <c r="F1442" t="s">
        <v>10916</v>
      </c>
      <c r="G1442" t="s">
        <v>5904</v>
      </c>
      <c r="H1442">
        <v>3401</v>
      </c>
      <c r="I1442">
        <v>3396</v>
      </c>
      <c r="J1442">
        <v>3430</v>
      </c>
      <c r="K1442">
        <v>2605</v>
      </c>
      <c r="L1442">
        <v>2884</v>
      </c>
      <c r="M1442">
        <v>76.599999999999994</v>
      </c>
      <c r="N1442">
        <v>84.8</v>
      </c>
      <c r="O1442">
        <v>5023.8</v>
      </c>
    </row>
    <row r="1443" spans="1:15">
      <c r="A1443">
        <v>2201</v>
      </c>
      <c r="B1443" t="s">
        <v>3684</v>
      </c>
      <c r="C1443" t="s">
        <v>10917</v>
      </c>
      <c r="D1443" t="s">
        <v>10918</v>
      </c>
      <c r="E1443" t="s">
        <v>10919</v>
      </c>
      <c r="F1443" t="s">
        <v>10920</v>
      </c>
      <c r="G1443" t="s">
        <v>5904</v>
      </c>
      <c r="H1443">
        <v>636</v>
      </c>
      <c r="I1443">
        <v>636</v>
      </c>
      <c r="J1443">
        <v>636</v>
      </c>
      <c r="K1443">
        <v>635</v>
      </c>
      <c r="L1443">
        <v>635</v>
      </c>
      <c r="M1443">
        <v>99.8</v>
      </c>
      <c r="N1443">
        <v>99.8</v>
      </c>
      <c r="O1443">
        <v>1318.1</v>
      </c>
    </row>
    <row r="1444" spans="1:15">
      <c r="A1444">
        <v>1729</v>
      </c>
      <c r="B1444" t="s">
        <v>3687</v>
      </c>
      <c r="C1444" t="s">
        <v>3688</v>
      </c>
      <c r="D1444" t="s">
        <v>10921</v>
      </c>
      <c r="E1444" t="s">
        <v>10922</v>
      </c>
      <c r="F1444" t="s">
        <v>10923</v>
      </c>
      <c r="G1444" t="s">
        <v>5904</v>
      </c>
      <c r="H1444">
        <v>427</v>
      </c>
      <c r="I1444">
        <v>425</v>
      </c>
      <c r="J1444">
        <v>427</v>
      </c>
      <c r="K1444">
        <v>371</v>
      </c>
      <c r="L1444">
        <v>397</v>
      </c>
      <c r="M1444">
        <v>86.9</v>
      </c>
      <c r="N1444">
        <v>93</v>
      </c>
      <c r="O1444">
        <v>712.6</v>
      </c>
    </row>
    <row r="1445" spans="1:15">
      <c r="A1445">
        <v>1728</v>
      </c>
      <c r="B1445" t="s">
        <v>10924</v>
      </c>
      <c r="C1445" t="s">
        <v>3691</v>
      </c>
      <c r="D1445" t="s">
        <v>10925</v>
      </c>
      <c r="E1445" t="s">
        <v>10926</v>
      </c>
      <c r="F1445" t="s">
        <v>10927</v>
      </c>
      <c r="G1445" t="s">
        <v>5904</v>
      </c>
      <c r="H1445">
        <v>520</v>
      </c>
      <c r="I1445">
        <v>520</v>
      </c>
      <c r="J1445">
        <v>518</v>
      </c>
      <c r="K1445">
        <v>474</v>
      </c>
      <c r="L1445">
        <v>498</v>
      </c>
      <c r="M1445">
        <v>91.2</v>
      </c>
      <c r="N1445">
        <v>95.8</v>
      </c>
      <c r="O1445">
        <v>988.8</v>
      </c>
    </row>
    <row r="1446" spans="1:15">
      <c r="A1446">
        <v>1727</v>
      </c>
      <c r="B1446" t="s">
        <v>3692</v>
      </c>
      <c r="C1446" t="s">
        <v>3693</v>
      </c>
      <c r="D1446" t="s">
        <v>10928</v>
      </c>
      <c r="E1446" t="s">
        <v>10929</v>
      </c>
      <c r="F1446" t="s">
        <v>10930</v>
      </c>
      <c r="G1446" t="s">
        <v>5904</v>
      </c>
      <c r="H1446">
        <v>121</v>
      </c>
      <c r="I1446">
        <v>191</v>
      </c>
      <c r="J1446">
        <v>121</v>
      </c>
      <c r="K1446">
        <v>121</v>
      </c>
      <c r="L1446">
        <v>121</v>
      </c>
      <c r="M1446">
        <v>100</v>
      </c>
      <c r="N1446">
        <v>100</v>
      </c>
      <c r="O1446">
        <v>249.6</v>
      </c>
    </row>
    <row r="1447" spans="1:15">
      <c r="A1447">
        <v>1726</v>
      </c>
      <c r="B1447" t="s">
        <v>3694</v>
      </c>
      <c r="C1447" t="s">
        <v>10931</v>
      </c>
      <c r="D1447" t="s">
        <v>10932</v>
      </c>
      <c r="E1447" t="s">
        <v>10933</v>
      </c>
      <c r="F1447" t="s">
        <v>10934</v>
      </c>
      <c r="G1447" t="s">
        <v>5904</v>
      </c>
      <c r="H1447">
        <v>228</v>
      </c>
      <c r="I1447">
        <v>228</v>
      </c>
      <c r="J1447">
        <v>228</v>
      </c>
      <c r="K1447">
        <v>228</v>
      </c>
      <c r="L1447">
        <v>228</v>
      </c>
      <c r="M1447">
        <v>100</v>
      </c>
      <c r="N1447">
        <v>100</v>
      </c>
      <c r="O1447">
        <v>478</v>
      </c>
    </row>
    <row r="1448" spans="1:15">
      <c r="A1448">
        <v>1725</v>
      </c>
      <c r="B1448" t="s">
        <v>10935</v>
      </c>
      <c r="C1448" t="s">
        <v>3698</v>
      </c>
      <c r="D1448" t="s">
        <v>10936</v>
      </c>
      <c r="E1448" t="s">
        <v>10937</v>
      </c>
      <c r="F1448" t="s">
        <v>10938</v>
      </c>
      <c r="G1448" t="s">
        <v>5904</v>
      </c>
      <c r="H1448">
        <v>687</v>
      </c>
      <c r="I1448">
        <v>570</v>
      </c>
      <c r="J1448">
        <v>561</v>
      </c>
      <c r="K1448">
        <v>553</v>
      </c>
      <c r="L1448">
        <v>557</v>
      </c>
      <c r="M1448">
        <v>80.5</v>
      </c>
      <c r="N1448">
        <v>81.099999999999994</v>
      </c>
      <c r="O1448">
        <v>1154.4000000000001</v>
      </c>
    </row>
    <row r="1449" spans="1:15">
      <c r="A1449">
        <v>1724</v>
      </c>
      <c r="B1449" t="s">
        <v>3699</v>
      </c>
      <c r="C1449" t="s">
        <v>3700</v>
      </c>
      <c r="D1449" t="s">
        <v>10939</v>
      </c>
      <c r="E1449" t="s">
        <v>10940</v>
      </c>
      <c r="F1449" t="s">
        <v>10941</v>
      </c>
      <c r="G1449" t="s">
        <v>5904</v>
      </c>
      <c r="H1449">
        <v>90</v>
      </c>
      <c r="I1449">
        <v>85</v>
      </c>
      <c r="J1449">
        <v>90</v>
      </c>
      <c r="K1449">
        <v>67</v>
      </c>
      <c r="L1449">
        <v>76</v>
      </c>
      <c r="M1449">
        <v>74.400000000000006</v>
      </c>
      <c r="N1449">
        <v>84.4</v>
      </c>
      <c r="O1449">
        <v>137.1</v>
      </c>
    </row>
    <row r="1450" spans="1:15">
      <c r="A1450">
        <v>1723</v>
      </c>
      <c r="B1450" t="s">
        <v>3701</v>
      </c>
      <c r="C1450" t="s">
        <v>3702</v>
      </c>
      <c r="D1450" t="s">
        <v>10942</v>
      </c>
      <c r="E1450" t="s">
        <v>10943</v>
      </c>
      <c r="F1450" t="s">
        <v>10944</v>
      </c>
      <c r="G1450" t="s">
        <v>5904</v>
      </c>
      <c r="H1450">
        <v>317</v>
      </c>
      <c r="I1450">
        <v>317</v>
      </c>
      <c r="J1450">
        <v>317</v>
      </c>
      <c r="K1450">
        <v>317</v>
      </c>
      <c r="L1450">
        <v>317</v>
      </c>
      <c r="M1450">
        <v>100</v>
      </c>
      <c r="N1450">
        <v>100</v>
      </c>
      <c r="O1450">
        <v>653.70000000000005</v>
      </c>
    </row>
    <row r="1451" spans="1:15">
      <c r="A1451">
        <v>1722</v>
      </c>
      <c r="B1451" t="s">
        <v>3703</v>
      </c>
      <c r="C1451" t="s">
        <v>3704</v>
      </c>
      <c r="D1451" t="s">
        <v>10945</v>
      </c>
      <c r="E1451" t="s">
        <v>10946</v>
      </c>
      <c r="F1451" t="s">
        <v>10947</v>
      </c>
      <c r="G1451" t="s">
        <v>5904</v>
      </c>
      <c r="H1451">
        <v>309</v>
      </c>
      <c r="I1451">
        <v>309</v>
      </c>
      <c r="J1451">
        <v>309</v>
      </c>
      <c r="K1451">
        <v>309</v>
      </c>
      <c r="L1451">
        <v>309</v>
      </c>
      <c r="M1451">
        <v>100</v>
      </c>
      <c r="N1451">
        <v>100</v>
      </c>
      <c r="O1451">
        <v>649.4</v>
      </c>
    </row>
    <row r="1452" spans="1:15">
      <c r="A1452">
        <v>1721</v>
      </c>
      <c r="B1452" t="s">
        <v>3705</v>
      </c>
      <c r="C1452" t="s">
        <v>3706</v>
      </c>
      <c r="D1452" t="s">
        <v>10948</v>
      </c>
      <c r="E1452" t="s">
        <v>10949</v>
      </c>
      <c r="F1452" t="s">
        <v>10950</v>
      </c>
      <c r="G1452" t="s">
        <v>5904</v>
      </c>
      <c r="H1452">
        <v>634</v>
      </c>
      <c r="I1452">
        <v>634</v>
      </c>
      <c r="J1452">
        <v>633</v>
      </c>
      <c r="K1452">
        <v>545</v>
      </c>
      <c r="L1452">
        <v>596</v>
      </c>
      <c r="M1452">
        <v>86</v>
      </c>
      <c r="N1452">
        <v>94</v>
      </c>
      <c r="O1452">
        <v>1126.3</v>
      </c>
    </row>
    <row r="1453" spans="1:15">
      <c r="A1453">
        <v>1720</v>
      </c>
      <c r="B1453" t="s">
        <v>3707</v>
      </c>
      <c r="C1453" t="s">
        <v>3708</v>
      </c>
      <c r="D1453" t="s">
        <v>10951</v>
      </c>
      <c r="E1453" t="s">
        <v>10952</v>
      </c>
      <c r="F1453" t="s">
        <v>10953</v>
      </c>
      <c r="G1453" t="s">
        <v>5904</v>
      </c>
      <c r="H1453">
        <v>439</v>
      </c>
      <c r="I1453">
        <v>440</v>
      </c>
      <c r="J1453">
        <v>439</v>
      </c>
      <c r="K1453">
        <v>383</v>
      </c>
      <c r="L1453">
        <v>401</v>
      </c>
      <c r="M1453">
        <v>87.2</v>
      </c>
      <c r="N1453">
        <v>91.3</v>
      </c>
      <c r="O1453">
        <v>721.5</v>
      </c>
    </row>
    <row r="1454" spans="1:15">
      <c r="A1454">
        <v>2200</v>
      </c>
      <c r="B1454" t="s">
        <v>10954</v>
      </c>
      <c r="C1454" t="s">
        <v>10955</v>
      </c>
      <c r="D1454" t="s">
        <v>10956</v>
      </c>
      <c r="E1454" t="s">
        <v>10957</v>
      </c>
      <c r="F1454" t="s">
        <v>10958</v>
      </c>
      <c r="G1454" t="s">
        <v>5904</v>
      </c>
      <c r="H1454">
        <v>769</v>
      </c>
      <c r="I1454">
        <v>739</v>
      </c>
      <c r="J1454">
        <v>595</v>
      </c>
      <c r="K1454">
        <v>579</v>
      </c>
      <c r="L1454">
        <v>585</v>
      </c>
      <c r="M1454">
        <v>75.3</v>
      </c>
      <c r="N1454">
        <v>76.099999999999994</v>
      </c>
      <c r="O1454">
        <v>1179.5</v>
      </c>
    </row>
    <row r="1455" spans="1:15">
      <c r="A1455">
        <v>1719</v>
      </c>
      <c r="B1455" t="s">
        <v>10959</v>
      </c>
      <c r="C1455" t="s">
        <v>3714</v>
      </c>
      <c r="D1455" t="s">
        <v>10960</v>
      </c>
      <c r="E1455" t="s">
        <v>10961</v>
      </c>
      <c r="F1455" t="s">
        <v>10962</v>
      </c>
      <c r="G1455" t="s">
        <v>5904</v>
      </c>
      <c r="H1455">
        <v>1237</v>
      </c>
      <c r="I1455">
        <v>1060</v>
      </c>
      <c r="J1455">
        <v>1034</v>
      </c>
      <c r="K1455">
        <v>996</v>
      </c>
      <c r="L1455">
        <v>1015</v>
      </c>
      <c r="M1455">
        <v>80.5</v>
      </c>
      <c r="N1455">
        <v>82.1</v>
      </c>
      <c r="O1455">
        <v>2023.4</v>
      </c>
    </row>
    <row r="1456" spans="1:15">
      <c r="A1456">
        <v>1718</v>
      </c>
      <c r="B1456" t="s">
        <v>10963</v>
      </c>
      <c r="C1456" t="s">
        <v>3717</v>
      </c>
      <c r="D1456" t="s">
        <v>10964</v>
      </c>
      <c r="E1456" t="s">
        <v>10965</v>
      </c>
      <c r="F1456" t="s">
        <v>10966</v>
      </c>
      <c r="G1456" t="s">
        <v>5904</v>
      </c>
      <c r="H1456">
        <v>1004</v>
      </c>
      <c r="I1456">
        <v>1007</v>
      </c>
      <c r="J1456">
        <v>1007</v>
      </c>
      <c r="K1456">
        <v>949</v>
      </c>
      <c r="L1456">
        <v>977</v>
      </c>
      <c r="M1456">
        <v>94.5</v>
      </c>
      <c r="N1456">
        <v>97.3</v>
      </c>
      <c r="O1456">
        <v>1861.3</v>
      </c>
    </row>
    <row r="1457" spans="1:15">
      <c r="A1457">
        <v>1717</v>
      </c>
      <c r="B1457" t="s">
        <v>3718</v>
      </c>
      <c r="C1457" t="s">
        <v>3719</v>
      </c>
      <c r="D1457" t="s">
        <v>10967</v>
      </c>
      <c r="E1457" t="s">
        <v>10968</v>
      </c>
      <c r="F1457" t="s">
        <v>10969</v>
      </c>
      <c r="G1457" t="s">
        <v>5904</v>
      </c>
      <c r="H1457">
        <v>862</v>
      </c>
      <c r="I1457">
        <v>934</v>
      </c>
      <c r="J1457">
        <v>810</v>
      </c>
      <c r="K1457">
        <v>739</v>
      </c>
      <c r="L1457">
        <v>764</v>
      </c>
      <c r="M1457">
        <v>85.7</v>
      </c>
      <c r="N1457">
        <v>88.6</v>
      </c>
      <c r="O1457">
        <v>1435.2</v>
      </c>
    </row>
    <row r="1458" spans="1:15">
      <c r="A1458">
        <v>1716</v>
      </c>
      <c r="B1458" t="s">
        <v>3720</v>
      </c>
      <c r="C1458" t="s">
        <v>3721</v>
      </c>
      <c r="D1458" t="s">
        <v>10970</v>
      </c>
      <c r="E1458" t="s">
        <v>10971</v>
      </c>
      <c r="F1458" t="s">
        <v>10972</v>
      </c>
      <c r="G1458" t="s">
        <v>5904</v>
      </c>
      <c r="H1458">
        <v>822</v>
      </c>
      <c r="I1458">
        <v>927</v>
      </c>
      <c r="J1458">
        <v>805</v>
      </c>
      <c r="K1458">
        <v>643</v>
      </c>
      <c r="L1458">
        <v>691</v>
      </c>
      <c r="M1458">
        <v>78.2</v>
      </c>
      <c r="N1458">
        <v>84.1</v>
      </c>
      <c r="O1458">
        <v>1286.2</v>
      </c>
    </row>
    <row r="1459" spans="1:15">
      <c r="A1459">
        <v>2257</v>
      </c>
      <c r="B1459" t="s">
        <v>3722</v>
      </c>
      <c r="C1459" t="s">
        <v>3723</v>
      </c>
      <c r="D1459" t="s">
        <v>10973</v>
      </c>
      <c r="E1459" t="s">
        <v>10974</v>
      </c>
      <c r="F1459" t="s">
        <v>10975</v>
      </c>
      <c r="G1459" t="s">
        <v>5904</v>
      </c>
      <c r="H1459">
        <v>831</v>
      </c>
      <c r="I1459">
        <v>832</v>
      </c>
      <c r="J1459">
        <v>831</v>
      </c>
      <c r="K1459">
        <v>672</v>
      </c>
      <c r="L1459">
        <v>749</v>
      </c>
      <c r="M1459">
        <v>80.900000000000006</v>
      </c>
      <c r="N1459">
        <v>90.1</v>
      </c>
      <c r="O1459">
        <v>1376.7</v>
      </c>
    </row>
    <row r="1460" spans="1:15">
      <c r="A1460">
        <v>1715</v>
      </c>
      <c r="B1460" t="s">
        <v>3724</v>
      </c>
      <c r="C1460" t="s">
        <v>3725</v>
      </c>
      <c r="D1460" t="s">
        <v>10976</v>
      </c>
      <c r="E1460" t="s">
        <v>10977</v>
      </c>
      <c r="F1460" t="s">
        <v>10978</v>
      </c>
      <c r="G1460" t="s">
        <v>5904</v>
      </c>
      <c r="H1460">
        <v>189</v>
      </c>
      <c r="I1460">
        <v>189</v>
      </c>
      <c r="J1460">
        <v>189</v>
      </c>
      <c r="K1460">
        <v>170</v>
      </c>
      <c r="L1460">
        <v>180</v>
      </c>
      <c r="M1460">
        <v>89.9</v>
      </c>
      <c r="N1460">
        <v>95.2</v>
      </c>
      <c r="O1460">
        <v>361.7</v>
      </c>
    </row>
    <row r="1461" spans="1:15">
      <c r="A1461">
        <v>1714</v>
      </c>
      <c r="B1461" t="s">
        <v>3726</v>
      </c>
      <c r="C1461" t="s">
        <v>3727</v>
      </c>
      <c r="D1461" t="s">
        <v>10979</v>
      </c>
      <c r="E1461" t="s">
        <v>10980</v>
      </c>
      <c r="F1461" t="s">
        <v>10981</v>
      </c>
      <c r="G1461" t="s">
        <v>5904</v>
      </c>
      <c r="H1461">
        <v>625</v>
      </c>
      <c r="I1461">
        <v>628</v>
      </c>
      <c r="J1461">
        <v>591</v>
      </c>
      <c r="K1461">
        <v>463</v>
      </c>
      <c r="L1461">
        <v>508</v>
      </c>
      <c r="M1461">
        <v>74.099999999999994</v>
      </c>
      <c r="N1461">
        <v>81.3</v>
      </c>
      <c r="O1461">
        <v>924.1</v>
      </c>
    </row>
    <row r="1462" spans="1:15">
      <c r="A1462">
        <v>1713</v>
      </c>
      <c r="B1462" t="s">
        <v>3728</v>
      </c>
      <c r="C1462" t="s">
        <v>3729</v>
      </c>
      <c r="D1462" t="s">
        <v>10982</v>
      </c>
      <c r="E1462" t="s">
        <v>10983</v>
      </c>
      <c r="F1462" t="s">
        <v>10984</v>
      </c>
      <c r="G1462" t="s">
        <v>5904</v>
      </c>
      <c r="H1462">
        <v>79</v>
      </c>
      <c r="I1462">
        <v>79</v>
      </c>
      <c r="J1462">
        <v>79</v>
      </c>
      <c r="K1462">
        <v>59</v>
      </c>
      <c r="L1462">
        <v>64</v>
      </c>
      <c r="M1462">
        <v>74.7</v>
      </c>
      <c r="N1462">
        <v>81</v>
      </c>
      <c r="O1462">
        <v>101.3</v>
      </c>
    </row>
    <row r="1463" spans="1:15">
      <c r="A1463">
        <v>1712</v>
      </c>
      <c r="B1463" t="s">
        <v>3730</v>
      </c>
      <c r="C1463" t="s">
        <v>3731</v>
      </c>
      <c r="D1463" t="s">
        <v>10985</v>
      </c>
      <c r="E1463" t="s">
        <v>10986</v>
      </c>
      <c r="F1463" t="s">
        <v>10987</v>
      </c>
      <c r="G1463" t="s">
        <v>5904</v>
      </c>
      <c r="H1463">
        <v>189</v>
      </c>
      <c r="I1463">
        <v>189</v>
      </c>
      <c r="J1463">
        <v>177</v>
      </c>
      <c r="K1463">
        <v>150</v>
      </c>
      <c r="L1463">
        <v>162</v>
      </c>
      <c r="M1463">
        <v>79.400000000000006</v>
      </c>
      <c r="N1463">
        <v>85.7</v>
      </c>
      <c r="O1463">
        <v>312.8</v>
      </c>
    </row>
    <row r="1464" spans="1:15">
      <c r="A1464">
        <v>1711</v>
      </c>
      <c r="B1464" t="s">
        <v>10988</v>
      </c>
      <c r="C1464" t="s">
        <v>10989</v>
      </c>
      <c r="D1464" t="s">
        <v>10990</v>
      </c>
      <c r="E1464" t="s">
        <v>10991</v>
      </c>
      <c r="F1464" t="s">
        <v>10992</v>
      </c>
      <c r="G1464" t="s">
        <v>5904</v>
      </c>
      <c r="H1464">
        <v>558</v>
      </c>
      <c r="I1464">
        <v>559</v>
      </c>
      <c r="J1464">
        <v>520</v>
      </c>
      <c r="K1464">
        <v>387</v>
      </c>
      <c r="L1464">
        <v>452</v>
      </c>
      <c r="M1464">
        <v>69.400000000000006</v>
      </c>
      <c r="N1464">
        <v>81</v>
      </c>
      <c r="O1464">
        <v>825.5</v>
      </c>
    </row>
    <row r="1465" spans="1:15">
      <c r="A1465">
        <v>1710</v>
      </c>
      <c r="B1465" t="s">
        <v>3735</v>
      </c>
      <c r="C1465" t="s">
        <v>3736</v>
      </c>
      <c r="D1465" t="s">
        <v>10993</v>
      </c>
      <c r="E1465" t="s">
        <v>10994</v>
      </c>
      <c r="F1465" t="s">
        <v>10995</v>
      </c>
      <c r="G1465" t="s">
        <v>5904</v>
      </c>
      <c r="H1465">
        <v>407</v>
      </c>
      <c r="I1465">
        <v>406</v>
      </c>
      <c r="J1465">
        <v>405</v>
      </c>
      <c r="K1465">
        <v>387</v>
      </c>
      <c r="L1465">
        <v>395</v>
      </c>
      <c r="M1465">
        <v>95.1</v>
      </c>
      <c r="N1465">
        <v>97.1</v>
      </c>
      <c r="O1465">
        <v>811.6</v>
      </c>
    </row>
    <row r="1466" spans="1:15">
      <c r="A1466">
        <v>1709</v>
      </c>
      <c r="B1466" t="s">
        <v>3737</v>
      </c>
      <c r="C1466" t="s">
        <v>3739</v>
      </c>
      <c r="D1466" t="s">
        <v>10996</v>
      </c>
      <c r="E1466" t="s">
        <v>10997</v>
      </c>
      <c r="F1466" t="s">
        <v>10998</v>
      </c>
      <c r="G1466" t="s">
        <v>5904</v>
      </c>
      <c r="H1466">
        <v>376</v>
      </c>
      <c r="I1466">
        <v>376</v>
      </c>
      <c r="J1466">
        <v>376</v>
      </c>
      <c r="K1466">
        <v>367</v>
      </c>
      <c r="L1466">
        <v>372</v>
      </c>
      <c r="M1466">
        <v>97.6</v>
      </c>
      <c r="N1466">
        <v>98.9</v>
      </c>
      <c r="O1466">
        <v>771.2</v>
      </c>
    </row>
    <row r="1467" spans="1:15">
      <c r="A1467">
        <v>1708</v>
      </c>
      <c r="B1467" t="s">
        <v>10999</v>
      </c>
      <c r="C1467" t="s">
        <v>11000</v>
      </c>
      <c r="D1467" t="s">
        <v>11001</v>
      </c>
      <c r="E1467" t="s">
        <v>11002</v>
      </c>
      <c r="F1467" t="s">
        <v>11003</v>
      </c>
      <c r="G1467" t="s">
        <v>5904</v>
      </c>
      <c r="H1467">
        <v>897</v>
      </c>
      <c r="I1467">
        <v>847</v>
      </c>
      <c r="J1467">
        <v>897</v>
      </c>
      <c r="K1467">
        <v>839</v>
      </c>
      <c r="L1467">
        <v>842</v>
      </c>
      <c r="M1467">
        <v>93.5</v>
      </c>
      <c r="N1467">
        <v>93.9</v>
      </c>
      <c r="O1467">
        <v>1711.8</v>
      </c>
    </row>
    <row r="1468" spans="1:15">
      <c r="A1468">
        <v>1707</v>
      </c>
      <c r="B1468" t="s">
        <v>3743</v>
      </c>
      <c r="C1468" t="s">
        <v>3744</v>
      </c>
      <c r="D1468" t="s">
        <v>11004</v>
      </c>
      <c r="E1468" t="s">
        <v>11005</v>
      </c>
      <c r="F1468" t="s">
        <v>11006</v>
      </c>
      <c r="G1468" t="s">
        <v>5904</v>
      </c>
      <c r="H1468">
        <v>415</v>
      </c>
      <c r="I1468">
        <v>417</v>
      </c>
      <c r="J1468">
        <v>417</v>
      </c>
      <c r="K1468">
        <v>381</v>
      </c>
      <c r="L1468">
        <v>393</v>
      </c>
      <c r="M1468">
        <v>91.8</v>
      </c>
      <c r="N1468">
        <v>94.7</v>
      </c>
      <c r="O1468">
        <v>765.4</v>
      </c>
    </row>
    <row r="1469" spans="1:15">
      <c r="A1469">
        <v>1706</v>
      </c>
      <c r="B1469" t="s">
        <v>3745</v>
      </c>
      <c r="C1469" t="s">
        <v>3746</v>
      </c>
      <c r="D1469" t="s">
        <v>11007</v>
      </c>
      <c r="E1469" t="s">
        <v>11008</v>
      </c>
      <c r="F1469" t="s">
        <v>11009</v>
      </c>
      <c r="G1469" t="s">
        <v>5904</v>
      </c>
      <c r="H1469">
        <v>954</v>
      </c>
      <c r="I1469">
        <v>923</v>
      </c>
      <c r="J1469">
        <v>924</v>
      </c>
      <c r="K1469">
        <v>838</v>
      </c>
      <c r="L1469">
        <v>869</v>
      </c>
      <c r="M1469">
        <v>87.8</v>
      </c>
      <c r="N1469">
        <v>91.1</v>
      </c>
      <c r="O1469">
        <v>1650.6</v>
      </c>
    </row>
    <row r="1470" spans="1:15">
      <c r="A1470">
        <v>1705</v>
      </c>
      <c r="B1470" t="s">
        <v>3747</v>
      </c>
      <c r="C1470" t="s">
        <v>3748</v>
      </c>
      <c r="D1470" t="s">
        <v>11010</v>
      </c>
      <c r="E1470" t="s">
        <v>11011</v>
      </c>
      <c r="F1470" t="s">
        <v>11012</v>
      </c>
      <c r="G1470" t="s">
        <v>5904</v>
      </c>
      <c r="H1470">
        <v>541</v>
      </c>
      <c r="I1470">
        <v>541</v>
      </c>
      <c r="J1470">
        <v>541</v>
      </c>
      <c r="K1470">
        <v>528</v>
      </c>
      <c r="L1470">
        <v>540</v>
      </c>
      <c r="M1470">
        <v>97.6</v>
      </c>
      <c r="N1470">
        <v>99.8</v>
      </c>
      <c r="O1470">
        <v>1090.9000000000001</v>
      </c>
    </row>
    <row r="1471" spans="1:15">
      <c r="A1471">
        <v>1704</v>
      </c>
      <c r="B1471" t="s">
        <v>3749</v>
      </c>
      <c r="C1471" t="s">
        <v>3750</v>
      </c>
      <c r="D1471" t="s">
        <v>11013</v>
      </c>
      <c r="E1471" t="s">
        <v>11014</v>
      </c>
      <c r="F1471" t="s">
        <v>11015</v>
      </c>
      <c r="G1471" t="s">
        <v>5904</v>
      </c>
      <c r="H1471">
        <v>586</v>
      </c>
      <c r="I1471">
        <v>586</v>
      </c>
      <c r="J1471">
        <v>586</v>
      </c>
      <c r="K1471">
        <v>566</v>
      </c>
      <c r="L1471">
        <v>576</v>
      </c>
      <c r="M1471">
        <v>96.6</v>
      </c>
      <c r="N1471">
        <v>98.3</v>
      </c>
      <c r="O1471">
        <v>1146</v>
      </c>
    </row>
    <row r="1472" spans="1:15">
      <c r="A1472">
        <v>1703</v>
      </c>
      <c r="B1472" t="s">
        <v>3751</v>
      </c>
      <c r="C1472" t="s">
        <v>3752</v>
      </c>
      <c r="D1472" t="s">
        <v>11016</v>
      </c>
      <c r="E1472" t="s">
        <v>11017</v>
      </c>
      <c r="F1472" t="s">
        <v>11018</v>
      </c>
      <c r="G1472" t="s">
        <v>5904</v>
      </c>
      <c r="H1472">
        <v>1310</v>
      </c>
      <c r="I1472">
        <v>1310</v>
      </c>
      <c r="J1472">
        <v>1311</v>
      </c>
      <c r="K1472">
        <v>1036</v>
      </c>
      <c r="L1472">
        <v>1127</v>
      </c>
      <c r="M1472">
        <v>79.099999999999994</v>
      </c>
      <c r="N1472">
        <v>86</v>
      </c>
      <c r="O1472">
        <v>1978.4</v>
      </c>
    </row>
    <row r="1473" spans="1:15">
      <c r="A1473">
        <v>1702</v>
      </c>
      <c r="B1473" t="s">
        <v>3753</v>
      </c>
      <c r="C1473" t="s">
        <v>3754</v>
      </c>
      <c r="D1473" t="s">
        <v>11019</v>
      </c>
      <c r="E1473" t="s">
        <v>11020</v>
      </c>
      <c r="F1473" t="s">
        <v>11021</v>
      </c>
      <c r="G1473" t="s">
        <v>5904</v>
      </c>
      <c r="H1473">
        <v>208</v>
      </c>
      <c r="I1473">
        <v>208</v>
      </c>
      <c r="J1473">
        <v>208</v>
      </c>
      <c r="K1473">
        <v>184</v>
      </c>
      <c r="L1473">
        <v>191</v>
      </c>
      <c r="M1473">
        <v>88.5</v>
      </c>
      <c r="N1473">
        <v>91.8</v>
      </c>
      <c r="O1473">
        <v>319.7</v>
      </c>
    </row>
    <row r="1474" spans="1:15">
      <c r="A1474">
        <v>1701</v>
      </c>
      <c r="B1474" t="s">
        <v>11022</v>
      </c>
      <c r="C1474" t="s">
        <v>11023</v>
      </c>
      <c r="D1474" t="s">
        <v>11024</v>
      </c>
      <c r="E1474" t="s">
        <v>11025</v>
      </c>
      <c r="F1474" t="s">
        <v>11026</v>
      </c>
      <c r="G1474" t="s">
        <v>5904</v>
      </c>
      <c r="H1474">
        <v>790</v>
      </c>
      <c r="I1474">
        <v>790</v>
      </c>
      <c r="J1474">
        <v>790</v>
      </c>
      <c r="K1474">
        <v>771</v>
      </c>
      <c r="L1474">
        <v>783</v>
      </c>
      <c r="M1474">
        <v>97.6</v>
      </c>
      <c r="N1474">
        <v>99.1</v>
      </c>
      <c r="O1474">
        <v>1604</v>
      </c>
    </row>
    <row r="1475" spans="1:15">
      <c r="A1475">
        <v>1700</v>
      </c>
      <c r="B1475" t="s">
        <v>3758</v>
      </c>
      <c r="C1475" t="s">
        <v>3759</v>
      </c>
      <c r="D1475" t="s">
        <v>11027</v>
      </c>
      <c r="E1475" t="s">
        <v>11028</v>
      </c>
      <c r="F1475" t="s">
        <v>11029</v>
      </c>
      <c r="G1475" t="s">
        <v>5904</v>
      </c>
      <c r="H1475">
        <v>108</v>
      </c>
      <c r="I1475">
        <v>108</v>
      </c>
      <c r="J1475">
        <v>108</v>
      </c>
      <c r="K1475">
        <v>99</v>
      </c>
      <c r="L1475">
        <v>104</v>
      </c>
      <c r="M1475">
        <v>91.7</v>
      </c>
      <c r="N1475">
        <v>96.3</v>
      </c>
      <c r="O1475">
        <v>191.8</v>
      </c>
    </row>
    <row r="1476" spans="1:15">
      <c r="A1476">
        <v>1699</v>
      </c>
      <c r="B1476" t="s">
        <v>3760</v>
      </c>
      <c r="C1476" t="s">
        <v>11030</v>
      </c>
      <c r="D1476" t="s">
        <v>11031</v>
      </c>
      <c r="E1476" t="s">
        <v>11032</v>
      </c>
      <c r="F1476" t="s">
        <v>11033</v>
      </c>
      <c r="G1476" t="s">
        <v>5904</v>
      </c>
      <c r="H1476">
        <v>905</v>
      </c>
      <c r="I1476">
        <v>906</v>
      </c>
      <c r="J1476">
        <v>906</v>
      </c>
      <c r="K1476">
        <v>900</v>
      </c>
      <c r="L1476">
        <v>902</v>
      </c>
      <c r="M1476">
        <v>99.4</v>
      </c>
      <c r="N1476">
        <v>99.7</v>
      </c>
      <c r="O1476">
        <v>1842</v>
      </c>
    </row>
    <row r="1477" spans="1:15">
      <c r="A1477">
        <v>1698</v>
      </c>
      <c r="B1477" t="s">
        <v>3763</v>
      </c>
      <c r="C1477" t="s">
        <v>3765</v>
      </c>
      <c r="D1477" t="s">
        <v>11034</v>
      </c>
      <c r="E1477" t="s">
        <v>11035</v>
      </c>
      <c r="F1477" t="s">
        <v>11036</v>
      </c>
      <c r="G1477" t="s">
        <v>5904</v>
      </c>
      <c r="H1477">
        <v>679</v>
      </c>
      <c r="I1477">
        <v>679</v>
      </c>
      <c r="J1477">
        <v>679</v>
      </c>
      <c r="K1477">
        <v>672</v>
      </c>
      <c r="L1477">
        <v>676</v>
      </c>
      <c r="M1477">
        <v>99</v>
      </c>
      <c r="N1477">
        <v>99.6</v>
      </c>
      <c r="O1477">
        <v>1384.4</v>
      </c>
    </row>
    <row r="1478" spans="1:15">
      <c r="A1478">
        <v>2199</v>
      </c>
      <c r="B1478" t="s">
        <v>3766</v>
      </c>
      <c r="C1478" t="s">
        <v>3767</v>
      </c>
      <c r="D1478" t="s">
        <v>11037</v>
      </c>
      <c r="E1478" t="s">
        <v>11038</v>
      </c>
      <c r="F1478" t="s">
        <v>11039</v>
      </c>
      <c r="G1478" t="s">
        <v>5904</v>
      </c>
      <c r="H1478">
        <v>684</v>
      </c>
      <c r="I1478">
        <v>686</v>
      </c>
      <c r="J1478">
        <v>686</v>
      </c>
      <c r="K1478">
        <v>569</v>
      </c>
      <c r="L1478">
        <v>615</v>
      </c>
      <c r="M1478">
        <v>83.2</v>
      </c>
      <c r="N1478">
        <v>89.9</v>
      </c>
      <c r="O1478">
        <v>1178.7</v>
      </c>
    </row>
    <row r="1479" spans="1:15">
      <c r="A1479">
        <v>1697</v>
      </c>
      <c r="B1479" t="s">
        <v>11040</v>
      </c>
      <c r="C1479" t="s">
        <v>3770</v>
      </c>
      <c r="D1479" t="s">
        <v>11041</v>
      </c>
      <c r="E1479" t="s">
        <v>11042</v>
      </c>
      <c r="F1479" t="s">
        <v>11043</v>
      </c>
      <c r="G1479" t="s">
        <v>5904</v>
      </c>
      <c r="H1479">
        <v>430</v>
      </c>
      <c r="I1479">
        <v>457</v>
      </c>
      <c r="J1479">
        <v>464</v>
      </c>
      <c r="K1479">
        <v>403</v>
      </c>
      <c r="L1479">
        <v>409</v>
      </c>
      <c r="M1479">
        <v>93.7</v>
      </c>
      <c r="N1479">
        <v>95.1</v>
      </c>
      <c r="O1479">
        <v>798.1</v>
      </c>
    </row>
    <row r="1480" spans="1:15">
      <c r="A1480">
        <v>2198</v>
      </c>
      <c r="B1480" t="s">
        <v>3771</v>
      </c>
      <c r="C1480" t="s">
        <v>3772</v>
      </c>
      <c r="D1480" t="s">
        <v>11044</v>
      </c>
      <c r="E1480" t="s">
        <v>11045</v>
      </c>
      <c r="F1480" t="s">
        <v>11046</v>
      </c>
      <c r="G1480" t="s">
        <v>5904</v>
      </c>
      <c r="H1480">
        <v>191</v>
      </c>
      <c r="I1480">
        <v>191</v>
      </c>
      <c r="J1480">
        <v>191</v>
      </c>
      <c r="K1480">
        <v>191</v>
      </c>
      <c r="L1480">
        <v>191</v>
      </c>
      <c r="M1480">
        <v>100</v>
      </c>
      <c r="N1480">
        <v>100</v>
      </c>
      <c r="O1480">
        <v>392.9</v>
      </c>
    </row>
    <row r="1481" spans="1:15">
      <c r="A1481">
        <v>1696</v>
      </c>
      <c r="B1481" t="s">
        <v>3773</v>
      </c>
      <c r="C1481" t="s">
        <v>11047</v>
      </c>
      <c r="D1481" t="s">
        <v>11048</v>
      </c>
      <c r="E1481" t="s">
        <v>11049</v>
      </c>
      <c r="F1481" t="s">
        <v>11050</v>
      </c>
      <c r="G1481" t="s">
        <v>5904</v>
      </c>
      <c r="H1481">
        <v>106</v>
      </c>
      <c r="I1481">
        <v>106</v>
      </c>
      <c r="J1481">
        <v>106</v>
      </c>
      <c r="K1481">
        <v>85</v>
      </c>
      <c r="L1481">
        <v>95</v>
      </c>
      <c r="M1481">
        <v>80.2</v>
      </c>
      <c r="N1481">
        <v>89.6</v>
      </c>
      <c r="O1481">
        <v>180.6</v>
      </c>
    </row>
    <row r="1482" spans="1:15">
      <c r="A1482">
        <v>1695</v>
      </c>
      <c r="B1482" t="s">
        <v>3775</v>
      </c>
      <c r="C1482" t="s">
        <v>3777</v>
      </c>
      <c r="D1482" t="s">
        <v>11051</v>
      </c>
      <c r="E1482" t="s">
        <v>11052</v>
      </c>
      <c r="F1482" t="s">
        <v>11053</v>
      </c>
      <c r="G1482" t="s">
        <v>5904</v>
      </c>
      <c r="H1482">
        <v>499</v>
      </c>
      <c r="I1482">
        <v>498</v>
      </c>
      <c r="J1482">
        <v>499</v>
      </c>
      <c r="K1482">
        <v>460</v>
      </c>
      <c r="L1482">
        <v>477</v>
      </c>
      <c r="M1482">
        <v>92.2</v>
      </c>
      <c r="N1482">
        <v>95.6</v>
      </c>
      <c r="O1482">
        <v>961.8</v>
      </c>
    </row>
    <row r="1483" spans="1:15">
      <c r="A1483">
        <v>1694</v>
      </c>
      <c r="B1483" t="s">
        <v>3778</v>
      </c>
      <c r="C1483" t="s">
        <v>3779</v>
      </c>
      <c r="D1483" t="s">
        <v>11051</v>
      </c>
      <c r="E1483" t="s">
        <v>11052</v>
      </c>
      <c r="F1483" t="s">
        <v>11054</v>
      </c>
      <c r="G1483" t="s">
        <v>5904</v>
      </c>
      <c r="H1483">
        <v>498</v>
      </c>
      <c r="I1483">
        <v>498</v>
      </c>
      <c r="J1483">
        <v>498</v>
      </c>
      <c r="K1483">
        <v>459</v>
      </c>
      <c r="L1483">
        <v>476</v>
      </c>
      <c r="M1483">
        <v>92.2</v>
      </c>
      <c r="N1483">
        <v>95.6</v>
      </c>
      <c r="O1483">
        <v>963.8</v>
      </c>
    </row>
    <row r="1484" spans="1:15">
      <c r="A1484">
        <v>1693</v>
      </c>
      <c r="B1484" t="s">
        <v>3780</v>
      </c>
      <c r="C1484" t="s">
        <v>11055</v>
      </c>
      <c r="D1484" t="s">
        <v>11056</v>
      </c>
      <c r="E1484" t="s">
        <v>11057</v>
      </c>
      <c r="F1484" t="s">
        <v>11058</v>
      </c>
      <c r="G1484" t="s">
        <v>5904</v>
      </c>
      <c r="H1484">
        <v>193</v>
      </c>
      <c r="I1484">
        <v>193</v>
      </c>
      <c r="J1484">
        <v>164</v>
      </c>
      <c r="K1484">
        <v>109</v>
      </c>
      <c r="L1484">
        <v>134</v>
      </c>
      <c r="M1484">
        <v>56.5</v>
      </c>
      <c r="N1484">
        <v>69.400000000000006</v>
      </c>
      <c r="O1484">
        <v>241.9</v>
      </c>
    </row>
    <row r="1485" spans="1:15">
      <c r="A1485">
        <v>1692</v>
      </c>
      <c r="B1485" t="s">
        <v>11059</v>
      </c>
      <c r="C1485" t="s">
        <v>3784</v>
      </c>
      <c r="D1485" t="s">
        <v>11060</v>
      </c>
      <c r="E1485" t="s">
        <v>11061</v>
      </c>
      <c r="F1485" t="s">
        <v>11062</v>
      </c>
      <c r="G1485" t="s">
        <v>5904</v>
      </c>
      <c r="H1485">
        <v>213</v>
      </c>
      <c r="I1485">
        <v>190</v>
      </c>
      <c r="J1485">
        <v>192</v>
      </c>
      <c r="K1485">
        <v>160</v>
      </c>
      <c r="L1485">
        <v>165</v>
      </c>
      <c r="M1485">
        <v>75.099999999999994</v>
      </c>
      <c r="N1485">
        <v>77.5</v>
      </c>
      <c r="O1485">
        <v>202.2</v>
      </c>
    </row>
    <row r="1486" spans="1:15">
      <c r="A1486">
        <v>1691</v>
      </c>
      <c r="B1486" t="s">
        <v>3785</v>
      </c>
      <c r="C1486" t="s">
        <v>3786</v>
      </c>
      <c r="D1486" t="s">
        <v>11063</v>
      </c>
      <c r="E1486" t="s">
        <v>11064</v>
      </c>
      <c r="F1486" t="s">
        <v>11065</v>
      </c>
      <c r="G1486" t="s">
        <v>5904</v>
      </c>
      <c r="H1486">
        <v>298</v>
      </c>
      <c r="I1486">
        <v>298</v>
      </c>
      <c r="J1486">
        <v>298</v>
      </c>
      <c r="K1486">
        <v>291</v>
      </c>
      <c r="L1486">
        <v>294</v>
      </c>
      <c r="M1486">
        <v>97.7</v>
      </c>
      <c r="N1486">
        <v>98.7</v>
      </c>
      <c r="O1486">
        <v>591.29999999999995</v>
      </c>
    </row>
    <row r="1487" spans="1:15">
      <c r="A1487">
        <v>1690</v>
      </c>
      <c r="B1487" t="s">
        <v>3787</v>
      </c>
      <c r="C1487" t="s">
        <v>11066</v>
      </c>
      <c r="D1487" t="s">
        <v>11067</v>
      </c>
      <c r="E1487" t="s">
        <v>11068</v>
      </c>
      <c r="F1487" t="s">
        <v>11069</v>
      </c>
      <c r="G1487" t="s">
        <v>5904</v>
      </c>
      <c r="H1487">
        <v>219</v>
      </c>
      <c r="I1487">
        <v>227</v>
      </c>
      <c r="J1487">
        <v>222</v>
      </c>
      <c r="K1487">
        <v>136</v>
      </c>
      <c r="L1487">
        <v>152</v>
      </c>
      <c r="M1487">
        <v>62.1</v>
      </c>
      <c r="N1487">
        <v>69.400000000000006</v>
      </c>
      <c r="O1487">
        <v>109.4</v>
      </c>
    </row>
    <row r="1488" spans="1:15">
      <c r="A1488">
        <v>2197</v>
      </c>
      <c r="B1488" t="s">
        <v>11070</v>
      </c>
      <c r="C1488" t="s">
        <v>11071</v>
      </c>
      <c r="D1488" t="s">
        <v>11072</v>
      </c>
      <c r="E1488" t="s">
        <v>11073</v>
      </c>
      <c r="F1488" t="s">
        <v>11074</v>
      </c>
      <c r="G1488" t="s">
        <v>5904</v>
      </c>
      <c r="H1488">
        <v>427</v>
      </c>
      <c r="I1488">
        <v>426</v>
      </c>
      <c r="J1488">
        <v>424</v>
      </c>
      <c r="K1488">
        <v>394</v>
      </c>
      <c r="L1488">
        <v>405</v>
      </c>
      <c r="M1488">
        <v>92.3</v>
      </c>
      <c r="N1488">
        <v>94.8</v>
      </c>
      <c r="O1488">
        <v>685.6</v>
      </c>
    </row>
    <row r="1489" spans="1:15">
      <c r="A1489">
        <v>1689</v>
      </c>
      <c r="B1489" t="s">
        <v>3792</v>
      </c>
      <c r="C1489" t="s">
        <v>3793</v>
      </c>
      <c r="D1489" t="s">
        <v>11075</v>
      </c>
      <c r="E1489" t="s">
        <v>11076</v>
      </c>
      <c r="F1489" t="s">
        <v>11077</v>
      </c>
      <c r="G1489" t="s">
        <v>5904</v>
      </c>
      <c r="H1489">
        <v>212</v>
      </c>
      <c r="I1489">
        <v>212</v>
      </c>
      <c r="J1489">
        <v>212</v>
      </c>
      <c r="K1489">
        <v>195</v>
      </c>
      <c r="L1489">
        <v>204</v>
      </c>
      <c r="M1489">
        <v>92</v>
      </c>
      <c r="N1489">
        <v>96.2</v>
      </c>
      <c r="O1489">
        <v>400.2</v>
      </c>
    </row>
    <row r="1490" spans="1:15">
      <c r="A1490">
        <v>1688</v>
      </c>
      <c r="B1490" t="s">
        <v>3794</v>
      </c>
      <c r="C1490" t="s">
        <v>3795</v>
      </c>
      <c r="D1490" t="s">
        <v>11078</v>
      </c>
      <c r="E1490" t="s">
        <v>11079</v>
      </c>
      <c r="F1490" t="s">
        <v>11080</v>
      </c>
      <c r="G1490" t="s">
        <v>5904</v>
      </c>
      <c r="H1490">
        <v>683</v>
      </c>
      <c r="I1490">
        <v>683</v>
      </c>
      <c r="J1490">
        <v>660</v>
      </c>
      <c r="K1490">
        <v>613</v>
      </c>
      <c r="L1490">
        <v>644</v>
      </c>
      <c r="M1490">
        <v>89.8</v>
      </c>
      <c r="N1490">
        <v>94.3</v>
      </c>
      <c r="O1490">
        <v>1284.2</v>
      </c>
    </row>
    <row r="1491" spans="1:15">
      <c r="A1491">
        <v>1687</v>
      </c>
      <c r="B1491" t="s">
        <v>11081</v>
      </c>
      <c r="C1491" t="s">
        <v>3798</v>
      </c>
      <c r="D1491" t="s">
        <v>11082</v>
      </c>
      <c r="E1491" t="s">
        <v>11083</v>
      </c>
      <c r="F1491" t="s">
        <v>11084</v>
      </c>
      <c r="G1491" t="s">
        <v>5904</v>
      </c>
      <c r="H1491">
        <v>698</v>
      </c>
      <c r="I1491">
        <v>649</v>
      </c>
      <c r="J1491">
        <v>694</v>
      </c>
      <c r="K1491">
        <v>581</v>
      </c>
      <c r="L1491">
        <v>592</v>
      </c>
      <c r="M1491">
        <v>83.2</v>
      </c>
      <c r="N1491">
        <v>84.8</v>
      </c>
      <c r="O1491">
        <v>973</v>
      </c>
    </row>
    <row r="1492" spans="1:15">
      <c r="A1492">
        <v>1686</v>
      </c>
      <c r="B1492" t="s">
        <v>3799</v>
      </c>
      <c r="C1492" t="s">
        <v>3800</v>
      </c>
      <c r="D1492" t="s">
        <v>11085</v>
      </c>
      <c r="E1492" t="s">
        <v>11086</v>
      </c>
      <c r="F1492" t="s">
        <v>11087</v>
      </c>
      <c r="G1492" t="s">
        <v>5904</v>
      </c>
      <c r="H1492">
        <v>333</v>
      </c>
      <c r="I1492">
        <v>378</v>
      </c>
      <c r="J1492">
        <v>379</v>
      </c>
      <c r="K1492">
        <v>199</v>
      </c>
      <c r="L1492">
        <v>232</v>
      </c>
      <c r="M1492">
        <v>59.8</v>
      </c>
      <c r="N1492">
        <v>69.7</v>
      </c>
      <c r="O1492">
        <v>301.2</v>
      </c>
    </row>
    <row r="1493" spans="1:15">
      <c r="A1493">
        <v>1685</v>
      </c>
      <c r="B1493" t="s">
        <v>11088</v>
      </c>
      <c r="C1493" t="s">
        <v>3803</v>
      </c>
      <c r="D1493" t="s">
        <v>11089</v>
      </c>
      <c r="E1493" t="s">
        <v>11090</v>
      </c>
      <c r="F1493" t="s">
        <v>11091</v>
      </c>
      <c r="G1493" t="s">
        <v>5904</v>
      </c>
      <c r="H1493">
        <v>472</v>
      </c>
      <c r="I1493">
        <v>449</v>
      </c>
      <c r="J1493">
        <v>446</v>
      </c>
      <c r="K1493">
        <v>437</v>
      </c>
      <c r="L1493">
        <v>438</v>
      </c>
      <c r="M1493">
        <v>92.6</v>
      </c>
      <c r="N1493">
        <v>92.8</v>
      </c>
      <c r="O1493">
        <v>897.5</v>
      </c>
    </row>
    <row r="1494" spans="1:15">
      <c r="A1494">
        <v>1684</v>
      </c>
      <c r="B1494" t="s">
        <v>3804</v>
      </c>
      <c r="C1494" t="s">
        <v>3805</v>
      </c>
      <c r="D1494" t="s">
        <v>11092</v>
      </c>
      <c r="E1494" t="s">
        <v>11093</v>
      </c>
      <c r="F1494" t="s">
        <v>11094</v>
      </c>
      <c r="G1494" t="s">
        <v>5904</v>
      </c>
      <c r="H1494">
        <v>183</v>
      </c>
      <c r="I1494">
        <v>184</v>
      </c>
      <c r="J1494">
        <v>185</v>
      </c>
      <c r="K1494">
        <v>154</v>
      </c>
      <c r="L1494">
        <v>165</v>
      </c>
      <c r="M1494">
        <v>84.2</v>
      </c>
      <c r="N1494">
        <v>90.2</v>
      </c>
      <c r="O1494">
        <v>293.5</v>
      </c>
    </row>
    <row r="1495" spans="1:15">
      <c r="A1495">
        <v>1683</v>
      </c>
      <c r="B1495" t="s">
        <v>11095</v>
      </c>
      <c r="C1495" t="s">
        <v>3808</v>
      </c>
      <c r="D1495" t="s">
        <v>11096</v>
      </c>
      <c r="E1495" t="s">
        <v>11097</v>
      </c>
      <c r="F1495" t="s">
        <v>11098</v>
      </c>
      <c r="G1495" t="s">
        <v>6054</v>
      </c>
      <c r="H1495">
        <v>302</v>
      </c>
      <c r="I1495">
        <v>364</v>
      </c>
      <c r="J1495">
        <v>130</v>
      </c>
      <c r="K1495">
        <v>72</v>
      </c>
      <c r="L1495">
        <v>91</v>
      </c>
      <c r="M1495">
        <v>23.8</v>
      </c>
      <c r="N1495">
        <v>30.1</v>
      </c>
      <c r="O1495">
        <v>152.1</v>
      </c>
    </row>
    <row r="1496" spans="1:15">
      <c r="A1496">
        <v>1682</v>
      </c>
      <c r="B1496" t="s">
        <v>3809</v>
      </c>
      <c r="C1496" t="s">
        <v>3810</v>
      </c>
      <c r="D1496" t="s">
        <v>11099</v>
      </c>
      <c r="E1496" t="s">
        <v>11100</v>
      </c>
      <c r="F1496" t="s">
        <v>11101</v>
      </c>
      <c r="G1496" t="s">
        <v>5904</v>
      </c>
      <c r="H1496">
        <v>842</v>
      </c>
      <c r="I1496">
        <v>842</v>
      </c>
      <c r="J1496">
        <v>842</v>
      </c>
      <c r="K1496">
        <v>713</v>
      </c>
      <c r="L1496">
        <v>775</v>
      </c>
      <c r="M1496">
        <v>84.7</v>
      </c>
      <c r="N1496">
        <v>92</v>
      </c>
      <c r="O1496">
        <v>1501.5</v>
      </c>
    </row>
    <row r="1497" spans="1:15">
      <c r="A1497">
        <v>1681</v>
      </c>
      <c r="B1497" t="s">
        <v>11102</v>
      </c>
      <c r="C1497" t="s">
        <v>3813</v>
      </c>
      <c r="D1497" t="s">
        <v>11103</v>
      </c>
      <c r="E1497" t="s">
        <v>11104</v>
      </c>
      <c r="F1497" t="s">
        <v>11105</v>
      </c>
      <c r="G1497" t="s">
        <v>5904</v>
      </c>
      <c r="H1497">
        <v>961</v>
      </c>
      <c r="I1497">
        <v>961</v>
      </c>
      <c r="J1497">
        <v>961</v>
      </c>
      <c r="K1497">
        <v>899</v>
      </c>
      <c r="L1497">
        <v>927</v>
      </c>
      <c r="M1497">
        <v>93.5</v>
      </c>
      <c r="N1497">
        <v>96.5</v>
      </c>
      <c r="O1497">
        <v>1744.2</v>
      </c>
    </row>
    <row r="1498" spans="1:15">
      <c r="A1498">
        <v>1680</v>
      </c>
      <c r="B1498" t="s">
        <v>11106</v>
      </c>
      <c r="C1498" t="s">
        <v>3816</v>
      </c>
      <c r="D1498" t="s">
        <v>11107</v>
      </c>
      <c r="E1498" t="s">
        <v>11108</v>
      </c>
      <c r="F1498" t="s">
        <v>11109</v>
      </c>
      <c r="G1498" t="s">
        <v>5904</v>
      </c>
      <c r="H1498">
        <v>411</v>
      </c>
      <c r="I1498">
        <v>379</v>
      </c>
      <c r="J1498">
        <v>412</v>
      </c>
      <c r="K1498">
        <v>291</v>
      </c>
      <c r="L1498">
        <v>322</v>
      </c>
      <c r="M1498">
        <v>70.8</v>
      </c>
      <c r="N1498">
        <v>78.3</v>
      </c>
      <c r="O1498">
        <v>549.70000000000005</v>
      </c>
    </row>
    <row r="1499" spans="1:15">
      <c r="A1499">
        <v>1679</v>
      </c>
      <c r="B1499" t="s">
        <v>3817</v>
      </c>
      <c r="C1499" t="s">
        <v>11110</v>
      </c>
      <c r="D1499" t="s">
        <v>11111</v>
      </c>
      <c r="E1499" t="s">
        <v>11112</v>
      </c>
      <c r="F1499" t="s">
        <v>11113</v>
      </c>
      <c r="G1499" t="s">
        <v>5904</v>
      </c>
      <c r="H1499">
        <v>245</v>
      </c>
      <c r="I1499">
        <v>245</v>
      </c>
      <c r="J1499">
        <v>245</v>
      </c>
      <c r="K1499">
        <v>211</v>
      </c>
      <c r="L1499">
        <v>232</v>
      </c>
      <c r="M1499">
        <v>86.1</v>
      </c>
      <c r="N1499">
        <v>94.7</v>
      </c>
      <c r="O1499">
        <v>461.1</v>
      </c>
    </row>
    <row r="1500" spans="1:15">
      <c r="A1500">
        <v>1678</v>
      </c>
      <c r="B1500" t="s">
        <v>3819</v>
      </c>
      <c r="C1500" t="s">
        <v>3820</v>
      </c>
      <c r="D1500" t="s">
        <v>11114</v>
      </c>
      <c r="E1500" t="s">
        <v>11115</v>
      </c>
      <c r="F1500" t="s">
        <v>11116</v>
      </c>
      <c r="G1500" t="s">
        <v>5904</v>
      </c>
      <c r="H1500">
        <v>77</v>
      </c>
      <c r="I1500">
        <v>77</v>
      </c>
      <c r="J1500">
        <v>77</v>
      </c>
      <c r="K1500">
        <v>66</v>
      </c>
      <c r="L1500">
        <v>70</v>
      </c>
      <c r="M1500">
        <v>85.7</v>
      </c>
      <c r="N1500">
        <v>90.9</v>
      </c>
      <c r="O1500">
        <v>132.9</v>
      </c>
    </row>
    <row r="1501" spans="1:15">
      <c r="A1501">
        <v>1677</v>
      </c>
      <c r="B1501" t="s">
        <v>3821</v>
      </c>
      <c r="C1501" t="s">
        <v>11117</v>
      </c>
      <c r="D1501" t="s">
        <v>11118</v>
      </c>
      <c r="E1501" t="s">
        <v>11119</v>
      </c>
      <c r="F1501" t="s">
        <v>11120</v>
      </c>
      <c r="G1501" t="s">
        <v>5904</v>
      </c>
      <c r="H1501">
        <v>918</v>
      </c>
      <c r="I1501">
        <v>918</v>
      </c>
      <c r="J1501">
        <v>919</v>
      </c>
      <c r="K1501">
        <v>831</v>
      </c>
      <c r="L1501">
        <v>864</v>
      </c>
      <c r="M1501">
        <v>90.5</v>
      </c>
      <c r="N1501">
        <v>94.1</v>
      </c>
      <c r="O1501">
        <v>1677.5</v>
      </c>
    </row>
    <row r="1502" spans="1:15">
      <c r="A1502">
        <v>2196</v>
      </c>
      <c r="B1502" t="s">
        <v>3823</v>
      </c>
      <c r="C1502" t="s">
        <v>11121</v>
      </c>
      <c r="D1502" t="s">
        <v>11122</v>
      </c>
      <c r="E1502" t="s">
        <v>11123</v>
      </c>
      <c r="F1502" t="s">
        <v>11124</v>
      </c>
      <c r="G1502" t="s">
        <v>5904</v>
      </c>
      <c r="H1502">
        <v>546</v>
      </c>
      <c r="I1502">
        <v>551</v>
      </c>
      <c r="J1502">
        <v>538</v>
      </c>
      <c r="K1502">
        <v>434</v>
      </c>
      <c r="L1502">
        <v>473</v>
      </c>
      <c r="M1502">
        <v>79.5</v>
      </c>
      <c r="N1502">
        <v>86.6</v>
      </c>
      <c r="O1502">
        <v>862.4</v>
      </c>
    </row>
    <row r="1503" spans="1:15">
      <c r="A1503">
        <v>1676</v>
      </c>
      <c r="B1503" t="s">
        <v>11125</v>
      </c>
      <c r="C1503" t="s">
        <v>3827</v>
      </c>
      <c r="D1503" t="s">
        <v>11126</v>
      </c>
      <c r="E1503" t="s">
        <v>11127</v>
      </c>
      <c r="F1503" t="s">
        <v>11128</v>
      </c>
      <c r="G1503" t="s">
        <v>5904</v>
      </c>
      <c r="H1503">
        <v>656</v>
      </c>
      <c r="I1503">
        <v>689</v>
      </c>
      <c r="J1503">
        <v>690</v>
      </c>
      <c r="K1503">
        <v>502</v>
      </c>
      <c r="L1503">
        <v>547</v>
      </c>
      <c r="M1503">
        <v>76.5</v>
      </c>
      <c r="N1503">
        <v>83.4</v>
      </c>
      <c r="O1503">
        <v>946.4</v>
      </c>
    </row>
    <row r="1504" spans="1:15">
      <c r="A1504">
        <v>1675</v>
      </c>
      <c r="B1504" t="s">
        <v>3828</v>
      </c>
      <c r="C1504" t="s">
        <v>3829</v>
      </c>
      <c r="D1504" t="s">
        <v>11129</v>
      </c>
      <c r="E1504" t="s">
        <v>11130</v>
      </c>
      <c r="F1504" t="s">
        <v>11131</v>
      </c>
      <c r="G1504" t="s">
        <v>5904</v>
      </c>
      <c r="H1504">
        <v>675</v>
      </c>
      <c r="I1504">
        <v>674</v>
      </c>
      <c r="J1504">
        <v>675</v>
      </c>
      <c r="K1504">
        <v>572</v>
      </c>
      <c r="L1504">
        <v>613</v>
      </c>
      <c r="M1504">
        <v>84.7</v>
      </c>
      <c r="N1504">
        <v>90.8</v>
      </c>
      <c r="O1504">
        <v>1196.4000000000001</v>
      </c>
    </row>
    <row r="1505" spans="1:15">
      <c r="A1505">
        <v>1674</v>
      </c>
      <c r="B1505" t="s">
        <v>3830</v>
      </c>
      <c r="C1505" t="s">
        <v>11132</v>
      </c>
      <c r="D1505" t="s">
        <v>11133</v>
      </c>
      <c r="E1505" t="s">
        <v>11134</v>
      </c>
      <c r="F1505" t="s">
        <v>11135</v>
      </c>
      <c r="G1505" t="s">
        <v>5904</v>
      </c>
      <c r="H1505">
        <v>1058</v>
      </c>
      <c r="I1505">
        <v>1058</v>
      </c>
      <c r="J1505">
        <v>1058</v>
      </c>
      <c r="K1505">
        <v>1030</v>
      </c>
      <c r="L1505">
        <v>1046</v>
      </c>
      <c r="M1505">
        <v>97.4</v>
      </c>
      <c r="N1505">
        <v>98.9</v>
      </c>
      <c r="O1505">
        <v>2156.3000000000002</v>
      </c>
    </row>
    <row r="1506" spans="1:15">
      <c r="A1506">
        <v>1673</v>
      </c>
      <c r="B1506" t="s">
        <v>3832</v>
      </c>
      <c r="C1506" t="s">
        <v>3833</v>
      </c>
      <c r="D1506" t="s">
        <v>11136</v>
      </c>
      <c r="E1506" t="s">
        <v>11137</v>
      </c>
      <c r="F1506" t="s">
        <v>11138</v>
      </c>
      <c r="G1506" t="s">
        <v>5904</v>
      </c>
      <c r="H1506">
        <v>464</v>
      </c>
      <c r="I1506">
        <v>469</v>
      </c>
      <c r="J1506">
        <v>445</v>
      </c>
      <c r="K1506">
        <v>337</v>
      </c>
      <c r="L1506">
        <v>375</v>
      </c>
      <c r="M1506">
        <v>72.599999999999994</v>
      </c>
      <c r="N1506">
        <v>80.8</v>
      </c>
      <c r="O1506">
        <v>662.9</v>
      </c>
    </row>
    <row r="1507" spans="1:15">
      <c r="A1507">
        <v>1672</v>
      </c>
      <c r="B1507" t="s">
        <v>11139</v>
      </c>
      <c r="C1507" t="s">
        <v>3836</v>
      </c>
      <c r="D1507" t="s">
        <v>11140</v>
      </c>
      <c r="E1507" t="s">
        <v>11141</v>
      </c>
      <c r="F1507" t="s">
        <v>11142</v>
      </c>
      <c r="G1507" t="s">
        <v>5904</v>
      </c>
      <c r="H1507">
        <v>307</v>
      </c>
      <c r="I1507">
        <v>299</v>
      </c>
      <c r="J1507">
        <v>299</v>
      </c>
      <c r="K1507">
        <v>271</v>
      </c>
      <c r="L1507">
        <v>287</v>
      </c>
      <c r="M1507">
        <v>88.3</v>
      </c>
      <c r="N1507">
        <v>93.5</v>
      </c>
      <c r="O1507">
        <v>574.70000000000005</v>
      </c>
    </row>
    <row r="1508" spans="1:15">
      <c r="A1508">
        <v>1671</v>
      </c>
      <c r="B1508" t="s">
        <v>3837</v>
      </c>
      <c r="C1508" t="s">
        <v>3838</v>
      </c>
      <c r="D1508" t="s">
        <v>11143</v>
      </c>
      <c r="E1508" t="s">
        <v>11144</v>
      </c>
      <c r="F1508" t="s">
        <v>11145</v>
      </c>
      <c r="G1508" t="s">
        <v>5904</v>
      </c>
      <c r="H1508">
        <v>207</v>
      </c>
      <c r="I1508">
        <v>207</v>
      </c>
      <c r="J1508">
        <v>207</v>
      </c>
      <c r="K1508">
        <v>168</v>
      </c>
      <c r="L1508">
        <v>181</v>
      </c>
      <c r="M1508">
        <v>81.2</v>
      </c>
      <c r="N1508">
        <v>87.4</v>
      </c>
      <c r="O1508">
        <v>356.7</v>
      </c>
    </row>
    <row r="1509" spans="1:15">
      <c r="A1509">
        <v>1670</v>
      </c>
      <c r="B1509" t="s">
        <v>3839</v>
      </c>
      <c r="C1509" t="s">
        <v>3840</v>
      </c>
      <c r="D1509" t="s">
        <v>11146</v>
      </c>
      <c r="E1509" t="s">
        <v>11147</v>
      </c>
      <c r="F1509" t="s">
        <v>11148</v>
      </c>
      <c r="G1509" t="s">
        <v>5904</v>
      </c>
      <c r="H1509">
        <v>226</v>
      </c>
      <c r="I1509">
        <v>226</v>
      </c>
      <c r="J1509">
        <v>226</v>
      </c>
      <c r="K1509">
        <v>224</v>
      </c>
      <c r="L1509">
        <v>225</v>
      </c>
      <c r="M1509">
        <v>99.1</v>
      </c>
      <c r="N1509">
        <v>99.6</v>
      </c>
      <c r="O1509">
        <v>461.5</v>
      </c>
    </row>
    <row r="1510" spans="1:15">
      <c r="A1510">
        <v>1669</v>
      </c>
      <c r="B1510" t="s">
        <v>3841</v>
      </c>
      <c r="C1510" t="s">
        <v>3842</v>
      </c>
      <c r="D1510" t="s">
        <v>11149</v>
      </c>
      <c r="E1510" t="s">
        <v>11150</v>
      </c>
      <c r="F1510" t="s">
        <v>11151</v>
      </c>
      <c r="G1510" t="s">
        <v>5904</v>
      </c>
      <c r="H1510">
        <v>570</v>
      </c>
      <c r="I1510">
        <v>570</v>
      </c>
      <c r="J1510">
        <v>570</v>
      </c>
      <c r="K1510">
        <v>520</v>
      </c>
      <c r="L1510">
        <v>540</v>
      </c>
      <c r="M1510">
        <v>91.2</v>
      </c>
      <c r="N1510">
        <v>94.7</v>
      </c>
      <c r="O1510">
        <v>1063.0999999999999</v>
      </c>
    </row>
    <row r="1511" spans="1:15">
      <c r="A1511">
        <v>1668</v>
      </c>
      <c r="B1511" t="s">
        <v>11152</v>
      </c>
      <c r="C1511" t="s">
        <v>3845</v>
      </c>
      <c r="D1511" t="s">
        <v>11153</v>
      </c>
      <c r="E1511" t="s">
        <v>11154</v>
      </c>
      <c r="F1511" t="s">
        <v>11155</v>
      </c>
      <c r="G1511" t="s">
        <v>5904</v>
      </c>
      <c r="H1511">
        <v>662</v>
      </c>
      <c r="I1511">
        <v>662</v>
      </c>
      <c r="J1511">
        <v>662</v>
      </c>
      <c r="K1511">
        <v>661</v>
      </c>
      <c r="L1511">
        <v>661</v>
      </c>
      <c r="M1511">
        <v>99.8</v>
      </c>
      <c r="N1511">
        <v>99.8</v>
      </c>
      <c r="O1511">
        <v>1358.6</v>
      </c>
    </row>
    <row r="1512" spans="1:15">
      <c r="A1512">
        <v>1667</v>
      </c>
      <c r="B1512" t="s">
        <v>3846</v>
      </c>
      <c r="C1512" t="s">
        <v>11156</v>
      </c>
      <c r="D1512" t="s">
        <v>11157</v>
      </c>
      <c r="E1512" t="s">
        <v>11158</v>
      </c>
      <c r="F1512" t="s">
        <v>11159</v>
      </c>
      <c r="G1512" t="s">
        <v>5904</v>
      </c>
      <c r="H1512">
        <v>126</v>
      </c>
      <c r="I1512">
        <v>126</v>
      </c>
      <c r="J1512">
        <v>126</v>
      </c>
      <c r="K1512">
        <v>119</v>
      </c>
      <c r="L1512">
        <v>122</v>
      </c>
      <c r="M1512">
        <v>94.4</v>
      </c>
      <c r="N1512">
        <v>96.8</v>
      </c>
      <c r="O1512">
        <v>246.1</v>
      </c>
    </row>
    <row r="1513" spans="1:15">
      <c r="A1513">
        <v>2195</v>
      </c>
      <c r="B1513" t="s">
        <v>3848</v>
      </c>
      <c r="C1513" t="s">
        <v>3849</v>
      </c>
      <c r="D1513" t="s">
        <v>11160</v>
      </c>
      <c r="E1513" t="s">
        <v>11161</v>
      </c>
      <c r="F1513" t="s">
        <v>11162</v>
      </c>
      <c r="G1513" t="s">
        <v>5904</v>
      </c>
      <c r="H1513">
        <v>212</v>
      </c>
      <c r="I1513">
        <v>212</v>
      </c>
      <c r="J1513">
        <v>212</v>
      </c>
      <c r="K1513">
        <v>212</v>
      </c>
      <c r="L1513">
        <v>212</v>
      </c>
      <c r="M1513">
        <v>100</v>
      </c>
      <c r="N1513">
        <v>100</v>
      </c>
      <c r="O1513">
        <v>441.8</v>
      </c>
    </row>
    <row r="1514" spans="1:15">
      <c r="A1514">
        <v>1666</v>
      </c>
      <c r="B1514" t="s">
        <v>3850</v>
      </c>
      <c r="C1514" t="s">
        <v>3851</v>
      </c>
      <c r="D1514" t="s">
        <v>11163</v>
      </c>
      <c r="E1514" t="s">
        <v>11164</v>
      </c>
      <c r="F1514" t="s">
        <v>11165</v>
      </c>
      <c r="G1514" t="s">
        <v>5904</v>
      </c>
      <c r="H1514">
        <v>387</v>
      </c>
      <c r="I1514">
        <v>427</v>
      </c>
      <c r="J1514">
        <v>409</v>
      </c>
      <c r="K1514">
        <v>309</v>
      </c>
      <c r="L1514">
        <v>323</v>
      </c>
      <c r="M1514">
        <v>79.8</v>
      </c>
      <c r="N1514">
        <v>83.5</v>
      </c>
      <c r="O1514">
        <v>607.4</v>
      </c>
    </row>
    <row r="1515" spans="1:15">
      <c r="A1515">
        <v>1665</v>
      </c>
      <c r="B1515" t="s">
        <v>11166</v>
      </c>
      <c r="C1515" t="s">
        <v>3854</v>
      </c>
      <c r="D1515" t="s">
        <v>11167</v>
      </c>
      <c r="E1515" t="s">
        <v>11168</v>
      </c>
      <c r="F1515" t="s">
        <v>11169</v>
      </c>
      <c r="G1515" t="s">
        <v>5904</v>
      </c>
      <c r="H1515">
        <v>412</v>
      </c>
      <c r="I1515">
        <v>410</v>
      </c>
      <c r="J1515">
        <v>412</v>
      </c>
      <c r="K1515">
        <v>349</v>
      </c>
      <c r="L1515">
        <v>367</v>
      </c>
      <c r="M1515">
        <v>84.7</v>
      </c>
      <c r="N1515">
        <v>89.1</v>
      </c>
      <c r="O1515">
        <v>689.1</v>
      </c>
    </row>
    <row r="1516" spans="1:15">
      <c r="A1516">
        <v>1664</v>
      </c>
      <c r="B1516" t="s">
        <v>3855</v>
      </c>
      <c r="C1516" t="s">
        <v>3857</v>
      </c>
      <c r="D1516" t="s">
        <v>7359</v>
      </c>
      <c r="E1516" t="s">
        <v>7360</v>
      </c>
      <c r="F1516" t="s">
        <v>11170</v>
      </c>
      <c r="G1516" t="s">
        <v>5904</v>
      </c>
      <c r="H1516">
        <v>646</v>
      </c>
      <c r="I1516">
        <v>646</v>
      </c>
      <c r="J1516">
        <v>646</v>
      </c>
      <c r="K1516">
        <v>633</v>
      </c>
      <c r="L1516">
        <v>637</v>
      </c>
      <c r="M1516">
        <v>98</v>
      </c>
      <c r="N1516">
        <v>98.6</v>
      </c>
      <c r="O1516">
        <v>1300.8</v>
      </c>
    </row>
    <row r="1517" spans="1:15">
      <c r="A1517">
        <v>2194</v>
      </c>
      <c r="B1517" t="s">
        <v>11171</v>
      </c>
      <c r="C1517" t="s">
        <v>3860</v>
      </c>
      <c r="D1517" t="s">
        <v>11172</v>
      </c>
      <c r="E1517" t="s">
        <v>11173</v>
      </c>
      <c r="F1517" t="s">
        <v>11174</v>
      </c>
      <c r="G1517" t="s">
        <v>5904</v>
      </c>
      <c r="H1517">
        <v>559</v>
      </c>
      <c r="I1517">
        <v>559</v>
      </c>
      <c r="J1517">
        <v>559</v>
      </c>
      <c r="K1517">
        <v>545</v>
      </c>
      <c r="L1517">
        <v>556</v>
      </c>
      <c r="M1517">
        <v>97.5</v>
      </c>
      <c r="N1517">
        <v>99.5</v>
      </c>
      <c r="O1517">
        <v>1141.3</v>
      </c>
    </row>
    <row r="1518" spans="1:15">
      <c r="A1518">
        <v>1663</v>
      </c>
      <c r="B1518" t="s">
        <v>11175</v>
      </c>
      <c r="C1518" t="s">
        <v>3863</v>
      </c>
      <c r="D1518" t="s">
        <v>11176</v>
      </c>
      <c r="E1518" t="s">
        <v>11177</v>
      </c>
      <c r="F1518" t="s">
        <v>11178</v>
      </c>
      <c r="G1518" t="s">
        <v>5904</v>
      </c>
      <c r="H1518">
        <v>587</v>
      </c>
      <c r="I1518">
        <v>559</v>
      </c>
      <c r="J1518">
        <v>587</v>
      </c>
      <c r="K1518">
        <v>541</v>
      </c>
      <c r="L1518">
        <v>552</v>
      </c>
      <c r="M1518">
        <v>92.2</v>
      </c>
      <c r="N1518">
        <v>94</v>
      </c>
      <c r="O1518">
        <v>1111.7</v>
      </c>
    </row>
    <row r="1519" spans="1:15">
      <c r="A1519">
        <v>1662</v>
      </c>
      <c r="B1519" t="s">
        <v>3864</v>
      </c>
      <c r="C1519" t="s">
        <v>3865</v>
      </c>
      <c r="D1519" t="s">
        <v>11179</v>
      </c>
      <c r="E1519" t="s">
        <v>11180</v>
      </c>
      <c r="F1519" t="s">
        <v>11181</v>
      </c>
      <c r="G1519" t="s">
        <v>5904</v>
      </c>
      <c r="H1519">
        <v>499</v>
      </c>
      <c r="I1519">
        <v>486</v>
      </c>
      <c r="J1519">
        <v>478</v>
      </c>
      <c r="K1519">
        <v>459</v>
      </c>
      <c r="L1519">
        <v>463</v>
      </c>
      <c r="M1519">
        <v>92</v>
      </c>
      <c r="N1519">
        <v>92.8</v>
      </c>
      <c r="O1519">
        <v>894.8</v>
      </c>
    </row>
    <row r="1520" spans="1:15">
      <c r="A1520">
        <v>1661</v>
      </c>
      <c r="B1520" t="s">
        <v>11182</v>
      </c>
      <c r="C1520" t="s">
        <v>3868</v>
      </c>
      <c r="D1520" t="s">
        <v>11183</v>
      </c>
      <c r="E1520" t="s">
        <v>11184</v>
      </c>
      <c r="F1520" t="s">
        <v>11185</v>
      </c>
      <c r="G1520" t="s">
        <v>5904</v>
      </c>
      <c r="H1520">
        <v>555</v>
      </c>
      <c r="I1520">
        <v>515</v>
      </c>
      <c r="J1520">
        <v>515</v>
      </c>
      <c r="K1520">
        <v>488</v>
      </c>
      <c r="L1520">
        <v>504</v>
      </c>
      <c r="M1520">
        <v>87.9</v>
      </c>
      <c r="N1520">
        <v>90.8</v>
      </c>
      <c r="O1520">
        <v>1034.2</v>
      </c>
    </row>
    <row r="1521" spans="1:15">
      <c r="A1521">
        <v>1660</v>
      </c>
      <c r="B1521" t="s">
        <v>11186</v>
      </c>
      <c r="C1521" t="s">
        <v>3871</v>
      </c>
      <c r="D1521" t="s">
        <v>11187</v>
      </c>
      <c r="E1521" t="s">
        <v>11188</v>
      </c>
      <c r="F1521" t="s">
        <v>11189</v>
      </c>
      <c r="G1521" t="s">
        <v>5904</v>
      </c>
      <c r="H1521">
        <v>231</v>
      </c>
      <c r="I1521">
        <v>228</v>
      </c>
      <c r="J1521">
        <v>225</v>
      </c>
      <c r="K1521">
        <v>196</v>
      </c>
      <c r="L1521">
        <v>211</v>
      </c>
      <c r="M1521">
        <v>84.8</v>
      </c>
      <c r="N1521">
        <v>91.3</v>
      </c>
      <c r="O1521">
        <v>407.9</v>
      </c>
    </row>
    <row r="1522" spans="1:15">
      <c r="A1522">
        <v>1659</v>
      </c>
      <c r="B1522" t="s">
        <v>3872</v>
      </c>
      <c r="C1522" t="s">
        <v>3873</v>
      </c>
      <c r="D1522" t="s">
        <v>11190</v>
      </c>
      <c r="E1522" t="s">
        <v>11191</v>
      </c>
      <c r="F1522" t="s">
        <v>11192</v>
      </c>
      <c r="G1522" t="s">
        <v>5904</v>
      </c>
      <c r="H1522">
        <v>613</v>
      </c>
      <c r="I1522">
        <v>613</v>
      </c>
      <c r="J1522">
        <v>613</v>
      </c>
      <c r="K1522">
        <v>581</v>
      </c>
      <c r="L1522">
        <v>596</v>
      </c>
      <c r="M1522">
        <v>94.8</v>
      </c>
      <c r="N1522">
        <v>97.2</v>
      </c>
      <c r="O1522">
        <v>1154.4000000000001</v>
      </c>
    </row>
    <row r="1523" spans="1:15">
      <c r="A1523">
        <v>1658</v>
      </c>
      <c r="B1523" t="s">
        <v>11193</v>
      </c>
      <c r="C1523" t="s">
        <v>3876</v>
      </c>
      <c r="D1523" t="s">
        <v>11194</v>
      </c>
      <c r="E1523" t="s">
        <v>11195</v>
      </c>
      <c r="F1523" t="s">
        <v>11196</v>
      </c>
      <c r="G1523" t="s">
        <v>5904</v>
      </c>
      <c r="H1523">
        <v>390</v>
      </c>
      <c r="I1523">
        <v>390</v>
      </c>
      <c r="J1523">
        <v>390</v>
      </c>
      <c r="K1523">
        <v>385</v>
      </c>
      <c r="L1523">
        <v>389</v>
      </c>
      <c r="M1523">
        <v>98.7</v>
      </c>
      <c r="N1523">
        <v>99.7</v>
      </c>
      <c r="O1523">
        <v>808.5</v>
      </c>
    </row>
    <row r="1524" spans="1:15">
      <c r="A1524">
        <v>1657</v>
      </c>
      <c r="B1524" t="s">
        <v>3877</v>
      </c>
      <c r="C1524" t="s">
        <v>3878</v>
      </c>
      <c r="D1524" t="s">
        <v>11197</v>
      </c>
      <c r="E1524" t="s">
        <v>11198</v>
      </c>
      <c r="F1524" t="s">
        <v>11199</v>
      </c>
      <c r="G1524" t="s">
        <v>5904</v>
      </c>
      <c r="H1524">
        <v>195</v>
      </c>
      <c r="I1524">
        <v>195</v>
      </c>
      <c r="J1524">
        <v>195</v>
      </c>
      <c r="K1524">
        <v>187</v>
      </c>
      <c r="L1524">
        <v>191</v>
      </c>
      <c r="M1524">
        <v>95.9</v>
      </c>
      <c r="N1524">
        <v>97.9</v>
      </c>
      <c r="O1524">
        <v>352.1</v>
      </c>
    </row>
    <row r="1525" spans="1:15">
      <c r="A1525">
        <v>2193</v>
      </c>
      <c r="B1525" t="s">
        <v>3879</v>
      </c>
      <c r="C1525" t="s">
        <v>3880</v>
      </c>
      <c r="D1525" t="s">
        <v>11200</v>
      </c>
      <c r="E1525" t="s">
        <v>11201</v>
      </c>
      <c r="F1525" t="s">
        <v>11202</v>
      </c>
      <c r="G1525" t="s">
        <v>5904</v>
      </c>
      <c r="H1525">
        <v>354</v>
      </c>
      <c r="I1525">
        <v>354</v>
      </c>
      <c r="J1525">
        <v>354</v>
      </c>
      <c r="K1525">
        <v>351</v>
      </c>
      <c r="L1525">
        <v>354</v>
      </c>
      <c r="M1525">
        <v>99.2</v>
      </c>
      <c r="N1525">
        <v>100</v>
      </c>
      <c r="O1525">
        <v>731.1</v>
      </c>
    </row>
    <row r="1526" spans="1:15">
      <c r="A1526">
        <v>1656</v>
      </c>
      <c r="B1526" t="s">
        <v>3881</v>
      </c>
      <c r="C1526" t="s">
        <v>11203</v>
      </c>
      <c r="D1526" t="s">
        <v>11204</v>
      </c>
      <c r="E1526" t="s">
        <v>11205</v>
      </c>
      <c r="F1526" t="s">
        <v>11206</v>
      </c>
      <c r="G1526" t="s">
        <v>5904</v>
      </c>
      <c r="H1526">
        <v>86</v>
      </c>
      <c r="I1526">
        <v>88</v>
      </c>
      <c r="J1526">
        <v>86</v>
      </c>
      <c r="K1526">
        <v>84</v>
      </c>
      <c r="L1526">
        <v>85</v>
      </c>
      <c r="M1526">
        <v>97.7</v>
      </c>
      <c r="N1526">
        <v>98.8</v>
      </c>
      <c r="O1526">
        <v>166.4</v>
      </c>
    </row>
    <row r="1527" spans="1:15">
      <c r="A1527">
        <v>1655</v>
      </c>
      <c r="B1527" t="s">
        <v>3883</v>
      </c>
      <c r="C1527" t="s">
        <v>3885</v>
      </c>
      <c r="D1527" t="s">
        <v>11207</v>
      </c>
      <c r="E1527" t="s">
        <v>11208</v>
      </c>
      <c r="F1527" t="s">
        <v>11209</v>
      </c>
      <c r="G1527" t="s">
        <v>5904</v>
      </c>
      <c r="H1527">
        <v>186</v>
      </c>
      <c r="I1527">
        <v>185</v>
      </c>
      <c r="J1527">
        <v>162</v>
      </c>
      <c r="K1527">
        <v>102</v>
      </c>
      <c r="L1527">
        <v>122</v>
      </c>
      <c r="M1527">
        <v>54.8</v>
      </c>
      <c r="N1527">
        <v>65.599999999999994</v>
      </c>
      <c r="O1527">
        <v>102.1</v>
      </c>
    </row>
    <row r="1528" spans="1:15">
      <c r="A1528">
        <v>1654</v>
      </c>
      <c r="B1528" t="s">
        <v>3886</v>
      </c>
      <c r="C1528" t="s">
        <v>3887</v>
      </c>
      <c r="D1528" t="s">
        <v>11207</v>
      </c>
      <c r="E1528" t="s">
        <v>11208</v>
      </c>
      <c r="F1528" t="s">
        <v>11210</v>
      </c>
      <c r="G1528" t="s">
        <v>5904</v>
      </c>
      <c r="H1528">
        <v>185</v>
      </c>
      <c r="I1528">
        <v>185</v>
      </c>
      <c r="J1528">
        <v>161</v>
      </c>
      <c r="K1528">
        <v>101</v>
      </c>
      <c r="L1528">
        <v>121</v>
      </c>
      <c r="M1528">
        <v>54.6</v>
      </c>
      <c r="N1528">
        <v>65.400000000000006</v>
      </c>
      <c r="O1528">
        <v>103.6</v>
      </c>
    </row>
    <row r="1529" spans="1:15">
      <c r="A1529">
        <v>2192</v>
      </c>
      <c r="B1529" t="s">
        <v>11211</v>
      </c>
      <c r="C1529" t="s">
        <v>3890</v>
      </c>
      <c r="D1529" t="s">
        <v>11212</v>
      </c>
      <c r="E1529" t="s">
        <v>11213</v>
      </c>
      <c r="F1529" t="s">
        <v>11214</v>
      </c>
      <c r="G1529" t="s">
        <v>5900</v>
      </c>
      <c r="H1529">
        <v>644</v>
      </c>
      <c r="I1529">
        <v>281</v>
      </c>
      <c r="J1529">
        <v>281</v>
      </c>
      <c r="K1529">
        <v>250</v>
      </c>
      <c r="L1529">
        <v>263</v>
      </c>
      <c r="M1529">
        <v>38.799999999999997</v>
      </c>
      <c r="N1529">
        <v>40.799999999999997</v>
      </c>
      <c r="O1529">
        <v>463.8</v>
      </c>
    </row>
    <row r="1530" spans="1:15">
      <c r="A1530">
        <v>1653</v>
      </c>
      <c r="B1530" t="s">
        <v>3891</v>
      </c>
      <c r="C1530" t="s">
        <v>11215</v>
      </c>
      <c r="D1530" t="s">
        <v>11216</v>
      </c>
      <c r="E1530" t="s">
        <v>11217</v>
      </c>
      <c r="F1530" t="s">
        <v>11218</v>
      </c>
      <c r="G1530" t="s">
        <v>5904</v>
      </c>
      <c r="H1530">
        <v>449</v>
      </c>
      <c r="I1530">
        <v>449</v>
      </c>
      <c r="J1530">
        <v>449</v>
      </c>
      <c r="K1530">
        <v>448</v>
      </c>
      <c r="L1530">
        <v>449</v>
      </c>
      <c r="M1530">
        <v>99.8</v>
      </c>
      <c r="N1530">
        <v>100</v>
      </c>
      <c r="O1530">
        <v>924.1</v>
      </c>
    </row>
    <row r="1531" spans="1:15">
      <c r="A1531">
        <v>1652</v>
      </c>
      <c r="B1531" t="s">
        <v>3893</v>
      </c>
      <c r="C1531" t="s">
        <v>3894</v>
      </c>
      <c r="D1531" t="s">
        <v>11219</v>
      </c>
      <c r="E1531" t="s">
        <v>11220</v>
      </c>
      <c r="F1531" t="s">
        <v>11221</v>
      </c>
      <c r="G1531" t="s">
        <v>5904</v>
      </c>
      <c r="H1531">
        <v>420</v>
      </c>
      <c r="I1531">
        <v>429</v>
      </c>
      <c r="J1531">
        <v>410</v>
      </c>
      <c r="K1531">
        <v>350</v>
      </c>
      <c r="L1531">
        <v>380</v>
      </c>
      <c r="M1531">
        <v>83.3</v>
      </c>
      <c r="N1531">
        <v>90.5</v>
      </c>
      <c r="O1531">
        <v>742.7</v>
      </c>
    </row>
    <row r="1532" spans="1:15">
      <c r="A1532">
        <v>1651</v>
      </c>
      <c r="B1532" t="s">
        <v>11222</v>
      </c>
      <c r="C1532" t="s">
        <v>11223</v>
      </c>
      <c r="D1532" t="s">
        <v>11224</v>
      </c>
      <c r="E1532" t="s">
        <v>11225</v>
      </c>
      <c r="F1532" t="s">
        <v>11226</v>
      </c>
      <c r="G1532" t="s">
        <v>5904</v>
      </c>
      <c r="H1532">
        <v>2646</v>
      </c>
      <c r="I1532">
        <v>2647</v>
      </c>
      <c r="J1532">
        <v>2647</v>
      </c>
      <c r="K1532">
        <v>2584</v>
      </c>
      <c r="L1532">
        <v>2607</v>
      </c>
      <c r="M1532">
        <v>97.7</v>
      </c>
      <c r="N1532">
        <v>98.5</v>
      </c>
      <c r="O1532">
        <v>5279.1</v>
      </c>
    </row>
    <row r="1533" spans="1:15">
      <c r="A1533">
        <v>2191</v>
      </c>
      <c r="B1533" t="s">
        <v>11227</v>
      </c>
      <c r="C1533" t="s">
        <v>3900</v>
      </c>
      <c r="D1533" t="s">
        <v>11228</v>
      </c>
      <c r="E1533" t="s">
        <v>11229</v>
      </c>
      <c r="F1533" t="s">
        <v>11230</v>
      </c>
      <c r="G1533" t="s">
        <v>5904</v>
      </c>
      <c r="H1533">
        <v>542</v>
      </c>
      <c r="I1533">
        <v>538</v>
      </c>
      <c r="J1533">
        <v>541</v>
      </c>
      <c r="K1533">
        <v>471</v>
      </c>
      <c r="L1533">
        <v>502</v>
      </c>
      <c r="M1533">
        <v>86.9</v>
      </c>
      <c r="N1533">
        <v>92.6</v>
      </c>
      <c r="O1533">
        <v>927.9</v>
      </c>
    </row>
    <row r="1534" spans="1:15">
      <c r="A1534">
        <v>1650</v>
      </c>
      <c r="B1534" t="s">
        <v>3901</v>
      </c>
      <c r="C1534" t="s">
        <v>3902</v>
      </c>
      <c r="D1534" t="s">
        <v>11231</v>
      </c>
      <c r="E1534" t="s">
        <v>11232</v>
      </c>
      <c r="F1534" t="s">
        <v>11233</v>
      </c>
      <c r="G1534" t="s">
        <v>5904</v>
      </c>
      <c r="H1534">
        <v>577</v>
      </c>
      <c r="I1534">
        <v>577</v>
      </c>
      <c r="J1534">
        <v>577</v>
      </c>
      <c r="K1534">
        <v>574</v>
      </c>
      <c r="L1534">
        <v>576</v>
      </c>
      <c r="M1534">
        <v>99.5</v>
      </c>
      <c r="N1534">
        <v>99.8</v>
      </c>
      <c r="O1534">
        <v>1172.9000000000001</v>
      </c>
    </row>
    <row r="1535" spans="1:15">
      <c r="A1535">
        <v>1649</v>
      </c>
      <c r="B1535" t="s">
        <v>11234</v>
      </c>
      <c r="C1535" t="s">
        <v>3905</v>
      </c>
      <c r="D1535" t="s">
        <v>11235</v>
      </c>
      <c r="E1535" t="s">
        <v>11236</v>
      </c>
      <c r="F1535" t="s">
        <v>11237</v>
      </c>
      <c r="G1535" t="s">
        <v>5904</v>
      </c>
      <c r="H1535">
        <v>309</v>
      </c>
      <c r="I1535">
        <v>323</v>
      </c>
      <c r="J1535">
        <v>277</v>
      </c>
      <c r="K1535">
        <v>233</v>
      </c>
      <c r="L1535">
        <v>241</v>
      </c>
      <c r="M1535">
        <v>75.400000000000006</v>
      </c>
      <c r="N1535">
        <v>78</v>
      </c>
      <c r="O1535">
        <v>464.5</v>
      </c>
    </row>
    <row r="1536" spans="1:15">
      <c r="A1536">
        <v>1648</v>
      </c>
      <c r="B1536" t="s">
        <v>3906</v>
      </c>
      <c r="C1536" t="s">
        <v>3907</v>
      </c>
      <c r="D1536" t="s">
        <v>11238</v>
      </c>
      <c r="E1536" t="s">
        <v>11239</v>
      </c>
      <c r="F1536" t="s">
        <v>11240</v>
      </c>
      <c r="G1536" t="s">
        <v>5904</v>
      </c>
      <c r="H1536">
        <v>318</v>
      </c>
      <c r="I1536">
        <v>318</v>
      </c>
      <c r="J1536">
        <v>318</v>
      </c>
      <c r="K1536">
        <v>315</v>
      </c>
      <c r="L1536">
        <v>317</v>
      </c>
      <c r="M1536">
        <v>99.1</v>
      </c>
      <c r="N1536">
        <v>99.7</v>
      </c>
      <c r="O1536">
        <v>650.20000000000005</v>
      </c>
    </row>
    <row r="1537" spans="1:15">
      <c r="A1537">
        <v>1647</v>
      </c>
      <c r="B1537" t="s">
        <v>3908</v>
      </c>
      <c r="C1537" t="s">
        <v>3909</v>
      </c>
      <c r="D1537" t="s">
        <v>11241</v>
      </c>
      <c r="E1537" t="s">
        <v>11242</v>
      </c>
      <c r="F1537" t="s">
        <v>11243</v>
      </c>
      <c r="G1537" t="s">
        <v>5904</v>
      </c>
      <c r="H1537">
        <v>580</v>
      </c>
      <c r="I1537">
        <v>580</v>
      </c>
      <c r="J1537">
        <v>580</v>
      </c>
      <c r="K1537">
        <v>554</v>
      </c>
      <c r="L1537">
        <v>563</v>
      </c>
      <c r="M1537">
        <v>95.5</v>
      </c>
      <c r="N1537">
        <v>97.1</v>
      </c>
      <c r="O1537">
        <v>1141</v>
      </c>
    </row>
    <row r="1538" spans="1:15">
      <c r="A1538">
        <v>1646</v>
      </c>
      <c r="B1538" t="s">
        <v>3910</v>
      </c>
      <c r="C1538" t="s">
        <v>3911</v>
      </c>
      <c r="D1538" t="s">
        <v>11244</v>
      </c>
      <c r="E1538" t="s">
        <v>11245</v>
      </c>
      <c r="F1538" t="s">
        <v>11246</v>
      </c>
      <c r="G1538" t="s">
        <v>5904</v>
      </c>
      <c r="H1538">
        <v>464</v>
      </c>
      <c r="I1538">
        <v>470</v>
      </c>
      <c r="J1538">
        <v>469</v>
      </c>
      <c r="K1538">
        <v>423</v>
      </c>
      <c r="L1538">
        <v>440</v>
      </c>
      <c r="M1538">
        <v>91.2</v>
      </c>
      <c r="N1538">
        <v>94.8</v>
      </c>
      <c r="O1538">
        <v>853.2</v>
      </c>
    </row>
    <row r="1539" spans="1:15">
      <c r="A1539">
        <v>1645</v>
      </c>
      <c r="B1539" t="s">
        <v>11247</v>
      </c>
      <c r="C1539" t="s">
        <v>3914</v>
      </c>
      <c r="D1539" t="s">
        <v>11248</v>
      </c>
      <c r="E1539" t="s">
        <v>11249</v>
      </c>
      <c r="F1539" t="s">
        <v>11250</v>
      </c>
      <c r="G1539" t="s">
        <v>5904</v>
      </c>
      <c r="H1539">
        <v>459</v>
      </c>
      <c r="I1539">
        <v>461</v>
      </c>
      <c r="J1539">
        <v>461</v>
      </c>
      <c r="K1539">
        <v>389</v>
      </c>
      <c r="L1539">
        <v>416</v>
      </c>
      <c r="M1539">
        <v>84.7</v>
      </c>
      <c r="N1539">
        <v>90.6</v>
      </c>
      <c r="O1539">
        <v>808.5</v>
      </c>
    </row>
    <row r="1540" spans="1:15">
      <c r="A1540">
        <v>1644</v>
      </c>
      <c r="B1540" t="s">
        <v>3915</v>
      </c>
      <c r="C1540" t="s">
        <v>11251</v>
      </c>
      <c r="D1540" t="s">
        <v>11252</v>
      </c>
      <c r="E1540" t="s">
        <v>11253</v>
      </c>
      <c r="F1540" t="s">
        <v>11254</v>
      </c>
      <c r="G1540" t="s">
        <v>5904</v>
      </c>
      <c r="H1540">
        <v>283</v>
      </c>
      <c r="I1540">
        <v>283</v>
      </c>
      <c r="J1540">
        <v>283</v>
      </c>
      <c r="K1540">
        <v>278</v>
      </c>
      <c r="L1540">
        <v>279</v>
      </c>
      <c r="M1540">
        <v>98.2</v>
      </c>
      <c r="N1540">
        <v>98.6</v>
      </c>
      <c r="O1540">
        <v>579.70000000000005</v>
      </c>
    </row>
    <row r="1541" spans="1:15">
      <c r="A1541">
        <v>2256</v>
      </c>
      <c r="B1541" t="s">
        <v>3917</v>
      </c>
      <c r="C1541" t="s">
        <v>3918</v>
      </c>
      <c r="D1541" t="s">
        <v>11255</v>
      </c>
      <c r="E1541" t="s">
        <v>11256</v>
      </c>
      <c r="F1541" t="s">
        <v>11257</v>
      </c>
      <c r="G1541" t="s">
        <v>5904</v>
      </c>
      <c r="H1541">
        <v>913</v>
      </c>
      <c r="I1541">
        <v>914</v>
      </c>
      <c r="J1541">
        <v>914</v>
      </c>
      <c r="K1541">
        <v>740</v>
      </c>
      <c r="L1541">
        <v>811</v>
      </c>
      <c r="M1541">
        <v>81.099999999999994</v>
      </c>
      <c r="N1541">
        <v>88.8</v>
      </c>
      <c r="O1541">
        <v>1551.2</v>
      </c>
    </row>
    <row r="1542" spans="1:15">
      <c r="A1542">
        <v>1643</v>
      </c>
      <c r="B1542" t="s">
        <v>11258</v>
      </c>
      <c r="C1542" t="s">
        <v>3921</v>
      </c>
      <c r="D1542" t="s">
        <v>11259</v>
      </c>
      <c r="E1542" t="s">
        <v>11260</v>
      </c>
      <c r="F1542" t="s">
        <v>11261</v>
      </c>
      <c r="G1542" t="s">
        <v>5904</v>
      </c>
      <c r="H1542">
        <v>351</v>
      </c>
      <c r="I1542">
        <v>350</v>
      </c>
      <c r="J1542">
        <v>350</v>
      </c>
      <c r="K1542">
        <v>329</v>
      </c>
      <c r="L1542">
        <v>340</v>
      </c>
      <c r="M1542">
        <v>93.7</v>
      </c>
      <c r="N1542">
        <v>96.9</v>
      </c>
      <c r="O1542">
        <v>650.20000000000005</v>
      </c>
    </row>
    <row r="1543" spans="1:15">
      <c r="A1543">
        <v>1642</v>
      </c>
      <c r="B1543" t="s">
        <v>11262</v>
      </c>
      <c r="C1543" t="s">
        <v>3924</v>
      </c>
      <c r="D1543" t="s">
        <v>11263</v>
      </c>
      <c r="E1543" t="s">
        <v>11264</v>
      </c>
      <c r="F1543" t="s">
        <v>11265</v>
      </c>
      <c r="G1543" t="s">
        <v>5904</v>
      </c>
      <c r="H1543">
        <v>2344</v>
      </c>
      <c r="I1543">
        <v>2351</v>
      </c>
      <c r="J1543">
        <v>2361</v>
      </c>
      <c r="K1543">
        <v>1874</v>
      </c>
      <c r="L1543">
        <v>2061</v>
      </c>
      <c r="M1543">
        <v>79.900000000000006</v>
      </c>
      <c r="N1543">
        <v>87.9</v>
      </c>
      <c r="O1543">
        <v>3877</v>
      </c>
    </row>
    <row r="1544" spans="1:15">
      <c r="A1544">
        <v>2190</v>
      </c>
      <c r="B1544" t="s">
        <v>11266</v>
      </c>
      <c r="C1544" t="s">
        <v>3927</v>
      </c>
      <c r="D1544" t="s">
        <v>11267</v>
      </c>
      <c r="E1544" t="s">
        <v>11268</v>
      </c>
      <c r="F1544" t="s">
        <v>11269</v>
      </c>
      <c r="G1544" t="s">
        <v>5904</v>
      </c>
      <c r="H1544">
        <v>200</v>
      </c>
      <c r="I1544">
        <v>190</v>
      </c>
      <c r="J1544">
        <v>181</v>
      </c>
      <c r="K1544">
        <v>177</v>
      </c>
      <c r="L1544">
        <v>179</v>
      </c>
      <c r="M1544">
        <v>88.5</v>
      </c>
      <c r="N1544">
        <v>89.5</v>
      </c>
      <c r="O1544">
        <v>350.9</v>
      </c>
    </row>
    <row r="1545" spans="1:15">
      <c r="A1545">
        <v>1641</v>
      </c>
      <c r="B1545" t="s">
        <v>3928</v>
      </c>
      <c r="C1545" t="s">
        <v>3929</v>
      </c>
      <c r="D1545" t="s">
        <v>11270</v>
      </c>
      <c r="E1545" t="s">
        <v>11271</v>
      </c>
      <c r="F1545" t="s">
        <v>11272</v>
      </c>
      <c r="G1545" t="s">
        <v>5904</v>
      </c>
      <c r="H1545">
        <v>218</v>
      </c>
      <c r="I1545">
        <v>218</v>
      </c>
      <c r="J1545">
        <v>218</v>
      </c>
      <c r="K1545">
        <v>210</v>
      </c>
      <c r="L1545">
        <v>215</v>
      </c>
      <c r="M1545">
        <v>96.3</v>
      </c>
      <c r="N1545">
        <v>98.6</v>
      </c>
      <c r="O1545">
        <v>431.4</v>
      </c>
    </row>
    <row r="1546" spans="1:15">
      <c r="A1546">
        <v>1640</v>
      </c>
      <c r="B1546" t="s">
        <v>3930</v>
      </c>
      <c r="C1546" t="s">
        <v>3931</v>
      </c>
      <c r="D1546" t="s">
        <v>11273</v>
      </c>
      <c r="E1546" t="s">
        <v>11274</v>
      </c>
      <c r="F1546" t="s">
        <v>11275</v>
      </c>
      <c r="G1546" t="s">
        <v>5904</v>
      </c>
      <c r="H1546">
        <v>289</v>
      </c>
      <c r="I1546">
        <v>391</v>
      </c>
      <c r="J1546">
        <v>289</v>
      </c>
      <c r="K1546">
        <v>289</v>
      </c>
      <c r="L1546">
        <v>289</v>
      </c>
      <c r="M1546">
        <v>100</v>
      </c>
      <c r="N1546">
        <v>100</v>
      </c>
      <c r="O1546">
        <v>549.70000000000005</v>
      </c>
    </row>
    <row r="1547" spans="1:15">
      <c r="A1547">
        <v>2189</v>
      </c>
      <c r="B1547" t="s">
        <v>11276</v>
      </c>
      <c r="C1547" t="s">
        <v>3934</v>
      </c>
      <c r="D1547" t="s">
        <v>11277</v>
      </c>
      <c r="E1547" t="s">
        <v>11278</v>
      </c>
      <c r="F1547" t="s">
        <v>11279</v>
      </c>
      <c r="G1547" t="s">
        <v>5904</v>
      </c>
      <c r="H1547">
        <v>241</v>
      </c>
      <c r="I1547">
        <v>239</v>
      </c>
      <c r="J1547">
        <v>241</v>
      </c>
      <c r="K1547">
        <v>225</v>
      </c>
      <c r="L1547">
        <v>233</v>
      </c>
      <c r="M1547">
        <v>93.4</v>
      </c>
      <c r="N1547">
        <v>96.7</v>
      </c>
      <c r="O1547">
        <v>461.8</v>
      </c>
    </row>
    <row r="1548" spans="1:15">
      <c r="A1548">
        <v>1639</v>
      </c>
      <c r="B1548" t="s">
        <v>3935</v>
      </c>
      <c r="C1548" t="s">
        <v>3936</v>
      </c>
      <c r="D1548" t="s">
        <v>11280</v>
      </c>
      <c r="E1548" t="s">
        <v>11281</v>
      </c>
      <c r="F1548" t="s">
        <v>11282</v>
      </c>
      <c r="G1548" t="s">
        <v>5904</v>
      </c>
      <c r="H1548">
        <v>222</v>
      </c>
      <c r="I1548">
        <v>222</v>
      </c>
      <c r="J1548">
        <v>222</v>
      </c>
      <c r="K1548">
        <v>206</v>
      </c>
      <c r="L1548">
        <v>211</v>
      </c>
      <c r="M1548">
        <v>92.8</v>
      </c>
      <c r="N1548">
        <v>95</v>
      </c>
      <c r="O1548">
        <v>408.3</v>
      </c>
    </row>
    <row r="1549" spans="1:15">
      <c r="A1549">
        <v>1638</v>
      </c>
      <c r="B1549" t="s">
        <v>3937</v>
      </c>
      <c r="C1549" t="s">
        <v>3938</v>
      </c>
      <c r="D1549" t="s">
        <v>11283</v>
      </c>
      <c r="E1549" t="s">
        <v>11284</v>
      </c>
      <c r="F1549" t="s">
        <v>11285</v>
      </c>
      <c r="G1549" t="s">
        <v>5904</v>
      </c>
      <c r="H1549">
        <v>263</v>
      </c>
      <c r="I1549">
        <v>263</v>
      </c>
      <c r="J1549">
        <v>263</v>
      </c>
      <c r="K1549">
        <v>263</v>
      </c>
      <c r="L1549">
        <v>263</v>
      </c>
      <c r="M1549">
        <v>100</v>
      </c>
      <c r="N1549">
        <v>100</v>
      </c>
      <c r="O1549">
        <v>537.70000000000005</v>
      </c>
    </row>
    <row r="1550" spans="1:15">
      <c r="A1550">
        <v>2188</v>
      </c>
      <c r="B1550" t="s">
        <v>11286</v>
      </c>
      <c r="C1550" t="s">
        <v>11287</v>
      </c>
      <c r="D1550" t="s">
        <v>11288</v>
      </c>
      <c r="E1550" t="s">
        <v>11289</v>
      </c>
      <c r="F1550" t="s">
        <v>11290</v>
      </c>
      <c r="G1550" t="s">
        <v>5904</v>
      </c>
      <c r="H1550">
        <v>474</v>
      </c>
      <c r="I1550">
        <v>475</v>
      </c>
      <c r="J1550">
        <v>475</v>
      </c>
      <c r="K1550">
        <v>447</v>
      </c>
      <c r="L1550">
        <v>455</v>
      </c>
      <c r="M1550">
        <v>94.3</v>
      </c>
      <c r="N1550">
        <v>96</v>
      </c>
      <c r="O1550">
        <v>886.7</v>
      </c>
    </row>
    <row r="1551" spans="1:15">
      <c r="A1551">
        <v>1637</v>
      </c>
      <c r="B1551" t="s">
        <v>3942</v>
      </c>
      <c r="C1551" t="s">
        <v>3943</v>
      </c>
      <c r="D1551" t="s">
        <v>7232</v>
      </c>
      <c r="E1551" t="s">
        <v>7233</v>
      </c>
      <c r="F1551" t="s">
        <v>11291</v>
      </c>
      <c r="G1551" t="s">
        <v>5904</v>
      </c>
      <c r="H1551">
        <v>320</v>
      </c>
      <c r="I1551">
        <v>320</v>
      </c>
      <c r="J1551">
        <v>320</v>
      </c>
      <c r="K1551">
        <v>298</v>
      </c>
      <c r="L1551">
        <v>301</v>
      </c>
      <c r="M1551">
        <v>93.1</v>
      </c>
      <c r="N1551">
        <v>94.1</v>
      </c>
      <c r="O1551">
        <v>465.7</v>
      </c>
    </row>
    <row r="1552" spans="1:15">
      <c r="A1552">
        <v>1636</v>
      </c>
      <c r="B1552" t="s">
        <v>3944</v>
      </c>
      <c r="C1552" t="s">
        <v>11292</v>
      </c>
      <c r="D1552" t="s">
        <v>11293</v>
      </c>
      <c r="E1552" t="s">
        <v>11294</v>
      </c>
      <c r="F1552" t="s">
        <v>11295</v>
      </c>
      <c r="G1552" t="s">
        <v>5904</v>
      </c>
      <c r="H1552">
        <v>470</v>
      </c>
      <c r="I1552">
        <v>471</v>
      </c>
      <c r="J1552">
        <v>471</v>
      </c>
      <c r="K1552">
        <v>470</v>
      </c>
      <c r="L1552">
        <v>470</v>
      </c>
      <c r="M1552">
        <v>100</v>
      </c>
      <c r="N1552">
        <v>100</v>
      </c>
      <c r="O1552">
        <v>954.1</v>
      </c>
    </row>
    <row r="1553" spans="1:15">
      <c r="A1553">
        <v>2187</v>
      </c>
      <c r="B1553" t="s">
        <v>3946</v>
      </c>
      <c r="C1553" t="s">
        <v>3947</v>
      </c>
      <c r="D1553" t="s">
        <v>11296</v>
      </c>
      <c r="E1553" t="s">
        <v>11297</v>
      </c>
      <c r="F1553" t="s">
        <v>11298</v>
      </c>
      <c r="G1553" t="s">
        <v>5904</v>
      </c>
      <c r="H1553">
        <v>443</v>
      </c>
      <c r="I1553">
        <v>443</v>
      </c>
      <c r="J1553">
        <v>443</v>
      </c>
      <c r="K1553">
        <v>441</v>
      </c>
      <c r="L1553">
        <v>442</v>
      </c>
      <c r="M1553">
        <v>99.5</v>
      </c>
      <c r="N1553">
        <v>99.8</v>
      </c>
      <c r="O1553">
        <v>887.1</v>
      </c>
    </row>
    <row r="1554" spans="1:15">
      <c r="A1554">
        <v>1635</v>
      </c>
      <c r="B1554" t="s">
        <v>3948</v>
      </c>
      <c r="C1554" t="s">
        <v>3949</v>
      </c>
      <c r="D1554" t="s">
        <v>11299</v>
      </c>
      <c r="E1554" t="s">
        <v>11300</v>
      </c>
      <c r="F1554" t="s">
        <v>11301</v>
      </c>
      <c r="G1554" t="s">
        <v>5904</v>
      </c>
      <c r="H1554">
        <v>447</v>
      </c>
      <c r="I1554">
        <v>447</v>
      </c>
      <c r="J1554">
        <v>447</v>
      </c>
      <c r="K1554">
        <v>440</v>
      </c>
      <c r="L1554">
        <v>446</v>
      </c>
      <c r="M1554">
        <v>98.4</v>
      </c>
      <c r="N1554">
        <v>99.8</v>
      </c>
      <c r="O1554">
        <v>917.5</v>
      </c>
    </row>
    <row r="1555" spans="1:15">
      <c r="A1555">
        <v>1634</v>
      </c>
      <c r="B1555" t="s">
        <v>3950</v>
      </c>
      <c r="C1555" t="s">
        <v>3951</v>
      </c>
      <c r="D1555" t="s">
        <v>11302</v>
      </c>
      <c r="E1555" t="s">
        <v>11303</v>
      </c>
      <c r="F1555" t="s">
        <v>11304</v>
      </c>
      <c r="G1555" t="s">
        <v>5904</v>
      </c>
      <c r="H1555">
        <v>318</v>
      </c>
      <c r="I1555">
        <v>297</v>
      </c>
      <c r="J1555">
        <v>318</v>
      </c>
      <c r="K1555">
        <v>258</v>
      </c>
      <c r="L1555">
        <v>280</v>
      </c>
      <c r="M1555">
        <v>81.099999999999994</v>
      </c>
      <c r="N1555">
        <v>88.1</v>
      </c>
      <c r="O1555">
        <v>533.9</v>
      </c>
    </row>
    <row r="1556" spans="1:15">
      <c r="A1556">
        <v>1633</v>
      </c>
      <c r="B1556" t="s">
        <v>3952</v>
      </c>
      <c r="C1556" t="s">
        <v>3953</v>
      </c>
      <c r="D1556" t="s">
        <v>11305</v>
      </c>
      <c r="E1556" t="s">
        <v>11306</v>
      </c>
      <c r="F1556" t="s">
        <v>11307</v>
      </c>
      <c r="G1556" t="s">
        <v>5904</v>
      </c>
      <c r="H1556">
        <v>617</v>
      </c>
      <c r="I1556">
        <v>590</v>
      </c>
      <c r="J1556">
        <v>578</v>
      </c>
      <c r="K1556">
        <v>441</v>
      </c>
      <c r="L1556">
        <v>501</v>
      </c>
      <c r="M1556">
        <v>71.5</v>
      </c>
      <c r="N1556">
        <v>81.2</v>
      </c>
      <c r="O1556">
        <v>906.7</v>
      </c>
    </row>
    <row r="1557" spans="1:15">
      <c r="A1557">
        <v>1632</v>
      </c>
      <c r="B1557" t="s">
        <v>3954</v>
      </c>
      <c r="C1557" t="s">
        <v>11308</v>
      </c>
      <c r="D1557" t="s">
        <v>11309</v>
      </c>
      <c r="E1557" t="s">
        <v>11310</v>
      </c>
      <c r="F1557" t="s">
        <v>11311</v>
      </c>
      <c r="G1557" t="s">
        <v>5904</v>
      </c>
      <c r="H1557">
        <v>290</v>
      </c>
      <c r="I1557">
        <v>290</v>
      </c>
      <c r="J1557">
        <v>290</v>
      </c>
      <c r="K1557">
        <v>279</v>
      </c>
      <c r="L1557">
        <v>285</v>
      </c>
      <c r="M1557">
        <v>96.2</v>
      </c>
      <c r="N1557">
        <v>98.3</v>
      </c>
      <c r="O1557">
        <v>582.4</v>
      </c>
    </row>
    <row r="1558" spans="1:15">
      <c r="A1558">
        <v>1631</v>
      </c>
      <c r="B1558" t="s">
        <v>3956</v>
      </c>
      <c r="C1558" t="s">
        <v>3957</v>
      </c>
      <c r="D1558" t="s">
        <v>11312</v>
      </c>
      <c r="E1558" t="s">
        <v>11313</v>
      </c>
      <c r="F1558" t="s">
        <v>11314</v>
      </c>
      <c r="G1558" t="s">
        <v>5904</v>
      </c>
      <c r="H1558">
        <v>261</v>
      </c>
      <c r="I1558">
        <v>261</v>
      </c>
      <c r="J1558">
        <v>261</v>
      </c>
      <c r="K1558">
        <v>239</v>
      </c>
      <c r="L1558">
        <v>249</v>
      </c>
      <c r="M1558">
        <v>91.6</v>
      </c>
      <c r="N1558">
        <v>95.4</v>
      </c>
      <c r="O1558">
        <v>481.5</v>
      </c>
    </row>
    <row r="1559" spans="1:15">
      <c r="A1559">
        <v>1630</v>
      </c>
      <c r="B1559" t="s">
        <v>11315</v>
      </c>
      <c r="C1559" t="s">
        <v>3960</v>
      </c>
      <c r="D1559" t="s">
        <v>11316</v>
      </c>
      <c r="E1559" t="s">
        <v>11317</v>
      </c>
      <c r="F1559" t="s">
        <v>11318</v>
      </c>
      <c r="G1559" t="s">
        <v>5904</v>
      </c>
      <c r="H1559">
        <v>298</v>
      </c>
      <c r="I1559">
        <v>298</v>
      </c>
      <c r="J1559">
        <v>298</v>
      </c>
      <c r="K1559">
        <v>293</v>
      </c>
      <c r="L1559">
        <v>297</v>
      </c>
      <c r="M1559">
        <v>98.3</v>
      </c>
      <c r="N1559">
        <v>99.7</v>
      </c>
      <c r="O1559">
        <v>603.6</v>
      </c>
    </row>
    <row r="1560" spans="1:15">
      <c r="A1560">
        <v>1629</v>
      </c>
      <c r="B1560" t="s">
        <v>3961</v>
      </c>
      <c r="C1560" t="s">
        <v>3962</v>
      </c>
      <c r="D1560" t="s">
        <v>11319</v>
      </c>
      <c r="E1560" t="s">
        <v>11320</v>
      </c>
      <c r="F1560" t="s">
        <v>11321</v>
      </c>
      <c r="G1560" t="s">
        <v>5904</v>
      </c>
      <c r="H1560">
        <v>630</v>
      </c>
      <c r="I1560">
        <v>630</v>
      </c>
      <c r="J1560">
        <v>630</v>
      </c>
      <c r="K1560">
        <v>628</v>
      </c>
      <c r="L1560">
        <v>630</v>
      </c>
      <c r="M1560">
        <v>99.7</v>
      </c>
      <c r="N1560">
        <v>100</v>
      </c>
      <c r="O1560">
        <v>1298.0999999999999</v>
      </c>
    </row>
    <row r="1561" spans="1:15">
      <c r="A1561">
        <v>1628</v>
      </c>
      <c r="B1561" t="s">
        <v>11322</v>
      </c>
      <c r="C1561" t="s">
        <v>3965</v>
      </c>
      <c r="D1561" t="s">
        <v>11323</v>
      </c>
      <c r="E1561" t="s">
        <v>11324</v>
      </c>
      <c r="F1561" t="s">
        <v>11325</v>
      </c>
      <c r="G1561" t="s">
        <v>5904</v>
      </c>
      <c r="H1561">
        <v>968</v>
      </c>
      <c r="I1561">
        <v>837</v>
      </c>
      <c r="J1561">
        <v>838</v>
      </c>
      <c r="K1561">
        <v>816</v>
      </c>
      <c r="L1561">
        <v>829</v>
      </c>
      <c r="M1561">
        <v>84.3</v>
      </c>
      <c r="N1561">
        <v>85.6</v>
      </c>
      <c r="O1561">
        <v>1667.9</v>
      </c>
    </row>
    <row r="1562" spans="1:15">
      <c r="A1562">
        <v>1627</v>
      </c>
      <c r="B1562" t="s">
        <v>3966</v>
      </c>
      <c r="C1562" t="s">
        <v>3967</v>
      </c>
      <c r="D1562" t="s">
        <v>11326</v>
      </c>
      <c r="E1562" t="s">
        <v>11327</v>
      </c>
      <c r="F1562" t="s">
        <v>11328</v>
      </c>
      <c r="G1562" t="s">
        <v>5904</v>
      </c>
      <c r="H1562">
        <v>162</v>
      </c>
      <c r="I1562">
        <v>172</v>
      </c>
      <c r="J1562">
        <v>159</v>
      </c>
      <c r="K1562">
        <v>159</v>
      </c>
      <c r="L1562">
        <v>159</v>
      </c>
      <c r="M1562">
        <v>98.1</v>
      </c>
      <c r="N1562">
        <v>98.1</v>
      </c>
      <c r="O1562">
        <v>330.9</v>
      </c>
    </row>
    <row r="1563" spans="1:15">
      <c r="A1563">
        <v>1626</v>
      </c>
      <c r="B1563" t="s">
        <v>3968</v>
      </c>
      <c r="C1563" t="s">
        <v>11329</v>
      </c>
      <c r="D1563" t="s">
        <v>11330</v>
      </c>
      <c r="E1563" t="s">
        <v>11331</v>
      </c>
      <c r="F1563" t="s">
        <v>11332</v>
      </c>
      <c r="G1563" t="s">
        <v>5904</v>
      </c>
      <c r="H1563">
        <v>586</v>
      </c>
      <c r="I1563">
        <v>586</v>
      </c>
      <c r="J1563">
        <v>586</v>
      </c>
      <c r="K1563">
        <v>562</v>
      </c>
      <c r="L1563">
        <v>571</v>
      </c>
      <c r="M1563">
        <v>95.9</v>
      </c>
      <c r="N1563">
        <v>97.4</v>
      </c>
      <c r="O1563">
        <v>1166.4000000000001</v>
      </c>
    </row>
    <row r="1564" spans="1:15">
      <c r="A1564">
        <v>1625</v>
      </c>
      <c r="B1564" t="s">
        <v>3970</v>
      </c>
      <c r="C1564" t="s">
        <v>3971</v>
      </c>
      <c r="D1564" t="s">
        <v>11333</v>
      </c>
      <c r="E1564" t="s">
        <v>11334</v>
      </c>
      <c r="F1564" t="s">
        <v>11335</v>
      </c>
      <c r="G1564" t="s">
        <v>5904</v>
      </c>
      <c r="H1564">
        <v>152</v>
      </c>
      <c r="I1564">
        <v>152</v>
      </c>
      <c r="J1564">
        <v>152</v>
      </c>
      <c r="K1564">
        <v>142</v>
      </c>
      <c r="L1564">
        <v>148</v>
      </c>
      <c r="M1564">
        <v>93.4</v>
      </c>
      <c r="N1564">
        <v>97.4</v>
      </c>
      <c r="O1564">
        <v>295</v>
      </c>
    </row>
    <row r="1565" spans="1:15">
      <c r="A1565">
        <v>1624</v>
      </c>
      <c r="B1565" t="s">
        <v>11336</v>
      </c>
      <c r="C1565" t="s">
        <v>3974</v>
      </c>
      <c r="D1565" t="s">
        <v>11337</v>
      </c>
      <c r="E1565" t="s">
        <v>11338</v>
      </c>
      <c r="F1565" t="s">
        <v>11339</v>
      </c>
      <c r="G1565" t="s">
        <v>5904</v>
      </c>
      <c r="H1565">
        <v>235</v>
      </c>
      <c r="I1565">
        <v>235</v>
      </c>
      <c r="J1565">
        <v>235</v>
      </c>
      <c r="K1565">
        <v>232</v>
      </c>
      <c r="L1565">
        <v>234</v>
      </c>
      <c r="M1565">
        <v>98.7</v>
      </c>
      <c r="N1565">
        <v>99.6</v>
      </c>
      <c r="O1565">
        <v>483.4</v>
      </c>
    </row>
    <row r="1566" spans="1:15">
      <c r="A1566">
        <v>1623</v>
      </c>
      <c r="B1566" t="s">
        <v>3975</v>
      </c>
      <c r="C1566" t="s">
        <v>3976</v>
      </c>
      <c r="D1566" t="s">
        <v>11340</v>
      </c>
      <c r="E1566" t="s">
        <v>11341</v>
      </c>
      <c r="F1566" t="s">
        <v>11342</v>
      </c>
      <c r="G1566" t="s">
        <v>5904</v>
      </c>
      <c r="H1566">
        <v>346</v>
      </c>
      <c r="I1566">
        <v>346</v>
      </c>
      <c r="J1566">
        <v>346</v>
      </c>
      <c r="K1566">
        <v>338</v>
      </c>
      <c r="L1566">
        <v>340</v>
      </c>
      <c r="M1566">
        <v>97.7</v>
      </c>
      <c r="N1566">
        <v>98.3</v>
      </c>
      <c r="O1566">
        <v>704.9</v>
      </c>
    </row>
    <row r="1567" spans="1:15">
      <c r="A1567">
        <v>1622</v>
      </c>
      <c r="B1567" t="s">
        <v>11343</v>
      </c>
      <c r="C1567" t="s">
        <v>3979</v>
      </c>
      <c r="D1567" t="s">
        <v>11344</v>
      </c>
      <c r="E1567" t="s">
        <v>11345</v>
      </c>
      <c r="F1567" t="s">
        <v>11346</v>
      </c>
      <c r="G1567" t="s">
        <v>5904</v>
      </c>
      <c r="H1567">
        <v>556</v>
      </c>
      <c r="I1567">
        <v>556</v>
      </c>
      <c r="J1567">
        <v>556</v>
      </c>
      <c r="K1567">
        <v>513</v>
      </c>
      <c r="L1567">
        <v>532</v>
      </c>
      <c r="M1567">
        <v>92.3</v>
      </c>
      <c r="N1567">
        <v>95.7</v>
      </c>
      <c r="O1567">
        <v>1027.7</v>
      </c>
    </row>
    <row r="1568" spans="1:15">
      <c r="A1568">
        <v>1621</v>
      </c>
      <c r="B1568" t="s">
        <v>3980</v>
      </c>
      <c r="C1568" t="s">
        <v>11347</v>
      </c>
      <c r="D1568" t="s">
        <v>11348</v>
      </c>
      <c r="E1568" t="s">
        <v>11349</v>
      </c>
      <c r="F1568" t="s">
        <v>11350</v>
      </c>
      <c r="G1568" t="s">
        <v>5904</v>
      </c>
      <c r="H1568">
        <v>299</v>
      </c>
      <c r="I1568">
        <v>302</v>
      </c>
      <c r="J1568">
        <v>282</v>
      </c>
      <c r="K1568">
        <v>224</v>
      </c>
      <c r="L1568">
        <v>245</v>
      </c>
      <c r="M1568">
        <v>74.900000000000006</v>
      </c>
      <c r="N1568">
        <v>81.900000000000006</v>
      </c>
      <c r="O1568">
        <v>456.8</v>
      </c>
    </row>
    <row r="1569" spans="1:15">
      <c r="A1569">
        <v>1620</v>
      </c>
      <c r="B1569" t="s">
        <v>11351</v>
      </c>
      <c r="C1569" t="s">
        <v>3984</v>
      </c>
      <c r="D1569" t="s">
        <v>11352</v>
      </c>
      <c r="E1569" t="s">
        <v>11353</v>
      </c>
      <c r="F1569" t="s">
        <v>11354</v>
      </c>
      <c r="G1569" t="s">
        <v>5904</v>
      </c>
      <c r="H1569">
        <v>528</v>
      </c>
      <c r="I1569">
        <v>456</v>
      </c>
      <c r="J1569">
        <v>459</v>
      </c>
      <c r="K1569">
        <v>446</v>
      </c>
      <c r="L1569">
        <v>451</v>
      </c>
      <c r="M1569">
        <v>84.5</v>
      </c>
      <c r="N1569">
        <v>85.4</v>
      </c>
      <c r="O1569">
        <v>920.2</v>
      </c>
    </row>
    <row r="1570" spans="1:15">
      <c r="A1570">
        <v>1619</v>
      </c>
      <c r="B1570" t="s">
        <v>11355</v>
      </c>
      <c r="C1570" t="s">
        <v>3987</v>
      </c>
      <c r="D1570" t="s">
        <v>11356</v>
      </c>
      <c r="E1570" t="s">
        <v>11357</v>
      </c>
      <c r="F1570" t="s">
        <v>11358</v>
      </c>
      <c r="G1570" t="s">
        <v>5904</v>
      </c>
      <c r="H1570">
        <v>1691</v>
      </c>
      <c r="I1570">
        <v>1669</v>
      </c>
      <c r="J1570">
        <v>1708</v>
      </c>
      <c r="K1570">
        <v>1017</v>
      </c>
      <c r="L1570">
        <v>1150</v>
      </c>
      <c r="M1570">
        <v>60.1</v>
      </c>
      <c r="N1570">
        <v>68</v>
      </c>
      <c r="O1570">
        <v>1043.5</v>
      </c>
    </row>
    <row r="1571" spans="1:15">
      <c r="A1571">
        <v>1618</v>
      </c>
      <c r="B1571" t="s">
        <v>3988</v>
      </c>
      <c r="C1571" t="s">
        <v>3989</v>
      </c>
      <c r="D1571" t="s">
        <v>11359</v>
      </c>
      <c r="E1571" t="s">
        <v>11360</v>
      </c>
      <c r="F1571" t="s">
        <v>11361</v>
      </c>
      <c r="G1571" t="s">
        <v>5904</v>
      </c>
      <c r="H1571">
        <v>298</v>
      </c>
      <c r="I1571">
        <v>298</v>
      </c>
      <c r="J1571">
        <v>298</v>
      </c>
      <c r="K1571">
        <v>290</v>
      </c>
      <c r="L1571">
        <v>295</v>
      </c>
      <c r="M1571">
        <v>97.3</v>
      </c>
      <c r="N1571">
        <v>99</v>
      </c>
      <c r="O1571">
        <v>597</v>
      </c>
    </row>
    <row r="1572" spans="1:15">
      <c r="A1572">
        <v>1617</v>
      </c>
      <c r="B1572" t="s">
        <v>11362</v>
      </c>
      <c r="C1572" t="s">
        <v>3992</v>
      </c>
      <c r="D1572" t="s">
        <v>11363</v>
      </c>
      <c r="E1572" t="s">
        <v>11364</v>
      </c>
      <c r="F1572" t="s">
        <v>11365</v>
      </c>
      <c r="G1572" t="s">
        <v>5904</v>
      </c>
      <c r="H1572">
        <v>1256</v>
      </c>
      <c r="I1572">
        <v>1257</v>
      </c>
      <c r="J1572">
        <v>1257</v>
      </c>
      <c r="K1572">
        <v>1152</v>
      </c>
      <c r="L1572">
        <v>1196</v>
      </c>
      <c r="M1572">
        <v>91.7</v>
      </c>
      <c r="N1572">
        <v>95.2</v>
      </c>
      <c r="O1572">
        <v>2329.3000000000002</v>
      </c>
    </row>
    <row r="1573" spans="1:15">
      <c r="A1573">
        <v>2186</v>
      </c>
      <c r="B1573" t="s">
        <v>11366</v>
      </c>
      <c r="C1573" t="s">
        <v>3996</v>
      </c>
      <c r="D1573" t="s">
        <v>11367</v>
      </c>
      <c r="E1573" t="s">
        <v>11368</v>
      </c>
      <c r="F1573" t="s">
        <v>11369</v>
      </c>
      <c r="G1573" t="s">
        <v>5904</v>
      </c>
      <c r="H1573">
        <v>4703</v>
      </c>
      <c r="I1573">
        <v>4684</v>
      </c>
      <c r="J1573">
        <v>4706</v>
      </c>
      <c r="K1573">
        <v>4336</v>
      </c>
      <c r="L1573">
        <v>4498</v>
      </c>
      <c r="M1573">
        <v>92.2</v>
      </c>
      <c r="N1573">
        <v>95.6</v>
      </c>
      <c r="O1573">
        <v>8178.2</v>
      </c>
    </row>
    <row r="1574" spans="1:15">
      <c r="A1574">
        <v>1616</v>
      </c>
      <c r="B1574" t="s">
        <v>3997</v>
      </c>
      <c r="C1574" t="s">
        <v>3998</v>
      </c>
      <c r="D1574" t="s">
        <v>11370</v>
      </c>
      <c r="E1574" t="s">
        <v>11371</v>
      </c>
      <c r="F1574" t="s">
        <v>11372</v>
      </c>
      <c r="G1574" t="s">
        <v>5904</v>
      </c>
      <c r="H1574">
        <v>114</v>
      </c>
      <c r="I1574">
        <v>114</v>
      </c>
      <c r="J1574">
        <v>114</v>
      </c>
      <c r="K1574">
        <v>112</v>
      </c>
      <c r="L1574">
        <v>113</v>
      </c>
      <c r="M1574">
        <v>98.2</v>
      </c>
      <c r="N1574">
        <v>99.1</v>
      </c>
      <c r="O1574">
        <v>230.7</v>
      </c>
    </row>
    <row r="1575" spans="1:15">
      <c r="A1575">
        <v>1615</v>
      </c>
      <c r="B1575" t="s">
        <v>3999</v>
      </c>
      <c r="C1575" t="s">
        <v>11373</v>
      </c>
      <c r="D1575" t="s">
        <v>11374</v>
      </c>
      <c r="E1575" t="s">
        <v>11375</v>
      </c>
      <c r="F1575" t="s">
        <v>11376</v>
      </c>
      <c r="G1575" t="s">
        <v>5904</v>
      </c>
      <c r="H1575">
        <v>246</v>
      </c>
      <c r="I1575">
        <v>246</v>
      </c>
      <c r="J1575">
        <v>246</v>
      </c>
      <c r="K1575">
        <v>227</v>
      </c>
      <c r="L1575">
        <v>234</v>
      </c>
      <c r="M1575">
        <v>92.3</v>
      </c>
      <c r="N1575">
        <v>95.1</v>
      </c>
      <c r="O1575">
        <v>399.8</v>
      </c>
    </row>
    <row r="1576" spans="1:15">
      <c r="A1576">
        <v>1614</v>
      </c>
      <c r="B1576" t="s">
        <v>11377</v>
      </c>
      <c r="C1576" t="s">
        <v>4003</v>
      </c>
      <c r="D1576" t="s">
        <v>11378</v>
      </c>
      <c r="E1576" t="s">
        <v>11379</v>
      </c>
      <c r="F1576" t="s">
        <v>11380</v>
      </c>
      <c r="G1576" t="s">
        <v>5904</v>
      </c>
      <c r="H1576">
        <v>273</v>
      </c>
      <c r="I1576">
        <v>271</v>
      </c>
      <c r="J1576">
        <v>273</v>
      </c>
      <c r="K1576">
        <v>258</v>
      </c>
      <c r="L1576">
        <v>262</v>
      </c>
      <c r="M1576">
        <v>94.5</v>
      </c>
      <c r="N1576">
        <v>96</v>
      </c>
      <c r="O1576">
        <v>521.20000000000005</v>
      </c>
    </row>
    <row r="1577" spans="1:15">
      <c r="A1577">
        <v>1613</v>
      </c>
      <c r="B1577" t="s">
        <v>4004</v>
      </c>
      <c r="C1577" t="s">
        <v>4005</v>
      </c>
      <c r="D1577" t="s">
        <v>11381</v>
      </c>
      <c r="E1577" t="s">
        <v>11382</v>
      </c>
      <c r="F1577" t="s">
        <v>11383</v>
      </c>
      <c r="G1577" t="s">
        <v>5904</v>
      </c>
      <c r="H1577">
        <v>417</v>
      </c>
      <c r="I1577">
        <v>417</v>
      </c>
      <c r="J1577">
        <v>417</v>
      </c>
      <c r="K1577">
        <v>404</v>
      </c>
      <c r="L1577">
        <v>414</v>
      </c>
      <c r="M1577">
        <v>96.9</v>
      </c>
      <c r="N1577">
        <v>99.3</v>
      </c>
      <c r="O1577">
        <v>827.8</v>
      </c>
    </row>
    <row r="1578" spans="1:15">
      <c r="A1578">
        <v>1612</v>
      </c>
      <c r="B1578" t="s">
        <v>4006</v>
      </c>
      <c r="C1578" t="s">
        <v>11384</v>
      </c>
      <c r="D1578" t="s">
        <v>11385</v>
      </c>
      <c r="E1578" t="s">
        <v>11386</v>
      </c>
      <c r="F1578" t="s">
        <v>11387</v>
      </c>
      <c r="G1578" t="s">
        <v>5904</v>
      </c>
      <c r="H1578">
        <v>806</v>
      </c>
      <c r="I1578">
        <v>805</v>
      </c>
      <c r="J1578">
        <v>793</v>
      </c>
      <c r="K1578">
        <v>660</v>
      </c>
      <c r="L1578">
        <v>729</v>
      </c>
      <c r="M1578">
        <v>81.900000000000006</v>
      </c>
      <c r="N1578">
        <v>90.4</v>
      </c>
      <c r="O1578">
        <v>1382.1</v>
      </c>
    </row>
    <row r="1579" spans="1:15">
      <c r="A1579">
        <v>1611</v>
      </c>
      <c r="B1579" t="s">
        <v>11388</v>
      </c>
      <c r="C1579" t="s">
        <v>4010</v>
      </c>
      <c r="D1579" t="s">
        <v>11389</v>
      </c>
      <c r="E1579" t="s">
        <v>11390</v>
      </c>
      <c r="F1579" t="s">
        <v>11391</v>
      </c>
      <c r="G1579" t="s">
        <v>5904</v>
      </c>
      <c r="H1579">
        <v>399</v>
      </c>
      <c r="I1579">
        <v>399</v>
      </c>
      <c r="J1579">
        <v>386</v>
      </c>
      <c r="K1579">
        <v>323</v>
      </c>
      <c r="L1579">
        <v>352</v>
      </c>
      <c r="M1579">
        <v>81</v>
      </c>
      <c r="N1579">
        <v>88.2</v>
      </c>
      <c r="O1579">
        <v>654.1</v>
      </c>
    </row>
    <row r="1580" spans="1:15">
      <c r="A1580">
        <v>1610</v>
      </c>
      <c r="B1580" t="s">
        <v>4011</v>
      </c>
      <c r="C1580" t="s">
        <v>4012</v>
      </c>
      <c r="D1580" t="s">
        <v>11392</v>
      </c>
      <c r="E1580" t="s">
        <v>11393</v>
      </c>
      <c r="F1580" t="s">
        <v>11394</v>
      </c>
      <c r="G1580" t="s">
        <v>5904</v>
      </c>
      <c r="H1580">
        <v>389</v>
      </c>
      <c r="I1580">
        <v>390</v>
      </c>
      <c r="J1580">
        <v>391</v>
      </c>
      <c r="K1580">
        <v>339</v>
      </c>
      <c r="L1580">
        <v>365</v>
      </c>
      <c r="M1580">
        <v>87.1</v>
      </c>
      <c r="N1580">
        <v>93.8</v>
      </c>
      <c r="O1580">
        <v>712.6</v>
      </c>
    </row>
    <row r="1581" spans="1:15">
      <c r="A1581">
        <v>1609</v>
      </c>
      <c r="B1581" t="s">
        <v>4013</v>
      </c>
      <c r="C1581" t="s">
        <v>4014</v>
      </c>
      <c r="D1581" t="s">
        <v>11395</v>
      </c>
      <c r="E1581" t="s">
        <v>11396</v>
      </c>
      <c r="F1581" t="s">
        <v>11397</v>
      </c>
      <c r="G1581" t="s">
        <v>5904</v>
      </c>
      <c r="H1581">
        <v>201</v>
      </c>
      <c r="I1581">
        <v>201</v>
      </c>
      <c r="J1581">
        <v>201</v>
      </c>
      <c r="K1581">
        <v>192</v>
      </c>
      <c r="L1581">
        <v>199</v>
      </c>
      <c r="M1581">
        <v>95.5</v>
      </c>
      <c r="N1581">
        <v>99</v>
      </c>
      <c r="O1581">
        <v>387.5</v>
      </c>
    </row>
    <row r="1582" spans="1:15">
      <c r="A1582">
        <v>1608</v>
      </c>
      <c r="B1582" t="s">
        <v>11398</v>
      </c>
      <c r="C1582" t="s">
        <v>4017</v>
      </c>
      <c r="D1582" t="s">
        <v>11399</v>
      </c>
      <c r="E1582" t="s">
        <v>11400</v>
      </c>
      <c r="F1582" t="s">
        <v>11401</v>
      </c>
      <c r="G1582" t="s">
        <v>5904</v>
      </c>
      <c r="H1582">
        <v>154</v>
      </c>
      <c r="I1582">
        <v>151</v>
      </c>
      <c r="J1582">
        <v>153</v>
      </c>
      <c r="K1582">
        <v>131</v>
      </c>
      <c r="L1582">
        <v>139</v>
      </c>
      <c r="M1582">
        <v>85.1</v>
      </c>
      <c r="N1582">
        <v>90.3</v>
      </c>
      <c r="O1582">
        <v>209.5</v>
      </c>
    </row>
    <row r="1583" spans="1:15">
      <c r="A1583">
        <v>1607</v>
      </c>
      <c r="B1583" t="s">
        <v>11402</v>
      </c>
      <c r="C1583" t="s">
        <v>4021</v>
      </c>
      <c r="D1583" t="s">
        <v>11403</v>
      </c>
      <c r="E1583" t="s">
        <v>11404</v>
      </c>
      <c r="F1583" t="s">
        <v>11405</v>
      </c>
      <c r="G1583" t="s">
        <v>5904</v>
      </c>
      <c r="H1583">
        <v>580</v>
      </c>
      <c r="I1583">
        <v>569</v>
      </c>
      <c r="J1583">
        <v>575</v>
      </c>
      <c r="K1583">
        <v>378</v>
      </c>
      <c r="L1583">
        <v>448</v>
      </c>
      <c r="M1583">
        <v>65.2</v>
      </c>
      <c r="N1583">
        <v>77.2</v>
      </c>
      <c r="O1583">
        <v>784.6</v>
      </c>
    </row>
    <row r="1584" spans="1:15">
      <c r="A1584">
        <v>1606</v>
      </c>
      <c r="B1584" t="s">
        <v>4022</v>
      </c>
      <c r="C1584" t="s">
        <v>4023</v>
      </c>
      <c r="D1584" t="s">
        <v>11406</v>
      </c>
      <c r="E1584" t="s">
        <v>11407</v>
      </c>
      <c r="F1584" t="s">
        <v>11408</v>
      </c>
      <c r="G1584" t="s">
        <v>5896</v>
      </c>
      <c r="H1584">
        <v>183</v>
      </c>
      <c r="I1584">
        <v>655</v>
      </c>
      <c r="J1584">
        <v>136</v>
      </c>
      <c r="K1584">
        <v>35</v>
      </c>
      <c r="L1584">
        <v>63</v>
      </c>
      <c r="M1584">
        <v>19.100000000000001</v>
      </c>
      <c r="N1584">
        <v>34.4</v>
      </c>
      <c r="O1584">
        <v>48.5</v>
      </c>
    </row>
    <row r="1585" spans="1:15">
      <c r="A1585">
        <v>1605</v>
      </c>
      <c r="B1585" t="s">
        <v>4024</v>
      </c>
      <c r="C1585" t="s">
        <v>4025</v>
      </c>
      <c r="D1585" t="s">
        <v>11409</v>
      </c>
      <c r="E1585" t="s">
        <v>11410</v>
      </c>
      <c r="F1585" t="s">
        <v>11411</v>
      </c>
      <c r="G1585" t="s">
        <v>5904</v>
      </c>
      <c r="H1585">
        <v>118</v>
      </c>
      <c r="I1585">
        <v>118</v>
      </c>
      <c r="J1585">
        <v>118</v>
      </c>
      <c r="K1585">
        <v>115</v>
      </c>
      <c r="L1585">
        <v>116</v>
      </c>
      <c r="M1585">
        <v>97.5</v>
      </c>
      <c r="N1585">
        <v>98.3</v>
      </c>
      <c r="O1585">
        <v>235</v>
      </c>
    </row>
    <row r="1586" spans="1:15">
      <c r="A1586">
        <v>1604</v>
      </c>
      <c r="B1586" t="s">
        <v>11412</v>
      </c>
      <c r="C1586" t="s">
        <v>4028</v>
      </c>
      <c r="D1586" t="s">
        <v>11413</v>
      </c>
      <c r="E1586" t="s">
        <v>11414</v>
      </c>
      <c r="F1586" t="s">
        <v>11415</v>
      </c>
      <c r="G1586" t="s">
        <v>5904</v>
      </c>
      <c r="H1586">
        <v>105</v>
      </c>
      <c r="I1586">
        <v>98</v>
      </c>
      <c r="J1586">
        <v>97</v>
      </c>
      <c r="K1586">
        <v>86</v>
      </c>
      <c r="L1586">
        <v>90</v>
      </c>
      <c r="M1586">
        <v>81.900000000000006</v>
      </c>
      <c r="N1586">
        <v>85.7</v>
      </c>
      <c r="O1586">
        <v>179.1</v>
      </c>
    </row>
    <row r="1587" spans="1:15">
      <c r="A1587">
        <v>1603</v>
      </c>
      <c r="B1587" t="s">
        <v>4029</v>
      </c>
      <c r="C1587" t="s">
        <v>4030</v>
      </c>
      <c r="D1587" t="s">
        <v>11416</v>
      </c>
      <c r="E1587" t="s">
        <v>11417</v>
      </c>
      <c r="F1587" t="s">
        <v>11418</v>
      </c>
      <c r="G1587" t="s">
        <v>5904</v>
      </c>
      <c r="H1587">
        <v>891</v>
      </c>
      <c r="I1587">
        <v>893</v>
      </c>
      <c r="J1587">
        <v>891</v>
      </c>
      <c r="K1587">
        <v>791</v>
      </c>
      <c r="L1587">
        <v>827</v>
      </c>
      <c r="M1587">
        <v>88.8</v>
      </c>
      <c r="N1587">
        <v>92.8</v>
      </c>
      <c r="O1587">
        <v>1537.3</v>
      </c>
    </row>
    <row r="1588" spans="1:15">
      <c r="A1588">
        <v>1602</v>
      </c>
      <c r="B1588" t="s">
        <v>11419</v>
      </c>
      <c r="C1588" t="s">
        <v>4033</v>
      </c>
      <c r="D1588" t="s">
        <v>11420</v>
      </c>
      <c r="E1588" t="s">
        <v>11421</v>
      </c>
      <c r="F1588" t="s">
        <v>11422</v>
      </c>
      <c r="G1588" t="s">
        <v>5904</v>
      </c>
      <c r="H1588">
        <v>228</v>
      </c>
      <c r="I1588">
        <v>187</v>
      </c>
      <c r="J1588">
        <v>187</v>
      </c>
      <c r="K1588">
        <v>183</v>
      </c>
      <c r="L1588">
        <v>185</v>
      </c>
      <c r="M1588">
        <v>80.3</v>
      </c>
      <c r="N1588">
        <v>81.099999999999994</v>
      </c>
      <c r="O1588">
        <v>368.6</v>
      </c>
    </row>
    <row r="1589" spans="1:15">
      <c r="A1589">
        <v>2185</v>
      </c>
      <c r="B1589" t="s">
        <v>11423</v>
      </c>
      <c r="C1589" t="s">
        <v>4036</v>
      </c>
      <c r="D1589" t="s">
        <v>11424</v>
      </c>
      <c r="E1589" t="s">
        <v>11425</v>
      </c>
      <c r="F1589" t="s">
        <v>11426</v>
      </c>
      <c r="G1589" t="s">
        <v>5904</v>
      </c>
      <c r="H1589">
        <v>397</v>
      </c>
      <c r="I1589">
        <v>351</v>
      </c>
      <c r="J1589">
        <v>337</v>
      </c>
      <c r="K1589">
        <v>332</v>
      </c>
      <c r="L1589">
        <v>334</v>
      </c>
      <c r="M1589">
        <v>83.6</v>
      </c>
      <c r="N1589">
        <v>84.1</v>
      </c>
      <c r="O1589">
        <v>693.7</v>
      </c>
    </row>
    <row r="1590" spans="1:15">
      <c r="A1590">
        <v>1601</v>
      </c>
      <c r="B1590" t="s">
        <v>11427</v>
      </c>
      <c r="C1590" t="s">
        <v>4039</v>
      </c>
      <c r="D1590" t="s">
        <v>11428</v>
      </c>
      <c r="E1590" t="s">
        <v>11429</v>
      </c>
      <c r="F1590" t="s">
        <v>11430</v>
      </c>
      <c r="G1590" t="s">
        <v>5904</v>
      </c>
      <c r="H1590">
        <v>696</v>
      </c>
      <c r="I1590">
        <v>650</v>
      </c>
      <c r="J1590">
        <v>636</v>
      </c>
      <c r="K1590">
        <v>579</v>
      </c>
      <c r="L1590">
        <v>610</v>
      </c>
      <c r="M1590">
        <v>83.2</v>
      </c>
      <c r="N1590">
        <v>87.6</v>
      </c>
      <c r="O1590">
        <v>1211.4000000000001</v>
      </c>
    </row>
    <row r="1591" spans="1:15">
      <c r="A1591">
        <v>1600</v>
      </c>
      <c r="B1591" t="s">
        <v>11431</v>
      </c>
      <c r="C1591" t="s">
        <v>11432</v>
      </c>
      <c r="D1591" t="s">
        <v>11433</v>
      </c>
      <c r="E1591" t="s">
        <v>11434</v>
      </c>
      <c r="F1591" t="s">
        <v>11435</v>
      </c>
      <c r="G1591" t="s">
        <v>6054</v>
      </c>
      <c r="H1591">
        <v>2750</v>
      </c>
      <c r="I1591">
        <v>2752</v>
      </c>
      <c r="J1591">
        <v>1232</v>
      </c>
      <c r="K1591">
        <v>1043</v>
      </c>
      <c r="L1591">
        <v>1092</v>
      </c>
      <c r="M1591">
        <v>37.9</v>
      </c>
      <c r="N1591">
        <v>39.700000000000003</v>
      </c>
      <c r="O1591">
        <v>1245</v>
      </c>
    </row>
    <row r="1592" spans="1:15">
      <c r="A1592">
        <v>1599</v>
      </c>
      <c r="B1592" t="s">
        <v>11436</v>
      </c>
      <c r="C1592" t="s">
        <v>4045</v>
      </c>
      <c r="D1592" t="s">
        <v>11437</v>
      </c>
      <c r="E1592" t="s">
        <v>11438</v>
      </c>
      <c r="F1592" t="s">
        <v>11439</v>
      </c>
      <c r="G1592" t="s">
        <v>5904</v>
      </c>
      <c r="H1592">
        <v>1233</v>
      </c>
      <c r="I1592">
        <v>1224</v>
      </c>
      <c r="J1592">
        <v>1233</v>
      </c>
      <c r="K1592">
        <v>1212</v>
      </c>
      <c r="L1592">
        <v>1221</v>
      </c>
      <c r="M1592">
        <v>98.3</v>
      </c>
      <c r="N1592">
        <v>99</v>
      </c>
      <c r="O1592">
        <v>2528.4</v>
      </c>
    </row>
    <row r="1593" spans="1:15">
      <c r="A1593">
        <v>1598</v>
      </c>
      <c r="B1593" t="s">
        <v>4046</v>
      </c>
      <c r="C1593" t="s">
        <v>4047</v>
      </c>
      <c r="D1593" t="s">
        <v>11440</v>
      </c>
      <c r="E1593" t="s">
        <v>11441</v>
      </c>
      <c r="F1593" t="s">
        <v>11442</v>
      </c>
      <c r="G1593" t="s">
        <v>5904</v>
      </c>
      <c r="H1593">
        <v>709</v>
      </c>
      <c r="I1593">
        <v>709</v>
      </c>
      <c r="J1593">
        <v>709</v>
      </c>
      <c r="K1593">
        <v>644</v>
      </c>
      <c r="L1593">
        <v>673</v>
      </c>
      <c r="M1593">
        <v>90.8</v>
      </c>
      <c r="N1593">
        <v>94.9</v>
      </c>
      <c r="O1593">
        <v>1351.3</v>
      </c>
    </row>
    <row r="1594" spans="1:15">
      <c r="A1594">
        <v>2184</v>
      </c>
      <c r="B1594" t="s">
        <v>4048</v>
      </c>
      <c r="C1594" t="s">
        <v>4049</v>
      </c>
      <c r="D1594" t="s">
        <v>11443</v>
      </c>
      <c r="E1594" t="s">
        <v>11444</v>
      </c>
      <c r="F1594" t="s">
        <v>11445</v>
      </c>
      <c r="G1594" t="s">
        <v>5904</v>
      </c>
      <c r="H1594">
        <v>189</v>
      </c>
      <c r="I1594">
        <v>189</v>
      </c>
      <c r="J1594">
        <v>189</v>
      </c>
      <c r="K1594">
        <v>188</v>
      </c>
      <c r="L1594">
        <v>189</v>
      </c>
      <c r="M1594">
        <v>99.5</v>
      </c>
      <c r="N1594">
        <v>100</v>
      </c>
      <c r="O1594">
        <v>391.3</v>
      </c>
    </row>
    <row r="1595" spans="1:15">
      <c r="A1595">
        <v>1597</v>
      </c>
      <c r="B1595" t="s">
        <v>4050</v>
      </c>
      <c r="C1595" t="s">
        <v>4051</v>
      </c>
      <c r="D1595" t="s">
        <v>11446</v>
      </c>
      <c r="E1595" t="s">
        <v>11447</v>
      </c>
      <c r="F1595" t="s">
        <v>11448</v>
      </c>
      <c r="G1595" t="s">
        <v>5904</v>
      </c>
      <c r="H1595">
        <v>269</v>
      </c>
      <c r="I1595">
        <v>269</v>
      </c>
      <c r="J1595">
        <v>269</v>
      </c>
      <c r="K1595">
        <v>253</v>
      </c>
      <c r="L1595">
        <v>256</v>
      </c>
      <c r="M1595">
        <v>94.1</v>
      </c>
      <c r="N1595">
        <v>95.2</v>
      </c>
      <c r="O1595">
        <v>478.8</v>
      </c>
    </row>
    <row r="1596" spans="1:15">
      <c r="A1596">
        <v>1596</v>
      </c>
      <c r="B1596" t="s">
        <v>4052</v>
      </c>
      <c r="C1596" t="s">
        <v>4053</v>
      </c>
      <c r="D1596" t="s">
        <v>11449</v>
      </c>
      <c r="E1596" t="s">
        <v>11450</v>
      </c>
      <c r="F1596" t="s">
        <v>11451</v>
      </c>
      <c r="G1596" t="s">
        <v>5904</v>
      </c>
      <c r="H1596">
        <v>676</v>
      </c>
      <c r="I1596">
        <v>673</v>
      </c>
      <c r="J1596">
        <v>653</v>
      </c>
      <c r="K1596">
        <v>569</v>
      </c>
      <c r="L1596">
        <v>590</v>
      </c>
      <c r="M1596">
        <v>84.2</v>
      </c>
      <c r="N1596">
        <v>87.3</v>
      </c>
      <c r="O1596">
        <v>950.3</v>
      </c>
    </row>
    <row r="1597" spans="1:15">
      <c r="A1597">
        <v>2183</v>
      </c>
      <c r="B1597" t="s">
        <v>4054</v>
      </c>
      <c r="C1597" t="s">
        <v>4055</v>
      </c>
      <c r="D1597" t="s">
        <v>11452</v>
      </c>
      <c r="E1597" t="s">
        <v>11453</v>
      </c>
      <c r="F1597" t="s">
        <v>11454</v>
      </c>
      <c r="G1597" t="s">
        <v>5904</v>
      </c>
      <c r="H1597">
        <v>533</v>
      </c>
      <c r="I1597">
        <v>533</v>
      </c>
      <c r="J1597">
        <v>533</v>
      </c>
      <c r="K1597">
        <v>503</v>
      </c>
      <c r="L1597">
        <v>517</v>
      </c>
      <c r="M1597">
        <v>94.4</v>
      </c>
      <c r="N1597">
        <v>97</v>
      </c>
      <c r="O1597">
        <v>1016.1</v>
      </c>
    </row>
    <row r="1598" spans="1:15">
      <c r="A1598">
        <v>1595</v>
      </c>
      <c r="B1598" t="s">
        <v>4056</v>
      </c>
      <c r="C1598" t="s">
        <v>4057</v>
      </c>
      <c r="D1598" t="s">
        <v>11455</v>
      </c>
      <c r="E1598" t="s">
        <v>11456</v>
      </c>
      <c r="F1598" t="s">
        <v>11457</v>
      </c>
      <c r="G1598" t="s">
        <v>5904</v>
      </c>
      <c r="H1598">
        <v>250</v>
      </c>
      <c r="I1598">
        <v>266</v>
      </c>
      <c r="J1598">
        <v>244</v>
      </c>
      <c r="K1598">
        <v>217</v>
      </c>
      <c r="L1598">
        <v>223</v>
      </c>
      <c r="M1598">
        <v>86.8</v>
      </c>
      <c r="N1598">
        <v>89.2</v>
      </c>
      <c r="O1598">
        <v>385.6</v>
      </c>
    </row>
    <row r="1599" spans="1:15">
      <c r="A1599">
        <v>1594</v>
      </c>
      <c r="B1599" t="s">
        <v>4058</v>
      </c>
      <c r="C1599" t="s">
        <v>4059</v>
      </c>
      <c r="D1599" t="s">
        <v>11458</v>
      </c>
      <c r="E1599" t="s">
        <v>11459</v>
      </c>
      <c r="F1599" t="s">
        <v>11460</v>
      </c>
      <c r="G1599" t="s">
        <v>5904</v>
      </c>
      <c r="H1599">
        <v>303</v>
      </c>
      <c r="I1599">
        <v>303</v>
      </c>
      <c r="J1599">
        <v>303</v>
      </c>
      <c r="K1599">
        <v>283</v>
      </c>
      <c r="L1599">
        <v>298</v>
      </c>
      <c r="M1599">
        <v>93.4</v>
      </c>
      <c r="N1599">
        <v>98.3</v>
      </c>
      <c r="O1599">
        <v>588.20000000000005</v>
      </c>
    </row>
    <row r="1600" spans="1:15">
      <c r="A1600">
        <v>1593</v>
      </c>
      <c r="B1600" t="s">
        <v>11461</v>
      </c>
      <c r="C1600" t="s">
        <v>5673</v>
      </c>
      <c r="D1600" t="s">
        <v>11462</v>
      </c>
      <c r="E1600" t="s">
        <v>11463</v>
      </c>
      <c r="F1600" t="s">
        <v>11464</v>
      </c>
      <c r="G1600" t="s">
        <v>5904</v>
      </c>
      <c r="H1600">
        <v>285</v>
      </c>
      <c r="I1600">
        <v>285</v>
      </c>
      <c r="J1600">
        <v>285</v>
      </c>
      <c r="K1600">
        <v>250</v>
      </c>
      <c r="L1600">
        <v>262</v>
      </c>
      <c r="M1600">
        <v>87.7</v>
      </c>
      <c r="N1600">
        <v>91.9</v>
      </c>
      <c r="O1600">
        <v>431</v>
      </c>
    </row>
    <row r="1601" spans="1:15">
      <c r="A1601">
        <v>1592</v>
      </c>
      <c r="B1601" t="s">
        <v>11465</v>
      </c>
      <c r="C1601" t="s">
        <v>5670</v>
      </c>
      <c r="D1601" t="s">
        <v>6207</v>
      </c>
      <c r="E1601" t="s">
        <v>6208</v>
      </c>
      <c r="F1601" t="s">
        <v>11466</v>
      </c>
      <c r="G1601" t="s">
        <v>5904</v>
      </c>
      <c r="H1601">
        <v>248</v>
      </c>
      <c r="I1601">
        <v>248</v>
      </c>
      <c r="J1601">
        <v>246</v>
      </c>
      <c r="K1601">
        <v>188</v>
      </c>
      <c r="L1601">
        <v>223</v>
      </c>
      <c r="M1601">
        <v>75.8</v>
      </c>
      <c r="N1601">
        <v>89.9</v>
      </c>
      <c r="O1601">
        <v>336.6</v>
      </c>
    </row>
    <row r="1602" spans="1:15">
      <c r="A1602">
        <v>2255</v>
      </c>
      <c r="B1602" t="s">
        <v>4060</v>
      </c>
      <c r="C1602" t="s">
        <v>4061</v>
      </c>
      <c r="D1602" t="s">
        <v>11467</v>
      </c>
      <c r="E1602" t="s">
        <v>11468</v>
      </c>
      <c r="F1602" t="s">
        <v>11469</v>
      </c>
      <c r="G1602" t="s">
        <v>5904</v>
      </c>
      <c r="H1602">
        <v>421</v>
      </c>
      <c r="I1602">
        <v>421</v>
      </c>
      <c r="J1602">
        <v>421</v>
      </c>
      <c r="K1602">
        <v>379</v>
      </c>
      <c r="L1602">
        <v>401</v>
      </c>
      <c r="M1602">
        <v>90</v>
      </c>
      <c r="N1602">
        <v>95.2</v>
      </c>
      <c r="O1602">
        <v>798.5</v>
      </c>
    </row>
    <row r="1603" spans="1:15">
      <c r="A1603">
        <v>1591</v>
      </c>
      <c r="B1603" t="s">
        <v>4062</v>
      </c>
      <c r="C1603" t="s">
        <v>4063</v>
      </c>
      <c r="D1603" t="s">
        <v>11470</v>
      </c>
      <c r="E1603" t="s">
        <v>11471</v>
      </c>
      <c r="F1603" t="s">
        <v>11472</v>
      </c>
      <c r="G1603" t="s">
        <v>5904</v>
      </c>
      <c r="H1603">
        <v>387</v>
      </c>
      <c r="I1603">
        <v>403</v>
      </c>
      <c r="J1603">
        <v>395</v>
      </c>
      <c r="K1603">
        <v>348</v>
      </c>
      <c r="L1603">
        <v>365</v>
      </c>
      <c r="M1603">
        <v>89.9</v>
      </c>
      <c r="N1603">
        <v>94.3</v>
      </c>
      <c r="O1603">
        <v>652.1</v>
      </c>
    </row>
    <row r="1604" spans="1:15">
      <c r="A1604">
        <v>1590</v>
      </c>
      <c r="B1604" t="s">
        <v>4064</v>
      </c>
      <c r="C1604" t="s">
        <v>11473</v>
      </c>
      <c r="D1604" t="s">
        <v>11474</v>
      </c>
      <c r="E1604" t="s">
        <v>11475</v>
      </c>
      <c r="F1604" t="s">
        <v>11476</v>
      </c>
      <c r="G1604" t="s">
        <v>5904</v>
      </c>
      <c r="H1604">
        <v>1191</v>
      </c>
      <c r="I1604">
        <v>1193</v>
      </c>
      <c r="J1604">
        <v>1194</v>
      </c>
      <c r="K1604">
        <v>1024</v>
      </c>
      <c r="L1604">
        <v>1101</v>
      </c>
      <c r="M1604">
        <v>86</v>
      </c>
      <c r="N1604">
        <v>92.4</v>
      </c>
      <c r="O1604">
        <v>2130.5</v>
      </c>
    </row>
    <row r="1605" spans="1:15">
      <c r="A1605">
        <v>1589</v>
      </c>
      <c r="B1605" t="s">
        <v>11477</v>
      </c>
      <c r="C1605" t="s">
        <v>4068</v>
      </c>
      <c r="D1605" t="s">
        <v>11478</v>
      </c>
      <c r="E1605" t="s">
        <v>11479</v>
      </c>
      <c r="F1605" t="s">
        <v>11480</v>
      </c>
      <c r="G1605" t="s">
        <v>5904</v>
      </c>
      <c r="H1605">
        <v>529</v>
      </c>
      <c r="I1605">
        <v>526</v>
      </c>
      <c r="J1605">
        <v>458</v>
      </c>
      <c r="K1605">
        <v>401</v>
      </c>
      <c r="L1605">
        <v>426</v>
      </c>
      <c r="M1605">
        <v>75.8</v>
      </c>
      <c r="N1605">
        <v>80.5</v>
      </c>
      <c r="O1605">
        <v>800.4</v>
      </c>
    </row>
    <row r="1606" spans="1:15">
      <c r="A1606">
        <v>1588</v>
      </c>
      <c r="B1606" t="s">
        <v>4069</v>
      </c>
      <c r="C1606" t="s">
        <v>4070</v>
      </c>
      <c r="D1606" t="s">
        <v>11481</v>
      </c>
      <c r="E1606" t="s">
        <v>11482</v>
      </c>
      <c r="F1606" t="s">
        <v>11483</v>
      </c>
      <c r="G1606" t="s">
        <v>5904</v>
      </c>
      <c r="H1606">
        <v>311</v>
      </c>
      <c r="I1606">
        <v>298</v>
      </c>
      <c r="J1606">
        <v>300</v>
      </c>
      <c r="K1606">
        <v>193</v>
      </c>
      <c r="L1606">
        <v>231</v>
      </c>
      <c r="M1606">
        <v>62.1</v>
      </c>
      <c r="N1606">
        <v>74.3</v>
      </c>
      <c r="O1606">
        <v>382.1</v>
      </c>
    </row>
    <row r="1607" spans="1:15">
      <c r="A1607">
        <v>1587</v>
      </c>
      <c r="B1607" t="s">
        <v>11484</v>
      </c>
      <c r="C1607" t="s">
        <v>4073</v>
      </c>
      <c r="D1607" t="s">
        <v>11485</v>
      </c>
      <c r="E1607" t="s">
        <v>11486</v>
      </c>
      <c r="F1607" t="s">
        <v>11487</v>
      </c>
      <c r="G1607" t="s">
        <v>5904</v>
      </c>
      <c r="H1607">
        <v>413</v>
      </c>
      <c r="I1607">
        <v>373</v>
      </c>
      <c r="J1607">
        <v>373</v>
      </c>
      <c r="K1607">
        <v>361</v>
      </c>
      <c r="L1607">
        <v>367</v>
      </c>
      <c r="M1607">
        <v>87.4</v>
      </c>
      <c r="N1607">
        <v>88.9</v>
      </c>
      <c r="O1607">
        <v>772.7</v>
      </c>
    </row>
    <row r="1608" spans="1:15">
      <c r="A1608">
        <v>1586</v>
      </c>
      <c r="B1608" t="s">
        <v>4074</v>
      </c>
      <c r="C1608" t="s">
        <v>4075</v>
      </c>
      <c r="D1608" t="s">
        <v>11488</v>
      </c>
      <c r="E1608" t="s">
        <v>11489</v>
      </c>
      <c r="F1608" t="s">
        <v>11490</v>
      </c>
      <c r="G1608" t="s">
        <v>5904</v>
      </c>
      <c r="H1608">
        <v>542</v>
      </c>
      <c r="I1608">
        <v>574</v>
      </c>
      <c r="J1608">
        <v>541</v>
      </c>
      <c r="K1608">
        <v>504</v>
      </c>
      <c r="L1608">
        <v>520</v>
      </c>
      <c r="M1608">
        <v>93</v>
      </c>
      <c r="N1608">
        <v>95.9</v>
      </c>
      <c r="O1608">
        <v>1026.2</v>
      </c>
    </row>
    <row r="1609" spans="1:15">
      <c r="A1609">
        <v>2182</v>
      </c>
      <c r="B1609" t="s">
        <v>11491</v>
      </c>
      <c r="C1609" t="s">
        <v>11492</v>
      </c>
      <c r="D1609" t="s">
        <v>11493</v>
      </c>
      <c r="E1609" t="s">
        <v>11494</v>
      </c>
      <c r="F1609" t="s">
        <v>11495</v>
      </c>
      <c r="G1609" t="s">
        <v>5904</v>
      </c>
      <c r="H1609">
        <v>483</v>
      </c>
      <c r="I1609">
        <v>483</v>
      </c>
      <c r="J1609">
        <v>483</v>
      </c>
      <c r="K1609">
        <v>478</v>
      </c>
      <c r="L1609">
        <v>479</v>
      </c>
      <c r="M1609">
        <v>99</v>
      </c>
      <c r="N1609">
        <v>99.2</v>
      </c>
      <c r="O1609">
        <v>995</v>
      </c>
    </row>
    <row r="1610" spans="1:15">
      <c r="A1610">
        <v>1585</v>
      </c>
      <c r="B1610" t="s">
        <v>4079</v>
      </c>
      <c r="C1610" t="s">
        <v>11496</v>
      </c>
      <c r="D1610" t="s">
        <v>11497</v>
      </c>
      <c r="E1610" t="s">
        <v>11498</v>
      </c>
      <c r="F1610" t="s">
        <v>11499</v>
      </c>
      <c r="G1610" t="s">
        <v>5904</v>
      </c>
      <c r="H1610">
        <v>411</v>
      </c>
      <c r="I1610">
        <v>411</v>
      </c>
      <c r="J1610">
        <v>411</v>
      </c>
      <c r="K1610">
        <v>394</v>
      </c>
      <c r="L1610">
        <v>406</v>
      </c>
      <c r="M1610">
        <v>95.9</v>
      </c>
      <c r="N1610">
        <v>98.8</v>
      </c>
      <c r="O1610">
        <v>832.4</v>
      </c>
    </row>
    <row r="1611" spans="1:15">
      <c r="A1611">
        <v>1584</v>
      </c>
      <c r="B1611" t="s">
        <v>4081</v>
      </c>
      <c r="C1611" t="s">
        <v>4082</v>
      </c>
      <c r="D1611" t="s">
        <v>11500</v>
      </c>
      <c r="E1611" t="s">
        <v>11501</v>
      </c>
      <c r="F1611" t="s">
        <v>11502</v>
      </c>
      <c r="G1611" t="s">
        <v>5904</v>
      </c>
      <c r="H1611">
        <v>1608</v>
      </c>
      <c r="I1611">
        <v>1609</v>
      </c>
      <c r="J1611">
        <v>1609</v>
      </c>
      <c r="K1611">
        <v>1515</v>
      </c>
      <c r="L1611">
        <v>1571</v>
      </c>
      <c r="M1611">
        <v>94.2</v>
      </c>
      <c r="N1611">
        <v>97.7</v>
      </c>
      <c r="O1611">
        <v>3115.5</v>
      </c>
    </row>
    <row r="1612" spans="1:15">
      <c r="A1612">
        <v>1583</v>
      </c>
      <c r="B1612" t="s">
        <v>4083</v>
      </c>
      <c r="C1612" t="s">
        <v>4084</v>
      </c>
      <c r="D1612" t="s">
        <v>11503</v>
      </c>
      <c r="E1612" t="s">
        <v>11504</v>
      </c>
      <c r="F1612" t="s">
        <v>11505</v>
      </c>
      <c r="G1612" t="s">
        <v>5904</v>
      </c>
      <c r="H1612">
        <v>441</v>
      </c>
      <c r="I1612">
        <v>464</v>
      </c>
      <c r="J1612">
        <v>464</v>
      </c>
      <c r="K1612">
        <v>416</v>
      </c>
      <c r="L1612">
        <v>425</v>
      </c>
      <c r="M1612">
        <v>94.3</v>
      </c>
      <c r="N1612">
        <v>96.4</v>
      </c>
      <c r="O1612">
        <v>837</v>
      </c>
    </row>
    <row r="1613" spans="1:15">
      <c r="A1613">
        <v>1582</v>
      </c>
      <c r="B1613" t="s">
        <v>4085</v>
      </c>
      <c r="C1613" t="s">
        <v>4086</v>
      </c>
      <c r="D1613" t="s">
        <v>11506</v>
      </c>
      <c r="E1613" t="s">
        <v>11507</v>
      </c>
      <c r="F1613" t="s">
        <v>11508</v>
      </c>
      <c r="G1613" t="s">
        <v>5904</v>
      </c>
      <c r="H1613">
        <v>1337</v>
      </c>
      <c r="I1613">
        <v>855</v>
      </c>
      <c r="J1613">
        <v>855</v>
      </c>
      <c r="K1613">
        <v>729</v>
      </c>
      <c r="L1613">
        <v>767</v>
      </c>
      <c r="M1613">
        <v>54.5</v>
      </c>
      <c r="N1613">
        <v>57.4</v>
      </c>
      <c r="O1613">
        <v>1411.7</v>
      </c>
    </row>
    <row r="1614" spans="1:15">
      <c r="A1614">
        <v>1581</v>
      </c>
      <c r="B1614" t="s">
        <v>11509</v>
      </c>
      <c r="C1614" t="s">
        <v>4089</v>
      </c>
      <c r="D1614" t="s">
        <v>11510</v>
      </c>
      <c r="E1614" t="s">
        <v>11511</v>
      </c>
      <c r="F1614" t="s">
        <v>11512</v>
      </c>
      <c r="G1614" t="s">
        <v>5904</v>
      </c>
      <c r="H1614">
        <v>867</v>
      </c>
      <c r="I1614">
        <v>863</v>
      </c>
      <c r="J1614">
        <v>853</v>
      </c>
      <c r="K1614">
        <v>688</v>
      </c>
      <c r="L1614">
        <v>745</v>
      </c>
      <c r="M1614">
        <v>79.400000000000006</v>
      </c>
      <c r="N1614">
        <v>85.9</v>
      </c>
      <c r="O1614">
        <v>1253.4000000000001</v>
      </c>
    </row>
    <row r="1615" spans="1:15">
      <c r="A1615">
        <v>2181</v>
      </c>
      <c r="B1615" t="s">
        <v>4090</v>
      </c>
      <c r="C1615" t="s">
        <v>4092</v>
      </c>
      <c r="D1615" t="s">
        <v>11513</v>
      </c>
      <c r="E1615" t="s">
        <v>11514</v>
      </c>
      <c r="F1615" t="s">
        <v>11515</v>
      </c>
      <c r="G1615" t="s">
        <v>5904</v>
      </c>
      <c r="H1615">
        <v>260</v>
      </c>
      <c r="I1615">
        <v>260</v>
      </c>
      <c r="J1615">
        <v>260</v>
      </c>
      <c r="K1615">
        <v>231</v>
      </c>
      <c r="L1615">
        <v>240</v>
      </c>
      <c r="M1615">
        <v>88.8</v>
      </c>
      <c r="N1615">
        <v>92.3</v>
      </c>
      <c r="O1615">
        <v>490.3</v>
      </c>
    </row>
    <row r="1616" spans="1:15">
      <c r="A1616">
        <v>1580</v>
      </c>
      <c r="B1616" t="s">
        <v>4093</v>
      </c>
      <c r="C1616" t="s">
        <v>4094</v>
      </c>
      <c r="D1616" t="s">
        <v>11516</v>
      </c>
      <c r="E1616" t="s">
        <v>11517</v>
      </c>
      <c r="F1616" t="s">
        <v>11518</v>
      </c>
      <c r="G1616" t="s">
        <v>5904</v>
      </c>
      <c r="H1616">
        <v>642</v>
      </c>
      <c r="I1616">
        <v>628</v>
      </c>
      <c r="J1616">
        <v>625</v>
      </c>
      <c r="K1616">
        <v>544</v>
      </c>
      <c r="L1616">
        <v>568</v>
      </c>
      <c r="M1616">
        <v>84.7</v>
      </c>
      <c r="N1616">
        <v>88.5</v>
      </c>
      <c r="O1616">
        <v>1083.2</v>
      </c>
    </row>
    <row r="1617" spans="1:15">
      <c r="A1617">
        <v>2180</v>
      </c>
      <c r="B1617" t="s">
        <v>4095</v>
      </c>
      <c r="C1617" t="s">
        <v>4096</v>
      </c>
      <c r="D1617" t="s">
        <v>11519</v>
      </c>
      <c r="E1617" t="s">
        <v>11520</v>
      </c>
      <c r="F1617" t="s">
        <v>11521</v>
      </c>
      <c r="G1617" t="s">
        <v>5904</v>
      </c>
      <c r="H1617">
        <v>260</v>
      </c>
      <c r="I1617">
        <v>260</v>
      </c>
      <c r="J1617">
        <v>260</v>
      </c>
      <c r="K1617">
        <v>231</v>
      </c>
      <c r="L1617">
        <v>243</v>
      </c>
      <c r="M1617">
        <v>88.8</v>
      </c>
      <c r="N1617">
        <v>93.5</v>
      </c>
      <c r="O1617">
        <v>483.4</v>
      </c>
    </row>
    <row r="1618" spans="1:15">
      <c r="A1618">
        <v>1579</v>
      </c>
      <c r="B1618" t="s">
        <v>4097</v>
      </c>
      <c r="C1618" t="s">
        <v>4098</v>
      </c>
      <c r="D1618" t="s">
        <v>11522</v>
      </c>
      <c r="E1618" t="s">
        <v>11523</v>
      </c>
      <c r="F1618" t="s">
        <v>11524</v>
      </c>
      <c r="G1618" t="s">
        <v>5904</v>
      </c>
      <c r="H1618">
        <v>452</v>
      </c>
      <c r="I1618">
        <v>452</v>
      </c>
      <c r="J1618">
        <v>451</v>
      </c>
      <c r="K1618">
        <v>420</v>
      </c>
      <c r="L1618">
        <v>433</v>
      </c>
      <c r="M1618">
        <v>92.9</v>
      </c>
      <c r="N1618">
        <v>95.8</v>
      </c>
      <c r="O1618">
        <v>833.2</v>
      </c>
    </row>
    <row r="1619" spans="1:15">
      <c r="A1619">
        <v>1578</v>
      </c>
      <c r="B1619" t="s">
        <v>4099</v>
      </c>
      <c r="C1619" t="s">
        <v>4100</v>
      </c>
      <c r="D1619" t="s">
        <v>11525</v>
      </c>
      <c r="E1619" t="s">
        <v>11526</v>
      </c>
      <c r="F1619" t="s">
        <v>11527</v>
      </c>
      <c r="G1619" t="s">
        <v>5904</v>
      </c>
      <c r="H1619">
        <v>665</v>
      </c>
      <c r="I1619">
        <v>664</v>
      </c>
      <c r="J1619">
        <v>665</v>
      </c>
      <c r="K1619">
        <v>647</v>
      </c>
      <c r="L1619">
        <v>657</v>
      </c>
      <c r="M1619">
        <v>97.3</v>
      </c>
      <c r="N1619">
        <v>98.8</v>
      </c>
      <c r="O1619">
        <v>1311.6</v>
      </c>
    </row>
    <row r="1620" spans="1:15">
      <c r="A1620">
        <v>1577</v>
      </c>
      <c r="B1620" t="s">
        <v>4101</v>
      </c>
      <c r="C1620" t="s">
        <v>4102</v>
      </c>
      <c r="D1620" t="s">
        <v>11528</v>
      </c>
      <c r="E1620" t="s">
        <v>11529</v>
      </c>
      <c r="F1620" t="s">
        <v>11530</v>
      </c>
      <c r="G1620" t="s">
        <v>5904</v>
      </c>
      <c r="H1620">
        <v>545</v>
      </c>
      <c r="I1620">
        <v>545</v>
      </c>
      <c r="J1620">
        <v>545</v>
      </c>
      <c r="K1620">
        <v>534</v>
      </c>
      <c r="L1620">
        <v>540</v>
      </c>
      <c r="M1620">
        <v>98</v>
      </c>
      <c r="N1620">
        <v>99.1</v>
      </c>
      <c r="O1620">
        <v>1101.3</v>
      </c>
    </row>
    <row r="1621" spans="1:15">
      <c r="A1621">
        <v>1576</v>
      </c>
      <c r="B1621" t="s">
        <v>11531</v>
      </c>
      <c r="C1621" t="s">
        <v>4105</v>
      </c>
      <c r="D1621" t="s">
        <v>11532</v>
      </c>
      <c r="E1621" t="s">
        <v>11533</v>
      </c>
      <c r="F1621" t="s">
        <v>11534</v>
      </c>
      <c r="G1621" t="s">
        <v>5904</v>
      </c>
      <c r="H1621">
        <v>548</v>
      </c>
      <c r="I1621">
        <v>429</v>
      </c>
      <c r="J1621">
        <v>461</v>
      </c>
      <c r="K1621">
        <v>277</v>
      </c>
      <c r="L1621">
        <v>328</v>
      </c>
      <c r="M1621">
        <v>50.5</v>
      </c>
      <c r="N1621">
        <v>59.9</v>
      </c>
      <c r="O1621">
        <v>530.79999999999995</v>
      </c>
    </row>
    <row r="1622" spans="1:15">
      <c r="A1622">
        <v>1575</v>
      </c>
      <c r="B1622" t="s">
        <v>4106</v>
      </c>
      <c r="C1622" t="s">
        <v>4107</v>
      </c>
      <c r="D1622" t="s">
        <v>11535</v>
      </c>
      <c r="E1622" t="s">
        <v>11536</v>
      </c>
      <c r="F1622" t="s">
        <v>11537</v>
      </c>
      <c r="G1622" t="s">
        <v>5904</v>
      </c>
      <c r="H1622">
        <v>841</v>
      </c>
      <c r="I1622">
        <v>837</v>
      </c>
      <c r="J1622">
        <v>841</v>
      </c>
      <c r="K1622">
        <v>778</v>
      </c>
      <c r="L1622">
        <v>799</v>
      </c>
      <c r="M1622">
        <v>92.5</v>
      </c>
      <c r="N1622">
        <v>95</v>
      </c>
      <c r="O1622">
        <v>1499.2</v>
      </c>
    </row>
    <row r="1623" spans="1:15">
      <c r="A1623">
        <v>1574</v>
      </c>
      <c r="B1623" t="s">
        <v>4108</v>
      </c>
      <c r="C1623" t="s">
        <v>4109</v>
      </c>
      <c r="D1623" t="s">
        <v>11538</v>
      </c>
      <c r="E1623" t="s">
        <v>11539</v>
      </c>
      <c r="F1623" t="s">
        <v>11540</v>
      </c>
      <c r="G1623" t="s">
        <v>5904</v>
      </c>
      <c r="H1623">
        <v>167</v>
      </c>
      <c r="I1623">
        <v>167</v>
      </c>
      <c r="J1623">
        <v>167</v>
      </c>
      <c r="K1623">
        <v>167</v>
      </c>
      <c r="L1623">
        <v>167</v>
      </c>
      <c r="M1623">
        <v>100</v>
      </c>
      <c r="N1623">
        <v>100</v>
      </c>
      <c r="O1623">
        <v>349.7</v>
      </c>
    </row>
    <row r="1624" spans="1:15">
      <c r="A1624">
        <v>1573</v>
      </c>
      <c r="B1624" t="s">
        <v>4110</v>
      </c>
      <c r="C1624" t="s">
        <v>4111</v>
      </c>
      <c r="D1624" t="s">
        <v>11541</v>
      </c>
      <c r="E1624" t="s">
        <v>11542</v>
      </c>
      <c r="F1624" t="s">
        <v>11543</v>
      </c>
      <c r="G1624" t="s">
        <v>5904</v>
      </c>
      <c r="H1624">
        <v>193</v>
      </c>
      <c r="I1624">
        <v>193</v>
      </c>
      <c r="J1624">
        <v>193</v>
      </c>
      <c r="K1624">
        <v>190</v>
      </c>
      <c r="L1624">
        <v>192</v>
      </c>
      <c r="M1624">
        <v>98.4</v>
      </c>
      <c r="N1624">
        <v>99.5</v>
      </c>
      <c r="O1624">
        <v>386.3</v>
      </c>
    </row>
    <row r="1625" spans="1:15">
      <c r="A1625">
        <v>1572</v>
      </c>
      <c r="B1625" t="s">
        <v>4112</v>
      </c>
      <c r="C1625" t="s">
        <v>4113</v>
      </c>
      <c r="D1625" t="s">
        <v>11544</v>
      </c>
      <c r="E1625" t="s">
        <v>11545</v>
      </c>
      <c r="F1625" t="s">
        <v>11546</v>
      </c>
      <c r="G1625" t="s">
        <v>5904</v>
      </c>
      <c r="H1625">
        <v>137</v>
      </c>
      <c r="I1625">
        <v>115</v>
      </c>
      <c r="J1625">
        <v>114</v>
      </c>
      <c r="K1625">
        <v>103</v>
      </c>
      <c r="L1625">
        <v>111</v>
      </c>
      <c r="M1625">
        <v>75.2</v>
      </c>
      <c r="N1625">
        <v>81</v>
      </c>
      <c r="O1625">
        <v>211.1</v>
      </c>
    </row>
    <row r="1626" spans="1:15">
      <c r="A1626">
        <v>1571</v>
      </c>
      <c r="B1626" t="s">
        <v>4114</v>
      </c>
      <c r="C1626" t="s">
        <v>11547</v>
      </c>
      <c r="D1626" t="s">
        <v>11548</v>
      </c>
      <c r="E1626" t="s">
        <v>11549</v>
      </c>
      <c r="F1626" t="s">
        <v>11550</v>
      </c>
      <c r="G1626" t="s">
        <v>5904</v>
      </c>
      <c r="H1626">
        <v>372</v>
      </c>
      <c r="I1626">
        <v>372</v>
      </c>
      <c r="J1626">
        <v>372</v>
      </c>
      <c r="K1626">
        <v>362</v>
      </c>
      <c r="L1626">
        <v>364</v>
      </c>
      <c r="M1626">
        <v>97.3</v>
      </c>
      <c r="N1626">
        <v>97.8</v>
      </c>
      <c r="O1626">
        <v>756.1</v>
      </c>
    </row>
    <row r="1627" spans="1:15">
      <c r="A1627">
        <v>1570</v>
      </c>
      <c r="B1627" t="s">
        <v>4116</v>
      </c>
      <c r="C1627" t="s">
        <v>4117</v>
      </c>
      <c r="D1627" t="s">
        <v>11551</v>
      </c>
      <c r="E1627" t="s">
        <v>11552</v>
      </c>
      <c r="F1627" t="s">
        <v>11553</v>
      </c>
      <c r="G1627" t="s">
        <v>5904</v>
      </c>
      <c r="H1627">
        <v>182</v>
      </c>
      <c r="I1627">
        <v>181</v>
      </c>
      <c r="J1627">
        <v>182</v>
      </c>
      <c r="K1627">
        <v>180</v>
      </c>
      <c r="L1627">
        <v>181</v>
      </c>
      <c r="M1627">
        <v>98.9</v>
      </c>
      <c r="N1627">
        <v>99.5</v>
      </c>
      <c r="O1627">
        <v>345.5</v>
      </c>
    </row>
    <row r="1628" spans="1:15">
      <c r="A1628">
        <v>1569</v>
      </c>
      <c r="B1628" t="s">
        <v>11554</v>
      </c>
      <c r="C1628" t="s">
        <v>4120</v>
      </c>
      <c r="D1628" t="s">
        <v>11555</v>
      </c>
      <c r="E1628" t="s">
        <v>11556</v>
      </c>
      <c r="F1628" t="s">
        <v>11557</v>
      </c>
      <c r="G1628" t="s">
        <v>5904</v>
      </c>
      <c r="H1628">
        <v>243</v>
      </c>
      <c r="I1628">
        <v>243</v>
      </c>
      <c r="J1628">
        <v>243</v>
      </c>
      <c r="K1628">
        <v>237</v>
      </c>
      <c r="L1628">
        <v>239</v>
      </c>
      <c r="M1628">
        <v>97.5</v>
      </c>
      <c r="N1628">
        <v>98.4</v>
      </c>
      <c r="O1628">
        <v>451.4</v>
      </c>
    </row>
    <row r="1629" spans="1:15">
      <c r="A1629">
        <v>1568</v>
      </c>
      <c r="B1629" t="s">
        <v>11558</v>
      </c>
      <c r="C1629" t="s">
        <v>4123</v>
      </c>
      <c r="D1629" t="s">
        <v>11559</v>
      </c>
      <c r="E1629" t="s">
        <v>11560</v>
      </c>
      <c r="F1629" t="s">
        <v>11561</v>
      </c>
      <c r="G1629" t="s">
        <v>5904</v>
      </c>
      <c r="H1629">
        <v>333</v>
      </c>
      <c r="I1629">
        <v>326</v>
      </c>
      <c r="J1629">
        <v>326</v>
      </c>
      <c r="K1629">
        <v>201</v>
      </c>
      <c r="L1629">
        <v>222</v>
      </c>
      <c r="M1629">
        <v>60.4</v>
      </c>
      <c r="N1629">
        <v>66.7</v>
      </c>
      <c r="O1629">
        <v>342.4</v>
      </c>
    </row>
    <row r="1630" spans="1:15">
      <c r="A1630">
        <v>1567</v>
      </c>
      <c r="B1630" t="s">
        <v>11562</v>
      </c>
      <c r="C1630" t="s">
        <v>4126</v>
      </c>
      <c r="D1630" t="s">
        <v>11563</v>
      </c>
      <c r="E1630" t="s">
        <v>11564</v>
      </c>
      <c r="F1630" t="s">
        <v>11565</v>
      </c>
      <c r="G1630" t="s">
        <v>5904</v>
      </c>
      <c r="H1630">
        <v>219</v>
      </c>
      <c r="I1630">
        <v>227</v>
      </c>
      <c r="J1630">
        <v>206</v>
      </c>
      <c r="K1630">
        <v>106</v>
      </c>
      <c r="L1630">
        <v>133</v>
      </c>
      <c r="M1630">
        <v>48.4</v>
      </c>
      <c r="N1630">
        <v>60.7</v>
      </c>
      <c r="O1630">
        <v>170.2</v>
      </c>
    </row>
    <row r="1631" spans="1:15">
      <c r="A1631">
        <v>1566</v>
      </c>
      <c r="B1631" t="s">
        <v>4127</v>
      </c>
      <c r="C1631" t="s">
        <v>11566</v>
      </c>
      <c r="D1631" t="s">
        <v>11567</v>
      </c>
      <c r="E1631" t="s">
        <v>11568</v>
      </c>
      <c r="F1631" t="s">
        <v>11569</v>
      </c>
      <c r="G1631" t="s">
        <v>5904</v>
      </c>
      <c r="H1631">
        <v>305</v>
      </c>
      <c r="I1631">
        <v>305</v>
      </c>
      <c r="J1631">
        <v>279</v>
      </c>
      <c r="K1631">
        <v>227</v>
      </c>
      <c r="L1631">
        <v>253</v>
      </c>
      <c r="M1631">
        <v>74.400000000000006</v>
      </c>
      <c r="N1631">
        <v>83</v>
      </c>
      <c r="O1631">
        <v>481.5</v>
      </c>
    </row>
    <row r="1632" spans="1:15">
      <c r="A1632">
        <v>2179</v>
      </c>
      <c r="B1632" t="s">
        <v>11570</v>
      </c>
      <c r="C1632" t="s">
        <v>4131</v>
      </c>
      <c r="D1632" t="s">
        <v>11571</v>
      </c>
      <c r="E1632" t="s">
        <v>11572</v>
      </c>
      <c r="F1632" t="s">
        <v>11573</v>
      </c>
      <c r="G1632" t="s">
        <v>5904</v>
      </c>
      <c r="H1632">
        <v>329</v>
      </c>
      <c r="I1632">
        <v>329</v>
      </c>
      <c r="J1632">
        <v>329</v>
      </c>
      <c r="K1632">
        <v>327</v>
      </c>
      <c r="L1632">
        <v>327</v>
      </c>
      <c r="M1632">
        <v>99.4</v>
      </c>
      <c r="N1632">
        <v>99.4</v>
      </c>
      <c r="O1632">
        <v>682.2</v>
      </c>
    </row>
    <row r="1633" spans="1:15">
      <c r="A1633">
        <v>1565</v>
      </c>
      <c r="B1633" t="s">
        <v>11574</v>
      </c>
      <c r="C1633" t="s">
        <v>4134</v>
      </c>
      <c r="D1633" t="s">
        <v>11575</v>
      </c>
      <c r="E1633" t="s">
        <v>11576</v>
      </c>
      <c r="F1633" t="s">
        <v>11577</v>
      </c>
      <c r="G1633" t="s">
        <v>5900</v>
      </c>
      <c r="H1633">
        <v>627</v>
      </c>
      <c r="I1633">
        <v>381</v>
      </c>
      <c r="J1633">
        <v>301</v>
      </c>
      <c r="K1633">
        <v>166</v>
      </c>
      <c r="L1633">
        <v>212</v>
      </c>
      <c r="M1633">
        <v>26.5</v>
      </c>
      <c r="N1633">
        <v>33.799999999999997</v>
      </c>
      <c r="O1633">
        <v>362.8</v>
      </c>
    </row>
    <row r="1634" spans="1:15">
      <c r="A1634">
        <v>1564</v>
      </c>
      <c r="B1634" t="s">
        <v>4135</v>
      </c>
      <c r="C1634" t="s">
        <v>4136</v>
      </c>
      <c r="D1634" t="s">
        <v>11578</v>
      </c>
      <c r="E1634" t="s">
        <v>11579</v>
      </c>
      <c r="F1634" t="s">
        <v>11580</v>
      </c>
      <c r="G1634" t="s">
        <v>5904</v>
      </c>
      <c r="H1634">
        <v>952</v>
      </c>
      <c r="I1634">
        <v>959</v>
      </c>
      <c r="J1634">
        <v>959</v>
      </c>
      <c r="K1634">
        <v>897</v>
      </c>
      <c r="L1634">
        <v>916</v>
      </c>
      <c r="M1634">
        <v>94.2</v>
      </c>
      <c r="N1634">
        <v>96.2</v>
      </c>
      <c r="O1634">
        <v>1751.9</v>
      </c>
    </row>
    <row r="1635" spans="1:15">
      <c r="A1635">
        <v>1563</v>
      </c>
      <c r="B1635" t="s">
        <v>11581</v>
      </c>
      <c r="C1635" t="s">
        <v>4139</v>
      </c>
      <c r="D1635" t="s">
        <v>11582</v>
      </c>
      <c r="E1635" t="s">
        <v>11583</v>
      </c>
      <c r="F1635" t="s">
        <v>11584</v>
      </c>
      <c r="G1635" t="s">
        <v>5904</v>
      </c>
      <c r="H1635">
        <v>436</v>
      </c>
      <c r="I1635">
        <v>454</v>
      </c>
      <c r="J1635">
        <v>454</v>
      </c>
      <c r="K1635">
        <v>416</v>
      </c>
      <c r="L1635">
        <v>426</v>
      </c>
      <c r="M1635">
        <v>95.4</v>
      </c>
      <c r="N1635">
        <v>97.7</v>
      </c>
      <c r="O1635">
        <v>860.9</v>
      </c>
    </row>
    <row r="1636" spans="1:15">
      <c r="A1636">
        <v>1562</v>
      </c>
      <c r="B1636" t="s">
        <v>4140</v>
      </c>
      <c r="C1636" t="s">
        <v>4141</v>
      </c>
      <c r="D1636" t="s">
        <v>11585</v>
      </c>
      <c r="E1636" t="s">
        <v>11586</v>
      </c>
      <c r="F1636" t="s">
        <v>11587</v>
      </c>
      <c r="G1636" t="s">
        <v>5904</v>
      </c>
      <c r="H1636">
        <v>251</v>
      </c>
      <c r="I1636">
        <v>246</v>
      </c>
      <c r="J1636">
        <v>246</v>
      </c>
      <c r="K1636">
        <v>225</v>
      </c>
      <c r="L1636">
        <v>235</v>
      </c>
      <c r="M1636">
        <v>89.6</v>
      </c>
      <c r="N1636">
        <v>93.6</v>
      </c>
      <c r="O1636">
        <v>471.1</v>
      </c>
    </row>
    <row r="1637" spans="1:15">
      <c r="A1637">
        <v>2178</v>
      </c>
      <c r="B1637" t="s">
        <v>11588</v>
      </c>
      <c r="C1637" t="s">
        <v>11589</v>
      </c>
      <c r="D1637" t="s">
        <v>11590</v>
      </c>
      <c r="E1637" t="s">
        <v>11591</v>
      </c>
      <c r="F1637" t="s">
        <v>11592</v>
      </c>
      <c r="G1637" t="s">
        <v>5904</v>
      </c>
      <c r="H1637">
        <v>660</v>
      </c>
      <c r="I1637">
        <v>644</v>
      </c>
      <c r="J1637">
        <v>660</v>
      </c>
      <c r="K1637">
        <v>638</v>
      </c>
      <c r="L1637">
        <v>641</v>
      </c>
      <c r="M1637">
        <v>96.7</v>
      </c>
      <c r="N1637">
        <v>97.1</v>
      </c>
      <c r="O1637">
        <v>1315.1</v>
      </c>
    </row>
    <row r="1638" spans="1:15">
      <c r="A1638">
        <v>1561</v>
      </c>
      <c r="B1638" t="s">
        <v>4145</v>
      </c>
      <c r="C1638" t="s">
        <v>11593</v>
      </c>
      <c r="D1638" t="s">
        <v>11594</v>
      </c>
      <c r="E1638" t="s">
        <v>11595</v>
      </c>
      <c r="F1638" t="s">
        <v>11596</v>
      </c>
      <c r="G1638" t="s">
        <v>5904</v>
      </c>
      <c r="H1638">
        <v>147</v>
      </c>
      <c r="I1638">
        <v>147</v>
      </c>
      <c r="J1638">
        <v>147</v>
      </c>
      <c r="K1638">
        <v>142</v>
      </c>
      <c r="L1638">
        <v>145</v>
      </c>
      <c r="M1638">
        <v>96.6</v>
      </c>
      <c r="N1638">
        <v>98.6</v>
      </c>
      <c r="O1638">
        <v>273.89999999999998</v>
      </c>
    </row>
    <row r="1639" spans="1:15">
      <c r="A1639">
        <v>1560</v>
      </c>
      <c r="B1639" t="s">
        <v>11597</v>
      </c>
      <c r="C1639" t="s">
        <v>11598</v>
      </c>
      <c r="D1639" t="s">
        <v>11599</v>
      </c>
      <c r="E1639" t="s">
        <v>11600</v>
      </c>
      <c r="F1639" t="s">
        <v>11601</v>
      </c>
      <c r="G1639" t="s">
        <v>5904</v>
      </c>
      <c r="H1639">
        <v>796</v>
      </c>
      <c r="I1639">
        <v>825</v>
      </c>
      <c r="J1639">
        <v>825</v>
      </c>
      <c r="K1639">
        <v>516</v>
      </c>
      <c r="L1639">
        <v>593</v>
      </c>
      <c r="M1639">
        <v>64.8</v>
      </c>
      <c r="N1639">
        <v>74.5</v>
      </c>
      <c r="O1639">
        <v>938.3</v>
      </c>
    </row>
    <row r="1640" spans="1:15">
      <c r="A1640">
        <v>1559</v>
      </c>
      <c r="B1640" t="s">
        <v>4150</v>
      </c>
      <c r="C1640" t="s">
        <v>4151</v>
      </c>
      <c r="D1640" t="s">
        <v>11602</v>
      </c>
      <c r="E1640" t="s">
        <v>11603</v>
      </c>
      <c r="F1640" t="s">
        <v>11604</v>
      </c>
      <c r="G1640" t="s">
        <v>5904</v>
      </c>
      <c r="H1640">
        <v>230</v>
      </c>
      <c r="I1640">
        <v>228</v>
      </c>
      <c r="J1640">
        <v>230</v>
      </c>
      <c r="K1640">
        <v>225</v>
      </c>
      <c r="L1640">
        <v>227</v>
      </c>
      <c r="M1640">
        <v>97.8</v>
      </c>
      <c r="N1640">
        <v>98.7</v>
      </c>
      <c r="O1640">
        <v>455.3</v>
      </c>
    </row>
    <row r="1641" spans="1:15">
      <c r="A1641">
        <v>1558</v>
      </c>
      <c r="B1641" t="s">
        <v>4152</v>
      </c>
      <c r="C1641" t="s">
        <v>4153</v>
      </c>
      <c r="D1641" t="s">
        <v>11605</v>
      </c>
      <c r="E1641" t="s">
        <v>11606</v>
      </c>
      <c r="F1641" t="s">
        <v>11607</v>
      </c>
      <c r="G1641" t="s">
        <v>5904</v>
      </c>
      <c r="H1641">
        <v>508</v>
      </c>
      <c r="I1641">
        <v>477</v>
      </c>
      <c r="J1641">
        <v>508</v>
      </c>
      <c r="K1641">
        <v>406</v>
      </c>
      <c r="L1641">
        <v>431</v>
      </c>
      <c r="M1641">
        <v>79.900000000000006</v>
      </c>
      <c r="N1641">
        <v>84.8</v>
      </c>
      <c r="O1641">
        <v>806.2</v>
      </c>
    </row>
    <row r="1642" spans="1:15">
      <c r="A1642">
        <v>1557</v>
      </c>
      <c r="B1642" t="s">
        <v>4154</v>
      </c>
      <c r="C1642" t="s">
        <v>4155</v>
      </c>
      <c r="D1642" t="s">
        <v>11608</v>
      </c>
      <c r="E1642" t="s">
        <v>11609</v>
      </c>
      <c r="F1642" t="s">
        <v>11610</v>
      </c>
      <c r="G1642" t="s">
        <v>5904</v>
      </c>
      <c r="H1642">
        <v>508</v>
      </c>
      <c r="I1642">
        <v>510</v>
      </c>
      <c r="J1642">
        <v>510</v>
      </c>
      <c r="K1642">
        <v>477</v>
      </c>
      <c r="L1642">
        <v>489</v>
      </c>
      <c r="M1642">
        <v>93.9</v>
      </c>
      <c r="N1642">
        <v>96.3</v>
      </c>
      <c r="O1642">
        <v>950.7</v>
      </c>
    </row>
    <row r="1643" spans="1:15">
      <c r="A1643">
        <v>1556</v>
      </c>
      <c r="B1643" t="s">
        <v>4156</v>
      </c>
      <c r="C1643" t="s">
        <v>4157</v>
      </c>
      <c r="D1643" t="s">
        <v>11611</v>
      </c>
      <c r="E1643" t="s">
        <v>11612</v>
      </c>
      <c r="F1643" t="s">
        <v>11613</v>
      </c>
      <c r="G1643" t="s">
        <v>5904</v>
      </c>
      <c r="H1643">
        <v>5635</v>
      </c>
      <c r="I1643">
        <v>5635</v>
      </c>
      <c r="J1643">
        <v>5635</v>
      </c>
      <c r="K1643">
        <v>5149</v>
      </c>
      <c r="L1643">
        <v>5374</v>
      </c>
      <c r="M1643">
        <v>91.4</v>
      </c>
      <c r="N1643">
        <v>95.4</v>
      </c>
      <c r="O1643">
        <v>10680.8</v>
      </c>
    </row>
    <row r="1644" spans="1:15">
      <c r="A1644">
        <v>1555</v>
      </c>
      <c r="B1644" t="s">
        <v>4158</v>
      </c>
      <c r="C1644" t="s">
        <v>4159</v>
      </c>
      <c r="D1644" t="s">
        <v>11614</v>
      </c>
      <c r="E1644" t="s">
        <v>11615</v>
      </c>
      <c r="F1644" t="s">
        <v>11616</v>
      </c>
      <c r="G1644" t="s">
        <v>5904</v>
      </c>
      <c r="H1644">
        <v>673</v>
      </c>
      <c r="I1644">
        <v>672</v>
      </c>
      <c r="J1644">
        <v>673</v>
      </c>
      <c r="K1644">
        <v>622</v>
      </c>
      <c r="L1644">
        <v>639</v>
      </c>
      <c r="M1644">
        <v>92.4</v>
      </c>
      <c r="N1644">
        <v>94.9</v>
      </c>
      <c r="O1644">
        <v>1201</v>
      </c>
    </row>
    <row r="1645" spans="1:15">
      <c r="A1645">
        <v>1554</v>
      </c>
      <c r="B1645" t="s">
        <v>11617</v>
      </c>
      <c r="C1645" t="s">
        <v>4162</v>
      </c>
      <c r="D1645" t="s">
        <v>11618</v>
      </c>
      <c r="E1645" t="s">
        <v>11619</v>
      </c>
      <c r="F1645" t="s">
        <v>11620</v>
      </c>
      <c r="G1645" t="s">
        <v>5904</v>
      </c>
      <c r="H1645">
        <v>194</v>
      </c>
      <c r="I1645">
        <v>169</v>
      </c>
      <c r="J1645">
        <v>170</v>
      </c>
      <c r="K1645">
        <v>164</v>
      </c>
      <c r="L1645">
        <v>168</v>
      </c>
      <c r="M1645">
        <v>84.5</v>
      </c>
      <c r="N1645">
        <v>86.6</v>
      </c>
      <c r="O1645">
        <v>337.8</v>
      </c>
    </row>
    <row r="1646" spans="1:15">
      <c r="A1646">
        <v>1553</v>
      </c>
      <c r="B1646" t="s">
        <v>11621</v>
      </c>
      <c r="C1646" t="s">
        <v>4165</v>
      </c>
      <c r="D1646" t="s">
        <v>11622</v>
      </c>
      <c r="E1646" t="s">
        <v>11623</v>
      </c>
      <c r="F1646" t="s">
        <v>11624</v>
      </c>
      <c r="G1646" t="s">
        <v>5904</v>
      </c>
      <c r="H1646">
        <v>430</v>
      </c>
      <c r="I1646">
        <v>398</v>
      </c>
      <c r="J1646">
        <v>432</v>
      </c>
      <c r="K1646">
        <v>380</v>
      </c>
      <c r="L1646">
        <v>388</v>
      </c>
      <c r="M1646">
        <v>88.4</v>
      </c>
      <c r="N1646">
        <v>90.2</v>
      </c>
      <c r="O1646">
        <v>718.4</v>
      </c>
    </row>
    <row r="1647" spans="1:15">
      <c r="A1647">
        <v>1552</v>
      </c>
      <c r="B1647" t="s">
        <v>4166</v>
      </c>
      <c r="C1647" t="s">
        <v>4167</v>
      </c>
      <c r="D1647" t="s">
        <v>11625</v>
      </c>
      <c r="E1647" t="s">
        <v>11626</v>
      </c>
      <c r="F1647" t="s">
        <v>11627</v>
      </c>
      <c r="G1647" t="s">
        <v>5904</v>
      </c>
      <c r="H1647">
        <v>511</v>
      </c>
      <c r="I1647">
        <v>511</v>
      </c>
      <c r="J1647">
        <v>511</v>
      </c>
      <c r="K1647">
        <v>454</v>
      </c>
      <c r="L1647">
        <v>483</v>
      </c>
      <c r="M1647">
        <v>88.8</v>
      </c>
      <c r="N1647">
        <v>94.5</v>
      </c>
      <c r="O1647">
        <v>938.3</v>
      </c>
    </row>
    <row r="1648" spans="1:15">
      <c r="A1648">
        <v>1551</v>
      </c>
      <c r="B1648" t="s">
        <v>4168</v>
      </c>
      <c r="C1648" t="s">
        <v>4169</v>
      </c>
      <c r="D1648" t="s">
        <v>11628</v>
      </c>
      <c r="E1648" t="s">
        <v>11629</v>
      </c>
      <c r="F1648" t="s">
        <v>11630</v>
      </c>
      <c r="G1648" t="s">
        <v>5904</v>
      </c>
      <c r="H1648">
        <v>192</v>
      </c>
      <c r="I1648">
        <v>192</v>
      </c>
      <c r="J1648">
        <v>192</v>
      </c>
      <c r="K1648">
        <v>192</v>
      </c>
      <c r="L1648">
        <v>192</v>
      </c>
      <c r="M1648">
        <v>100</v>
      </c>
      <c r="N1648">
        <v>100</v>
      </c>
      <c r="O1648">
        <v>397.1</v>
      </c>
    </row>
    <row r="1649" spans="1:15">
      <c r="A1649">
        <v>1550</v>
      </c>
      <c r="B1649" t="s">
        <v>11631</v>
      </c>
      <c r="C1649" t="s">
        <v>4172</v>
      </c>
      <c r="D1649" t="s">
        <v>11632</v>
      </c>
      <c r="E1649" t="s">
        <v>11633</v>
      </c>
      <c r="F1649" t="s">
        <v>11634</v>
      </c>
      <c r="G1649" t="s">
        <v>5900</v>
      </c>
      <c r="H1649">
        <v>847</v>
      </c>
      <c r="I1649">
        <v>591</v>
      </c>
      <c r="J1649">
        <v>326</v>
      </c>
      <c r="K1649">
        <v>294</v>
      </c>
      <c r="L1649">
        <v>300</v>
      </c>
      <c r="M1649">
        <v>34.700000000000003</v>
      </c>
      <c r="N1649">
        <v>35.4</v>
      </c>
      <c r="O1649">
        <v>461.5</v>
      </c>
    </row>
    <row r="1650" spans="1:15">
      <c r="A1650">
        <v>1549</v>
      </c>
      <c r="B1650" t="s">
        <v>4173</v>
      </c>
      <c r="C1650" t="s">
        <v>4174</v>
      </c>
      <c r="D1650" t="s">
        <v>11635</v>
      </c>
      <c r="E1650" t="s">
        <v>11636</v>
      </c>
      <c r="F1650" t="s">
        <v>11637</v>
      </c>
      <c r="G1650" t="s">
        <v>5904</v>
      </c>
      <c r="H1650">
        <v>240</v>
      </c>
      <c r="I1650">
        <v>299</v>
      </c>
      <c r="J1650">
        <v>231</v>
      </c>
      <c r="K1650">
        <v>178</v>
      </c>
      <c r="L1650">
        <v>201</v>
      </c>
      <c r="M1650">
        <v>74.2</v>
      </c>
      <c r="N1650">
        <v>83.8</v>
      </c>
      <c r="O1650">
        <v>371.7</v>
      </c>
    </row>
    <row r="1651" spans="1:15">
      <c r="A1651">
        <v>1548</v>
      </c>
      <c r="B1651" t="s">
        <v>11638</v>
      </c>
      <c r="C1651" t="s">
        <v>4177</v>
      </c>
      <c r="D1651" t="s">
        <v>11639</v>
      </c>
      <c r="E1651" t="s">
        <v>11640</v>
      </c>
      <c r="F1651" t="s">
        <v>11641</v>
      </c>
      <c r="G1651" t="s">
        <v>5904</v>
      </c>
      <c r="H1651">
        <v>1508</v>
      </c>
      <c r="I1651">
        <v>1512</v>
      </c>
      <c r="J1651">
        <v>1512</v>
      </c>
      <c r="K1651">
        <v>1408</v>
      </c>
      <c r="L1651">
        <v>1465</v>
      </c>
      <c r="M1651">
        <v>93.4</v>
      </c>
      <c r="N1651">
        <v>97.1</v>
      </c>
      <c r="O1651">
        <v>2882.8</v>
      </c>
    </row>
    <row r="1652" spans="1:15">
      <c r="A1652">
        <v>1547</v>
      </c>
      <c r="B1652" t="s">
        <v>11642</v>
      </c>
      <c r="C1652" t="s">
        <v>4181</v>
      </c>
      <c r="D1652" t="s">
        <v>11643</v>
      </c>
      <c r="E1652" t="s">
        <v>11644</v>
      </c>
      <c r="F1652" t="s">
        <v>11645</v>
      </c>
      <c r="G1652" t="s">
        <v>5904</v>
      </c>
      <c r="H1652">
        <v>416</v>
      </c>
      <c r="I1652">
        <v>364</v>
      </c>
      <c r="J1652">
        <v>364</v>
      </c>
      <c r="K1652">
        <v>360</v>
      </c>
      <c r="L1652">
        <v>362</v>
      </c>
      <c r="M1652">
        <v>86.5</v>
      </c>
      <c r="N1652">
        <v>87</v>
      </c>
      <c r="O1652">
        <v>749.2</v>
      </c>
    </row>
    <row r="1653" spans="1:15">
      <c r="A1653">
        <v>1546</v>
      </c>
      <c r="B1653" t="s">
        <v>4182</v>
      </c>
      <c r="C1653" t="s">
        <v>4183</v>
      </c>
      <c r="D1653" t="s">
        <v>11646</v>
      </c>
      <c r="E1653" t="s">
        <v>11647</v>
      </c>
      <c r="F1653" t="s">
        <v>11648</v>
      </c>
      <c r="G1653" t="s">
        <v>5904</v>
      </c>
      <c r="H1653">
        <v>199</v>
      </c>
      <c r="I1653">
        <v>199</v>
      </c>
      <c r="J1653">
        <v>199</v>
      </c>
      <c r="K1653">
        <v>197</v>
      </c>
      <c r="L1653">
        <v>197</v>
      </c>
      <c r="M1653">
        <v>99</v>
      </c>
      <c r="N1653">
        <v>99</v>
      </c>
      <c r="O1653">
        <v>408.7</v>
      </c>
    </row>
    <row r="1654" spans="1:15">
      <c r="A1654">
        <v>1545</v>
      </c>
      <c r="B1654" t="s">
        <v>11649</v>
      </c>
      <c r="C1654" t="s">
        <v>4186</v>
      </c>
      <c r="D1654" t="s">
        <v>11650</v>
      </c>
      <c r="E1654" t="s">
        <v>11651</v>
      </c>
      <c r="F1654" t="s">
        <v>11652</v>
      </c>
      <c r="G1654" t="s">
        <v>5904</v>
      </c>
      <c r="H1654">
        <v>248</v>
      </c>
      <c r="I1654">
        <v>248</v>
      </c>
      <c r="J1654">
        <v>248</v>
      </c>
      <c r="K1654">
        <v>245</v>
      </c>
      <c r="L1654">
        <v>245</v>
      </c>
      <c r="M1654">
        <v>98.8</v>
      </c>
      <c r="N1654">
        <v>98.8</v>
      </c>
      <c r="O1654">
        <v>485</v>
      </c>
    </row>
    <row r="1655" spans="1:15">
      <c r="A1655">
        <v>2254</v>
      </c>
      <c r="B1655" t="s">
        <v>4187</v>
      </c>
      <c r="C1655" t="s">
        <v>4188</v>
      </c>
      <c r="D1655" t="s">
        <v>11653</v>
      </c>
      <c r="E1655" t="s">
        <v>11654</v>
      </c>
      <c r="F1655" t="s">
        <v>11655</v>
      </c>
      <c r="G1655" t="s">
        <v>6054</v>
      </c>
      <c r="H1655">
        <v>346</v>
      </c>
      <c r="I1655">
        <v>585</v>
      </c>
      <c r="J1655">
        <v>71</v>
      </c>
      <c r="K1655">
        <v>48</v>
      </c>
      <c r="L1655">
        <v>57</v>
      </c>
      <c r="M1655">
        <v>13.9</v>
      </c>
      <c r="N1655">
        <v>16.5</v>
      </c>
      <c r="O1655">
        <v>102.1</v>
      </c>
    </row>
    <row r="1656" spans="1:15">
      <c r="A1656">
        <v>1544</v>
      </c>
      <c r="B1656" t="s">
        <v>4189</v>
      </c>
      <c r="C1656" t="s">
        <v>4190</v>
      </c>
      <c r="D1656" t="s">
        <v>11656</v>
      </c>
      <c r="E1656" t="s">
        <v>11657</v>
      </c>
      <c r="F1656" t="s">
        <v>11658</v>
      </c>
      <c r="G1656" t="s">
        <v>5904</v>
      </c>
      <c r="H1656">
        <v>130</v>
      </c>
      <c r="I1656">
        <v>130</v>
      </c>
      <c r="J1656">
        <v>130</v>
      </c>
      <c r="K1656">
        <v>129</v>
      </c>
      <c r="L1656">
        <v>129</v>
      </c>
      <c r="M1656">
        <v>99.2</v>
      </c>
      <c r="N1656">
        <v>99.2</v>
      </c>
      <c r="O1656">
        <v>260.8</v>
      </c>
    </row>
    <row r="1657" spans="1:15">
      <c r="A1657">
        <v>1543</v>
      </c>
      <c r="B1657" t="s">
        <v>4191</v>
      </c>
      <c r="C1657" t="s">
        <v>4192</v>
      </c>
      <c r="D1657" t="s">
        <v>11659</v>
      </c>
      <c r="E1657" t="s">
        <v>11660</v>
      </c>
      <c r="F1657" t="s">
        <v>11661</v>
      </c>
      <c r="G1657" t="s">
        <v>5904</v>
      </c>
      <c r="H1657">
        <v>207</v>
      </c>
      <c r="I1657">
        <v>205</v>
      </c>
      <c r="J1657">
        <v>207</v>
      </c>
      <c r="K1657">
        <v>185</v>
      </c>
      <c r="L1657">
        <v>194</v>
      </c>
      <c r="M1657">
        <v>89.4</v>
      </c>
      <c r="N1657">
        <v>93.7</v>
      </c>
      <c r="O1657">
        <v>372.5</v>
      </c>
    </row>
    <row r="1658" spans="1:15">
      <c r="A1658">
        <v>1542</v>
      </c>
      <c r="B1658" t="s">
        <v>4193</v>
      </c>
      <c r="C1658" t="s">
        <v>4194</v>
      </c>
      <c r="D1658" t="s">
        <v>11662</v>
      </c>
      <c r="E1658" t="s">
        <v>11663</v>
      </c>
      <c r="F1658" t="s">
        <v>11664</v>
      </c>
      <c r="G1658" t="s">
        <v>5904</v>
      </c>
      <c r="H1658">
        <v>933</v>
      </c>
      <c r="I1658">
        <v>928</v>
      </c>
      <c r="J1658">
        <v>937</v>
      </c>
      <c r="K1658">
        <v>721</v>
      </c>
      <c r="L1658">
        <v>772</v>
      </c>
      <c r="M1658">
        <v>77.3</v>
      </c>
      <c r="N1658">
        <v>82.7</v>
      </c>
      <c r="O1658">
        <v>1364.4</v>
      </c>
    </row>
    <row r="1659" spans="1:15">
      <c r="A1659">
        <v>1541</v>
      </c>
      <c r="B1659" t="s">
        <v>4195</v>
      </c>
      <c r="C1659" t="s">
        <v>4196</v>
      </c>
      <c r="D1659" t="s">
        <v>11665</v>
      </c>
      <c r="E1659" t="s">
        <v>11666</v>
      </c>
      <c r="F1659" t="s">
        <v>11667</v>
      </c>
      <c r="G1659" t="s">
        <v>5904</v>
      </c>
      <c r="H1659">
        <v>247</v>
      </c>
      <c r="I1659">
        <v>247</v>
      </c>
      <c r="J1659">
        <v>247</v>
      </c>
      <c r="K1659">
        <v>247</v>
      </c>
      <c r="L1659">
        <v>247</v>
      </c>
      <c r="M1659">
        <v>100</v>
      </c>
      <c r="N1659">
        <v>100</v>
      </c>
      <c r="O1659">
        <v>509.6</v>
      </c>
    </row>
    <row r="1660" spans="1:15">
      <c r="A1660">
        <v>1540</v>
      </c>
      <c r="B1660" t="s">
        <v>4197</v>
      </c>
      <c r="C1660" t="s">
        <v>4198</v>
      </c>
      <c r="D1660" t="s">
        <v>11668</v>
      </c>
      <c r="E1660" t="s">
        <v>11669</v>
      </c>
      <c r="F1660" t="s">
        <v>11670</v>
      </c>
      <c r="G1660" t="s">
        <v>5904</v>
      </c>
      <c r="H1660">
        <v>455</v>
      </c>
      <c r="I1660">
        <v>449</v>
      </c>
      <c r="J1660">
        <v>457</v>
      </c>
      <c r="K1660">
        <v>392</v>
      </c>
      <c r="L1660">
        <v>406</v>
      </c>
      <c r="M1660">
        <v>86.2</v>
      </c>
      <c r="N1660">
        <v>89.2</v>
      </c>
      <c r="O1660">
        <v>781.2</v>
      </c>
    </row>
    <row r="1661" spans="1:15">
      <c r="A1661">
        <v>1539</v>
      </c>
      <c r="B1661" t="s">
        <v>4199</v>
      </c>
      <c r="C1661" t="s">
        <v>4200</v>
      </c>
      <c r="D1661" t="s">
        <v>11671</v>
      </c>
      <c r="E1661" t="s">
        <v>11672</v>
      </c>
      <c r="F1661" t="s">
        <v>11673</v>
      </c>
      <c r="G1661" t="s">
        <v>5904</v>
      </c>
      <c r="H1661">
        <v>453</v>
      </c>
      <c r="I1661">
        <v>453</v>
      </c>
      <c r="J1661">
        <v>453</v>
      </c>
      <c r="K1661">
        <v>400</v>
      </c>
      <c r="L1661">
        <v>418</v>
      </c>
      <c r="M1661">
        <v>88.3</v>
      </c>
      <c r="N1661">
        <v>92.3</v>
      </c>
      <c r="O1661">
        <v>800.4</v>
      </c>
    </row>
    <row r="1662" spans="1:15">
      <c r="A1662">
        <v>1538</v>
      </c>
      <c r="B1662" t="s">
        <v>11674</v>
      </c>
      <c r="C1662" t="s">
        <v>4203</v>
      </c>
      <c r="D1662" t="s">
        <v>11675</v>
      </c>
      <c r="E1662" t="s">
        <v>11676</v>
      </c>
      <c r="F1662" t="s">
        <v>11677</v>
      </c>
      <c r="G1662" t="s">
        <v>5904</v>
      </c>
      <c r="H1662">
        <v>133</v>
      </c>
      <c r="I1662">
        <v>98</v>
      </c>
      <c r="J1662">
        <v>88</v>
      </c>
      <c r="K1662">
        <v>77</v>
      </c>
      <c r="L1662">
        <v>82</v>
      </c>
      <c r="M1662">
        <v>57.9</v>
      </c>
      <c r="N1662">
        <v>61.7</v>
      </c>
      <c r="O1662">
        <v>158.30000000000001</v>
      </c>
    </row>
    <row r="1663" spans="1:15">
      <c r="A1663">
        <v>1537</v>
      </c>
      <c r="B1663" t="s">
        <v>4204</v>
      </c>
      <c r="C1663" t="s">
        <v>4205</v>
      </c>
      <c r="D1663" t="s">
        <v>11678</v>
      </c>
      <c r="E1663" t="s">
        <v>11679</v>
      </c>
      <c r="F1663" t="s">
        <v>11680</v>
      </c>
      <c r="G1663" t="s">
        <v>5904</v>
      </c>
      <c r="H1663">
        <v>94</v>
      </c>
      <c r="I1663">
        <v>94</v>
      </c>
      <c r="J1663">
        <v>94</v>
      </c>
      <c r="K1663">
        <v>93</v>
      </c>
      <c r="L1663">
        <v>93</v>
      </c>
      <c r="M1663">
        <v>98.9</v>
      </c>
      <c r="N1663">
        <v>98.9</v>
      </c>
      <c r="O1663">
        <v>188.3</v>
      </c>
    </row>
    <row r="1664" spans="1:15">
      <c r="A1664">
        <v>2177</v>
      </c>
      <c r="B1664" t="s">
        <v>4206</v>
      </c>
      <c r="C1664" t="s">
        <v>11681</v>
      </c>
      <c r="D1664" t="s">
        <v>11682</v>
      </c>
      <c r="E1664" t="s">
        <v>11683</v>
      </c>
      <c r="F1664" t="s">
        <v>11684</v>
      </c>
      <c r="G1664" t="s">
        <v>5904</v>
      </c>
      <c r="H1664">
        <v>72</v>
      </c>
      <c r="I1664">
        <v>72</v>
      </c>
      <c r="J1664">
        <v>72</v>
      </c>
      <c r="K1664">
        <v>71</v>
      </c>
      <c r="L1664">
        <v>72</v>
      </c>
      <c r="M1664">
        <v>98.6</v>
      </c>
      <c r="N1664">
        <v>100</v>
      </c>
      <c r="O1664">
        <v>147.5</v>
      </c>
    </row>
    <row r="1665" spans="1:15">
      <c r="A1665">
        <v>1536</v>
      </c>
      <c r="B1665" t="s">
        <v>4208</v>
      </c>
      <c r="C1665" t="s">
        <v>4209</v>
      </c>
      <c r="D1665" t="s">
        <v>11685</v>
      </c>
      <c r="E1665" t="s">
        <v>11686</v>
      </c>
      <c r="F1665" t="s">
        <v>11687</v>
      </c>
      <c r="G1665" t="s">
        <v>6759</v>
      </c>
      <c r="H1665">
        <v>270</v>
      </c>
      <c r="I1665">
        <v>208</v>
      </c>
      <c r="J1665">
        <v>185</v>
      </c>
      <c r="K1665">
        <v>91</v>
      </c>
      <c r="L1665">
        <v>119</v>
      </c>
      <c r="M1665">
        <v>33.700000000000003</v>
      </c>
      <c r="N1665">
        <v>44.1</v>
      </c>
      <c r="O1665">
        <v>153.69999999999999</v>
      </c>
    </row>
    <row r="1666" spans="1:15">
      <c r="A1666">
        <v>1535</v>
      </c>
      <c r="B1666" t="s">
        <v>4210</v>
      </c>
      <c r="C1666" t="s">
        <v>11688</v>
      </c>
      <c r="D1666" t="s">
        <v>11689</v>
      </c>
      <c r="E1666" t="s">
        <v>11690</v>
      </c>
      <c r="F1666" t="s">
        <v>11691</v>
      </c>
      <c r="G1666" t="s">
        <v>5904</v>
      </c>
      <c r="H1666">
        <v>224</v>
      </c>
      <c r="I1666">
        <v>224</v>
      </c>
      <c r="J1666">
        <v>224</v>
      </c>
      <c r="K1666">
        <v>210</v>
      </c>
      <c r="L1666">
        <v>219</v>
      </c>
      <c r="M1666">
        <v>93.8</v>
      </c>
      <c r="N1666">
        <v>97.8</v>
      </c>
      <c r="O1666">
        <v>435.6</v>
      </c>
    </row>
    <row r="1667" spans="1:15">
      <c r="A1667">
        <v>1534</v>
      </c>
      <c r="B1667" t="s">
        <v>4212</v>
      </c>
      <c r="C1667" t="s">
        <v>4213</v>
      </c>
      <c r="D1667" t="s">
        <v>11692</v>
      </c>
      <c r="E1667" t="s">
        <v>11693</v>
      </c>
      <c r="F1667" t="s">
        <v>11694</v>
      </c>
      <c r="G1667" t="s">
        <v>5904</v>
      </c>
      <c r="H1667">
        <v>503</v>
      </c>
      <c r="I1667">
        <v>517</v>
      </c>
      <c r="J1667">
        <v>523</v>
      </c>
      <c r="K1667">
        <v>347</v>
      </c>
      <c r="L1667">
        <v>386</v>
      </c>
      <c r="M1667">
        <v>69</v>
      </c>
      <c r="N1667">
        <v>76.7</v>
      </c>
      <c r="O1667">
        <v>552.4</v>
      </c>
    </row>
    <row r="1668" spans="1:15">
      <c r="A1668">
        <v>1533</v>
      </c>
      <c r="B1668" t="s">
        <v>4214</v>
      </c>
      <c r="C1668" t="s">
        <v>4216</v>
      </c>
      <c r="D1668" t="s">
        <v>11695</v>
      </c>
      <c r="E1668" t="s">
        <v>11696</v>
      </c>
      <c r="F1668" t="s">
        <v>11697</v>
      </c>
      <c r="G1668" t="s">
        <v>5896</v>
      </c>
      <c r="H1668">
        <v>447</v>
      </c>
      <c r="I1668">
        <v>1231</v>
      </c>
      <c r="J1668">
        <v>443</v>
      </c>
      <c r="K1668">
        <v>271</v>
      </c>
      <c r="L1668">
        <v>339</v>
      </c>
      <c r="M1668">
        <v>60.6</v>
      </c>
      <c r="N1668">
        <v>75.8</v>
      </c>
      <c r="O1668">
        <v>599.4</v>
      </c>
    </row>
    <row r="1669" spans="1:15">
      <c r="A1669">
        <v>1532</v>
      </c>
      <c r="B1669" t="s">
        <v>4217</v>
      </c>
      <c r="C1669" t="s">
        <v>4218</v>
      </c>
      <c r="D1669" t="s">
        <v>11698</v>
      </c>
      <c r="E1669" t="s">
        <v>11699</v>
      </c>
      <c r="F1669" t="s">
        <v>11700</v>
      </c>
      <c r="G1669" t="s">
        <v>6054</v>
      </c>
      <c r="H1669">
        <v>200</v>
      </c>
      <c r="I1669">
        <v>205</v>
      </c>
      <c r="J1669">
        <v>99</v>
      </c>
      <c r="K1669">
        <v>83</v>
      </c>
      <c r="L1669">
        <v>95</v>
      </c>
      <c r="M1669">
        <v>41.5</v>
      </c>
      <c r="N1669">
        <v>47.5</v>
      </c>
      <c r="O1669">
        <v>193</v>
      </c>
    </row>
    <row r="1670" spans="1:15">
      <c r="A1670">
        <v>1531</v>
      </c>
      <c r="B1670" t="s">
        <v>4219</v>
      </c>
      <c r="C1670" t="s">
        <v>4220</v>
      </c>
      <c r="D1670" t="s">
        <v>11695</v>
      </c>
      <c r="E1670" t="s">
        <v>11696</v>
      </c>
      <c r="F1670" t="s">
        <v>11701</v>
      </c>
      <c r="G1670" t="s">
        <v>5904</v>
      </c>
      <c r="H1670">
        <v>895</v>
      </c>
      <c r="I1670">
        <v>1231</v>
      </c>
      <c r="J1670">
        <v>854</v>
      </c>
      <c r="K1670">
        <v>515</v>
      </c>
      <c r="L1670">
        <v>636</v>
      </c>
      <c r="M1670">
        <v>57.5</v>
      </c>
      <c r="N1670">
        <v>71.099999999999994</v>
      </c>
      <c r="O1670">
        <v>1060.8</v>
      </c>
    </row>
    <row r="1671" spans="1:15">
      <c r="A1671">
        <v>1530</v>
      </c>
      <c r="B1671" t="s">
        <v>11702</v>
      </c>
      <c r="C1671" t="s">
        <v>4224</v>
      </c>
      <c r="D1671" t="s">
        <v>11703</v>
      </c>
      <c r="E1671" t="s">
        <v>11704</v>
      </c>
      <c r="F1671" t="s">
        <v>11705</v>
      </c>
      <c r="G1671" t="s">
        <v>5904</v>
      </c>
      <c r="H1671">
        <v>236</v>
      </c>
      <c r="I1671">
        <v>203</v>
      </c>
      <c r="J1671">
        <v>236</v>
      </c>
      <c r="K1671">
        <v>192</v>
      </c>
      <c r="L1671">
        <v>197</v>
      </c>
      <c r="M1671">
        <v>81.400000000000006</v>
      </c>
      <c r="N1671">
        <v>83.5</v>
      </c>
      <c r="O1671">
        <v>375.9</v>
      </c>
    </row>
    <row r="1672" spans="1:15">
      <c r="A1672">
        <v>2176</v>
      </c>
      <c r="B1672" t="s">
        <v>4225</v>
      </c>
      <c r="C1672" t="s">
        <v>4226</v>
      </c>
      <c r="D1672" t="s">
        <v>11706</v>
      </c>
      <c r="E1672" t="s">
        <v>11707</v>
      </c>
      <c r="F1672" t="s">
        <v>11708</v>
      </c>
      <c r="G1672" t="s">
        <v>5904</v>
      </c>
      <c r="H1672">
        <v>382</v>
      </c>
      <c r="I1672">
        <v>381</v>
      </c>
      <c r="J1672">
        <v>382</v>
      </c>
      <c r="K1672">
        <v>354</v>
      </c>
      <c r="L1672">
        <v>360</v>
      </c>
      <c r="M1672">
        <v>92.7</v>
      </c>
      <c r="N1672">
        <v>94.2</v>
      </c>
      <c r="O1672">
        <v>700.7</v>
      </c>
    </row>
    <row r="1673" spans="1:15">
      <c r="A1673">
        <v>1529</v>
      </c>
      <c r="B1673" t="s">
        <v>4227</v>
      </c>
      <c r="C1673" t="s">
        <v>4228</v>
      </c>
      <c r="D1673" t="s">
        <v>11709</v>
      </c>
      <c r="E1673" t="s">
        <v>11710</v>
      </c>
      <c r="F1673" t="s">
        <v>11711</v>
      </c>
      <c r="G1673" t="s">
        <v>5904</v>
      </c>
      <c r="H1673">
        <v>500</v>
      </c>
      <c r="I1673">
        <v>500</v>
      </c>
      <c r="J1673">
        <v>500</v>
      </c>
      <c r="K1673">
        <v>476</v>
      </c>
      <c r="L1673">
        <v>494</v>
      </c>
      <c r="M1673">
        <v>95.2</v>
      </c>
      <c r="N1673">
        <v>98.8</v>
      </c>
      <c r="O1673">
        <v>1010.8</v>
      </c>
    </row>
    <row r="1674" spans="1:15">
      <c r="A1674">
        <v>2175</v>
      </c>
      <c r="B1674" t="s">
        <v>4229</v>
      </c>
      <c r="C1674" t="s">
        <v>4230</v>
      </c>
      <c r="D1674" t="s">
        <v>11712</v>
      </c>
      <c r="E1674" t="s">
        <v>11713</v>
      </c>
      <c r="F1674" t="s">
        <v>11714</v>
      </c>
      <c r="G1674" t="s">
        <v>5904</v>
      </c>
      <c r="H1674">
        <v>199</v>
      </c>
      <c r="I1674">
        <v>195</v>
      </c>
      <c r="J1674">
        <v>200</v>
      </c>
      <c r="K1674">
        <v>184</v>
      </c>
      <c r="L1674">
        <v>188</v>
      </c>
      <c r="M1674">
        <v>92.5</v>
      </c>
      <c r="N1674">
        <v>94.5</v>
      </c>
      <c r="O1674">
        <v>251.9</v>
      </c>
    </row>
    <row r="1675" spans="1:15">
      <c r="A1675">
        <v>1528</v>
      </c>
      <c r="B1675" t="s">
        <v>4231</v>
      </c>
      <c r="C1675" t="s">
        <v>4232</v>
      </c>
      <c r="D1675" t="s">
        <v>11715</v>
      </c>
      <c r="E1675" t="s">
        <v>11716</v>
      </c>
      <c r="F1675" t="s">
        <v>11717</v>
      </c>
      <c r="G1675" t="s">
        <v>5904</v>
      </c>
      <c r="H1675">
        <v>151</v>
      </c>
      <c r="I1675">
        <v>151</v>
      </c>
      <c r="J1675">
        <v>151</v>
      </c>
      <c r="K1675">
        <v>150</v>
      </c>
      <c r="L1675">
        <v>151</v>
      </c>
      <c r="M1675">
        <v>99.3</v>
      </c>
      <c r="N1675">
        <v>100</v>
      </c>
      <c r="O1675">
        <v>307</v>
      </c>
    </row>
    <row r="1676" spans="1:15">
      <c r="A1676">
        <v>1527</v>
      </c>
      <c r="B1676" t="s">
        <v>4233</v>
      </c>
      <c r="C1676" t="s">
        <v>4234</v>
      </c>
      <c r="D1676" t="s">
        <v>11718</v>
      </c>
      <c r="E1676" t="s">
        <v>11719</v>
      </c>
      <c r="F1676" t="s">
        <v>11720</v>
      </c>
      <c r="G1676" t="s">
        <v>5904</v>
      </c>
      <c r="H1676">
        <v>322</v>
      </c>
      <c r="I1676">
        <v>317</v>
      </c>
      <c r="J1676">
        <v>314</v>
      </c>
      <c r="K1676">
        <v>250</v>
      </c>
      <c r="L1676">
        <v>271</v>
      </c>
      <c r="M1676">
        <v>77.599999999999994</v>
      </c>
      <c r="N1676">
        <v>84.2</v>
      </c>
      <c r="O1676">
        <v>513.79999999999995</v>
      </c>
    </row>
    <row r="1677" spans="1:15">
      <c r="A1677">
        <v>1526</v>
      </c>
      <c r="B1677" t="s">
        <v>4235</v>
      </c>
      <c r="C1677" t="s">
        <v>4237</v>
      </c>
      <c r="D1677" t="s">
        <v>11721</v>
      </c>
      <c r="E1677" t="s">
        <v>11722</v>
      </c>
      <c r="F1677" t="s">
        <v>11723</v>
      </c>
      <c r="G1677" t="s">
        <v>5904</v>
      </c>
      <c r="H1677">
        <v>1945</v>
      </c>
      <c r="I1677">
        <v>1935</v>
      </c>
      <c r="J1677">
        <v>1923</v>
      </c>
      <c r="K1677">
        <v>1189</v>
      </c>
      <c r="L1677">
        <v>1513</v>
      </c>
      <c r="M1677">
        <v>61.1</v>
      </c>
      <c r="N1677">
        <v>77.8</v>
      </c>
      <c r="O1677">
        <v>2335.4</v>
      </c>
    </row>
    <row r="1678" spans="1:15">
      <c r="A1678">
        <v>1525</v>
      </c>
      <c r="B1678" t="s">
        <v>11724</v>
      </c>
      <c r="C1678" t="s">
        <v>4240</v>
      </c>
      <c r="D1678" t="s">
        <v>11725</v>
      </c>
      <c r="E1678" t="s">
        <v>11726</v>
      </c>
      <c r="F1678" t="s">
        <v>11727</v>
      </c>
      <c r="G1678" t="s">
        <v>5904</v>
      </c>
      <c r="H1678">
        <v>517</v>
      </c>
      <c r="I1678">
        <v>526</v>
      </c>
      <c r="J1678">
        <v>265</v>
      </c>
      <c r="K1678">
        <v>264</v>
      </c>
      <c r="L1678">
        <v>264</v>
      </c>
      <c r="M1678">
        <v>51.1</v>
      </c>
      <c r="N1678">
        <v>51.1</v>
      </c>
      <c r="O1678">
        <v>334</v>
      </c>
    </row>
    <row r="1679" spans="1:15">
      <c r="A1679">
        <v>1524</v>
      </c>
      <c r="B1679" t="s">
        <v>4241</v>
      </c>
      <c r="C1679" t="s">
        <v>4242</v>
      </c>
      <c r="D1679" t="s">
        <v>11728</v>
      </c>
      <c r="E1679" t="s">
        <v>11729</v>
      </c>
      <c r="F1679" t="s">
        <v>11730</v>
      </c>
      <c r="G1679" t="s">
        <v>5904</v>
      </c>
      <c r="H1679">
        <v>378</v>
      </c>
      <c r="I1679">
        <v>383</v>
      </c>
      <c r="J1679">
        <v>365</v>
      </c>
      <c r="K1679">
        <v>331</v>
      </c>
      <c r="L1679">
        <v>346</v>
      </c>
      <c r="M1679">
        <v>87.6</v>
      </c>
      <c r="N1679">
        <v>91.5</v>
      </c>
      <c r="O1679">
        <v>646</v>
      </c>
    </row>
    <row r="1680" spans="1:15">
      <c r="A1680">
        <v>1523</v>
      </c>
      <c r="B1680" t="s">
        <v>4243</v>
      </c>
      <c r="C1680" t="s">
        <v>11731</v>
      </c>
      <c r="D1680" t="s">
        <v>11732</v>
      </c>
      <c r="E1680" t="s">
        <v>11733</v>
      </c>
      <c r="F1680" t="s">
        <v>11734</v>
      </c>
      <c r="G1680" t="s">
        <v>5904</v>
      </c>
      <c r="H1680">
        <v>137</v>
      </c>
      <c r="I1680">
        <v>114</v>
      </c>
      <c r="J1680">
        <v>113</v>
      </c>
      <c r="K1680">
        <v>74</v>
      </c>
      <c r="L1680">
        <v>87</v>
      </c>
      <c r="M1680">
        <v>54</v>
      </c>
      <c r="N1680">
        <v>63.5</v>
      </c>
      <c r="O1680">
        <v>143.30000000000001</v>
      </c>
    </row>
    <row r="1681" spans="1:15">
      <c r="A1681">
        <v>1522</v>
      </c>
      <c r="B1681" t="s">
        <v>4245</v>
      </c>
      <c r="C1681" t="s">
        <v>4246</v>
      </c>
      <c r="D1681" t="s">
        <v>11735</v>
      </c>
      <c r="E1681" t="s">
        <v>11736</v>
      </c>
      <c r="F1681" t="s">
        <v>11737</v>
      </c>
      <c r="G1681" t="s">
        <v>5904</v>
      </c>
      <c r="H1681">
        <v>302</v>
      </c>
      <c r="I1681">
        <v>302</v>
      </c>
      <c r="J1681">
        <v>302</v>
      </c>
      <c r="K1681">
        <v>224</v>
      </c>
      <c r="L1681">
        <v>257</v>
      </c>
      <c r="M1681">
        <v>74.2</v>
      </c>
      <c r="N1681">
        <v>85.1</v>
      </c>
      <c r="O1681">
        <v>472.2</v>
      </c>
    </row>
    <row r="1682" spans="1:15">
      <c r="A1682">
        <v>1521</v>
      </c>
      <c r="B1682" t="s">
        <v>4247</v>
      </c>
      <c r="C1682" t="s">
        <v>4248</v>
      </c>
      <c r="D1682" t="s">
        <v>11738</v>
      </c>
      <c r="E1682" t="s">
        <v>11739</v>
      </c>
      <c r="F1682" t="s">
        <v>11740</v>
      </c>
      <c r="G1682" t="s">
        <v>5904</v>
      </c>
      <c r="H1682">
        <v>649</v>
      </c>
      <c r="I1682">
        <v>649</v>
      </c>
      <c r="J1682">
        <v>651</v>
      </c>
      <c r="K1682">
        <v>572</v>
      </c>
      <c r="L1682">
        <v>602</v>
      </c>
      <c r="M1682">
        <v>88.1</v>
      </c>
      <c r="N1682">
        <v>92.8</v>
      </c>
      <c r="O1682">
        <v>1199.5</v>
      </c>
    </row>
    <row r="1683" spans="1:15">
      <c r="A1683">
        <v>1520</v>
      </c>
      <c r="B1683" t="s">
        <v>11741</v>
      </c>
      <c r="C1683" t="s">
        <v>4251</v>
      </c>
      <c r="D1683" t="s">
        <v>11742</v>
      </c>
      <c r="E1683" t="s">
        <v>11743</v>
      </c>
      <c r="F1683" t="s">
        <v>11744</v>
      </c>
      <c r="G1683" t="s">
        <v>5904</v>
      </c>
      <c r="H1683">
        <v>825</v>
      </c>
      <c r="I1683">
        <v>825</v>
      </c>
      <c r="J1683">
        <v>825</v>
      </c>
      <c r="K1683">
        <v>813</v>
      </c>
      <c r="L1683">
        <v>820</v>
      </c>
      <c r="M1683">
        <v>98.5</v>
      </c>
      <c r="N1683">
        <v>99.4</v>
      </c>
      <c r="O1683">
        <v>1674.8</v>
      </c>
    </row>
    <row r="1684" spans="1:15">
      <c r="A1684">
        <v>1519</v>
      </c>
      <c r="B1684" t="s">
        <v>4252</v>
      </c>
      <c r="C1684" t="s">
        <v>11745</v>
      </c>
      <c r="D1684" t="s">
        <v>11746</v>
      </c>
      <c r="E1684" t="s">
        <v>11747</v>
      </c>
      <c r="F1684" t="s">
        <v>11748</v>
      </c>
      <c r="G1684" t="s">
        <v>5904</v>
      </c>
      <c r="H1684">
        <v>357</v>
      </c>
      <c r="I1684">
        <v>353</v>
      </c>
      <c r="J1684">
        <v>358</v>
      </c>
      <c r="K1684">
        <v>320</v>
      </c>
      <c r="L1684">
        <v>330</v>
      </c>
      <c r="M1684">
        <v>89.6</v>
      </c>
      <c r="N1684">
        <v>92.4</v>
      </c>
      <c r="O1684">
        <v>642.5</v>
      </c>
    </row>
    <row r="1685" spans="1:15">
      <c r="A1685">
        <v>1518</v>
      </c>
      <c r="B1685" t="s">
        <v>4254</v>
      </c>
      <c r="C1685" t="s">
        <v>4255</v>
      </c>
      <c r="D1685" t="s">
        <v>11749</v>
      </c>
      <c r="E1685" t="s">
        <v>11750</v>
      </c>
      <c r="F1685" t="s">
        <v>11751</v>
      </c>
      <c r="G1685" t="s">
        <v>5904</v>
      </c>
      <c r="H1685">
        <v>314</v>
      </c>
      <c r="I1685">
        <v>314</v>
      </c>
      <c r="J1685">
        <v>314</v>
      </c>
      <c r="K1685">
        <v>290</v>
      </c>
      <c r="L1685">
        <v>304</v>
      </c>
      <c r="M1685">
        <v>92.4</v>
      </c>
      <c r="N1685">
        <v>96.8</v>
      </c>
      <c r="O1685">
        <v>605.9</v>
      </c>
    </row>
    <row r="1686" spans="1:15">
      <c r="A1686">
        <v>1517</v>
      </c>
      <c r="B1686" t="s">
        <v>4256</v>
      </c>
      <c r="C1686" t="s">
        <v>4257</v>
      </c>
      <c r="D1686" t="s">
        <v>11752</v>
      </c>
      <c r="E1686" t="s">
        <v>11753</v>
      </c>
      <c r="F1686" t="s">
        <v>11754</v>
      </c>
      <c r="G1686" t="s">
        <v>5904</v>
      </c>
      <c r="H1686">
        <v>727</v>
      </c>
      <c r="I1686">
        <v>747</v>
      </c>
      <c r="J1686">
        <v>748</v>
      </c>
      <c r="K1686">
        <v>693</v>
      </c>
      <c r="L1686">
        <v>710</v>
      </c>
      <c r="M1686">
        <v>95.3</v>
      </c>
      <c r="N1686">
        <v>97.7</v>
      </c>
      <c r="O1686">
        <v>1411.7</v>
      </c>
    </row>
    <row r="1687" spans="1:15">
      <c r="A1687">
        <v>1516</v>
      </c>
      <c r="B1687" t="s">
        <v>11755</v>
      </c>
      <c r="C1687" t="s">
        <v>4260</v>
      </c>
      <c r="D1687" t="s">
        <v>11756</v>
      </c>
      <c r="E1687" t="s">
        <v>11757</v>
      </c>
      <c r="F1687" t="s">
        <v>11758</v>
      </c>
      <c r="G1687" t="s">
        <v>5904</v>
      </c>
      <c r="H1687">
        <v>338</v>
      </c>
      <c r="I1687">
        <v>337</v>
      </c>
      <c r="J1687">
        <v>338</v>
      </c>
      <c r="K1687">
        <v>320</v>
      </c>
      <c r="L1687">
        <v>325</v>
      </c>
      <c r="M1687">
        <v>94.7</v>
      </c>
      <c r="N1687">
        <v>96.2</v>
      </c>
      <c r="O1687">
        <v>627.1</v>
      </c>
    </row>
    <row r="1688" spans="1:15">
      <c r="A1688">
        <v>1515</v>
      </c>
      <c r="B1688" t="s">
        <v>4261</v>
      </c>
      <c r="C1688" t="s">
        <v>4262</v>
      </c>
      <c r="D1688" t="s">
        <v>11759</v>
      </c>
      <c r="E1688" t="s">
        <v>11760</v>
      </c>
      <c r="F1688" t="s">
        <v>11761</v>
      </c>
      <c r="G1688" t="s">
        <v>5904</v>
      </c>
      <c r="H1688">
        <v>224</v>
      </c>
      <c r="I1688">
        <v>223</v>
      </c>
      <c r="J1688">
        <v>223</v>
      </c>
      <c r="K1688">
        <v>158</v>
      </c>
      <c r="L1688">
        <v>187</v>
      </c>
      <c r="M1688">
        <v>70.5</v>
      </c>
      <c r="N1688">
        <v>83.5</v>
      </c>
      <c r="O1688">
        <v>335.1</v>
      </c>
    </row>
    <row r="1689" spans="1:15">
      <c r="A1689">
        <v>1514</v>
      </c>
      <c r="B1689" t="s">
        <v>4263</v>
      </c>
      <c r="C1689" t="s">
        <v>4264</v>
      </c>
      <c r="D1689" t="s">
        <v>11762</v>
      </c>
      <c r="E1689" t="s">
        <v>11763</v>
      </c>
      <c r="F1689" t="s">
        <v>11764</v>
      </c>
      <c r="G1689" t="s">
        <v>5904</v>
      </c>
      <c r="H1689">
        <v>194</v>
      </c>
      <c r="I1689">
        <v>195</v>
      </c>
      <c r="J1689">
        <v>195</v>
      </c>
      <c r="K1689">
        <v>144</v>
      </c>
      <c r="L1689">
        <v>162</v>
      </c>
      <c r="M1689">
        <v>74.2</v>
      </c>
      <c r="N1689">
        <v>83.5</v>
      </c>
      <c r="O1689">
        <v>274.2</v>
      </c>
    </row>
    <row r="1690" spans="1:15">
      <c r="A1690">
        <v>1513</v>
      </c>
      <c r="B1690" t="s">
        <v>4265</v>
      </c>
      <c r="C1690" t="s">
        <v>4266</v>
      </c>
      <c r="D1690" t="s">
        <v>11765</v>
      </c>
      <c r="E1690" t="s">
        <v>11766</v>
      </c>
      <c r="F1690" t="s">
        <v>11767</v>
      </c>
      <c r="G1690" t="s">
        <v>5904</v>
      </c>
      <c r="H1690">
        <v>490</v>
      </c>
      <c r="I1690">
        <v>504</v>
      </c>
      <c r="J1690">
        <v>490</v>
      </c>
      <c r="K1690">
        <v>391</v>
      </c>
      <c r="L1690">
        <v>434</v>
      </c>
      <c r="M1690">
        <v>79.8</v>
      </c>
      <c r="N1690">
        <v>88.6</v>
      </c>
      <c r="O1690">
        <v>826.6</v>
      </c>
    </row>
    <row r="1691" spans="1:15">
      <c r="A1691">
        <v>2174</v>
      </c>
      <c r="B1691" t="s">
        <v>4267</v>
      </c>
      <c r="C1691" t="s">
        <v>4268</v>
      </c>
      <c r="D1691" t="s">
        <v>11768</v>
      </c>
      <c r="E1691" t="s">
        <v>11769</v>
      </c>
      <c r="F1691" t="s">
        <v>11770</v>
      </c>
      <c r="G1691" t="s">
        <v>5904</v>
      </c>
      <c r="H1691">
        <v>93</v>
      </c>
      <c r="I1691">
        <v>93</v>
      </c>
      <c r="J1691">
        <v>93</v>
      </c>
      <c r="K1691">
        <v>91</v>
      </c>
      <c r="L1691">
        <v>92</v>
      </c>
      <c r="M1691">
        <v>97.8</v>
      </c>
      <c r="N1691">
        <v>98.9</v>
      </c>
      <c r="O1691">
        <v>189.1</v>
      </c>
    </row>
    <row r="1692" spans="1:15">
      <c r="A1692">
        <v>1512</v>
      </c>
      <c r="B1692" t="s">
        <v>11771</v>
      </c>
      <c r="C1692" t="s">
        <v>11772</v>
      </c>
      <c r="D1692" t="s">
        <v>11773</v>
      </c>
      <c r="E1692" t="s">
        <v>11774</v>
      </c>
      <c r="F1692" t="s">
        <v>11775</v>
      </c>
      <c r="G1692" t="s">
        <v>5904</v>
      </c>
      <c r="H1692">
        <v>375</v>
      </c>
      <c r="I1692">
        <v>375</v>
      </c>
      <c r="J1692">
        <v>375</v>
      </c>
      <c r="K1692">
        <v>375</v>
      </c>
      <c r="L1692">
        <v>375</v>
      </c>
      <c r="M1692">
        <v>100</v>
      </c>
      <c r="N1692">
        <v>100</v>
      </c>
      <c r="O1692">
        <v>785.8</v>
      </c>
    </row>
    <row r="1693" spans="1:15">
      <c r="A1693">
        <v>1511</v>
      </c>
      <c r="B1693" t="s">
        <v>11776</v>
      </c>
      <c r="C1693" t="s">
        <v>4274</v>
      </c>
      <c r="D1693" t="s">
        <v>11777</v>
      </c>
      <c r="E1693" t="s">
        <v>11778</v>
      </c>
      <c r="F1693" t="s">
        <v>11779</v>
      </c>
      <c r="G1693" t="s">
        <v>5904</v>
      </c>
      <c r="H1693">
        <v>509</v>
      </c>
      <c r="I1693">
        <v>510</v>
      </c>
      <c r="J1693">
        <v>510</v>
      </c>
      <c r="K1693">
        <v>480</v>
      </c>
      <c r="L1693">
        <v>490</v>
      </c>
      <c r="M1693">
        <v>94.3</v>
      </c>
      <c r="N1693">
        <v>96.3</v>
      </c>
      <c r="O1693">
        <v>899.4</v>
      </c>
    </row>
    <row r="1694" spans="1:15">
      <c r="A1694">
        <v>1510</v>
      </c>
      <c r="B1694" t="s">
        <v>4275</v>
      </c>
      <c r="C1694" t="s">
        <v>4276</v>
      </c>
      <c r="D1694" t="s">
        <v>11780</v>
      </c>
      <c r="E1694" t="s">
        <v>11781</v>
      </c>
      <c r="F1694" t="s">
        <v>11782</v>
      </c>
      <c r="G1694" t="s">
        <v>5896</v>
      </c>
      <c r="H1694">
        <v>350</v>
      </c>
      <c r="I1694">
        <v>1255</v>
      </c>
      <c r="J1694">
        <v>246</v>
      </c>
      <c r="K1694">
        <v>180</v>
      </c>
      <c r="L1694">
        <v>203</v>
      </c>
      <c r="M1694">
        <v>51.4</v>
      </c>
      <c r="N1694">
        <v>58</v>
      </c>
      <c r="O1694">
        <v>345.9</v>
      </c>
    </row>
    <row r="1695" spans="1:15">
      <c r="A1695">
        <v>1509</v>
      </c>
      <c r="B1695" t="s">
        <v>4277</v>
      </c>
      <c r="C1695" t="s">
        <v>4278</v>
      </c>
      <c r="D1695" t="s">
        <v>11783</v>
      </c>
      <c r="E1695" t="s">
        <v>11784</v>
      </c>
      <c r="F1695" t="s">
        <v>11785</v>
      </c>
      <c r="G1695" t="s">
        <v>5904</v>
      </c>
      <c r="H1695">
        <v>269</v>
      </c>
      <c r="I1695">
        <v>270</v>
      </c>
      <c r="J1695">
        <v>268</v>
      </c>
      <c r="K1695">
        <v>167</v>
      </c>
      <c r="L1695">
        <v>210</v>
      </c>
      <c r="M1695">
        <v>62.1</v>
      </c>
      <c r="N1695">
        <v>78.099999999999994</v>
      </c>
      <c r="O1695">
        <v>367.9</v>
      </c>
    </row>
    <row r="1696" spans="1:15">
      <c r="A1696">
        <v>1508</v>
      </c>
      <c r="B1696" t="s">
        <v>11786</v>
      </c>
      <c r="C1696" t="s">
        <v>4281</v>
      </c>
      <c r="D1696" t="s">
        <v>11787</v>
      </c>
      <c r="E1696" t="s">
        <v>11788</v>
      </c>
      <c r="F1696" t="s">
        <v>11789</v>
      </c>
      <c r="G1696" t="s">
        <v>5904</v>
      </c>
      <c r="H1696">
        <v>689</v>
      </c>
      <c r="I1696">
        <v>661</v>
      </c>
      <c r="J1696">
        <v>650</v>
      </c>
      <c r="K1696">
        <v>545</v>
      </c>
      <c r="L1696">
        <v>589</v>
      </c>
      <c r="M1696">
        <v>79.099999999999994</v>
      </c>
      <c r="N1696">
        <v>85.5</v>
      </c>
      <c r="O1696">
        <v>1150.2</v>
      </c>
    </row>
    <row r="1697" spans="1:15">
      <c r="A1697">
        <v>1507</v>
      </c>
      <c r="B1697" t="s">
        <v>4282</v>
      </c>
      <c r="C1697" t="s">
        <v>11790</v>
      </c>
      <c r="D1697" t="s">
        <v>11791</v>
      </c>
      <c r="E1697" t="s">
        <v>11792</v>
      </c>
      <c r="F1697" t="s">
        <v>11793</v>
      </c>
      <c r="G1697" t="s">
        <v>5904</v>
      </c>
      <c r="H1697">
        <v>617</v>
      </c>
      <c r="I1697">
        <v>615</v>
      </c>
      <c r="J1697">
        <v>617</v>
      </c>
      <c r="K1697">
        <v>566</v>
      </c>
      <c r="L1697">
        <v>582</v>
      </c>
      <c r="M1697">
        <v>91.7</v>
      </c>
      <c r="N1697">
        <v>94.3</v>
      </c>
      <c r="O1697">
        <v>763.8</v>
      </c>
    </row>
    <row r="1698" spans="1:15">
      <c r="A1698">
        <v>1506</v>
      </c>
      <c r="B1698" t="s">
        <v>4284</v>
      </c>
      <c r="C1698" t="s">
        <v>11794</v>
      </c>
      <c r="D1698" t="s">
        <v>11795</v>
      </c>
      <c r="E1698" t="s">
        <v>11796</v>
      </c>
      <c r="F1698" t="s">
        <v>11797</v>
      </c>
      <c r="G1698" t="s">
        <v>5904</v>
      </c>
      <c r="H1698">
        <v>611</v>
      </c>
      <c r="I1698">
        <v>613</v>
      </c>
      <c r="J1698">
        <v>592</v>
      </c>
      <c r="K1698">
        <v>554</v>
      </c>
      <c r="L1698">
        <v>568</v>
      </c>
      <c r="M1698">
        <v>90.7</v>
      </c>
      <c r="N1698">
        <v>93</v>
      </c>
      <c r="O1698">
        <v>1108.2</v>
      </c>
    </row>
    <row r="1699" spans="1:15">
      <c r="A1699">
        <v>1505</v>
      </c>
      <c r="B1699" t="s">
        <v>11798</v>
      </c>
      <c r="C1699" t="s">
        <v>4288</v>
      </c>
      <c r="D1699" t="s">
        <v>11799</v>
      </c>
      <c r="E1699" t="s">
        <v>11800</v>
      </c>
      <c r="F1699" t="s">
        <v>11801</v>
      </c>
      <c r="G1699" t="s">
        <v>5904</v>
      </c>
      <c r="H1699">
        <v>2516</v>
      </c>
      <c r="I1699">
        <v>2363</v>
      </c>
      <c r="J1699">
        <v>2367</v>
      </c>
      <c r="K1699">
        <v>2299</v>
      </c>
      <c r="L1699">
        <v>2338</v>
      </c>
      <c r="M1699">
        <v>91.4</v>
      </c>
      <c r="N1699">
        <v>92.9</v>
      </c>
      <c r="O1699">
        <v>4632.3999999999996</v>
      </c>
    </row>
    <row r="1700" spans="1:15">
      <c r="A1700">
        <v>1504</v>
      </c>
      <c r="B1700" t="s">
        <v>4289</v>
      </c>
      <c r="C1700" t="s">
        <v>11802</v>
      </c>
      <c r="D1700" t="s">
        <v>11803</v>
      </c>
      <c r="E1700" t="s">
        <v>11804</v>
      </c>
      <c r="F1700" t="s">
        <v>11805</v>
      </c>
      <c r="G1700" t="s">
        <v>5904</v>
      </c>
      <c r="H1700">
        <v>1140</v>
      </c>
      <c r="I1700">
        <v>1404</v>
      </c>
      <c r="J1700">
        <v>897</v>
      </c>
      <c r="K1700">
        <v>578</v>
      </c>
      <c r="L1700">
        <v>615</v>
      </c>
      <c r="M1700">
        <v>50.7</v>
      </c>
      <c r="N1700">
        <v>53.9</v>
      </c>
      <c r="O1700">
        <v>707.2</v>
      </c>
    </row>
    <row r="1701" spans="1:15">
      <c r="A1701">
        <v>1503</v>
      </c>
      <c r="B1701" t="s">
        <v>4291</v>
      </c>
      <c r="C1701" t="s">
        <v>4292</v>
      </c>
      <c r="D1701" t="s">
        <v>11806</v>
      </c>
      <c r="E1701" t="s">
        <v>11807</v>
      </c>
      <c r="F1701" t="s">
        <v>11808</v>
      </c>
      <c r="G1701" t="s">
        <v>5904</v>
      </c>
      <c r="H1701">
        <v>150</v>
      </c>
      <c r="I1701">
        <v>150</v>
      </c>
      <c r="J1701">
        <v>150</v>
      </c>
      <c r="K1701">
        <v>145</v>
      </c>
      <c r="L1701">
        <v>148</v>
      </c>
      <c r="M1701">
        <v>96.7</v>
      </c>
      <c r="N1701">
        <v>98.7</v>
      </c>
      <c r="O1701">
        <v>298.89999999999998</v>
      </c>
    </row>
    <row r="1702" spans="1:15">
      <c r="A1702">
        <v>1502</v>
      </c>
      <c r="B1702" t="s">
        <v>4293</v>
      </c>
      <c r="C1702" t="s">
        <v>4294</v>
      </c>
      <c r="D1702" t="s">
        <v>11809</v>
      </c>
      <c r="E1702" t="s">
        <v>11810</v>
      </c>
      <c r="F1702" t="s">
        <v>11811</v>
      </c>
      <c r="G1702" t="s">
        <v>5904</v>
      </c>
      <c r="H1702">
        <v>299</v>
      </c>
      <c r="I1702">
        <v>297</v>
      </c>
      <c r="J1702">
        <v>293</v>
      </c>
      <c r="K1702">
        <v>258</v>
      </c>
      <c r="L1702">
        <v>272</v>
      </c>
      <c r="M1702">
        <v>86.3</v>
      </c>
      <c r="N1702">
        <v>91</v>
      </c>
      <c r="O1702">
        <v>498.4</v>
      </c>
    </row>
    <row r="1703" spans="1:15">
      <c r="A1703">
        <v>1501</v>
      </c>
      <c r="B1703" t="s">
        <v>4295</v>
      </c>
      <c r="C1703" t="s">
        <v>11812</v>
      </c>
      <c r="D1703" t="s">
        <v>11813</v>
      </c>
      <c r="E1703" t="s">
        <v>11814</v>
      </c>
      <c r="F1703" t="s">
        <v>11815</v>
      </c>
      <c r="G1703" t="s">
        <v>5904</v>
      </c>
      <c r="H1703">
        <v>84</v>
      </c>
      <c r="I1703">
        <v>84</v>
      </c>
      <c r="J1703">
        <v>84</v>
      </c>
      <c r="K1703">
        <v>84</v>
      </c>
      <c r="L1703">
        <v>84</v>
      </c>
      <c r="M1703">
        <v>100</v>
      </c>
      <c r="N1703">
        <v>100</v>
      </c>
      <c r="O1703">
        <v>175.3</v>
      </c>
    </row>
    <row r="1704" spans="1:15">
      <c r="A1704">
        <v>1500</v>
      </c>
      <c r="B1704" t="s">
        <v>11816</v>
      </c>
      <c r="C1704" t="s">
        <v>4300</v>
      </c>
      <c r="D1704" t="s">
        <v>11817</v>
      </c>
      <c r="E1704" t="s">
        <v>11818</v>
      </c>
      <c r="F1704" t="s">
        <v>11819</v>
      </c>
      <c r="G1704" t="s">
        <v>5904</v>
      </c>
      <c r="H1704">
        <v>296</v>
      </c>
      <c r="I1704">
        <v>298</v>
      </c>
      <c r="J1704">
        <v>271</v>
      </c>
      <c r="K1704">
        <v>255</v>
      </c>
      <c r="L1704">
        <v>260</v>
      </c>
      <c r="M1704">
        <v>86.1</v>
      </c>
      <c r="N1704">
        <v>87.8</v>
      </c>
      <c r="O1704">
        <v>370.9</v>
      </c>
    </row>
    <row r="1705" spans="1:15">
      <c r="A1705">
        <v>1499</v>
      </c>
      <c r="B1705" t="s">
        <v>4301</v>
      </c>
      <c r="C1705" t="s">
        <v>4302</v>
      </c>
      <c r="D1705" t="s">
        <v>11820</v>
      </c>
      <c r="E1705" t="s">
        <v>11821</v>
      </c>
      <c r="F1705" t="s">
        <v>11822</v>
      </c>
      <c r="G1705" t="s">
        <v>5904</v>
      </c>
      <c r="H1705">
        <v>598</v>
      </c>
      <c r="I1705">
        <v>591</v>
      </c>
      <c r="J1705">
        <v>598</v>
      </c>
      <c r="K1705">
        <v>573</v>
      </c>
      <c r="L1705">
        <v>579</v>
      </c>
      <c r="M1705">
        <v>95.8</v>
      </c>
      <c r="N1705">
        <v>96.8</v>
      </c>
      <c r="O1705">
        <v>1168.7</v>
      </c>
    </row>
    <row r="1706" spans="1:15">
      <c r="A1706">
        <v>1498</v>
      </c>
      <c r="B1706" t="s">
        <v>11823</v>
      </c>
      <c r="C1706" t="s">
        <v>4305</v>
      </c>
      <c r="D1706" t="s">
        <v>11824</v>
      </c>
      <c r="E1706" t="s">
        <v>11825</v>
      </c>
      <c r="F1706" t="s">
        <v>11826</v>
      </c>
      <c r="G1706" t="s">
        <v>5904</v>
      </c>
      <c r="H1706">
        <v>773</v>
      </c>
      <c r="I1706">
        <v>757</v>
      </c>
      <c r="J1706">
        <v>773</v>
      </c>
      <c r="K1706">
        <v>730</v>
      </c>
      <c r="L1706">
        <v>744</v>
      </c>
      <c r="M1706">
        <v>94.4</v>
      </c>
      <c r="N1706">
        <v>96.2</v>
      </c>
      <c r="O1706">
        <v>1515</v>
      </c>
    </row>
    <row r="1707" spans="1:15">
      <c r="A1707">
        <v>2253</v>
      </c>
      <c r="B1707" t="s">
        <v>4306</v>
      </c>
      <c r="C1707" t="s">
        <v>4307</v>
      </c>
      <c r="D1707" t="s">
        <v>11827</v>
      </c>
      <c r="E1707" t="s">
        <v>11828</v>
      </c>
      <c r="F1707" t="s">
        <v>11829</v>
      </c>
      <c r="G1707" t="s">
        <v>5904</v>
      </c>
      <c r="H1707">
        <v>679</v>
      </c>
      <c r="I1707">
        <v>681</v>
      </c>
      <c r="J1707">
        <v>678</v>
      </c>
      <c r="K1707">
        <v>595</v>
      </c>
      <c r="L1707">
        <v>631</v>
      </c>
      <c r="M1707">
        <v>87.6</v>
      </c>
      <c r="N1707">
        <v>92.9</v>
      </c>
      <c r="O1707">
        <v>1156.3</v>
      </c>
    </row>
    <row r="1708" spans="1:15">
      <c r="A1708">
        <v>1497</v>
      </c>
      <c r="B1708" t="s">
        <v>4308</v>
      </c>
      <c r="C1708" t="s">
        <v>11830</v>
      </c>
      <c r="D1708" t="s">
        <v>11831</v>
      </c>
      <c r="E1708" t="s">
        <v>11832</v>
      </c>
      <c r="F1708" t="s">
        <v>11833</v>
      </c>
      <c r="G1708" t="s">
        <v>5904</v>
      </c>
      <c r="H1708">
        <v>617</v>
      </c>
      <c r="I1708">
        <v>615</v>
      </c>
      <c r="J1708">
        <v>618</v>
      </c>
      <c r="K1708">
        <v>506</v>
      </c>
      <c r="L1708">
        <v>550</v>
      </c>
      <c r="M1708">
        <v>82</v>
      </c>
      <c r="N1708">
        <v>89.1</v>
      </c>
      <c r="O1708">
        <v>972.2</v>
      </c>
    </row>
    <row r="1709" spans="1:15">
      <c r="A1709">
        <v>1496</v>
      </c>
      <c r="B1709" t="s">
        <v>4310</v>
      </c>
      <c r="C1709" t="s">
        <v>4311</v>
      </c>
      <c r="D1709" t="s">
        <v>11834</v>
      </c>
      <c r="E1709" t="s">
        <v>11835</v>
      </c>
      <c r="F1709" t="s">
        <v>11836</v>
      </c>
      <c r="G1709" t="s">
        <v>5904</v>
      </c>
      <c r="H1709">
        <v>338</v>
      </c>
      <c r="I1709">
        <v>338</v>
      </c>
      <c r="J1709">
        <v>338</v>
      </c>
      <c r="K1709">
        <v>315</v>
      </c>
      <c r="L1709">
        <v>328</v>
      </c>
      <c r="M1709">
        <v>93.2</v>
      </c>
      <c r="N1709">
        <v>97</v>
      </c>
      <c r="O1709">
        <v>654.4</v>
      </c>
    </row>
    <row r="1710" spans="1:15">
      <c r="A1710">
        <v>1495</v>
      </c>
      <c r="B1710" t="s">
        <v>4312</v>
      </c>
      <c r="C1710" t="s">
        <v>4313</v>
      </c>
      <c r="D1710" t="s">
        <v>11837</v>
      </c>
      <c r="E1710" t="s">
        <v>11838</v>
      </c>
      <c r="F1710" t="s">
        <v>11839</v>
      </c>
      <c r="G1710" t="s">
        <v>5904</v>
      </c>
      <c r="H1710">
        <v>176</v>
      </c>
      <c r="I1710">
        <v>172</v>
      </c>
      <c r="J1710">
        <v>167</v>
      </c>
      <c r="K1710">
        <v>134</v>
      </c>
      <c r="L1710">
        <v>152</v>
      </c>
      <c r="M1710">
        <v>76.099999999999994</v>
      </c>
      <c r="N1710">
        <v>86.4</v>
      </c>
      <c r="O1710">
        <v>264.2</v>
      </c>
    </row>
    <row r="1711" spans="1:15">
      <c r="A1711">
        <v>2173</v>
      </c>
      <c r="B1711" t="s">
        <v>11840</v>
      </c>
      <c r="C1711" t="s">
        <v>4316</v>
      </c>
      <c r="D1711" t="s">
        <v>11841</v>
      </c>
      <c r="E1711" t="s">
        <v>11842</v>
      </c>
      <c r="F1711" t="s">
        <v>11843</v>
      </c>
      <c r="G1711" t="s">
        <v>5904</v>
      </c>
      <c r="H1711">
        <v>846</v>
      </c>
      <c r="I1711">
        <v>854</v>
      </c>
      <c r="J1711">
        <v>856</v>
      </c>
      <c r="K1711">
        <v>748</v>
      </c>
      <c r="L1711">
        <v>779</v>
      </c>
      <c r="M1711">
        <v>88.4</v>
      </c>
      <c r="N1711">
        <v>92.1</v>
      </c>
      <c r="O1711">
        <v>1230.3</v>
      </c>
    </row>
    <row r="1712" spans="1:15">
      <c r="A1712">
        <v>1494</v>
      </c>
      <c r="B1712" t="s">
        <v>4317</v>
      </c>
      <c r="C1712" t="s">
        <v>11844</v>
      </c>
      <c r="D1712" t="s">
        <v>11845</v>
      </c>
      <c r="E1712" t="s">
        <v>11846</v>
      </c>
      <c r="F1712" t="s">
        <v>11847</v>
      </c>
      <c r="G1712" t="s">
        <v>5904</v>
      </c>
      <c r="H1712">
        <v>574</v>
      </c>
      <c r="I1712">
        <v>577</v>
      </c>
      <c r="J1712">
        <v>577</v>
      </c>
      <c r="K1712">
        <v>441</v>
      </c>
      <c r="L1712">
        <v>490</v>
      </c>
      <c r="M1712">
        <v>76.8</v>
      </c>
      <c r="N1712">
        <v>85.4</v>
      </c>
      <c r="O1712">
        <v>928.7</v>
      </c>
    </row>
    <row r="1713" spans="1:15">
      <c r="A1713">
        <v>1493</v>
      </c>
      <c r="B1713" t="s">
        <v>4319</v>
      </c>
      <c r="C1713" t="s">
        <v>4320</v>
      </c>
      <c r="D1713" t="s">
        <v>11848</v>
      </c>
      <c r="E1713" t="s">
        <v>11849</v>
      </c>
      <c r="F1713" t="s">
        <v>11850</v>
      </c>
      <c r="G1713" t="s">
        <v>5904</v>
      </c>
      <c r="H1713">
        <v>868</v>
      </c>
      <c r="I1713">
        <v>747</v>
      </c>
      <c r="J1713">
        <v>750</v>
      </c>
      <c r="K1713">
        <v>560</v>
      </c>
      <c r="L1713">
        <v>617</v>
      </c>
      <c r="M1713">
        <v>64.5</v>
      </c>
      <c r="N1713">
        <v>71.099999999999994</v>
      </c>
      <c r="O1713">
        <v>1109.4000000000001</v>
      </c>
    </row>
    <row r="1714" spans="1:15">
      <c r="A1714">
        <v>1492</v>
      </c>
      <c r="B1714" t="s">
        <v>11851</v>
      </c>
      <c r="C1714" t="s">
        <v>4323</v>
      </c>
      <c r="D1714" t="s">
        <v>11852</v>
      </c>
      <c r="E1714" t="s">
        <v>11853</v>
      </c>
      <c r="F1714" t="s">
        <v>11854</v>
      </c>
      <c r="G1714" t="s">
        <v>5904</v>
      </c>
      <c r="H1714">
        <v>620</v>
      </c>
      <c r="I1714">
        <v>583</v>
      </c>
      <c r="J1714">
        <v>622</v>
      </c>
      <c r="K1714">
        <v>477</v>
      </c>
      <c r="L1714">
        <v>503</v>
      </c>
      <c r="M1714">
        <v>76.900000000000006</v>
      </c>
      <c r="N1714">
        <v>81.099999999999994</v>
      </c>
      <c r="O1714">
        <v>887.1</v>
      </c>
    </row>
    <row r="1715" spans="1:15">
      <c r="A1715">
        <v>1491</v>
      </c>
      <c r="B1715" t="s">
        <v>4324</v>
      </c>
      <c r="C1715" t="s">
        <v>11855</v>
      </c>
      <c r="D1715" t="s">
        <v>11856</v>
      </c>
      <c r="E1715" t="s">
        <v>11857</v>
      </c>
      <c r="F1715" t="s">
        <v>11858</v>
      </c>
      <c r="G1715" t="s">
        <v>5904</v>
      </c>
      <c r="H1715">
        <v>455</v>
      </c>
      <c r="I1715">
        <v>470</v>
      </c>
      <c r="J1715">
        <v>470</v>
      </c>
      <c r="K1715">
        <v>342</v>
      </c>
      <c r="L1715">
        <v>378</v>
      </c>
      <c r="M1715">
        <v>75.2</v>
      </c>
      <c r="N1715">
        <v>83.1</v>
      </c>
      <c r="O1715">
        <v>647.1</v>
      </c>
    </row>
    <row r="1716" spans="1:15">
      <c r="A1716">
        <v>1490</v>
      </c>
      <c r="B1716" t="s">
        <v>4326</v>
      </c>
      <c r="C1716" t="s">
        <v>11859</v>
      </c>
      <c r="D1716" t="s">
        <v>11860</v>
      </c>
      <c r="E1716" t="s">
        <v>11861</v>
      </c>
      <c r="F1716" t="s">
        <v>11862</v>
      </c>
      <c r="G1716" t="s">
        <v>5904</v>
      </c>
      <c r="H1716">
        <v>295</v>
      </c>
      <c r="I1716">
        <v>295</v>
      </c>
      <c r="J1716">
        <v>295</v>
      </c>
      <c r="K1716">
        <v>250</v>
      </c>
      <c r="L1716">
        <v>274</v>
      </c>
      <c r="M1716">
        <v>84.7</v>
      </c>
      <c r="N1716">
        <v>92.9</v>
      </c>
      <c r="O1716">
        <v>541.6</v>
      </c>
    </row>
    <row r="1717" spans="1:15">
      <c r="A1717">
        <v>1489</v>
      </c>
      <c r="B1717" t="s">
        <v>4328</v>
      </c>
      <c r="C1717" t="s">
        <v>4329</v>
      </c>
      <c r="D1717" t="s">
        <v>11863</v>
      </c>
      <c r="E1717" t="s">
        <v>11864</v>
      </c>
      <c r="F1717" t="s">
        <v>11865</v>
      </c>
      <c r="G1717" t="s">
        <v>5904</v>
      </c>
      <c r="H1717">
        <v>2313</v>
      </c>
      <c r="I1717">
        <v>2224</v>
      </c>
      <c r="J1717">
        <v>1492</v>
      </c>
      <c r="K1717">
        <v>1077</v>
      </c>
      <c r="L1717">
        <v>1181</v>
      </c>
      <c r="M1717">
        <v>46.6</v>
      </c>
      <c r="N1717">
        <v>51.1</v>
      </c>
      <c r="O1717">
        <v>2089.3000000000002</v>
      </c>
    </row>
    <row r="1718" spans="1:15">
      <c r="A1718">
        <v>1488</v>
      </c>
      <c r="B1718" t="s">
        <v>4330</v>
      </c>
      <c r="C1718" t="s">
        <v>4331</v>
      </c>
      <c r="D1718" t="s">
        <v>11866</v>
      </c>
      <c r="E1718" t="s">
        <v>11867</v>
      </c>
      <c r="F1718" t="s">
        <v>11868</v>
      </c>
      <c r="G1718" t="s">
        <v>5904</v>
      </c>
      <c r="H1718">
        <v>89</v>
      </c>
      <c r="I1718">
        <v>93</v>
      </c>
      <c r="J1718">
        <v>89</v>
      </c>
      <c r="K1718">
        <v>67</v>
      </c>
      <c r="L1718">
        <v>80</v>
      </c>
      <c r="M1718">
        <v>75.3</v>
      </c>
      <c r="N1718">
        <v>89.9</v>
      </c>
      <c r="O1718">
        <v>144.1</v>
      </c>
    </row>
    <row r="1719" spans="1:15">
      <c r="A1719">
        <v>1487</v>
      </c>
      <c r="B1719" t="s">
        <v>11869</v>
      </c>
      <c r="C1719" t="s">
        <v>4334</v>
      </c>
      <c r="D1719" t="s">
        <v>11870</v>
      </c>
      <c r="E1719" t="s">
        <v>11871</v>
      </c>
      <c r="F1719" t="s">
        <v>11872</v>
      </c>
      <c r="G1719" t="s">
        <v>6054</v>
      </c>
      <c r="H1719">
        <v>752</v>
      </c>
      <c r="I1719">
        <v>786</v>
      </c>
      <c r="J1719">
        <v>328</v>
      </c>
      <c r="K1719">
        <v>254</v>
      </c>
      <c r="L1719">
        <v>264</v>
      </c>
      <c r="M1719">
        <v>33.799999999999997</v>
      </c>
      <c r="N1719">
        <v>35.1</v>
      </c>
      <c r="O1719">
        <v>199.9</v>
      </c>
    </row>
    <row r="1720" spans="1:15">
      <c r="A1720">
        <v>1486</v>
      </c>
      <c r="B1720" t="s">
        <v>4335</v>
      </c>
      <c r="C1720" t="s">
        <v>4336</v>
      </c>
      <c r="D1720" t="s">
        <v>5917</v>
      </c>
      <c r="E1720" t="s">
        <v>5918</v>
      </c>
      <c r="F1720" t="s">
        <v>11873</v>
      </c>
      <c r="G1720" t="s">
        <v>5904</v>
      </c>
      <c r="H1720">
        <v>489</v>
      </c>
      <c r="I1720">
        <v>458</v>
      </c>
      <c r="J1720">
        <v>392</v>
      </c>
      <c r="K1720">
        <v>232</v>
      </c>
      <c r="L1720">
        <v>297</v>
      </c>
      <c r="M1720">
        <v>47.4</v>
      </c>
      <c r="N1720">
        <v>60.7</v>
      </c>
      <c r="O1720">
        <v>501.9</v>
      </c>
    </row>
    <row r="1721" spans="1:15">
      <c r="A1721">
        <v>2172</v>
      </c>
      <c r="B1721" t="s">
        <v>4337</v>
      </c>
      <c r="C1721" t="s">
        <v>11874</v>
      </c>
      <c r="D1721" t="s">
        <v>11875</v>
      </c>
      <c r="E1721" t="s">
        <v>11876</v>
      </c>
      <c r="F1721" t="s">
        <v>11877</v>
      </c>
      <c r="G1721" t="s">
        <v>5904</v>
      </c>
      <c r="H1721">
        <v>152</v>
      </c>
      <c r="I1721">
        <v>183</v>
      </c>
      <c r="J1721">
        <v>151</v>
      </c>
      <c r="K1721">
        <v>141</v>
      </c>
      <c r="L1721">
        <v>146</v>
      </c>
      <c r="M1721">
        <v>92.8</v>
      </c>
      <c r="N1721">
        <v>96.1</v>
      </c>
      <c r="O1721">
        <v>294.3</v>
      </c>
    </row>
    <row r="1722" spans="1:15">
      <c r="A1722">
        <v>1485</v>
      </c>
      <c r="B1722" t="s">
        <v>11878</v>
      </c>
      <c r="C1722" t="s">
        <v>4341</v>
      </c>
      <c r="D1722" t="s">
        <v>11879</v>
      </c>
      <c r="E1722" t="s">
        <v>11880</v>
      </c>
      <c r="F1722" t="s">
        <v>11881</v>
      </c>
      <c r="G1722" t="s">
        <v>5904</v>
      </c>
      <c r="H1722">
        <v>211</v>
      </c>
      <c r="I1722">
        <v>211</v>
      </c>
      <c r="J1722">
        <v>211</v>
      </c>
      <c r="K1722">
        <v>188</v>
      </c>
      <c r="L1722">
        <v>198</v>
      </c>
      <c r="M1722">
        <v>89.1</v>
      </c>
      <c r="N1722">
        <v>93.8</v>
      </c>
      <c r="O1722">
        <v>335.5</v>
      </c>
    </row>
    <row r="1723" spans="1:15">
      <c r="A1723">
        <v>1484</v>
      </c>
      <c r="B1723" t="s">
        <v>11882</v>
      </c>
      <c r="C1723" t="s">
        <v>11883</v>
      </c>
      <c r="D1723" t="s">
        <v>11884</v>
      </c>
      <c r="E1723" t="s">
        <v>11885</v>
      </c>
      <c r="F1723" t="s">
        <v>11886</v>
      </c>
      <c r="G1723" t="s">
        <v>5904</v>
      </c>
      <c r="H1723">
        <v>1000</v>
      </c>
      <c r="I1723">
        <v>1001</v>
      </c>
      <c r="J1723">
        <v>1001</v>
      </c>
      <c r="K1723">
        <v>961</v>
      </c>
      <c r="L1723">
        <v>984</v>
      </c>
      <c r="M1723">
        <v>96.1</v>
      </c>
      <c r="N1723">
        <v>98.4</v>
      </c>
      <c r="O1723">
        <v>1939.8</v>
      </c>
    </row>
    <row r="1724" spans="1:15">
      <c r="A1724">
        <v>1483</v>
      </c>
      <c r="B1724" t="s">
        <v>4345</v>
      </c>
      <c r="C1724" t="s">
        <v>4346</v>
      </c>
      <c r="D1724" t="s">
        <v>11887</v>
      </c>
      <c r="E1724" t="s">
        <v>11888</v>
      </c>
      <c r="F1724" t="s">
        <v>11889</v>
      </c>
      <c r="G1724" t="s">
        <v>5904</v>
      </c>
      <c r="H1724">
        <v>92</v>
      </c>
      <c r="I1724">
        <v>92</v>
      </c>
      <c r="J1724">
        <v>92</v>
      </c>
      <c r="K1724">
        <v>55</v>
      </c>
      <c r="L1724">
        <v>73</v>
      </c>
      <c r="M1724">
        <v>59.8</v>
      </c>
      <c r="N1724">
        <v>79.3</v>
      </c>
      <c r="O1724">
        <v>119</v>
      </c>
    </row>
    <row r="1725" spans="1:15">
      <c r="A1725">
        <v>1482</v>
      </c>
      <c r="B1725" t="s">
        <v>4347</v>
      </c>
      <c r="C1725" t="s">
        <v>4348</v>
      </c>
      <c r="D1725" t="s">
        <v>11890</v>
      </c>
      <c r="E1725" t="s">
        <v>11891</v>
      </c>
      <c r="F1725" t="s">
        <v>11892</v>
      </c>
      <c r="G1725" t="s">
        <v>5904</v>
      </c>
      <c r="H1725">
        <v>190</v>
      </c>
      <c r="I1725">
        <v>190</v>
      </c>
      <c r="J1725">
        <v>190</v>
      </c>
      <c r="K1725">
        <v>161</v>
      </c>
      <c r="L1725">
        <v>169</v>
      </c>
      <c r="M1725">
        <v>84.7</v>
      </c>
      <c r="N1725">
        <v>88.9</v>
      </c>
      <c r="O1725">
        <v>308.89999999999998</v>
      </c>
    </row>
    <row r="1726" spans="1:15">
      <c r="A1726">
        <v>1481</v>
      </c>
      <c r="B1726" t="s">
        <v>4349</v>
      </c>
      <c r="C1726" t="s">
        <v>4350</v>
      </c>
      <c r="D1726" t="s">
        <v>11893</v>
      </c>
      <c r="E1726" t="s">
        <v>11894</v>
      </c>
      <c r="F1726" t="s">
        <v>11895</v>
      </c>
      <c r="G1726" t="s">
        <v>5904</v>
      </c>
      <c r="H1726">
        <v>518</v>
      </c>
      <c r="I1726">
        <v>537</v>
      </c>
      <c r="J1726">
        <v>535</v>
      </c>
      <c r="K1726">
        <v>395</v>
      </c>
      <c r="L1726">
        <v>442</v>
      </c>
      <c r="M1726">
        <v>76.3</v>
      </c>
      <c r="N1726">
        <v>85.3</v>
      </c>
      <c r="O1726">
        <v>786.6</v>
      </c>
    </row>
    <row r="1727" spans="1:15">
      <c r="A1727">
        <v>1480</v>
      </c>
      <c r="B1727" t="s">
        <v>4351</v>
      </c>
      <c r="C1727" t="s">
        <v>4352</v>
      </c>
      <c r="D1727" t="s">
        <v>11896</v>
      </c>
      <c r="E1727" t="s">
        <v>11897</v>
      </c>
      <c r="F1727" t="s">
        <v>11898</v>
      </c>
      <c r="G1727" t="s">
        <v>6054</v>
      </c>
      <c r="H1727">
        <v>362</v>
      </c>
      <c r="I1727">
        <v>392</v>
      </c>
      <c r="J1727">
        <v>130</v>
      </c>
      <c r="K1727">
        <v>53</v>
      </c>
      <c r="L1727">
        <v>82</v>
      </c>
      <c r="M1727">
        <v>14.6</v>
      </c>
      <c r="N1727">
        <v>22.7</v>
      </c>
      <c r="O1727">
        <v>107.8</v>
      </c>
    </row>
    <row r="1728" spans="1:15">
      <c r="A1728">
        <v>1479</v>
      </c>
      <c r="B1728" t="s">
        <v>4353</v>
      </c>
      <c r="C1728" t="s">
        <v>4354</v>
      </c>
      <c r="D1728" t="s">
        <v>11899</v>
      </c>
      <c r="E1728" t="s">
        <v>11900</v>
      </c>
      <c r="F1728" t="s">
        <v>11901</v>
      </c>
      <c r="G1728" t="s">
        <v>5904</v>
      </c>
      <c r="H1728">
        <v>390</v>
      </c>
      <c r="I1728">
        <v>390</v>
      </c>
      <c r="J1728">
        <v>390</v>
      </c>
      <c r="K1728">
        <v>390</v>
      </c>
      <c r="L1728">
        <v>390</v>
      </c>
      <c r="M1728">
        <v>100</v>
      </c>
      <c r="N1728">
        <v>100</v>
      </c>
      <c r="O1728">
        <v>801.2</v>
      </c>
    </row>
    <row r="1729" spans="1:15">
      <c r="A1729">
        <v>1478</v>
      </c>
      <c r="B1729" t="s">
        <v>11902</v>
      </c>
      <c r="C1729" t="s">
        <v>4357</v>
      </c>
      <c r="D1729" t="s">
        <v>11903</v>
      </c>
      <c r="E1729" t="s">
        <v>11904</v>
      </c>
      <c r="F1729" t="s">
        <v>11905</v>
      </c>
      <c r="G1729" t="s">
        <v>5904</v>
      </c>
      <c r="H1729">
        <v>394</v>
      </c>
      <c r="I1729">
        <v>416</v>
      </c>
      <c r="J1729">
        <v>419</v>
      </c>
      <c r="K1729">
        <v>288</v>
      </c>
      <c r="L1729">
        <v>317</v>
      </c>
      <c r="M1729">
        <v>73.099999999999994</v>
      </c>
      <c r="N1729">
        <v>80.5</v>
      </c>
      <c r="O1729">
        <v>427.2</v>
      </c>
    </row>
    <row r="1730" spans="1:15">
      <c r="A1730">
        <v>1477</v>
      </c>
      <c r="B1730" t="s">
        <v>4358</v>
      </c>
      <c r="C1730" t="s">
        <v>4359</v>
      </c>
      <c r="D1730" t="s">
        <v>11906</v>
      </c>
      <c r="E1730" t="s">
        <v>11907</v>
      </c>
      <c r="F1730" t="s">
        <v>11908</v>
      </c>
      <c r="G1730" t="s">
        <v>5904</v>
      </c>
      <c r="H1730">
        <v>585</v>
      </c>
      <c r="I1730">
        <v>584</v>
      </c>
      <c r="J1730">
        <v>585</v>
      </c>
      <c r="K1730">
        <v>522</v>
      </c>
      <c r="L1730">
        <v>551</v>
      </c>
      <c r="M1730">
        <v>89.2</v>
      </c>
      <c r="N1730">
        <v>94.2</v>
      </c>
      <c r="O1730">
        <v>1052</v>
      </c>
    </row>
    <row r="1731" spans="1:15">
      <c r="A1731">
        <v>1476</v>
      </c>
      <c r="B1731" t="s">
        <v>4360</v>
      </c>
      <c r="C1731" t="s">
        <v>4361</v>
      </c>
      <c r="D1731" t="s">
        <v>11909</v>
      </c>
      <c r="E1731" t="s">
        <v>11910</v>
      </c>
      <c r="F1731" t="s">
        <v>11911</v>
      </c>
      <c r="G1731" t="s">
        <v>5904</v>
      </c>
      <c r="H1731">
        <v>129</v>
      </c>
      <c r="I1731">
        <v>129</v>
      </c>
      <c r="J1731">
        <v>106</v>
      </c>
      <c r="K1731">
        <v>94</v>
      </c>
      <c r="L1731">
        <v>96</v>
      </c>
      <c r="M1731">
        <v>72.900000000000006</v>
      </c>
      <c r="N1731">
        <v>74.400000000000006</v>
      </c>
      <c r="O1731">
        <v>190.3</v>
      </c>
    </row>
    <row r="1732" spans="1:15">
      <c r="A1732">
        <v>1475</v>
      </c>
      <c r="B1732" t="s">
        <v>11912</v>
      </c>
      <c r="C1732" t="s">
        <v>4364</v>
      </c>
      <c r="D1732" t="s">
        <v>11913</v>
      </c>
      <c r="E1732" t="s">
        <v>11914</v>
      </c>
      <c r="F1732" t="s">
        <v>11915</v>
      </c>
      <c r="G1732" t="s">
        <v>5904</v>
      </c>
      <c r="H1732">
        <v>1154</v>
      </c>
      <c r="I1732">
        <v>1152</v>
      </c>
      <c r="J1732">
        <v>1154</v>
      </c>
      <c r="K1732">
        <v>872</v>
      </c>
      <c r="L1732">
        <v>991</v>
      </c>
      <c r="M1732">
        <v>75.599999999999994</v>
      </c>
      <c r="N1732">
        <v>85.9</v>
      </c>
      <c r="O1732">
        <v>1798.5</v>
      </c>
    </row>
    <row r="1733" spans="1:15">
      <c r="A1733">
        <v>1474</v>
      </c>
      <c r="B1733" t="s">
        <v>11916</v>
      </c>
      <c r="C1733" t="s">
        <v>4367</v>
      </c>
      <c r="D1733" t="s">
        <v>11917</v>
      </c>
      <c r="E1733" t="s">
        <v>11918</v>
      </c>
      <c r="F1733" t="s">
        <v>11919</v>
      </c>
      <c r="G1733" t="s">
        <v>5904</v>
      </c>
      <c r="H1733">
        <v>1014</v>
      </c>
      <c r="I1733">
        <v>1087</v>
      </c>
      <c r="J1733">
        <v>999</v>
      </c>
      <c r="K1733">
        <v>944</v>
      </c>
      <c r="L1733">
        <v>955</v>
      </c>
      <c r="M1733">
        <v>93.1</v>
      </c>
      <c r="N1733">
        <v>94.2</v>
      </c>
      <c r="O1733">
        <v>1879.4</v>
      </c>
    </row>
    <row r="1734" spans="1:15">
      <c r="A1734">
        <v>1473</v>
      </c>
      <c r="B1734" t="s">
        <v>4368</v>
      </c>
      <c r="C1734" t="s">
        <v>4369</v>
      </c>
      <c r="D1734" t="s">
        <v>11920</v>
      </c>
      <c r="E1734" t="s">
        <v>11921</v>
      </c>
      <c r="F1734" t="s">
        <v>11922</v>
      </c>
      <c r="G1734" t="s">
        <v>5904</v>
      </c>
      <c r="H1734">
        <v>318</v>
      </c>
      <c r="I1734">
        <v>318</v>
      </c>
      <c r="J1734">
        <v>306</v>
      </c>
      <c r="K1734">
        <v>241</v>
      </c>
      <c r="L1734">
        <v>270</v>
      </c>
      <c r="M1734">
        <v>75.8</v>
      </c>
      <c r="N1734">
        <v>84.9</v>
      </c>
      <c r="O1734">
        <v>506.9</v>
      </c>
    </row>
    <row r="1735" spans="1:15">
      <c r="A1735">
        <v>1472</v>
      </c>
      <c r="B1735" t="s">
        <v>4370</v>
      </c>
      <c r="C1735" t="s">
        <v>4371</v>
      </c>
      <c r="D1735" t="s">
        <v>11923</v>
      </c>
      <c r="E1735" t="s">
        <v>11924</v>
      </c>
      <c r="F1735" t="s">
        <v>11925</v>
      </c>
      <c r="G1735" t="s">
        <v>5904</v>
      </c>
      <c r="H1735">
        <v>379</v>
      </c>
      <c r="I1735">
        <v>379</v>
      </c>
      <c r="J1735">
        <v>379</v>
      </c>
      <c r="K1735">
        <v>367</v>
      </c>
      <c r="L1735">
        <v>371</v>
      </c>
      <c r="M1735">
        <v>96.8</v>
      </c>
      <c r="N1735">
        <v>97.9</v>
      </c>
      <c r="O1735">
        <v>767.3</v>
      </c>
    </row>
    <row r="1736" spans="1:15">
      <c r="A1736">
        <v>1471</v>
      </c>
      <c r="B1736" t="s">
        <v>4372</v>
      </c>
      <c r="C1736" t="s">
        <v>11926</v>
      </c>
      <c r="D1736" t="s">
        <v>11927</v>
      </c>
      <c r="E1736" t="s">
        <v>11928</v>
      </c>
      <c r="F1736" t="s">
        <v>11929</v>
      </c>
      <c r="G1736" t="s">
        <v>5904</v>
      </c>
      <c r="H1736">
        <v>283</v>
      </c>
      <c r="I1736">
        <v>283</v>
      </c>
      <c r="J1736">
        <v>283</v>
      </c>
      <c r="K1736">
        <v>280</v>
      </c>
      <c r="L1736">
        <v>283</v>
      </c>
      <c r="M1736">
        <v>98.9</v>
      </c>
      <c r="N1736">
        <v>100</v>
      </c>
      <c r="O1736">
        <v>574.29999999999995</v>
      </c>
    </row>
    <row r="1737" spans="1:15">
      <c r="A1737">
        <v>1470</v>
      </c>
      <c r="B1737" t="s">
        <v>4374</v>
      </c>
      <c r="C1737" t="s">
        <v>4375</v>
      </c>
      <c r="D1737" t="s">
        <v>11930</v>
      </c>
      <c r="E1737" t="s">
        <v>11931</v>
      </c>
      <c r="F1737" t="s">
        <v>11932</v>
      </c>
      <c r="G1737" t="s">
        <v>5904</v>
      </c>
      <c r="H1737">
        <v>1162</v>
      </c>
      <c r="I1737">
        <v>1088</v>
      </c>
      <c r="J1737">
        <v>1172</v>
      </c>
      <c r="K1737">
        <v>648</v>
      </c>
      <c r="L1737">
        <v>747</v>
      </c>
      <c r="M1737">
        <v>55.8</v>
      </c>
      <c r="N1737">
        <v>64.3</v>
      </c>
      <c r="O1737">
        <v>830.9</v>
      </c>
    </row>
    <row r="1738" spans="1:15">
      <c r="A1738">
        <v>1469</v>
      </c>
      <c r="B1738" t="s">
        <v>4376</v>
      </c>
      <c r="C1738" t="s">
        <v>11933</v>
      </c>
      <c r="D1738" t="s">
        <v>11934</v>
      </c>
      <c r="E1738" t="s">
        <v>11935</v>
      </c>
      <c r="F1738" t="s">
        <v>11936</v>
      </c>
      <c r="G1738" t="s">
        <v>5904</v>
      </c>
      <c r="H1738">
        <v>377</v>
      </c>
      <c r="I1738">
        <v>382</v>
      </c>
      <c r="J1738">
        <v>338</v>
      </c>
      <c r="K1738">
        <v>316</v>
      </c>
      <c r="L1738">
        <v>331</v>
      </c>
      <c r="M1738">
        <v>83.8</v>
      </c>
      <c r="N1738">
        <v>87.8</v>
      </c>
      <c r="O1738">
        <v>601.29999999999995</v>
      </c>
    </row>
    <row r="1739" spans="1:15">
      <c r="A1739">
        <v>1468</v>
      </c>
      <c r="B1739" t="s">
        <v>11937</v>
      </c>
      <c r="C1739" t="s">
        <v>4380</v>
      </c>
      <c r="D1739" t="s">
        <v>11938</v>
      </c>
      <c r="E1739" t="s">
        <v>11939</v>
      </c>
      <c r="F1739" t="s">
        <v>11940</v>
      </c>
      <c r="G1739" t="s">
        <v>5904</v>
      </c>
      <c r="H1739">
        <v>294</v>
      </c>
      <c r="I1739">
        <v>288</v>
      </c>
      <c r="J1739">
        <v>272</v>
      </c>
      <c r="K1739">
        <v>238</v>
      </c>
      <c r="L1739">
        <v>251</v>
      </c>
      <c r="M1739">
        <v>81</v>
      </c>
      <c r="N1739">
        <v>85.4</v>
      </c>
      <c r="O1739">
        <v>495.4</v>
      </c>
    </row>
    <row r="1740" spans="1:15">
      <c r="A1740">
        <v>1467</v>
      </c>
      <c r="B1740" t="s">
        <v>11941</v>
      </c>
      <c r="C1740" t="s">
        <v>4383</v>
      </c>
      <c r="D1740" t="s">
        <v>11942</v>
      </c>
      <c r="E1740" t="s">
        <v>11943</v>
      </c>
      <c r="F1740" t="s">
        <v>11944</v>
      </c>
      <c r="G1740" t="s">
        <v>5904</v>
      </c>
      <c r="H1740">
        <v>673</v>
      </c>
      <c r="I1740">
        <v>675</v>
      </c>
      <c r="J1740">
        <v>675</v>
      </c>
      <c r="K1740">
        <v>587</v>
      </c>
      <c r="L1740">
        <v>634</v>
      </c>
      <c r="M1740">
        <v>87.2</v>
      </c>
      <c r="N1740">
        <v>94.2</v>
      </c>
      <c r="O1740">
        <v>1162.5</v>
      </c>
    </row>
    <row r="1741" spans="1:15">
      <c r="A1741">
        <v>1466</v>
      </c>
      <c r="B1741" t="s">
        <v>11945</v>
      </c>
      <c r="C1741" t="s">
        <v>4386</v>
      </c>
      <c r="D1741" t="s">
        <v>11946</v>
      </c>
      <c r="E1741" t="s">
        <v>11947</v>
      </c>
      <c r="F1741" t="s">
        <v>11948</v>
      </c>
      <c r="G1741" t="s">
        <v>5904</v>
      </c>
      <c r="H1741">
        <v>812</v>
      </c>
      <c r="I1741">
        <v>764</v>
      </c>
      <c r="J1741">
        <v>764</v>
      </c>
      <c r="K1741">
        <v>534</v>
      </c>
      <c r="L1741">
        <v>616</v>
      </c>
      <c r="M1741">
        <v>65.8</v>
      </c>
      <c r="N1741">
        <v>75.900000000000006</v>
      </c>
      <c r="O1741">
        <v>1029.2</v>
      </c>
    </row>
    <row r="1742" spans="1:15">
      <c r="A1742">
        <v>1465</v>
      </c>
      <c r="B1742" t="s">
        <v>4387</v>
      </c>
      <c r="C1742" t="s">
        <v>4388</v>
      </c>
      <c r="D1742" t="s">
        <v>11949</v>
      </c>
      <c r="E1742" t="s">
        <v>11950</v>
      </c>
      <c r="F1742" t="s">
        <v>11951</v>
      </c>
      <c r="G1742" t="s">
        <v>5904</v>
      </c>
      <c r="H1742">
        <v>493</v>
      </c>
      <c r="I1742">
        <v>493</v>
      </c>
      <c r="J1742">
        <v>493</v>
      </c>
      <c r="K1742">
        <v>482</v>
      </c>
      <c r="L1742">
        <v>489</v>
      </c>
      <c r="M1742">
        <v>97.8</v>
      </c>
      <c r="N1742">
        <v>99.2</v>
      </c>
      <c r="O1742">
        <v>1013.8</v>
      </c>
    </row>
    <row r="1743" spans="1:15">
      <c r="A1743">
        <v>1464</v>
      </c>
      <c r="B1743" t="s">
        <v>4389</v>
      </c>
      <c r="C1743" t="s">
        <v>11952</v>
      </c>
      <c r="D1743" t="s">
        <v>11953</v>
      </c>
      <c r="E1743" t="s">
        <v>11954</v>
      </c>
      <c r="F1743" t="s">
        <v>11955</v>
      </c>
      <c r="G1743" t="s">
        <v>5904</v>
      </c>
      <c r="H1743">
        <v>122</v>
      </c>
      <c r="I1743">
        <v>122</v>
      </c>
      <c r="J1743">
        <v>122</v>
      </c>
      <c r="K1743">
        <v>107</v>
      </c>
      <c r="L1743">
        <v>116</v>
      </c>
      <c r="M1743">
        <v>87.7</v>
      </c>
      <c r="N1743">
        <v>95.1</v>
      </c>
      <c r="O1743">
        <v>219.2</v>
      </c>
    </row>
    <row r="1744" spans="1:15">
      <c r="A1744">
        <v>1463</v>
      </c>
      <c r="B1744" t="s">
        <v>11956</v>
      </c>
      <c r="C1744" t="s">
        <v>4393</v>
      </c>
      <c r="D1744" t="s">
        <v>11957</v>
      </c>
      <c r="E1744" t="s">
        <v>11958</v>
      </c>
      <c r="F1744" t="s">
        <v>11959</v>
      </c>
      <c r="G1744" t="s">
        <v>5904</v>
      </c>
      <c r="H1744">
        <v>991</v>
      </c>
      <c r="I1744">
        <v>987</v>
      </c>
      <c r="J1744">
        <v>991</v>
      </c>
      <c r="K1744">
        <v>958</v>
      </c>
      <c r="L1744">
        <v>966</v>
      </c>
      <c r="M1744">
        <v>96.7</v>
      </c>
      <c r="N1744">
        <v>97.5</v>
      </c>
      <c r="O1744">
        <v>1973.8</v>
      </c>
    </row>
    <row r="1745" spans="1:15">
      <c r="A1745">
        <v>1462</v>
      </c>
      <c r="B1745" t="s">
        <v>11960</v>
      </c>
      <c r="C1745" t="s">
        <v>4396</v>
      </c>
      <c r="D1745" t="s">
        <v>11961</v>
      </c>
      <c r="E1745" t="s">
        <v>11962</v>
      </c>
      <c r="F1745" t="s">
        <v>11963</v>
      </c>
      <c r="G1745" t="s">
        <v>5904</v>
      </c>
      <c r="H1745">
        <v>768</v>
      </c>
      <c r="I1745">
        <v>738</v>
      </c>
      <c r="J1745">
        <v>768</v>
      </c>
      <c r="K1745">
        <v>688</v>
      </c>
      <c r="L1745">
        <v>712</v>
      </c>
      <c r="M1745">
        <v>89.6</v>
      </c>
      <c r="N1745">
        <v>92.7</v>
      </c>
      <c r="O1745">
        <v>1404</v>
      </c>
    </row>
    <row r="1746" spans="1:15">
      <c r="A1746">
        <v>1461</v>
      </c>
      <c r="B1746" t="s">
        <v>4397</v>
      </c>
      <c r="C1746" t="s">
        <v>11964</v>
      </c>
      <c r="D1746" t="s">
        <v>11965</v>
      </c>
      <c r="E1746" t="s">
        <v>11966</v>
      </c>
      <c r="F1746" t="s">
        <v>11967</v>
      </c>
      <c r="G1746" t="s">
        <v>5904</v>
      </c>
      <c r="H1746">
        <v>130</v>
      </c>
      <c r="I1746">
        <v>130</v>
      </c>
      <c r="J1746">
        <v>130</v>
      </c>
      <c r="K1746">
        <v>130</v>
      </c>
      <c r="L1746">
        <v>130</v>
      </c>
      <c r="M1746">
        <v>100</v>
      </c>
      <c r="N1746">
        <v>100</v>
      </c>
      <c r="O1746">
        <v>268.10000000000002</v>
      </c>
    </row>
    <row r="1747" spans="1:15">
      <c r="A1747">
        <v>1460</v>
      </c>
      <c r="B1747" t="s">
        <v>4399</v>
      </c>
      <c r="C1747" t="s">
        <v>4400</v>
      </c>
      <c r="D1747" t="s">
        <v>11968</v>
      </c>
      <c r="E1747" t="s">
        <v>11969</v>
      </c>
      <c r="F1747" t="s">
        <v>11970</v>
      </c>
      <c r="G1747" t="s">
        <v>5896</v>
      </c>
      <c r="H1747">
        <v>198</v>
      </c>
      <c r="I1747">
        <v>597</v>
      </c>
      <c r="J1747">
        <v>156</v>
      </c>
      <c r="K1747">
        <v>104</v>
      </c>
      <c r="L1747">
        <v>123</v>
      </c>
      <c r="M1747">
        <v>52.5</v>
      </c>
      <c r="N1747">
        <v>62.1</v>
      </c>
      <c r="O1747">
        <v>224.2</v>
      </c>
    </row>
    <row r="1748" spans="1:15">
      <c r="A1748">
        <v>1459</v>
      </c>
      <c r="B1748" t="s">
        <v>4401</v>
      </c>
      <c r="C1748" t="s">
        <v>4402</v>
      </c>
      <c r="D1748" t="s">
        <v>11971</v>
      </c>
      <c r="E1748" t="s">
        <v>11972</v>
      </c>
      <c r="F1748" t="s">
        <v>11973</v>
      </c>
      <c r="G1748" t="s">
        <v>5904</v>
      </c>
      <c r="H1748">
        <v>465</v>
      </c>
      <c r="I1748">
        <v>464</v>
      </c>
      <c r="J1748">
        <v>463</v>
      </c>
      <c r="K1748">
        <v>413</v>
      </c>
      <c r="L1748">
        <v>437</v>
      </c>
      <c r="M1748">
        <v>88.8</v>
      </c>
      <c r="N1748">
        <v>94</v>
      </c>
      <c r="O1748">
        <v>863.6</v>
      </c>
    </row>
    <row r="1749" spans="1:15">
      <c r="A1749">
        <v>1458</v>
      </c>
      <c r="B1749" t="s">
        <v>4403</v>
      </c>
      <c r="C1749" t="s">
        <v>11974</v>
      </c>
      <c r="D1749" t="s">
        <v>11975</v>
      </c>
      <c r="E1749" t="s">
        <v>11976</v>
      </c>
      <c r="F1749" t="s">
        <v>11977</v>
      </c>
      <c r="G1749" t="s">
        <v>5904</v>
      </c>
      <c r="H1749">
        <v>308</v>
      </c>
      <c r="I1749">
        <v>308</v>
      </c>
      <c r="J1749">
        <v>308</v>
      </c>
      <c r="K1749">
        <v>294</v>
      </c>
      <c r="L1749">
        <v>302</v>
      </c>
      <c r="M1749">
        <v>95.5</v>
      </c>
      <c r="N1749">
        <v>98.1</v>
      </c>
      <c r="O1749">
        <v>610.1</v>
      </c>
    </row>
    <row r="1750" spans="1:15">
      <c r="A1750">
        <v>1457</v>
      </c>
      <c r="B1750" t="s">
        <v>4405</v>
      </c>
      <c r="C1750" t="s">
        <v>4406</v>
      </c>
      <c r="D1750" t="s">
        <v>11978</v>
      </c>
      <c r="E1750" t="s">
        <v>11979</v>
      </c>
      <c r="F1750" t="s">
        <v>11980</v>
      </c>
      <c r="G1750" t="s">
        <v>5904</v>
      </c>
      <c r="H1750">
        <v>652</v>
      </c>
      <c r="I1750">
        <v>605</v>
      </c>
      <c r="J1750">
        <v>605</v>
      </c>
      <c r="K1750">
        <v>476</v>
      </c>
      <c r="L1750">
        <v>520</v>
      </c>
      <c r="M1750">
        <v>73</v>
      </c>
      <c r="N1750">
        <v>79.8</v>
      </c>
      <c r="O1750">
        <v>902.1</v>
      </c>
    </row>
    <row r="1751" spans="1:15">
      <c r="A1751">
        <v>1456</v>
      </c>
      <c r="B1751" t="s">
        <v>11981</v>
      </c>
      <c r="C1751" t="s">
        <v>4409</v>
      </c>
      <c r="D1751" t="s">
        <v>11982</v>
      </c>
      <c r="E1751" t="s">
        <v>11983</v>
      </c>
      <c r="F1751" t="s">
        <v>11984</v>
      </c>
      <c r="G1751" t="s">
        <v>5904</v>
      </c>
      <c r="H1751">
        <v>309</v>
      </c>
      <c r="I1751">
        <v>308</v>
      </c>
      <c r="J1751">
        <v>309</v>
      </c>
      <c r="K1751">
        <v>279</v>
      </c>
      <c r="L1751">
        <v>296</v>
      </c>
      <c r="M1751">
        <v>90.3</v>
      </c>
      <c r="N1751">
        <v>95.8</v>
      </c>
      <c r="O1751">
        <v>583.6</v>
      </c>
    </row>
    <row r="1752" spans="1:15">
      <c r="A1752">
        <v>1455</v>
      </c>
      <c r="B1752" t="s">
        <v>11985</v>
      </c>
      <c r="C1752" t="s">
        <v>4412</v>
      </c>
      <c r="D1752" t="s">
        <v>11986</v>
      </c>
      <c r="E1752" t="s">
        <v>11987</v>
      </c>
      <c r="F1752" t="s">
        <v>11988</v>
      </c>
      <c r="G1752" t="s">
        <v>5904</v>
      </c>
      <c r="H1752">
        <v>1756</v>
      </c>
      <c r="I1752">
        <v>1756</v>
      </c>
      <c r="J1752">
        <v>1756</v>
      </c>
      <c r="K1752">
        <v>1554</v>
      </c>
      <c r="L1752">
        <v>1648</v>
      </c>
      <c r="M1752">
        <v>88.5</v>
      </c>
      <c r="N1752">
        <v>93.8</v>
      </c>
      <c r="O1752">
        <v>3055.4</v>
      </c>
    </row>
    <row r="1753" spans="1:15">
      <c r="A1753">
        <v>1454</v>
      </c>
      <c r="B1753" t="s">
        <v>4413</v>
      </c>
      <c r="C1753" t="s">
        <v>4414</v>
      </c>
      <c r="D1753" t="s">
        <v>11989</v>
      </c>
      <c r="E1753" t="s">
        <v>11990</v>
      </c>
      <c r="F1753" t="s">
        <v>11991</v>
      </c>
      <c r="G1753" t="s">
        <v>5904</v>
      </c>
      <c r="H1753">
        <v>251</v>
      </c>
      <c r="I1753">
        <v>251</v>
      </c>
      <c r="J1753">
        <v>251</v>
      </c>
      <c r="K1753">
        <v>246</v>
      </c>
      <c r="L1753">
        <v>249</v>
      </c>
      <c r="M1753">
        <v>98</v>
      </c>
      <c r="N1753">
        <v>99.2</v>
      </c>
      <c r="O1753">
        <v>477.2</v>
      </c>
    </row>
    <row r="1754" spans="1:15">
      <c r="A1754">
        <v>1453</v>
      </c>
      <c r="B1754" t="s">
        <v>4415</v>
      </c>
      <c r="C1754" t="s">
        <v>4416</v>
      </c>
      <c r="D1754" t="s">
        <v>11992</v>
      </c>
      <c r="E1754" t="s">
        <v>11993</v>
      </c>
      <c r="F1754" t="s">
        <v>11994</v>
      </c>
      <c r="G1754" t="s">
        <v>5904</v>
      </c>
      <c r="H1754">
        <v>221</v>
      </c>
      <c r="I1754">
        <v>220</v>
      </c>
      <c r="J1754">
        <v>218</v>
      </c>
      <c r="K1754">
        <v>187</v>
      </c>
      <c r="L1754">
        <v>200</v>
      </c>
      <c r="M1754">
        <v>84.6</v>
      </c>
      <c r="N1754">
        <v>90.5</v>
      </c>
      <c r="O1754">
        <v>364.8</v>
      </c>
    </row>
    <row r="1755" spans="1:15">
      <c r="A1755">
        <v>1452</v>
      </c>
      <c r="B1755" t="s">
        <v>4417</v>
      </c>
      <c r="C1755" t="s">
        <v>4418</v>
      </c>
      <c r="D1755" t="s">
        <v>11995</v>
      </c>
      <c r="E1755" t="s">
        <v>11996</v>
      </c>
      <c r="F1755" t="s">
        <v>11997</v>
      </c>
      <c r="G1755" t="s">
        <v>5904</v>
      </c>
      <c r="H1755">
        <v>350</v>
      </c>
      <c r="I1755">
        <v>347</v>
      </c>
      <c r="J1755">
        <v>356</v>
      </c>
      <c r="K1755">
        <v>230</v>
      </c>
      <c r="L1755">
        <v>270</v>
      </c>
      <c r="M1755">
        <v>65.7</v>
      </c>
      <c r="N1755">
        <v>77.099999999999994</v>
      </c>
      <c r="O1755">
        <v>467.6</v>
      </c>
    </row>
    <row r="1756" spans="1:15">
      <c r="A1756">
        <v>2171</v>
      </c>
      <c r="B1756" t="s">
        <v>4419</v>
      </c>
      <c r="C1756" t="s">
        <v>4420</v>
      </c>
      <c r="D1756" t="s">
        <v>11998</v>
      </c>
      <c r="E1756" t="s">
        <v>11999</v>
      </c>
      <c r="F1756" t="s">
        <v>12000</v>
      </c>
      <c r="G1756" t="s">
        <v>5904</v>
      </c>
      <c r="H1756">
        <v>406</v>
      </c>
      <c r="I1756">
        <v>406</v>
      </c>
      <c r="J1756">
        <v>406</v>
      </c>
      <c r="K1756">
        <v>394</v>
      </c>
      <c r="L1756">
        <v>398</v>
      </c>
      <c r="M1756">
        <v>97</v>
      </c>
      <c r="N1756">
        <v>98</v>
      </c>
      <c r="O1756">
        <v>813.9</v>
      </c>
    </row>
    <row r="1757" spans="1:15">
      <c r="A1757">
        <v>1451</v>
      </c>
      <c r="B1757" t="s">
        <v>4424</v>
      </c>
      <c r="C1757" t="s">
        <v>4425</v>
      </c>
      <c r="D1757" t="s">
        <v>12001</v>
      </c>
      <c r="E1757" t="s">
        <v>12002</v>
      </c>
      <c r="F1757" t="s">
        <v>12003</v>
      </c>
      <c r="G1757" t="s">
        <v>5904</v>
      </c>
      <c r="H1757">
        <v>518</v>
      </c>
      <c r="I1757">
        <v>494</v>
      </c>
      <c r="J1757">
        <v>494</v>
      </c>
      <c r="K1757">
        <v>469</v>
      </c>
      <c r="L1757">
        <v>481</v>
      </c>
      <c r="M1757">
        <v>90.5</v>
      </c>
      <c r="N1757">
        <v>92.9</v>
      </c>
      <c r="O1757">
        <v>974.5</v>
      </c>
    </row>
    <row r="1758" spans="1:15">
      <c r="A1758">
        <v>1450</v>
      </c>
      <c r="B1758" t="s">
        <v>12004</v>
      </c>
      <c r="C1758" t="s">
        <v>12005</v>
      </c>
      <c r="D1758" t="s">
        <v>12006</v>
      </c>
      <c r="E1758" t="s">
        <v>12007</v>
      </c>
      <c r="F1758" t="s">
        <v>12008</v>
      </c>
      <c r="G1758" t="s">
        <v>5904</v>
      </c>
      <c r="H1758">
        <v>197</v>
      </c>
      <c r="I1758">
        <v>184</v>
      </c>
      <c r="J1758">
        <v>185</v>
      </c>
      <c r="K1758">
        <v>129</v>
      </c>
      <c r="L1758">
        <v>145</v>
      </c>
      <c r="M1758">
        <v>65.5</v>
      </c>
      <c r="N1758">
        <v>73.599999999999994</v>
      </c>
      <c r="O1758">
        <v>245</v>
      </c>
    </row>
    <row r="1759" spans="1:15">
      <c r="A1759">
        <v>1449</v>
      </c>
      <c r="B1759" t="s">
        <v>12009</v>
      </c>
      <c r="C1759" t="s">
        <v>4431</v>
      </c>
      <c r="D1759" t="s">
        <v>12010</v>
      </c>
      <c r="E1759" t="s">
        <v>12011</v>
      </c>
      <c r="F1759" t="s">
        <v>12012</v>
      </c>
      <c r="G1759" t="s">
        <v>5904</v>
      </c>
      <c r="H1759">
        <v>340</v>
      </c>
      <c r="I1759">
        <v>345</v>
      </c>
      <c r="J1759">
        <v>347</v>
      </c>
      <c r="K1759">
        <v>232</v>
      </c>
      <c r="L1759">
        <v>272</v>
      </c>
      <c r="M1759">
        <v>68.2</v>
      </c>
      <c r="N1759">
        <v>80</v>
      </c>
      <c r="O1759">
        <v>458.4</v>
      </c>
    </row>
    <row r="1760" spans="1:15">
      <c r="A1760">
        <v>1448</v>
      </c>
      <c r="B1760" t="s">
        <v>4432</v>
      </c>
      <c r="C1760" t="s">
        <v>4433</v>
      </c>
      <c r="D1760" t="s">
        <v>12013</v>
      </c>
      <c r="E1760" t="s">
        <v>12014</v>
      </c>
      <c r="F1760" t="s">
        <v>12015</v>
      </c>
      <c r="G1760" t="s">
        <v>5904</v>
      </c>
      <c r="H1760">
        <v>648</v>
      </c>
      <c r="I1760">
        <v>651</v>
      </c>
      <c r="J1760">
        <v>646</v>
      </c>
      <c r="K1760">
        <v>528</v>
      </c>
      <c r="L1760">
        <v>574</v>
      </c>
      <c r="M1760">
        <v>81.5</v>
      </c>
      <c r="N1760">
        <v>88.6</v>
      </c>
      <c r="O1760">
        <v>1104</v>
      </c>
    </row>
    <row r="1761" spans="1:15">
      <c r="A1761">
        <v>1447</v>
      </c>
      <c r="B1761" t="s">
        <v>4434</v>
      </c>
      <c r="C1761" t="s">
        <v>4435</v>
      </c>
      <c r="D1761" t="s">
        <v>12016</v>
      </c>
      <c r="E1761" t="s">
        <v>12017</v>
      </c>
      <c r="F1761" t="s">
        <v>12018</v>
      </c>
      <c r="G1761" t="s">
        <v>5904</v>
      </c>
      <c r="H1761">
        <v>172</v>
      </c>
      <c r="I1761">
        <v>172</v>
      </c>
      <c r="J1761">
        <v>148</v>
      </c>
      <c r="K1761">
        <v>138</v>
      </c>
      <c r="L1761">
        <v>142</v>
      </c>
      <c r="M1761">
        <v>80.2</v>
      </c>
      <c r="N1761">
        <v>82.6</v>
      </c>
      <c r="O1761">
        <v>283.5</v>
      </c>
    </row>
    <row r="1762" spans="1:15">
      <c r="A1762">
        <v>2170</v>
      </c>
      <c r="B1762" t="s">
        <v>4436</v>
      </c>
      <c r="C1762" t="s">
        <v>12019</v>
      </c>
      <c r="D1762" t="s">
        <v>12020</v>
      </c>
      <c r="E1762" t="s">
        <v>12021</v>
      </c>
      <c r="F1762" t="s">
        <v>12022</v>
      </c>
      <c r="G1762" t="s">
        <v>5904</v>
      </c>
      <c r="H1762">
        <v>119</v>
      </c>
      <c r="I1762">
        <v>119</v>
      </c>
      <c r="J1762">
        <v>119</v>
      </c>
      <c r="K1762">
        <v>119</v>
      </c>
      <c r="L1762">
        <v>119</v>
      </c>
      <c r="M1762">
        <v>100</v>
      </c>
      <c r="N1762">
        <v>100</v>
      </c>
      <c r="O1762">
        <v>240.7</v>
      </c>
    </row>
    <row r="1763" spans="1:15">
      <c r="A1763">
        <v>1446</v>
      </c>
      <c r="B1763" t="s">
        <v>4438</v>
      </c>
      <c r="C1763" t="s">
        <v>4439</v>
      </c>
      <c r="D1763" t="s">
        <v>12023</v>
      </c>
      <c r="E1763" t="s">
        <v>12024</v>
      </c>
      <c r="F1763" t="s">
        <v>12025</v>
      </c>
      <c r="G1763" t="s">
        <v>5904</v>
      </c>
      <c r="H1763">
        <v>247</v>
      </c>
      <c r="I1763">
        <v>240</v>
      </c>
      <c r="J1763">
        <v>247</v>
      </c>
      <c r="K1763">
        <v>224</v>
      </c>
      <c r="L1763">
        <v>232</v>
      </c>
      <c r="M1763">
        <v>90.7</v>
      </c>
      <c r="N1763">
        <v>93.9</v>
      </c>
      <c r="O1763">
        <v>387.9</v>
      </c>
    </row>
    <row r="1764" spans="1:15">
      <c r="A1764">
        <v>1445</v>
      </c>
      <c r="B1764" t="s">
        <v>12026</v>
      </c>
      <c r="C1764" t="s">
        <v>4442</v>
      </c>
      <c r="D1764" t="s">
        <v>11968</v>
      </c>
      <c r="E1764" t="s">
        <v>11969</v>
      </c>
      <c r="F1764" t="s">
        <v>12027</v>
      </c>
      <c r="G1764" t="s">
        <v>5904</v>
      </c>
      <c r="H1764">
        <v>625</v>
      </c>
      <c r="I1764">
        <v>597</v>
      </c>
      <c r="J1764">
        <v>595</v>
      </c>
      <c r="K1764">
        <v>364</v>
      </c>
      <c r="L1764">
        <v>456</v>
      </c>
      <c r="M1764">
        <v>58.2</v>
      </c>
      <c r="N1764">
        <v>73</v>
      </c>
      <c r="O1764">
        <v>772.3</v>
      </c>
    </row>
    <row r="1765" spans="1:15">
      <c r="A1765">
        <v>1444</v>
      </c>
      <c r="B1765" t="s">
        <v>4443</v>
      </c>
      <c r="C1765" t="s">
        <v>4444</v>
      </c>
      <c r="D1765" t="s">
        <v>12028</v>
      </c>
      <c r="E1765" t="s">
        <v>12029</v>
      </c>
      <c r="F1765" t="s">
        <v>12030</v>
      </c>
      <c r="G1765" t="s">
        <v>5904</v>
      </c>
      <c r="H1765">
        <v>86</v>
      </c>
      <c r="I1765">
        <v>86</v>
      </c>
      <c r="J1765">
        <v>86</v>
      </c>
      <c r="K1765">
        <v>79</v>
      </c>
      <c r="L1765">
        <v>82</v>
      </c>
      <c r="M1765">
        <v>91.9</v>
      </c>
      <c r="N1765">
        <v>95.3</v>
      </c>
      <c r="O1765">
        <v>161</v>
      </c>
    </row>
    <row r="1766" spans="1:15">
      <c r="A1766">
        <v>1443</v>
      </c>
      <c r="B1766" t="s">
        <v>12031</v>
      </c>
      <c r="C1766" t="s">
        <v>4447</v>
      </c>
      <c r="D1766" t="s">
        <v>12032</v>
      </c>
      <c r="E1766" t="s">
        <v>12033</v>
      </c>
      <c r="F1766" t="s">
        <v>12034</v>
      </c>
      <c r="G1766" t="s">
        <v>5904</v>
      </c>
      <c r="H1766">
        <v>474</v>
      </c>
      <c r="I1766">
        <v>461</v>
      </c>
      <c r="J1766">
        <v>461</v>
      </c>
      <c r="K1766">
        <v>444</v>
      </c>
      <c r="L1766">
        <v>453</v>
      </c>
      <c r="M1766">
        <v>93.7</v>
      </c>
      <c r="N1766">
        <v>95.6</v>
      </c>
      <c r="O1766">
        <v>921</v>
      </c>
    </row>
    <row r="1767" spans="1:15">
      <c r="A1767">
        <v>1442</v>
      </c>
      <c r="B1767" t="s">
        <v>12035</v>
      </c>
      <c r="C1767" t="s">
        <v>4450</v>
      </c>
      <c r="D1767" t="s">
        <v>12036</v>
      </c>
      <c r="E1767" t="s">
        <v>12037</v>
      </c>
      <c r="F1767" t="s">
        <v>12038</v>
      </c>
      <c r="G1767" t="s">
        <v>5904</v>
      </c>
      <c r="H1767">
        <v>221</v>
      </c>
      <c r="I1767">
        <v>225</v>
      </c>
      <c r="J1767">
        <v>211</v>
      </c>
      <c r="K1767">
        <v>202</v>
      </c>
      <c r="L1767">
        <v>205</v>
      </c>
      <c r="M1767">
        <v>91.4</v>
      </c>
      <c r="N1767">
        <v>92.8</v>
      </c>
      <c r="O1767">
        <v>419.1</v>
      </c>
    </row>
    <row r="1768" spans="1:15">
      <c r="A1768">
        <v>2169</v>
      </c>
      <c r="B1768" t="s">
        <v>12039</v>
      </c>
      <c r="C1768" t="s">
        <v>12040</v>
      </c>
      <c r="D1768" t="s">
        <v>12041</v>
      </c>
      <c r="E1768" t="s">
        <v>12042</v>
      </c>
      <c r="F1768" t="s">
        <v>12043</v>
      </c>
      <c r="G1768" t="s">
        <v>5904</v>
      </c>
      <c r="H1768">
        <v>434</v>
      </c>
      <c r="I1768">
        <v>434</v>
      </c>
      <c r="J1768">
        <v>434</v>
      </c>
      <c r="K1768">
        <v>418</v>
      </c>
      <c r="L1768">
        <v>429</v>
      </c>
      <c r="M1768">
        <v>96.3</v>
      </c>
      <c r="N1768">
        <v>98.8</v>
      </c>
      <c r="O1768">
        <v>869.4</v>
      </c>
    </row>
    <row r="1769" spans="1:15">
      <c r="A1769">
        <v>1441</v>
      </c>
      <c r="B1769" t="s">
        <v>12044</v>
      </c>
      <c r="C1769" t="s">
        <v>4453</v>
      </c>
      <c r="D1769" t="s">
        <v>12045</v>
      </c>
      <c r="E1769" t="s">
        <v>12046</v>
      </c>
      <c r="F1769" t="s">
        <v>12047</v>
      </c>
      <c r="G1769" t="s">
        <v>5904</v>
      </c>
      <c r="H1769">
        <v>315</v>
      </c>
      <c r="I1769">
        <v>301</v>
      </c>
      <c r="J1769">
        <v>285</v>
      </c>
      <c r="K1769">
        <v>249</v>
      </c>
      <c r="L1769">
        <v>263</v>
      </c>
      <c r="M1769">
        <v>79</v>
      </c>
      <c r="N1769">
        <v>83.5</v>
      </c>
      <c r="O1769">
        <v>522.29999999999995</v>
      </c>
    </row>
    <row r="1770" spans="1:15">
      <c r="A1770">
        <v>1440</v>
      </c>
      <c r="B1770" t="s">
        <v>12048</v>
      </c>
      <c r="C1770" t="s">
        <v>4456</v>
      </c>
      <c r="D1770" t="s">
        <v>12049</v>
      </c>
      <c r="E1770" t="s">
        <v>12050</v>
      </c>
      <c r="F1770" t="s">
        <v>12051</v>
      </c>
      <c r="G1770" t="s">
        <v>5904</v>
      </c>
      <c r="H1770">
        <v>1979</v>
      </c>
      <c r="I1770">
        <v>1972</v>
      </c>
      <c r="J1770">
        <v>1979</v>
      </c>
      <c r="K1770">
        <v>1930</v>
      </c>
      <c r="L1770">
        <v>1958</v>
      </c>
      <c r="M1770">
        <v>97.5</v>
      </c>
      <c r="N1770">
        <v>98.9</v>
      </c>
      <c r="O1770">
        <v>3902.8</v>
      </c>
    </row>
    <row r="1771" spans="1:15">
      <c r="A1771">
        <v>1439</v>
      </c>
      <c r="B1771" t="s">
        <v>4457</v>
      </c>
      <c r="C1771" t="s">
        <v>4458</v>
      </c>
      <c r="D1771" t="s">
        <v>12052</v>
      </c>
      <c r="E1771" t="s">
        <v>12053</v>
      </c>
      <c r="F1771" t="s">
        <v>12054</v>
      </c>
      <c r="G1771" t="s">
        <v>5904</v>
      </c>
      <c r="H1771">
        <v>603</v>
      </c>
      <c r="I1771">
        <v>601</v>
      </c>
      <c r="J1771">
        <v>612</v>
      </c>
      <c r="K1771">
        <v>424</v>
      </c>
      <c r="L1771">
        <v>469</v>
      </c>
      <c r="M1771">
        <v>70.3</v>
      </c>
      <c r="N1771">
        <v>77.8</v>
      </c>
      <c r="O1771">
        <v>708.4</v>
      </c>
    </row>
    <row r="1772" spans="1:15">
      <c r="A1772">
        <v>1438</v>
      </c>
      <c r="B1772" t="s">
        <v>4459</v>
      </c>
      <c r="C1772" t="s">
        <v>12055</v>
      </c>
      <c r="D1772" t="s">
        <v>12056</v>
      </c>
      <c r="E1772" t="s">
        <v>12057</v>
      </c>
      <c r="F1772" t="s">
        <v>12058</v>
      </c>
      <c r="G1772" t="s">
        <v>5904</v>
      </c>
      <c r="H1772">
        <v>643</v>
      </c>
      <c r="I1772">
        <v>640</v>
      </c>
      <c r="J1772">
        <v>621</v>
      </c>
      <c r="K1772">
        <v>520</v>
      </c>
      <c r="L1772">
        <v>555</v>
      </c>
      <c r="M1772">
        <v>80.900000000000006</v>
      </c>
      <c r="N1772">
        <v>86.3</v>
      </c>
      <c r="O1772">
        <v>1077.8</v>
      </c>
    </row>
    <row r="1773" spans="1:15">
      <c r="A1773">
        <v>1437</v>
      </c>
      <c r="B1773" t="s">
        <v>4461</v>
      </c>
      <c r="C1773" t="s">
        <v>4463</v>
      </c>
      <c r="D1773" t="s">
        <v>12059</v>
      </c>
      <c r="E1773" t="s">
        <v>12060</v>
      </c>
      <c r="F1773" t="s">
        <v>12061</v>
      </c>
      <c r="G1773" t="s">
        <v>5904</v>
      </c>
      <c r="H1773">
        <v>340</v>
      </c>
      <c r="I1773">
        <v>340</v>
      </c>
      <c r="J1773">
        <v>340</v>
      </c>
      <c r="K1773">
        <v>340</v>
      </c>
      <c r="L1773">
        <v>340</v>
      </c>
      <c r="M1773">
        <v>100</v>
      </c>
      <c r="N1773">
        <v>100</v>
      </c>
      <c r="O1773">
        <v>702.6</v>
      </c>
    </row>
    <row r="1774" spans="1:15">
      <c r="A1774">
        <v>1436</v>
      </c>
      <c r="B1774" t="s">
        <v>12062</v>
      </c>
      <c r="C1774" t="s">
        <v>12063</v>
      </c>
      <c r="D1774" t="s">
        <v>12064</v>
      </c>
      <c r="E1774" t="s">
        <v>12065</v>
      </c>
      <c r="F1774" t="s">
        <v>12066</v>
      </c>
      <c r="G1774" t="s">
        <v>5904</v>
      </c>
      <c r="H1774">
        <v>331</v>
      </c>
      <c r="I1774">
        <v>282</v>
      </c>
      <c r="J1774">
        <v>329</v>
      </c>
      <c r="K1774">
        <v>225</v>
      </c>
      <c r="L1774">
        <v>254</v>
      </c>
      <c r="M1774">
        <v>68</v>
      </c>
      <c r="N1774">
        <v>76.7</v>
      </c>
      <c r="O1774">
        <v>423.3</v>
      </c>
    </row>
    <row r="1775" spans="1:15">
      <c r="A1775">
        <v>1435</v>
      </c>
      <c r="B1775" t="s">
        <v>4467</v>
      </c>
      <c r="C1775" t="s">
        <v>12067</v>
      </c>
      <c r="D1775" t="s">
        <v>12068</v>
      </c>
      <c r="E1775" t="s">
        <v>12069</v>
      </c>
      <c r="F1775" t="s">
        <v>12070</v>
      </c>
      <c r="G1775" t="s">
        <v>5904</v>
      </c>
      <c r="H1775">
        <v>101</v>
      </c>
      <c r="I1775">
        <v>101</v>
      </c>
      <c r="J1775">
        <v>101</v>
      </c>
      <c r="K1775">
        <v>98</v>
      </c>
      <c r="L1775">
        <v>101</v>
      </c>
      <c r="M1775">
        <v>97</v>
      </c>
      <c r="N1775">
        <v>100</v>
      </c>
      <c r="O1775">
        <v>205.3</v>
      </c>
    </row>
    <row r="1776" spans="1:15">
      <c r="A1776">
        <v>1434</v>
      </c>
      <c r="B1776" t="s">
        <v>4469</v>
      </c>
      <c r="C1776" t="s">
        <v>4470</v>
      </c>
      <c r="D1776" t="s">
        <v>12071</v>
      </c>
      <c r="E1776" t="s">
        <v>12072</v>
      </c>
      <c r="F1776" t="s">
        <v>12073</v>
      </c>
      <c r="G1776" t="s">
        <v>5904</v>
      </c>
      <c r="H1776">
        <v>313</v>
      </c>
      <c r="I1776">
        <v>314</v>
      </c>
      <c r="J1776">
        <v>314</v>
      </c>
      <c r="K1776">
        <v>261</v>
      </c>
      <c r="L1776">
        <v>283</v>
      </c>
      <c r="M1776">
        <v>83.4</v>
      </c>
      <c r="N1776">
        <v>90.4</v>
      </c>
      <c r="O1776">
        <v>548.5</v>
      </c>
    </row>
    <row r="1777" spans="1:15">
      <c r="A1777">
        <v>1433</v>
      </c>
      <c r="B1777" t="s">
        <v>4471</v>
      </c>
      <c r="C1777" t="s">
        <v>4472</v>
      </c>
      <c r="D1777" t="s">
        <v>12074</v>
      </c>
      <c r="E1777" t="s">
        <v>12075</v>
      </c>
      <c r="F1777" t="s">
        <v>12076</v>
      </c>
      <c r="G1777" t="s">
        <v>6759</v>
      </c>
      <c r="H1777">
        <v>451</v>
      </c>
      <c r="I1777">
        <v>400</v>
      </c>
      <c r="J1777">
        <v>384</v>
      </c>
      <c r="K1777">
        <v>180</v>
      </c>
      <c r="L1777">
        <v>219</v>
      </c>
      <c r="M1777">
        <v>39.9</v>
      </c>
      <c r="N1777">
        <v>48.6</v>
      </c>
      <c r="O1777">
        <v>198.4</v>
      </c>
    </row>
    <row r="1778" spans="1:15">
      <c r="A1778">
        <v>1432</v>
      </c>
      <c r="B1778" t="s">
        <v>4473</v>
      </c>
      <c r="C1778" t="s">
        <v>4474</v>
      </c>
      <c r="D1778" t="s">
        <v>7762</v>
      </c>
      <c r="E1778" t="s">
        <v>7763</v>
      </c>
      <c r="F1778" t="s">
        <v>12077</v>
      </c>
      <c r="G1778" t="s">
        <v>5904</v>
      </c>
      <c r="H1778">
        <v>129</v>
      </c>
      <c r="I1778">
        <v>122</v>
      </c>
      <c r="J1778">
        <v>130</v>
      </c>
      <c r="K1778">
        <v>95</v>
      </c>
      <c r="L1778">
        <v>105</v>
      </c>
      <c r="M1778">
        <v>73.599999999999994</v>
      </c>
      <c r="N1778">
        <v>81.400000000000006</v>
      </c>
      <c r="O1778">
        <v>185.7</v>
      </c>
    </row>
    <row r="1779" spans="1:15">
      <c r="A1779">
        <v>1431</v>
      </c>
      <c r="B1779" t="s">
        <v>4475</v>
      </c>
      <c r="C1779" t="s">
        <v>1546</v>
      </c>
      <c r="D1779" t="s">
        <v>7762</v>
      </c>
      <c r="E1779" t="s">
        <v>7763</v>
      </c>
      <c r="F1779" t="s">
        <v>12078</v>
      </c>
      <c r="G1779" t="s">
        <v>5904</v>
      </c>
      <c r="H1779">
        <v>129</v>
      </c>
      <c r="I1779">
        <v>122</v>
      </c>
      <c r="J1779">
        <v>130</v>
      </c>
      <c r="K1779">
        <v>97</v>
      </c>
      <c r="L1779">
        <v>106</v>
      </c>
      <c r="M1779">
        <v>75.2</v>
      </c>
      <c r="N1779">
        <v>82.2</v>
      </c>
      <c r="O1779">
        <v>188.7</v>
      </c>
    </row>
    <row r="1780" spans="1:15">
      <c r="A1780">
        <v>2252</v>
      </c>
      <c r="B1780" t="s">
        <v>4476</v>
      </c>
      <c r="C1780" t="s">
        <v>4478</v>
      </c>
      <c r="D1780" t="s">
        <v>12079</v>
      </c>
      <c r="E1780" t="s">
        <v>12080</v>
      </c>
      <c r="F1780" t="s">
        <v>12081</v>
      </c>
      <c r="G1780" t="s">
        <v>5896</v>
      </c>
      <c r="H1780">
        <v>2345</v>
      </c>
      <c r="I1780">
        <v>5088</v>
      </c>
      <c r="J1780">
        <v>2341</v>
      </c>
      <c r="K1780">
        <v>1683</v>
      </c>
      <c r="L1780">
        <v>1943</v>
      </c>
      <c r="M1780">
        <v>71.8</v>
      </c>
      <c r="N1780">
        <v>82.9</v>
      </c>
      <c r="O1780">
        <v>3271.9</v>
      </c>
    </row>
    <row r="1781" spans="1:15">
      <c r="A1781">
        <v>1430</v>
      </c>
      <c r="B1781" t="s">
        <v>4479</v>
      </c>
      <c r="C1781" t="s">
        <v>12082</v>
      </c>
      <c r="D1781" t="s">
        <v>12083</v>
      </c>
      <c r="E1781" t="s">
        <v>12084</v>
      </c>
      <c r="F1781" t="s">
        <v>12085</v>
      </c>
      <c r="G1781" t="s">
        <v>5904</v>
      </c>
      <c r="H1781">
        <v>147</v>
      </c>
      <c r="I1781">
        <v>147</v>
      </c>
      <c r="J1781">
        <v>144</v>
      </c>
      <c r="K1781">
        <v>132</v>
      </c>
      <c r="L1781">
        <v>137</v>
      </c>
      <c r="M1781">
        <v>89.8</v>
      </c>
      <c r="N1781">
        <v>93.2</v>
      </c>
      <c r="O1781">
        <v>277.3</v>
      </c>
    </row>
    <row r="1782" spans="1:15">
      <c r="A1782">
        <v>1429</v>
      </c>
      <c r="B1782" t="s">
        <v>4481</v>
      </c>
      <c r="C1782" t="s">
        <v>4482</v>
      </c>
      <c r="D1782" t="s">
        <v>12086</v>
      </c>
      <c r="E1782" t="s">
        <v>12087</v>
      </c>
      <c r="F1782" t="s">
        <v>12088</v>
      </c>
      <c r="G1782" t="s">
        <v>5904</v>
      </c>
      <c r="H1782">
        <v>493</v>
      </c>
      <c r="I1782">
        <v>493</v>
      </c>
      <c r="J1782">
        <v>493</v>
      </c>
      <c r="K1782">
        <v>478</v>
      </c>
      <c r="L1782">
        <v>485</v>
      </c>
      <c r="M1782">
        <v>97</v>
      </c>
      <c r="N1782">
        <v>98.4</v>
      </c>
      <c r="O1782">
        <v>1006.1</v>
      </c>
    </row>
    <row r="1783" spans="1:15">
      <c r="A1783">
        <v>1428</v>
      </c>
      <c r="B1783" t="s">
        <v>4483</v>
      </c>
      <c r="C1783" t="s">
        <v>4484</v>
      </c>
      <c r="D1783" t="s">
        <v>12089</v>
      </c>
      <c r="E1783" t="s">
        <v>12090</v>
      </c>
      <c r="F1783" t="s">
        <v>12091</v>
      </c>
      <c r="G1783" t="s">
        <v>5904</v>
      </c>
      <c r="H1783">
        <v>165</v>
      </c>
      <c r="I1783">
        <v>165</v>
      </c>
      <c r="J1783">
        <v>165</v>
      </c>
      <c r="K1783">
        <v>164</v>
      </c>
      <c r="L1783">
        <v>165</v>
      </c>
      <c r="M1783">
        <v>99.4</v>
      </c>
      <c r="N1783">
        <v>100</v>
      </c>
      <c r="O1783">
        <v>335.5</v>
      </c>
    </row>
    <row r="1784" spans="1:15">
      <c r="A1784">
        <v>2260</v>
      </c>
      <c r="B1784" t="s">
        <v>4485</v>
      </c>
      <c r="C1784" t="s">
        <v>12092</v>
      </c>
      <c r="D1784" t="s">
        <v>12093</v>
      </c>
      <c r="E1784" t="s">
        <v>12094</v>
      </c>
      <c r="F1784" t="s">
        <v>12095</v>
      </c>
      <c r="G1784" t="s">
        <v>5904</v>
      </c>
      <c r="H1784">
        <v>313</v>
      </c>
      <c r="I1784">
        <v>312</v>
      </c>
      <c r="J1784">
        <v>313</v>
      </c>
      <c r="K1784">
        <v>230</v>
      </c>
      <c r="L1784">
        <v>263</v>
      </c>
      <c r="M1784">
        <v>73.5</v>
      </c>
      <c r="N1784">
        <v>84</v>
      </c>
      <c r="O1784">
        <v>460.3</v>
      </c>
    </row>
    <row r="1785" spans="1:15">
      <c r="A1785">
        <v>1427</v>
      </c>
      <c r="B1785" t="s">
        <v>4487</v>
      </c>
      <c r="C1785" t="s">
        <v>4488</v>
      </c>
      <c r="D1785" t="s">
        <v>12096</v>
      </c>
      <c r="E1785" t="s">
        <v>12097</v>
      </c>
      <c r="F1785" t="s">
        <v>12098</v>
      </c>
      <c r="G1785" t="s">
        <v>5904</v>
      </c>
      <c r="H1785">
        <v>298</v>
      </c>
      <c r="I1785">
        <v>298</v>
      </c>
      <c r="J1785">
        <v>298</v>
      </c>
      <c r="K1785">
        <v>278</v>
      </c>
      <c r="L1785">
        <v>287</v>
      </c>
      <c r="M1785">
        <v>93.3</v>
      </c>
      <c r="N1785">
        <v>96.3</v>
      </c>
      <c r="O1785">
        <v>538.1</v>
      </c>
    </row>
    <row r="1786" spans="1:15">
      <c r="A1786">
        <v>1426</v>
      </c>
      <c r="B1786" t="s">
        <v>12099</v>
      </c>
      <c r="C1786" t="s">
        <v>4491</v>
      </c>
      <c r="D1786" t="s">
        <v>12100</v>
      </c>
      <c r="E1786" t="s">
        <v>12101</v>
      </c>
      <c r="F1786" t="s">
        <v>12102</v>
      </c>
      <c r="G1786" t="s">
        <v>5904</v>
      </c>
      <c r="H1786">
        <v>998</v>
      </c>
      <c r="I1786">
        <v>925</v>
      </c>
      <c r="J1786">
        <v>931</v>
      </c>
      <c r="K1786">
        <v>754</v>
      </c>
      <c r="L1786">
        <v>837</v>
      </c>
      <c r="M1786">
        <v>75.599999999999994</v>
      </c>
      <c r="N1786">
        <v>83.9</v>
      </c>
      <c r="O1786">
        <v>1582.4</v>
      </c>
    </row>
    <row r="1787" spans="1:15">
      <c r="A1787">
        <v>1425</v>
      </c>
      <c r="B1787" t="s">
        <v>4492</v>
      </c>
      <c r="C1787" t="s">
        <v>12103</v>
      </c>
      <c r="D1787" t="s">
        <v>12104</v>
      </c>
      <c r="E1787" t="s">
        <v>12105</v>
      </c>
      <c r="F1787" t="s">
        <v>12106</v>
      </c>
      <c r="G1787" t="s">
        <v>5904</v>
      </c>
      <c r="H1787">
        <v>889</v>
      </c>
      <c r="I1787">
        <v>889</v>
      </c>
      <c r="J1787">
        <v>889</v>
      </c>
      <c r="K1787">
        <v>830</v>
      </c>
      <c r="L1787">
        <v>863</v>
      </c>
      <c r="M1787">
        <v>93.4</v>
      </c>
      <c r="N1787">
        <v>97.1</v>
      </c>
      <c r="O1787">
        <v>1734.9</v>
      </c>
    </row>
    <row r="1788" spans="1:15">
      <c r="A1788">
        <v>1424</v>
      </c>
      <c r="B1788" t="s">
        <v>12107</v>
      </c>
      <c r="C1788" t="s">
        <v>5781</v>
      </c>
      <c r="D1788" t="s">
        <v>12108</v>
      </c>
      <c r="E1788" t="s">
        <v>12109</v>
      </c>
      <c r="F1788" t="s">
        <v>12110</v>
      </c>
      <c r="G1788" t="s">
        <v>5904</v>
      </c>
      <c r="H1788">
        <v>1502</v>
      </c>
      <c r="I1788">
        <v>1427</v>
      </c>
      <c r="J1788">
        <v>1369</v>
      </c>
      <c r="K1788">
        <v>976</v>
      </c>
      <c r="L1788">
        <v>1067</v>
      </c>
      <c r="M1788">
        <v>65</v>
      </c>
      <c r="N1788">
        <v>71</v>
      </c>
      <c r="O1788">
        <v>1876.7</v>
      </c>
    </row>
    <row r="1789" spans="1:15">
      <c r="A1789">
        <v>1423</v>
      </c>
      <c r="B1789" t="s">
        <v>12111</v>
      </c>
      <c r="C1789" t="s">
        <v>12112</v>
      </c>
      <c r="D1789" t="s">
        <v>12113</v>
      </c>
      <c r="E1789" t="s">
        <v>12114</v>
      </c>
      <c r="F1789" t="s">
        <v>12115</v>
      </c>
      <c r="G1789" t="s">
        <v>5904</v>
      </c>
      <c r="H1789">
        <v>2558</v>
      </c>
      <c r="I1789">
        <v>2541</v>
      </c>
      <c r="J1789">
        <v>2558</v>
      </c>
      <c r="K1789">
        <v>2522</v>
      </c>
      <c r="L1789">
        <v>2534</v>
      </c>
      <c r="M1789">
        <v>98.6</v>
      </c>
      <c r="N1789">
        <v>99.1</v>
      </c>
      <c r="O1789">
        <v>5130.8</v>
      </c>
    </row>
    <row r="1790" spans="1:15">
      <c r="A1790">
        <v>2168</v>
      </c>
      <c r="B1790" t="s">
        <v>4497</v>
      </c>
      <c r="C1790" t="s">
        <v>4498</v>
      </c>
      <c r="D1790" t="s">
        <v>12116</v>
      </c>
      <c r="E1790" t="s">
        <v>12117</v>
      </c>
      <c r="F1790" t="s">
        <v>12118</v>
      </c>
      <c r="G1790" t="s">
        <v>5904</v>
      </c>
      <c r="H1790">
        <v>261</v>
      </c>
      <c r="I1790">
        <v>261</v>
      </c>
      <c r="J1790">
        <v>261</v>
      </c>
      <c r="K1790">
        <v>256</v>
      </c>
      <c r="L1790">
        <v>258</v>
      </c>
      <c r="M1790">
        <v>98.1</v>
      </c>
      <c r="N1790">
        <v>98.9</v>
      </c>
      <c r="O1790">
        <v>518.1</v>
      </c>
    </row>
    <row r="1791" spans="1:15">
      <c r="A1791">
        <v>1422</v>
      </c>
      <c r="B1791" t="s">
        <v>12119</v>
      </c>
      <c r="C1791" t="s">
        <v>4501</v>
      </c>
      <c r="D1791" t="s">
        <v>12120</v>
      </c>
      <c r="E1791" t="s">
        <v>12121</v>
      </c>
      <c r="F1791" t="s">
        <v>12122</v>
      </c>
      <c r="G1791" t="s">
        <v>5904</v>
      </c>
      <c r="H1791">
        <v>284</v>
      </c>
      <c r="I1791">
        <v>284</v>
      </c>
      <c r="J1791">
        <v>284</v>
      </c>
      <c r="K1791">
        <v>262</v>
      </c>
      <c r="L1791">
        <v>271</v>
      </c>
      <c r="M1791">
        <v>92.3</v>
      </c>
      <c r="N1791">
        <v>95.4</v>
      </c>
      <c r="O1791">
        <v>453</v>
      </c>
    </row>
    <row r="1792" spans="1:15">
      <c r="A1792">
        <v>1421</v>
      </c>
      <c r="B1792" t="s">
        <v>4502</v>
      </c>
      <c r="C1792" t="s">
        <v>4503</v>
      </c>
      <c r="D1792" t="s">
        <v>12123</v>
      </c>
      <c r="E1792" t="s">
        <v>12124</v>
      </c>
      <c r="F1792" t="s">
        <v>12125</v>
      </c>
      <c r="G1792" t="s">
        <v>5904</v>
      </c>
      <c r="H1792">
        <v>323</v>
      </c>
      <c r="I1792">
        <v>358</v>
      </c>
      <c r="J1792">
        <v>357</v>
      </c>
      <c r="K1792">
        <v>316</v>
      </c>
      <c r="L1792">
        <v>319</v>
      </c>
      <c r="M1792">
        <v>97.8</v>
      </c>
      <c r="N1792">
        <v>98.8</v>
      </c>
      <c r="O1792">
        <v>645.20000000000005</v>
      </c>
    </row>
    <row r="1793" spans="1:15">
      <c r="A1793">
        <v>2167</v>
      </c>
      <c r="B1793" t="s">
        <v>4504</v>
      </c>
      <c r="C1793" t="s">
        <v>4505</v>
      </c>
      <c r="D1793" t="s">
        <v>12126</v>
      </c>
      <c r="E1793" t="s">
        <v>12127</v>
      </c>
      <c r="F1793" t="s">
        <v>12128</v>
      </c>
      <c r="G1793" t="s">
        <v>5904</v>
      </c>
      <c r="H1793">
        <v>280</v>
      </c>
      <c r="I1793">
        <v>267</v>
      </c>
      <c r="J1793">
        <v>267</v>
      </c>
      <c r="K1793">
        <v>226</v>
      </c>
      <c r="L1793">
        <v>242</v>
      </c>
      <c r="M1793">
        <v>80.7</v>
      </c>
      <c r="N1793">
        <v>86.4</v>
      </c>
      <c r="O1793">
        <v>428.3</v>
      </c>
    </row>
    <row r="1794" spans="1:15">
      <c r="A1794">
        <v>1420</v>
      </c>
      <c r="B1794" t="s">
        <v>4506</v>
      </c>
      <c r="C1794" t="s">
        <v>4508</v>
      </c>
      <c r="D1794" t="s">
        <v>10428</v>
      </c>
      <c r="E1794" t="s">
        <v>10429</v>
      </c>
      <c r="F1794" t="s">
        <v>12129</v>
      </c>
      <c r="G1794" t="s">
        <v>5904</v>
      </c>
      <c r="H1794">
        <v>279</v>
      </c>
      <c r="I1794">
        <v>463</v>
      </c>
      <c r="J1794">
        <v>279</v>
      </c>
      <c r="K1794">
        <v>279</v>
      </c>
      <c r="L1794">
        <v>279</v>
      </c>
      <c r="M1794">
        <v>100</v>
      </c>
      <c r="N1794">
        <v>100</v>
      </c>
      <c r="O1794">
        <v>569.70000000000005</v>
      </c>
    </row>
    <row r="1795" spans="1:15">
      <c r="A1795">
        <v>1419</v>
      </c>
      <c r="B1795" t="s">
        <v>4509</v>
      </c>
      <c r="C1795" t="s">
        <v>4510</v>
      </c>
      <c r="D1795" t="s">
        <v>12130</v>
      </c>
      <c r="E1795" t="s">
        <v>12131</v>
      </c>
      <c r="F1795" t="s">
        <v>12132</v>
      </c>
      <c r="G1795" t="s">
        <v>5904</v>
      </c>
      <c r="H1795">
        <v>404</v>
      </c>
      <c r="I1795">
        <v>397</v>
      </c>
      <c r="J1795">
        <v>390</v>
      </c>
      <c r="K1795">
        <v>389</v>
      </c>
      <c r="L1795">
        <v>389</v>
      </c>
      <c r="M1795">
        <v>96.3</v>
      </c>
      <c r="N1795">
        <v>96.3</v>
      </c>
      <c r="O1795">
        <v>798.5</v>
      </c>
    </row>
    <row r="1796" spans="1:15">
      <c r="A1796">
        <v>1418</v>
      </c>
      <c r="B1796" t="s">
        <v>4511</v>
      </c>
      <c r="C1796" t="s">
        <v>4512</v>
      </c>
      <c r="D1796" t="s">
        <v>12133</v>
      </c>
      <c r="E1796" t="s">
        <v>12134</v>
      </c>
      <c r="F1796" t="s">
        <v>12135</v>
      </c>
      <c r="G1796" t="s">
        <v>5904</v>
      </c>
      <c r="H1796">
        <v>2151</v>
      </c>
      <c r="I1796">
        <v>2201</v>
      </c>
      <c r="J1796">
        <v>2201</v>
      </c>
      <c r="K1796">
        <v>1894</v>
      </c>
      <c r="L1796">
        <v>2026</v>
      </c>
      <c r="M1796">
        <v>88.1</v>
      </c>
      <c r="N1796">
        <v>94.2</v>
      </c>
      <c r="O1796">
        <v>3917.8</v>
      </c>
    </row>
    <row r="1797" spans="1:15">
      <c r="A1797">
        <v>1417</v>
      </c>
      <c r="B1797" t="s">
        <v>4513</v>
      </c>
      <c r="C1797" t="s">
        <v>4514</v>
      </c>
      <c r="D1797" t="s">
        <v>12136</v>
      </c>
      <c r="E1797" t="s">
        <v>12137</v>
      </c>
      <c r="F1797" t="s">
        <v>12138</v>
      </c>
      <c r="G1797" t="s">
        <v>5904</v>
      </c>
      <c r="H1797">
        <v>736</v>
      </c>
      <c r="I1797">
        <v>746</v>
      </c>
      <c r="J1797">
        <v>747</v>
      </c>
      <c r="K1797">
        <v>641</v>
      </c>
      <c r="L1797">
        <v>667</v>
      </c>
      <c r="M1797">
        <v>87.1</v>
      </c>
      <c r="N1797">
        <v>90.6</v>
      </c>
      <c r="O1797">
        <v>1259.5999999999999</v>
      </c>
    </row>
    <row r="1798" spans="1:15">
      <c r="A1798">
        <v>1416</v>
      </c>
      <c r="B1798" t="s">
        <v>12139</v>
      </c>
      <c r="C1798" t="s">
        <v>4517</v>
      </c>
      <c r="D1798" t="s">
        <v>12140</v>
      </c>
      <c r="E1798" t="s">
        <v>12141</v>
      </c>
      <c r="F1798" t="s">
        <v>12142</v>
      </c>
      <c r="G1798" t="s">
        <v>5904</v>
      </c>
      <c r="H1798">
        <v>1284</v>
      </c>
      <c r="I1798">
        <v>1285</v>
      </c>
      <c r="J1798">
        <v>1287</v>
      </c>
      <c r="K1798">
        <v>1063</v>
      </c>
      <c r="L1798">
        <v>1124</v>
      </c>
      <c r="M1798">
        <v>82.8</v>
      </c>
      <c r="N1798">
        <v>87.5</v>
      </c>
      <c r="O1798">
        <v>2026.5</v>
      </c>
    </row>
    <row r="1799" spans="1:15">
      <c r="A1799">
        <v>1415</v>
      </c>
      <c r="B1799" t="s">
        <v>12143</v>
      </c>
      <c r="C1799" t="s">
        <v>4520</v>
      </c>
      <c r="D1799" t="s">
        <v>12144</v>
      </c>
      <c r="E1799" t="s">
        <v>12145</v>
      </c>
      <c r="F1799" t="s">
        <v>12146</v>
      </c>
      <c r="G1799" t="s">
        <v>5904</v>
      </c>
      <c r="H1799">
        <v>719</v>
      </c>
      <c r="I1799">
        <v>658</v>
      </c>
      <c r="J1799">
        <v>624</v>
      </c>
      <c r="K1799">
        <v>453</v>
      </c>
      <c r="L1799">
        <v>503</v>
      </c>
      <c r="M1799">
        <v>63</v>
      </c>
      <c r="N1799">
        <v>70</v>
      </c>
      <c r="O1799">
        <v>856.7</v>
      </c>
    </row>
    <row r="1800" spans="1:15">
      <c r="A1800">
        <v>1414</v>
      </c>
      <c r="B1800" t="s">
        <v>4521</v>
      </c>
      <c r="C1800" t="s">
        <v>4522</v>
      </c>
      <c r="D1800" t="s">
        <v>12147</v>
      </c>
      <c r="E1800" t="s">
        <v>12148</v>
      </c>
      <c r="F1800" t="s">
        <v>12149</v>
      </c>
      <c r="G1800" t="s">
        <v>5904</v>
      </c>
      <c r="H1800">
        <v>227</v>
      </c>
      <c r="I1800">
        <v>227</v>
      </c>
      <c r="J1800">
        <v>227</v>
      </c>
      <c r="K1800">
        <v>216</v>
      </c>
      <c r="L1800">
        <v>221</v>
      </c>
      <c r="M1800">
        <v>95.2</v>
      </c>
      <c r="N1800">
        <v>97.4</v>
      </c>
      <c r="O1800">
        <v>447.6</v>
      </c>
    </row>
    <row r="1801" spans="1:15">
      <c r="A1801">
        <v>1413</v>
      </c>
      <c r="B1801" t="s">
        <v>4523</v>
      </c>
      <c r="C1801" t="s">
        <v>4524</v>
      </c>
      <c r="D1801" t="s">
        <v>12150</v>
      </c>
      <c r="E1801" t="s">
        <v>12151</v>
      </c>
      <c r="F1801" t="s">
        <v>12152</v>
      </c>
      <c r="G1801" t="s">
        <v>5904</v>
      </c>
      <c r="H1801">
        <v>284</v>
      </c>
      <c r="I1801">
        <v>288</v>
      </c>
      <c r="J1801">
        <v>284</v>
      </c>
      <c r="K1801">
        <v>273</v>
      </c>
      <c r="L1801">
        <v>278</v>
      </c>
      <c r="M1801">
        <v>96.1</v>
      </c>
      <c r="N1801">
        <v>97.9</v>
      </c>
      <c r="O1801">
        <v>562.4</v>
      </c>
    </row>
    <row r="1802" spans="1:15">
      <c r="A1802">
        <v>1412</v>
      </c>
      <c r="B1802" t="s">
        <v>4525</v>
      </c>
      <c r="C1802" t="s">
        <v>4526</v>
      </c>
      <c r="D1802" t="s">
        <v>12153</v>
      </c>
      <c r="E1802" t="s">
        <v>12154</v>
      </c>
      <c r="F1802" t="s">
        <v>12155</v>
      </c>
      <c r="G1802" t="s">
        <v>5904</v>
      </c>
      <c r="H1802">
        <v>400</v>
      </c>
      <c r="I1802">
        <v>398</v>
      </c>
      <c r="J1802">
        <v>400</v>
      </c>
      <c r="K1802">
        <v>351</v>
      </c>
      <c r="L1802">
        <v>373</v>
      </c>
      <c r="M1802">
        <v>87.8</v>
      </c>
      <c r="N1802">
        <v>93.2</v>
      </c>
      <c r="O1802">
        <v>730.7</v>
      </c>
    </row>
    <row r="1803" spans="1:15">
      <c r="A1803">
        <v>1411</v>
      </c>
      <c r="B1803" t="s">
        <v>4527</v>
      </c>
      <c r="C1803" t="s">
        <v>12156</v>
      </c>
      <c r="D1803" t="s">
        <v>12157</v>
      </c>
      <c r="E1803" t="s">
        <v>12158</v>
      </c>
      <c r="F1803" t="s">
        <v>12159</v>
      </c>
      <c r="G1803" t="s">
        <v>5904</v>
      </c>
      <c r="H1803">
        <v>219</v>
      </c>
      <c r="I1803">
        <v>219</v>
      </c>
      <c r="J1803">
        <v>219</v>
      </c>
      <c r="K1803">
        <v>218</v>
      </c>
      <c r="L1803">
        <v>218</v>
      </c>
      <c r="M1803">
        <v>99.5</v>
      </c>
      <c r="N1803">
        <v>99.5</v>
      </c>
      <c r="O1803">
        <v>438.7</v>
      </c>
    </row>
    <row r="1804" spans="1:15">
      <c r="A1804">
        <v>1410</v>
      </c>
      <c r="B1804" t="s">
        <v>4529</v>
      </c>
      <c r="C1804" t="s">
        <v>4530</v>
      </c>
      <c r="D1804" t="s">
        <v>12160</v>
      </c>
      <c r="E1804" t="s">
        <v>12161</v>
      </c>
      <c r="F1804" t="s">
        <v>12162</v>
      </c>
      <c r="G1804" t="s">
        <v>5904</v>
      </c>
      <c r="H1804">
        <v>806</v>
      </c>
      <c r="I1804">
        <v>806</v>
      </c>
      <c r="J1804">
        <v>806</v>
      </c>
      <c r="K1804">
        <v>805</v>
      </c>
      <c r="L1804">
        <v>805</v>
      </c>
      <c r="M1804">
        <v>99.9</v>
      </c>
      <c r="N1804">
        <v>99.9</v>
      </c>
      <c r="O1804">
        <v>1644</v>
      </c>
    </row>
    <row r="1805" spans="1:15">
      <c r="A1805">
        <v>1409</v>
      </c>
      <c r="B1805" t="s">
        <v>12163</v>
      </c>
      <c r="C1805" t="s">
        <v>4533</v>
      </c>
      <c r="D1805" t="s">
        <v>12164</v>
      </c>
      <c r="E1805" t="s">
        <v>12165</v>
      </c>
      <c r="F1805" t="s">
        <v>12166</v>
      </c>
      <c r="G1805" t="s">
        <v>5904</v>
      </c>
      <c r="H1805">
        <v>439</v>
      </c>
      <c r="I1805">
        <v>437</v>
      </c>
      <c r="J1805">
        <v>438</v>
      </c>
      <c r="K1805">
        <v>390</v>
      </c>
      <c r="L1805">
        <v>422</v>
      </c>
      <c r="M1805">
        <v>88.8</v>
      </c>
      <c r="N1805">
        <v>96.1</v>
      </c>
      <c r="O1805">
        <v>787.7</v>
      </c>
    </row>
    <row r="1806" spans="1:15">
      <c r="A1806">
        <v>1408</v>
      </c>
      <c r="B1806" t="s">
        <v>4534</v>
      </c>
      <c r="C1806" t="s">
        <v>4535</v>
      </c>
      <c r="D1806" t="s">
        <v>12167</v>
      </c>
      <c r="E1806" t="s">
        <v>12168</v>
      </c>
      <c r="F1806" t="s">
        <v>12169</v>
      </c>
      <c r="G1806" t="s">
        <v>5904</v>
      </c>
      <c r="H1806">
        <v>359</v>
      </c>
      <c r="I1806">
        <v>359</v>
      </c>
      <c r="J1806">
        <v>359</v>
      </c>
      <c r="K1806">
        <v>341</v>
      </c>
      <c r="L1806">
        <v>353</v>
      </c>
      <c r="M1806">
        <v>95</v>
      </c>
      <c r="N1806">
        <v>98.3</v>
      </c>
      <c r="O1806">
        <v>718.4</v>
      </c>
    </row>
    <row r="1807" spans="1:15">
      <c r="A1807">
        <v>1407</v>
      </c>
      <c r="B1807" t="s">
        <v>4536</v>
      </c>
      <c r="C1807" t="s">
        <v>12170</v>
      </c>
      <c r="D1807" t="s">
        <v>12171</v>
      </c>
      <c r="E1807" t="s">
        <v>12172</v>
      </c>
      <c r="F1807" t="s">
        <v>12173</v>
      </c>
      <c r="G1807" t="s">
        <v>5904</v>
      </c>
      <c r="H1807">
        <v>403</v>
      </c>
      <c r="I1807">
        <v>401</v>
      </c>
      <c r="J1807">
        <v>404</v>
      </c>
      <c r="K1807">
        <v>329</v>
      </c>
      <c r="L1807">
        <v>350</v>
      </c>
      <c r="M1807">
        <v>81.599999999999994</v>
      </c>
      <c r="N1807">
        <v>86.8</v>
      </c>
      <c r="O1807">
        <v>598.6</v>
      </c>
    </row>
    <row r="1808" spans="1:15">
      <c r="A1808">
        <v>1406</v>
      </c>
      <c r="B1808" t="s">
        <v>4538</v>
      </c>
      <c r="C1808" t="s">
        <v>4539</v>
      </c>
      <c r="D1808" t="s">
        <v>12174</v>
      </c>
      <c r="E1808" t="s">
        <v>12175</v>
      </c>
      <c r="F1808" t="s">
        <v>12176</v>
      </c>
      <c r="G1808" t="s">
        <v>5904</v>
      </c>
      <c r="H1808">
        <v>454</v>
      </c>
      <c r="I1808">
        <v>454</v>
      </c>
      <c r="J1808">
        <v>454</v>
      </c>
      <c r="K1808">
        <v>408</v>
      </c>
      <c r="L1808">
        <v>430</v>
      </c>
      <c r="M1808">
        <v>89.9</v>
      </c>
      <c r="N1808">
        <v>94.7</v>
      </c>
      <c r="O1808">
        <v>859</v>
      </c>
    </row>
    <row r="1809" spans="1:15">
      <c r="A1809">
        <v>1405</v>
      </c>
      <c r="B1809" t="s">
        <v>12177</v>
      </c>
      <c r="C1809" t="s">
        <v>4542</v>
      </c>
      <c r="D1809" t="s">
        <v>12178</v>
      </c>
      <c r="E1809" t="s">
        <v>12179</v>
      </c>
      <c r="F1809" t="s">
        <v>12180</v>
      </c>
      <c r="G1809" t="s">
        <v>5904</v>
      </c>
      <c r="H1809">
        <v>504</v>
      </c>
      <c r="I1809">
        <v>504</v>
      </c>
      <c r="J1809">
        <v>504</v>
      </c>
      <c r="K1809">
        <v>471</v>
      </c>
      <c r="L1809">
        <v>491</v>
      </c>
      <c r="M1809">
        <v>93.5</v>
      </c>
      <c r="N1809">
        <v>97.4</v>
      </c>
      <c r="O1809">
        <v>980.7</v>
      </c>
    </row>
    <row r="1810" spans="1:15">
      <c r="A1810">
        <v>1404</v>
      </c>
      <c r="B1810" t="s">
        <v>12181</v>
      </c>
      <c r="C1810" t="s">
        <v>4545</v>
      </c>
      <c r="D1810" t="s">
        <v>12182</v>
      </c>
      <c r="E1810" t="s">
        <v>12183</v>
      </c>
      <c r="F1810" t="s">
        <v>12184</v>
      </c>
      <c r="G1810" t="s">
        <v>5904</v>
      </c>
      <c r="H1810">
        <v>444</v>
      </c>
      <c r="I1810">
        <v>422</v>
      </c>
      <c r="J1810">
        <v>403</v>
      </c>
      <c r="K1810">
        <v>340</v>
      </c>
      <c r="L1810">
        <v>372</v>
      </c>
      <c r="M1810">
        <v>76.599999999999994</v>
      </c>
      <c r="N1810">
        <v>83.8</v>
      </c>
      <c r="O1810">
        <v>732.2</v>
      </c>
    </row>
    <row r="1811" spans="1:15">
      <c r="A1811">
        <v>1403</v>
      </c>
      <c r="B1811" t="s">
        <v>4546</v>
      </c>
      <c r="C1811" t="s">
        <v>4547</v>
      </c>
      <c r="D1811" t="s">
        <v>12185</v>
      </c>
      <c r="E1811" t="s">
        <v>12186</v>
      </c>
      <c r="F1811" t="s">
        <v>12187</v>
      </c>
      <c r="G1811" t="s">
        <v>5904</v>
      </c>
      <c r="H1811">
        <v>654</v>
      </c>
      <c r="I1811">
        <v>654</v>
      </c>
      <c r="J1811">
        <v>654</v>
      </c>
      <c r="K1811">
        <v>648</v>
      </c>
      <c r="L1811">
        <v>652</v>
      </c>
      <c r="M1811">
        <v>99.1</v>
      </c>
      <c r="N1811">
        <v>99.7</v>
      </c>
      <c r="O1811">
        <v>1315.4</v>
      </c>
    </row>
    <row r="1812" spans="1:15">
      <c r="A1812">
        <v>1402</v>
      </c>
      <c r="B1812" t="s">
        <v>4548</v>
      </c>
      <c r="C1812" t="s">
        <v>4549</v>
      </c>
      <c r="D1812" t="s">
        <v>12188</v>
      </c>
      <c r="E1812" t="s">
        <v>12189</v>
      </c>
      <c r="F1812" t="s">
        <v>12190</v>
      </c>
      <c r="G1812" t="s">
        <v>5904</v>
      </c>
      <c r="H1812">
        <v>206</v>
      </c>
      <c r="I1812">
        <v>201</v>
      </c>
      <c r="J1812">
        <v>203</v>
      </c>
      <c r="K1812">
        <v>121</v>
      </c>
      <c r="L1812">
        <v>157</v>
      </c>
      <c r="M1812">
        <v>58.7</v>
      </c>
      <c r="N1812">
        <v>76.2</v>
      </c>
      <c r="O1812">
        <v>236.9</v>
      </c>
    </row>
    <row r="1813" spans="1:15">
      <c r="A1813">
        <v>1401</v>
      </c>
      <c r="B1813" t="s">
        <v>12191</v>
      </c>
      <c r="C1813" t="s">
        <v>4552</v>
      </c>
      <c r="D1813" t="s">
        <v>12192</v>
      </c>
      <c r="E1813" t="s">
        <v>12193</v>
      </c>
      <c r="F1813" t="s">
        <v>12194</v>
      </c>
      <c r="G1813" t="s">
        <v>5904</v>
      </c>
      <c r="H1813">
        <v>703</v>
      </c>
      <c r="I1813">
        <v>646</v>
      </c>
      <c r="J1813">
        <v>704</v>
      </c>
      <c r="K1813">
        <v>550</v>
      </c>
      <c r="L1813">
        <v>581</v>
      </c>
      <c r="M1813">
        <v>78.2</v>
      </c>
      <c r="N1813">
        <v>82.6</v>
      </c>
      <c r="O1813">
        <v>1010.4</v>
      </c>
    </row>
    <row r="1814" spans="1:15">
      <c r="A1814">
        <v>1400</v>
      </c>
      <c r="B1814" t="s">
        <v>4553</v>
      </c>
      <c r="C1814" t="s">
        <v>12195</v>
      </c>
      <c r="D1814" t="s">
        <v>12196</v>
      </c>
      <c r="E1814" t="s">
        <v>12197</v>
      </c>
      <c r="F1814" t="s">
        <v>12198</v>
      </c>
      <c r="G1814" t="s">
        <v>5904</v>
      </c>
      <c r="H1814">
        <v>352</v>
      </c>
      <c r="I1814">
        <v>352</v>
      </c>
      <c r="J1814">
        <v>334</v>
      </c>
      <c r="K1814">
        <v>265</v>
      </c>
      <c r="L1814">
        <v>297</v>
      </c>
      <c r="M1814">
        <v>75.3</v>
      </c>
      <c r="N1814">
        <v>84.4</v>
      </c>
      <c r="O1814">
        <v>570.1</v>
      </c>
    </row>
    <row r="1815" spans="1:15">
      <c r="A1815">
        <v>1399</v>
      </c>
      <c r="B1815" t="s">
        <v>4555</v>
      </c>
      <c r="C1815" t="s">
        <v>4556</v>
      </c>
      <c r="D1815" t="s">
        <v>12199</v>
      </c>
      <c r="E1815" t="s">
        <v>12200</v>
      </c>
      <c r="F1815" t="s">
        <v>12201</v>
      </c>
      <c r="G1815" t="s">
        <v>5904</v>
      </c>
      <c r="H1815">
        <v>123</v>
      </c>
      <c r="I1815">
        <v>123</v>
      </c>
      <c r="J1815">
        <v>123</v>
      </c>
      <c r="K1815">
        <v>122</v>
      </c>
      <c r="L1815">
        <v>123</v>
      </c>
      <c r="M1815">
        <v>99.2</v>
      </c>
      <c r="N1815">
        <v>100</v>
      </c>
      <c r="O1815">
        <v>235.7</v>
      </c>
    </row>
    <row r="1816" spans="1:15">
      <c r="A1816">
        <v>1398</v>
      </c>
      <c r="B1816" t="s">
        <v>4557</v>
      </c>
      <c r="C1816" t="s">
        <v>4558</v>
      </c>
      <c r="D1816" t="s">
        <v>12202</v>
      </c>
      <c r="E1816" t="s">
        <v>12203</v>
      </c>
      <c r="F1816" t="s">
        <v>12204</v>
      </c>
      <c r="G1816" t="s">
        <v>5904</v>
      </c>
      <c r="H1816">
        <v>412</v>
      </c>
      <c r="I1816">
        <v>412</v>
      </c>
      <c r="J1816">
        <v>412</v>
      </c>
      <c r="K1816">
        <v>404</v>
      </c>
      <c r="L1816">
        <v>409</v>
      </c>
      <c r="M1816">
        <v>98.1</v>
      </c>
      <c r="N1816">
        <v>99.3</v>
      </c>
      <c r="O1816">
        <v>845.5</v>
      </c>
    </row>
    <row r="1817" spans="1:15">
      <c r="A1817">
        <v>1397</v>
      </c>
      <c r="B1817" t="s">
        <v>12205</v>
      </c>
      <c r="C1817" t="s">
        <v>4561</v>
      </c>
      <c r="D1817" t="s">
        <v>12206</v>
      </c>
      <c r="E1817" t="s">
        <v>12207</v>
      </c>
      <c r="F1817" t="s">
        <v>12208</v>
      </c>
      <c r="G1817" t="s">
        <v>5900</v>
      </c>
      <c r="H1817">
        <v>193</v>
      </c>
      <c r="I1817">
        <v>101</v>
      </c>
      <c r="J1817">
        <v>63</v>
      </c>
      <c r="K1817">
        <v>60</v>
      </c>
      <c r="L1817">
        <v>63</v>
      </c>
      <c r="M1817">
        <v>31.1</v>
      </c>
      <c r="N1817">
        <v>32.6</v>
      </c>
      <c r="O1817">
        <v>129.80000000000001</v>
      </c>
    </row>
    <row r="1818" spans="1:15">
      <c r="A1818">
        <v>2166</v>
      </c>
      <c r="B1818" t="s">
        <v>12209</v>
      </c>
      <c r="C1818" t="s">
        <v>4564</v>
      </c>
      <c r="D1818" t="s">
        <v>12210</v>
      </c>
      <c r="E1818" t="s">
        <v>12211</v>
      </c>
      <c r="F1818" t="s">
        <v>12212</v>
      </c>
      <c r="G1818" t="s">
        <v>5904</v>
      </c>
      <c r="H1818">
        <v>301</v>
      </c>
      <c r="I1818">
        <v>277</v>
      </c>
      <c r="J1818">
        <v>269</v>
      </c>
      <c r="K1818">
        <v>250</v>
      </c>
      <c r="L1818">
        <v>257</v>
      </c>
      <c r="M1818">
        <v>83.1</v>
      </c>
      <c r="N1818">
        <v>85.4</v>
      </c>
      <c r="O1818">
        <v>517.29999999999995</v>
      </c>
    </row>
    <row r="1819" spans="1:15">
      <c r="A1819">
        <v>1396</v>
      </c>
      <c r="B1819" t="s">
        <v>4565</v>
      </c>
      <c r="C1819" t="s">
        <v>4566</v>
      </c>
      <c r="D1819" t="s">
        <v>12213</v>
      </c>
      <c r="E1819" t="s">
        <v>12214</v>
      </c>
      <c r="F1819" t="s">
        <v>12215</v>
      </c>
      <c r="G1819" t="s">
        <v>5904</v>
      </c>
      <c r="H1819">
        <v>218</v>
      </c>
      <c r="I1819">
        <v>248</v>
      </c>
      <c r="J1819">
        <v>248</v>
      </c>
      <c r="K1819">
        <v>216</v>
      </c>
      <c r="L1819">
        <v>216</v>
      </c>
      <c r="M1819">
        <v>99.1</v>
      </c>
      <c r="N1819">
        <v>99.1</v>
      </c>
      <c r="O1819">
        <v>421.4</v>
      </c>
    </row>
    <row r="1820" spans="1:15">
      <c r="A1820">
        <v>1395</v>
      </c>
      <c r="B1820" t="s">
        <v>4567</v>
      </c>
      <c r="C1820" t="s">
        <v>4568</v>
      </c>
      <c r="D1820" t="s">
        <v>12216</v>
      </c>
      <c r="E1820" t="s">
        <v>12217</v>
      </c>
      <c r="F1820" t="s">
        <v>12218</v>
      </c>
      <c r="G1820" t="s">
        <v>5904</v>
      </c>
      <c r="H1820">
        <v>489</v>
      </c>
      <c r="I1820">
        <v>406</v>
      </c>
      <c r="J1820">
        <v>406</v>
      </c>
      <c r="K1820">
        <v>389</v>
      </c>
      <c r="L1820">
        <v>399</v>
      </c>
      <c r="M1820">
        <v>79.599999999999994</v>
      </c>
      <c r="N1820">
        <v>81.599999999999994</v>
      </c>
      <c r="O1820">
        <v>816.6</v>
      </c>
    </row>
    <row r="1821" spans="1:15">
      <c r="A1821">
        <v>2165</v>
      </c>
      <c r="B1821" t="s">
        <v>12219</v>
      </c>
      <c r="C1821" t="s">
        <v>4571</v>
      </c>
      <c r="D1821" t="s">
        <v>12220</v>
      </c>
      <c r="E1821" t="s">
        <v>12221</v>
      </c>
      <c r="F1821" t="s">
        <v>12222</v>
      </c>
      <c r="G1821" t="s">
        <v>5904</v>
      </c>
      <c r="H1821">
        <v>464</v>
      </c>
      <c r="I1821">
        <v>461</v>
      </c>
      <c r="J1821">
        <v>464</v>
      </c>
      <c r="K1821">
        <v>354</v>
      </c>
      <c r="L1821">
        <v>388</v>
      </c>
      <c r="M1821">
        <v>76.3</v>
      </c>
      <c r="N1821">
        <v>83.6</v>
      </c>
      <c r="O1821">
        <v>658.7</v>
      </c>
    </row>
    <row r="1822" spans="1:15">
      <c r="A1822">
        <v>2164</v>
      </c>
      <c r="B1822" t="s">
        <v>12223</v>
      </c>
      <c r="C1822" t="s">
        <v>4574</v>
      </c>
      <c r="D1822" t="s">
        <v>12224</v>
      </c>
      <c r="E1822" t="s">
        <v>12225</v>
      </c>
      <c r="F1822" t="s">
        <v>12226</v>
      </c>
      <c r="G1822" t="s">
        <v>5904</v>
      </c>
      <c r="H1822">
        <v>477</v>
      </c>
      <c r="I1822">
        <v>477</v>
      </c>
      <c r="J1822">
        <v>477</v>
      </c>
      <c r="K1822">
        <v>442</v>
      </c>
      <c r="L1822">
        <v>460</v>
      </c>
      <c r="M1822">
        <v>92.7</v>
      </c>
      <c r="N1822">
        <v>96.4</v>
      </c>
      <c r="O1822">
        <v>920.2</v>
      </c>
    </row>
    <row r="1823" spans="1:15">
      <c r="A1823">
        <v>1394</v>
      </c>
      <c r="B1823" t="s">
        <v>4575</v>
      </c>
      <c r="C1823" t="s">
        <v>4577</v>
      </c>
      <c r="D1823" t="s">
        <v>12227</v>
      </c>
      <c r="E1823" t="s">
        <v>12228</v>
      </c>
      <c r="F1823" t="s">
        <v>12229</v>
      </c>
      <c r="G1823" t="s">
        <v>5904</v>
      </c>
      <c r="H1823">
        <v>940</v>
      </c>
      <c r="I1823">
        <v>943</v>
      </c>
      <c r="J1823">
        <v>943</v>
      </c>
      <c r="K1823">
        <v>868</v>
      </c>
      <c r="L1823">
        <v>903</v>
      </c>
      <c r="M1823">
        <v>92.3</v>
      </c>
      <c r="N1823">
        <v>96.1</v>
      </c>
      <c r="O1823">
        <v>1728.4</v>
      </c>
    </row>
    <row r="1824" spans="1:15">
      <c r="A1824">
        <v>1393</v>
      </c>
      <c r="B1824" t="s">
        <v>12230</v>
      </c>
      <c r="C1824" t="s">
        <v>4580</v>
      </c>
      <c r="D1824" t="s">
        <v>12231</v>
      </c>
      <c r="E1824" t="s">
        <v>12232</v>
      </c>
      <c r="F1824" t="s">
        <v>12233</v>
      </c>
      <c r="G1824" t="s">
        <v>5904</v>
      </c>
      <c r="H1824">
        <v>1202</v>
      </c>
      <c r="I1824">
        <v>1190</v>
      </c>
      <c r="J1824">
        <v>1183</v>
      </c>
      <c r="K1824">
        <v>1062</v>
      </c>
      <c r="L1824">
        <v>1100</v>
      </c>
      <c r="M1824">
        <v>88.4</v>
      </c>
      <c r="N1824">
        <v>91.5</v>
      </c>
      <c r="O1824">
        <v>2028.5</v>
      </c>
    </row>
    <row r="1825" spans="1:15">
      <c r="A1825">
        <v>1392</v>
      </c>
      <c r="B1825" t="s">
        <v>12234</v>
      </c>
      <c r="C1825" t="s">
        <v>4583</v>
      </c>
      <c r="D1825" t="s">
        <v>12235</v>
      </c>
      <c r="E1825" t="s">
        <v>12236</v>
      </c>
      <c r="F1825" t="s">
        <v>12237</v>
      </c>
      <c r="G1825" t="s">
        <v>5904</v>
      </c>
      <c r="H1825">
        <v>1933</v>
      </c>
      <c r="I1825">
        <v>1912</v>
      </c>
      <c r="J1825">
        <v>1930</v>
      </c>
      <c r="K1825">
        <v>1891</v>
      </c>
      <c r="L1825">
        <v>1903</v>
      </c>
      <c r="M1825">
        <v>97.8</v>
      </c>
      <c r="N1825">
        <v>98.4</v>
      </c>
      <c r="O1825">
        <v>3920.6</v>
      </c>
    </row>
    <row r="1826" spans="1:15">
      <c r="A1826">
        <v>1391</v>
      </c>
      <c r="B1826" t="s">
        <v>12238</v>
      </c>
      <c r="C1826" t="s">
        <v>4586</v>
      </c>
      <c r="D1826" t="s">
        <v>12239</v>
      </c>
      <c r="E1826" t="s">
        <v>12240</v>
      </c>
      <c r="F1826" t="s">
        <v>12241</v>
      </c>
      <c r="G1826" t="s">
        <v>5904</v>
      </c>
      <c r="H1826">
        <v>408</v>
      </c>
      <c r="I1826">
        <v>409</v>
      </c>
      <c r="J1826">
        <v>409</v>
      </c>
      <c r="K1826">
        <v>378</v>
      </c>
      <c r="L1826">
        <v>387</v>
      </c>
      <c r="M1826">
        <v>92.6</v>
      </c>
      <c r="N1826">
        <v>94.9</v>
      </c>
      <c r="O1826">
        <v>674.5</v>
      </c>
    </row>
    <row r="1827" spans="1:15">
      <c r="A1827">
        <v>1390</v>
      </c>
      <c r="B1827" t="s">
        <v>12242</v>
      </c>
      <c r="C1827" t="s">
        <v>4590</v>
      </c>
      <c r="D1827" t="s">
        <v>12243</v>
      </c>
      <c r="E1827" t="s">
        <v>12244</v>
      </c>
      <c r="F1827" t="s">
        <v>12245</v>
      </c>
      <c r="G1827" t="s">
        <v>5904</v>
      </c>
      <c r="H1827">
        <v>1432</v>
      </c>
      <c r="I1827">
        <v>1388</v>
      </c>
      <c r="J1827">
        <v>1422</v>
      </c>
      <c r="K1827">
        <v>1123</v>
      </c>
      <c r="L1827">
        <v>1194</v>
      </c>
      <c r="M1827">
        <v>78.400000000000006</v>
      </c>
      <c r="N1827">
        <v>83.4</v>
      </c>
      <c r="O1827">
        <v>1722.6</v>
      </c>
    </row>
    <row r="1828" spans="1:15">
      <c r="A1828">
        <v>1389</v>
      </c>
      <c r="B1828" t="s">
        <v>12246</v>
      </c>
      <c r="C1828" t="s">
        <v>4593</v>
      </c>
      <c r="D1828" t="s">
        <v>12247</v>
      </c>
      <c r="E1828" t="s">
        <v>12248</v>
      </c>
      <c r="F1828" t="s">
        <v>12249</v>
      </c>
      <c r="G1828" t="s">
        <v>5904</v>
      </c>
      <c r="H1828">
        <v>386</v>
      </c>
      <c r="I1828">
        <v>356</v>
      </c>
      <c r="J1828">
        <v>386</v>
      </c>
      <c r="K1828">
        <v>347</v>
      </c>
      <c r="L1828">
        <v>351</v>
      </c>
      <c r="M1828">
        <v>89.9</v>
      </c>
      <c r="N1828">
        <v>90.9</v>
      </c>
      <c r="O1828">
        <v>660.6</v>
      </c>
    </row>
    <row r="1829" spans="1:15">
      <c r="A1829">
        <v>1388</v>
      </c>
      <c r="B1829" t="s">
        <v>4594</v>
      </c>
      <c r="C1829" t="s">
        <v>4595</v>
      </c>
      <c r="D1829" t="s">
        <v>12250</v>
      </c>
      <c r="E1829" t="s">
        <v>12251</v>
      </c>
      <c r="F1829" t="s">
        <v>12252</v>
      </c>
      <c r="G1829" t="s">
        <v>5904</v>
      </c>
      <c r="H1829">
        <v>361</v>
      </c>
      <c r="I1829">
        <v>364</v>
      </c>
      <c r="J1829">
        <v>362</v>
      </c>
      <c r="K1829">
        <v>323</v>
      </c>
      <c r="L1829">
        <v>341</v>
      </c>
      <c r="M1829">
        <v>89.5</v>
      </c>
      <c r="N1829">
        <v>94.5</v>
      </c>
      <c r="O1829">
        <v>647.9</v>
      </c>
    </row>
    <row r="1830" spans="1:15">
      <c r="A1830">
        <v>1387</v>
      </c>
      <c r="B1830" t="s">
        <v>4596</v>
      </c>
      <c r="C1830" t="s">
        <v>4597</v>
      </c>
      <c r="D1830" t="s">
        <v>12253</v>
      </c>
      <c r="E1830" t="s">
        <v>12254</v>
      </c>
      <c r="F1830" t="s">
        <v>12255</v>
      </c>
      <c r="G1830" t="s">
        <v>5904</v>
      </c>
      <c r="H1830">
        <v>589</v>
      </c>
      <c r="I1830">
        <v>589</v>
      </c>
      <c r="J1830">
        <v>589</v>
      </c>
      <c r="K1830">
        <v>566</v>
      </c>
      <c r="L1830">
        <v>576</v>
      </c>
      <c r="M1830">
        <v>96.1</v>
      </c>
      <c r="N1830">
        <v>97.8</v>
      </c>
      <c r="O1830">
        <v>1009.2</v>
      </c>
    </row>
    <row r="1831" spans="1:15">
      <c r="A1831">
        <v>1386</v>
      </c>
      <c r="B1831" t="s">
        <v>12256</v>
      </c>
      <c r="C1831" t="s">
        <v>4600</v>
      </c>
      <c r="D1831" t="s">
        <v>12257</v>
      </c>
      <c r="E1831" t="s">
        <v>12258</v>
      </c>
      <c r="F1831" t="s">
        <v>12259</v>
      </c>
      <c r="G1831" t="s">
        <v>5904</v>
      </c>
      <c r="H1831">
        <v>1334</v>
      </c>
      <c r="I1831">
        <v>859</v>
      </c>
      <c r="J1831">
        <v>828</v>
      </c>
      <c r="K1831">
        <v>706</v>
      </c>
      <c r="L1831">
        <v>735</v>
      </c>
      <c r="M1831">
        <v>52.9</v>
      </c>
      <c r="N1831">
        <v>55.1</v>
      </c>
      <c r="O1831">
        <v>1342.8</v>
      </c>
    </row>
    <row r="1832" spans="1:15">
      <c r="A1832">
        <v>1385</v>
      </c>
      <c r="B1832" t="s">
        <v>12260</v>
      </c>
      <c r="C1832" t="s">
        <v>4603</v>
      </c>
      <c r="D1832" t="s">
        <v>12261</v>
      </c>
      <c r="E1832" t="s">
        <v>12262</v>
      </c>
      <c r="F1832" t="s">
        <v>12263</v>
      </c>
      <c r="G1832" t="s">
        <v>5904</v>
      </c>
      <c r="H1832">
        <v>418</v>
      </c>
      <c r="I1832">
        <v>418</v>
      </c>
      <c r="J1832">
        <v>418</v>
      </c>
      <c r="K1832">
        <v>370</v>
      </c>
      <c r="L1832">
        <v>397</v>
      </c>
      <c r="M1832">
        <v>88.5</v>
      </c>
      <c r="N1832">
        <v>95</v>
      </c>
      <c r="O1832">
        <v>775</v>
      </c>
    </row>
    <row r="1833" spans="1:15">
      <c r="A1833">
        <v>1384</v>
      </c>
      <c r="B1833" t="s">
        <v>12264</v>
      </c>
      <c r="C1833" t="s">
        <v>4607</v>
      </c>
      <c r="D1833" t="s">
        <v>10428</v>
      </c>
      <c r="E1833" t="s">
        <v>10429</v>
      </c>
      <c r="F1833" t="s">
        <v>12265</v>
      </c>
      <c r="G1833" t="s">
        <v>5896</v>
      </c>
      <c r="H1833">
        <v>157</v>
      </c>
      <c r="I1833">
        <v>463</v>
      </c>
      <c r="J1833">
        <v>123</v>
      </c>
      <c r="K1833">
        <v>122</v>
      </c>
      <c r="L1833">
        <v>123</v>
      </c>
      <c r="M1833">
        <v>77.7</v>
      </c>
      <c r="N1833">
        <v>78.3</v>
      </c>
      <c r="O1833">
        <v>251.9</v>
      </c>
    </row>
    <row r="1834" spans="1:15">
      <c r="A1834">
        <v>1383</v>
      </c>
      <c r="B1834" t="s">
        <v>4608</v>
      </c>
      <c r="C1834" t="s">
        <v>4609</v>
      </c>
      <c r="D1834" t="s">
        <v>12266</v>
      </c>
      <c r="E1834" t="s">
        <v>12267</v>
      </c>
      <c r="F1834" t="s">
        <v>12268</v>
      </c>
      <c r="G1834" t="s">
        <v>5904</v>
      </c>
      <c r="H1834">
        <v>266</v>
      </c>
      <c r="I1834">
        <v>266</v>
      </c>
      <c r="J1834">
        <v>266</v>
      </c>
      <c r="K1834">
        <v>266</v>
      </c>
      <c r="L1834">
        <v>266</v>
      </c>
      <c r="M1834">
        <v>100</v>
      </c>
      <c r="N1834">
        <v>100</v>
      </c>
      <c r="O1834">
        <v>535</v>
      </c>
    </row>
    <row r="1835" spans="1:15">
      <c r="A1835">
        <v>2163</v>
      </c>
      <c r="B1835" t="s">
        <v>4610</v>
      </c>
      <c r="C1835" t="s">
        <v>4611</v>
      </c>
      <c r="D1835" t="s">
        <v>12269</v>
      </c>
      <c r="E1835" t="s">
        <v>12270</v>
      </c>
      <c r="F1835" t="s">
        <v>12271</v>
      </c>
      <c r="G1835" t="s">
        <v>5904</v>
      </c>
      <c r="H1835">
        <v>113</v>
      </c>
      <c r="I1835">
        <v>89</v>
      </c>
      <c r="J1835">
        <v>81</v>
      </c>
      <c r="K1835">
        <v>49</v>
      </c>
      <c r="L1835">
        <v>49</v>
      </c>
      <c r="M1835">
        <v>43.4</v>
      </c>
      <c r="N1835">
        <v>43.4</v>
      </c>
      <c r="O1835">
        <v>72.8</v>
      </c>
    </row>
    <row r="1836" spans="1:15">
      <c r="A1836">
        <v>1382</v>
      </c>
      <c r="B1836" t="s">
        <v>12272</v>
      </c>
      <c r="C1836" t="s">
        <v>4614</v>
      </c>
      <c r="D1836" t="s">
        <v>12273</v>
      </c>
      <c r="E1836" t="s">
        <v>12274</v>
      </c>
      <c r="F1836" t="s">
        <v>12275</v>
      </c>
      <c r="G1836" t="s">
        <v>5904</v>
      </c>
      <c r="H1836">
        <v>2567</v>
      </c>
      <c r="I1836">
        <v>2555</v>
      </c>
      <c r="J1836">
        <v>2549</v>
      </c>
      <c r="K1836">
        <v>2285</v>
      </c>
      <c r="L1836">
        <v>2390</v>
      </c>
      <c r="M1836">
        <v>89</v>
      </c>
      <c r="N1836">
        <v>93.1</v>
      </c>
      <c r="O1836">
        <v>4602.7</v>
      </c>
    </row>
    <row r="1837" spans="1:15">
      <c r="A1837">
        <v>1381</v>
      </c>
      <c r="B1837" t="s">
        <v>4615</v>
      </c>
      <c r="C1837" t="s">
        <v>4616</v>
      </c>
      <c r="D1837" t="s">
        <v>12276</v>
      </c>
      <c r="E1837" t="s">
        <v>12277</v>
      </c>
      <c r="F1837" t="s">
        <v>12278</v>
      </c>
      <c r="G1837" t="s">
        <v>5904</v>
      </c>
      <c r="H1837">
        <v>602</v>
      </c>
      <c r="I1837">
        <v>599</v>
      </c>
      <c r="J1837">
        <v>602</v>
      </c>
      <c r="K1837">
        <v>482</v>
      </c>
      <c r="L1837">
        <v>518</v>
      </c>
      <c r="M1837">
        <v>80.099999999999994</v>
      </c>
      <c r="N1837">
        <v>86</v>
      </c>
      <c r="O1837">
        <v>820.1</v>
      </c>
    </row>
    <row r="1838" spans="1:15">
      <c r="A1838">
        <v>1380</v>
      </c>
      <c r="B1838" t="s">
        <v>4617</v>
      </c>
      <c r="C1838" t="s">
        <v>12279</v>
      </c>
      <c r="D1838" t="s">
        <v>12280</v>
      </c>
      <c r="E1838" t="s">
        <v>12281</v>
      </c>
      <c r="F1838" t="s">
        <v>12282</v>
      </c>
      <c r="G1838" t="s">
        <v>5904</v>
      </c>
      <c r="H1838">
        <v>497</v>
      </c>
      <c r="I1838">
        <v>492</v>
      </c>
      <c r="J1838">
        <v>485</v>
      </c>
      <c r="K1838">
        <v>386</v>
      </c>
      <c r="L1838">
        <v>428</v>
      </c>
      <c r="M1838">
        <v>77.7</v>
      </c>
      <c r="N1838">
        <v>86.1</v>
      </c>
      <c r="O1838">
        <v>779.2</v>
      </c>
    </row>
    <row r="1839" spans="1:15">
      <c r="A1839">
        <v>2162</v>
      </c>
      <c r="B1839" t="s">
        <v>4619</v>
      </c>
      <c r="C1839" t="s">
        <v>4620</v>
      </c>
      <c r="D1839" t="s">
        <v>12283</v>
      </c>
      <c r="E1839" t="s">
        <v>12284</v>
      </c>
      <c r="F1839" t="s">
        <v>12285</v>
      </c>
      <c r="G1839" t="s">
        <v>5904</v>
      </c>
      <c r="H1839">
        <v>137</v>
      </c>
      <c r="I1839">
        <v>137</v>
      </c>
      <c r="J1839">
        <v>137</v>
      </c>
      <c r="K1839">
        <v>120</v>
      </c>
      <c r="L1839">
        <v>131</v>
      </c>
      <c r="M1839">
        <v>87.6</v>
      </c>
      <c r="N1839">
        <v>95.6</v>
      </c>
      <c r="O1839">
        <v>254.2</v>
      </c>
    </row>
    <row r="1840" spans="1:15">
      <c r="A1840">
        <v>1379</v>
      </c>
      <c r="B1840" t="s">
        <v>12286</v>
      </c>
      <c r="C1840" t="s">
        <v>5717</v>
      </c>
      <c r="D1840" t="s">
        <v>12287</v>
      </c>
      <c r="E1840" t="s">
        <v>12288</v>
      </c>
      <c r="F1840" t="s">
        <v>12289</v>
      </c>
      <c r="G1840" t="s">
        <v>5904</v>
      </c>
      <c r="H1840">
        <v>445</v>
      </c>
      <c r="I1840">
        <v>445</v>
      </c>
      <c r="J1840">
        <v>445</v>
      </c>
      <c r="K1840">
        <v>445</v>
      </c>
      <c r="L1840">
        <v>445</v>
      </c>
      <c r="M1840">
        <v>100</v>
      </c>
      <c r="N1840">
        <v>100</v>
      </c>
      <c r="O1840">
        <v>936.4</v>
      </c>
    </row>
    <row r="1841" spans="1:15">
      <c r="A1841">
        <v>1378</v>
      </c>
      <c r="B1841" t="s">
        <v>12290</v>
      </c>
      <c r="C1841" t="s">
        <v>4623</v>
      </c>
      <c r="D1841" t="s">
        <v>12291</v>
      </c>
      <c r="E1841" t="s">
        <v>12292</v>
      </c>
      <c r="F1841" t="s">
        <v>12293</v>
      </c>
      <c r="G1841" t="s">
        <v>5904</v>
      </c>
      <c r="H1841">
        <v>326</v>
      </c>
      <c r="I1841">
        <v>325</v>
      </c>
      <c r="J1841">
        <v>317</v>
      </c>
      <c r="K1841">
        <v>252</v>
      </c>
      <c r="L1841">
        <v>271</v>
      </c>
      <c r="M1841">
        <v>77.3</v>
      </c>
      <c r="N1841">
        <v>83.1</v>
      </c>
      <c r="O1841">
        <v>407.5</v>
      </c>
    </row>
    <row r="1842" spans="1:15">
      <c r="A1842">
        <v>1377</v>
      </c>
      <c r="B1842" t="s">
        <v>4624</v>
      </c>
      <c r="C1842" t="s">
        <v>4625</v>
      </c>
      <c r="D1842" t="s">
        <v>12294</v>
      </c>
      <c r="E1842" t="s">
        <v>12295</v>
      </c>
      <c r="F1842" t="s">
        <v>12296</v>
      </c>
      <c r="G1842" t="s">
        <v>5904</v>
      </c>
      <c r="H1842">
        <v>184</v>
      </c>
      <c r="I1842">
        <v>164</v>
      </c>
      <c r="J1842">
        <v>103</v>
      </c>
      <c r="K1842">
        <v>78</v>
      </c>
      <c r="L1842">
        <v>88</v>
      </c>
      <c r="M1842">
        <v>42.4</v>
      </c>
      <c r="N1842">
        <v>47.8</v>
      </c>
      <c r="O1842">
        <v>163.69999999999999</v>
      </c>
    </row>
    <row r="1843" spans="1:15">
      <c r="A1843">
        <v>1376</v>
      </c>
      <c r="B1843" t="s">
        <v>4626</v>
      </c>
      <c r="C1843" t="s">
        <v>4627</v>
      </c>
      <c r="D1843" t="s">
        <v>12297</v>
      </c>
      <c r="E1843" t="s">
        <v>12298</v>
      </c>
      <c r="F1843" t="s">
        <v>12299</v>
      </c>
      <c r="G1843" t="s">
        <v>5904</v>
      </c>
      <c r="H1843">
        <v>201</v>
      </c>
      <c r="I1843">
        <v>202</v>
      </c>
      <c r="J1843">
        <v>201</v>
      </c>
      <c r="K1843">
        <v>156</v>
      </c>
      <c r="L1843">
        <v>167</v>
      </c>
      <c r="M1843">
        <v>77.599999999999994</v>
      </c>
      <c r="N1843">
        <v>83.1</v>
      </c>
      <c r="O1843">
        <v>295.8</v>
      </c>
    </row>
    <row r="1844" spans="1:15">
      <c r="A1844">
        <v>1375</v>
      </c>
      <c r="B1844" t="s">
        <v>4628</v>
      </c>
      <c r="C1844" t="s">
        <v>4629</v>
      </c>
      <c r="D1844" t="s">
        <v>12300</v>
      </c>
      <c r="E1844" t="s">
        <v>12301</v>
      </c>
      <c r="F1844" t="s">
        <v>12302</v>
      </c>
      <c r="G1844" t="s">
        <v>5904</v>
      </c>
      <c r="H1844">
        <v>191</v>
      </c>
      <c r="I1844">
        <v>190</v>
      </c>
      <c r="J1844">
        <v>190</v>
      </c>
      <c r="K1844">
        <v>144</v>
      </c>
      <c r="L1844">
        <v>157</v>
      </c>
      <c r="M1844">
        <v>75.400000000000006</v>
      </c>
      <c r="N1844">
        <v>82.2</v>
      </c>
      <c r="O1844">
        <v>302.8</v>
      </c>
    </row>
    <row r="1845" spans="1:15">
      <c r="A1845">
        <v>1374</v>
      </c>
      <c r="B1845" t="s">
        <v>4630</v>
      </c>
      <c r="C1845" t="s">
        <v>4631</v>
      </c>
      <c r="D1845" t="s">
        <v>12303</v>
      </c>
      <c r="E1845" t="s">
        <v>12304</v>
      </c>
      <c r="F1845" t="s">
        <v>12305</v>
      </c>
      <c r="G1845" t="s">
        <v>5904</v>
      </c>
      <c r="H1845">
        <v>125</v>
      </c>
      <c r="I1845">
        <v>125</v>
      </c>
      <c r="J1845">
        <v>125</v>
      </c>
      <c r="K1845">
        <v>109</v>
      </c>
      <c r="L1845">
        <v>114</v>
      </c>
      <c r="M1845">
        <v>87.2</v>
      </c>
      <c r="N1845">
        <v>91.2</v>
      </c>
      <c r="O1845">
        <v>221.5</v>
      </c>
    </row>
    <row r="1846" spans="1:15">
      <c r="A1846">
        <v>1373</v>
      </c>
      <c r="B1846" t="s">
        <v>4632</v>
      </c>
      <c r="C1846" t="s">
        <v>12306</v>
      </c>
      <c r="D1846" t="s">
        <v>12307</v>
      </c>
      <c r="E1846" t="s">
        <v>12308</v>
      </c>
      <c r="F1846" t="s">
        <v>12309</v>
      </c>
      <c r="G1846" t="s">
        <v>5904</v>
      </c>
      <c r="H1846">
        <v>370</v>
      </c>
      <c r="I1846">
        <v>370</v>
      </c>
      <c r="J1846">
        <v>370</v>
      </c>
      <c r="K1846">
        <v>350</v>
      </c>
      <c r="L1846">
        <v>363</v>
      </c>
      <c r="M1846">
        <v>94.6</v>
      </c>
      <c r="N1846">
        <v>98.1</v>
      </c>
      <c r="O1846">
        <v>732.2</v>
      </c>
    </row>
    <row r="1847" spans="1:15">
      <c r="A1847">
        <v>1372</v>
      </c>
      <c r="B1847" t="s">
        <v>4634</v>
      </c>
      <c r="C1847" t="s">
        <v>4635</v>
      </c>
      <c r="D1847" t="s">
        <v>12310</v>
      </c>
      <c r="E1847" t="s">
        <v>12311</v>
      </c>
      <c r="F1847" t="s">
        <v>12312</v>
      </c>
      <c r="G1847" t="s">
        <v>5904</v>
      </c>
      <c r="H1847">
        <v>359</v>
      </c>
      <c r="I1847">
        <v>359</v>
      </c>
      <c r="J1847">
        <v>359</v>
      </c>
      <c r="K1847">
        <v>359</v>
      </c>
      <c r="L1847">
        <v>359</v>
      </c>
      <c r="M1847">
        <v>100</v>
      </c>
      <c r="N1847">
        <v>100</v>
      </c>
      <c r="O1847">
        <v>747.7</v>
      </c>
    </row>
    <row r="1848" spans="1:15">
      <c r="A1848">
        <v>1371</v>
      </c>
      <c r="B1848" t="s">
        <v>4636</v>
      </c>
      <c r="C1848" t="s">
        <v>4637</v>
      </c>
      <c r="D1848" t="s">
        <v>12313</v>
      </c>
      <c r="E1848" t="s">
        <v>12314</v>
      </c>
      <c r="F1848" t="s">
        <v>12315</v>
      </c>
      <c r="G1848" t="s">
        <v>5904</v>
      </c>
      <c r="H1848">
        <v>777</v>
      </c>
      <c r="I1848">
        <v>782</v>
      </c>
      <c r="J1848">
        <v>782</v>
      </c>
      <c r="K1848">
        <v>728</v>
      </c>
      <c r="L1848">
        <v>750</v>
      </c>
      <c r="M1848">
        <v>93.7</v>
      </c>
      <c r="N1848">
        <v>96.5</v>
      </c>
      <c r="O1848">
        <v>1480.3</v>
      </c>
    </row>
    <row r="1849" spans="1:15">
      <c r="A1849">
        <v>2251</v>
      </c>
      <c r="B1849" t="s">
        <v>4638</v>
      </c>
      <c r="C1849" t="s">
        <v>4639</v>
      </c>
      <c r="D1849" t="s">
        <v>12316</v>
      </c>
      <c r="E1849" t="s">
        <v>12317</v>
      </c>
      <c r="F1849" t="s">
        <v>12318</v>
      </c>
      <c r="G1849" t="s">
        <v>5904</v>
      </c>
      <c r="H1849">
        <v>595</v>
      </c>
      <c r="I1849">
        <v>579</v>
      </c>
      <c r="J1849">
        <v>600</v>
      </c>
      <c r="K1849">
        <v>406</v>
      </c>
      <c r="L1849">
        <v>430</v>
      </c>
      <c r="M1849">
        <v>68.2</v>
      </c>
      <c r="N1849">
        <v>72.3</v>
      </c>
      <c r="O1849">
        <v>608.6</v>
      </c>
    </row>
    <row r="1850" spans="1:15">
      <c r="A1850">
        <v>1370</v>
      </c>
      <c r="B1850" t="s">
        <v>4640</v>
      </c>
      <c r="C1850" t="s">
        <v>12319</v>
      </c>
      <c r="D1850" t="s">
        <v>12320</v>
      </c>
      <c r="E1850" t="s">
        <v>12321</v>
      </c>
      <c r="F1850" t="s">
        <v>12322</v>
      </c>
      <c r="G1850" t="s">
        <v>5904</v>
      </c>
      <c r="H1850">
        <v>118</v>
      </c>
      <c r="I1850">
        <v>118</v>
      </c>
      <c r="J1850">
        <v>118</v>
      </c>
      <c r="K1850">
        <v>115</v>
      </c>
      <c r="L1850">
        <v>116</v>
      </c>
      <c r="M1850">
        <v>97.5</v>
      </c>
      <c r="N1850">
        <v>98.3</v>
      </c>
      <c r="O1850">
        <v>231.1</v>
      </c>
    </row>
    <row r="1851" spans="1:15">
      <c r="A1851">
        <v>1369</v>
      </c>
      <c r="B1851" t="s">
        <v>4642</v>
      </c>
      <c r="C1851" t="s">
        <v>4643</v>
      </c>
      <c r="D1851" t="s">
        <v>12323</v>
      </c>
      <c r="E1851" t="s">
        <v>12324</v>
      </c>
      <c r="F1851" t="s">
        <v>12325</v>
      </c>
      <c r="G1851" t="s">
        <v>5904</v>
      </c>
      <c r="H1851">
        <v>598</v>
      </c>
      <c r="I1851">
        <v>602</v>
      </c>
      <c r="J1851">
        <v>602</v>
      </c>
      <c r="K1851">
        <v>516</v>
      </c>
      <c r="L1851">
        <v>547</v>
      </c>
      <c r="M1851">
        <v>86.3</v>
      </c>
      <c r="N1851">
        <v>91.5</v>
      </c>
      <c r="O1851">
        <v>918.7</v>
      </c>
    </row>
    <row r="1852" spans="1:15">
      <c r="A1852">
        <v>1368</v>
      </c>
      <c r="B1852" t="s">
        <v>4644</v>
      </c>
      <c r="C1852" t="s">
        <v>12326</v>
      </c>
      <c r="D1852" t="s">
        <v>12327</v>
      </c>
      <c r="E1852" t="s">
        <v>12328</v>
      </c>
      <c r="F1852" t="s">
        <v>12329</v>
      </c>
      <c r="G1852" t="s">
        <v>5904</v>
      </c>
      <c r="H1852">
        <v>371</v>
      </c>
      <c r="I1852">
        <v>372</v>
      </c>
      <c r="J1852">
        <v>372</v>
      </c>
      <c r="K1852">
        <v>363</v>
      </c>
      <c r="L1852">
        <v>367</v>
      </c>
      <c r="M1852">
        <v>97.8</v>
      </c>
      <c r="N1852">
        <v>98.9</v>
      </c>
      <c r="O1852">
        <v>746.1</v>
      </c>
    </row>
    <row r="1853" spans="1:15">
      <c r="A1853">
        <v>1367</v>
      </c>
      <c r="B1853" t="s">
        <v>4646</v>
      </c>
      <c r="C1853" t="s">
        <v>4647</v>
      </c>
      <c r="D1853" t="s">
        <v>12330</v>
      </c>
      <c r="E1853" t="s">
        <v>12331</v>
      </c>
      <c r="F1853" t="s">
        <v>12332</v>
      </c>
      <c r="G1853" t="s">
        <v>5904</v>
      </c>
      <c r="H1853">
        <v>328</v>
      </c>
      <c r="I1853">
        <v>328</v>
      </c>
      <c r="J1853">
        <v>328</v>
      </c>
      <c r="K1853">
        <v>299</v>
      </c>
      <c r="L1853">
        <v>318</v>
      </c>
      <c r="M1853">
        <v>91.2</v>
      </c>
      <c r="N1853">
        <v>97</v>
      </c>
      <c r="O1853">
        <v>623.20000000000005</v>
      </c>
    </row>
    <row r="1854" spans="1:15">
      <c r="A1854">
        <v>1366</v>
      </c>
      <c r="B1854" t="s">
        <v>4648</v>
      </c>
      <c r="C1854" t="s">
        <v>4649</v>
      </c>
      <c r="D1854" t="s">
        <v>12333</v>
      </c>
      <c r="E1854" t="s">
        <v>12334</v>
      </c>
      <c r="F1854" t="s">
        <v>12335</v>
      </c>
      <c r="G1854" t="s">
        <v>5904</v>
      </c>
      <c r="H1854">
        <v>208</v>
      </c>
      <c r="I1854">
        <v>198</v>
      </c>
      <c r="J1854">
        <v>179</v>
      </c>
      <c r="K1854">
        <v>115</v>
      </c>
      <c r="L1854">
        <v>142</v>
      </c>
      <c r="M1854">
        <v>55.3</v>
      </c>
      <c r="N1854">
        <v>68.3</v>
      </c>
      <c r="O1854">
        <v>223.8</v>
      </c>
    </row>
    <row r="1855" spans="1:15">
      <c r="A1855">
        <v>1365</v>
      </c>
      <c r="B1855" t="s">
        <v>4650</v>
      </c>
      <c r="C1855" t="s">
        <v>4651</v>
      </c>
      <c r="D1855" t="s">
        <v>12336</v>
      </c>
      <c r="E1855" t="s">
        <v>12337</v>
      </c>
      <c r="F1855" t="s">
        <v>12338</v>
      </c>
      <c r="G1855" t="s">
        <v>5904</v>
      </c>
      <c r="H1855">
        <v>501</v>
      </c>
      <c r="I1855">
        <v>501</v>
      </c>
      <c r="J1855">
        <v>501</v>
      </c>
      <c r="K1855">
        <v>463</v>
      </c>
      <c r="L1855">
        <v>488</v>
      </c>
      <c r="M1855">
        <v>92.4</v>
      </c>
      <c r="N1855">
        <v>97.4</v>
      </c>
      <c r="O1855">
        <v>981.1</v>
      </c>
    </row>
    <row r="1856" spans="1:15">
      <c r="A1856">
        <v>1364</v>
      </c>
      <c r="B1856" t="s">
        <v>4652</v>
      </c>
      <c r="C1856" t="s">
        <v>4653</v>
      </c>
      <c r="D1856" t="s">
        <v>12339</v>
      </c>
      <c r="E1856" t="s">
        <v>12340</v>
      </c>
      <c r="F1856" t="s">
        <v>12341</v>
      </c>
      <c r="G1856" t="s">
        <v>5904</v>
      </c>
      <c r="H1856">
        <v>1679</v>
      </c>
      <c r="I1856">
        <v>1676</v>
      </c>
      <c r="J1856">
        <v>1676</v>
      </c>
      <c r="K1856">
        <v>1408</v>
      </c>
      <c r="L1856">
        <v>1555</v>
      </c>
      <c r="M1856">
        <v>83.9</v>
      </c>
      <c r="N1856">
        <v>92.6</v>
      </c>
      <c r="O1856">
        <v>2947.5</v>
      </c>
    </row>
    <row r="1857" spans="1:15">
      <c r="A1857">
        <v>1363</v>
      </c>
      <c r="B1857" t="s">
        <v>4654</v>
      </c>
      <c r="C1857" t="s">
        <v>4655</v>
      </c>
      <c r="D1857" t="s">
        <v>12342</v>
      </c>
      <c r="E1857" t="s">
        <v>12343</v>
      </c>
      <c r="F1857" t="s">
        <v>12344</v>
      </c>
      <c r="G1857" t="s">
        <v>5904</v>
      </c>
      <c r="H1857">
        <v>364</v>
      </c>
      <c r="I1857">
        <v>364</v>
      </c>
      <c r="J1857">
        <v>364</v>
      </c>
      <c r="K1857">
        <v>347</v>
      </c>
      <c r="L1857">
        <v>355</v>
      </c>
      <c r="M1857">
        <v>95.3</v>
      </c>
      <c r="N1857">
        <v>97.5</v>
      </c>
      <c r="O1857">
        <v>728.4</v>
      </c>
    </row>
    <row r="1858" spans="1:15">
      <c r="A1858">
        <v>1362</v>
      </c>
      <c r="B1858" t="s">
        <v>4656</v>
      </c>
      <c r="C1858" t="s">
        <v>4657</v>
      </c>
      <c r="D1858" t="s">
        <v>12345</v>
      </c>
      <c r="E1858" t="s">
        <v>12346</v>
      </c>
      <c r="F1858" t="s">
        <v>12347</v>
      </c>
      <c r="G1858" t="s">
        <v>5904</v>
      </c>
      <c r="H1858">
        <v>345</v>
      </c>
      <c r="I1858">
        <v>346</v>
      </c>
      <c r="J1858">
        <v>344</v>
      </c>
      <c r="K1858">
        <v>317</v>
      </c>
      <c r="L1858">
        <v>330</v>
      </c>
      <c r="M1858">
        <v>91.9</v>
      </c>
      <c r="N1858">
        <v>95.7</v>
      </c>
      <c r="O1858">
        <v>659.4</v>
      </c>
    </row>
    <row r="1859" spans="1:15">
      <c r="A1859">
        <v>1361</v>
      </c>
      <c r="B1859" t="s">
        <v>4658</v>
      </c>
      <c r="C1859" t="s">
        <v>12348</v>
      </c>
      <c r="D1859" t="s">
        <v>12349</v>
      </c>
      <c r="E1859" t="s">
        <v>12350</v>
      </c>
      <c r="F1859" t="s">
        <v>12351</v>
      </c>
      <c r="G1859" t="s">
        <v>5904</v>
      </c>
      <c r="H1859">
        <v>105</v>
      </c>
      <c r="I1859">
        <v>105</v>
      </c>
      <c r="J1859">
        <v>105</v>
      </c>
      <c r="K1859">
        <v>100</v>
      </c>
      <c r="L1859">
        <v>103</v>
      </c>
      <c r="M1859">
        <v>95.2</v>
      </c>
      <c r="N1859">
        <v>98.1</v>
      </c>
      <c r="O1859">
        <v>208</v>
      </c>
    </row>
    <row r="1860" spans="1:15">
      <c r="A1860">
        <v>2161</v>
      </c>
      <c r="B1860" t="s">
        <v>4660</v>
      </c>
      <c r="C1860" t="s">
        <v>4661</v>
      </c>
      <c r="D1860" t="s">
        <v>12352</v>
      </c>
      <c r="E1860" t="s">
        <v>12353</v>
      </c>
      <c r="F1860" t="s">
        <v>12354</v>
      </c>
      <c r="G1860" t="s">
        <v>5904</v>
      </c>
      <c r="H1860">
        <v>323</v>
      </c>
      <c r="I1860">
        <v>323</v>
      </c>
      <c r="J1860">
        <v>323</v>
      </c>
      <c r="K1860">
        <v>278</v>
      </c>
      <c r="L1860">
        <v>292</v>
      </c>
      <c r="M1860">
        <v>86.1</v>
      </c>
      <c r="N1860">
        <v>90.4</v>
      </c>
      <c r="O1860">
        <v>500.7</v>
      </c>
    </row>
    <row r="1861" spans="1:15">
      <c r="A1861">
        <v>2160</v>
      </c>
      <c r="B1861" t="s">
        <v>4662</v>
      </c>
      <c r="C1861" t="s">
        <v>4663</v>
      </c>
      <c r="D1861" t="s">
        <v>12355</v>
      </c>
      <c r="E1861" t="s">
        <v>12356</v>
      </c>
      <c r="F1861" t="s">
        <v>12357</v>
      </c>
      <c r="G1861" t="s">
        <v>5904</v>
      </c>
      <c r="H1861">
        <v>998</v>
      </c>
      <c r="I1861">
        <v>937</v>
      </c>
      <c r="J1861">
        <v>907</v>
      </c>
      <c r="K1861">
        <v>890</v>
      </c>
      <c r="L1861">
        <v>901</v>
      </c>
      <c r="M1861">
        <v>89.2</v>
      </c>
      <c r="N1861">
        <v>90.3</v>
      </c>
      <c r="O1861">
        <v>1868.6</v>
      </c>
    </row>
    <row r="1862" spans="1:15">
      <c r="A1862">
        <v>1360</v>
      </c>
      <c r="B1862" t="s">
        <v>4664</v>
      </c>
      <c r="C1862" t="s">
        <v>4666</v>
      </c>
      <c r="D1862" t="s">
        <v>12358</v>
      </c>
      <c r="E1862" t="s">
        <v>12359</v>
      </c>
      <c r="F1862" t="s">
        <v>12360</v>
      </c>
      <c r="G1862" t="s">
        <v>5904</v>
      </c>
      <c r="H1862">
        <v>338</v>
      </c>
      <c r="I1862">
        <v>338</v>
      </c>
      <c r="J1862">
        <v>338</v>
      </c>
      <c r="K1862">
        <v>312</v>
      </c>
      <c r="L1862">
        <v>329</v>
      </c>
      <c r="M1862">
        <v>92.3</v>
      </c>
      <c r="N1862">
        <v>97.3</v>
      </c>
      <c r="O1862">
        <v>625.20000000000005</v>
      </c>
    </row>
    <row r="1863" spans="1:15">
      <c r="A1863">
        <v>1359</v>
      </c>
      <c r="B1863" t="s">
        <v>4667</v>
      </c>
      <c r="C1863" t="s">
        <v>4668</v>
      </c>
      <c r="D1863" t="s">
        <v>12361</v>
      </c>
      <c r="E1863" t="s">
        <v>12362</v>
      </c>
      <c r="F1863" t="s">
        <v>12363</v>
      </c>
      <c r="G1863" t="s">
        <v>5904</v>
      </c>
      <c r="H1863">
        <v>214</v>
      </c>
      <c r="I1863">
        <v>214</v>
      </c>
      <c r="J1863">
        <v>214</v>
      </c>
      <c r="K1863">
        <v>210</v>
      </c>
      <c r="L1863">
        <v>211</v>
      </c>
      <c r="M1863">
        <v>98.1</v>
      </c>
      <c r="N1863">
        <v>98.6</v>
      </c>
      <c r="O1863">
        <v>438</v>
      </c>
    </row>
    <row r="1864" spans="1:15">
      <c r="A1864">
        <v>1358</v>
      </c>
      <c r="B1864" t="s">
        <v>4669</v>
      </c>
      <c r="C1864" t="s">
        <v>4670</v>
      </c>
      <c r="D1864" t="s">
        <v>12364</v>
      </c>
      <c r="E1864" t="s">
        <v>12365</v>
      </c>
      <c r="F1864" t="s">
        <v>12366</v>
      </c>
      <c r="G1864" t="s">
        <v>5904</v>
      </c>
      <c r="H1864">
        <v>370</v>
      </c>
      <c r="I1864">
        <v>370</v>
      </c>
      <c r="J1864">
        <v>370</v>
      </c>
      <c r="K1864">
        <v>300</v>
      </c>
      <c r="L1864">
        <v>328</v>
      </c>
      <c r="M1864">
        <v>81.099999999999994</v>
      </c>
      <c r="N1864">
        <v>88.6</v>
      </c>
      <c r="O1864">
        <v>548.5</v>
      </c>
    </row>
    <row r="1865" spans="1:15">
      <c r="A1865">
        <v>1357</v>
      </c>
      <c r="B1865" t="s">
        <v>4671</v>
      </c>
      <c r="C1865" t="s">
        <v>4672</v>
      </c>
      <c r="D1865" t="s">
        <v>12367</v>
      </c>
      <c r="E1865" t="s">
        <v>12368</v>
      </c>
      <c r="F1865" t="s">
        <v>12369</v>
      </c>
      <c r="G1865" t="s">
        <v>5904</v>
      </c>
      <c r="H1865">
        <v>283</v>
      </c>
      <c r="I1865">
        <v>283</v>
      </c>
      <c r="J1865">
        <v>283</v>
      </c>
      <c r="K1865">
        <v>275</v>
      </c>
      <c r="L1865">
        <v>277</v>
      </c>
      <c r="M1865">
        <v>97.2</v>
      </c>
      <c r="N1865">
        <v>97.9</v>
      </c>
      <c r="O1865">
        <v>575.1</v>
      </c>
    </row>
    <row r="1866" spans="1:15">
      <c r="A1866">
        <v>1356</v>
      </c>
      <c r="B1866" t="s">
        <v>4673</v>
      </c>
      <c r="C1866" t="s">
        <v>12370</v>
      </c>
      <c r="D1866" t="s">
        <v>12371</v>
      </c>
      <c r="E1866" t="s">
        <v>12372</v>
      </c>
      <c r="F1866" t="s">
        <v>12373</v>
      </c>
      <c r="G1866" t="s">
        <v>5904</v>
      </c>
      <c r="H1866">
        <v>334</v>
      </c>
      <c r="I1866">
        <v>334</v>
      </c>
      <c r="J1866">
        <v>335</v>
      </c>
      <c r="K1866">
        <v>273</v>
      </c>
      <c r="L1866">
        <v>298</v>
      </c>
      <c r="M1866">
        <v>81.7</v>
      </c>
      <c r="N1866">
        <v>89.2</v>
      </c>
      <c r="O1866">
        <v>575.5</v>
      </c>
    </row>
    <row r="1867" spans="1:15">
      <c r="A1867">
        <v>1355</v>
      </c>
      <c r="B1867" t="s">
        <v>4675</v>
      </c>
      <c r="C1867" t="s">
        <v>4676</v>
      </c>
      <c r="D1867" t="s">
        <v>12374</v>
      </c>
      <c r="E1867" t="s">
        <v>12375</v>
      </c>
      <c r="F1867" t="s">
        <v>12376</v>
      </c>
      <c r="G1867" t="s">
        <v>5904</v>
      </c>
      <c r="H1867">
        <v>215</v>
      </c>
      <c r="I1867">
        <v>215</v>
      </c>
      <c r="J1867">
        <v>215</v>
      </c>
      <c r="K1867">
        <v>215</v>
      </c>
      <c r="L1867">
        <v>215</v>
      </c>
      <c r="M1867">
        <v>100</v>
      </c>
      <c r="N1867">
        <v>100</v>
      </c>
      <c r="O1867">
        <v>452.6</v>
      </c>
    </row>
    <row r="1868" spans="1:15">
      <c r="A1868">
        <v>1354</v>
      </c>
      <c r="B1868" t="s">
        <v>12377</v>
      </c>
      <c r="C1868" t="s">
        <v>4679</v>
      </c>
      <c r="D1868" t="s">
        <v>12378</v>
      </c>
      <c r="E1868" t="s">
        <v>12379</v>
      </c>
      <c r="F1868" t="s">
        <v>12380</v>
      </c>
      <c r="G1868" t="s">
        <v>5904</v>
      </c>
      <c r="H1868">
        <v>210</v>
      </c>
      <c r="I1868">
        <v>194</v>
      </c>
      <c r="J1868">
        <v>192</v>
      </c>
      <c r="K1868">
        <v>187</v>
      </c>
      <c r="L1868">
        <v>189</v>
      </c>
      <c r="M1868">
        <v>89</v>
      </c>
      <c r="N1868">
        <v>90</v>
      </c>
      <c r="O1868">
        <v>380.6</v>
      </c>
    </row>
    <row r="1869" spans="1:15">
      <c r="A1869">
        <v>1353</v>
      </c>
      <c r="B1869" t="s">
        <v>4680</v>
      </c>
      <c r="C1869" t="s">
        <v>4681</v>
      </c>
      <c r="D1869" t="s">
        <v>12381</v>
      </c>
      <c r="E1869" t="s">
        <v>12382</v>
      </c>
      <c r="F1869" t="s">
        <v>12383</v>
      </c>
      <c r="G1869" t="s">
        <v>5904</v>
      </c>
      <c r="H1869">
        <v>346</v>
      </c>
      <c r="I1869">
        <v>345</v>
      </c>
      <c r="J1869">
        <v>339</v>
      </c>
      <c r="K1869">
        <v>315</v>
      </c>
      <c r="L1869">
        <v>318</v>
      </c>
      <c r="M1869">
        <v>91</v>
      </c>
      <c r="N1869">
        <v>91.9</v>
      </c>
      <c r="O1869">
        <v>416</v>
      </c>
    </row>
    <row r="1870" spans="1:15">
      <c r="A1870">
        <v>1352</v>
      </c>
      <c r="B1870" t="s">
        <v>4682</v>
      </c>
      <c r="C1870" t="s">
        <v>4683</v>
      </c>
      <c r="D1870" t="s">
        <v>12384</v>
      </c>
      <c r="E1870" t="s">
        <v>12385</v>
      </c>
      <c r="F1870" t="s">
        <v>12386</v>
      </c>
      <c r="G1870" t="s">
        <v>5904</v>
      </c>
      <c r="H1870">
        <v>5070</v>
      </c>
      <c r="I1870">
        <v>5059</v>
      </c>
      <c r="J1870">
        <v>5079</v>
      </c>
      <c r="K1870">
        <v>4318</v>
      </c>
      <c r="L1870">
        <v>4611</v>
      </c>
      <c r="M1870">
        <v>85.2</v>
      </c>
      <c r="N1870">
        <v>90.9</v>
      </c>
      <c r="O1870">
        <v>8756.2999999999993</v>
      </c>
    </row>
    <row r="1871" spans="1:15">
      <c r="A1871">
        <v>1351</v>
      </c>
      <c r="B1871" t="s">
        <v>12387</v>
      </c>
      <c r="C1871" t="s">
        <v>4686</v>
      </c>
      <c r="D1871" t="s">
        <v>12388</v>
      </c>
      <c r="E1871" t="s">
        <v>12389</v>
      </c>
      <c r="F1871" t="s">
        <v>12390</v>
      </c>
      <c r="G1871" t="s">
        <v>5904</v>
      </c>
      <c r="H1871">
        <v>2498</v>
      </c>
      <c r="I1871">
        <v>2472</v>
      </c>
      <c r="J1871">
        <v>2498</v>
      </c>
      <c r="K1871">
        <v>2429</v>
      </c>
      <c r="L1871">
        <v>2456</v>
      </c>
      <c r="M1871">
        <v>97.2</v>
      </c>
      <c r="N1871">
        <v>98.3</v>
      </c>
      <c r="O1871">
        <v>4944.3999999999996</v>
      </c>
    </row>
    <row r="1872" spans="1:15">
      <c r="A1872">
        <v>1350</v>
      </c>
      <c r="B1872" t="s">
        <v>12391</v>
      </c>
      <c r="C1872" t="s">
        <v>4689</v>
      </c>
      <c r="D1872" t="s">
        <v>12392</v>
      </c>
      <c r="E1872" t="s">
        <v>12393</v>
      </c>
      <c r="F1872" t="s">
        <v>12394</v>
      </c>
      <c r="G1872" t="s">
        <v>5904</v>
      </c>
      <c r="H1872">
        <v>288</v>
      </c>
      <c r="I1872">
        <v>255</v>
      </c>
      <c r="J1872">
        <v>235</v>
      </c>
      <c r="K1872">
        <v>148</v>
      </c>
      <c r="L1872">
        <v>171</v>
      </c>
      <c r="M1872">
        <v>51.4</v>
      </c>
      <c r="N1872">
        <v>59.4</v>
      </c>
      <c r="O1872">
        <v>274.60000000000002</v>
      </c>
    </row>
    <row r="1873" spans="1:15">
      <c r="A1873">
        <v>1349</v>
      </c>
      <c r="B1873" t="s">
        <v>4690</v>
      </c>
      <c r="C1873" t="s">
        <v>4691</v>
      </c>
      <c r="D1873" t="s">
        <v>12395</v>
      </c>
      <c r="E1873" t="s">
        <v>12396</v>
      </c>
      <c r="F1873" t="s">
        <v>12397</v>
      </c>
      <c r="G1873" t="s">
        <v>5904</v>
      </c>
      <c r="H1873">
        <v>335</v>
      </c>
      <c r="I1873">
        <v>339</v>
      </c>
      <c r="J1873">
        <v>335</v>
      </c>
      <c r="K1873">
        <v>321</v>
      </c>
      <c r="L1873">
        <v>333</v>
      </c>
      <c r="M1873">
        <v>95.8</v>
      </c>
      <c r="N1873">
        <v>99.4</v>
      </c>
      <c r="O1873">
        <v>642.5</v>
      </c>
    </row>
    <row r="1874" spans="1:15">
      <c r="A1874">
        <v>1348</v>
      </c>
      <c r="B1874" t="s">
        <v>4692</v>
      </c>
      <c r="C1874" t="s">
        <v>4693</v>
      </c>
      <c r="D1874" t="s">
        <v>7762</v>
      </c>
      <c r="E1874" t="s">
        <v>7763</v>
      </c>
      <c r="F1874" t="s">
        <v>12398</v>
      </c>
      <c r="G1874" t="s">
        <v>5904</v>
      </c>
      <c r="H1874">
        <v>129</v>
      </c>
      <c r="I1874">
        <v>122</v>
      </c>
      <c r="J1874">
        <v>130</v>
      </c>
      <c r="K1874">
        <v>98</v>
      </c>
      <c r="L1874">
        <v>107</v>
      </c>
      <c r="M1874">
        <v>76</v>
      </c>
      <c r="N1874">
        <v>82.9</v>
      </c>
      <c r="O1874">
        <v>192.6</v>
      </c>
    </row>
    <row r="1875" spans="1:15">
      <c r="A1875">
        <v>1347</v>
      </c>
      <c r="B1875" t="s">
        <v>12399</v>
      </c>
      <c r="C1875" t="s">
        <v>4696</v>
      </c>
      <c r="D1875" t="s">
        <v>12400</v>
      </c>
      <c r="E1875" t="s">
        <v>12401</v>
      </c>
      <c r="F1875" t="s">
        <v>12402</v>
      </c>
      <c r="G1875" t="s">
        <v>5904</v>
      </c>
      <c r="H1875">
        <v>878</v>
      </c>
      <c r="I1875">
        <v>829</v>
      </c>
      <c r="J1875">
        <v>829</v>
      </c>
      <c r="K1875">
        <v>665</v>
      </c>
      <c r="L1875">
        <v>728</v>
      </c>
      <c r="M1875">
        <v>75.7</v>
      </c>
      <c r="N1875">
        <v>82.9</v>
      </c>
      <c r="O1875">
        <v>1349</v>
      </c>
    </row>
    <row r="1876" spans="1:15">
      <c r="A1876">
        <v>1346</v>
      </c>
      <c r="B1876" t="s">
        <v>4697</v>
      </c>
      <c r="C1876" t="s">
        <v>4698</v>
      </c>
      <c r="D1876" t="s">
        <v>12403</v>
      </c>
      <c r="E1876" t="s">
        <v>12404</v>
      </c>
      <c r="F1876" t="s">
        <v>12405</v>
      </c>
      <c r="G1876" t="s">
        <v>5904</v>
      </c>
      <c r="H1876">
        <v>785</v>
      </c>
      <c r="I1876">
        <v>814</v>
      </c>
      <c r="J1876">
        <v>786</v>
      </c>
      <c r="K1876">
        <v>658</v>
      </c>
      <c r="L1876">
        <v>698</v>
      </c>
      <c r="M1876">
        <v>83.8</v>
      </c>
      <c r="N1876">
        <v>88.9</v>
      </c>
      <c r="O1876">
        <v>1267.3</v>
      </c>
    </row>
    <row r="1877" spans="1:15">
      <c r="A1877">
        <v>2159</v>
      </c>
      <c r="B1877" t="s">
        <v>4699</v>
      </c>
      <c r="C1877" t="s">
        <v>4700</v>
      </c>
      <c r="D1877" t="s">
        <v>12406</v>
      </c>
      <c r="E1877" t="s">
        <v>12407</v>
      </c>
      <c r="F1877" t="s">
        <v>12408</v>
      </c>
      <c r="G1877" t="s">
        <v>5904</v>
      </c>
      <c r="H1877">
        <v>533</v>
      </c>
      <c r="I1877">
        <v>537</v>
      </c>
      <c r="J1877">
        <v>533</v>
      </c>
      <c r="K1877">
        <v>507</v>
      </c>
      <c r="L1877">
        <v>524</v>
      </c>
      <c r="M1877">
        <v>95.1</v>
      </c>
      <c r="N1877">
        <v>98.3</v>
      </c>
      <c r="O1877">
        <v>1023.9</v>
      </c>
    </row>
    <row r="1878" spans="1:15">
      <c r="A1878">
        <v>1345</v>
      </c>
      <c r="B1878" t="s">
        <v>4701</v>
      </c>
      <c r="C1878" t="s">
        <v>4702</v>
      </c>
      <c r="D1878" t="s">
        <v>12409</v>
      </c>
      <c r="E1878" t="s">
        <v>12410</v>
      </c>
      <c r="F1878" t="s">
        <v>12411</v>
      </c>
      <c r="G1878" t="s">
        <v>5904</v>
      </c>
      <c r="H1878">
        <v>211</v>
      </c>
      <c r="I1878">
        <v>211</v>
      </c>
      <c r="J1878">
        <v>211</v>
      </c>
      <c r="K1878">
        <v>204</v>
      </c>
      <c r="L1878">
        <v>211</v>
      </c>
      <c r="M1878">
        <v>96.7</v>
      </c>
      <c r="N1878">
        <v>100</v>
      </c>
      <c r="O1878">
        <v>416.8</v>
      </c>
    </row>
    <row r="1879" spans="1:15">
      <c r="A1879">
        <v>1344</v>
      </c>
      <c r="B1879" t="s">
        <v>4703</v>
      </c>
      <c r="C1879" t="s">
        <v>4704</v>
      </c>
      <c r="D1879" t="s">
        <v>12412</v>
      </c>
      <c r="E1879" t="s">
        <v>12413</v>
      </c>
      <c r="F1879" t="s">
        <v>12414</v>
      </c>
      <c r="G1879" t="s">
        <v>5904</v>
      </c>
      <c r="H1879">
        <v>2026</v>
      </c>
      <c r="I1879">
        <v>1995</v>
      </c>
      <c r="J1879">
        <v>1978</v>
      </c>
      <c r="K1879">
        <v>1837</v>
      </c>
      <c r="L1879">
        <v>1900</v>
      </c>
      <c r="M1879">
        <v>90.7</v>
      </c>
      <c r="N1879">
        <v>93.8</v>
      </c>
      <c r="O1879">
        <v>3308.1</v>
      </c>
    </row>
    <row r="1880" spans="1:15">
      <c r="A1880">
        <v>1343</v>
      </c>
      <c r="B1880" t="s">
        <v>12415</v>
      </c>
      <c r="C1880" t="s">
        <v>4707</v>
      </c>
      <c r="D1880" t="s">
        <v>12416</v>
      </c>
      <c r="E1880" t="s">
        <v>12417</v>
      </c>
      <c r="F1880" t="s">
        <v>12418</v>
      </c>
      <c r="G1880" t="s">
        <v>5904</v>
      </c>
      <c r="H1880">
        <v>1140</v>
      </c>
      <c r="I1880">
        <v>1141</v>
      </c>
      <c r="J1880">
        <v>1141</v>
      </c>
      <c r="K1880">
        <v>1029</v>
      </c>
      <c r="L1880">
        <v>1083</v>
      </c>
      <c r="M1880">
        <v>90.3</v>
      </c>
      <c r="N1880">
        <v>95</v>
      </c>
      <c r="O1880">
        <v>2049.6</v>
      </c>
    </row>
    <row r="1881" spans="1:15">
      <c r="A1881">
        <v>1342</v>
      </c>
      <c r="B1881" t="s">
        <v>12419</v>
      </c>
      <c r="C1881" t="s">
        <v>4710</v>
      </c>
      <c r="D1881" t="s">
        <v>12420</v>
      </c>
      <c r="E1881" t="s">
        <v>12421</v>
      </c>
      <c r="F1881" t="s">
        <v>12422</v>
      </c>
      <c r="G1881" t="s">
        <v>5904</v>
      </c>
      <c r="H1881">
        <v>308</v>
      </c>
      <c r="I1881">
        <v>283</v>
      </c>
      <c r="J1881">
        <v>274</v>
      </c>
      <c r="K1881">
        <v>237</v>
      </c>
      <c r="L1881">
        <v>245</v>
      </c>
      <c r="M1881">
        <v>76.900000000000006</v>
      </c>
      <c r="N1881">
        <v>79.5</v>
      </c>
      <c r="O1881">
        <v>448</v>
      </c>
    </row>
    <row r="1882" spans="1:15">
      <c r="A1882">
        <v>1341</v>
      </c>
      <c r="B1882" t="s">
        <v>4711</v>
      </c>
      <c r="C1882" t="s">
        <v>4712</v>
      </c>
      <c r="D1882" t="s">
        <v>12423</v>
      </c>
      <c r="E1882" t="s">
        <v>12424</v>
      </c>
      <c r="F1882" t="s">
        <v>12425</v>
      </c>
      <c r="G1882" t="s">
        <v>5904</v>
      </c>
      <c r="H1882">
        <v>261</v>
      </c>
      <c r="I1882">
        <v>262</v>
      </c>
      <c r="J1882">
        <v>262</v>
      </c>
      <c r="K1882">
        <v>196</v>
      </c>
      <c r="L1882">
        <v>234</v>
      </c>
      <c r="M1882">
        <v>75.099999999999994</v>
      </c>
      <c r="N1882">
        <v>89.7</v>
      </c>
      <c r="O1882">
        <v>430.3</v>
      </c>
    </row>
    <row r="1883" spans="1:15">
      <c r="A1883">
        <v>2158</v>
      </c>
      <c r="B1883" t="s">
        <v>4713</v>
      </c>
      <c r="C1883" t="s">
        <v>4714</v>
      </c>
      <c r="D1883" t="s">
        <v>12426</v>
      </c>
      <c r="E1883" t="s">
        <v>12427</v>
      </c>
      <c r="F1883" t="s">
        <v>12428</v>
      </c>
      <c r="G1883" t="s">
        <v>5904</v>
      </c>
      <c r="H1883">
        <v>562</v>
      </c>
      <c r="I1883">
        <v>562</v>
      </c>
      <c r="J1883">
        <v>562</v>
      </c>
      <c r="K1883">
        <v>539</v>
      </c>
      <c r="L1883">
        <v>549</v>
      </c>
      <c r="M1883">
        <v>95.9</v>
      </c>
      <c r="N1883">
        <v>97.7</v>
      </c>
      <c r="O1883">
        <v>1117.5</v>
      </c>
    </row>
    <row r="1884" spans="1:15">
      <c r="A1884">
        <v>1340</v>
      </c>
      <c r="B1884" t="s">
        <v>4715</v>
      </c>
      <c r="C1884" t="s">
        <v>12429</v>
      </c>
      <c r="D1884" t="s">
        <v>12430</v>
      </c>
      <c r="E1884" t="s">
        <v>12431</v>
      </c>
      <c r="F1884" t="s">
        <v>12432</v>
      </c>
      <c r="G1884" t="s">
        <v>5904</v>
      </c>
      <c r="H1884">
        <v>246</v>
      </c>
      <c r="I1884">
        <v>244</v>
      </c>
      <c r="J1884">
        <v>244</v>
      </c>
      <c r="K1884">
        <v>206</v>
      </c>
      <c r="L1884">
        <v>224</v>
      </c>
      <c r="M1884">
        <v>83.7</v>
      </c>
      <c r="N1884">
        <v>91.1</v>
      </c>
      <c r="O1884">
        <v>439.1</v>
      </c>
    </row>
    <row r="1885" spans="1:15">
      <c r="A1885">
        <v>1339</v>
      </c>
      <c r="B1885" t="s">
        <v>4717</v>
      </c>
      <c r="C1885" t="s">
        <v>12433</v>
      </c>
      <c r="D1885" t="s">
        <v>12434</v>
      </c>
      <c r="E1885" t="s">
        <v>12435</v>
      </c>
      <c r="F1885" t="s">
        <v>12436</v>
      </c>
      <c r="G1885" t="s">
        <v>5904</v>
      </c>
      <c r="H1885">
        <v>381</v>
      </c>
      <c r="I1885">
        <v>381</v>
      </c>
      <c r="J1885">
        <v>381</v>
      </c>
      <c r="K1885">
        <v>372</v>
      </c>
      <c r="L1885">
        <v>378</v>
      </c>
      <c r="M1885">
        <v>97.6</v>
      </c>
      <c r="N1885">
        <v>99.2</v>
      </c>
      <c r="O1885">
        <v>776.9</v>
      </c>
    </row>
    <row r="1886" spans="1:15">
      <c r="A1886">
        <v>1338</v>
      </c>
      <c r="B1886" t="s">
        <v>4719</v>
      </c>
      <c r="C1886" t="s">
        <v>4720</v>
      </c>
      <c r="D1886" t="s">
        <v>12437</v>
      </c>
      <c r="E1886" t="s">
        <v>12438</v>
      </c>
      <c r="F1886" t="s">
        <v>12439</v>
      </c>
      <c r="G1886" t="s">
        <v>5904</v>
      </c>
      <c r="H1886">
        <v>1001</v>
      </c>
      <c r="I1886">
        <v>1021</v>
      </c>
      <c r="J1886">
        <v>1034</v>
      </c>
      <c r="K1886">
        <v>909</v>
      </c>
      <c r="L1886">
        <v>941</v>
      </c>
      <c r="M1886">
        <v>90.8</v>
      </c>
      <c r="N1886">
        <v>94</v>
      </c>
      <c r="O1886">
        <v>1827.8</v>
      </c>
    </row>
    <row r="1887" spans="1:15">
      <c r="A1887">
        <v>1337</v>
      </c>
      <c r="B1887" t="s">
        <v>4721</v>
      </c>
      <c r="C1887" t="s">
        <v>4722</v>
      </c>
      <c r="D1887" t="s">
        <v>12440</v>
      </c>
      <c r="E1887" t="s">
        <v>12441</v>
      </c>
      <c r="F1887" t="s">
        <v>12442</v>
      </c>
      <c r="G1887" t="s">
        <v>5904</v>
      </c>
      <c r="H1887">
        <v>366</v>
      </c>
      <c r="I1887">
        <v>364</v>
      </c>
      <c r="J1887">
        <v>366</v>
      </c>
      <c r="K1887">
        <v>351</v>
      </c>
      <c r="L1887">
        <v>355</v>
      </c>
      <c r="M1887">
        <v>95.9</v>
      </c>
      <c r="N1887">
        <v>97</v>
      </c>
      <c r="O1887">
        <v>641.70000000000005</v>
      </c>
    </row>
    <row r="1888" spans="1:15">
      <c r="A1888">
        <v>1336</v>
      </c>
      <c r="B1888" t="s">
        <v>4723</v>
      </c>
      <c r="C1888" t="s">
        <v>4724</v>
      </c>
      <c r="D1888" t="s">
        <v>12443</v>
      </c>
      <c r="E1888" t="s">
        <v>12444</v>
      </c>
      <c r="F1888" t="s">
        <v>12445</v>
      </c>
      <c r="G1888" t="s">
        <v>5904</v>
      </c>
      <c r="H1888">
        <v>851</v>
      </c>
      <c r="I1888">
        <v>450</v>
      </c>
      <c r="J1888">
        <v>450</v>
      </c>
      <c r="K1888">
        <v>450</v>
      </c>
      <c r="L1888">
        <v>450</v>
      </c>
      <c r="M1888">
        <v>52.9</v>
      </c>
      <c r="N1888">
        <v>52.9</v>
      </c>
      <c r="O1888">
        <v>949.5</v>
      </c>
    </row>
    <row r="1889" spans="1:15">
      <c r="A1889">
        <v>1335</v>
      </c>
      <c r="B1889" t="s">
        <v>4725</v>
      </c>
      <c r="C1889" t="s">
        <v>4727</v>
      </c>
      <c r="D1889" t="s">
        <v>12446</v>
      </c>
      <c r="E1889" t="s">
        <v>12447</v>
      </c>
      <c r="F1889" t="s">
        <v>12448</v>
      </c>
      <c r="G1889" t="s">
        <v>5904</v>
      </c>
      <c r="H1889">
        <v>522</v>
      </c>
      <c r="I1889">
        <v>526</v>
      </c>
      <c r="J1889">
        <v>521</v>
      </c>
      <c r="K1889">
        <v>337</v>
      </c>
      <c r="L1889">
        <v>398</v>
      </c>
      <c r="M1889">
        <v>64.599999999999994</v>
      </c>
      <c r="N1889">
        <v>76.2</v>
      </c>
      <c r="O1889">
        <v>662.9</v>
      </c>
    </row>
    <row r="1890" spans="1:15">
      <c r="A1890">
        <v>1334</v>
      </c>
      <c r="B1890" t="s">
        <v>4728</v>
      </c>
      <c r="C1890" t="s">
        <v>4730</v>
      </c>
      <c r="D1890" t="s">
        <v>12449</v>
      </c>
      <c r="E1890" t="s">
        <v>12450</v>
      </c>
      <c r="F1890" t="s">
        <v>12451</v>
      </c>
      <c r="G1890" t="s">
        <v>5904</v>
      </c>
      <c r="H1890">
        <v>911</v>
      </c>
      <c r="I1890">
        <v>911</v>
      </c>
      <c r="J1890">
        <v>911</v>
      </c>
      <c r="K1890">
        <v>901</v>
      </c>
      <c r="L1890">
        <v>907</v>
      </c>
      <c r="M1890">
        <v>98.9</v>
      </c>
      <c r="N1890">
        <v>99.6</v>
      </c>
      <c r="O1890">
        <v>1883.2</v>
      </c>
    </row>
    <row r="1891" spans="1:15">
      <c r="A1891">
        <v>1333</v>
      </c>
      <c r="B1891" t="s">
        <v>4731</v>
      </c>
      <c r="C1891" t="s">
        <v>12452</v>
      </c>
      <c r="D1891" t="s">
        <v>12453</v>
      </c>
      <c r="E1891" t="s">
        <v>12454</v>
      </c>
      <c r="F1891" t="s">
        <v>12455</v>
      </c>
      <c r="G1891" t="s">
        <v>5904</v>
      </c>
      <c r="H1891">
        <v>687</v>
      </c>
      <c r="I1891">
        <v>693</v>
      </c>
      <c r="J1891">
        <v>674</v>
      </c>
      <c r="K1891">
        <v>571</v>
      </c>
      <c r="L1891">
        <v>610</v>
      </c>
      <c r="M1891">
        <v>83.1</v>
      </c>
      <c r="N1891">
        <v>88.8</v>
      </c>
      <c r="O1891">
        <v>1134.4000000000001</v>
      </c>
    </row>
    <row r="1892" spans="1:15">
      <c r="A1892">
        <v>1332</v>
      </c>
      <c r="B1892" t="s">
        <v>12456</v>
      </c>
      <c r="C1892" t="s">
        <v>4735</v>
      </c>
      <c r="D1892" t="s">
        <v>12457</v>
      </c>
      <c r="E1892" t="s">
        <v>12458</v>
      </c>
      <c r="F1892" t="s">
        <v>12459</v>
      </c>
      <c r="G1892" t="s">
        <v>5904</v>
      </c>
      <c r="H1892">
        <v>174</v>
      </c>
      <c r="I1892">
        <v>142</v>
      </c>
      <c r="J1892">
        <v>142</v>
      </c>
      <c r="K1892">
        <v>138</v>
      </c>
      <c r="L1892">
        <v>140</v>
      </c>
      <c r="M1892">
        <v>79.3</v>
      </c>
      <c r="N1892">
        <v>80.5</v>
      </c>
      <c r="O1892">
        <v>286.2</v>
      </c>
    </row>
    <row r="1893" spans="1:15">
      <c r="A1893">
        <v>1331</v>
      </c>
      <c r="B1893" t="s">
        <v>12460</v>
      </c>
      <c r="C1893" t="s">
        <v>4738</v>
      </c>
      <c r="D1893" t="s">
        <v>12461</v>
      </c>
      <c r="E1893" t="s">
        <v>12462</v>
      </c>
      <c r="F1893" t="s">
        <v>12463</v>
      </c>
      <c r="G1893" t="s">
        <v>5904</v>
      </c>
      <c r="H1893">
        <v>5048</v>
      </c>
      <c r="I1893">
        <v>5038</v>
      </c>
      <c r="J1893">
        <v>5051</v>
      </c>
      <c r="K1893">
        <v>4865</v>
      </c>
      <c r="L1893">
        <v>4927</v>
      </c>
      <c r="M1893">
        <v>96.4</v>
      </c>
      <c r="N1893">
        <v>97.6</v>
      </c>
      <c r="O1893">
        <v>10067.9</v>
      </c>
    </row>
    <row r="1894" spans="1:15">
      <c r="A1894">
        <v>1330</v>
      </c>
      <c r="B1894" t="s">
        <v>4739</v>
      </c>
      <c r="C1894" t="s">
        <v>12464</v>
      </c>
      <c r="D1894" t="s">
        <v>12465</v>
      </c>
      <c r="E1894" t="s">
        <v>12466</v>
      </c>
      <c r="F1894" t="s">
        <v>12467</v>
      </c>
      <c r="G1894" t="s">
        <v>5904</v>
      </c>
      <c r="H1894">
        <v>490</v>
      </c>
      <c r="I1894">
        <v>490</v>
      </c>
      <c r="J1894">
        <v>490</v>
      </c>
      <c r="K1894">
        <v>472</v>
      </c>
      <c r="L1894">
        <v>483</v>
      </c>
      <c r="M1894">
        <v>96.3</v>
      </c>
      <c r="N1894">
        <v>98.6</v>
      </c>
      <c r="O1894">
        <v>990.7</v>
      </c>
    </row>
    <row r="1895" spans="1:15">
      <c r="A1895">
        <v>1329</v>
      </c>
      <c r="B1895" t="s">
        <v>4741</v>
      </c>
      <c r="C1895" t="s">
        <v>4742</v>
      </c>
      <c r="D1895" t="s">
        <v>12468</v>
      </c>
      <c r="E1895" t="s">
        <v>12469</v>
      </c>
      <c r="F1895" t="s">
        <v>12470</v>
      </c>
      <c r="G1895" t="s">
        <v>5904</v>
      </c>
      <c r="H1895">
        <v>1180</v>
      </c>
      <c r="I1895">
        <v>1179</v>
      </c>
      <c r="J1895">
        <v>1182</v>
      </c>
      <c r="K1895">
        <v>1150</v>
      </c>
      <c r="L1895">
        <v>1161</v>
      </c>
      <c r="M1895">
        <v>97.5</v>
      </c>
      <c r="N1895">
        <v>98.4</v>
      </c>
      <c r="O1895">
        <v>2368.6</v>
      </c>
    </row>
    <row r="1896" spans="1:15">
      <c r="A1896">
        <v>1328</v>
      </c>
      <c r="B1896" t="s">
        <v>12471</v>
      </c>
      <c r="C1896" t="s">
        <v>4745</v>
      </c>
      <c r="D1896" t="s">
        <v>12472</v>
      </c>
      <c r="E1896" t="s">
        <v>12473</v>
      </c>
      <c r="F1896" t="s">
        <v>12474</v>
      </c>
      <c r="G1896" t="s">
        <v>5904</v>
      </c>
      <c r="H1896">
        <v>1244</v>
      </c>
      <c r="I1896">
        <v>1241</v>
      </c>
      <c r="J1896">
        <v>1244</v>
      </c>
      <c r="K1896">
        <v>1080</v>
      </c>
      <c r="L1896">
        <v>1147</v>
      </c>
      <c r="M1896">
        <v>86.8</v>
      </c>
      <c r="N1896">
        <v>92.2</v>
      </c>
      <c r="O1896">
        <v>2174.4</v>
      </c>
    </row>
    <row r="1897" spans="1:15">
      <c r="A1897">
        <v>1327</v>
      </c>
      <c r="B1897" t="s">
        <v>4746</v>
      </c>
      <c r="C1897" t="s">
        <v>4747</v>
      </c>
      <c r="D1897" t="s">
        <v>12475</v>
      </c>
      <c r="E1897" t="s">
        <v>12476</v>
      </c>
      <c r="F1897" t="s">
        <v>12477</v>
      </c>
      <c r="G1897" t="s">
        <v>5904</v>
      </c>
      <c r="H1897">
        <v>575</v>
      </c>
      <c r="I1897">
        <v>590</v>
      </c>
      <c r="J1897">
        <v>594</v>
      </c>
      <c r="K1897">
        <v>423</v>
      </c>
      <c r="L1897">
        <v>475</v>
      </c>
      <c r="M1897">
        <v>73.599999999999994</v>
      </c>
      <c r="N1897">
        <v>82.6</v>
      </c>
      <c r="O1897">
        <v>744.2</v>
      </c>
    </row>
    <row r="1898" spans="1:15">
      <c r="A1898">
        <v>2157</v>
      </c>
      <c r="B1898" t="s">
        <v>12478</v>
      </c>
      <c r="C1898" t="s">
        <v>4750</v>
      </c>
      <c r="D1898" t="s">
        <v>12479</v>
      </c>
      <c r="E1898" t="s">
        <v>12480</v>
      </c>
      <c r="F1898" t="s">
        <v>12481</v>
      </c>
      <c r="G1898" t="s">
        <v>5904</v>
      </c>
      <c r="H1898">
        <v>553</v>
      </c>
      <c r="I1898">
        <v>554</v>
      </c>
      <c r="J1898">
        <v>558</v>
      </c>
      <c r="K1898">
        <v>424</v>
      </c>
      <c r="L1898">
        <v>449</v>
      </c>
      <c r="M1898">
        <v>76.7</v>
      </c>
      <c r="N1898">
        <v>81.2</v>
      </c>
      <c r="O1898">
        <v>751.1</v>
      </c>
    </row>
    <row r="1899" spans="1:15">
      <c r="A1899">
        <v>1326</v>
      </c>
      <c r="B1899" t="s">
        <v>4751</v>
      </c>
      <c r="C1899" t="s">
        <v>4752</v>
      </c>
      <c r="D1899" t="s">
        <v>12482</v>
      </c>
      <c r="E1899" t="s">
        <v>12483</v>
      </c>
      <c r="F1899" t="s">
        <v>12484</v>
      </c>
      <c r="G1899" t="s">
        <v>6054</v>
      </c>
      <c r="H1899">
        <v>500</v>
      </c>
      <c r="I1899">
        <v>476</v>
      </c>
      <c r="J1899">
        <v>199</v>
      </c>
      <c r="K1899">
        <v>118</v>
      </c>
      <c r="L1899">
        <v>129</v>
      </c>
      <c r="M1899">
        <v>23.6</v>
      </c>
      <c r="N1899">
        <v>25.8</v>
      </c>
      <c r="O1899">
        <v>230.3</v>
      </c>
    </row>
    <row r="1900" spans="1:15">
      <c r="A1900">
        <v>1325</v>
      </c>
      <c r="B1900" t="s">
        <v>12485</v>
      </c>
      <c r="C1900" t="s">
        <v>4755</v>
      </c>
      <c r="D1900" t="s">
        <v>12486</v>
      </c>
      <c r="E1900" t="s">
        <v>12487</v>
      </c>
      <c r="F1900" t="s">
        <v>12488</v>
      </c>
      <c r="G1900" t="s">
        <v>5904</v>
      </c>
      <c r="H1900">
        <v>432</v>
      </c>
      <c r="I1900">
        <v>417</v>
      </c>
      <c r="J1900">
        <v>432</v>
      </c>
      <c r="K1900">
        <v>397</v>
      </c>
      <c r="L1900">
        <v>403</v>
      </c>
      <c r="M1900">
        <v>91.9</v>
      </c>
      <c r="N1900">
        <v>93.3</v>
      </c>
      <c r="O1900">
        <v>780</v>
      </c>
    </row>
    <row r="1901" spans="1:15">
      <c r="A1901">
        <v>1324</v>
      </c>
      <c r="B1901" t="s">
        <v>12489</v>
      </c>
      <c r="C1901" t="s">
        <v>4758</v>
      </c>
      <c r="D1901" t="s">
        <v>12490</v>
      </c>
      <c r="E1901" t="s">
        <v>12491</v>
      </c>
      <c r="F1901" t="s">
        <v>12492</v>
      </c>
      <c r="G1901" t="s">
        <v>5904</v>
      </c>
      <c r="H1901">
        <v>278</v>
      </c>
      <c r="I1901">
        <v>258</v>
      </c>
      <c r="J1901">
        <v>208</v>
      </c>
      <c r="K1901">
        <v>199</v>
      </c>
      <c r="L1901">
        <v>204</v>
      </c>
      <c r="M1901">
        <v>71.599999999999994</v>
      </c>
      <c r="N1901">
        <v>73.400000000000006</v>
      </c>
      <c r="O1901">
        <v>402.5</v>
      </c>
    </row>
    <row r="1902" spans="1:15">
      <c r="A1902">
        <v>1323</v>
      </c>
      <c r="B1902" t="s">
        <v>12493</v>
      </c>
      <c r="C1902" t="s">
        <v>5784</v>
      </c>
      <c r="D1902" t="s">
        <v>12494</v>
      </c>
      <c r="E1902" t="s">
        <v>12495</v>
      </c>
      <c r="F1902" t="s">
        <v>12496</v>
      </c>
      <c r="G1902" t="s">
        <v>5904</v>
      </c>
      <c r="H1902">
        <v>265</v>
      </c>
      <c r="I1902">
        <v>268</v>
      </c>
      <c r="J1902">
        <v>268</v>
      </c>
      <c r="K1902">
        <v>251</v>
      </c>
      <c r="L1902">
        <v>254</v>
      </c>
      <c r="M1902">
        <v>94.7</v>
      </c>
      <c r="N1902">
        <v>95.8</v>
      </c>
      <c r="O1902">
        <v>448.7</v>
      </c>
    </row>
    <row r="1903" spans="1:15">
      <c r="A1903">
        <v>1322</v>
      </c>
      <c r="B1903" t="s">
        <v>4759</v>
      </c>
      <c r="C1903" t="s">
        <v>4760</v>
      </c>
      <c r="D1903" t="s">
        <v>12497</v>
      </c>
      <c r="E1903" t="s">
        <v>12498</v>
      </c>
      <c r="F1903" t="s">
        <v>12499</v>
      </c>
      <c r="G1903" t="s">
        <v>5904</v>
      </c>
      <c r="H1903">
        <v>244</v>
      </c>
      <c r="I1903">
        <v>244</v>
      </c>
      <c r="J1903">
        <v>244</v>
      </c>
      <c r="K1903">
        <v>225</v>
      </c>
      <c r="L1903">
        <v>235</v>
      </c>
      <c r="M1903">
        <v>92.2</v>
      </c>
      <c r="N1903">
        <v>96.3</v>
      </c>
      <c r="O1903">
        <v>441.4</v>
      </c>
    </row>
    <row r="1904" spans="1:15">
      <c r="A1904">
        <v>1321</v>
      </c>
      <c r="B1904" t="s">
        <v>4761</v>
      </c>
      <c r="C1904" t="s">
        <v>4762</v>
      </c>
      <c r="D1904" t="s">
        <v>12500</v>
      </c>
      <c r="E1904" t="s">
        <v>12501</v>
      </c>
      <c r="F1904" t="s">
        <v>12502</v>
      </c>
      <c r="G1904" t="s">
        <v>5904</v>
      </c>
      <c r="H1904">
        <v>158</v>
      </c>
      <c r="I1904">
        <v>160</v>
      </c>
      <c r="J1904">
        <v>144</v>
      </c>
      <c r="K1904">
        <v>132</v>
      </c>
      <c r="L1904">
        <v>137</v>
      </c>
      <c r="M1904">
        <v>83.5</v>
      </c>
      <c r="N1904">
        <v>86.7</v>
      </c>
      <c r="O1904">
        <v>262.7</v>
      </c>
    </row>
    <row r="1905" spans="1:15">
      <c r="A1905">
        <v>1320</v>
      </c>
      <c r="B1905" t="s">
        <v>4763</v>
      </c>
      <c r="C1905" t="s">
        <v>12503</v>
      </c>
      <c r="D1905" t="s">
        <v>12504</v>
      </c>
      <c r="E1905" t="s">
        <v>12505</v>
      </c>
      <c r="F1905" t="s">
        <v>12506</v>
      </c>
      <c r="G1905" t="s">
        <v>5904</v>
      </c>
      <c r="H1905">
        <v>86</v>
      </c>
      <c r="I1905">
        <v>86</v>
      </c>
      <c r="J1905">
        <v>86</v>
      </c>
      <c r="K1905">
        <v>74</v>
      </c>
      <c r="L1905">
        <v>84</v>
      </c>
      <c r="M1905">
        <v>86</v>
      </c>
      <c r="N1905">
        <v>97.7</v>
      </c>
      <c r="O1905">
        <v>168.7</v>
      </c>
    </row>
    <row r="1906" spans="1:15">
      <c r="A1906">
        <v>1319</v>
      </c>
      <c r="B1906" t="s">
        <v>4765</v>
      </c>
      <c r="C1906" t="s">
        <v>4766</v>
      </c>
      <c r="D1906" t="s">
        <v>12507</v>
      </c>
      <c r="E1906" t="s">
        <v>12508</v>
      </c>
      <c r="F1906" t="s">
        <v>12509</v>
      </c>
      <c r="G1906" t="s">
        <v>5904</v>
      </c>
      <c r="H1906">
        <v>83</v>
      </c>
      <c r="I1906">
        <v>84</v>
      </c>
      <c r="J1906">
        <v>84</v>
      </c>
      <c r="K1906">
        <v>56</v>
      </c>
      <c r="L1906">
        <v>63</v>
      </c>
      <c r="M1906">
        <v>67.5</v>
      </c>
      <c r="N1906">
        <v>75.900000000000006</v>
      </c>
      <c r="O1906">
        <v>100.9</v>
      </c>
    </row>
    <row r="1907" spans="1:15">
      <c r="A1907">
        <v>1318</v>
      </c>
      <c r="B1907" t="s">
        <v>4767</v>
      </c>
      <c r="C1907" t="s">
        <v>4768</v>
      </c>
      <c r="D1907" t="s">
        <v>12510</v>
      </c>
      <c r="E1907" t="s">
        <v>12511</v>
      </c>
      <c r="F1907" t="s">
        <v>12512</v>
      </c>
      <c r="G1907" t="s">
        <v>5904</v>
      </c>
      <c r="H1907">
        <v>335</v>
      </c>
      <c r="I1907">
        <v>334</v>
      </c>
      <c r="J1907">
        <v>335</v>
      </c>
      <c r="K1907">
        <v>292</v>
      </c>
      <c r="L1907">
        <v>311</v>
      </c>
      <c r="M1907">
        <v>87.2</v>
      </c>
      <c r="N1907">
        <v>92.8</v>
      </c>
      <c r="O1907">
        <v>604.70000000000005</v>
      </c>
    </row>
    <row r="1908" spans="1:15">
      <c r="A1908">
        <v>1317</v>
      </c>
      <c r="B1908" t="s">
        <v>12513</v>
      </c>
      <c r="C1908" t="s">
        <v>4771</v>
      </c>
      <c r="D1908" t="s">
        <v>12514</v>
      </c>
      <c r="E1908" t="s">
        <v>12515</v>
      </c>
      <c r="F1908" t="s">
        <v>12516</v>
      </c>
      <c r="G1908" t="s">
        <v>5904</v>
      </c>
      <c r="H1908">
        <v>205</v>
      </c>
      <c r="I1908">
        <v>192</v>
      </c>
      <c r="J1908">
        <v>181</v>
      </c>
      <c r="K1908">
        <v>178</v>
      </c>
      <c r="L1908">
        <v>179</v>
      </c>
      <c r="M1908">
        <v>86.8</v>
      </c>
      <c r="N1908">
        <v>87.3</v>
      </c>
      <c r="O1908">
        <v>362.1</v>
      </c>
    </row>
    <row r="1909" spans="1:15">
      <c r="A1909">
        <v>1316</v>
      </c>
      <c r="B1909" t="s">
        <v>4772</v>
      </c>
      <c r="C1909" t="s">
        <v>4773</v>
      </c>
      <c r="D1909" t="s">
        <v>12517</v>
      </c>
      <c r="E1909" t="s">
        <v>12518</v>
      </c>
      <c r="F1909" t="s">
        <v>12519</v>
      </c>
      <c r="G1909" t="s">
        <v>5904</v>
      </c>
      <c r="H1909">
        <v>175</v>
      </c>
      <c r="I1909">
        <v>175</v>
      </c>
      <c r="J1909">
        <v>175</v>
      </c>
      <c r="K1909">
        <v>154</v>
      </c>
      <c r="L1909">
        <v>165</v>
      </c>
      <c r="M1909">
        <v>88</v>
      </c>
      <c r="N1909">
        <v>94.3</v>
      </c>
      <c r="O1909">
        <v>322.8</v>
      </c>
    </row>
    <row r="1910" spans="1:15">
      <c r="A1910">
        <v>2156</v>
      </c>
      <c r="B1910" t="s">
        <v>12520</v>
      </c>
      <c r="C1910" t="s">
        <v>4776</v>
      </c>
      <c r="D1910" t="s">
        <v>12521</v>
      </c>
      <c r="E1910" t="s">
        <v>12522</v>
      </c>
      <c r="F1910" t="s">
        <v>12523</v>
      </c>
      <c r="G1910" t="s">
        <v>5904</v>
      </c>
      <c r="H1910">
        <v>96</v>
      </c>
      <c r="I1910">
        <v>112</v>
      </c>
      <c r="J1910">
        <v>96</v>
      </c>
      <c r="K1910">
        <v>96</v>
      </c>
      <c r="L1910">
        <v>96</v>
      </c>
      <c r="M1910">
        <v>100</v>
      </c>
      <c r="N1910">
        <v>100</v>
      </c>
      <c r="O1910">
        <v>200.3</v>
      </c>
    </row>
    <row r="1911" spans="1:15">
      <c r="A1911">
        <v>1315</v>
      </c>
      <c r="B1911" t="s">
        <v>4777</v>
      </c>
      <c r="C1911" t="s">
        <v>4778</v>
      </c>
      <c r="D1911" t="s">
        <v>12524</v>
      </c>
      <c r="E1911" t="s">
        <v>12525</v>
      </c>
      <c r="F1911" t="s">
        <v>12526</v>
      </c>
      <c r="G1911" t="s">
        <v>5904</v>
      </c>
      <c r="H1911">
        <v>180</v>
      </c>
      <c r="I1911">
        <v>180</v>
      </c>
      <c r="J1911">
        <v>180</v>
      </c>
      <c r="K1911">
        <v>157</v>
      </c>
      <c r="L1911">
        <v>168</v>
      </c>
      <c r="M1911">
        <v>87.2</v>
      </c>
      <c r="N1911">
        <v>93.3</v>
      </c>
      <c r="O1911">
        <v>318.5</v>
      </c>
    </row>
    <row r="1912" spans="1:15">
      <c r="A1912">
        <v>1314</v>
      </c>
      <c r="B1912" t="s">
        <v>12527</v>
      </c>
      <c r="C1912" t="s">
        <v>4781</v>
      </c>
      <c r="D1912" t="s">
        <v>12528</v>
      </c>
      <c r="E1912" t="s">
        <v>12529</v>
      </c>
      <c r="F1912" t="s">
        <v>12530</v>
      </c>
      <c r="G1912" t="s">
        <v>5904</v>
      </c>
      <c r="H1912">
        <v>448</v>
      </c>
      <c r="I1912">
        <v>445</v>
      </c>
      <c r="J1912">
        <v>446</v>
      </c>
      <c r="K1912">
        <v>414</v>
      </c>
      <c r="L1912">
        <v>430</v>
      </c>
      <c r="M1912">
        <v>92.4</v>
      </c>
      <c r="N1912">
        <v>96</v>
      </c>
      <c r="O1912">
        <v>846.7</v>
      </c>
    </row>
    <row r="1913" spans="1:15">
      <c r="A1913">
        <v>1313</v>
      </c>
      <c r="B1913" t="s">
        <v>4782</v>
      </c>
      <c r="C1913" t="s">
        <v>4783</v>
      </c>
      <c r="D1913" t="s">
        <v>12531</v>
      </c>
      <c r="E1913" t="s">
        <v>12532</v>
      </c>
      <c r="F1913" t="s">
        <v>12533</v>
      </c>
      <c r="G1913" t="s">
        <v>5904</v>
      </c>
      <c r="H1913">
        <v>543</v>
      </c>
      <c r="I1913">
        <v>543</v>
      </c>
      <c r="J1913">
        <v>543</v>
      </c>
      <c r="K1913">
        <v>539</v>
      </c>
      <c r="L1913">
        <v>542</v>
      </c>
      <c r="M1913">
        <v>99.3</v>
      </c>
      <c r="N1913">
        <v>99.8</v>
      </c>
      <c r="O1913">
        <v>1108.5999999999999</v>
      </c>
    </row>
    <row r="1914" spans="1:15">
      <c r="A1914">
        <v>1312</v>
      </c>
      <c r="B1914" t="s">
        <v>4784</v>
      </c>
      <c r="C1914" t="s">
        <v>4785</v>
      </c>
      <c r="D1914" t="s">
        <v>12534</v>
      </c>
      <c r="E1914" t="s">
        <v>12535</v>
      </c>
      <c r="F1914" t="s">
        <v>12536</v>
      </c>
      <c r="G1914" t="s">
        <v>5904</v>
      </c>
      <c r="H1914">
        <v>558</v>
      </c>
      <c r="I1914">
        <v>558</v>
      </c>
      <c r="J1914">
        <v>558</v>
      </c>
      <c r="K1914">
        <v>518</v>
      </c>
      <c r="L1914">
        <v>544</v>
      </c>
      <c r="M1914">
        <v>92.8</v>
      </c>
      <c r="N1914">
        <v>97.5</v>
      </c>
      <c r="O1914">
        <v>1098.2</v>
      </c>
    </row>
    <row r="1915" spans="1:15">
      <c r="A1915">
        <v>1311</v>
      </c>
      <c r="B1915" t="s">
        <v>4786</v>
      </c>
      <c r="C1915" t="s">
        <v>12537</v>
      </c>
      <c r="D1915" t="s">
        <v>12538</v>
      </c>
      <c r="E1915" t="s">
        <v>12539</v>
      </c>
      <c r="F1915" t="s">
        <v>12540</v>
      </c>
      <c r="G1915" t="s">
        <v>5904</v>
      </c>
      <c r="H1915">
        <v>127</v>
      </c>
      <c r="I1915">
        <v>127</v>
      </c>
      <c r="J1915">
        <v>127</v>
      </c>
      <c r="K1915">
        <v>127</v>
      </c>
      <c r="L1915">
        <v>127</v>
      </c>
      <c r="M1915">
        <v>100</v>
      </c>
      <c r="N1915">
        <v>100</v>
      </c>
      <c r="O1915">
        <v>267.3</v>
      </c>
    </row>
    <row r="1916" spans="1:15">
      <c r="A1916">
        <v>1310</v>
      </c>
      <c r="B1916" t="s">
        <v>4788</v>
      </c>
      <c r="C1916" t="s">
        <v>12541</v>
      </c>
      <c r="D1916" t="s">
        <v>12542</v>
      </c>
      <c r="E1916" t="s">
        <v>12543</v>
      </c>
      <c r="F1916" t="s">
        <v>12544</v>
      </c>
      <c r="G1916" t="s">
        <v>5904</v>
      </c>
      <c r="H1916">
        <v>212</v>
      </c>
      <c r="I1916">
        <v>204</v>
      </c>
      <c r="J1916">
        <v>205</v>
      </c>
      <c r="K1916">
        <v>111</v>
      </c>
      <c r="L1916">
        <v>146</v>
      </c>
      <c r="M1916">
        <v>52.4</v>
      </c>
      <c r="N1916">
        <v>68.900000000000006</v>
      </c>
      <c r="O1916">
        <v>219.6</v>
      </c>
    </row>
    <row r="1917" spans="1:15">
      <c r="A1917">
        <v>1309</v>
      </c>
      <c r="B1917" t="s">
        <v>12545</v>
      </c>
      <c r="C1917" t="s">
        <v>4792</v>
      </c>
      <c r="D1917" t="s">
        <v>12546</v>
      </c>
      <c r="E1917" t="s">
        <v>12547</v>
      </c>
      <c r="F1917" t="s">
        <v>12548</v>
      </c>
      <c r="G1917" t="s">
        <v>5904</v>
      </c>
      <c r="H1917">
        <v>783</v>
      </c>
      <c r="I1917">
        <v>784</v>
      </c>
      <c r="J1917">
        <v>786</v>
      </c>
      <c r="K1917">
        <v>650</v>
      </c>
      <c r="L1917">
        <v>717</v>
      </c>
      <c r="M1917">
        <v>83</v>
      </c>
      <c r="N1917">
        <v>91.6</v>
      </c>
      <c r="O1917">
        <v>1306.5999999999999</v>
      </c>
    </row>
    <row r="1918" spans="1:15">
      <c r="A1918">
        <v>1308</v>
      </c>
      <c r="B1918" t="s">
        <v>12549</v>
      </c>
      <c r="C1918" t="s">
        <v>4795</v>
      </c>
      <c r="D1918" t="s">
        <v>12550</v>
      </c>
      <c r="E1918" t="s">
        <v>12551</v>
      </c>
      <c r="F1918" t="s">
        <v>12552</v>
      </c>
      <c r="G1918" t="s">
        <v>5904</v>
      </c>
      <c r="H1918">
        <v>1527</v>
      </c>
      <c r="I1918">
        <v>1573</v>
      </c>
      <c r="J1918">
        <v>1149</v>
      </c>
      <c r="K1918">
        <v>933</v>
      </c>
      <c r="L1918">
        <v>994</v>
      </c>
      <c r="M1918">
        <v>61.1</v>
      </c>
      <c r="N1918">
        <v>65.099999999999994</v>
      </c>
      <c r="O1918">
        <v>1632.5</v>
      </c>
    </row>
    <row r="1919" spans="1:15">
      <c r="A1919">
        <v>1307</v>
      </c>
      <c r="B1919" t="s">
        <v>12553</v>
      </c>
      <c r="C1919" t="s">
        <v>4798</v>
      </c>
      <c r="D1919" t="s">
        <v>12554</v>
      </c>
      <c r="E1919" t="s">
        <v>12555</v>
      </c>
      <c r="F1919" t="s">
        <v>12556</v>
      </c>
      <c r="G1919" t="s">
        <v>5904</v>
      </c>
      <c r="H1919">
        <v>590</v>
      </c>
      <c r="I1919">
        <v>589</v>
      </c>
      <c r="J1919">
        <v>584</v>
      </c>
      <c r="K1919">
        <v>583</v>
      </c>
      <c r="L1919">
        <v>584</v>
      </c>
      <c r="M1919">
        <v>98.8</v>
      </c>
      <c r="N1919">
        <v>99</v>
      </c>
      <c r="O1919">
        <v>1194.5</v>
      </c>
    </row>
    <row r="1920" spans="1:15">
      <c r="A1920">
        <v>2155</v>
      </c>
      <c r="B1920" t="s">
        <v>4799</v>
      </c>
      <c r="C1920" t="s">
        <v>4800</v>
      </c>
      <c r="D1920" t="s">
        <v>12557</v>
      </c>
      <c r="E1920" t="s">
        <v>12558</v>
      </c>
      <c r="F1920" t="s">
        <v>12559</v>
      </c>
      <c r="G1920" t="s">
        <v>5904</v>
      </c>
      <c r="H1920">
        <v>1026</v>
      </c>
      <c r="I1920">
        <v>1025</v>
      </c>
      <c r="J1920">
        <v>1022</v>
      </c>
      <c r="K1920">
        <v>947</v>
      </c>
      <c r="L1920">
        <v>984</v>
      </c>
      <c r="M1920">
        <v>92.3</v>
      </c>
      <c r="N1920">
        <v>95.9</v>
      </c>
      <c r="O1920">
        <v>1971</v>
      </c>
    </row>
    <row r="1921" spans="1:15">
      <c r="A1921">
        <v>1306</v>
      </c>
      <c r="B1921" t="s">
        <v>12560</v>
      </c>
      <c r="C1921" t="s">
        <v>4803</v>
      </c>
      <c r="D1921" t="s">
        <v>12561</v>
      </c>
      <c r="E1921" t="s">
        <v>12562</v>
      </c>
      <c r="F1921" t="s">
        <v>12563</v>
      </c>
      <c r="G1921" t="s">
        <v>5904</v>
      </c>
      <c r="H1921">
        <v>475</v>
      </c>
      <c r="I1921">
        <v>475</v>
      </c>
      <c r="J1921">
        <v>475</v>
      </c>
      <c r="K1921">
        <v>475</v>
      </c>
      <c r="L1921">
        <v>475</v>
      </c>
      <c r="M1921">
        <v>100</v>
      </c>
      <c r="N1921">
        <v>100</v>
      </c>
      <c r="O1921">
        <v>988</v>
      </c>
    </row>
    <row r="1922" spans="1:15">
      <c r="A1922">
        <v>1305</v>
      </c>
      <c r="B1922" t="s">
        <v>12564</v>
      </c>
      <c r="C1922" t="s">
        <v>4806</v>
      </c>
      <c r="D1922" t="s">
        <v>12565</v>
      </c>
      <c r="E1922" t="s">
        <v>12566</v>
      </c>
      <c r="F1922" t="s">
        <v>12567</v>
      </c>
      <c r="G1922" t="s">
        <v>5904</v>
      </c>
      <c r="H1922">
        <v>270</v>
      </c>
      <c r="I1922">
        <v>282</v>
      </c>
      <c r="J1922">
        <v>235</v>
      </c>
      <c r="K1922">
        <v>177</v>
      </c>
      <c r="L1922">
        <v>187</v>
      </c>
      <c r="M1922">
        <v>65.599999999999994</v>
      </c>
      <c r="N1922">
        <v>69.3</v>
      </c>
      <c r="O1922">
        <v>321.2</v>
      </c>
    </row>
    <row r="1923" spans="1:15">
      <c r="A1923">
        <v>1304</v>
      </c>
      <c r="B1923" t="s">
        <v>4807</v>
      </c>
      <c r="C1923" t="s">
        <v>4809</v>
      </c>
      <c r="D1923" t="s">
        <v>12568</v>
      </c>
      <c r="E1923" t="s">
        <v>12569</v>
      </c>
      <c r="F1923" t="s">
        <v>12570</v>
      </c>
      <c r="G1923" t="s">
        <v>5904</v>
      </c>
      <c r="H1923">
        <v>262</v>
      </c>
      <c r="I1923">
        <v>278</v>
      </c>
      <c r="J1923">
        <v>279</v>
      </c>
      <c r="K1923">
        <v>254</v>
      </c>
      <c r="L1923">
        <v>259</v>
      </c>
      <c r="M1923">
        <v>96.9</v>
      </c>
      <c r="N1923">
        <v>98.9</v>
      </c>
      <c r="O1923">
        <v>477.2</v>
      </c>
    </row>
    <row r="1924" spans="1:15">
      <c r="A1924">
        <v>1303</v>
      </c>
      <c r="B1924" t="s">
        <v>4810</v>
      </c>
      <c r="C1924" t="s">
        <v>12571</v>
      </c>
      <c r="D1924" t="s">
        <v>12572</v>
      </c>
      <c r="E1924" t="s">
        <v>12573</v>
      </c>
      <c r="F1924" t="s">
        <v>12574</v>
      </c>
      <c r="G1924" t="s">
        <v>5904</v>
      </c>
      <c r="H1924">
        <v>250</v>
      </c>
      <c r="I1924">
        <v>250</v>
      </c>
      <c r="J1924">
        <v>250</v>
      </c>
      <c r="K1924">
        <v>247</v>
      </c>
      <c r="L1924">
        <v>250</v>
      </c>
      <c r="M1924">
        <v>98.8</v>
      </c>
      <c r="N1924">
        <v>100</v>
      </c>
      <c r="O1924">
        <v>504.2</v>
      </c>
    </row>
    <row r="1925" spans="1:15">
      <c r="A1925">
        <v>1302</v>
      </c>
      <c r="B1925" t="s">
        <v>4812</v>
      </c>
      <c r="C1925" t="s">
        <v>4813</v>
      </c>
      <c r="D1925" t="s">
        <v>12575</v>
      </c>
      <c r="E1925" t="s">
        <v>12576</v>
      </c>
      <c r="F1925" t="s">
        <v>12577</v>
      </c>
      <c r="G1925" t="s">
        <v>5904</v>
      </c>
      <c r="H1925">
        <v>194</v>
      </c>
      <c r="I1925">
        <v>194</v>
      </c>
      <c r="J1925">
        <v>194</v>
      </c>
      <c r="K1925">
        <v>194</v>
      </c>
      <c r="L1925">
        <v>194</v>
      </c>
      <c r="M1925">
        <v>100</v>
      </c>
      <c r="N1925">
        <v>100</v>
      </c>
      <c r="O1925">
        <v>387.9</v>
      </c>
    </row>
    <row r="1926" spans="1:15">
      <c r="A1926">
        <v>1301</v>
      </c>
      <c r="B1926" t="s">
        <v>4814</v>
      </c>
      <c r="C1926" t="s">
        <v>4815</v>
      </c>
      <c r="D1926" t="s">
        <v>12578</v>
      </c>
      <c r="E1926" t="s">
        <v>12579</v>
      </c>
      <c r="F1926" t="s">
        <v>12580</v>
      </c>
      <c r="G1926" t="s">
        <v>5904</v>
      </c>
      <c r="H1926">
        <v>137</v>
      </c>
      <c r="I1926">
        <v>137</v>
      </c>
      <c r="J1926">
        <v>137</v>
      </c>
      <c r="K1926">
        <v>135</v>
      </c>
      <c r="L1926">
        <v>136</v>
      </c>
      <c r="M1926">
        <v>98.5</v>
      </c>
      <c r="N1926">
        <v>99.3</v>
      </c>
      <c r="O1926">
        <v>275</v>
      </c>
    </row>
    <row r="1927" spans="1:15">
      <c r="A1927">
        <v>2154</v>
      </c>
      <c r="B1927" t="s">
        <v>4816</v>
      </c>
      <c r="C1927" t="s">
        <v>12581</v>
      </c>
      <c r="D1927" t="s">
        <v>12582</v>
      </c>
      <c r="E1927" t="s">
        <v>12583</v>
      </c>
      <c r="F1927" t="s">
        <v>12584</v>
      </c>
      <c r="G1927" t="s">
        <v>5904</v>
      </c>
      <c r="H1927">
        <v>519</v>
      </c>
      <c r="I1927">
        <v>519</v>
      </c>
      <c r="J1927">
        <v>520</v>
      </c>
      <c r="K1927">
        <v>456</v>
      </c>
      <c r="L1927">
        <v>482</v>
      </c>
      <c r="M1927">
        <v>87.9</v>
      </c>
      <c r="N1927">
        <v>92.9</v>
      </c>
      <c r="O1927">
        <v>905.2</v>
      </c>
    </row>
    <row r="1928" spans="1:15">
      <c r="A1928">
        <v>1300</v>
      </c>
      <c r="B1928" t="s">
        <v>4818</v>
      </c>
      <c r="C1928" t="s">
        <v>4819</v>
      </c>
      <c r="D1928" t="s">
        <v>12585</v>
      </c>
      <c r="E1928" t="s">
        <v>12586</v>
      </c>
      <c r="F1928" t="s">
        <v>12587</v>
      </c>
      <c r="G1928" t="s">
        <v>6759</v>
      </c>
      <c r="H1928">
        <v>410</v>
      </c>
      <c r="I1928">
        <v>271</v>
      </c>
      <c r="J1928">
        <v>256</v>
      </c>
      <c r="K1928">
        <v>141</v>
      </c>
      <c r="L1928">
        <v>170</v>
      </c>
      <c r="M1928">
        <v>34.4</v>
      </c>
      <c r="N1928">
        <v>41.5</v>
      </c>
      <c r="O1928">
        <v>272.7</v>
      </c>
    </row>
    <row r="1929" spans="1:15">
      <c r="A1929">
        <v>1299</v>
      </c>
      <c r="B1929" t="s">
        <v>4820</v>
      </c>
      <c r="C1929" t="s">
        <v>4821</v>
      </c>
      <c r="D1929" t="s">
        <v>12588</v>
      </c>
      <c r="E1929" t="s">
        <v>12589</v>
      </c>
      <c r="F1929" t="s">
        <v>12590</v>
      </c>
      <c r="G1929" t="s">
        <v>5904</v>
      </c>
      <c r="H1929">
        <v>313</v>
      </c>
      <c r="I1929">
        <v>321</v>
      </c>
      <c r="J1929">
        <v>241</v>
      </c>
      <c r="K1929">
        <v>239</v>
      </c>
      <c r="L1929">
        <v>240</v>
      </c>
      <c r="M1929">
        <v>76.400000000000006</v>
      </c>
      <c r="N1929">
        <v>76.7</v>
      </c>
      <c r="O1929">
        <v>495</v>
      </c>
    </row>
    <row r="1930" spans="1:15">
      <c r="A1930">
        <v>1298</v>
      </c>
      <c r="B1930" t="s">
        <v>12591</v>
      </c>
      <c r="C1930" t="s">
        <v>4824</v>
      </c>
      <c r="D1930" t="s">
        <v>12592</v>
      </c>
      <c r="E1930" t="s">
        <v>12593</v>
      </c>
      <c r="F1930" t="s">
        <v>12594</v>
      </c>
      <c r="G1930" t="s">
        <v>5904</v>
      </c>
      <c r="H1930">
        <v>394</v>
      </c>
      <c r="I1930">
        <v>348</v>
      </c>
      <c r="J1930">
        <v>345</v>
      </c>
      <c r="K1930">
        <v>268</v>
      </c>
      <c r="L1930">
        <v>302</v>
      </c>
      <c r="M1930">
        <v>68</v>
      </c>
      <c r="N1930">
        <v>76.599999999999994</v>
      </c>
      <c r="O1930">
        <v>559.29999999999995</v>
      </c>
    </row>
    <row r="1931" spans="1:15">
      <c r="A1931">
        <v>1297</v>
      </c>
      <c r="B1931" t="s">
        <v>4825</v>
      </c>
      <c r="C1931" t="s">
        <v>4826</v>
      </c>
      <c r="D1931" t="s">
        <v>12595</v>
      </c>
      <c r="E1931" t="s">
        <v>12596</v>
      </c>
      <c r="F1931" t="s">
        <v>12597</v>
      </c>
      <c r="G1931" t="s">
        <v>5904</v>
      </c>
      <c r="H1931">
        <v>169</v>
      </c>
      <c r="I1931">
        <v>169</v>
      </c>
      <c r="J1931">
        <v>169</v>
      </c>
      <c r="K1931">
        <v>135</v>
      </c>
      <c r="L1931">
        <v>159</v>
      </c>
      <c r="M1931">
        <v>79.900000000000006</v>
      </c>
      <c r="N1931">
        <v>94.1</v>
      </c>
      <c r="O1931">
        <v>298.10000000000002</v>
      </c>
    </row>
    <row r="1932" spans="1:15">
      <c r="A1932">
        <v>1296</v>
      </c>
      <c r="B1932" t="s">
        <v>12598</v>
      </c>
      <c r="C1932" t="s">
        <v>4829</v>
      </c>
      <c r="D1932" t="s">
        <v>12599</v>
      </c>
      <c r="E1932" t="s">
        <v>12600</v>
      </c>
      <c r="F1932" t="s">
        <v>12601</v>
      </c>
      <c r="G1932" t="s">
        <v>5904</v>
      </c>
      <c r="H1932">
        <v>796</v>
      </c>
      <c r="I1932">
        <v>796</v>
      </c>
      <c r="J1932">
        <v>796</v>
      </c>
      <c r="K1932">
        <v>795</v>
      </c>
      <c r="L1932">
        <v>796</v>
      </c>
      <c r="M1932">
        <v>99.9</v>
      </c>
      <c r="N1932">
        <v>100</v>
      </c>
      <c r="O1932">
        <v>1647.1</v>
      </c>
    </row>
    <row r="1933" spans="1:15">
      <c r="A1933">
        <v>1295</v>
      </c>
      <c r="B1933" t="s">
        <v>12602</v>
      </c>
      <c r="C1933" t="s">
        <v>4832</v>
      </c>
      <c r="D1933" t="s">
        <v>12603</v>
      </c>
      <c r="E1933" t="s">
        <v>12604</v>
      </c>
      <c r="F1933" t="s">
        <v>12605</v>
      </c>
      <c r="G1933" t="s">
        <v>5904</v>
      </c>
      <c r="H1933">
        <v>994</v>
      </c>
      <c r="I1933">
        <v>968</v>
      </c>
      <c r="J1933">
        <v>968</v>
      </c>
      <c r="K1933">
        <v>929</v>
      </c>
      <c r="L1933">
        <v>946</v>
      </c>
      <c r="M1933">
        <v>93.5</v>
      </c>
      <c r="N1933">
        <v>95.2</v>
      </c>
      <c r="O1933">
        <v>1929.8</v>
      </c>
    </row>
    <row r="1934" spans="1:15">
      <c r="A1934">
        <v>1294</v>
      </c>
      <c r="B1934" t="s">
        <v>12606</v>
      </c>
      <c r="C1934" t="s">
        <v>4835</v>
      </c>
      <c r="D1934" t="s">
        <v>12607</v>
      </c>
      <c r="E1934" t="s">
        <v>12608</v>
      </c>
      <c r="F1934" t="s">
        <v>12609</v>
      </c>
      <c r="G1934" t="s">
        <v>5904</v>
      </c>
      <c r="H1934">
        <v>438</v>
      </c>
      <c r="I1934">
        <v>437</v>
      </c>
      <c r="J1934">
        <v>440</v>
      </c>
      <c r="K1934">
        <v>431</v>
      </c>
      <c r="L1934">
        <v>433</v>
      </c>
      <c r="M1934">
        <v>98.4</v>
      </c>
      <c r="N1934">
        <v>98.9</v>
      </c>
      <c r="O1934">
        <v>815.1</v>
      </c>
    </row>
    <row r="1935" spans="1:15">
      <c r="A1935">
        <v>1293</v>
      </c>
      <c r="B1935" t="s">
        <v>4836</v>
      </c>
      <c r="C1935" t="s">
        <v>12610</v>
      </c>
      <c r="D1935" t="s">
        <v>12611</v>
      </c>
      <c r="E1935" t="s">
        <v>12612</v>
      </c>
      <c r="F1935" t="s">
        <v>12613</v>
      </c>
      <c r="G1935" t="s">
        <v>5904</v>
      </c>
      <c r="H1935">
        <v>118</v>
      </c>
      <c r="I1935">
        <v>118</v>
      </c>
      <c r="J1935">
        <v>118</v>
      </c>
      <c r="K1935">
        <v>118</v>
      </c>
      <c r="L1935">
        <v>118</v>
      </c>
      <c r="M1935">
        <v>100</v>
      </c>
      <c r="N1935">
        <v>100</v>
      </c>
      <c r="O1935">
        <v>239.2</v>
      </c>
    </row>
    <row r="1936" spans="1:15">
      <c r="A1936">
        <v>1292</v>
      </c>
      <c r="B1936" t="s">
        <v>4838</v>
      </c>
      <c r="C1936" t="s">
        <v>4840</v>
      </c>
      <c r="D1936" t="s">
        <v>12614</v>
      </c>
      <c r="E1936" t="s">
        <v>12615</v>
      </c>
      <c r="F1936" t="s">
        <v>12616</v>
      </c>
      <c r="G1936" t="s">
        <v>5904</v>
      </c>
      <c r="H1936">
        <v>882</v>
      </c>
      <c r="I1936">
        <v>882</v>
      </c>
      <c r="J1936">
        <v>862</v>
      </c>
      <c r="K1936">
        <v>711</v>
      </c>
      <c r="L1936">
        <v>771</v>
      </c>
      <c r="M1936">
        <v>80.599999999999994</v>
      </c>
      <c r="N1936">
        <v>87.4</v>
      </c>
      <c r="O1936">
        <v>1361.3</v>
      </c>
    </row>
    <row r="1937" spans="1:15">
      <c r="A1937">
        <v>1291</v>
      </c>
      <c r="B1937" t="s">
        <v>4841</v>
      </c>
      <c r="C1937" t="s">
        <v>4842</v>
      </c>
      <c r="D1937" t="s">
        <v>12617</v>
      </c>
      <c r="E1937" t="s">
        <v>12618</v>
      </c>
      <c r="F1937" t="s">
        <v>12619</v>
      </c>
      <c r="G1937" t="s">
        <v>5904</v>
      </c>
      <c r="H1937">
        <v>187</v>
      </c>
      <c r="I1937">
        <v>182</v>
      </c>
      <c r="J1937">
        <v>170</v>
      </c>
      <c r="K1937">
        <v>167</v>
      </c>
      <c r="L1937">
        <v>167</v>
      </c>
      <c r="M1937">
        <v>89.3</v>
      </c>
      <c r="N1937">
        <v>89.3</v>
      </c>
      <c r="O1937">
        <v>342.4</v>
      </c>
    </row>
    <row r="1938" spans="1:15">
      <c r="A1938">
        <v>1290</v>
      </c>
      <c r="B1938" t="s">
        <v>4843</v>
      </c>
      <c r="C1938" t="s">
        <v>4844</v>
      </c>
      <c r="D1938" t="s">
        <v>12620</v>
      </c>
      <c r="E1938" t="s">
        <v>12621</v>
      </c>
      <c r="F1938" t="s">
        <v>12622</v>
      </c>
      <c r="G1938" t="s">
        <v>5904</v>
      </c>
      <c r="H1938">
        <v>134</v>
      </c>
      <c r="I1938">
        <v>134</v>
      </c>
      <c r="J1938">
        <v>133</v>
      </c>
      <c r="K1938">
        <v>105</v>
      </c>
      <c r="L1938">
        <v>119</v>
      </c>
      <c r="M1938">
        <v>78.400000000000006</v>
      </c>
      <c r="N1938">
        <v>88.8</v>
      </c>
      <c r="O1938">
        <v>206.1</v>
      </c>
    </row>
    <row r="1939" spans="1:15">
      <c r="A1939">
        <v>1289</v>
      </c>
      <c r="B1939" t="s">
        <v>12623</v>
      </c>
      <c r="C1939" t="s">
        <v>4847</v>
      </c>
      <c r="D1939" t="s">
        <v>12624</v>
      </c>
      <c r="E1939" t="s">
        <v>12625</v>
      </c>
      <c r="F1939" t="s">
        <v>12626</v>
      </c>
      <c r="G1939" t="s">
        <v>5904</v>
      </c>
      <c r="H1939">
        <v>388</v>
      </c>
      <c r="I1939">
        <v>388</v>
      </c>
      <c r="J1939">
        <v>388</v>
      </c>
      <c r="K1939">
        <v>385</v>
      </c>
      <c r="L1939">
        <v>386</v>
      </c>
      <c r="M1939">
        <v>99.2</v>
      </c>
      <c r="N1939">
        <v>99.5</v>
      </c>
      <c r="O1939">
        <v>793.1</v>
      </c>
    </row>
    <row r="1940" spans="1:15">
      <c r="A1940">
        <v>1288</v>
      </c>
      <c r="B1940" t="s">
        <v>4848</v>
      </c>
      <c r="C1940" t="s">
        <v>4849</v>
      </c>
      <c r="D1940" t="s">
        <v>12627</v>
      </c>
      <c r="E1940" t="s">
        <v>12628</v>
      </c>
      <c r="F1940" t="s">
        <v>12629</v>
      </c>
      <c r="G1940" t="s">
        <v>5904</v>
      </c>
      <c r="H1940">
        <v>828</v>
      </c>
      <c r="I1940">
        <v>829</v>
      </c>
      <c r="J1940">
        <v>835</v>
      </c>
      <c r="K1940">
        <v>728</v>
      </c>
      <c r="L1940">
        <v>763</v>
      </c>
      <c r="M1940">
        <v>87.9</v>
      </c>
      <c r="N1940">
        <v>92.1</v>
      </c>
      <c r="O1940">
        <v>1375.5</v>
      </c>
    </row>
    <row r="1941" spans="1:15">
      <c r="A1941">
        <v>1287</v>
      </c>
      <c r="B1941" t="s">
        <v>4850</v>
      </c>
      <c r="C1941" t="s">
        <v>4851</v>
      </c>
      <c r="D1941" t="s">
        <v>12630</v>
      </c>
      <c r="E1941" t="s">
        <v>12631</v>
      </c>
      <c r="F1941" t="s">
        <v>12632</v>
      </c>
      <c r="G1941" t="s">
        <v>5904</v>
      </c>
      <c r="H1941">
        <v>627</v>
      </c>
      <c r="I1941">
        <v>628</v>
      </c>
      <c r="J1941">
        <v>628</v>
      </c>
      <c r="K1941">
        <v>476</v>
      </c>
      <c r="L1941">
        <v>533</v>
      </c>
      <c r="M1941">
        <v>75.900000000000006</v>
      </c>
      <c r="N1941">
        <v>85</v>
      </c>
      <c r="O1941">
        <v>839.7</v>
      </c>
    </row>
    <row r="1942" spans="1:15">
      <c r="A1942">
        <v>1286</v>
      </c>
      <c r="B1942" t="s">
        <v>4852</v>
      </c>
      <c r="C1942" t="s">
        <v>4853</v>
      </c>
      <c r="D1942" t="s">
        <v>12633</v>
      </c>
      <c r="E1942" t="s">
        <v>12634</v>
      </c>
      <c r="F1942" t="s">
        <v>12635</v>
      </c>
      <c r="G1942" t="s">
        <v>5904</v>
      </c>
      <c r="H1942">
        <v>263</v>
      </c>
      <c r="I1942">
        <v>263</v>
      </c>
      <c r="J1942">
        <v>263</v>
      </c>
      <c r="K1942">
        <v>222</v>
      </c>
      <c r="L1942">
        <v>242</v>
      </c>
      <c r="M1942">
        <v>84.4</v>
      </c>
      <c r="N1942">
        <v>92</v>
      </c>
      <c r="O1942">
        <v>466.1</v>
      </c>
    </row>
    <row r="1943" spans="1:15">
      <c r="A1943">
        <v>1285</v>
      </c>
      <c r="B1943" t="s">
        <v>4854</v>
      </c>
      <c r="C1943" t="s">
        <v>4855</v>
      </c>
      <c r="D1943" t="s">
        <v>12636</v>
      </c>
      <c r="E1943" t="s">
        <v>12637</v>
      </c>
      <c r="F1943" t="s">
        <v>12638</v>
      </c>
      <c r="G1943" t="s">
        <v>5904</v>
      </c>
      <c r="H1943">
        <v>125</v>
      </c>
      <c r="I1943">
        <v>125</v>
      </c>
      <c r="J1943">
        <v>125</v>
      </c>
      <c r="K1943">
        <v>119</v>
      </c>
      <c r="L1943">
        <v>123</v>
      </c>
      <c r="M1943">
        <v>95.2</v>
      </c>
      <c r="N1943">
        <v>98.4</v>
      </c>
      <c r="O1943">
        <v>240.3</v>
      </c>
    </row>
    <row r="1944" spans="1:15">
      <c r="A1944">
        <v>1284</v>
      </c>
      <c r="B1944" t="s">
        <v>4856</v>
      </c>
      <c r="C1944" t="s">
        <v>4857</v>
      </c>
      <c r="D1944" t="s">
        <v>12639</v>
      </c>
      <c r="E1944" t="s">
        <v>12640</v>
      </c>
      <c r="F1944" t="s">
        <v>12641</v>
      </c>
      <c r="G1944" t="s">
        <v>5904</v>
      </c>
      <c r="H1944">
        <v>493</v>
      </c>
      <c r="I1944">
        <v>493</v>
      </c>
      <c r="J1944">
        <v>493</v>
      </c>
      <c r="K1944">
        <v>454</v>
      </c>
      <c r="L1944">
        <v>477</v>
      </c>
      <c r="M1944">
        <v>92.1</v>
      </c>
      <c r="N1944">
        <v>96.8</v>
      </c>
      <c r="O1944">
        <v>963.8</v>
      </c>
    </row>
    <row r="1945" spans="1:15">
      <c r="A1945">
        <v>1283</v>
      </c>
      <c r="B1945" t="s">
        <v>4858</v>
      </c>
      <c r="C1945" t="s">
        <v>4859</v>
      </c>
      <c r="D1945" t="s">
        <v>12642</v>
      </c>
      <c r="E1945" t="s">
        <v>12643</v>
      </c>
      <c r="F1945" t="s">
        <v>12644</v>
      </c>
      <c r="G1945" t="s">
        <v>5904</v>
      </c>
      <c r="H1945">
        <v>218</v>
      </c>
      <c r="I1945">
        <v>218</v>
      </c>
      <c r="J1945">
        <v>218</v>
      </c>
      <c r="K1945">
        <v>213</v>
      </c>
      <c r="L1945">
        <v>217</v>
      </c>
      <c r="M1945">
        <v>97.7</v>
      </c>
      <c r="N1945">
        <v>99.5</v>
      </c>
      <c r="O1945">
        <v>439.1</v>
      </c>
    </row>
    <row r="1946" spans="1:15">
      <c r="A1946">
        <v>1282</v>
      </c>
      <c r="B1946" t="s">
        <v>4860</v>
      </c>
      <c r="C1946" t="s">
        <v>4861</v>
      </c>
      <c r="D1946" t="s">
        <v>12645</v>
      </c>
      <c r="E1946" t="s">
        <v>12646</v>
      </c>
      <c r="F1946" t="s">
        <v>12647</v>
      </c>
      <c r="G1946" t="s">
        <v>5904</v>
      </c>
      <c r="H1946">
        <v>274</v>
      </c>
      <c r="I1946">
        <v>274</v>
      </c>
      <c r="J1946">
        <v>274</v>
      </c>
      <c r="K1946">
        <v>244</v>
      </c>
      <c r="L1946">
        <v>260</v>
      </c>
      <c r="M1946">
        <v>89.1</v>
      </c>
      <c r="N1946">
        <v>94.9</v>
      </c>
      <c r="O1946">
        <v>513.5</v>
      </c>
    </row>
    <row r="1947" spans="1:15">
      <c r="A1947">
        <v>2153</v>
      </c>
      <c r="B1947" t="s">
        <v>4862</v>
      </c>
      <c r="C1947" t="s">
        <v>4863</v>
      </c>
      <c r="D1947" t="s">
        <v>12648</v>
      </c>
      <c r="E1947" t="s">
        <v>12649</v>
      </c>
      <c r="F1947" t="s">
        <v>12650</v>
      </c>
      <c r="G1947" t="s">
        <v>5904</v>
      </c>
      <c r="H1947">
        <v>248</v>
      </c>
      <c r="I1947">
        <v>248</v>
      </c>
      <c r="J1947">
        <v>248</v>
      </c>
      <c r="K1947">
        <v>241</v>
      </c>
      <c r="L1947">
        <v>244</v>
      </c>
      <c r="M1947">
        <v>97.2</v>
      </c>
      <c r="N1947">
        <v>98.4</v>
      </c>
      <c r="O1947">
        <v>496.1</v>
      </c>
    </row>
    <row r="1948" spans="1:15">
      <c r="A1948">
        <v>1281</v>
      </c>
      <c r="B1948" t="s">
        <v>12651</v>
      </c>
      <c r="C1948" t="s">
        <v>4866</v>
      </c>
      <c r="D1948" t="s">
        <v>12652</v>
      </c>
      <c r="E1948" t="s">
        <v>12653</v>
      </c>
      <c r="F1948" t="s">
        <v>12654</v>
      </c>
      <c r="G1948" t="s">
        <v>6759</v>
      </c>
      <c r="H1948">
        <v>162</v>
      </c>
      <c r="I1948">
        <v>83</v>
      </c>
      <c r="J1948">
        <v>84</v>
      </c>
      <c r="K1948">
        <v>62</v>
      </c>
      <c r="L1948">
        <v>69</v>
      </c>
      <c r="M1948">
        <v>38.299999999999997</v>
      </c>
      <c r="N1948">
        <v>42.6</v>
      </c>
      <c r="O1948">
        <v>93.2</v>
      </c>
    </row>
    <row r="1949" spans="1:15">
      <c r="A1949">
        <v>1280</v>
      </c>
      <c r="B1949" t="s">
        <v>12655</v>
      </c>
      <c r="C1949" t="s">
        <v>4869</v>
      </c>
      <c r="D1949" t="s">
        <v>12656</v>
      </c>
      <c r="E1949" t="s">
        <v>12657</v>
      </c>
      <c r="F1949" t="s">
        <v>12658</v>
      </c>
      <c r="G1949" t="s">
        <v>5904</v>
      </c>
      <c r="H1949">
        <v>624</v>
      </c>
      <c r="I1949">
        <v>589</v>
      </c>
      <c r="J1949">
        <v>626</v>
      </c>
      <c r="K1949">
        <v>587</v>
      </c>
      <c r="L1949">
        <v>587</v>
      </c>
      <c r="M1949">
        <v>94.1</v>
      </c>
      <c r="N1949">
        <v>94.1</v>
      </c>
      <c r="O1949">
        <v>1184.9000000000001</v>
      </c>
    </row>
    <row r="1950" spans="1:15">
      <c r="A1950">
        <v>1279</v>
      </c>
      <c r="B1950" t="s">
        <v>4870</v>
      </c>
      <c r="C1950" t="s">
        <v>4871</v>
      </c>
      <c r="D1950" t="s">
        <v>12659</v>
      </c>
      <c r="E1950" t="s">
        <v>12660</v>
      </c>
      <c r="F1950" t="s">
        <v>12661</v>
      </c>
      <c r="G1950" t="s">
        <v>5904</v>
      </c>
      <c r="H1950">
        <v>468</v>
      </c>
      <c r="I1950">
        <v>437</v>
      </c>
      <c r="J1950">
        <v>420</v>
      </c>
      <c r="K1950">
        <v>227</v>
      </c>
      <c r="L1950">
        <v>288</v>
      </c>
      <c r="M1950">
        <v>48.5</v>
      </c>
      <c r="N1950">
        <v>61.5</v>
      </c>
      <c r="O1950">
        <v>429.1</v>
      </c>
    </row>
    <row r="1951" spans="1:15">
      <c r="A1951">
        <v>1278</v>
      </c>
      <c r="B1951" t="s">
        <v>4872</v>
      </c>
      <c r="C1951" t="s">
        <v>12662</v>
      </c>
      <c r="D1951" t="s">
        <v>12663</v>
      </c>
      <c r="E1951" t="s">
        <v>12664</v>
      </c>
      <c r="F1951" t="s">
        <v>12665</v>
      </c>
      <c r="G1951" t="s">
        <v>5904</v>
      </c>
      <c r="H1951">
        <v>410</v>
      </c>
      <c r="I1951">
        <v>411</v>
      </c>
      <c r="J1951">
        <v>411</v>
      </c>
      <c r="K1951">
        <v>330</v>
      </c>
      <c r="L1951">
        <v>360</v>
      </c>
      <c r="M1951">
        <v>80.5</v>
      </c>
      <c r="N1951">
        <v>87.8</v>
      </c>
      <c r="O1951">
        <v>688.3</v>
      </c>
    </row>
    <row r="1952" spans="1:15">
      <c r="A1952">
        <v>1277</v>
      </c>
      <c r="B1952" t="s">
        <v>4874</v>
      </c>
      <c r="C1952" t="s">
        <v>12666</v>
      </c>
      <c r="D1952" t="s">
        <v>12667</v>
      </c>
      <c r="E1952" t="s">
        <v>12668</v>
      </c>
      <c r="F1952" t="s">
        <v>12669</v>
      </c>
      <c r="G1952" t="s">
        <v>5904</v>
      </c>
      <c r="H1952">
        <v>328</v>
      </c>
      <c r="I1952">
        <v>328</v>
      </c>
      <c r="J1952">
        <v>328</v>
      </c>
      <c r="K1952">
        <v>316</v>
      </c>
      <c r="L1952">
        <v>325</v>
      </c>
      <c r="M1952">
        <v>96.3</v>
      </c>
      <c r="N1952">
        <v>99.1</v>
      </c>
      <c r="O1952">
        <v>651.70000000000005</v>
      </c>
    </row>
    <row r="1953" spans="1:15">
      <c r="A1953">
        <v>1276</v>
      </c>
      <c r="B1953" t="s">
        <v>4876</v>
      </c>
      <c r="C1953" t="s">
        <v>4878</v>
      </c>
      <c r="D1953" t="s">
        <v>12670</v>
      </c>
      <c r="E1953" t="s">
        <v>12671</v>
      </c>
      <c r="F1953" t="s">
        <v>12672</v>
      </c>
      <c r="G1953" t="s">
        <v>5904</v>
      </c>
      <c r="H1953">
        <v>661</v>
      </c>
      <c r="I1953">
        <v>660</v>
      </c>
      <c r="J1953">
        <v>659</v>
      </c>
      <c r="K1953">
        <v>637</v>
      </c>
      <c r="L1953">
        <v>647</v>
      </c>
      <c r="M1953">
        <v>96.4</v>
      </c>
      <c r="N1953">
        <v>97.9</v>
      </c>
      <c r="O1953">
        <v>1323.5</v>
      </c>
    </row>
    <row r="1954" spans="1:15">
      <c r="A1954">
        <v>1275</v>
      </c>
      <c r="B1954" t="s">
        <v>12673</v>
      </c>
      <c r="C1954" t="s">
        <v>4881</v>
      </c>
      <c r="D1954" t="s">
        <v>12674</v>
      </c>
      <c r="E1954" t="s">
        <v>12675</v>
      </c>
      <c r="F1954" t="s">
        <v>12676</v>
      </c>
      <c r="G1954" t="s">
        <v>5904</v>
      </c>
      <c r="H1954">
        <v>713</v>
      </c>
      <c r="I1954">
        <v>713</v>
      </c>
      <c r="J1954">
        <v>713</v>
      </c>
      <c r="K1954">
        <v>686</v>
      </c>
      <c r="L1954">
        <v>702</v>
      </c>
      <c r="M1954">
        <v>96.2</v>
      </c>
      <c r="N1954">
        <v>98.5</v>
      </c>
      <c r="O1954">
        <v>1416.4</v>
      </c>
    </row>
    <row r="1955" spans="1:15">
      <c r="A1955">
        <v>1274</v>
      </c>
      <c r="B1955" t="s">
        <v>4882</v>
      </c>
      <c r="C1955" t="s">
        <v>4883</v>
      </c>
      <c r="D1955" t="s">
        <v>12677</v>
      </c>
      <c r="E1955" t="s">
        <v>12678</v>
      </c>
      <c r="F1955" t="s">
        <v>12679</v>
      </c>
      <c r="G1955" t="s">
        <v>5904</v>
      </c>
      <c r="H1955">
        <v>440</v>
      </c>
      <c r="I1955">
        <v>440</v>
      </c>
      <c r="J1955">
        <v>433</v>
      </c>
      <c r="K1955">
        <v>400</v>
      </c>
      <c r="L1955">
        <v>410</v>
      </c>
      <c r="M1955">
        <v>90.9</v>
      </c>
      <c r="N1955">
        <v>93.2</v>
      </c>
      <c r="O1955">
        <v>803.5</v>
      </c>
    </row>
    <row r="1956" spans="1:15">
      <c r="A1956">
        <v>1273</v>
      </c>
      <c r="B1956" t="s">
        <v>4884</v>
      </c>
      <c r="C1956" t="s">
        <v>4885</v>
      </c>
      <c r="D1956" t="s">
        <v>12680</v>
      </c>
      <c r="E1956" t="s">
        <v>12681</v>
      </c>
      <c r="F1956" t="s">
        <v>12682</v>
      </c>
      <c r="G1956" t="s">
        <v>5904</v>
      </c>
      <c r="H1956">
        <v>146</v>
      </c>
      <c r="I1956">
        <v>146</v>
      </c>
      <c r="J1956">
        <v>146</v>
      </c>
      <c r="K1956">
        <v>146</v>
      </c>
      <c r="L1956">
        <v>146</v>
      </c>
      <c r="M1956">
        <v>100</v>
      </c>
      <c r="N1956">
        <v>100</v>
      </c>
      <c r="O1956">
        <v>295.8</v>
      </c>
    </row>
    <row r="1957" spans="1:15">
      <c r="A1957">
        <v>1272</v>
      </c>
      <c r="B1957" t="s">
        <v>12683</v>
      </c>
      <c r="C1957" t="s">
        <v>12684</v>
      </c>
      <c r="D1957" t="s">
        <v>12685</v>
      </c>
      <c r="E1957" t="s">
        <v>12686</v>
      </c>
      <c r="F1957" t="s">
        <v>12687</v>
      </c>
      <c r="G1957" t="s">
        <v>5904</v>
      </c>
      <c r="H1957">
        <v>1087</v>
      </c>
      <c r="I1957">
        <v>1087</v>
      </c>
      <c r="J1957">
        <v>1087</v>
      </c>
      <c r="K1957">
        <v>1084</v>
      </c>
      <c r="L1957">
        <v>1086</v>
      </c>
      <c r="M1957">
        <v>99.7</v>
      </c>
      <c r="N1957">
        <v>99.9</v>
      </c>
      <c r="O1957">
        <v>2236.1</v>
      </c>
    </row>
    <row r="1958" spans="1:15">
      <c r="A1958">
        <v>1271</v>
      </c>
      <c r="B1958" t="s">
        <v>4889</v>
      </c>
      <c r="C1958" t="s">
        <v>4890</v>
      </c>
      <c r="D1958" t="s">
        <v>12688</v>
      </c>
      <c r="E1958" t="s">
        <v>12689</v>
      </c>
      <c r="F1958" t="s">
        <v>12690</v>
      </c>
      <c r="G1958" t="s">
        <v>5904</v>
      </c>
      <c r="H1958">
        <v>101</v>
      </c>
      <c r="I1958">
        <v>101</v>
      </c>
      <c r="J1958">
        <v>101</v>
      </c>
      <c r="K1958">
        <v>62</v>
      </c>
      <c r="L1958">
        <v>79</v>
      </c>
      <c r="M1958">
        <v>61.4</v>
      </c>
      <c r="N1958">
        <v>78.2</v>
      </c>
      <c r="O1958">
        <v>116.3</v>
      </c>
    </row>
    <row r="1959" spans="1:15">
      <c r="A1959">
        <v>1270</v>
      </c>
      <c r="B1959" t="s">
        <v>4891</v>
      </c>
      <c r="C1959" t="s">
        <v>4892</v>
      </c>
      <c r="D1959" t="s">
        <v>12691</v>
      </c>
      <c r="E1959" t="s">
        <v>12692</v>
      </c>
      <c r="F1959" t="s">
        <v>12693</v>
      </c>
      <c r="G1959" t="s">
        <v>5904</v>
      </c>
      <c r="H1959">
        <v>458</v>
      </c>
      <c r="I1959">
        <v>461</v>
      </c>
      <c r="J1959">
        <v>455</v>
      </c>
      <c r="K1959">
        <v>417</v>
      </c>
      <c r="L1959">
        <v>431</v>
      </c>
      <c r="M1959">
        <v>91</v>
      </c>
      <c r="N1959">
        <v>94.1</v>
      </c>
      <c r="O1959">
        <v>733.4</v>
      </c>
    </row>
    <row r="1960" spans="1:15">
      <c r="A1960">
        <v>1269</v>
      </c>
      <c r="B1960" t="s">
        <v>4893</v>
      </c>
      <c r="C1960" t="s">
        <v>4894</v>
      </c>
      <c r="D1960" t="s">
        <v>12694</v>
      </c>
      <c r="E1960" t="s">
        <v>12695</v>
      </c>
      <c r="F1960" t="s">
        <v>12696</v>
      </c>
      <c r="G1960" t="s">
        <v>5904</v>
      </c>
      <c r="H1960">
        <v>393</v>
      </c>
      <c r="I1960">
        <v>392</v>
      </c>
      <c r="J1960">
        <v>393</v>
      </c>
      <c r="K1960">
        <v>338</v>
      </c>
      <c r="L1960">
        <v>364</v>
      </c>
      <c r="M1960">
        <v>86</v>
      </c>
      <c r="N1960">
        <v>92.6</v>
      </c>
      <c r="O1960">
        <v>704.9</v>
      </c>
    </row>
    <row r="1961" spans="1:15">
      <c r="A1961">
        <v>1268</v>
      </c>
      <c r="B1961" t="s">
        <v>4895</v>
      </c>
      <c r="C1961" t="s">
        <v>4896</v>
      </c>
      <c r="D1961" t="s">
        <v>12697</v>
      </c>
      <c r="E1961" t="s">
        <v>12698</v>
      </c>
      <c r="F1961" t="s">
        <v>12699</v>
      </c>
      <c r="G1961" t="s">
        <v>5904</v>
      </c>
      <c r="H1961">
        <v>338</v>
      </c>
      <c r="I1961">
        <v>339</v>
      </c>
      <c r="J1961">
        <v>338</v>
      </c>
      <c r="K1961">
        <v>234</v>
      </c>
      <c r="L1961">
        <v>268</v>
      </c>
      <c r="M1961">
        <v>69.2</v>
      </c>
      <c r="N1961">
        <v>79.3</v>
      </c>
      <c r="O1961">
        <v>429.5</v>
      </c>
    </row>
    <row r="1962" spans="1:15">
      <c r="A1962">
        <v>2152</v>
      </c>
      <c r="B1962" t="s">
        <v>4897</v>
      </c>
      <c r="C1962" t="s">
        <v>4898</v>
      </c>
      <c r="D1962" t="s">
        <v>12700</v>
      </c>
      <c r="E1962" t="s">
        <v>12701</v>
      </c>
      <c r="F1962" t="s">
        <v>12702</v>
      </c>
      <c r="G1962" t="s">
        <v>5904</v>
      </c>
      <c r="H1962">
        <v>128</v>
      </c>
      <c r="I1962">
        <v>128</v>
      </c>
      <c r="J1962">
        <v>128</v>
      </c>
      <c r="K1962">
        <v>127</v>
      </c>
      <c r="L1962">
        <v>127</v>
      </c>
      <c r="M1962">
        <v>99.2</v>
      </c>
      <c r="N1962">
        <v>99.2</v>
      </c>
      <c r="O1962">
        <v>260</v>
      </c>
    </row>
    <row r="1963" spans="1:15">
      <c r="A1963">
        <v>2151</v>
      </c>
      <c r="B1963" t="s">
        <v>12703</v>
      </c>
      <c r="C1963" t="s">
        <v>4901</v>
      </c>
      <c r="D1963" t="s">
        <v>12704</v>
      </c>
      <c r="E1963" t="s">
        <v>12705</v>
      </c>
      <c r="F1963" t="s">
        <v>12706</v>
      </c>
      <c r="G1963" t="s">
        <v>5904</v>
      </c>
      <c r="H1963">
        <v>160</v>
      </c>
      <c r="I1963">
        <v>160</v>
      </c>
      <c r="J1963">
        <v>160</v>
      </c>
      <c r="K1963">
        <v>153</v>
      </c>
      <c r="L1963">
        <v>156</v>
      </c>
      <c r="M1963">
        <v>95.6</v>
      </c>
      <c r="N1963">
        <v>97.5</v>
      </c>
      <c r="O1963">
        <v>323.2</v>
      </c>
    </row>
    <row r="1964" spans="1:15">
      <c r="A1964">
        <v>1267</v>
      </c>
      <c r="B1964" t="s">
        <v>4902</v>
      </c>
      <c r="C1964" t="s">
        <v>12707</v>
      </c>
      <c r="D1964" t="s">
        <v>12708</v>
      </c>
      <c r="E1964" t="s">
        <v>12709</v>
      </c>
      <c r="F1964" t="s">
        <v>12710</v>
      </c>
      <c r="G1964" t="s">
        <v>5904</v>
      </c>
      <c r="H1964">
        <v>796</v>
      </c>
      <c r="I1964">
        <v>796</v>
      </c>
      <c r="J1964">
        <v>796</v>
      </c>
      <c r="K1964">
        <v>782</v>
      </c>
      <c r="L1964">
        <v>791</v>
      </c>
      <c r="M1964">
        <v>98.2</v>
      </c>
      <c r="N1964">
        <v>99.4</v>
      </c>
      <c r="O1964">
        <v>1619.4</v>
      </c>
    </row>
    <row r="1965" spans="1:15">
      <c r="A1965">
        <v>1266</v>
      </c>
      <c r="B1965" t="s">
        <v>4904</v>
      </c>
      <c r="C1965" t="s">
        <v>4905</v>
      </c>
      <c r="D1965" t="s">
        <v>12711</v>
      </c>
      <c r="E1965" t="s">
        <v>12712</v>
      </c>
      <c r="F1965" t="s">
        <v>12713</v>
      </c>
      <c r="G1965" t="s">
        <v>5904</v>
      </c>
      <c r="H1965">
        <v>196</v>
      </c>
      <c r="I1965">
        <v>196</v>
      </c>
      <c r="J1965">
        <v>194</v>
      </c>
      <c r="K1965">
        <v>131</v>
      </c>
      <c r="L1965">
        <v>147</v>
      </c>
      <c r="M1965">
        <v>66.8</v>
      </c>
      <c r="N1965">
        <v>75</v>
      </c>
      <c r="O1965">
        <v>263.5</v>
      </c>
    </row>
    <row r="1966" spans="1:15">
      <c r="A1966">
        <v>1265</v>
      </c>
      <c r="B1966" t="s">
        <v>12714</v>
      </c>
      <c r="C1966" t="s">
        <v>4908</v>
      </c>
      <c r="D1966" t="s">
        <v>12715</v>
      </c>
      <c r="E1966" t="s">
        <v>12716</v>
      </c>
      <c r="F1966" t="s">
        <v>12717</v>
      </c>
      <c r="G1966" t="s">
        <v>5904</v>
      </c>
      <c r="H1966">
        <v>887</v>
      </c>
      <c r="I1966">
        <v>894</v>
      </c>
      <c r="J1966">
        <v>887</v>
      </c>
      <c r="K1966">
        <v>812</v>
      </c>
      <c r="L1966">
        <v>837</v>
      </c>
      <c r="M1966">
        <v>91.5</v>
      </c>
      <c r="N1966">
        <v>94.4</v>
      </c>
      <c r="O1966">
        <v>1671</v>
      </c>
    </row>
    <row r="1967" spans="1:15">
      <c r="A1967">
        <v>1264</v>
      </c>
      <c r="B1967" t="s">
        <v>12718</v>
      </c>
      <c r="C1967" t="s">
        <v>4911</v>
      </c>
      <c r="D1967" t="s">
        <v>12719</v>
      </c>
      <c r="E1967" t="s">
        <v>12720</v>
      </c>
      <c r="F1967" t="s">
        <v>12721</v>
      </c>
      <c r="G1967" t="s">
        <v>5904</v>
      </c>
      <c r="H1967">
        <v>430</v>
      </c>
      <c r="I1967">
        <v>430</v>
      </c>
      <c r="J1967">
        <v>430</v>
      </c>
      <c r="K1967">
        <v>404</v>
      </c>
      <c r="L1967">
        <v>418</v>
      </c>
      <c r="M1967">
        <v>94</v>
      </c>
      <c r="N1967">
        <v>97.2</v>
      </c>
      <c r="O1967">
        <v>835.9</v>
      </c>
    </row>
    <row r="1968" spans="1:15">
      <c r="A1968">
        <v>1263</v>
      </c>
      <c r="B1968" t="s">
        <v>12722</v>
      </c>
      <c r="C1968" t="s">
        <v>5787</v>
      </c>
      <c r="D1968" t="s">
        <v>12723</v>
      </c>
      <c r="E1968" t="s">
        <v>12724</v>
      </c>
      <c r="F1968" t="s">
        <v>12725</v>
      </c>
      <c r="G1968" t="s">
        <v>5904</v>
      </c>
      <c r="H1968">
        <v>381</v>
      </c>
      <c r="I1968">
        <v>380</v>
      </c>
      <c r="J1968">
        <v>383</v>
      </c>
      <c r="K1968">
        <v>339</v>
      </c>
      <c r="L1968">
        <v>349</v>
      </c>
      <c r="M1968">
        <v>89</v>
      </c>
      <c r="N1968">
        <v>91.6</v>
      </c>
      <c r="O1968">
        <v>485.7</v>
      </c>
    </row>
    <row r="1969" spans="1:15">
      <c r="A1969">
        <v>1262</v>
      </c>
      <c r="B1969" t="s">
        <v>4912</v>
      </c>
      <c r="C1969" t="s">
        <v>4913</v>
      </c>
      <c r="D1969" t="s">
        <v>12726</v>
      </c>
      <c r="E1969" t="s">
        <v>12727</v>
      </c>
      <c r="F1969" t="s">
        <v>12728</v>
      </c>
      <c r="G1969" t="s">
        <v>5904</v>
      </c>
      <c r="H1969">
        <v>206</v>
      </c>
      <c r="I1969">
        <v>206</v>
      </c>
      <c r="J1969">
        <v>205</v>
      </c>
      <c r="K1969">
        <v>194</v>
      </c>
      <c r="L1969">
        <v>201</v>
      </c>
      <c r="M1969">
        <v>94.2</v>
      </c>
      <c r="N1969">
        <v>97.6</v>
      </c>
      <c r="O1969">
        <v>397.9</v>
      </c>
    </row>
    <row r="1970" spans="1:15">
      <c r="A1970">
        <v>2150</v>
      </c>
      <c r="B1970" t="s">
        <v>12729</v>
      </c>
      <c r="C1970" t="s">
        <v>4916</v>
      </c>
      <c r="D1970" t="s">
        <v>12730</v>
      </c>
      <c r="E1970" t="s">
        <v>12731</v>
      </c>
      <c r="F1970" t="s">
        <v>12732</v>
      </c>
      <c r="G1970" t="s">
        <v>5904</v>
      </c>
      <c r="H1970">
        <v>271</v>
      </c>
      <c r="I1970">
        <v>224</v>
      </c>
      <c r="J1970">
        <v>246</v>
      </c>
      <c r="K1970">
        <v>213</v>
      </c>
      <c r="L1970">
        <v>215</v>
      </c>
      <c r="M1970">
        <v>78.599999999999994</v>
      </c>
      <c r="N1970">
        <v>79.3</v>
      </c>
      <c r="O1970">
        <v>375.2</v>
      </c>
    </row>
    <row r="1971" spans="1:15">
      <c r="A1971">
        <v>1261</v>
      </c>
      <c r="B1971" t="s">
        <v>4917</v>
      </c>
      <c r="C1971" t="s">
        <v>4918</v>
      </c>
      <c r="D1971" t="s">
        <v>12633</v>
      </c>
      <c r="E1971" t="s">
        <v>12634</v>
      </c>
      <c r="F1971" t="s">
        <v>12733</v>
      </c>
      <c r="G1971" t="s">
        <v>5904</v>
      </c>
      <c r="H1971">
        <v>264</v>
      </c>
      <c r="I1971">
        <v>263</v>
      </c>
      <c r="J1971">
        <v>264</v>
      </c>
      <c r="K1971">
        <v>227</v>
      </c>
      <c r="L1971">
        <v>241</v>
      </c>
      <c r="M1971">
        <v>86</v>
      </c>
      <c r="N1971">
        <v>91.3</v>
      </c>
      <c r="O1971">
        <v>463</v>
      </c>
    </row>
    <row r="1972" spans="1:15">
      <c r="A1972">
        <v>1260</v>
      </c>
      <c r="B1972" t="s">
        <v>4919</v>
      </c>
      <c r="C1972" t="s">
        <v>4920</v>
      </c>
      <c r="D1972" t="s">
        <v>12734</v>
      </c>
      <c r="E1972" t="s">
        <v>12735</v>
      </c>
      <c r="F1972" t="s">
        <v>12736</v>
      </c>
      <c r="G1972" t="s">
        <v>5904</v>
      </c>
      <c r="H1972">
        <v>142</v>
      </c>
      <c r="I1972">
        <v>142</v>
      </c>
      <c r="J1972">
        <v>142</v>
      </c>
      <c r="K1972">
        <v>140</v>
      </c>
      <c r="L1972">
        <v>141</v>
      </c>
      <c r="M1972">
        <v>98.6</v>
      </c>
      <c r="N1972">
        <v>99.3</v>
      </c>
      <c r="O1972">
        <v>287</v>
      </c>
    </row>
    <row r="1973" spans="1:15">
      <c r="A1973">
        <v>1259</v>
      </c>
      <c r="B1973" t="s">
        <v>4921</v>
      </c>
      <c r="C1973" t="s">
        <v>4922</v>
      </c>
      <c r="D1973" t="s">
        <v>12737</v>
      </c>
      <c r="E1973" t="s">
        <v>12738</v>
      </c>
      <c r="F1973" t="s">
        <v>12739</v>
      </c>
      <c r="G1973" t="s">
        <v>5904</v>
      </c>
      <c r="H1973">
        <v>295</v>
      </c>
      <c r="I1973">
        <v>295</v>
      </c>
      <c r="J1973">
        <v>295</v>
      </c>
      <c r="K1973">
        <v>286</v>
      </c>
      <c r="L1973">
        <v>291</v>
      </c>
      <c r="M1973">
        <v>96.9</v>
      </c>
      <c r="N1973">
        <v>98.6</v>
      </c>
      <c r="O1973">
        <v>593.20000000000005</v>
      </c>
    </row>
    <row r="1974" spans="1:15">
      <c r="A1974">
        <v>1258</v>
      </c>
      <c r="B1974" t="s">
        <v>12740</v>
      </c>
      <c r="C1974" t="s">
        <v>4926</v>
      </c>
      <c r="D1974" t="s">
        <v>12741</v>
      </c>
      <c r="E1974" t="s">
        <v>12742</v>
      </c>
      <c r="F1974" t="s">
        <v>12743</v>
      </c>
      <c r="G1974" t="s">
        <v>5904</v>
      </c>
      <c r="H1974">
        <v>540</v>
      </c>
      <c r="I1974">
        <v>538</v>
      </c>
      <c r="J1974">
        <v>541</v>
      </c>
      <c r="K1974">
        <v>421</v>
      </c>
      <c r="L1974">
        <v>457</v>
      </c>
      <c r="M1974">
        <v>78</v>
      </c>
      <c r="N1974">
        <v>84.6</v>
      </c>
      <c r="O1974">
        <v>716.8</v>
      </c>
    </row>
    <row r="1975" spans="1:15">
      <c r="A1975">
        <v>1257</v>
      </c>
      <c r="B1975" t="s">
        <v>4927</v>
      </c>
      <c r="C1975" t="s">
        <v>4928</v>
      </c>
      <c r="D1975" t="s">
        <v>12744</v>
      </c>
      <c r="E1975" t="s">
        <v>12745</v>
      </c>
      <c r="F1975" t="s">
        <v>12746</v>
      </c>
      <c r="G1975" t="s">
        <v>5904</v>
      </c>
      <c r="H1975">
        <v>273</v>
      </c>
      <c r="I1975">
        <v>274</v>
      </c>
      <c r="J1975">
        <v>273</v>
      </c>
      <c r="K1975">
        <v>247</v>
      </c>
      <c r="L1975">
        <v>254</v>
      </c>
      <c r="M1975">
        <v>90.5</v>
      </c>
      <c r="N1975">
        <v>93</v>
      </c>
      <c r="O1975">
        <v>496.5</v>
      </c>
    </row>
    <row r="1976" spans="1:15">
      <c r="A1976">
        <v>1256</v>
      </c>
      <c r="B1976" t="s">
        <v>4929</v>
      </c>
      <c r="C1976" t="s">
        <v>4930</v>
      </c>
      <c r="D1976" t="s">
        <v>12747</v>
      </c>
      <c r="E1976" t="s">
        <v>12748</v>
      </c>
      <c r="F1976" t="s">
        <v>12749</v>
      </c>
      <c r="G1976" t="s">
        <v>5904</v>
      </c>
      <c r="H1976">
        <v>804</v>
      </c>
      <c r="I1976">
        <v>699</v>
      </c>
      <c r="J1976">
        <v>653</v>
      </c>
      <c r="K1976">
        <v>397</v>
      </c>
      <c r="L1976">
        <v>461</v>
      </c>
      <c r="M1976">
        <v>49.4</v>
      </c>
      <c r="N1976">
        <v>57.3</v>
      </c>
      <c r="O1976">
        <v>487.3</v>
      </c>
    </row>
    <row r="1977" spans="1:15">
      <c r="A1977">
        <v>1255</v>
      </c>
      <c r="B1977" t="s">
        <v>4931</v>
      </c>
      <c r="C1977" t="s">
        <v>4932</v>
      </c>
      <c r="D1977" t="s">
        <v>12750</v>
      </c>
      <c r="E1977" t="s">
        <v>12751</v>
      </c>
      <c r="F1977" t="s">
        <v>12752</v>
      </c>
      <c r="G1977" t="s">
        <v>5904</v>
      </c>
      <c r="H1977">
        <v>834</v>
      </c>
      <c r="I1977">
        <v>835</v>
      </c>
      <c r="J1977">
        <v>837</v>
      </c>
      <c r="K1977">
        <v>807</v>
      </c>
      <c r="L1977">
        <v>816</v>
      </c>
      <c r="M1977">
        <v>96.8</v>
      </c>
      <c r="N1977">
        <v>97.8</v>
      </c>
      <c r="O1977">
        <v>1646.7</v>
      </c>
    </row>
    <row r="1978" spans="1:15">
      <c r="A1978">
        <v>1254</v>
      </c>
      <c r="B1978" t="s">
        <v>4933</v>
      </c>
      <c r="C1978" t="s">
        <v>4934</v>
      </c>
      <c r="D1978" t="s">
        <v>12753</v>
      </c>
      <c r="E1978" t="s">
        <v>12754</v>
      </c>
      <c r="F1978" t="s">
        <v>12755</v>
      </c>
      <c r="G1978" t="s">
        <v>5904</v>
      </c>
      <c r="H1978">
        <v>505</v>
      </c>
      <c r="I1978">
        <v>495</v>
      </c>
      <c r="J1978">
        <v>507</v>
      </c>
      <c r="K1978">
        <v>331</v>
      </c>
      <c r="L1978">
        <v>379</v>
      </c>
      <c r="M1978">
        <v>65.5</v>
      </c>
      <c r="N1978">
        <v>75</v>
      </c>
      <c r="O1978">
        <v>625.9</v>
      </c>
    </row>
    <row r="1979" spans="1:15">
      <c r="A1979">
        <v>1253</v>
      </c>
      <c r="B1979" t="s">
        <v>12756</v>
      </c>
      <c r="C1979" t="s">
        <v>4937</v>
      </c>
      <c r="D1979" t="s">
        <v>12757</v>
      </c>
      <c r="E1979" t="s">
        <v>12758</v>
      </c>
      <c r="F1979" t="s">
        <v>12759</v>
      </c>
      <c r="G1979" t="s">
        <v>5904</v>
      </c>
      <c r="H1979">
        <v>252</v>
      </c>
      <c r="I1979">
        <v>222</v>
      </c>
      <c r="J1979">
        <v>252</v>
      </c>
      <c r="K1979">
        <v>208</v>
      </c>
      <c r="L1979">
        <v>208</v>
      </c>
      <c r="M1979">
        <v>82.5</v>
      </c>
      <c r="N1979">
        <v>82.5</v>
      </c>
      <c r="O1979">
        <v>338.6</v>
      </c>
    </row>
    <row r="1980" spans="1:15">
      <c r="A1980">
        <v>1252</v>
      </c>
      <c r="B1980" t="s">
        <v>4938</v>
      </c>
      <c r="C1980" t="s">
        <v>4939</v>
      </c>
      <c r="D1980" t="s">
        <v>12760</v>
      </c>
      <c r="E1980" t="s">
        <v>12761</v>
      </c>
      <c r="F1980" t="s">
        <v>12762</v>
      </c>
      <c r="G1980" t="s">
        <v>5904</v>
      </c>
      <c r="H1980">
        <v>204</v>
      </c>
      <c r="I1980">
        <v>204</v>
      </c>
      <c r="J1980">
        <v>204</v>
      </c>
      <c r="K1980">
        <v>204</v>
      </c>
      <c r="L1980">
        <v>204</v>
      </c>
      <c r="M1980">
        <v>100</v>
      </c>
      <c r="N1980">
        <v>100</v>
      </c>
      <c r="O1980">
        <v>424.1</v>
      </c>
    </row>
    <row r="1981" spans="1:15">
      <c r="A1981">
        <v>1251</v>
      </c>
      <c r="B1981" t="s">
        <v>4940</v>
      </c>
      <c r="C1981" t="s">
        <v>4941</v>
      </c>
      <c r="D1981" t="s">
        <v>12763</v>
      </c>
      <c r="E1981" t="s">
        <v>12764</v>
      </c>
      <c r="F1981" t="s">
        <v>12765</v>
      </c>
      <c r="G1981" t="s">
        <v>5904</v>
      </c>
      <c r="H1981">
        <v>252</v>
      </c>
      <c r="I1981">
        <v>252</v>
      </c>
      <c r="J1981">
        <v>252</v>
      </c>
      <c r="K1981">
        <v>191</v>
      </c>
      <c r="L1981">
        <v>208</v>
      </c>
      <c r="M1981">
        <v>75.8</v>
      </c>
      <c r="N1981">
        <v>82.5</v>
      </c>
      <c r="O1981">
        <v>379.4</v>
      </c>
    </row>
    <row r="1982" spans="1:15">
      <c r="A1982">
        <v>1250</v>
      </c>
      <c r="B1982" t="s">
        <v>4942</v>
      </c>
      <c r="C1982" t="s">
        <v>12766</v>
      </c>
      <c r="D1982" t="s">
        <v>12767</v>
      </c>
      <c r="E1982" t="s">
        <v>12768</v>
      </c>
      <c r="F1982" t="s">
        <v>12769</v>
      </c>
      <c r="G1982" t="s">
        <v>5904</v>
      </c>
      <c r="H1982">
        <v>329</v>
      </c>
      <c r="I1982">
        <v>317</v>
      </c>
      <c r="J1982">
        <v>328</v>
      </c>
      <c r="K1982">
        <v>231</v>
      </c>
      <c r="L1982">
        <v>265</v>
      </c>
      <c r="M1982">
        <v>70.2</v>
      </c>
      <c r="N1982">
        <v>80.5</v>
      </c>
      <c r="O1982">
        <v>411.8</v>
      </c>
    </row>
    <row r="1983" spans="1:15">
      <c r="A1983">
        <v>1249</v>
      </c>
      <c r="B1983" t="s">
        <v>4944</v>
      </c>
      <c r="C1983" t="s">
        <v>4945</v>
      </c>
      <c r="D1983" t="s">
        <v>12770</v>
      </c>
      <c r="E1983" t="s">
        <v>12771</v>
      </c>
      <c r="F1983" t="s">
        <v>12772</v>
      </c>
      <c r="G1983" t="s">
        <v>5904</v>
      </c>
      <c r="H1983">
        <v>408</v>
      </c>
      <c r="I1983">
        <v>417</v>
      </c>
      <c r="J1983">
        <v>401</v>
      </c>
      <c r="K1983">
        <v>230</v>
      </c>
      <c r="L1983">
        <v>275</v>
      </c>
      <c r="M1983">
        <v>56.4</v>
      </c>
      <c r="N1983">
        <v>67.400000000000006</v>
      </c>
      <c r="O1983">
        <v>423.3</v>
      </c>
    </row>
    <row r="1984" spans="1:15">
      <c r="A1984">
        <v>1248</v>
      </c>
      <c r="B1984" t="s">
        <v>4946</v>
      </c>
      <c r="C1984" t="s">
        <v>4947</v>
      </c>
      <c r="D1984" t="s">
        <v>12773</v>
      </c>
      <c r="E1984" t="s">
        <v>12774</v>
      </c>
      <c r="F1984" t="s">
        <v>12775</v>
      </c>
      <c r="G1984" t="s">
        <v>5904</v>
      </c>
      <c r="H1984">
        <v>262</v>
      </c>
      <c r="I1984">
        <v>275</v>
      </c>
      <c r="J1984">
        <v>275</v>
      </c>
      <c r="K1984">
        <v>223</v>
      </c>
      <c r="L1984">
        <v>235</v>
      </c>
      <c r="M1984">
        <v>85.1</v>
      </c>
      <c r="N1984">
        <v>89.7</v>
      </c>
      <c r="O1984">
        <v>394.8</v>
      </c>
    </row>
    <row r="1985" spans="1:15">
      <c r="A1985">
        <v>1247</v>
      </c>
      <c r="B1985" t="s">
        <v>4948</v>
      </c>
      <c r="C1985" t="s">
        <v>4949</v>
      </c>
      <c r="D1985" t="s">
        <v>12776</v>
      </c>
      <c r="E1985" t="s">
        <v>12777</v>
      </c>
      <c r="F1985" t="s">
        <v>12778</v>
      </c>
      <c r="G1985" t="s">
        <v>5904</v>
      </c>
      <c r="H1985">
        <v>1548</v>
      </c>
      <c r="I1985">
        <v>1624</v>
      </c>
      <c r="J1985">
        <v>1488</v>
      </c>
      <c r="K1985">
        <v>1389</v>
      </c>
      <c r="L1985">
        <v>1412</v>
      </c>
      <c r="M1985">
        <v>89.7</v>
      </c>
      <c r="N1985">
        <v>91.2</v>
      </c>
      <c r="O1985">
        <v>2560.4</v>
      </c>
    </row>
    <row r="1986" spans="1:15">
      <c r="A1986">
        <v>2149</v>
      </c>
      <c r="B1986" t="s">
        <v>12779</v>
      </c>
      <c r="C1986" t="s">
        <v>4952</v>
      </c>
      <c r="D1986" t="s">
        <v>12780</v>
      </c>
      <c r="E1986" t="s">
        <v>12781</v>
      </c>
      <c r="F1986" t="s">
        <v>12782</v>
      </c>
      <c r="G1986" t="s">
        <v>5904</v>
      </c>
      <c r="H1986">
        <v>816</v>
      </c>
      <c r="I1986">
        <v>815</v>
      </c>
      <c r="J1986">
        <v>815</v>
      </c>
      <c r="K1986">
        <v>787</v>
      </c>
      <c r="L1986">
        <v>799</v>
      </c>
      <c r="M1986">
        <v>96.4</v>
      </c>
      <c r="N1986">
        <v>97.9</v>
      </c>
      <c r="O1986">
        <v>1604</v>
      </c>
    </row>
    <row r="1987" spans="1:15">
      <c r="A1987">
        <v>1246</v>
      </c>
      <c r="B1987" t="s">
        <v>12783</v>
      </c>
      <c r="C1987" t="s">
        <v>4955</v>
      </c>
      <c r="D1987" t="s">
        <v>12784</v>
      </c>
      <c r="E1987" t="s">
        <v>12785</v>
      </c>
      <c r="F1987" t="s">
        <v>12786</v>
      </c>
      <c r="G1987" t="s">
        <v>5904</v>
      </c>
      <c r="H1987">
        <v>2974</v>
      </c>
      <c r="I1987">
        <v>5405</v>
      </c>
      <c r="J1987">
        <v>3039</v>
      </c>
      <c r="K1987">
        <v>2142</v>
      </c>
      <c r="L1987">
        <v>2425</v>
      </c>
      <c r="M1987">
        <v>72</v>
      </c>
      <c r="N1987">
        <v>81.5</v>
      </c>
      <c r="O1987">
        <v>4234.1000000000004</v>
      </c>
    </row>
    <row r="1988" spans="1:15">
      <c r="A1988">
        <v>1245</v>
      </c>
      <c r="B1988" t="s">
        <v>4956</v>
      </c>
      <c r="C1988" t="s">
        <v>4957</v>
      </c>
      <c r="D1988" t="s">
        <v>12446</v>
      </c>
      <c r="E1988" t="s">
        <v>12447</v>
      </c>
      <c r="F1988" t="s">
        <v>12787</v>
      </c>
      <c r="G1988" t="s">
        <v>5904</v>
      </c>
      <c r="H1988">
        <v>438</v>
      </c>
      <c r="I1988">
        <v>526</v>
      </c>
      <c r="J1988">
        <v>439</v>
      </c>
      <c r="K1988">
        <v>279</v>
      </c>
      <c r="L1988">
        <v>335</v>
      </c>
      <c r="M1988">
        <v>63.7</v>
      </c>
      <c r="N1988">
        <v>76.5</v>
      </c>
      <c r="O1988">
        <v>552.4</v>
      </c>
    </row>
    <row r="1989" spans="1:15">
      <c r="A1989">
        <v>1244</v>
      </c>
      <c r="B1989" t="s">
        <v>4958</v>
      </c>
      <c r="C1989" t="s">
        <v>4959</v>
      </c>
      <c r="D1989" t="s">
        <v>12788</v>
      </c>
      <c r="E1989" t="s">
        <v>12789</v>
      </c>
      <c r="F1989" t="s">
        <v>12790</v>
      </c>
      <c r="G1989" t="s">
        <v>5904</v>
      </c>
      <c r="H1989">
        <v>194</v>
      </c>
      <c r="I1989">
        <v>195</v>
      </c>
      <c r="J1989">
        <v>195</v>
      </c>
      <c r="K1989">
        <v>170</v>
      </c>
      <c r="L1989">
        <v>178</v>
      </c>
      <c r="M1989">
        <v>87.6</v>
      </c>
      <c r="N1989">
        <v>91.8</v>
      </c>
      <c r="O1989">
        <v>312.8</v>
      </c>
    </row>
    <row r="1990" spans="1:15">
      <c r="A1990">
        <v>1243</v>
      </c>
      <c r="B1990" t="s">
        <v>4960</v>
      </c>
      <c r="C1990" t="s">
        <v>4961</v>
      </c>
      <c r="D1990" t="s">
        <v>12791</v>
      </c>
      <c r="E1990" t="s">
        <v>12792</v>
      </c>
      <c r="F1990" t="s">
        <v>12793</v>
      </c>
      <c r="G1990" t="s">
        <v>5904</v>
      </c>
      <c r="H1990">
        <v>158</v>
      </c>
      <c r="I1990">
        <v>158</v>
      </c>
      <c r="J1990">
        <v>158</v>
      </c>
      <c r="K1990">
        <v>158</v>
      </c>
      <c r="L1990">
        <v>158</v>
      </c>
      <c r="M1990">
        <v>100</v>
      </c>
      <c r="N1990">
        <v>100</v>
      </c>
      <c r="O1990">
        <v>325.5</v>
      </c>
    </row>
    <row r="1991" spans="1:15">
      <c r="A1991">
        <v>1242</v>
      </c>
      <c r="B1991" t="s">
        <v>4962</v>
      </c>
      <c r="C1991" t="s">
        <v>4963</v>
      </c>
      <c r="D1991" t="s">
        <v>12794</v>
      </c>
      <c r="E1991" t="s">
        <v>12795</v>
      </c>
      <c r="F1991" t="s">
        <v>12796</v>
      </c>
      <c r="G1991" t="s">
        <v>5904</v>
      </c>
      <c r="H1991">
        <v>336</v>
      </c>
      <c r="I1991">
        <v>336</v>
      </c>
      <c r="J1991">
        <v>336</v>
      </c>
      <c r="K1991">
        <v>330</v>
      </c>
      <c r="L1991">
        <v>332</v>
      </c>
      <c r="M1991">
        <v>98.2</v>
      </c>
      <c r="N1991">
        <v>98.8</v>
      </c>
      <c r="O1991">
        <v>673.7</v>
      </c>
    </row>
    <row r="1992" spans="1:15">
      <c r="A1992">
        <v>1241</v>
      </c>
      <c r="B1992" t="s">
        <v>4964</v>
      </c>
      <c r="C1992" t="s">
        <v>4965</v>
      </c>
      <c r="D1992" t="s">
        <v>12797</v>
      </c>
      <c r="E1992" t="s">
        <v>12798</v>
      </c>
      <c r="F1992" t="s">
        <v>12799</v>
      </c>
      <c r="G1992" t="s">
        <v>5904</v>
      </c>
      <c r="H1992">
        <v>255</v>
      </c>
      <c r="I1992">
        <v>255</v>
      </c>
      <c r="J1992">
        <v>255</v>
      </c>
      <c r="K1992">
        <v>244</v>
      </c>
      <c r="L1992">
        <v>251</v>
      </c>
      <c r="M1992">
        <v>95.7</v>
      </c>
      <c r="N1992">
        <v>98.4</v>
      </c>
      <c r="O1992">
        <v>489.6</v>
      </c>
    </row>
    <row r="1993" spans="1:15">
      <c r="A1993">
        <v>1240</v>
      </c>
      <c r="B1993" t="s">
        <v>4966</v>
      </c>
      <c r="C1993" t="s">
        <v>12800</v>
      </c>
      <c r="D1993" t="s">
        <v>12801</v>
      </c>
      <c r="E1993" t="s">
        <v>12802</v>
      </c>
      <c r="F1993" t="s">
        <v>12803</v>
      </c>
      <c r="G1993" t="s">
        <v>5904</v>
      </c>
      <c r="H1993">
        <v>312</v>
      </c>
      <c r="I1993">
        <v>312</v>
      </c>
      <c r="J1993">
        <v>312</v>
      </c>
      <c r="K1993">
        <v>273</v>
      </c>
      <c r="L1993">
        <v>293</v>
      </c>
      <c r="M1993">
        <v>87.5</v>
      </c>
      <c r="N1993">
        <v>93.9</v>
      </c>
      <c r="O1993">
        <v>558.1</v>
      </c>
    </row>
    <row r="1994" spans="1:15">
      <c r="A1994">
        <v>1239</v>
      </c>
      <c r="B1994" t="s">
        <v>4968</v>
      </c>
      <c r="C1994" t="s">
        <v>4969</v>
      </c>
      <c r="D1994" t="s">
        <v>12804</v>
      </c>
      <c r="E1994" t="s">
        <v>12805</v>
      </c>
      <c r="F1994" t="s">
        <v>12806</v>
      </c>
      <c r="G1994" t="s">
        <v>5904</v>
      </c>
      <c r="H1994">
        <v>328</v>
      </c>
      <c r="I1994">
        <v>328</v>
      </c>
      <c r="J1994">
        <v>328</v>
      </c>
      <c r="K1994">
        <v>256</v>
      </c>
      <c r="L1994">
        <v>289</v>
      </c>
      <c r="M1994">
        <v>78</v>
      </c>
      <c r="N1994">
        <v>88.1</v>
      </c>
      <c r="O1994">
        <v>515.79999999999995</v>
      </c>
    </row>
    <row r="1995" spans="1:15">
      <c r="A1995">
        <v>1238</v>
      </c>
      <c r="B1995" t="s">
        <v>4970</v>
      </c>
      <c r="C1995" t="s">
        <v>4971</v>
      </c>
      <c r="D1995" t="s">
        <v>12807</v>
      </c>
      <c r="E1995" t="s">
        <v>12808</v>
      </c>
      <c r="F1995" t="s">
        <v>12809</v>
      </c>
      <c r="G1995" t="s">
        <v>5904</v>
      </c>
      <c r="H1995">
        <v>310</v>
      </c>
      <c r="I1995">
        <v>323</v>
      </c>
      <c r="J1995">
        <v>323</v>
      </c>
      <c r="K1995">
        <v>252</v>
      </c>
      <c r="L1995">
        <v>276</v>
      </c>
      <c r="M1995">
        <v>81.3</v>
      </c>
      <c r="N1995">
        <v>89</v>
      </c>
      <c r="O1995">
        <v>515</v>
      </c>
    </row>
    <row r="1996" spans="1:15">
      <c r="A1996">
        <v>1237</v>
      </c>
      <c r="B1996" t="s">
        <v>4972</v>
      </c>
      <c r="C1996" t="s">
        <v>4973</v>
      </c>
      <c r="D1996" t="s">
        <v>12810</v>
      </c>
      <c r="E1996" t="s">
        <v>12811</v>
      </c>
      <c r="F1996" t="s">
        <v>12812</v>
      </c>
      <c r="G1996" t="s">
        <v>6759</v>
      </c>
      <c r="H1996">
        <v>102</v>
      </c>
      <c r="I1996">
        <v>106</v>
      </c>
      <c r="J1996">
        <v>81</v>
      </c>
      <c r="K1996">
        <v>41</v>
      </c>
      <c r="L1996">
        <v>51</v>
      </c>
      <c r="M1996">
        <v>40.200000000000003</v>
      </c>
      <c r="N1996">
        <v>50</v>
      </c>
      <c r="O1996">
        <v>38.9</v>
      </c>
    </row>
    <row r="1997" spans="1:15">
      <c r="A1997">
        <v>1236</v>
      </c>
      <c r="B1997" t="s">
        <v>4974</v>
      </c>
      <c r="C1997" t="s">
        <v>4975</v>
      </c>
      <c r="D1997" t="s">
        <v>12813</v>
      </c>
      <c r="E1997" t="s">
        <v>12814</v>
      </c>
      <c r="F1997" t="s">
        <v>12815</v>
      </c>
      <c r="G1997" t="s">
        <v>5904</v>
      </c>
      <c r="H1997">
        <v>231</v>
      </c>
      <c r="I1997">
        <v>231</v>
      </c>
      <c r="J1997">
        <v>231</v>
      </c>
      <c r="K1997">
        <v>224</v>
      </c>
      <c r="L1997">
        <v>226</v>
      </c>
      <c r="M1997">
        <v>97</v>
      </c>
      <c r="N1997">
        <v>97.8</v>
      </c>
      <c r="O1997">
        <v>458.4</v>
      </c>
    </row>
    <row r="1998" spans="1:15">
      <c r="A1998">
        <v>1235</v>
      </c>
      <c r="B1998" t="s">
        <v>4976</v>
      </c>
      <c r="C1998" t="s">
        <v>4977</v>
      </c>
      <c r="D1998" t="s">
        <v>12816</v>
      </c>
      <c r="E1998" t="s">
        <v>12817</v>
      </c>
      <c r="F1998" t="s">
        <v>12818</v>
      </c>
      <c r="G1998" t="s">
        <v>5904</v>
      </c>
      <c r="H1998">
        <v>418</v>
      </c>
      <c r="I1998">
        <v>418</v>
      </c>
      <c r="J1998">
        <v>418</v>
      </c>
      <c r="K1998">
        <v>418</v>
      </c>
      <c r="L1998">
        <v>418</v>
      </c>
      <c r="M1998">
        <v>100</v>
      </c>
      <c r="N1998">
        <v>100</v>
      </c>
      <c r="O1998">
        <v>854.7</v>
      </c>
    </row>
    <row r="1999" spans="1:15">
      <c r="A1999">
        <v>1234</v>
      </c>
      <c r="B1999" t="s">
        <v>4978</v>
      </c>
      <c r="C1999" t="s">
        <v>4979</v>
      </c>
      <c r="D1999" t="s">
        <v>12819</v>
      </c>
      <c r="E1999" t="s">
        <v>12820</v>
      </c>
      <c r="F1999" t="s">
        <v>12821</v>
      </c>
      <c r="G1999" t="s">
        <v>5904</v>
      </c>
      <c r="H1999">
        <v>351</v>
      </c>
      <c r="I1999">
        <v>351</v>
      </c>
      <c r="J1999">
        <v>351</v>
      </c>
      <c r="K1999">
        <v>348</v>
      </c>
      <c r="L1999">
        <v>350</v>
      </c>
      <c r="M1999">
        <v>99.1</v>
      </c>
      <c r="N1999">
        <v>99.7</v>
      </c>
      <c r="O1999">
        <v>723</v>
      </c>
    </row>
    <row r="2000" spans="1:15">
      <c r="A2000">
        <v>1233</v>
      </c>
      <c r="B2000" t="s">
        <v>4980</v>
      </c>
      <c r="C2000" t="s">
        <v>12822</v>
      </c>
      <c r="D2000" t="s">
        <v>12823</v>
      </c>
      <c r="E2000" t="s">
        <v>12824</v>
      </c>
      <c r="F2000" t="s">
        <v>12825</v>
      </c>
      <c r="G2000" t="s">
        <v>5904</v>
      </c>
      <c r="H2000">
        <v>206</v>
      </c>
      <c r="I2000">
        <v>174</v>
      </c>
      <c r="J2000">
        <v>149</v>
      </c>
      <c r="K2000">
        <v>134</v>
      </c>
      <c r="L2000">
        <v>136</v>
      </c>
      <c r="M2000">
        <v>65</v>
      </c>
      <c r="N2000">
        <v>66</v>
      </c>
      <c r="O2000">
        <v>240.7</v>
      </c>
    </row>
    <row r="2001" spans="1:15">
      <c r="A2001">
        <v>1232</v>
      </c>
      <c r="B2001" t="s">
        <v>4982</v>
      </c>
      <c r="C2001" t="s">
        <v>12826</v>
      </c>
      <c r="D2001" t="s">
        <v>12827</v>
      </c>
      <c r="E2001" t="s">
        <v>12828</v>
      </c>
      <c r="F2001" t="s">
        <v>12829</v>
      </c>
      <c r="G2001" t="s">
        <v>5904</v>
      </c>
      <c r="H2001">
        <v>831</v>
      </c>
      <c r="I2001">
        <v>828</v>
      </c>
      <c r="J2001">
        <v>834</v>
      </c>
      <c r="K2001">
        <v>739</v>
      </c>
      <c r="L2001">
        <v>758</v>
      </c>
      <c r="M2001">
        <v>88.9</v>
      </c>
      <c r="N2001">
        <v>91.2</v>
      </c>
      <c r="O2001">
        <v>1276.5</v>
      </c>
    </row>
    <row r="2002" spans="1:15">
      <c r="A2002">
        <v>1231</v>
      </c>
      <c r="B2002" t="s">
        <v>4984</v>
      </c>
      <c r="C2002" t="s">
        <v>4985</v>
      </c>
      <c r="D2002" t="s">
        <v>12830</v>
      </c>
      <c r="E2002" t="s">
        <v>12831</v>
      </c>
      <c r="F2002" t="s">
        <v>12832</v>
      </c>
      <c r="G2002" t="s">
        <v>5904</v>
      </c>
      <c r="H2002">
        <v>408</v>
      </c>
      <c r="I2002">
        <v>412</v>
      </c>
      <c r="J2002">
        <v>380</v>
      </c>
      <c r="K2002">
        <v>350</v>
      </c>
      <c r="L2002">
        <v>367</v>
      </c>
      <c r="M2002">
        <v>85.8</v>
      </c>
      <c r="N2002">
        <v>90</v>
      </c>
      <c r="O2002">
        <v>732.2</v>
      </c>
    </row>
    <row r="2003" spans="1:15">
      <c r="A2003">
        <v>1230</v>
      </c>
      <c r="B2003" t="s">
        <v>4986</v>
      </c>
      <c r="C2003" t="s">
        <v>4987</v>
      </c>
      <c r="D2003" t="s">
        <v>12833</v>
      </c>
      <c r="E2003" t="s">
        <v>12834</v>
      </c>
      <c r="F2003" t="s">
        <v>12835</v>
      </c>
      <c r="G2003" t="s">
        <v>5904</v>
      </c>
      <c r="H2003">
        <v>335</v>
      </c>
      <c r="I2003">
        <v>335</v>
      </c>
      <c r="J2003">
        <v>324</v>
      </c>
      <c r="K2003">
        <v>220</v>
      </c>
      <c r="L2003">
        <v>255</v>
      </c>
      <c r="M2003">
        <v>65.7</v>
      </c>
      <c r="N2003">
        <v>76.099999999999994</v>
      </c>
      <c r="O2003">
        <v>420.6</v>
      </c>
    </row>
    <row r="2004" spans="1:15">
      <c r="A2004">
        <v>1229</v>
      </c>
      <c r="B2004" t="s">
        <v>12836</v>
      </c>
      <c r="C2004" t="s">
        <v>4990</v>
      </c>
      <c r="D2004" t="s">
        <v>12837</v>
      </c>
      <c r="E2004" t="s">
        <v>12838</v>
      </c>
      <c r="F2004" t="s">
        <v>12839</v>
      </c>
      <c r="G2004" t="s">
        <v>6054</v>
      </c>
      <c r="H2004">
        <v>1255</v>
      </c>
      <c r="I2004">
        <v>1164</v>
      </c>
      <c r="J2004">
        <v>553</v>
      </c>
      <c r="K2004">
        <v>522</v>
      </c>
      <c r="L2004">
        <v>532</v>
      </c>
      <c r="M2004">
        <v>41.6</v>
      </c>
      <c r="N2004">
        <v>42.4</v>
      </c>
      <c r="O2004">
        <v>1057</v>
      </c>
    </row>
    <row r="2005" spans="1:15">
      <c r="A2005">
        <v>1228</v>
      </c>
      <c r="B2005" t="s">
        <v>4991</v>
      </c>
      <c r="C2005" t="s">
        <v>12840</v>
      </c>
      <c r="D2005" t="s">
        <v>12841</v>
      </c>
      <c r="E2005" t="s">
        <v>12842</v>
      </c>
      <c r="F2005" t="s">
        <v>12843</v>
      </c>
      <c r="G2005" t="s">
        <v>5904</v>
      </c>
      <c r="H2005">
        <v>209</v>
      </c>
      <c r="I2005">
        <v>209</v>
      </c>
      <c r="J2005">
        <v>209</v>
      </c>
      <c r="K2005">
        <v>169</v>
      </c>
      <c r="L2005">
        <v>177</v>
      </c>
      <c r="M2005">
        <v>80.900000000000006</v>
      </c>
      <c r="N2005">
        <v>84.7</v>
      </c>
      <c r="O2005">
        <v>304.3</v>
      </c>
    </row>
    <row r="2006" spans="1:15">
      <c r="A2006">
        <v>1227</v>
      </c>
      <c r="B2006" t="s">
        <v>4993</v>
      </c>
      <c r="C2006" t="s">
        <v>1481</v>
      </c>
      <c r="D2006" t="s">
        <v>7762</v>
      </c>
      <c r="E2006" t="s">
        <v>7763</v>
      </c>
      <c r="F2006" t="s">
        <v>12844</v>
      </c>
      <c r="G2006" t="s">
        <v>5904</v>
      </c>
      <c r="H2006">
        <v>96</v>
      </c>
      <c r="I2006">
        <v>122</v>
      </c>
      <c r="J2006">
        <v>96</v>
      </c>
      <c r="K2006">
        <v>75</v>
      </c>
      <c r="L2006">
        <v>79</v>
      </c>
      <c r="M2006">
        <v>78.099999999999994</v>
      </c>
      <c r="N2006">
        <v>82.3</v>
      </c>
      <c r="O2006">
        <v>149.1</v>
      </c>
    </row>
    <row r="2007" spans="1:15">
      <c r="A2007">
        <v>1226</v>
      </c>
      <c r="B2007" t="s">
        <v>12845</v>
      </c>
      <c r="C2007" t="s">
        <v>4996</v>
      </c>
      <c r="D2007" t="s">
        <v>12846</v>
      </c>
      <c r="E2007" t="s">
        <v>12847</v>
      </c>
      <c r="F2007" t="s">
        <v>12848</v>
      </c>
      <c r="G2007" t="s">
        <v>5904</v>
      </c>
      <c r="H2007">
        <v>1014</v>
      </c>
      <c r="I2007">
        <v>1016</v>
      </c>
      <c r="J2007">
        <v>1017</v>
      </c>
      <c r="K2007">
        <v>921</v>
      </c>
      <c r="L2007">
        <v>952</v>
      </c>
      <c r="M2007">
        <v>90.8</v>
      </c>
      <c r="N2007">
        <v>93.9</v>
      </c>
      <c r="O2007">
        <v>1649</v>
      </c>
    </row>
    <row r="2008" spans="1:15">
      <c r="A2008">
        <v>1225</v>
      </c>
      <c r="B2008" t="s">
        <v>4997</v>
      </c>
      <c r="C2008" t="s">
        <v>4998</v>
      </c>
      <c r="D2008" t="s">
        <v>12849</v>
      </c>
      <c r="E2008" t="s">
        <v>12850</v>
      </c>
      <c r="F2008" t="s">
        <v>12851</v>
      </c>
      <c r="G2008" t="s">
        <v>5904</v>
      </c>
      <c r="H2008">
        <v>539</v>
      </c>
      <c r="I2008">
        <v>539</v>
      </c>
      <c r="J2008">
        <v>539</v>
      </c>
      <c r="K2008">
        <v>529</v>
      </c>
      <c r="L2008">
        <v>531</v>
      </c>
      <c r="M2008">
        <v>98.1</v>
      </c>
      <c r="N2008">
        <v>98.5</v>
      </c>
      <c r="O2008">
        <v>1070.0999999999999</v>
      </c>
    </row>
    <row r="2009" spans="1:15">
      <c r="A2009">
        <v>1224</v>
      </c>
      <c r="B2009" t="s">
        <v>4999</v>
      </c>
      <c r="C2009" t="s">
        <v>12852</v>
      </c>
      <c r="D2009" t="s">
        <v>12853</v>
      </c>
      <c r="E2009" t="s">
        <v>12854</v>
      </c>
      <c r="F2009" t="s">
        <v>12855</v>
      </c>
      <c r="G2009" t="s">
        <v>5904</v>
      </c>
      <c r="H2009">
        <v>397</v>
      </c>
      <c r="I2009">
        <v>397</v>
      </c>
      <c r="J2009">
        <v>397</v>
      </c>
      <c r="K2009">
        <v>359</v>
      </c>
      <c r="L2009">
        <v>377</v>
      </c>
      <c r="M2009">
        <v>90.4</v>
      </c>
      <c r="N2009">
        <v>95</v>
      </c>
      <c r="O2009">
        <v>757.3</v>
      </c>
    </row>
    <row r="2010" spans="1:15">
      <c r="A2010">
        <v>2148</v>
      </c>
      <c r="B2010" t="s">
        <v>12856</v>
      </c>
      <c r="C2010" t="s">
        <v>5003</v>
      </c>
      <c r="D2010" t="s">
        <v>12857</v>
      </c>
      <c r="E2010" t="s">
        <v>12858</v>
      </c>
      <c r="F2010" t="s">
        <v>12859</v>
      </c>
      <c r="G2010" t="s">
        <v>5904</v>
      </c>
      <c r="H2010">
        <v>354</v>
      </c>
      <c r="I2010">
        <v>354</v>
      </c>
      <c r="J2010">
        <v>354</v>
      </c>
      <c r="K2010">
        <v>347</v>
      </c>
      <c r="L2010">
        <v>352</v>
      </c>
      <c r="M2010">
        <v>98</v>
      </c>
      <c r="N2010">
        <v>99.4</v>
      </c>
      <c r="O2010">
        <v>726.9</v>
      </c>
    </row>
    <row r="2011" spans="1:15">
      <c r="A2011">
        <v>2147</v>
      </c>
      <c r="B2011" t="s">
        <v>12860</v>
      </c>
      <c r="C2011" t="s">
        <v>5006</v>
      </c>
      <c r="D2011" t="s">
        <v>12861</v>
      </c>
      <c r="E2011" t="s">
        <v>12862</v>
      </c>
      <c r="F2011" t="s">
        <v>12863</v>
      </c>
      <c r="G2011" t="s">
        <v>5904</v>
      </c>
      <c r="H2011">
        <v>120</v>
      </c>
      <c r="I2011">
        <v>76</v>
      </c>
      <c r="J2011">
        <v>76</v>
      </c>
      <c r="K2011">
        <v>75</v>
      </c>
      <c r="L2011">
        <v>76</v>
      </c>
      <c r="M2011">
        <v>62.5</v>
      </c>
      <c r="N2011">
        <v>63.3</v>
      </c>
      <c r="O2011">
        <v>151</v>
      </c>
    </row>
    <row r="2012" spans="1:15">
      <c r="A2012">
        <v>1223</v>
      </c>
      <c r="B2012" t="s">
        <v>5007</v>
      </c>
      <c r="C2012" t="s">
        <v>5008</v>
      </c>
      <c r="D2012" t="s">
        <v>12864</v>
      </c>
      <c r="E2012" t="s">
        <v>12865</v>
      </c>
      <c r="F2012" t="s">
        <v>12866</v>
      </c>
      <c r="G2012" t="s">
        <v>5904</v>
      </c>
      <c r="H2012">
        <v>204</v>
      </c>
      <c r="I2012">
        <v>238</v>
      </c>
      <c r="J2012">
        <v>202</v>
      </c>
      <c r="K2012">
        <v>133</v>
      </c>
      <c r="L2012">
        <v>144</v>
      </c>
      <c r="M2012">
        <v>65.2</v>
      </c>
      <c r="N2012">
        <v>70.599999999999994</v>
      </c>
      <c r="O2012">
        <v>247.3</v>
      </c>
    </row>
    <row r="2013" spans="1:15">
      <c r="A2013">
        <v>1222</v>
      </c>
      <c r="B2013" t="s">
        <v>12867</v>
      </c>
      <c r="C2013" t="s">
        <v>5011</v>
      </c>
      <c r="D2013" t="s">
        <v>12868</v>
      </c>
      <c r="E2013" t="s">
        <v>12869</v>
      </c>
      <c r="F2013" t="s">
        <v>12870</v>
      </c>
      <c r="G2013" t="s">
        <v>5896</v>
      </c>
      <c r="H2013">
        <v>970</v>
      </c>
      <c r="I2013">
        <v>1037</v>
      </c>
      <c r="J2013">
        <v>511</v>
      </c>
      <c r="K2013">
        <v>485</v>
      </c>
      <c r="L2013">
        <v>491</v>
      </c>
      <c r="M2013">
        <v>50</v>
      </c>
      <c r="N2013">
        <v>50.6</v>
      </c>
      <c r="O2013">
        <v>956.8</v>
      </c>
    </row>
    <row r="2014" spans="1:15">
      <c r="A2014">
        <v>1221</v>
      </c>
      <c r="B2014" t="s">
        <v>5012</v>
      </c>
      <c r="C2014" t="s">
        <v>5013</v>
      </c>
      <c r="D2014" t="s">
        <v>12871</v>
      </c>
      <c r="E2014" t="s">
        <v>12872</v>
      </c>
      <c r="F2014" t="s">
        <v>12873</v>
      </c>
      <c r="G2014" t="s">
        <v>6054</v>
      </c>
      <c r="H2014">
        <v>246</v>
      </c>
      <c r="I2014">
        <v>970</v>
      </c>
      <c r="J2014">
        <v>92</v>
      </c>
      <c r="K2014">
        <v>26</v>
      </c>
      <c r="L2014">
        <v>41</v>
      </c>
      <c r="M2014">
        <v>10.6</v>
      </c>
      <c r="N2014">
        <v>16.7</v>
      </c>
      <c r="O2014">
        <v>43.1</v>
      </c>
    </row>
    <row r="2015" spans="1:15">
      <c r="A2015">
        <v>1220</v>
      </c>
      <c r="B2015" t="s">
        <v>5014</v>
      </c>
      <c r="C2015" t="s">
        <v>5015</v>
      </c>
      <c r="D2015" t="s">
        <v>12874</v>
      </c>
      <c r="E2015" t="s">
        <v>12875</v>
      </c>
      <c r="F2015" t="s">
        <v>12876</v>
      </c>
      <c r="G2015" t="s">
        <v>5904</v>
      </c>
      <c r="H2015">
        <v>127</v>
      </c>
      <c r="I2015">
        <v>127</v>
      </c>
      <c r="J2015">
        <v>127</v>
      </c>
      <c r="K2015">
        <v>115</v>
      </c>
      <c r="L2015">
        <v>122</v>
      </c>
      <c r="M2015">
        <v>90.6</v>
      </c>
      <c r="N2015">
        <v>96.1</v>
      </c>
      <c r="O2015">
        <v>234.2</v>
      </c>
    </row>
    <row r="2016" spans="1:15">
      <c r="A2016">
        <v>1219</v>
      </c>
      <c r="B2016" t="s">
        <v>5016</v>
      </c>
      <c r="C2016" t="s">
        <v>5017</v>
      </c>
      <c r="D2016" t="s">
        <v>12877</v>
      </c>
      <c r="E2016" t="s">
        <v>12878</v>
      </c>
      <c r="F2016" t="s">
        <v>12879</v>
      </c>
      <c r="G2016" t="s">
        <v>5904</v>
      </c>
      <c r="H2016">
        <v>440</v>
      </c>
      <c r="I2016">
        <v>440</v>
      </c>
      <c r="J2016">
        <v>440</v>
      </c>
      <c r="K2016">
        <v>413</v>
      </c>
      <c r="L2016">
        <v>426</v>
      </c>
      <c r="M2016">
        <v>93.9</v>
      </c>
      <c r="N2016">
        <v>96.8</v>
      </c>
      <c r="O2016">
        <v>830.5</v>
      </c>
    </row>
    <row r="2017" spans="1:15">
      <c r="A2017">
        <v>2146</v>
      </c>
      <c r="B2017" t="s">
        <v>5018</v>
      </c>
      <c r="C2017" t="s">
        <v>5019</v>
      </c>
      <c r="D2017" t="s">
        <v>12880</v>
      </c>
      <c r="E2017" t="s">
        <v>12881</v>
      </c>
      <c r="F2017" t="s">
        <v>12882</v>
      </c>
      <c r="G2017" t="s">
        <v>5904</v>
      </c>
      <c r="H2017">
        <v>170</v>
      </c>
      <c r="I2017">
        <v>184</v>
      </c>
      <c r="J2017">
        <v>165</v>
      </c>
      <c r="K2017">
        <v>92</v>
      </c>
      <c r="L2017">
        <v>117</v>
      </c>
      <c r="M2017">
        <v>54.1</v>
      </c>
      <c r="N2017">
        <v>68.8</v>
      </c>
      <c r="O2017">
        <v>135.19999999999999</v>
      </c>
    </row>
    <row r="2018" spans="1:15">
      <c r="A2018">
        <v>1218</v>
      </c>
      <c r="B2018" t="s">
        <v>5020</v>
      </c>
      <c r="C2018" t="s">
        <v>5021</v>
      </c>
      <c r="D2018" t="s">
        <v>12883</v>
      </c>
      <c r="E2018" t="s">
        <v>12884</v>
      </c>
      <c r="F2018" t="s">
        <v>12885</v>
      </c>
      <c r="G2018" t="s">
        <v>5904</v>
      </c>
      <c r="H2018">
        <v>145</v>
      </c>
      <c r="I2018">
        <v>160</v>
      </c>
      <c r="J2018">
        <v>145</v>
      </c>
      <c r="K2018">
        <v>143</v>
      </c>
      <c r="L2018">
        <v>144</v>
      </c>
      <c r="M2018">
        <v>98.6</v>
      </c>
      <c r="N2018">
        <v>99.3</v>
      </c>
      <c r="O2018">
        <v>283.10000000000002</v>
      </c>
    </row>
    <row r="2019" spans="1:15">
      <c r="A2019">
        <v>1217</v>
      </c>
      <c r="B2019" t="s">
        <v>5022</v>
      </c>
      <c r="C2019" t="s">
        <v>5023</v>
      </c>
      <c r="D2019" t="s">
        <v>12886</v>
      </c>
      <c r="E2019" t="s">
        <v>12887</v>
      </c>
      <c r="F2019" t="s">
        <v>12888</v>
      </c>
      <c r="G2019" t="s">
        <v>5904</v>
      </c>
      <c r="H2019">
        <v>432</v>
      </c>
      <c r="I2019">
        <v>432</v>
      </c>
      <c r="J2019">
        <v>432</v>
      </c>
      <c r="K2019">
        <v>416</v>
      </c>
      <c r="L2019">
        <v>422</v>
      </c>
      <c r="M2019">
        <v>96.3</v>
      </c>
      <c r="N2019">
        <v>97.7</v>
      </c>
      <c r="O2019">
        <v>867.5</v>
      </c>
    </row>
    <row r="2020" spans="1:15">
      <c r="A2020">
        <v>1216</v>
      </c>
      <c r="B2020" t="s">
        <v>5024</v>
      </c>
      <c r="C2020" t="s">
        <v>5025</v>
      </c>
      <c r="D2020" t="s">
        <v>12889</v>
      </c>
      <c r="E2020" t="s">
        <v>12890</v>
      </c>
      <c r="F2020" t="s">
        <v>12891</v>
      </c>
      <c r="G2020" t="s">
        <v>5904</v>
      </c>
      <c r="H2020">
        <v>356</v>
      </c>
      <c r="I2020">
        <v>356</v>
      </c>
      <c r="J2020">
        <v>356</v>
      </c>
      <c r="K2020">
        <v>356</v>
      </c>
      <c r="L2020">
        <v>356</v>
      </c>
      <c r="M2020">
        <v>100</v>
      </c>
      <c r="N2020">
        <v>100</v>
      </c>
      <c r="O2020">
        <v>727.6</v>
      </c>
    </row>
    <row r="2021" spans="1:15">
      <c r="A2021">
        <v>1215</v>
      </c>
      <c r="B2021" t="s">
        <v>5026</v>
      </c>
      <c r="C2021" t="s">
        <v>12892</v>
      </c>
      <c r="D2021" t="s">
        <v>12893</v>
      </c>
      <c r="E2021" t="s">
        <v>12894</v>
      </c>
      <c r="F2021" t="s">
        <v>12895</v>
      </c>
      <c r="G2021" t="s">
        <v>5904</v>
      </c>
      <c r="H2021">
        <v>259</v>
      </c>
      <c r="I2021">
        <v>343</v>
      </c>
      <c r="J2021">
        <v>259</v>
      </c>
      <c r="K2021">
        <v>227</v>
      </c>
      <c r="L2021">
        <v>243</v>
      </c>
      <c r="M2021">
        <v>87.6</v>
      </c>
      <c r="N2021">
        <v>93.8</v>
      </c>
      <c r="O2021">
        <v>472.6</v>
      </c>
    </row>
    <row r="2022" spans="1:15">
      <c r="A2022">
        <v>1214</v>
      </c>
      <c r="B2022" t="s">
        <v>5028</v>
      </c>
      <c r="C2022" t="s">
        <v>12896</v>
      </c>
      <c r="D2022" t="s">
        <v>12897</v>
      </c>
      <c r="E2022" t="s">
        <v>12898</v>
      </c>
      <c r="F2022" t="s">
        <v>12899</v>
      </c>
      <c r="G2022" t="s">
        <v>5904</v>
      </c>
      <c r="H2022">
        <v>502</v>
      </c>
      <c r="I2022">
        <v>493</v>
      </c>
      <c r="J2022">
        <v>502</v>
      </c>
      <c r="K2022">
        <v>473</v>
      </c>
      <c r="L2022">
        <v>484</v>
      </c>
      <c r="M2022">
        <v>94.2</v>
      </c>
      <c r="N2022">
        <v>96.4</v>
      </c>
      <c r="O2022">
        <v>978.4</v>
      </c>
    </row>
    <row r="2023" spans="1:15">
      <c r="A2023">
        <v>1213</v>
      </c>
      <c r="B2023" t="s">
        <v>12900</v>
      </c>
      <c r="C2023" t="s">
        <v>5032</v>
      </c>
      <c r="D2023" t="s">
        <v>12901</v>
      </c>
      <c r="E2023" t="s">
        <v>12902</v>
      </c>
      <c r="F2023" t="s">
        <v>12903</v>
      </c>
      <c r="G2023" t="s">
        <v>5904</v>
      </c>
      <c r="H2023">
        <v>498</v>
      </c>
      <c r="I2023">
        <v>503</v>
      </c>
      <c r="J2023">
        <v>503</v>
      </c>
      <c r="K2023">
        <v>348</v>
      </c>
      <c r="L2023">
        <v>407</v>
      </c>
      <c r="M2023">
        <v>69.900000000000006</v>
      </c>
      <c r="N2023">
        <v>81.7</v>
      </c>
      <c r="O2023">
        <v>657.9</v>
      </c>
    </row>
    <row r="2024" spans="1:15">
      <c r="A2024">
        <v>1212</v>
      </c>
      <c r="B2024" t="s">
        <v>12904</v>
      </c>
      <c r="C2024" t="s">
        <v>5035</v>
      </c>
      <c r="D2024" t="s">
        <v>12905</v>
      </c>
      <c r="E2024" t="s">
        <v>12906</v>
      </c>
      <c r="F2024" t="s">
        <v>12907</v>
      </c>
      <c r="G2024" t="s">
        <v>5904</v>
      </c>
      <c r="H2024">
        <v>701</v>
      </c>
      <c r="I2024">
        <v>701</v>
      </c>
      <c r="J2024">
        <v>701</v>
      </c>
      <c r="K2024">
        <v>655</v>
      </c>
      <c r="L2024">
        <v>677</v>
      </c>
      <c r="M2024">
        <v>93.4</v>
      </c>
      <c r="N2024">
        <v>96.6</v>
      </c>
      <c r="O2024">
        <v>1344.7</v>
      </c>
    </row>
    <row r="2025" spans="1:15">
      <c r="A2025">
        <v>1211</v>
      </c>
      <c r="B2025" t="s">
        <v>5036</v>
      </c>
      <c r="C2025" t="s">
        <v>12908</v>
      </c>
      <c r="D2025" t="s">
        <v>12909</v>
      </c>
      <c r="E2025" t="s">
        <v>12910</v>
      </c>
      <c r="F2025" t="s">
        <v>12911</v>
      </c>
      <c r="G2025" t="s">
        <v>5904</v>
      </c>
      <c r="H2025">
        <v>473</v>
      </c>
      <c r="I2025">
        <v>474</v>
      </c>
      <c r="J2025">
        <v>474</v>
      </c>
      <c r="K2025">
        <v>434</v>
      </c>
      <c r="L2025">
        <v>457</v>
      </c>
      <c r="M2025">
        <v>91.8</v>
      </c>
      <c r="N2025">
        <v>96.6</v>
      </c>
      <c r="O2025">
        <v>887.5</v>
      </c>
    </row>
    <row r="2026" spans="1:15">
      <c r="A2026">
        <v>1210</v>
      </c>
      <c r="B2026" t="s">
        <v>5038</v>
      </c>
      <c r="C2026" t="s">
        <v>5039</v>
      </c>
      <c r="D2026" t="s">
        <v>12912</v>
      </c>
      <c r="E2026" t="s">
        <v>12913</v>
      </c>
      <c r="F2026" t="s">
        <v>12914</v>
      </c>
      <c r="G2026" t="s">
        <v>5904</v>
      </c>
      <c r="H2026">
        <v>1333</v>
      </c>
      <c r="I2026">
        <v>1333</v>
      </c>
      <c r="J2026">
        <v>1333</v>
      </c>
      <c r="K2026">
        <v>1191</v>
      </c>
      <c r="L2026">
        <v>1264</v>
      </c>
      <c r="M2026">
        <v>89.3</v>
      </c>
      <c r="N2026">
        <v>94.8</v>
      </c>
      <c r="O2026">
        <v>2450.6</v>
      </c>
    </row>
    <row r="2027" spans="1:15">
      <c r="A2027">
        <v>1209</v>
      </c>
      <c r="B2027" t="s">
        <v>12915</v>
      </c>
      <c r="C2027" t="s">
        <v>5042</v>
      </c>
      <c r="D2027" t="s">
        <v>12916</v>
      </c>
      <c r="E2027" t="s">
        <v>12917</v>
      </c>
      <c r="F2027" t="s">
        <v>12918</v>
      </c>
      <c r="G2027" t="s">
        <v>5904</v>
      </c>
      <c r="H2027">
        <v>680</v>
      </c>
      <c r="I2027">
        <v>689</v>
      </c>
      <c r="J2027">
        <v>593</v>
      </c>
      <c r="K2027">
        <v>526</v>
      </c>
      <c r="L2027">
        <v>554</v>
      </c>
      <c r="M2027">
        <v>77.400000000000006</v>
      </c>
      <c r="N2027">
        <v>81.5</v>
      </c>
      <c r="O2027">
        <v>1097.4000000000001</v>
      </c>
    </row>
    <row r="2028" spans="1:15">
      <c r="A2028">
        <v>1208</v>
      </c>
      <c r="B2028" t="s">
        <v>5043</v>
      </c>
      <c r="C2028" t="s">
        <v>5044</v>
      </c>
      <c r="D2028" t="s">
        <v>12919</v>
      </c>
      <c r="E2028" t="s">
        <v>12920</v>
      </c>
      <c r="F2028" t="s">
        <v>12921</v>
      </c>
      <c r="G2028" t="s">
        <v>5904</v>
      </c>
      <c r="H2028">
        <v>305</v>
      </c>
      <c r="I2028">
        <v>300</v>
      </c>
      <c r="J2028">
        <v>266</v>
      </c>
      <c r="K2028">
        <v>216</v>
      </c>
      <c r="L2028">
        <v>221</v>
      </c>
      <c r="M2028">
        <v>70.8</v>
      </c>
      <c r="N2028">
        <v>72.5</v>
      </c>
      <c r="O2028">
        <v>408.7</v>
      </c>
    </row>
    <row r="2029" spans="1:15">
      <c r="A2029">
        <v>1207</v>
      </c>
      <c r="B2029" t="s">
        <v>12922</v>
      </c>
      <c r="C2029" t="s">
        <v>5047</v>
      </c>
      <c r="D2029" t="s">
        <v>12923</v>
      </c>
      <c r="E2029" t="s">
        <v>12924</v>
      </c>
      <c r="F2029" t="s">
        <v>12925</v>
      </c>
      <c r="G2029" t="s">
        <v>5904</v>
      </c>
      <c r="H2029">
        <v>1475</v>
      </c>
      <c r="I2029">
        <v>1388</v>
      </c>
      <c r="J2029">
        <v>1454</v>
      </c>
      <c r="K2029">
        <v>1233</v>
      </c>
      <c r="L2029">
        <v>1272</v>
      </c>
      <c r="M2029">
        <v>83.6</v>
      </c>
      <c r="N2029">
        <v>86.2</v>
      </c>
      <c r="O2029">
        <v>2374.6999999999998</v>
      </c>
    </row>
    <row r="2030" spans="1:15">
      <c r="A2030">
        <v>2145</v>
      </c>
      <c r="B2030" t="s">
        <v>5048</v>
      </c>
      <c r="C2030" t="s">
        <v>5049</v>
      </c>
      <c r="D2030" t="s">
        <v>12926</v>
      </c>
      <c r="E2030" t="s">
        <v>12927</v>
      </c>
      <c r="F2030" t="s">
        <v>12928</v>
      </c>
      <c r="G2030" t="s">
        <v>5904</v>
      </c>
      <c r="H2030">
        <v>459</v>
      </c>
      <c r="I2030">
        <v>460</v>
      </c>
      <c r="J2030">
        <v>460</v>
      </c>
      <c r="K2030">
        <v>400</v>
      </c>
      <c r="L2030">
        <v>428</v>
      </c>
      <c r="M2030">
        <v>87.1</v>
      </c>
      <c r="N2030">
        <v>93.2</v>
      </c>
      <c r="O2030">
        <v>828.5</v>
      </c>
    </row>
    <row r="2031" spans="1:15">
      <c r="A2031">
        <v>2144</v>
      </c>
      <c r="B2031" t="s">
        <v>12929</v>
      </c>
      <c r="C2031" t="s">
        <v>5761</v>
      </c>
      <c r="D2031" t="s">
        <v>10267</v>
      </c>
      <c r="E2031" t="s">
        <v>10268</v>
      </c>
      <c r="F2031" t="s">
        <v>12930</v>
      </c>
      <c r="G2031" t="s">
        <v>5904</v>
      </c>
      <c r="H2031">
        <v>462</v>
      </c>
      <c r="I2031">
        <v>462</v>
      </c>
      <c r="J2031">
        <v>462</v>
      </c>
      <c r="K2031">
        <v>450</v>
      </c>
      <c r="L2031">
        <v>457</v>
      </c>
      <c r="M2031">
        <v>97.4</v>
      </c>
      <c r="N2031">
        <v>98.9</v>
      </c>
      <c r="O2031">
        <v>929.1</v>
      </c>
    </row>
    <row r="2032" spans="1:15">
      <c r="A2032">
        <v>1206</v>
      </c>
      <c r="B2032" t="s">
        <v>5050</v>
      </c>
      <c r="C2032" t="s">
        <v>5051</v>
      </c>
      <c r="D2032" t="s">
        <v>12931</v>
      </c>
      <c r="E2032" t="s">
        <v>12932</v>
      </c>
      <c r="F2032" t="s">
        <v>12933</v>
      </c>
      <c r="G2032" t="s">
        <v>5904</v>
      </c>
      <c r="H2032">
        <v>346</v>
      </c>
      <c r="I2032">
        <v>346</v>
      </c>
      <c r="J2032">
        <v>333</v>
      </c>
      <c r="K2032">
        <v>316</v>
      </c>
      <c r="L2032">
        <v>327</v>
      </c>
      <c r="M2032">
        <v>91.3</v>
      </c>
      <c r="N2032">
        <v>94.5</v>
      </c>
      <c r="O2032">
        <v>574.70000000000005</v>
      </c>
    </row>
    <row r="2033" spans="1:15">
      <c r="A2033">
        <v>1205</v>
      </c>
      <c r="B2033" t="s">
        <v>12934</v>
      </c>
      <c r="C2033" t="s">
        <v>5054</v>
      </c>
      <c r="D2033" t="s">
        <v>12935</v>
      </c>
      <c r="E2033" t="s">
        <v>12936</v>
      </c>
      <c r="F2033" t="s">
        <v>12937</v>
      </c>
      <c r="G2033" t="s">
        <v>5904</v>
      </c>
      <c r="H2033">
        <v>647</v>
      </c>
      <c r="I2033">
        <v>631</v>
      </c>
      <c r="J2033">
        <v>630</v>
      </c>
      <c r="K2033">
        <v>603</v>
      </c>
      <c r="L2033">
        <v>617</v>
      </c>
      <c r="M2033">
        <v>93.2</v>
      </c>
      <c r="N2033">
        <v>95.4</v>
      </c>
      <c r="O2033">
        <v>1192.2</v>
      </c>
    </row>
    <row r="2034" spans="1:15">
      <c r="A2034">
        <v>1204</v>
      </c>
      <c r="B2034" t="s">
        <v>12938</v>
      </c>
      <c r="C2034" t="s">
        <v>5057</v>
      </c>
      <c r="D2034" t="s">
        <v>12939</v>
      </c>
      <c r="E2034" t="s">
        <v>12940</v>
      </c>
      <c r="F2034" t="s">
        <v>12941</v>
      </c>
      <c r="G2034" t="s">
        <v>5904</v>
      </c>
      <c r="H2034">
        <v>1420</v>
      </c>
      <c r="I2034">
        <v>1429</v>
      </c>
      <c r="J2034">
        <v>1405</v>
      </c>
      <c r="K2034">
        <v>1321</v>
      </c>
      <c r="L2034">
        <v>1345</v>
      </c>
      <c r="M2034">
        <v>93</v>
      </c>
      <c r="N2034">
        <v>94.7</v>
      </c>
      <c r="O2034">
        <v>2722.2</v>
      </c>
    </row>
    <row r="2035" spans="1:15">
      <c r="A2035">
        <v>2143</v>
      </c>
      <c r="B2035" t="s">
        <v>12942</v>
      </c>
      <c r="C2035" t="s">
        <v>5060</v>
      </c>
      <c r="D2035" t="s">
        <v>12943</v>
      </c>
      <c r="E2035" t="s">
        <v>12944</v>
      </c>
      <c r="F2035" t="s">
        <v>12945</v>
      </c>
      <c r="G2035" t="s">
        <v>5904</v>
      </c>
      <c r="H2035">
        <v>274</v>
      </c>
      <c r="I2035">
        <v>276</v>
      </c>
      <c r="J2035">
        <v>274</v>
      </c>
      <c r="K2035">
        <v>260</v>
      </c>
      <c r="L2035">
        <v>267</v>
      </c>
      <c r="M2035">
        <v>94.9</v>
      </c>
      <c r="N2035">
        <v>97.4</v>
      </c>
      <c r="O2035">
        <v>504.6</v>
      </c>
    </row>
    <row r="2036" spans="1:15">
      <c r="A2036">
        <v>1203</v>
      </c>
      <c r="B2036" t="s">
        <v>12946</v>
      </c>
      <c r="C2036" t="s">
        <v>12947</v>
      </c>
      <c r="D2036" t="s">
        <v>12948</v>
      </c>
      <c r="E2036" t="s">
        <v>12949</v>
      </c>
      <c r="F2036" t="s">
        <v>12950</v>
      </c>
      <c r="G2036" t="s">
        <v>5904</v>
      </c>
      <c r="H2036">
        <v>510</v>
      </c>
      <c r="I2036">
        <v>504</v>
      </c>
      <c r="J2036">
        <v>514</v>
      </c>
      <c r="K2036">
        <v>379</v>
      </c>
      <c r="L2036">
        <v>430</v>
      </c>
      <c r="M2036">
        <v>74.3</v>
      </c>
      <c r="N2036">
        <v>84.3</v>
      </c>
      <c r="O2036">
        <v>717.2</v>
      </c>
    </row>
    <row r="2037" spans="1:15">
      <c r="A2037">
        <v>1202</v>
      </c>
      <c r="B2037" t="s">
        <v>5065</v>
      </c>
      <c r="C2037" t="s">
        <v>5066</v>
      </c>
      <c r="D2037" t="s">
        <v>12951</v>
      </c>
      <c r="E2037" t="s">
        <v>12952</v>
      </c>
      <c r="F2037" t="s">
        <v>12953</v>
      </c>
      <c r="G2037" t="s">
        <v>5904</v>
      </c>
      <c r="H2037">
        <v>186</v>
      </c>
      <c r="I2037">
        <v>186</v>
      </c>
      <c r="J2037">
        <v>186</v>
      </c>
      <c r="K2037">
        <v>173</v>
      </c>
      <c r="L2037">
        <v>181</v>
      </c>
      <c r="M2037">
        <v>93</v>
      </c>
      <c r="N2037">
        <v>97.3</v>
      </c>
      <c r="O2037">
        <v>369.8</v>
      </c>
    </row>
    <row r="2038" spans="1:15">
      <c r="A2038">
        <v>1201</v>
      </c>
      <c r="B2038" t="s">
        <v>12954</v>
      </c>
      <c r="C2038" t="s">
        <v>5790</v>
      </c>
      <c r="D2038" t="s">
        <v>12955</v>
      </c>
      <c r="E2038" t="s">
        <v>12956</v>
      </c>
      <c r="F2038" t="s">
        <v>12957</v>
      </c>
      <c r="G2038" t="s">
        <v>5900</v>
      </c>
      <c r="H2038">
        <v>243</v>
      </c>
      <c r="I2038">
        <v>120</v>
      </c>
      <c r="J2038">
        <v>120</v>
      </c>
      <c r="K2038">
        <v>96</v>
      </c>
      <c r="L2038">
        <v>105</v>
      </c>
      <c r="M2038">
        <v>39.5</v>
      </c>
      <c r="N2038">
        <v>43.2</v>
      </c>
      <c r="O2038">
        <v>199.5</v>
      </c>
    </row>
    <row r="2039" spans="1:15">
      <c r="A2039">
        <v>1200</v>
      </c>
      <c r="B2039" t="s">
        <v>5067</v>
      </c>
      <c r="C2039" t="s">
        <v>5068</v>
      </c>
      <c r="D2039" t="s">
        <v>12958</v>
      </c>
      <c r="E2039" t="s">
        <v>12959</v>
      </c>
      <c r="F2039" t="s">
        <v>12960</v>
      </c>
      <c r="G2039" t="s">
        <v>5904</v>
      </c>
      <c r="H2039">
        <v>342</v>
      </c>
      <c r="I2039">
        <v>342</v>
      </c>
      <c r="J2039">
        <v>342</v>
      </c>
      <c r="K2039">
        <v>313</v>
      </c>
      <c r="L2039">
        <v>326</v>
      </c>
      <c r="M2039">
        <v>91.5</v>
      </c>
      <c r="N2039">
        <v>95.3</v>
      </c>
      <c r="O2039">
        <v>658.3</v>
      </c>
    </row>
    <row r="2040" spans="1:15">
      <c r="A2040">
        <v>1199</v>
      </c>
      <c r="B2040" t="s">
        <v>12961</v>
      </c>
      <c r="C2040" t="s">
        <v>5071</v>
      </c>
      <c r="D2040" t="s">
        <v>12962</v>
      </c>
      <c r="E2040" t="s">
        <v>12963</v>
      </c>
      <c r="F2040" t="s">
        <v>12964</v>
      </c>
      <c r="G2040" t="s">
        <v>5904</v>
      </c>
      <c r="H2040">
        <v>753</v>
      </c>
      <c r="I2040">
        <v>758</v>
      </c>
      <c r="J2040">
        <v>758</v>
      </c>
      <c r="K2040">
        <v>699</v>
      </c>
      <c r="L2040">
        <v>722</v>
      </c>
      <c r="M2040">
        <v>92.8</v>
      </c>
      <c r="N2040">
        <v>95.9</v>
      </c>
      <c r="O2040">
        <v>1374</v>
      </c>
    </row>
    <row r="2041" spans="1:15">
      <c r="A2041">
        <v>1198</v>
      </c>
      <c r="B2041" t="s">
        <v>5072</v>
      </c>
      <c r="C2041" t="s">
        <v>5073</v>
      </c>
      <c r="D2041" t="s">
        <v>12965</v>
      </c>
      <c r="E2041" t="s">
        <v>12966</v>
      </c>
      <c r="F2041" t="s">
        <v>12967</v>
      </c>
      <c r="G2041" t="s">
        <v>5904</v>
      </c>
      <c r="H2041">
        <v>243</v>
      </c>
      <c r="I2041">
        <v>243</v>
      </c>
      <c r="J2041">
        <v>243</v>
      </c>
      <c r="K2041">
        <v>228</v>
      </c>
      <c r="L2041">
        <v>235</v>
      </c>
      <c r="M2041">
        <v>93.8</v>
      </c>
      <c r="N2041">
        <v>96.7</v>
      </c>
      <c r="O2041">
        <v>454.9</v>
      </c>
    </row>
    <row r="2042" spans="1:15">
      <c r="A2042">
        <v>2142</v>
      </c>
      <c r="B2042" t="s">
        <v>5074</v>
      </c>
      <c r="C2042" t="s">
        <v>5075</v>
      </c>
      <c r="D2042" t="s">
        <v>12968</v>
      </c>
      <c r="E2042" t="s">
        <v>12969</v>
      </c>
      <c r="F2042" t="s">
        <v>12970</v>
      </c>
      <c r="G2042" t="s">
        <v>5904</v>
      </c>
      <c r="H2042">
        <v>975</v>
      </c>
      <c r="I2042">
        <v>976</v>
      </c>
      <c r="J2042">
        <v>976</v>
      </c>
      <c r="K2042">
        <v>927</v>
      </c>
      <c r="L2042">
        <v>949</v>
      </c>
      <c r="M2042">
        <v>95.1</v>
      </c>
      <c r="N2042">
        <v>97.3</v>
      </c>
      <c r="O2042">
        <v>1867.4</v>
      </c>
    </row>
    <row r="2043" spans="1:15">
      <c r="A2043">
        <v>1197</v>
      </c>
      <c r="B2043" t="s">
        <v>5076</v>
      </c>
      <c r="C2043" t="s">
        <v>5077</v>
      </c>
      <c r="D2043" t="s">
        <v>12971</v>
      </c>
      <c r="E2043" t="s">
        <v>12972</v>
      </c>
      <c r="F2043" t="s">
        <v>12973</v>
      </c>
      <c r="G2043" t="s">
        <v>5904</v>
      </c>
      <c r="H2043">
        <v>497</v>
      </c>
      <c r="I2043">
        <v>480</v>
      </c>
      <c r="J2043">
        <v>461</v>
      </c>
      <c r="K2043">
        <v>420</v>
      </c>
      <c r="L2043">
        <v>443</v>
      </c>
      <c r="M2043">
        <v>84.5</v>
      </c>
      <c r="N2043">
        <v>89.1</v>
      </c>
      <c r="O2043">
        <v>889.4</v>
      </c>
    </row>
    <row r="2044" spans="1:15">
      <c r="A2044">
        <v>1196</v>
      </c>
      <c r="B2044" t="s">
        <v>5078</v>
      </c>
      <c r="C2044" t="s">
        <v>12974</v>
      </c>
      <c r="D2044" t="s">
        <v>12975</v>
      </c>
      <c r="E2044" t="s">
        <v>12976</v>
      </c>
      <c r="F2044" t="s">
        <v>12977</v>
      </c>
      <c r="G2044" t="s">
        <v>5904</v>
      </c>
      <c r="H2044">
        <v>496</v>
      </c>
      <c r="I2044">
        <v>493</v>
      </c>
      <c r="J2044">
        <v>480</v>
      </c>
      <c r="K2044">
        <v>445</v>
      </c>
      <c r="L2044">
        <v>458</v>
      </c>
      <c r="M2044">
        <v>89.7</v>
      </c>
      <c r="N2044">
        <v>92.3</v>
      </c>
      <c r="O2044">
        <v>912.9</v>
      </c>
    </row>
    <row r="2045" spans="1:15">
      <c r="A2045">
        <v>1195</v>
      </c>
      <c r="B2045" t="s">
        <v>5080</v>
      </c>
      <c r="C2045" t="s">
        <v>5081</v>
      </c>
      <c r="D2045" t="s">
        <v>12978</v>
      </c>
      <c r="E2045" t="s">
        <v>12979</v>
      </c>
      <c r="F2045" t="s">
        <v>12980</v>
      </c>
      <c r="G2045" t="s">
        <v>5904</v>
      </c>
      <c r="H2045">
        <v>572</v>
      </c>
      <c r="I2045">
        <v>584</v>
      </c>
      <c r="J2045">
        <v>589</v>
      </c>
      <c r="K2045">
        <v>421</v>
      </c>
      <c r="L2045">
        <v>458</v>
      </c>
      <c r="M2045">
        <v>73.599999999999994</v>
      </c>
      <c r="N2045">
        <v>80.099999999999994</v>
      </c>
      <c r="O2045">
        <v>776.9</v>
      </c>
    </row>
    <row r="2046" spans="1:15">
      <c r="A2046">
        <v>1194</v>
      </c>
      <c r="B2046" t="s">
        <v>5082</v>
      </c>
      <c r="C2046" t="s">
        <v>5083</v>
      </c>
      <c r="D2046" t="s">
        <v>12981</v>
      </c>
      <c r="E2046" t="s">
        <v>12982</v>
      </c>
      <c r="F2046" t="s">
        <v>12983</v>
      </c>
      <c r="G2046" t="s">
        <v>5904</v>
      </c>
      <c r="H2046">
        <v>681</v>
      </c>
      <c r="I2046">
        <v>699</v>
      </c>
      <c r="J2046">
        <v>699</v>
      </c>
      <c r="K2046">
        <v>676</v>
      </c>
      <c r="L2046">
        <v>678</v>
      </c>
      <c r="M2046">
        <v>99.3</v>
      </c>
      <c r="N2046">
        <v>99.6</v>
      </c>
      <c r="O2046">
        <v>1396</v>
      </c>
    </row>
    <row r="2047" spans="1:15">
      <c r="A2047">
        <v>1193</v>
      </c>
      <c r="B2047" t="s">
        <v>12984</v>
      </c>
      <c r="C2047" t="s">
        <v>5086</v>
      </c>
      <c r="D2047" t="s">
        <v>12985</v>
      </c>
      <c r="E2047" t="s">
        <v>12986</v>
      </c>
      <c r="F2047" t="s">
        <v>12987</v>
      </c>
      <c r="G2047" t="s">
        <v>5904</v>
      </c>
      <c r="H2047">
        <v>1718</v>
      </c>
      <c r="I2047">
        <v>1721</v>
      </c>
      <c r="J2047">
        <v>1721</v>
      </c>
      <c r="K2047">
        <v>1608</v>
      </c>
      <c r="L2047">
        <v>1646</v>
      </c>
      <c r="M2047">
        <v>93.6</v>
      </c>
      <c r="N2047">
        <v>95.8</v>
      </c>
      <c r="O2047">
        <v>3249.9</v>
      </c>
    </row>
    <row r="2048" spans="1:15">
      <c r="A2048">
        <v>1192</v>
      </c>
      <c r="B2048" t="s">
        <v>5087</v>
      </c>
      <c r="C2048" t="s">
        <v>12988</v>
      </c>
      <c r="D2048" t="s">
        <v>12989</v>
      </c>
      <c r="E2048" t="s">
        <v>12990</v>
      </c>
      <c r="F2048" t="s">
        <v>12991</v>
      </c>
      <c r="G2048" t="s">
        <v>5904</v>
      </c>
      <c r="H2048">
        <v>268</v>
      </c>
      <c r="I2048">
        <v>268</v>
      </c>
      <c r="J2048">
        <v>268</v>
      </c>
      <c r="K2048">
        <v>262</v>
      </c>
      <c r="L2048">
        <v>265</v>
      </c>
      <c r="M2048">
        <v>97.8</v>
      </c>
      <c r="N2048">
        <v>98.9</v>
      </c>
      <c r="O2048">
        <v>545.4</v>
      </c>
    </row>
    <row r="2049" spans="1:15">
      <c r="A2049">
        <v>1191</v>
      </c>
      <c r="B2049" t="s">
        <v>5089</v>
      </c>
      <c r="C2049" t="s">
        <v>5090</v>
      </c>
      <c r="D2049" t="s">
        <v>12992</v>
      </c>
      <c r="E2049" t="s">
        <v>12993</v>
      </c>
      <c r="F2049" t="s">
        <v>12994</v>
      </c>
      <c r="G2049" t="s">
        <v>5904</v>
      </c>
      <c r="H2049">
        <v>394</v>
      </c>
      <c r="I2049">
        <v>394</v>
      </c>
      <c r="J2049">
        <v>394</v>
      </c>
      <c r="K2049">
        <v>394</v>
      </c>
      <c r="L2049">
        <v>394</v>
      </c>
      <c r="M2049">
        <v>100</v>
      </c>
      <c r="N2049">
        <v>100</v>
      </c>
      <c r="O2049">
        <v>812.8</v>
      </c>
    </row>
    <row r="2050" spans="1:15">
      <c r="A2050">
        <v>1190</v>
      </c>
      <c r="B2050" t="s">
        <v>5091</v>
      </c>
      <c r="C2050" t="s">
        <v>5092</v>
      </c>
      <c r="D2050" t="s">
        <v>12995</v>
      </c>
      <c r="E2050" t="s">
        <v>12996</v>
      </c>
      <c r="F2050" t="s">
        <v>12997</v>
      </c>
      <c r="G2050" t="s">
        <v>5904</v>
      </c>
      <c r="H2050">
        <v>245</v>
      </c>
      <c r="I2050">
        <v>245</v>
      </c>
      <c r="J2050">
        <v>245</v>
      </c>
      <c r="K2050">
        <v>245</v>
      </c>
      <c r="L2050">
        <v>245</v>
      </c>
      <c r="M2050">
        <v>100</v>
      </c>
      <c r="N2050">
        <v>100</v>
      </c>
      <c r="O2050">
        <v>503.8</v>
      </c>
    </row>
    <row r="2051" spans="1:15">
      <c r="A2051">
        <v>1189</v>
      </c>
      <c r="B2051" t="s">
        <v>12998</v>
      </c>
      <c r="C2051" t="s">
        <v>5793</v>
      </c>
      <c r="D2051" t="s">
        <v>12999</v>
      </c>
      <c r="E2051" t="s">
        <v>13000</v>
      </c>
      <c r="F2051" t="s">
        <v>13001</v>
      </c>
      <c r="G2051" t="s">
        <v>5904</v>
      </c>
      <c r="H2051">
        <v>344</v>
      </c>
      <c r="I2051">
        <v>298</v>
      </c>
      <c r="J2051">
        <v>344</v>
      </c>
      <c r="K2051">
        <v>261</v>
      </c>
      <c r="L2051">
        <v>286</v>
      </c>
      <c r="M2051">
        <v>75.900000000000006</v>
      </c>
      <c r="N2051">
        <v>83.1</v>
      </c>
      <c r="O2051">
        <v>531.20000000000005</v>
      </c>
    </row>
    <row r="2052" spans="1:15">
      <c r="A2052">
        <v>1188</v>
      </c>
      <c r="B2052" t="s">
        <v>13002</v>
      </c>
      <c r="C2052" t="s">
        <v>5095</v>
      </c>
      <c r="D2052" t="s">
        <v>13003</v>
      </c>
      <c r="E2052" t="s">
        <v>13004</v>
      </c>
      <c r="F2052" t="s">
        <v>13005</v>
      </c>
      <c r="G2052" t="s">
        <v>5904</v>
      </c>
      <c r="H2052">
        <v>317</v>
      </c>
      <c r="I2052">
        <v>301</v>
      </c>
      <c r="J2052">
        <v>301</v>
      </c>
      <c r="K2052">
        <v>195</v>
      </c>
      <c r="L2052">
        <v>216</v>
      </c>
      <c r="M2052">
        <v>61.5</v>
      </c>
      <c r="N2052">
        <v>68.099999999999994</v>
      </c>
      <c r="O2052">
        <v>340.1</v>
      </c>
    </row>
    <row r="2053" spans="1:15">
      <c r="A2053">
        <v>1187</v>
      </c>
      <c r="B2053" t="s">
        <v>5096</v>
      </c>
      <c r="C2053" t="s">
        <v>5097</v>
      </c>
      <c r="D2053" t="s">
        <v>13006</v>
      </c>
      <c r="E2053" t="s">
        <v>13007</v>
      </c>
      <c r="F2053" t="s">
        <v>13008</v>
      </c>
      <c r="G2053" t="s">
        <v>5904</v>
      </c>
      <c r="H2053">
        <v>564</v>
      </c>
      <c r="I2053">
        <v>564</v>
      </c>
      <c r="J2053">
        <v>564</v>
      </c>
      <c r="K2053">
        <v>551</v>
      </c>
      <c r="L2053">
        <v>558</v>
      </c>
      <c r="M2053">
        <v>97.7</v>
      </c>
      <c r="N2053">
        <v>98.9</v>
      </c>
      <c r="O2053">
        <v>1141.3</v>
      </c>
    </row>
    <row r="2054" spans="1:15">
      <c r="A2054">
        <v>1186</v>
      </c>
      <c r="B2054" t="s">
        <v>5098</v>
      </c>
      <c r="C2054" t="s">
        <v>5099</v>
      </c>
      <c r="D2054" t="s">
        <v>13009</v>
      </c>
      <c r="E2054" t="s">
        <v>13010</v>
      </c>
      <c r="F2054" t="s">
        <v>13011</v>
      </c>
      <c r="G2054" t="s">
        <v>5904</v>
      </c>
      <c r="H2054">
        <v>147</v>
      </c>
      <c r="I2054">
        <v>147</v>
      </c>
      <c r="J2054">
        <v>147</v>
      </c>
      <c r="K2054">
        <v>147</v>
      </c>
      <c r="L2054">
        <v>147</v>
      </c>
      <c r="M2054">
        <v>100</v>
      </c>
      <c r="N2054">
        <v>100</v>
      </c>
      <c r="O2054">
        <v>303.89999999999998</v>
      </c>
    </row>
    <row r="2055" spans="1:15">
      <c r="A2055">
        <v>2250</v>
      </c>
      <c r="B2055" t="s">
        <v>5100</v>
      </c>
      <c r="C2055" t="s">
        <v>5101</v>
      </c>
      <c r="D2055" t="s">
        <v>13012</v>
      </c>
      <c r="E2055" t="s">
        <v>13013</v>
      </c>
      <c r="F2055" t="s">
        <v>13014</v>
      </c>
      <c r="G2055" t="s">
        <v>5904</v>
      </c>
      <c r="H2055">
        <v>118</v>
      </c>
      <c r="I2055">
        <v>97</v>
      </c>
      <c r="J2055">
        <v>73</v>
      </c>
      <c r="K2055">
        <v>49</v>
      </c>
      <c r="L2055">
        <v>54</v>
      </c>
      <c r="M2055">
        <v>41.5</v>
      </c>
      <c r="N2055">
        <v>45.8</v>
      </c>
      <c r="O2055">
        <v>100.5</v>
      </c>
    </row>
    <row r="2056" spans="1:15">
      <c r="A2056">
        <v>1185</v>
      </c>
      <c r="B2056" t="s">
        <v>5102</v>
      </c>
      <c r="C2056" t="s">
        <v>5103</v>
      </c>
      <c r="D2056" t="s">
        <v>13015</v>
      </c>
      <c r="E2056" t="s">
        <v>13016</v>
      </c>
      <c r="F2056" t="s">
        <v>13017</v>
      </c>
      <c r="G2056" t="s">
        <v>5904</v>
      </c>
      <c r="H2056">
        <v>244</v>
      </c>
      <c r="I2056">
        <v>246</v>
      </c>
      <c r="J2056">
        <v>244</v>
      </c>
      <c r="K2056">
        <v>244</v>
      </c>
      <c r="L2056">
        <v>244</v>
      </c>
      <c r="M2056">
        <v>100</v>
      </c>
      <c r="N2056">
        <v>100</v>
      </c>
      <c r="O2056">
        <v>503.8</v>
      </c>
    </row>
    <row r="2057" spans="1:15">
      <c r="A2057">
        <v>1184</v>
      </c>
      <c r="B2057" t="s">
        <v>5104</v>
      </c>
      <c r="C2057" t="s">
        <v>5105</v>
      </c>
      <c r="D2057" t="s">
        <v>13018</v>
      </c>
      <c r="E2057" t="s">
        <v>13019</v>
      </c>
      <c r="F2057" t="s">
        <v>13020</v>
      </c>
      <c r="G2057" t="s">
        <v>5904</v>
      </c>
      <c r="H2057">
        <v>200</v>
      </c>
      <c r="I2057">
        <v>200</v>
      </c>
      <c r="J2057">
        <v>200</v>
      </c>
      <c r="K2057">
        <v>200</v>
      </c>
      <c r="L2057">
        <v>200</v>
      </c>
      <c r="M2057">
        <v>100</v>
      </c>
      <c r="N2057">
        <v>100</v>
      </c>
      <c r="O2057">
        <v>412.5</v>
      </c>
    </row>
    <row r="2058" spans="1:15">
      <c r="A2058">
        <v>1183</v>
      </c>
      <c r="B2058" t="s">
        <v>5106</v>
      </c>
      <c r="C2058" t="s">
        <v>5107</v>
      </c>
      <c r="D2058" t="s">
        <v>13021</v>
      </c>
      <c r="E2058" t="s">
        <v>13022</v>
      </c>
      <c r="F2058" t="s">
        <v>13023</v>
      </c>
      <c r="G2058" t="s">
        <v>5904</v>
      </c>
      <c r="H2058">
        <v>513</v>
      </c>
      <c r="I2058">
        <v>513</v>
      </c>
      <c r="J2058">
        <v>513</v>
      </c>
      <c r="K2058">
        <v>494</v>
      </c>
      <c r="L2058">
        <v>504</v>
      </c>
      <c r="M2058">
        <v>96.3</v>
      </c>
      <c r="N2058">
        <v>98.2</v>
      </c>
      <c r="O2058">
        <v>1028.8</v>
      </c>
    </row>
    <row r="2059" spans="1:15">
      <c r="A2059">
        <v>1182</v>
      </c>
      <c r="B2059" t="s">
        <v>5108</v>
      </c>
      <c r="C2059" t="s">
        <v>5109</v>
      </c>
      <c r="D2059" t="s">
        <v>13024</v>
      </c>
      <c r="E2059" t="s">
        <v>13025</v>
      </c>
      <c r="F2059" t="s">
        <v>13026</v>
      </c>
      <c r="G2059" t="s">
        <v>5904</v>
      </c>
      <c r="H2059">
        <v>687</v>
      </c>
      <c r="I2059">
        <v>687</v>
      </c>
      <c r="J2059">
        <v>687</v>
      </c>
      <c r="K2059">
        <v>585</v>
      </c>
      <c r="L2059">
        <v>627</v>
      </c>
      <c r="M2059">
        <v>85.2</v>
      </c>
      <c r="N2059">
        <v>91.3</v>
      </c>
      <c r="O2059">
        <v>1225.3</v>
      </c>
    </row>
    <row r="2060" spans="1:15">
      <c r="A2060">
        <v>1181</v>
      </c>
      <c r="B2060" t="s">
        <v>13027</v>
      </c>
      <c r="C2060" t="s">
        <v>13028</v>
      </c>
      <c r="D2060" t="s">
        <v>13029</v>
      </c>
      <c r="E2060" t="s">
        <v>13030</v>
      </c>
      <c r="F2060" t="s">
        <v>13031</v>
      </c>
      <c r="G2060" t="s">
        <v>5904</v>
      </c>
      <c r="H2060">
        <v>680</v>
      </c>
      <c r="I2060">
        <v>686</v>
      </c>
      <c r="J2060">
        <v>686</v>
      </c>
      <c r="K2060">
        <v>661</v>
      </c>
      <c r="L2060">
        <v>668</v>
      </c>
      <c r="M2060">
        <v>97.2</v>
      </c>
      <c r="N2060">
        <v>98.2</v>
      </c>
      <c r="O2060">
        <v>1348.2</v>
      </c>
    </row>
    <row r="2061" spans="1:15">
      <c r="A2061">
        <v>1180</v>
      </c>
      <c r="B2061" t="s">
        <v>5113</v>
      </c>
      <c r="C2061" t="s">
        <v>13032</v>
      </c>
      <c r="D2061" t="s">
        <v>13033</v>
      </c>
      <c r="E2061" t="s">
        <v>13034</v>
      </c>
      <c r="F2061" t="s">
        <v>13035</v>
      </c>
      <c r="G2061" t="s">
        <v>5904</v>
      </c>
      <c r="H2061">
        <v>767</v>
      </c>
      <c r="I2061">
        <v>767</v>
      </c>
      <c r="J2061">
        <v>767</v>
      </c>
      <c r="K2061">
        <v>748</v>
      </c>
      <c r="L2061">
        <v>756</v>
      </c>
      <c r="M2061">
        <v>97.5</v>
      </c>
      <c r="N2061">
        <v>98.6</v>
      </c>
      <c r="O2061">
        <v>1573.1</v>
      </c>
    </row>
    <row r="2062" spans="1:15">
      <c r="A2062">
        <v>1179</v>
      </c>
      <c r="B2062" t="s">
        <v>13036</v>
      </c>
      <c r="C2062" t="s">
        <v>5117</v>
      </c>
      <c r="D2062" t="s">
        <v>13037</v>
      </c>
      <c r="E2062" t="s">
        <v>13038</v>
      </c>
      <c r="F2062" t="s">
        <v>13039</v>
      </c>
      <c r="G2062" t="s">
        <v>5904</v>
      </c>
      <c r="H2062">
        <v>224</v>
      </c>
      <c r="I2062">
        <v>198</v>
      </c>
      <c r="J2062">
        <v>178</v>
      </c>
      <c r="K2062">
        <v>155</v>
      </c>
      <c r="L2062">
        <v>163</v>
      </c>
      <c r="M2062">
        <v>69.2</v>
      </c>
      <c r="N2062">
        <v>72.8</v>
      </c>
      <c r="O2062">
        <v>308.89999999999998</v>
      </c>
    </row>
    <row r="2063" spans="1:15">
      <c r="A2063">
        <v>1178</v>
      </c>
      <c r="B2063" t="s">
        <v>5118</v>
      </c>
      <c r="C2063" t="s">
        <v>5119</v>
      </c>
      <c r="D2063" t="s">
        <v>13040</v>
      </c>
      <c r="E2063" t="s">
        <v>13041</v>
      </c>
      <c r="F2063" t="s">
        <v>13042</v>
      </c>
      <c r="G2063" t="s">
        <v>5904</v>
      </c>
      <c r="H2063">
        <v>4434</v>
      </c>
      <c r="I2063">
        <v>4563</v>
      </c>
      <c r="J2063">
        <v>3163</v>
      </c>
      <c r="K2063">
        <v>2514</v>
      </c>
      <c r="L2063">
        <v>2796</v>
      </c>
      <c r="M2063">
        <v>56.7</v>
      </c>
      <c r="N2063">
        <v>63.1</v>
      </c>
      <c r="O2063">
        <v>5206.7</v>
      </c>
    </row>
    <row r="2064" spans="1:15">
      <c r="A2064">
        <v>1177</v>
      </c>
      <c r="B2064" t="s">
        <v>5120</v>
      </c>
      <c r="C2064" t="s">
        <v>5121</v>
      </c>
      <c r="D2064" t="s">
        <v>13043</v>
      </c>
      <c r="E2064" t="s">
        <v>13044</v>
      </c>
      <c r="F2064" t="s">
        <v>13045</v>
      </c>
      <c r="G2064" t="s">
        <v>5904</v>
      </c>
      <c r="H2064">
        <v>627</v>
      </c>
      <c r="I2064">
        <v>626</v>
      </c>
      <c r="J2064">
        <v>627</v>
      </c>
      <c r="K2064">
        <v>493</v>
      </c>
      <c r="L2064">
        <v>557</v>
      </c>
      <c r="M2064">
        <v>78.599999999999994</v>
      </c>
      <c r="N2064">
        <v>88.8</v>
      </c>
      <c r="O2064">
        <v>1047.3</v>
      </c>
    </row>
    <row r="2065" spans="1:15">
      <c r="A2065">
        <v>1176</v>
      </c>
      <c r="B2065" t="s">
        <v>5122</v>
      </c>
      <c r="C2065" t="s">
        <v>5123</v>
      </c>
      <c r="D2065" t="s">
        <v>13046</v>
      </c>
      <c r="E2065" t="s">
        <v>13047</v>
      </c>
      <c r="F2065" t="s">
        <v>13048</v>
      </c>
      <c r="G2065" t="s">
        <v>5904</v>
      </c>
      <c r="H2065">
        <v>129</v>
      </c>
      <c r="I2065">
        <v>129</v>
      </c>
      <c r="J2065">
        <v>129</v>
      </c>
      <c r="K2065">
        <v>106</v>
      </c>
      <c r="L2065">
        <v>121</v>
      </c>
      <c r="M2065">
        <v>82.2</v>
      </c>
      <c r="N2065">
        <v>93.8</v>
      </c>
      <c r="O2065">
        <v>235</v>
      </c>
    </row>
    <row r="2066" spans="1:15">
      <c r="A2066">
        <v>1175</v>
      </c>
      <c r="B2066" t="s">
        <v>13049</v>
      </c>
      <c r="C2066" t="s">
        <v>5126</v>
      </c>
      <c r="D2066" t="s">
        <v>13050</v>
      </c>
      <c r="E2066" t="s">
        <v>13051</v>
      </c>
      <c r="F2066" t="s">
        <v>13052</v>
      </c>
      <c r="G2066" t="s">
        <v>5904</v>
      </c>
      <c r="H2066">
        <v>372</v>
      </c>
      <c r="I2066">
        <v>370</v>
      </c>
      <c r="J2066">
        <v>372</v>
      </c>
      <c r="K2066">
        <v>360</v>
      </c>
      <c r="L2066">
        <v>368</v>
      </c>
      <c r="M2066">
        <v>96.8</v>
      </c>
      <c r="N2066">
        <v>98.9</v>
      </c>
      <c r="O2066">
        <v>734.2</v>
      </c>
    </row>
    <row r="2067" spans="1:15">
      <c r="A2067">
        <v>1174</v>
      </c>
      <c r="B2067" t="s">
        <v>13053</v>
      </c>
      <c r="C2067" t="s">
        <v>5129</v>
      </c>
      <c r="D2067" t="s">
        <v>13054</v>
      </c>
      <c r="E2067" t="s">
        <v>13055</v>
      </c>
      <c r="F2067" t="s">
        <v>13056</v>
      </c>
      <c r="G2067" t="s">
        <v>5900</v>
      </c>
      <c r="H2067">
        <v>1314</v>
      </c>
      <c r="I2067">
        <v>653</v>
      </c>
      <c r="J2067">
        <v>523</v>
      </c>
      <c r="K2067">
        <v>473</v>
      </c>
      <c r="L2067">
        <v>493</v>
      </c>
      <c r="M2067">
        <v>36</v>
      </c>
      <c r="N2067">
        <v>37.5</v>
      </c>
      <c r="O2067">
        <v>909.8</v>
      </c>
    </row>
    <row r="2068" spans="1:15">
      <c r="A2068">
        <v>1173</v>
      </c>
      <c r="B2068" t="s">
        <v>5130</v>
      </c>
      <c r="C2068" t="s">
        <v>5131</v>
      </c>
      <c r="D2068" t="s">
        <v>13057</v>
      </c>
      <c r="E2068" t="s">
        <v>13058</v>
      </c>
      <c r="F2068" t="s">
        <v>13059</v>
      </c>
      <c r="G2068" t="s">
        <v>5904</v>
      </c>
      <c r="H2068">
        <v>653</v>
      </c>
      <c r="I2068">
        <v>652</v>
      </c>
      <c r="J2068">
        <v>636</v>
      </c>
      <c r="K2068">
        <v>490</v>
      </c>
      <c r="L2068">
        <v>528</v>
      </c>
      <c r="M2068">
        <v>75</v>
      </c>
      <c r="N2068">
        <v>80.900000000000006</v>
      </c>
      <c r="O2068">
        <v>879</v>
      </c>
    </row>
    <row r="2069" spans="1:15">
      <c r="A2069">
        <v>1172</v>
      </c>
      <c r="B2069" t="s">
        <v>5132</v>
      </c>
      <c r="C2069" t="s">
        <v>5133</v>
      </c>
      <c r="D2069" t="s">
        <v>13060</v>
      </c>
      <c r="E2069" t="s">
        <v>13061</v>
      </c>
      <c r="F2069" t="s">
        <v>13062</v>
      </c>
      <c r="G2069" t="s">
        <v>5904</v>
      </c>
      <c r="H2069">
        <v>704</v>
      </c>
      <c r="I2069">
        <v>707</v>
      </c>
      <c r="J2069">
        <v>707</v>
      </c>
      <c r="K2069">
        <v>568</v>
      </c>
      <c r="L2069">
        <v>624</v>
      </c>
      <c r="M2069">
        <v>80.7</v>
      </c>
      <c r="N2069">
        <v>88.6</v>
      </c>
      <c r="O2069">
        <v>1121.3</v>
      </c>
    </row>
    <row r="2070" spans="1:15">
      <c r="A2070">
        <v>1171</v>
      </c>
      <c r="B2070" t="s">
        <v>13063</v>
      </c>
      <c r="C2070" t="s">
        <v>5136</v>
      </c>
      <c r="D2070" t="s">
        <v>13064</v>
      </c>
      <c r="E2070" t="s">
        <v>13065</v>
      </c>
      <c r="F2070" t="s">
        <v>13066</v>
      </c>
      <c r="G2070" t="s">
        <v>5904</v>
      </c>
      <c r="H2070">
        <v>366</v>
      </c>
      <c r="I2070">
        <v>363</v>
      </c>
      <c r="J2070">
        <v>333</v>
      </c>
      <c r="K2070">
        <v>280</v>
      </c>
      <c r="L2070">
        <v>307</v>
      </c>
      <c r="M2070">
        <v>76.5</v>
      </c>
      <c r="N2070">
        <v>83.9</v>
      </c>
      <c r="O2070">
        <v>592.79999999999995</v>
      </c>
    </row>
    <row r="2071" spans="1:15">
      <c r="A2071">
        <v>1170</v>
      </c>
      <c r="B2071" t="s">
        <v>5137</v>
      </c>
      <c r="C2071" t="s">
        <v>5138</v>
      </c>
      <c r="D2071" t="s">
        <v>13067</v>
      </c>
      <c r="E2071" t="s">
        <v>13068</v>
      </c>
      <c r="F2071" t="s">
        <v>13069</v>
      </c>
      <c r="G2071" t="s">
        <v>5904</v>
      </c>
      <c r="H2071">
        <v>304</v>
      </c>
      <c r="I2071">
        <v>303</v>
      </c>
      <c r="J2071">
        <v>283</v>
      </c>
      <c r="K2071">
        <v>241</v>
      </c>
      <c r="L2071">
        <v>261</v>
      </c>
      <c r="M2071">
        <v>79.3</v>
      </c>
      <c r="N2071">
        <v>85.9</v>
      </c>
      <c r="O2071">
        <v>520.4</v>
      </c>
    </row>
    <row r="2072" spans="1:15">
      <c r="A2072">
        <v>1169</v>
      </c>
      <c r="B2072" t="s">
        <v>5139</v>
      </c>
      <c r="C2072" t="s">
        <v>5140</v>
      </c>
      <c r="D2072" t="s">
        <v>13070</v>
      </c>
      <c r="E2072" t="s">
        <v>13071</v>
      </c>
      <c r="F2072" t="s">
        <v>13072</v>
      </c>
      <c r="G2072" t="s">
        <v>5904</v>
      </c>
      <c r="H2072">
        <v>829</v>
      </c>
      <c r="I2072">
        <v>834</v>
      </c>
      <c r="J2072">
        <v>811</v>
      </c>
      <c r="K2072">
        <v>644</v>
      </c>
      <c r="L2072">
        <v>713</v>
      </c>
      <c r="M2072">
        <v>77.7</v>
      </c>
      <c r="N2072">
        <v>86</v>
      </c>
      <c r="O2072">
        <v>1228.8</v>
      </c>
    </row>
    <row r="2073" spans="1:15">
      <c r="A2073">
        <v>1168</v>
      </c>
      <c r="B2073" t="s">
        <v>5141</v>
      </c>
      <c r="C2073" t="s">
        <v>13073</v>
      </c>
      <c r="D2073" t="s">
        <v>13074</v>
      </c>
      <c r="E2073" t="s">
        <v>13075</v>
      </c>
      <c r="F2073" t="s">
        <v>13076</v>
      </c>
      <c r="G2073" t="s">
        <v>5904</v>
      </c>
      <c r="H2073">
        <v>327</v>
      </c>
      <c r="I2073">
        <v>327</v>
      </c>
      <c r="J2073">
        <v>327</v>
      </c>
      <c r="K2073">
        <v>327</v>
      </c>
      <c r="L2073">
        <v>327</v>
      </c>
      <c r="M2073">
        <v>100</v>
      </c>
      <c r="N2073">
        <v>100</v>
      </c>
      <c r="O2073">
        <v>677.6</v>
      </c>
    </row>
    <row r="2074" spans="1:15">
      <c r="A2074">
        <v>1167</v>
      </c>
      <c r="B2074" t="s">
        <v>13077</v>
      </c>
      <c r="C2074" t="s">
        <v>5145</v>
      </c>
      <c r="D2074" t="s">
        <v>13078</v>
      </c>
      <c r="E2074" t="s">
        <v>13079</v>
      </c>
      <c r="F2074" t="s">
        <v>13080</v>
      </c>
      <c r="G2074" t="s">
        <v>5904</v>
      </c>
      <c r="H2074">
        <v>99</v>
      </c>
      <c r="I2074">
        <v>96</v>
      </c>
      <c r="J2074">
        <v>95</v>
      </c>
      <c r="K2074">
        <v>91</v>
      </c>
      <c r="L2074">
        <v>94</v>
      </c>
      <c r="M2074">
        <v>91.9</v>
      </c>
      <c r="N2074">
        <v>94.9</v>
      </c>
      <c r="O2074">
        <v>189.9</v>
      </c>
    </row>
    <row r="2075" spans="1:15">
      <c r="A2075">
        <v>1166</v>
      </c>
      <c r="B2075" t="s">
        <v>13081</v>
      </c>
      <c r="C2075" t="s">
        <v>13082</v>
      </c>
      <c r="D2075" t="s">
        <v>13083</v>
      </c>
      <c r="E2075" t="s">
        <v>13084</v>
      </c>
      <c r="F2075" t="s">
        <v>13085</v>
      </c>
      <c r="G2075" t="s">
        <v>5904</v>
      </c>
      <c r="H2075">
        <v>305</v>
      </c>
      <c r="I2075">
        <v>306</v>
      </c>
      <c r="J2075">
        <v>318</v>
      </c>
      <c r="K2075">
        <v>256</v>
      </c>
      <c r="L2075">
        <v>265</v>
      </c>
      <c r="M2075">
        <v>83.9</v>
      </c>
      <c r="N2075">
        <v>86.9</v>
      </c>
      <c r="O2075">
        <v>435.3</v>
      </c>
    </row>
    <row r="2076" spans="1:15">
      <c r="A2076">
        <v>1165</v>
      </c>
      <c r="B2076" t="s">
        <v>5149</v>
      </c>
      <c r="C2076" t="s">
        <v>5150</v>
      </c>
      <c r="D2076" t="s">
        <v>13086</v>
      </c>
      <c r="E2076" t="s">
        <v>13087</v>
      </c>
      <c r="F2076" t="s">
        <v>13088</v>
      </c>
      <c r="G2076" t="s">
        <v>5904</v>
      </c>
      <c r="H2076">
        <v>298</v>
      </c>
      <c r="I2076">
        <v>302</v>
      </c>
      <c r="J2076">
        <v>297</v>
      </c>
      <c r="K2076">
        <v>246</v>
      </c>
      <c r="L2076">
        <v>277</v>
      </c>
      <c r="M2076">
        <v>82.6</v>
      </c>
      <c r="N2076">
        <v>93</v>
      </c>
      <c r="O2076">
        <v>540.4</v>
      </c>
    </row>
    <row r="2077" spans="1:15">
      <c r="A2077">
        <v>1164</v>
      </c>
      <c r="B2077" t="s">
        <v>5151</v>
      </c>
      <c r="C2077" t="s">
        <v>5152</v>
      </c>
      <c r="D2077" t="s">
        <v>13089</v>
      </c>
      <c r="E2077" t="s">
        <v>13090</v>
      </c>
      <c r="F2077" t="s">
        <v>13091</v>
      </c>
      <c r="G2077" t="s">
        <v>5904</v>
      </c>
      <c r="H2077">
        <v>179</v>
      </c>
      <c r="I2077">
        <v>179</v>
      </c>
      <c r="J2077">
        <v>179</v>
      </c>
      <c r="K2077">
        <v>150</v>
      </c>
      <c r="L2077">
        <v>168</v>
      </c>
      <c r="M2077">
        <v>83.8</v>
      </c>
      <c r="N2077">
        <v>93.9</v>
      </c>
      <c r="O2077">
        <v>324.3</v>
      </c>
    </row>
    <row r="2078" spans="1:15">
      <c r="A2078">
        <v>2141</v>
      </c>
      <c r="B2078" t="s">
        <v>5153</v>
      </c>
      <c r="C2078" t="s">
        <v>5154</v>
      </c>
      <c r="D2078" t="s">
        <v>8838</v>
      </c>
      <c r="E2078" t="s">
        <v>8839</v>
      </c>
      <c r="F2078" t="s">
        <v>13092</v>
      </c>
      <c r="G2078" t="s">
        <v>6054</v>
      </c>
      <c r="H2078">
        <v>329</v>
      </c>
      <c r="I2078">
        <v>2386</v>
      </c>
      <c r="J2078">
        <v>41</v>
      </c>
      <c r="K2078">
        <v>15</v>
      </c>
      <c r="L2078">
        <v>21</v>
      </c>
      <c r="M2078">
        <v>4.5999999999999996</v>
      </c>
      <c r="N2078">
        <v>6.4</v>
      </c>
      <c r="O2078">
        <v>28.9</v>
      </c>
    </row>
    <row r="2079" spans="1:15">
      <c r="A2079">
        <v>1163</v>
      </c>
      <c r="B2079" t="s">
        <v>13093</v>
      </c>
      <c r="C2079" t="s">
        <v>13094</v>
      </c>
      <c r="D2079" t="s">
        <v>13095</v>
      </c>
      <c r="E2079" t="s">
        <v>13096</v>
      </c>
      <c r="F2079" t="s">
        <v>13097</v>
      </c>
      <c r="G2079" t="s">
        <v>5904</v>
      </c>
      <c r="H2079">
        <v>2364</v>
      </c>
      <c r="I2079">
        <v>2364</v>
      </c>
      <c r="J2079">
        <v>2364</v>
      </c>
      <c r="K2079">
        <v>2340</v>
      </c>
      <c r="L2079">
        <v>2353</v>
      </c>
      <c r="M2079">
        <v>99</v>
      </c>
      <c r="N2079">
        <v>99.5</v>
      </c>
      <c r="O2079">
        <v>4828.1000000000004</v>
      </c>
    </row>
    <row r="2080" spans="1:15">
      <c r="A2080">
        <v>1162</v>
      </c>
      <c r="B2080" t="s">
        <v>13098</v>
      </c>
      <c r="C2080" t="s">
        <v>5160</v>
      </c>
      <c r="D2080" t="s">
        <v>13099</v>
      </c>
      <c r="E2080" t="s">
        <v>13100</v>
      </c>
      <c r="F2080" t="s">
        <v>13101</v>
      </c>
      <c r="G2080" t="s">
        <v>5904</v>
      </c>
      <c r="H2080">
        <v>1017</v>
      </c>
      <c r="I2080">
        <v>953</v>
      </c>
      <c r="J2080">
        <v>992</v>
      </c>
      <c r="K2080">
        <v>952</v>
      </c>
      <c r="L2080">
        <v>953</v>
      </c>
      <c r="M2080">
        <v>93.6</v>
      </c>
      <c r="N2080">
        <v>93.7</v>
      </c>
      <c r="O2080">
        <v>1942.2</v>
      </c>
    </row>
    <row r="2081" spans="1:15">
      <c r="A2081">
        <v>1161</v>
      </c>
      <c r="B2081" t="s">
        <v>13102</v>
      </c>
      <c r="C2081" t="s">
        <v>5163</v>
      </c>
      <c r="D2081" t="s">
        <v>13103</v>
      </c>
      <c r="E2081" t="s">
        <v>13104</v>
      </c>
      <c r="F2081" t="s">
        <v>13105</v>
      </c>
      <c r="G2081" t="s">
        <v>5904</v>
      </c>
      <c r="H2081">
        <v>278</v>
      </c>
      <c r="I2081">
        <v>271</v>
      </c>
      <c r="J2081">
        <v>271</v>
      </c>
      <c r="K2081">
        <v>245</v>
      </c>
      <c r="L2081">
        <v>258</v>
      </c>
      <c r="M2081">
        <v>88.1</v>
      </c>
      <c r="N2081">
        <v>92.8</v>
      </c>
      <c r="O2081">
        <v>505.4</v>
      </c>
    </row>
    <row r="2082" spans="1:15">
      <c r="A2082">
        <v>1160</v>
      </c>
      <c r="B2082" t="s">
        <v>13106</v>
      </c>
      <c r="C2082" t="s">
        <v>5166</v>
      </c>
      <c r="D2082" t="s">
        <v>13107</v>
      </c>
      <c r="E2082" t="s">
        <v>13108</v>
      </c>
      <c r="F2082" t="s">
        <v>13109</v>
      </c>
      <c r="G2082" t="s">
        <v>5904</v>
      </c>
      <c r="H2082">
        <v>1331</v>
      </c>
      <c r="I2082">
        <v>961</v>
      </c>
      <c r="J2082">
        <v>964</v>
      </c>
      <c r="K2082">
        <v>867</v>
      </c>
      <c r="L2082">
        <v>879</v>
      </c>
      <c r="M2082">
        <v>65.099999999999994</v>
      </c>
      <c r="N2082">
        <v>66</v>
      </c>
      <c r="O2082">
        <v>1517.7</v>
      </c>
    </row>
    <row r="2083" spans="1:15">
      <c r="A2083">
        <v>1159</v>
      </c>
      <c r="B2083" t="s">
        <v>5167</v>
      </c>
      <c r="C2083" t="s">
        <v>5168</v>
      </c>
      <c r="D2083" t="s">
        <v>13110</v>
      </c>
      <c r="E2083" t="s">
        <v>13111</v>
      </c>
      <c r="F2083" t="s">
        <v>13112</v>
      </c>
      <c r="G2083" t="s">
        <v>5904</v>
      </c>
      <c r="H2083">
        <v>319</v>
      </c>
      <c r="I2083">
        <v>319</v>
      </c>
      <c r="J2083">
        <v>319</v>
      </c>
      <c r="K2083">
        <v>302</v>
      </c>
      <c r="L2083">
        <v>313</v>
      </c>
      <c r="M2083">
        <v>94.7</v>
      </c>
      <c r="N2083">
        <v>98.1</v>
      </c>
      <c r="O2083">
        <v>622.5</v>
      </c>
    </row>
    <row r="2084" spans="1:15">
      <c r="A2084">
        <v>1158</v>
      </c>
      <c r="B2084" t="s">
        <v>13113</v>
      </c>
      <c r="C2084" t="s">
        <v>5171</v>
      </c>
      <c r="D2084" t="s">
        <v>13114</v>
      </c>
      <c r="E2084" t="s">
        <v>13115</v>
      </c>
      <c r="F2084" t="s">
        <v>13116</v>
      </c>
      <c r="G2084" t="s">
        <v>5904</v>
      </c>
      <c r="H2084">
        <v>456</v>
      </c>
      <c r="I2084">
        <v>451</v>
      </c>
      <c r="J2084">
        <v>431</v>
      </c>
      <c r="K2084">
        <v>361</v>
      </c>
      <c r="L2084">
        <v>402</v>
      </c>
      <c r="M2084">
        <v>79.2</v>
      </c>
      <c r="N2084">
        <v>88.2</v>
      </c>
      <c r="O2084">
        <v>753.4</v>
      </c>
    </row>
    <row r="2085" spans="1:15">
      <c r="A2085">
        <v>1157</v>
      </c>
      <c r="B2085" t="s">
        <v>5172</v>
      </c>
      <c r="C2085" t="s">
        <v>13117</v>
      </c>
      <c r="D2085" t="s">
        <v>13118</v>
      </c>
      <c r="E2085" t="s">
        <v>13119</v>
      </c>
      <c r="F2085" t="s">
        <v>13120</v>
      </c>
      <c r="G2085" t="s">
        <v>5904</v>
      </c>
      <c r="H2085">
        <v>101</v>
      </c>
      <c r="I2085">
        <v>117</v>
      </c>
      <c r="J2085">
        <v>117</v>
      </c>
      <c r="K2085">
        <v>71</v>
      </c>
      <c r="L2085">
        <v>81</v>
      </c>
      <c r="M2085">
        <v>70.3</v>
      </c>
      <c r="N2085">
        <v>80.2</v>
      </c>
      <c r="O2085">
        <v>134.4</v>
      </c>
    </row>
    <row r="2086" spans="1:15">
      <c r="A2086">
        <v>1156</v>
      </c>
      <c r="B2086" t="s">
        <v>5174</v>
      </c>
      <c r="C2086" t="s">
        <v>5175</v>
      </c>
      <c r="D2086" t="s">
        <v>13121</v>
      </c>
      <c r="E2086" t="s">
        <v>13122</v>
      </c>
      <c r="F2086" t="s">
        <v>13123</v>
      </c>
      <c r="G2086" t="s">
        <v>5904</v>
      </c>
      <c r="H2086">
        <v>250</v>
      </c>
      <c r="I2086">
        <v>250</v>
      </c>
      <c r="J2086">
        <v>250</v>
      </c>
      <c r="K2086">
        <v>212</v>
      </c>
      <c r="L2086">
        <v>222</v>
      </c>
      <c r="M2086">
        <v>84.8</v>
      </c>
      <c r="N2086">
        <v>88.8</v>
      </c>
      <c r="O2086">
        <v>343.2</v>
      </c>
    </row>
    <row r="2087" spans="1:15">
      <c r="A2087">
        <v>1155</v>
      </c>
      <c r="B2087" t="s">
        <v>5176</v>
      </c>
      <c r="C2087" t="s">
        <v>5177</v>
      </c>
      <c r="D2087" t="s">
        <v>13124</v>
      </c>
      <c r="E2087" t="s">
        <v>13125</v>
      </c>
      <c r="F2087" t="s">
        <v>13126</v>
      </c>
      <c r="G2087" t="s">
        <v>5904</v>
      </c>
      <c r="H2087">
        <v>267</v>
      </c>
      <c r="I2087">
        <v>238</v>
      </c>
      <c r="J2087">
        <v>226</v>
      </c>
      <c r="K2087">
        <v>171</v>
      </c>
      <c r="L2087">
        <v>194</v>
      </c>
      <c r="M2087">
        <v>64</v>
      </c>
      <c r="N2087">
        <v>72.7</v>
      </c>
      <c r="O2087">
        <v>358.6</v>
      </c>
    </row>
    <row r="2088" spans="1:15">
      <c r="A2088">
        <v>1154</v>
      </c>
      <c r="B2088" t="s">
        <v>5178</v>
      </c>
      <c r="C2088" t="s">
        <v>5179</v>
      </c>
      <c r="D2088" t="s">
        <v>13127</v>
      </c>
      <c r="E2088" t="s">
        <v>13128</v>
      </c>
      <c r="F2088" t="s">
        <v>13129</v>
      </c>
      <c r="G2088" t="s">
        <v>5904</v>
      </c>
      <c r="H2088">
        <v>362</v>
      </c>
      <c r="I2088">
        <v>361</v>
      </c>
      <c r="J2088">
        <v>362</v>
      </c>
      <c r="K2088">
        <v>313</v>
      </c>
      <c r="L2088">
        <v>333</v>
      </c>
      <c r="M2088">
        <v>86.5</v>
      </c>
      <c r="N2088">
        <v>92</v>
      </c>
      <c r="O2088">
        <v>618.6</v>
      </c>
    </row>
    <row r="2089" spans="1:15">
      <c r="A2089">
        <v>1153</v>
      </c>
      <c r="B2089" t="s">
        <v>13130</v>
      </c>
      <c r="C2089" t="s">
        <v>5182</v>
      </c>
      <c r="D2089" t="s">
        <v>13131</v>
      </c>
      <c r="E2089" t="s">
        <v>13132</v>
      </c>
      <c r="F2089" t="s">
        <v>13133</v>
      </c>
      <c r="G2089" t="s">
        <v>5904</v>
      </c>
      <c r="H2089">
        <v>238</v>
      </c>
      <c r="I2089">
        <v>238</v>
      </c>
      <c r="J2089">
        <v>238</v>
      </c>
      <c r="K2089">
        <v>234</v>
      </c>
      <c r="L2089">
        <v>237</v>
      </c>
      <c r="M2089">
        <v>98.3</v>
      </c>
      <c r="N2089">
        <v>99.6</v>
      </c>
      <c r="O2089">
        <v>435.3</v>
      </c>
    </row>
    <row r="2090" spans="1:15">
      <c r="A2090">
        <v>1152</v>
      </c>
      <c r="B2090" t="s">
        <v>5183</v>
      </c>
      <c r="C2090" t="s">
        <v>5184</v>
      </c>
      <c r="D2090" t="s">
        <v>13134</v>
      </c>
      <c r="E2090" t="s">
        <v>13135</v>
      </c>
      <c r="F2090" t="s">
        <v>13136</v>
      </c>
      <c r="G2090" t="s">
        <v>5904</v>
      </c>
      <c r="H2090">
        <v>344</v>
      </c>
      <c r="I2090">
        <v>344</v>
      </c>
      <c r="J2090">
        <v>346</v>
      </c>
      <c r="K2090">
        <v>337</v>
      </c>
      <c r="L2090">
        <v>339</v>
      </c>
      <c r="M2090">
        <v>98</v>
      </c>
      <c r="N2090">
        <v>98.5</v>
      </c>
      <c r="O2090">
        <v>622.9</v>
      </c>
    </row>
    <row r="2091" spans="1:15">
      <c r="A2091">
        <v>1151</v>
      </c>
      <c r="B2091" t="s">
        <v>5185</v>
      </c>
      <c r="C2091" t="s">
        <v>5186</v>
      </c>
      <c r="D2091" t="s">
        <v>13137</v>
      </c>
      <c r="E2091" t="s">
        <v>13138</v>
      </c>
      <c r="F2091" t="s">
        <v>13139</v>
      </c>
      <c r="G2091" t="s">
        <v>5904</v>
      </c>
      <c r="H2091">
        <v>1725</v>
      </c>
      <c r="I2091">
        <v>1709</v>
      </c>
      <c r="J2091">
        <v>1697</v>
      </c>
      <c r="K2091">
        <v>1309</v>
      </c>
      <c r="L2091">
        <v>1418</v>
      </c>
      <c r="M2091">
        <v>75.900000000000006</v>
      </c>
      <c r="N2091">
        <v>82.2</v>
      </c>
      <c r="O2091">
        <v>2524.1999999999998</v>
      </c>
    </row>
    <row r="2092" spans="1:15">
      <c r="A2092">
        <v>1150</v>
      </c>
      <c r="B2092" t="s">
        <v>5187</v>
      </c>
      <c r="C2092" t="s">
        <v>5189</v>
      </c>
      <c r="D2092" t="s">
        <v>13140</v>
      </c>
      <c r="E2092" t="s">
        <v>13141</v>
      </c>
      <c r="F2092" t="s">
        <v>13142</v>
      </c>
      <c r="G2092" t="s">
        <v>5904</v>
      </c>
      <c r="H2092">
        <v>158</v>
      </c>
      <c r="I2092">
        <v>158</v>
      </c>
      <c r="J2092">
        <v>157</v>
      </c>
      <c r="K2092">
        <v>140</v>
      </c>
      <c r="L2092">
        <v>150</v>
      </c>
      <c r="M2092">
        <v>88.6</v>
      </c>
      <c r="N2092">
        <v>94.9</v>
      </c>
      <c r="O2092">
        <v>306.2</v>
      </c>
    </row>
    <row r="2093" spans="1:15">
      <c r="A2093">
        <v>1149</v>
      </c>
      <c r="B2093" t="s">
        <v>5190</v>
      </c>
      <c r="C2093" t="s">
        <v>5191</v>
      </c>
      <c r="D2093" t="s">
        <v>13140</v>
      </c>
      <c r="E2093" t="s">
        <v>13141</v>
      </c>
      <c r="F2093" t="s">
        <v>13143</v>
      </c>
      <c r="G2093" t="s">
        <v>5904</v>
      </c>
      <c r="H2093">
        <v>158</v>
      </c>
      <c r="I2093">
        <v>158</v>
      </c>
      <c r="J2093">
        <v>157</v>
      </c>
      <c r="K2093">
        <v>126</v>
      </c>
      <c r="L2093">
        <v>137</v>
      </c>
      <c r="M2093">
        <v>79.7</v>
      </c>
      <c r="N2093">
        <v>86.7</v>
      </c>
      <c r="O2093">
        <v>270</v>
      </c>
    </row>
    <row r="2094" spans="1:15">
      <c r="A2094">
        <v>1148</v>
      </c>
      <c r="B2094" t="s">
        <v>5192</v>
      </c>
      <c r="C2094" t="s">
        <v>5193</v>
      </c>
      <c r="D2094" t="s">
        <v>13144</v>
      </c>
      <c r="E2094" t="s">
        <v>13145</v>
      </c>
      <c r="F2094" t="s">
        <v>13146</v>
      </c>
      <c r="G2094" t="s">
        <v>5904</v>
      </c>
      <c r="H2094">
        <v>188</v>
      </c>
      <c r="I2094">
        <v>188</v>
      </c>
      <c r="J2094">
        <v>188</v>
      </c>
      <c r="K2094">
        <v>186</v>
      </c>
      <c r="L2094">
        <v>186</v>
      </c>
      <c r="M2094">
        <v>98.9</v>
      </c>
      <c r="N2094">
        <v>98.9</v>
      </c>
      <c r="O2094">
        <v>386.7</v>
      </c>
    </row>
    <row r="2095" spans="1:15">
      <c r="A2095">
        <v>1147</v>
      </c>
      <c r="B2095" t="s">
        <v>13147</v>
      </c>
      <c r="C2095" t="s">
        <v>5196</v>
      </c>
      <c r="D2095" t="s">
        <v>13148</v>
      </c>
      <c r="E2095" t="s">
        <v>13149</v>
      </c>
      <c r="F2095" t="s">
        <v>13150</v>
      </c>
      <c r="G2095" t="s">
        <v>5904</v>
      </c>
      <c r="H2095">
        <v>508</v>
      </c>
      <c r="I2095">
        <v>508</v>
      </c>
      <c r="J2095">
        <v>508</v>
      </c>
      <c r="K2095">
        <v>502</v>
      </c>
      <c r="L2095">
        <v>503</v>
      </c>
      <c r="M2095">
        <v>98.8</v>
      </c>
      <c r="N2095">
        <v>99</v>
      </c>
      <c r="O2095">
        <v>1030.4000000000001</v>
      </c>
    </row>
    <row r="2096" spans="1:15">
      <c r="A2096">
        <v>1146</v>
      </c>
      <c r="B2096" t="s">
        <v>5197</v>
      </c>
      <c r="C2096" t="s">
        <v>5198</v>
      </c>
      <c r="D2096" t="s">
        <v>13151</v>
      </c>
      <c r="E2096" t="s">
        <v>13152</v>
      </c>
      <c r="F2096" t="s">
        <v>13153</v>
      </c>
      <c r="G2096" t="s">
        <v>5904</v>
      </c>
      <c r="H2096">
        <v>334</v>
      </c>
      <c r="I2096">
        <v>334</v>
      </c>
      <c r="J2096">
        <v>334</v>
      </c>
      <c r="K2096">
        <v>316</v>
      </c>
      <c r="L2096">
        <v>328</v>
      </c>
      <c r="M2096">
        <v>94.6</v>
      </c>
      <c r="N2096">
        <v>98.2</v>
      </c>
      <c r="O2096">
        <v>657.5</v>
      </c>
    </row>
    <row r="2097" spans="1:15">
      <c r="A2097">
        <v>1145</v>
      </c>
      <c r="B2097" t="s">
        <v>13154</v>
      </c>
      <c r="C2097" t="s">
        <v>5201</v>
      </c>
      <c r="D2097" t="s">
        <v>13155</v>
      </c>
      <c r="E2097" t="s">
        <v>13156</v>
      </c>
      <c r="F2097" t="s">
        <v>13157</v>
      </c>
      <c r="G2097" t="s">
        <v>5904</v>
      </c>
      <c r="H2097">
        <v>326</v>
      </c>
      <c r="I2097">
        <v>556</v>
      </c>
      <c r="J2097">
        <v>323</v>
      </c>
      <c r="K2097">
        <v>229</v>
      </c>
      <c r="L2097">
        <v>273</v>
      </c>
      <c r="M2097">
        <v>70.2</v>
      </c>
      <c r="N2097">
        <v>83.7</v>
      </c>
      <c r="O2097">
        <v>504.2</v>
      </c>
    </row>
    <row r="2098" spans="1:15">
      <c r="A2098">
        <v>1144</v>
      </c>
      <c r="B2098" t="s">
        <v>5202</v>
      </c>
      <c r="C2098" t="s">
        <v>5203</v>
      </c>
      <c r="D2098" t="s">
        <v>13158</v>
      </c>
      <c r="E2098" t="s">
        <v>13159</v>
      </c>
      <c r="F2098" t="s">
        <v>13160</v>
      </c>
      <c r="G2098" t="s">
        <v>5904</v>
      </c>
      <c r="H2098">
        <v>124</v>
      </c>
      <c r="I2098">
        <v>124</v>
      </c>
      <c r="J2098">
        <v>124</v>
      </c>
      <c r="K2098">
        <v>94</v>
      </c>
      <c r="L2098">
        <v>104</v>
      </c>
      <c r="M2098">
        <v>75.8</v>
      </c>
      <c r="N2098">
        <v>83.9</v>
      </c>
      <c r="O2098">
        <v>171</v>
      </c>
    </row>
    <row r="2099" spans="1:15">
      <c r="A2099">
        <v>1143</v>
      </c>
      <c r="B2099" t="s">
        <v>13161</v>
      </c>
      <c r="C2099" t="s">
        <v>5206</v>
      </c>
      <c r="D2099" t="s">
        <v>13162</v>
      </c>
      <c r="E2099" t="s">
        <v>13163</v>
      </c>
      <c r="F2099" t="s">
        <v>13164</v>
      </c>
      <c r="G2099" t="s">
        <v>5904</v>
      </c>
      <c r="H2099">
        <v>875</v>
      </c>
      <c r="I2099">
        <v>843</v>
      </c>
      <c r="J2099">
        <v>771</v>
      </c>
      <c r="K2099">
        <v>744</v>
      </c>
      <c r="L2099">
        <v>761</v>
      </c>
      <c r="M2099">
        <v>85</v>
      </c>
      <c r="N2099">
        <v>87</v>
      </c>
      <c r="O2099">
        <v>1560</v>
      </c>
    </row>
    <row r="2100" spans="1:15">
      <c r="A2100">
        <v>1142</v>
      </c>
      <c r="B2100" t="s">
        <v>5207</v>
      </c>
      <c r="C2100" t="s">
        <v>13165</v>
      </c>
      <c r="D2100" t="s">
        <v>13166</v>
      </c>
      <c r="E2100" t="s">
        <v>13167</v>
      </c>
      <c r="F2100" t="s">
        <v>13168</v>
      </c>
      <c r="G2100" t="s">
        <v>5904</v>
      </c>
      <c r="H2100">
        <v>103</v>
      </c>
      <c r="I2100">
        <v>105</v>
      </c>
      <c r="J2100">
        <v>103</v>
      </c>
      <c r="K2100">
        <v>84</v>
      </c>
      <c r="L2100">
        <v>94</v>
      </c>
      <c r="M2100">
        <v>81.599999999999994</v>
      </c>
      <c r="N2100">
        <v>91.3</v>
      </c>
      <c r="O2100">
        <v>178.3</v>
      </c>
    </row>
    <row r="2101" spans="1:15">
      <c r="A2101">
        <v>1141</v>
      </c>
      <c r="B2101" t="s">
        <v>5209</v>
      </c>
      <c r="C2101" t="s">
        <v>5210</v>
      </c>
      <c r="D2101" t="s">
        <v>13169</v>
      </c>
      <c r="E2101" t="s">
        <v>13170</v>
      </c>
      <c r="F2101" t="s">
        <v>13171</v>
      </c>
      <c r="G2101" t="s">
        <v>5904</v>
      </c>
      <c r="H2101">
        <v>597</v>
      </c>
      <c r="I2101">
        <v>596</v>
      </c>
      <c r="J2101">
        <v>597</v>
      </c>
      <c r="K2101">
        <v>533</v>
      </c>
      <c r="L2101">
        <v>551</v>
      </c>
      <c r="M2101">
        <v>89.3</v>
      </c>
      <c r="N2101">
        <v>92.3</v>
      </c>
      <c r="O2101">
        <v>1030</v>
      </c>
    </row>
    <row r="2102" spans="1:15">
      <c r="A2102">
        <v>1140</v>
      </c>
      <c r="B2102" t="s">
        <v>5211</v>
      </c>
      <c r="C2102" t="s">
        <v>5213</v>
      </c>
      <c r="D2102" t="s">
        <v>13172</v>
      </c>
      <c r="E2102" t="s">
        <v>13173</v>
      </c>
      <c r="F2102" t="s">
        <v>13174</v>
      </c>
      <c r="G2102" t="s">
        <v>5904</v>
      </c>
      <c r="H2102">
        <v>168</v>
      </c>
      <c r="I2102">
        <v>164</v>
      </c>
      <c r="J2102">
        <v>168</v>
      </c>
      <c r="K2102">
        <v>146</v>
      </c>
      <c r="L2102">
        <v>151</v>
      </c>
      <c r="M2102">
        <v>86.9</v>
      </c>
      <c r="N2102">
        <v>89.9</v>
      </c>
      <c r="O2102">
        <v>280.39999999999998</v>
      </c>
    </row>
    <row r="2103" spans="1:15">
      <c r="A2103">
        <v>1139</v>
      </c>
      <c r="B2103" t="s">
        <v>13175</v>
      </c>
      <c r="C2103" t="s">
        <v>5216</v>
      </c>
      <c r="D2103" t="s">
        <v>13176</v>
      </c>
      <c r="E2103" t="s">
        <v>13177</v>
      </c>
      <c r="F2103" t="s">
        <v>13178</v>
      </c>
      <c r="G2103" t="s">
        <v>5904</v>
      </c>
      <c r="H2103">
        <v>1036</v>
      </c>
      <c r="I2103">
        <v>1036</v>
      </c>
      <c r="J2103">
        <v>1037</v>
      </c>
      <c r="K2103">
        <v>943</v>
      </c>
      <c r="L2103">
        <v>984</v>
      </c>
      <c r="M2103">
        <v>91</v>
      </c>
      <c r="N2103">
        <v>95</v>
      </c>
      <c r="O2103">
        <v>1872.8</v>
      </c>
    </row>
    <row r="2104" spans="1:15">
      <c r="A2104">
        <v>2140</v>
      </c>
      <c r="B2104" t="s">
        <v>13179</v>
      </c>
      <c r="C2104" t="s">
        <v>5219</v>
      </c>
      <c r="D2104" t="s">
        <v>13180</v>
      </c>
      <c r="E2104" t="s">
        <v>13181</v>
      </c>
      <c r="F2104" t="s">
        <v>13182</v>
      </c>
      <c r="G2104" t="s">
        <v>5904</v>
      </c>
      <c r="H2104">
        <v>2055</v>
      </c>
      <c r="I2104">
        <v>2068</v>
      </c>
      <c r="J2104">
        <v>2059</v>
      </c>
      <c r="K2104">
        <v>1727</v>
      </c>
      <c r="L2104">
        <v>1817</v>
      </c>
      <c r="M2104">
        <v>84</v>
      </c>
      <c r="N2104">
        <v>88.4</v>
      </c>
      <c r="O2104">
        <v>3350.1</v>
      </c>
    </row>
    <row r="2105" spans="1:15">
      <c r="A2105">
        <v>1138</v>
      </c>
      <c r="B2105" t="s">
        <v>5220</v>
      </c>
      <c r="C2105" t="s">
        <v>5221</v>
      </c>
      <c r="D2105" t="s">
        <v>13183</v>
      </c>
      <c r="E2105" t="s">
        <v>13184</v>
      </c>
      <c r="F2105" t="s">
        <v>13185</v>
      </c>
      <c r="G2105" t="s">
        <v>5904</v>
      </c>
      <c r="H2105">
        <v>122</v>
      </c>
      <c r="I2105">
        <v>224</v>
      </c>
      <c r="J2105">
        <v>122</v>
      </c>
      <c r="K2105">
        <v>88</v>
      </c>
      <c r="L2105">
        <v>98</v>
      </c>
      <c r="M2105">
        <v>72.099999999999994</v>
      </c>
      <c r="N2105">
        <v>80.3</v>
      </c>
      <c r="O2105">
        <v>160.19999999999999</v>
      </c>
    </row>
    <row r="2106" spans="1:15">
      <c r="A2106">
        <v>1137</v>
      </c>
      <c r="B2106" t="s">
        <v>13186</v>
      </c>
      <c r="C2106" t="s">
        <v>5224</v>
      </c>
      <c r="D2106" t="s">
        <v>13187</v>
      </c>
      <c r="E2106" t="s">
        <v>13188</v>
      </c>
      <c r="F2106" t="s">
        <v>13189</v>
      </c>
      <c r="G2106" t="s">
        <v>5904</v>
      </c>
      <c r="H2106">
        <v>524</v>
      </c>
      <c r="I2106">
        <v>487</v>
      </c>
      <c r="J2106">
        <v>484</v>
      </c>
      <c r="K2106">
        <v>336</v>
      </c>
      <c r="L2106">
        <v>400</v>
      </c>
      <c r="M2106">
        <v>64.099999999999994</v>
      </c>
      <c r="N2106">
        <v>76.3</v>
      </c>
      <c r="O2106">
        <v>689.1</v>
      </c>
    </row>
    <row r="2107" spans="1:15">
      <c r="A2107">
        <v>1136</v>
      </c>
      <c r="B2107" t="s">
        <v>5225</v>
      </c>
      <c r="C2107" t="s">
        <v>5226</v>
      </c>
      <c r="D2107" t="s">
        <v>13190</v>
      </c>
      <c r="E2107" t="s">
        <v>13191</v>
      </c>
      <c r="F2107" t="s">
        <v>13192</v>
      </c>
      <c r="G2107" t="s">
        <v>5904</v>
      </c>
      <c r="H2107">
        <v>481</v>
      </c>
      <c r="I2107">
        <v>481</v>
      </c>
      <c r="J2107">
        <v>480</v>
      </c>
      <c r="K2107">
        <v>381</v>
      </c>
      <c r="L2107">
        <v>428</v>
      </c>
      <c r="M2107">
        <v>79.2</v>
      </c>
      <c r="N2107">
        <v>89</v>
      </c>
      <c r="O2107">
        <v>761.1</v>
      </c>
    </row>
    <row r="2108" spans="1:15">
      <c r="A2108">
        <v>2139</v>
      </c>
      <c r="B2108" t="s">
        <v>5227</v>
      </c>
      <c r="C2108" t="s">
        <v>5228</v>
      </c>
      <c r="D2108" t="s">
        <v>13193</v>
      </c>
      <c r="E2108" t="s">
        <v>13194</v>
      </c>
      <c r="F2108" t="s">
        <v>13195</v>
      </c>
      <c r="G2108" t="s">
        <v>5904</v>
      </c>
      <c r="H2108">
        <v>169</v>
      </c>
      <c r="I2108">
        <v>165</v>
      </c>
      <c r="J2108">
        <v>168</v>
      </c>
      <c r="K2108">
        <v>108</v>
      </c>
      <c r="L2108">
        <v>126</v>
      </c>
      <c r="M2108">
        <v>63.9</v>
      </c>
      <c r="N2108">
        <v>74.599999999999994</v>
      </c>
      <c r="O2108">
        <v>196.8</v>
      </c>
    </row>
    <row r="2109" spans="1:15">
      <c r="A2109">
        <v>1135</v>
      </c>
      <c r="B2109" t="s">
        <v>13196</v>
      </c>
      <c r="C2109" t="s">
        <v>5231</v>
      </c>
      <c r="D2109" t="s">
        <v>13197</v>
      </c>
      <c r="E2109" t="s">
        <v>13198</v>
      </c>
      <c r="F2109" t="s">
        <v>13199</v>
      </c>
      <c r="G2109" t="s">
        <v>5904</v>
      </c>
      <c r="H2109">
        <v>767</v>
      </c>
      <c r="I2109">
        <v>707</v>
      </c>
      <c r="J2109">
        <v>734</v>
      </c>
      <c r="K2109">
        <v>635</v>
      </c>
      <c r="L2109">
        <v>645</v>
      </c>
      <c r="M2109">
        <v>82.8</v>
      </c>
      <c r="N2109">
        <v>84.1</v>
      </c>
      <c r="O2109">
        <v>1108.5999999999999</v>
      </c>
    </row>
    <row r="2110" spans="1:15">
      <c r="A2110">
        <v>1134</v>
      </c>
      <c r="B2110" t="s">
        <v>5232</v>
      </c>
      <c r="C2110" t="s">
        <v>5233</v>
      </c>
      <c r="D2110" t="s">
        <v>13200</v>
      </c>
      <c r="E2110" t="s">
        <v>13201</v>
      </c>
      <c r="F2110" t="s">
        <v>13202</v>
      </c>
      <c r="G2110" t="s">
        <v>5904</v>
      </c>
      <c r="H2110">
        <v>125</v>
      </c>
      <c r="I2110">
        <v>125</v>
      </c>
      <c r="J2110">
        <v>125</v>
      </c>
      <c r="K2110">
        <v>109</v>
      </c>
      <c r="L2110">
        <v>115</v>
      </c>
      <c r="M2110">
        <v>87.2</v>
      </c>
      <c r="N2110">
        <v>92</v>
      </c>
      <c r="O2110">
        <v>191.4</v>
      </c>
    </row>
    <row r="2111" spans="1:15">
      <c r="A2111">
        <v>2138</v>
      </c>
      <c r="B2111" t="s">
        <v>13203</v>
      </c>
      <c r="C2111" t="s">
        <v>5236</v>
      </c>
      <c r="D2111" t="s">
        <v>13204</v>
      </c>
      <c r="E2111" t="s">
        <v>13205</v>
      </c>
      <c r="F2111" t="s">
        <v>13206</v>
      </c>
      <c r="G2111" t="s">
        <v>5904</v>
      </c>
      <c r="H2111">
        <v>2923</v>
      </c>
      <c r="I2111">
        <v>2923</v>
      </c>
      <c r="J2111">
        <v>2927</v>
      </c>
      <c r="K2111">
        <v>2820</v>
      </c>
      <c r="L2111">
        <v>2858</v>
      </c>
      <c r="M2111">
        <v>96.5</v>
      </c>
      <c r="N2111">
        <v>97.8</v>
      </c>
      <c r="O2111">
        <v>5787.2</v>
      </c>
    </row>
    <row r="2112" spans="1:15">
      <c r="A2112">
        <v>1133</v>
      </c>
      <c r="B2112" t="s">
        <v>5237</v>
      </c>
      <c r="C2112" t="s">
        <v>5238</v>
      </c>
      <c r="D2112" t="s">
        <v>13207</v>
      </c>
      <c r="E2112" t="s">
        <v>13208</v>
      </c>
      <c r="F2112" t="s">
        <v>13209</v>
      </c>
      <c r="G2112" t="s">
        <v>5904</v>
      </c>
      <c r="H2112">
        <v>155</v>
      </c>
      <c r="I2112">
        <v>155</v>
      </c>
      <c r="J2112">
        <v>155</v>
      </c>
      <c r="K2112">
        <v>139</v>
      </c>
      <c r="L2112">
        <v>144</v>
      </c>
      <c r="M2112">
        <v>89.7</v>
      </c>
      <c r="N2112">
        <v>92.9</v>
      </c>
      <c r="O2112">
        <v>291.60000000000002</v>
      </c>
    </row>
    <row r="2113" spans="1:15">
      <c r="A2113">
        <v>1132</v>
      </c>
      <c r="B2113" t="s">
        <v>13210</v>
      </c>
      <c r="C2113" t="s">
        <v>5241</v>
      </c>
      <c r="D2113" t="s">
        <v>13211</v>
      </c>
      <c r="E2113" t="s">
        <v>13212</v>
      </c>
      <c r="F2113" t="s">
        <v>13213</v>
      </c>
      <c r="G2113" t="s">
        <v>5904</v>
      </c>
      <c r="H2113">
        <v>499</v>
      </c>
      <c r="I2113">
        <v>483</v>
      </c>
      <c r="J2113">
        <v>483</v>
      </c>
      <c r="K2113">
        <v>466</v>
      </c>
      <c r="L2113">
        <v>476</v>
      </c>
      <c r="M2113">
        <v>93.4</v>
      </c>
      <c r="N2113">
        <v>95.4</v>
      </c>
      <c r="O2113">
        <v>975.3</v>
      </c>
    </row>
    <row r="2114" spans="1:15">
      <c r="A2114">
        <v>1131</v>
      </c>
      <c r="B2114" t="s">
        <v>5242</v>
      </c>
      <c r="C2114" t="s">
        <v>5243</v>
      </c>
      <c r="D2114" t="s">
        <v>13214</v>
      </c>
      <c r="E2114" t="s">
        <v>13215</v>
      </c>
      <c r="F2114" t="s">
        <v>13216</v>
      </c>
      <c r="G2114" t="s">
        <v>5904</v>
      </c>
      <c r="H2114">
        <v>535</v>
      </c>
      <c r="I2114">
        <v>535</v>
      </c>
      <c r="J2114">
        <v>535</v>
      </c>
      <c r="K2114">
        <v>526</v>
      </c>
      <c r="L2114">
        <v>533</v>
      </c>
      <c r="M2114">
        <v>98.3</v>
      </c>
      <c r="N2114">
        <v>99.6</v>
      </c>
      <c r="O2114">
        <v>1082</v>
      </c>
    </row>
    <row r="2115" spans="1:15">
      <c r="A2115">
        <v>1130</v>
      </c>
      <c r="B2115" t="s">
        <v>5244</v>
      </c>
      <c r="C2115" t="s">
        <v>5245</v>
      </c>
      <c r="D2115" t="s">
        <v>13217</v>
      </c>
      <c r="E2115" t="s">
        <v>13218</v>
      </c>
      <c r="F2115" t="s">
        <v>13219</v>
      </c>
      <c r="G2115" t="s">
        <v>5904</v>
      </c>
      <c r="H2115">
        <v>108</v>
      </c>
      <c r="I2115">
        <v>108</v>
      </c>
      <c r="J2115">
        <v>108</v>
      </c>
      <c r="K2115">
        <v>107</v>
      </c>
      <c r="L2115">
        <v>108</v>
      </c>
      <c r="M2115">
        <v>99.1</v>
      </c>
      <c r="N2115">
        <v>100</v>
      </c>
      <c r="O2115">
        <v>223.8</v>
      </c>
    </row>
    <row r="2116" spans="1:15">
      <c r="A2116">
        <v>1129</v>
      </c>
      <c r="B2116" t="s">
        <v>13220</v>
      </c>
      <c r="C2116" t="s">
        <v>5248</v>
      </c>
      <c r="D2116" t="s">
        <v>13221</v>
      </c>
      <c r="E2116" t="s">
        <v>13222</v>
      </c>
      <c r="F2116" t="s">
        <v>13223</v>
      </c>
      <c r="G2116" t="s">
        <v>5904</v>
      </c>
      <c r="H2116">
        <v>191</v>
      </c>
      <c r="I2116">
        <v>165</v>
      </c>
      <c r="J2116">
        <v>164</v>
      </c>
      <c r="K2116">
        <v>164</v>
      </c>
      <c r="L2116">
        <v>164</v>
      </c>
      <c r="M2116">
        <v>85.9</v>
      </c>
      <c r="N2116">
        <v>85.9</v>
      </c>
      <c r="O2116">
        <v>334.7</v>
      </c>
    </row>
    <row r="2117" spans="1:15">
      <c r="A2117">
        <v>1128</v>
      </c>
      <c r="B2117" t="s">
        <v>5249</v>
      </c>
      <c r="C2117" t="s">
        <v>5250</v>
      </c>
      <c r="D2117" t="s">
        <v>13224</v>
      </c>
      <c r="E2117" t="s">
        <v>13225</v>
      </c>
      <c r="F2117" t="s">
        <v>13226</v>
      </c>
      <c r="G2117" t="s">
        <v>5904</v>
      </c>
      <c r="H2117">
        <v>130</v>
      </c>
      <c r="I2117">
        <v>132</v>
      </c>
      <c r="J2117">
        <v>131</v>
      </c>
      <c r="K2117">
        <v>81</v>
      </c>
      <c r="L2117">
        <v>95</v>
      </c>
      <c r="M2117">
        <v>62.3</v>
      </c>
      <c r="N2117">
        <v>73.099999999999994</v>
      </c>
      <c r="O2117">
        <v>165.2</v>
      </c>
    </row>
    <row r="2118" spans="1:15">
      <c r="A2118">
        <v>1127</v>
      </c>
      <c r="B2118" t="s">
        <v>5251</v>
      </c>
      <c r="C2118" t="s">
        <v>5252</v>
      </c>
      <c r="D2118" t="s">
        <v>13227</v>
      </c>
      <c r="E2118" t="s">
        <v>13228</v>
      </c>
      <c r="F2118" t="s">
        <v>13229</v>
      </c>
      <c r="G2118" t="s">
        <v>5904</v>
      </c>
      <c r="H2118">
        <v>667</v>
      </c>
      <c r="I2118">
        <v>575</v>
      </c>
      <c r="J2118">
        <v>562</v>
      </c>
      <c r="K2118">
        <v>415</v>
      </c>
      <c r="L2118">
        <v>454</v>
      </c>
      <c r="M2118">
        <v>62.2</v>
      </c>
      <c r="N2118">
        <v>68.099999999999994</v>
      </c>
      <c r="O2118">
        <v>761.1</v>
      </c>
    </row>
    <row r="2119" spans="1:15">
      <c r="A2119">
        <v>1126</v>
      </c>
      <c r="B2119" t="s">
        <v>5253</v>
      </c>
      <c r="C2119" t="s">
        <v>13230</v>
      </c>
      <c r="D2119" t="s">
        <v>13231</v>
      </c>
      <c r="E2119" t="s">
        <v>13232</v>
      </c>
      <c r="F2119" t="s">
        <v>13233</v>
      </c>
      <c r="G2119" t="s">
        <v>5904</v>
      </c>
      <c r="H2119">
        <v>259</v>
      </c>
      <c r="I2119">
        <v>253</v>
      </c>
      <c r="J2119">
        <v>256</v>
      </c>
      <c r="K2119">
        <v>195</v>
      </c>
      <c r="L2119">
        <v>216</v>
      </c>
      <c r="M2119">
        <v>75.3</v>
      </c>
      <c r="N2119">
        <v>83.4</v>
      </c>
      <c r="O2119">
        <v>336.6</v>
      </c>
    </row>
    <row r="2120" spans="1:15">
      <c r="A2120">
        <v>2137</v>
      </c>
      <c r="B2120" t="s">
        <v>5255</v>
      </c>
      <c r="C2120" t="s">
        <v>5256</v>
      </c>
      <c r="D2120" t="s">
        <v>13234</v>
      </c>
      <c r="E2120" t="s">
        <v>13235</v>
      </c>
      <c r="F2120" t="s">
        <v>13236</v>
      </c>
      <c r="G2120" t="s">
        <v>5904</v>
      </c>
      <c r="H2120">
        <v>547</v>
      </c>
      <c r="I2120">
        <v>547</v>
      </c>
      <c r="J2120">
        <v>546</v>
      </c>
      <c r="K2120">
        <v>487</v>
      </c>
      <c r="L2120">
        <v>515</v>
      </c>
      <c r="M2120">
        <v>89</v>
      </c>
      <c r="N2120">
        <v>94.1</v>
      </c>
      <c r="O2120">
        <v>975.7</v>
      </c>
    </row>
    <row r="2121" spans="1:15">
      <c r="A2121">
        <v>1125</v>
      </c>
      <c r="B2121" t="s">
        <v>5257</v>
      </c>
      <c r="C2121" t="s">
        <v>5258</v>
      </c>
      <c r="D2121" t="s">
        <v>13237</v>
      </c>
      <c r="E2121" t="s">
        <v>13238</v>
      </c>
      <c r="F2121" t="s">
        <v>13239</v>
      </c>
      <c r="G2121" t="s">
        <v>5904</v>
      </c>
      <c r="H2121">
        <v>205</v>
      </c>
      <c r="I2121">
        <v>205</v>
      </c>
      <c r="J2121">
        <v>205</v>
      </c>
      <c r="K2121">
        <v>205</v>
      </c>
      <c r="L2121">
        <v>205</v>
      </c>
      <c r="M2121">
        <v>100</v>
      </c>
      <c r="N2121">
        <v>100</v>
      </c>
      <c r="O2121">
        <v>425.6</v>
      </c>
    </row>
    <row r="2122" spans="1:15">
      <c r="A2122">
        <v>1124</v>
      </c>
      <c r="B2122" t="s">
        <v>5259</v>
      </c>
      <c r="C2122" t="s">
        <v>5260</v>
      </c>
      <c r="D2122" t="s">
        <v>13240</v>
      </c>
      <c r="E2122" t="s">
        <v>13241</v>
      </c>
      <c r="F2122" t="s">
        <v>13242</v>
      </c>
      <c r="G2122" t="s">
        <v>5904</v>
      </c>
      <c r="H2122">
        <v>127</v>
      </c>
      <c r="I2122">
        <v>99</v>
      </c>
      <c r="J2122">
        <v>99</v>
      </c>
      <c r="K2122">
        <v>90</v>
      </c>
      <c r="L2122">
        <v>93</v>
      </c>
      <c r="M2122">
        <v>70.900000000000006</v>
      </c>
      <c r="N2122">
        <v>73.2</v>
      </c>
      <c r="O2122">
        <v>188.3</v>
      </c>
    </row>
    <row r="2123" spans="1:15">
      <c r="A2123">
        <v>1123</v>
      </c>
      <c r="B2123" t="s">
        <v>13243</v>
      </c>
      <c r="C2123" t="s">
        <v>5796</v>
      </c>
      <c r="D2123" t="s">
        <v>13244</v>
      </c>
      <c r="E2123" t="s">
        <v>13245</v>
      </c>
      <c r="F2123" t="s">
        <v>13246</v>
      </c>
      <c r="G2123" t="s">
        <v>5904</v>
      </c>
      <c r="H2123">
        <v>175</v>
      </c>
      <c r="I2123">
        <v>175</v>
      </c>
      <c r="J2123">
        <v>175</v>
      </c>
      <c r="K2123">
        <v>130</v>
      </c>
      <c r="L2123">
        <v>154</v>
      </c>
      <c r="M2123">
        <v>74.3</v>
      </c>
      <c r="N2123">
        <v>88</v>
      </c>
      <c r="O2123">
        <v>287.3</v>
      </c>
    </row>
    <row r="2124" spans="1:15">
      <c r="A2124">
        <v>1122</v>
      </c>
      <c r="B2124" t="s">
        <v>13247</v>
      </c>
      <c r="C2124" t="s">
        <v>5263</v>
      </c>
      <c r="D2124" t="s">
        <v>13248</v>
      </c>
      <c r="E2124" t="s">
        <v>13249</v>
      </c>
      <c r="F2124" t="s">
        <v>13250</v>
      </c>
      <c r="G2124" t="s">
        <v>5904</v>
      </c>
      <c r="H2124">
        <v>277</v>
      </c>
      <c r="I2124">
        <v>277</v>
      </c>
      <c r="J2124">
        <v>281</v>
      </c>
      <c r="K2124">
        <v>204</v>
      </c>
      <c r="L2124">
        <v>222</v>
      </c>
      <c r="M2124">
        <v>73.599999999999994</v>
      </c>
      <c r="N2124">
        <v>80.099999999999994</v>
      </c>
      <c r="O2124">
        <v>389.4</v>
      </c>
    </row>
    <row r="2125" spans="1:15">
      <c r="A2125">
        <v>2136</v>
      </c>
      <c r="B2125" t="s">
        <v>5264</v>
      </c>
      <c r="C2125" t="s">
        <v>5265</v>
      </c>
      <c r="D2125" t="s">
        <v>13251</v>
      </c>
      <c r="E2125" t="s">
        <v>13252</v>
      </c>
      <c r="F2125" t="s">
        <v>13253</v>
      </c>
      <c r="G2125" t="s">
        <v>5904</v>
      </c>
      <c r="H2125">
        <v>543</v>
      </c>
      <c r="I2125">
        <v>540</v>
      </c>
      <c r="J2125">
        <v>544</v>
      </c>
      <c r="K2125">
        <v>420</v>
      </c>
      <c r="L2125">
        <v>457</v>
      </c>
      <c r="M2125">
        <v>77.3</v>
      </c>
      <c r="N2125">
        <v>84.2</v>
      </c>
      <c r="O2125">
        <v>859.4</v>
      </c>
    </row>
    <row r="2126" spans="1:15">
      <c r="A2126">
        <v>1121</v>
      </c>
      <c r="B2126" t="s">
        <v>5266</v>
      </c>
      <c r="C2126" t="s">
        <v>5267</v>
      </c>
      <c r="D2126" t="s">
        <v>13254</v>
      </c>
      <c r="E2126" t="s">
        <v>13255</v>
      </c>
      <c r="F2126" t="s">
        <v>13256</v>
      </c>
      <c r="G2126" t="s">
        <v>5904</v>
      </c>
      <c r="H2126">
        <v>286</v>
      </c>
      <c r="I2126">
        <v>286</v>
      </c>
      <c r="J2126">
        <v>286</v>
      </c>
      <c r="K2126">
        <v>238</v>
      </c>
      <c r="L2126">
        <v>263</v>
      </c>
      <c r="M2126">
        <v>83.2</v>
      </c>
      <c r="N2126">
        <v>92</v>
      </c>
      <c r="O2126">
        <v>502.3</v>
      </c>
    </row>
    <row r="2127" spans="1:15">
      <c r="A2127">
        <v>1120</v>
      </c>
      <c r="B2127" t="s">
        <v>5268</v>
      </c>
      <c r="C2127" t="s">
        <v>5269</v>
      </c>
      <c r="D2127" t="s">
        <v>13257</v>
      </c>
      <c r="E2127" t="s">
        <v>13258</v>
      </c>
      <c r="F2127" t="s">
        <v>13259</v>
      </c>
      <c r="G2127" t="s">
        <v>5904</v>
      </c>
      <c r="H2127">
        <v>245</v>
      </c>
      <c r="I2127">
        <v>245</v>
      </c>
      <c r="J2127">
        <v>245</v>
      </c>
      <c r="K2127">
        <v>241</v>
      </c>
      <c r="L2127">
        <v>243</v>
      </c>
      <c r="M2127">
        <v>98.4</v>
      </c>
      <c r="N2127">
        <v>99.2</v>
      </c>
      <c r="O2127">
        <v>494.2</v>
      </c>
    </row>
    <row r="2128" spans="1:15">
      <c r="A2128">
        <v>1119</v>
      </c>
      <c r="B2128" t="s">
        <v>5270</v>
      </c>
      <c r="C2128" t="s">
        <v>5271</v>
      </c>
      <c r="D2128" t="s">
        <v>13260</v>
      </c>
      <c r="E2128" t="s">
        <v>13261</v>
      </c>
      <c r="F2128" t="s">
        <v>13262</v>
      </c>
      <c r="G2128" t="s">
        <v>5904</v>
      </c>
      <c r="H2128">
        <v>543</v>
      </c>
      <c r="I2128">
        <v>543</v>
      </c>
      <c r="J2128">
        <v>543</v>
      </c>
      <c r="K2128">
        <v>531</v>
      </c>
      <c r="L2128">
        <v>537</v>
      </c>
      <c r="M2128">
        <v>97.8</v>
      </c>
      <c r="N2128">
        <v>98.9</v>
      </c>
      <c r="O2128">
        <v>1096.3</v>
      </c>
    </row>
    <row r="2129" spans="1:15">
      <c r="A2129">
        <v>1118</v>
      </c>
      <c r="B2129" t="s">
        <v>13263</v>
      </c>
      <c r="C2129" t="s">
        <v>13264</v>
      </c>
      <c r="D2129" t="s">
        <v>13265</v>
      </c>
      <c r="E2129" t="s">
        <v>13266</v>
      </c>
      <c r="F2129" t="s">
        <v>13267</v>
      </c>
      <c r="G2129" t="s">
        <v>5904</v>
      </c>
      <c r="H2129">
        <v>1458</v>
      </c>
      <c r="I2129">
        <v>1458</v>
      </c>
      <c r="J2129">
        <v>1462</v>
      </c>
      <c r="K2129">
        <v>1132</v>
      </c>
      <c r="L2129">
        <v>1264</v>
      </c>
      <c r="M2129">
        <v>77.599999999999994</v>
      </c>
      <c r="N2129">
        <v>86.7</v>
      </c>
      <c r="O2129">
        <v>2315.4</v>
      </c>
    </row>
    <row r="2130" spans="1:15">
      <c r="A2130">
        <v>1117</v>
      </c>
      <c r="B2130" t="s">
        <v>5275</v>
      </c>
      <c r="C2130" t="s">
        <v>5276</v>
      </c>
      <c r="D2130" t="s">
        <v>13268</v>
      </c>
      <c r="E2130" t="s">
        <v>13269</v>
      </c>
      <c r="F2130" t="s">
        <v>13270</v>
      </c>
      <c r="G2130" t="s">
        <v>5904</v>
      </c>
      <c r="H2130">
        <v>463</v>
      </c>
      <c r="I2130">
        <v>463</v>
      </c>
      <c r="J2130">
        <v>463</v>
      </c>
      <c r="K2130">
        <v>462</v>
      </c>
      <c r="L2130">
        <v>463</v>
      </c>
      <c r="M2130">
        <v>99.8</v>
      </c>
      <c r="N2130">
        <v>100</v>
      </c>
      <c r="O2130">
        <v>951.8</v>
      </c>
    </row>
    <row r="2131" spans="1:15">
      <c r="A2131">
        <v>1116</v>
      </c>
      <c r="B2131" t="s">
        <v>5277</v>
      </c>
      <c r="C2131" t="s">
        <v>5278</v>
      </c>
      <c r="D2131" t="s">
        <v>13271</v>
      </c>
      <c r="E2131" t="s">
        <v>13272</v>
      </c>
      <c r="F2131" t="s">
        <v>13273</v>
      </c>
      <c r="G2131" t="s">
        <v>5904</v>
      </c>
      <c r="H2131">
        <v>224</v>
      </c>
      <c r="I2131">
        <v>224</v>
      </c>
      <c r="J2131">
        <v>224</v>
      </c>
      <c r="K2131">
        <v>219</v>
      </c>
      <c r="L2131">
        <v>221</v>
      </c>
      <c r="M2131">
        <v>97.8</v>
      </c>
      <c r="N2131">
        <v>98.7</v>
      </c>
      <c r="O2131">
        <v>439.9</v>
      </c>
    </row>
    <row r="2132" spans="1:15">
      <c r="A2132">
        <v>1115</v>
      </c>
      <c r="B2132" t="s">
        <v>5279</v>
      </c>
      <c r="C2132" t="s">
        <v>5280</v>
      </c>
      <c r="D2132" t="s">
        <v>13274</v>
      </c>
      <c r="E2132" t="s">
        <v>13275</v>
      </c>
      <c r="F2132" t="s">
        <v>13276</v>
      </c>
      <c r="G2132" t="s">
        <v>5904</v>
      </c>
      <c r="H2132">
        <v>223</v>
      </c>
      <c r="I2132">
        <v>177</v>
      </c>
      <c r="J2132">
        <v>156</v>
      </c>
      <c r="K2132">
        <v>125</v>
      </c>
      <c r="L2132">
        <v>142</v>
      </c>
      <c r="M2132">
        <v>56.1</v>
      </c>
      <c r="N2132">
        <v>63.7</v>
      </c>
      <c r="O2132">
        <v>276.89999999999998</v>
      </c>
    </row>
    <row r="2133" spans="1:15">
      <c r="A2133">
        <v>1114</v>
      </c>
      <c r="B2133" t="s">
        <v>13277</v>
      </c>
      <c r="C2133" t="s">
        <v>13278</v>
      </c>
      <c r="D2133" t="s">
        <v>13279</v>
      </c>
      <c r="E2133" t="s">
        <v>13280</v>
      </c>
      <c r="F2133" t="s">
        <v>13281</v>
      </c>
      <c r="G2133" t="s">
        <v>5904</v>
      </c>
      <c r="H2133">
        <v>313</v>
      </c>
      <c r="I2133">
        <v>314</v>
      </c>
      <c r="J2133">
        <v>314</v>
      </c>
      <c r="K2133">
        <v>298</v>
      </c>
      <c r="L2133">
        <v>307</v>
      </c>
      <c r="M2133">
        <v>95.2</v>
      </c>
      <c r="N2133">
        <v>98.1</v>
      </c>
      <c r="O2133">
        <v>614.79999999999995</v>
      </c>
    </row>
    <row r="2134" spans="1:15">
      <c r="A2134">
        <v>1113</v>
      </c>
      <c r="B2134" t="s">
        <v>5284</v>
      </c>
      <c r="C2134" t="s">
        <v>5285</v>
      </c>
      <c r="D2134" t="s">
        <v>13282</v>
      </c>
      <c r="E2134" t="s">
        <v>13283</v>
      </c>
      <c r="F2134" t="s">
        <v>13284</v>
      </c>
      <c r="G2134" t="s">
        <v>5904</v>
      </c>
      <c r="H2134">
        <v>172</v>
      </c>
      <c r="I2134">
        <v>172</v>
      </c>
      <c r="J2134">
        <v>172</v>
      </c>
      <c r="K2134">
        <v>169</v>
      </c>
      <c r="L2134">
        <v>169</v>
      </c>
      <c r="M2134">
        <v>98.3</v>
      </c>
      <c r="N2134">
        <v>98.3</v>
      </c>
      <c r="O2134">
        <v>347.8</v>
      </c>
    </row>
    <row r="2135" spans="1:15">
      <c r="A2135">
        <v>1112</v>
      </c>
      <c r="B2135" t="s">
        <v>5286</v>
      </c>
      <c r="C2135" t="s">
        <v>5287</v>
      </c>
      <c r="D2135" t="s">
        <v>13285</v>
      </c>
      <c r="E2135" t="s">
        <v>13286</v>
      </c>
      <c r="F2135" t="s">
        <v>13287</v>
      </c>
      <c r="G2135" t="s">
        <v>5904</v>
      </c>
      <c r="H2135">
        <v>83</v>
      </c>
      <c r="I2135">
        <v>83</v>
      </c>
      <c r="J2135">
        <v>83</v>
      </c>
      <c r="K2135">
        <v>83</v>
      </c>
      <c r="L2135">
        <v>83</v>
      </c>
      <c r="M2135">
        <v>100</v>
      </c>
      <c r="N2135">
        <v>100</v>
      </c>
      <c r="O2135">
        <v>172.2</v>
      </c>
    </row>
    <row r="2136" spans="1:15">
      <c r="A2136">
        <v>1111</v>
      </c>
      <c r="B2136" t="s">
        <v>5288</v>
      </c>
      <c r="C2136" t="s">
        <v>13288</v>
      </c>
      <c r="D2136" t="s">
        <v>13289</v>
      </c>
      <c r="E2136" t="s">
        <v>13290</v>
      </c>
      <c r="F2136" t="s">
        <v>13291</v>
      </c>
      <c r="G2136" t="s">
        <v>5904</v>
      </c>
      <c r="H2136">
        <v>624</v>
      </c>
      <c r="I2136">
        <v>622</v>
      </c>
      <c r="J2136">
        <v>608</v>
      </c>
      <c r="K2136">
        <v>559</v>
      </c>
      <c r="L2136">
        <v>578</v>
      </c>
      <c r="M2136">
        <v>89.6</v>
      </c>
      <c r="N2136">
        <v>92.6</v>
      </c>
      <c r="O2136">
        <v>1149</v>
      </c>
    </row>
    <row r="2137" spans="1:15">
      <c r="A2137">
        <v>1110</v>
      </c>
      <c r="B2137" t="s">
        <v>5290</v>
      </c>
      <c r="C2137" t="s">
        <v>5291</v>
      </c>
      <c r="D2137" t="s">
        <v>13292</v>
      </c>
      <c r="E2137" t="s">
        <v>13293</v>
      </c>
      <c r="F2137" t="s">
        <v>13294</v>
      </c>
      <c r="G2137" t="s">
        <v>5904</v>
      </c>
      <c r="H2137">
        <v>1196</v>
      </c>
      <c r="I2137">
        <v>1192</v>
      </c>
      <c r="J2137">
        <v>1201</v>
      </c>
      <c r="K2137">
        <v>1012</v>
      </c>
      <c r="L2137">
        <v>1081</v>
      </c>
      <c r="M2137">
        <v>84.6</v>
      </c>
      <c r="N2137">
        <v>90.4</v>
      </c>
      <c r="O2137">
        <v>1763</v>
      </c>
    </row>
    <row r="2138" spans="1:15">
      <c r="A2138">
        <v>1109</v>
      </c>
      <c r="B2138" t="s">
        <v>5292</v>
      </c>
      <c r="C2138" t="s">
        <v>13295</v>
      </c>
      <c r="D2138" t="s">
        <v>13296</v>
      </c>
      <c r="E2138" t="s">
        <v>13297</v>
      </c>
      <c r="F2138" t="s">
        <v>13298</v>
      </c>
      <c r="G2138" t="s">
        <v>5904</v>
      </c>
      <c r="H2138">
        <v>349</v>
      </c>
      <c r="I2138">
        <v>348</v>
      </c>
      <c r="J2138">
        <v>349</v>
      </c>
      <c r="K2138">
        <v>335</v>
      </c>
      <c r="L2138">
        <v>342</v>
      </c>
      <c r="M2138">
        <v>96</v>
      </c>
      <c r="N2138">
        <v>98</v>
      </c>
      <c r="O2138">
        <v>696.8</v>
      </c>
    </row>
    <row r="2139" spans="1:15">
      <c r="A2139">
        <v>1108</v>
      </c>
      <c r="B2139" t="s">
        <v>13299</v>
      </c>
      <c r="C2139" t="s">
        <v>5296</v>
      </c>
      <c r="D2139" t="s">
        <v>13300</v>
      </c>
      <c r="E2139" t="s">
        <v>13301</v>
      </c>
      <c r="F2139" t="s">
        <v>13302</v>
      </c>
      <c r="G2139" t="s">
        <v>5904</v>
      </c>
      <c r="H2139">
        <v>757</v>
      </c>
      <c r="I2139">
        <v>740</v>
      </c>
      <c r="J2139">
        <v>747</v>
      </c>
      <c r="K2139">
        <v>536</v>
      </c>
      <c r="L2139">
        <v>581</v>
      </c>
      <c r="M2139">
        <v>70.8</v>
      </c>
      <c r="N2139">
        <v>76.8</v>
      </c>
      <c r="O2139">
        <v>956.8</v>
      </c>
    </row>
    <row r="2140" spans="1:15">
      <c r="A2140">
        <v>1107</v>
      </c>
      <c r="B2140" t="s">
        <v>13303</v>
      </c>
      <c r="C2140" t="s">
        <v>5299</v>
      </c>
      <c r="D2140" t="s">
        <v>13304</v>
      </c>
      <c r="E2140" t="s">
        <v>13305</v>
      </c>
      <c r="F2140" t="s">
        <v>13306</v>
      </c>
      <c r="G2140" t="s">
        <v>5904</v>
      </c>
      <c r="H2140">
        <v>442</v>
      </c>
      <c r="I2140">
        <v>398</v>
      </c>
      <c r="J2140">
        <v>399</v>
      </c>
      <c r="K2140">
        <v>259</v>
      </c>
      <c r="L2140">
        <v>312</v>
      </c>
      <c r="M2140">
        <v>58.6</v>
      </c>
      <c r="N2140">
        <v>70.599999999999994</v>
      </c>
      <c r="O2140">
        <v>488</v>
      </c>
    </row>
    <row r="2141" spans="1:15">
      <c r="A2141">
        <v>1106</v>
      </c>
      <c r="B2141" t="s">
        <v>5300</v>
      </c>
      <c r="C2141" t="s">
        <v>5301</v>
      </c>
      <c r="D2141" t="s">
        <v>13307</v>
      </c>
      <c r="E2141" t="s">
        <v>13308</v>
      </c>
      <c r="F2141" t="s">
        <v>13309</v>
      </c>
      <c r="G2141" t="s">
        <v>5904</v>
      </c>
      <c r="H2141">
        <v>623</v>
      </c>
      <c r="I2141">
        <v>486</v>
      </c>
      <c r="J2141">
        <v>461</v>
      </c>
      <c r="K2141">
        <v>400</v>
      </c>
      <c r="L2141">
        <v>427</v>
      </c>
      <c r="M2141">
        <v>64.2</v>
      </c>
      <c r="N2141">
        <v>68.5</v>
      </c>
      <c r="O2141">
        <v>839.3</v>
      </c>
    </row>
    <row r="2142" spans="1:15">
      <c r="A2142">
        <v>1105</v>
      </c>
      <c r="B2142" t="s">
        <v>5302</v>
      </c>
      <c r="C2142" t="s">
        <v>5303</v>
      </c>
      <c r="D2142" t="s">
        <v>13310</v>
      </c>
      <c r="E2142" t="s">
        <v>13311</v>
      </c>
      <c r="F2142" t="s">
        <v>13312</v>
      </c>
      <c r="G2142" t="s">
        <v>5904</v>
      </c>
      <c r="H2142">
        <v>248</v>
      </c>
      <c r="I2142">
        <v>267</v>
      </c>
      <c r="J2142">
        <v>272</v>
      </c>
      <c r="K2142">
        <v>196</v>
      </c>
      <c r="L2142">
        <v>209</v>
      </c>
      <c r="M2142">
        <v>79</v>
      </c>
      <c r="N2142">
        <v>84.3</v>
      </c>
      <c r="O2142">
        <v>338.2</v>
      </c>
    </row>
    <row r="2143" spans="1:15">
      <c r="A2143">
        <v>2135</v>
      </c>
      <c r="B2143" t="s">
        <v>5304</v>
      </c>
      <c r="C2143" t="s">
        <v>5305</v>
      </c>
      <c r="D2143" t="s">
        <v>13313</v>
      </c>
      <c r="E2143" t="s">
        <v>13314</v>
      </c>
      <c r="F2143" t="s">
        <v>13315</v>
      </c>
      <c r="G2143" t="s">
        <v>5904</v>
      </c>
      <c r="H2143">
        <v>257</v>
      </c>
      <c r="I2143">
        <v>257</v>
      </c>
      <c r="J2143">
        <v>257</v>
      </c>
      <c r="K2143">
        <v>257</v>
      </c>
      <c r="L2143">
        <v>257</v>
      </c>
      <c r="M2143">
        <v>100</v>
      </c>
      <c r="N2143">
        <v>100</v>
      </c>
      <c r="O2143">
        <v>517.70000000000005</v>
      </c>
    </row>
    <row r="2144" spans="1:15">
      <c r="A2144">
        <v>1104</v>
      </c>
      <c r="B2144" t="s">
        <v>5306</v>
      </c>
      <c r="C2144" t="s">
        <v>5307</v>
      </c>
      <c r="D2144" t="s">
        <v>13316</v>
      </c>
      <c r="E2144" t="s">
        <v>13317</v>
      </c>
      <c r="F2144" t="s">
        <v>13318</v>
      </c>
      <c r="G2144" t="s">
        <v>5904</v>
      </c>
      <c r="H2144">
        <v>727</v>
      </c>
      <c r="I2144">
        <v>706</v>
      </c>
      <c r="J2144">
        <v>703</v>
      </c>
      <c r="K2144">
        <v>595</v>
      </c>
      <c r="L2144">
        <v>648</v>
      </c>
      <c r="M2144">
        <v>81.8</v>
      </c>
      <c r="N2144">
        <v>89.1</v>
      </c>
      <c r="O2144">
        <v>1229.5</v>
      </c>
    </row>
    <row r="2145" spans="1:15">
      <c r="A2145">
        <v>1103</v>
      </c>
      <c r="B2145" t="s">
        <v>5308</v>
      </c>
      <c r="C2145" t="s">
        <v>5310</v>
      </c>
      <c r="D2145" t="s">
        <v>9508</v>
      </c>
      <c r="E2145" t="s">
        <v>9509</v>
      </c>
      <c r="F2145" t="s">
        <v>13319</v>
      </c>
      <c r="G2145" t="s">
        <v>5896</v>
      </c>
      <c r="H2145">
        <v>303</v>
      </c>
      <c r="I2145">
        <v>449</v>
      </c>
      <c r="J2145">
        <v>196</v>
      </c>
      <c r="K2145">
        <v>178</v>
      </c>
      <c r="L2145">
        <v>190</v>
      </c>
      <c r="M2145">
        <v>58.7</v>
      </c>
      <c r="N2145">
        <v>62.7</v>
      </c>
      <c r="O2145">
        <v>389</v>
      </c>
    </row>
    <row r="2146" spans="1:15">
      <c r="A2146">
        <v>1102</v>
      </c>
      <c r="B2146" t="s">
        <v>5311</v>
      </c>
      <c r="C2146" t="s">
        <v>5312</v>
      </c>
      <c r="D2146" t="s">
        <v>13320</v>
      </c>
      <c r="E2146" t="s">
        <v>13321</v>
      </c>
      <c r="F2146" t="s">
        <v>13322</v>
      </c>
      <c r="G2146" t="s">
        <v>6759</v>
      </c>
      <c r="H2146">
        <v>117</v>
      </c>
      <c r="I2146">
        <v>87</v>
      </c>
      <c r="J2146">
        <v>81</v>
      </c>
      <c r="K2146">
        <v>26</v>
      </c>
      <c r="L2146">
        <v>38</v>
      </c>
      <c r="M2146">
        <v>22.2</v>
      </c>
      <c r="N2146">
        <v>32.5</v>
      </c>
      <c r="O2146">
        <v>38.9</v>
      </c>
    </row>
    <row r="2147" spans="1:15">
      <c r="A2147">
        <v>1101</v>
      </c>
      <c r="B2147" t="s">
        <v>5313</v>
      </c>
      <c r="C2147" t="s">
        <v>5314</v>
      </c>
      <c r="D2147" t="s">
        <v>13323</v>
      </c>
      <c r="E2147" t="s">
        <v>13324</v>
      </c>
      <c r="F2147" t="s">
        <v>13325</v>
      </c>
      <c r="G2147" t="s">
        <v>5904</v>
      </c>
      <c r="H2147">
        <v>251</v>
      </c>
      <c r="I2147">
        <v>248</v>
      </c>
      <c r="J2147">
        <v>233</v>
      </c>
      <c r="K2147">
        <v>211</v>
      </c>
      <c r="L2147">
        <v>215</v>
      </c>
      <c r="M2147">
        <v>84.1</v>
      </c>
      <c r="N2147">
        <v>85.7</v>
      </c>
      <c r="O2147">
        <v>425.2</v>
      </c>
    </row>
    <row r="2148" spans="1:15">
      <c r="A2148">
        <v>1100</v>
      </c>
      <c r="B2148" t="s">
        <v>5315</v>
      </c>
      <c r="C2148" t="s">
        <v>5316</v>
      </c>
      <c r="D2148" t="s">
        <v>13326</v>
      </c>
      <c r="E2148" t="s">
        <v>13327</v>
      </c>
      <c r="F2148" t="s">
        <v>13328</v>
      </c>
      <c r="G2148" t="s">
        <v>5904</v>
      </c>
      <c r="H2148">
        <v>1325</v>
      </c>
      <c r="I2148">
        <v>1410</v>
      </c>
      <c r="J2148">
        <v>1412</v>
      </c>
      <c r="K2148">
        <v>1137</v>
      </c>
      <c r="L2148">
        <v>1206</v>
      </c>
      <c r="M2148">
        <v>85.8</v>
      </c>
      <c r="N2148">
        <v>91</v>
      </c>
      <c r="O2148">
        <v>1922.1</v>
      </c>
    </row>
    <row r="2149" spans="1:15">
      <c r="A2149">
        <v>1099</v>
      </c>
      <c r="B2149" t="s">
        <v>5317</v>
      </c>
      <c r="C2149" t="s">
        <v>5318</v>
      </c>
      <c r="D2149" t="s">
        <v>13329</v>
      </c>
      <c r="E2149" t="s">
        <v>13330</v>
      </c>
      <c r="F2149" t="s">
        <v>13331</v>
      </c>
      <c r="G2149" t="s">
        <v>5904</v>
      </c>
      <c r="H2149">
        <v>3707</v>
      </c>
      <c r="I2149">
        <v>3695</v>
      </c>
      <c r="J2149">
        <v>3683</v>
      </c>
      <c r="K2149">
        <v>2969</v>
      </c>
      <c r="L2149">
        <v>3210</v>
      </c>
      <c r="M2149">
        <v>80.099999999999994</v>
      </c>
      <c r="N2149">
        <v>86.6</v>
      </c>
      <c r="O2149">
        <v>5984.4</v>
      </c>
    </row>
    <row r="2150" spans="1:15">
      <c r="A2150">
        <v>1098</v>
      </c>
      <c r="B2150" t="s">
        <v>5319</v>
      </c>
      <c r="C2150" t="s">
        <v>5320</v>
      </c>
      <c r="D2150" t="s">
        <v>13332</v>
      </c>
      <c r="E2150" t="s">
        <v>13333</v>
      </c>
      <c r="F2150" t="s">
        <v>13334</v>
      </c>
      <c r="G2150" t="s">
        <v>5904</v>
      </c>
      <c r="H2150">
        <v>622</v>
      </c>
      <c r="I2150">
        <v>622</v>
      </c>
      <c r="J2150">
        <v>622</v>
      </c>
      <c r="K2150">
        <v>558</v>
      </c>
      <c r="L2150">
        <v>590</v>
      </c>
      <c r="M2150">
        <v>89.7</v>
      </c>
      <c r="N2150">
        <v>94.9</v>
      </c>
      <c r="O2150">
        <v>1180.2</v>
      </c>
    </row>
    <row r="2151" spans="1:15">
      <c r="A2151">
        <v>2134</v>
      </c>
      <c r="B2151" t="s">
        <v>5321</v>
      </c>
      <c r="C2151" t="s">
        <v>5322</v>
      </c>
      <c r="D2151" t="s">
        <v>13335</v>
      </c>
      <c r="E2151" t="s">
        <v>13336</v>
      </c>
      <c r="F2151" t="s">
        <v>13337</v>
      </c>
      <c r="G2151" t="s">
        <v>5904</v>
      </c>
      <c r="H2151">
        <v>879</v>
      </c>
      <c r="I2151">
        <v>879</v>
      </c>
      <c r="J2151">
        <v>879</v>
      </c>
      <c r="K2151">
        <v>793</v>
      </c>
      <c r="L2151">
        <v>835</v>
      </c>
      <c r="M2151">
        <v>90.2</v>
      </c>
      <c r="N2151">
        <v>95</v>
      </c>
      <c r="O2151">
        <v>1622.8</v>
      </c>
    </row>
    <row r="2152" spans="1:15">
      <c r="A2152">
        <v>1097</v>
      </c>
      <c r="B2152" t="s">
        <v>13338</v>
      </c>
      <c r="C2152" t="s">
        <v>5325</v>
      </c>
      <c r="D2152" t="s">
        <v>13339</v>
      </c>
      <c r="E2152" t="s">
        <v>13340</v>
      </c>
      <c r="F2152" t="s">
        <v>13341</v>
      </c>
      <c r="G2152" t="s">
        <v>5904</v>
      </c>
      <c r="H2152">
        <v>576</v>
      </c>
      <c r="I2152">
        <v>569</v>
      </c>
      <c r="J2152">
        <v>573</v>
      </c>
      <c r="K2152">
        <v>434</v>
      </c>
      <c r="L2152">
        <v>498</v>
      </c>
      <c r="M2152">
        <v>75.3</v>
      </c>
      <c r="N2152">
        <v>86.5</v>
      </c>
      <c r="O2152">
        <v>921</v>
      </c>
    </row>
    <row r="2153" spans="1:15">
      <c r="A2153">
        <v>1096</v>
      </c>
      <c r="B2153" t="s">
        <v>5326</v>
      </c>
      <c r="C2153" t="s">
        <v>5327</v>
      </c>
      <c r="D2153" t="s">
        <v>13342</v>
      </c>
      <c r="E2153" t="s">
        <v>13343</v>
      </c>
      <c r="F2153" t="s">
        <v>13344</v>
      </c>
      <c r="G2153" t="s">
        <v>5904</v>
      </c>
      <c r="H2153">
        <v>185</v>
      </c>
      <c r="I2153">
        <v>199</v>
      </c>
      <c r="J2153">
        <v>185</v>
      </c>
      <c r="K2153">
        <v>131</v>
      </c>
      <c r="L2153">
        <v>158</v>
      </c>
      <c r="M2153">
        <v>70.8</v>
      </c>
      <c r="N2153">
        <v>85.4</v>
      </c>
      <c r="O2153">
        <v>253.4</v>
      </c>
    </row>
    <row r="2154" spans="1:15">
      <c r="A2154">
        <v>1095</v>
      </c>
      <c r="B2154" t="s">
        <v>13345</v>
      </c>
      <c r="C2154" t="s">
        <v>5330</v>
      </c>
      <c r="D2154" t="s">
        <v>13346</v>
      </c>
      <c r="E2154" t="s">
        <v>13347</v>
      </c>
      <c r="F2154" t="s">
        <v>13348</v>
      </c>
      <c r="G2154" t="s">
        <v>5904</v>
      </c>
      <c r="H2154">
        <v>310</v>
      </c>
      <c r="I2154">
        <v>310</v>
      </c>
      <c r="J2154">
        <v>288</v>
      </c>
      <c r="K2154">
        <v>228</v>
      </c>
      <c r="L2154">
        <v>240</v>
      </c>
      <c r="M2154">
        <v>73.5</v>
      </c>
      <c r="N2154">
        <v>77.400000000000006</v>
      </c>
      <c r="O2154">
        <v>393.3</v>
      </c>
    </row>
    <row r="2155" spans="1:15">
      <c r="A2155">
        <v>1094</v>
      </c>
      <c r="B2155" t="s">
        <v>13349</v>
      </c>
      <c r="C2155" t="s">
        <v>5333</v>
      </c>
      <c r="D2155" t="s">
        <v>13350</v>
      </c>
      <c r="E2155" t="s">
        <v>13351</v>
      </c>
      <c r="F2155" t="s">
        <v>13352</v>
      </c>
      <c r="G2155" t="s">
        <v>5904</v>
      </c>
      <c r="H2155">
        <v>1479</v>
      </c>
      <c r="I2155">
        <v>1479</v>
      </c>
      <c r="J2155">
        <v>1479</v>
      </c>
      <c r="K2155">
        <v>1326</v>
      </c>
      <c r="L2155">
        <v>1393</v>
      </c>
      <c r="M2155">
        <v>89.7</v>
      </c>
      <c r="N2155">
        <v>94.2</v>
      </c>
      <c r="O2155">
        <v>2767.6</v>
      </c>
    </row>
    <row r="2156" spans="1:15">
      <c r="A2156">
        <v>1093</v>
      </c>
      <c r="B2156" t="s">
        <v>5334</v>
      </c>
      <c r="C2156" t="s">
        <v>5335</v>
      </c>
      <c r="D2156" t="s">
        <v>13353</v>
      </c>
      <c r="E2156" t="s">
        <v>13354</v>
      </c>
      <c r="F2156" t="s">
        <v>13355</v>
      </c>
      <c r="G2156" t="s">
        <v>5904</v>
      </c>
      <c r="H2156">
        <v>311</v>
      </c>
      <c r="I2156">
        <v>311</v>
      </c>
      <c r="J2156">
        <v>310</v>
      </c>
      <c r="K2156">
        <v>295</v>
      </c>
      <c r="L2156">
        <v>301</v>
      </c>
      <c r="M2156">
        <v>94.9</v>
      </c>
      <c r="N2156">
        <v>96.8</v>
      </c>
      <c r="O2156">
        <v>580.9</v>
      </c>
    </row>
    <row r="2157" spans="1:15">
      <c r="A2157">
        <v>1092</v>
      </c>
      <c r="B2157" t="s">
        <v>13356</v>
      </c>
      <c r="C2157" t="s">
        <v>5338</v>
      </c>
      <c r="D2157" t="s">
        <v>13357</v>
      </c>
      <c r="E2157" t="s">
        <v>13358</v>
      </c>
      <c r="F2157" t="s">
        <v>13359</v>
      </c>
      <c r="G2157" t="s">
        <v>5904</v>
      </c>
      <c r="H2157">
        <v>670</v>
      </c>
      <c r="I2157">
        <v>677</v>
      </c>
      <c r="J2157">
        <v>683</v>
      </c>
      <c r="K2157">
        <v>516</v>
      </c>
      <c r="L2157">
        <v>561</v>
      </c>
      <c r="M2157">
        <v>77</v>
      </c>
      <c r="N2157">
        <v>83.7</v>
      </c>
      <c r="O2157">
        <v>882.1</v>
      </c>
    </row>
    <row r="2158" spans="1:15">
      <c r="A2158">
        <v>1091</v>
      </c>
      <c r="B2158" t="s">
        <v>5339</v>
      </c>
      <c r="C2158" t="s">
        <v>5340</v>
      </c>
      <c r="D2158" t="s">
        <v>13360</v>
      </c>
      <c r="E2158" t="s">
        <v>13361</v>
      </c>
      <c r="F2158" t="s">
        <v>13362</v>
      </c>
      <c r="G2158" t="s">
        <v>5904</v>
      </c>
      <c r="H2158">
        <v>441</v>
      </c>
      <c r="I2158">
        <v>439</v>
      </c>
      <c r="J2158">
        <v>441</v>
      </c>
      <c r="K2158">
        <v>402</v>
      </c>
      <c r="L2158">
        <v>413</v>
      </c>
      <c r="M2158">
        <v>91.2</v>
      </c>
      <c r="N2158">
        <v>93.7</v>
      </c>
      <c r="O2158">
        <v>803.5</v>
      </c>
    </row>
    <row r="2159" spans="1:15">
      <c r="A2159">
        <v>1090</v>
      </c>
      <c r="B2159" t="s">
        <v>5341</v>
      </c>
      <c r="C2159" t="s">
        <v>5342</v>
      </c>
      <c r="D2159" t="s">
        <v>13363</v>
      </c>
      <c r="E2159" t="s">
        <v>13364</v>
      </c>
      <c r="F2159" t="s">
        <v>13365</v>
      </c>
      <c r="G2159" t="s">
        <v>5904</v>
      </c>
      <c r="H2159">
        <v>364</v>
      </c>
      <c r="I2159">
        <v>381</v>
      </c>
      <c r="J2159">
        <v>366</v>
      </c>
      <c r="K2159">
        <v>248</v>
      </c>
      <c r="L2159">
        <v>281</v>
      </c>
      <c r="M2159">
        <v>68.099999999999994</v>
      </c>
      <c r="N2159">
        <v>77.2</v>
      </c>
      <c r="O2159">
        <v>487.3</v>
      </c>
    </row>
    <row r="2160" spans="1:15">
      <c r="A2160">
        <v>1089</v>
      </c>
      <c r="B2160" t="s">
        <v>5343</v>
      </c>
      <c r="C2160" t="s">
        <v>5344</v>
      </c>
      <c r="D2160" t="s">
        <v>13366</v>
      </c>
      <c r="E2160" t="s">
        <v>13367</v>
      </c>
      <c r="F2160" t="s">
        <v>13368</v>
      </c>
      <c r="G2160" t="s">
        <v>5904</v>
      </c>
      <c r="H2160">
        <v>693</v>
      </c>
      <c r="I2160">
        <v>696</v>
      </c>
      <c r="J2160">
        <v>699</v>
      </c>
      <c r="K2160">
        <v>628</v>
      </c>
      <c r="L2160">
        <v>647</v>
      </c>
      <c r="M2160">
        <v>90.6</v>
      </c>
      <c r="N2160">
        <v>93.4</v>
      </c>
      <c r="O2160">
        <v>1074.7</v>
      </c>
    </row>
    <row r="2161" spans="1:15">
      <c r="A2161">
        <v>1088</v>
      </c>
      <c r="B2161" t="s">
        <v>13369</v>
      </c>
      <c r="C2161" t="s">
        <v>13370</v>
      </c>
      <c r="D2161" t="s">
        <v>13371</v>
      </c>
      <c r="E2161" t="s">
        <v>13372</v>
      </c>
      <c r="F2161" t="s">
        <v>13373</v>
      </c>
      <c r="G2161" t="s">
        <v>5904</v>
      </c>
      <c r="H2161">
        <v>275</v>
      </c>
      <c r="I2161">
        <v>235</v>
      </c>
      <c r="J2161">
        <v>219</v>
      </c>
      <c r="K2161">
        <v>147</v>
      </c>
      <c r="L2161">
        <v>171</v>
      </c>
      <c r="M2161">
        <v>53.5</v>
      </c>
      <c r="N2161">
        <v>62.2</v>
      </c>
      <c r="O2161">
        <v>263.10000000000002</v>
      </c>
    </row>
    <row r="2162" spans="1:15">
      <c r="A2162">
        <v>1087</v>
      </c>
      <c r="B2162" t="s">
        <v>13374</v>
      </c>
      <c r="C2162" t="s">
        <v>5350</v>
      </c>
      <c r="D2162" t="s">
        <v>13375</v>
      </c>
      <c r="E2162" t="s">
        <v>13376</v>
      </c>
      <c r="F2162" t="s">
        <v>13377</v>
      </c>
      <c r="G2162" t="s">
        <v>5904</v>
      </c>
      <c r="H2162">
        <v>763</v>
      </c>
      <c r="I2162">
        <v>763</v>
      </c>
      <c r="J2162">
        <v>763</v>
      </c>
      <c r="K2162">
        <v>689</v>
      </c>
      <c r="L2162">
        <v>731</v>
      </c>
      <c r="M2162">
        <v>90.3</v>
      </c>
      <c r="N2162">
        <v>95.8</v>
      </c>
      <c r="O2162">
        <v>1420.6</v>
      </c>
    </row>
    <row r="2163" spans="1:15">
      <c r="A2163">
        <v>1086</v>
      </c>
      <c r="B2163" t="s">
        <v>5351</v>
      </c>
      <c r="C2163" t="s">
        <v>5352</v>
      </c>
      <c r="D2163" t="s">
        <v>13378</v>
      </c>
      <c r="E2163" t="s">
        <v>13379</v>
      </c>
      <c r="F2163" t="s">
        <v>13380</v>
      </c>
      <c r="G2163" t="s">
        <v>5904</v>
      </c>
      <c r="H2163">
        <v>474</v>
      </c>
      <c r="I2163">
        <v>474</v>
      </c>
      <c r="J2163">
        <v>473</v>
      </c>
      <c r="K2163">
        <v>441</v>
      </c>
      <c r="L2163">
        <v>462</v>
      </c>
      <c r="M2163">
        <v>93</v>
      </c>
      <c r="N2163">
        <v>97.5</v>
      </c>
      <c r="O2163">
        <v>921.8</v>
      </c>
    </row>
    <row r="2164" spans="1:15">
      <c r="A2164">
        <v>1085</v>
      </c>
      <c r="B2164" t="s">
        <v>5353</v>
      </c>
      <c r="C2164" t="s">
        <v>5354</v>
      </c>
      <c r="D2164" t="s">
        <v>13381</v>
      </c>
      <c r="E2164" t="s">
        <v>13382</v>
      </c>
      <c r="F2164" t="s">
        <v>13383</v>
      </c>
      <c r="G2164" t="s">
        <v>5904</v>
      </c>
      <c r="H2164">
        <v>316</v>
      </c>
      <c r="I2164">
        <v>314</v>
      </c>
      <c r="J2164">
        <v>316</v>
      </c>
      <c r="K2164">
        <v>255</v>
      </c>
      <c r="L2164">
        <v>279</v>
      </c>
      <c r="M2164">
        <v>80.7</v>
      </c>
      <c r="N2164">
        <v>88.3</v>
      </c>
      <c r="O2164">
        <v>469.2</v>
      </c>
    </row>
    <row r="2165" spans="1:15">
      <c r="A2165">
        <v>1084</v>
      </c>
      <c r="B2165" t="s">
        <v>5355</v>
      </c>
      <c r="C2165" t="s">
        <v>5356</v>
      </c>
      <c r="D2165" t="s">
        <v>13384</v>
      </c>
      <c r="E2165" t="s">
        <v>13385</v>
      </c>
      <c r="F2165" t="s">
        <v>13386</v>
      </c>
      <c r="G2165" t="s">
        <v>5904</v>
      </c>
      <c r="H2165">
        <v>681</v>
      </c>
      <c r="I2165">
        <v>685</v>
      </c>
      <c r="J2165">
        <v>685</v>
      </c>
      <c r="K2165">
        <v>571</v>
      </c>
      <c r="L2165">
        <v>624</v>
      </c>
      <c r="M2165">
        <v>83.8</v>
      </c>
      <c r="N2165">
        <v>91.6</v>
      </c>
      <c r="O2165">
        <v>1200.3</v>
      </c>
    </row>
    <row r="2166" spans="1:15">
      <c r="A2166">
        <v>1083</v>
      </c>
      <c r="B2166" t="s">
        <v>5357</v>
      </c>
      <c r="C2166" t="s">
        <v>5358</v>
      </c>
      <c r="D2166" t="s">
        <v>13387</v>
      </c>
      <c r="E2166" t="s">
        <v>13388</v>
      </c>
      <c r="F2166" t="s">
        <v>13389</v>
      </c>
      <c r="G2166" t="s">
        <v>5904</v>
      </c>
      <c r="H2166">
        <v>267</v>
      </c>
      <c r="I2166">
        <v>261</v>
      </c>
      <c r="J2166">
        <v>259</v>
      </c>
      <c r="K2166">
        <v>226</v>
      </c>
      <c r="L2166">
        <v>246</v>
      </c>
      <c r="M2166">
        <v>84.6</v>
      </c>
      <c r="N2166">
        <v>92.1</v>
      </c>
      <c r="O2166">
        <v>439.1</v>
      </c>
    </row>
    <row r="2167" spans="1:15">
      <c r="A2167">
        <v>2133</v>
      </c>
      <c r="B2167" t="s">
        <v>5359</v>
      </c>
      <c r="C2167" t="s">
        <v>5360</v>
      </c>
      <c r="D2167" t="s">
        <v>13390</v>
      </c>
      <c r="E2167" t="s">
        <v>13391</v>
      </c>
      <c r="F2167" t="s">
        <v>13392</v>
      </c>
      <c r="G2167" t="s">
        <v>5904</v>
      </c>
      <c r="H2167">
        <v>301</v>
      </c>
      <c r="I2167">
        <v>301</v>
      </c>
      <c r="J2167">
        <v>301</v>
      </c>
      <c r="K2167">
        <v>292</v>
      </c>
      <c r="L2167">
        <v>298</v>
      </c>
      <c r="M2167">
        <v>97</v>
      </c>
      <c r="N2167">
        <v>99</v>
      </c>
      <c r="O2167">
        <v>604</v>
      </c>
    </row>
    <row r="2168" spans="1:15">
      <c r="A2168">
        <v>1082</v>
      </c>
      <c r="B2168" t="s">
        <v>5361</v>
      </c>
      <c r="C2168" t="s">
        <v>5362</v>
      </c>
      <c r="D2168" t="s">
        <v>13393</v>
      </c>
      <c r="E2168" t="s">
        <v>13394</v>
      </c>
      <c r="F2168" t="s">
        <v>13395</v>
      </c>
      <c r="G2168" t="s">
        <v>5904</v>
      </c>
      <c r="H2168">
        <v>523</v>
      </c>
      <c r="I2168">
        <v>523</v>
      </c>
      <c r="J2168">
        <v>523</v>
      </c>
      <c r="K2168">
        <v>498</v>
      </c>
      <c r="L2168">
        <v>513</v>
      </c>
      <c r="M2168">
        <v>95.2</v>
      </c>
      <c r="N2168">
        <v>98.1</v>
      </c>
      <c r="O2168">
        <v>1003.8</v>
      </c>
    </row>
    <row r="2169" spans="1:15">
      <c r="A2169">
        <v>2132</v>
      </c>
      <c r="B2169" t="s">
        <v>5363</v>
      </c>
      <c r="C2169" t="s">
        <v>5364</v>
      </c>
      <c r="D2169" t="s">
        <v>13396</v>
      </c>
      <c r="E2169" t="s">
        <v>13397</v>
      </c>
      <c r="F2169" t="s">
        <v>13398</v>
      </c>
      <c r="G2169" t="s">
        <v>5904</v>
      </c>
      <c r="H2169">
        <v>158</v>
      </c>
      <c r="I2169">
        <v>158</v>
      </c>
      <c r="J2169">
        <v>158</v>
      </c>
      <c r="K2169">
        <v>118</v>
      </c>
      <c r="L2169">
        <v>141</v>
      </c>
      <c r="M2169">
        <v>74.7</v>
      </c>
      <c r="N2169">
        <v>89.2</v>
      </c>
      <c r="O2169">
        <v>254.6</v>
      </c>
    </row>
    <row r="2170" spans="1:15">
      <c r="A2170">
        <v>1081</v>
      </c>
      <c r="B2170" t="s">
        <v>5365</v>
      </c>
      <c r="C2170" t="s">
        <v>5366</v>
      </c>
      <c r="D2170" t="s">
        <v>13399</v>
      </c>
      <c r="E2170" t="s">
        <v>13400</v>
      </c>
      <c r="F2170" t="s">
        <v>13401</v>
      </c>
      <c r="G2170" t="s">
        <v>5896</v>
      </c>
      <c r="H2170">
        <v>580</v>
      </c>
      <c r="I2170">
        <v>7968</v>
      </c>
      <c r="J2170">
        <v>419</v>
      </c>
      <c r="K2170">
        <v>383</v>
      </c>
      <c r="L2170">
        <v>391</v>
      </c>
      <c r="M2170">
        <v>66</v>
      </c>
      <c r="N2170">
        <v>67.400000000000006</v>
      </c>
      <c r="O2170">
        <v>756.9</v>
      </c>
    </row>
    <row r="2171" spans="1:15">
      <c r="A2171">
        <v>1080</v>
      </c>
      <c r="B2171" t="s">
        <v>5367</v>
      </c>
      <c r="C2171" t="s">
        <v>5368</v>
      </c>
      <c r="D2171" t="s">
        <v>13399</v>
      </c>
      <c r="E2171" t="s">
        <v>13400</v>
      </c>
      <c r="F2171" t="s">
        <v>13402</v>
      </c>
      <c r="G2171" t="s">
        <v>6054</v>
      </c>
      <c r="H2171">
        <v>7102</v>
      </c>
      <c r="I2171">
        <v>7968</v>
      </c>
      <c r="J2171">
        <v>2694</v>
      </c>
      <c r="K2171">
        <v>1887</v>
      </c>
      <c r="L2171">
        <v>2122</v>
      </c>
      <c r="M2171">
        <v>26.6</v>
      </c>
      <c r="N2171">
        <v>29.9</v>
      </c>
      <c r="O2171">
        <v>3556.5</v>
      </c>
    </row>
    <row r="2172" spans="1:15">
      <c r="A2172">
        <v>1079</v>
      </c>
      <c r="B2172" t="s">
        <v>5369</v>
      </c>
      <c r="C2172" t="s">
        <v>5370</v>
      </c>
      <c r="D2172" t="s">
        <v>13403</v>
      </c>
      <c r="E2172" t="s">
        <v>13404</v>
      </c>
      <c r="F2172" t="s">
        <v>13405</v>
      </c>
      <c r="G2172" t="s">
        <v>6759</v>
      </c>
      <c r="H2172">
        <v>509</v>
      </c>
      <c r="I2172">
        <v>526</v>
      </c>
      <c r="J2172">
        <v>468</v>
      </c>
      <c r="K2172">
        <v>195</v>
      </c>
      <c r="L2172">
        <v>274</v>
      </c>
      <c r="M2172">
        <v>38.299999999999997</v>
      </c>
      <c r="N2172">
        <v>53.8</v>
      </c>
      <c r="O2172">
        <v>351.3</v>
      </c>
    </row>
    <row r="2173" spans="1:15">
      <c r="A2173">
        <v>607</v>
      </c>
      <c r="B2173" t="s">
        <v>13406</v>
      </c>
      <c r="C2173" t="s">
        <v>5373</v>
      </c>
      <c r="D2173" t="s">
        <v>13407</v>
      </c>
      <c r="E2173" t="s">
        <v>13408</v>
      </c>
      <c r="F2173" t="s">
        <v>13409</v>
      </c>
      <c r="G2173" t="s">
        <v>5904</v>
      </c>
      <c r="H2173">
        <v>368</v>
      </c>
      <c r="I2173">
        <v>332</v>
      </c>
      <c r="J2173">
        <v>355</v>
      </c>
      <c r="K2173">
        <v>228</v>
      </c>
      <c r="L2173">
        <v>252</v>
      </c>
      <c r="M2173">
        <v>62</v>
      </c>
      <c r="N2173">
        <v>68.5</v>
      </c>
      <c r="O2173">
        <v>358.2</v>
      </c>
    </row>
    <row r="2174" spans="1:15">
      <c r="A2174">
        <v>606</v>
      </c>
      <c r="B2174" t="s">
        <v>5374</v>
      </c>
      <c r="C2174" t="s">
        <v>5375</v>
      </c>
      <c r="D2174" t="s">
        <v>13410</v>
      </c>
      <c r="E2174" t="s">
        <v>13411</v>
      </c>
      <c r="F2174" t="s">
        <v>13412</v>
      </c>
      <c r="G2174" t="s">
        <v>5904</v>
      </c>
      <c r="H2174">
        <v>154</v>
      </c>
      <c r="I2174">
        <v>154</v>
      </c>
      <c r="J2174">
        <v>154</v>
      </c>
      <c r="K2174">
        <v>142</v>
      </c>
      <c r="L2174">
        <v>147</v>
      </c>
      <c r="M2174">
        <v>92.2</v>
      </c>
      <c r="N2174">
        <v>95.5</v>
      </c>
      <c r="O2174">
        <v>241.5</v>
      </c>
    </row>
    <row r="2175" spans="1:15">
      <c r="A2175">
        <v>605</v>
      </c>
      <c r="B2175" t="s">
        <v>5376</v>
      </c>
      <c r="C2175" t="s">
        <v>5377</v>
      </c>
      <c r="D2175" t="s">
        <v>13413</v>
      </c>
      <c r="E2175" t="s">
        <v>13414</v>
      </c>
      <c r="F2175" t="s">
        <v>13415</v>
      </c>
      <c r="G2175" t="s">
        <v>5904</v>
      </c>
      <c r="H2175">
        <v>949</v>
      </c>
      <c r="I2175">
        <v>911</v>
      </c>
      <c r="J2175">
        <v>924</v>
      </c>
      <c r="K2175">
        <v>786</v>
      </c>
      <c r="L2175">
        <v>835</v>
      </c>
      <c r="M2175">
        <v>82.8</v>
      </c>
      <c r="N2175">
        <v>88</v>
      </c>
      <c r="O2175">
        <v>1510</v>
      </c>
    </row>
    <row r="2176" spans="1:15">
      <c r="A2176">
        <v>604</v>
      </c>
      <c r="B2176" t="s">
        <v>5380</v>
      </c>
      <c r="C2176" t="s">
        <v>5381</v>
      </c>
      <c r="D2176" t="s">
        <v>13416</v>
      </c>
      <c r="E2176" t="s">
        <v>13417</v>
      </c>
      <c r="F2176" t="s">
        <v>13418</v>
      </c>
      <c r="G2176" t="s">
        <v>5904</v>
      </c>
      <c r="H2176">
        <v>581</v>
      </c>
      <c r="I2176">
        <v>427</v>
      </c>
      <c r="J2176">
        <v>429</v>
      </c>
      <c r="K2176">
        <v>409</v>
      </c>
      <c r="L2176">
        <v>415</v>
      </c>
      <c r="M2176">
        <v>70.400000000000006</v>
      </c>
      <c r="N2176">
        <v>71.400000000000006</v>
      </c>
      <c r="O2176">
        <v>792</v>
      </c>
    </row>
    <row r="2177" spans="1:15">
      <c r="A2177">
        <v>603</v>
      </c>
      <c r="B2177" t="s">
        <v>5382</v>
      </c>
      <c r="C2177" t="s">
        <v>5383</v>
      </c>
      <c r="D2177" t="s">
        <v>13419</v>
      </c>
      <c r="E2177" t="s">
        <v>13420</v>
      </c>
      <c r="F2177" t="s">
        <v>13421</v>
      </c>
      <c r="G2177" t="s">
        <v>5904</v>
      </c>
      <c r="H2177">
        <v>680</v>
      </c>
      <c r="I2177">
        <v>715</v>
      </c>
      <c r="J2177">
        <v>714</v>
      </c>
      <c r="K2177">
        <v>578</v>
      </c>
      <c r="L2177">
        <v>629</v>
      </c>
      <c r="M2177">
        <v>85</v>
      </c>
      <c r="N2177">
        <v>92.5</v>
      </c>
      <c r="O2177">
        <v>1176.4000000000001</v>
      </c>
    </row>
    <row r="2178" spans="1:15">
      <c r="A2178">
        <v>602</v>
      </c>
      <c r="B2178" t="s">
        <v>5384</v>
      </c>
      <c r="C2178" t="s">
        <v>5385</v>
      </c>
      <c r="D2178" t="s">
        <v>13422</v>
      </c>
      <c r="E2178" t="s">
        <v>13423</v>
      </c>
      <c r="F2178" t="s">
        <v>13424</v>
      </c>
      <c r="G2178" t="s">
        <v>5904</v>
      </c>
      <c r="H2178">
        <v>2315</v>
      </c>
      <c r="I2178">
        <v>2054</v>
      </c>
      <c r="J2178">
        <v>1692</v>
      </c>
      <c r="K2178">
        <v>1613</v>
      </c>
      <c r="L2178">
        <v>1641</v>
      </c>
      <c r="M2178">
        <v>69.7</v>
      </c>
      <c r="N2178">
        <v>70.900000000000006</v>
      </c>
      <c r="O2178">
        <v>3280.7</v>
      </c>
    </row>
    <row r="2179" spans="1:15">
      <c r="A2179">
        <v>601</v>
      </c>
      <c r="B2179" t="s">
        <v>13425</v>
      </c>
      <c r="C2179" t="s">
        <v>5388</v>
      </c>
      <c r="D2179" t="s">
        <v>13426</v>
      </c>
      <c r="E2179" t="s">
        <v>13427</v>
      </c>
      <c r="F2179" t="s">
        <v>13428</v>
      </c>
      <c r="G2179" t="s">
        <v>5904</v>
      </c>
      <c r="H2179">
        <v>124</v>
      </c>
      <c r="I2179">
        <v>124</v>
      </c>
      <c r="J2179">
        <v>124</v>
      </c>
      <c r="K2179">
        <v>124</v>
      </c>
      <c r="L2179">
        <v>124</v>
      </c>
      <c r="M2179">
        <v>100</v>
      </c>
      <c r="N2179">
        <v>100</v>
      </c>
      <c r="O2179">
        <v>253.4</v>
      </c>
    </row>
    <row r="2180" spans="1:15">
      <c r="A2180">
        <v>600</v>
      </c>
      <c r="B2180" t="s">
        <v>5389</v>
      </c>
      <c r="C2180" t="s">
        <v>5390</v>
      </c>
      <c r="D2180" t="s">
        <v>13429</v>
      </c>
      <c r="E2180" t="s">
        <v>13430</v>
      </c>
      <c r="F2180" t="s">
        <v>13431</v>
      </c>
      <c r="G2180" t="s">
        <v>5904</v>
      </c>
      <c r="H2180">
        <v>1311</v>
      </c>
      <c r="I2180">
        <v>1306</v>
      </c>
      <c r="J2180">
        <v>1277</v>
      </c>
      <c r="K2180">
        <v>1087</v>
      </c>
      <c r="L2180">
        <v>1189</v>
      </c>
      <c r="M2180">
        <v>82.9</v>
      </c>
      <c r="N2180">
        <v>90.7</v>
      </c>
      <c r="O2180">
        <v>2316.1999999999998</v>
      </c>
    </row>
    <row r="2181" spans="1:15">
      <c r="A2181">
        <v>599</v>
      </c>
      <c r="B2181" t="s">
        <v>5391</v>
      </c>
      <c r="C2181" t="s">
        <v>5392</v>
      </c>
      <c r="D2181" t="s">
        <v>13432</v>
      </c>
      <c r="E2181" t="s">
        <v>13433</v>
      </c>
      <c r="F2181" t="s">
        <v>13434</v>
      </c>
      <c r="G2181" t="s">
        <v>5904</v>
      </c>
      <c r="H2181">
        <v>116</v>
      </c>
      <c r="I2181">
        <v>116</v>
      </c>
      <c r="J2181">
        <v>116</v>
      </c>
      <c r="K2181">
        <v>115</v>
      </c>
      <c r="L2181">
        <v>116</v>
      </c>
      <c r="M2181">
        <v>99.1</v>
      </c>
      <c r="N2181">
        <v>100</v>
      </c>
      <c r="O2181">
        <v>235.7</v>
      </c>
    </row>
    <row r="2182" spans="1:15">
      <c r="A2182">
        <v>598</v>
      </c>
      <c r="B2182" t="s">
        <v>13435</v>
      </c>
      <c r="C2182" t="s">
        <v>5395</v>
      </c>
      <c r="D2182" t="s">
        <v>13436</v>
      </c>
      <c r="E2182" t="s">
        <v>13437</v>
      </c>
      <c r="F2182" t="s">
        <v>13438</v>
      </c>
      <c r="G2182" t="s">
        <v>5904</v>
      </c>
      <c r="H2182">
        <v>746</v>
      </c>
      <c r="I2182">
        <v>630</v>
      </c>
      <c r="J2182">
        <v>634</v>
      </c>
      <c r="K2182">
        <v>499</v>
      </c>
      <c r="L2182">
        <v>545</v>
      </c>
      <c r="M2182">
        <v>66.900000000000006</v>
      </c>
      <c r="N2182">
        <v>73.099999999999994</v>
      </c>
      <c r="O2182">
        <v>1002.7</v>
      </c>
    </row>
    <row r="2183" spans="1:15">
      <c r="A2183">
        <v>597</v>
      </c>
      <c r="B2183" t="s">
        <v>13439</v>
      </c>
      <c r="C2183" t="s">
        <v>5398</v>
      </c>
      <c r="D2183" t="s">
        <v>13440</v>
      </c>
      <c r="E2183" t="s">
        <v>13441</v>
      </c>
      <c r="F2183" t="s">
        <v>13442</v>
      </c>
      <c r="G2183" t="s">
        <v>5904</v>
      </c>
      <c r="H2183">
        <v>298</v>
      </c>
      <c r="I2183">
        <v>313</v>
      </c>
      <c r="J2183">
        <v>313</v>
      </c>
      <c r="K2183">
        <v>267</v>
      </c>
      <c r="L2183">
        <v>278</v>
      </c>
      <c r="M2183">
        <v>89.6</v>
      </c>
      <c r="N2183">
        <v>93.3</v>
      </c>
      <c r="O2183">
        <v>542</v>
      </c>
    </row>
    <row r="2184" spans="1:15">
      <c r="A2184">
        <v>2131</v>
      </c>
      <c r="B2184" t="s">
        <v>13443</v>
      </c>
      <c r="C2184" t="s">
        <v>5401</v>
      </c>
      <c r="D2184" t="s">
        <v>13444</v>
      </c>
      <c r="E2184" t="s">
        <v>13445</v>
      </c>
      <c r="F2184" t="s">
        <v>13446</v>
      </c>
      <c r="G2184" t="s">
        <v>5904</v>
      </c>
      <c r="H2184">
        <v>1797</v>
      </c>
      <c r="I2184">
        <v>1796</v>
      </c>
      <c r="J2184">
        <v>1797</v>
      </c>
      <c r="K2184">
        <v>1647</v>
      </c>
      <c r="L2184">
        <v>1724</v>
      </c>
      <c r="M2184">
        <v>91.7</v>
      </c>
      <c r="N2184">
        <v>95.9</v>
      </c>
      <c r="O2184">
        <v>3087</v>
      </c>
    </row>
    <row r="2185" spans="1:15">
      <c r="A2185">
        <v>596</v>
      </c>
      <c r="B2185" t="s">
        <v>5402</v>
      </c>
      <c r="C2185" t="s">
        <v>5403</v>
      </c>
      <c r="D2185" t="s">
        <v>13447</v>
      </c>
      <c r="E2185" t="s">
        <v>13448</v>
      </c>
      <c r="F2185" t="s">
        <v>13449</v>
      </c>
      <c r="G2185" t="s">
        <v>5904</v>
      </c>
      <c r="H2185">
        <v>258</v>
      </c>
      <c r="I2185">
        <v>258</v>
      </c>
      <c r="J2185">
        <v>258</v>
      </c>
      <c r="K2185">
        <v>252</v>
      </c>
      <c r="L2185">
        <v>253</v>
      </c>
      <c r="M2185">
        <v>97.7</v>
      </c>
      <c r="N2185">
        <v>98.1</v>
      </c>
      <c r="O2185">
        <v>508.8</v>
      </c>
    </row>
    <row r="2186" spans="1:15">
      <c r="A2186">
        <v>595</v>
      </c>
      <c r="B2186" t="s">
        <v>13450</v>
      </c>
      <c r="C2186" t="s">
        <v>5406</v>
      </c>
      <c r="D2186" t="s">
        <v>13451</v>
      </c>
      <c r="E2186" t="s">
        <v>13452</v>
      </c>
      <c r="F2186" t="s">
        <v>13453</v>
      </c>
      <c r="G2186" t="s">
        <v>5904</v>
      </c>
      <c r="H2186">
        <v>707</v>
      </c>
      <c r="I2186">
        <v>738</v>
      </c>
      <c r="J2186">
        <v>740</v>
      </c>
      <c r="K2186">
        <v>512</v>
      </c>
      <c r="L2186">
        <v>594</v>
      </c>
      <c r="M2186">
        <v>72.400000000000006</v>
      </c>
      <c r="N2186">
        <v>84</v>
      </c>
      <c r="O2186">
        <v>1002.3</v>
      </c>
    </row>
    <row r="2187" spans="1:15">
      <c r="A2187">
        <v>594</v>
      </c>
      <c r="B2187" t="s">
        <v>5407</v>
      </c>
      <c r="C2187" t="s">
        <v>5408</v>
      </c>
      <c r="D2187" t="s">
        <v>13454</v>
      </c>
      <c r="E2187" t="s">
        <v>13455</v>
      </c>
      <c r="F2187" t="s">
        <v>13456</v>
      </c>
      <c r="G2187" t="s">
        <v>5904</v>
      </c>
      <c r="H2187">
        <v>265</v>
      </c>
      <c r="I2187">
        <v>264</v>
      </c>
      <c r="J2187">
        <v>238</v>
      </c>
      <c r="K2187">
        <v>200</v>
      </c>
      <c r="L2187">
        <v>211</v>
      </c>
      <c r="M2187">
        <v>75.5</v>
      </c>
      <c r="N2187">
        <v>79.599999999999994</v>
      </c>
      <c r="O2187">
        <v>411</v>
      </c>
    </row>
    <row r="2188" spans="1:15">
      <c r="A2188">
        <v>593</v>
      </c>
      <c r="B2188" t="s">
        <v>5411</v>
      </c>
      <c r="C2188" t="s">
        <v>5412</v>
      </c>
      <c r="D2188" t="s">
        <v>13457</v>
      </c>
      <c r="E2188" t="s">
        <v>13458</v>
      </c>
      <c r="F2188" t="s">
        <v>13459</v>
      </c>
      <c r="G2188" t="s">
        <v>5904</v>
      </c>
      <c r="H2188">
        <v>377</v>
      </c>
      <c r="I2188">
        <v>377</v>
      </c>
      <c r="J2188">
        <v>377</v>
      </c>
      <c r="K2188">
        <v>369</v>
      </c>
      <c r="L2188">
        <v>374</v>
      </c>
      <c r="M2188">
        <v>97.9</v>
      </c>
      <c r="N2188">
        <v>99.2</v>
      </c>
      <c r="O2188">
        <v>766.9</v>
      </c>
    </row>
    <row r="2189" spans="1:15">
      <c r="A2189">
        <v>592</v>
      </c>
      <c r="B2189" t="s">
        <v>13460</v>
      </c>
      <c r="C2189" t="s">
        <v>5415</v>
      </c>
      <c r="D2189" t="s">
        <v>13461</v>
      </c>
      <c r="E2189" t="s">
        <v>13462</v>
      </c>
      <c r="F2189" t="s">
        <v>13463</v>
      </c>
      <c r="G2189" t="s">
        <v>5904</v>
      </c>
      <c r="H2189">
        <v>1682</v>
      </c>
      <c r="I2189">
        <v>1675</v>
      </c>
      <c r="J2189">
        <v>1682</v>
      </c>
      <c r="K2189">
        <v>1674</v>
      </c>
      <c r="L2189">
        <v>1674</v>
      </c>
      <c r="M2189">
        <v>99.5</v>
      </c>
      <c r="N2189">
        <v>99.5</v>
      </c>
      <c r="O2189">
        <v>3478.3</v>
      </c>
    </row>
    <row r="2190" spans="1:15">
      <c r="A2190">
        <v>591</v>
      </c>
      <c r="B2190" t="s">
        <v>13464</v>
      </c>
      <c r="C2190" t="s">
        <v>5418</v>
      </c>
      <c r="D2190" t="s">
        <v>13465</v>
      </c>
      <c r="E2190" t="s">
        <v>13466</v>
      </c>
      <c r="F2190" t="s">
        <v>13467</v>
      </c>
      <c r="G2190" t="s">
        <v>5904</v>
      </c>
      <c r="H2190">
        <v>951</v>
      </c>
      <c r="I2190">
        <v>937</v>
      </c>
      <c r="J2190">
        <v>951</v>
      </c>
      <c r="K2190">
        <v>937</v>
      </c>
      <c r="L2190">
        <v>937</v>
      </c>
      <c r="M2190">
        <v>98.5</v>
      </c>
      <c r="N2190">
        <v>98.5</v>
      </c>
      <c r="O2190">
        <v>1919.4</v>
      </c>
    </row>
    <row r="2191" spans="1:15">
      <c r="A2191">
        <v>590</v>
      </c>
      <c r="B2191" t="s">
        <v>13468</v>
      </c>
      <c r="C2191" t="s">
        <v>5799</v>
      </c>
      <c r="D2191" t="s">
        <v>13469</v>
      </c>
      <c r="E2191" t="s">
        <v>13470</v>
      </c>
      <c r="F2191" t="s">
        <v>13471</v>
      </c>
      <c r="G2191" t="s">
        <v>5904</v>
      </c>
      <c r="H2191">
        <v>862</v>
      </c>
      <c r="I2191">
        <v>585</v>
      </c>
      <c r="J2191">
        <v>587</v>
      </c>
      <c r="K2191">
        <v>415</v>
      </c>
      <c r="L2191">
        <v>472</v>
      </c>
      <c r="M2191">
        <v>48.1</v>
      </c>
      <c r="N2191">
        <v>54.8</v>
      </c>
      <c r="O2191">
        <v>842.8</v>
      </c>
    </row>
    <row r="2192" spans="1:15">
      <c r="A2192">
        <v>589</v>
      </c>
      <c r="B2192" t="s">
        <v>5419</v>
      </c>
      <c r="C2192" t="s">
        <v>5420</v>
      </c>
      <c r="D2192" t="s">
        <v>13472</v>
      </c>
      <c r="E2192" t="s">
        <v>13473</v>
      </c>
      <c r="F2192" t="s">
        <v>13474</v>
      </c>
      <c r="G2192" t="s">
        <v>5904</v>
      </c>
      <c r="H2192">
        <v>613</v>
      </c>
      <c r="I2192">
        <v>586</v>
      </c>
      <c r="J2192">
        <v>561</v>
      </c>
      <c r="K2192">
        <v>504</v>
      </c>
      <c r="L2192">
        <v>519</v>
      </c>
      <c r="M2192">
        <v>82.2</v>
      </c>
      <c r="N2192">
        <v>84.7</v>
      </c>
      <c r="O2192">
        <v>1015.8</v>
      </c>
    </row>
    <row r="2193" spans="1:15">
      <c r="A2193">
        <v>588</v>
      </c>
      <c r="B2193" t="s">
        <v>5421</v>
      </c>
      <c r="C2193" t="s">
        <v>5422</v>
      </c>
      <c r="D2193" t="s">
        <v>13475</v>
      </c>
      <c r="E2193" t="s">
        <v>13476</v>
      </c>
      <c r="F2193" t="s">
        <v>13477</v>
      </c>
      <c r="G2193" t="s">
        <v>5904</v>
      </c>
      <c r="H2193">
        <v>597</v>
      </c>
      <c r="I2193">
        <v>596</v>
      </c>
      <c r="J2193">
        <v>596</v>
      </c>
      <c r="K2193">
        <v>554</v>
      </c>
      <c r="L2193">
        <v>572</v>
      </c>
      <c r="M2193">
        <v>92.8</v>
      </c>
      <c r="N2193">
        <v>95.8</v>
      </c>
      <c r="O2193">
        <v>1083.2</v>
      </c>
    </row>
    <row r="2194" spans="1:15">
      <c r="A2194">
        <v>587</v>
      </c>
      <c r="B2194" t="s">
        <v>13478</v>
      </c>
      <c r="C2194" t="s">
        <v>5425</v>
      </c>
      <c r="D2194" t="s">
        <v>13479</v>
      </c>
      <c r="E2194" t="s">
        <v>13480</v>
      </c>
      <c r="F2194" t="s">
        <v>13481</v>
      </c>
      <c r="G2194" t="s">
        <v>5904</v>
      </c>
      <c r="H2194">
        <v>1007</v>
      </c>
      <c r="I2194">
        <v>1006</v>
      </c>
      <c r="J2194">
        <v>974</v>
      </c>
      <c r="K2194">
        <v>948</v>
      </c>
      <c r="L2194">
        <v>965</v>
      </c>
      <c r="M2194">
        <v>94.1</v>
      </c>
      <c r="N2194">
        <v>95.8</v>
      </c>
      <c r="O2194">
        <v>1986.5</v>
      </c>
    </row>
    <row r="2195" spans="1:15">
      <c r="A2195">
        <v>586</v>
      </c>
      <c r="B2195" t="s">
        <v>5426</v>
      </c>
      <c r="C2195" t="s">
        <v>5427</v>
      </c>
      <c r="D2195" t="s">
        <v>13482</v>
      </c>
      <c r="E2195" t="s">
        <v>13483</v>
      </c>
      <c r="F2195" t="s">
        <v>13484</v>
      </c>
      <c r="G2195" t="s">
        <v>5904</v>
      </c>
      <c r="H2195">
        <v>250</v>
      </c>
      <c r="I2195">
        <v>254</v>
      </c>
      <c r="J2195">
        <v>232</v>
      </c>
      <c r="K2195">
        <v>137</v>
      </c>
      <c r="L2195">
        <v>158</v>
      </c>
      <c r="M2195">
        <v>54.8</v>
      </c>
      <c r="N2195">
        <v>63.2</v>
      </c>
      <c r="O2195">
        <v>254.2</v>
      </c>
    </row>
    <row r="2196" spans="1:15">
      <c r="A2196">
        <v>585</v>
      </c>
      <c r="B2196" t="s">
        <v>5428</v>
      </c>
      <c r="C2196" t="s">
        <v>13485</v>
      </c>
      <c r="D2196" t="s">
        <v>13486</v>
      </c>
      <c r="E2196" t="s">
        <v>13487</v>
      </c>
      <c r="F2196" t="s">
        <v>13488</v>
      </c>
      <c r="G2196" t="s">
        <v>5904</v>
      </c>
      <c r="H2196">
        <v>89</v>
      </c>
      <c r="I2196">
        <v>89</v>
      </c>
      <c r="J2196">
        <v>89</v>
      </c>
      <c r="K2196">
        <v>89</v>
      </c>
      <c r="L2196">
        <v>89</v>
      </c>
      <c r="M2196">
        <v>100</v>
      </c>
      <c r="N2196">
        <v>100</v>
      </c>
      <c r="O2196">
        <v>188.7</v>
      </c>
    </row>
    <row r="2197" spans="1:15">
      <c r="A2197">
        <v>584</v>
      </c>
      <c r="B2197" t="s">
        <v>5430</v>
      </c>
      <c r="C2197" t="s">
        <v>5431</v>
      </c>
      <c r="D2197" t="s">
        <v>13489</v>
      </c>
      <c r="E2197" t="s">
        <v>13490</v>
      </c>
      <c r="F2197" t="s">
        <v>13491</v>
      </c>
      <c r="G2197" t="s">
        <v>5904</v>
      </c>
      <c r="H2197">
        <v>2030</v>
      </c>
      <c r="I2197">
        <v>2033</v>
      </c>
      <c r="J2197">
        <v>2030</v>
      </c>
      <c r="K2197">
        <v>1755</v>
      </c>
      <c r="L2197">
        <v>1879</v>
      </c>
      <c r="M2197">
        <v>86.5</v>
      </c>
      <c r="N2197">
        <v>92.6</v>
      </c>
      <c r="O2197">
        <v>3307.3</v>
      </c>
    </row>
    <row r="2198" spans="1:15">
      <c r="A2198">
        <v>583</v>
      </c>
      <c r="B2198" t="s">
        <v>13492</v>
      </c>
      <c r="C2198" t="s">
        <v>5434</v>
      </c>
      <c r="D2198" t="s">
        <v>13493</v>
      </c>
      <c r="E2198" t="s">
        <v>13494</v>
      </c>
      <c r="F2198" t="s">
        <v>13495</v>
      </c>
      <c r="G2198" t="s">
        <v>5904</v>
      </c>
      <c r="H2198">
        <v>761</v>
      </c>
      <c r="I2198">
        <v>744</v>
      </c>
      <c r="J2198">
        <v>740</v>
      </c>
      <c r="K2198">
        <v>733</v>
      </c>
      <c r="L2198">
        <v>738</v>
      </c>
      <c r="M2198">
        <v>96.3</v>
      </c>
      <c r="N2198">
        <v>97</v>
      </c>
      <c r="O2198">
        <v>1509.2</v>
      </c>
    </row>
    <row r="2199" spans="1:15">
      <c r="A2199">
        <v>582</v>
      </c>
      <c r="B2199" t="s">
        <v>5435</v>
      </c>
      <c r="C2199" t="s">
        <v>5436</v>
      </c>
      <c r="D2199" t="s">
        <v>13496</v>
      </c>
      <c r="E2199" t="s">
        <v>13497</v>
      </c>
      <c r="F2199" t="s">
        <v>13498</v>
      </c>
      <c r="G2199" t="s">
        <v>5904</v>
      </c>
      <c r="H2199">
        <v>1939</v>
      </c>
      <c r="I2199">
        <v>1939</v>
      </c>
      <c r="J2199">
        <v>1939</v>
      </c>
      <c r="K2199">
        <v>1836</v>
      </c>
      <c r="L2199">
        <v>1898</v>
      </c>
      <c r="M2199">
        <v>94.7</v>
      </c>
      <c r="N2199">
        <v>97.9</v>
      </c>
      <c r="O2199">
        <v>3680.9</v>
      </c>
    </row>
    <row r="2200" spans="1:15">
      <c r="A2200">
        <v>581</v>
      </c>
      <c r="B2200" t="s">
        <v>13499</v>
      </c>
      <c r="C2200" t="s">
        <v>5439</v>
      </c>
      <c r="D2200" t="s">
        <v>13500</v>
      </c>
      <c r="E2200" t="s">
        <v>13501</v>
      </c>
      <c r="F2200" t="s">
        <v>13502</v>
      </c>
      <c r="G2200" t="s">
        <v>5904</v>
      </c>
      <c r="H2200">
        <v>1939</v>
      </c>
      <c r="I2200">
        <v>1937</v>
      </c>
      <c r="J2200">
        <v>1939</v>
      </c>
      <c r="K2200">
        <v>1871</v>
      </c>
      <c r="L2200">
        <v>1908</v>
      </c>
      <c r="M2200">
        <v>96.5</v>
      </c>
      <c r="N2200">
        <v>98.4</v>
      </c>
      <c r="O2200">
        <v>3826.6</v>
      </c>
    </row>
    <row r="2201" spans="1:15">
      <c r="A2201">
        <v>580</v>
      </c>
      <c r="B2201" t="s">
        <v>13503</v>
      </c>
      <c r="C2201" t="s">
        <v>5442</v>
      </c>
      <c r="D2201" t="s">
        <v>13504</v>
      </c>
      <c r="E2201" t="s">
        <v>13505</v>
      </c>
      <c r="F2201" t="s">
        <v>13506</v>
      </c>
      <c r="G2201" t="s">
        <v>5904</v>
      </c>
      <c r="H2201">
        <v>1939</v>
      </c>
      <c r="I2201">
        <v>1939</v>
      </c>
      <c r="J2201">
        <v>1939</v>
      </c>
      <c r="K2201">
        <v>1875</v>
      </c>
      <c r="L2201">
        <v>1905</v>
      </c>
      <c r="M2201">
        <v>96.7</v>
      </c>
      <c r="N2201">
        <v>98.2</v>
      </c>
      <c r="O2201">
        <v>3842.3</v>
      </c>
    </row>
    <row r="2202" spans="1:15">
      <c r="A2202">
        <v>579</v>
      </c>
      <c r="B2202" t="s">
        <v>5443</v>
      </c>
      <c r="C2202" t="s">
        <v>5445</v>
      </c>
      <c r="D2202" t="s">
        <v>13507</v>
      </c>
      <c r="E2202" t="s">
        <v>13508</v>
      </c>
      <c r="F2202" t="s">
        <v>13509</v>
      </c>
      <c r="G2202" t="s">
        <v>5904</v>
      </c>
      <c r="H2202">
        <v>1938</v>
      </c>
      <c r="I2202">
        <v>1938</v>
      </c>
      <c r="J2202">
        <v>1938</v>
      </c>
      <c r="K2202">
        <v>1776</v>
      </c>
      <c r="L2202">
        <v>1857</v>
      </c>
      <c r="M2202">
        <v>91.6</v>
      </c>
      <c r="N2202">
        <v>95.8</v>
      </c>
      <c r="O2202">
        <v>3534.6</v>
      </c>
    </row>
    <row r="2203" spans="1:15">
      <c r="A2203">
        <v>578</v>
      </c>
      <c r="B2203" t="s">
        <v>13510</v>
      </c>
      <c r="C2203" t="s">
        <v>5448</v>
      </c>
      <c r="D2203" t="s">
        <v>13511</v>
      </c>
      <c r="E2203" t="s">
        <v>13512</v>
      </c>
      <c r="F2203" t="s">
        <v>13513</v>
      </c>
      <c r="G2203" t="s">
        <v>5904</v>
      </c>
      <c r="H2203">
        <v>689</v>
      </c>
      <c r="I2203">
        <v>655</v>
      </c>
      <c r="J2203">
        <v>689</v>
      </c>
      <c r="K2203">
        <v>598</v>
      </c>
      <c r="L2203">
        <v>621</v>
      </c>
      <c r="M2203">
        <v>86.8</v>
      </c>
      <c r="N2203">
        <v>90.1</v>
      </c>
      <c r="O2203">
        <v>1185.5999999999999</v>
      </c>
    </row>
    <row r="2204" spans="1:15">
      <c r="A2204">
        <v>577</v>
      </c>
      <c r="B2204" t="s">
        <v>5449</v>
      </c>
      <c r="C2204" t="s">
        <v>5450</v>
      </c>
      <c r="D2204" t="s">
        <v>13514</v>
      </c>
      <c r="E2204" t="s">
        <v>13515</v>
      </c>
      <c r="F2204" t="s">
        <v>13516</v>
      </c>
      <c r="G2204" t="s">
        <v>5904</v>
      </c>
      <c r="H2204">
        <v>123</v>
      </c>
      <c r="I2204">
        <v>123</v>
      </c>
      <c r="J2204">
        <v>123</v>
      </c>
      <c r="K2204">
        <v>115</v>
      </c>
      <c r="L2204">
        <v>117</v>
      </c>
      <c r="M2204">
        <v>93.5</v>
      </c>
      <c r="N2204">
        <v>95.1</v>
      </c>
      <c r="O2204">
        <v>238.4</v>
      </c>
    </row>
    <row r="2205" spans="1:15">
      <c r="A2205">
        <v>576</v>
      </c>
      <c r="B2205" t="s">
        <v>5451</v>
      </c>
      <c r="C2205" t="s">
        <v>13517</v>
      </c>
      <c r="D2205" t="s">
        <v>13518</v>
      </c>
      <c r="E2205" t="s">
        <v>13519</v>
      </c>
      <c r="F2205" t="s">
        <v>13520</v>
      </c>
      <c r="G2205" t="s">
        <v>5904</v>
      </c>
      <c r="H2205">
        <v>381</v>
      </c>
      <c r="I2205">
        <v>381</v>
      </c>
      <c r="J2205">
        <v>381</v>
      </c>
      <c r="K2205">
        <v>372</v>
      </c>
      <c r="L2205">
        <v>375</v>
      </c>
      <c r="M2205">
        <v>97.6</v>
      </c>
      <c r="N2205">
        <v>98.4</v>
      </c>
      <c r="O2205">
        <v>763.5</v>
      </c>
    </row>
    <row r="2206" spans="1:15">
      <c r="A2206">
        <v>575</v>
      </c>
      <c r="B2206" t="s">
        <v>13521</v>
      </c>
      <c r="C2206" t="s">
        <v>5455</v>
      </c>
      <c r="D2206" t="s">
        <v>13522</v>
      </c>
      <c r="E2206" t="s">
        <v>13523</v>
      </c>
      <c r="F2206" t="s">
        <v>13524</v>
      </c>
      <c r="G2206" t="s">
        <v>5904</v>
      </c>
      <c r="H2206">
        <v>428</v>
      </c>
      <c r="I2206">
        <v>428</v>
      </c>
      <c r="J2206">
        <v>427</v>
      </c>
      <c r="K2206">
        <v>423</v>
      </c>
      <c r="L2206">
        <v>425</v>
      </c>
      <c r="M2206">
        <v>98.8</v>
      </c>
      <c r="N2206">
        <v>99.3</v>
      </c>
      <c r="O2206">
        <v>853.6</v>
      </c>
    </row>
    <row r="2207" spans="1:15">
      <c r="A2207">
        <v>2130</v>
      </c>
      <c r="B2207" t="s">
        <v>5456</v>
      </c>
      <c r="C2207" t="s">
        <v>5457</v>
      </c>
      <c r="D2207" t="s">
        <v>13525</v>
      </c>
      <c r="E2207" t="s">
        <v>13526</v>
      </c>
      <c r="F2207" t="s">
        <v>13527</v>
      </c>
      <c r="G2207" t="s">
        <v>5904</v>
      </c>
      <c r="H2207">
        <v>244</v>
      </c>
      <c r="I2207">
        <v>243</v>
      </c>
      <c r="J2207">
        <v>244</v>
      </c>
      <c r="K2207">
        <v>234</v>
      </c>
      <c r="L2207">
        <v>237</v>
      </c>
      <c r="M2207">
        <v>95.9</v>
      </c>
      <c r="N2207">
        <v>97.1</v>
      </c>
      <c r="O2207">
        <v>447.2</v>
      </c>
    </row>
    <row r="2208" spans="1:15">
      <c r="A2208">
        <v>574</v>
      </c>
      <c r="B2208" t="s">
        <v>13528</v>
      </c>
      <c r="C2208" t="s">
        <v>5460</v>
      </c>
      <c r="D2208" t="s">
        <v>13529</v>
      </c>
      <c r="E2208" t="s">
        <v>13530</v>
      </c>
      <c r="F2208" t="s">
        <v>13531</v>
      </c>
      <c r="G2208" t="s">
        <v>5904</v>
      </c>
      <c r="H2208">
        <v>877</v>
      </c>
      <c r="I2208">
        <v>876</v>
      </c>
      <c r="J2208">
        <v>876</v>
      </c>
      <c r="K2208">
        <v>871</v>
      </c>
      <c r="L2208">
        <v>873</v>
      </c>
      <c r="M2208">
        <v>99.3</v>
      </c>
      <c r="N2208">
        <v>99.5</v>
      </c>
      <c r="O2208">
        <v>1801.2</v>
      </c>
    </row>
    <row r="2209" spans="1:15">
      <c r="A2209">
        <v>573</v>
      </c>
      <c r="B2209" t="s">
        <v>5461</v>
      </c>
      <c r="C2209" t="s">
        <v>5462</v>
      </c>
      <c r="D2209" t="s">
        <v>13532</v>
      </c>
      <c r="E2209" t="s">
        <v>13533</v>
      </c>
      <c r="F2209" t="s">
        <v>13534</v>
      </c>
      <c r="G2209" t="s">
        <v>5904</v>
      </c>
      <c r="H2209">
        <v>470</v>
      </c>
      <c r="I2209">
        <v>478</v>
      </c>
      <c r="J2209">
        <v>460</v>
      </c>
      <c r="K2209">
        <v>348</v>
      </c>
      <c r="L2209">
        <v>377</v>
      </c>
      <c r="M2209">
        <v>74</v>
      </c>
      <c r="N2209">
        <v>80.2</v>
      </c>
      <c r="O2209">
        <v>696</v>
      </c>
    </row>
    <row r="2210" spans="1:15">
      <c r="A2210">
        <v>572</v>
      </c>
      <c r="B2210" t="s">
        <v>13535</v>
      </c>
      <c r="C2210" t="s">
        <v>5465</v>
      </c>
      <c r="D2210" t="s">
        <v>13536</v>
      </c>
      <c r="E2210" t="s">
        <v>13537</v>
      </c>
      <c r="F2210" t="s">
        <v>13538</v>
      </c>
      <c r="G2210" t="s">
        <v>5904</v>
      </c>
      <c r="H2210">
        <v>529</v>
      </c>
      <c r="I2210">
        <v>507</v>
      </c>
      <c r="J2210">
        <v>529</v>
      </c>
      <c r="K2210">
        <v>496</v>
      </c>
      <c r="L2210">
        <v>499</v>
      </c>
      <c r="M2210">
        <v>93.8</v>
      </c>
      <c r="N2210">
        <v>94.3</v>
      </c>
      <c r="O2210">
        <v>1000.7</v>
      </c>
    </row>
    <row r="2211" spans="1:15">
      <c r="A2211">
        <v>571</v>
      </c>
      <c r="B2211" t="s">
        <v>5466</v>
      </c>
      <c r="C2211" t="s">
        <v>5467</v>
      </c>
      <c r="D2211" t="s">
        <v>13539</v>
      </c>
      <c r="E2211" t="s">
        <v>13540</v>
      </c>
      <c r="F2211" t="s">
        <v>13541</v>
      </c>
      <c r="G2211" t="s">
        <v>5904</v>
      </c>
      <c r="H2211">
        <v>268</v>
      </c>
      <c r="I2211">
        <v>275</v>
      </c>
      <c r="J2211">
        <v>275</v>
      </c>
      <c r="K2211">
        <v>215</v>
      </c>
      <c r="L2211">
        <v>227</v>
      </c>
      <c r="M2211">
        <v>80.2</v>
      </c>
      <c r="N2211">
        <v>84.7</v>
      </c>
      <c r="O2211">
        <v>378.3</v>
      </c>
    </row>
    <row r="2212" spans="1:15">
      <c r="A2212">
        <v>570</v>
      </c>
      <c r="B2212" t="s">
        <v>13542</v>
      </c>
      <c r="C2212" t="s">
        <v>5470</v>
      </c>
      <c r="D2212" t="s">
        <v>13543</v>
      </c>
      <c r="E2212" t="s">
        <v>13544</v>
      </c>
      <c r="F2212" t="s">
        <v>13545</v>
      </c>
      <c r="G2212" t="s">
        <v>5904</v>
      </c>
      <c r="H2212">
        <v>1026</v>
      </c>
      <c r="I2212">
        <v>1043</v>
      </c>
      <c r="J2212">
        <v>1015</v>
      </c>
      <c r="K2212">
        <v>936</v>
      </c>
      <c r="L2212">
        <v>959</v>
      </c>
      <c r="M2212">
        <v>91.2</v>
      </c>
      <c r="N2212">
        <v>93.5</v>
      </c>
      <c r="O2212">
        <v>1862.4</v>
      </c>
    </row>
    <row r="2213" spans="1:15">
      <c r="A2213">
        <v>569</v>
      </c>
      <c r="B2213" t="s">
        <v>5471</v>
      </c>
      <c r="C2213" t="s">
        <v>5472</v>
      </c>
      <c r="D2213" t="s">
        <v>13546</v>
      </c>
      <c r="E2213" t="s">
        <v>13547</v>
      </c>
      <c r="F2213" t="s">
        <v>13548</v>
      </c>
      <c r="G2213" t="s">
        <v>5904</v>
      </c>
      <c r="H2213">
        <v>1940</v>
      </c>
      <c r="I2213">
        <v>1941</v>
      </c>
      <c r="J2213">
        <v>1941</v>
      </c>
      <c r="K2213">
        <v>1887</v>
      </c>
      <c r="L2213">
        <v>1915</v>
      </c>
      <c r="M2213">
        <v>97.3</v>
      </c>
      <c r="N2213">
        <v>98.7</v>
      </c>
      <c r="O2213">
        <v>3847</v>
      </c>
    </row>
    <row r="2214" spans="1:15">
      <c r="A2214">
        <v>568</v>
      </c>
      <c r="B2214" t="s">
        <v>13549</v>
      </c>
      <c r="C2214" t="s">
        <v>5475</v>
      </c>
      <c r="D2214" t="s">
        <v>13550</v>
      </c>
      <c r="E2214" t="s">
        <v>13551</v>
      </c>
      <c r="F2214" t="s">
        <v>13552</v>
      </c>
      <c r="G2214" t="s">
        <v>5904</v>
      </c>
      <c r="H2214">
        <v>931</v>
      </c>
      <c r="I2214">
        <v>919</v>
      </c>
      <c r="J2214">
        <v>930</v>
      </c>
      <c r="K2214">
        <v>906</v>
      </c>
      <c r="L2214">
        <v>911</v>
      </c>
      <c r="M2214">
        <v>97.3</v>
      </c>
      <c r="N2214">
        <v>97.9</v>
      </c>
      <c r="O2214">
        <v>1868.6</v>
      </c>
    </row>
    <row r="2215" spans="1:15">
      <c r="A2215">
        <v>567</v>
      </c>
      <c r="B2215" t="s">
        <v>5476</v>
      </c>
      <c r="C2215" t="s">
        <v>5477</v>
      </c>
      <c r="D2215" t="s">
        <v>13553</v>
      </c>
      <c r="E2215" t="s">
        <v>13554</v>
      </c>
      <c r="F2215" t="s">
        <v>13555</v>
      </c>
      <c r="G2215" t="s">
        <v>5904</v>
      </c>
      <c r="H2215">
        <v>957</v>
      </c>
      <c r="I2215">
        <v>952</v>
      </c>
      <c r="J2215">
        <v>957</v>
      </c>
      <c r="K2215">
        <v>798</v>
      </c>
      <c r="L2215">
        <v>861</v>
      </c>
      <c r="M2215">
        <v>83.4</v>
      </c>
      <c r="N2215">
        <v>90</v>
      </c>
      <c r="O2215">
        <v>1607</v>
      </c>
    </row>
    <row r="2216" spans="1:15">
      <c r="A2216">
        <v>566</v>
      </c>
      <c r="B2216" t="s">
        <v>13556</v>
      </c>
      <c r="C2216" t="s">
        <v>5480</v>
      </c>
      <c r="D2216" t="s">
        <v>13557</v>
      </c>
      <c r="E2216" t="s">
        <v>13558</v>
      </c>
      <c r="F2216" t="s">
        <v>13559</v>
      </c>
      <c r="G2216" t="s">
        <v>5904</v>
      </c>
      <c r="H2216">
        <v>615</v>
      </c>
      <c r="I2216">
        <v>615</v>
      </c>
      <c r="J2216">
        <v>615</v>
      </c>
      <c r="K2216">
        <v>512</v>
      </c>
      <c r="L2216">
        <v>560</v>
      </c>
      <c r="M2216">
        <v>83.3</v>
      </c>
      <c r="N2216">
        <v>91.1</v>
      </c>
      <c r="O2216">
        <v>1085.0999999999999</v>
      </c>
    </row>
    <row r="2217" spans="1:15">
      <c r="A2217">
        <v>565</v>
      </c>
      <c r="B2217" t="s">
        <v>5481</v>
      </c>
      <c r="C2217" t="s">
        <v>5482</v>
      </c>
      <c r="D2217" t="s">
        <v>13560</v>
      </c>
      <c r="E2217" t="s">
        <v>13561</v>
      </c>
      <c r="F2217" t="s">
        <v>13562</v>
      </c>
      <c r="G2217" t="s">
        <v>5904</v>
      </c>
      <c r="H2217">
        <v>161</v>
      </c>
      <c r="I2217">
        <v>161</v>
      </c>
      <c r="J2217">
        <v>161</v>
      </c>
      <c r="K2217">
        <v>145</v>
      </c>
      <c r="L2217">
        <v>154</v>
      </c>
      <c r="M2217">
        <v>90.1</v>
      </c>
      <c r="N2217">
        <v>95.7</v>
      </c>
      <c r="O2217">
        <v>300.10000000000002</v>
      </c>
    </row>
    <row r="2218" spans="1:15">
      <c r="A2218">
        <v>564</v>
      </c>
      <c r="B2218" t="s">
        <v>5483</v>
      </c>
      <c r="C2218" t="s">
        <v>5484</v>
      </c>
      <c r="D2218" t="s">
        <v>13563</v>
      </c>
      <c r="E2218" t="s">
        <v>13564</v>
      </c>
      <c r="F2218" t="s">
        <v>13565</v>
      </c>
      <c r="G2218" t="s">
        <v>5904</v>
      </c>
      <c r="H2218">
        <v>1379</v>
      </c>
      <c r="I2218">
        <v>1380</v>
      </c>
      <c r="J2218">
        <v>1386</v>
      </c>
      <c r="K2218">
        <v>1292</v>
      </c>
      <c r="L2218">
        <v>1327</v>
      </c>
      <c r="M2218">
        <v>93.7</v>
      </c>
      <c r="N2218">
        <v>96.2</v>
      </c>
      <c r="O2218">
        <v>2587</v>
      </c>
    </row>
    <row r="2219" spans="1:15">
      <c r="A2219">
        <v>563</v>
      </c>
      <c r="B2219" t="s">
        <v>5485</v>
      </c>
      <c r="C2219" t="s">
        <v>5486</v>
      </c>
      <c r="D2219" t="s">
        <v>13566</v>
      </c>
      <c r="E2219" t="s">
        <v>13567</v>
      </c>
      <c r="F2219" t="s">
        <v>13568</v>
      </c>
      <c r="G2219" t="s">
        <v>5904</v>
      </c>
      <c r="H2219">
        <v>2518</v>
      </c>
      <c r="I2219">
        <v>2511</v>
      </c>
      <c r="J2219">
        <v>2519</v>
      </c>
      <c r="K2219">
        <v>2060</v>
      </c>
      <c r="L2219">
        <v>2252</v>
      </c>
      <c r="M2219">
        <v>81.8</v>
      </c>
      <c r="N2219">
        <v>89.4</v>
      </c>
      <c r="O2219">
        <v>4187.1000000000004</v>
      </c>
    </row>
    <row r="2220" spans="1:15">
      <c r="A2220">
        <v>562</v>
      </c>
      <c r="B2220" t="s">
        <v>13569</v>
      </c>
      <c r="C2220" t="s">
        <v>5489</v>
      </c>
      <c r="D2220" t="s">
        <v>13570</v>
      </c>
      <c r="E2220" t="s">
        <v>13571</v>
      </c>
      <c r="F2220" t="s">
        <v>13572</v>
      </c>
      <c r="G2220" t="s">
        <v>5904</v>
      </c>
      <c r="H2220">
        <v>770</v>
      </c>
      <c r="I2220">
        <v>770</v>
      </c>
      <c r="J2220">
        <v>770</v>
      </c>
      <c r="K2220">
        <v>768</v>
      </c>
      <c r="L2220">
        <v>769</v>
      </c>
      <c r="M2220">
        <v>99.7</v>
      </c>
      <c r="N2220">
        <v>99.9</v>
      </c>
      <c r="O2220">
        <v>1605.1</v>
      </c>
    </row>
    <row r="2221" spans="1:15">
      <c r="A2221">
        <v>561</v>
      </c>
      <c r="B2221" t="s">
        <v>5490</v>
      </c>
      <c r="C2221" t="s">
        <v>5491</v>
      </c>
      <c r="D2221" t="s">
        <v>13573</v>
      </c>
      <c r="E2221" t="s">
        <v>13574</v>
      </c>
      <c r="F2221" t="s">
        <v>13575</v>
      </c>
      <c r="G2221" t="s">
        <v>5904</v>
      </c>
      <c r="H2221">
        <v>269</v>
      </c>
      <c r="I2221">
        <v>227</v>
      </c>
      <c r="J2221">
        <v>227</v>
      </c>
      <c r="K2221">
        <v>195</v>
      </c>
      <c r="L2221">
        <v>204</v>
      </c>
      <c r="M2221">
        <v>72.5</v>
      </c>
      <c r="N2221">
        <v>75.8</v>
      </c>
      <c r="O2221">
        <v>345.1</v>
      </c>
    </row>
    <row r="2222" spans="1:15">
      <c r="A2222">
        <v>560</v>
      </c>
      <c r="B2222" t="s">
        <v>13576</v>
      </c>
      <c r="C2222" t="s">
        <v>5702</v>
      </c>
      <c r="D2222" t="s">
        <v>13577</v>
      </c>
      <c r="E2222" t="s">
        <v>13578</v>
      </c>
      <c r="F2222" t="s">
        <v>13579</v>
      </c>
      <c r="G2222" t="s">
        <v>5904</v>
      </c>
      <c r="H2222">
        <v>204</v>
      </c>
      <c r="I2222">
        <v>304</v>
      </c>
      <c r="J2222">
        <v>203</v>
      </c>
      <c r="K2222">
        <v>201</v>
      </c>
      <c r="L2222">
        <v>202</v>
      </c>
      <c r="M2222">
        <v>98.5</v>
      </c>
      <c r="N2222">
        <v>99</v>
      </c>
      <c r="O2222">
        <v>407.9</v>
      </c>
    </row>
    <row r="2223" spans="1:15">
      <c r="A2223">
        <v>559</v>
      </c>
      <c r="B2223" t="s">
        <v>5492</v>
      </c>
      <c r="C2223" t="s">
        <v>5493</v>
      </c>
      <c r="D2223" t="s">
        <v>13580</v>
      </c>
      <c r="E2223" t="s">
        <v>13581</v>
      </c>
      <c r="F2223" t="s">
        <v>13582</v>
      </c>
      <c r="G2223" t="s">
        <v>5904</v>
      </c>
      <c r="H2223">
        <v>255</v>
      </c>
      <c r="I2223">
        <v>255</v>
      </c>
      <c r="J2223">
        <v>255</v>
      </c>
      <c r="K2223">
        <v>255</v>
      </c>
      <c r="L2223">
        <v>255</v>
      </c>
      <c r="M2223">
        <v>100</v>
      </c>
      <c r="N2223">
        <v>100</v>
      </c>
      <c r="O2223">
        <v>524.20000000000005</v>
      </c>
    </row>
    <row r="2224" spans="1:15">
      <c r="A2224">
        <v>558</v>
      </c>
      <c r="B2224" t="s">
        <v>5494</v>
      </c>
      <c r="C2224" t="s">
        <v>5495</v>
      </c>
      <c r="D2224" t="s">
        <v>13583</v>
      </c>
      <c r="E2224" t="s">
        <v>13584</v>
      </c>
      <c r="F2224" t="s">
        <v>13585</v>
      </c>
      <c r="G2224" t="s">
        <v>5904</v>
      </c>
      <c r="H2224">
        <v>196</v>
      </c>
      <c r="I2224">
        <v>196</v>
      </c>
      <c r="J2224">
        <v>196</v>
      </c>
      <c r="K2224">
        <v>196</v>
      </c>
      <c r="L2224">
        <v>196</v>
      </c>
      <c r="M2224">
        <v>100</v>
      </c>
      <c r="N2224">
        <v>100</v>
      </c>
      <c r="O2224">
        <v>388.7</v>
      </c>
    </row>
    <row r="2225" spans="1:15">
      <c r="A2225">
        <v>557</v>
      </c>
      <c r="B2225" t="s">
        <v>5496</v>
      </c>
      <c r="C2225" t="s">
        <v>5497</v>
      </c>
      <c r="D2225" t="s">
        <v>13586</v>
      </c>
      <c r="E2225" t="s">
        <v>13587</v>
      </c>
      <c r="F2225" t="s">
        <v>13588</v>
      </c>
      <c r="G2225" t="s">
        <v>5904</v>
      </c>
      <c r="H2225">
        <v>1328</v>
      </c>
      <c r="I2225">
        <v>1328</v>
      </c>
      <c r="J2225">
        <v>1335</v>
      </c>
      <c r="K2225">
        <v>1013</v>
      </c>
      <c r="L2225">
        <v>1142</v>
      </c>
      <c r="M2225">
        <v>76.3</v>
      </c>
      <c r="N2225">
        <v>86</v>
      </c>
      <c r="O2225">
        <v>1904.4</v>
      </c>
    </row>
    <row r="2226" spans="1:15">
      <c r="A2226">
        <v>556</v>
      </c>
      <c r="B2226" t="s">
        <v>5498</v>
      </c>
      <c r="C2226" t="s">
        <v>5499</v>
      </c>
      <c r="D2226" t="s">
        <v>13589</v>
      </c>
      <c r="E2226" t="s">
        <v>13590</v>
      </c>
      <c r="F2226" t="s">
        <v>13591</v>
      </c>
      <c r="G2226" t="s">
        <v>5904</v>
      </c>
      <c r="H2226">
        <v>205</v>
      </c>
      <c r="I2226">
        <v>205</v>
      </c>
      <c r="J2226">
        <v>205</v>
      </c>
      <c r="K2226">
        <v>203</v>
      </c>
      <c r="L2226">
        <v>205</v>
      </c>
      <c r="M2226">
        <v>99</v>
      </c>
      <c r="N2226">
        <v>100</v>
      </c>
      <c r="O2226">
        <v>426.4</v>
      </c>
    </row>
    <row r="2227" spans="1:15">
      <c r="A2227">
        <v>555</v>
      </c>
      <c r="B2227" t="s">
        <v>5500</v>
      </c>
      <c r="C2227" t="s">
        <v>13592</v>
      </c>
      <c r="D2227" t="s">
        <v>13593</v>
      </c>
      <c r="E2227" t="s">
        <v>13594</v>
      </c>
      <c r="F2227" t="s">
        <v>13595</v>
      </c>
      <c r="G2227" t="s">
        <v>5904</v>
      </c>
      <c r="H2227">
        <v>2335</v>
      </c>
      <c r="I2227">
        <v>2335</v>
      </c>
      <c r="J2227">
        <v>2335</v>
      </c>
      <c r="K2227">
        <v>2335</v>
      </c>
      <c r="L2227">
        <v>2335</v>
      </c>
      <c r="M2227">
        <v>100</v>
      </c>
      <c r="N2227">
        <v>100</v>
      </c>
      <c r="O2227">
        <v>4873.5</v>
      </c>
    </row>
    <row r="2228" spans="1:15">
      <c r="A2228">
        <v>554</v>
      </c>
      <c r="B2228" t="s">
        <v>5502</v>
      </c>
      <c r="C2228" t="s">
        <v>13596</v>
      </c>
      <c r="D2228" t="s">
        <v>13597</v>
      </c>
      <c r="E2228" t="s">
        <v>13598</v>
      </c>
      <c r="F2228" t="s">
        <v>13599</v>
      </c>
      <c r="G2228" t="s">
        <v>5904</v>
      </c>
      <c r="H2228">
        <v>418</v>
      </c>
      <c r="I2228">
        <v>418</v>
      </c>
      <c r="J2228">
        <v>417</v>
      </c>
      <c r="K2228">
        <v>369</v>
      </c>
      <c r="L2228">
        <v>393</v>
      </c>
      <c r="M2228">
        <v>88.3</v>
      </c>
      <c r="N2228">
        <v>94</v>
      </c>
      <c r="O2228">
        <v>764.2</v>
      </c>
    </row>
    <row r="2229" spans="1:15">
      <c r="A2229">
        <v>553</v>
      </c>
      <c r="B2229" t="s">
        <v>5504</v>
      </c>
      <c r="C2229" t="s">
        <v>13600</v>
      </c>
      <c r="D2229" t="s">
        <v>13601</v>
      </c>
      <c r="E2229" t="s">
        <v>13602</v>
      </c>
      <c r="F2229" t="s">
        <v>13603</v>
      </c>
      <c r="G2229" t="s">
        <v>5904</v>
      </c>
      <c r="H2229">
        <v>221</v>
      </c>
      <c r="I2229">
        <v>221</v>
      </c>
      <c r="J2229">
        <v>221</v>
      </c>
      <c r="K2229">
        <v>221</v>
      </c>
      <c r="L2229">
        <v>221</v>
      </c>
      <c r="M2229">
        <v>100</v>
      </c>
      <c r="N2229">
        <v>100</v>
      </c>
      <c r="O2229">
        <v>402.5</v>
      </c>
    </row>
    <row r="2230" spans="1:15">
      <c r="A2230">
        <v>2129</v>
      </c>
      <c r="B2230" t="s">
        <v>5506</v>
      </c>
      <c r="C2230" t="s">
        <v>13604</v>
      </c>
      <c r="D2230" t="s">
        <v>13605</v>
      </c>
      <c r="E2230" t="s">
        <v>13606</v>
      </c>
      <c r="F2230" t="s">
        <v>13607</v>
      </c>
      <c r="G2230" t="s">
        <v>5904</v>
      </c>
      <c r="H2230">
        <v>340</v>
      </c>
      <c r="I2230">
        <v>340</v>
      </c>
      <c r="J2230">
        <v>340</v>
      </c>
      <c r="K2230">
        <v>340</v>
      </c>
      <c r="L2230">
        <v>340</v>
      </c>
      <c r="M2230">
        <v>100</v>
      </c>
      <c r="N2230">
        <v>100</v>
      </c>
      <c r="O2230">
        <v>703.7</v>
      </c>
    </row>
    <row r="2231" spans="1:15">
      <c r="A2231">
        <v>552</v>
      </c>
      <c r="B2231" t="s">
        <v>5508</v>
      </c>
      <c r="C2231" t="s">
        <v>5509</v>
      </c>
      <c r="D2231" t="s">
        <v>13608</v>
      </c>
      <c r="E2231" t="s">
        <v>13609</v>
      </c>
      <c r="F2231" t="s">
        <v>13610</v>
      </c>
      <c r="G2231" t="s">
        <v>5904</v>
      </c>
      <c r="H2231">
        <v>253</v>
      </c>
      <c r="I2231">
        <v>261</v>
      </c>
      <c r="J2231">
        <v>261</v>
      </c>
      <c r="K2231">
        <v>243</v>
      </c>
      <c r="L2231">
        <v>246</v>
      </c>
      <c r="M2231">
        <v>96</v>
      </c>
      <c r="N2231">
        <v>97.2</v>
      </c>
      <c r="O2231">
        <v>505</v>
      </c>
    </row>
    <row r="2232" spans="1:15">
      <c r="A2232">
        <v>551</v>
      </c>
      <c r="B2232" t="s">
        <v>13611</v>
      </c>
      <c r="C2232" t="s">
        <v>5512</v>
      </c>
      <c r="D2232" t="s">
        <v>13612</v>
      </c>
      <c r="E2232" t="s">
        <v>13613</v>
      </c>
      <c r="F2232" t="s">
        <v>13614</v>
      </c>
      <c r="G2232" t="s">
        <v>5904</v>
      </c>
      <c r="H2232">
        <v>741</v>
      </c>
      <c r="I2232">
        <v>585</v>
      </c>
      <c r="J2232">
        <v>541</v>
      </c>
      <c r="K2232">
        <v>510</v>
      </c>
      <c r="L2232">
        <v>523</v>
      </c>
      <c r="M2232">
        <v>68.8</v>
      </c>
      <c r="N2232">
        <v>70.599999999999994</v>
      </c>
      <c r="O2232">
        <v>1049.3</v>
      </c>
    </row>
    <row r="2233" spans="1:15">
      <c r="A2233">
        <v>550</v>
      </c>
      <c r="B2233" t="s">
        <v>13615</v>
      </c>
      <c r="C2233" t="s">
        <v>5515</v>
      </c>
      <c r="D2233" t="s">
        <v>13616</v>
      </c>
      <c r="E2233" t="s">
        <v>13617</v>
      </c>
      <c r="F2233" t="s">
        <v>13618</v>
      </c>
      <c r="G2233" t="s">
        <v>5904</v>
      </c>
      <c r="H2233">
        <v>378</v>
      </c>
      <c r="I2233">
        <v>290</v>
      </c>
      <c r="J2233">
        <v>297</v>
      </c>
      <c r="K2233">
        <v>168</v>
      </c>
      <c r="L2233">
        <v>199</v>
      </c>
      <c r="M2233">
        <v>44.4</v>
      </c>
      <c r="N2233">
        <v>52.6</v>
      </c>
      <c r="O2233">
        <v>258.8</v>
      </c>
    </row>
    <row r="2234" spans="1:15">
      <c r="A2234">
        <v>549</v>
      </c>
      <c r="B2234" t="s">
        <v>5516</v>
      </c>
      <c r="C2234" t="s">
        <v>5517</v>
      </c>
      <c r="D2234" t="s">
        <v>13619</v>
      </c>
      <c r="E2234" t="s">
        <v>13620</v>
      </c>
      <c r="F2234" t="s">
        <v>13621</v>
      </c>
      <c r="G2234" t="s">
        <v>5904</v>
      </c>
      <c r="H2234">
        <v>367</v>
      </c>
      <c r="I2234">
        <v>358</v>
      </c>
      <c r="J2234">
        <v>367</v>
      </c>
      <c r="K2234">
        <v>314</v>
      </c>
      <c r="L2234">
        <v>333</v>
      </c>
      <c r="M2234">
        <v>85.6</v>
      </c>
      <c r="N2234">
        <v>90.7</v>
      </c>
      <c r="O2234">
        <v>606.29999999999995</v>
      </c>
    </row>
    <row r="2235" spans="1:15">
      <c r="A2235">
        <v>548</v>
      </c>
      <c r="B2235" t="s">
        <v>13622</v>
      </c>
      <c r="C2235" t="s">
        <v>13623</v>
      </c>
      <c r="D2235" t="s">
        <v>13624</v>
      </c>
      <c r="E2235" t="s">
        <v>13625</v>
      </c>
      <c r="F2235" t="s">
        <v>13626</v>
      </c>
      <c r="G2235" t="s">
        <v>5904</v>
      </c>
      <c r="H2235">
        <v>236</v>
      </c>
      <c r="I2235">
        <v>217</v>
      </c>
      <c r="J2235">
        <v>236</v>
      </c>
      <c r="K2235">
        <v>217</v>
      </c>
      <c r="L2235">
        <v>217</v>
      </c>
      <c r="M2235">
        <v>91.9</v>
      </c>
      <c r="N2235">
        <v>91.9</v>
      </c>
      <c r="O2235">
        <v>443.7</v>
      </c>
    </row>
    <row r="2236" spans="1:15">
      <c r="A2236">
        <v>547</v>
      </c>
      <c r="B2236" t="s">
        <v>5521</v>
      </c>
      <c r="C2236" t="s">
        <v>5522</v>
      </c>
      <c r="D2236" t="s">
        <v>13627</v>
      </c>
      <c r="E2236" t="s">
        <v>13628</v>
      </c>
      <c r="F2236" t="s">
        <v>13629</v>
      </c>
      <c r="G2236" t="s">
        <v>5904</v>
      </c>
      <c r="H2236">
        <v>425</v>
      </c>
      <c r="I2236">
        <v>425</v>
      </c>
      <c r="J2236">
        <v>411</v>
      </c>
      <c r="K2236">
        <v>368</v>
      </c>
      <c r="L2236">
        <v>388</v>
      </c>
      <c r="M2236">
        <v>86.6</v>
      </c>
      <c r="N2236">
        <v>91.3</v>
      </c>
      <c r="O2236">
        <v>731.5</v>
      </c>
    </row>
    <row r="2237" spans="1:15">
      <c r="A2237">
        <v>546</v>
      </c>
      <c r="B2237" t="s">
        <v>5523</v>
      </c>
      <c r="C2237" t="s">
        <v>5524</v>
      </c>
      <c r="D2237" t="s">
        <v>13630</v>
      </c>
      <c r="E2237" t="s">
        <v>13631</v>
      </c>
      <c r="F2237" t="s">
        <v>13632</v>
      </c>
      <c r="G2237" t="s">
        <v>5904</v>
      </c>
      <c r="H2237">
        <v>1940</v>
      </c>
      <c r="I2237">
        <v>1940</v>
      </c>
      <c r="J2237">
        <v>1940</v>
      </c>
      <c r="K2237">
        <v>1913</v>
      </c>
      <c r="L2237">
        <v>1930</v>
      </c>
      <c r="M2237">
        <v>98.6</v>
      </c>
      <c r="N2237">
        <v>99.5</v>
      </c>
      <c r="O2237">
        <v>3896.7</v>
      </c>
    </row>
    <row r="2238" spans="1:15">
      <c r="A2238">
        <v>545</v>
      </c>
      <c r="B2238" t="s">
        <v>5525</v>
      </c>
      <c r="C2238" t="s">
        <v>5526</v>
      </c>
      <c r="D2238" t="s">
        <v>13633</v>
      </c>
      <c r="E2238" t="s">
        <v>13634</v>
      </c>
      <c r="F2238" t="s">
        <v>13635</v>
      </c>
      <c r="G2238" t="s">
        <v>5904</v>
      </c>
      <c r="H2238">
        <v>345</v>
      </c>
      <c r="I2238">
        <v>345</v>
      </c>
      <c r="J2238">
        <v>345</v>
      </c>
      <c r="K2238">
        <v>278</v>
      </c>
      <c r="L2238">
        <v>305</v>
      </c>
      <c r="M2238">
        <v>80.599999999999994</v>
      </c>
      <c r="N2238">
        <v>88.4</v>
      </c>
      <c r="O2238">
        <v>566.20000000000005</v>
      </c>
    </row>
    <row r="2239" spans="1:15">
      <c r="A2239">
        <v>544</v>
      </c>
      <c r="B2239" t="s">
        <v>5527</v>
      </c>
      <c r="C2239" t="s">
        <v>5528</v>
      </c>
      <c r="D2239" t="s">
        <v>13636</v>
      </c>
      <c r="E2239" t="s">
        <v>13637</v>
      </c>
      <c r="F2239" t="s">
        <v>13638</v>
      </c>
      <c r="G2239" t="s">
        <v>5904</v>
      </c>
      <c r="H2239">
        <v>364</v>
      </c>
      <c r="I2239">
        <v>364</v>
      </c>
      <c r="J2239">
        <v>364</v>
      </c>
      <c r="K2239">
        <v>359</v>
      </c>
      <c r="L2239">
        <v>363</v>
      </c>
      <c r="M2239">
        <v>98.6</v>
      </c>
      <c r="N2239">
        <v>99.7</v>
      </c>
      <c r="O2239">
        <v>746.1</v>
      </c>
    </row>
    <row r="2240" spans="1:15">
      <c r="A2240">
        <v>543</v>
      </c>
      <c r="B2240" t="s">
        <v>13639</v>
      </c>
      <c r="C2240" t="s">
        <v>5531</v>
      </c>
      <c r="D2240" t="s">
        <v>13640</v>
      </c>
      <c r="E2240" t="s">
        <v>13641</v>
      </c>
      <c r="F2240" t="s">
        <v>13642</v>
      </c>
      <c r="G2240" t="s">
        <v>5904</v>
      </c>
      <c r="H2240">
        <v>1404</v>
      </c>
      <c r="I2240">
        <v>1314</v>
      </c>
      <c r="J2240">
        <v>1148</v>
      </c>
      <c r="K2240">
        <v>1014</v>
      </c>
      <c r="L2240">
        <v>1059</v>
      </c>
      <c r="M2240">
        <v>72.2</v>
      </c>
      <c r="N2240">
        <v>75.400000000000006</v>
      </c>
      <c r="O2240">
        <v>2018</v>
      </c>
    </row>
    <row r="2241" spans="1:15">
      <c r="A2241">
        <v>542</v>
      </c>
      <c r="B2241" t="s">
        <v>5532</v>
      </c>
      <c r="C2241" t="s">
        <v>5533</v>
      </c>
      <c r="D2241" t="s">
        <v>13643</v>
      </c>
      <c r="E2241" t="s">
        <v>13644</v>
      </c>
      <c r="F2241" t="s">
        <v>13645</v>
      </c>
      <c r="G2241" t="s">
        <v>5904</v>
      </c>
      <c r="H2241">
        <v>284</v>
      </c>
      <c r="I2241">
        <v>291</v>
      </c>
      <c r="J2241">
        <v>285</v>
      </c>
      <c r="K2241">
        <v>230</v>
      </c>
      <c r="L2241">
        <v>254</v>
      </c>
      <c r="M2241">
        <v>81</v>
      </c>
      <c r="N2241">
        <v>89.4</v>
      </c>
      <c r="O2241">
        <v>442.2</v>
      </c>
    </row>
    <row r="2242" spans="1:15">
      <c r="A2242">
        <v>541</v>
      </c>
      <c r="B2242" t="s">
        <v>13646</v>
      </c>
      <c r="C2242" t="s">
        <v>5539</v>
      </c>
      <c r="D2242" t="s">
        <v>13647</v>
      </c>
      <c r="E2242" t="s">
        <v>13648</v>
      </c>
      <c r="F2242" t="s">
        <v>13649</v>
      </c>
      <c r="G2242" t="s">
        <v>5904</v>
      </c>
      <c r="H2242">
        <v>216</v>
      </c>
      <c r="I2242">
        <v>217</v>
      </c>
      <c r="J2242">
        <v>218</v>
      </c>
      <c r="K2242">
        <v>148</v>
      </c>
      <c r="L2242">
        <v>172</v>
      </c>
      <c r="M2242">
        <v>68.5</v>
      </c>
      <c r="N2242">
        <v>79.599999999999994</v>
      </c>
      <c r="O2242">
        <v>265.8</v>
      </c>
    </row>
    <row r="2243" spans="1:15">
      <c r="A2243">
        <v>540</v>
      </c>
      <c r="B2243" t="s">
        <v>13650</v>
      </c>
      <c r="C2243" t="s">
        <v>13651</v>
      </c>
      <c r="D2243" t="s">
        <v>13652</v>
      </c>
      <c r="E2243" t="s">
        <v>13653</v>
      </c>
      <c r="F2243" t="s">
        <v>13654</v>
      </c>
      <c r="G2243" t="s">
        <v>5904</v>
      </c>
      <c r="H2243">
        <v>556</v>
      </c>
      <c r="I2243">
        <v>485</v>
      </c>
      <c r="J2243">
        <v>481</v>
      </c>
      <c r="K2243">
        <v>417</v>
      </c>
      <c r="L2243">
        <v>448</v>
      </c>
      <c r="M2243">
        <v>75</v>
      </c>
      <c r="N2243">
        <v>80.599999999999994</v>
      </c>
      <c r="O2243">
        <v>869.4</v>
      </c>
    </row>
    <row r="2244" spans="1:15">
      <c r="A2244">
        <v>539</v>
      </c>
      <c r="B2244" t="s">
        <v>5546</v>
      </c>
      <c r="C2244" t="s">
        <v>5547</v>
      </c>
      <c r="D2244" t="s">
        <v>13655</v>
      </c>
      <c r="E2244" t="s">
        <v>13656</v>
      </c>
      <c r="F2244" t="s">
        <v>13657</v>
      </c>
      <c r="G2244" t="s">
        <v>5904</v>
      </c>
      <c r="H2244">
        <v>268</v>
      </c>
      <c r="I2244">
        <v>201</v>
      </c>
      <c r="J2244">
        <v>192</v>
      </c>
      <c r="K2244">
        <v>109</v>
      </c>
      <c r="L2244">
        <v>133</v>
      </c>
      <c r="M2244">
        <v>40.700000000000003</v>
      </c>
      <c r="N2244">
        <v>49.6</v>
      </c>
      <c r="O2244">
        <v>216.5</v>
      </c>
    </row>
    <row r="2245" spans="1:15">
      <c r="A2245">
        <v>538</v>
      </c>
      <c r="B2245" t="s">
        <v>13658</v>
      </c>
      <c r="C2245" t="s">
        <v>5550</v>
      </c>
      <c r="D2245" t="s">
        <v>13659</v>
      </c>
      <c r="E2245" t="s">
        <v>13660</v>
      </c>
      <c r="F2245" t="s">
        <v>13661</v>
      </c>
      <c r="G2245" t="s">
        <v>5904</v>
      </c>
      <c r="H2245">
        <v>112</v>
      </c>
      <c r="I2245">
        <v>113</v>
      </c>
      <c r="J2245">
        <v>110</v>
      </c>
      <c r="K2245">
        <v>52</v>
      </c>
      <c r="L2245">
        <v>68</v>
      </c>
      <c r="M2245">
        <v>46.4</v>
      </c>
      <c r="N2245">
        <v>60.7</v>
      </c>
      <c r="O2245">
        <v>90.9</v>
      </c>
    </row>
    <row r="2246" spans="1:15">
      <c r="A2246">
        <v>537</v>
      </c>
      <c r="B2246" t="s">
        <v>5551</v>
      </c>
      <c r="C2246" t="s">
        <v>5552</v>
      </c>
      <c r="D2246" t="s">
        <v>13662</v>
      </c>
      <c r="E2246" t="s">
        <v>13663</v>
      </c>
      <c r="F2246" t="s">
        <v>13664</v>
      </c>
      <c r="G2246" t="s">
        <v>6759</v>
      </c>
      <c r="H2246">
        <v>107</v>
      </c>
      <c r="I2246">
        <v>93</v>
      </c>
      <c r="J2246">
        <v>90</v>
      </c>
      <c r="K2246">
        <v>37</v>
      </c>
      <c r="L2246">
        <v>53</v>
      </c>
      <c r="M2246">
        <v>34.6</v>
      </c>
      <c r="N2246">
        <v>49.5</v>
      </c>
      <c r="O2246">
        <v>83.6</v>
      </c>
    </row>
    <row r="2247" spans="1:15">
      <c r="A2247">
        <v>536</v>
      </c>
      <c r="B2247" t="s">
        <v>13665</v>
      </c>
      <c r="C2247" t="s">
        <v>5555</v>
      </c>
      <c r="D2247" t="s">
        <v>13666</v>
      </c>
      <c r="E2247" t="s">
        <v>13667</v>
      </c>
      <c r="F2247" t="s">
        <v>13668</v>
      </c>
      <c r="G2247" t="s">
        <v>5904</v>
      </c>
      <c r="H2247">
        <v>386</v>
      </c>
      <c r="I2247">
        <v>387</v>
      </c>
      <c r="J2247">
        <v>387</v>
      </c>
      <c r="K2247">
        <v>346</v>
      </c>
      <c r="L2247">
        <v>356</v>
      </c>
      <c r="M2247">
        <v>89.6</v>
      </c>
      <c r="N2247">
        <v>92.2</v>
      </c>
      <c r="O2247">
        <v>637.9</v>
      </c>
    </row>
    <row r="2248" spans="1:15">
      <c r="A2248">
        <v>2128</v>
      </c>
      <c r="B2248" t="s">
        <v>13669</v>
      </c>
      <c r="C2248" t="s">
        <v>5558</v>
      </c>
      <c r="D2248" t="s">
        <v>13670</v>
      </c>
      <c r="E2248" t="s">
        <v>13671</v>
      </c>
      <c r="F2248" t="s">
        <v>13672</v>
      </c>
      <c r="G2248" t="s">
        <v>5904</v>
      </c>
      <c r="H2248">
        <v>264</v>
      </c>
      <c r="I2248">
        <v>268</v>
      </c>
      <c r="J2248">
        <v>153</v>
      </c>
      <c r="K2248">
        <v>150</v>
      </c>
      <c r="L2248">
        <v>153</v>
      </c>
      <c r="M2248">
        <v>56.8</v>
      </c>
      <c r="N2248">
        <v>58</v>
      </c>
      <c r="O2248">
        <v>300.10000000000002</v>
      </c>
    </row>
    <row r="2249" spans="1:15">
      <c r="A2249">
        <v>535</v>
      </c>
      <c r="B2249" t="s">
        <v>5561</v>
      </c>
      <c r="C2249" t="s">
        <v>5562</v>
      </c>
      <c r="D2249" t="s">
        <v>13673</v>
      </c>
      <c r="E2249" t="s">
        <v>13674</v>
      </c>
      <c r="F2249" t="s">
        <v>13675</v>
      </c>
      <c r="G2249" t="s">
        <v>5904</v>
      </c>
      <c r="H2249">
        <v>500</v>
      </c>
      <c r="I2249">
        <v>500</v>
      </c>
      <c r="J2249">
        <v>500</v>
      </c>
      <c r="K2249">
        <v>438</v>
      </c>
      <c r="L2249">
        <v>468</v>
      </c>
      <c r="M2249">
        <v>87.6</v>
      </c>
      <c r="N2249">
        <v>93.6</v>
      </c>
      <c r="O2249">
        <v>926.8</v>
      </c>
    </row>
    <row r="2250" spans="1:15">
      <c r="A2250">
        <v>534</v>
      </c>
      <c r="B2250" t="s">
        <v>5566</v>
      </c>
      <c r="C2250" t="s">
        <v>5567</v>
      </c>
      <c r="D2250" t="s">
        <v>13676</v>
      </c>
      <c r="E2250" t="s">
        <v>13677</v>
      </c>
      <c r="F2250" t="s">
        <v>13678</v>
      </c>
      <c r="G2250" t="s">
        <v>5904</v>
      </c>
      <c r="H2250">
        <v>220</v>
      </c>
      <c r="I2250">
        <v>220</v>
      </c>
      <c r="J2250">
        <v>220</v>
      </c>
      <c r="K2250">
        <v>214</v>
      </c>
      <c r="L2250">
        <v>218</v>
      </c>
      <c r="M2250">
        <v>97.3</v>
      </c>
      <c r="N2250">
        <v>99.1</v>
      </c>
      <c r="O2250">
        <v>451.1</v>
      </c>
    </row>
    <row r="2251" spans="1:15">
      <c r="A2251">
        <v>2127</v>
      </c>
      <c r="B2251" t="s">
        <v>13679</v>
      </c>
      <c r="C2251" t="s">
        <v>5570</v>
      </c>
      <c r="D2251" t="s">
        <v>13680</v>
      </c>
      <c r="E2251" t="s">
        <v>13681</v>
      </c>
      <c r="F2251" t="s">
        <v>13682</v>
      </c>
      <c r="G2251" t="s">
        <v>5904</v>
      </c>
      <c r="H2251">
        <v>557</v>
      </c>
      <c r="I2251">
        <v>559</v>
      </c>
      <c r="J2251">
        <v>560</v>
      </c>
      <c r="K2251">
        <v>554</v>
      </c>
      <c r="L2251">
        <v>554</v>
      </c>
      <c r="M2251">
        <v>99.5</v>
      </c>
      <c r="N2251">
        <v>99.5</v>
      </c>
      <c r="O2251">
        <v>1118.5999999999999</v>
      </c>
    </row>
    <row r="2252" spans="1:15">
      <c r="A2252">
        <v>533</v>
      </c>
      <c r="B2252" t="s">
        <v>5571</v>
      </c>
      <c r="C2252" t="s">
        <v>5572</v>
      </c>
      <c r="D2252" t="s">
        <v>13683</v>
      </c>
      <c r="E2252" t="s">
        <v>13684</v>
      </c>
      <c r="F2252" t="s">
        <v>13685</v>
      </c>
      <c r="G2252" t="s">
        <v>5904</v>
      </c>
      <c r="H2252">
        <v>199</v>
      </c>
      <c r="I2252">
        <v>202</v>
      </c>
      <c r="J2252">
        <v>205</v>
      </c>
      <c r="K2252">
        <v>147</v>
      </c>
      <c r="L2252">
        <v>160</v>
      </c>
      <c r="M2252">
        <v>73.900000000000006</v>
      </c>
      <c r="N2252">
        <v>80.400000000000006</v>
      </c>
      <c r="O2252">
        <v>283.89999999999998</v>
      </c>
    </row>
    <row r="2253" spans="1:15">
      <c r="A2253">
        <v>532</v>
      </c>
      <c r="B2253" t="s">
        <v>13686</v>
      </c>
      <c r="C2253" t="s">
        <v>5575</v>
      </c>
      <c r="D2253" t="s">
        <v>13687</v>
      </c>
      <c r="E2253" t="s">
        <v>13688</v>
      </c>
      <c r="F2253" t="s">
        <v>13689</v>
      </c>
      <c r="G2253" t="s">
        <v>5904</v>
      </c>
      <c r="H2253">
        <v>589</v>
      </c>
      <c r="I2253">
        <v>592</v>
      </c>
      <c r="J2253">
        <v>595</v>
      </c>
      <c r="K2253">
        <v>477</v>
      </c>
      <c r="L2253">
        <v>531</v>
      </c>
      <c r="M2253">
        <v>81</v>
      </c>
      <c r="N2253">
        <v>90.2</v>
      </c>
      <c r="O2253">
        <v>901</v>
      </c>
    </row>
    <row r="2254" spans="1:15">
      <c r="A2254">
        <v>531</v>
      </c>
      <c r="B2254" t="s">
        <v>5576</v>
      </c>
      <c r="C2254" t="s">
        <v>5578</v>
      </c>
      <c r="D2254" t="s">
        <v>13690</v>
      </c>
      <c r="E2254" t="s">
        <v>13691</v>
      </c>
      <c r="F2254" t="s">
        <v>13692</v>
      </c>
      <c r="G2254" t="s">
        <v>5904</v>
      </c>
      <c r="H2254">
        <v>152</v>
      </c>
      <c r="I2254">
        <v>152</v>
      </c>
      <c r="J2254">
        <v>152</v>
      </c>
      <c r="K2254">
        <v>139</v>
      </c>
      <c r="L2254">
        <v>148</v>
      </c>
      <c r="M2254">
        <v>91.4</v>
      </c>
      <c r="N2254">
        <v>97.4</v>
      </c>
      <c r="O2254">
        <v>293.5</v>
      </c>
    </row>
    <row r="2255" spans="1:15">
      <c r="A2255">
        <v>530</v>
      </c>
      <c r="B2255" t="s">
        <v>5579</v>
      </c>
      <c r="C2255" t="s">
        <v>13693</v>
      </c>
      <c r="D2255" t="s">
        <v>13694</v>
      </c>
      <c r="E2255" t="s">
        <v>13695</v>
      </c>
      <c r="F2255" t="s">
        <v>13696</v>
      </c>
      <c r="G2255" t="s">
        <v>5904</v>
      </c>
      <c r="H2255">
        <v>152</v>
      </c>
      <c r="I2255">
        <v>152</v>
      </c>
      <c r="J2255">
        <v>152</v>
      </c>
      <c r="K2255">
        <v>139</v>
      </c>
      <c r="L2255">
        <v>144</v>
      </c>
      <c r="M2255">
        <v>91.4</v>
      </c>
      <c r="N2255">
        <v>94.7</v>
      </c>
      <c r="O2255">
        <v>294.7</v>
      </c>
    </row>
    <row r="2256" spans="1:15">
      <c r="A2256">
        <v>529</v>
      </c>
      <c r="B2256" t="s">
        <v>13697</v>
      </c>
      <c r="C2256" t="s">
        <v>5583</v>
      </c>
      <c r="D2256" t="s">
        <v>13698</v>
      </c>
      <c r="E2256" t="s">
        <v>13699</v>
      </c>
      <c r="F2256" t="s">
        <v>13700</v>
      </c>
      <c r="G2256" t="s">
        <v>5904</v>
      </c>
      <c r="H2256">
        <v>780</v>
      </c>
      <c r="I2256">
        <v>777</v>
      </c>
      <c r="J2256">
        <v>781</v>
      </c>
      <c r="K2256">
        <v>718</v>
      </c>
      <c r="L2256">
        <v>740</v>
      </c>
      <c r="M2256">
        <v>92.1</v>
      </c>
      <c r="N2256">
        <v>94.9</v>
      </c>
      <c r="O2256">
        <v>1393.6</v>
      </c>
    </row>
    <row r="2257" spans="1:15">
      <c r="A2257">
        <v>528</v>
      </c>
      <c r="B2257" t="s">
        <v>5584</v>
      </c>
      <c r="C2257" t="s">
        <v>5585</v>
      </c>
      <c r="D2257" t="s">
        <v>13701</v>
      </c>
      <c r="E2257" t="s">
        <v>13702</v>
      </c>
      <c r="F2257" t="s">
        <v>13703</v>
      </c>
      <c r="G2257" t="s">
        <v>5904</v>
      </c>
      <c r="H2257">
        <v>505</v>
      </c>
      <c r="I2257">
        <v>502</v>
      </c>
      <c r="J2257">
        <v>500</v>
      </c>
      <c r="K2257">
        <v>444</v>
      </c>
      <c r="L2257">
        <v>471</v>
      </c>
      <c r="M2257">
        <v>87.9</v>
      </c>
      <c r="N2257">
        <v>93.3</v>
      </c>
      <c r="O2257">
        <v>930.6</v>
      </c>
    </row>
    <row r="2258" spans="1:15">
      <c r="A2258">
        <v>527</v>
      </c>
      <c r="B2258" t="s">
        <v>5586</v>
      </c>
      <c r="C2258" t="s">
        <v>5587</v>
      </c>
      <c r="D2258" t="s">
        <v>13704</v>
      </c>
      <c r="E2258" t="s">
        <v>13705</v>
      </c>
      <c r="F2258" t="s">
        <v>13706</v>
      </c>
      <c r="G2258" t="s">
        <v>5904</v>
      </c>
      <c r="H2258">
        <v>244</v>
      </c>
      <c r="I2258">
        <v>244</v>
      </c>
      <c r="J2258">
        <v>243</v>
      </c>
      <c r="K2258">
        <v>211</v>
      </c>
      <c r="L2258">
        <v>226</v>
      </c>
      <c r="M2258">
        <v>86.5</v>
      </c>
      <c r="N2258">
        <v>92.6</v>
      </c>
      <c r="O2258">
        <v>434.9</v>
      </c>
    </row>
    <row r="2259" spans="1:15">
      <c r="A2259">
        <v>526</v>
      </c>
      <c r="B2259" t="s">
        <v>5588</v>
      </c>
      <c r="C2259" t="s">
        <v>5589</v>
      </c>
      <c r="D2259" t="s">
        <v>13707</v>
      </c>
      <c r="E2259" t="s">
        <v>13708</v>
      </c>
      <c r="F2259" t="s">
        <v>13709</v>
      </c>
      <c r="G2259" t="s">
        <v>5904</v>
      </c>
      <c r="H2259">
        <v>134</v>
      </c>
      <c r="I2259">
        <v>93</v>
      </c>
      <c r="J2259">
        <v>95</v>
      </c>
      <c r="K2259">
        <v>62</v>
      </c>
      <c r="L2259">
        <v>73</v>
      </c>
      <c r="M2259">
        <v>46.3</v>
      </c>
      <c r="N2259">
        <v>54.5</v>
      </c>
      <c r="O2259">
        <v>138.30000000000001</v>
      </c>
    </row>
    <row r="2260" spans="1:15">
      <c r="A2260">
        <v>525</v>
      </c>
      <c r="B2260" t="s">
        <v>5590</v>
      </c>
      <c r="C2260" t="s">
        <v>5591</v>
      </c>
      <c r="D2260" t="s">
        <v>13710</v>
      </c>
      <c r="E2260" t="s">
        <v>13711</v>
      </c>
      <c r="F2260" t="s">
        <v>13712</v>
      </c>
      <c r="G2260" t="s">
        <v>5904</v>
      </c>
      <c r="H2260">
        <v>108</v>
      </c>
      <c r="I2260">
        <v>120</v>
      </c>
      <c r="J2260">
        <v>107</v>
      </c>
      <c r="K2260">
        <v>75</v>
      </c>
      <c r="L2260">
        <v>89</v>
      </c>
      <c r="M2260">
        <v>69.400000000000006</v>
      </c>
      <c r="N2260">
        <v>82.4</v>
      </c>
      <c r="O2260">
        <v>141</v>
      </c>
    </row>
    <row r="2261" spans="1:15">
      <c r="A2261">
        <v>2126</v>
      </c>
      <c r="B2261" t="s">
        <v>5592</v>
      </c>
      <c r="C2261" t="s">
        <v>5593</v>
      </c>
      <c r="D2261" t="s">
        <v>13713</v>
      </c>
      <c r="E2261" t="s">
        <v>13714</v>
      </c>
      <c r="F2261" t="s">
        <v>13715</v>
      </c>
      <c r="G2261" t="s">
        <v>5904</v>
      </c>
      <c r="H2261">
        <v>459</v>
      </c>
      <c r="I2261">
        <v>455</v>
      </c>
      <c r="J2261">
        <v>439</v>
      </c>
      <c r="K2261">
        <v>360</v>
      </c>
      <c r="L2261">
        <v>386</v>
      </c>
      <c r="M2261">
        <v>78.400000000000006</v>
      </c>
      <c r="N2261">
        <v>84.1</v>
      </c>
      <c r="O2261">
        <v>767.3</v>
      </c>
    </row>
    <row r="2262" spans="1:15">
      <c r="A2262">
        <v>524</v>
      </c>
      <c r="B2262" t="s">
        <v>5594</v>
      </c>
      <c r="C2262" t="s">
        <v>13716</v>
      </c>
      <c r="D2262" t="s">
        <v>13717</v>
      </c>
      <c r="E2262" t="s">
        <v>13718</v>
      </c>
      <c r="F2262" t="s">
        <v>13719</v>
      </c>
      <c r="G2262" t="s">
        <v>5904</v>
      </c>
      <c r="H2262">
        <v>212</v>
      </c>
      <c r="I2262">
        <v>212</v>
      </c>
      <c r="J2262">
        <v>212</v>
      </c>
      <c r="K2262">
        <v>211</v>
      </c>
      <c r="L2262">
        <v>212</v>
      </c>
      <c r="M2262">
        <v>99.5</v>
      </c>
      <c r="N2262">
        <v>100</v>
      </c>
      <c r="O2262">
        <v>430.3</v>
      </c>
    </row>
    <row r="2263" spans="1:15">
      <c r="A2263">
        <v>523</v>
      </c>
      <c r="B2263" t="s">
        <v>5596</v>
      </c>
      <c r="C2263" t="s">
        <v>5597</v>
      </c>
      <c r="D2263" t="s">
        <v>13720</v>
      </c>
      <c r="E2263" t="s">
        <v>13721</v>
      </c>
      <c r="F2263" t="s">
        <v>13722</v>
      </c>
      <c r="G2263" t="s">
        <v>5904</v>
      </c>
      <c r="H2263">
        <v>115</v>
      </c>
      <c r="I2263">
        <v>115</v>
      </c>
      <c r="J2263">
        <v>115</v>
      </c>
      <c r="K2263">
        <v>109</v>
      </c>
      <c r="L2263">
        <v>110</v>
      </c>
      <c r="M2263">
        <v>94.8</v>
      </c>
      <c r="N2263">
        <v>95.7</v>
      </c>
      <c r="O2263">
        <v>213</v>
      </c>
    </row>
    <row r="2264" spans="1:15">
      <c r="A2264">
        <v>522</v>
      </c>
      <c r="B2264" t="s">
        <v>5598</v>
      </c>
      <c r="C2264" t="s">
        <v>5599</v>
      </c>
      <c r="D2264" t="s">
        <v>13723</v>
      </c>
      <c r="E2264" t="s">
        <v>13724</v>
      </c>
      <c r="F2264" t="s">
        <v>13725</v>
      </c>
      <c r="G2264" t="s">
        <v>5904</v>
      </c>
      <c r="H2264">
        <v>510</v>
      </c>
      <c r="I2264">
        <v>508</v>
      </c>
      <c r="J2264">
        <v>510</v>
      </c>
      <c r="K2264">
        <v>478</v>
      </c>
      <c r="L2264">
        <v>493</v>
      </c>
      <c r="M2264">
        <v>93.7</v>
      </c>
      <c r="N2264">
        <v>96.7</v>
      </c>
      <c r="O2264">
        <v>899.4</v>
      </c>
    </row>
    <row r="2265" spans="1:15">
      <c r="A2265">
        <v>521</v>
      </c>
      <c r="B2265" t="s">
        <v>13726</v>
      </c>
      <c r="C2265" t="s">
        <v>5602</v>
      </c>
      <c r="D2265" t="s">
        <v>13727</v>
      </c>
      <c r="E2265" t="s">
        <v>13728</v>
      </c>
      <c r="F2265" t="s">
        <v>13729</v>
      </c>
      <c r="G2265" t="s">
        <v>5904</v>
      </c>
      <c r="H2265">
        <v>422</v>
      </c>
      <c r="I2265">
        <v>422</v>
      </c>
      <c r="J2265">
        <v>422</v>
      </c>
      <c r="K2265">
        <v>422</v>
      </c>
      <c r="L2265">
        <v>422</v>
      </c>
      <c r="M2265">
        <v>100</v>
      </c>
      <c r="N2265">
        <v>100</v>
      </c>
      <c r="O2265">
        <v>856.7</v>
      </c>
    </row>
    <row r="2266" spans="1:15">
      <c r="A2266">
        <v>520</v>
      </c>
      <c r="B2266" t="s">
        <v>5603</v>
      </c>
      <c r="C2266" t="s">
        <v>5604</v>
      </c>
      <c r="D2266" t="s">
        <v>13730</v>
      </c>
      <c r="E2266" t="s">
        <v>13731</v>
      </c>
      <c r="F2266" t="s">
        <v>13732</v>
      </c>
      <c r="G2266" t="s">
        <v>5904</v>
      </c>
      <c r="H2266">
        <v>744</v>
      </c>
      <c r="I2266">
        <v>743</v>
      </c>
      <c r="J2266">
        <v>703</v>
      </c>
      <c r="K2266">
        <v>603</v>
      </c>
      <c r="L2266">
        <v>645</v>
      </c>
      <c r="M2266">
        <v>81</v>
      </c>
      <c r="N2266">
        <v>86.7</v>
      </c>
      <c r="O2266">
        <v>1255.7</v>
      </c>
    </row>
    <row r="2267" spans="1:15">
      <c r="A2267">
        <v>2262</v>
      </c>
      <c r="B2267" t="s">
        <v>5605</v>
      </c>
      <c r="C2267" t="s">
        <v>5606</v>
      </c>
      <c r="D2267" t="s">
        <v>13733</v>
      </c>
      <c r="E2267" t="s">
        <v>13734</v>
      </c>
      <c r="F2267" t="s">
        <v>13735</v>
      </c>
      <c r="G2267" t="s">
        <v>5904</v>
      </c>
      <c r="H2267">
        <v>227</v>
      </c>
      <c r="I2267">
        <v>227</v>
      </c>
      <c r="J2267">
        <v>220</v>
      </c>
      <c r="K2267">
        <v>163</v>
      </c>
      <c r="L2267">
        <v>192</v>
      </c>
      <c r="M2267">
        <v>71.8</v>
      </c>
      <c r="N2267">
        <v>84.6</v>
      </c>
      <c r="O2267">
        <v>330.1</v>
      </c>
    </row>
    <row r="2268" spans="1:15">
      <c r="A2268">
        <v>2261</v>
      </c>
      <c r="B2268" t="s">
        <v>5607</v>
      </c>
      <c r="C2268" t="s">
        <v>5608</v>
      </c>
      <c r="D2268" t="s">
        <v>13736</v>
      </c>
      <c r="E2268" t="s">
        <v>13737</v>
      </c>
      <c r="F2268" t="s">
        <v>13738</v>
      </c>
      <c r="G2268" t="s">
        <v>5904</v>
      </c>
      <c r="H2268">
        <v>67</v>
      </c>
      <c r="I2268">
        <v>68</v>
      </c>
      <c r="J2268">
        <v>67</v>
      </c>
      <c r="K2268">
        <v>33</v>
      </c>
      <c r="L2268">
        <v>43</v>
      </c>
      <c r="M2268">
        <v>49.3</v>
      </c>
      <c r="N2268">
        <v>64.2</v>
      </c>
      <c r="O2268">
        <v>60.8</v>
      </c>
    </row>
    <row r="2270" spans="1:15">
      <c r="A2270" t="s">
        <v>13743</v>
      </c>
    </row>
    <row r="2271" spans="1:15">
      <c r="A2271" t="s">
        <v>13744</v>
      </c>
    </row>
    <row r="2272" spans="1:15">
      <c r="A2272" t="s">
        <v>13745</v>
      </c>
    </row>
    <row r="2273" spans="1:1">
      <c r="A2273" t="s">
        <v>13746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674"/>
  <sheetViews>
    <sheetView workbookViewId="0"/>
  </sheetViews>
  <sheetFormatPr baseColWidth="10" defaultRowHeight="16"/>
  <cols>
    <col min="1" max="1" width="21" bestFit="1" customWidth="1"/>
    <col min="21" max="36" width="10.83203125" style="11"/>
    <col min="37" max="38" width="10.83203125" style="16"/>
    <col min="39" max="39" width="10.83203125" style="26"/>
    <col min="40" max="40" width="10.83203125" style="27"/>
    <col min="41" max="42" width="10.83203125" style="11"/>
    <col min="45" max="45" width="21" bestFit="1" customWidth="1"/>
  </cols>
  <sheetData>
    <row r="1" spans="1:45">
      <c r="A1" s="1" t="s">
        <v>36847</v>
      </c>
    </row>
    <row r="4" spans="1:45">
      <c r="B4" s="24" t="s">
        <v>66</v>
      </c>
      <c r="C4" s="24" t="s">
        <v>56</v>
      </c>
      <c r="D4" s="24" t="s">
        <v>67</v>
      </c>
      <c r="E4" s="24" t="s">
        <v>68</v>
      </c>
      <c r="F4" s="24" t="s">
        <v>69</v>
      </c>
      <c r="G4" s="24" t="s">
        <v>60</v>
      </c>
      <c r="H4" s="24" t="s">
        <v>61</v>
      </c>
      <c r="I4" s="24" t="s">
        <v>62</v>
      </c>
      <c r="J4" s="24" t="s">
        <v>63</v>
      </c>
      <c r="K4" s="24" t="s">
        <v>64</v>
      </c>
      <c r="L4" s="24" t="s">
        <v>53</v>
      </c>
      <c r="M4" s="24" t="s">
        <v>65</v>
      </c>
      <c r="N4" s="24" t="s">
        <v>54</v>
      </c>
      <c r="O4" s="24" t="s">
        <v>55</v>
      </c>
      <c r="P4" s="24" t="s">
        <v>70</v>
      </c>
      <c r="Q4" s="24" t="s">
        <v>57</v>
      </c>
      <c r="R4" s="24" t="s">
        <v>58</v>
      </c>
      <c r="S4" s="24" t="s">
        <v>71</v>
      </c>
      <c r="T4" s="24" t="s">
        <v>59</v>
      </c>
    </row>
    <row r="5" spans="1:45">
      <c r="A5" s="1" t="s">
        <v>3</v>
      </c>
      <c r="B5" s="1" t="s">
        <v>5813</v>
      </c>
      <c r="C5" s="1" t="s">
        <v>5803</v>
      </c>
      <c r="D5" s="1" t="s">
        <v>5814</v>
      </c>
      <c r="E5" s="1" t="s">
        <v>5815</v>
      </c>
      <c r="F5" s="1" t="s">
        <v>5816</v>
      </c>
      <c r="G5" s="1" t="s">
        <v>5807</v>
      </c>
      <c r="H5" s="1" t="s">
        <v>5808</v>
      </c>
      <c r="I5" s="1" t="s">
        <v>5809</v>
      </c>
      <c r="J5" s="1" t="s">
        <v>5810</v>
      </c>
      <c r="K5" s="25" t="s">
        <v>5811</v>
      </c>
      <c r="L5" s="1" t="s">
        <v>5800</v>
      </c>
      <c r="M5" s="1" t="s">
        <v>5812</v>
      </c>
      <c r="N5" s="1" t="s">
        <v>5801</v>
      </c>
      <c r="O5" s="25" t="s">
        <v>5802</v>
      </c>
      <c r="P5" s="1" t="s">
        <v>5817</v>
      </c>
      <c r="Q5" s="1" t="s">
        <v>5804</v>
      </c>
      <c r="R5" s="1" t="s">
        <v>5805</v>
      </c>
      <c r="S5" s="25" t="s">
        <v>5818</v>
      </c>
      <c r="T5" s="1" t="s">
        <v>5806</v>
      </c>
      <c r="U5" s="28" t="s">
        <v>5849</v>
      </c>
      <c r="V5" s="28" t="s">
        <v>5850</v>
      </c>
      <c r="W5" s="28" t="s">
        <v>5851</v>
      </c>
      <c r="X5" s="28" t="s">
        <v>5852</v>
      </c>
      <c r="Y5" s="28" t="s">
        <v>5853</v>
      </c>
      <c r="Z5" s="28" t="s">
        <v>5854</v>
      </c>
      <c r="AA5" s="28" t="s">
        <v>5855</v>
      </c>
      <c r="AB5" s="28" t="s">
        <v>5856</v>
      </c>
      <c r="AC5" s="28" t="s">
        <v>5857</v>
      </c>
      <c r="AD5" s="28" t="s">
        <v>5858</v>
      </c>
      <c r="AE5" s="28" t="s">
        <v>5859</v>
      </c>
      <c r="AF5" s="28" t="s">
        <v>5860</v>
      </c>
      <c r="AG5" s="28" t="s">
        <v>5861</v>
      </c>
      <c r="AH5" s="28" t="s">
        <v>5862</v>
      </c>
      <c r="AI5" s="28" t="s">
        <v>5863</v>
      </c>
      <c r="AJ5" s="28" t="s">
        <v>5864</v>
      </c>
      <c r="AK5" s="17" t="s">
        <v>5865</v>
      </c>
      <c r="AL5" s="17" t="s">
        <v>5866</v>
      </c>
      <c r="AM5" s="29" t="s">
        <v>5867</v>
      </c>
      <c r="AN5" s="30" t="s">
        <v>5868</v>
      </c>
      <c r="AO5" s="28" t="s">
        <v>5869</v>
      </c>
      <c r="AP5" s="28" t="s">
        <v>5870</v>
      </c>
      <c r="AQ5" s="1" t="s">
        <v>5871</v>
      </c>
      <c r="AR5" s="1" t="s">
        <v>5872</v>
      </c>
      <c r="AS5" t="s">
        <v>5873</v>
      </c>
    </row>
    <row r="6" spans="1:45">
      <c r="A6" t="s">
        <v>5609</v>
      </c>
      <c r="B6" s="2">
        <v>1083.519</v>
      </c>
      <c r="C6" s="2">
        <v>651.98699999999997</v>
      </c>
      <c r="D6" s="2">
        <v>545.26199999999994</v>
      </c>
      <c r="E6" s="2">
        <v>524.28</v>
      </c>
      <c r="F6" s="2">
        <v>465.37099999999998</v>
      </c>
      <c r="G6" s="2">
        <v>434.49099999999999</v>
      </c>
      <c r="H6" s="2">
        <v>1142.4939999999999</v>
      </c>
      <c r="I6" s="2">
        <v>877.05</v>
      </c>
      <c r="J6" s="2">
        <v>625.40499999999997</v>
      </c>
      <c r="K6" s="2">
        <v>1412.606</v>
      </c>
      <c r="L6" s="2">
        <v>498.53699999999998</v>
      </c>
      <c r="M6" s="2">
        <v>625.303</v>
      </c>
      <c r="N6" s="2">
        <v>1311.64</v>
      </c>
      <c r="O6" s="2">
        <v>1665.317</v>
      </c>
      <c r="P6" s="2">
        <v>1201.8430000000001</v>
      </c>
      <c r="Q6" s="2">
        <v>946.072</v>
      </c>
      <c r="R6" s="2">
        <v>1002.752</v>
      </c>
      <c r="S6" s="2">
        <v>780.53300000000002</v>
      </c>
      <c r="T6" s="2">
        <v>1206.5989999999999</v>
      </c>
      <c r="U6" s="11">
        <v>1312.8156193869299</v>
      </c>
      <c r="V6" s="11">
        <v>627.91780668169497</v>
      </c>
      <c r="W6" s="11">
        <v>872.91496498622405</v>
      </c>
      <c r="X6" s="11">
        <v>792.70057832403802</v>
      </c>
      <c r="Y6" s="11">
        <v>400.32607791462999</v>
      </c>
      <c r="Z6" s="11">
        <v>403.96648866485901</v>
      </c>
      <c r="AA6" s="11">
        <v>1204.2661581728501</v>
      </c>
      <c r="AB6" s="11">
        <v>853.579333790281</v>
      </c>
      <c r="AC6" s="11">
        <v>497.04183659539598</v>
      </c>
      <c r="AD6" s="11">
        <v>314.37884897381002</v>
      </c>
      <c r="AE6" s="11">
        <v>500.27398397156901</v>
      </c>
      <c r="AF6" s="11">
        <v>1110.3311063204801</v>
      </c>
      <c r="AG6" s="11">
        <v>1104.2049055965999</v>
      </c>
      <c r="AH6" s="11">
        <v>746.653198641367</v>
      </c>
      <c r="AI6" s="11">
        <v>1512.76395999644</v>
      </c>
      <c r="AJ6" s="11">
        <v>1837.21361895627</v>
      </c>
      <c r="AK6" s="16">
        <v>0.236275475993838</v>
      </c>
      <c r="AL6" s="16">
        <v>1.1784612732695501</v>
      </c>
      <c r="AM6" s="26">
        <v>0.53479532149499598</v>
      </c>
      <c r="AN6" s="27">
        <v>0.61473895202775297</v>
      </c>
      <c r="AO6" s="11">
        <v>808.56087849018797</v>
      </c>
      <c r="AP6" s="11">
        <v>952.85768238149205</v>
      </c>
      <c r="AQ6" t="s">
        <v>5874</v>
      </c>
      <c r="AR6" t="s">
        <v>5832</v>
      </c>
      <c r="AS6" t="s">
        <v>5609</v>
      </c>
    </row>
    <row r="7" spans="1:45">
      <c r="A7" t="s">
        <v>4822</v>
      </c>
      <c r="B7" s="2">
        <v>353.99700000000001</v>
      </c>
      <c r="C7" s="2">
        <v>183</v>
      </c>
      <c r="D7" s="2">
        <v>130</v>
      </c>
      <c r="E7" s="2">
        <v>73</v>
      </c>
      <c r="F7" s="2">
        <v>64</v>
      </c>
      <c r="G7" s="2">
        <v>84</v>
      </c>
      <c r="H7" s="2">
        <v>355</v>
      </c>
      <c r="I7" s="2">
        <v>20</v>
      </c>
      <c r="J7" s="2">
        <v>239</v>
      </c>
      <c r="K7" s="2">
        <v>662.99800000000005</v>
      </c>
      <c r="L7" s="2">
        <v>130</v>
      </c>
      <c r="M7" s="2">
        <v>191</v>
      </c>
      <c r="N7" s="2">
        <v>414</v>
      </c>
      <c r="O7" s="2">
        <v>440</v>
      </c>
      <c r="P7" s="2">
        <v>337</v>
      </c>
      <c r="Q7" s="2">
        <v>244</v>
      </c>
      <c r="R7" s="2">
        <v>360</v>
      </c>
      <c r="S7" s="2">
        <v>335</v>
      </c>
      <c r="T7" s="2">
        <v>440</v>
      </c>
      <c r="U7" s="11">
        <v>428.92176212549401</v>
      </c>
      <c r="V7" s="11">
        <v>176.240734083973</v>
      </c>
      <c r="W7" s="11">
        <v>208.103696035593</v>
      </c>
      <c r="X7" s="11">
        <v>110.37028841818599</v>
      </c>
      <c r="Y7" s="11">
        <v>55.051287035961103</v>
      </c>
      <c r="Z7" s="11">
        <v>78.097088717717298</v>
      </c>
      <c r="AA7" s="11">
        <v>374.192110416947</v>
      </c>
      <c r="AB7" s="11">
        <v>19.463671959646099</v>
      </c>
      <c r="AC7" s="11">
        <v>189.94723208554501</v>
      </c>
      <c r="AD7" s="11">
        <v>81.984454095477105</v>
      </c>
      <c r="AE7" s="11">
        <v>152.81038051906199</v>
      </c>
      <c r="AF7" s="11">
        <v>350.47047729237499</v>
      </c>
      <c r="AG7" s="11">
        <v>309.63309467969299</v>
      </c>
      <c r="AH7" s="11">
        <v>192.56249917397</v>
      </c>
      <c r="AI7" s="11">
        <v>543.07441723047202</v>
      </c>
      <c r="AJ7" s="11">
        <v>669.96021244883104</v>
      </c>
      <c r="AK7" s="16">
        <v>0.778587558821909</v>
      </c>
      <c r="AL7" s="16">
        <v>1.7170249515326499</v>
      </c>
      <c r="AM7" s="26">
        <v>0.13882949939362499</v>
      </c>
      <c r="AN7" s="27">
        <v>0.18954476549864299</v>
      </c>
      <c r="AO7" s="11">
        <v>181.30507984919001</v>
      </c>
      <c r="AP7" s="11">
        <v>311.30534594067802</v>
      </c>
      <c r="AQ7" t="s">
        <v>5874</v>
      </c>
      <c r="AR7" t="s">
        <v>5832</v>
      </c>
      <c r="AS7" t="s">
        <v>4822</v>
      </c>
    </row>
    <row r="8" spans="1:45">
      <c r="A8" t="s">
        <v>4553</v>
      </c>
      <c r="B8" s="2">
        <v>192</v>
      </c>
      <c r="C8" s="2">
        <v>109</v>
      </c>
      <c r="D8" s="2">
        <v>206</v>
      </c>
      <c r="E8" s="2">
        <v>88</v>
      </c>
      <c r="F8" s="2">
        <v>154</v>
      </c>
      <c r="G8" s="2">
        <v>173</v>
      </c>
      <c r="H8" s="2">
        <v>314</v>
      </c>
      <c r="I8" s="2">
        <v>455</v>
      </c>
      <c r="J8" s="2">
        <v>166</v>
      </c>
      <c r="K8" s="2">
        <v>39</v>
      </c>
      <c r="L8" s="2">
        <v>251</v>
      </c>
      <c r="M8" s="2">
        <v>354</v>
      </c>
      <c r="N8" s="2">
        <v>160</v>
      </c>
      <c r="O8" s="2">
        <v>62</v>
      </c>
      <c r="P8" s="2">
        <v>186</v>
      </c>
      <c r="Q8" s="2">
        <v>280</v>
      </c>
      <c r="R8" s="2">
        <v>154</v>
      </c>
      <c r="S8" s="2">
        <v>117</v>
      </c>
      <c r="T8" s="2">
        <v>197</v>
      </c>
      <c r="U8" s="11">
        <v>232.635532000268</v>
      </c>
      <c r="V8" s="11">
        <v>104.973989153842</v>
      </c>
      <c r="W8" s="11">
        <v>329.76431833332498</v>
      </c>
      <c r="X8" s="11">
        <v>133.04911480548401</v>
      </c>
      <c r="Y8" s="11">
        <v>132.46715943028099</v>
      </c>
      <c r="Z8" s="11">
        <v>160.842813668632</v>
      </c>
      <c r="AA8" s="11">
        <v>330.975556819497</v>
      </c>
      <c r="AB8" s="11">
        <v>442.79853708194901</v>
      </c>
      <c r="AC8" s="11">
        <v>131.92987667866299</v>
      </c>
      <c r="AD8" s="11">
        <v>158.29306136896</v>
      </c>
      <c r="AE8" s="11">
        <v>283.21923928663898</v>
      </c>
      <c r="AF8" s="11">
        <v>135.44752745599101</v>
      </c>
      <c r="AG8" s="11">
        <v>170.895417241611</v>
      </c>
      <c r="AH8" s="11">
        <v>220.97335970783499</v>
      </c>
      <c r="AI8" s="11">
        <v>232.31516737081299</v>
      </c>
      <c r="AJ8" s="11">
        <v>299.95945875549899</v>
      </c>
      <c r="AK8" s="16">
        <v>-0.194747285255537</v>
      </c>
      <c r="AL8" s="16">
        <v>-1.14358184919696</v>
      </c>
      <c r="AM8" s="26">
        <v>0.57111015882876204</v>
      </c>
      <c r="AN8" s="27">
        <v>0.64978349703476501</v>
      </c>
      <c r="AO8" s="11">
        <v>233.43837766166001</v>
      </c>
      <c r="AP8" s="11">
        <v>204.12913848325101</v>
      </c>
      <c r="AQ8" t="s">
        <v>5875</v>
      </c>
      <c r="AR8" t="s">
        <v>5832</v>
      </c>
      <c r="AS8" t="s">
        <v>4553</v>
      </c>
    </row>
    <row r="9" spans="1:45">
      <c r="A9" t="s">
        <v>1781</v>
      </c>
      <c r="B9" s="2">
        <v>282</v>
      </c>
      <c r="C9" s="2">
        <v>150.92599999999999</v>
      </c>
      <c r="D9" s="2">
        <v>146.90100000000001</v>
      </c>
      <c r="E9" s="2">
        <v>89</v>
      </c>
      <c r="F9" s="2">
        <v>75</v>
      </c>
      <c r="G9" s="2">
        <v>75</v>
      </c>
      <c r="H9" s="2">
        <v>150</v>
      </c>
      <c r="I9" s="2">
        <v>203</v>
      </c>
      <c r="J9" s="2">
        <v>168</v>
      </c>
      <c r="K9" s="2">
        <v>349</v>
      </c>
      <c r="L9" s="2">
        <v>90</v>
      </c>
      <c r="M9" s="2">
        <v>112</v>
      </c>
      <c r="N9" s="2">
        <v>271</v>
      </c>
      <c r="O9" s="2">
        <v>355</v>
      </c>
      <c r="P9" s="2">
        <v>231.79900000000001</v>
      </c>
      <c r="Q9" s="2">
        <v>201</v>
      </c>
      <c r="R9" s="2">
        <v>169</v>
      </c>
      <c r="S9" s="2">
        <v>223</v>
      </c>
      <c r="T9" s="2">
        <v>217</v>
      </c>
      <c r="U9" s="11">
        <v>341.68343762539399</v>
      </c>
      <c r="V9" s="11">
        <v>145.32637581022701</v>
      </c>
      <c r="W9" s="11">
        <v>235.15717652022099</v>
      </c>
      <c r="X9" s="11">
        <v>134.56103656463699</v>
      </c>
      <c r="Y9" s="11">
        <v>64.513226995266905</v>
      </c>
      <c r="Z9" s="11">
        <v>69.729543497961799</v>
      </c>
      <c r="AA9" s="11">
        <v>158.109342429696</v>
      </c>
      <c r="AB9" s="11">
        <v>197.556270390408</v>
      </c>
      <c r="AC9" s="11">
        <v>133.51939326515301</v>
      </c>
      <c r="AD9" s="11">
        <v>56.758468219945698</v>
      </c>
      <c r="AE9" s="11">
        <v>89.606087005942399</v>
      </c>
      <c r="AF9" s="11">
        <v>229.414249628584</v>
      </c>
      <c r="AG9" s="11">
        <v>212.976116755943</v>
      </c>
      <c r="AH9" s="11">
        <v>158.62730464741</v>
      </c>
      <c r="AI9" s="11">
        <v>254.94326808874899</v>
      </c>
      <c r="AJ9" s="11">
        <v>330.41219568499201</v>
      </c>
      <c r="AK9" s="16">
        <v>0.121078813022478</v>
      </c>
      <c r="AL9" s="16">
        <v>1.0888292285797301</v>
      </c>
      <c r="AM9" s="26">
        <v>0.76007195700841002</v>
      </c>
      <c r="AN9" s="27">
        <v>0.82026835229121897</v>
      </c>
      <c r="AO9" s="11">
        <v>168.32955122922601</v>
      </c>
      <c r="AP9" s="11">
        <v>183.28213541209001</v>
      </c>
      <c r="AQ9" t="s">
        <v>5874</v>
      </c>
      <c r="AR9" t="s">
        <v>5832</v>
      </c>
      <c r="AS9" t="s">
        <v>1781</v>
      </c>
    </row>
    <row r="10" spans="1:45">
      <c r="A10" t="s">
        <v>1810</v>
      </c>
      <c r="B10" s="2">
        <v>131</v>
      </c>
      <c r="C10" s="2">
        <v>102</v>
      </c>
      <c r="D10" s="2">
        <v>17</v>
      </c>
      <c r="E10" s="2">
        <v>25</v>
      </c>
      <c r="F10" s="2">
        <v>21</v>
      </c>
      <c r="G10" s="2">
        <v>40</v>
      </c>
      <c r="H10" s="2">
        <v>49</v>
      </c>
      <c r="I10" s="2">
        <v>112</v>
      </c>
      <c r="J10" s="2">
        <v>127</v>
      </c>
      <c r="K10" s="2">
        <v>541</v>
      </c>
      <c r="L10" s="2">
        <v>105</v>
      </c>
      <c r="M10" s="2">
        <v>151</v>
      </c>
      <c r="N10" s="2">
        <v>336</v>
      </c>
      <c r="O10" s="2">
        <v>433</v>
      </c>
      <c r="P10" s="2">
        <v>169</v>
      </c>
      <c r="Q10" s="2">
        <v>126</v>
      </c>
      <c r="R10" s="2">
        <v>291</v>
      </c>
      <c r="S10" s="2">
        <v>215</v>
      </c>
      <c r="T10" s="2">
        <v>366</v>
      </c>
      <c r="U10" s="11">
        <v>158.72528485435001</v>
      </c>
      <c r="V10" s="11">
        <v>98.232540309099605</v>
      </c>
      <c r="W10" s="11">
        <v>27.213560250808399</v>
      </c>
      <c r="X10" s="11">
        <v>37.798043978830698</v>
      </c>
      <c r="Y10" s="11">
        <v>18.0637035586747</v>
      </c>
      <c r="Z10" s="11">
        <v>37.189089865579597</v>
      </c>
      <c r="AA10" s="11">
        <v>51.6490518603674</v>
      </c>
      <c r="AB10" s="11">
        <v>108.996562974018</v>
      </c>
      <c r="AC10" s="11">
        <v>100.93430324211</v>
      </c>
      <c r="AD10" s="11">
        <v>66.218212923270002</v>
      </c>
      <c r="AE10" s="11">
        <v>120.808206588369</v>
      </c>
      <c r="AF10" s="11">
        <v>284.43980765757999</v>
      </c>
      <c r="AG10" s="11">
        <v>155.275943622754</v>
      </c>
      <c r="AH10" s="11">
        <v>99.438011868525706</v>
      </c>
      <c r="AI10" s="11">
        <v>438.98515392796497</v>
      </c>
      <c r="AJ10" s="11">
        <v>557.28508580971004</v>
      </c>
      <c r="AK10" s="16">
        <v>1.7552613368557299</v>
      </c>
      <c r="AL10" s="16">
        <v>3.3900237158648099</v>
      </c>
      <c r="AM10" s="26">
        <v>5.9963955197529296E-4</v>
      </c>
      <c r="AN10" s="27">
        <v>1.4378453773171E-3</v>
      </c>
      <c r="AO10" s="11">
        <v>67.233479706465999</v>
      </c>
      <c r="AP10" s="11">
        <v>227.92309070503501</v>
      </c>
      <c r="AQ10" t="s">
        <v>5874</v>
      </c>
      <c r="AR10" t="s">
        <v>5876</v>
      </c>
      <c r="AS10" t="s">
        <v>1810</v>
      </c>
    </row>
    <row r="11" spans="1:45">
      <c r="A11" t="s">
        <v>2933</v>
      </c>
      <c r="B11" s="2">
        <v>114</v>
      </c>
      <c r="C11" s="2">
        <v>104</v>
      </c>
      <c r="D11" s="2">
        <v>84</v>
      </c>
      <c r="E11" s="2">
        <v>24</v>
      </c>
      <c r="F11" s="2">
        <v>24</v>
      </c>
      <c r="G11" s="2">
        <v>70</v>
      </c>
      <c r="H11" s="2">
        <v>56</v>
      </c>
      <c r="I11" s="2">
        <v>151</v>
      </c>
      <c r="J11" s="2">
        <v>214</v>
      </c>
      <c r="K11" s="2">
        <v>67</v>
      </c>
      <c r="L11" s="2">
        <v>395</v>
      </c>
      <c r="M11" s="2">
        <v>544.99300000000005</v>
      </c>
      <c r="N11" s="2">
        <v>307</v>
      </c>
      <c r="O11" s="2">
        <v>71</v>
      </c>
      <c r="P11" s="2">
        <v>82</v>
      </c>
      <c r="Q11" s="2">
        <v>430</v>
      </c>
      <c r="R11" s="2">
        <v>297</v>
      </c>
      <c r="S11" s="2">
        <v>83</v>
      </c>
      <c r="T11" s="2">
        <v>236</v>
      </c>
      <c r="U11" s="11">
        <v>138.12734712515899</v>
      </c>
      <c r="V11" s="11">
        <v>100.158668550454</v>
      </c>
      <c r="W11" s="11">
        <v>134.46700359222999</v>
      </c>
      <c r="X11" s="11">
        <v>36.286122219677502</v>
      </c>
      <c r="Y11" s="11">
        <v>20.644232638485398</v>
      </c>
      <c r="Z11" s="11">
        <v>65.080907264764406</v>
      </c>
      <c r="AA11" s="11">
        <v>59.027487840419901</v>
      </c>
      <c r="AB11" s="11">
        <v>146.950723295328</v>
      </c>
      <c r="AC11" s="11">
        <v>170.07827475442099</v>
      </c>
      <c r="AD11" s="11">
        <v>249.10661052087301</v>
      </c>
      <c r="AE11" s="11">
        <v>436.029619805702</v>
      </c>
      <c r="AF11" s="11">
        <v>259.88994330618198</v>
      </c>
      <c r="AG11" s="11">
        <v>75.340990396839302</v>
      </c>
      <c r="AH11" s="11">
        <v>339.351945265604</v>
      </c>
      <c r="AI11" s="11">
        <v>448.03639421513998</v>
      </c>
      <c r="AJ11" s="11">
        <v>359.34229576800999</v>
      </c>
      <c r="AK11" s="16">
        <v>1.7369027677644</v>
      </c>
      <c r="AL11" s="16">
        <v>3.3352852138395499</v>
      </c>
      <c r="AM11" s="26">
        <v>4.51266616984017E-5</v>
      </c>
      <c r="AN11" s="27">
        <v>1.3912321048954301E-4</v>
      </c>
      <c r="AO11" s="11">
        <v>87.592811565814799</v>
      </c>
      <c r="AP11" s="11">
        <v>292.14700925409602</v>
      </c>
      <c r="AQ11" t="s">
        <v>5874</v>
      </c>
      <c r="AR11" t="s">
        <v>5876</v>
      </c>
      <c r="AS11" t="s">
        <v>2933</v>
      </c>
    </row>
    <row r="12" spans="1:45">
      <c r="A12" t="s">
        <v>3006</v>
      </c>
      <c r="B12" s="2">
        <v>85</v>
      </c>
      <c r="C12" s="2">
        <v>149</v>
      </c>
      <c r="D12" s="2">
        <v>36</v>
      </c>
      <c r="E12" s="2">
        <v>58</v>
      </c>
      <c r="F12" s="2">
        <v>60</v>
      </c>
      <c r="G12" s="2">
        <v>60</v>
      </c>
      <c r="H12" s="2">
        <v>32</v>
      </c>
      <c r="I12" s="2">
        <v>53</v>
      </c>
      <c r="J12" s="2">
        <v>265</v>
      </c>
      <c r="K12" s="2">
        <v>177</v>
      </c>
      <c r="L12" s="2">
        <v>175</v>
      </c>
      <c r="M12" s="2">
        <v>339</v>
      </c>
      <c r="N12" s="2">
        <v>288</v>
      </c>
      <c r="O12" s="2">
        <v>126</v>
      </c>
      <c r="P12" s="2">
        <v>263</v>
      </c>
      <c r="Q12" s="2">
        <v>265</v>
      </c>
      <c r="R12" s="2">
        <v>253</v>
      </c>
      <c r="S12" s="2">
        <v>228</v>
      </c>
      <c r="T12" s="2">
        <v>269</v>
      </c>
      <c r="U12" s="11">
        <v>102.989688645952</v>
      </c>
      <c r="V12" s="11">
        <v>143.49655398094001</v>
      </c>
      <c r="W12" s="11">
        <v>57.628715825241301</v>
      </c>
      <c r="X12" s="11">
        <v>87.691462030887294</v>
      </c>
      <c r="Y12" s="11">
        <v>51.6105815962135</v>
      </c>
      <c r="Z12" s="11">
        <v>55.783634798369498</v>
      </c>
      <c r="AA12" s="11">
        <v>33.729993051668501</v>
      </c>
      <c r="AB12" s="11">
        <v>51.578730693062198</v>
      </c>
      <c r="AC12" s="11">
        <v>210.610947709914</v>
      </c>
      <c r="AD12" s="11">
        <v>110.36368820545</v>
      </c>
      <c r="AE12" s="11">
        <v>271.21842406262903</v>
      </c>
      <c r="AF12" s="11">
        <v>243.805549420783</v>
      </c>
      <c r="AG12" s="11">
        <v>241.64244480937501</v>
      </c>
      <c r="AH12" s="11">
        <v>209.135501152058</v>
      </c>
      <c r="AI12" s="11">
        <v>381.66063210919299</v>
      </c>
      <c r="AJ12" s="11">
        <v>409.58931170167199</v>
      </c>
      <c r="AK12" s="16">
        <v>1.82618630662735</v>
      </c>
      <c r="AL12" s="16">
        <v>3.5551637649713199</v>
      </c>
      <c r="AM12" s="26">
        <v>1.82111761470658E-7</v>
      </c>
      <c r="AN12" s="27">
        <v>1.12808118910991E-6</v>
      </c>
      <c r="AO12" s="11">
        <v>73.063670077791699</v>
      </c>
      <c r="AP12" s="11">
        <v>259.75331239638399</v>
      </c>
      <c r="AQ12" t="s">
        <v>5874</v>
      </c>
      <c r="AR12" t="s">
        <v>5876</v>
      </c>
      <c r="AS12" t="s">
        <v>3006</v>
      </c>
    </row>
    <row r="13" spans="1:45">
      <c r="A13" t="s">
        <v>4459</v>
      </c>
      <c r="B13" s="2">
        <v>167</v>
      </c>
      <c r="C13" s="2">
        <v>334</v>
      </c>
      <c r="D13" s="2">
        <v>329</v>
      </c>
      <c r="E13" s="2">
        <v>271</v>
      </c>
      <c r="F13" s="2">
        <v>345</v>
      </c>
      <c r="G13" s="2">
        <v>223</v>
      </c>
      <c r="H13" s="2">
        <v>269</v>
      </c>
      <c r="I13" s="2">
        <v>113</v>
      </c>
      <c r="J13" s="2">
        <v>158</v>
      </c>
      <c r="K13" s="2">
        <v>2</v>
      </c>
      <c r="L13" s="2">
        <v>51</v>
      </c>
      <c r="M13" s="2">
        <v>95</v>
      </c>
      <c r="N13" s="2">
        <v>290</v>
      </c>
      <c r="O13" s="2">
        <v>20</v>
      </c>
      <c r="P13" s="2">
        <v>28</v>
      </c>
      <c r="Q13" s="2">
        <v>75</v>
      </c>
      <c r="R13" s="2">
        <v>38</v>
      </c>
      <c r="S13" s="2">
        <v>35</v>
      </c>
      <c r="T13" s="2">
        <v>71</v>
      </c>
      <c r="U13" s="11">
        <v>202.34444710439999</v>
      </c>
      <c r="V13" s="11">
        <v>321.66341630626698</v>
      </c>
      <c r="W13" s="11">
        <v>526.66243073623298</v>
      </c>
      <c r="X13" s="11">
        <v>409.73079673052501</v>
      </c>
      <c r="Y13" s="11">
        <v>296.76084417822801</v>
      </c>
      <c r="Z13" s="11">
        <v>207.32917600060699</v>
      </c>
      <c r="AA13" s="11">
        <v>283.54275409058801</v>
      </c>
      <c r="AB13" s="11">
        <v>109.969746572001</v>
      </c>
      <c r="AC13" s="11">
        <v>125.571810332703</v>
      </c>
      <c r="AD13" s="11">
        <v>32.163131991302599</v>
      </c>
      <c r="AE13" s="11">
        <v>76.005163085397598</v>
      </c>
      <c r="AF13" s="11">
        <v>245.49864351398301</v>
      </c>
      <c r="AG13" s="11">
        <v>25.726191842823201</v>
      </c>
      <c r="AH13" s="11">
        <v>59.189292778884401</v>
      </c>
      <c r="AI13" s="11">
        <v>57.324521818772098</v>
      </c>
      <c r="AJ13" s="11">
        <v>108.10721609969799</v>
      </c>
      <c r="AK13" s="16">
        <v>-1.68981904074161</v>
      </c>
      <c r="AL13" s="16">
        <v>-3.2319749884837399</v>
      </c>
      <c r="AM13" s="26">
        <v>1.0784033930214301E-4</v>
      </c>
      <c r="AN13" s="27">
        <v>3.01862707084241E-4</v>
      </c>
      <c r="AO13" s="11">
        <v>294.75045146485598</v>
      </c>
      <c r="AP13" s="11">
        <v>91.198246432945496</v>
      </c>
      <c r="AQ13" t="s">
        <v>5875</v>
      </c>
      <c r="AR13" t="s">
        <v>5876</v>
      </c>
      <c r="AS13" t="s">
        <v>4459</v>
      </c>
    </row>
    <row r="14" spans="1:45">
      <c r="A14" t="s">
        <v>2741</v>
      </c>
      <c r="B14" s="2">
        <v>102</v>
      </c>
      <c r="C14" s="2">
        <v>115.96599999999999</v>
      </c>
      <c r="D14" s="2">
        <v>76</v>
      </c>
      <c r="E14" s="2">
        <v>27</v>
      </c>
      <c r="F14" s="2">
        <v>26</v>
      </c>
      <c r="G14" s="2">
        <v>24</v>
      </c>
      <c r="H14" s="2">
        <v>50</v>
      </c>
      <c r="I14" s="2">
        <v>115</v>
      </c>
      <c r="J14" s="2">
        <v>184.93899999999999</v>
      </c>
      <c r="K14" s="2">
        <v>70</v>
      </c>
      <c r="L14" s="2">
        <v>257.97699999999998</v>
      </c>
      <c r="M14" s="2">
        <v>270</v>
      </c>
      <c r="N14" s="2">
        <v>162</v>
      </c>
      <c r="O14" s="2">
        <v>65</v>
      </c>
      <c r="P14" s="2">
        <v>223</v>
      </c>
      <c r="Q14" s="2">
        <v>291.99299999999999</v>
      </c>
      <c r="R14" s="2">
        <v>164</v>
      </c>
      <c r="S14" s="2">
        <v>95.978999999999999</v>
      </c>
      <c r="T14" s="2">
        <v>196.99</v>
      </c>
      <c r="U14" s="11">
        <v>123.58762637514199</v>
      </c>
      <c r="V14" s="11">
        <v>111.71543799858399</v>
      </c>
      <c r="W14" s="11">
        <v>121.660622297732</v>
      </c>
      <c r="X14" s="11">
        <v>40.821887497137197</v>
      </c>
      <c r="Y14" s="11">
        <v>22.3645853583592</v>
      </c>
      <c r="Z14" s="11">
        <v>22.313453919347801</v>
      </c>
      <c r="AA14" s="11">
        <v>52.703114143232</v>
      </c>
      <c r="AB14" s="11">
        <v>111.916113767965</v>
      </c>
      <c r="AC14" s="11">
        <v>146.95080842099301</v>
      </c>
      <c r="AD14" s="11">
        <v>162.70760889717801</v>
      </c>
      <c r="AE14" s="11">
        <v>216.014674032183</v>
      </c>
      <c r="AF14" s="11">
        <v>137.14062154919</v>
      </c>
      <c r="AG14" s="11">
        <v>204.89074217677</v>
      </c>
      <c r="AH14" s="11">
        <v>230.44364655245599</v>
      </c>
      <c r="AI14" s="11">
        <v>247.40056784943701</v>
      </c>
      <c r="AJ14" s="11">
        <v>299.95945875549899</v>
      </c>
      <c r="AK14" s="16">
        <v>1.43855131856059</v>
      </c>
      <c r="AL14" s="16">
        <v>2.7105166150869699</v>
      </c>
      <c r="AM14" s="26">
        <v>2.0551327904926001E-4</v>
      </c>
      <c r="AN14" s="27">
        <v>5.3987415568573099E-4</v>
      </c>
      <c r="AO14" s="11">
        <v>75.885355169687401</v>
      </c>
      <c r="AP14" s="11">
        <v>205.68851602921299</v>
      </c>
      <c r="AQ14" t="s">
        <v>5874</v>
      </c>
      <c r="AR14" t="s">
        <v>5876</v>
      </c>
      <c r="AS14" t="s">
        <v>2741</v>
      </c>
    </row>
    <row r="15" spans="1:45">
      <c r="A15" t="s">
        <v>3522</v>
      </c>
      <c r="B15" s="2">
        <v>218</v>
      </c>
      <c r="C15" s="2">
        <v>146</v>
      </c>
      <c r="D15" s="2">
        <v>127</v>
      </c>
      <c r="E15" s="2">
        <v>115</v>
      </c>
      <c r="F15" s="2">
        <v>126</v>
      </c>
      <c r="G15" s="2">
        <v>143</v>
      </c>
      <c r="H15" s="2">
        <v>153</v>
      </c>
      <c r="I15" s="2">
        <v>142</v>
      </c>
      <c r="J15" s="2">
        <v>138</v>
      </c>
      <c r="K15" s="2">
        <v>76</v>
      </c>
      <c r="L15" s="2">
        <v>101</v>
      </c>
      <c r="M15" s="2">
        <v>190</v>
      </c>
      <c r="N15" s="2">
        <v>124</v>
      </c>
      <c r="O15" s="2">
        <v>74</v>
      </c>
      <c r="P15" s="2">
        <v>96</v>
      </c>
      <c r="Q15" s="2">
        <v>94</v>
      </c>
      <c r="R15" s="2">
        <v>138</v>
      </c>
      <c r="S15" s="2">
        <v>94</v>
      </c>
      <c r="T15" s="2">
        <v>175</v>
      </c>
      <c r="U15" s="11">
        <v>264.13826029197099</v>
      </c>
      <c r="V15" s="11">
        <v>140.60736161890699</v>
      </c>
      <c r="W15" s="11">
        <v>203.301303050157</v>
      </c>
      <c r="X15" s="11">
        <v>173.87100230262101</v>
      </c>
      <c r="Y15" s="11">
        <v>108.38222135204801</v>
      </c>
      <c r="Z15" s="11">
        <v>132.95099626944699</v>
      </c>
      <c r="AA15" s="11">
        <v>161.27152927828999</v>
      </c>
      <c r="AB15" s="11">
        <v>138.19207091348699</v>
      </c>
      <c r="AC15" s="11">
        <v>109.676644467804</v>
      </c>
      <c r="AD15" s="11">
        <v>63.695614335716797</v>
      </c>
      <c r="AE15" s="11">
        <v>152.010326170795</v>
      </c>
      <c r="AF15" s="11">
        <v>104.97183377839301</v>
      </c>
      <c r="AG15" s="11">
        <v>88.204086318250901</v>
      </c>
      <c r="AH15" s="11">
        <v>74.183913616201707</v>
      </c>
      <c r="AI15" s="11">
        <v>208.17852660501401</v>
      </c>
      <c r="AJ15" s="11">
        <v>266.46144813305801</v>
      </c>
      <c r="AK15" s="16">
        <v>-0.31477900361328298</v>
      </c>
      <c r="AL15" s="16">
        <v>-1.23921356884325</v>
      </c>
      <c r="AM15" s="26">
        <v>0.346872267398117</v>
      </c>
      <c r="AN15" s="27">
        <v>0.427361964805415</v>
      </c>
      <c r="AO15" s="11">
        <v>165.339343134616</v>
      </c>
      <c r="AP15" s="11">
        <v>133.42279917815401</v>
      </c>
      <c r="AQ15" t="s">
        <v>5875</v>
      </c>
      <c r="AR15" t="s">
        <v>5832</v>
      </c>
      <c r="AS15" t="s">
        <v>3522</v>
      </c>
    </row>
    <row r="16" spans="1:45">
      <c r="A16" t="s">
        <v>3195</v>
      </c>
      <c r="B16" s="2">
        <v>65</v>
      </c>
      <c r="C16" s="2">
        <v>77</v>
      </c>
      <c r="D16" s="2">
        <v>39</v>
      </c>
      <c r="E16" s="2">
        <v>59</v>
      </c>
      <c r="F16" s="2">
        <v>63</v>
      </c>
      <c r="G16" s="2">
        <v>62</v>
      </c>
      <c r="H16" s="2">
        <v>58</v>
      </c>
      <c r="I16" s="2">
        <v>37</v>
      </c>
      <c r="J16" s="2">
        <v>193</v>
      </c>
      <c r="K16" s="2">
        <v>315</v>
      </c>
      <c r="L16" s="2">
        <v>214</v>
      </c>
      <c r="M16" s="2">
        <v>155</v>
      </c>
      <c r="N16" s="2">
        <v>142</v>
      </c>
      <c r="O16" s="2">
        <v>211</v>
      </c>
      <c r="P16" s="2">
        <v>187</v>
      </c>
      <c r="Q16" s="2">
        <v>154</v>
      </c>
      <c r="R16" s="2">
        <v>134</v>
      </c>
      <c r="S16" s="2">
        <v>158</v>
      </c>
      <c r="T16" s="2">
        <v>141</v>
      </c>
      <c r="U16" s="11">
        <v>78.756820729257399</v>
      </c>
      <c r="V16" s="11">
        <v>74.155937292163401</v>
      </c>
      <c r="W16" s="11">
        <v>62.431108810677998</v>
      </c>
      <c r="X16" s="11">
        <v>89.203383790040505</v>
      </c>
      <c r="Y16" s="11">
        <v>54.191110676024202</v>
      </c>
      <c r="Z16" s="11">
        <v>57.643089291648501</v>
      </c>
      <c r="AA16" s="11">
        <v>61.1356124061492</v>
      </c>
      <c r="AB16" s="11">
        <v>36.007793125345302</v>
      </c>
      <c r="AC16" s="11">
        <v>153.38835059627701</v>
      </c>
      <c r="AD16" s="11">
        <v>134.95902443409301</v>
      </c>
      <c r="AE16" s="11">
        <v>124.008423981438</v>
      </c>
      <c r="AF16" s="11">
        <v>120.20968061719201</v>
      </c>
      <c r="AG16" s="11">
        <v>171.81420980742601</v>
      </c>
      <c r="AH16" s="11">
        <v>121.535347839309</v>
      </c>
      <c r="AI16" s="11">
        <v>202.144366413565</v>
      </c>
      <c r="AJ16" s="11">
        <v>214.69179535292099</v>
      </c>
      <c r="AK16" s="16">
        <v>1.27405862968202</v>
      </c>
      <c r="AL16" s="16">
        <v>2.4200409858031402</v>
      </c>
      <c r="AM16" s="26">
        <v>1.5379308440685201E-6</v>
      </c>
      <c r="AN16" s="27">
        <v>7.1449703797349904E-6</v>
      </c>
      <c r="AO16" s="11">
        <v>64.190607015163295</v>
      </c>
      <c r="AP16" s="11">
        <v>155.343899880278</v>
      </c>
      <c r="AQ16" t="s">
        <v>5874</v>
      </c>
      <c r="AR16" t="s">
        <v>5876</v>
      </c>
      <c r="AS16" t="s">
        <v>3195</v>
      </c>
    </row>
    <row r="17" spans="1:45">
      <c r="A17" t="s">
        <v>1493</v>
      </c>
      <c r="B17" s="2">
        <v>35</v>
      </c>
      <c r="C17" s="2">
        <v>86</v>
      </c>
      <c r="D17" s="2">
        <v>19</v>
      </c>
      <c r="E17" s="2">
        <v>31</v>
      </c>
      <c r="F17" s="2">
        <v>39</v>
      </c>
      <c r="G17" s="2">
        <v>32</v>
      </c>
      <c r="H17" s="2">
        <v>29</v>
      </c>
      <c r="I17" s="2">
        <v>50</v>
      </c>
      <c r="J17" s="2">
        <v>124</v>
      </c>
      <c r="K17" s="2">
        <v>263</v>
      </c>
      <c r="L17" s="2">
        <v>160</v>
      </c>
      <c r="M17" s="2">
        <v>88</v>
      </c>
      <c r="N17" s="2">
        <v>290</v>
      </c>
      <c r="O17" s="2">
        <v>404</v>
      </c>
      <c r="P17" s="2">
        <v>215</v>
      </c>
      <c r="Q17" s="2">
        <v>124</v>
      </c>
      <c r="R17" s="2">
        <v>172</v>
      </c>
      <c r="S17" s="2">
        <v>159</v>
      </c>
      <c r="T17" s="2">
        <v>109</v>
      </c>
      <c r="U17" s="11">
        <v>42.407518854215503</v>
      </c>
      <c r="V17" s="11">
        <v>82.823514378260398</v>
      </c>
      <c r="W17" s="11">
        <v>30.415155574432902</v>
      </c>
      <c r="X17" s="11">
        <v>46.869574533750097</v>
      </c>
      <c r="Y17" s="11">
        <v>33.546878037538796</v>
      </c>
      <c r="Z17" s="11">
        <v>29.751271892463699</v>
      </c>
      <c r="AA17" s="11">
        <v>30.5678062030746</v>
      </c>
      <c r="AB17" s="11">
        <v>48.659179899115301</v>
      </c>
      <c r="AC17" s="11">
        <v>98.550028362374704</v>
      </c>
      <c r="AD17" s="11">
        <v>100.903943502126</v>
      </c>
      <c r="AE17" s="11">
        <v>70.404782647526204</v>
      </c>
      <c r="AF17" s="11">
        <v>245.49864351398301</v>
      </c>
      <c r="AG17" s="11">
        <v>197.54040165025</v>
      </c>
      <c r="AH17" s="11">
        <v>97.859630727755501</v>
      </c>
      <c r="AI17" s="11">
        <v>259.46888823233701</v>
      </c>
      <c r="AJ17" s="11">
        <v>165.96741626573299</v>
      </c>
      <c r="AK17" s="16">
        <v>1.8322639211955001</v>
      </c>
      <c r="AL17" s="16">
        <v>3.58274551552873</v>
      </c>
      <c r="AM17" s="26">
        <v>1.9851181150039001E-7</v>
      </c>
      <c r="AN17" s="27">
        <v>1.2183890081996399E-6</v>
      </c>
      <c r="AO17" s="11">
        <v>43.130112421606398</v>
      </c>
      <c r="AP17" s="11">
        <v>154.52421686276099</v>
      </c>
      <c r="AQ17" t="s">
        <v>5874</v>
      </c>
      <c r="AR17" t="s">
        <v>5876</v>
      </c>
      <c r="AS17" t="s">
        <v>1493</v>
      </c>
    </row>
    <row r="18" spans="1:45">
      <c r="A18" t="s">
        <v>4384</v>
      </c>
      <c r="B18" s="2">
        <v>120</v>
      </c>
      <c r="C18" s="2">
        <v>249</v>
      </c>
      <c r="D18" s="2">
        <v>166</v>
      </c>
      <c r="E18" s="2">
        <v>199</v>
      </c>
      <c r="F18" s="2">
        <v>255</v>
      </c>
      <c r="G18" s="2">
        <v>186</v>
      </c>
      <c r="H18" s="2">
        <v>188</v>
      </c>
      <c r="I18" s="2">
        <v>102</v>
      </c>
      <c r="J18" s="2">
        <v>76</v>
      </c>
      <c r="K18" s="2">
        <v>33</v>
      </c>
      <c r="L18" s="2">
        <v>83</v>
      </c>
      <c r="M18" s="2">
        <v>127</v>
      </c>
      <c r="N18" s="2">
        <v>88</v>
      </c>
      <c r="O18" s="2">
        <v>38</v>
      </c>
      <c r="P18" s="2">
        <v>93</v>
      </c>
      <c r="Q18" s="2">
        <v>111</v>
      </c>
      <c r="R18" s="2">
        <v>130</v>
      </c>
      <c r="S18" s="2">
        <v>60</v>
      </c>
      <c r="T18" s="2">
        <v>107</v>
      </c>
      <c r="U18" s="11">
        <v>145.39720750016701</v>
      </c>
      <c r="V18" s="11">
        <v>239.802966048684</v>
      </c>
      <c r="W18" s="11">
        <v>265.73241186083499</v>
      </c>
      <c r="X18" s="11">
        <v>300.872430071493</v>
      </c>
      <c r="Y18" s="11">
        <v>219.344971783907</v>
      </c>
      <c r="Z18" s="11">
        <v>172.929267874945</v>
      </c>
      <c r="AA18" s="11">
        <v>198.16370917855201</v>
      </c>
      <c r="AB18" s="11">
        <v>99.2647269941952</v>
      </c>
      <c r="AC18" s="11">
        <v>60.4016302866168</v>
      </c>
      <c r="AD18" s="11">
        <v>52.343920691727703</v>
      </c>
      <c r="AE18" s="11">
        <v>101.60690222995299</v>
      </c>
      <c r="AF18" s="11">
        <v>74.496140100794804</v>
      </c>
      <c r="AG18" s="11">
        <v>85.447708620805599</v>
      </c>
      <c r="AH18" s="11">
        <v>87.600153312748901</v>
      </c>
      <c r="AI18" s="11">
        <v>196.11020622211501</v>
      </c>
      <c r="AJ18" s="11">
        <v>162.922142572784</v>
      </c>
      <c r="AK18" s="16">
        <v>-1.0067101077653</v>
      </c>
      <c r="AL18" s="16">
        <v>-1.9995737550435699</v>
      </c>
      <c r="AM18" s="26">
        <v>2.53459509665418E-3</v>
      </c>
      <c r="AN18" s="27">
        <v>5.2173665220358401E-3</v>
      </c>
      <c r="AO18" s="11">
        <v>205.18846141409699</v>
      </c>
      <c r="AP18" s="11">
        <v>102.61610050469299</v>
      </c>
      <c r="AQ18" t="s">
        <v>5875</v>
      </c>
      <c r="AR18" t="s">
        <v>5876</v>
      </c>
      <c r="AS18" t="s">
        <v>4384</v>
      </c>
    </row>
    <row r="19" spans="1:45">
      <c r="A19" t="s">
        <v>985</v>
      </c>
      <c r="B19" s="2">
        <v>70</v>
      </c>
      <c r="C19" s="2">
        <v>29</v>
      </c>
      <c r="D19" s="2">
        <v>34</v>
      </c>
      <c r="E19" s="2">
        <v>12</v>
      </c>
      <c r="F19" s="2">
        <v>27</v>
      </c>
      <c r="G19" s="2">
        <v>43</v>
      </c>
      <c r="H19" s="2">
        <v>74</v>
      </c>
      <c r="I19" s="2">
        <v>98</v>
      </c>
      <c r="J19" s="2">
        <v>186</v>
      </c>
      <c r="K19" s="2">
        <v>274</v>
      </c>
      <c r="L19" s="2">
        <v>179</v>
      </c>
      <c r="M19" s="2">
        <v>121</v>
      </c>
      <c r="N19" s="2">
        <v>162</v>
      </c>
      <c r="O19" s="2">
        <v>215</v>
      </c>
      <c r="P19" s="2">
        <v>175</v>
      </c>
      <c r="Q19" s="2">
        <v>107</v>
      </c>
      <c r="R19" s="2">
        <v>222</v>
      </c>
      <c r="S19" s="2">
        <v>71</v>
      </c>
      <c r="T19" s="2">
        <v>118</v>
      </c>
      <c r="U19" s="11">
        <v>84.815037708431007</v>
      </c>
      <c r="V19" s="11">
        <v>27.928859499645998</v>
      </c>
      <c r="W19" s="11">
        <v>54.427120501616798</v>
      </c>
      <c r="X19" s="11">
        <v>18.143061109838801</v>
      </c>
      <c r="Y19" s="11">
        <v>23.224761718296101</v>
      </c>
      <c r="Z19" s="11">
        <v>39.978271605498101</v>
      </c>
      <c r="AA19" s="11">
        <v>78.000608931983393</v>
      </c>
      <c r="AB19" s="11">
        <v>95.371992602266005</v>
      </c>
      <c r="AC19" s="11">
        <v>147.82504254356201</v>
      </c>
      <c r="AD19" s="11">
        <v>112.88628679300299</v>
      </c>
      <c r="AE19" s="11">
        <v>96.806576140348497</v>
      </c>
      <c r="AF19" s="11">
        <v>137.14062154919</v>
      </c>
      <c r="AG19" s="11">
        <v>160.788699017645</v>
      </c>
      <c r="AH19" s="11">
        <v>84.443391031208407</v>
      </c>
      <c r="AI19" s="11">
        <v>334.89589062545798</v>
      </c>
      <c r="AJ19" s="11">
        <v>179.67114788400499</v>
      </c>
      <c r="AK19" s="16">
        <v>1.5652170161091301</v>
      </c>
      <c r="AL19" s="16">
        <v>2.9734255539188701</v>
      </c>
      <c r="AM19" s="26">
        <v>7.3594753194681795E-5</v>
      </c>
      <c r="AN19" s="27">
        <v>2.1689378804952501E-4</v>
      </c>
      <c r="AO19" s="11">
        <v>52.736214209697003</v>
      </c>
      <c r="AP19" s="11">
        <v>156.807206948052</v>
      </c>
      <c r="AQ19" t="s">
        <v>5874</v>
      </c>
      <c r="AR19" t="s">
        <v>5876</v>
      </c>
      <c r="AS19" t="s">
        <v>985</v>
      </c>
    </row>
    <row r="20" spans="1:45">
      <c r="A20" t="s">
        <v>1498</v>
      </c>
      <c r="B20" s="2">
        <v>112</v>
      </c>
      <c r="C20" s="2">
        <v>66</v>
      </c>
      <c r="D20" s="2">
        <v>62</v>
      </c>
      <c r="E20" s="2">
        <v>62</v>
      </c>
      <c r="F20" s="2">
        <v>81</v>
      </c>
      <c r="G20" s="2">
        <v>117</v>
      </c>
      <c r="H20" s="2">
        <v>120</v>
      </c>
      <c r="I20" s="2">
        <v>232</v>
      </c>
      <c r="J20" s="2">
        <v>60</v>
      </c>
      <c r="K20" s="2">
        <v>148</v>
      </c>
      <c r="L20" s="2">
        <v>75</v>
      </c>
      <c r="M20" s="2">
        <v>91</v>
      </c>
      <c r="N20" s="2">
        <v>126</v>
      </c>
      <c r="O20" s="2">
        <v>138</v>
      </c>
      <c r="P20" s="2">
        <v>127</v>
      </c>
      <c r="Q20" s="2">
        <v>113</v>
      </c>
      <c r="R20" s="2">
        <v>130</v>
      </c>
      <c r="S20" s="2">
        <v>63</v>
      </c>
      <c r="T20" s="2">
        <v>192</v>
      </c>
      <c r="U20" s="11">
        <v>135.70406033348999</v>
      </c>
      <c r="V20" s="11">
        <v>63.562231964711501</v>
      </c>
      <c r="W20" s="11">
        <v>99.249455032360004</v>
      </c>
      <c r="X20" s="11">
        <v>93.739149067500193</v>
      </c>
      <c r="Y20" s="11">
        <v>69.674285154888295</v>
      </c>
      <c r="Z20" s="11">
        <v>108.77808785681999</v>
      </c>
      <c r="AA20" s="11">
        <v>126.487473943757</v>
      </c>
      <c r="AB20" s="11">
        <v>225.778594731895</v>
      </c>
      <c r="AC20" s="11">
        <v>47.685497594697402</v>
      </c>
      <c r="AD20" s="11">
        <v>47.298723516621401</v>
      </c>
      <c r="AE20" s="11">
        <v>72.804945692328204</v>
      </c>
      <c r="AF20" s="11">
        <v>106.66492787159299</v>
      </c>
      <c r="AG20" s="11">
        <v>116.686655858519</v>
      </c>
      <c r="AH20" s="11">
        <v>89.178534453519106</v>
      </c>
      <c r="AI20" s="11">
        <v>196.11020622211501</v>
      </c>
      <c r="AJ20" s="11">
        <v>292.346274523126</v>
      </c>
      <c r="AK20" s="16">
        <v>6.14615379168858E-2</v>
      </c>
      <c r="AL20" s="16">
        <v>1.0496248653748901</v>
      </c>
      <c r="AM20" s="26">
        <v>0.871142894618403</v>
      </c>
      <c r="AN20" s="27">
        <v>0.91061655703079902</v>
      </c>
      <c r="AO20" s="11">
        <v>115.371667260678</v>
      </c>
      <c r="AP20" s="11">
        <v>121.096970716565</v>
      </c>
      <c r="AQ20" t="s">
        <v>5874</v>
      </c>
      <c r="AR20" t="s">
        <v>5832</v>
      </c>
      <c r="AS20" t="s">
        <v>1498</v>
      </c>
    </row>
    <row r="21" spans="1:45">
      <c r="A21" t="s">
        <v>435</v>
      </c>
      <c r="B21" s="2">
        <v>111</v>
      </c>
      <c r="C21" s="2">
        <v>86</v>
      </c>
      <c r="D21" s="2">
        <v>62</v>
      </c>
      <c r="E21" s="2">
        <v>47</v>
      </c>
      <c r="F21" s="2">
        <v>34</v>
      </c>
      <c r="G21" s="2">
        <v>61</v>
      </c>
      <c r="H21" s="2">
        <v>122</v>
      </c>
      <c r="I21" s="2">
        <v>190</v>
      </c>
      <c r="J21" s="2">
        <v>102</v>
      </c>
      <c r="K21" s="2">
        <v>185</v>
      </c>
      <c r="L21" s="2">
        <v>76</v>
      </c>
      <c r="M21" s="2">
        <v>74</v>
      </c>
      <c r="N21" s="2">
        <v>211</v>
      </c>
      <c r="O21" s="2">
        <v>138</v>
      </c>
      <c r="P21" s="2">
        <v>152</v>
      </c>
      <c r="Q21" s="2">
        <v>118</v>
      </c>
      <c r="R21" s="2">
        <v>86</v>
      </c>
      <c r="S21" s="2">
        <v>99</v>
      </c>
      <c r="T21" s="2">
        <v>111</v>
      </c>
      <c r="U21" s="11">
        <v>134.49241693765501</v>
      </c>
      <c r="V21" s="11">
        <v>82.823514378260398</v>
      </c>
      <c r="W21" s="11">
        <v>99.249455032360004</v>
      </c>
      <c r="X21" s="11">
        <v>71.060322680201807</v>
      </c>
      <c r="Y21" s="11">
        <v>29.2459962378543</v>
      </c>
      <c r="Z21" s="11">
        <v>56.713362045008999</v>
      </c>
      <c r="AA21" s="11">
        <v>128.595598509486</v>
      </c>
      <c r="AB21" s="11">
        <v>184.90488361663799</v>
      </c>
      <c r="AC21" s="11">
        <v>81.065345910985599</v>
      </c>
      <c r="AD21" s="11">
        <v>47.929373163509702</v>
      </c>
      <c r="AE21" s="11">
        <v>59.204021771783403</v>
      </c>
      <c r="AF21" s="11">
        <v>178.62142683258801</v>
      </c>
      <c r="AG21" s="11">
        <v>139.656470003897</v>
      </c>
      <c r="AH21" s="11">
        <v>93.124487305444703</v>
      </c>
      <c r="AI21" s="11">
        <v>129.73444411616799</v>
      </c>
      <c r="AJ21" s="11">
        <v>169.01268995868199</v>
      </c>
      <c r="AK21" s="16">
        <v>0.18722449780951</v>
      </c>
      <c r="AL21" s="16">
        <v>1.1413603765246501</v>
      </c>
      <c r="AM21" s="26">
        <v>0.61851897982218795</v>
      </c>
      <c r="AN21" s="27">
        <v>0.694277177015174</v>
      </c>
      <c r="AO21" s="11">
        <v>98.385693679683101</v>
      </c>
      <c r="AP21" s="11">
        <v>112.29353238288201</v>
      </c>
      <c r="AQ21" t="s">
        <v>5874</v>
      </c>
      <c r="AR21" t="s">
        <v>5832</v>
      </c>
      <c r="AS21" t="s">
        <v>435</v>
      </c>
    </row>
    <row r="22" spans="1:45">
      <c r="A22" t="s">
        <v>3481</v>
      </c>
      <c r="B22" s="2">
        <v>109</v>
      </c>
      <c r="C22" s="2">
        <v>99</v>
      </c>
      <c r="D22" s="2">
        <v>52</v>
      </c>
      <c r="E22" s="2">
        <v>57</v>
      </c>
      <c r="F22" s="2">
        <v>56</v>
      </c>
      <c r="G22" s="2">
        <v>62</v>
      </c>
      <c r="H22" s="2">
        <v>79</v>
      </c>
      <c r="I22" s="2">
        <v>92</v>
      </c>
      <c r="J22" s="2">
        <v>124</v>
      </c>
      <c r="K22" s="2">
        <v>172</v>
      </c>
      <c r="L22" s="2">
        <v>112</v>
      </c>
      <c r="M22" s="2">
        <v>118</v>
      </c>
      <c r="N22" s="2">
        <v>178</v>
      </c>
      <c r="O22" s="2">
        <v>168</v>
      </c>
      <c r="P22" s="2">
        <v>135</v>
      </c>
      <c r="Q22" s="2">
        <v>135</v>
      </c>
      <c r="R22" s="2">
        <v>104</v>
      </c>
      <c r="S22" s="2">
        <v>99</v>
      </c>
      <c r="T22" s="2">
        <v>114</v>
      </c>
      <c r="U22" s="11">
        <v>132.06913014598501</v>
      </c>
      <c r="V22" s="11">
        <v>95.343347947067201</v>
      </c>
      <c r="W22" s="11">
        <v>83.241478414237406</v>
      </c>
      <c r="X22" s="11">
        <v>86.179540271734098</v>
      </c>
      <c r="Y22" s="11">
        <v>48.169876156466003</v>
      </c>
      <c r="Z22" s="11">
        <v>57.643089291648501</v>
      </c>
      <c r="AA22" s="11">
        <v>83.270920346306596</v>
      </c>
      <c r="AB22" s="11">
        <v>89.532891014372197</v>
      </c>
      <c r="AC22" s="11">
        <v>98.550028362374704</v>
      </c>
      <c r="AD22" s="11">
        <v>70.632760451487997</v>
      </c>
      <c r="AE22" s="11">
        <v>94.406413095546398</v>
      </c>
      <c r="AF22" s="11">
        <v>150.685374294789</v>
      </c>
      <c r="AG22" s="11">
        <v>124.03699638504</v>
      </c>
      <c r="AH22" s="11">
        <v>106.540727001992</v>
      </c>
      <c r="AI22" s="11">
        <v>156.88816497769201</v>
      </c>
      <c r="AJ22" s="11">
        <v>173.58060049810601</v>
      </c>
      <c r="AK22" s="16">
        <v>0.52626068696375194</v>
      </c>
      <c r="AL22" s="16">
        <v>1.44395687322233</v>
      </c>
      <c r="AM22" s="26">
        <v>6.1297543888067497E-2</v>
      </c>
      <c r="AN22" s="27">
        <v>9.2360488425939594E-2</v>
      </c>
      <c r="AO22" s="11">
        <v>84.431284198477201</v>
      </c>
      <c r="AP22" s="11">
        <v>121.915133133379</v>
      </c>
      <c r="AQ22" t="s">
        <v>5874</v>
      </c>
      <c r="AR22" t="s">
        <v>5877</v>
      </c>
      <c r="AS22" t="s">
        <v>3481</v>
      </c>
    </row>
    <row r="23" spans="1:45">
      <c r="A23" t="s">
        <v>2693</v>
      </c>
      <c r="B23" s="2">
        <v>7</v>
      </c>
      <c r="C23" s="2">
        <v>0</v>
      </c>
      <c r="D23" s="2">
        <v>0</v>
      </c>
      <c r="E23" s="2">
        <v>0</v>
      </c>
      <c r="F23" s="2">
        <v>2</v>
      </c>
      <c r="G23" s="2">
        <v>7</v>
      </c>
      <c r="H23" s="2">
        <v>21</v>
      </c>
      <c r="I23" s="2">
        <v>367</v>
      </c>
      <c r="J23" s="2">
        <v>171</v>
      </c>
      <c r="K23" s="2">
        <v>21</v>
      </c>
      <c r="L23" s="2">
        <v>147</v>
      </c>
      <c r="M23" s="2">
        <v>57</v>
      </c>
      <c r="N23" s="2">
        <v>153</v>
      </c>
      <c r="O23" s="2">
        <v>25</v>
      </c>
      <c r="P23" s="2">
        <v>670</v>
      </c>
      <c r="Q23" s="2">
        <v>297</v>
      </c>
      <c r="R23" s="2">
        <v>11</v>
      </c>
      <c r="S23" s="2">
        <v>18</v>
      </c>
      <c r="T23" s="2">
        <v>59</v>
      </c>
      <c r="U23" s="11">
        <v>8.4815037708430996</v>
      </c>
      <c r="V23" s="11">
        <v>0.24076603016936199</v>
      </c>
      <c r="W23" s="11">
        <v>0.40019941545306398</v>
      </c>
      <c r="X23" s="11">
        <v>0.37798043978830698</v>
      </c>
      <c r="Y23" s="11">
        <v>1.72035271987378</v>
      </c>
      <c r="Z23" s="11">
        <v>6.50809072647644</v>
      </c>
      <c r="AA23" s="11">
        <v>22.135307940157499</v>
      </c>
      <c r="AB23" s="11">
        <v>357.15838045950602</v>
      </c>
      <c r="AC23" s="11">
        <v>135.903668144888</v>
      </c>
      <c r="AD23" s="11">
        <v>92.705498092577997</v>
      </c>
      <c r="AE23" s="11">
        <v>45.603097851238502</v>
      </c>
      <c r="AF23" s="11">
        <v>129.52169812979099</v>
      </c>
      <c r="AG23" s="11">
        <v>615.59101909612605</v>
      </c>
      <c r="AH23" s="11">
        <v>234.38959940438201</v>
      </c>
      <c r="AI23" s="11">
        <v>16.593940526486598</v>
      </c>
      <c r="AJ23" s="11">
        <v>89.835573942002398</v>
      </c>
      <c r="AK23" s="16">
        <v>1.77186984675315</v>
      </c>
      <c r="AL23" s="16">
        <v>3.4258607911946299</v>
      </c>
      <c r="AM23" s="26">
        <v>8.6088047801247097E-2</v>
      </c>
      <c r="AN23" s="27">
        <v>0.124390721337007</v>
      </c>
      <c r="AO23" s="11">
        <v>49.6278226877835</v>
      </c>
      <c r="AP23" s="11">
        <v>170.01801189843701</v>
      </c>
      <c r="AQ23" t="s">
        <v>5874</v>
      </c>
      <c r="AR23" t="s">
        <v>5832</v>
      </c>
      <c r="AS23" t="s">
        <v>2693</v>
      </c>
    </row>
    <row r="24" spans="1:45">
      <c r="A24" t="s">
        <v>2143</v>
      </c>
      <c r="B24" s="2">
        <v>188</v>
      </c>
      <c r="C24" s="2">
        <v>69</v>
      </c>
      <c r="D24" s="2">
        <v>78</v>
      </c>
      <c r="E24" s="2">
        <v>54</v>
      </c>
      <c r="F24" s="2">
        <v>58</v>
      </c>
      <c r="G24" s="2">
        <v>40</v>
      </c>
      <c r="H24" s="2">
        <v>45</v>
      </c>
      <c r="I24" s="2">
        <v>80</v>
      </c>
      <c r="J24" s="2">
        <v>87</v>
      </c>
      <c r="K24" s="2">
        <v>183</v>
      </c>
      <c r="L24" s="2">
        <v>112</v>
      </c>
      <c r="M24" s="2">
        <v>130</v>
      </c>
      <c r="N24" s="2">
        <v>151</v>
      </c>
      <c r="O24" s="2">
        <v>130</v>
      </c>
      <c r="P24" s="2">
        <v>124</v>
      </c>
      <c r="Q24" s="2">
        <v>166</v>
      </c>
      <c r="R24" s="2">
        <v>122</v>
      </c>
      <c r="S24" s="2">
        <v>87</v>
      </c>
      <c r="T24" s="2">
        <v>107</v>
      </c>
      <c r="U24" s="11">
        <v>227.78895841692901</v>
      </c>
      <c r="V24" s="11">
        <v>66.451424326743805</v>
      </c>
      <c r="W24" s="11">
        <v>124.862217621356</v>
      </c>
      <c r="X24" s="11">
        <v>81.643774994274395</v>
      </c>
      <c r="Y24" s="11">
        <v>49.890228876339698</v>
      </c>
      <c r="Z24" s="11">
        <v>37.189089865579597</v>
      </c>
      <c r="AA24" s="11">
        <v>47.432802728908797</v>
      </c>
      <c r="AB24" s="11">
        <v>77.854687838584496</v>
      </c>
      <c r="AC24" s="11">
        <v>69.143971512311296</v>
      </c>
      <c r="AD24" s="11">
        <v>70.632760451487997</v>
      </c>
      <c r="AE24" s="11">
        <v>104.00706527475501</v>
      </c>
      <c r="AF24" s="11">
        <v>127.828604036591</v>
      </c>
      <c r="AG24" s="11">
        <v>113.930278161074</v>
      </c>
      <c r="AH24" s="11">
        <v>131.00563468393099</v>
      </c>
      <c r="AI24" s="11">
        <v>184.04188583921601</v>
      </c>
      <c r="AJ24" s="11">
        <v>162.922142572784</v>
      </c>
      <c r="AK24" s="16">
        <v>0.43439221250399501</v>
      </c>
      <c r="AL24" s="16">
        <v>1.35113522403847</v>
      </c>
      <c r="AM24" s="26">
        <v>0.24647633453126699</v>
      </c>
      <c r="AN24" s="27">
        <v>0.31771226936689301</v>
      </c>
      <c r="AO24" s="11">
        <v>89.139148083589504</v>
      </c>
      <c r="AP24" s="11">
        <v>120.43904281651901</v>
      </c>
      <c r="AQ24" t="s">
        <v>5874</v>
      </c>
      <c r="AR24" t="s">
        <v>5832</v>
      </c>
      <c r="AS24" t="s">
        <v>2143</v>
      </c>
    </row>
    <row r="25" spans="1:45">
      <c r="A25" t="s">
        <v>651</v>
      </c>
      <c r="B25" s="2">
        <v>156</v>
      </c>
      <c r="C25" s="2">
        <v>152</v>
      </c>
      <c r="D25" s="2">
        <v>174</v>
      </c>
      <c r="E25" s="2">
        <v>221</v>
      </c>
      <c r="F25" s="2">
        <v>175</v>
      </c>
      <c r="G25" s="2">
        <v>155</v>
      </c>
      <c r="H25" s="2">
        <v>216</v>
      </c>
      <c r="I25" s="2">
        <v>80</v>
      </c>
      <c r="J25" s="2">
        <v>49</v>
      </c>
      <c r="K25" s="2">
        <v>15</v>
      </c>
      <c r="L25" s="2">
        <v>60</v>
      </c>
      <c r="M25" s="2">
        <v>74</v>
      </c>
      <c r="N25" s="2">
        <v>35</v>
      </c>
      <c r="O25" s="2">
        <v>13</v>
      </c>
      <c r="P25" s="2">
        <v>54</v>
      </c>
      <c r="Q25" s="2">
        <v>61</v>
      </c>
      <c r="R25" s="2">
        <v>35</v>
      </c>
      <c r="S25" s="2">
        <v>24</v>
      </c>
      <c r="T25" s="2">
        <v>37</v>
      </c>
      <c r="U25" s="11">
        <v>189.01636975021799</v>
      </c>
      <c r="V25" s="11">
        <v>146.385746342972</v>
      </c>
      <c r="W25" s="11">
        <v>278.538793155333</v>
      </c>
      <c r="X25" s="11">
        <v>334.13470877286397</v>
      </c>
      <c r="Y25" s="11">
        <v>150.53086298895599</v>
      </c>
      <c r="Z25" s="11">
        <v>144.10772322912101</v>
      </c>
      <c r="AA25" s="11">
        <v>227.67745309876199</v>
      </c>
      <c r="AB25" s="11">
        <v>77.854687838584496</v>
      </c>
      <c r="AC25" s="11">
        <v>38.943156369002899</v>
      </c>
      <c r="AD25" s="11">
        <v>37.838978813297103</v>
      </c>
      <c r="AE25" s="11">
        <v>59.204021771783403</v>
      </c>
      <c r="AF25" s="11">
        <v>29.629146630997901</v>
      </c>
      <c r="AG25" s="11">
        <v>49.614798554016197</v>
      </c>
      <c r="AH25" s="11">
        <v>48.140624793492599</v>
      </c>
      <c r="AI25" s="11">
        <v>52.798901675184801</v>
      </c>
      <c r="AJ25" s="11">
        <v>56.3375633195608</v>
      </c>
      <c r="AK25" s="16">
        <v>-2.0539497189498599</v>
      </c>
      <c r="AL25" s="16">
        <v>-4.1562857811315101</v>
      </c>
      <c r="AM25" s="26">
        <v>1.3413591235141301E-10</v>
      </c>
      <c r="AN25" s="27">
        <v>2.2434231340773798E-9</v>
      </c>
      <c r="AO25" s="11">
        <v>193.53079314710101</v>
      </c>
      <c r="AP25" s="11">
        <v>46.563398990917001</v>
      </c>
      <c r="AQ25" t="s">
        <v>5875</v>
      </c>
      <c r="AR25" t="s">
        <v>5876</v>
      </c>
      <c r="AS25" t="s">
        <v>651</v>
      </c>
    </row>
    <row r="26" spans="1:45">
      <c r="A26" t="s">
        <v>123</v>
      </c>
      <c r="B26" s="2">
        <v>85</v>
      </c>
      <c r="C26" s="2">
        <v>67</v>
      </c>
      <c r="D26" s="2">
        <v>69</v>
      </c>
      <c r="E26" s="2">
        <v>74</v>
      </c>
      <c r="F26" s="2">
        <v>66</v>
      </c>
      <c r="G26" s="2">
        <v>73</v>
      </c>
      <c r="H26" s="2">
        <v>89</v>
      </c>
      <c r="I26" s="2">
        <v>98</v>
      </c>
      <c r="J26" s="2">
        <v>111</v>
      </c>
      <c r="K26" s="2">
        <v>115</v>
      </c>
      <c r="L26" s="2">
        <v>77</v>
      </c>
      <c r="M26" s="2">
        <v>109</v>
      </c>
      <c r="N26" s="2">
        <v>95</v>
      </c>
      <c r="O26" s="2">
        <v>102</v>
      </c>
      <c r="P26" s="2">
        <v>99</v>
      </c>
      <c r="Q26" s="2">
        <v>76</v>
      </c>
      <c r="R26" s="2">
        <v>102</v>
      </c>
      <c r="S26" s="2">
        <v>160</v>
      </c>
      <c r="T26" s="2">
        <v>115</v>
      </c>
      <c r="U26" s="11">
        <v>102.989688645952</v>
      </c>
      <c r="V26" s="11">
        <v>64.525296085388902</v>
      </c>
      <c r="W26" s="11">
        <v>110.455038665046</v>
      </c>
      <c r="X26" s="11">
        <v>111.882210177339</v>
      </c>
      <c r="Y26" s="11">
        <v>56.771639755834897</v>
      </c>
      <c r="Z26" s="11">
        <v>67.870089004682896</v>
      </c>
      <c r="AA26" s="11">
        <v>93.811543174953002</v>
      </c>
      <c r="AB26" s="11">
        <v>95.371992602266005</v>
      </c>
      <c r="AC26" s="11">
        <v>88.218170550190294</v>
      </c>
      <c r="AD26" s="11">
        <v>48.560022810398003</v>
      </c>
      <c r="AE26" s="11">
        <v>87.2059239611404</v>
      </c>
      <c r="AF26" s="11">
        <v>80.421969426994394</v>
      </c>
      <c r="AG26" s="11">
        <v>90.960464015696303</v>
      </c>
      <c r="AH26" s="11">
        <v>59.978483349269503</v>
      </c>
      <c r="AI26" s="11">
        <v>153.87108488196699</v>
      </c>
      <c r="AJ26" s="11">
        <v>175.103237344581</v>
      </c>
      <c r="AK26" s="16">
        <v>0.150147244817913</v>
      </c>
      <c r="AL26" s="16">
        <v>1.1146005925231399</v>
      </c>
      <c r="AM26" s="26">
        <v>0.62193597252648603</v>
      </c>
      <c r="AN26" s="27">
        <v>0.69694332599701803</v>
      </c>
      <c r="AO26" s="11">
        <v>87.959687263932807</v>
      </c>
      <c r="AP26" s="11">
        <v>98.039919542529603</v>
      </c>
      <c r="AQ26" t="s">
        <v>5874</v>
      </c>
      <c r="AR26" t="s">
        <v>5832</v>
      </c>
      <c r="AS26" t="s">
        <v>123</v>
      </c>
    </row>
    <row r="27" spans="1:45">
      <c r="A27" t="s">
        <v>2002</v>
      </c>
      <c r="B27" s="2">
        <v>51</v>
      </c>
      <c r="C27" s="2">
        <v>30</v>
      </c>
      <c r="D27" s="2">
        <v>38</v>
      </c>
      <c r="E27" s="2">
        <v>6</v>
      </c>
      <c r="F27" s="2">
        <v>9</v>
      </c>
      <c r="G27" s="2">
        <v>10</v>
      </c>
      <c r="H27" s="2">
        <v>13</v>
      </c>
      <c r="I27" s="2">
        <v>60</v>
      </c>
      <c r="J27" s="2">
        <v>142</v>
      </c>
      <c r="K27" s="2">
        <v>36</v>
      </c>
      <c r="L27" s="2">
        <v>238</v>
      </c>
      <c r="M27" s="2">
        <v>258</v>
      </c>
      <c r="N27" s="2">
        <v>198</v>
      </c>
      <c r="O27" s="2">
        <v>43</v>
      </c>
      <c r="P27" s="2">
        <v>130</v>
      </c>
      <c r="Q27" s="2">
        <v>151</v>
      </c>
      <c r="R27" s="2">
        <v>106</v>
      </c>
      <c r="S27" s="2">
        <v>53</v>
      </c>
      <c r="T27" s="2">
        <v>141</v>
      </c>
      <c r="U27" s="11">
        <v>61.793813187571203</v>
      </c>
      <c r="V27" s="11">
        <v>28.8919236203234</v>
      </c>
      <c r="W27" s="11">
        <v>60.830311148865803</v>
      </c>
      <c r="X27" s="11">
        <v>9.0715305549193808</v>
      </c>
      <c r="Y27" s="11">
        <v>7.7415872394320298</v>
      </c>
      <c r="Z27" s="11">
        <v>9.2972724663949098</v>
      </c>
      <c r="AA27" s="11">
        <v>13.7028096772403</v>
      </c>
      <c r="AB27" s="11">
        <v>58.391015878938397</v>
      </c>
      <c r="AC27" s="11">
        <v>112.85567764078399</v>
      </c>
      <c r="AD27" s="11">
        <v>150.09461595941201</v>
      </c>
      <c r="AE27" s="11">
        <v>206.414021852974</v>
      </c>
      <c r="AF27" s="11">
        <v>167.616315226788</v>
      </c>
      <c r="AG27" s="11">
        <v>119.443033555965</v>
      </c>
      <c r="AH27" s="11">
        <v>119.167776128154</v>
      </c>
      <c r="AI27" s="11">
        <v>159.90524507341701</v>
      </c>
      <c r="AJ27" s="11">
        <v>214.69179535292099</v>
      </c>
      <c r="AK27" s="16">
        <v>2.3263393784312698</v>
      </c>
      <c r="AL27" s="16">
        <v>5.0063557594325898</v>
      </c>
      <c r="AM27" s="26">
        <v>2.54766634518182E-7</v>
      </c>
      <c r="AN27" s="27">
        <v>1.4950778815146001E-6</v>
      </c>
      <c r="AO27" s="11">
        <v>31.215032971710698</v>
      </c>
      <c r="AP27" s="11">
        <v>156.27356009880199</v>
      </c>
      <c r="AQ27" t="s">
        <v>5874</v>
      </c>
      <c r="AR27" t="s">
        <v>5876</v>
      </c>
      <c r="AS27" t="s">
        <v>2002</v>
      </c>
    </row>
    <row r="28" spans="1:45">
      <c r="A28" t="s">
        <v>665</v>
      </c>
      <c r="B28" s="2">
        <v>39</v>
      </c>
      <c r="C28" s="2">
        <v>20</v>
      </c>
      <c r="D28" s="2">
        <v>16</v>
      </c>
      <c r="E28" s="2">
        <v>8</v>
      </c>
      <c r="F28" s="2">
        <v>15</v>
      </c>
      <c r="G28" s="2">
        <v>13</v>
      </c>
      <c r="H28" s="2">
        <v>31</v>
      </c>
      <c r="I28" s="2">
        <v>102</v>
      </c>
      <c r="J28" s="2">
        <v>274</v>
      </c>
      <c r="K28" s="2">
        <v>41</v>
      </c>
      <c r="L28" s="2">
        <v>146</v>
      </c>
      <c r="M28" s="2">
        <v>162</v>
      </c>
      <c r="N28" s="2">
        <v>160</v>
      </c>
      <c r="O28" s="2">
        <v>21</v>
      </c>
      <c r="P28" s="2">
        <v>140</v>
      </c>
      <c r="Q28" s="2">
        <v>109</v>
      </c>
      <c r="R28" s="2">
        <v>93</v>
      </c>
      <c r="S28" s="2">
        <v>72</v>
      </c>
      <c r="T28" s="2">
        <v>149</v>
      </c>
      <c r="U28" s="11">
        <v>47.254092437554398</v>
      </c>
      <c r="V28" s="11">
        <v>19.261282413548901</v>
      </c>
      <c r="W28" s="11">
        <v>25.612762588996102</v>
      </c>
      <c r="X28" s="11">
        <v>12.0953740732258</v>
      </c>
      <c r="Y28" s="11">
        <v>12.9026453990534</v>
      </c>
      <c r="Z28" s="11">
        <v>12.0864542063134</v>
      </c>
      <c r="AA28" s="11">
        <v>32.675930768803902</v>
      </c>
      <c r="AB28" s="11">
        <v>99.2647269941952</v>
      </c>
      <c r="AC28" s="11">
        <v>217.763772349118</v>
      </c>
      <c r="AD28" s="11">
        <v>92.074848445689696</v>
      </c>
      <c r="AE28" s="11">
        <v>129.60880441930999</v>
      </c>
      <c r="AF28" s="11">
        <v>135.44752745599101</v>
      </c>
      <c r="AG28" s="11">
        <v>128.63095921411599</v>
      </c>
      <c r="AH28" s="11">
        <v>86.021772171978597</v>
      </c>
      <c r="AI28" s="11">
        <v>140.294224451205</v>
      </c>
      <c r="AJ28" s="11">
        <v>226.872890124718</v>
      </c>
      <c r="AK28" s="16">
        <v>2.13729098908447</v>
      </c>
      <c r="AL28" s="16">
        <v>4.4292564423390202</v>
      </c>
      <c r="AM28" s="26">
        <v>9.8262029588955205E-7</v>
      </c>
      <c r="AN28" s="27">
        <v>4.9057684921649996E-6</v>
      </c>
      <c r="AO28" s="11">
        <v>32.644158610211399</v>
      </c>
      <c r="AP28" s="11">
        <v>144.58934982901599</v>
      </c>
      <c r="AQ28" t="s">
        <v>5874</v>
      </c>
      <c r="AR28" t="s">
        <v>5876</v>
      </c>
      <c r="AS28" t="s">
        <v>665</v>
      </c>
    </row>
    <row r="29" spans="1:45">
      <c r="A29" t="s">
        <v>3625</v>
      </c>
      <c r="B29" s="2">
        <v>79</v>
      </c>
      <c r="C29" s="2">
        <v>134</v>
      </c>
      <c r="D29" s="2">
        <v>108</v>
      </c>
      <c r="E29" s="2">
        <v>99</v>
      </c>
      <c r="F29" s="2">
        <v>122</v>
      </c>
      <c r="G29" s="2">
        <v>145</v>
      </c>
      <c r="H29" s="2">
        <v>88</v>
      </c>
      <c r="I29" s="2">
        <v>68</v>
      </c>
      <c r="J29" s="2">
        <v>69</v>
      </c>
      <c r="K29" s="2">
        <v>22</v>
      </c>
      <c r="L29" s="2">
        <v>90</v>
      </c>
      <c r="M29" s="2">
        <v>91</v>
      </c>
      <c r="N29" s="2">
        <v>133</v>
      </c>
      <c r="O29" s="2">
        <v>36</v>
      </c>
      <c r="P29" s="2">
        <v>56</v>
      </c>
      <c r="Q29" s="2">
        <v>80</v>
      </c>
      <c r="R29" s="2">
        <v>45</v>
      </c>
      <c r="S29" s="2">
        <v>36</v>
      </c>
      <c r="T29" s="2">
        <v>62</v>
      </c>
      <c r="U29" s="11">
        <v>95.719828270943594</v>
      </c>
      <c r="V29" s="11">
        <v>129.050592170778</v>
      </c>
      <c r="W29" s="11">
        <v>172.88614747572399</v>
      </c>
      <c r="X29" s="11">
        <v>149.68025415617001</v>
      </c>
      <c r="Y29" s="11">
        <v>104.941515912301</v>
      </c>
      <c r="Z29" s="11">
        <v>134.81045076272599</v>
      </c>
      <c r="AA29" s="11">
        <v>92.757480892088395</v>
      </c>
      <c r="AB29" s="11">
        <v>66.176484662796796</v>
      </c>
      <c r="AC29" s="11">
        <v>54.838322233902097</v>
      </c>
      <c r="AD29" s="11">
        <v>56.758468219945698</v>
      </c>
      <c r="AE29" s="11">
        <v>72.804945692328204</v>
      </c>
      <c r="AF29" s="11">
        <v>112.590757197792</v>
      </c>
      <c r="AG29" s="11">
        <v>51.452383685646403</v>
      </c>
      <c r="AH29" s="11">
        <v>63.135245630809997</v>
      </c>
      <c r="AI29" s="11">
        <v>67.884302153809003</v>
      </c>
      <c r="AJ29" s="11">
        <v>94.403484481426204</v>
      </c>
      <c r="AK29" s="16">
        <v>-0.71995619235680197</v>
      </c>
      <c r="AL29" s="16">
        <v>-1.6485026240004199</v>
      </c>
      <c r="AM29" s="26">
        <v>9.7413049366180792E-3</v>
      </c>
      <c r="AN29" s="27">
        <v>1.7903662095048099E-2</v>
      </c>
      <c r="AO29" s="11">
        <v>118.252844287941</v>
      </c>
      <c r="AP29" s="11">
        <v>71.733488661957495</v>
      </c>
      <c r="AQ29" t="s">
        <v>5875</v>
      </c>
      <c r="AR29" t="s">
        <v>5878</v>
      </c>
      <c r="AS29" t="s">
        <v>3625</v>
      </c>
    </row>
    <row r="30" spans="1:45">
      <c r="A30" t="s">
        <v>3442</v>
      </c>
      <c r="B30" s="2">
        <v>154</v>
      </c>
      <c r="C30" s="2">
        <v>26</v>
      </c>
      <c r="D30" s="2">
        <v>19</v>
      </c>
      <c r="E30" s="2">
        <v>5</v>
      </c>
      <c r="F30" s="2">
        <v>6</v>
      </c>
      <c r="G30" s="2">
        <v>24</v>
      </c>
      <c r="H30" s="2">
        <v>35</v>
      </c>
      <c r="I30" s="2">
        <v>54</v>
      </c>
      <c r="J30" s="2">
        <v>73</v>
      </c>
      <c r="K30" s="2">
        <v>132</v>
      </c>
      <c r="L30" s="2">
        <v>110</v>
      </c>
      <c r="M30" s="2">
        <v>95</v>
      </c>
      <c r="N30" s="2">
        <v>132</v>
      </c>
      <c r="O30" s="2">
        <v>178</v>
      </c>
      <c r="P30" s="2">
        <v>66</v>
      </c>
      <c r="Q30" s="2">
        <v>53</v>
      </c>
      <c r="R30" s="2">
        <v>103</v>
      </c>
      <c r="S30" s="2">
        <v>71</v>
      </c>
      <c r="T30" s="2">
        <v>125</v>
      </c>
      <c r="U30" s="11">
        <v>186.593082958548</v>
      </c>
      <c r="V30" s="11">
        <v>25.039667137613598</v>
      </c>
      <c r="W30" s="11">
        <v>30.415155574432902</v>
      </c>
      <c r="X30" s="11">
        <v>7.5596087957661497</v>
      </c>
      <c r="Y30" s="11">
        <v>5.1610581596213496</v>
      </c>
      <c r="Z30" s="11">
        <v>22.313453919347801</v>
      </c>
      <c r="AA30" s="11">
        <v>36.892179900262398</v>
      </c>
      <c r="AB30" s="11">
        <v>52.551914291044497</v>
      </c>
      <c r="AC30" s="11">
        <v>58.017355406881897</v>
      </c>
      <c r="AD30" s="11">
        <v>69.371461157711394</v>
      </c>
      <c r="AE30" s="11">
        <v>76.005163085397598</v>
      </c>
      <c r="AF30" s="11">
        <v>111.74421015119199</v>
      </c>
      <c r="AG30" s="11">
        <v>60.640309343797497</v>
      </c>
      <c r="AH30" s="11">
        <v>41.827100230411602</v>
      </c>
      <c r="AI30" s="11">
        <v>155.37962492982999</v>
      </c>
      <c r="AJ30" s="11">
        <v>190.32960580932701</v>
      </c>
      <c r="AK30" s="16">
        <v>1.0537143536300999</v>
      </c>
      <c r="AL30" s="16">
        <v>2.0825659807831798</v>
      </c>
      <c r="AM30" s="26">
        <v>5.69734879059028E-2</v>
      </c>
      <c r="AN30" s="27">
        <v>8.6625598656929495E-2</v>
      </c>
      <c r="AO30" s="11">
        <v>45.815765092079602</v>
      </c>
      <c r="AP30" s="11">
        <v>95.414353764318605</v>
      </c>
      <c r="AQ30" t="s">
        <v>5874</v>
      </c>
      <c r="AR30" t="s">
        <v>5877</v>
      </c>
      <c r="AS30" t="s">
        <v>3442</v>
      </c>
    </row>
    <row r="31" spans="1:45">
      <c r="A31" t="s">
        <v>2114</v>
      </c>
      <c r="B31" s="2">
        <v>114</v>
      </c>
      <c r="C31" s="2">
        <v>35</v>
      </c>
      <c r="D31" s="2">
        <v>15</v>
      </c>
      <c r="E31" s="2">
        <v>6</v>
      </c>
      <c r="F31" s="2">
        <v>11</v>
      </c>
      <c r="G31" s="2">
        <v>11</v>
      </c>
      <c r="H31" s="2">
        <v>97</v>
      </c>
      <c r="I31" s="2">
        <v>56</v>
      </c>
      <c r="J31" s="2">
        <v>25</v>
      </c>
      <c r="K31" s="2">
        <v>175</v>
      </c>
      <c r="L31" s="2">
        <v>54</v>
      </c>
      <c r="M31" s="2">
        <v>35</v>
      </c>
      <c r="N31" s="2">
        <v>133</v>
      </c>
      <c r="O31" s="2">
        <v>160</v>
      </c>
      <c r="P31" s="2">
        <v>74</v>
      </c>
      <c r="Q31" s="2">
        <v>57</v>
      </c>
      <c r="R31" s="2">
        <v>155</v>
      </c>
      <c r="S31" s="2">
        <v>84</v>
      </c>
      <c r="T31" s="2">
        <v>149</v>
      </c>
      <c r="U31" s="11">
        <v>138.12734712515899</v>
      </c>
      <c r="V31" s="11">
        <v>33.707244223710603</v>
      </c>
      <c r="W31" s="11">
        <v>24.0119649271839</v>
      </c>
      <c r="X31" s="11">
        <v>9.0715305549193808</v>
      </c>
      <c r="Y31" s="11">
        <v>9.4619399593058091</v>
      </c>
      <c r="Z31" s="11">
        <v>10.226999713034401</v>
      </c>
      <c r="AA31" s="11">
        <v>102.24404143787</v>
      </c>
      <c r="AB31" s="11">
        <v>54.498281487009102</v>
      </c>
      <c r="AC31" s="11">
        <v>19.868957331123902</v>
      </c>
      <c r="AD31" s="11">
        <v>34.055080931967403</v>
      </c>
      <c r="AE31" s="11">
        <v>28.001902189357001</v>
      </c>
      <c r="AF31" s="11">
        <v>112.590757197792</v>
      </c>
      <c r="AG31" s="11">
        <v>67.990649870318407</v>
      </c>
      <c r="AH31" s="11">
        <v>44.983862511952097</v>
      </c>
      <c r="AI31" s="11">
        <v>233.82370741867601</v>
      </c>
      <c r="AJ31" s="11">
        <v>226.872890124718</v>
      </c>
      <c r="AK31" s="16">
        <v>1.00247888753412</v>
      </c>
      <c r="AL31" s="16">
        <v>2.0143939113250098</v>
      </c>
      <c r="AM31" s="26">
        <v>0.103432465466111</v>
      </c>
      <c r="AN31" s="27">
        <v>0.14660237160344899</v>
      </c>
      <c r="AO31" s="11">
        <v>47.668668678524099</v>
      </c>
      <c r="AP31" s="11">
        <v>96.0234759469881</v>
      </c>
      <c r="AQ31" t="s">
        <v>5874</v>
      </c>
      <c r="AR31" t="s">
        <v>5832</v>
      </c>
      <c r="AS31" t="s">
        <v>2114</v>
      </c>
    </row>
    <row r="32" spans="1:45">
      <c r="A32" t="s">
        <v>2187</v>
      </c>
      <c r="B32" s="2">
        <v>36</v>
      </c>
      <c r="C32" s="2">
        <v>87</v>
      </c>
      <c r="D32" s="2">
        <v>51</v>
      </c>
      <c r="E32" s="2">
        <v>66</v>
      </c>
      <c r="F32" s="2">
        <v>69</v>
      </c>
      <c r="G32" s="2">
        <v>59</v>
      </c>
      <c r="H32" s="2">
        <v>52</v>
      </c>
      <c r="I32" s="2">
        <v>35</v>
      </c>
      <c r="J32" s="2">
        <v>91</v>
      </c>
      <c r="K32" s="2">
        <v>51</v>
      </c>
      <c r="L32" s="2">
        <v>93</v>
      </c>
      <c r="M32" s="2">
        <v>95</v>
      </c>
      <c r="N32" s="2">
        <v>120</v>
      </c>
      <c r="O32" s="2">
        <v>97</v>
      </c>
      <c r="P32" s="2">
        <v>58.201000000000001</v>
      </c>
      <c r="Q32" s="2">
        <v>93</v>
      </c>
      <c r="R32" s="2">
        <v>71</v>
      </c>
      <c r="S32" s="2">
        <v>52</v>
      </c>
      <c r="T32" s="2">
        <v>113</v>
      </c>
      <c r="U32" s="11">
        <v>43.619162250050302</v>
      </c>
      <c r="V32" s="11">
        <v>83.786578498937899</v>
      </c>
      <c r="W32" s="11">
        <v>81.640680752425098</v>
      </c>
      <c r="X32" s="11">
        <v>99.786836104113206</v>
      </c>
      <c r="Y32" s="11">
        <v>59.3521688356456</v>
      </c>
      <c r="Z32" s="11">
        <v>54.853907551730003</v>
      </c>
      <c r="AA32" s="11">
        <v>54.811238708961298</v>
      </c>
      <c r="AB32" s="11">
        <v>34.061425929380697</v>
      </c>
      <c r="AC32" s="11">
        <v>72.323004685291096</v>
      </c>
      <c r="AD32" s="11">
        <v>58.650417160610601</v>
      </c>
      <c r="AE32" s="11">
        <v>76.005163085397598</v>
      </c>
      <c r="AF32" s="11">
        <v>101.585645591993</v>
      </c>
      <c r="AG32" s="11">
        <v>53.473727330439601</v>
      </c>
      <c r="AH32" s="11">
        <v>73.394723045816605</v>
      </c>
      <c r="AI32" s="11">
        <v>107.106343398232</v>
      </c>
      <c r="AJ32" s="11">
        <v>172.05796365163201</v>
      </c>
      <c r="AK32" s="16">
        <v>0.47722508155638599</v>
      </c>
      <c r="AL32" s="16">
        <v>1.39593717252205</v>
      </c>
      <c r="AM32" s="26">
        <v>0.130216895976729</v>
      </c>
      <c r="AN32" s="27">
        <v>0.17924918396796599</v>
      </c>
      <c r="AO32" s="11">
        <v>63.988999828905499</v>
      </c>
      <c r="AP32" s="11">
        <v>89.324623493676498</v>
      </c>
      <c r="AQ32" t="s">
        <v>5874</v>
      </c>
      <c r="AR32" t="s">
        <v>5832</v>
      </c>
      <c r="AS32" t="s">
        <v>2187</v>
      </c>
    </row>
    <row r="33" spans="1:45">
      <c r="A33" t="s">
        <v>837</v>
      </c>
      <c r="B33" s="2">
        <v>17</v>
      </c>
      <c r="C33" s="2">
        <v>25</v>
      </c>
      <c r="D33" s="2">
        <v>17</v>
      </c>
      <c r="E33" s="2">
        <v>26</v>
      </c>
      <c r="F33" s="2">
        <v>17</v>
      </c>
      <c r="G33" s="2">
        <v>17</v>
      </c>
      <c r="H33" s="2">
        <v>35</v>
      </c>
      <c r="I33" s="2">
        <v>9</v>
      </c>
      <c r="J33" s="2">
        <v>111</v>
      </c>
      <c r="K33" s="2">
        <v>34</v>
      </c>
      <c r="L33" s="2">
        <v>572</v>
      </c>
      <c r="M33" s="2">
        <v>17</v>
      </c>
      <c r="N33" s="2">
        <v>48</v>
      </c>
      <c r="O33" s="2">
        <v>45</v>
      </c>
      <c r="P33" s="2">
        <v>215</v>
      </c>
      <c r="Q33" s="2">
        <v>80</v>
      </c>
      <c r="R33" s="2">
        <v>20</v>
      </c>
      <c r="S33" s="2">
        <v>7</v>
      </c>
      <c r="T33" s="2">
        <v>32</v>
      </c>
      <c r="U33" s="11">
        <v>20.597937729190399</v>
      </c>
      <c r="V33" s="11">
        <v>24.0766030169362</v>
      </c>
      <c r="W33" s="11">
        <v>27.213560250808399</v>
      </c>
      <c r="X33" s="11">
        <v>39.309965737984001</v>
      </c>
      <c r="Y33" s="11">
        <v>14.6229981189272</v>
      </c>
      <c r="Z33" s="11">
        <v>15.805363192871299</v>
      </c>
      <c r="AA33" s="11">
        <v>36.892179900262398</v>
      </c>
      <c r="AB33" s="11">
        <v>8.7586523818407507</v>
      </c>
      <c r="AC33" s="11">
        <v>88.218170550190294</v>
      </c>
      <c r="AD33" s="11">
        <v>360.731598020099</v>
      </c>
      <c r="AE33" s="11">
        <v>13.600923920544799</v>
      </c>
      <c r="AF33" s="11">
        <v>40.634258236797201</v>
      </c>
      <c r="AG33" s="11">
        <v>197.54040165025</v>
      </c>
      <c r="AH33" s="11">
        <v>63.135245630809997</v>
      </c>
      <c r="AI33" s="11">
        <v>30.170800957248499</v>
      </c>
      <c r="AJ33" s="11">
        <v>48.7243790871877</v>
      </c>
      <c r="AK33" s="16">
        <v>2.1753702572917701</v>
      </c>
      <c r="AL33" s="16">
        <v>4.5000432864802704</v>
      </c>
      <c r="AM33" s="26">
        <v>9.7124368609368805E-5</v>
      </c>
      <c r="AN33" s="27">
        <v>2.73009254620452E-4</v>
      </c>
      <c r="AO33" s="11">
        <v>23.4096575411026</v>
      </c>
      <c r="AP33" s="11">
        <v>105.344472256641</v>
      </c>
      <c r="AQ33" t="s">
        <v>5874</v>
      </c>
      <c r="AR33" t="s">
        <v>5876</v>
      </c>
      <c r="AS33" t="s">
        <v>837</v>
      </c>
    </row>
    <row r="34" spans="1:45">
      <c r="A34" t="s">
        <v>5736</v>
      </c>
      <c r="B34" s="2">
        <v>56</v>
      </c>
      <c r="C34" s="2">
        <v>56</v>
      </c>
      <c r="D34" s="2">
        <v>64</v>
      </c>
      <c r="E34" s="2">
        <v>68</v>
      </c>
      <c r="F34" s="2">
        <v>54</v>
      </c>
      <c r="G34" s="2">
        <v>89</v>
      </c>
      <c r="H34" s="2">
        <v>58</v>
      </c>
      <c r="I34" s="2">
        <v>31</v>
      </c>
      <c r="J34" s="2">
        <v>67</v>
      </c>
      <c r="K34" s="2">
        <v>128</v>
      </c>
      <c r="L34" s="2">
        <v>81</v>
      </c>
      <c r="M34" s="2">
        <v>71</v>
      </c>
      <c r="N34" s="2">
        <v>83</v>
      </c>
      <c r="O34" s="2">
        <v>118</v>
      </c>
      <c r="P34" s="2">
        <v>56</v>
      </c>
      <c r="Q34" s="2">
        <v>79</v>
      </c>
      <c r="R34" s="2">
        <v>47</v>
      </c>
      <c r="S34" s="2">
        <v>42</v>
      </c>
      <c r="T34" s="2">
        <v>70</v>
      </c>
      <c r="U34" s="11">
        <v>67.852030166744797</v>
      </c>
      <c r="V34" s="11">
        <v>53.931590757937002</v>
      </c>
      <c r="W34" s="11">
        <v>102.45105035598399</v>
      </c>
      <c r="X34" s="11">
        <v>102.81067962242</v>
      </c>
      <c r="Y34" s="11">
        <v>46.449523436592202</v>
      </c>
      <c r="Z34" s="11">
        <v>82.745724950914706</v>
      </c>
      <c r="AA34" s="11">
        <v>61.1356124061492</v>
      </c>
      <c r="AB34" s="11">
        <v>30.168691537451501</v>
      </c>
      <c r="AC34" s="11">
        <v>53.248805647412098</v>
      </c>
      <c r="AD34" s="11">
        <v>51.082621397951101</v>
      </c>
      <c r="AE34" s="11">
        <v>56.803858726981296</v>
      </c>
      <c r="AF34" s="11">
        <v>70.263404867795103</v>
      </c>
      <c r="AG34" s="11">
        <v>51.452383685646403</v>
      </c>
      <c r="AH34" s="11">
        <v>62.346055060424902</v>
      </c>
      <c r="AI34" s="11">
        <v>70.901382249533896</v>
      </c>
      <c r="AJ34" s="11">
        <v>106.584579253223</v>
      </c>
      <c r="AK34" s="16">
        <v>-6.6262382772623196E-2</v>
      </c>
      <c r="AL34" s="16">
        <v>-1.0475657483063801</v>
      </c>
      <c r="AM34" s="26">
        <v>0.82373729313055999</v>
      </c>
      <c r="AN34" s="27">
        <v>0.87334429335078401</v>
      </c>
      <c r="AO34" s="11">
        <v>68.443112904274201</v>
      </c>
      <c r="AP34" s="11">
        <v>65.335386361120996</v>
      </c>
      <c r="AQ34" t="s">
        <v>5875</v>
      </c>
      <c r="AR34" t="s">
        <v>5832</v>
      </c>
      <c r="AS34" t="s">
        <v>5736</v>
      </c>
    </row>
    <row r="35" spans="1:45">
      <c r="A35" t="s">
        <v>1887</v>
      </c>
      <c r="B35" s="2">
        <v>43</v>
      </c>
      <c r="C35" s="2">
        <v>100</v>
      </c>
      <c r="D35" s="2">
        <v>97</v>
      </c>
      <c r="E35" s="2">
        <v>190</v>
      </c>
      <c r="F35" s="2">
        <v>161</v>
      </c>
      <c r="G35" s="2">
        <v>109</v>
      </c>
      <c r="H35" s="2">
        <v>154</v>
      </c>
      <c r="I35" s="2">
        <v>33</v>
      </c>
      <c r="J35" s="2">
        <v>14</v>
      </c>
      <c r="K35" s="2">
        <v>10</v>
      </c>
      <c r="L35" s="2">
        <v>46</v>
      </c>
      <c r="M35" s="2">
        <v>82</v>
      </c>
      <c r="N35" s="2">
        <v>18</v>
      </c>
      <c r="O35" s="2">
        <v>8</v>
      </c>
      <c r="P35" s="2">
        <v>24</v>
      </c>
      <c r="Q35" s="2">
        <v>53</v>
      </c>
      <c r="R35" s="2">
        <v>37</v>
      </c>
      <c r="S35" s="2">
        <v>22</v>
      </c>
      <c r="T35" s="2">
        <v>34</v>
      </c>
      <c r="U35" s="11">
        <v>52.100666020893399</v>
      </c>
      <c r="V35" s="11">
        <v>96.306412067744702</v>
      </c>
      <c r="W35" s="11">
        <v>155.27737319578901</v>
      </c>
      <c r="X35" s="11">
        <v>287.26513423911399</v>
      </c>
      <c r="Y35" s="11">
        <v>138.48839394984</v>
      </c>
      <c r="Z35" s="11">
        <v>101.34026988370501</v>
      </c>
      <c r="AA35" s="11">
        <v>162.32559156115499</v>
      </c>
      <c r="AB35" s="11">
        <v>32.115058733416099</v>
      </c>
      <c r="AC35" s="11">
        <v>11.126616105429401</v>
      </c>
      <c r="AD35" s="11">
        <v>29.0098837568611</v>
      </c>
      <c r="AE35" s="11">
        <v>65.604456557922106</v>
      </c>
      <c r="AF35" s="11">
        <v>15.2378468387989</v>
      </c>
      <c r="AG35" s="11">
        <v>22.0510215795627</v>
      </c>
      <c r="AH35" s="11">
        <v>41.827100230411602</v>
      </c>
      <c r="AI35" s="11">
        <v>55.815981770909602</v>
      </c>
      <c r="AJ35" s="11">
        <v>51.769652780137001</v>
      </c>
      <c r="AK35" s="16">
        <v>-1.8118066105169499</v>
      </c>
      <c r="AL35" s="16">
        <v>-3.5057103213147598</v>
      </c>
      <c r="AM35" s="26">
        <v>5.4179406524061197E-5</v>
      </c>
      <c r="AN35" s="27">
        <v>1.6327037371440101E-4</v>
      </c>
      <c r="AO35" s="11">
        <v>128.15236245645701</v>
      </c>
      <c r="AP35" s="11">
        <v>36.555319952504099</v>
      </c>
      <c r="AQ35" t="s">
        <v>5875</v>
      </c>
      <c r="AR35" t="s">
        <v>5876</v>
      </c>
      <c r="AS35" t="s">
        <v>1887</v>
      </c>
    </row>
    <row r="36" spans="1:45">
      <c r="A36" t="s">
        <v>463</v>
      </c>
      <c r="B36" s="2">
        <v>70</v>
      </c>
      <c r="C36" s="2">
        <v>39</v>
      </c>
      <c r="D36" s="2">
        <v>38</v>
      </c>
      <c r="E36" s="2">
        <v>24</v>
      </c>
      <c r="F36" s="2">
        <v>25</v>
      </c>
      <c r="G36" s="2">
        <v>35</v>
      </c>
      <c r="H36" s="2">
        <v>49</v>
      </c>
      <c r="I36" s="2">
        <v>85</v>
      </c>
      <c r="J36" s="2">
        <v>35</v>
      </c>
      <c r="K36" s="2">
        <v>146</v>
      </c>
      <c r="L36" s="2">
        <v>43</v>
      </c>
      <c r="M36" s="2">
        <v>50</v>
      </c>
      <c r="N36" s="2">
        <v>85</v>
      </c>
      <c r="O36" s="2">
        <v>155</v>
      </c>
      <c r="P36" s="2">
        <v>66</v>
      </c>
      <c r="Q36" s="2">
        <v>36</v>
      </c>
      <c r="R36" s="2">
        <v>132</v>
      </c>
      <c r="S36" s="2">
        <v>32</v>
      </c>
      <c r="T36" s="2">
        <v>80</v>
      </c>
      <c r="U36" s="11">
        <v>84.815037708431007</v>
      </c>
      <c r="V36" s="11">
        <v>37.559500706420401</v>
      </c>
      <c r="W36" s="11">
        <v>60.830311148865803</v>
      </c>
      <c r="X36" s="11">
        <v>36.286122219677502</v>
      </c>
      <c r="Y36" s="11">
        <v>21.504408998422299</v>
      </c>
      <c r="Z36" s="11">
        <v>32.540453632382203</v>
      </c>
      <c r="AA36" s="11">
        <v>51.6490518603674</v>
      </c>
      <c r="AB36" s="11">
        <v>82.720605828496005</v>
      </c>
      <c r="AC36" s="11">
        <v>27.816540263573501</v>
      </c>
      <c r="AD36" s="11">
        <v>27.1179348161963</v>
      </c>
      <c r="AE36" s="11">
        <v>40.002717413367101</v>
      </c>
      <c r="AF36" s="11">
        <v>71.956498960995006</v>
      </c>
      <c r="AG36" s="11">
        <v>60.640309343797497</v>
      </c>
      <c r="AH36" s="11">
        <v>28.410860533864501</v>
      </c>
      <c r="AI36" s="11">
        <v>199.12728631784</v>
      </c>
      <c r="AJ36" s="11">
        <v>121.810947717969</v>
      </c>
      <c r="AK36" s="16">
        <v>0.48845099169471801</v>
      </c>
      <c r="AL36" s="16">
        <v>1.41425674950669</v>
      </c>
      <c r="AM36" s="26">
        <v>0.26819762128974101</v>
      </c>
      <c r="AN36" s="27">
        <v>0.342412611913811</v>
      </c>
      <c r="AO36" s="11">
        <v>50.988186512882798</v>
      </c>
      <c r="AP36" s="11">
        <v>72.110386920950404</v>
      </c>
      <c r="AQ36" t="s">
        <v>5874</v>
      </c>
      <c r="AR36" t="s">
        <v>5832</v>
      </c>
      <c r="AS36" t="s">
        <v>463</v>
      </c>
    </row>
    <row r="37" spans="1:45">
      <c r="A37" t="s">
        <v>3211</v>
      </c>
      <c r="B37" s="2">
        <v>78</v>
      </c>
      <c r="C37" s="2">
        <v>60</v>
      </c>
      <c r="D37" s="2">
        <v>41</v>
      </c>
      <c r="E37" s="2">
        <v>34</v>
      </c>
      <c r="F37" s="2">
        <v>37</v>
      </c>
      <c r="G37" s="2">
        <v>32</v>
      </c>
      <c r="H37" s="2">
        <v>35</v>
      </c>
      <c r="I37" s="2">
        <v>101</v>
      </c>
      <c r="J37" s="2">
        <v>68</v>
      </c>
      <c r="K37" s="2">
        <v>137</v>
      </c>
      <c r="L37" s="2">
        <v>33</v>
      </c>
      <c r="M37" s="2">
        <v>51</v>
      </c>
      <c r="N37" s="2">
        <v>91</v>
      </c>
      <c r="O37" s="2">
        <v>80</v>
      </c>
      <c r="P37" s="2">
        <v>66</v>
      </c>
      <c r="Q37" s="2">
        <v>66</v>
      </c>
      <c r="R37" s="2">
        <v>58</v>
      </c>
      <c r="S37" s="2">
        <v>74</v>
      </c>
      <c r="T37" s="2">
        <v>72</v>
      </c>
      <c r="U37" s="11">
        <v>94.508184875108896</v>
      </c>
      <c r="V37" s="11">
        <v>57.7838472406468</v>
      </c>
      <c r="W37" s="11">
        <v>65.6327041343026</v>
      </c>
      <c r="X37" s="11">
        <v>51.405339811209799</v>
      </c>
      <c r="Y37" s="11">
        <v>31.826525317664998</v>
      </c>
      <c r="Z37" s="11">
        <v>29.751271892463699</v>
      </c>
      <c r="AA37" s="11">
        <v>36.892179900262398</v>
      </c>
      <c r="AB37" s="11">
        <v>98.291543396212901</v>
      </c>
      <c r="AC37" s="11">
        <v>54.043563940657101</v>
      </c>
      <c r="AD37" s="11">
        <v>20.811438347313398</v>
      </c>
      <c r="AE37" s="11">
        <v>40.802771761634503</v>
      </c>
      <c r="AF37" s="11">
        <v>77.035781240594602</v>
      </c>
      <c r="AG37" s="11">
        <v>60.640309343797497</v>
      </c>
      <c r="AH37" s="11">
        <v>52.086577645418203</v>
      </c>
      <c r="AI37" s="11">
        <v>87.495322776020501</v>
      </c>
      <c r="AJ37" s="11">
        <v>109.62985294617199</v>
      </c>
      <c r="AK37" s="16">
        <v>0.10007227843986399</v>
      </c>
      <c r="AL37" s="16">
        <v>1.0782121404937799</v>
      </c>
      <c r="AM37" s="26">
        <v>0.77968986200255197</v>
      </c>
      <c r="AN37" s="27">
        <v>0.83519703989177596</v>
      </c>
      <c r="AO37" s="11">
        <v>58.261449570983999</v>
      </c>
      <c r="AP37" s="11">
        <v>62.818202250200997</v>
      </c>
      <c r="AQ37" t="s">
        <v>5874</v>
      </c>
      <c r="AR37" t="s">
        <v>5832</v>
      </c>
      <c r="AS37" t="s">
        <v>3211</v>
      </c>
    </row>
    <row r="38" spans="1:45">
      <c r="A38" t="s">
        <v>3054</v>
      </c>
      <c r="B38" s="2">
        <v>31</v>
      </c>
      <c r="C38" s="2">
        <v>33</v>
      </c>
      <c r="D38" s="2">
        <v>7</v>
      </c>
      <c r="E38" s="2">
        <v>13</v>
      </c>
      <c r="F38" s="2">
        <v>8</v>
      </c>
      <c r="G38" s="2">
        <v>5</v>
      </c>
      <c r="H38" s="2">
        <v>7</v>
      </c>
      <c r="I38" s="2">
        <v>23</v>
      </c>
      <c r="J38" s="2">
        <v>66</v>
      </c>
      <c r="K38" s="2">
        <v>277</v>
      </c>
      <c r="L38" s="2">
        <v>32</v>
      </c>
      <c r="M38" s="2">
        <v>31</v>
      </c>
      <c r="N38" s="2">
        <v>91</v>
      </c>
      <c r="O38" s="2">
        <v>181</v>
      </c>
      <c r="P38" s="2">
        <v>72</v>
      </c>
      <c r="Q38" s="2">
        <v>39</v>
      </c>
      <c r="R38" s="2">
        <v>95</v>
      </c>
      <c r="S38" s="2">
        <v>81</v>
      </c>
      <c r="T38" s="2">
        <v>81</v>
      </c>
      <c r="U38" s="11">
        <v>37.560945270876601</v>
      </c>
      <c r="V38" s="11">
        <v>31.781115982355701</v>
      </c>
      <c r="W38" s="11">
        <v>11.2055836326858</v>
      </c>
      <c r="X38" s="11">
        <v>19.654982868992001</v>
      </c>
      <c r="Y38" s="11">
        <v>6.8814108794951396</v>
      </c>
      <c r="Z38" s="11">
        <v>4.6486362331974602</v>
      </c>
      <c r="AA38" s="11">
        <v>7.3784359800524904</v>
      </c>
      <c r="AB38" s="11">
        <v>22.383222753593</v>
      </c>
      <c r="AC38" s="11">
        <v>52.454047354167201</v>
      </c>
      <c r="AD38" s="11">
        <v>20.180788700425101</v>
      </c>
      <c r="AE38" s="11">
        <v>24.801684796287599</v>
      </c>
      <c r="AF38" s="11">
        <v>77.035781240594602</v>
      </c>
      <c r="AG38" s="11">
        <v>66.153064738688201</v>
      </c>
      <c r="AH38" s="11">
        <v>30.7784322450199</v>
      </c>
      <c r="AI38" s="11">
        <v>143.31130454692999</v>
      </c>
      <c r="AJ38" s="11">
        <v>123.333584564444</v>
      </c>
      <c r="AK38" s="16">
        <v>1.91327613921269</v>
      </c>
      <c r="AL38" s="16">
        <v>3.8026165040845901</v>
      </c>
      <c r="AM38" s="26">
        <v>1.23152595863304E-4</v>
      </c>
      <c r="AN38" s="27">
        <v>3.3904973922860299E-4</v>
      </c>
      <c r="AO38" s="11">
        <v>17.686791700156</v>
      </c>
      <c r="AP38" s="11">
        <v>67.256086023319597</v>
      </c>
      <c r="AQ38" t="s">
        <v>5874</v>
      </c>
      <c r="AR38" t="s">
        <v>5876</v>
      </c>
      <c r="AS38" t="s">
        <v>3054</v>
      </c>
    </row>
    <row r="39" spans="1:45">
      <c r="A39" t="s">
        <v>5788</v>
      </c>
      <c r="B39" s="2">
        <v>78</v>
      </c>
      <c r="C39" s="2">
        <v>43</v>
      </c>
      <c r="D39" s="2">
        <v>36</v>
      </c>
      <c r="E39" s="2">
        <v>31</v>
      </c>
      <c r="F39" s="2">
        <v>35</v>
      </c>
      <c r="G39" s="2">
        <v>31</v>
      </c>
      <c r="H39" s="2">
        <v>65</v>
      </c>
      <c r="I39" s="2">
        <v>57</v>
      </c>
      <c r="J39" s="2">
        <v>56</v>
      </c>
      <c r="K39" s="2">
        <v>49</v>
      </c>
      <c r="L39" s="2">
        <v>43</v>
      </c>
      <c r="M39" s="2">
        <v>34</v>
      </c>
      <c r="N39" s="2">
        <v>63</v>
      </c>
      <c r="O39" s="2">
        <v>76</v>
      </c>
      <c r="P39" s="2">
        <v>67</v>
      </c>
      <c r="Q39" s="2">
        <v>64</v>
      </c>
      <c r="R39" s="2">
        <v>165</v>
      </c>
      <c r="S39" s="2">
        <v>32</v>
      </c>
      <c r="T39" s="2">
        <v>116</v>
      </c>
      <c r="U39" s="11">
        <v>94.508184875108896</v>
      </c>
      <c r="V39" s="11">
        <v>41.411757189130199</v>
      </c>
      <c r="W39" s="11">
        <v>57.628715825241301</v>
      </c>
      <c r="X39" s="11">
        <v>46.869574533750097</v>
      </c>
      <c r="Y39" s="11">
        <v>30.1061725977912</v>
      </c>
      <c r="Z39" s="11">
        <v>28.821544645824201</v>
      </c>
      <c r="AA39" s="11">
        <v>68.514048386201594</v>
      </c>
      <c r="AB39" s="11">
        <v>55.471465084991401</v>
      </c>
      <c r="AC39" s="11">
        <v>44.506464421717602</v>
      </c>
      <c r="AD39" s="11">
        <v>27.1179348161963</v>
      </c>
      <c r="AE39" s="11">
        <v>27.201847841089702</v>
      </c>
      <c r="AF39" s="11">
        <v>53.332463935796298</v>
      </c>
      <c r="AG39" s="11">
        <v>61.5591019096126</v>
      </c>
      <c r="AH39" s="11">
        <v>50.508196504647998</v>
      </c>
      <c r="AI39" s="11">
        <v>248.9091078973</v>
      </c>
      <c r="AJ39" s="11">
        <v>176.625874191056</v>
      </c>
      <c r="AK39" s="16">
        <v>0.69374655255867801</v>
      </c>
      <c r="AL39" s="16">
        <v>1.62936387105369</v>
      </c>
      <c r="AM39" s="26">
        <v>0.127796844185256</v>
      </c>
      <c r="AN39" s="27">
        <v>0.17628059538131199</v>
      </c>
      <c r="AO39" s="11">
        <v>52.916432892254903</v>
      </c>
      <c r="AP39" s="11">
        <v>86.220123939676995</v>
      </c>
      <c r="AQ39" t="s">
        <v>5874</v>
      </c>
      <c r="AR39" t="s">
        <v>5832</v>
      </c>
      <c r="AS39" t="s">
        <v>5788</v>
      </c>
    </row>
    <row r="40" spans="1:45">
      <c r="A40" t="s">
        <v>2405</v>
      </c>
      <c r="B40" s="2">
        <v>2</v>
      </c>
      <c r="C40" s="2">
        <v>0</v>
      </c>
      <c r="D40" s="2">
        <v>0</v>
      </c>
      <c r="E40" s="2">
        <v>6</v>
      </c>
      <c r="F40" s="2">
        <v>14</v>
      </c>
      <c r="G40" s="2">
        <v>8</v>
      </c>
      <c r="H40" s="2">
        <v>66</v>
      </c>
      <c r="I40" s="2">
        <v>35</v>
      </c>
      <c r="J40" s="2">
        <v>82</v>
      </c>
      <c r="K40" s="2">
        <v>3</v>
      </c>
      <c r="L40" s="2">
        <v>137</v>
      </c>
      <c r="M40" s="2">
        <v>17</v>
      </c>
      <c r="N40" s="2">
        <v>60</v>
      </c>
      <c r="O40" s="2">
        <v>5</v>
      </c>
      <c r="P40" s="2">
        <v>444</v>
      </c>
      <c r="Q40" s="2">
        <v>181</v>
      </c>
      <c r="R40" s="2">
        <v>9</v>
      </c>
      <c r="S40" s="2">
        <v>5</v>
      </c>
      <c r="T40" s="2">
        <v>46</v>
      </c>
      <c r="U40" s="11">
        <v>2.4232867916694598</v>
      </c>
      <c r="V40" s="11">
        <v>0.24076603016936199</v>
      </c>
      <c r="W40" s="11">
        <v>0.40019941545306398</v>
      </c>
      <c r="X40" s="11">
        <v>9.0715305549193808</v>
      </c>
      <c r="Y40" s="11">
        <v>12.042469039116501</v>
      </c>
      <c r="Z40" s="11">
        <v>7.43781797311593</v>
      </c>
      <c r="AA40" s="11">
        <v>69.5681106690663</v>
      </c>
      <c r="AB40" s="11">
        <v>34.061425929380697</v>
      </c>
      <c r="AC40" s="11">
        <v>65.1701800460865</v>
      </c>
      <c r="AD40" s="11">
        <v>86.399001623695099</v>
      </c>
      <c r="AE40" s="11">
        <v>13.600923920544799</v>
      </c>
      <c r="AF40" s="11">
        <v>50.7928227959964</v>
      </c>
      <c r="AG40" s="11">
        <v>407.94389922191101</v>
      </c>
      <c r="AH40" s="11">
        <v>142.84349323970801</v>
      </c>
      <c r="AI40" s="11">
        <v>13.576860430761799</v>
      </c>
      <c r="AJ40" s="11">
        <v>70.041294937832404</v>
      </c>
      <c r="AK40" s="16">
        <v>2.6377963873749999</v>
      </c>
      <c r="AL40" s="16">
        <v>6.2875867012147202</v>
      </c>
      <c r="AM40" s="26">
        <v>1.11790167892402E-3</v>
      </c>
      <c r="AN40" s="27">
        <v>2.4764113350999001E-3</v>
      </c>
      <c r="AO40" s="11">
        <v>16.905700800361299</v>
      </c>
      <c r="AP40" s="11">
        <v>106.296059527067</v>
      </c>
      <c r="AQ40" t="s">
        <v>5874</v>
      </c>
      <c r="AR40" t="s">
        <v>5876</v>
      </c>
      <c r="AS40" t="s">
        <v>2405</v>
      </c>
    </row>
    <row r="41" spans="1:45">
      <c r="A41" t="s">
        <v>4636</v>
      </c>
      <c r="B41" s="2">
        <v>43</v>
      </c>
      <c r="C41" s="2">
        <v>34</v>
      </c>
      <c r="D41" s="2">
        <v>36</v>
      </c>
      <c r="E41" s="2">
        <v>4</v>
      </c>
      <c r="F41" s="2">
        <v>17</v>
      </c>
      <c r="G41" s="2">
        <v>77</v>
      </c>
      <c r="H41" s="2">
        <v>64</v>
      </c>
      <c r="I41" s="2">
        <v>120</v>
      </c>
      <c r="J41" s="2">
        <v>86</v>
      </c>
      <c r="K41" s="2">
        <v>35</v>
      </c>
      <c r="L41" s="2">
        <v>117</v>
      </c>
      <c r="M41" s="2">
        <v>84</v>
      </c>
      <c r="N41" s="2">
        <v>74</v>
      </c>
      <c r="O41" s="2">
        <v>39</v>
      </c>
      <c r="P41" s="2">
        <v>47</v>
      </c>
      <c r="Q41" s="2">
        <v>49</v>
      </c>
      <c r="R41" s="2">
        <v>58</v>
      </c>
      <c r="S41" s="2">
        <v>40</v>
      </c>
      <c r="T41" s="2">
        <v>50</v>
      </c>
      <c r="U41" s="11">
        <v>52.100666020893399</v>
      </c>
      <c r="V41" s="11">
        <v>32.744180103033202</v>
      </c>
      <c r="W41" s="11">
        <v>57.628715825241301</v>
      </c>
      <c r="X41" s="11">
        <v>6.0476870366129196</v>
      </c>
      <c r="Y41" s="11">
        <v>14.6229981189272</v>
      </c>
      <c r="Z41" s="11">
        <v>71.588997991240802</v>
      </c>
      <c r="AA41" s="11">
        <v>67.459986103337002</v>
      </c>
      <c r="AB41" s="11">
        <v>116.78203175787699</v>
      </c>
      <c r="AC41" s="11">
        <v>68.3492132190663</v>
      </c>
      <c r="AD41" s="11">
        <v>73.786008685929403</v>
      </c>
      <c r="AE41" s="11">
        <v>67.204565254456796</v>
      </c>
      <c r="AF41" s="11">
        <v>62.644481448395602</v>
      </c>
      <c r="AG41" s="11">
        <v>43.183250593310397</v>
      </c>
      <c r="AH41" s="11">
        <v>38.670337948871101</v>
      </c>
      <c r="AI41" s="11">
        <v>87.495322776020501</v>
      </c>
      <c r="AJ41" s="11">
        <v>76.131842323730794</v>
      </c>
      <c r="AK41" s="16">
        <v>0.29813621141109797</v>
      </c>
      <c r="AL41" s="16">
        <v>1.2350729696962801</v>
      </c>
      <c r="AM41" s="26">
        <v>0.47466245999533901</v>
      </c>
      <c r="AN41" s="27">
        <v>0.55508762841009396</v>
      </c>
      <c r="AO41" s="11">
        <v>52.371907869645298</v>
      </c>
      <c r="AP41" s="11">
        <v>64.683127781222595</v>
      </c>
      <c r="AQ41" t="s">
        <v>5874</v>
      </c>
      <c r="AR41" t="s">
        <v>5832</v>
      </c>
      <c r="AS41" t="s">
        <v>4636</v>
      </c>
    </row>
    <row r="42" spans="1:45">
      <c r="A42" t="s">
        <v>1981</v>
      </c>
      <c r="B42" s="2">
        <v>127</v>
      </c>
      <c r="C42" s="2">
        <v>89</v>
      </c>
      <c r="D42" s="2">
        <v>79</v>
      </c>
      <c r="E42" s="2">
        <v>48</v>
      </c>
      <c r="F42" s="2">
        <v>51</v>
      </c>
      <c r="G42" s="2">
        <v>42</v>
      </c>
      <c r="H42" s="2">
        <v>69</v>
      </c>
      <c r="I42" s="2">
        <v>27</v>
      </c>
      <c r="J42" s="2">
        <v>45</v>
      </c>
      <c r="K42" s="2">
        <v>30</v>
      </c>
      <c r="L42" s="2">
        <v>48</v>
      </c>
      <c r="M42" s="2">
        <v>45</v>
      </c>
      <c r="N42" s="2">
        <v>78</v>
      </c>
      <c r="O42" s="2">
        <v>39</v>
      </c>
      <c r="P42" s="2">
        <v>31</v>
      </c>
      <c r="Q42" s="2">
        <v>52</v>
      </c>
      <c r="R42" s="2">
        <v>40</v>
      </c>
      <c r="S42" s="2">
        <v>25</v>
      </c>
      <c r="T42" s="2">
        <v>81</v>
      </c>
      <c r="U42" s="11">
        <v>153.87871127101101</v>
      </c>
      <c r="V42" s="11">
        <v>85.712706740292802</v>
      </c>
      <c r="W42" s="11">
        <v>126.463015283168</v>
      </c>
      <c r="X42" s="11">
        <v>72.572244439355003</v>
      </c>
      <c r="Y42" s="11">
        <v>43.868994356781499</v>
      </c>
      <c r="Z42" s="11">
        <v>39.048544358858599</v>
      </c>
      <c r="AA42" s="11">
        <v>72.730297517660205</v>
      </c>
      <c r="AB42" s="11">
        <v>26.275957145522302</v>
      </c>
      <c r="AC42" s="11">
        <v>35.7641231960231</v>
      </c>
      <c r="AD42" s="11">
        <v>30.271183050637699</v>
      </c>
      <c r="AE42" s="11">
        <v>36.002445672030397</v>
      </c>
      <c r="AF42" s="11">
        <v>66.030669634795402</v>
      </c>
      <c r="AG42" s="11">
        <v>28.4825695402685</v>
      </c>
      <c r="AH42" s="11">
        <v>41.0379096600265</v>
      </c>
      <c r="AI42" s="11">
        <v>60.341601914496898</v>
      </c>
      <c r="AJ42" s="11">
        <v>123.333584564444</v>
      </c>
      <c r="AK42" s="16">
        <v>-0.56490132002193905</v>
      </c>
      <c r="AL42" s="16">
        <v>-1.4730675837787099</v>
      </c>
      <c r="AM42" s="26">
        <v>0.16403575565978201</v>
      </c>
      <c r="AN42" s="27">
        <v>0.21991968043365501</v>
      </c>
      <c r="AO42" s="11">
        <v>77.568808889081197</v>
      </c>
      <c r="AP42" s="11">
        <v>52.658010904090297</v>
      </c>
      <c r="AQ42" t="s">
        <v>5875</v>
      </c>
      <c r="AR42" t="s">
        <v>5832</v>
      </c>
      <c r="AS42" t="s">
        <v>1981</v>
      </c>
    </row>
    <row r="43" spans="1:45">
      <c r="A43" t="s">
        <v>4269</v>
      </c>
      <c r="B43" s="2">
        <v>33.097999999999999</v>
      </c>
      <c r="C43" s="2">
        <v>47.438000000000002</v>
      </c>
      <c r="D43" s="2">
        <v>18.076000000000001</v>
      </c>
      <c r="E43" s="2">
        <v>35.601999999999997</v>
      </c>
      <c r="F43" s="2">
        <v>85.465000000000003</v>
      </c>
      <c r="G43" s="2">
        <v>61.664999999999999</v>
      </c>
      <c r="H43" s="2">
        <v>32.168999999999997</v>
      </c>
      <c r="I43" s="2">
        <v>43.707000000000001</v>
      </c>
      <c r="J43" s="2">
        <v>91.036000000000001</v>
      </c>
      <c r="K43" s="2">
        <v>30.484999999999999</v>
      </c>
      <c r="L43" s="2">
        <v>106.31</v>
      </c>
      <c r="M43" s="2">
        <v>90.694000000000003</v>
      </c>
      <c r="N43" s="2">
        <v>106.48</v>
      </c>
      <c r="O43" s="2">
        <v>26.561</v>
      </c>
      <c r="P43" s="2">
        <v>60.133000000000003</v>
      </c>
      <c r="Q43" s="2">
        <v>65.641999999999996</v>
      </c>
      <c r="R43" s="2">
        <v>38.619</v>
      </c>
      <c r="S43" s="2">
        <v>20.718</v>
      </c>
      <c r="T43" s="2">
        <v>31.695</v>
      </c>
      <c r="U43" s="11">
        <v>40.1053964021295</v>
      </c>
      <c r="V43" s="11">
        <v>45.649239320111</v>
      </c>
      <c r="W43" s="11">
        <v>28.974437678801898</v>
      </c>
      <c r="X43" s="11">
        <v>53.824414625854999</v>
      </c>
      <c r="Y43" s="11">
        <v>73.545078774604306</v>
      </c>
      <c r="Z43" s="11">
        <v>57.364171117656603</v>
      </c>
      <c r="AA43" s="11">
        <v>33.940805508241397</v>
      </c>
      <c r="AB43" s="11">
        <v>42.528123231826797</v>
      </c>
      <c r="AC43" s="11">
        <v>72.323004685291096</v>
      </c>
      <c r="AD43" s="11">
        <v>67.038057464224806</v>
      </c>
      <c r="AE43" s="11">
        <v>72.564929387847997</v>
      </c>
      <c r="AF43" s="11">
        <v>90.157260462893703</v>
      </c>
      <c r="AG43" s="11">
        <v>55.2194332054884</v>
      </c>
      <c r="AH43" s="11">
        <v>51.770901417264199</v>
      </c>
      <c r="AI43" s="11">
        <v>58.2296458474895</v>
      </c>
      <c r="AJ43" s="11">
        <v>48.267588033245303</v>
      </c>
      <c r="AK43" s="16">
        <v>0.451942474914516</v>
      </c>
      <c r="AL43" s="16">
        <v>1.37144823442367</v>
      </c>
      <c r="AM43" s="26">
        <v>8.9068350476708996E-2</v>
      </c>
      <c r="AN43" s="27">
        <v>0.12786851173587599</v>
      </c>
      <c r="AO43" s="11">
        <v>46.991458332403298</v>
      </c>
      <c r="AP43" s="11">
        <v>64.446352562968102</v>
      </c>
      <c r="AQ43" t="s">
        <v>5874</v>
      </c>
      <c r="AR43" t="s">
        <v>5832</v>
      </c>
      <c r="AS43" t="s">
        <v>4269</v>
      </c>
    </row>
    <row r="44" spans="1:45">
      <c r="A44" t="s">
        <v>4401</v>
      </c>
      <c r="B44" s="2">
        <v>73</v>
      </c>
      <c r="C44" s="2">
        <v>43</v>
      </c>
      <c r="D44" s="2">
        <v>31</v>
      </c>
      <c r="E44" s="2">
        <v>12</v>
      </c>
      <c r="F44" s="2">
        <v>15</v>
      </c>
      <c r="G44" s="2">
        <v>37</v>
      </c>
      <c r="H44" s="2">
        <v>111</v>
      </c>
      <c r="I44" s="2">
        <v>136</v>
      </c>
      <c r="J44" s="2">
        <v>38</v>
      </c>
      <c r="K44" s="2">
        <v>63</v>
      </c>
      <c r="L44" s="2">
        <v>48</v>
      </c>
      <c r="M44" s="2">
        <v>51</v>
      </c>
      <c r="N44" s="2">
        <v>55</v>
      </c>
      <c r="O44" s="2">
        <v>54</v>
      </c>
      <c r="P44" s="2">
        <v>48</v>
      </c>
      <c r="Q44" s="2">
        <v>41</v>
      </c>
      <c r="R44" s="2">
        <v>53</v>
      </c>
      <c r="S44" s="2">
        <v>44</v>
      </c>
      <c r="T44" s="2">
        <v>58</v>
      </c>
      <c r="U44" s="11">
        <v>88.449967895935202</v>
      </c>
      <c r="V44" s="11">
        <v>41.411757189130199</v>
      </c>
      <c r="W44" s="11">
        <v>49.624727516180002</v>
      </c>
      <c r="X44" s="11">
        <v>18.143061109838801</v>
      </c>
      <c r="Y44" s="11">
        <v>12.9026453990534</v>
      </c>
      <c r="Z44" s="11">
        <v>34.399908125661199</v>
      </c>
      <c r="AA44" s="11">
        <v>117.000913397975</v>
      </c>
      <c r="AB44" s="11">
        <v>132.35296932559399</v>
      </c>
      <c r="AC44" s="11">
        <v>30.2008151433084</v>
      </c>
      <c r="AD44" s="11">
        <v>30.271183050637699</v>
      </c>
      <c r="AE44" s="11">
        <v>40.802771761634503</v>
      </c>
      <c r="AF44" s="11">
        <v>46.560087562996699</v>
      </c>
      <c r="AG44" s="11">
        <v>44.1020431591255</v>
      </c>
      <c r="AH44" s="11">
        <v>32.356813385790097</v>
      </c>
      <c r="AI44" s="11">
        <v>79.952622536708404</v>
      </c>
      <c r="AJ44" s="11">
        <v>88.312937095527801</v>
      </c>
      <c r="AK44" s="16">
        <v>-0.34398550929737198</v>
      </c>
      <c r="AL44" s="16">
        <v>-1.2591371114632901</v>
      </c>
      <c r="AM44" s="26">
        <v>0.44957039090544698</v>
      </c>
      <c r="AN44" s="27">
        <v>0.53232317082432601</v>
      </c>
      <c r="AO44" s="11">
        <v>61.7857437449209</v>
      </c>
      <c r="AP44" s="11">
        <v>49.069909211966099</v>
      </c>
      <c r="AQ44" t="s">
        <v>5875</v>
      </c>
      <c r="AR44" t="s">
        <v>5832</v>
      </c>
      <c r="AS44" t="s">
        <v>4401</v>
      </c>
    </row>
    <row r="45" spans="1:45">
      <c r="A45" t="s">
        <v>1276</v>
      </c>
      <c r="B45" s="2">
        <v>8</v>
      </c>
      <c r="C45" s="2">
        <v>9</v>
      </c>
      <c r="D45" s="2">
        <v>9</v>
      </c>
      <c r="E45" s="2">
        <v>7</v>
      </c>
      <c r="F45" s="2">
        <v>8</v>
      </c>
      <c r="G45" s="2">
        <v>17</v>
      </c>
      <c r="H45" s="2">
        <v>7</v>
      </c>
      <c r="I45" s="2">
        <v>24</v>
      </c>
      <c r="J45" s="2">
        <v>136</v>
      </c>
      <c r="K45" s="2">
        <v>7</v>
      </c>
      <c r="L45" s="2">
        <v>209</v>
      </c>
      <c r="M45" s="2">
        <v>122</v>
      </c>
      <c r="N45" s="2">
        <v>95</v>
      </c>
      <c r="O45" s="2">
        <v>4</v>
      </c>
      <c r="P45" s="2">
        <v>116</v>
      </c>
      <c r="Q45" s="2">
        <v>122</v>
      </c>
      <c r="R45" s="2">
        <v>31</v>
      </c>
      <c r="S45" s="2">
        <v>8</v>
      </c>
      <c r="T45" s="2">
        <v>52</v>
      </c>
      <c r="U45" s="11">
        <v>9.6931471666778304</v>
      </c>
      <c r="V45" s="11">
        <v>8.6675770860970207</v>
      </c>
      <c r="W45" s="11">
        <v>14.4071789563103</v>
      </c>
      <c r="X45" s="11">
        <v>10.5834523140726</v>
      </c>
      <c r="Y45" s="11">
        <v>6.8814108794951396</v>
      </c>
      <c r="Z45" s="11">
        <v>15.805363192871299</v>
      </c>
      <c r="AA45" s="11">
        <v>7.3784359800524904</v>
      </c>
      <c r="AB45" s="11">
        <v>23.356406351575298</v>
      </c>
      <c r="AC45" s="11">
        <v>108.087127881314</v>
      </c>
      <c r="AD45" s="11">
        <v>131.805776199652</v>
      </c>
      <c r="AE45" s="11">
        <v>97.606630488615806</v>
      </c>
      <c r="AF45" s="11">
        <v>80.421969426994394</v>
      </c>
      <c r="AG45" s="11">
        <v>106.579937634553</v>
      </c>
      <c r="AH45" s="11">
        <v>96.281249586985197</v>
      </c>
      <c r="AI45" s="11">
        <v>46.764741483735101</v>
      </c>
      <c r="AJ45" s="11">
        <v>79.177116016680102</v>
      </c>
      <c r="AK45" s="16">
        <v>2.9417478856452801</v>
      </c>
      <c r="AL45" s="16">
        <v>7.7162510755652196</v>
      </c>
      <c r="AM45" s="26">
        <v>1.7467203628377501E-18</v>
      </c>
      <c r="AN45" s="27">
        <v>2.3371118454769101E-16</v>
      </c>
      <c r="AO45" s="11">
        <v>12.096621490894</v>
      </c>
      <c r="AP45" s="11">
        <v>93.340568589816201</v>
      </c>
      <c r="AQ45" t="s">
        <v>5874</v>
      </c>
      <c r="AR45" t="s">
        <v>5876</v>
      </c>
      <c r="AS45" t="s">
        <v>1276</v>
      </c>
    </row>
    <row r="46" spans="1:45">
      <c r="A46" t="s">
        <v>4219</v>
      </c>
      <c r="B46" s="2">
        <v>30.289000000000001</v>
      </c>
      <c r="C46" s="2">
        <v>46.627000000000002</v>
      </c>
      <c r="D46" s="2">
        <v>36.372</v>
      </c>
      <c r="E46" s="2">
        <v>58.652000000000001</v>
      </c>
      <c r="F46" s="2">
        <v>56.841999999999999</v>
      </c>
      <c r="G46" s="2">
        <v>33.268000000000001</v>
      </c>
      <c r="H46" s="2">
        <v>39.381999999999998</v>
      </c>
      <c r="I46" s="2">
        <v>27.326000000000001</v>
      </c>
      <c r="J46" s="2">
        <v>42.051000000000002</v>
      </c>
      <c r="K46" s="2">
        <v>104.012</v>
      </c>
      <c r="L46" s="2">
        <v>20.326000000000001</v>
      </c>
      <c r="M46" s="2">
        <v>30.933</v>
      </c>
      <c r="N46" s="2">
        <v>72.695999999999998</v>
      </c>
      <c r="O46" s="2">
        <v>91.337999999999994</v>
      </c>
      <c r="P46" s="2">
        <v>73.278999999999996</v>
      </c>
      <c r="Q46" s="2">
        <v>52.173999999999999</v>
      </c>
      <c r="R46" s="2">
        <v>54.68</v>
      </c>
      <c r="S46" s="2">
        <v>52.381</v>
      </c>
      <c r="T46" s="2">
        <v>64.951999999999998</v>
      </c>
      <c r="U46" s="11">
        <v>36.712794893792299</v>
      </c>
      <c r="V46" s="11">
        <v>44.878788023569001</v>
      </c>
      <c r="W46" s="11">
        <v>58.2690348899662</v>
      </c>
      <c r="X46" s="11">
        <v>88.749807262294595</v>
      </c>
      <c r="Y46" s="11">
        <v>48.8580172444155</v>
      </c>
      <c r="Z46" s="11">
        <v>30.959917313095101</v>
      </c>
      <c r="AA46" s="11">
        <v>41.5300539448668</v>
      </c>
      <c r="AB46" s="11">
        <v>26.567912224916999</v>
      </c>
      <c r="AC46" s="11">
        <v>33.459324145612698</v>
      </c>
      <c r="AD46" s="11">
        <v>12.8021878318322</v>
      </c>
      <c r="AE46" s="11">
        <v>24.7216793614609</v>
      </c>
      <c r="AF46" s="11">
        <v>61.543970287815696</v>
      </c>
      <c r="AG46" s="11">
        <v>67.347495074247902</v>
      </c>
      <c r="AH46" s="11">
        <v>41.195747774103502</v>
      </c>
      <c r="AI46" s="11">
        <v>82.517140618074507</v>
      </c>
      <c r="AJ46" s="11">
        <v>98.971395020850096</v>
      </c>
      <c r="AK46" s="16">
        <v>0.158987142871856</v>
      </c>
      <c r="AL46" s="16">
        <v>1.1222560314199901</v>
      </c>
      <c r="AM46" s="26">
        <v>0.67915739087425897</v>
      </c>
      <c r="AN46" s="27">
        <v>0.74863260614146798</v>
      </c>
      <c r="AO46" s="11">
        <v>47.065790724614601</v>
      </c>
      <c r="AP46" s="11">
        <v>52.819867514249701</v>
      </c>
      <c r="AQ46" t="s">
        <v>5874</v>
      </c>
      <c r="AR46" t="s">
        <v>5832</v>
      </c>
      <c r="AS46" t="s">
        <v>4219</v>
      </c>
    </row>
    <row r="47" spans="1:45">
      <c r="A47" t="s">
        <v>4548</v>
      </c>
      <c r="B47" s="2">
        <v>99</v>
      </c>
      <c r="C47" s="2">
        <v>21</v>
      </c>
      <c r="D47" s="2">
        <v>17</v>
      </c>
      <c r="E47" s="2">
        <v>11</v>
      </c>
      <c r="F47" s="2">
        <v>8</v>
      </c>
      <c r="G47" s="2">
        <v>14</v>
      </c>
      <c r="H47" s="2">
        <v>74</v>
      </c>
      <c r="I47" s="2">
        <v>61</v>
      </c>
      <c r="J47" s="2">
        <v>128</v>
      </c>
      <c r="K47" s="2">
        <v>52</v>
      </c>
      <c r="L47" s="2">
        <v>56</v>
      </c>
      <c r="M47" s="2">
        <v>69</v>
      </c>
      <c r="N47" s="2">
        <v>68</v>
      </c>
      <c r="O47" s="2">
        <v>35</v>
      </c>
      <c r="P47" s="2">
        <v>37</v>
      </c>
      <c r="Q47" s="2">
        <v>66</v>
      </c>
      <c r="R47" s="2">
        <v>40</v>
      </c>
      <c r="S47" s="2">
        <v>33</v>
      </c>
      <c r="T47" s="2">
        <v>76</v>
      </c>
      <c r="U47" s="11">
        <v>119.952696187638</v>
      </c>
      <c r="V47" s="11">
        <v>20.224346534226399</v>
      </c>
      <c r="W47" s="11">
        <v>27.213560250808399</v>
      </c>
      <c r="X47" s="11">
        <v>16.631139350685501</v>
      </c>
      <c r="Y47" s="11">
        <v>6.8814108794951396</v>
      </c>
      <c r="Z47" s="11">
        <v>13.0161814529529</v>
      </c>
      <c r="AA47" s="11">
        <v>78.000608931983393</v>
      </c>
      <c r="AB47" s="11">
        <v>59.364199476920703</v>
      </c>
      <c r="AC47" s="11">
        <v>101.729061535355</v>
      </c>
      <c r="AD47" s="11">
        <v>35.316380225743998</v>
      </c>
      <c r="AE47" s="11">
        <v>55.203750030446599</v>
      </c>
      <c r="AF47" s="11">
        <v>57.565199168795999</v>
      </c>
      <c r="AG47" s="11">
        <v>33.995324935159204</v>
      </c>
      <c r="AH47" s="11">
        <v>52.086577645418203</v>
      </c>
      <c r="AI47" s="11">
        <v>60.341601914496898</v>
      </c>
      <c r="AJ47" s="11">
        <v>115.72040033207099</v>
      </c>
      <c r="AK47" s="16">
        <v>0.580966067214016</v>
      </c>
      <c r="AL47" s="16">
        <v>1.5000940014093</v>
      </c>
      <c r="AM47" s="26">
        <v>0.23564096661772599</v>
      </c>
      <c r="AN47" s="27">
        <v>0.30551125323112199</v>
      </c>
      <c r="AO47" s="11">
        <v>42.660517883088801</v>
      </c>
      <c r="AP47" s="11">
        <v>63.994786973435801</v>
      </c>
      <c r="AQ47" t="s">
        <v>5874</v>
      </c>
      <c r="AR47" t="s">
        <v>5832</v>
      </c>
      <c r="AS47" t="s">
        <v>4548</v>
      </c>
    </row>
    <row r="48" spans="1:45">
      <c r="A48" t="s">
        <v>2605</v>
      </c>
      <c r="B48" s="2">
        <v>55</v>
      </c>
      <c r="C48" s="2">
        <v>77</v>
      </c>
      <c r="D48" s="2">
        <v>92</v>
      </c>
      <c r="E48" s="2">
        <v>71</v>
      </c>
      <c r="F48" s="2">
        <v>86</v>
      </c>
      <c r="G48" s="2">
        <v>80</v>
      </c>
      <c r="H48" s="2">
        <v>80</v>
      </c>
      <c r="I48" s="2">
        <v>61</v>
      </c>
      <c r="J48" s="2">
        <v>24</v>
      </c>
      <c r="K48" s="2">
        <v>15</v>
      </c>
      <c r="L48" s="2">
        <v>43</v>
      </c>
      <c r="M48" s="2">
        <v>41</v>
      </c>
      <c r="N48" s="2">
        <v>26</v>
      </c>
      <c r="O48" s="2">
        <v>19</v>
      </c>
      <c r="P48" s="2">
        <v>46</v>
      </c>
      <c r="Q48" s="2">
        <v>53</v>
      </c>
      <c r="R48" s="2">
        <v>21</v>
      </c>
      <c r="S48" s="2">
        <v>21</v>
      </c>
      <c r="T48" s="2">
        <v>27</v>
      </c>
      <c r="U48" s="11">
        <v>66.640386770910098</v>
      </c>
      <c r="V48" s="11">
        <v>74.155937292163401</v>
      </c>
      <c r="W48" s="11">
        <v>147.273384886728</v>
      </c>
      <c r="X48" s="11">
        <v>107.346444899879</v>
      </c>
      <c r="Y48" s="11">
        <v>73.9751669545727</v>
      </c>
      <c r="Z48" s="11">
        <v>74.378179731159307</v>
      </c>
      <c r="AA48" s="11">
        <v>84.324982629171203</v>
      </c>
      <c r="AB48" s="11">
        <v>59.364199476920703</v>
      </c>
      <c r="AC48" s="11">
        <v>19.074199037879001</v>
      </c>
      <c r="AD48" s="11">
        <v>27.1179348161963</v>
      </c>
      <c r="AE48" s="11">
        <v>32.802228278961103</v>
      </c>
      <c r="AF48" s="11">
        <v>22.0102232115985</v>
      </c>
      <c r="AG48" s="11">
        <v>42.264458027495202</v>
      </c>
      <c r="AH48" s="11">
        <v>41.827100230411602</v>
      </c>
      <c r="AI48" s="11">
        <v>31.679341005110899</v>
      </c>
      <c r="AJ48" s="11">
        <v>41.111194854814599</v>
      </c>
      <c r="AK48" s="16">
        <v>-1.4111050691987199</v>
      </c>
      <c r="AL48" s="16">
        <v>-2.6657394017962699</v>
      </c>
      <c r="AM48" s="26">
        <v>1.1285905791534399E-6</v>
      </c>
      <c r="AN48" s="27">
        <v>5.5516698342180104E-6</v>
      </c>
      <c r="AO48" s="11">
        <v>85.932335330188096</v>
      </c>
      <c r="AP48" s="11">
        <v>32.235834932808402</v>
      </c>
      <c r="AQ48" t="s">
        <v>5875</v>
      </c>
      <c r="AR48" t="s">
        <v>5876</v>
      </c>
      <c r="AS48" t="s">
        <v>2605</v>
      </c>
    </row>
    <row r="49" spans="1:45">
      <c r="A49" t="s">
        <v>646</v>
      </c>
      <c r="B49" s="2">
        <v>66</v>
      </c>
      <c r="C49" s="2">
        <v>116</v>
      </c>
      <c r="D49" s="2">
        <v>50</v>
      </c>
      <c r="E49" s="2">
        <v>107</v>
      </c>
      <c r="F49" s="2">
        <v>101</v>
      </c>
      <c r="G49" s="2">
        <v>64</v>
      </c>
      <c r="H49" s="2">
        <v>92</v>
      </c>
      <c r="I49" s="2">
        <v>43</v>
      </c>
      <c r="J49" s="2">
        <v>32</v>
      </c>
      <c r="K49" s="2">
        <v>9</v>
      </c>
      <c r="L49" s="2">
        <v>35</v>
      </c>
      <c r="M49" s="2">
        <v>33</v>
      </c>
      <c r="N49" s="2">
        <v>28</v>
      </c>
      <c r="O49" s="2">
        <v>8</v>
      </c>
      <c r="P49" s="2">
        <v>19</v>
      </c>
      <c r="Q49" s="2">
        <v>59</v>
      </c>
      <c r="R49" s="2">
        <v>25</v>
      </c>
      <c r="S49" s="2">
        <v>18</v>
      </c>
      <c r="T49" s="2">
        <v>20</v>
      </c>
      <c r="U49" s="11">
        <v>79.968464125092098</v>
      </c>
      <c r="V49" s="11">
        <v>111.71543799858399</v>
      </c>
      <c r="W49" s="11">
        <v>80.039883090612904</v>
      </c>
      <c r="X49" s="11">
        <v>161.77562822939601</v>
      </c>
      <c r="Y49" s="11">
        <v>86.877812353626098</v>
      </c>
      <c r="Z49" s="11">
        <v>59.502543784927397</v>
      </c>
      <c r="AA49" s="11">
        <v>96.973730023546906</v>
      </c>
      <c r="AB49" s="11">
        <v>41.846894713239202</v>
      </c>
      <c r="AC49" s="11">
        <v>25.432265383838601</v>
      </c>
      <c r="AD49" s="11">
        <v>22.072737641090001</v>
      </c>
      <c r="AE49" s="11">
        <v>26.4017934928223</v>
      </c>
      <c r="AF49" s="11">
        <v>23.703317304798301</v>
      </c>
      <c r="AG49" s="11">
        <v>17.457058750487199</v>
      </c>
      <c r="AH49" s="11">
        <v>46.562243652722401</v>
      </c>
      <c r="AI49" s="11">
        <v>37.7135011965606</v>
      </c>
      <c r="AJ49" s="11">
        <v>30.4527369294923</v>
      </c>
      <c r="AK49" s="16">
        <v>-1.64405705101824</v>
      </c>
      <c r="AL49" s="16">
        <v>-3.12756303571655</v>
      </c>
      <c r="AM49" s="26">
        <v>2.7339001857919202E-7</v>
      </c>
      <c r="AN49" s="27">
        <v>1.57670622784034E-6</v>
      </c>
      <c r="AO49" s="11">
        <v>89.837549289877998</v>
      </c>
      <c r="AP49" s="11">
        <v>28.724456793976501</v>
      </c>
      <c r="AQ49" t="s">
        <v>5875</v>
      </c>
      <c r="AR49" t="s">
        <v>5876</v>
      </c>
      <c r="AS49" t="s">
        <v>646</v>
      </c>
    </row>
    <row r="50" spans="1:45">
      <c r="A50" t="s">
        <v>1424</v>
      </c>
      <c r="B50" s="2">
        <v>67</v>
      </c>
      <c r="C50" s="2">
        <v>84</v>
      </c>
      <c r="D50" s="2">
        <v>79</v>
      </c>
      <c r="E50" s="2">
        <v>66</v>
      </c>
      <c r="F50" s="2">
        <v>58</v>
      </c>
      <c r="G50" s="2">
        <v>50</v>
      </c>
      <c r="H50" s="2">
        <v>54</v>
      </c>
      <c r="I50" s="2">
        <v>49</v>
      </c>
      <c r="J50" s="2">
        <v>35</v>
      </c>
      <c r="K50" s="2">
        <v>16</v>
      </c>
      <c r="L50" s="2">
        <v>46</v>
      </c>
      <c r="M50" s="2">
        <v>44</v>
      </c>
      <c r="N50" s="2">
        <v>26</v>
      </c>
      <c r="O50" s="2">
        <v>6</v>
      </c>
      <c r="P50" s="2">
        <v>63</v>
      </c>
      <c r="Q50" s="2">
        <v>60</v>
      </c>
      <c r="R50" s="2">
        <v>38</v>
      </c>
      <c r="S50" s="2">
        <v>18</v>
      </c>
      <c r="T50" s="2">
        <v>46</v>
      </c>
      <c r="U50" s="11">
        <v>81.180107520926896</v>
      </c>
      <c r="V50" s="11">
        <v>80.897386136905496</v>
      </c>
      <c r="W50" s="11">
        <v>126.463015283168</v>
      </c>
      <c r="X50" s="11">
        <v>99.786836104113206</v>
      </c>
      <c r="Y50" s="11">
        <v>49.890228876339698</v>
      </c>
      <c r="Z50" s="11">
        <v>46.486362331974597</v>
      </c>
      <c r="AA50" s="11">
        <v>56.919363274690603</v>
      </c>
      <c r="AB50" s="11">
        <v>47.685996301133002</v>
      </c>
      <c r="AC50" s="11">
        <v>27.816540263573501</v>
      </c>
      <c r="AD50" s="11">
        <v>29.0098837568611</v>
      </c>
      <c r="AE50" s="11">
        <v>35.202391323763102</v>
      </c>
      <c r="AF50" s="11">
        <v>22.0102232115985</v>
      </c>
      <c r="AG50" s="11">
        <v>57.883931646352202</v>
      </c>
      <c r="AH50" s="11">
        <v>47.351434223107503</v>
      </c>
      <c r="AI50" s="11">
        <v>57.324521818772098</v>
      </c>
      <c r="AJ50" s="11">
        <v>70.041294937832404</v>
      </c>
      <c r="AK50" s="16">
        <v>-0.77021444910123904</v>
      </c>
      <c r="AL50" s="16">
        <v>-1.70006035023869</v>
      </c>
      <c r="AM50" s="26">
        <v>1.8952499750903601E-2</v>
      </c>
      <c r="AN50" s="27">
        <v>3.2847726252213799E-2</v>
      </c>
      <c r="AO50" s="11">
        <v>73.663661978656506</v>
      </c>
      <c r="AP50" s="11">
        <v>43.3300276477325</v>
      </c>
      <c r="AQ50" t="s">
        <v>5875</v>
      </c>
      <c r="AR50" t="s">
        <v>5878</v>
      </c>
      <c r="AS50" t="s">
        <v>1424</v>
      </c>
    </row>
    <row r="51" spans="1:45">
      <c r="A51" t="s">
        <v>1569</v>
      </c>
      <c r="B51" s="2">
        <v>42</v>
      </c>
      <c r="C51" s="2">
        <v>56</v>
      </c>
      <c r="D51" s="2">
        <v>40</v>
      </c>
      <c r="E51" s="2">
        <v>61</v>
      </c>
      <c r="F51" s="2">
        <v>74</v>
      </c>
      <c r="G51" s="2">
        <v>69</v>
      </c>
      <c r="H51" s="2">
        <v>54</v>
      </c>
      <c r="I51" s="2">
        <v>52</v>
      </c>
      <c r="J51" s="2">
        <v>22</v>
      </c>
      <c r="K51" s="2">
        <v>61</v>
      </c>
      <c r="L51" s="2">
        <v>44</v>
      </c>
      <c r="M51" s="2">
        <v>31</v>
      </c>
      <c r="N51" s="2">
        <v>60</v>
      </c>
      <c r="O51" s="2">
        <v>72</v>
      </c>
      <c r="P51" s="2">
        <v>30</v>
      </c>
      <c r="Q51" s="2">
        <v>33</v>
      </c>
      <c r="R51" s="2">
        <v>30</v>
      </c>
      <c r="S51" s="2">
        <v>32</v>
      </c>
      <c r="T51" s="2">
        <v>32</v>
      </c>
      <c r="U51" s="11">
        <v>50.889022625058601</v>
      </c>
      <c r="V51" s="11">
        <v>53.931590757937002</v>
      </c>
      <c r="W51" s="11">
        <v>64.031906472490306</v>
      </c>
      <c r="X51" s="11">
        <v>92.227227308346997</v>
      </c>
      <c r="Y51" s="11">
        <v>63.653050635329997</v>
      </c>
      <c r="Z51" s="11">
        <v>64.151180018124904</v>
      </c>
      <c r="AA51" s="11">
        <v>56.919363274690603</v>
      </c>
      <c r="AB51" s="11">
        <v>50.605547095079899</v>
      </c>
      <c r="AC51" s="11">
        <v>17.484682451389101</v>
      </c>
      <c r="AD51" s="11">
        <v>27.748584463084601</v>
      </c>
      <c r="AE51" s="11">
        <v>24.801684796287599</v>
      </c>
      <c r="AF51" s="11">
        <v>50.7928227959964</v>
      </c>
      <c r="AG51" s="11">
        <v>27.5637769744534</v>
      </c>
      <c r="AH51" s="11">
        <v>26.043288822709101</v>
      </c>
      <c r="AI51" s="11">
        <v>45.256201435872697</v>
      </c>
      <c r="AJ51" s="11">
        <v>48.7243790871877</v>
      </c>
      <c r="AK51" s="16">
        <v>-0.90010783718499099</v>
      </c>
      <c r="AL51" s="16">
        <v>-1.8494052489891799</v>
      </c>
      <c r="AM51" s="26">
        <v>1.7544426131961899E-3</v>
      </c>
      <c r="AN51" s="27">
        <v>3.7862003491233999E-3</v>
      </c>
      <c r="AO51" s="11">
        <v>62.051111023382298</v>
      </c>
      <c r="AP51" s="11">
        <v>33.551927603372597</v>
      </c>
      <c r="AQ51" t="s">
        <v>5875</v>
      </c>
      <c r="AR51" t="s">
        <v>5876</v>
      </c>
      <c r="AS51" t="s">
        <v>1569</v>
      </c>
    </row>
    <row r="52" spans="1:45">
      <c r="A52" t="s">
        <v>4090</v>
      </c>
      <c r="B52" s="2">
        <v>5</v>
      </c>
      <c r="C52" s="2">
        <v>0</v>
      </c>
      <c r="D52" s="2">
        <v>0</v>
      </c>
      <c r="E52" s="2">
        <v>0</v>
      </c>
      <c r="F52" s="2">
        <v>0</v>
      </c>
      <c r="G52" s="2">
        <v>13</v>
      </c>
      <c r="H52" s="2">
        <v>25</v>
      </c>
      <c r="I52" s="2">
        <v>120</v>
      </c>
      <c r="J52" s="2">
        <v>76</v>
      </c>
      <c r="K52" s="2">
        <v>9</v>
      </c>
      <c r="L52" s="2">
        <v>75</v>
      </c>
      <c r="M52" s="2">
        <v>41</v>
      </c>
      <c r="N52" s="2">
        <v>112</v>
      </c>
      <c r="O52" s="2">
        <v>20</v>
      </c>
      <c r="P52" s="2">
        <v>238</v>
      </c>
      <c r="Q52" s="2">
        <v>94</v>
      </c>
      <c r="R52" s="2">
        <v>20</v>
      </c>
      <c r="S52" s="2">
        <v>9</v>
      </c>
      <c r="T52" s="2">
        <v>33</v>
      </c>
      <c r="U52" s="11">
        <v>6.0582169791736504</v>
      </c>
      <c r="V52" s="11">
        <v>0.24076603016936199</v>
      </c>
      <c r="W52" s="11">
        <v>0.40019941545306398</v>
      </c>
      <c r="X52" s="11">
        <v>0.37798043978830698</v>
      </c>
      <c r="Y52" s="11">
        <v>0.215044089984223</v>
      </c>
      <c r="Z52" s="11">
        <v>12.0864542063134</v>
      </c>
      <c r="AA52" s="11">
        <v>26.351557071616</v>
      </c>
      <c r="AB52" s="11">
        <v>116.78203175787699</v>
      </c>
      <c r="AC52" s="11">
        <v>60.4016302866168</v>
      </c>
      <c r="AD52" s="11">
        <v>47.298723516621401</v>
      </c>
      <c r="AE52" s="11">
        <v>32.802228278961103</v>
      </c>
      <c r="AF52" s="11">
        <v>94.813269219193401</v>
      </c>
      <c r="AG52" s="11">
        <v>218.67263066399701</v>
      </c>
      <c r="AH52" s="11">
        <v>74.183913616201707</v>
      </c>
      <c r="AI52" s="11">
        <v>30.170800957248499</v>
      </c>
      <c r="AJ52" s="11">
        <v>50.247015933662396</v>
      </c>
      <c r="AK52" s="16">
        <v>1.89189761219165</v>
      </c>
      <c r="AL52" s="16">
        <v>3.7448882315551502</v>
      </c>
      <c r="AM52" s="26">
        <v>2.9639383846422299E-2</v>
      </c>
      <c r="AN52" s="27">
        <v>4.8481045949282403E-2</v>
      </c>
      <c r="AO52" s="11">
        <v>20.314031248796802</v>
      </c>
      <c r="AP52" s="11">
        <v>76.073776559062793</v>
      </c>
      <c r="AQ52" t="s">
        <v>5874</v>
      </c>
      <c r="AR52" t="s">
        <v>5878</v>
      </c>
      <c r="AS52" t="s">
        <v>4090</v>
      </c>
    </row>
    <row r="53" spans="1:45">
      <c r="A53" t="s">
        <v>5730</v>
      </c>
      <c r="B53" s="2">
        <v>52</v>
      </c>
      <c r="C53" s="2">
        <v>70</v>
      </c>
      <c r="D53" s="2">
        <v>78</v>
      </c>
      <c r="E53" s="2">
        <v>62</v>
      </c>
      <c r="F53" s="2">
        <v>60</v>
      </c>
      <c r="G53" s="2">
        <v>34</v>
      </c>
      <c r="H53" s="2">
        <v>39</v>
      </c>
      <c r="I53" s="2">
        <v>26</v>
      </c>
      <c r="J53" s="2">
        <v>33</v>
      </c>
      <c r="K53" s="2">
        <v>33</v>
      </c>
      <c r="L53" s="2">
        <v>46</v>
      </c>
      <c r="M53" s="2">
        <v>39</v>
      </c>
      <c r="N53" s="2">
        <v>39</v>
      </c>
      <c r="O53" s="2">
        <v>55</v>
      </c>
      <c r="P53" s="2">
        <v>50</v>
      </c>
      <c r="Q53" s="2">
        <v>38</v>
      </c>
      <c r="R53" s="2">
        <v>40</v>
      </c>
      <c r="S53" s="2">
        <v>33</v>
      </c>
      <c r="T53" s="2">
        <v>46</v>
      </c>
      <c r="U53" s="11">
        <v>63.005456583405902</v>
      </c>
      <c r="V53" s="11">
        <v>67.414488447421306</v>
      </c>
      <c r="W53" s="11">
        <v>124.862217621356</v>
      </c>
      <c r="X53" s="11">
        <v>93.739149067500193</v>
      </c>
      <c r="Y53" s="11">
        <v>51.6105815962135</v>
      </c>
      <c r="Z53" s="11">
        <v>31.610726385742701</v>
      </c>
      <c r="AA53" s="11">
        <v>41.108429031721002</v>
      </c>
      <c r="AB53" s="11">
        <v>25.302773547539999</v>
      </c>
      <c r="AC53" s="11">
        <v>26.227023677083601</v>
      </c>
      <c r="AD53" s="11">
        <v>29.0098837568611</v>
      </c>
      <c r="AE53" s="11">
        <v>31.202119582426398</v>
      </c>
      <c r="AF53" s="11">
        <v>33.015334817397701</v>
      </c>
      <c r="AG53" s="11">
        <v>45.939628290755699</v>
      </c>
      <c r="AH53" s="11">
        <v>29.989241674634702</v>
      </c>
      <c r="AI53" s="11">
        <v>60.341601914496898</v>
      </c>
      <c r="AJ53" s="11">
        <v>70.041294937832404</v>
      </c>
      <c r="AK53" s="16">
        <v>-0.61804515200144905</v>
      </c>
      <c r="AL53" s="16">
        <v>-1.53071107897277</v>
      </c>
      <c r="AM53" s="26">
        <v>8.9444008329040203E-2</v>
      </c>
      <c r="AN53" s="27">
        <v>0.12813285133218</v>
      </c>
      <c r="AO53" s="11">
        <v>62.331727785112598</v>
      </c>
      <c r="AP53" s="11">
        <v>40.720766081436103</v>
      </c>
      <c r="AQ53" t="s">
        <v>5875</v>
      </c>
      <c r="AR53" t="s">
        <v>5832</v>
      </c>
      <c r="AS53" t="s">
        <v>5730</v>
      </c>
    </row>
    <row r="54" spans="1:45">
      <c r="A54" t="s">
        <v>3166</v>
      </c>
      <c r="B54" s="2">
        <v>22</v>
      </c>
      <c r="C54" s="2">
        <v>23</v>
      </c>
      <c r="D54" s="2">
        <v>8</v>
      </c>
      <c r="E54" s="2">
        <v>12</v>
      </c>
      <c r="F54" s="2">
        <v>6</v>
      </c>
      <c r="G54" s="2">
        <v>2</v>
      </c>
      <c r="H54" s="2">
        <v>6</v>
      </c>
      <c r="I54" s="2">
        <v>21</v>
      </c>
      <c r="J54" s="2">
        <v>39</v>
      </c>
      <c r="K54" s="2">
        <v>204</v>
      </c>
      <c r="L54" s="2">
        <v>26</v>
      </c>
      <c r="M54" s="2">
        <v>22</v>
      </c>
      <c r="N54" s="2">
        <v>71</v>
      </c>
      <c r="O54" s="2">
        <v>134</v>
      </c>
      <c r="P54" s="2">
        <v>52</v>
      </c>
      <c r="Q54" s="2">
        <v>30</v>
      </c>
      <c r="R54" s="2">
        <v>65</v>
      </c>
      <c r="S54" s="2">
        <v>69</v>
      </c>
      <c r="T54" s="2">
        <v>59</v>
      </c>
      <c r="U54" s="11">
        <v>26.656154708363999</v>
      </c>
      <c r="V54" s="11">
        <v>22.150474775581301</v>
      </c>
      <c r="W54" s="11">
        <v>12.806381294498101</v>
      </c>
      <c r="X54" s="11">
        <v>18.143061109838801</v>
      </c>
      <c r="Y54" s="11">
        <v>5.1610581596213496</v>
      </c>
      <c r="Z54" s="11">
        <v>1.85945449327898</v>
      </c>
      <c r="AA54" s="11">
        <v>6.3243736971878404</v>
      </c>
      <c r="AB54" s="11">
        <v>20.436855557628402</v>
      </c>
      <c r="AC54" s="11">
        <v>30.9955734365533</v>
      </c>
      <c r="AD54" s="11">
        <v>16.3968908190954</v>
      </c>
      <c r="AE54" s="11">
        <v>17.601195661881501</v>
      </c>
      <c r="AF54" s="11">
        <v>60.104840308595797</v>
      </c>
      <c r="AG54" s="11">
        <v>47.777213422385898</v>
      </c>
      <c r="AH54" s="11">
        <v>23.675717111553698</v>
      </c>
      <c r="AI54" s="11">
        <v>98.055103111057505</v>
      </c>
      <c r="AJ54" s="11">
        <v>89.835573942002398</v>
      </c>
      <c r="AK54" s="16">
        <v>1.74717812475868</v>
      </c>
      <c r="AL54" s="16">
        <v>3.38602704209084</v>
      </c>
      <c r="AM54" s="26">
        <v>4.8647817990342499E-4</v>
      </c>
      <c r="AN54" s="27">
        <v>1.18346873583779E-3</v>
      </c>
      <c r="AO54" s="11">
        <v>14.1922267244998</v>
      </c>
      <c r="AP54" s="11">
        <v>48.055263476640697</v>
      </c>
      <c r="AQ54" t="s">
        <v>5874</v>
      </c>
      <c r="AR54" t="s">
        <v>5876</v>
      </c>
      <c r="AS54" t="s">
        <v>3166</v>
      </c>
    </row>
    <row r="55" spans="1:45">
      <c r="A55" t="s">
        <v>2310</v>
      </c>
      <c r="B55" s="2">
        <v>81</v>
      </c>
      <c r="C55" s="2">
        <v>134</v>
      </c>
      <c r="D55" s="2">
        <v>61</v>
      </c>
      <c r="E55" s="2">
        <v>88</v>
      </c>
      <c r="F55" s="2">
        <v>152</v>
      </c>
      <c r="G55" s="2">
        <v>112</v>
      </c>
      <c r="H55" s="2">
        <v>102</v>
      </c>
      <c r="I55" s="2">
        <v>89</v>
      </c>
      <c r="J55" s="2">
        <v>0</v>
      </c>
      <c r="K55" s="2">
        <v>0</v>
      </c>
      <c r="L55" s="2">
        <v>6</v>
      </c>
      <c r="M55" s="2">
        <v>6</v>
      </c>
      <c r="N55" s="2">
        <v>0</v>
      </c>
      <c r="O55" s="2">
        <v>1</v>
      </c>
      <c r="P55" s="2">
        <v>3</v>
      </c>
      <c r="Q55" s="2">
        <v>4</v>
      </c>
      <c r="R55" s="2">
        <v>0</v>
      </c>
      <c r="S55" s="2">
        <v>0</v>
      </c>
      <c r="T55" s="2">
        <v>8</v>
      </c>
      <c r="U55" s="11">
        <v>98.143115062613106</v>
      </c>
      <c r="V55" s="11">
        <v>129.050592170778</v>
      </c>
      <c r="W55" s="11">
        <v>97.648657370547696</v>
      </c>
      <c r="X55" s="11">
        <v>133.04911480548401</v>
      </c>
      <c r="Y55" s="11">
        <v>130.74680671040801</v>
      </c>
      <c r="Z55" s="11">
        <v>104.129451623623</v>
      </c>
      <c r="AA55" s="11">
        <v>107.514352852193</v>
      </c>
      <c r="AB55" s="11">
        <v>86.613340220425201</v>
      </c>
      <c r="AC55" s="11">
        <v>0.19868957331123899</v>
      </c>
      <c r="AD55" s="11">
        <v>3.7838978813297102</v>
      </c>
      <c r="AE55" s="11">
        <v>4.8003260896040603</v>
      </c>
      <c r="AF55" s="11">
        <v>0.21163676164998499</v>
      </c>
      <c r="AG55" s="11">
        <v>2.7563776974453398</v>
      </c>
      <c r="AH55" s="11">
        <v>3.1567622815404999</v>
      </c>
      <c r="AI55" s="11">
        <v>0.377135011965606</v>
      </c>
      <c r="AJ55" s="11">
        <v>12.1810947717969</v>
      </c>
      <c r="AK55" s="16">
        <v>-5.0621321825223102</v>
      </c>
      <c r="AL55" s="16">
        <v>-32.290759916271703</v>
      </c>
      <c r="AM55" s="26">
        <v>2.1634872813674401E-31</v>
      </c>
      <c r="AN55" s="27">
        <v>1.4473729912348201E-28</v>
      </c>
      <c r="AO55" s="11">
        <v>110.861928852009</v>
      </c>
      <c r="AP55" s="11">
        <v>3.43324000858042</v>
      </c>
      <c r="AQ55" t="s">
        <v>5875</v>
      </c>
      <c r="AR55" t="s">
        <v>5876</v>
      </c>
      <c r="AS55" t="s">
        <v>2310</v>
      </c>
    </row>
    <row r="56" spans="1:45">
      <c r="A56" t="s">
        <v>288</v>
      </c>
      <c r="B56" s="2">
        <v>56</v>
      </c>
      <c r="C56" s="2">
        <v>64</v>
      </c>
      <c r="D56" s="2">
        <v>65</v>
      </c>
      <c r="E56" s="2">
        <v>78</v>
      </c>
      <c r="F56" s="2">
        <v>82</v>
      </c>
      <c r="G56" s="2">
        <v>73</v>
      </c>
      <c r="H56" s="2">
        <v>69</v>
      </c>
      <c r="I56" s="2">
        <v>39</v>
      </c>
      <c r="J56" s="2">
        <v>17</v>
      </c>
      <c r="K56" s="2">
        <v>7</v>
      </c>
      <c r="L56" s="2">
        <v>37</v>
      </c>
      <c r="M56" s="2">
        <v>30</v>
      </c>
      <c r="N56" s="2">
        <v>16</v>
      </c>
      <c r="O56" s="2">
        <v>11</v>
      </c>
      <c r="P56" s="2">
        <v>29</v>
      </c>
      <c r="Q56" s="2">
        <v>44</v>
      </c>
      <c r="R56" s="2">
        <v>22</v>
      </c>
      <c r="S56" s="2">
        <v>11</v>
      </c>
      <c r="T56" s="2">
        <v>20</v>
      </c>
      <c r="U56" s="11">
        <v>67.852030166744797</v>
      </c>
      <c r="V56" s="11">
        <v>61.636103723356598</v>
      </c>
      <c r="W56" s="11">
        <v>104.051848017797</v>
      </c>
      <c r="X56" s="11">
        <v>117.929897213952</v>
      </c>
      <c r="Y56" s="11">
        <v>70.534461514825196</v>
      </c>
      <c r="Z56" s="11">
        <v>67.870089004682896</v>
      </c>
      <c r="AA56" s="11">
        <v>72.730297517660205</v>
      </c>
      <c r="AB56" s="11">
        <v>37.954160321309899</v>
      </c>
      <c r="AC56" s="11">
        <v>13.5108909851643</v>
      </c>
      <c r="AD56" s="11">
        <v>23.334036934866599</v>
      </c>
      <c r="AE56" s="11">
        <v>24.0016304480203</v>
      </c>
      <c r="AF56" s="11">
        <v>13.5447527455991</v>
      </c>
      <c r="AG56" s="11">
        <v>26.644984408638301</v>
      </c>
      <c r="AH56" s="11">
        <v>34.724385096945497</v>
      </c>
      <c r="AI56" s="11">
        <v>33.187881052973303</v>
      </c>
      <c r="AJ56" s="11">
        <v>30.4527369294923</v>
      </c>
      <c r="AK56" s="16">
        <v>-1.5921269075694899</v>
      </c>
      <c r="AL56" s="16">
        <v>-3.0118103126295801</v>
      </c>
      <c r="AM56" s="26">
        <v>2.9034481338484501E-7</v>
      </c>
      <c r="AN56" s="27">
        <v>1.66017185999186E-6</v>
      </c>
      <c r="AO56" s="11">
        <v>75.069860935041007</v>
      </c>
      <c r="AP56" s="11">
        <v>24.925162325212501</v>
      </c>
      <c r="AQ56" t="s">
        <v>5875</v>
      </c>
      <c r="AR56" t="s">
        <v>5876</v>
      </c>
      <c r="AS56" t="s">
        <v>288</v>
      </c>
    </row>
    <row r="57" spans="1:45">
      <c r="A57" t="s">
        <v>1454</v>
      </c>
      <c r="B57" s="2">
        <v>37</v>
      </c>
      <c r="C57" s="2">
        <v>32</v>
      </c>
      <c r="D57" s="2">
        <v>36</v>
      </c>
      <c r="E57" s="2">
        <v>15</v>
      </c>
      <c r="F57" s="2">
        <v>17</v>
      </c>
      <c r="G57" s="2">
        <v>26</v>
      </c>
      <c r="H57" s="2">
        <v>13</v>
      </c>
      <c r="I57" s="2">
        <v>16</v>
      </c>
      <c r="J57" s="2">
        <v>54</v>
      </c>
      <c r="K57" s="2">
        <v>11</v>
      </c>
      <c r="L57" s="2">
        <v>80</v>
      </c>
      <c r="M57" s="2">
        <v>70</v>
      </c>
      <c r="N57" s="2">
        <v>76</v>
      </c>
      <c r="O57" s="2">
        <v>15</v>
      </c>
      <c r="P57" s="2">
        <v>40</v>
      </c>
      <c r="Q57" s="2">
        <v>84</v>
      </c>
      <c r="R57" s="2">
        <v>42</v>
      </c>
      <c r="S57" s="2">
        <v>34</v>
      </c>
      <c r="T57" s="2">
        <v>48</v>
      </c>
      <c r="U57" s="11">
        <v>44.830805645885</v>
      </c>
      <c r="V57" s="11">
        <v>30.818051861678299</v>
      </c>
      <c r="W57" s="11">
        <v>57.628715825241301</v>
      </c>
      <c r="X57" s="11">
        <v>22.6788263872984</v>
      </c>
      <c r="Y57" s="11">
        <v>14.6229981189272</v>
      </c>
      <c r="Z57" s="11">
        <v>24.1729084126268</v>
      </c>
      <c r="AA57" s="11">
        <v>13.7028096772403</v>
      </c>
      <c r="AB57" s="11">
        <v>15.5709375677169</v>
      </c>
      <c r="AC57" s="11">
        <v>42.916947835227703</v>
      </c>
      <c r="AD57" s="11">
        <v>50.4519717510628</v>
      </c>
      <c r="AE57" s="11">
        <v>56.003804378714001</v>
      </c>
      <c r="AF57" s="11">
        <v>64.337575541595498</v>
      </c>
      <c r="AG57" s="11">
        <v>36.751702632604598</v>
      </c>
      <c r="AH57" s="11">
        <v>66.292007912350499</v>
      </c>
      <c r="AI57" s="11">
        <v>63.358682010221798</v>
      </c>
      <c r="AJ57" s="11">
        <v>73.086568630781599</v>
      </c>
      <c r="AK57" s="16">
        <v>1.02970001130209</v>
      </c>
      <c r="AL57" s="16">
        <v>2.0229756924205602</v>
      </c>
      <c r="AM57" s="26">
        <v>2.21117051079337E-3</v>
      </c>
      <c r="AN57" s="27">
        <v>4.5940157506856004E-3</v>
      </c>
      <c r="AO57" s="11">
        <v>28.003256687076799</v>
      </c>
      <c r="AP57" s="11">
        <v>56.649907586569803</v>
      </c>
      <c r="AQ57" t="s">
        <v>5874</v>
      </c>
      <c r="AR57" t="s">
        <v>5876</v>
      </c>
      <c r="AS57" t="s">
        <v>1454</v>
      </c>
    </row>
    <row r="58" spans="1:45">
      <c r="A58" t="s">
        <v>4765</v>
      </c>
      <c r="B58" s="2">
        <v>123</v>
      </c>
      <c r="C58" s="2">
        <v>23</v>
      </c>
      <c r="D58" s="2">
        <v>11</v>
      </c>
      <c r="E58" s="2">
        <v>37</v>
      </c>
      <c r="F58" s="2">
        <v>32</v>
      </c>
      <c r="G58" s="2">
        <v>28</v>
      </c>
      <c r="H58" s="2">
        <v>20</v>
      </c>
      <c r="I58" s="2">
        <v>15</v>
      </c>
      <c r="J58" s="2">
        <v>58</v>
      </c>
      <c r="K58" s="2">
        <v>7</v>
      </c>
      <c r="L58" s="2">
        <v>100</v>
      </c>
      <c r="M58" s="2">
        <v>52</v>
      </c>
      <c r="N58" s="2">
        <v>41</v>
      </c>
      <c r="O58" s="2">
        <v>10</v>
      </c>
      <c r="P58" s="2">
        <v>39</v>
      </c>
      <c r="Q58" s="2">
        <v>70</v>
      </c>
      <c r="R58" s="2">
        <v>20</v>
      </c>
      <c r="S58" s="2">
        <v>15</v>
      </c>
      <c r="T58" s="2">
        <v>30</v>
      </c>
      <c r="U58" s="11">
        <v>149.03213768767199</v>
      </c>
      <c r="V58" s="11">
        <v>22.150474775581301</v>
      </c>
      <c r="W58" s="11">
        <v>17.608774279934799</v>
      </c>
      <c r="X58" s="11">
        <v>55.941105088669502</v>
      </c>
      <c r="Y58" s="11">
        <v>27.525643517980502</v>
      </c>
      <c r="Z58" s="11">
        <v>26.032362905905799</v>
      </c>
      <c r="AA58" s="11">
        <v>21.081245657292801</v>
      </c>
      <c r="AB58" s="11">
        <v>14.597753969734599</v>
      </c>
      <c r="AC58" s="11">
        <v>46.095981008207502</v>
      </c>
      <c r="AD58" s="11">
        <v>63.064964688828603</v>
      </c>
      <c r="AE58" s="11">
        <v>41.602826109901798</v>
      </c>
      <c r="AF58" s="11">
        <v>34.708428910597597</v>
      </c>
      <c r="AG58" s="11">
        <v>35.832910066789402</v>
      </c>
      <c r="AH58" s="11">
        <v>55.243339926958697</v>
      </c>
      <c r="AI58" s="11">
        <v>30.170800957248499</v>
      </c>
      <c r="AJ58" s="11">
        <v>45.679105394238498</v>
      </c>
      <c r="AK58" s="16">
        <v>8.6160769458544895E-2</v>
      </c>
      <c r="AL58" s="16">
        <v>1.0551812644473</v>
      </c>
      <c r="AM58" s="26">
        <v>0.85983211479145505</v>
      </c>
      <c r="AN58" s="27">
        <v>0.90302619277156004</v>
      </c>
      <c r="AO58" s="11">
        <v>41.746187235346397</v>
      </c>
      <c r="AP58" s="11">
        <v>44.0497946328463</v>
      </c>
      <c r="AQ58" t="s">
        <v>5874</v>
      </c>
      <c r="AR58" t="s">
        <v>5832</v>
      </c>
      <c r="AS58" t="s">
        <v>4765</v>
      </c>
    </row>
    <row r="59" spans="1:45">
      <c r="A59" t="s">
        <v>3583</v>
      </c>
      <c r="B59" s="2">
        <v>43</v>
      </c>
      <c r="C59" s="2">
        <v>7</v>
      </c>
      <c r="D59" s="2">
        <v>7</v>
      </c>
      <c r="E59" s="2">
        <v>1</v>
      </c>
      <c r="F59" s="2">
        <v>0</v>
      </c>
      <c r="G59" s="2">
        <v>2</v>
      </c>
      <c r="H59" s="2">
        <v>5</v>
      </c>
      <c r="I59" s="2">
        <v>12</v>
      </c>
      <c r="J59" s="2">
        <v>72</v>
      </c>
      <c r="K59" s="2">
        <v>12</v>
      </c>
      <c r="L59" s="2">
        <v>124</v>
      </c>
      <c r="M59" s="2">
        <v>93</v>
      </c>
      <c r="N59" s="2">
        <v>53</v>
      </c>
      <c r="O59" s="2">
        <v>6</v>
      </c>
      <c r="P59" s="2">
        <v>49</v>
      </c>
      <c r="Q59" s="2">
        <v>97</v>
      </c>
      <c r="R59" s="2">
        <v>65</v>
      </c>
      <c r="S59" s="2">
        <v>25</v>
      </c>
      <c r="T59" s="2">
        <v>48</v>
      </c>
      <c r="U59" s="11">
        <v>52.100666020893399</v>
      </c>
      <c r="V59" s="11">
        <v>6.7414488447421297</v>
      </c>
      <c r="W59" s="11">
        <v>11.2055836326858</v>
      </c>
      <c r="X59" s="11">
        <v>1.5119217591532299</v>
      </c>
      <c r="Y59" s="11">
        <v>0.215044089984223</v>
      </c>
      <c r="Z59" s="11">
        <v>1.85945449327898</v>
      </c>
      <c r="AA59" s="11">
        <v>5.2703114143232002</v>
      </c>
      <c r="AB59" s="11">
        <v>11.678203175787701</v>
      </c>
      <c r="AC59" s="11">
        <v>57.222597113636901</v>
      </c>
      <c r="AD59" s="11">
        <v>78.200556214147397</v>
      </c>
      <c r="AE59" s="11">
        <v>74.405054388862894</v>
      </c>
      <c r="AF59" s="11">
        <v>44.866993469796903</v>
      </c>
      <c r="AG59" s="11">
        <v>45.020835724940603</v>
      </c>
      <c r="AH59" s="11">
        <v>76.551485327357099</v>
      </c>
      <c r="AI59" s="11">
        <v>98.055103111057505</v>
      </c>
      <c r="AJ59" s="11">
        <v>73.086568630781599</v>
      </c>
      <c r="AK59" s="16">
        <v>2.5935970835776798</v>
      </c>
      <c r="AL59" s="16">
        <v>6.0432024688096204</v>
      </c>
      <c r="AM59" s="26">
        <v>1.4835518013377E-5</v>
      </c>
      <c r="AN59" s="27">
        <v>5.22366397418379E-5</v>
      </c>
      <c r="AO59" s="11">
        <v>11.3228291788561</v>
      </c>
      <c r="AP59" s="11">
        <v>68.426149247572596</v>
      </c>
      <c r="AQ59" t="s">
        <v>5874</v>
      </c>
      <c r="AR59" t="s">
        <v>5876</v>
      </c>
      <c r="AS59" t="s">
        <v>3583</v>
      </c>
    </row>
    <row r="60" spans="1:45">
      <c r="A60" t="s">
        <v>5525</v>
      </c>
      <c r="B60" s="2">
        <v>35</v>
      </c>
      <c r="C60" s="2">
        <v>32</v>
      </c>
      <c r="D60" s="2">
        <v>24</v>
      </c>
      <c r="E60" s="2">
        <v>27</v>
      </c>
      <c r="F60" s="2">
        <v>34</v>
      </c>
      <c r="G60" s="2">
        <v>35</v>
      </c>
      <c r="H60" s="2">
        <v>25</v>
      </c>
      <c r="I60" s="2">
        <v>29</v>
      </c>
      <c r="J60" s="2">
        <v>62</v>
      </c>
      <c r="K60" s="2">
        <v>59</v>
      </c>
      <c r="L60" s="2">
        <v>39</v>
      </c>
      <c r="M60" s="2">
        <v>27</v>
      </c>
      <c r="N60" s="2">
        <v>58</v>
      </c>
      <c r="O60" s="2">
        <v>42</v>
      </c>
      <c r="P60" s="2">
        <v>37</v>
      </c>
      <c r="Q60" s="2">
        <v>41</v>
      </c>
      <c r="R60" s="2">
        <v>34</v>
      </c>
      <c r="S60" s="2">
        <v>40</v>
      </c>
      <c r="T60" s="2">
        <v>39</v>
      </c>
      <c r="U60" s="11">
        <v>42.407518854215503</v>
      </c>
      <c r="V60" s="11">
        <v>30.818051861678299</v>
      </c>
      <c r="W60" s="11">
        <v>38.419143883494201</v>
      </c>
      <c r="X60" s="11">
        <v>40.821887497137197</v>
      </c>
      <c r="Y60" s="11">
        <v>29.2459962378543</v>
      </c>
      <c r="Z60" s="11">
        <v>32.540453632382203</v>
      </c>
      <c r="AA60" s="11">
        <v>26.351557071616</v>
      </c>
      <c r="AB60" s="11">
        <v>28.2223243414869</v>
      </c>
      <c r="AC60" s="11">
        <v>49.275014181187402</v>
      </c>
      <c r="AD60" s="11">
        <v>24.595336228643099</v>
      </c>
      <c r="AE60" s="11">
        <v>21.601467403218301</v>
      </c>
      <c r="AF60" s="11">
        <v>49.099728702796597</v>
      </c>
      <c r="AG60" s="11">
        <v>33.995324935159204</v>
      </c>
      <c r="AH60" s="11">
        <v>32.356813385790097</v>
      </c>
      <c r="AI60" s="11">
        <v>51.290361627322397</v>
      </c>
      <c r="AJ60" s="11">
        <v>59.382837012510102</v>
      </c>
      <c r="AK60" s="16">
        <v>0.24875108442375099</v>
      </c>
      <c r="AL60" s="16">
        <v>1.19629710994097</v>
      </c>
      <c r="AM60" s="26">
        <v>0.37684742520918602</v>
      </c>
      <c r="AN60" s="27">
        <v>0.45921844711283299</v>
      </c>
      <c r="AO60" s="11">
        <v>33.603366672483098</v>
      </c>
      <c r="AP60" s="11">
        <v>40.199610434578403</v>
      </c>
      <c r="AQ60" t="s">
        <v>5874</v>
      </c>
      <c r="AR60" t="s">
        <v>5832</v>
      </c>
      <c r="AS60" t="s">
        <v>5525</v>
      </c>
    </row>
    <row r="61" spans="1:45">
      <c r="A61" t="s">
        <v>178</v>
      </c>
      <c r="B61" s="2">
        <v>112</v>
      </c>
      <c r="C61" s="2">
        <v>57</v>
      </c>
      <c r="D61" s="2">
        <v>90</v>
      </c>
      <c r="E61" s="2">
        <v>95</v>
      </c>
      <c r="F61" s="2">
        <v>81</v>
      </c>
      <c r="G61" s="2">
        <v>81.625</v>
      </c>
      <c r="H61" s="2">
        <v>42</v>
      </c>
      <c r="I61" s="2">
        <v>44</v>
      </c>
      <c r="J61" s="2">
        <v>9</v>
      </c>
      <c r="K61" s="2">
        <v>0</v>
      </c>
      <c r="L61" s="2">
        <v>18</v>
      </c>
      <c r="M61" s="2">
        <v>20</v>
      </c>
      <c r="N61" s="2">
        <v>10</v>
      </c>
      <c r="O61" s="2">
        <v>0</v>
      </c>
      <c r="P61" s="2">
        <v>7</v>
      </c>
      <c r="Q61" s="2">
        <v>25.861999999999998</v>
      </c>
      <c r="R61" s="2">
        <v>8</v>
      </c>
      <c r="S61" s="2">
        <v>4</v>
      </c>
      <c r="T61" s="2">
        <v>9</v>
      </c>
      <c r="U61" s="11">
        <v>135.70406033348999</v>
      </c>
      <c r="V61" s="11">
        <v>54.894654878614503</v>
      </c>
      <c r="W61" s="11">
        <v>144.07178956310301</v>
      </c>
      <c r="X61" s="11">
        <v>143.632567119557</v>
      </c>
      <c r="Y61" s="11">
        <v>69.674285154888295</v>
      </c>
      <c r="Z61" s="11">
        <v>75.865743325782503</v>
      </c>
      <c r="AA61" s="11">
        <v>44.270615880314899</v>
      </c>
      <c r="AB61" s="11">
        <v>42.820078311221501</v>
      </c>
      <c r="AC61" s="11">
        <v>7.1528246392046197</v>
      </c>
      <c r="AD61" s="11">
        <v>11.351693643989099</v>
      </c>
      <c r="AE61" s="11">
        <v>16.0010869653469</v>
      </c>
      <c r="AF61" s="11">
        <v>8.4654704659994096</v>
      </c>
      <c r="AG61" s="11">
        <v>6.4315479607058004</v>
      </c>
      <c r="AH61" s="11">
        <v>20.440035772974699</v>
      </c>
      <c r="AI61" s="11">
        <v>12.068320382899399</v>
      </c>
      <c r="AJ61" s="11">
        <v>13.7037316182716</v>
      </c>
      <c r="AK61" s="16">
        <v>-2.8760284378897301</v>
      </c>
      <c r="AL61" s="16">
        <v>-7.4354017680978499</v>
      </c>
      <c r="AM61" s="26">
        <v>1.6486464246348499E-13</v>
      </c>
      <c r="AN61" s="27">
        <v>5.8049708320037598E-12</v>
      </c>
      <c r="AO61" s="11">
        <v>88.866724320871398</v>
      </c>
      <c r="AP61" s="11">
        <v>11.951838931173899</v>
      </c>
      <c r="AQ61" t="s">
        <v>5875</v>
      </c>
      <c r="AR61" t="s">
        <v>5876</v>
      </c>
      <c r="AS61" t="s">
        <v>178</v>
      </c>
    </row>
    <row r="62" spans="1:45">
      <c r="A62" t="s">
        <v>1600</v>
      </c>
      <c r="B62" s="2">
        <v>30</v>
      </c>
      <c r="C62" s="2">
        <v>27</v>
      </c>
      <c r="D62" s="2">
        <v>23</v>
      </c>
      <c r="E62" s="2">
        <v>26</v>
      </c>
      <c r="F62" s="2">
        <v>32</v>
      </c>
      <c r="G62" s="2">
        <v>28</v>
      </c>
      <c r="H62" s="2">
        <v>24</v>
      </c>
      <c r="I62" s="2">
        <v>26</v>
      </c>
      <c r="J62" s="2">
        <v>52</v>
      </c>
      <c r="K62" s="2">
        <v>16</v>
      </c>
      <c r="L62" s="2">
        <v>76</v>
      </c>
      <c r="M62" s="2">
        <v>67</v>
      </c>
      <c r="N62" s="2">
        <v>60</v>
      </c>
      <c r="O62" s="2">
        <v>12</v>
      </c>
      <c r="P62" s="2">
        <v>48</v>
      </c>
      <c r="Q62" s="2">
        <v>50</v>
      </c>
      <c r="R62" s="2">
        <v>34</v>
      </c>
      <c r="S62" s="2">
        <v>11</v>
      </c>
      <c r="T62" s="2">
        <v>54</v>
      </c>
      <c r="U62" s="11">
        <v>36.349301875041903</v>
      </c>
      <c r="V62" s="11">
        <v>26.002731258291099</v>
      </c>
      <c r="W62" s="11">
        <v>36.8183462216819</v>
      </c>
      <c r="X62" s="11">
        <v>39.309965737984001</v>
      </c>
      <c r="Y62" s="11">
        <v>27.525643517980502</v>
      </c>
      <c r="Z62" s="11">
        <v>26.032362905905799</v>
      </c>
      <c r="AA62" s="11">
        <v>25.297494788751401</v>
      </c>
      <c r="AB62" s="11">
        <v>25.302773547539999</v>
      </c>
      <c r="AC62" s="11">
        <v>41.327431248737803</v>
      </c>
      <c r="AD62" s="11">
        <v>47.929373163509702</v>
      </c>
      <c r="AE62" s="11">
        <v>53.603641333912002</v>
      </c>
      <c r="AF62" s="11">
        <v>50.7928227959964</v>
      </c>
      <c r="AG62" s="11">
        <v>44.1020431591255</v>
      </c>
      <c r="AH62" s="11">
        <v>39.459528519256203</v>
      </c>
      <c r="AI62" s="11">
        <v>51.290361627322397</v>
      </c>
      <c r="AJ62" s="11">
        <v>82.222389709629297</v>
      </c>
      <c r="AK62" s="16">
        <v>0.75930225842756305</v>
      </c>
      <c r="AL62" s="16">
        <v>1.6927544007875801</v>
      </c>
      <c r="AM62" s="26">
        <v>3.31093602098729E-3</v>
      </c>
      <c r="AN62" s="27">
        <v>6.7121702970924201E-3</v>
      </c>
      <c r="AO62" s="11">
        <v>30.329827481647101</v>
      </c>
      <c r="AP62" s="11">
        <v>51.340948944686197</v>
      </c>
      <c r="AQ62" t="s">
        <v>5874</v>
      </c>
      <c r="AR62" t="s">
        <v>5876</v>
      </c>
      <c r="AS62" t="s">
        <v>1600</v>
      </c>
    </row>
    <row r="63" spans="1:45">
      <c r="A63" t="s">
        <v>2698</v>
      </c>
      <c r="B63" s="2">
        <v>42.976999999999997</v>
      </c>
      <c r="C63" s="2">
        <v>31</v>
      </c>
      <c r="D63" s="2">
        <v>3</v>
      </c>
      <c r="E63" s="2">
        <v>6</v>
      </c>
      <c r="F63" s="2">
        <v>10</v>
      </c>
      <c r="G63" s="2">
        <v>15</v>
      </c>
      <c r="H63" s="2">
        <v>17</v>
      </c>
      <c r="I63" s="2">
        <v>10</v>
      </c>
      <c r="J63" s="2">
        <v>53</v>
      </c>
      <c r="K63" s="2">
        <v>122.824</v>
      </c>
      <c r="L63" s="2">
        <v>4</v>
      </c>
      <c r="M63" s="2">
        <v>5</v>
      </c>
      <c r="N63" s="2">
        <v>41</v>
      </c>
      <c r="O63" s="2">
        <v>110</v>
      </c>
      <c r="P63" s="2">
        <v>25</v>
      </c>
      <c r="Q63" s="2">
        <v>9</v>
      </c>
      <c r="R63" s="2">
        <v>59.808</v>
      </c>
      <c r="S63" s="2">
        <v>61.579000000000001</v>
      </c>
      <c r="T63" s="2">
        <v>50.832999999999998</v>
      </c>
      <c r="U63" s="11">
        <v>52.100666020893399</v>
      </c>
      <c r="V63" s="11">
        <v>29.854987741000802</v>
      </c>
      <c r="W63" s="11">
        <v>4.8023929854367697</v>
      </c>
      <c r="X63" s="11">
        <v>9.0715305549193808</v>
      </c>
      <c r="Y63" s="11">
        <v>8.6017635993689208</v>
      </c>
      <c r="Z63" s="11">
        <v>13.945908699592399</v>
      </c>
      <c r="AA63" s="11">
        <v>17.9190588086989</v>
      </c>
      <c r="AB63" s="11">
        <v>9.7318359798230603</v>
      </c>
      <c r="AC63" s="11">
        <v>42.122189541982699</v>
      </c>
      <c r="AD63" s="11">
        <v>2.5225985875531398</v>
      </c>
      <c r="AE63" s="11">
        <v>4.0002717413367099</v>
      </c>
      <c r="AF63" s="11">
        <v>34.708428910597597</v>
      </c>
      <c r="AG63" s="11">
        <v>22.9698141453778</v>
      </c>
      <c r="AH63" s="11">
        <v>7.1027151334661296</v>
      </c>
      <c r="AI63" s="11">
        <v>90.2106948621729</v>
      </c>
      <c r="AJ63" s="11">
        <v>77.349951800910503</v>
      </c>
      <c r="AK63" s="16">
        <v>0.92186114701243205</v>
      </c>
      <c r="AL63" s="16">
        <v>1.92419527001229</v>
      </c>
      <c r="AM63" s="26">
        <v>0.14227723809244799</v>
      </c>
      <c r="AN63" s="27">
        <v>0.19346234204033999</v>
      </c>
      <c r="AO63" s="11">
        <v>18.2535180487167</v>
      </c>
      <c r="AP63" s="11">
        <v>35.123333090424701</v>
      </c>
      <c r="AQ63" t="s">
        <v>5874</v>
      </c>
      <c r="AR63" t="s">
        <v>5832</v>
      </c>
      <c r="AS63" t="s">
        <v>2698</v>
      </c>
    </row>
    <row r="64" spans="1:45">
      <c r="A64" t="s">
        <v>4214</v>
      </c>
      <c r="B64" s="2">
        <v>16.710999999999999</v>
      </c>
      <c r="C64" s="2">
        <v>24.373000000000001</v>
      </c>
      <c r="D64" s="2">
        <v>9.6280000000000001</v>
      </c>
      <c r="E64" s="2">
        <v>12.348000000000001</v>
      </c>
      <c r="F64" s="2">
        <v>23.158000000000001</v>
      </c>
      <c r="G64" s="2">
        <v>10.731999999999999</v>
      </c>
      <c r="H64" s="2">
        <v>17.617999999999999</v>
      </c>
      <c r="I64" s="2">
        <v>19.673999999999999</v>
      </c>
      <c r="J64" s="2">
        <v>37.948999999999998</v>
      </c>
      <c r="K64" s="2">
        <v>68.988</v>
      </c>
      <c r="L64" s="2">
        <v>25.673999999999999</v>
      </c>
      <c r="M64" s="2">
        <v>33.067</v>
      </c>
      <c r="N64" s="2">
        <v>45.304000000000002</v>
      </c>
      <c r="O64" s="2">
        <v>62.661999999999999</v>
      </c>
      <c r="P64" s="2">
        <v>63.720999999999997</v>
      </c>
      <c r="Q64" s="2">
        <v>43.826000000000001</v>
      </c>
      <c r="R64" s="2">
        <v>47.32</v>
      </c>
      <c r="S64" s="2">
        <v>35.619</v>
      </c>
      <c r="T64" s="2">
        <v>45.048000000000002</v>
      </c>
      <c r="U64" s="11">
        <v>20.234444710439998</v>
      </c>
      <c r="V64" s="11">
        <v>23.498764544529699</v>
      </c>
      <c r="W64" s="11">
        <v>15.3676575533977</v>
      </c>
      <c r="X64" s="11">
        <v>18.596637637584699</v>
      </c>
      <c r="Y64" s="11">
        <v>19.956091550535898</v>
      </c>
      <c r="Z64" s="11">
        <v>9.9480815390425494</v>
      </c>
      <c r="AA64" s="11">
        <v>18.5514961784177</v>
      </c>
      <c r="AB64" s="11">
        <v>19.171716880251399</v>
      </c>
      <c r="AC64" s="11">
        <v>30.121339313983899</v>
      </c>
      <c r="AD64" s="11">
        <v>16.207695925028901</v>
      </c>
      <c r="AE64" s="11">
        <v>26.481798927648999</v>
      </c>
      <c r="AF64" s="11">
        <v>38.348581210977301</v>
      </c>
      <c r="AG64" s="11">
        <v>58.527086442422799</v>
      </c>
      <c r="AH64" s="11">
        <v>34.566546982868502</v>
      </c>
      <c r="AI64" s="11">
        <v>71.3539442638926</v>
      </c>
      <c r="AJ64" s="11">
        <v>68.518658091357807</v>
      </c>
      <c r="AK64" s="16">
        <v>1.2144217435855</v>
      </c>
      <c r="AL64" s="16">
        <v>2.3679746102070398</v>
      </c>
      <c r="AM64" s="26">
        <v>3.2518408763509499E-4</v>
      </c>
      <c r="AN64" s="27">
        <v>8.1785020536796304E-4</v>
      </c>
      <c r="AO64" s="11">
        <v>18.165611324275002</v>
      </c>
      <c r="AP64" s="11">
        <v>43.0157063947726</v>
      </c>
      <c r="AQ64" t="s">
        <v>5874</v>
      </c>
      <c r="AR64" t="s">
        <v>5876</v>
      </c>
      <c r="AS64" t="s">
        <v>4214</v>
      </c>
    </row>
    <row r="65" spans="1:45">
      <c r="A65" t="s">
        <v>1895</v>
      </c>
      <c r="B65" s="2">
        <v>64</v>
      </c>
      <c r="C65" s="2">
        <v>22</v>
      </c>
      <c r="D65" s="2">
        <v>24</v>
      </c>
      <c r="E65" s="2">
        <v>16</v>
      </c>
      <c r="F65" s="2">
        <v>21</v>
      </c>
      <c r="G65" s="2">
        <v>19</v>
      </c>
      <c r="H65" s="2">
        <v>20</v>
      </c>
      <c r="I65" s="2">
        <v>50</v>
      </c>
      <c r="J65" s="2">
        <v>34</v>
      </c>
      <c r="K65" s="2">
        <v>52</v>
      </c>
      <c r="L65" s="2">
        <v>35</v>
      </c>
      <c r="M65" s="2">
        <v>35</v>
      </c>
      <c r="N65" s="2">
        <v>38</v>
      </c>
      <c r="O65" s="2">
        <v>34</v>
      </c>
      <c r="P65" s="2">
        <v>36</v>
      </c>
      <c r="Q65" s="2">
        <v>27</v>
      </c>
      <c r="R65" s="2">
        <v>36</v>
      </c>
      <c r="S65" s="2">
        <v>21</v>
      </c>
      <c r="T65" s="2">
        <v>45</v>
      </c>
      <c r="U65" s="11">
        <v>77.5451773334227</v>
      </c>
      <c r="V65" s="11">
        <v>21.1874106549038</v>
      </c>
      <c r="W65" s="11">
        <v>38.419143883494201</v>
      </c>
      <c r="X65" s="11">
        <v>24.1907481464517</v>
      </c>
      <c r="Y65" s="11">
        <v>18.0637035586747</v>
      </c>
      <c r="Z65" s="11">
        <v>17.6648176861503</v>
      </c>
      <c r="AA65" s="11">
        <v>21.081245657292801</v>
      </c>
      <c r="AB65" s="11">
        <v>48.659179899115301</v>
      </c>
      <c r="AC65" s="11">
        <v>27.021781970328501</v>
      </c>
      <c r="AD65" s="11">
        <v>22.072737641090001</v>
      </c>
      <c r="AE65" s="11">
        <v>28.001902189357001</v>
      </c>
      <c r="AF65" s="11">
        <v>32.168787770797699</v>
      </c>
      <c r="AG65" s="11">
        <v>33.0765323693441</v>
      </c>
      <c r="AH65" s="11">
        <v>21.308145400398399</v>
      </c>
      <c r="AI65" s="11">
        <v>54.307441723047198</v>
      </c>
      <c r="AJ65" s="11">
        <v>68.518658091357807</v>
      </c>
      <c r="AK65" s="16">
        <v>8.8518584385641599E-2</v>
      </c>
      <c r="AL65" s="16">
        <v>1.0737020920378999</v>
      </c>
      <c r="AM65" s="26">
        <v>0.81023885926400896</v>
      </c>
      <c r="AN65" s="27">
        <v>0.86176438290559998</v>
      </c>
      <c r="AO65" s="11">
        <v>33.351428352438198</v>
      </c>
      <c r="AP65" s="11">
        <v>35.809498394465102</v>
      </c>
      <c r="AQ65" t="s">
        <v>5874</v>
      </c>
      <c r="AR65" t="s">
        <v>5832</v>
      </c>
      <c r="AS65" t="s">
        <v>1895</v>
      </c>
    </row>
    <row r="66" spans="1:45">
      <c r="A66" t="s">
        <v>4711</v>
      </c>
      <c r="B66" s="2">
        <v>60</v>
      </c>
      <c r="C66" s="2">
        <v>99</v>
      </c>
      <c r="D66" s="2">
        <v>78</v>
      </c>
      <c r="E66" s="2">
        <v>95</v>
      </c>
      <c r="F66" s="2">
        <v>83</v>
      </c>
      <c r="G66" s="2">
        <v>55</v>
      </c>
      <c r="H66" s="2">
        <v>73</v>
      </c>
      <c r="I66" s="2">
        <v>35</v>
      </c>
      <c r="J66" s="2">
        <v>0</v>
      </c>
      <c r="K66" s="2">
        <v>2</v>
      </c>
      <c r="L66" s="2">
        <v>4</v>
      </c>
      <c r="M66" s="2">
        <v>5</v>
      </c>
      <c r="N66" s="2">
        <v>0</v>
      </c>
      <c r="O66" s="2">
        <v>4</v>
      </c>
      <c r="P66" s="2">
        <v>5</v>
      </c>
      <c r="Q66" s="2">
        <v>5</v>
      </c>
      <c r="R66" s="2">
        <v>6</v>
      </c>
      <c r="S66" s="2">
        <v>1</v>
      </c>
      <c r="T66" s="2">
        <v>10</v>
      </c>
      <c r="U66" s="11">
        <v>72.698603750083706</v>
      </c>
      <c r="V66" s="11">
        <v>95.343347947067201</v>
      </c>
      <c r="W66" s="11">
        <v>124.862217621356</v>
      </c>
      <c r="X66" s="11">
        <v>143.632567119557</v>
      </c>
      <c r="Y66" s="11">
        <v>71.394637874761997</v>
      </c>
      <c r="Z66" s="11">
        <v>51.134998565171998</v>
      </c>
      <c r="AA66" s="11">
        <v>76.946546649118801</v>
      </c>
      <c r="AB66" s="11">
        <v>34.061425929380697</v>
      </c>
      <c r="AC66" s="11">
        <v>0.19868957331123899</v>
      </c>
      <c r="AD66" s="11">
        <v>2.5225985875531398</v>
      </c>
      <c r="AE66" s="11">
        <v>4.0002717413367099</v>
      </c>
      <c r="AF66" s="11">
        <v>0.21163676164998499</v>
      </c>
      <c r="AG66" s="11">
        <v>4.5939628290755703</v>
      </c>
      <c r="AH66" s="11">
        <v>3.94595285192562</v>
      </c>
      <c r="AI66" s="11">
        <v>9.0512402871745401</v>
      </c>
      <c r="AJ66" s="11">
        <v>15.2263684647462</v>
      </c>
      <c r="AK66" s="16">
        <v>-4.1730856654470303</v>
      </c>
      <c r="AL66" s="16">
        <v>-16.8569104400699</v>
      </c>
      <c r="AM66" s="26">
        <v>2.39576658393795E-15</v>
      </c>
      <c r="AN66" s="27">
        <v>1.6027678446544901E-13</v>
      </c>
      <c r="AO66" s="11">
        <v>83.759293182062194</v>
      </c>
      <c r="AP66" s="11">
        <v>4.9688401370966204</v>
      </c>
      <c r="AQ66" t="s">
        <v>5875</v>
      </c>
      <c r="AR66" t="s">
        <v>5876</v>
      </c>
      <c r="AS66" t="s">
        <v>4711</v>
      </c>
    </row>
    <row r="67" spans="1:45">
      <c r="A67" t="s">
        <v>1975</v>
      </c>
      <c r="B67" s="2">
        <v>32</v>
      </c>
      <c r="C67" s="2">
        <v>41</v>
      </c>
      <c r="D67" s="2">
        <v>34</v>
      </c>
      <c r="E67" s="2">
        <v>46</v>
      </c>
      <c r="F67" s="2">
        <v>31</v>
      </c>
      <c r="G67" s="2">
        <v>21</v>
      </c>
      <c r="H67" s="2">
        <v>31</v>
      </c>
      <c r="I67" s="2">
        <v>12</v>
      </c>
      <c r="J67" s="2">
        <v>36</v>
      </c>
      <c r="K67" s="2">
        <v>25</v>
      </c>
      <c r="L67" s="2">
        <v>58</v>
      </c>
      <c r="M67" s="2">
        <v>25</v>
      </c>
      <c r="N67" s="2">
        <v>34</v>
      </c>
      <c r="O67" s="2">
        <v>19</v>
      </c>
      <c r="P67" s="2">
        <v>42</v>
      </c>
      <c r="Q67" s="2">
        <v>62</v>
      </c>
      <c r="R67" s="2">
        <v>33</v>
      </c>
      <c r="S67" s="2">
        <v>18</v>
      </c>
      <c r="T67" s="2">
        <v>19</v>
      </c>
      <c r="U67" s="11">
        <v>38.7725886667113</v>
      </c>
      <c r="V67" s="11">
        <v>39.485628947775297</v>
      </c>
      <c r="W67" s="11">
        <v>54.427120501616798</v>
      </c>
      <c r="X67" s="11">
        <v>69.548400921048597</v>
      </c>
      <c r="Y67" s="11">
        <v>26.6654671580437</v>
      </c>
      <c r="Z67" s="11">
        <v>19.5242721794293</v>
      </c>
      <c r="AA67" s="11">
        <v>32.675930768803902</v>
      </c>
      <c r="AB67" s="11">
        <v>11.678203175787701</v>
      </c>
      <c r="AC67" s="11">
        <v>28.6112985568185</v>
      </c>
      <c r="AD67" s="11">
        <v>36.577679519520601</v>
      </c>
      <c r="AE67" s="11">
        <v>20.0013587066836</v>
      </c>
      <c r="AF67" s="11">
        <v>28.782599584398</v>
      </c>
      <c r="AG67" s="11">
        <v>38.589287764234797</v>
      </c>
      <c r="AH67" s="11">
        <v>48.9298153638778</v>
      </c>
      <c r="AI67" s="11">
        <v>49.781821579460001</v>
      </c>
      <c r="AJ67" s="11">
        <v>28.930100083017699</v>
      </c>
      <c r="AK67" s="16">
        <v>-4.8573093068231502E-2</v>
      </c>
      <c r="AL67" s="16">
        <v>-1.04487320989055</v>
      </c>
      <c r="AM67" s="26">
        <v>0.88062253167665705</v>
      </c>
      <c r="AN67" s="27">
        <v>0.916230907763116</v>
      </c>
      <c r="AO67" s="11">
        <v>36.597201539902102</v>
      </c>
      <c r="AP67" s="11">
        <v>35.025495144751297</v>
      </c>
      <c r="AQ67" t="s">
        <v>5875</v>
      </c>
      <c r="AR67" t="s">
        <v>5832</v>
      </c>
      <c r="AS67" t="s">
        <v>1975</v>
      </c>
    </row>
    <row r="68" spans="1:45">
      <c r="A68" t="s">
        <v>1589</v>
      </c>
      <c r="B68" s="2">
        <v>32.357999999999997</v>
      </c>
      <c r="C68" s="2">
        <v>0</v>
      </c>
      <c r="D68" s="2">
        <v>0.33300000000000002</v>
      </c>
      <c r="E68" s="2">
        <v>0</v>
      </c>
      <c r="F68" s="2">
        <v>0</v>
      </c>
      <c r="G68" s="2">
        <v>0</v>
      </c>
      <c r="H68" s="2">
        <v>0.16700000000000001</v>
      </c>
      <c r="I68" s="2">
        <v>0</v>
      </c>
      <c r="J68" s="2">
        <v>192.58199999999999</v>
      </c>
      <c r="K68" s="2">
        <v>121.35899999999999</v>
      </c>
      <c r="L68" s="2">
        <v>62.475000000000001</v>
      </c>
      <c r="M68" s="2">
        <v>30.667999999999999</v>
      </c>
      <c r="N68" s="2">
        <v>28.023</v>
      </c>
      <c r="O68" s="2">
        <v>12.976000000000001</v>
      </c>
      <c r="P68" s="2">
        <v>19.600000000000001</v>
      </c>
      <c r="Q68" s="2">
        <v>23.193000000000001</v>
      </c>
      <c r="R68" s="2">
        <v>27.353000000000002</v>
      </c>
      <c r="S68" s="2">
        <v>23.928999999999998</v>
      </c>
      <c r="T68" s="2">
        <v>39.406999999999996</v>
      </c>
      <c r="U68" s="11">
        <v>39.257246025045198</v>
      </c>
      <c r="V68" s="11">
        <v>0.24076603016936199</v>
      </c>
      <c r="W68" s="11">
        <v>0.48023929854367697</v>
      </c>
      <c r="X68" s="11">
        <v>0.37798043978830698</v>
      </c>
      <c r="Y68" s="11">
        <v>0.215044089984223</v>
      </c>
      <c r="Z68" s="11">
        <v>0.23243181165987301</v>
      </c>
      <c r="AA68" s="11">
        <v>0.21081245657292799</v>
      </c>
      <c r="AB68" s="11">
        <v>0.24329589949557701</v>
      </c>
      <c r="AC68" s="11">
        <v>153.070447278979</v>
      </c>
      <c r="AD68" s="11">
        <v>39.4156029305178</v>
      </c>
      <c r="AE68" s="11">
        <v>24.561668491807399</v>
      </c>
      <c r="AF68" s="11">
        <v>23.703317304798301</v>
      </c>
      <c r="AG68" s="11">
        <v>18.008334289976201</v>
      </c>
      <c r="AH68" s="11">
        <v>18.309221232934899</v>
      </c>
      <c r="AI68" s="11">
        <v>41.333997311430402</v>
      </c>
      <c r="AJ68" s="11">
        <v>59.991891751099899</v>
      </c>
      <c r="AK68" s="16">
        <v>3.1803958811794</v>
      </c>
      <c r="AL68" s="16">
        <v>9.1714617206451798</v>
      </c>
      <c r="AM68" s="26">
        <v>1.0790619450777E-3</v>
      </c>
      <c r="AN68" s="27">
        <v>2.3983137583288299E-3</v>
      </c>
      <c r="AO68" s="11">
        <v>5.1572270064073997</v>
      </c>
      <c r="AP68" s="11">
        <v>47.299310073942998</v>
      </c>
      <c r="AQ68" t="s">
        <v>5874</v>
      </c>
      <c r="AR68" t="s">
        <v>5876</v>
      </c>
      <c r="AS68" t="s">
        <v>1589</v>
      </c>
    </row>
    <row r="69" spans="1:45">
      <c r="A69" t="s">
        <v>2042</v>
      </c>
      <c r="B69" s="2">
        <v>31</v>
      </c>
      <c r="C69" s="2">
        <v>79</v>
      </c>
      <c r="D69" s="2">
        <v>68</v>
      </c>
      <c r="E69" s="2">
        <v>70</v>
      </c>
      <c r="F69" s="2">
        <v>63</v>
      </c>
      <c r="G69" s="2">
        <v>33</v>
      </c>
      <c r="H69" s="2">
        <v>56</v>
      </c>
      <c r="I69" s="2">
        <v>23</v>
      </c>
      <c r="J69" s="2">
        <v>12</v>
      </c>
      <c r="K69" s="2">
        <v>6</v>
      </c>
      <c r="L69" s="2">
        <v>19</v>
      </c>
      <c r="M69" s="2">
        <v>32</v>
      </c>
      <c r="N69" s="2">
        <v>15</v>
      </c>
      <c r="O69" s="2">
        <v>5</v>
      </c>
      <c r="P69" s="2">
        <v>19</v>
      </c>
      <c r="Q69" s="2">
        <v>18</v>
      </c>
      <c r="R69" s="2">
        <v>20</v>
      </c>
      <c r="S69" s="2">
        <v>18</v>
      </c>
      <c r="T69" s="2">
        <v>18</v>
      </c>
      <c r="U69" s="11">
        <v>37.560945270876601</v>
      </c>
      <c r="V69" s="11">
        <v>76.082065533518303</v>
      </c>
      <c r="W69" s="11">
        <v>108.85424100323399</v>
      </c>
      <c r="X69" s="11">
        <v>105.83452314072601</v>
      </c>
      <c r="Y69" s="11">
        <v>54.191110676024202</v>
      </c>
      <c r="Z69" s="11">
        <v>30.6809991391032</v>
      </c>
      <c r="AA69" s="11">
        <v>59.027487840419901</v>
      </c>
      <c r="AB69" s="11">
        <v>22.383222753593</v>
      </c>
      <c r="AC69" s="11">
        <v>9.53709951893949</v>
      </c>
      <c r="AD69" s="11">
        <v>11.982343290877401</v>
      </c>
      <c r="AE69" s="11">
        <v>25.601739144555001</v>
      </c>
      <c r="AF69" s="11">
        <v>12.6982056989991</v>
      </c>
      <c r="AG69" s="11">
        <v>17.457058750487199</v>
      </c>
      <c r="AH69" s="11">
        <v>14.2054302669323</v>
      </c>
      <c r="AI69" s="11">
        <v>30.170800957248499</v>
      </c>
      <c r="AJ69" s="11">
        <v>27.407463236543101</v>
      </c>
      <c r="AK69" s="16">
        <v>-1.7410468730421</v>
      </c>
      <c r="AL69" s="16">
        <v>-3.3182217089600199</v>
      </c>
      <c r="AM69" s="26">
        <v>8.4373740933540206E-6</v>
      </c>
      <c r="AN69" s="27">
        <v>3.1534096471809097E-5</v>
      </c>
      <c r="AO69" s="11">
        <v>61.826824419686901</v>
      </c>
      <c r="AP69" s="11">
        <v>18.6325176080727</v>
      </c>
      <c r="AQ69" t="s">
        <v>5875</v>
      </c>
      <c r="AR69" t="s">
        <v>5876</v>
      </c>
      <c r="AS69" t="s">
        <v>2042</v>
      </c>
    </row>
    <row r="70" spans="1:45">
      <c r="A70" t="s">
        <v>5461</v>
      </c>
      <c r="B70" s="2">
        <v>53</v>
      </c>
      <c r="C70" s="2">
        <v>43</v>
      </c>
      <c r="D70" s="2">
        <v>51</v>
      </c>
      <c r="E70" s="2">
        <v>57</v>
      </c>
      <c r="F70" s="2">
        <v>47</v>
      </c>
      <c r="G70" s="2">
        <v>34</v>
      </c>
      <c r="H70" s="2">
        <v>44</v>
      </c>
      <c r="I70" s="2">
        <v>40</v>
      </c>
      <c r="J70" s="2">
        <v>29</v>
      </c>
      <c r="K70" s="2">
        <v>14</v>
      </c>
      <c r="L70" s="2">
        <v>17</v>
      </c>
      <c r="M70" s="2">
        <v>21</v>
      </c>
      <c r="N70" s="2">
        <v>32</v>
      </c>
      <c r="O70" s="2">
        <v>18</v>
      </c>
      <c r="P70" s="2">
        <v>13</v>
      </c>
      <c r="Q70" s="2">
        <v>28</v>
      </c>
      <c r="R70" s="2">
        <v>24</v>
      </c>
      <c r="S70" s="2">
        <v>15</v>
      </c>
      <c r="T70" s="2">
        <v>23</v>
      </c>
      <c r="U70" s="11">
        <v>64.217099979240601</v>
      </c>
      <c r="V70" s="11">
        <v>41.411757189130199</v>
      </c>
      <c r="W70" s="11">
        <v>81.640680752425098</v>
      </c>
      <c r="X70" s="11">
        <v>86.179540271734098</v>
      </c>
      <c r="Y70" s="11">
        <v>40.428288917033903</v>
      </c>
      <c r="Z70" s="11">
        <v>31.610726385742701</v>
      </c>
      <c r="AA70" s="11">
        <v>46.378740446044198</v>
      </c>
      <c r="AB70" s="11">
        <v>38.927343919292198</v>
      </c>
      <c r="AC70" s="11">
        <v>23.047990504103801</v>
      </c>
      <c r="AD70" s="11">
        <v>10.7210439971009</v>
      </c>
      <c r="AE70" s="11">
        <v>16.801141313614199</v>
      </c>
      <c r="AF70" s="11">
        <v>27.0895054911981</v>
      </c>
      <c r="AG70" s="11">
        <v>11.944303355596499</v>
      </c>
      <c r="AH70" s="11">
        <v>22.097335970783501</v>
      </c>
      <c r="AI70" s="11">
        <v>36.204961148698096</v>
      </c>
      <c r="AJ70" s="11">
        <v>35.020647468916202</v>
      </c>
      <c r="AK70" s="16">
        <v>-1.2479064678857399</v>
      </c>
      <c r="AL70" s="16">
        <v>-2.3550068851364401</v>
      </c>
      <c r="AM70" s="26">
        <v>2.5155237034424002E-4</v>
      </c>
      <c r="AN70" s="27">
        <v>6.44783661916846E-4</v>
      </c>
      <c r="AO70" s="11">
        <v>53.849272232580397</v>
      </c>
      <c r="AP70" s="11">
        <v>22.8658661562514</v>
      </c>
      <c r="AQ70" t="s">
        <v>5875</v>
      </c>
      <c r="AR70" t="s">
        <v>5876</v>
      </c>
      <c r="AS70" t="s">
        <v>5461</v>
      </c>
    </row>
    <row r="71" spans="1:45">
      <c r="A71" t="s">
        <v>2670</v>
      </c>
      <c r="B71" s="2">
        <v>10</v>
      </c>
      <c r="C71" s="2">
        <v>3</v>
      </c>
      <c r="D71" s="2">
        <v>3</v>
      </c>
      <c r="E71" s="2">
        <v>2</v>
      </c>
      <c r="F71" s="2">
        <v>2</v>
      </c>
      <c r="G71" s="2">
        <v>3</v>
      </c>
      <c r="H71" s="2">
        <v>4</v>
      </c>
      <c r="I71" s="2">
        <v>1</v>
      </c>
      <c r="J71" s="2">
        <v>80</v>
      </c>
      <c r="K71" s="2">
        <v>31</v>
      </c>
      <c r="L71" s="2">
        <v>115</v>
      </c>
      <c r="M71" s="2">
        <v>61</v>
      </c>
      <c r="N71" s="2">
        <v>54</v>
      </c>
      <c r="O71" s="2">
        <v>12</v>
      </c>
      <c r="P71" s="2">
        <v>43</v>
      </c>
      <c r="Q71" s="2">
        <v>48</v>
      </c>
      <c r="R71" s="2">
        <v>43</v>
      </c>
      <c r="S71" s="2">
        <v>8</v>
      </c>
      <c r="T71" s="2">
        <v>74</v>
      </c>
      <c r="U71" s="11">
        <v>12.116433958347301</v>
      </c>
      <c r="V71" s="11">
        <v>2.8891923620323401</v>
      </c>
      <c r="W71" s="11">
        <v>4.8023929854367697</v>
      </c>
      <c r="X71" s="11">
        <v>3.0238435183064598</v>
      </c>
      <c r="Y71" s="11">
        <v>1.72035271987378</v>
      </c>
      <c r="Z71" s="11">
        <v>2.7891817399184702</v>
      </c>
      <c r="AA71" s="11">
        <v>4.21624913145856</v>
      </c>
      <c r="AB71" s="11">
        <v>0.97318359798230603</v>
      </c>
      <c r="AC71" s="11">
        <v>63.5806634595966</v>
      </c>
      <c r="AD71" s="11">
        <v>72.524709392152801</v>
      </c>
      <c r="AE71" s="11">
        <v>48.803315244307903</v>
      </c>
      <c r="AF71" s="11">
        <v>45.713540516396797</v>
      </c>
      <c r="AG71" s="11">
        <v>39.5080803300499</v>
      </c>
      <c r="AH71" s="11">
        <v>37.881147378485998</v>
      </c>
      <c r="AI71" s="11">
        <v>64.867222058084195</v>
      </c>
      <c r="AJ71" s="11">
        <v>112.675126639122</v>
      </c>
      <c r="AK71" s="16">
        <v>3.9030791855854998</v>
      </c>
      <c r="AL71" s="16">
        <v>14.9259580778863</v>
      </c>
      <c r="AM71" s="26">
        <v>1.99081713660675E-19</v>
      </c>
      <c r="AN71" s="27">
        <v>4.4395222146330497E-17</v>
      </c>
      <c r="AO71" s="11">
        <v>4.0663537516695003</v>
      </c>
      <c r="AP71" s="11">
        <v>60.694225627274498</v>
      </c>
      <c r="AQ71" t="s">
        <v>5874</v>
      </c>
      <c r="AR71" t="s">
        <v>5876</v>
      </c>
      <c r="AS71" t="s">
        <v>2670</v>
      </c>
    </row>
    <row r="72" spans="1:45">
      <c r="A72" t="s">
        <v>3611</v>
      </c>
      <c r="B72" s="2">
        <v>25</v>
      </c>
      <c r="C72" s="2">
        <v>31</v>
      </c>
      <c r="D72" s="2">
        <v>15</v>
      </c>
      <c r="E72" s="2">
        <v>25</v>
      </c>
      <c r="F72" s="2">
        <v>32</v>
      </c>
      <c r="G72" s="2">
        <v>25</v>
      </c>
      <c r="H72" s="2">
        <v>19</v>
      </c>
      <c r="I72" s="2">
        <v>28</v>
      </c>
      <c r="J72" s="2">
        <v>26</v>
      </c>
      <c r="K72" s="2">
        <v>54</v>
      </c>
      <c r="L72" s="2">
        <v>24</v>
      </c>
      <c r="M72" s="2">
        <v>23</v>
      </c>
      <c r="N72" s="2">
        <v>53</v>
      </c>
      <c r="O72" s="2">
        <v>55</v>
      </c>
      <c r="P72" s="2">
        <v>40</v>
      </c>
      <c r="Q72" s="2">
        <v>30</v>
      </c>
      <c r="R72" s="2">
        <v>34</v>
      </c>
      <c r="S72" s="2">
        <v>21</v>
      </c>
      <c r="T72" s="2">
        <v>37</v>
      </c>
      <c r="U72" s="11">
        <v>30.291084895868199</v>
      </c>
      <c r="V72" s="11">
        <v>29.854987741000802</v>
      </c>
      <c r="W72" s="11">
        <v>24.0119649271839</v>
      </c>
      <c r="X72" s="11">
        <v>37.798043978830698</v>
      </c>
      <c r="Y72" s="11">
        <v>27.525643517980502</v>
      </c>
      <c r="Z72" s="11">
        <v>23.243181165987298</v>
      </c>
      <c r="AA72" s="11">
        <v>20.027183374428201</v>
      </c>
      <c r="AB72" s="11">
        <v>27.249140743504601</v>
      </c>
      <c r="AC72" s="11">
        <v>20.663715624368901</v>
      </c>
      <c r="AD72" s="11">
        <v>15.135591525318899</v>
      </c>
      <c r="AE72" s="11">
        <v>18.4012500101489</v>
      </c>
      <c r="AF72" s="11">
        <v>44.866993469796903</v>
      </c>
      <c r="AG72" s="11">
        <v>36.751702632604598</v>
      </c>
      <c r="AH72" s="11">
        <v>23.675717111553698</v>
      </c>
      <c r="AI72" s="11">
        <v>51.290361627322397</v>
      </c>
      <c r="AJ72" s="11">
        <v>56.3375633195608</v>
      </c>
      <c r="AK72" s="16">
        <v>0.25504633495719198</v>
      </c>
      <c r="AL72" s="16">
        <v>1.2141881884116801</v>
      </c>
      <c r="AM72" s="26">
        <v>0.41293241538826497</v>
      </c>
      <c r="AN72" s="27">
        <v>0.49596370896723402</v>
      </c>
      <c r="AO72" s="11">
        <v>27.500153793098001</v>
      </c>
      <c r="AP72" s="11">
        <v>33.390361915084398</v>
      </c>
      <c r="AQ72" t="s">
        <v>5874</v>
      </c>
      <c r="AR72" t="s">
        <v>5832</v>
      </c>
      <c r="AS72" t="s">
        <v>3611</v>
      </c>
    </row>
    <row r="73" spans="1:45">
      <c r="A73" t="s">
        <v>3241</v>
      </c>
      <c r="B73" s="2">
        <v>41</v>
      </c>
      <c r="C73" s="2">
        <v>26</v>
      </c>
      <c r="D73" s="2">
        <v>19</v>
      </c>
      <c r="E73" s="2">
        <v>14</v>
      </c>
      <c r="F73" s="2">
        <v>20</v>
      </c>
      <c r="G73" s="2">
        <v>18</v>
      </c>
      <c r="H73" s="2">
        <v>28</v>
      </c>
      <c r="I73" s="2">
        <v>35</v>
      </c>
      <c r="J73" s="2">
        <v>16</v>
      </c>
      <c r="K73" s="2">
        <v>54</v>
      </c>
      <c r="L73" s="2">
        <v>18</v>
      </c>
      <c r="M73" s="2">
        <v>19</v>
      </c>
      <c r="N73" s="2">
        <v>45</v>
      </c>
      <c r="O73" s="2">
        <v>56</v>
      </c>
      <c r="P73" s="2">
        <v>45</v>
      </c>
      <c r="Q73" s="2">
        <v>32</v>
      </c>
      <c r="R73" s="2">
        <v>38</v>
      </c>
      <c r="S73" s="2">
        <v>33</v>
      </c>
      <c r="T73" s="2">
        <v>36</v>
      </c>
      <c r="U73" s="11">
        <v>49.677379229223902</v>
      </c>
      <c r="V73" s="11">
        <v>25.039667137613598</v>
      </c>
      <c r="W73" s="11">
        <v>30.415155574432902</v>
      </c>
      <c r="X73" s="11">
        <v>21.1669046281452</v>
      </c>
      <c r="Y73" s="11">
        <v>17.203527198737799</v>
      </c>
      <c r="Z73" s="11">
        <v>16.735090439510799</v>
      </c>
      <c r="AA73" s="11">
        <v>29.513743920209901</v>
      </c>
      <c r="AB73" s="11">
        <v>34.061425929380697</v>
      </c>
      <c r="AC73" s="11">
        <v>12.716132691919301</v>
      </c>
      <c r="AD73" s="11">
        <v>11.351693643989099</v>
      </c>
      <c r="AE73" s="11">
        <v>15.2010326170795</v>
      </c>
      <c r="AF73" s="11">
        <v>38.094617096997297</v>
      </c>
      <c r="AG73" s="11">
        <v>41.345665461680099</v>
      </c>
      <c r="AH73" s="11">
        <v>25.254098252323999</v>
      </c>
      <c r="AI73" s="11">
        <v>57.324521818772098</v>
      </c>
      <c r="AJ73" s="11">
        <v>54.814926473086203</v>
      </c>
      <c r="AK73" s="16">
        <v>0.17286343718479899</v>
      </c>
      <c r="AL73" s="16">
        <v>1.14427137513504</v>
      </c>
      <c r="AM73" s="26">
        <v>0.64180113528805804</v>
      </c>
      <c r="AN73" s="27">
        <v>0.71323082974702801</v>
      </c>
      <c r="AO73" s="11">
        <v>27.976611757156899</v>
      </c>
      <c r="AP73" s="11">
        <v>32.012836006980997</v>
      </c>
      <c r="AQ73" t="s">
        <v>5874</v>
      </c>
      <c r="AR73" t="s">
        <v>5832</v>
      </c>
      <c r="AS73" t="s">
        <v>3241</v>
      </c>
    </row>
    <row r="74" spans="1:45">
      <c r="A74" t="s">
        <v>2229</v>
      </c>
      <c r="B74" s="2">
        <v>26</v>
      </c>
      <c r="C74" s="2">
        <v>25</v>
      </c>
      <c r="D74" s="2">
        <v>23</v>
      </c>
      <c r="E74" s="2">
        <v>17</v>
      </c>
      <c r="F74" s="2">
        <v>27</v>
      </c>
      <c r="G74" s="2">
        <v>64</v>
      </c>
      <c r="H74" s="2">
        <v>26</v>
      </c>
      <c r="I74" s="2">
        <v>57</v>
      </c>
      <c r="J74" s="2">
        <v>21</v>
      </c>
      <c r="K74" s="2">
        <v>6</v>
      </c>
      <c r="L74" s="2">
        <v>66</v>
      </c>
      <c r="M74" s="2">
        <v>48</v>
      </c>
      <c r="N74" s="2">
        <v>38</v>
      </c>
      <c r="O74" s="2">
        <v>1</v>
      </c>
      <c r="P74" s="2">
        <v>24</v>
      </c>
      <c r="Q74" s="2">
        <v>47</v>
      </c>
      <c r="R74" s="2">
        <v>31</v>
      </c>
      <c r="S74" s="2">
        <v>8</v>
      </c>
      <c r="T74" s="2">
        <v>26</v>
      </c>
      <c r="U74" s="11">
        <v>31.502728291703001</v>
      </c>
      <c r="V74" s="11">
        <v>24.0766030169362</v>
      </c>
      <c r="W74" s="11">
        <v>36.8183462216819</v>
      </c>
      <c r="X74" s="11">
        <v>25.7026699056049</v>
      </c>
      <c r="Y74" s="11">
        <v>23.224761718296101</v>
      </c>
      <c r="Z74" s="11">
        <v>59.502543784927397</v>
      </c>
      <c r="AA74" s="11">
        <v>27.405619354480699</v>
      </c>
      <c r="AB74" s="11">
        <v>55.471465084991401</v>
      </c>
      <c r="AC74" s="11">
        <v>16.689924158144098</v>
      </c>
      <c r="AD74" s="11">
        <v>41.622876694626903</v>
      </c>
      <c r="AE74" s="11">
        <v>38.402608716832397</v>
      </c>
      <c r="AF74" s="11">
        <v>32.168787770797699</v>
      </c>
      <c r="AG74" s="11">
        <v>22.0510215795627</v>
      </c>
      <c r="AH74" s="11">
        <v>37.091956808100903</v>
      </c>
      <c r="AI74" s="11">
        <v>46.764741483735101</v>
      </c>
      <c r="AJ74" s="11">
        <v>39.588558008340001</v>
      </c>
      <c r="AK74" s="16">
        <v>-5.9941611060804402E-2</v>
      </c>
      <c r="AL74" s="16">
        <v>-1.0339829652638399</v>
      </c>
      <c r="AM74" s="26">
        <v>0.87754381860154596</v>
      </c>
      <c r="AN74" s="27">
        <v>0.91444986704740505</v>
      </c>
      <c r="AO74" s="11">
        <v>35.463092172327698</v>
      </c>
      <c r="AP74" s="11">
        <v>34.2975594025175</v>
      </c>
      <c r="AQ74" t="s">
        <v>5875</v>
      </c>
      <c r="AR74" t="s">
        <v>5832</v>
      </c>
      <c r="AS74" t="s">
        <v>2229</v>
      </c>
    </row>
    <row r="75" spans="1:45">
      <c r="A75" t="s">
        <v>5028</v>
      </c>
      <c r="B75" s="2">
        <v>26</v>
      </c>
      <c r="C75" s="2">
        <v>32</v>
      </c>
      <c r="D75" s="2">
        <v>16</v>
      </c>
      <c r="E75" s="2">
        <v>24</v>
      </c>
      <c r="F75" s="2">
        <v>26</v>
      </c>
      <c r="G75" s="2">
        <v>21</v>
      </c>
      <c r="H75" s="2">
        <v>20</v>
      </c>
      <c r="I75" s="2">
        <v>21</v>
      </c>
      <c r="J75" s="2">
        <v>46</v>
      </c>
      <c r="K75" s="2">
        <v>11</v>
      </c>
      <c r="L75" s="2">
        <v>72</v>
      </c>
      <c r="M75" s="2">
        <v>52</v>
      </c>
      <c r="N75" s="2">
        <v>33</v>
      </c>
      <c r="O75" s="2">
        <v>17</v>
      </c>
      <c r="P75" s="2">
        <v>36</v>
      </c>
      <c r="Q75" s="2">
        <v>43</v>
      </c>
      <c r="R75" s="2">
        <v>28</v>
      </c>
      <c r="S75" s="2">
        <v>14</v>
      </c>
      <c r="T75" s="2">
        <v>37</v>
      </c>
      <c r="U75" s="11">
        <v>31.502728291703001</v>
      </c>
      <c r="V75" s="11">
        <v>30.818051861678299</v>
      </c>
      <c r="W75" s="11">
        <v>25.612762588996102</v>
      </c>
      <c r="X75" s="11">
        <v>36.286122219677502</v>
      </c>
      <c r="Y75" s="11">
        <v>22.3645853583592</v>
      </c>
      <c r="Z75" s="11">
        <v>19.5242721794293</v>
      </c>
      <c r="AA75" s="11">
        <v>21.081245657292801</v>
      </c>
      <c r="AB75" s="11">
        <v>20.436855557628402</v>
      </c>
      <c r="AC75" s="11">
        <v>36.558881489268003</v>
      </c>
      <c r="AD75" s="11">
        <v>45.406774575956597</v>
      </c>
      <c r="AE75" s="11">
        <v>41.602826109901798</v>
      </c>
      <c r="AF75" s="11">
        <v>27.936052537797998</v>
      </c>
      <c r="AG75" s="11">
        <v>33.0765323693441</v>
      </c>
      <c r="AH75" s="11">
        <v>33.935194526560402</v>
      </c>
      <c r="AI75" s="11">
        <v>42.239121340147797</v>
      </c>
      <c r="AJ75" s="11">
        <v>56.3375633195608</v>
      </c>
      <c r="AK75" s="16">
        <v>0.61145337013274104</v>
      </c>
      <c r="AL75" s="16">
        <v>1.5272268102965301</v>
      </c>
      <c r="AM75" s="26">
        <v>1.86658407596299E-2</v>
      </c>
      <c r="AN75" s="27">
        <v>3.2519394448417699E-2</v>
      </c>
      <c r="AO75" s="11">
        <v>25.953327964345601</v>
      </c>
      <c r="AP75" s="11">
        <v>39.636618283567202</v>
      </c>
      <c r="AQ75" t="s">
        <v>5874</v>
      </c>
      <c r="AR75" t="s">
        <v>5878</v>
      </c>
      <c r="AS75" t="s">
        <v>5028</v>
      </c>
    </row>
    <row r="76" spans="1:45">
      <c r="A76" t="s">
        <v>1420</v>
      </c>
      <c r="B76" s="2">
        <v>48</v>
      </c>
      <c r="C76" s="2">
        <v>47</v>
      </c>
      <c r="D76" s="2">
        <v>31</v>
      </c>
      <c r="E76" s="2">
        <v>47</v>
      </c>
      <c r="F76" s="2">
        <v>50</v>
      </c>
      <c r="G76" s="2">
        <v>32</v>
      </c>
      <c r="H76" s="2">
        <v>36</v>
      </c>
      <c r="I76" s="2">
        <v>28</v>
      </c>
      <c r="J76" s="2">
        <v>27</v>
      </c>
      <c r="K76" s="2">
        <v>17</v>
      </c>
      <c r="L76" s="2">
        <v>33</v>
      </c>
      <c r="M76" s="2">
        <v>31</v>
      </c>
      <c r="N76" s="2">
        <v>31</v>
      </c>
      <c r="O76" s="2">
        <v>14</v>
      </c>
      <c r="P76" s="2">
        <v>28</v>
      </c>
      <c r="Q76" s="2">
        <v>21</v>
      </c>
      <c r="R76" s="2">
        <v>15</v>
      </c>
      <c r="S76" s="2">
        <v>11</v>
      </c>
      <c r="T76" s="2">
        <v>25</v>
      </c>
      <c r="U76" s="11">
        <v>58.158883000067</v>
      </c>
      <c r="V76" s="11">
        <v>45.264013671839997</v>
      </c>
      <c r="W76" s="11">
        <v>49.624727516180002</v>
      </c>
      <c r="X76" s="11">
        <v>71.060322680201807</v>
      </c>
      <c r="Y76" s="11">
        <v>43.008817996844598</v>
      </c>
      <c r="Z76" s="11">
        <v>29.751271892463699</v>
      </c>
      <c r="AA76" s="11">
        <v>37.946242183127097</v>
      </c>
      <c r="AB76" s="11">
        <v>27.249140743504601</v>
      </c>
      <c r="AC76" s="11">
        <v>21.458473917613802</v>
      </c>
      <c r="AD76" s="11">
        <v>20.811438347313398</v>
      </c>
      <c r="AE76" s="11">
        <v>24.801684796287599</v>
      </c>
      <c r="AF76" s="11">
        <v>26.242958444598202</v>
      </c>
      <c r="AG76" s="11">
        <v>25.726191842823201</v>
      </c>
      <c r="AH76" s="11">
        <v>16.5730019780876</v>
      </c>
      <c r="AI76" s="11">
        <v>22.628100717936299</v>
      </c>
      <c r="AJ76" s="11">
        <v>38.065921161865397</v>
      </c>
      <c r="AK76" s="16">
        <v>-0.88440767122850095</v>
      </c>
      <c r="AL76" s="16">
        <v>-1.8443662085252801</v>
      </c>
      <c r="AM76" s="26">
        <v>1.9267657888783899E-3</v>
      </c>
      <c r="AN76" s="27">
        <v>4.1182310311809597E-3</v>
      </c>
      <c r="AO76" s="11">
        <v>45.257927460528599</v>
      </c>
      <c r="AP76" s="11">
        <v>24.538471400815698</v>
      </c>
      <c r="AQ76" t="s">
        <v>5875</v>
      </c>
      <c r="AR76" t="s">
        <v>5876</v>
      </c>
      <c r="AS76" t="s">
        <v>1420</v>
      </c>
    </row>
    <row r="77" spans="1:45">
      <c r="A77" t="s">
        <v>1530</v>
      </c>
      <c r="B77" s="2">
        <v>4</v>
      </c>
      <c r="C77" s="2">
        <v>3</v>
      </c>
      <c r="D77" s="2">
        <v>2</v>
      </c>
      <c r="E77" s="2">
        <v>3</v>
      </c>
      <c r="F77" s="2">
        <v>5</v>
      </c>
      <c r="G77" s="2">
        <v>9</v>
      </c>
      <c r="H77" s="2">
        <v>33</v>
      </c>
      <c r="I77" s="2">
        <v>74</v>
      </c>
      <c r="J77" s="2">
        <v>42</v>
      </c>
      <c r="K77" s="2">
        <v>16</v>
      </c>
      <c r="L77" s="2">
        <v>56</v>
      </c>
      <c r="M77" s="2">
        <v>33</v>
      </c>
      <c r="N77" s="2">
        <v>59</v>
      </c>
      <c r="O77" s="2">
        <v>13</v>
      </c>
      <c r="P77" s="2">
        <v>82.706999999999994</v>
      </c>
      <c r="Q77" s="2">
        <v>78</v>
      </c>
      <c r="R77" s="2">
        <v>16</v>
      </c>
      <c r="S77" s="2">
        <v>12</v>
      </c>
      <c r="T77" s="2">
        <v>21</v>
      </c>
      <c r="U77" s="11">
        <v>4.8465735833389196</v>
      </c>
      <c r="V77" s="11">
        <v>2.8891923620323401</v>
      </c>
      <c r="W77" s="11">
        <v>3.2015953236245198</v>
      </c>
      <c r="X77" s="11">
        <v>4.5357652774596904</v>
      </c>
      <c r="Y77" s="11">
        <v>4.3008817996844604</v>
      </c>
      <c r="Z77" s="11">
        <v>8.3675452197554208</v>
      </c>
      <c r="AA77" s="11">
        <v>34.7840553345331</v>
      </c>
      <c r="AB77" s="11">
        <v>72.015586250690603</v>
      </c>
      <c r="AC77" s="11">
        <v>33.379848316288196</v>
      </c>
      <c r="AD77" s="11">
        <v>35.316380225743998</v>
      </c>
      <c r="AE77" s="11">
        <v>26.4017934928223</v>
      </c>
      <c r="AF77" s="11">
        <v>49.946275749396499</v>
      </c>
      <c r="AG77" s="11">
        <v>75.984145192909907</v>
      </c>
      <c r="AH77" s="11">
        <v>61.5568644900398</v>
      </c>
      <c r="AI77" s="11">
        <v>24.136640765798798</v>
      </c>
      <c r="AJ77" s="11">
        <v>31.975373775967</v>
      </c>
      <c r="AK77" s="16">
        <v>1.3106471030079001</v>
      </c>
      <c r="AL77" s="16">
        <v>2.5099623701247298</v>
      </c>
      <c r="AM77" s="26">
        <v>2.6439763073241501E-2</v>
      </c>
      <c r="AN77" s="27">
        <v>4.3782676970293498E-2</v>
      </c>
      <c r="AO77" s="11">
        <v>16.867649393889899</v>
      </c>
      <c r="AP77" s="11">
        <v>42.337165251120801</v>
      </c>
      <c r="AQ77" t="s">
        <v>5874</v>
      </c>
      <c r="AR77" t="s">
        <v>5878</v>
      </c>
      <c r="AS77" t="s">
        <v>1530</v>
      </c>
    </row>
    <row r="78" spans="1:45">
      <c r="A78" t="s">
        <v>283</v>
      </c>
      <c r="B78" s="2">
        <v>38</v>
      </c>
      <c r="C78" s="2">
        <v>21</v>
      </c>
      <c r="D78" s="2">
        <v>5</v>
      </c>
      <c r="E78" s="2">
        <v>2</v>
      </c>
      <c r="F78" s="2">
        <v>3</v>
      </c>
      <c r="G78" s="2">
        <v>7</v>
      </c>
      <c r="H78" s="2">
        <v>10</v>
      </c>
      <c r="I78" s="2">
        <v>27</v>
      </c>
      <c r="J78" s="2">
        <v>47</v>
      </c>
      <c r="K78" s="2">
        <v>40</v>
      </c>
      <c r="L78" s="2">
        <v>57</v>
      </c>
      <c r="M78" s="2">
        <v>45</v>
      </c>
      <c r="N78" s="2">
        <v>67</v>
      </c>
      <c r="O78" s="2">
        <v>22</v>
      </c>
      <c r="P78" s="2">
        <v>31</v>
      </c>
      <c r="Q78" s="2">
        <v>47</v>
      </c>
      <c r="R78" s="2">
        <v>32</v>
      </c>
      <c r="S78" s="2">
        <v>24</v>
      </c>
      <c r="T78" s="2">
        <v>29</v>
      </c>
      <c r="U78" s="11">
        <v>46.042449041719699</v>
      </c>
      <c r="V78" s="11">
        <v>20.224346534226399</v>
      </c>
      <c r="W78" s="11">
        <v>8.00398830906129</v>
      </c>
      <c r="X78" s="11">
        <v>3.0238435183064598</v>
      </c>
      <c r="Y78" s="11">
        <v>2.5805290798106801</v>
      </c>
      <c r="Z78" s="11">
        <v>6.50809072647644</v>
      </c>
      <c r="AA78" s="11">
        <v>10.5406228286464</v>
      </c>
      <c r="AB78" s="11">
        <v>26.275957145522302</v>
      </c>
      <c r="AC78" s="11">
        <v>37.353639782513</v>
      </c>
      <c r="AD78" s="11">
        <v>35.947029872632299</v>
      </c>
      <c r="AE78" s="11">
        <v>36.002445672030397</v>
      </c>
      <c r="AF78" s="11">
        <v>56.718652122195998</v>
      </c>
      <c r="AG78" s="11">
        <v>28.4825695402685</v>
      </c>
      <c r="AH78" s="11">
        <v>37.091956808100903</v>
      </c>
      <c r="AI78" s="11">
        <v>48.273281531597497</v>
      </c>
      <c r="AJ78" s="11">
        <v>44.1564685477639</v>
      </c>
      <c r="AK78" s="16">
        <v>1.3820217766174101</v>
      </c>
      <c r="AL78" s="16">
        <v>2.6300852142736599</v>
      </c>
      <c r="AM78" s="26">
        <v>2.63019618850682E-3</v>
      </c>
      <c r="AN78" s="27">
        <v>5.3810435783212896E-3</v>
      </c>
      <c r="AO78" s="11">
        <v>15.3999783979712</v>
      </c>
      <c r="AP78" s="11">
        <v>40.503255484637798</v>
      </c>
      <c r="AQ78" t="s">
        <v>5874</v>
      </c>
      <c r="AR78" t="s">
        <v>5876</v>
      </c>
      <c r="AS78" t="s">
        <v>283</v>
      </c>
    </row>
    <row r="79" spans="1:45">
      <c r="A79" t="s">
        <v>373</v>
      </c>
      <c r="B79" s="2">
        <v>15</v>
      </c>
      <c r="C79" s="2">
        <v>22</v>
      </c>
      <c r="D79" s="2">
        <v>11</v>
      </c>
      <c r="E79" s="2">
        <v>15</v>
      </c>
      <c r="F79" s="2">
        <v>17</v>
      </c>
      <c r="G79" s="2">
        <v>14</v>
      </c>
      <c r="H79" s="2">
        <v>19</v>
      </c>
      <c r="I79" s="2">
        <v>15</v>
      </c>
      <c r="J79" s="2">
        <v>46</v>
      </c>
      <c r="K79" s="2">
        <v>27</v>
      </c>
      <c r="L79" s="2">
        <v>62</v>
      </c>
      <c r="M79" s="2">
        <v>38</v>
      </c>
      <c r="N79" s="2">
        <v>57</v>
      </c>
      <c r="O79" s="2">
        <v>13</v>
      </c>
      <c r="P79" s="2">
        <v>57</v>
      </c>
      <c r="Q79" s="2">
        <v>56</v>
      </c>
      <c r="R79" s="2">
        <v>14</v>
      </c>
      <c r="S79" s="2">
        <v>19</v>
      </c>
      <c r="T79" s="2">
        <v>33</v>
      </c>
      <c r="U79" s="11">
        <v>18.174650937520902</v>
      </c>
      <c r="V79" s="11">
        <v>21.1874106549038</v>
      </c>
      <c r="W79" s="11">
        <v>17.608774279934799</v>
      </c>
      <c r="X79" s="11">
        <v>22.6788263872984</v>
      </c>
      <c r="Y79" s="11">
        <v>14.6229981189272</v>
      </c>
      <c r="Z79" s="11">
        <v>13.0161814529529</v>
      </c>
      <c r="AA79" s="11">
        <v>20.027183374428201</v>
      </c>
      <c r="AB79" s="11">
        <v>14.597753969734599</v>
      </c>
      <c r="AC79" s="11">
        <v>36.558881489268003</v>
      </c>
      <c r="AD79" s="11">
        <v>39.100278107073699</v>
      </c>
      <c r="AE79" s="11">
        <v>30.402065234159</v>
      </c>
      <c r="AF79" s="11">
        <v>48.253181656196602</v>
      </c>
      <c r="AG79" s="11">
        <v>52.371176251461499</v>
      </c>
      <c r="AH79" s="11">
        <v>44.194671941567002</v>
      </c>
      <c r="AI79" s="11">
        <v>21.119560670073898</v>
      </c>
      <c r="AJ79" s="11">
        <v>50.247015933662396</v>
      </c>
      <c r="AK79" s="16">
        <v>1.19257106435841</v>
      </c>
      <c r="AL79" s="16">
        <v>2.27072263986779</v>
      </c>
      <c r="AM79" s="26">
        <v>1.5188672851486E-5</v>
      </c>
      <c r="AN79" s="27">
        <v>5.30332033223086E-5</v>
      </c>
      <c r="AO79" s="11">
        <v>17.7392223969626</v>
      </c>
      <c r="AP79" s="11">
        <v>40.280853910432803</v>
      </c>
      <c r="AQ79" t="s">
        <v>5874</v>
      </c>
      <c r="AR79" t="s">
        <v>5876</v>
      </c>
      <c r="AS79" t="s">
        <v>373</v>
      </c>
    </row>
    <row r="80" spans="1:45">
      <c r="A80" t="s">
        <v>201</v>
      </c>
      <c r="B80" s="2">
        <v>16</v>
      </c>
      <c r="C80" s="2">
        <v>12</v>
      </c>
      <c r="D80" s="2">
        <v>6</v>
      </c>
      <c r="E80" s="2">
        <v>0</v>
      </c>
      <c r="F80" s="2">
        <v>8</v>
      </c>
      <c r="G80" s="2">
        <v>11</v>
      </c>
      <c r="H80" s="2">
        <v>13</v>
      </c>
      <c r="I80" s="2">
        <v>12</v>
      </c>
      <c r="J80" s="2">
        <v>45</v>
      </c>
      <c r="K80" s="2">
        <v>15</v>
      </c>
      <c r="L80" s="2">
        <v>115</v>
      </c>
      <c r="M80" s="2">
        <v>45</v>
      </c>
      <c r="N80" s="2">
        <v>44</v>
      </c>
      <c r="O80" s="2">
        <v>15</v>
      </c>
      <c r="P80" s="2">
        <v>49</v>
      </c>
      <c r="Q80" s="2">
        <v>51</v>
      </c>
      <c r="R80" s="2">
        <v>28</v>
      </c>
      <c r="S80" s="2">
        <v>16</v>
      </c>
      <c r="T80" s="2">
        <v>43</v>
      </c>
      <c r="U80" s="11">
        <v>19.3862943333557</v>
      </c>
      <c r="V80" s="11">
        <v>11.556769448129399</v>
      </c>
      <c r="W80" s="11">
        <v>9.6047859708735501</v>
      </c>
      <c r="X80" s="11">
        <v>0.37798043978830698</v>
      </c>
      <c r="Y80" s="11">
        <v>6.8814108794951396</v>
      </c>
      <c r="Z80" s="11">
        <v>10.226999713034401</v>
      </c>
      <c r="AA80" s="11">
        <v>13.7028096772403</v>
      </c>
      <c r="AB80" s="11">
        <v>11.678203175787701</v>
      </c>
      <c r="AC80" s="11">
        <v>35.7641231960231</v>
      </c>
      <c r="AD80" s="11">
        <v>72.524709392152801</v>
      </c>
      <c r="AE80" s="11">
        <v>36.002445672030397</v>
      </c>
      <c r="AF80" s="11">
        <v>37.248070050397402</v>
      </c>
      <c r="AG80" s="11">
        <v>45.020835724940603</v>
      </c>
      <c r="AH80" s="11">
        <v>40.248719089641398</v>
      </c>
      <c r="AI80" s="11">
        <v>42.239121340147797</v>
      </c>
      <c r="AJ80" s="11">
        <v>65.473384398408498</v>
      </c>
      <c r="AK80" s="16">
        <v>2.13705593623326</v>
      </c>
      <c r="AL80" s="16">
        <v>4.4898431945120301</v>
      </c>
      <c r="AM80" s="26">
        <v>1.7159296737611599E-9</v>
      </c>
      <c r="AN80" s="27">
        <v>2.01395956446705E-8</v>
      </c>
      <c r="AO80" s="11">
        <v>10.426906704713099</v>
      </c>
      <c r="AP80" s="11">
        <v>46.815176107967801</v>
      </c>
      <c r="AQ80" t="s">
        <v>5874</v>
      </c>
      <c r="AR80" t="s">
        <v>5876</v>
      </c>
      <c r="AS80" t="s">
        <v>201</v>
      </c>
    </row>
    <row r="81" spans="1:45">
      <c r="A81" t="s">
        <v>5742</v>
      </c>
      <c r="B81" s="2">
        <v>17</v>
      </c>
      <c r="C81" s="2">
        <v>26</v>
      </c>
      <c r="D81" s="2">
        <v>13</v>
      </c>
      <c r="E81" s="2">
        <v>13</v>
      </c>
      <c r="F81" s="2">
        <v>33</v>
      </c>
      <c r="G81" s="2">
        <v>33</v>
      </c>
      <c r="H81" s="2">
        <v>20</v>
      </c>
      <c r="I81" s="2">
        <v>31</v>
      </c>
      <c r="J81" s="2">
        <v>95</v>
      </c>
      <c r="K81" s="2">
        <v>15</v>
      </c>
      <c r="L81" s="2">
        <v>54</v>
      </c>
      <c r="M81" s="2">
        <v>44</v>
      </c>
      <c r="N81" s="2">
        <v>40</v>
      </c>
      <c r="O81" s="2">
        <v>13</v>
      </c>
      <c r="P81" s="2">
        <v>37</v>
      </c>
      <c r="Q81" s="2">
        <v>32</v>
      </c>
      <c r="R81" s="2">
        <v>10</v>
      </c>
      <c r="S81" s="2">
        <v>7</v>
      </c>
      <c r="T81" s="2">
        <v>11</v>
      </c>
      <c r="U81" s="11">
        <v>20.597937729190399</v>
      </c>
      <c r="V81" s="11">
        <v>25.039667137613598</v>
      </c>
      <c r="W81" s="11">
        <v>20.810369603559401</v>
      </c>
      <c r="X81" s="11">
        <v>19.654982868992001</v>
      </c>
      <c r="Y81" s="11">
        <v>28.385819877917399</v>
      </c>
      <c r="Z81" s="11">
        <v>30.6809991391032</v>
      </c>
      <c r="AA81" s="11">
        <v>21.081245657292801</v>
      </c>
      <c r="AB81" s="11">
        <v>30.168691537451501</v>
      </c>
      <c r="AC81" s="11">
        <v>75.502037858270896</v>
      </c>
      <c r="AD81" s="11">
        <v>34.055080931967403</v>
      </c>
      <c r="AE81" s="11">
        <v>35.202391323763102</v>
      </c>
      <c r="AF81" s="11">
        <v>33.861881863997603</v>
      </c>
      <c r="AG81" s="11">
        <v>33.995324935159204</v>
      </c>
      <c r="AH81" s="11">
        <v>25.254098252323999</v>
      </c>
      <c r="AI81" s="11">
        <v>15.0854004786242</v>
      </c>
      <c r="AJ81" s="11">
        <v>16.749005311220799</v>
      </c>
      <c r="AK81" s="16">
        <v>0.465404652124421</v>
      </c>
      <c r="AL81" s="16">
        <v>1.37310668099072</v>
      </c>
      <c r="AM81" s="26">
        <v>0.162074501729707</v>
      </c>
      <c r="AN81" s="27">
        <v>0.21772658967304101</v>
      </c>
      <c r="AO81" s="11">
        <v>24.55246419389</v>
      </c>
      <c r="AP81" s="11">
        <v>33.713152619415901</v>
      </c>
      <c r="AQ81" t="s">
        <v>5874</v>
      </c>
      <c r="AR81" t="s">
        <v>5832</v>
      </c>
      <c r="AS81" t="s">
        <v>5742</v>
      </c>
    </row>
    <row r="82" spans="1:45">
      <c r="A82" t="s">
        <v>2852</v>
      </c>
      <c r="B82" s="2">
        <v>45</v>
      </c>
      <c r="C82" s="2">
        <v>83</v>
      </c>
      <c r="D82" s="2">
        <v>33</v>
      </c>
      <c r="E82" s="2">
        <v>71</v>
      </c>
      <c r="F82" s="2">
        <v>104</v>
      </c>
      <c r="G82" s="2">
        <v>67</v>
      </c>
      <c r="H82" s="2">
        <v>43</v>
      </c>
      <c r="I82" s="2">
        <v>42</v>
      </c>
      <c r="J82" s="2">
        <v>0</v>
      </c>
      <c r="K82" s="2">
        <v>0</v>
      </c>
      <c r="L82" s="2">
        <v>14</v>
      </c>
      <c r="M82" s="2">
        <v>3</v>
      </c>
      <c r="N82" s="2">
        <v>2</v>
      </c>
      <c r="O82" s="2">
        <v>0</v>
      </c>
      <c r="P82" s="2">
        <v>5</v>
      </c>
      <c r="Q82" s="2">
        <v>18</v>
      </c>
      <c r="R82" s="2">
        <v>4</v>
      </c>
      <c r="S82" s="2">
        <v>0</v>
      </c>
      <c r="T82" s="2">
        <v>7</v>
      </c>
      <c r="U82" s="11">
        <v>54.523952812562797</v>
      </c>
      <c r="V82" s="11">
        <v>79.934322016228094</v>
      </c>
      <c r="W82" s="11">
        <v>52.826322839804497</v>
      </c>
      <c r="X82" s="11">
        <v>107.346444899879</v>
      </c>
      <c r="Y82" s="11">
        <v>89.4583414334368</v>
      </c>
      <c r="Z82" s="11">
        <v>62.291725524845901</v>
      </c>
      <c r="AA82" s="11">
        <v>45.324678163179499</v>
      </c>
      <c r="AB82" s="11">
        <v>40.873711115256903</v>
      </c>
      <c r="AC82" s="11">
        <v>0.19868957331123899</v>
      </c>
      <c r="AD82" s="11">
        <v>8.8290950564359996</v>
      </c>
      <c r="AE82" s="11">
        <v>2.4001630448020301</v>
      </c>
      <c r="AF82" s="11">
        <v>1.6930940931998799</v>
      </c>
      <c r="AG82" s="11">
        <v>4.5939628290755703</v>
      </c>
      <c r="AH82" s="11">
        <v>14.2054302669323</v>
      </c>
      <c r="AI82" s="11">
        <v>6.0341601914496898</v>
      </c>
      <c r="AJ82" s="11">
        <v>10.658457925322301</v>
      </c>
      <c r="AK82" s="16">
        <v>-3.4470806853681699</v>
      </c>
      <c r="AL82" s="16">
        <v>-10.955483479272701</v>
      </c>
      <c r="AM82" s="26">
        <v>1.1444508485822199E-14</v>
      </c>
      <c r="AN82" s="27">
        <v>5.6423012481090399E-13</v>
      </c>
      <c r="AO82" s="11">
        <v>66.572437350649196</v>
      </c>
      <c r="AP82" s="11">
        <v>6.0766316225661203</v>
      </c>
      <c r="AQ82" t="s">
        <v>5875</v>
      </c>
      <c r="AR82" t="s">
        <v>5876</v>
      </c>
      <c r="AS82" t="s">
        <v>2852</v>
      </c>
    </row>
    <row r="83" spans="1:45">
      <c r="A83" t="s">
        <v>3302</v>
      </c>
      <c r="B83" s="2">
        <v>27.216999999999999</v>
      </c>
      <c r="C83" s="2">
        <v>52.134</v>
      </c>
      <c r="D83" s="2">
        <v>6</v>
      </c>
      <c r="E83" s="2">
        <v>49.213000000000001</v>
      </c>
      <c r="F83" s="2">
        <v>89.539000000000001</v>
      </c>
      <c r="G83" s="2">
        <v>70.698999999999998</v>
      </c>
      <c r="H83" s="2">
        <v>35.408000000000001</v>
      </c>
      <c r="I83" s="2">
        <v>39.988</v>
      </c>
      <c r="J83" s="2">
        <v>27.827999999999999</v>
      </c>
      <c r="K83" s="2">
        <v>4</v>
      </c>
      <c r="L83" s="2">
        <v>40.667000000000002</v>
      </c>
      <c r="M83" s="2">
        <v>23.87</v>
      </c>
      <c r="N83" s="2">
        <v>12.178000000000001</v>
      </c>
      <c r="O83" s="2">
        <v>8.5</v>
      </c>
      <c r="P83" s="2">
        <v>13.65</v>
      </c>
      <c r="Q83" s="2">
        <v>17.308</v>
      </c>
      <c r="R83" s="2">
        <v>7.1429999999999998</v>
      </c>
      <c r="S83" s="2">
        <v>2.3330000000000002</v>
      </c>
      <c r="T83" s="2">
        <v>8.5709999999999997</v>
      </c>
      <c r="U83" s="11">
        <v>32.956700366704602</v>
      </c>
      <c r="V83" s="11">
        <v>50.175640687295001</v>
      </c>
      <c r="W83" s="11">
        <v>9.6047859708735501</v>
      </c>
      <c r="X83" s="11">
        <v>74.386550550338896</v>
      </c>
      <c r="Y83" s="11">
        <v>76.985784214351796</v>
      </c>
      <c r="Z83" s="11">
        <v>65.731716337411996</v>
      </c>
      <c r="AA83" s="11">
        <v>37.313804813408296</v>
      </c>
      <c r="AB83" s="11">
        <v>38.927343919292198</v>
      </c>
      <c r="AC83" s="11">
        <v>22.094280552209799</v>
      </c>
      <c r="AD83" s="11">
        <v>25.667440628353202</v>
      </c>
      <c r="AE83" s="11">
        <v>19.121298923589499</v>
      </c>
      <c r="AF83" s="11">
        <v>10.327873968519301</v>
      </c>
      <c r="AG83" s="11">
        <v>12.5874581516671</v>
      </c>
      <c r="AH83" s="11">
        <v>13.652996867662701</v>
      </c>
      <c r="AI83" s="11">
        <v>10.7106343398232</v>
      </c>
      <c r="AJ83" s="11">
        <v>13.0946768796817</v>
      </c>
      <c r="AK83" s="16">
        <v>-1.58038865434981</v>
      </c>
      <c r="AL83" s="16">
        <v>-3.0338869958916201</v>
      </c>
      <c r="AM83" s="26">
        <v>2.2296615371015298E-5</v>
      </c>
      <c r="AN83" s="27">
        <v>7.3479978735020796E-5</v>
      </c>
      <c r="AO83" s="11">
        <v>48.260290857459601</v>
      </c>
      <c r="AP83" s="11">
        <v>15.907082538938299</v>
      </c>
      <c r="AQ83" t="s">
        <v>5875</v>
      </c>
      <c r="AR83" t="s">
        <v>5876</v>
      </c>
      <c r="AS83" t="s">
        <v>3302</v>
      </c>
    </row>
    <row r="84" spans="1:45">
      <c r="A84" t="s">
        <v>4440</v>
      </c>
      <c r="B84" s="2">
        <v>32</v>
      </c>
      <c r="C84" s="2">
        <v>46</v>
      </c>
      <c r="D84" s="2">
        <v>30</v>
      </c>
      <c r="E84" s="2">
        <v>43</v>
      </c>
      <c r="F84" s="2">
        <v>35</v>
      </c>
      <c r="G84" s="2">
        <v>40</v>
      </c>
      <c r="H84" s="2">
        <v>29</v>
      </c>
      <c r="I84" s="2">
        <v>13</v>
      </c>
      <c r="J84" s="2">
        <v>32</v>
      </c>
      <c r="K84" s="2">
        <v>31</v>
      </c>
      <c r="L84" s="2">
        <v>12</v>
      </c>
      <c r="M84" s="2">
        <v>23</v>
      </c>
      <c r="N84" s="2">
        <v>20</v>
      </c>
      <c r="O84" s="2">
        <v>25</v>
      </c>
      <c r="P84" s="2">
        <v>18</v>
      </c>
      <c r="Q84" s="2">
        <v>35</v>
      </c>
      <c r="R84" s="2">
        <v>19</v>
      </c>
      <c r="S84" s="2">
        <v>18</v>
      </c>
      <c r="T84" s="2">
        <v>35</v>
      </c>
      <c r="U84" s="11">
        <v>38.7725886667113</v>
      </c>
      <c r="V84" s="11">
        <v>44.300949551162603</v>
      </c>
      <c r="W84" s="11">
        <v>48.023929854367701</v>
      </c>
      <c r="X84" s="11">
        <v>65.012635643588894</v>
      </c>
      <c r="Y84" s="11">
        <v>30.1061725977912</v>
      </c>
      <c r="Z84" s="11">
        <v>37.189089865579597</v>
      </c>
      <c r="AA84" s="11">
        <v>30.5678062030746</v>
      </c>
      <c r="AB84" s="11">
        <v>12.65138677377</v>
      </c>
      <c r="AC84" s="11">
        <v>25.432265383838601</v>
      </c>
      <c r="AD84" s="11">
        <v>7.5677957626594301</v>
      </c>
      <c r="AE84" s="11">
        <v>18.4012500101489</v>
      </c>
      <c r="AF84" s="11">
        <v>16.930940931998801</v>
      </c>
      <c r="AG84" s="11">
        <v>16.5382661846721</v>
      </c>
      <c r="AH84" s="11">
        <v>27.621669963479398</v>
      </c>
      <c r="AI84" s="11">
        <v>28.662260909385999</v>
      </c>
      <c r="AJ84" s="11">
        <v>53.292289626611598</v>
      </c>
      <c r="AK84" s="16">
        <v>-0.67291418655365498</v>
      </c>
      <c r="AL84" s="16">
        <v>-1.57690769766176</v>
      </c>
      <c r="AM84" s="26">
        <v>7.9825328894918501E-2</v>
      </c>
      <c r="AN84" s="27">
        <v>0.116600753342141</v>
      </c>
      <c r="AO84" s="11">
        <v>38.328069894505703</v>
      </c>
      <c r="AP84" s="11">
        <v>24.305842346599299</v>
      </c>
      <c r="AQ84" t="s">
        <v>5875</v>
      </c>
      <c r="AR84" t="s">
        <v>5832</v>
      </c>
      <c r="AS84" t="s">
        <v>4440</v>
      </c>
    </row>
    <row r="85" spans="1:45">
      <c r="A85" t="s">
        <v>4942</v>
      </c>
      <c r="B85" s="2">
        <v>27</v>
      </c>
      <c r="C85" s="2">
        <v>17</v>
      </c>
      <c r="D85" s="2">
        <v>20</v>
      </c>
      <c r="E85" s="2">
        <v>28</v>
      </c>
      <c r="F85" s="2">
        <v>30</v>
      </c>
      <c r="G85" s="2">
        <v>24</v>
      </c>
      <c r="H85" s="2">
        <v>17</v>
      </c>
      <c r="I85" s="2">
        <v>18</v>
      </c>
      <c r="J85" s="2">
        <v>60</v>
      </c>
      <c r="K85" s="2">
        <v>35</v>
      </c>
      <c r="L85" s="2">
        <v>46</v>
      </c>
      <c r="M85" s="2">
        <v>19</v>
      </c>
      <c r="N85" s="2">
        <v>22</v>
      </c>
      <c r="O85" s="2">
        <v>35</v>
      </c>
      <c r="P85" s="2">
        <v>38</v>
      </c>
      <c r="Q85" s="2">
        <v>31</v>
      </c>
      <c r="R85" s="2">
        <v>18</v>
      </c>
      <c r="S85" s="2">
        <v>19</v>
      </c>
      <c r="T85" s="2">
        <v>22</v>
      </c>
      <c r="U85" s="11">
        <v>32.7143716875377</v>
      </c>
      <c r="V85" s="11">
        <v>16.372090051516601</v>
      </c>
      <c r="W85" s="11">
        <v>32.015953236245203</v>
      </c>
      <c r="X85" s="11">
        <v>42.333809256290401</v>
      </c>
      <c r="Y85" s="11">
        <v>25.8052907981068</v>
      </c>
      <c r="Z85" s="11">
        <v>22.313453919347801</v>
      </c>
      <c r="AA85" s="11">
        <v>17.9190588086989</v>
      </c>
      <c r="AB85" s="11">
        <v>17.517304763681501</v>
      </c>
      <c r="AC85" s="11">
        <v>47.685497594697402</v>
      </c>
      <c r="AD85" s="11">
        <v>29.0098837568611</v>
      </c>
      <c r="AE85" s="11">
        <v>15.2010326170795</v>
      </c>
      <c r="AF85" s="11">
        <v>18.624035025198701</v>
      </c>
      <c r="AG85" s="11">
        <v>34.914117500974299</v>
      </c>
      <c r="AH85" s="11">
        <v>24.4649076819389</v>
      </c>
      <c r="AI85" s="11">
        <v>27.153720861523599</v>
      </c>
      <c r="AJ85" s="11">
        <v>33.498010622441598</v>
      </c>
      <c r="AK85" s="16">
        <v>0.17152429022711199</v>
      </c>
      <c r="AL85" s="16">
        <v>1.1138205781483701</v>
      </c>
      <c r="AM85" s="26">
        <v>0.59940863052428806</v>
      </c>
      <c r="AN85" s="27">
        <v>0.67395693079117402</v>
      </c>
      <c r="AO85" s="11">
        <v>25.873916565178099</v>
      </c>
      <c r="AP85" s="11">
        <v>28.8189007075894</v>
      </c>
      <c r="AQ85" t="s">
        <v>5874</v>
      </c>
      <c r="AR85" t="s">
        <v>5832</v>
      </c>
      <c r="AS85" t="s">
        <v>4942</v>
      </c>
    </row>
    <row r="86" spans="1:45">
      <c r="A86" t="s">
        <v>5264</v>
      </c>
      <c r="B86" s="2">
        <v>13</v>
      </c>
      <c r="C86" s="2">
        <v>7</v>
      </c>
      <c r="D86" s="2">
        <v>8</v>
      </c>
      <c r="E86" s="2">
        <v>12</v>
      </c>
      <c r="F86" s="2">
        <v>13</v>
      </c>
      <c r="G86" s="2">
        <v>17</v>
      </c>
      <c r="H86" s="2">
        <v>18</v>
      </c>
      <c r="I86" s="2">
        <v>14</v>
      </c>
      <c r="J86" s="2">
        <v>30</v>
      </c>
      <c r="K86" s="2">
        <v>29</v>
      </c>
      <c r="L86" s="2">
        <v>54</v>
      </c>
      <c r="M86" s="2">
        <v>44</v>
      </c>
      <c r="N86" s="2">
        <v>41</v>
      </c>
      <c r="O86" s="2">
        <v>35</v>
      </c>
      <c r="P86" s="2">
        <v>48</v>
      </c>
      <c r="Q86" s="2">
        <v>49</v>
      </c>
      <c r="R86" s="2">
        <v>38</v>
      </c>
      <c r="S86" s="2">
        <v>16</v>
      </c>
      <c r="T86" s="2">
        <v>38</v>
      </c>
      <c r="U86" s="11">
        <v>15.7513641458515</v>
      </c>
      <c r="V86" s="11">
        <v>6.7414488447421297</v>
      </c>
      <c r="W86" s="11">
        <v>12.806381294498101</v>
      </c>
      <c r="X86" s="11">
        <v>18.143061109838801</v>
      </c>
      <c r="Y86" s="11">
        <v>11.1822926791796</v>
      </c>
      <c r="Z86" s="11">
        <v>15.805363192871299</v>
      </c>
      <c r="AA86" s="11">
        <v>18.973121091563499</v>
      </c>
      <c r="AB86" s="11">
        <v>13.6245703717523</v>
      </c>
      <c r="AC86" s="11">
        <v>23.842748797348701</v>
      </c>
      <c r="AD86" s="11">
        <v>34.055080931967403</v>
      </c>
      <c r="AE86" s="11">
        <v>35.202391323763102</v>
      </c>
      <c r="AF86" s="11">
        <v>34.708428910597597</v>
      </c>
      <c r="AG86" s="11">
        <v>44.1020431591255</v>
      </c>
      <c r="AH86" s="11">
        <v>38.670337948871101</v>
      </c>
      <c r="AI86" s="11">
        <v>57.324521818772098</v>
      </c>
      <c r="AJ86" s="11">
        <v>57.860200166035398</v>
      </c>
      <c r="AK86" s="16">
        <v>1.5113130132868</v>
      </c>
      <c r="AL86" s="16">
        <v>2.8821787349928401</v>
      </c>
      <c r="AM86" s="26">
        <v>3.2307540283800998E-7</v>
      </c>
      <c r="AN86" s="27">
        <v>1.77161839752974E-6</v>
      </c>
      <c r="AO86" s="11">
        <v>14.128450341287101</v>
      </c>
      <c r="AP86" s="11">
        <v>40.720719132060097</v>
      </c>
      <c r="AQ86" t="s">
        <v>5874</v>
      </c>
      <c r="AR86" t="s">
        <v>5876</v>
      </c>
      <c r="AS86" t="s">
        <v>5264</v>
      </c>
    </row>
    <row r="87" spans="1:45">
      <c r="A87" t="s">
        <v>5084</v>
      </c>
      <c r="B87" s="2">
        <v>33</v>
      </c>
      <c r="C87" s="2">
        <v>82</v>
      </c>
      <c r="D87" s="2">
        <v>35</v>
      </c>
      <c r="E87" s="2">
        <v>76</v>
      </c>
      <c r="F87" s="2">
        <v>65</v>
      </c>
      <c r="G87" s="2">
        <v>48</v>
      </c>
      <c r="H87" s="2">
        <v>39</v>
      </c>
      <c r="I87" s="2">
        <v>26</v>
      </c>
      <c r="J87" s="2">
        <v>12</v>
      </c>
      <c r="K87" s="2">
        <v>3</v>
      </c>
      <c r="L87" s="2">
        <v>14</v>
      </c>
      <c r="M87" s="2">
        <v>10</v>
      </c>
      <c r="N87" s="2">
        <v>12</v>
      </c>
      <c r="O87" s="2">
        <v>5</v>
      </c>
      <c r="P87" s="2">
        <v>8</v>
      </c>
      <c r="Q87" s="2">
        <v>19</v>
      </c>
      <c r="R87" s="2">
        <v>12</v>
      </c>
      <c r="S87" s="2">
        <v>7</v>
      </c>
      <c r="T87" s="2">
        <v>15</v>
      </c>
      <c r="U87" s="11">
        <v>39.984232062546099</v>
      </c>
      <c r="V87" s="11">
        <v>78.971257895550593</v>
      </c>
      <c r="W87" s="11">
        <v>56.027918163429</v>
      </c>
      <c r="X87" s="11">
        <v>114.906053695645</v>
      </c>
      <c r="Y87" s="11">
        <v>55.911463395897997</v>
      </c>
      <c r="Z87" s="11">
        <v>44.626907838695601</v>
      </c>
      <c r="AA87" s="11">
        <v>41.108429031721002</v>
      </c>
      <c r="AB87" s="11">
        <v>25.302773547539999</v>
      </c>
      <c r="AC87" s="11">
        <v>9.53709951893949</v>
      </c>
      <c r="AD87" s="11">
        <v>8.8290950564359996</v>
      </c>
      <c r="AE87" s="11">
        <v>8.0005434826734305</v>
      </c>
      <c r="AF87" s="11">
        <v>10.1585645591993</v>
      </c>
      <c r="AG87" s="11">
        <v>7.3503405265209096</v>
      </c>
      <c r="AH87" s="11">
        <v>14.994620837317401</v>
      </c>
      <c r="AI87" s="11">
        <v>18.102480574349102</v>
      </c>
      <c r="AJ87" s="11">
        <v>22.839552697119299</v>
      </c>
      <c r="AK87" s="16">
        <v>-2.2206852553699199</v>
      </c>
      <c r="AL87" s="16">
        <v>-4.5769814762913104</v>
      </c>
      <c r="AM87" s="26">
        <v>3.1043994166061698E-9</v>
      </c>
      <c r="AN87" s="27">
        <v>3.4589461848453201E-8</v>
      </c>
      <c r="AO87" s="11">
        <v>57.104879453878198</v>
      </c>
      <c r="AP87" s="11">
        <v>12.4765371565694</v>
      </c>
      <c r="AQ87" t="s">
        <v>5875</v>
      </c>
      <c r="AR87" t="s">
        <v>5876</v>
      </c>
      <c r="AS87" t="s">
        <v>5084</v>
      </c>
    </row>
    <row r="88" spans="1:45">
      <c r="A88" t="s">
        <v>1402</v>
      </c>
      <c r="B88" s="2">
        <v>10</v>
      </c>
      <c r="C88" s="2">
        <v>10</v>
      </c>
      <c r="D88" s="2">
        <v>11</v>
      </c>
      <c r="E88" s="2">
        <v>2</v>
      </c>
      <c r="F88" s="2">
        <v>13</v>
      </c>
      <c r="G88" s="2">
        <v>11</v>
      </c>
      <c r="H88" s="2">
        <v>8</v>
      </c>
      <c r="I88" s="2">
        <v>18</v>
      </c>
      <c r="J88" s="2">
        <v>38</v>
      </c>
      <c r="K88" s="2">
        <v>60</v>
      </c>
      <c r="L88" s="2">
        <v>36</v>
      </c>
      <c r="M88" s="2">
        <v>21</v>
      </c>
      <c r="N88" s="2">
        <v>56</v>
      </c>
      <c r="O88" s="2">
        <v>71</v>
      </c>
      <c r="P88" s="2">
        <v>49</v>
      </c>
      <c r="Q88" s="2">
        <v>40</v>
      </c>
      <c r="R88" s="2">
        <v>22</v>
      </c>
      <c r="S88" s="2">
        <v>22</v>
      </c>
      <c r="T88" s="2">
        <v>20</v>
      </c>
      <c r="U88" s="11">
        <v>12.116433958347301</v>
      </c>
      <c r="V88" s="11">
        <v>9.6306412067744702</v>
      </c>
      <c r="W88" s="11">
        <v>17.608774279934799</v>
      </c>
      <c r="X88" s="11">
        <v>3.0238435183064598</v>
      </c>
      <c r="Y88" s="11">
        <v>11.1822926791796</v>
      </c>
      <c r="Z88" s="11">
        <v>10.226999713034401</v>
      </c>
      <c r="AA88" s="11">
        <v>8.4324982629171306</v>
      </c>
      <c r="AB88" s="11">
        <v>17.517304763681501</v>
      </c>
      <c r="AC88" s="11">
        <v>30.2008151433084</v>
      </c>
      <c r="AD88" s="11">
        <v>22.703387287978298</v>
      </c>
      <c r="AE88" s="11">
        <v>16.801141313614199</v>
      </c>
      <c r="AF88" s="11">
        <v>47.406634609596701</v>
      </c>
      <c r="AG88" s="11">
        <v>45.020835724940603</v>
      </c>
      <c r="AH88" s="11">
        <v>31.567622815404999</v>
      </c>
      <c r="AI88" s="11">
        <v>33.187881052973303</v>
      </c>
      <c r="AJ88" s="11">
        <v>30.4527369294923</v>
      </c>
      <c r="AK88" s="16">
        <v>1.5038082836264</v>
      </c>
      <c r="AL88" s="16">
        <v>2.8676680342658001</v>
      </c>
      <c r="AM88" s="26">
        <v>6.8232102348210399E-6</v>
      </c>
      <c r="AN88" s="27">
        <v>2.64703884671654E-5</v>
      </c>
      <c r="AO88" s="11">
        <v>11.217348547772</v>
      </c>
      <c r="AP88" s="11">
        <v>32.167631859663601</v>
      </c>
      <c r="AQ88" t="s">
        <v>5874</v>
      </c>
      <c r="AR88" t="s">
        <v>5876</v>
      </c>
      <c r="AS88" t="s">
        <v>1402</v>
      </c>
    </row>
    <row r="89" spans="1:45">
      <c r="A89" t="s">
        <v>3349</v>
      </c>
      <c r="B89" s="2">
        <v>21</v>
      </c>
      <c r="C89" s="2">
        <v>48</v>
      </c>
      <c r="D89" s="2">
        <v>61</v>
      </c>
      <c r="E89" s="2">
        <v>68</v>
      </c>
      <c r="F89" s="2">
        <v>73</v>
      </c>
      <c r="G89" s="2">
        <v>80</v>
      </c>
      <c r="H89" s="2">
        <v>39</v>
      </c>
      <c r="I89" s="2">
        <v>32</v>
      </c>
      <c r="J89" s="2">
        <v>3</v>
      </c>
      <c r="K89" s="2">
        <v>0</v>
      </c>
      <c r="L89" s="2">
        <v>13</v>
      </c>
      <c r="M89" s="2">
        <v>15</v>
      </c>
      <c r="N89" s="2">
        <v>8</v>
      </c>
      <c r="O89" s="2">
        <v>1</v>
      </c>
      <c r="P89" s="2">
        <v>12</v>
      </c>
      <c r="Q89" s="2">
        <v>28</v>
      </c>
      <c r="R89" s="2">
        <v>6</v>
      </c>
      <c r="S89" s="2">
        <v>3</v>
      </c>
      <c r="T89" s="2">
        <v>3</v>
      </c>
      <c r="U89" s="11">
        <v>25.444511312529301</v>
      </c>
      <c r="V89" s="11">
        <v>46.227077792517399</v>
      </c>
      <c r="W89" s="11">
        <v>97.648657370547696</v>
      </c>
      <c r="X89" s="11">
        <v>102.81067962242</v>
      </c>
      <c r="Y89" s="11">
        <v>62.792874275393103</v>
      </c>
      <c r="Z89" s="11">
        <v>74.378179731159307</v>
      </c>
      <c r="AA89" s="11">
        <v>41.108429031721002</v>
      </c>
      <c r="AB89" s="11">
        <v>31.1418751354338</v>
      </c>
      <c r="AC89" s="11">
        <v>2.3842748797348698</v>
      </c>
      <c r="AD89" s="11">
        <v>8.1984454095477108</v>
      </c>
      <c r="AE89" s="11">
        <v>12.0008152240101</v>
      </c>
      <c r="AF89" s="11">
        <v>6.7723763727995303</v>
      </c>
      <c r="AG89" s="11">
        <v>11.0255107897814</v>
      </c>
      <c r="AH89" s="11">
        <v>22.097335970783501</v>
      </c>
      <c r="AI89" s="11">
        <v>9.0512402871745401</v>
      </c>
      <c r="AJ89" s="11">
        <v>4.5679105394238499</v>
      </c>
      <c r="AK89" s="16">
        <v>-2.6225244328047599</v>
      </c>
      <c r="AL89" s="16">
        <v>-6.3280619350123199</v>
      </c>
      <c r="AM89" s="26">
        <v>5.6518716488343099E-10</v>
      </c>
      <c r="AN89" s="27">
        <v>8.2197872458046799E-9</v>
      </c>
      <c r="AO89" s="11">
        <v>60.194035533965199</v>
      </c>
      <c r="AP89" s="11">
        <v>9.5122386841569408</v>
      </c>
      <c r="AQ89" t="s">
        <v>5875</v>
      </c>
      <c r="AR89" t="s">
        <v>5876</v>
      </c>
      <c r="AS89" t="s">
        <v>3349</v>
      </c>
    </row>
    <row r="90" spans="1:45">
      <c r="A90" t="s">
        <v>5695</v>
      </c>
      <c r="B90" s="2">
        <v>38</v>
      </c>
      <c r="C90" s="2">
        <v>61.75</v>
      </c>
      <c r="D90" s="2">
        <v>15.75</v>
      </c>
      <c r="E90" s="2">
        <v>43.75</v>
      </c>
      <c r="F90" s="2">
        <v>90.748000000000005</v>
      </c>
      <c r="G90" s="2">
        <v>74.75</v>
      </c>
      <c r="H90" s="2">
        <v>34.75</v>
      </c>
      <c r="I90" s="2">
        <v>37.75</v>
      </c>
      <c r="J90" s="2">
        <v>0</v>
      </c>
      <c r="K90" s="2">
        <v>0</v>
      </c>
      <c r="L90" s="2">
        <v>21</v>
      </c>
      <c r="M90" s="2">
        <v>4</v>
      </c>
      <c r="N90" s="2">
        <v>2</v>
      </c>
      <c r="O90" s="2">
        <v>9</v>
      </c>
      <c r="P90" s="2">
        <v>2</v>
      </c>
      <c r="Q90" s="2">
        <v>24</v>
      </c>
      <c r="R90" s="2">
        <v>28.75</v>
      </c>
      <c r="S90" s="2">
        <v>5</v>
      </c>
      <c r="T90" s="2">
        <v>16</v>
      </c>
      <c r="U90" s="11">
        <v>46.042449041719699</v>
      </c>
      <c r="V90" s="11">
        <v>59.517362657866201</v>
      </c>
      <c r="W90" s="11">
        <v>25.292603056633698</v>
      </c>
      <c r="X90" s="11">
        <v>66.222173050911493</v>
      </c>
      <c r="Y90" s="11">
        <v>78.017995846276094</v>
      </c>
      <c r="Z90" s="11">
        <v>69.543598048633896</v>
      </c>
      <c r="AA90" s="11">
        <v>36.681367443689503</v>
      </c>
      <c r="AB90" s="11">
        <v>36.786340003731198</v>
      </c>
      <c r="AC90" s="11">
        <v>0.19868957331123899</v>
      </c>
      <c r="AD90" s="11">
        <v>13.243642584653999</v>
      </c>
      <c r="AE90" s="11">
        <v>3.2002173930693698</v>
      </c>
      <c r="AF90" s="11">
        <v>1.6930940931998799</v>
      </c>
      <c r="AG90" s="11">
        <v>1.8375851316302301</v>
      </c>
      <c r="AH90" s="11">
        <v>18.940573689242999</v>
      </c>
      <c r="AI90" s="11">
        <v>43.4459533784378</v>
      </c>
      <c r="AJ90" s="11">
        <v>24.3621895435939</v>
      </c>
      <c r="AK90" s="16">
        <v>-1.9990024356246401</v>
      </c>
      <c r="AL90" s="16">
        <v>-3.9103655253896199</v>
      </c>
      <c r="AM90" s="26">
        <v>1.1961017343789699E-3</v>
      </c>
      <c r="AN90" s="27">
        <v>2.6235805255722402E-3</v>
      </c>
      <c r="AO90" s="11">
        <v>52.262986143682703</v>
      </c>
      <c r="AP90" s="11">
        <v>13.3652431733924</v>
      </c>
      <c r="AQ90" t="s">
        <v>5875</v>
      </c>
      <c r="AR90" t="s">
        <v>5876</v>
      </c>
      <c r="AS90" t="s">
        <v>5695</v>
      </c>
    </row>
    <row r="91" spans="1:45">
      <c r="A91" t="s">
        <v>2981</v>
      </c>
      <c r="B91" s="2">
        <v>49</v>
      </c>
      <c r="C91" s="2">
        <v>78</v>
      </c>
      <c r="D91" s="2">
        <v>73</v>
      </c>
      <c r="E91" s="2">
        <v>65</v>
      </c>
      <c r="F91" s="2">
        <v>69</v>
      </c>
      <c r="G91" s="2">
        <v>33</v>
      </c>
      <c r="H91" s="2">
        <v>45</v>
      </c>
      <c r="I91" s="2">
        <v>27</v>
      </c>
      <c r="J91" s="2">
        <v>1</v>
      </c>
      <c r="K91" s="2">
        <v>0</v>
      </c>
      <c r="L91" s="2">
        <v>4</v>
      </c>
      <c r="M91" s="2">
        <v>12</v>
      </c>
      <c r="N91" s="2">
        <v>7</v>
      </c>
      <c r="O91" s="2">
        <v>0</v>
      </c>
      <c r="P91" s="2">
        <v>9</v>
      </c>
      <c r="Q91" s="2">
        <v>14</v>
      </c>
      <c r="R91" s="2">
        <v>0</v>
      </c>
      <c r="S91" s="2">
        <v>0</v>
      </c>
      <c r="T91" s="2">
        <v>6</v>
      </c>
      <c r="U91" s="11">
        <v>59.370526395901699</v>
      </c>
      <c r="V91" s="11">
        <v>75.119001412840802</v>
      </c>
      <c r="W91" s="11">
        <v>116.85822931229499</v>
      </c>
      <c r="X91" s="11">
        <v>98.274914344959896</v>
      </c>
      <c r="Y91" s="11">
        <v>59.3521688356456</v>
      </c>
      <c r="Z91" s="11">
        <v>30.6809991391032</v>
      </c>
      <c r="AA91" s="11">
        <v>47.432802728908797</v>
      </c>
      <c r="AB91" s="11">
        <v>26.275957145522302</v>
      </c>
      <c r="AC91" s="11">
        <v>0.79475829324495695</v>
      </c>
      <c r="AD91" s="11">
        <v>2.5225985875531398</v>
      </c>
      <c r="AE91" s="11">
        <v>9.6006521792081099</v>
      </c>
      <c r="AF91" s="11">
        <v>5.9258293261995796</v>
      </c>
      <c r="AG91" s="11">
        <v>8.2691330923360304</v>
      </c>
      <c r="AH91" s="11">
        <v>11.048667985391701</v>
      </c>
      <c r="AI91" s="11">
        <v>0.377135011965606</v>
      </c>
      <c r="AJ91" s="11">
        <v>9.1358210788476999</v>
      </c>
      <c r="AK91" s="16">
        <v>-3.3900001400155002</v>
      </c>
      <c r="AL91" s="16">
        <v>-10.7680955305779</v>
      </c>
      <c r="AM91" s="26">
        <v>1.6066307428016601E-12</v>
      </c>
      <c r="AN91" s="27">
        <v>4.6736805526667397E-11</v>
      </c>
      <c r="AO91" s="11">
        <v>64.170574914397207</v>
      </c>
      <c r="AP91" s="11">
        <v>5.9593244443433599</v>
      </c>
      <c r="AQ91" t="s">
        <v>5875</v>
      </c>
      <c r="AR91" t="s">
        <v>5876</v>
      </c>
      <c r="AS91" t="s">
        <v>2981</v>
      </c>
    </row>
    <row r="92" spans="1:45">
      <c r="A92" t="s">
        <v>3037</v>
      </c>
      <c r="B92" s="2">
        <v>29</v>
      </c>
      <c r="C92" s="2">
        <v>46</v>
      </c>
      <c r="D92" s="2">
        <v>32</v>
      </c>
      <c r="E92" s="2">
        <v>44</v>
      </c>
      <c r="F92" s="2">
        <v>42</v>
      </c>
      <c r="G92" s="2">
        <v>34</v>
      </c>
      <c r="H92" s="2">
        <v>33</v>
      </c>
      <c r="I92" s="2">
        <v>21</v>
      </c>
      <c r="J92" s="2">
        <v>27</v>
      </c>
      <c r="K92" s="2">
        <v>10</v>
      </c>
      <c r="L92" s="2">
        <v>20</v>
      </c>
      <c r="M92" s="2">
        <v>31</v>
      </c>
      <c r="N92" s="2">
        <v>23</v>
      </c>
      <c r="O92" s="2">
        <v>10</v>
      </c>
      <c r="P92" s="2">
        <v>24</v>
      </c>
      <c r="Q92" s="2">
        <v>20</v>
      </c>
      <c r="R92" s="2">
        <v>15</v>
      </c>
      <c r="S92" s="2">
        <v>13</v>
      </c>
      <c r="T92" s="2">
        <v>18</v>
      </c>
      <c r="U92" s="11">
        <v>35.137658479207097</v>
      </c>
      <c r="V92" s="11">
        <v>44.300949551162603</v>
      </c>
      <c r="W92" s="11">
        <v>51.225525177992203</v>
      </c>
      <c r="X92" s="11">
        <v>66.524557402742104</v>
      </c>
      <c r="Y92" s="11">
        <v>36.127407117349499</v>
      </c>
      <c r="Z92" s="11">
        <v>31.610726385742701</v>
      </c>
      <c r="AA92" s="11">
        <v>34.7840553345331</v>
      </c>
      <c r="AB92" s="11">
        <v>20.436855557628402</v>
      </c>
      <c r="AC92" s="11">
        <v>21.458473917613802</v>
      </c>
      <c r="AD92" s="11">
        <v>12.6129929377657</v>
      </c>
      <c r="AE92" s="11">
        <v>24.801684796287599</v>
      </c>
      <c r="AF92" s="11">
        <v>19.470582071798599</v>
      </c>
      <c r="AG92" s="11">
        <v>22.0510215795627</v>
      </c>
      <c r="AH92" s="11">
        <v>15.783811407702499</v>
      </c>
      <c r="AI92" s="11">
        <v>22.628100717936299</v>
      </c>
      <c r="AJ92" s="11">
        <v>27.407463236543101</v>
      </c>
      <c r="AK92" s="16">
        <v>-0.94483358082319102</v>
      </c>
      <c r="AL92" s="16">
        <v>-1.92611623166505</v>
      </c>
      <c r="AM92" s="26">
        <v>1.19235617855923E-3</v>
      </c>
      <c r="AN92" s="27">
        <v>2.6235805255722402E-3</v>
      </c>
      <c r="AO92" s="11">
        <v>40.018466875794701</v>
      </c>
      <c r="AP92" s="11">
        <v>20.776766333151301</v>
      </c>
      <c r="AQ92" t="s">
        <v>5875</v>
      </c>
      <c r="AR92" t="s">
        <v>5876</v>
      </c>
      <c r="AS92" t="s">
        <v>3037</v>
      </c>
    </row>
    <row r="93" spans="1:45">
      <c r="A93" t="s">
        <v>5797</v>
      </c>
      <c r="B93" s="2">
        <v>25</v>
      </c>
      <c r="C93" s="2">
        <v>47</v>
      </c>
      <c r="D93" s="2">
        <v>29</v>
      </c>
      <c r="E93" s="2">
        <v>36</v>
      </c>
      <c r="F93" s="2">
        <v>40</v>
      </c>
      <c r="G93" s="2">
        <v>35</v>
      </c>
      <c r="H93" s="2">
        <v>32</v>
      </c>
      <c r="I93" s="2">
        <v>19</v>
      </c>
      <c r="J93" s="2">
        <v>17</v>
      </c>
      <c r="K93" s="2">
        <v>11</v>
      </c>
      <c r="L93" s="2">
        <v>19</v>
      </c>
      <c r="M93" s="2">
        <v>27</v>
      </c>
      <c r="N93" s="2">
        <v>26</v>
      </c>
      <c r="O93" s="2">
        <v>21</v>
      </c>
      <c r="P93" s="2">
        <v>9</v>
      </c>
      <c r="Q93" s="2">
        <v>23</v>
      </c>
      <c r="R93" s="2">
        <v>25</v>
      </c>
      <c r="S93" s="2">
        <v>10</v>
      </c>
      <c r="T93" s="2">
        <v>34</v>
      </c>
      <c r="U93" s="11">
        <v>30.291084895868199</v>
      </c>
      <c r="V93" s="11">
        <v>45.264013671839997</v>
      </c>
      <c r="W93" s="11">
        <v>46.423132192555499</v>
      </c>
      <c r="X93" s="11">
        <v>54.429183329516299</v>
      </c>
      <c r="Y93" s="11">
        <v>34.407054397475697</v>
      </c>
      <c r="Z93" s="11">
        <v>32.540453632382203</v>
      </c>
      <c r="AA93" s="11">
        <v>33.729993051668501</v>
      </c>
      <c r="AB93" s="11">
        <v>18.4904883616638</v>
      </c>
      <c r="AC93" s="11">
        <v>13.5108909851643</v>
      </c>
      <c r="AD93" s="11">
        <v>11.982343290877401</v>
      </c>
      <c r="AE93" s="11">
        <v>21.601467403218301</v>
      </c>
      <c r="AF93" s="11">
        <v>22.0102232115985</v>
      </c>
      <c r="AG93" s="11">
        <v>8.2691330923360304</v>
      </c>
      <c r="AH93" s="11">
        <v>18.1513831188579</v>
      </c>
      <c r="AI93" s="11">
        <v>37.7135011965606</v>
      </c>
      <c r="AJ93" s="11">
        <v>51.769652780137001</v>
      </c>
      <c r="AK93" s="16">
        <v>-0.70544603305359099</v>
      </c>
      <c r="AL93" s="16">
        <v>-1.5976306582251301</v>
      </c>
      <c r="AM93" s="26">
        <v>6.3122869068544293E-2</v>
      </c>
      <c r="AN93" s="27">
        <v>9.4472481894532806E-2</v>
      </c>
      <c r="AO93" s="11">
        <v>36.946925441621303</v>
      </c>
      <c r="AP93" s="11">
        <v>23.126074384843701</v>
      </c>
      <c r="AQ93" t="s">
        <v>5875</v>
      </c>
      <c r="AR93" t="s">
        <v>5877</v>
      </c>
      <c r="AS93" t="s">
        <v>5797</v>
      </c>
    </row>
    <row r="94" spans="1:45">
      <c r="A94" t="s">
        <v>5755</v>
      </c>
      <c r="B94" s="2">
        <v>10</v>
      </c>
      <c r="C94" s="2">
        <v>5</v>
      </c>
      <c r="D94" s="2">
        <v>5</v>
      </c>
      <c r="E94" s="2">
        <v>3</v>
      </c>
      <c r="F94" s="2">
        <v>10</v>
      </c>
      <c r="G94" s="2">
        <v>5</v>
      </c>
      <c r="H94" s="2">
        <v>5</v>
      </c>
      <c r="I94" s="2">
        <v>7</v>
      </c>
      <c r="J94" s="2">
        <v>44</v>
      </c>
      <c r="K94" s="2">
        <v>22</v>
      </c>
      <c r="L94" s="2">
        <v>57</v>
      </c>
      <c r="M94" s="2">
        <v>57</v>
      </c>
      <c r="N94" s="2">
        <v>49</v>
      </c>
      <c r="O94" s="2">
        <v>3</v>
      </c>
      <c r="P94" s="2">
        <v>21</v>
      </c>
      <c r="Q94" s="2">
        <v>62</v>
      </c>
      <c r="R94" s="2">
        <v>44</v>
      </c>
      <c r="S94" s="2">
        <v>18</v>
      </c>
      <c r="T94" s="2">
        <v>50</v>
      </c>
      <c r="U94" s="11">
        <v>12.116433958347301</v>
      </c>
      <c r="V94" s="11">
        <v>4.8153206033872298</v>
      </c>
      <c r="W94" s="11">
        <v>8.00398830906129</v>
      </c>
      <c r="X94" s="11">
        <v>4.5357652774596904</v>
      </c>
      <c r="Y94" s="11">
        <v>8.6017635993689208</v>
      </c>
      <c r="Z94" s="11">
        <v>4.6486362331974602</v>
      </c>
      <c r="AA94" s="11">
        <v>5.2703114143232002</v>
      </c>
      <c r="AB94" s="11">
        <v>6.8122851858761404</v>
      </c>
      <c r="AC94" s="11">
        <v>34.969364902778103</v>
      </c>
      <c r="AD94" s="11">
        <v>35.947029872632299</v>
      </c>
      <c r="AE94" s="11">
        <v>45.603097851238502</v>
      </c>
      <c r="AF94" s="11">
        <v>41.480805283397103</v>
      </c>
      <c r="AG94" s="11">
        <v>19.294643882117398</v>
      </c>
      <c r="AH94" s="11">
        <v>48.9298153638778</v>
      </c>
      <c r="AI94" s="11">
        <v>66.375762105946606</v>
      </c>
      <c r="AJ94" s="11">
        <v>76.131842323730794</v>
      </c>
      <c r="AK94" s="16">
        <v>2.7194148741142201</v>
      </c>
      <c r="AL94" s="16">
        <v>6.7281396740042902</v>
      </c>
      <c r="AM94" s="26">
        <v>7.4082114027294003E-14</v>
      </c>
      <c r="AN94" s="27">
        <v>2.9153490755446899E-12</v>
      </c>
      <c r="AO94" s="11">
        <v>6.8505630726276499</v>
      </c>
      <c r="AP94" s="11">
        <v>46.091545198214803</v>
      </c>
      <c r="AQ94" t="s">
        <v>5874</v>
      </c>
      <c r="AR94" t="s">
        <v>5876</v>
      </c>
      <c r="AS94" t="s">
        <v>5755</v>
      </c>
    </row>
    <row r="95" spans="1:45">
      <c r="A95" t="s">
        <v>3647</v>
      </c>
      <c r="B95" s="2">
        <v>32</v>
      </c>
      <c r="C95" s="2">
        <v>27</v>
      </c>
      <c r="D95" s="2">
        <v>24</v>
      </c>
      <c r="E95" s="2">
        <v>9</v>
      </c>
      <c r="F95" s="2">
        <v>27</v>
      </c>
      <c r="G95" s="2">
        <v>39</v>
      </c>
      <c r="H95" s="2">
        <v>44</v>
      </c>
      <c r="I95" s="2">
        <v>34</v>
      </c>
      <c r="J95" s="2">
        <v>22</v>
      </c>
      <c r="K95" s="2">
        <v>2</v>
      </c>
      <c r="L95" s="2">
        <v>45</v>
      </c>
      <c r="M95" s="2">
        <v>27</v>
      </c>
      <c r="N95" s="2">
        <v>35</v>
      </c>
      <c r="O95" s="2">
        <v>6</v>
      </c>
      <c r="P95" s="2">
        <v>21</v>
      </c>
      <c r="Q95" s="2">
        <v>33</v>
      </c>
      <c r="R95" s="2">
        <v>15</v>
      </c>
      <c r="S95" s="2">
        <v>13</v>
      </c>
      <c r="T95" s="2">
        <v>21</v>
      </c>
      <c r="U95" s="11">
        <v>38.7725886667113</v>
      </c>
      <c r="V95" s="11">
        <v>26.002731258291099</v>
      </c>
      <c r="W95" s="11">
        <v>38.419143883494201</v>
      </c>
      <c r="X95" s="11">
        <v>13.6072958323791</v>
      </c>
      <c r="Y95" s="11">
        <v>23.224761718296101</v>
      </c>
      <c r="Z95" s="11">
        <v>36.259362618940202</v>
      </c>
      <c r="AA95" s="11">
        <v>46.378740446044198</v>
      </c>
      <c r="AB95" s="11">
        <v>33.088242331398398</v>
      </c>
      <c r="AC95" s="11">
        <v>17.484682451389101</v>
      </c>
      <c r="AD95" s="11">
        <v>28.379234109972899</v>
      </c>
      <c r="AE95" s="11">
        <v>21.601467403218301</v>
      </c>
      <c r="AF95" s="11">
        <v>29.629146630997901</v>
      </c>
      <c r="AG95" s="11">
        <v>19.294643882117398</v>
      </c>
      <c r="AH95" s="11">
        <v>26.043288822709101</v>
      </c>
      <c r="AI95" s="11">
        <v>22.628100717936299</v>
      </c>
      <c r="AJ95" s="11">
        <v>31.975373775967</v>
      </c>
      <c r="AK95" s="16">
        <v>-0.38139531088371398</v>
      </c>
      <c r="AL95" s="16">
        <v>-1.29800111400258</v>
      </c>
      <c r="AM95" s="26">
        <v>0.18677242826439899</v>
      </c>
      <c r="AN95" s="27">
        <v>0.24791816370810099</v>
      </c>
      <c r="AO95" s="11">
        <v>31.969108344444301</v>
      </c>
      <c r="AP95" s="11">
        <v>24.629492224288501</v>
      </c>
      <c r="AQ95" t="s">
        <v>5875</v>
      </c>
      <c r="AR95" t="s">
        <v>5832</v>
      </c>
      <c r="AS95" t="s">
        <v>3647</v>
      </c>
    </row>
    <row r="96" spans="1:45">
      <c r="A96" t="s">
        <v>551</v>
      </c>
      <c r="B96" s="2">
        <v>0</v>
      </c>
      <c r="C96" s="2">
        <v>0</v>
      </c>
      <c r="D96" s="2">
        <v>0</v>
      </c>
      <c r="E96" s="2">
        <v>0</v>
      </c>
      <c r="F96" s="2">
        <v>0.2</v>
      </c>
      <c r="G96" s="2">
        <v>0</v>
      </c>
      <c r="H96" s="2">
        <v>14.619</v>
      </c>
      <c r="I96" s="2">
        <v>9.2309999999999999</v>
      </c>
      <c r="J96" s="2">
        <v>38.615000000000002</v>
      </c>
      <c r="K96" s="2">
        <v>23.954999999999998</v>
      </c>
      <c r="L96" s="2">
        <v>55.12</v>
      </c>
      <c r="M96" s="2">
        <v>33.692</v>
      </c>
      <c r="N96" s="2">
        <v>23.41</v>
      </c>
      <c r="O96" s="2">
        <v>0</v>
      </c>
      <c r="P96" s="2">
        <v>129.37100000000001</v>
      </c>
      <c r="Q96" s="2">
        <v>97.283000000000001</v>
      </c>
      <c r="R96" s="2">
        <v>7.8570000000000002</v>
      </c>
      <c r="S96" s="2">
        <v>11.455</v>
      </c>
      <c r="T96" s="2">
        <v>19.783000000000001</v>
      </c>
      <c r="U96" s="11">
        <v>0.30291084895868198</v>
      </c>
      <c r="V96" s="11">
        <v>0.24076603016936199</v>
      </c>
      <c r="W96" s="11">
        <v>0.40019941545306398</v>
      </c>
      <c r="X96" s="11">
        <v>0.37798043978830698</v>
      </c>
      <c r="Y96" s="11">
        <v>0.172035271987378</v>
      </c>
      <c r="Z96" s="11">
        <v>0.23243181165987301</v>
      </c>
      <c r="AA96" s="11">
        <v>15.389309329823799</v>
      </c>
      <c r="AB96" s="11">
        <v>8.9532891014372105</v>
      </c>
      <c r="AC96" s="11">
        <v>30.677670119255399</v>
      </c>
      <c r="AD96" s="11">
        <v>34.748795543544503</v>
      </c>
      <c r="AE96" s="11">
        <v>26.961831536609498</v>
      </c>
      <c r="AF96" s="11">
        <v>19.8092008904386</v>
      </c>
      <c r="AG96" s="11">
        <v>118.891758016476</v>
      </c>
      <c r="AH96" s="11">
        <v>76.788242498472698</v>
      </c>
      <c r="AI96" s="11">
        <v>11.917466378113099</v>
      </c>
      <c r="AJ96" s="11">
        <v>30.148209560197401</v>
      </c>
      <c r="AK96" s="16">
        <v>3.6702855935374799</v>
      </c>
      <c r="AL96" s="16">
        <v>13.4237683935247</v>
      </c>
      <c r="AM96" s="26">
        <v>2.03661931046549E-6</v>
      </c>
      <c r="AN96" s="27">
        <v>8.9052177692902903E-6</v>
      </c>
      <c r="AO96" s="11">
        <v>3.2586152811596998</v>
      </c>
      <c r="AP96" s="11">
        <v>43.742896817888401</v>
      </c>
      <c r="AQ96" t="s">
        <v>5874</v>
      </c>
      <c r="AR96" t="s">
        <v>5876</v>
      </c>
      <c r="AS96" t="s">
        <v>551</v>
      </c>
    </row>
    <row r="97" spans="1:45">
      <c r="A97" t="s">
        <v>4838</v>
      </c>
      <c r="B97" s="2">
        <v>68.882999999999996</v>
      </c>
      <c r="C97" s="2">
        <v>25.780999999999999</v>
      </c>
      <c r="D97" s="2">
        <v>14.737</v>
      </c>
      <c r="E97" s="2">
        <v>10</v>
      </c>
      <c r="F97" s="2">
        <v>46</v>
      </c>
      <c r="G97" s="2">
        <v>29.879000000000001</v>
      </c>
      <c r="H97" s="2">
        <v>30</v>
      </c>
      <c r="I97" s="2">
        <v>30.968</v>
      </c>
      <c r="J97" s="2">
        <v>21</v>
      </c>
      <c r="K97" s="2">
        <v>2</v>
      </c>
      <c r="L97" s="2">
        <v>32</v>
      </c>
      <c r="M97" s="2">
        <v>29.673999999999999</v>
      </c>
      <c r="N97" s="2">
        <v>11</v>
      </c>
      <c r="O97" s="2">
        <v>6</v>
      </c>
      <c r="P97" s="2">
        <v>17</v>
      </c>
      <c r="Q97" s="2">
        <v>30.75</v>
      </c>
      <c r="R97" s="2">
        <v>26.838999999999999</v>
      </c>
      <c r="S97" s="2">
        <v>4.444</v>
      </c>
      <c r="T97" s="2">
        <v>25.780999999999999</v>
      </c>
      <c r="U97" s="11">
        <v>83.482229973012807</v>
      </c>
      <c r="V97" s="11">
        <v>24.8470543134781</v>
      </c>
      <c r="W97" s="11">
        <v>23.531725628640199</v>
      </c>
      <c r="X97" s="11">
        <v>15.119217591532299</v>
      </c>
      <c r="Y97" s="11">
        <v>39.568112557097002</v>
      </c>
      <c r="Z97" s="11">
        <v>27.798844674520801</v>
      </c>
      <c r="AA97" s="11">
        <v>31.621868485939199</v>
      </c>
      <c r="AB97" s="11">
        <v>30.168691537451501</v>
      </c>
      <c r="AC97" s="11">
        <v>16.689924158144098</v>
      </c>
      <c r="AD97" s="11">
        <v>20.180788700425101</v>
      </c>
      <c r="AE97" s="11">
        <v>23.7616141435401</v>
      </c>
      <c r="AF97" s="11">
        <v>9.3120175125993505</v>
      </c>
      <c r="AG97" s="11">
        <v>15.619473618856899</v>
      </c>
      <c r="AH97" s="11">
        <v>24.307069567861799</v>
      </c>
      <c r="AI97" s="11">
        <v>40.4288732827129</v>
      </c>
      <c r="AJ97" s="11">
        <v>39.284030639045099</v>
      </c>
      <c r="AK97" s="16">
        <v>-0.56818829930706005</v>
      </c>
      <c r="AL97" s="16">
        <v>-1.4565472206111401</v>
      </c>
      <c r="AM97" s="26">
        <v>0.147653311506246</v>
      </c>
      <c r="AN97" s="27">
        <v>0.19955568767207699</v>
      </c>
      <c r="AO97" s="11">
        <v>34.517218095209003</v>
      </c>
      <c r="AP97" s="11">
        <v>23.697973952898199</v>
      </c>
      <c r="AQ97" t="s">
        <v>5875</v>
      </c>
      <c r="AR97" t="s">
        <v>5832</v>
      </c>
      <c r="AS97" t="s">
        <v>4838</v>
      </c>
    </row>
    <row r="98" spans="1:45">
      <c r="A98" t="s">
        <v>301</v>
      </c>
      <c r="B98" s="2">
        <v>17</v>
      </c>
      <c r="C98" s="2">
        <v>8</v>
      </c>
      <c r="D98" s="2">
        <v>7</v>
      </c>
      <c r="E98" s="2">
        <v>11</v>
      </c>
      <c r="F98" s="2">
        <v>8</v>
      </c>
      <c r="G98" s="2">
        <v>6</v>
      </c>
      <c r="H98" s="2">
        <v>16</v>
      </c>
      <c r="I98" s="2">
        <v>9</v>
      </c>
      <c r="J98" s="2">
        <v>52</v>
      </c>
      <c r="K98" s="2">
        <v>11</v>
      </c>
      <c r="L98" s="2">
        <v>66</v>
      </c>
      <c r="M98" s="2">
        <v>35</v>
      </c>
      <c r="N98" s="2">
        <v>28</v>
      </c>
      <c r="O98" s="2">
        <v>3</v>
      </c>
      <c r="P98" s="2">
        <v>26</v>
      </c>
      <c r="Q98" s="2">
        <v>59</v>
      </c>
      <c r="R98" s="2">
        <v>28</v>
      </c>
      <c r="S98" s="2">
        <v>4</v>
      </c>
      <c r="T98" s="2">
        <v>64</v>
      </c>
      <c r="U98" s="11">
        <v>20.597937729190399</v>
      </c>
      <c r="V98" s="11">
        <v>7.7045129654195703</v>
      </c>
      <c r="W98" s="11">
        <v>11.2055836326858</v>
      </c>
      <c r="X98" s="11">
        <v>16.631139350685501</v>
      </c>
      <c r="Y98" s="11">
        <v>6.8814108794951396</v>
      </c>
      <c r="Z98" s="11">
        <v>5.5783634798369501</v>
      </c>
      <c r="AA98" s="11">
        <v>16.8649965258343</v>
      </c>
      <c r="AB98" s="11">
        <v>8.7586523818407507</v>
      </c>
      <c r="AC98" s="11">
        <v>41.327431248737803</v>
      </c>
      <c r="AD98" s="11">
        <v>41.622876694626903</v>
      </c>
      <c r="AE98" s="11">
        <v>28.001902189357001</v>
      </c>
      <c r="AF98" s="11">
        <v>23.703317304798301</v>
      </c>
      <c r="AG98" s="11">
        <v>23.888606711192999</v>
      </c>
      <c r="AH98" s="11">
        <v>46.562243652722401</v>
      </c>
      <c r="AI98" s="11">
        <v>42.239121340147797</v>
      </c>
      <c r="AJ98" s="11">
        <v>97.448758174375499</v>
      </c>
      <c r="AK98" s="16">
        <v>1.8704321907920101</v>
      </c>
      <c r="AL98" s="16">
        <v>3.6593584606595599</v>
      </c>
      <c r="AM98" s="26">
        <v>1.2366994444173499E-6</v>
      </c>
      <c r="AN98" s="27">
        <v>5.9953038283710596E-6</v>
      </c>
      <c r="AO98" s="11">
        <v>11.7778246181235</v>
      </c>
      <c r="AP98" s="11">
        <v>43.099282164494802</v>
      </c>
      <c r="AQ98" t="s">
        <v>5874</v>
      </c>
      <c r="AR98" t="s">
        <v>5876</v>
      </c>
      <c r="AS98" t="s">
        <v>301</v>
      </c>
    </row>
    <row r="99" spans="1:45">
      <c r="A99" t="s">
        <v>729</v>
      </c>
      <c r="B99" s="2">
        <v>22</v>
      </c>
      <c r="C99" s="2">
        <v>35</v>
      </c>
      <c r="D99" s="2">
        <v>23</v>
      </c>
      <c r="E99" s="2">
        <v>29</v>
      </c>
      <c r="F99" s="2">
        <v>43</v>
      </c>
      <c r="G99" s="2">
        <v>58</v>
      </c>
      <c r="H99" s="2">
        <v>41</v>
      </c>
      <c r="I99" s="2">
        <v>26</v>
      </c>
      <c r="J99" s="2">
        <v>4</v>
      </c>
      <c r="K99" s="2">
        <v>0</v>
      </c>
      <c r="L99" s="2">
        <v>12</v>
      </c>
      <c r="M99" s="2">
        <v>11</v>
      </c>
      <c r="N99" s="2">
        <v>9</v>
      </c>
      <c r="O99" s="2">
        <v>6</v>
      </c>
      <c r="P99" s="2">
        <v>1</v>
      </c>
      <c r="Q99" s="2">
        <v>10</v>
      </c>
      <c r="R99" s="2">
        <v>110</v>
      </c>
      <c r="S99" s="2">
        <v>6</v>
      </c>
      <c r="T99" s="2">
        <v>8</v>
      </c>
      <c r="U99" s="11">
        <v>26.656154708363999</v>
      </c>
      <c r="V99" s="11">
        <v>33.707244223710603</v>
      </c>
      <c r="W99" s="11">
        <v>36.8183462216819</v>
      </c>
      <c r="X99" s="11">
        <v>43.845731015443697</v>
      </c>
      <c r="Y99" s="11">
        <v>36.9875834772864</v>
      </c>
      <c r="Z99" s="11">
        <v>53.924180305090502</v>
      </c>
      <c r="AA99" s="11">
        <v>43.2165535974503</v>
      </c>
      <c r="AB99" s="11">
        <v>25.302773547539999</v>
      </c>
      <c r="AC99" s="11">
        <v>3.17903317297983</v>
      </c>
      <c r="AD99" s="11">
        <v>7.5677957626594301</v>
      </c>
      <c r="AE99" s="11">
        <v>8.8005978309407702</v>
      </c>
      <c r="AF99" s="11">
        <v>7.6189234193994704</v>
      </c>
      <c r="AG99" s="11">
        <v>0.91879256581511404</v>
      </c>
      <c r="AH99" s="11">
        <v>7.8919057038512497</v>
      </c>
      <c r="AI99" s="11">
        <v>165.93940526486699</v>
      </c>
      <c r="AJ99" s="11">
        <v>12.1810947717969</v>
      </c>
      <c r="AK99" s="16">
        <v>-0.51163966115341397</v>
      </c>
      <c r="AL99" s="16">
        <v>-1.40337229086656</v>
      </c>
      <c r="AM99" s="26">
        <v>0.47794811704460899</v>
      </c>
      <c r="AN99" s="27">
        <v>0.55705102840216603</v>
      </c>
      <c r="AO99" s="11">
        <v>37.557320887070901</v>
      </c>
      <c r="AP99" s="11">
        <v>26.762193561538702</v>
      </c>
      <c r="AQ99" t="s">
        <v>5875</v>
      </c>
      <c r="AR99" t="s">
        <v>5832</v>
      </c>
      <c r="AS99" t="s">
        <v>729</v>
      </c>
    </row>
    <row r="100" spans="1:45">
      <c r="A100" t="s">
        <v>3254</v>
      </c>
      <c r="B100" s="2">
        <v>43</v>
      </c>
      <c r="C100" s="2">
        <v>82</v>
      </c>
      <c r="D100" s="2">
        <v>33</v>
      </c>
      <c r="E100" s="2">
        <v>49</v>
      </c>
      <c r="F100" s="2">
        <v>48</v>
      </c>
      <c r="G100" s="2">
        <v>38</v>
      </c>
      <c r="H100" s="2">
        <v>64</v>
      </c>
      <c r="I100" s="2">
        <v>31</v>
      </c>
      <c r="J100" s="2">
        <v>3</v>
      </c>
      <c r="K100" s="2">
        <v>0</v>
      </c>
      <c r="L100" s="2">
        <v>10</v>
      </c>
      <c r="M100" s="2">
        <v>6</v>
      </c>
      <c r="N100" s="2">
        <v>5</v>
      </c>
      <c r="O100" s="2">
        <v>3</v>
      </c>
      <c r="P100" s="2">
        <v>6</v>
      </c>
      <c r="Q100" s="2">
        <v>13</v>
      </c>
      <c r="R100" s="2">
        <v>0</v>
      </c>
      <c r="S100" s="2">
        <v>1</v>
      </c>
      <c r="T100" s="2">
        <v>17</v>
      </c>
      <c r="U100" s="11">
        <v>52.100666020893399</v>
      </c>
      <c r="V100" s="11">
        <v>78.971257895550593</v>
      </c>
      <c r="W100" s="11">
        <v>52.826322839804497</v>
      </c>
      <c r="X100" s="11">
        <v>74.084166198508299</v>
      </c>
      <c r="Y100" s="11">
        <v>41.288465276970797</v>
      </c>
      <c r="Z100" s="11">
        <v>35.3296353723007</v>
      </c>
      <c r="AA100" s="11">
        <v>67.459986103337002</v>
      </c>
      <c r="AB100" s="11">
        <v>30.168691537451501</v>
      </c>
      <c r="AC100" s="11">
        <v>2.3842748797348698</v>
      </c>
      <c r="AD100" s="11">
        <v>6.3064964688828598</v>
      </c>
      <c r="AE100" s="11">
        <v>4.8003260896040603</v>
      </c>
      <c r="AF100" s="11">
        <v>4.2327352329997003</v>
      </c>
      <c r="AG100" s="11">
        <v>5.5127553948906796</v>
      </c>
      <c r="AH100" s="11">
        <v>10.2594774150066</v>
      </c>
      <c r="AI100" s="11">
        <v>0.377135011965606</v>
      </c>
      <c r="AJ100" s="11">
        <v>25.884826390068501</v>
      </c>
      <c r="AK100" s="16">
        <v>-2.88669301714233</v>
      </c>
      <c r="AL100" s="16">
        <v>-7.2329896716631996</v>
      </c>
      <c r="AM100" s="26">
        <v>6.7562825071215798E-10</v>
      </c>
      <c r="AN100" s="27">
        <v>9.2243938719680404E-9</v>
      </c>
      <c r="AO100" s="11">
        <v>54.028648905602097</v>
      </c>
      <c r="AP100" s="11">
        <v>7.46975336039411</v>
      </c>
      <c r="AQ100" t="s">
        <v>5875</v>
      </c>
      <c r="AR100" t="s">
        <v>5876</v>
      </c>
      <c r="AS100" t="s">
        <v>3254</v>
      </c>
    </row>
    <row r="101" spans="1:45">
      <c r="A101" t="s">
        <v>5688</v>
      </c>
      <c r="B101" s="2">
        <v>12.913</v>
      </c>
      <c r="C101" s="2">
        <v>21.137</v>
      </c>
      <c r="D101" s="2">
        <v>5.4820000000000002</v>
      </c>
      <c r="E101" s="2">
        <v>19.257999999999999</v>
      </c>
      <c r="F101" s="2">
        <v>31.55</v>
      </c>
      <c r="G101" s="2">
        <v>28.722999999999999</v>
      </c>
      <c r="H101" s="2">
        <v>12.999000000000001</v>
      </c>
      <c r="I101" s="2">
        <v>15.896000000000001</v>
      </c>
      <c r="J101" s="2">
        <v>36.756</v>
      </c>
      <c r="K101" s="2">
        <v>7.7930000000000001</v>
      </c>
      <c r="L101" s="2">
        <v>50.704999999999998</v>
      </c>
      <c r="M101" s="2">
        <v>35.686999999999998</v>
      </c>
      <c r="N101" s="2">
        <v>30.533000000000001</v>
      </c>
      <c r="O101" s="2">
        <v>7.7930000000000001</v>
      </c>
      <c r="P101" s="2">
        <v>60.668999999999997</v>
      </c>
      <c r="Q101" s="2">
        <v>42.619</v>
      </c>
      <c r="R101" s="2">
        <v>9.2929999999999993</v>
      </c>
      <c r="S101" s="2">
        <v>6.7060000000000004</v>
      </c>
      <c r="T101" s="2">
        <v>14.292999999999999</v>
      </c>
      <c r="U101" s="11">
        <v>15.630199806267999</v>
      </c>
      <c r="V101" s="11">
        <v>20.3206529462941</v>
      </c>
      <c r="W101" s="11">
        <v>8.8043871399674192</v>
      </c>
      <c r="X101" s="11">
        <v>29.180089951657301</v>
      </c>
      <c r="Y101" s="11">
        <v>27.1815729740058</v>
      </c>
      <c r="Z101" s="11">
        <v>26.6831719785534</v>
      </c>
      <c r="AA101" s="11">
        <v>13.7028096772403</v>
      </c>
      <c r="AB101" s="11">
        <v>15.4736192079187</v>
      </c>
      <c r="AC101" s="11">
        <v>29.247105191414398</v>
      </c>
      <c r="AD101" s="11">
        <v>31.973937097236099</v>
      </c>
      <c r="AE101" s="11">
        <v>28.561940233144099</v>
      </c>
      <c r="AF101" s="11">
        <v>25.819684921298201</v>
      </c>
      <c r="AG101" s="11">
        <v>55.770708744977398</v>
      </c>
      <c r="AH101" s="11">
        <v>33.619518298406298</v>
      </c>
      <c r="AI101" s="11">
        <v>14.029422445120501</v>
      </c>
      <c r="AJ101" s="11">
        <v>21.773706904587002</v>
      </c>
      <c r="AK101" s="16">
        <v>0.61929020046691496</v>
      </c>
      <c r="AL101" s="16">
        <v>1.5339622057332201</v>
      </c>
      <c r="AM101" s="26">
        <v>6.0312820497132602E-2</v>
      </c>
      <c r="AN101" s="27">
        <v>9.1081889193186605E-2</v>
      </c>
      <c r="AO101" s="11">
        <v>19.6220629602381</v>
      </c>
      <c r="AP101" s="11">
        <v>30.099502979522999</v>
      </c>
      <c r="AQ101" t="s">
        <v>5874</v>
      </c>
      <c r="AR101" t="s">
        <v>5877</v>
      </c>
      <c r="AS101" t="s">
        <v>5688</v>
      </c>
    </row>
    <row r="102" spans="1:45">
      <c r="A102" t="s">
        <v>4652</v>
      </c>
      <c r="B102" s="2">
        <v>5</v>
      </c>
      <c r="C102" s="2">
        <v>17</v>
      </c>
      <c r="D102" s="2">
        <v>0</v>
      </c>
      <c r="E102" s="2">
        <v>0</v>
      </c>
      <c r="F102" s="2">
        <v>2</v>
      </c>
      <c r="G102" s="2">
        <v>0</v>
      </c>
      <c r="H102" s="2">
        <v>0</v>
      </c>
      <c r="I102" s="2">
        <v>4</v>
      </c>
      <c r="J102" s="2">
        <v>1</v>
      </c>
      <c r="K102" s="2">
        <v>83</v>
      </c>
      <c r="L102" s="2">
        <v>11</v>
      </c>
      <c r="M102" s="2">
        <v>6</v>
      </c>
      <c r="N102" s="2">
        <v>68</v>
      </c>
      <c r="O102" s="2">
        <v>104</v>
      </c>
      <c r="P102" s="2">
        <v>25</v>
      </c>
      <c r="Q102" s="2">
        <v>12</v>
      </c>
      <c r="R102" s="2">
        <v>39</v>
      </c>
      <c r="S102" s="2">
        <v>31</v>
      </c>
      <c r="T102" s="2">
        <v>42</v>
      </c>
      <c r="U102" s="11">
        <v>6.0582169791736504</v>
      </c>
      <c r="V102" s="11">
        <v>16.372090051516601</v>
      </c>
      <c r="W102" s="11">
        <v>0.40019941545306398</v>
      </c>
      <c r="X102" s="11">
        <v>0.37798043978830698</v>
      </c>
      <c r="Y102" s="11">
        <v>1.72035271987378</v>
      </c>
      <c r="Z102" s="11">
        <v>0.23243181165987301</v>
      </c>
      <c r="AA102" s="11">
        <v>0.26351557071616</v>
      </c>
      <c r="AB102" s="11">
        <v>3.8927343919292201</v>
      </c>
      <c r="AC102" s="11">
        <v>0.79475829324495695</v>
      </c>
      <c r="AD102" s="11">
        <v>6.9371461157711396</v>
      </c>
      <c r="AE102" s="11">
        <v>4.8003260896040603</v>
      </c>
      <c r="AF102" s="11">
        <v>57.565199168795999</v>
      </c>
      <c r="AG102" s="11">
        <v>22.9698141453778</v>
      </c>
      <c r="AH102" s="11">
        <v>9.4702868446214996</v>
      </c>
      <c r="AI102" s="11">
        <v>58.833061866634502</v>
      </c>
      <c r="AJ102" s="11">
        <v>63.950747551933901</v>
      </c>
      <c r="AK102" s="16">
        <v>2.8624980099075401</v>
      </c>
      <c r="AL102" s="16">
        <v>7.6855521704793404</v>
      </c>
      <c r="AM102" s="26">
        <v>6.5867213823180904E-4</v>
      </c>
      <c r="AN102" s="27">
        <v>1.5673268991058299E-3</v>
      </c>
      <c r="AO102" s="11">
        <v>3.6646901725138301</v>
      </c>
      <c r="AP102" s="11">
        <v>28.165167509498001</v>
      </c>
      <c r="AQ102" t="s">
        <v>5874</v>
      </c>
      <c r="AR102" t="s">
        <v>5876</v>
      </c>
      <c r="AS102" t="s">
        <v>4652</v>
      </c>
    </row>
    <row r="103" spans="1:45">
      <c r="A103" t="s">
        <v>1544</v>
      </c>
      <c r="B103" s="2">
        <v>25.35</v>
      </c>
      <c r="C103" s="2">
        <v>0</v>
      </c>
      <c r="D103" s="2">
        <v>0.33300000000000002</v>
      </c>
      <c r="E103" s="2">
        <v>0</v>
      </c>
      <c r="F103" s="2">
        <v>0</v>
      </c>
      <c r="G103" s="2">
        <v>0</v>
      </c>
      <c r="H103" s="2">
        <v>0.16700000000000001</v>
      </c>
      <c r="I103" s="2">
        <v>0</v>
      </c>
      <c r="J103" s="2">
        <v>115.84</v>
      </c>
      <c r="K103" s="2">
        <v>108.524</v>
      </c>
      <c r="L103" s="2">
        <v>55.908000000000001</v>
      </c>
      <c r="M103" s="2">
        <v>19.581</v>
      </c>
      <c r="N103" s="2">
        <v>16.332000000000001</v>
      </c>
      <c r="O103" s="2">
        <v>14.593999999999999</v>
      </c>
      <c r="P103" s="2">
        <v>16.265000000000001</v>
      </c>
      <c r="Q103" s="2">
        <v>17.373999999999999</v>
      </c>
      <c r="R103" s="2">
        <v>7.4470000000000001</v>
      </c>
      <c r="S103" s="2">
        <v>13.946</v>
      </c>
      <c r="T103" s="2">
        <v>33.514000000000003</v>
      </c>
      <c r="U103" s="11">
        <v>30.7757422542021</v>
      </c>
      <c r="V103" s="11">
        <v>0.24076603016936199</v>
      </c>
      <c r="W103" s="11">
        <v>0.48023929854367697</v>
      </c>
      <c r="X103" s="11">
        <v>0.37798043978830698</v>
      </c>
      <c r="Y103" s="11">
        <v>0.215044089984223</v>
      </c>
      <c r="Z103" s="11">
        <v>0.23243181165987301</v>
      </c>
      <c r="AA103" s="11">
        <v>0.21081245657292799</v>
      </c>
      <c r="AB103" s="11">
        <v>0.24329589949557701</v>
      </c>
      <c r="AC103" s="11">
        <v>92.033010357766003</v>
      </c>
      <c r="AD103" s="11">
        <v>35.253315261055199</v>
      </c>
      <c r="AE103" s="11">
        <v>15.6810652260399</v>
      </c>
      <c r="AF103" s="11">
        <v>13.798716859579001</v>
      </c>
      <c r="AG103" s="11">
        <v>14.9763188227864</v>
      </c>
      <c r="AH103" s="11">
        <v>13.7319159247012</v>
      </c>
      <c r="AI103" s="11">
        <v>11.163196354181901</v>
      </c>
      <c r="AJ103" s="11">
        <v>51.008334356899702</v>
      </c>
      <c r="AK103" s="16">
        <v>2.8988592288814501</v>
      </c>
      <c r="AL103" s="16">
        <v>7.5556356384540004</v>
      </c>
      <c r="AM103" s="26">
        <v>1.79586141189389E-3</v>
      </c>
      <c r="AN103" s="27">
        <v>3.8507412966570999E-3</v>
      </c>
      <c r="AO103" s="11">
        <v>4.0970390350520098</v>
      </c>
      <c r="AP103" s="11">
        <v>30.955734145376201</v>
      </c>
      <c r="AQ103" t="s">
        <v>5874</v>
      </c>
      <c r="AR103" t="s">
        <v>5876</v>
      </c>
      <c r="AS103" t="s">
        <v>1544</v>
      </c>
    </row>
    <row r="104" spans="1:45">
      <c r="A104" t="s">
        <v>4511</v>
      </c>
      <c r="B104" s="2">
        <v>28</v>
      </c>
      <c r="C104" s="2">
        <v>34</v>
      </c>
      <c r="D104" s="2">
        <v>54</v>
      </c>
      <c r="E104" s="2">
        <v>62</v>
      </c>
      <c r="F104" s="2">
        <v>66</v>
      </c>
      <c r="G104" s="2">
        <v>51</v>
      </c>
      <c r="H104" s="2">
        <v>43</v>
      </c>
      <c r="I104" s="2">
        <v>26</v>
      </c>
      <c r="J104" s="2">
        <v>6</v>
      </c>
      <c r="K104" s="2">
        <v>2</v>
      </c>
      <c r="L104" s="2">
        <v>12</v>
      </c>
      <c r="M104" s="2">
        <v>10</v>
      </c>
      <c r="N104" s="2">
        <v>10</v>
      </c>
      <c r="O104" s="2">
        <v>0</v>
      </c>
      <c r="P104" s="2">
        <v>9</v>
      </c>
      <c r="Q104" s="2">
        <v>17</v>
      </c>
      <c r="R104" s="2">
        <v>9</v>
      </c>
      <c r="S104" s="2">
        <v>3</v>
      </c>
      <c r="T104" s="2">
        <v>3</v>
      </c>
      <c r="U104" s="11">
        <v>33.926015083372398</v>
      </c>
      <c r="V104" s="11">
        <v>32.744180103033202</v>
      </c>
      <c r="W104" s="11">
        <v>86.443073737861894</v>
      </c>
      <c r="X104" s="11">
        <v>93.739149067500193</v>
      </c>
      <c r="Y104" s="11">
        <v>56.771639755834897</v>
      </c>
      <c r="Z104" s="11">
        <v>47.416089578613999</v>
      </c>
      <c r="AA104" s="11">
        <v>45.324678163179499</v>
      </c>
      <c r="AB104" s="11">
        <v>25.302773547539999</v>
      </c>
      <c r="AC104" s="11">
        <v>4.7685497594697397</v>
      </c>
      <c r="AD104" s="11">
        <v>7.5677957626594301</v>
      </c>
      <c r="AE104" s="11">
        <v>8.0005434826734305</v>
      </c>
      <c r="AF104" s="11">
        <v>8.4654704659994096</v>
      </c>
      <c r="AG104" s="11">
        <v>8.2691330923360304</v>
      </c>
      <c r="AH104" s="11">
        <v>13.4162396965471</v>
      </c>
      <c r="AI104" s="11">
        <v>13.576860430761799</v>
      </c>
      <c r="AJ104" s="11">
        <v>4.5679105394238499</v>
      </c>
      <c r="AK104" s="16">
        <v>-2.5961568116081701</v>
      </c>
      <c r="AL104" s="16">
        <v>-6.1438469994988401</v>
      </c>
      <c r="AM104" s="26">
        <v>4.1968853601723498E-12</v>
      </c>
      <c r="AN104" s="27">
        <v>1.0398949281315899E-10</v>
      </c>
      <c r="AO104" s="11">
        <v>52.708449879617</v>
      </c>
      <c r="AP104" s="11">
        <v>8.5790629037338508</v>
      </c>
      <c r="AQ104" t="s">
        <v>5875</v>
      </c>
      <c r="AR104" t="s">
        <v>5876</v>
      </c>
      <c r="AS104" t="s">
        <v>4511</v>
      </c>
    </row>
    <row r="105" spans="1:45">
      <c r="A105" t="s">
        <v>733</v>
      </c>
      <c r="B105" s="2">
        <v>8</v>
      </c>
      <c r="C105" s="2">
        <v>13</v>
      </c>
      <c r="D105" s="2">
        <v>3</v>
      </c>
      <c r="E105" s="2">
        <v>6</v>
      </c>
      <c r="F105" s="2">
        <v>10</v>
      </c>
      <c r="G105" s="2">
        <v>11</v>
      </c>
      <c r="H105" s="2">
        <v>6</v>
      </c>
      <c r="I105" s="2">
        <v>23</v>
      </c>
      <c r="J105" s="2">
        <v>59</v>
      </c>
      <c r="K105" s="2">
        <v>3</v>
      </c>
      <c r="L105" s="2">
        <v>84</v>
      </c>
      <c r="M105" s="2">
        <v>30</v>
      </c>
      <c r="N105" s="2">
        <v>52</v>
      </c>
      <c r="O105" s="2">
        <v>6</v>
      </c>
      <c r="P105" s="2">
        <v>49</v>
      </c>
      <c r="Q105" s="2">
        <v>53</v>
      </c>
      <c r="R105" s="2">
        <v>10</v>
      </c>
      <c r="S105" s="2">
        <v>2</v>
      </c>
      <c r="T105" s="2">
        <v>10</v>
      </c>
      <c r="U105" s="11">
        <v>9.6931471666778304</v>
      </c>
      <c r="V105" s="11">
        <v>12.519833568806799</v>
      </c>
      <c r="W105" s="11">
        <v>4.8023929854367697</v>
      </c>
      <c r="X105" s="11">
        <v>9.0715305549193808</v>
      </c>
      <c r="Y105" s="11">
        <v>8.6017635993689208</v>
      </c>
      <c r="Z105" s="11">
        <v>10.226999713034401</v>
      </c>
      <c r="AA105" s="11">
        <v>6.3243736971878404</v>
      </c>
      <c r="AB105" s="11">
        <v>22.383222753593</v>
      </c>
      <c r="AC105" s="11">
        <v>46.890739301452498</v>
      </c>
      <c r="AD105" s="11">
        <v>52.974570338615997</v>
      </c>
      <c r="AE105" s="11">
        <v>24.0016304480203</v>
      </c>
      <c r="AF105" s="11">
        <v>44.020446423196901</v>
      </c>
      <c r="AG105" s="11">
        <v>45.020835724940603</v>
      </c>
      <c r="AH105" s="11">
        <v>41.827100230411602</v>
      </c>
      <c r="AI105" s="11">
        <v>15.0854004786242</v>
      </c>
      <c r="AJ105" s="11">
        <v>15.2263684647462</v>
      </c>
      <c r="AK105" s="16">
        <v>1.7534651620597499</v>
      </c>
      <c r="AL105" s="16">
        <v>3.4087056357544698</v>
      </c>
      <c r="AM105" s="26">
        <v>3.33371216702802E-6</v>
      </c>
      <c r="AN105" s="27">
        <v>1.40267511933443E-5</v>
      </c>
      <c r="AO105" s="11">
        <v>10.4529080048781</v>
      </c>
      <c r="AP105" s="11">
        <v>35.630886426251003</v>
      </c>
      <c r="AQ105" t="s">
        <v>5874</v>
      </c>
      <c r="AR105" t="s">
        <v>5876</v>
      </c>
      <c r="AS105" t="s">
        <v>733</v>
      </c>
    </row>
    <row r="106" spans="1:45">
      <c r="A106" t="s">
        <v>5014</v>
      </c>
      <c r="B106" s="2">
        <v>5</v>
      </c>
      <c r="C106" s="2">
        <v>17</v>
      </c>
      <c r="D106" s="2">
        <v>6</v>
      </c>
      <c r="E106" s="2">
        <v>12</v>
      </c>
      <c r="F106" s="2">
        <v>17</v>
      </c>
      <c r="G106" s="2">
        <v>14</v>
      </c>
      <c r="H106" s="2">
        <v>9</v>
      </c>
      <c r="I106" s="2">
        <v>34</v>
      </c>
      <c r="J106" s="2">
        <v>18</v>
      </c>
      <c r="K106" s="2">
        <v>0</v>
      </c>
      <c r="L106" s="2">
        <v>21</v>
      </c>
      <c r="M106" s="2">
        <v>36</v>
      </c>
      <c r="N106" s="2">
        <v>20</v>
      </c>
      <c r="O106" s="2">
        <v>4</v>
      </c>
      <c r="P106" s="2">
        <v>17</v>
      </c>
      <c r="Q106" s="2">
        <v>166</v>
      </c>
      <c r="R106" s="2">
        <v>24</v>
      </c>
      <c r="S106" s="2">
        <v>7</v>
      </c>
      <c r="T106" s="2">
        <v>11</v>
      </c>
      <c r="U106" s="11">
        <v>6.0582169791736504</v>
      </c>
      <c r="V106" s="11">
        <v>16.372090051516601</v>
      </c>
      <c r="W106" s="11">
        <v>9.6047859708735501</v>
      </c>
      <c r="X106" s="11">
        <v>18.143061109838801</v>
      </c>
      <c r="Y106" s="11">
        <v>14.6229981189272</v>
      </c>
      <c r="Z106" s="11">
        <v>13.0161814529529</v>
      </c>
      <c r="AA106" s="11">
        <v>9.4865605457817708</v>
      </c>
      <c r="AB106" s="11">
        <v>33.088242331398398</v>
      </c>
      <c r="AC106" s="11">
        <v>14.3056492784092</v>
      </c>
      <c r="AD106" s="11">
        <v>13.243642584653999</v>
      </c>
      <c r="AE106" s="11">
        <v>28.801956537624299</v>
      </c>
      <c r="AF106" s="11">
        <v>16.930940931998801</v>
      </c>
      <c r="AG106" s="11">
        <v>15.619473618856899</v>
      </c>
      <c r="AH106" s="11">
        <v>131.00563468393099</v>
      </c>
      <c r="AI106" s="11">
        <v>36.204961148698096</v>
      </c>
      <c r="AJ106" s="11">
        <v>16.749005311220799</v>
      </c>
      <c r="AK106" s="16">
        <v>1.17119858078813</v>
      </c>
      <c r="AL106" s="16">
        <v>2.2664375921126498</v>
      </c>
      <c r="AM106" s="26">
        <v>2.1191294997777398E-2</v>
      </c>
      <c r="AN106" s="27">
        <v>3.6351221419264397E-2</v>
      </c>
      <c r="AO106" s="11">
        <v>15.049017070057801</v>
      </c>
      <c r="AP106" s="11">
        <v>34.107658011924102</v>
      </c>
      <c r="AQ106" t="s">
        <v>5874</v>
      </c>
      <c r="AR106" t="s">
        <v>5878</v>
      </c>
      <c r="AS106" t="s">
        <v>5014</v>
      </c>
    </row>
    <row r="107" spans="1:45">
      <c r="A107" t="s">
        <v>4891</v>
      </c>
      <c r="B107" s="2">
        <v>42</v>
      </c>
      <c r="C107" s="2">
        <v>49</v>
      </c>
      <c r="D107" s="2">
        <v>39</v>
      </c>
      <c r="E107" s="2">
        <v>38</v>
      </c>
      <c r="F107" s="2">
        <v>54</v>
      </c>
      <c r="G107" s="2">
        <v>34</v>
      </c>
      <c r="H107" s="2">
        <v>33</v>
      </c>
      <c r="I107" s="2">
        <v>23</v>
      </c>
      <c r="J107" s="2">
        <v>16</v>
      </c>
      <c r="K107" s="2">
        <v>1</v>
      </c>
      <c r="L107" s="2">
        <v>20</v>
      </c>
      <c r="M107" s="2">
        <v>15</v>
      </c>
      <c r="N107" s="2">
        <v>13</v>
      </c>
      <c r="O107" s="2">
        <v>1</v>
      </c>
      <c r="P107" s="2">
        <v>10</v>
      </c>
      <c r="Q107" s="2">
        <v>22</v>
      </c>
      <c r="R107" s="2">
        <v>7</v>
      </c>
      <c r="S107" s="2">
        <v>10</v>
      </c>
      <c r="T107" s="2">
        <v>8</v>
      </c>
      <c r="U107" s="11">
        <v>50.889022625058601</v>
      </c>
      <c r="V107" s="11">
        <v>47.1901419131949</v>
      </c>
      <c r="W107" s="11">
        <v>62.431108810677998</v>
      </c>
      <c r="X107" s="11">
        <v>57.453026847822699</v>
      </c>
      <c r="Y107" s="11">
        <v>46.449523436592202</v>
      </c>
      <c r="Z107" s="11">
        <v>31.610726385742701</v>
      </c>
      <c r="AA107" s="11">
        <v>34.7840553345331</v>
      </c>
      <c r="AB107" s="11">
        <v>22.383222753593</v>
      </c>
      <c r="AC107" s="11">
        <v>12.716132691919301</v>
      </c>
      <c r="AD107" s="11">
        <v>12.6129929377657</v>
      </c>
      <c r="AE107" s="11">
        <v>12.0008152240101</v>
      </c>
      <c r="AF107" s="11">
        <v>11.0051116057992</v>
      </c>
      <c r="AG107" s="11">
        <v>9.1879256581511406</v>
      </c>
      <c r="AH107" s="11">
        <v>17.362192548472699</v>
      </c>
      <c r="AI107" s="11">
        <v>10.559780335037001</v>
      </c>
      <c r="AJ107" s="11">
        <v>12.1810947717969</v>
      </c>
      <c r="AK107" s="16">
        <v>-1.8221109898751799</v>
      </c>
      <c r="AL107" s="16">
        <v>-3.6177930316734099</v>
      </c>
      <c r="AM107" s="26">
        <v>4.9846529425688396E-10</v>
      </c>
      <c r="AN107" s="27">
        <v>7.5789382240421697E-9</v>
      </c>
      <c r="AO107" s="11">
        <v>44.148853513401903</v>
      </c>
      <c r="AP107" s="11">
        <v>12.203255721619</v>
      </c>
      <c r="AQ107" t="s">
        <v>5875</v>
      </c>
      <c r="AR107" t="s">
        <v>5876</v>
      </c>
      <c r="AS107" t="s">
        <v>4891</v>
      </c>
    </row>
    <row r="108" spans="1:45">
      <c r="A108" t="s">
        <v>4816</v>
      </c>
      <c r="B108" s="2">
        <v>24</v>
      </c>
      <c r="C108" s="2">
        <v>60</v>
      </c>
      <c r="D108" s="2">
        <v>6</v>
      </c>
      <c r="E108" s="2">
        <v>43</v>
      </c>
      <c r="F108" s="2">
        <v>112</v>
      </c>
      <c r="G108" s="2">
        <v>84</v>
      </c>
      <c r="H108" s="2">
        <v>29</v>
      </c>
      <c r="I108" s="2">
        <v>39</v>
      </c>
      <c r="J108" s="2">
        <v>0</v>
      </c>
      <c r="K108" s="2">
        <v>0</v>
      </c>
      <c r="L108" s="2">
        <v>9</v>
      </c>
      <c r="M108" s="2">
        <v>0</v>
      </c>
      <c r="N108" s="2">
        <v>0</v>
      </c>
      <c r="O108" s="2">
        <v>4</v>
      </c>
      <c r="P108" s="2">
        <v>0</v>
      </c>
      <c r="Q108" s="2">
        <v>13</v>
      </c>
      <c r="R108" s="2">
        <v>0</v>
      </c>
      <c r="S108" s="2">
        <v>1</v>
      </c>
      <c r="T108" s="2">
        <v>9</v>
      </c>
      <c r="U108" s="11">
        <v>29.0794415000335</v>
      </c>
      <c r="V108" s="11">
        <v>57.7838472406468</v>
      </c>
      <c r="W108" s="11">
        <v>9.6047859708735501</v>
      </c>
      <c r="X108" s="11">
        <v>65.012635643588894</v>
      </c>
      <c r="Y108" s="11">
        <v>96.339752312931907</v>
      </c>
      <c r="Z108" s="11">
        <v>78.097088717717298</v>
      </c>
      <c r="AA108" s="11">
        <v>30.5678062030746</v>
      </c>
      <c r="AB108" s="11">
        <v>37.954160321309899</v>
      </c>
      <c r="AC108" s="11">
        <v>0.19868957331123899</v>
      </c>
      <c r="AD108" s="11">
        <v>5.6758468219945701</v>
      </c>
      <c r="AE108" s="11">
        <v>0.200013587066836</v>
      </c>
      <c r="AF108" s="11">
        <v>0.21163676164998499</v>
      </c>
      <c r="AG108" s="11">
        <v>0.22969814145377901</v>
      </c>
      <c r="AH108" s="11">
        <v>10.2594774150066</v>
      </c>
      <c r="AI108" s="11">
        <v>0.377135011965606</v>
      </c>
      <c r="AJ108" s="11">
        <v>13.7037316182716</v>
      </c>
      <c r="AK108" s="16">
        <v>-3.7126848608143002</v>
      </c>
      <c r="AL108" s="16">
        <v>-13.107224438159401</v>
      </c>
      <c r="AM108" s="26">
        <v>2.6112624064748498E-7</v>
      </c>
      <c r="AN108" s="27">
        <v>1.51907352167972E-6</v>
      </c>
      <c r="AO108" s="11">
        <v>50.554939738772099</v>
      </c>
      <c r="AP108" s="11">
        <v>3.85702861634002</v>
      </c>
      <c r="AQ108" t="s">
        <v>5875</v>
      </c>
      <c r="AR108" t="s">
        <v>5876</v>
      </c>
      <c r="AS108" t="s">
        <v>4816</v>
      </c>
    </row>
    <row r="109" spans="1:45">
      <c r="A109" t="s">
        <v>4948</v>
      </c>
      <c r="B109" s="2">
        <v>28</v>
      </c>
      <c r="C109" s="2">
        <v>44</v>
      </c>
      <c r="D109" s="2">
        <v>27</v>
      </c>
      <c r="E109" s="2">
        <v>50</v>
      </c>
      <c r="F109" s="2">
        <v>56</v>
      </c>
      <c r="G109" s="2">
        <v>38</v>
      </c>
      <c r="H109" s="2">
        <v>28</v>
      </c>
      <c r="I109" s="2">
        <v>15</v>
      </c>
      <c r="J109" s="2">
        <v>12</v>
      </c>
      <c r="K109" s="2">
        <v>0</v>
      </c>
      <c r="L109" s="2">
        <v>24</v>
      </c>
      <c r="M109" s="2">
        <v>22</v>
      </c>
      <c r="N109" s="2">
        <v>10</v>
      </c>
      <c r="O109" s="2">
        <v>0</v>
      </c>
      <c r="P109" s="2">
        <v>14</v>
      </c>
      <c r="Q109" s="2">
        <v>24</v>
      </c>
      <c r="R109" s="2">
        <v>13</v>
      </c>
      <c r="S109" s="2">
        <v>2</v>
      </c>
      <c r="T109" s="2">
        <v>24</v>
      </c>
      <c r="U109" s="11">
        <v>33.926015083372398</v>
      </c>
      <c r="V109" s="11">
        <v>42.3748213098077</v>
      </c>
      <c r="W109" s="11">
        <v>43.221536868930997</v>
      </c>
      <c r="X109" s="11">
        <v>75.596087957661496</v>
      </c>
      <c r="Y109" s="11">
        <v>48.169876156466003</v>
      </c>
      <c r="Z109" s="11">
        <v>35.3296353723007</v>
      </c>
      <c r="AA109" s="11">
        <v>29.513743920209901</v>
      </c>
      <c r="AB109" s="11">
        <v>14.597753969734599</v>
      </c>
      <c r="AC109" s="11">
        <v>9.53709951893949</v>
      </c>
      <c r="AD109" s="11">
        <v>15.135591525318899</v>
      </c>
      <c r="AE109" s="11">
        <v>17.601195661881501</v>
      </c>
      <c r="AF109" s="11">
        <v>8.4654704659994096</v>
      </c>
      <c r="AG109" s="11">
        <v>12.863095921411601</v>
      </c>
      <c r="AH109" s="11">
        <v>18.940573689242999</v>
      </c>
      <c r="AI109" s="11">
        <v>19.611020622211502</v>
      </c>
      <c r="AJ109" s="11">
        <v>36.5432843153908</v>
      </c>
      <c r="AK109" s="16">
        <v>-1.23671063278516</v>
      </c>
      <c r="AL109" s="16">
        <v>-2.3268614228937201</v>
      </c>
      <c r="AM109" s="26">
        <v>7.51558586335265E-4</v>
      </c>
      <c r="AN109" s="27">
        <v>1.7458079661746299E-3</v>
      </c>
      <c r="AO109" s="11">
        <v>40.341183829810497</v>
      </c>
      <c r="AP109" s="11">
        <v>17.337166465049499</v>
      </c>
      <c r="AQ109" t="s">
        <v>5875</v>
      </c>
      <c r="AR109" t="s">
        <v>5876</v>
      </c>
      <c r="AS109" t="s">
        <v>4948</v>
      </c>
    </row>
    <row r="110" spans="1:45">
      <c r="A110" t="s">
        <v>5724</v>
      </c>
      <c r="B110" s="2">
        <v>7</v>
      </c>
      <c r="C110" s="2">
        <v>0</v>
      </c>
      <c r="D110" s="2">
        <v>1</v>
      </c>
      <c r="E110" s="2">
        <v>0</v>
      </c>
      <c r="F110" s="2">
        <v>0</v>
      </c>
      <c r="G110" s="2">
        <v>3</v>
      </c>
      <c r="H110" s="2">
        <v>8</v>
      </c>
      <c r="I110" s="2">
        <v>16</v>
      </c>
      <c r="J110" s="2">
        <v>38</v>
      </c>
      <c r="K110" s="2">
        <v>41</v>
      </c>
      <c r="L110" s="2">
        <v>40</v>
      </c>
      <c r="M110" s="2">
        <v>29</v>
      </c>
      <c r="N110" s="2">
        <v>74</v>
      </c>
      <c r="O110" s="2">
        <v>37</v>
      </c>
      <c r="P110" s="2">
        <v>22</v>
      </c>
      <c r="Q110" s="2">
        <v>27</v>
      </c>
      <c r="R110" s="2">
        <v>29</v>
      </c>
      <c r="S110" s="2">
        <v>17</v>
      </c>
      <c r="T110" s="2">
        <v>34</v>
      </c>
      <c r="U110" s="11">
        <v>8.4815037708430996</v>
      </c>
      <c r="V110" s="11">
        <v>0.24076603016936199</v>
      </c>
      <c r="W110" s="11">
        <v>1.6007976618122599</v>
      </c>
      <c r="X110" s="11">
        <v>0.37798043978830698</v>
      </c>
      <c r="Y110" s="11">
        <v>0.215044089984223</v>
      </c>
      <c r="Z110" s="11">
        <v>2.7891817399184702</v>
      </c>
      <c r="AA110" s="11">
        <v>8.4324982629171306</v>
      </c>
      <c r="AB110" s="11">
        <v>15.5709375677169</v>
      </c>
      <c r="AC110" s="11">
        <v>30.2008151433084</v>
      </c>
      <c r="AD110" s="11">
        <v>25.2259858755314</v>
      </c>
      <c r="AE110" s="11">
        <v>23.201576099752899</v>
      </c>
      <c r="AF110" s="11">
        <v>62.644481448395602</v>
      </c>
      <c r="AG110" s="11">
        <v>20.213436447932501</v>
      </c>
      <c r="AH110" s="11">
        <v>21.308145400398399</v>
      </c>
      <c r="AI110" s="11">
        <v>43.7476613880103</v>
      </c>
      <c r="AJ110" s="11">
        <v>51.769652780137001</v>
      </c>
      <c r="AK110" s="16">
        <v>2.8233572135553602</v>
      </c>
      <c r="AL110" s="16">
        <v>7.38056957683437</v>
      </c>
      <c r="AM110" s="26">
        <v>6.2668781431549798E-7</v>
      </c>
      <c r="AN110" s="27">
        <v>3.2754290392144802E-6</v>
      </c>
      <c r="AO110" s="11">
        <v>4.7135886953937201</v>
      </c>
      <c r="AP110" s="11">
        <v>34.788969322933298</v>
      </c>
      <c r="AQ110" t="s">
        <v>5874</v>
      </c>
      <c r="AR110" t="s">
        <v>5876</v>
      </c>
      <c r="AS110" t="s">
        <v>5724</v>
      </c>
    </row>
    <row r="111" spans="1:45">
      <c r="A111" t="s">
        <v>1731</v>
      </c>
      <c r="B111" s="2">
        <v>14.609</v>
      </c>
      <c r="C111" s="2">
        <v>21.677</v>
      </c>
      <c r="D111" s="2">
        <v>21.617999999999999</v>
      </c>
      <c r="E111" s="2">
        <v>34</v>
      </c>
      <c r="F111" s="2">
        <v>28</v>
      </c>
      <c r="G111" s="2">
        <v>25</v>
      </c>
      <c r="H111" s="2">
        <v>23</v>
      </c>
      <c r="I111" s="2">
        <v>13</v>
      </c>
      <c r="J111" s="2">
        <v>26</v>
      </c>
      <c r="K111" s="2">
        <v>17</v>
      </c>
      <c r="L111" s="2">
        <v>38</v>
      </c>
      <c r="M111" s="2">
        <v>28</v>
      </c>
      <c r="N111" s="2">
        <v>26</v>
      </c>
      <c r="O111" s="2">
        <v>5</v>
      </c>
      <c r="P111" s="2">
        <v>20</v>
      </c>
      <c r="Q111" s="2">
        <v>29</v>
      </c>
      <c r="R111" s="2">
        <v>14</v>
      </c>
      <c r="S111" s="2">
        <v>10</v>
      </c>
      <c r="T111" s="2">
        <v>25</v>
      </c>
      <c r="U111" s="11">
        <v>17.689993579187</v>
      </c>
      <c r="V111" s="11">
        <v>20.898491418700601</v>
      </c>
      <c r="W111" s="11">
        <v>34.577229495144799</v>
      </c>
      <c r="X111" s="11">
        <v>51.405339811209799</v>
      </c>
      <c r="Y111" s="11">
        <v>24.084938078233002</v>
      </c>
      <c r="Z111" s="11">
        <v>23.243181165987298</v>
      </c>
      <c r="AA111" s="11">
        <v>24.243432505886702</v>
      </c>
      <c r="AB111" s="11">
        <v>12.65138677377</v>
      </c>
      <c r="AC111" s="11">
        <v>20.663715624368901</v>
      </c>
      <c r="AD111" s="11">
        <v>23.964686581754901</v>
      </c>
      <c r="AE111" s="11">
        <v>22.4015217514856</v>
      </c>
      <c r="AF111" s="11">
        <v>22.0102232115985</v>
      </c>
      <c r="AG111" s="11">
        <v>18.375851316302299</v>
      </c>
      <c r="AH111" s="11">
        <v>22.8865265411686</v>
      </c>
      <c r="AI111" s="11">
        <v>21.119560670073898</v>
      </c>
      <c r="AJ111" s="11">
        <v>38.065921161865397</v>
      </c>
      <c r="AK111" s="16">
        <v>-0.127974082767494</v>
      </c>
      <c r="AL111" s="16">
        <v>-1.10188500206193</v>
      </c>
      <c r="AM111" s="26">
        <v>0.67925260377858099</v>
      </c>
      <c r="AN111" s="27">
        <v>0.74863260614146798</v>
      </c>
      <c r="AO111" s="11">
        <v>26.0992491035149</v>
      </c>
      <c r="AP111" s="11">
        <v>23.686000857327301</v>
      </c>
      <c r="AQ111" t="s">
        <v>5875</v>
      </c>
      <c r="AR111" t="s">
        <v>5832</v>
      </c>
      <c r="AS111" t="s">
        <v>1731</v>
      </c>
    </row>
    <row r="112" spans="1:45">
      <c r="A112" t="s">
        <v>4173</v>
      </c>
      <c r="B112" s="2">
        <v>29</v>
      </c>
      <c r="C112" s="2">
        <v>11</v>
      </c>
      <c r="D112" s="2">
        <v>21</v>
      </c>
      <c r="E112" s="2">
        <v>4</v>
      </c>
      <c r="F112" s="2">
        <v>7</v>
      </c>
      <c r="G112" s="2">
        <v>25</v>
      </c>
      <c r="H112" s="2">
        <v>34</v>
      </c>
      <c r="I112" s="2">
        <v>40</v>
      </c>
      <c r="J112" s="2">
        <v>26</v>
      </c>
      <c r="K112" s="2">
        <v>12</v>
      </c>
      <c r="L112" s="2">
        <v>24</v>
      </c>
      <c r="M112" s="2">
        <v>45</v>
      </c>
      <c r="N112" s="2">
        <v>23</v>
      </c>
      <c r="O112" s="2">
        <v>2</v>
      </c>
      <c r="P112" s="2">
        <v>18</v>
      </c>
      <c r="Q112" s="2">
        <v>54</v>
      </c>
      <c r="R112" s="2">
        <v>15</v>
      </c>
      <c r="S112" s="2">
        <v>9</v>
      </c>
      <c r="T112" s="2">
        <v>17</v>
      </c>
      <c r="U112" s="11">
        <v>35.137658479207097</v>
      </c>
      <c r="V112" s="11">
        <v>10.5937053274519</v>
      </c>
      <c r="W112" s="11">
        <v>33.616750898057397</v>
      </c>
      <c r="X112" s="11">
        <v>6.0476870366129196</v>
      </c>
      <c r="Y112" s="11">
        <v>6.0212345195582504</v>
      </c>
      <c r="Z112" s="11">
        <v>23.243181165987298</v>
      </c>
      <c r="AA112" s="11">
        <v>35.838117617397799</v>
      </c>
      <c r="AB112" s="11">
        <v>38.927343919292198</v>
      </c>
      <c r="AC112" s="11">
        <v>20.663715624368901</v>
      </c>
      <c r="AD112" s="11">
        <v>15.135591525318899</v>
      </c>
      <c r="AE112" s="11">
        <v>36.002445672030397</v>
      </c>
      <c r="AF112" s="11">
        <v>19.470582071798599</v>
      </c>
      <c r="AG112" s="11">
        <v>16.5382661846721</v>
      </c>
      <c r="AH112" s="11">
        <v>42.616290800796698</v>
      </c>
      <c r="AI112" s="11">
        <v>22.628100717936299</v>
      </c>
      <c r="AJ112" s="11">
        <v>25.884826390068501</v>
      </c>
      <c r="AK112" s="16">
        <v>7.3581184537070396E-2</v>
      </c>
      <c r="AL112" s="16">
        <v>1.0502262421625299</v>
      </c>
      <c r="AM112" s="26">
        <v>0.86781470994163201</v>
      </c>
      <c r="AN112" s="27">
        <v>0.90998125540901598</v>
      </c>
      <c r="AO112" s="11">
        <v>23.678209870445599</v>
      </c>
      <c r="AP112" s="11">
        <v>24.867477373373799</v>
      </c>
      <c r="AQ112" t="s">
        <v>5874</v>
      </c>
      <c r="AR112" t="s">
        <v>5832</v>
      </c>
      <c r="AS112" t="s">
        <v>4173</v>
      </c>
    </row>
    <row r="113" spans="1:45">
      <c r="A113" t="s">
        <v>2480</v>
      </c>
      <c r="B113" s="2">
        <v>11</v>
      </c>
      <c r="C113" s="2">
        <v>15</v>
      </c>
      <c r="D113" s="2">
        <v>11</v>
      </c>
      <c r="E113" s="2">
        <v>10</v>
      </c>
      <c r="F113" s="2">
        <v>29</v>
      </c>
      <c r="G113" s="2">
        <v>27</v>
      </c>
      <c r="H113" s="2">
        <v>16</v>
      </c>
      <c r="I113" s="2">
        <v>55</v>
      </c>
      <c r="J113" s="2">
        <v>50</v>
      </c>
      <c r="K113" s="2">
        <v>10</v>
      </c>
      <c r="L113" s="2">
        <v>39</v>
      </c>
      <c r="M113" s="2">
        <v>17</v>
      </c>
      <c r="N113" s="2">
        <v>22</v>
      </c>
      <c r="O113" s="2">
        <v>12</v>
      </c>
      <c r="P113" s="2">
        <v>33</v>
      </c>
      <c r="Q113" s="2">
        <v>17</v>
      </c>
      <c r="R113" s="2">
        <v>28</v>
      </c>
      <c r="S113" s="2">
        <v>4</v>
      </c>
      <c r="T113" s="2">
        <v>6</v>
      </c>
      <c r="U113" s="11">
        <v>13.328077354182</v>
      </c>
      <c r="V113" s="11">
        <v>14.4459618101617</v>
      </c>
      <c r="W113" s="11">
        <v>17.608774279934799</v>
      </c>
      <c r="X113" s="11">
        <v>15.119217591532299</v>
      </c>
      <c r="Y113" s="11">
        <v>24.945114438169899</v>
      </c>
      <c r="Z113" s="11">
        <v>25.102635659266301</v>
      </c>
      <c r="AA113" s="11">
        <v>16.8649965258343</v>
      </c>
      <c r="AB113" s="11">
        <v>53.525097889026803</v>
      </c>
      <c r="AC113" s="11">
        <v>39.737914662247903</v>
      </c>
      <c r="AD113" s="11">
        <v>24.595336228643099</v>
      </c>
      <c r="AE113" s="11">
        <v>13.600923920544799</v>
      </c>
      <c r="AF113" s="11">
        <v>18.624035025198701</v>
      </c>
      <c r="AG113" s="11">
        <v>30.320154671898798</v>
      </c>
      <c r="AH113" s="11">
        <v>13.4162396965471</v>
      </c>
      <c r="AI113" s="11">
        <v>42.239121340147797</v>
      </c>
      <c r="AJ113" s="11">
        <v>9.1358210788476999</v>
      </c>
      <c r="AK113" s="16">
        <v>6.8107304524714904E-2</v>
      </c>
      <c r="AL113" s="16">
        <v>1.05929964881133</v>
      </c>
      <c r="AM113" s="26">
        <v>0.87110756346309903</v>
      </c>
      <c r="AN113" s="27">
        <v>0.91061655703079902</v>
      </c>
      <c r="AO113" s="11">
        <v>22.617484443513501</v>
      </c>
      <c r="AP113" s="11">
        <v>23.958693328009499</v>
      </c>
      <c r="AQ113" t="s">
        <v>5874</v>
      </c>
      <c r="AR113" t="s">
        <v>5832</v>
      </c>
      <c r="AS113" t="s">
        <v>2480</v>
      </c>
    </row>
    <row r="114" spans="1:45">
      <c r="A114" t="s">
        <v>5656</v>
      </c>
      <c r="B114" s="2">
        <v>13</v>
      </c>
      <c r="C114" s="2">
        <v>25</v>
      </c>
      <c r="D114" s="2">
        <v>15</v>
      </c>
      <c r="E114" s="2">
        <v>11</v>
      </c>
      <c r="F114" s="2">
        <v>38</v>
      </c>
      <c r="G114" s="2">
        <v>39</v>
      </c>
      <c r="H114" s="2">
        <v>20</v>
      </c>
      <c r="I114" s="2">
        <v>18</v>
      </c>
      <c r="J114" s="2">
        <v>40</v>
      </c>
      <c r="K114" s="2">
        <v>8</v>
      </c>
      <c r="L114" s="2">
        <v>42</v>
      </c>
      <c r="M114" s="2">
        <v>27</v>
      </c>
      <c r="N114" s="2">
        <v>29</v>
      </c>
      <c r="O114" s="2">
        <v>9</v>
      </c>
      <c r="P114" s="2">
        <v>24</v>
      </c>
      <c r="Q114" s="2">
        <v>18</v>
      </c>
      <c r="R114" s="2">
        <v>16</v>
      </c>
      <c r="S114" s="2">
        <v>5</v>
      </c>
      <c r="T114" s="2">
        <v>9</v>
      </c>
      <c r="U114" s="11">
        <v>15.7513641458515</v>
      </c>
      <c r="V114" s="11">
        <v>24.0766030169362</v>
      </c>
      <c r="W114" s="11">
        <v>24.0119649271839</v>
      </c>
      <c r="X114" s="11">
        <v>16.631139350685501</v>
      </c>
      <c r="Y114" s="11">
        <v>32.686701677601903</v>
      </c>
      <c r="Z114" s="11">
        <v>36.259362618940202</v>
      </c>
      <c r="AA114" s="11">
        <v>21.081245657292801</v>
      </c>
      <c r="AB114" s="11">
        <v>17.517304763681501</v>
      </c>
      <c r="AC114" s="11">
        <v>31.7903317297983</v>
      </c>
      <c r="AD114" s="11">
        <v>26.487285169307999</v>
      </c>
      <c r="AE114" s="11">
        <v>21.601467403218301</v>
      </c>
      <c r="AF114" s="11">
        <v>24.549864351398298</v>
      </c>
      <c r="AG114" s="11">
        <v>22.0510215795627</v>
      </c>
      <c r="AH114" s="11">
        <v>14.2054302669323</v>
      </c>
      <c r="AI114" s="11">
        <v>24.136640765798798</v>
      </c>
      <c r="AJ114" s="11">
        <v>13.7037316182716</v>
      </c>
      <c r="AK114" s="16">
        <v>-7.6676774196902206E-2</v>
      </c>
      <c r="AL114" s="16">
        <v>-1.05315710510905</v>
      </c>
      <c r="AM114" s="26">
        <v>0.80248884300419798</v>
      </c>
      <c r="AN114" s="27">
        <v>0.85488063052517305</v>
      </c>
      <c r="AO114" s="11">
        <v>23.501960769771699</v>
      </c>
      <c r="AP114" s="11">
        <v>22.315721610535999</v>
      </c>
      <c r="AQ114" t="s">
        <v>5875</v>
      </c>
      <c r="AR114" t="s">
        <v>5832</v>
      </c>
      <c r="AS114" t="s">
        <v>5656</v>
      </c>
    </row>
    <row r="115" spans="1:45">
      <c r="A115" t="s">
        <v>4933</v>
      </c>
      <c r="B115" s="2">
        <v>42</v>
      </c>
      <c r="C115" s="2">
        <v>18</v>
      </c>
      <c r="D115" s="2">
        <v>21</v>
      </c>
      <c r="E115" s="2">
        <v>9</v>
      </c>
      <c r="F115" s="2">
        <v>21</v>
      </c>
      <c r="G115" s="2">
        <v>39</v>
      </c>
      <c r="H115" s="2">
        <v>28</v>
      </c>
      <c r="I115" s="2">
        <v>25</v>
      </c>
      <c r="J115" s="2">
        <v>9</v>
      </c>
      <c r="K115" s="2">
        <v>21</v>
      </c>
      <c r="L115" s="2">
        <v>8</v>
      </c>
      <c r="M115" s="2">
        <v>5</v>
      </c>
      <c r="N115" s="2">
        <v>35</v>
      </c>
      <c r="O115" s="2">
        <v>27</v>
      </c>
      <c r="P115" s="2">
        <v>17</v>
      </c>
      <c r="Q115" s="2">
        <v>17</v>
      </c>
      <c r="R115" s="2">
        <v>15</v>
      </c>
      <c r="S115" s="2">
        <v>16</v>
      </c>
      <c r="T115" s="2">
        <v>22</v>
      </c>
      <c r="U115" s="11">
        <v>50.889022625058601</v>
      </c>
      <c r="V115" s="11">
        <v>17.335154172193999</v>
      </c>
      <c r="W115" s="11">
        <v>33.616750898057397</v>
      </c>
      <c r="X115" s="11">
        <v>13.6072958323791</v>
      </c>
      <c r="Y115" s="11">
        <v>18.0637035586747</v>
      </c>
      <c r="Z115" s="11">
        <v>36.259362618940202</v>
      </c>
      <c r="AA115" s="11">
        <v>29.513743920209901</v>
      </c>
      <c r="AB115" s="11">
        <v>24.3295899495577</v>
      </c>
      <c r="AC115" s="11">
        <v>7.1528246392046197</v>
      </c>
      <c r="AD115" s="11">
        <v>5.0451971751062796</v>
      </c>
      <c r="AE115" s="11">
        <v>4.0002717413367099</v>
      </c>
      <c r="AF115" s="11">
        <v>29.629146630997901</v>
      </c>
      <c r="AG115" s="11">
        <v>15.619473618856899</v>
      </c>
      <c r="AH115" s="11">
        <v>13.4162396965471</v>
      </c>
      <c r="AI115" s="11">
        <v>22.628100717936299</v>
      </c>
      <c r="AJ115" s="11">
        <v>33.498010622441598</v>
      </c>
      <c r="AK115" s="16">
        <v>-0.80054730629800097</v>
      </c>
      <c r="AL115" s="16">
        <v>-1.7071217541686901</v>
      </c>
      <c r="AM115" s="26">
        <v>7.6059989248634899E-2</v>
      </c>
      <c r="AN115" s="27">
        <v>0.11207958768135801</v>
      </c>
      <c r="AO115" s="11">
        <v>27.951827946883999</v>
      </c>
      <c r="AP115" s="11">
        <v>16.373658105303399</v>
      </c>
      <c r="AQ115" t="s">
        <v>5875</v>
      </c>
      <c r="AR115" t="s">
        <v>5832</v>
      </c>
      <c r="AS115" t="s">
        <v>4933</v>
      </c>
    </row>
    <row r="116" spans="1:45">
      <c r="A116" t="s">
        <v>669</v>
      </c>
      <c r="B116" s="2">
        <v>19</v>
      </c>
      <c r="C116" s="2">
        <v>14</v>
      </c>
      <c r="D116" s="2">
        <v>22</v>
      </c>
      <c r="E116" s="2">
        <v>9</v>
      </c>
      <c r="F116" s="2">
        <v>13</v>
      </c>
      <c r="G116" s="2">
        <v>22</v>
      </c>
      <c r="H116" s="2">
        <v>29</v>
      </c>
      <c r="I116" s="2">
        <v>38</v>
      </c>
      <c r="J116" s="2">
        <v>18</v>
      </c>
      <c r="K116" s="2">
        <v>6</v>
      </c>
      <c r="L116" s="2">
        <v>36</v>
      </c>
      <c r="M116" s="2">
        <v>35</v>
      </c>
      <c r="N116" s="2">
        <v>20</v>
      </c>
      <c r="O116" s="2">
        <v>12</v>
      </c>
      <c r="P116" s="2">
        <v>24</v>
      </c>
      <c r="Q116" s="2">
        <v>29</v>
      </c>
      <c r="R116" s="2">
        <v>13</v>
      </c>
      <c r="S116" s="2">
        <v>18</v>
      </c>
      <c r="T116" s="2">
        <v>16</v>
      </c>
      <c r="U116" s="11">
        <v>23.021224520859899</v>
      </c>
      <c r="V116" s="11">
        <v>13.4828976894843</v>
      </c>
      <c r="W116" s="11">
        <v>35.217548559869698</v>
      </c>
      <c r="X116" s="11">
        <v>13.6072958323791</v>
      </c>
      <c r="Y116" s="11">
        <v>11.1822926791796</v>
      </c>
      <c r="Z116" s="11">
        <v>20.453999426068801</v>
      </c>
      <c r="AA116" s="11">
        <v>30.5678062030746</v>
      </c>
      <c r="AB116" s="11">
        <v>36.980976723327601</v>
      </c>
      <c r="AC116" s="11">
        <v>14.3056492784092</v>
      </c>
      <c r="AD116" s="11">
        <v>22.703387287978298</v>
      </c>
      <c r="AE116" s="11">
        <v>28.001902189357001</v>
      </c>
      <c r="AF116" s="11">
        <v>16.930940931998801</v>
      </c>
      <c r="AG116" s="11">
        <v>22.0510215795627</v>
      </c>
      <c r="AH116" s="11">
        <v>22.8865265411686</v>
      </c>
      <c r="AI116" s="11">
        <v>19.611020622211502</v>
      </c>
      <c r="AJ116" s="11">
        <v>24.3621895435939</v>
      </c>
      <c r="AK116" s="16">
        <v>-0.10311993271584299</v>
      </c>
      <c r="AL116" s="16">
        <v>-1.07996015643621</v>
      </c>
      <c r="AM116" s="26">
        <v>0.75024496551409803</v>
      </c>
      <c r="AN116" s="27">
        <v>0.81215838499827198</v>
      </c>
      <c r="AO116" s="11">
        <v>23.0642552042804</v>
      </c>
      <c r="AP116" s="11">
        <v>21.356579746784998</v>
      </c>
      <c r="AQ116" t="s">
        <v>5875</v>
      </c>
      <c r="AR116" t="s">
        <v>5832</v>
      </c>
      <c r="AS116" t="s">
        <v>669</v>
      </c>
    </row>
    <row r="117" spans="1:45">
      <c r="A117" t="s">
        <v>1382</v>
      </c>
      <c r="B117" s="2">
        <v>9</v>
      </c>
      <c r="C117" s="2">
        <v>7</v>
      </c>
      <c r="D117" s="2">
        <v>6</v>
      </c>
      <c r="E117" s="2">
        <v>6</v>
      </c>
      <c r="F117" s="2">
        <v>9</v>
      </c>
      <c r="G117" s="2">
        <v>7</v>
      </c>
      <c r="H117" s="2">
        <v>9</v>
      </c>
      <c r="I117" s="2">
        <v>5</v>
      </c>
      <c r="J117" s="2">
        <v>21</v>
      </c>
      <c r="K117" s="2">
        <v>13</v>
      </c>
      <c r="L117" s="2">
        <v>43</v>
      </c>
      <c r="M117" s="2">
        <v>88</v>
      </c>
      <c r="N117" s="2">
        <v>27</v>
      </c>
      <c r="O117" s="2">
        <v>17</v>
      </c>
      <c r="P117" s="2">
        <v>25</v>
      </c>
      <c r="Q117" s="2">
        <v>22</v>
      </c>
      <c r="R117" s="2">
        <v>48</v>
      </c>
      <c r="S117" s="2">
        <v>4</v>
      </c>
      <c r="T117" s="2">
        <v>27</v>
      </c>
      <c r="U117" s="11">
        <v>10.9047905625126</v>
      </c>
      <c r="V117" s="11">
        <v>6.7414488447421297</v>
      </c>
      <c r="W117" s="11">
        <v>9.6047859708735501</v>
      </c>
      <c r="X117" s="11">
        <v>9.0715305549193808</v>
      </c>
      <c r="Y117" s="11">
        <v>7.7415872394320298</v>
      </c>
      <c r="Z117" s="11">
        <v>6.50809072647644</v>
      </c>
      <c r="AA117" s="11">
        <v>9.4865605457817708</v>
      </c>
      <c r="AB117" s="11">
        <v>4.8659179899115301</v>
      </c>
      <c r="AC117" s="11">
        <v>16.689924158144098</v>
      </c>
      <c r="AD117" s="11">
        <v>27.1179348161963</v>
      </c>
      <c r="AE117" s="11">
        <v>70.404782647526204</v>
      </c>
      <c r="AF117" s="11">
        <v>22.856770258198399</v>
      </c>
      <c r="AG117" s="11">
        <v>22.9698141453778</v>
      </c>
      <c r="AH117" s="11">
        <v>17.362192548472699</v>
      </c>
      <c r="AI117" s="11">
        <v>72.409922297396307</v>
      </c>
      <c r="AJ117" s="11">
        <v>41.111194854814599</v>
      </c>
      <c r="AK117" s="16">
        <v>2.1488940895128699</v>
      </c>
      <c r="AL117" s="16">
        <v>4.4809214367943104</v>
      </c>
      <c r="AM117" s="26">
        <v>1.6669764863720099E-7</v>
      </c>
      <c r="AN117" s="27">
        <v>1.04224978446998E-6</v>
      </c>
      <c r="AO117" s="11">
        <v>8.1155890543311706</v>
      </c>
      <c r="AP117" s="11">
        <v>36.3653169657658</v>
      </c>
      <c r="AQ117" t="s">
        <v>5874</v>
      </c>
      <c r="AR117" t="s">
        <v>5876</v>
      </c>
      <c r="AS117" t="s">
        <v>1382</v>
      </c>
    </row>
    <row r="118" spans="1:45">
      <c r="A118" t="s">
        <v>3732</v>
      </c>
      <c r="B118" s="2">
        <v>30</v>
      </c>
      <c r="C118" s="2">
        <v>11</v>
      </c>
      <c r="D118" s="2">
        <v>5</v>
      </c>
      <c r="E118" s="2">
        <v>8</v>
      </c>
      <c r="F118" s="2">
        <v>8</v>
      </c>
      <c r="G118" s="2">
        <v>10</v>
      </c>
      <c r="H118" s="2">
        <v>6</v>
      </c>
      <c r="I118" s="2">
        <v>12</v>
      </c>
      <c r="J118" s="2">
        <v>27</v>
      </c>
      <c r="K118" s="2">
        <v>41</v>
      </c>
      <c r="L118" s="2">
        <v>25</v>
      </c>
      <c r="M118" s="2">
        <v>20</v>
      </c>
      <c r="N118" s="2">
        <v>37</v>
      </c>
      <c r="O118" s="2">
        <v>37</v>
      </c>
      <c r="P118" s="2">
        <v>22</v>
      </c>
      <c r="Q118" s="2">
        <v>19</v>
      </c>
      <c r="R118" s="2">
        <v>16</v>
      </c>
      <c r="S118" s="2">
        <v>20</v>
      </c>
      <c r="T118" s="2">
        <v>31</v>
      </c>
      <c r="U118" s="11">
        <v>36.349301875041903</v>
      </c>
      <c r="V118" s="11">
        <v>10.5937053274519</v>
      </c>
      <c r="W118" s="11">
        <v>8.00398830906129</v>
      </c>
      <c r="X118" s="11">
        <v>12.0953740732258</v>
      </c>
      <c r="Y118" s="11">
        <v>6.8814108794951396</v>
      </c>
      <c r="Z118" s="11">
        <v>9.2972724663949098</v>
      </c>
      <c r="AA118" s="11">
        <v>6.3243736971878404</v>
      </c>
      <c r="AB118" s="11">
        <v>11.678203175787701</v>
      </c>
      <c r="AC118" s="11">
        <v>21.458473917613802</v>
      </c>
      <c r="AD118" s="11">
        <v>15.766241172207099</v>
      </c>
      <c r="AE118" s="11">
        <v>16.0010869653469</v>
      </c>
      <c r="AF118" s="11">
        <v>31.322240724197801</v>
      </c>
      <c r="AG118" s="11">
        <v>20.213436447932501</v>
      </c>
      <c r="AH118" s="11">
        <v>14.994620837317401</v>
      </c>
      <c r="AI118" s="11">
        <v>24.136640765798798</v>
      </c>
      <c r="AJ118" s="11">
        <v>47.201742240713102</v>
      </c>
      <c r="AK118" s="16">
        <v>0.90069483424286401</v>
      </c>
      <c r="AL118" s="16">
        <v>1.8878446015205399</v>
      </c>
      <c r="AM118" s="26">
        <v>2.6287823710008301E-2</v>
      </c>
      <c r="AN118" s="27">
        <v>4.37476469203869E-2</v>
      </c>
      <c r="AO118" s="11">
        <v>12.6529537254558</v>
      </c>
      <c r="AP118" s="11">
        <v>23.8868103838909</v>
      </c>
      <c r="AQ118" t="s">
        <v>5874</v>
      </c>
      <c r="AR118" t="s">
        <v>5878</v>
      </c>
      <c r="AS118" t="s">
        <v>3732</v>
      </c>
    </row>
    <row r="119" spans="1:45">
      <c r="A119" t="s">
        <v>3492</v>
      </c>
      <c r="B119" s="2">
        <v>25</v>
      </c>
      <c r="C119" s="2">
        <v>39</v>
      </c>
      <c r="D119" s="2">
        <v>20</v>
      </c>
      <c r="E119" s="2">
        <v>24</v>
      </c>
      <c r="F119" s="2">
        <v>34</v>
      </c>
      <c r="G119" s="2">
        <v>28</v>
      </c>
      <c r="H119" s="2">
        <v>38</v>
      </c>
      <c r="I119" s="2">
        <v>27</v>
      </c>
      <c r="J119" s="2">
        <v>7</v>
      </c>
      <c r="K119" s="2">
        <v>4</v>
      </c>
      <c r="L119" s="2">
        <v>13</v>
      </c>
      <c r="M119" s="2">
        <v>17</v>
      </c>
      <c r="N119" s="2">
        <v>14</v>
      </c>
      <c r="O119" s="2">
        <v>10</v>
      </c>
      <c r="P119" s="2">
        <v>12</v>
      </c>
      <c r="Q119" s="2">
        <v>21</v>
      </c>
      <c r="R119" s="2">
        <v>15</v>
      </c>
      <c r="S119" s="2">
        <v>10</v>
      </c>
      <c r="T119" s="2">
        <v>26</v>
      </c>
      <c r="U119" s="11">
        <v>30.291084895868199</v>
      </c>
      <c r="V119" s="11">
        <v>37.559500706420401</v>
      </c>
      <c r="W119" s="11">
        <v>32.015953236245203</v>
      </c>
      <c r="X119" s="11">
        <v>36.286122219677502</v>
      </c>
      <c r="Y119" s="11">
        <v>29.2459962378543</v>
      </c>
      <c r="Z119" s="11">
        <v>26.032362905905799</v>
      </c>
      <c r="AA119" s="11">
        <v>40.054366748856303</v>
      </c>
      <c r="AB119" s="11">
        <v>26.275957145522302</v>
      </c>
      <c r="AC119" s="11">
        <v>5.5633080527147003</v>
      </c>
      <c r="AD119" s="11">
        <v>8.1984454095477108</v>
      </c>
      <c r="AE119" s="11">
        <v>13.600923920544799</v>
      </c>
      <c r="AF119" s="11">
        <v>11.8516586523992</v>
      </c>
      <c r="AG119" s="11">
        <v>11.0255107897814</v>
      </c>
      <c r="AH119" s="11">
        <v>16.5730019780876</v>
      </c>
      <c r="AI119" s="11">
        <v>22.628100717936299</v>
      </c>
      <c r="AJ119" s="11">
        <v>39.588558008340001</v>
      </c>
      <c r="AK119" s="16">
        <v>-1.0518421517346901</v>
      </c>
      <c r="AL119" s="16">
        <v>-1.9976930008642699</v>
      </c>
      <c r="AM119" s="26">
        <v>3.5681619645771701E-3</v>
      </c>
      <c r="AN119" s="27">
        <v>7.1684695324388103E-3</v>
      </c>
      <c r="AO119" s="11">
        <v>32.2201680120438</v>
      </c>
      <c r="AP119" s="11">
        <v>16.128688441169</v>
      </c>
      <c r="AQ119" t="s">
        <v>5875</v>
      </c>
      <c r="AR119" t="s">
        <v>5876</v>
      </c>
      <c r="AS119" t="s">
        <v>3492</v>
      </c>
    </row>
    <row r="120" spans="1:45">
      <c r="A120" t="s">
        <v>4953</v>
      </c>
      <c r="B120" s="2">
        <v>8</v>
      </c>
      <c r="C120" s="2">
        <v>16</v>
      </c>
      <c r="D120" s="2">
        <v>8</v>
      </c>
      <c r="E120" s="2">
        <v>16</v>
      </c>
      <c r="F120" s="2">
        <v>20</v>
      </c>
      <c r="G120" s="2">
        <v>10</v>
      </c>
      <c r="H120" s="2">
        <v>1</v>
      </c>
      <c r="I120" s="2">
        <v>7</v>
      </c>
      <c r="J120" s="2">
        <v>0</v>
      </c>
      <c r="K120" s="2">
        <v>0</v>
      </c>
      <c r="L120" s="2">
        <v>19</v>
      </c>
      <c r="M120" s="2">
        <v>29</v>
      </c>
      <c r="N120" s="2">
        <v>2</v>
      </c>
      <c r="O120" s="2">
        <v>3</v>
      </c>
      <c r="P120" s="2">
        <v>12</v>
      </c>
      <c r="Q120" s="2">
        <v>38</v>
      </c>
      <c r="R120" s="2">
        <v>185</v>
      </c>
      <c r="S120" s="2">
        <v>0</v>
      </c>
      <c r="T120" s="2">
        <v>3</v>
      </c>
      <c r="U120" s="11">
        <v>9.6931471666778304</v>
      </c>
      <c r="V120" s="11">
        <v>15.4090259308391</v>
      </c>
      <c r="W120" s="11">
        <v>12.806381294498101</v>
      </c>
      <c r="X120" s="11">
        <v>24.1907481464517</v>
      </c>
      <c r="Y120" s="11">
        <v>17.203527198737799</v>
      </c>
      <c r="Z120" s="11">
        <v>9.2972724663949098</v>
      </c>
      <c r="AA120" s="11">
        <v>1.05406228286464</v>
      </c>
      <c r="AB120" s="11">
        <v>6.8122851858761404</v>
      </c>
      <c r="AC120" s="11">
        <v>0.19868957331123899</v>
      </c>
      <c r="AD120" s="11">
        <v>11.982343290877401</v>
      </c>
      <c r="AE120" s="11">
        <v>23.201576099752899</v>
      </c>
      <c r="AF120" s="11">
        <v>1.6930940931998799</v>
      </c>
      <c r="AG120" s="11">
        <v>11.0255107897814</v>
      </c>
      <c r="AH120" s="11">
        <v>29.989241674634702</v>
      </c>
      <c r="AI120" s="11">
        <v>279.07990885454802</v>
      </c>
      <c r="AJ120" s="11">
        <v>4.5679105394238499</v>
      </c>
      <c r="AK120" s="16">
        <v>1.89120880089126</v>
      </c>
      <c r="AL120" s="16">
        <v>3.74988688963071</v>
      </c>
      <c r="AM120" s="26">
        <v>2.9262617838748999E-2</v>
      </c>
      <c r="AN120" s="27">
        <v>4.7982086603242803E-2</v>
      </c>
      <c r="AO120" s="11">
        <v>12.058306209042501</v>
      </c>
      <c r="AP120" s="11">
        <v>45.217284364441198</v>
      </c>
      <c r="AQ120" t="s">
        <v>5874</v>
      </c>
      <c r="AR120" t="s">
        <v>5878</v>
      </c>
      <c r="AS120" t="s">
        <v>4953</v>
      </c>
    </row>
    <row r="121" spans="1:45">
      <c r="A121" t="s">
        <v>4004</v>
      </c>
      <c r="B121" s="2">
        <v>12</v>
      </c>
      <c r="C121" s="2">
        <v>36</v>
      </c>
      <c r="D121" s="2">
        <v>4</v>
      </c>
      <c r="E121" s="2">
        <v>9</v>
      </c>
      <c r="F121" s="2">
        <v>44</v>
      </c>
      <c r="G121" s="2">
        <v>35</v>
      </c>
      <c r="H121" s="2">
        <v>17</v>
      </c>
      <c r="I121" s="2">
        <v>23</v>
      </c>
      <c r="J121" s="2">
        <v>45</v>
      </c>
      <c r="K121" s="2">
        <v>7</v>
      </c>
      <c r="L121" s="2">
        <v>24</v>
      </c>
      <c r="M121" s="2">
        <v>20</v>
      </c>
      <c r="N121" s="2">
        <v>27</v>
      </c>
      <c r="O121" s="2">
        <v>5</v>
      </c>
      <c r="P121" s="2">
        <v>28</v>
      </c>
      <c r="Q121" s="2">
        <v>19</v>
      </c>
      <c r="R121" s="2">
        <v>3</v>
      </c>
      <c r="S121" s="2">
        <v>1</v>
      </c>
      <c r="T121" s="2">
        <v>6</v>
      </c>
      <c r="U121" s="11">
        <v>14.5397207500168</v>
      </c>
      <c r="V121" s="11">
        <v>34.670308344388097</v>
      </c>
      <c r="W121" s="11">
        <v>6.4031906472490299</v>
      </c>
      <c r="X121" s="11">
        <v>13.6072958323791</v>
      </c>
      <c r="Y121" s="11">
        <v>37.8477598372233</v>
      </c>
      <c r="Z121" s="11">
        <v>32.540453632382203</v>
      </c>
      <c r="AA121" s="11">
        <v>17.9190588086989</v>
      </c>
      <c r="AB121" s="11">
        <v>22.383222753593</v>
      </c>
      <c r="AC121" s="11">
        <v>35.7641231960231</v>
      </c>
      <c r="AD121" s="11">
        <v>15.135591525318899</v>
      </c>
      <c r="AE121" s="11">
        <v>16.0010869653469</v>
      </c>
      <c r="AF121" s="11">
        <v>22.856770258198399</v>
      </c>
      <c r="AG121" s="11">
        <v>25.726191842823201</v>
      </c>
      <c r="AH121" s="11">
        <v>14.994620837317401</v>
      </c>
      <c r="AI121" s="11">
        <v>4.5256201435872701</v>
      </c>
      <c r="AJ121" s="11">
        <v>9.1358210788476999</v>
      </c>
      <c r="AK121" s="16">
        <v>-0.31626539587827701</v>
      </c>
      <c r="AL121" s="16">
        <v>-1.2481700289850699</v>
      </c>
      <c r="AM121" s="26">
        <v>0.43644438721589202</v>
      </c>
      <c r="AN121" s="27">
        <v>0.52046576657296295</v>
      </c>
      <c r="AO121" s="11">
        <v>22.488876325741298</v>
      </c>
      <c r="AP121" s="11">
        <v>18.017478230932799</v>
      </c>
      <c r="AQ121" t="s">
        <v>5875</v>
      </c>
      <c r="AR121" t="s">
        <v>5832</v>
      </c>
      <c r="AS121" t="s">
        <v>4004</v>
      </c>
    </row>
    <row r="122" spans="1:45">
      <c r="A122" t="s">
        <v>5794</v>
      </c>
      <c r="B122" s="2">
        <v>0</v>
      </c>
      <c r="C122" s="2">
        <v>3</v>
      </c>
      <c r="D122" s="2">
        <v>8</v>
      </c>
      <c r="E122" s="2">
        <v>0</v>
      </c>
      <c r="F122" s="2">
        <v>0</v>
      </c>
      <c r="G122" s="2">
        <v>0</v>
      </c>
      <c r="H122" s="2">
        <v>1</v>
      </c>
      <c r="I122" s="2">
        <v>9</v>
      </c>
      <c r="J122" s="2">
        <v>26</v>
      </c>
      <c r="K122" s="2">
        <v>25</v>
      </c>
      <c r="L122" s="2">
        <v>35</v>
      </c>
      <c r="M122" s="2">
        <v>33</v>
      </c>
      <c r="N122" s="2">
        <v>13</v>
      </c>
      <c r="O122" s="2">
        <v>9</v>
      </c>
      <c r="P122" s="2">
        <v>58</v>
      </c>
      <c r="Q122" s="2">
        <v>59</v>
      </c>
      <c r="R122" s="2">
        <v>54</v>
      </c>
      <c r="S122" s="2">
        <v>11</v>
      </c>
      <c r="T122" s="2">
        <v>20</v>
      </c>
      <c r="U122" s="11">
        <v>0.30291084895868198</v>
      </c>
      <c r="V122" s="11">
        <v>2.8891923620323401</v>
      </c>
      <c r="W122" s="11">
        <v>12.806381294498101</v>
      </c>
      <c r="X122" s="11">
        <v>0.37798043978830698</v>
      </c>
      <c r="Y122" s="11">
        <v>0.215044089984223</v>
      </c>
      <c r="Z122" s="11">
        <v>0.23243181165987301</v>
      </c>
      <c r="AA122" s="11">
        <v>1.05406228286464</v>
      </c>
      <c r="AB122" s="11">
        <v>8.7586523818407507</v>
      </c>
      <c r="AC122" s="11">
        <v>20.663715624368901</v>
      </c>
      <c r="AD122" s="11">
        <v>22.072737641090001</v>
      </c>
      <c r="AE122" s="11">
        <v>26.4017934928223</v>
      </c>
      <c r="AF122" s="11">
        <v>11.0051116057992</v>
      </c>
      <c r="AG122" s="11">
        <v>53.289968817276602</v>
      </c>
      <c r="AH122" s="11">
        <v>46.562243652722401</v>
      </c>
      <c r="AI122" s="11">
        <v>81.461162584570801</v>
      </c>
      <c r="AJ122" s="11">
        <v>30.4527369294923</v>
      </c>
      <c r="AK122" s="16">
        <v>3.4632591061136102</v>
      </c>
      <c r="AL122" s="16">
        <v>10.958938528176899</v>
      </c>
      <c r="AM122" s="26">
        <v>1.5287569214411201E-7</v>
      </c>
      <c r="AN122" s="27">
        <v>9.7403655280391107E-7</v>
      </c>
      <c r="AO122" s="11">
        <v>3.3295819389533601</v>
      </c>
      <c r="AP122" s="11">
        <v>36.488683793517801</v>
      </c>
      <c r="AQ122" t="s">
        <v>5874</v>
      </c>
      <c r="AR122" t="s">
        <v>5876</v>
      </c>
      <c r="AS122" t="s">
        <v>5794</v>
      </c>
    </row>
    <row r="123" spans="1:45">
      <c r="A123" t="s">
        <v>2436</v>
      </c>
      <c r="B123" s="2">
        <v>10</v>
      </c>
      <c r="C123" s="2">
        <v>19</v>
      </c>
      <c r="D123" s="2">
        <v>6</v>
      </c>
      <c r="E123" s="2">
        <v>11</v>
      </c>
      <c r="F123" s="2">
        <v>8</v>
      </c>
      <c r="G123" s="2">
        <v>11</v>
      </c>
      <c r="H123" s="2">
        <v>5</v>
      </c>
      <c r="I123" s="2">
        <v>7</v>
      </c>
      <c r="J123" s="2">
        <v>52</v>
      </c>
      <c r="K123" s="2">
        <v>25</v>
      </c>
      <c r="L123" s="2">
        <v>47</v>
      </c>
      <c r="M123" s="2">
        <v>24</v>
      </c>
      <c r="N123" s="2">
        <v>36</v>
      </c>
      <c r="O123" s="2">
        <v>11</v>
      </c>
      <c r="P123" s="2">
        <v>23</v>
      </c>
      <c r="Q123" s="2">
        <v>26</v>
      </c>
      <c r="R123" s="2">
        <v>16</v>
      </c>
      <c r="S123" s="2">
        <v>9</v>
      </c>
      <c r="T123" s="2">
        <v>17</v>
      </c>
      <c r="U123" s="11">
        <v>12.116433958347301</v>
      </c>
      <c r="V123" s="11">
        <v>18.2982182928715</v>
      </c>
      <c r="W123" s="11">
        <v>9.6047859708735501</v>
      </c>
      <c r="X123" s="11">
        <v>16.631139350685501</v>
      </c>
      <c r="Y123" s="11">
        <v>6.8814108794951396</v>
      </c>
      <c r="Z123" s="11">
        <v>10.226999713034401</v>
      </c>
      <c r="AA123" s="11">
        <v>5.2703114143232002</v>
      </c>
      <c r="AB123" s="11">
        <v>6.8122851858761404</v>
      </c>
      <c r="AC123" s="11">
        <v>41.327431248737803</v>
      </c>
      <c r="AD123" s="11">
        <v>29.640533403749401</v>
      </c>
      <c r="AE123" s="11">
        <v>19.201304358416198</v>
      </c>
      <c r="AF123" s="11">
        <v>30.475693677597899</v>
      </c>
      <c r="AG123" s="11">
        <v>21.132229013747601</v>
      </c>
      <c r="AH123" s="11">
        <v>20.5189548300133</v>
      </c>
      <c r="AI123" s="11">
        <v>24.136640765798798</v>
      </c>
      <c r="AJ123" s="11">
        <v>25.884826390068501</v>
      </c>
      <c r="AK123" s="16">
        <v>1.3187771774682799</v>
      </c>
      <c r="AL123" s="16">
        <v>2.4733654937536</v>
      </c>
      <c r="AM123" s="26">
        <v>4.9753791290259997E-5</v>
      </c>
      <c r="AN123" s="27">
        <v>1.5214270737968699E-4</v>
      </c>
      <c r="AO123" s="11">
        <v>10.7301980956883</v>
      </c>
      <c r="AP123" s="11">
        <v>26.5397017110162</v>
      </c>
      <c r="AQ123" t="s">
        <v>5874</v>
      </c>
      <c r="AR123" t="s">
        <v>5876</v>
      </c>
      <c r="AS123" t="s">
        <v>2436</v>
      </c>
    </row>
    <row r="124" spans="1:45">
      <c r="A124" t="s">
        <v>470</v>
      </c>
      <c r="B124" s="2">
        <v>6</v>
      </c>
      <c r="C124" s="2">
        <v>12</v>
      </c>
      <c r="D124" s="2">
        <v>5</v>
      </c>
      <c r="E124" s="2">
        <v>11</v>
      </c>
      <c r="F124" s="2">
        <v>20</v>
      </c>
      <c r="G124" s="2">
        <v>12</v>
      </c>
      <c r="H124" s="2">
        <v>14</v>
      </c>
      <c r="I124" s="2">
        <v>12</v>
      </c>
      <c r="J124" s="2">
        <v>31</v>
      </c>
      <c r="K124" s="2">
        <v>11</v>
      </c>
      <c r="L124" s="2">
        <v>31</v>
      </c>
      <c r="M124" s="2">
        <v>42</v>
      </c>
      <c r="N124" s="2">
        <v>36</v>
      </c>
      <c r="O124" s="2">
        <v>20</v>
      </c>
      <c r="P124" s="2">
        <v>29</v>
      </c>
      <c r="Q124" s="2">
        <v>24</v>
      </c>
      <c r="R124" s="2">
        <v>22</v>
      </c>
      <c r="S124" s="2">
        <v>6</v>
      </c>
      <c r="T124" s="2">
        <v>14</v>
      </c>
      <c r="U124" s="11">
        <v>7.2698603750083803</v>
      </c>
      <c r="V124" s="11">
        <v>11.556769448129399</v>
      </c>
      <c r="W124" s="11">
        <v>8.00398830906129</v>
      </c>
      <c r="X124" s="11">
        <v>16.631139350685501</v>
      </c>
      <c r="Y124" s="11">
        <v>17.203527198737799</v>
      </c>
      <c r="Z124" s="11">
        <v>11.1567269596739</v>
      </c>
      <c r="AA124" s="11">
        <v>14.756871960105</v>
      </c>
      <c r="AB124" s="11">
        <v>11.678203175787701</v>
      </c>
      <c r="AC124" s="11">
        <v>24.637507090593701</v>
      </c>
      <c r="AD124" s="11">
        <v>19.550139053536899</v>
      </c>
      <c r="AE124" s="11">
        <v>33.602282627228398</v>
      </c>
      <c r="AF124" s="11">
        <v>30.475693677597899</v>
      </c>
      <c r="AG124" s="11">
        <v>26.644984408638301</v>
      </c>
      <c r="AH124" s="11">
        <v>18.940573689242999</v>
      </c>
      <c r="AI124" s="11">
        <v>33.187881052973303</v>
      </c>
      <c r="AJ124" s="11">
        <v>21.316915850644602</v>
      </c>
      <c r="AK124" s="16">
        <v>1.0590194253513801</v>
      </c>
      <c r="AL124" s="16">
        <v>2.1205185731074101</v>
      </c>
      <c r="AM124" s="26">
        <v>2.07364225554015E-4</v>
      </c>
      <c r="AN124" s="27">
        <v>5.3987415568573099E-4</v>
      </c>
      <c r="AO124" s="11">
        <v>12.2821358471486</v>
      </c>
      <c r="AP124" s="11">
        <v>26.044497181307001</v>
      </c>
      <c r="AQ124" t="s">
        <v>5874</v>
      </c>
      <c r="AR124" t="s">
        <v>5876</v>
      </c>
      <c r="AS124" t="s">
        <v>470</v>
      </c>
    </row>
    <row r="125" spans="1:45">
      <c r="A125" t="s">
        <v>1774</v>
      </c>
      <c r="B125" s="2">
        <v>35</v>
      </c>
      <c r="C125" s="2">
        <v>30</v>
      </c>
      <c r="D125" s="2">
        <v>25</v>
      </c>
      <c r="E125" s="2">
        <v>39</v>
      </c>
      <c r="F125" s="2">
        <v>30</v>
      </c>
      <c r="G125" s="2">
        <v>33</v>
      </c>
      <c r="H125" s="2">
        <v>32</v>
      </c>
      <c r="I125" s="2">
        <v>11</v>
      </c>
      <c r="J125" s="2">
        <v>15</v>
      </c>
      <c r="K125" s="2">
        <v>4</v>
      </c>
      <c r="L125" s="2">
        <v>20</v>
      </c>
      <c r="M125" s="2">
        <v>17</v>
      </c>
      <c r="N125" s="2">
        <v>8</v>
      </c>
      <c r="O125" s="2">
        <v>2</v>
      </c>
      <c r="P125" s="2">
        <v>10</v>
      </c>
      <c r="Q125" s="2">
        <v>13</v>
      </c>
      <c r="R125" s="2">
        <v>13</v>
      </c>
      <c r="S125" s="2">
        <v>8</v>
      </c>
      <c r="T125" s="2">
        <v>7</v>
      </c>
      <c r="U125" s="11">
        <v>42.407518854215503</v>
      </c>
      <c r="V125" s="11">
        <v>28.8919236203234</v>
      </c>
      <c r="W125" s="11">
        <v>40.019941545306402</v>
      </c>
      <c r="X125" s="11">
        <v>58.964948606976002</v>
      </c>
      <c r="Y125" s="11">
        <v>25.8052907981068</v>
      </c>
      <c r="Z125" s="11">
        <v>30.6809991391032</v>
      </c>
      <c r="AA125" s="11">
        <v>33.729993051668501</v>
      </c>
      <c r="AB125" s="11">
        <v>10.7050195778054</v>
      </c>
      <c r="AC125" s="11">
        <v>11.9213743986744</v>
      </c>
      <c r="AD125" s="11">
        <v>12.6129929377657</v>
      </c>
      <c r="AE125" s="11">
        <v>13.600923920544799</v>
      </c>
      <c r="AF125" s="11">
        <v>6.7723763727995303</v>
      </c>
      <c r="AG125" s="11">
        <v>9.1879256581511406</v>
      </c>
      <c r="AH125" s="11">
        <v>10.2594774150066</v>
      </c>
      <c r="AI125" s="11">
        <v>19.611020622211502</v>
      </c>
      <c r="AJ125" s="11">
        <v>10.658457925322301</v>
      </c>
      <c r="AK125" s="16">
        <v>-1.51129436722679</v>
      </c>
      <c r="AL125" s="16">
        <v>-2.8661234039341101</v>
      </c>
      <c r="AM125" s="26">
        <v>1.1717218827024201E-5</v>
      </c>
      <c r="AN125" s="27">
        <v>4.21441902971998E-5</v>
      </c>
      <c r="AO125" s="11">
        <v>33.900704399188101</v>
      </c>
      <c r="AP125" s="11">
        <v>11.828068656309499</v>
      </c>
      <c r="AQ125" t="s">
        <v>5875</v>
      </c>
      <c r="AR125" t="s">
        <v>5876</v>
      </c>
      <c r="AS125" t="s">
        <v>1774</v>
      </c>
    </row>
    <row r="126" spans="1:45">
      <c r="A126" t="s">
        <v>125</v>
      </c>
      <c r="B126" s="2">
        <v>18</v>
      </c>
      <c r="C126" s="2">
        <v>17</v>
      </c>
      <c r="D126" s="2">
        <v>23</v>
      </c>
      <c r="E126" s="2">
        <v>20</v>
      </c>
      <c r="F126" s="2">
        <v>19</v>
      </c>
      <c r="G126" s="2">
        <v>22</v>
      </c>
      <c r="H126" s="2">
        <v>20</v>
      </c>
      <c r="I126" s="2">
        <v>17</v>
      </c>
      <c r="J126" s="2">
        <v>10</v>
      </c>
      <c r="K126" s="2">
        <v>18</v>
      </c>
      <c r="L126" s="2">
        <v>11</v>
      </c>
      <c r="M126" s="2">
        <v>22</v>
      </c>
      <c r="N126" s="2">
        <v>11</v>
      </c>
      <c r="O126" s="2">
        <v>14</v>
      </c>
      <c r="P126" s="2">
        <v>17</v>
      </c>
      <c r="Q126" s="2">
        <v>14</v>
      </c>
      <c r="R126" s="2">
        <v>18</v>
      </c>
      <c r="S126" s="2">
        <v>29</v>
      </c>
      <c r="T126" s="2">
        <v>27</v>
      </c>
      <c r="U126" s="11">
        <v>21.809581125025101</v>
      </c>
      <c r="V126" s="11">
        <v>16.372090051516601</v>
      </c>
      <c r="W126" s="11">
        <v>36.8183462216819</v>
      </c>
      <c r="X126" s="11">
        <v>30.238435183064599</v>
      </c>
      <c r="Y126" s="11">
        <v>16.343350838801001</v>
      </c>
      <c r="Z126" s="11">
        <v>20.453999426068801</v>
      </c>
      <c r="AA126" s="11">
        <v>21.081245657292801</v>
      </c>
      <c r="AB126" s="11">
        <v>16.544121165699199</v>
      </c>
      <c r="AC126" s="11">
        <v>7.9475829324495697</v>
      </c>
      <c r="AD126" s="11">
        <v>6.9371461157711396</v>
      </c>
      <c r="AE126" s="11">
        <v>17.601195661881501</v>
      </c>
      <c r="AF126" s="11">
        <v>9.3120175125993505</v>
      </c>
      <c r="AG126" s="11">
        <v>15.619473618856899</v>
      </c>
      <c r="AH126" s="11">
        <v>11.048667985391701</v>
      </c>
      <c r="AI126" s="11">
        <v>27.153720861523599</v>
      </c>
      <c r="AJ126" s="11">
        <v>41.111194854814599</v>
      </c>
      <c r="AK126" s="16">
        <v>-0.42926127018412402</v>
      </c>
      <c r="AL126" s="16">
        <v>-1.3139753989165399</v>
      </c>
      <c r="AM126" s="26">
        <v>0.29690680935559699</v>
      </c>
      <c r="AN126" s="27">
        <v>0.37548328064063302</v>
      </c>
      <c r="AO126" s="11">
        <v>22.457646208643801</v>
      </c>
      <c r="AP126" s="11">
        <v>17.091374942911099</v>
      </c>
      <c r="AQ126" t="s">
        <v>5875</v>
      </c>
      <c r="AR126" t="s">
        <v>5832</v>
      </c>
      <c r="AS126" t="s">
        <v>125</v>
      </c>
    </row>
    <row r="127" spans="1:45">
      <c r="A127" t="s">
        <v>461</v>
      </c>
      <c r="B127" s="2">
        <v>17</v>
      </c>
      <c r="C127" s="2">
        <v>35</v>
      </c>
      <c r="D127" s="2">
        <v>28</v>
      </c>
      <c r="E127" s="2">
        <v>45</v>
      </c>
      <c r="F127" s="2">
        <v>37</v>
      </c>
      <c r="G127" s="2">
        <v>36</v>
      </c>
      <c r="H127" s="2">
        <v>26</v>
      </c>
      <c r="I127" s="2">
        <v>15</v>
      </c>
      <c r="J127" s="2">
        <v>10</v>
      </c>
      <c r="K127" s="2">
        <v>0</v>
      </c>
      <c r="L127" s="2">
        <v>16</v>
      </c>
      <c r="M127" s="2">
        <v>15</v>
      </c>
      <c r="N127" s="2">
        <v>19</v>
      </c>
      <c r="O127" s="2">
        <v>3</v>
      </c>
      <c r="P127" s="2">
        <v>11</v>
      </c>
      <c r="Q127" s="2">
        <v>17</v>
      </c>
      <c r="R127" s="2">
        <v>6</v>
      </c>
      <c r="S127" s="2">
        <v>3</v>
      </c>
      <c r="T127" s="2">
        <v>8</v>
      </c>
      <c r="U127" s="11">
        <v>20.597937729190399</v>
      </c>
      <c r="V127" s="11">
        <v>33.707244223710603</v>
      </c>
      <c r="W127" s="11">
        <v>44.822334530743198</v>
      </c>
      <c r="X127" s="11">
        <v>68.036479161895301</v>
      </c>
      <c r="Y127" s="11">
        <v>31.826525317664998</v>
      </c>
      <c r="Z127" s="11">
        <v>33.470180879021697</v>
      </c>
      <c r="AA127" s="11">
        <v>27.405619354480699</v>
      </c>
      <c r="AB127" s="11">
        <v>14.597753969734599</v>
      </c>
      <c r="AC127" s="11">
        <v>7.9475829324495697</v>
      </c>
      <c r="AD127" s="11">
        <v>10.0903943502126</v>
      </c>
      <c r="AE127" s="11">
        <v>12.0008152240101</v>
      </c>
      <c r="AF127" s="11">
        <v>16.084393885398899</v>
      </c>
      <c r="AG127" s="11">
        <v>10.1067182239663</v>
      </c>
      <c r="AH127" s="11">
        <v>13.4162396965471</v>
      </c>
      <c r="AI127" s="11">
        <v>9.0512402871745401</v>
      </c>
      <c r="AJ127" s="11">
        <v>12.1810947717969</v>
      </c>
      <c r="AK127" s="16">
        <v>-1.5646348014789599</v>
      </c>
      <c r="AL127" s="16">
        <v>-3.0201217831154201</v>
      </c>
      <c r="AM127" s="26">
        <v>3.9408049942473096E-6</v>
      </c>
      <c r="AN127" s="27">
        <v>1.6075600860679599E-5</v>
      </c>
      <c r="AO127" s="11">
        <v>34.3080093958052</v>
      </c>
      <c r="AP127" s="11">
        <v>11.3598099214445</v>
      </c>
      <c r="AQ127" t="s">
        <v>5875</v>
      </c>
      <c r="AR127" t="s">
        <v>5876</v>
      </c>
      <c r="AS127" t="s">
        <v>461</v>
      </c>
    </row>
    <row r="128" spans="1:45">
      <c r="A128" t="s">
        <v>3662</v>
      </c>
      <c r="B128" s="2">
        <v>11</v>
      </c>
      <c r="C128" s="2">
        <v>15</v>
      </c>
      <c r="D128" s="2">
        <v>18</v>
      </c>
      <c r="E128" s="2">
        <v>22</v>
      </c>
      <c r="F128" s="2">
        <v>49</v>
      </c>
      <c r="G128" s="2">
        <v>47</v>
      </c>
      <c r="H128" s="2">
        <v>38</v>
      </c>
      <c r="I128" s="2">
        <v>27</v>
      </c>
      <c r="J128" s="2">
        <v>18</v>
      </c>
      <c r="K128" s="2">
        <v>4</v>
      </c>
      <c r="L128" s="2">
        <v>13</v>
      </c>
      <c r="M128" s="2">
        <v>17</v>
      </c>
      <c r="N128" s="2">
        <v>9</v>
      </c>
      <c r="O128" s="2">
        <v>6</v>
      </c>
      <c r="P128" s="2">
        <v>15</v>
      </c>
      <c r="Q128" s="2">
        <v>19</v>
      </c>
      <c r="R128" s="2">
        <v>7</v>
      </c>
      <c r="S128" s="2">
        <v>5</v>
      </c>
      <c r="T128" s="2">
        <v>7</v>
      </c>
      <c r="U128" s="11">
        <v>13.328077354182</v>
      </c>
      <c r="V128" s="11">
        <v>14.4459618101617</v>
      </c>
      <c r="W128" s="11">
        <v>28.814357912620601</v>
      </c>
      <c r="X128" s="11">
        <v>33.262278701371102</v>
      </c>
      <c r="Y128" s="11">
        <v>42.148641636907698</v>
      </c>
      <c r="Z128" s="11">
        <v>43.6971805920561</v>
      </c>
      <c r="AA128" s="11">
        <v>40.054366748856303</v>
      </c>
      <c r="AB128" s="11">
        <v>26.275957145522302</v>
      </c>
      <c r="AC128" s="11">
        <v>14.3056492784092</v>
      </c>
      <c r="AD128" s="11">
        <v>8.1984454095477108</v>
      </c>
      <c r="AE128" s="11">
        <v>13.600923920544799</v>
      </c>
      <c r="AF128" s="11">
        <v>7.6189234193994704</v>
      </c>
      <c r="AG128" s="11">
        <v>13.7818884872267</v>
      </c>
      <c r="AH128" s="11">
        <v>14.994620837317401</v>
      </c>
      <c r="AI128" s="11">
        <v>10.559780335037001</v>
      </c>
      <c r="AJ128" s="11">
        <v>10.658457925322301</v>
      </c>
      <c r="AK128" s="16">
        <v>-1.3604879786606701</v>
      </c>
      <c r="AL128" s="16">
        <v>-2.5824819243803199</v>
      </c>
      <c r="AM128" s="26">
        <v>3.91358361557321E-5</v>
      </c>
      <c r="AN128" s="27">
        <v>1.2291959806659501E-4</v>
      </c>
      <c r="AO128" s="11">
        <v>30.253352737709701</v>
      </c>
      <c r="AP128" s="11">
        <v>11.714836201600599</v>
      </c>
      <c r="AQ128" t="s">
        <v>5875</v>
      </c>
      <c r="AR128" t="s">
        <v>5876</v>
      </c>
      <c r="AS128" t="s">
        <v>3662</v>
      </c>
    </row>
    <row r="129" spans="1:45">
      <c r="A129" t="s">
        <v>4628</v>
      </c>
      <c r="B129" s="2">
        <v>41</v>
      </c>
      <c r="C129" s="2">
        <v>38</v>
      </c>
      <c r="D129" s="2">
        <v>23</v>
      </c>
      <c r="E129" s="2">
        <v>15</v>
      </c>
      <c r="F129" s="2">
        <v>26</v>
      </c>
      <c r="G129" s="2">
        <v>25</v>
      </c>
      <c r="H129" s="2">
        <v>37</v>
      </c>
      <c r="I129" s="2">
        <v>23</v>
      </c>
      <c r="J129" s="2">
        <v>7</v>
      </c>
      <c r="K129" s="2">
        <v>4</v>
      </c>
      <c r="L129" s="2">
        <v>13</v>
      </c>
      <c r="M129" s="2">
        <v>22</v>
      </c>
      <c r="N129" s="2">
        <v>11</v>
      </c>
      <c r="O129" s="2">
        <v>7</v>
      </c>
      <c r="P129" s="2">
        <v>12</v>
      </c>
      <c r="Q129" s="2">
        <v>13</v>
      </c>
      <c r="R129" s="2">
        <v>12</v>
      </c>
      <c r="S129" s="2">
        <v>5</v>
      </c>
      <c r="T129" s="2">
        <v>9</v>
      </c>
      <c r="U129" s="11">
        <v>49.677379229223902</v>
      </c>
      <c r="V129" s="11">
        <v>36.596436585743</v>
      </c>
      <c r="W129" s="11">
        <v>36.8183462216819</v>
      </c>
      <c r="X129" s="11">
        <v>22.6788263872984</v>
      </c>
      <c r="Y129" s="11">
        <v>22.3645853583592</v>
      </c>
      <c r="Z129" s="11">
        <v>23.243181165987298</v>
      </c>
      <c r="AA129" s="11">
        <v>39.000304465991697</v>
      </c>
      <c r="AB129" s="11">
        <v>22.383222753593</v>
      </c>
      <c r="AC129" s="11">
        <v>5.5633080527147003</v>
      </c>
      <c r="AD129" s="11">
        <v>8.1984454095477108</v>
      </c>
      <c r="AE129" s="11">
        <v>17.601195661881501</v>
      </c>
      <c r="AF129" s="11">
        <v>9.3120175125993505</v>
      </c>
      <c r="AG129" s="11">
        <v>11.0255107897814</v>
      </c>
      <c r="AH129" s="11">
        <v>10.2594774150066</v>
      </c>
      <c r="AI129" s="11">
        <v>18.102480574349102</v>
      </c>
      <c r="AJ129" s="11">
        <v>13.7037316182716</v>
      </c>
      <c r="AK129" s="16">
        <v>-1.4508834610111301</v>
      </c>
      <c r="AL129" s="16">
        <v>-2.69566614657306</v>
      </c>
      <c r="AM129" s="26">
        <v>8.5157461508553105E-6</v>
      </c>
      <c r="AN129" s="27">
        <v>3.1650189860678899E-5</v>
      </c>
      <c r="AO129" s="11">
        <v>31.5952852709848</v>
      </c>
      <c r="AP129" s="11">
        <v>11.720770879269001</v>
      </c>
      <c r="AQ129" t="s">
        <v>5875</v>
      </c>
      <c r="AR129" t="s">
        <v>5876</v>
      </c>
      <c r="AS129" t="s">
        <v>4628</v>
      </c>
    </row>
    <row r="130" spans="1:45">
      <c r="A130" t="s">
        <v>912</v>
      </c>
      <c r="B130" s="2">
        <v>33</v>
      </c>
      <c r="C130" s="2">
        <v>27</v>
      </c>
      <c r="D130" s="2">
        <v>33</v>
      </c>
      <c r="E130" s="2">
        <v>30</v>
      </c>
      <c r="F130" s="2">
        <v>41</v>
      </c>
      <c r="G130" s="2">
        <v>36</v>
      </c>
      <c r="H130" s="2">
        <v>30</v>
      </c>
      <c r="I130" s="2">
        <v>17</v>
      </c>
      <c r="J130" s="2">
        <v>9</v>
      </c>
      <c r="K130" s="2">
        <v>0</v>
      </c>
      <c r="L130" s="2">
        <v>14</v>
      </c>
      <c r="M130" s="2">
        <v>22</v>
      </c>
      <c r="N130" s="2">
        <v>11</v>
      </c>
      <c r="O130" s="2">
        <v>0</v>
      </c>
      <c r="P130" s="2">
        <v>5</v>
      </c>
      <c r="Q130" s="2">
        <v>14</v>
      </c>
      <c r="R130" s="2">
        <v>7</v>
      </c>
      <c r="S130" s="2">
        <v>5</v>
      </c>
      <c r="T130" s="2">
        <v>7</v>
      </c>
      <c r="U130" s="11">
        <v>39.984232062546099</v>
      </c>
      <c r="V130" s="11">
        <v>26.002731258291099</v>
      </c>
      <c r="W130" s="11">
        <v>52.826322839804497</v>
      </c>
      <c r="X130" s="11">
        <v>45.3576527745969</v>
      </c>
      <c r="Y130" s="11">
        <v>35.267230757412598</v>
      </c>
      <c r="Z130" s="11">
        <v>33.470180879021697</v>
      </c>
      <c r="AA130" s="11">
        <v>31.621868485939199</v>
      </c>
      <c r="AB130" s="11">
        <v>16.544121165699199</v>
      </c>
      <c r="AC130" s="11">
        <v>7.1528246392046197</v>
      </c>
      <c r="AD130" s="11">
        <v>8.8290950564359996</v>
      </c>
      <c r="AE130" s="11">
        <v>17.601195661881501</v>
      </c>
      <c r="AF130" s="11">
        <v>9.3120175125993505</v>
      </c>
      <c r="AG130" s="11">
        <v>4.5939628290755703</v>
      </c>
      <c r="AH130" s="11">
        <v>11.048667985391701</v>
      </c>
      <c r="AI130" s="11">
        <v>10.559780335037001</v>
      </c>
      <c r="AJ130" s="11">
        <v>10.658457925322301</v>
      </c>
      <c r="AK130" s="16">
        <v>-1.7924906649874299</v>
      </c>
      <c r="AL130" s="16">
        <v>-3.5241779097368</v>
      </c>
      <c r="AM130" s="26">
        <v>4.2462251596292002E-8</v>
      </c>
      <c r="AN130" s="27">
        <v>3.2280961724908301E-7</v>
      </c>
      <c r="AO130" s="11">
        <v>35.1342925279139</v>
      </c>
      <c r="AP130" s="11">
        <v>9.9695002431185102</v>
      </c>
      <c r="AQ130" t="s">
        <v>5875</v>
      </c>
      <c r="AR130" t="s">
        <v>5876</v>
      </c>
      <c r="AS130" t="s">
        <v>912</v>
      </c>
    </row>
    <row r="131" spans="1:45">
      <c r="A131" t="s">
        <v>2487</v>
      </c>
      <c r="B131" s="2">
        <v>2</v>
      </c>
      <c r="C131" s="2">
        <v>3.6</v>
      </c>
      <c r="D131" s="2">
        <v>0</v>
      </c>
      <c r="E131" s="2">
        <v>0.33300000000000002</v>
      </c>
      <c r="F131" s="2">
        <v>3</v>
      </c>
      <c r="G131" s="2">
        <v>8.8889999999999993</v>
      </c>
      <c r="H131" s="2">
        <v>1</v>
      </c>
      <c r="I131" s="2">
        <v>2</v>
      </c>
      <c r="J131" s="2">
        <v>40</v>
      </c>
      <c r="K131" s="2">
        <v>0</v>
      </c>
      <c r="L131" s="2">
        <v>75.591999999999999</v>
      </c>
      <c r="M131" s="2">
        <v>92.738</v>
      </c>
      <c r="N131" s="2">
        <v>57.393000000000001</v>
      </c>
      <c r="O131" s="2">
        <v>0</v>
      </c>
      <c r="P131" s="2">
        <v>11.769</v>
      </c>
      <c r="Q131" s="2">
        <v>36.743000000000002</v>
      </c>
      <c r="R131" s="2">
        <v>2.6669999999999998</v>
      </c>
      <c r="S131" s="2">
        <v>0</v>
      </c>
      <c r="T131" s="2">
        <v>2</v>
      </c>
      <c r="U131" s="11">
        <v>2.4232867916694598</v>
      </c>
      <c r="V131" s="11">
        <v>3.4670308344388099</v>
      </c>
      <c r="W131" s="11">
        <v>0.40019941545306398</v>
      </c>
      <c r="X131" s="11">
        <v>0.45357652774596902</v>
      </c>
      <c r="Y131" s="11">
        <v>2.5805290798106801</v>
      </c>
      <c r="Z131" s="11">
        <v>8.2745724950914692</v>
      </c>
      <c r="AA131" s="11">
        <v>1.05406228286464</v>
      </c>
      <c r="AB131" s="11">
        <v>1.9463671959646101</v>
      </c>
      <c r="AC131" s="11">
        <v>31.7903317297983</v>
      </c>
      <c r="AD131" s="11">
        <v>47.6771133047544</v>
      </c>
      <c r="AE131" s="11">
        <v>74.165038084382701</v>
      </c>
      <c r="AF131" s="11">
        <v>48.591800474836603</v>
      </c>
      <c r="AG131" s="11">
        <v>10.841752276618299</v>
      </c>
      <c r="AH131" s="11">
        <v>28.9632939331341</v>
      </c>
      <c r="AI131" s="11">
        <v>4.0730581292285404</v>
      </c>
      <c r="AJ131" s="11">
        <v>3.0452736929492299</v>
      </c>
      <c r="AK131" s="16">
        <v>3.4826049565095798</v>
      </c>
      <c r="AL131" s="16">
        <v>12.0947670739133</v>
      </c>
      <c r="AM131" s="26">
        <v>1.2481026280410099E-7</v>
      </c>
      <c r="AN131" s="27">
        <v>8.10660833164504E-7</v>
      </c>
      <c r="AO131" s="11">
        <v>2.5749530778798402</v>
      </c>
      <c r="AP131" s="11">
        <v>31.1434577032128</v>
      </c>
      <c r="AQ131" t="s">
        <v>5874</v>
      </c>
      <c r="AR131" t="s">
        <v>5876</v>
      </c>
      <c r="AS131" t="s">
        <v>2487</v>
      </c>
    </row>
    <row r="132" spans="1:45">
      <c r="A132" t="s">
        <v>411</v>
      </c>
      <c r="B132" s="2">
        <v>14</v>
      </c>
      <c r="C132" s="2">
        <v>25</v>
      </c>
      <c r="D132" s="2">
        <v>26</v>
      </c>
      <c r="E132" s="2">
        <v>51</v>
      </c>
      <c r="F132" s="2">
        <v>50</v>
      </c>
      <c r="G132" s="2">
        <v>46</v>
      </c>
      <c r="H132" s="2">
        <v>24</v>
      </c>
      <c r="I132" s="2">
        <v>23</v>
      </c>
      <c r="J132" s="2">
        <v>3</v>
      </c>
      <c r="K132" s="2">
        <v>0</v>
      </c>
      <c r="L132" s="2">
        <v>18</v>
      </c>
      <c r="M132" s="2">
        <v>13</v>
      </c>
      <c r="N132" s="2">
        <v>2</v>
      </c>
      <c r="O132" s="2">
        <v>0</v>
      </c>
      <c r="P132" s="2">
        <v>8</v>
      </c>
      <c r="Q132" s="2">
        <v>14</v>
      </c>
      <c r="R132" s="2">
        <v>11</v>
      </c>
      <c r="S132" s="2">
        <v>3</v>
      </c>
      <c r="T132" s="2">
        <v>7</v>
      </c>
      <c r="U132" s="11">
        <v>16.963007541686199</v>
      </c>
      <c r="V132" s="11">
        <v>24.0766030169362</v>
      </c>
      <c r="W132" s="11">
        <v>41.620739207118703</v>
      </c>
      <c r="X132" s="11">
        <v>77.108009716814706</v>
      </c>
      <c r="Y132" s="11">
        <v>43.008817996844598</v>
      </c>
      <c r="Z132" s="11">
        <v>42.767453345416598</v>
      </c>
      <c r="AA132" s="11">
        <v>25.297494788751401</v>
      </c>
      <c r="AB132" s="11">
        <v>22.383222753593</v>
      </c>
      <c r="AC132" s="11">
        <v>2.3842748797348698</v>
      </c>
      <c r="AD132" s="11">
        <v>11.351693643989099</v>
      </c>
      <c r="AE132" s="11">
        <v>10.400706527475499</v>
      </c>
      <c r="AF132" s="11">
        <v>1.6930940931998799</v>
      </c>
      <c r="AG132" s="11">
        <v>7.3503405265209096</v>
      </c>
      <c r="AH132" s="11">
        <v>11.048667985391701</v>
      </c>
      <c r="AI132" s="11">
        <v>16.593940526486598</v>
      </c>
      <c r="AJ132" s="11">
        <v>10.658457925322301</v>
      </c>
      <c r="AK132" s="16">
        <v>-2.0436481141543501</v>
      </c>
      <c r="AL132" s="16">
        <v>-4.10213379706616</v>
      </c>
      <c r="AM132" s="26">
        <v>2.0357887842943698E-6</v>
      </c>
      <c r="AN132" s="27">
        <v>8.9052177692902903E-6</v>
      </c>
      <c r="AO132" s="11">
        <v>36.653168545895198</v>
      </c>
      <c r="AP132" s="11">
        <v>8.9351470135151203</v>
      </c>
      <c r="AQ132" t="s">
        <v>5875</v>
      </c>
      <c r="AR132" t="s">
        <v>5876</v>
      </c>
      <c r="AS132" t="s">
        <v>411</v>
      </c>
    </row>
    <row r="133" spans="1:45">
      <c r="A133" t="s">
        <v>4748</v>
      </c>
      <c r="B133" s="2">
        <v>25</v>
      </c>
      <c r="C133" s="2">
        <v>31</v>
      </c>
      <c r="D133" s="2">
        <v>24</v>
      </c>
      <c r="E133" s="2">
        <v>28</v>
      </c>
      <c r="F133" s="2">
        <v>38</v>
      </c>
      <c r="G133" s="2">
        <v>30</v>
      </c>
      <c r="H133" s="2">
        <v>24</v>
      </c>
      <c r="I133" s="2">
        <v>20</v>
      </c>
      <c r="J133" s="2">
        <v>10.909000000000001</v>
      </c>
      <c r="K133" s="2">
        <v>2</v>
      </c>
      <c r="L133" s="2">
        <v>13</v>
      </c>
      <c r="M133" s="2">
        <v>15</v>
      </c>
      <c r="N133" s="2">
        <v>12</v>
      </c>
      <c r="O133" s="2">
        <v>1</v>
      </c>
      <c r="P133" s="2">
        <v>14</v>
      </c>
      <c r="Q133" s="2">
        <v>19</v>
      </c>
      <c r="R133" s="2">
        <v>8</v>
      </c>
      <c r="S133" s="2">
        <v>4</v>
      </c>
      <c r="T133" s="2">
        <v>16</v>
      </c>
      <c r="U133" s="11">
        <v>30.291084895868199</v>
      </c>
      <c r="V133" s="11">
        <v>29.854987741000802</v>
      </c>
      <c r="W133" s="11">
        <v>38.419143883494201</v>
      </c>
      <c r="X133" s="11">
        <v>42.333809256290401</v>
      </c>
      <c r="Y133" s="11">
        <v>32.686701677601903</v>
      </c>
      <c r="Z133" s="11">
        <v>27.891817399184699</v>
      </c>
      <c r="AA133" s="11">
        <v>25.297494788751401</v>
      </c>
      <c r="AB133" s="11">
        <v>19.463671959646099</v>
      </c>
      <c r="AC133" s="11">
        <v>8.6628653963700408</v>
      </c>
      <c r="AD133" s="11">
        <v>8.1984454095477108</v>
      </c>
      <c r="AE133" s="11">
        <v>12.0008152240101</v>
      </c>
      <c r="AF133" s="11">
        <v>10.1585645591993</v>
      </c>
      <c r="AG133" s="11">
        <v>12.863095921411601</v>
      </c>
      <c r="AH133" s="11">
        <v>14.994620837317401</v>
      </c>
      <c r="AI133" s="11">
        <v>12.068320382899399</v>
      </c>
      <c r="AJ133" s="11">
        <v>24.3621895435939</v>
      </c>
      <c r="AK133" s="16">
        <v>-1.27667797762354</v>
      </c>
      <c r="AL133" s="16">
        <v>-2.3835184618954099</v>
      </c>
      <c r="AM133" s="26">
        <v>2.44227230705826E-5</v>
      </c>
      <c r="AN133" s="27">
        <v>7.9701471874242806E-5</v>
      </c>
      <c r="AO133" s="11">
        <v>30.779838950229699</v>
      </c>
      <c r="AP133" s="11">
        <v>12.9136146592937</v>
      </c>
      <c r="AQ133" t="s">
        <v>5875</v>
      </c>
      <c r="AR133" t="s">
        <v>5876</v>
      </c>
      <c r="AS133" t="s">
        <v>4748</v>
      </c>
    </row>
    <row r="134" spans="1:45">
      <c r="A134" t="s">
        <v>4624</v>
      </c>
      <c r="B134" s="2">
        <v>16</v>
      </c>
      <c r="C134" s="2">
        <v>17</v>
      </c>
      <c r="D134" s="2">
        <v>23</v>
      </c>
      <c r="E134" s="2">
        <v>14</v>
      </c>
      <c r="F134" s="2">
        <v>24</v>
      </c>
      <c r="G134" s="2">
        <v>23</v>
      </c>
      <c r="H134" s="2">
        <v>30</v>
      </c>
      <c r="I134" s="2">
        <v>19</v>
      </c>
      <c r="J134" s="2">
        <v>20</v>
      </c>
      <c r="K134" s="2">
        <v>2</v>
      </c>
      <c r="L134" s="2">
        <v>34</v>
      </c>
      <c r="M134" s="2">
        <v>8</v>
      </c>
      <c r="N134" s="2">
        <v>25</v>
      </c>
      <c r="O134" s="2">
        <v>9</v>
      </c>
      <c r="P134" s="2">
        <v>11</v>
      </c>
      <c r="Q134" s="2">
        <v>32</v>
      </c>
      <c r="R134" s="2">
        <v>8</v>
      </c>
      <c r="S134" s="2">
        <v>8</v>
      </c>
      <c r="T134" s="2">
        <v>11</v>
      </c>
      <c r="U134" s="11">
        <v>19.3862943333557</v>
      </c>
      <c r="V134" s="11">
        <v>16.372090051516601</v>
      </c>
      <c r="W134" s="11">
        <v>36.8183462216819</v>
      </c>
      <c r="X134" s="11">
        <v>21.1669046281452</v>
      </c>
      <c r="Y134" s="11">
        <v>20.644232638485398</v>
      </c>
      <c r="Z134" s="11">
        <v>21.383726672708299</v>
      </c>
      <c r="AA134" s="11">
        <v>31.621868485939199</v>
      </c>
      <c r="AB134" s="11">
        <v>18.4904883616638</v>
      </c>
      <c r="AC134" s="11">
        <v>15.8951658648991</v>
      </c>
      <c r="AD134" s="11">
        <v>21.4420879942017</v>
      </c>
      <c r="AE134" s="11">
        <v>6.4004347861387396</v>
      </c>
      <c r="AF134" s="11">
        <v>21.163676164998499</v>
      </c>
      <c r="AG134" s="11">
        <v>10.1067182239663</v>
      </c>
      <c r="AH134" s="11">
        <v>25.254098252323999</v>
      </c>
      <c r="AI134" s="11">
        <v>12.068320382899399</v>
      </c>
      <c r="AJ134" s="11">
        <v>16.749005311220799</v>
      </c>
      <c r="AK134" s="16">
        <v>-0.496858458823699</v>
      </c>
      <c r="AL134" s="16">
        <v>-1.4400732985551601</v>
      </c>
      <c r="AM134" s="26">
        <v>0.11364511069012</v>
      </c>
      <c r="AN134" s="27">
        <v>0.15872354708077299</v>
      </c>
      <c r="AO134" s="11">
        <v>23.235493924187001</v>
      </c>
      <c r="AP134" s="11">
        <v>16.1349383725811</v>
      </c>
      <c r="AQ134" t="s">
        <v>5875</v>
      </c>
      <c r="AR134" t="s">
        <v>5832</v>
      </c>
      <c r="AS134" t="s">
        <v>4624</v>
      </c>
    </row>
    <row r="135" spans="1:45">
      <c r="A135" t="s">
        <v>1077</v>
      </c>
      <c r="B135" s="2">
        <v>9.9969999999999999</v>
      </c>
      <c r="C135" s="2">
        <v>8.9969999999999999</v>
      </c>
      <c r="D135" s="2">
        <v>4</v>
      </c>
      <c r="E135" s="2">
        <v>2</v>
      </c>
      <c r="F135" s="2">
        <v>14.994</v>
      </c>
      <c r="G135" s="2">
        <v>16.994</v>
      </c>
      <c r="H135" s="2">
        <v>7.9969999999999999</v>
      </c>
      <c r="I135" s="2">
        <v>35.99</v>
      </c>
      <c r="J135" s="2">
        <v>26</v>
      </c>
      <c r="K135" s="2">
        <v>6</v>
      </c>
      <c r="L135" s="2">
        <v>27</v>
      </c>
      <c r="M135" s="2">
        <v>23.99</v>
      </c>
      <c r="N135" s="2">
        <v>19</v>
      </c>
      <c r="O135" s="2">
        <v>6</v>
      </c>
      <c r="P135" s="2">
        <v>53.994</v>
      </c>
      <c r="Q135" s="2">
        <v>26.994</v>
      </c>
      <c r="R135" s="2">
        <v>13</v>
      </c>
      <c r="S135" s="2">
        <v>4</v>
      </c>
      <c r="T135" s="2">
        <v>21</v>
      </c>
      <c r="U135" s="11">
        <v>12.116433958347301</v>
      </c>
      <c r="V135" s="11">
        <v>8.6675770860970207</v>
      </c>
      <c r="W135" s="11">
        <v>6.4031906472490299</v>
      </c>
      <c r="X135" s="11">
        <v>3.0238435183064598</v>
      </c>
      <c r="Y135" s="11">
        <v>12.9026453990534</v>
      </c>
      <c r="Z135" s="11">
        <v>15.805363192871299</v>
      </c>
      <c r="AA135" s="11">
        <v>8.4324982629171306</v>
      </c>
      <c r="AB135" s="11">
        <v>35.034609527363003</v>
      </c>
      <c r="AC135" s="11">
        <v>20.663715624368901</v>
      </c>
      <c r="AD135" s="11">
        <v>17.027540465983702</v>
      </c>
      <c r="AE135" s="11">
        <v>19.201304358416198</v>
      </c>
      <c r="AF135" s="11">
        <v>16.084393885398899</v>
      </c>
      <c r="AG135" s="11">
        <v>49.614798554016197</v>
      </c>
      <c r="AH135" s="11">
        <v>21.308145400398399</v>
      </c>
      <c r="AI135" s="11">
        <v>19.611020622211502</v>
      </c>
      <c r="AJ135" s="11">
        <v>31.975373775967</v>
      </c>
      <c r="AK135" s="16">
        <v>0.89198245268229603</v>
      </c>
      <c r="AL135" s="16">
        <v>1.90930385168033</v>
      </c>
      <c r="AM135" s="26">
        <v>2.8525841813728098E-2</v>
      </c>
      <c r="AN135" s="27">
        <v>4.6888914430919103E-2</v>
      </c>
      <c r="AO135" s="11">
        <v>12.7982701990256</v>
      </c>
      <c r="AP135" s="11">
        <v>24.435786585845101</v>
      </c>
      <c r="AQ135" t="s">
        <v>5874</v>
      </c>
      <c r="AR135" t="s">
        <v>5878</v>
      </c>
      <c r="AS135" t="s">
        <v>1077</v>
      </c>
    </row>
    <row r="136" spans="1:45">
      <c r="A136" t="s">
        <v>3466</v>
      </c>
      <c r="B136" s="2">
        <v>12</v>
      </c>
      <c r="C136" s="2">
        <v>0</v>
      </c>
      <c r="D136" s="2">
        <v>0</v>
      </c>
      <c r="E136" s="2">
        <v>0</v>
      </c>
      <c r="F136" s="2">
        <v>0</v>
      </c>
      <c r="G136" s="2">
        <v>3</v>
      </c>
      <c r="H136" s="2">
        <v>12</v>
      </c>
      <c r="I136" s="2">
        <v>55.981999999999999</v>
      </c>
      <c r="J136" s="2">
        <v>23</v>
      </c>
      <c r="K136" s="2">
        <v>8</v>
      </c>
      <c r="L136" s="2">
        <v>53.926000000000002</v>
      </c>
      <c r="M136" s="2">
        <v>29</v>
      </c>
      <c r="N136" s="2">
        <v>32</v>
      </c>
      <c r="O136" s="2">
        <v>1</v>
      </c>
      <c r="P136" s="2">
        <v>13</v>
      </c>
      <c r="Q136" s="2">
        <v>32</v>
      </c>
      <c r="R136" s="2">
        <v>30</v>
      </c>
      <c r="S136" s="2">
        <v>15</v>
      </c>
      <c r="T136" s="2">
        <v>5</v>
      </c>
      <c r="U136" s="11">
        <v>14.5397207500168</v>
      </c>
      <c r="V136" s="11">
        <v>0.24076603016936199</v>
      </c>
      <c r="W136" s="11">
        <v>0.40019941545306398</v>
      </c>
      <c r="X136" s="11">
        <v>0.37798043978830698</v>
      </c>
      <c r="Y136" s="11">
        <v>0.215044089984223</v>
      </c>
      <c r="Z136" s="11">
        <v>2.7891817399184702</v>
      </c>
      <c r="AA136" s="11">
        <v>12.6487473943757</v>
      </c>
      <c r="AB136" s="11">
        <v>54.498281487009102</v>
      </c>
      <c r="AC136" s="11">
        <v>18.279440744634002</v>
      </c>
      <c r="AD136" s="11">
        <v>33.992015967278597</v>
      </c>
      <c r="AE136" s="11">
        <v>23.201576099752899</v>
      </c>
      <c r="AF136" s="11">
        <v>27.0895054911981</v>
      </c>
      <c r="AG136" s="11">
        <v>11.944303355596499</v>
      </c>
      <c r="AH136" s="11">
        <v>25.254098252323999</v>
      </c>
      <c r="AI136" s="11">
        <v>45.256201435872697</v>
      </c>
      <c r="AJ136" s="11">
        <v>7.6131842323730803</v>
      </c>
      <c r="AK136" s="16">
        <v>1.1469156260437801</v>
      </c>
      <c r="AL136" s="16">
        <v>2.2474682341592498</v>
      </c>
      <c r="AM136" s="26">
        <v>0.137764369582145</v>
      </c>
      <c r="AN136" s="27">
        <v>0.18847518047127901</v>
      </c>
      <c r="AO136" s="11">
        <v>10.713740168339401</v>
      </c>
      <c r="AP136" s="11">
        <v>24.0787906973787</v>
      </c>
      <c r="AQ136" t="s">
        <v>5874</v>
      </c>
      <c r="AR136" t="s">
        <v>5832</v>
      </c>
      <c r="AS136" t="s">
        <v>3466</v>
      </c>
    </row>
    <row r="137" spans="1:45">
      <c r="A137" t="s">
        <v>4475</v>
      </c>
      <c r="B137" s="2">
        <v>32.625</v>
      </c>
      <c r="C137" s="2">
        <v>0</v>
      </c>
      <c r="D137" s="2">
        <v>0.33300000000000002</v>
      </c>
      <c r="E137" s="2">
        <v>0</v>
      </c>
      <c r="F137" s="2">
        <v>0</v>
      </c>
      <c r="G137" s="2">
        <v>0</v>
      </c>
      <c r="H137" s="2">
        <v>0.16700000000000001</v>
      </c>
      <c r="I137" s="2">
        <v>0</v>
      </c>
      <c r="J137" s="2">
        <v>99.326999999999998</v>
      </c>
      <c r="K137" s="2">
        <v>84.539000000000001</v>
      </c>
      <c r="L137" s="2">
        <v>33.655000000000001</v>
      </c>
      <c r="M137" s="2">
        <v>7.165</v>
      </c>
      <c r="N137" s="2">
        <v>11.298999999999999</v>
      </c>
      <c r="O137" s="2">
        <v>11.002000000000001</v>
      </c>
      <c r="P137" s="2">
        <v>15.500999999999999</v>
      </c>
      <c r="Q137" s="2">
        <v>0.75</v>
      </c>
      <c r="R137" s="2">
        <v>1.5</v>
      </c>
      <c r="S137" s="2">
        <v>4.625</v>
      </c>
      <c r="T137" s="2">
        <v>19.829999999999998</v>
      </c>
      <c r="U137" s="11">
        <v>39.499574704212201</v>
      </c>
      <c r="V137" s="11">
        <v>0.24076603016936199</v>
      </c>
      <c r="W137" s="11">
        <v>0.48023929854367697</v>
      </c>
      <c r="X137" s="11">
        <v>0.37798043978830698</v>
      </c>
      <c r="Y137" s="11">
        <v>0.215044089984223</v>
      </c>
      <c r="Z137" s="11">
        <v>0.23243181165987301</v>
      </c>
      <c r="AA137" s="11">
        <v>0.21081245657292799</v>
      </c>
      <c r="AB137" s="11">
        <v>0.24329589949557701</v>
      </c>
      <c r="AC137" s="11">
        <v>78.919498519224305</v>
      </c>
      <c r="AD137" s="11">
        <v>21.2528931001352</v>
      </c>
      <c r="AE137" s="11">
        <v>5.7603913075248698</v>
      </c>
      <c r="AF137" s="11">
        <v>9.5659816265793296</v>
      </c>
      <c r="AG137" s="11">
        <v>14.2412847701343</v>
      </c>
      <c r="AH137" s="11">
        <v>0.6313524563081</v>
      </c>
      <c r="AI137" s="11">
        <v>2.2628100717936301</v>
      </c>
      <c r="AJ137" s="11">
        <v>30.148209560197401</v>
      </c>
      <c r="AK137" s="16">
        <v>1.95854542012734</v>
      </c>
      <c r="AL137" s="16">
        <v>3.9224543063473201</v>
      </c>
      <c r="AM137" s="26">
        <v>7.0773148893829699E-2</v>
      </c>
      <c r="AN137" s="27">
        <v>0.104982786274883</v>
      </c>
      <c r="AO137" s="11">
        <v>5.1875180913032697</v>
      </c>
      <c r="AP137" s="11">
        <v>20.347802676487099</v>
      </c>
      <c r="AQ137" t="s">
        <v>5874</v>
      </c>
      <c r="AR137" t="s">
        <v>5832</v>
      </c>
      <c r="AS137" t="s">
        <v>4475</v>
      </c>
    </row>
    <row r="138" spans="1:45">
      <c r="A138" t="s">
        <v>5172</v>
      </c>
      <c r="B138" s="2">
        <v>16</v>
      </c>
      <c r="C138" s="2">
        <v>8</v>
      </c>
      <c r="D138" s="2">
        <v>8</v>
      </c>
      <c r="E138" s="2">
        <v>8</v>
      </c>
      <c r="F138" s="2">
        <v>9</v>
      </c>
      <c r="G138" s="2">
        <v>6</v>
      </c>
      <c r="H138" s="2">
        <v>6</v>
      </c>
      <c r="I138" s="2">
        <v>2</v>
      </c>
      <c r="J138" s="2">
        <v>93</v>
      </c>
      <c r="K138" s="2">
        <v>11</v>
      </c>
      <c r="L138" s="2">
        <v>27</v>
      </c>
      <c r="M138" s="2">
        <v>25</v>
      </c>
      <c r="N138" s="2">
        <v>14</v>
      </c>
      <c r="O138" s="2">
        <v>3</v>
      </c>
      <c r="P138" s="2">
        <v>25</v>
      </c>
      <c r="Q138" s="2">
        <v>22</v>
      </c>
      <c r="R138" s="2">
        <v>20</v>
      </c>
      <c r="S138" s="2">
        <v>2</v>
      </c>
      <c r="T138" s="2">
        <v>13</v>
      </c>
      <c r="U138" s="11">
        <v>19.3862943333557</v>
      </c>
      <c r="V138" s="11">
        <v>7.7045129654195703</v>
      </c>
      <c r="W138" s="11">
        <v>12.806381294498101</v>
      </c>
      <c r="X138" s="11">
        <v>12.0953740732258</v>
      </c>
      <c r="Y138" s="11">
        <v>7.7415872394320298</v>
      </c>
      <c r="Z138" s="11">
        <v>5.5783634798369501</v>
      </c>
      <c r="AA138" s="11">
        <v>6.3243736971878404</v>
      </c>
      <c r="AB138" s="11">
        <v>1.9463671959646101</v>
      </c>
      <c r="AC138" s="11">
        <v>73.912521271781003</v>
      </c>
      <c r="AD138" s="11">
        <v>17.027540465983702</v>
      </c>
      <c r="AE138" s="11">
        <v>20.0013587066836</v>
      </c>
      <c r="AF138" s="11">
        <v>11.8516586523992</v>
      </c>
      <c r="AG138" s="11">
        <v>22.9698141453778</v>
      </c>
      <c r="AH138" s="11">
        <v>17.362192548472699</v>
      </c>
      <c r="AI138" s="11">
        <v>30.170800957248499</v>
      </c>
      <c r="AJ138" s="11">
        <v>19.794279004170001</v>
      </c>
      <c r="AK138" s="16">
        <v>1.55391073518711</v>
      </c>
      <c r="AL138" s="16">
        <v>2.8959057035502802</v>
      </c>
      <c r="AM138" s="26">
        <v>7.7450526059197702E-4</v>
      </c>
      <c r="AN138" s="27">
        <v>1.79288588005548E-3</v>
      </c>
      <c r="AO138" s="11">
        <v>9.1979067848650704</v>
      </c>
      <c r="AP138" s="11">
        <v>26.6362707190146</v>
      </c>
      <c r="AQ138" t="s">
        <v>5874</v>
      </c>
      <c r="AR138" t="s">
        <v>5876</v>
      </c>
      <c r="AS138" t="s">
        <v>5172</v>
      </c>
    </row>
    <row r="139" spans="1:45">
      <c r="A139" t="s">
        <v>479</v>
      </c>
      <c r="B139" s="2">
        <v>2</v>
      </c>
      <c r="C139" s="2">
        <v>1</v>
      </c>
      <c r="D139" s="2">
        <v>0</v>
      </c>
      <c r="E139" s="2">
        <v>2</v>
      </c>
      <c r="F139" s="2">
        <v>4</v>
      </c>
      <c r="G139" s="2">
        <v>0</v>
      </c>
      <c r="H139" s="2">
        <v>2</v>
      </c>
      <c r="I139" s="2">
        <v>1</v>
      </c>
      <c r="J139" s="2">
        <v>55</v>
      </c>
      <c r="K139" s="2">
        <v>5</v>
      </c>
      <c r="L139" s="2">
        <v>63</v>
      </c>
      <c r="M139" s="2">
        <v>31</v>
      </c>
      <c r="N139" s="2">
        <v>45</v>
      </c>
      <c r="O139" s="2">
        <v>6</v>
      </c>
      <c r="P139" s="2">
        <v>26</v>
      </c>
      <c r="Q139" s="2">
        <v>31</v>
      </c>
      <c r="R139" s="2">
        <v>10</v>
      </c>
      <c r="S139" s="2">
        <v>4</v>
      </c>
      <c r="T139" s="2">
        <v>25</v>
      </c>
      <c r="U139" s="11">
        <v>2.4232867916694598</v>
      </c>
      <c r="V139" s="11">
        <v>0.96306412067744696</v>
      </c>
      <c r="W139" s="11">
        <v>0.40019941545306398</v>
      </c>
      <c r="X139" s="11">
        <v>3.0238435183064598</v>
      </c>
      <c r="Y139" s="11">
        <v>3.4407054397475698</v>
      </c>
      <c r="Z139" s="11">
        <v>0.23243181165987301</v>
      </c>
      <c r="AA139" s="11">
        <v>2.10812456572928</v>
      </c>
      <c r="AB139" s="11">
        <v>0.97318359798230603</v>
      </c>
      <c r="AC139" s="11">
        <v>43.711706128472599</v>
      </c>
      <c r="AD139" s="11">
        <v>39.730927753962</v>
      </c>
      <c r="AE139" s="11">
        <v>24.801684796287599</v>
      </c>
      <c r="AF139" s="11">
        <v>38.094617096997297</v>
      </c>
      <c r="AG139" s="11">
        <v>23.888606711192999</v>
      </c>
      <c r="AH139" s="11">
        <v>24.4649076819389</v>
      </c>
      <c r="AI139" s="11">
        <v>15.0854004786242</v>
      </c>
      <c r="AJ139" s="11">
        <v>38.065921161865397</v>
      </c>
      <c r="AK139" s="16">
        <v>4.1033830798479896</v>
      </c>
      <c r="AL139" s="16">
        <v>18.271043765169601</v>
      </c>
      <c r="AM139" s="26">
        <v>1.5571851517659601E-20</v>
      </c>
      <c r="AN139" s="27">
        <v>5.2087843326571499E-18</v>
      </c>
      <c r="AO139" s="11">
        <v>1.6956049076531801</v>
      </c>
      <c r="AP139" s="11">
        <v>30.980471476167601</v>
      </c>
      <c r="AQ139" t="s">
        <v>5874</v>
      </c>
      <c r="AR139" t="s">
        <v>5876</v>
      </c>
      <c r="AS139" t="s">
        <v>479</v>
      </c>
    </row>
    <row r="140" spans="1:45">
      <c r="A140" t="s">
        <v>585</v>
      </c>
      <c r="B140" s="2">
        <v>12</v>
      </c>
      <c r="C140" s="2">
        <v>11</v>
      </c>
      <c r="D140" s="2">
        <v>4</v>
      </c>
      <c r="E140" s="2">
        <v>2</v>
      </c>
      <c r="F140" s="2">
        <v>19</v>
      </c>
      <c r="G140" s="2">
        <v>11</v>
      </c>
      <c r="H140" s="2">
        <v>9</v>
      </c>
      <c r="I140" s="2">
        <v>74</v>
      </c>
      <c r="J140" s="2">
        <v>46</v>
      </c>
      <c r="K140" s="2">
        <v>1</v>
      </c>
      <c r="L140" s="2">
        <v>23</v>
      </c>
      <c r="M140" s="2">
        <v>12</v>
      </c>
      <c r="N140" s="2">
        <v>15</v>
      </c>
      <c r="O140" s="2">
        <v>5</v>
      </c>
      <c r="P140" s="2">
        <v>35</v>
      </c>
      <c r="Q140" s="2">
        <v>17</v>
      </c>
      <c r="R140" s="2">
        <v>4</v>
      </c>
      <c r="S140" s="2">
        <v>3</v>
      </c>
      <c r="T140" s="2">
        <v>9</v>
      </c>
      <c r="U140" s="11">
        <v>14.5397207500168</v>
      </c>
      <c r="V140" s="11">
        <v>10.5937053274519</v>
      </c>
      <c r="W140" s="11">
        <v>6.4031906472490299</v>
      </c>
      <c r="X140" s="11">
        <v>3.0238435183064598</v>
      </c>
      <c r="Y140" s="11">
        <v>16.343350838801001</v>
      </c>
      <c r="Z140" s="11">
        <v>10.226999713034401</v>
      </c>
      <c r="AA140" s="11">
        <v>9.4865605457817708</v>
      </c>
      <c r="AB140" s="11">
        <v>72.015586250690603</v>
      </c>
      <c r="AC140" s="11">
        <v>36.558881489268003</v>
      </c>
      <c r="AD140" s="11">
        <v>14.5049418784306</v>
      </c>
      <c r="AE140" s="11">
        <v>9.6006521792081099</v>
      </c>
      <c r="AF140" s="11">
        <v>12.6982056989991</v>
      </c>
      <c r="AG140" s="11">
        <v>32.157739803528997</v>
      </c>
      <c r="AH140" s="11">
        <v>13.4162396965471</v>
      </c>
      <c r="AI140" s="11">
        <v>6.0341601914496898</v>
      </c>
      <c r="AJ140" s="11">
        <v>13.7037316182716</v>
      </c>
      <c r="AK140" s="16">
        <v>-4.7134345304332401E-2</v>
      </c>
      <c r="AL140" s="16">
        <v>-1.0285445668486199</v>
      </c>
      <c r="AM140" s="26">
        <v>0.95369550097357003</v>
      </c>
      <c r="AN140" s="27">
        <v>0.97111459688176305</v>
      </c>
      <c r="AO140" s="11">
        <v>17.8291196989165</v>
      </c>
      <c r="AP140" s="11">
        <v>17.3343190694629</v>
      </c>
      <c r="AQ140" t="s">
        <v>5875</v>
      </c>
      <c r="AR140" t="s">
        <v>5832</v>
      </c>
      <c r="AS140" t="s">
        <v>585</v>
      </c>
    </row>
    <row r="141" spans="1:45">
      <c r="A141" t="s">
        <v>4099</v>
      </c>
      <c r="B141" s="2">
        <v>7</v>
      </c>
      <c r="C141" s="2">
        <v>6</v>
      </c>
      <c r="D141" s="2">
        <v>3</v>
      </c>
      <c r="E141" s="2">
        <v>12</v>
      </c>
      <c r="F141" s="2">
        <v>20</v>
      </c>
      <c r="G141" s="2">
        <v>12</v>
      </c>
      <c r="H141" s="2">
        <v>6</v>
      </c>
      <c r="I141" s="2">
        <v>16</v>
      </c>
      <c r="J141" s="2">
        <v>33</v>
      </c>
      <c r="K141" s="2">
        <v>3</v>
      </c>
      <c r="L141" s="2">
        <v>41</v>
      </c>
      <c r="M141" s="2">
        <v>37</v>
      </c>
      <c r="N141" s="2">
        <v>29</v>
      </c>
      <c r="O141" s="2">
        <v>3</v>
      </c>
      <c r="P141" s="2">
        <v>28</v>
      </c>
      <c r="Q141" s="2">
        <v>34</v>
      </c>
      <c r="R141" s="2">
        <v>8</v>
      </c>
      <c r="S141" s="2">
        <v>4</v>
      </c>
      <c r="T141" s="2">
        <v>9</v>
      </c>
      <c r="U141" s="11">
        <v>8.4815037708430996</v>
      </c>
      <c r="V141" s="11">
        <v>5.7783847240646802</v>
      </c>
      <c r="W141" s="11">
        <v>4.8023929854367697</v>
      </c>
      <c r="X141" s="11">
        <v>18.143061109838801</v>
      </c>
      <c r="Y141" s="11">
        <v>17.203527198737799</v>
      </c>
      <c r="Z141" s="11">
        <v>11.1567269596739</v>
      </c>
      <c r="AA141" s="11">
        <v>6.3243736971878404</v>
      </c>
      <c r="AB141" s="11">
        <v>15.5709375677169</v>
      </c>
      <c r="AC141" s="11">
        <v>26.227023677083601</v>
      </c>
      <c r="AD141" s="11">
        <v>25.856635522419701</v>
      </c>
      <c r="AE141" s="11">
        <v>29.602010885891701</v>
      </c>
      <c r="AF141" s="11">
        <v>24.549864351398298</v>
      </c>
      <c r="AG141" s="11">
        <v>25.726191842823201</v>
      </c>
      <c r="AH141" s="11">
        <v>26.8324793930942</v>
      </c>
      <c r="AI141" s="11">
        <v>12.068320382899399</v>
      </c>
      <c r="AJ141" s="11">
        <v>13.7037316182716</v>
      </c>
      <c r="AK141" s="16">
        <v>1.0824638363483601</v>
      </c>
      <c r="AL141" s="16">
        <v>2.1102714557387601</v>
      </c>
      <c r="AM141" s="26">
        <v>1.70850713474654E-3</v>
      </c>
      <c r="AN141" s="27">
        <v>3.6990008839658099E-3</v>
      </c>
      <c r="AO141" s="11">
        <v>10.9326135016875</v>
      </c>
      <c r="AP141" s="11">
        <v>23.070782209235201</v>
      </c>
      <c r="AQ141" t="s">
        <v>5874</v>
      </c>
      <c r="AR141" t="s">
        <v>5876</v>
      </c>
      <c r="AS141" t="s">
        <v>4099</v>
      </c>
    </row>
    <row r="142" spans="1:45">
      <c r="A142" t="s">
        <v>3435</v>
      </c>
      <c r="B142" s="2">
        <v>23</v>
      </c>
      <c r="C142" s="2">
        <v>9</v>
      </c>
      <c r="D142" s="2">
        <v>12</v>
      </c>
      <c r="E142" s="2">
        <v>0</v>
      </c>
      <c r="F142" s="2">
        <v>14</v>
      </c>
      <c r="G142" s="2">
        <v>27</v>
      </c>
      <c r="H142" s="2">
        <v>42</v>
      </c>
      <c r="I142" s="2">
        <v>47</v>
      </c>
      <c r="J142" s="2">
        <v>14</v>
      </c>
      <c r="K142" s="2">
        <v>10</v>
      </c>
      <c r="L142" s="2">
        <v>17</v>
      </c>
      <c r="M142" s="2">
        <v>17</v>
      </c>
      <c r="N142" s="2">
        <v>9</v>
      </c>
      <c r="O142" s="2">
        <v>9</v>
      </c>
      <c r="P142" s="2">
        <v>11</v>
      </c>
      <c r="Q142" s="2">
        <v>16</v>
      </c>
      <c r="R142" s="2">
        <v>11</v>
      </c>
      <c r="S142" s="2">
        <v>11</v>
      </c>
      <c r="T142" s="2">
        <v>7</v>
      </c>
      <c r="U142" s="11">
        <v>27.867798104198801</v>
      </c>
      <c r="V142" s="11">
        <v>8.6675770860970207</v>
      </c>
      <c r="W142" s="11">
        <v>19.2095719417471</v>
      </c>
      <c r="X142" s="11">
        <v>0.37798043978830698</v>
      </c>
      <c r="Y142" s="11">
        <v>12.042469039116501</v>
      </c>
      <c r="Z142" s="11">
        <v>25.102635659266301</v>
      </c>
      <c r="AA142" s="11">
        <v>44.270615880314899</v>
      </c>
      <c r="AB142" s="11">
        <v>45.739629105168397</v>
      </c>
      <c r="AC142" s="11">
        <v>11.126616105429401</v>
      </c>
      <c r="AD142" s="11">
        <v>10.7210439971009</v>
      </c>
      <c r="AE142" s="11">
        <v>13.600923920544799</v>
      </c>
      <c r="AF142" s="11">
        <v>7.6189234193994704</v>
      </c>
      <c r="AG142" s="11">
        <v>10.1067182239663</v>
      </c>
      <c r="AH142" s="11">
        <v>12.627049126161999</v>
      </c>
      <c r="AI142" s="11">
        <v>16.593940526486598</v>
      </c>
      <c r="AJ142" s="11">
        <v>10.658457925322301</v>
      </c>
      <c r="AK142" s="16">
        <v>-0.98603342805608296</v>
      </c>
      <c r="AL142" s="16">
        <v>-1.96959744699497</v>
      </c>
      <c r="AM142" s="26">
        <v>3.8774372699359301E-2</v>
      </c>
      <c r="AN142" s="27">
        <v>6.17620365139794E-2</v>
      </c>
      <c r="AO142" s="11">
        <v>22.909784656962199</v>
      </c>
      <c r="AP142" s="11">
        <v>11.6317091555515</v>
      </c>
      <c r="AQ142" t="s">
        <v>5875</v>
      </c>
      <c r="AR142" t="s">
        <v>5877</v>
      </c>
      <c r="AS142" t="s">
        <v>3435</v>
      </c>
    </row>
    <row r="143" spans="1:45">
      <c r="A143" t="s">
        <v>365</v>
      </c>
      <c r="B143" s="2">
        <v>19</v>
      </c>
      <c r="C143" s="2">
        <v>25</v>
      </c>
      <c r="D143" s="2">
        <v>30</v>
      </c>
      <c r="E143" s="2">
        <v>35</v>
      </c>
      <c r="F143" s="2">
        <v>28</v>
      </c>
      <c r="G143" s="2">
        <v>31</v>
      </c>
      <c r="H143" s="2">
        <v>16</v>
      </c>
      <c r="I143" s="2">
        <v>15</v>
      </c>
      <c r="J143" s="2">
        <v>14</v>
      </c>
      <c r="K143" s="2">
        <v>1</v>
      </c>
      <c r="L143" s="2">
        <v>15</v>
      </c>
      <c r="M143" s="2">
        <v>11</v>
      </c>
      <c r="N143" s="2">
        <v>9</v>
      </c>
      <c r="O143" s="2">
        <v>5</v>
      </c>
      <c r="P143" s="2">
        <v>10</v>
      </c>
      <c r="Q143" s="2">
        <v>14</v>
      </c>
      <c r="R143" s="2">
        <v>8</v>
      </c>
      <c r="S143" s="2">
        <v>5</v>
      </c>
      <c r="T143" s="2">
        <v>11</v>
      </c>
      <c r="U143" s="11">
        <v>23.021224520859899</v>
      </c>
      <c r="V143" s="11">
        <v>24.0766030169362</v>
      </c>
      <c r="W143" s="11">
        <v>48.023929854367701</v>
      </c>
      <c r="X143" s="11">
        <v>52.917261570363003</v>
      </c>
      <c r="Y143" s="11">
        <v>24.084938078233002</v>
      </c>
      <c r="Z143" s="11">
        <v>28.821544645824201</v>
      </c>
      <c r="AA143" s="11">
        <v>16.8649965258343</v>
      </c>
      <c r="AB143" s="11">
        <v>14.597753969734599</v>
      </c>
      <c r="AC143" s="11">
        <v>11.126616105429401</v>
      </c>
      <c r="AD143" s="11">
        <v>9.4597447033242794</v>
      </c>
      <c r="AE143" s="11">
        <v>8.8005978309407702</v>
      </c>
      <c r="AF143" s="11">
        <v>7.6189234193994704</v>
      </c>
      <c r="AG143" s="11">
        <v>9.1879256581511406</v>
      </c>
      <c r="AH143" s="11">
        <v>11.048667985391701</v>
      </c>
      <c r="AI143" s="11">
        <v>12.068320382899399</v>
      </c>
      <c r="AJ143" s="11">
        <v>16.749005311220799</v>
      </c>
      <c r="AK143" s="16">
        <v>-1.4273094741900201</v>
      </c>
      <c r="AL143" s="16">
        <v>-2.7005436732382599</v>
      </c>
      <c r="AM143" s="26">
        <v>4.0284748026812003E-5</v>
      </c>
      <c r="AN143" s="27">
        <v>1.2535114618575499E-4</v>
      </c>
      <c r="AO143" s="11">
        <v>29.051031522769101</v>
      </c>
      <c r="AP143" s="11">
        <v>10.7574751745946</v>
      </c>
      <c r="AQ143" t="s">
        <v>5875</v>
      </c>
      <c r="AR143" t="s">
        <v>5876</v>
      </c>
      <c r="AS143" t="s">
        <v>365</v>
      </c>
    </row>
    <row r="144" spans="1:45">
      <c r="A144" t="s">
        <v>3124</v>
      </c>
      <c r="B144" s="2">
        <v>13</v>
      </c>
      <c r="C144" s="2">
        <v>16</v>
      </c>
      <c r="D144" s="2">
        <v>13</v>
      </c>
      <c r="E144" s="2">
        <v>16</v>
      </c>
      <c r="F144" s="2">
        <v>19</v>
      </c>
      <c r="G144" s="2">
        <v>9</v>
      </c>
      <c r="H144" s="2">
        <v>14</v>
      </c>
      <c r="I144" s="2">
        <v>20</v>
      </c>
      <c r="J144" s="2">
        <v>23</v>
      </c>
      <c r="K144" s="2">
        <v>2</v>
      </c>
      <c r="L144" s="2">
        <v>28</v>
      </c>
      <c r="M144" s="2">
        <v>24</v>
      </c>
      <c r="N144" s="2">
        <v>16</v>
      </c>
      <c r="O144" s="2">
        <v>3</v>
      </c>
      <c r="P144" s="2">
        <v>24</v>
      </c>
      <c r="Q144" s="2">
        <v>32</v>
      </c>
      <c r="R144" s="2">
        <v>11</v>
      </c>
      <c r="S144" s="2">
        <v>8</v>
      </c>
      <c r="T144" s="2">
        <v>11</v>
      </c>
      <c r="U144" s="11">
        <v>15.7513641458515</v>
      </c>
      <c r="V144" s="11">
        <v>15.4090259308391</v>
      </c>
      <c r="W144" s="11">
        <v>20.810369603559401</v>
      </c>
      <c r="X144" s="11">
        <v>24.1907481464517</v>
      </c>
      <c r="Y144" s="11">
        <v>16.343350838801001</v>
      </c>
      <c r="Z144" s="11">
        <v>8.3675452197554208</v>
      </c>
      <c r="AA144" s="11">
        <v>14.756871960105</v>
      </c>
      <c r="AB144" s="11">
        <v>19.463671959646099</v>
      </c>
      <c r="AC144" s="11">
        <v>18.279440744634002</v>
      </c>
      <c r="AD144" s="11">
        <v>17.658190112871999</v>
      </c>
      <c r="AE144" s="11">
        <v>19.201304358416198</v>
      </c>
      <c r="AF144" s="11">
        <v>13.5447527455991</v>
      </c>
      <c r="AG144" s="11">
        <v>22.0510215795627</v>
      </c>
      <c r="AH144" s="11">
        <v>25.254098252323999</v>
      </c>
      <c r="AI144" s="11">
        <v>16.593940526486598</v>
      </c>
      <c r="AJ144" s="11">
        <v>16.749005311220799</v>
      </c>
      <c r="AK144" s="16">
        <v>0.17578717472695299</v>
      </c>
      <c r="AL144" s="16">
        <v>1.1054000675642801</v>
      </c>
      <c r="AM144" s="26">
        <v>0.59872908798995705</v>
      </c>
      <c r="AN144" s="27">
        <v>0.67395693079117402</v>
      </c>
      <c r="AO144" s="11">
        <v>16.886618475626101</v>
      </c>
      <c r="AP144" s="11">
        <v>18.666469203889399</v>
      </c>
      <c r="AQ144" t="s">
        <v>5874</v>
      </c>
      <c r="AR144" t="s">
        <v>5832</v>
      </c>
      <c r="AS144" t="s">
        <v>3124</v>
      </c>
    </row>
    <row r="145" spans="1:45">
      <c r="A145" t="s">
        <v>2361</v>
      </c>
      <c r="B145" s="2">
        <v>16</v>
      </c>
      <c r="C145" s="2">
        <v>1</v>
      </c>
      <c r="D145" s="2">
        <v>1</v>
      </c>
      <c r="E145" s="2">
        <v>0</v>
      </c>
      <c r="F145" s="2">
        <v>0</v>
      </c>
      <c r="G145" s="2">
        <v>3</v>
      </c>
      <c r="H145" s="2">
        <v>6</v>
      </c>
      <c r="I145" s="2">
        <v>54</v>
      </c>
      <c r="J145" s="2">
        <v>12</v>
      </c>
      <c r="K145" s="2">
        <v>21</v>
      </c>
      <c r="L145" s="2">
        <v>23</v>
      </c>
      <c r="M145" s="2">
        <v>24</v>
      </c>
      <c r="N145" s="2">
        <v>26</v>
      </c>
      <c r="O145" s="2">
        <v>14</v>
      </c>
      <c r="P145" s="2">
        <v>21</v>
      </c>
      <c r="Q145" s="2">
        <v>24</v>
      </c>
      <c r="R145" s="2">
        <v>16</v>
      </c>
      <c r="S145" s="2">
        <v>18</v>
      </c>
      <c r="T145" s="2">
        <v>19</v>
      </c>
      <c r="U145" s="11">
        <v>19.3862943333557</v>
      </c>
      <c r="V145" s="11">
        <v>0.96306412067744696</v>
      </c>
      <c r="W145" s="11">
        <v>1.6007976618122599</v>
      </c>
      <c r="X145" s="11">
        <v>0.37798043978830698</v>
      </c>
      <c r="Y145" s="11">
        <v>0.215044089984223</v>
      </c>
      <c r="Z145" s="11">
        <v>2.7891817399184702</v>
      </c>
      <c r="AA145" s="11">
        <v>6.3243736971878404</v>
      </c>
      <c r="AB145" s="11">
        <v>52.551914291044497</v>
      </c>
      <c r="AC145" s="11">
        <v>9.53709951893949</v>
      </c>
      <c r="AD145" s="11">
        <v>14.5049418784306</v>
      </c>
      <c r="AE145" s="11">
        <v>19.201304358416198</v>
      </c>
      <c r="AF145" s="11">
        <v>22.0102232115985</v>
      </c>
      <c r="AG145" s="11">
        <v>19.294643882117398</v>
      </c>
      <c r="AH145" s="11">
        <v>18.940573689242999</v>
      </c>
      <c r="AI145" s="11">
        <v>24.136640765798798</v>
      </c>
      <c r="AJ145" s="11">
        <v>28.930100083017699</v>
      </c>
      <c r="AK145" s="16">
        <v>0.86930008409832904</v>
      </c>
      <c r="AL145" s="16">
        <v>1.85913830340082</v>
      </c>
      <c r="AM145" s="26">
        <v>0.214864970099966</v>
      </c>
      <c r="AN145" s="27">
        <v>0.28020402533504402</v>
      </c>
      <c r="AO145" s="11">
        <v>10.526081296721101</v>
      </c>
      <c r="AP145" s="11">
        <v>19.5694409234452</v>
      </c>
      <c r="AQ145" t="s">
        <v>5874</v>
      </c>
      <c r="AR145" t="s">
        <v>5832</v>
      </c>
      <c r="AS145" t="s">
        <v>2361</v>
      </c>
    </row>
    <row r="146" spans="1:45">
      <c r="A146" t="s">
        <v>1777</v>
      </c>
      <c r="B146" s="2">
        <v>23</v>
      </c>
      <c r="C146" s="2">
        <v>12.074</v>
      </c>
      <c r="D146" s="2">
        <v>16.099</v>
      </c>
      <c r="E146" s="2">
        <v>0</v>
      </c>
      <c r="F146" s="2">
        <v>0</v>
      </c>
      <c r="G146" s="2">
        <v>7</v>
      </c>
      <c r="H146" s="2">
        <v>38</v>
      </c>
      <c r="I146" s="2">
        <v>24</v>
      </c>
      <c r="J146" s="2">
        <v>4</v>
      </c>
      <c r="K146" s="2">
        <v>23</v>
      </c>
      <c r="L146" s="2">
        <v>8</v>
      </c>
      <c r="M146" s="2">
        <v>11</v>
      </c>
      <c r="N146" s="2">
        <v>32</v>
      </c>
      <c r="O146" s="2">
        <v>26</v>
      </c>
      <c r="P146" s="2">
        <v>13</v>
      </c>
      <c r="Q146" s="2">
        <v>19</v>
      </c>
      <c r="R146" s="2">
        <v>12</v>
      </c>
      <c r="S146" s="2">
        <v>19</v>
      </c>
      <c r="T146" s="2">
        <v>9</v>
      </c>
      <c r="U146" s="11">
        <v>27.867798104198801</v>
      </c>
      <c r="V146" s="11">
        <v>11.653075860197101</v>
      </c>
      <c r="W146" s="11">
        <v>25.7728423551773</v>
      </c>
      <c r="X146" s="11">
        <v>0.37798043978830698</v>
      </c>
      <c r="Y146" s="11">
        <v>0.215044089984223</v>
      </c>
      <c r="Z146" s="11">
        <v>6.50809072647644</v>
      </c>
      <c r="AA146" s="11">
        <v>40.054366748856303</v>
      </c>
      <c r="AB146" s="11">
        <v>23.356406351575298</v>
      </c>
      <c r="AC146" s="11">
        <v>3.17903317297983</v>
      </c>
      <c r="AD146" s="11">
        <v>5.0451971751062796</v>
      </c>
      <c r="AE146" s="11">
        <v>8.8005978309407702</v>
      </c>
      <c r="AF146" s="11">
        <v>27.0895054911981</v>
      </c>
      <c r="AG146" s="11">
        <v>11.944303355596499</v>
      </c>
      <c r="AH146" s="11">
        <v>14.994620837317401</v>
      </c>
      <c r="AI146" s="11">
        <v>18.102480574349102</v>
      </c>
      <c r="AJ146" s="11">
        <v>13.7037316182716</v>
      </c>
      <c r="AK146" s="16">
        <v>-0.40357543374140098</v>
      </c>
      <c r="AL146" s="16">
        <v>-1.3203023951283701</v>
      </c>
      <c r="AM146" s="26">
        <v>0.53628372354373999</v>
      </c>
      <c r="AN146" s="27">
        <v>0.61539247178518397</v>
      </c>
      <c r="AO146" s="11">
        <v>16.975700584531701</v>
      </c>
      <c r="AP146" s="11">
        <v>12.8574337569699</v>
      </c>
      <c r="AQ146" t="s">
        <v>5875</v>
      </c>
      <c r="AR146" t="s">
        <v>5832</v>
      </c>
      <c r="AS146" t="s">
        <v>1777</v>
      </c>
    </row>
    <row r="147" spans="1:45">
      <c r="A147" t="s">
        <v>3009</v>
      </c>
      <c r="B147" s="2">
        <v>21</v>
      </c>
      <c r="C147" s="2">
        <v>7</v>
      </c>
      <c r="D147" s="2">
        <v>25</v>
      </c>
      <c r="E147" s="2">
        <v>28</v>
      </c>
      <c r="F147" s="2">
        <v>31</v>
      </c>
      <c r="G147" s="2">
        <v>26</v>
      </c>
      <c r="H147" s="2">
        <v>22</v>
      </c>
      <c r="I147" s="2">
        <v>18</v>
      </c>
      <c r="J147" s="2">
        <v>12</v>
      </c>
      <c r="K147" s="2">
        <v>5</v>
      </c>
      <c r="L147" s="2">
        <v>16.242000000000001</v>
      </c>
      <c r="M147" s="2">
        <v>14</v>
      </c>
      <c r="N147" s="2">
        <v>6</v>
      </c>
      <c r="O147" s="2">
        <v>12</v>
      </c>
      <c r="P147" s="2">
        <v>18</v>
      </c>
      <c r="Q147" s="2">
        <v>12</v>
      </c>
      <c r="R147" s="2">
        <v>10</v>
      </c>
      <c r="S147" s="2">
        <v>4</v>
      </c>
      <c r="T147" s="2">
        <v>8</v>
      </c>
      <c r="U147" s="11">
        <v>25.444511312529301</v>
      </c>
      <c r="V147" s="11">
        <v>6.7414488447421297</v>
      </c>
      <c r="W147" s="11">
        <v>40.019941545306402</v>
      </c>
      <c r="X147" s="11">
        <v>42.333809256290401</v>
      </c>
      <c r="Y147" s="11">
        <v>26.6654671580437</v>
      </c>
      <c r="Z147" s="11">
        <v>24.1729084126268</v>
      </c>
      <c r="AA147" s="11">
        <v>23.189370223022099</v>
      </c>
      <c r="AB147" s="11">
        <v>17.517304763681501</v>
      </c>
      <c r="AC147" s="11">
        <v>9.53709951893949</v>
      </c>
      <c r="AD147" s="11">
        <v>10.2165242795902</v>
      </c>
      <c r="AE147" s="11">
        <v>11.2007608757428</v>
      </c>
      <c r="AF147" s="11">
        <v>5.0792822795996404</v>
      </c>
      <c r="AG147" s="11">
        <v>16.5382661846721</v>
      </c>
      <c r="AH147" s="11">
        <v>9.4702868446214996</v>
      </c>
      <c r="AI147" s="11">
        <v>15.0854004786242</v>
      </c>
      <c r="AJ147" s="11">
        <v>12.1810947717969</v>
      </c>
      <c r="AK147" s="16">
        <v>-1.1968241864220399</v>
      </c>
      <c r="AL147" s="16">
        <v>-2.3075548783478501</v>
      </c>
      <c r="AM147" s="26">
        <v>1.0026363476503301E-3</v>
      </c>
      <c r="AN147" s="27">
        <v>2.25846369218206E-3</v>
      </c>
      <c r="AO147" s="11">
        <v>25.760595189530299</v>
      </c>
      <c r="AP147" s="11">
        <v>11.163589404198399</v>
      </c>
      <c r="AQ147" t="s">
        <v>5875</v>
      </c>
      <c r="AR147" t="s">
        <v>5876</v>
      </c>
      <c r="AS147" t="s">
        <v>3009</v>
      </c>
    </row>
    <row r="148" spans="1:45">
      <c r="A148" t="s">
        <v>3462</v>
      </c>
      <c r="B148" s="2">
        <v>14</v>
      </c>
      <c r="C148" s="2">
        <v>13</v>
      </c>
      <c r="D148" s="2">
        <v>8</v>
      </c>
      <c r="E148" s="2">
        <v>5</v>
      </c>
      <c r="F148" s="2">
        <v>9</v>
      </c>
      <c r="G148" s="2">
        <v>14</v>
      </c>
      <c r="H148" s="2">
        <v>13</v>
      </c>
      <c r="I148" s="2">
        <v>15</v>
      </c>
      <c r="J148" s="2">
        <v>23</v>
      </c>
      <c r="K148" s="2">
        <v>7</v>
      </c>
      <c r="L148" s="2">
        <v>24</v>
      </c>
      <c r="M148" s="2">
        <v>26</v>
      </c>
      <c r="N148" s="2">
        <v>21</v>
      </c>
      <c r="O148" s="2">
        <v>2</v>
      </c>
      <c r="P148" s="2">
        <v>23</v>
      </c>
      <c r="Q148" s="2">
        <v>23</v>
      </c>
      <c r="R148" s="2">
        <v>16</v>
      </c>
      <c r="S148" s="2">
        <v>16</v>
      </c>
      <c r="T148" s="2">
        <v>20</v>
      </c>
      <c r="U148" s="11">
        <v>16.963007541686199</v>
      </c>
      <c r="V148" s="11">
        <v>12.519833568806799</v>
      </c>
      <c r="W148" s="11">
        <v>12.806381294498101</v>
      </c>
      <c r="X148" s="11">
        <v>7.5596087957661497</v>
      </c>
      <c r="Y148" s="11">
        <v>7.7415872394320298</v>
      </c>
      <c r="Z148" s="11">
        <v>13.0161814529529</v>
      </c>
      <c r="AA148" s="11">
        <v>13.7028096772403</v>
      </c>
      <c r="AB148" s="11">
        <v>14.597753969734599</v>
      </c>
      <c r="AC148" s="11">
        <v>18.279440744634002</v>
      </c>
      <c r="AD148" s="11">
        <v>15.135591525318899</v>
      </c>
      <c r="AE148" s="11">
        <v>20.801413054950899</v>
      </c>
      <c r="AF148" s="11">
        <v>17.777487978598799</v>
      </c>
      <c r="AG148" s="11">
        <v>21.132229013747601</v>
      </c>
      <c r="AH148" s="11">
        <v>18.1513831188579</v>
      </c>
      <c r="AI148" s="11">
        <v>24.136640765798798</v>
      </c>
      <c r="AJ148" s="11">
        <v>30.4527369294923</v>
      </c>
      <c r="AK148" s="16">
        <v>0.70845159316266804</v>
      </c>
      <c r="AL148" s="16">
        <v>1.6769960556408301</v>
      </c>
      <c r="AM148" s="26">
        <v>1.21478669143016E-2</v>
      </c>
      <c r="AN148" s="27">
        <v>2.1964656663966999E-2</v>
      </c>
      <c r="AO148" s="11">
        <v>12.3633954425146</v>
      </c>
      <c r="AP148" s="11">
        <v>20.733365391424901</v>
      </c>
      <c r="AQ148" t="s">
        <v>5874</v>
      </c>
      <c r="AR148" t="s">
        <v>5878</v>
      </c>
      <c r="AS148" t="s">
        <v>3462</v>
      </c>
    </row>
    <row r="149" spans="1:45">
      <c r="A149" t="s">
        <v>442</v>
      </c>
      <c r="B149" s="2">
        <v>15</v>
      </c>
      <c r="C149" s="2">
        <v>33</v>
      </c>
      <c r="D149" s="2">
        <v>28</v>
      </c>
      <c r="E149" s="2">
        <v>16</v>
      </c>
      <c r="F149" s="2">
        <v>20</v>
      </c>
      <c r="G149" s="2">
        <v>10</v>
      </c>
      <c r="H149" s="2">
        <v>8</v>
      </c>
      <c r="I149" s="2">
        <v>20</v>
      </c>
      <c r="J149" s="2">
        <v>18</v>
      </c>
      <c r="K149" s="2">
        <v>3</v>
      </c>
      <c r="L149" s="2">
        <v>13</v>
      </c>
      <c r="M149" s="2">
        <v>30</v>
      </c>
      <c r="N149" s="2">
        <v>9</v>
      </c>
      <c r="O149" s="2">
        <v>2</v>
      </c>
      <c r="P149" s="2">
        <v>6</v>
      </c>
      <c r="Q149" s="2">
        <v>18</v>
      </c>
      <c r="R149" s="2">
        <v>18</v>
      </c>
      <c r="S149" s="2">
        <v>7</v>
      </c>
      <c r="T149" s="2">
        <v>16</v>
      </c>
      <c r="U149" s="11">
        <v>18.174650937520902</v>
      </c>
      <c r="V149" s="11">
        <v>31.781115982355701</v>
      </c>
      <c r="W149" s="11">
        <v>44.822334530743198</v>
      </c>
      <c r="X149" s="11">
        <v>24.1907481464517</v>
      </c>
      <c r="Y149" s="11">
        <v>17.203527198737799</v>
      </c>
      <c r="Z149" s="11">
        <v>9.2972724663949098</v>
      </c>
      <c r="AA149" s="11">
        <v>8.4324982629171306</v>
      </c>
      <c r="AB149" s="11">
        <v>19.463671959646099</v>
      </c>
      <c r="AC149" s="11">
        <v>14.3056492784092</v>
      </c>
      <c r="AD149" s="11">
        <v>8.1984454095477108</v>
      </c>
      <c r="AE149" s="11">
        <v>24.0016304480203</v>
      </c>
      <c r="AF149" s="11">
        <v>7.6189234193994704</v>
      </c>
      <c r="AG149" s="11">
        <v>5.5127553948906796</v>
      </c>
      <c r="AH149" s="11">
        <v>14.2054302669323</v>
      </c>
      <c r="AI149" s="11">
        <v>27.153720861523599</v>
      </c>
      <c r="AJ149" s="11">
        <v>24.3621895435939</v>
      </c>
      <c r="AK149" s="16">
        <v>-0.47715529139333701</v>
      </c>
      <c r="AL149" s="16">
        <v>-1.38295752727173</v>
      </c>
      <c r="AM149" s="26">
        <v>0.26709639893688902</v>
      </c>
      <c r="AN149" s="27">
        <v>0.34165868238772201</v>
      </c>
      <c r="AO149" s="11">
        <v>21.6707274355959</v>
      </c>
      <c r="AP149" s="11">
        <v>15.669843077789601</v>
      </c>
      <c r="AQ149" t="s">
        <v>5875</v>
      </c>
      <c r="AR149" t="s">
        <v>5832</v>
      </c>
      <c r="AS149" t="s">
        <v>442</v>
      </c>
    </row>
    <row r="150" spans="1:45">
      <c r="A150" t="s">
        <v>2007</v>
      </c>
      <c r="B150" s="2">
        <v>18</v>
      </c>
      <c r="C150" s="2">
        <v>17</v>
      </c>
      <c r="D150" s="2">
        <v>13</v>
      </c>
      <c r="E150" s="2">
        <v>22</v>
      </c>
      <c r="F150" s="2">
        <v>36</v>
      </c>
      <c r="G150" s="2">
        <v>18</v>
      </c>
      <c r="H150" s="2">
        <v>27</v>
      </c>
      <c r="I150" s="2">
        <v>16</v>
      </c>
      <c r="J150" s="2">
        <v>13</v>
      </c>
      <c r="K150" s="2">
        <v>4</v>
      </c>
      <c r="L150" s="2">
        <v>11</v>
      </c>
      <c r="M150" s="2">
        <v>14</v>
      </c>
      <c r="N150" s="2">
        <v>6</v>
      </c>
      <c r="O150" s="2">
        <v>4</v>
      </c>
      <c r="P150" s="2">
        <v>14</v>
      </c>
      <c r="Q150" s="2">
        <v>20</v>
      </c>
      <c r="R150" s="2">
        <v>14</v>
      </c>
      <c r="S150" s="2">
        <v>10</v>
      </c>
      <c r="T150" s="2">
        <v>12</v>
      </c>
      <c r="U150" s="11">
        <v>21.809581125025101</v>
      </c>
      <c r="V150" s="11">
        <v>16.372090051516601</v>
      </c>
      <c r="W150" s="11">
        <v>20.810369603559401</v>
      </c>
      <c r="X150" s="11">
        <v>33.262278701371102</v>
      </c>
      <c r="Y150" s="11">
        <v>30.966348957728101</v>
      </c>
      <c r="Z150" s="11">
        <v>16.735090439510799</v>
      </c>
      <c r="AA150" s="11">
        <v>28.459681637345302</v>
      </c>
      <c r="AB150" s="11">
        <v>15.5709375677169</v>
      </c>
      <c r="AC150" s="11">
        <v>10.331857812184399</v>
      </c>
      <c r="AD150" s="11">
        <v>6.9371461157711396</v>
      </c>
      <c r="AE150" s="11">
        <v>11.2007608757428</v>
      </c>
      <c r="AF150" s="11">
        <v>5.0792822795996404</v>
      </c>
      <c r="AG150" s="11">
        <v>12.863095921411601</v>
      </c>
      <c r="AH150" s="11">
        <v>15.783811407702499</v>
      </c>
      <c r="AI150" s="11">
        <v>21.119560670073898</v>
      </c>
      <c r="AJ150" s="11">
        <v>18.2716421576954</v>
      </c>
      <c r="AK150" s="16">
        <v>-0.89404161635354396</v>
      </c>
      <c r="AL150" s="16">
        <v>-1.81111848271112</v>
      </c>
      <c r="AM150" s="26">
        <v>8.7051047267152192E-3</v>
      </c>
      <c r="AN150" s="27">
        <v>1.6176986283812499E-2</v>
      </c>
      <c r="AO150" s="11">
        <v>22.998297260471698</v>
      </c>
      <c r="AP150" s="11">
        <v>12.6983946550227</v>
      </c>
      <c r="AQ150" t="s">
        <v>5875</v>
      </c>
      <c r="AR150" t="s">
        <v>5878</v>
      </c>
      <c r="AS150" t="s">
        <v>2007</v>
      </c>
    </row>
    <row r="151" spans="1:45">
      <c r="A151" t="s">
        <v>3520</v>
      </c>
      <c r="B151" s="2">
        <v>21</v>
      </c>
      <c r="C151" s="2">
        <v>4</v>
      </c>
      <c r="D151" s="2">
        <v>0</v>
      </c>
      <c r="E151" s="2">
        <v>0</v>
      </c>
      <c r="F151" s="2">
        <v>0</v>
      </c>
      <c r="G151" s="2">
        <v>2</v>
      </c>
      <c r="H151" s="2">
        <v>2</v>
      </c>
      <c r="I151" s="2">
        <v>11</v>
      </c>
      <c r="J151" s="2">
        <v>17</v>
      </c>
      <c r="K151" s="2">
        <v>29</v>
      </c>
      <c r="L151" s="2">
        <v>34</v>
      </c>
      <c r="M151" s="2">
        <v>21</v>
      </c>
      <c r="N151" s="2">
        <v>24</v>
      </c>
      <c r="O151" s="2">
        <v>30</v>
      </c>
      <c r="P151" s="2">
        <v>17</v>
      </c>
      <c r="Q151" s="2">
        <v>28</v>
      </c>
      <c r="R151" s="2">
        <v>17</v>
      </c>
      <c r="S151" s="2">
        <v>8</v>
      </c>
      <c r="T151" s="2">
        <v>20</v>
      </c>
      <c r="U151" s="11">
        <v>25.444511312529301</v>
      </c>
      <c r="V151" s="11">
        <v>3.85225648270979</v>
      </c>
      <c r="W151" s="11">
        <v>0.40019941545306398</v>
      </c>
      <c r="X151" s="11">
        <v>0.37798043978830698</v>
      </c>
      <c r="Y151" s="11">
        <v>0.215044089984223</v>
      </c>
      <c r="Z151" s="11">
        <v>1.85945449327898</v>
      </c>
      <c r="AA151" s="11">
        <v>2.10812456572928</v>
      </c>
      <c r="AB151" s="11">
        <v>10.7050195778054</v>
      </c>
      <c r="AC151" s="11">
        <v>13.5108909851643</v>
      </c>
      <c r="AD151" s="11">
        <v>21.4420879942017</v>
      </c>
      <c r="AE151" s="11">
        <v>16.801141313614199</v>
      </c>
      <c r="AF151" s="11">
        <v>20.317129118398601</v>
      </c>
      <c r="AG151" s="11">
        <v>15.619473618856899</v>
      </c>
      <c r="AH151" s="11">
        <v>22.097335970783501</v>
      </c>
      <c r="AI151" s="11">
        <v>25.645180813661199</v>
      </c>
      <c r="AJ151" s="11">
        <v>30.4527369294923</v>
      </c>
      <c r="AK151" s="16">
        <v>1.8515095032070601</v>
      </c>
      <c r="AL151" s="16">
        <v>3.6894221474393198</v>
      </c>
      <c r="AM151" s="26">
        <v>1.9989420532986E-3</v>
      </c>
      <c r="AN151" s="27">
        <v>4.2453721703389303E-3</v>
      </c>
      <c r="AO151" s="11">
        <v>5.6203237971597897</v>
      </c>
      <c r="AP151" s="11">
        <v>20.735747093021601</v>
      </c>
      <c r="AQ151" t="s">
        <v>5874</v>
      </c>
      <c r="AR151" t="s">
        <v>5876</v>
      </c>
      <c r="AS151" t="s">
        <v>3520</v>
      </c>
    </row>
    <row r="152" spans="1:45">
      <c r="A152" t="s">
        <v>3035</v>
      </c>
      <c r="B152" s="2">
        <v>2</v>
      </c>
      <c r="C152" s="2">
        <v>9</v>
      </c>
      <c r="D152" s="2">
        <v>3</v>
      </c>
      <c r="E152" s="2">
        <v>6</v>
      </c>
      <c r="F152" s="2">
        <v>10</v>
      </c>
      <c r="G152" s="2">
        <v>3</v>
      </c>
      <c r="H152" s="2">
        <v>2</v>
      </c>
      <c r="I152" s="2">
        <v>5</v>
      </c>
      <c r="J152" s="2">
        <v>18</v>
      </c>
      <c r="K152" s="2">
        <v>34</v>
      </c>
      <c r="L152" s="2">
        <v>4</v>
      </c>
      <c r="M152" s="2">
        <v>13</v>
      </c>
      <c r="N152" s="2">
        <v>31</v>
      </c>
      <c r="O152" s="2">
        <v>37</v>
      </c>
      <c r="P152" s="2">
        <v>27</v>
      </c>
      <c r="Q152" s="2">
        <v>16</v>
      </c>
      <c r="R152" s="2">
        <v>19</v>
      </c>
      <c r="S152" s="2">
        <v>25</v>
      </c>
      <c r="T152" s="2">
        <v>20</v>
      </c>
      <c r="U152" s="11">
        <v>2.4232867916694598</v>
      </c>
      <c r="V152" s="11">
        <v>8.6675770860970207</v>
      </c>
      <c r="W152" s="11">
        <v>4.8023929854367697</v>
      </c>
      <c r="X152" s="11">
        <v>9.0715305549193808</v>
      </c>
      <c r="Y152" s="11">
        <v>8.6017635993689208</v>
      </c>
      <c r="Z152" s="11">
        <v>2.7891817399184702</v>
      </c>
      <c r="AA152" s="11">
        <v>2.10812456572928</v>
      </c>
      <c r="AB152" s="11">
        <v>4.8659179899115301</v>
      </c>
      <c r="AC152" s="11">
        <v>14.3056492784092</v>
      </c>
      <c r="AD152" s="11">
        <v>2.5225985875531398</v>
      </c>
      <c r="AE152" s="11">
        <v>10.400706527475499</v>
      </c>
      <c r="AF152" s="11">
        <v>26.242958444598202</v>
      </c>
      <c r="AG152" s="11">
        <v>24.807399277008098</v>
      </c>
      <c r="AH152" s="11">
        <v>12.627049126161999</v>
      </c>
      <c r="AI152" s="11">
        <v>28.662260909385999</v>
      </c>
      <c r="AJ152" s="11">
        <v>30.4527369294923</v>
      </c>
      <c r="AK152" s="16">
        <v>1.7428391225784501</v>
      </c>
      <c r="AL152" s="16">
        <v>3.4623156477550001</v>
      </c>
      <c r="AM152" s="26">
        <v>2.34270474035716E-4</v>
      </c>
      <c r="AN152" s="27">
        <v>6.0512334799186899E-4</v>
      </c>
      <c r="AO152" s="11">
        <v>5.4162219141313503</v>
      </c>
      <c r="AP152" s="11">
        <v>18.752669885010601</v>
      </c>
      <c r="AQ152" t="s">
        <v>5874</v>
      </c>
      <c r="AR152" t="s">
        <v>5876</v>
      </c>
      <c r="AS152" t="s">
        <v>3035</v>
      </c>
    </row>
    <row r="153" spans="1:45">
      <c r="A153" t="s">
        <v>2180</v>
      </c>
      <c r="B153" s="2">
        <v>14</v>
      </c>
      <c r="C153" s="2">
        <v>5</v>
      </c>
      <c r="D153" s="2">
        <v>5</v>
      </c>
      <c r="E153" s="2">
        <v>1</v>
      </c>
      <c r="F153" s="2">
        <v>5</v>
      </c>
      <c r="G153" s="2">
        <v>10</v>
      </c>
      <c r="H153" s="2">
        <v>26</v>
      </c>
      <c r="I153" s="2">
        <v>32</v>
      </c>
      <c r="J153" s="2">
        <v>47</v>
      </c>
      <c r="K153" s="2">
        <v>2</v>
      </c>
      <c r="L153" s="2">
        <v>23</v>
      </c>
      <c r="M153" s="2">
        <v>26</v>
      </c>
      <c r="N153" s="2">
        <v>25</v>
      </c>
      <c r="O153" s="2">
        <v>6</v>
      </c>
      <c r="P153" s="2">
        <v>17</v>
      </c>
      <c r="Q153" s="2">
        <v>15</v>
      </c>
      <c r="R153" s="2">
        <v>11</v>
      </c>
      <c r="S153" s="2">
        <v>6</v>
      </c>
      <c r="T153" s="2">
        <v>7</v>
      </c>
      <c r="U153" s="11">
        <v>16.963007541686199</v>
      </c>
      <c r="V153" s="11">
        <v>4.8153206033872298</v>
      </c>
      <c r="W153" s="11">
        <v>8.00398830906129</v>
      </c>
      <c r="X153" s="11">
        <v>1.5119217591532299</v>
      </c>
      <c r="Y153" s="11">
        <v>4.3008817996844604</v>
      </c>
      <c r="Z153" s="11">
        <v>9.2972724663949098</v>
      </c>
      <c r="AA153" s="11">
        <v>27.405619354480699</v>
      </c>
      <c r="AB153" s="11">
        <v>31.1418751354338</v>
      </c>
      <c r="AC153" s="11">
        <v>37.353639782513</v>
      </c>
      <c r="AD153" s="11">
        <v>14.5049418784306</v>
      </c>
      <c r="AE153" s="11">
        <v>20.801413054950899</v>
      </c>
      <c r="AF153" s="11">
        <v>21.163676164998499</v>
      </c>
      <c r="AG153" s="11">
        <v>15.619473618856899</v>
      </c>
      <c r="AH153" s="11">
        <v>11.837858555776901</v>
      </c>
      <c r="AI153" s="11">
        <v>16.593940526486598</v>
      </c>
      <c r="AJ153" s="11">
        <v>10.658457925322301</v>
      </c>
      <c r="AK153" s="16">
        <v>0.51316664954577096</v>
      </c>
      <c r="AL153" s="16">
        <v>1.4359393253343899</v>
      </c>
      <c r="AM153" s="26">
        <v>0.279875246723024</v>
      </c>
      <c r="AN153" s="27">
        <v>0.35664102868134001</v>
      </c>
      <c r="AO153" s="11">
        <v>12.9299858711602</v>
      </c>
      <c r="AP153" s="11">
        <v>18.566675188417001</v>
      </c>
      <c r="AQ153" t="s">
        <v>5874</v>
      </c>
      <c r="AR153" t="s">
        <v>5832</v>
      </c>
      <c r="AS153" t="s">
        <v>2180</v>
      </c>
    </row>
    <row r="154" spans="1:45">
      <c r="A154" t="s">
        <v>3000</v>
      </c>
      <c r="B154" s="2">
        <v>12</v>
      </c>
      <c r="C154" s="2">
        <v>8</v>
      </c>
      <c r="D154" s="2">
        <v>21</v>
      </c>
      <c r="E154" s="2">
        <v>0</v>
      </c>
      <c r="F154" s="2">
        <v>2</v>
      </c>
      <c r="G154" s="2">
        <v>7</v>
      </c>
      <c r="H154" s="2">
        <v>7</v>
      </c>
      <c r="I154" s="2">
        <v>20</v>
      </c>
      <c r="J154" s="2">
        <v>14</v>
      </c>
      <c r="K154" s="2">
        <v>4</v>
      </c>
      <c r="L154" s="2">
        <v>18</v>
      </c>
      <c r="M154" s="2">
        <v>26</v>
      </c>
      <c r="N154" s="2">
        <v>11</v>
      </c>
      <c r="O154" s="2">
        <v>3</v>
      </c>
      <c r="P154" s="2">
        <v>14</v>
      </c>
      <c r="Q154" s="2">
        <v>78</v>
      </c>
      <c r="R154" s="2">
        <v>16</v>
      </c>
      <c r="S154" s="2">
        <v>9</v>
      </c>
      <c r="T154" s="2">
        <v>13</v>
      </c>
      <c r="U154" s="11">
        <v>14.5397207500168</v>
      </c>
      <c r="V154" s="11">
        <v>7.7045129654195703</v>
      </c>
      <c r="W154" s="11">
        <v>33.616750898057397</v>
      </c>
      <c r="X154" s="11">
        <v>0.37798043978830698</v>
      </c>
      <c r="Y154" s="11">
        <v>1.72035271987378</v>
      </c>
      <c r="Z154" s="11">
        <v>6.50809072647644</v>
      </c>
      <c r="AA154" s="11">
        <v>7.3784359800524904</v>
      </c>
      <c r="AB154" s="11">
        <v>19.463671959646099</v>
      </c>
      <c r="AC154" s="11">
        <v>11.126616105429401</v>
      </c>
      <c r="AD154" s="11">
        <v>11.351693643989099</v>
      </c>
      <c r="AE154" s="11">
        <v>20.801413054950899</v>
      </c>
      <c r="AF154" s="11">
        <v>9.3120175125993505</v>
      </c>
      <c r="AG154" s="11">
        <v>12.863095921411601</v>
      </c>
      <c r="AH154" s="11">
        <v>61.5568644900398</v>
      </c>
      <c r="AI154" s="11">
        <v>24.136640765798798</v>
      </c>
      <c r="AJ154" s="11">
        <v>19.794279004170001</v>
      </c>
      <c r="AK154" s="16">
        <v>0.91807729952352102</v>
      </c>
      <c r="AL154" s="16">
        <v>1.8721227224105299</v>
      </c>
      <c r="AM154" s="26">
        <v>0.108180800841263</v>
      </c>
      <c r="AN154" s="27">
        <v>0.15266546479389501</v>
      </c>
      <c r="AO154" s="11">
        <v>11.413689554916401</v>
      </c>
      <c r="AP154" s="11">
        <v>21.367827562298601</v>
      </c>
      <c r="AQ154" t="s">
        <v>5874</v>
      </c>
      <c r="AR154" t="s">
        <v>5832</v>
      </c>
      <c r="AS154" t="s">
        <v>3000</v>
      </c>
    </row>
    <row r="155" spans="1:45">
      <c r="A155" t="s">
        <v>5476</v>
      </c>
      <c r="B155" s="2">
        <v>25</v>
      </c>
      <c r="C155" s="2">
        <v>24</v>
      </c>
      <c r="D155" s="2">
        <v>12</v>
      </c>
      <c r="E155" s="2">
        <v>40</v>
      </c>
      <c r="F155" s="2">
        <v>62</v>
      </c>
      <c r="G155" s="2">
        <v>38</v>
      </c>
      <c r="H155" s="2">
        <v>19</v>
      </c>
      <c r="I155" s="2">
        <v>17</v>
      </c>
      <c r="J155" s="2">
        <v>1</v>
      </c>
      <c r="K155" s="2">
        <v>1</v>
      </c>
      <c r="L155" s="2">
        <v>9</v>
      </c>
      <c r="M155" s="2">
        <v>9</v>
      </c>
      <c r="N155" s="2">
        <v>1</v>
      </c>
      <c r="O155" s="2">
        <v>1</v>
      </c>
      <c r="P155" s="2">
        <v>2</v>
      </c>
      <c r="Q155" s="2">
        <v>6</v>
      </c>
      <c r="R155" s="2">
        <v>4</v>
      </c>
      <c r="S155" s="2">
        <v>6</v>
      </c>
      <c r="T155" s="2">
        <v>6</v>
      </c>
      <c r="U155" s="11">
        <v>30.291084895868199</v>
      </c>
      <c r="V155" s="11">
        <v>23.113538896258699</v>
      </c>
      <c r="W155" s="11">
        <v>19.2095719417471</v>
      </c>
      <c r="X155" s="11">
        <v>60.476870366129198</v>
      </c>
      <c r="Y155" s="11">
        <v>53.330934316087301</v>
      </c>
      <c r="Z155" s="11">
        <v>35.3296353723007</v>
      </c>
      <c r="AA155" s="11">
        <v>20.027183374428201</v>
      </c>
      <c r="AB155" s="11">
        <v>16.544121165699199</v>
      </c>
      <c r="AC155" s="11">
        <v>0.79475829324495695</v>
      </c>
      <c r="AD155" s="11">
        <v>5.6758468219945701</v>
      </c>
      <c r="AE155" s="11">
        <v>7.2004891344060802</v>
      </c>
      <c r="AF155" s="11">
        <v>0.84654704659994096</v>
      </c>
      <c r="AG155" s="11">
        <v>1.8375851316302301</v>
      </c>
      <c r="AH155" s="11">
        <v>4.7351434223107498</v>
      </c>
      <c r="AI155" s="11">
        <v>6.0341601914496898</v>
      </c>
      <c r="AJ155" s="11">
        <v>9.1358210788476999</v>
      </c>
      <c r="AK155" s="16">
        <v>-2.85205670511206</v>
      </c>
      <c r="AL155" s="16">
        <v>-7.1241157999319196</v>
      </c>
      <c r="AM155" s="26">
        <v>7.3985411399312899E-10</v>
      </c>
      <c r="AN155" s="27">
        <v>9.8992480452280599E-9</v>
      </c>
      <c r="AO155" s="11">
        <v>32.290367541064803</v>
      </c>
      <c r="AP155" s="11">
        <v>4.5325438900604897</v>
      </c>
      <c r="AQ155" t="s">
        <v>5875</v>
      </c>
      <c r="AR155" t="s">
        <v>5876</v>
      </c>
      <c r="AS155" t="s">
        <v>5476</v>
      </c>
    </row>
    <row r="156" spans="1:45">
      <c r="A156" t="s">
        <v>3895</v>
      </c>
      <c r="B156" s="2">
        <v>1</v>
      </c>
      <c r="C156" s="2">
        <v>5</v>
      </c>
      <c r="D156" s="2">
        <v>3</v>
      </c>
      <c r="E156" s="2">
        <v>10</v>
      </c>
      <c r="F156" s="2">
        <v>4</v>
      </c>
      <c r="G156" s="2">
        <v>15</v>
      </c>
      <c r="H156" s="2">
        <v>9</v>
      </c>
      <c r="I156" s="2">
        <v>9</v>
      </c>
      <c r="J156" s="2">
        <v>16</v>
      </c>
      <c r="K156" s="2">
        <v>2</v>
      </c>
      <c r="L156" s="2">
        <v>47</v>
      </c>
      <c r="M156" s="2">
        <v>13.52</v>
      </c>
      <c r="N156" s="2">
        <v>30</v>
      </c>
      <c r="O156" s="2">
        <v>2</v>
      </c>
      <c r="P156" s="2">
        <v>41.951000000000001</v>
      </c>
      <c r="Q156" s="2">
        <v>53.716000000000001</v>
      </c>
      <c r="R156" s="2">
        <v>6</v>
      </c>
      <c r="S156" s="2">
        <v>5</v>
      </c>
      <c r="T156" s="2">
        <v>9</v>
      </c>
      <c r="U156" s="11">
        <v>1.2116433958347299</v>
      </c>
      <c r="V156" s="11">
        <v>4.8153206033872298</v>
      </c>
      <c r="W156" s="11">
        <v>4.8023929854367697</v>
      </c>
      <c r="X156" s="11">
        <v>15.119217591532299</v>
      </c>
      <c r="Y156" s="11">
        <v>3.4407054397475698</v>
      </c>
      <c r="Z156" s="11">
        <v>13.945908699592399</v>
      </c>
      <c r="AA156" s="11">
        <v>9.4865605457817708</v>
      </c>
      <c r="AB156" s="11">
        <v>8.7586523818407507</v>
      </c>
      <c r="AC156" s="11">
        <v>12.716132691919301</v>
      </c>
      <c r="AD156" s="11">
        <v>29.640533403749401</v>
      </c>
      <c r="AE156" s="11">
        <v>10.800733701609101</v>
      </c>
      <c r="AF156" s="11">
        <v>25.3964113979982</v>
      </c>
      <c r="AG156" s="11">
        <v>38.589287764234797</v>
      </c>
      <c r="AH156" s="11">
        <v>42.379533629681198</v>
      </c>
      <c r="AI156" s="11">
        <v>9.0512402871745401</v>
      </c>
      <c r="AJ156" s="11">
        <v>13.7037316182716</v>
      </c>
      <c r="AK156" s="16">
        <v>1.57085468769336</v>
      </c>
      <c r="AL156" s="16">
        <v>2.9599937582561</v>
      </c>
      <c r="AM156" s="26">
        <v>7.9289507734663805E-4</v>
      </c>
      <c r="AN156" s="27">
        <v>1.8228412602917599E-3</v>
      </c>
      <c r="AO156" s="11">
        <v>7.6975502053941902</v>
      </c>
      <c r="AP156" s="11">
        <v>22.784700561829801</v>
      </c>
      <c r="AQ156" t="s">
        <v>5874</v>
      </c>
      <c r="AR156" t="s">
        <v>5876</v>
      </c>
      <c r="AS156" t="s">
        <v>3895</v>
      </c>
    </row>
    <row r="157" spans="1:45">
      <c r="A157" t="s">
        <v>3659</v>
      </c>
      <c r="B157" s="2">
        <v>26</v>
      </c>
      <c r="C157" s="2">
        <v>23</v>
      </c>
      <c r="D157" s="2">
        <v>44</v>
      </c>
      <c r="E157" s="2">
        <v>28</v>
      </c>
      <c r="F157" s="2">
        <v>38</v>
      </c>
      <c r="G157" s="2">
        <v>33</v>
      </c>
      <c r="H157" s="2">
        <v>15</v>
      </c>
      <c r="I157" s="2">
        <v>11</v>
      </c>
      <c r="J157" s="2">
        <v>9</v>
      </c>
      <c r="K157" s="2">
        <v>0</v>
      </c>
      <c r="L157" s="2">
        <v>8</v>
      </c>
      <c r="M157" s="2">
        <v>13</v>
      </c>
      <c r="N157" s="2">
        <v>6</v>
      </c>
      <c r="O157" s="2">
        <v>0</v>
      </c>
      <c r="P157" s="2">
        <v>8</v>
      </c>
      <c r="Q157" s="2">
        <v>15</v>
      </c>
      <c r="R157" s="2">
        <v>0</v>
      </c>
      <c r="S157" s="2">
        <v>0</v>
      </c>
      <c r="T157" s="2">
        <v>5</v>
      </c>
      <c r="U157" s="11">
        <v>31.502728291703001</v>
      </c>
      <c r="V157" s="11">
        <v>22.150474775581301</v>
      </c>
      <c r="W157" s="11">
        <v>70.435097119739297</v>
      </c>
      <c r="X157" s="11">
        <v>42.333809256290401</v>
      </c>
      <c r="Y157" s="11">
        <v>32.686701677601903</v>
      </c>
      <c r="Z157" s="11">
        <v>30.6809991391032</v>
      </c>
      <c r="AA157" s="11">
        <v>15.8109342429696</v>
      </c>
      <c r="AB157" s="11">
        <v>10.7050195778054</v>
      </c>
      <c r="AC157" s="11">
        <v>7.1528246392046197</v>
      </c>
      <c r="AD157" s="11">
        <v>5.0451971751062796</v>
      </c>
      <c r="AE157" s="11">
        <v>10.400706527475499</v>
      </c>
      <c r="AF157" s="11">
        <v>5.0792822795996404</v>
      </c>
      <c r="AG157" s="11">
        <v>7.3503405265209096</v>
      </c>
      <c r="AH157" s="11">
        <v>11.837858555776901</v>
      </c>
      <c r="AI157" s="11">
        <v>0.377135011965606</v>
      </c>
      <c r="AJ157" s="11">
        <v>7.6131842323730803</v>
      </c>
      <c r="AK157" s="16">
        <v>-2.1587566108119298</v>
      </c>
      <c r="AL157" s="16">
        <v>-4.67229277892607</v>
      </c>
      <c r="AM157" s="26">
        <v>6.2668896415463895E-7</v>
      </c>
      <c r="AN157" s="27">
        <v>3.2754290392144802E-6</v>
      </c>
      <c r="AO157" s="11">
        <v>32.0382205100993</v>
      </c>
      <c r="AP157" s="11">
        <v>6.8570661185028099</v>
      </c>
      <c r="AQ157" t="s">
        <v>5875</v>
      </c>
      <c r="AR157" t="s">
        <v>5876</v>
      </c>
      <c r="AS157" t="s">
        <v>3659</v>
      </c>
    </row>
    <row r="158" spans="1:45">
      <c r="A158" t="s">
        <v>578</v>
      </c>
      <c r="B158" s="2">
        <v>3</v>
      </c>
      <c r="C158" s="2">
        <v>3</v>
      </c>
      <c r="D158" s="2">
        <v>1</v>
      </c>
      <c r="E158" s="2">
        <v>2</v>
      </c>
      <c r="F158" s="2">
        <v>5.7140000000000004</v>
      </c>
      <c r="G158" s="2">
        <v>6.6</v>
      </c>
      <c r="H158" s="2">
        <v>6</v>
      </c>
      <c r="I158" s="2">
        <v>13</v>
      </c>
      <c r="J158" s="2">
        <v>45</v>
      </c>
      <c r="K158" s="2">
        <v>7</v>
      </c>
      <c r="L158" s="2">
        <v>39</v>
      </c>
      <c r="M158" s="2">
        <v>28</v>
      </c>
      <c r="N158" s="2">
        <v>44</v>
      </c>
      <c r="O158" s="2">
        <v>16</v>
      </c>
      <c r="P158" s="2">
        <v>10</v>
      </c>
      <c r="Q158" s="2">
        <v>28</v>
      </c>
      <c r="R158" s="2">
        <v>7</v>
      </c>
      <c r="S158" s="2">
        <v>2</v>
      </c>
      <c r="T158" s="2">
        <v>7</v>
      </c>
      <c r="U158" s="11">
        <v>3.6349301875041902</v>
      </c>
      <c r="V158" s="11">
        <v>2.8891923620323401</v>
      </c>
      <c r="W158" s="11">
        <v>1.6007976618122599</v>
      </c>
      <c r="X158" s="11">
        <v>3.0238435183064598</v>
      </c>
      <c r="Y158" s="11">
        <v>4.9030052516402796</v>
      </c>
      <c r="Z158" s="11">
        <v>6.13619982782064</v>
      </c>
      <c r="AA158" s="11">
        <v>6.3243736971878404</v>
      </c>
      <c r="AB158" s="11">
        <v>12.65138677377</v>
      </c>
      <c r="AC158" s="11">
        <v>35.7641231960231</v>
      </c>
      <c r="AD158" s="11">
        <v>24.595336228643099</v>
      </c>
      <c r="AE158" s="11">
        <v>22.4015217514856</v>
      </c>
      <c r="AF158" s="11">
        <v>37.248070050397402</v>
      </c>
      <c r="AG158" s="11">
        <v>9.1879256581511406</v>
      </c>
      <c r="AH158" s="11">
        <v>22.097335970783501</v>
      </c>
      <c r="AI158" s="11">
        <v>10.559780335037001</v>
      </c>
      <c r="AJ158" s="11">
        <v>10.658457925322301</v>
      </c>
      <c r="AK158" s="16">
        <v>2.0176698353895</v>
      </c>
      <c r="AL158" s="16">
        <v>4.1908873207790398</v>
      </c>
      <c r="AM158" s="26">
        <v>3.79966355767782E-6</v>
      </c>
      <c r="AN158" s="27">
        <v>1.5691203210410199E-5</v>
      </c>
      <c r="AO158" s="11">
        <v>5.1454661600092502</v>
      </c>
      <c r="AP158" s="11">
        <v>21.564068889480399</v>
      </c>
      <c r="AQ158" t="s">
        <v>5874</v>
      </c>
      <c r="AR158" t="s">
        <v>5876</v>
      </c>
      <c r="AS158" t="s">
        <v>578</v>
      </c>
    </row>
    <row r="159" spans="1:45">
      <c r="A159" t="s">
        <v>4630</v>
      </c>
      <c r="B159" s="2">
        <v>12</v>
      </c>
      <c r="C159" s="2">
        <v>18</v>
      </c>
      <c r="D159" s="2">
        <v>14</v>
      </c>
      <c r="E159" s="2">
        <v>23</v>
      </c>
      <c r="F159" s="2">
        <v>51</v>
      </c>
      <c r="G159" s="2">
        <v>36</v>
      </c>
      <c r="H159" s="2">
        <v>22</v>
      </c>
      <c r="I159" s="2">
        <v>21</v>
      </c>
      <c r="J159" s="2">
        <v>11</v>
      </c>
      <c r="K159" s="2">
        <v>0</v>
      </c>
      <c r="L159" s="2">
        <v>17</v>
      </c>
      <c r="M159" s="2">
        <v>9</v>
      </c>
      <c r="N159" s="2">
        <v>10</v>
      </c>
      <c r="O159" s="2">
        <v>1</v>
      </c>
      <c r="P159" s="2">
        <v>11</v>
      </c>
      <c r="Q159" s="2">
        <v>11</v>
      </c>
      <c r="R159" s="2">
        <v>0</v>
      </c>
      <c r="S159" s="2">
        <v>4</v>
      </c>
      <c r="T159" s="2">
        <v>1</v>
      </c>
      <c r="U159" s="11">
        <v>14.5397207500168</v>
      </c>
      <c r="V159" s="11">
        <v>17.335154172193999</v>
      </c>
      <c r="W159" s="11">
        <v>22.411167265371599</v>
      </c>
      <c r="X159" s="11">
        <v>34.774200460524298</v>
      </c>
      <c r="Y159" s="11">
        <v>43.868994356781499</v>
      </c>
      <c r="Z159" s="11">
        <v>33.470180879021697</v>
      </c>
      <c r="AA159" s="11">
        <v>23.189370223022099</v>
      </c>
      <c r="AB159" s="11">
        <v>20.436855557628402</v>
      </c>
      <c r="AC159" s="11">
        <v>8.7423412256945294</v>
      </c>
      <c r="AD159" s="11">
        <v>10.7210439971009</v>
      </c>
      <c r="AE159" s="11">
        <v>7.2004891344060802</v>
      </c>
      <c r="AF159" s="11">
        <v>8.4654704659994096</v>
      </c>
      <c r="AG159" s="11">
        <v>10.1067182239663</v>
      </c>
      <c r="AH159" s="11">
        <v>8.6810962742363706</v>
      </c>
      <c r="AI159" s="11">
        <v>0.377135011965606</v>
      </c>
      <c r="AJ159" s="11">
        <v>1.5226368464746201</v>
      </c>
      <c r="AK159" s="16">
        <v>-1.8196827151634001</v>
      </c>
      <c r="AL159" s="16">
        <v>-3.7627587046634998</v>
      </c>
      <c r="AM159" s="26">
        <v>1.8053585249286799E-6</v>
      </c>
      <c r="AN159" s="27">
        <v>8.1059386119281094E-6</v>
      </c>
      <c r="AO159" s="11">
        <v>26.253205458069999</v>
      </c>
      <c r="AP159" s="11">
        <v>6.9771163974804704</v>
      </c>
      <c r="AQ159" t="s">
        <v>5875</v>
      </c>
      <c r="AR159" t="s">
        <v>5876</v>
      </c>
      <c r="AS159" t="s">
        <v>4630</v>
      </c>
    </row>
    <row r="160" spans="1:45">
      <c r="A160" t="s">
        <v>5516</v>
      </c>
      <c r="B160" s="2">
        <v>22</v>
      </c>
      <c r="C160" s="2">
        <v>39</v>
      </c>
      <c r="D160" s="2">
        <v>6</v>
      </c>
      <c r="E160" s="2">
        <v>25</v>
      </c>
      <c r="F160" s="2">
        <v>52</v>
      </c>
      <c r="G160" s="2">
        <v>39</v>
      </c>
      <c r="H160" s="2">
        <v>14</v>
      </c>
      <c r="I160" s="2">
        <v>23</v>
      </c>
      <c r="J160" s="2">
        <v>7</v>
      </c>
      <c r="K160" s="2">
        <v>0</v>
      </c>
      <c r="L160" s="2">
        <v>9</v>
      </c>
      <c r="M160" s="2">
        <v>10</v>
      </c>
      <c r="N160" s="2">
        <v>3</v>
      </c>
      <c r="O160" s="2">
        <v>3</v>
      </c>
      <c r="P160" s="2">
        <v>3</v>
      </c>
      <c r="Q160" s="2">
        <v>11</v>
      </c>
      <c r="R160" s="2">
        <v>2</v>
      </c>
      <c r="S160" s="2">
        <v>1</v>
      </c>
      <c r="T160" s="2">
        <v>3</v>
      </c>
      <c r="U160" s="11">
        <v>26.656154708363999</v>
      </c>
      <c r="V160" s="11">
        <v>37.559500706420401</v>
      </c>
      <c r="W160" s="11">
        <v>9.6047859708735501</v>
      </c>
      <c r="X160" s="11">
        <v>37.798043978830698</v>
      </c>
      <c r="Y160" s="11">
        <v>44.7291707167184</v>
      </c>
      <c r="Z160" s="11">
        <v>36.259362618940202</v>
      </c>
      <c r="AA160" s="11">
        <v>14.756871960105</v>
      </c>
      <c r="AB160" s="11">
        <v>22.383222753593</v>
      </c>
      <c r="AC160" s="11">
        <v>5.5633080527147003</v>
      </c>
      <c r="AD160" s="11">
        <v>5.6758468219945701</v>
      </c>
      <c r="AE160" s="11">
        <v>8.0005434826734305</v>
      </c>
      <c r="AF160" s="11">
        <v>2.5396411397998202</v>
      </c>
      <c r="AG160" s="11">
        <v>2.7563776974453398</v>
      </c>
      <c r="AH160" s="11">
        <v>8.6810962742363706</v>
      </c>
      <c r="AI160" s="11">
        <v>3.0170800957248498</v>
      </c>
      <c r="AJ160" s="11">
        <v>4.5679105394238499</v>
      </c>
      <c r="AK160" s="16">
        <v>-2.4384317558750701</v>
      </c>
      <c r="AL160" s="16">
        <v>-5.6308077169374302</v>
      </c>
      <c r="AM160" s="26">
        <v>1.1724619536587E-9</v>
      </c>
      <c r="AN160" s="27">
        <v>1.4799566924484301E-8</v>
      </c>
      <c r="AO160" s="11">
        <v>28.7183891767307</v>
      </c>
      <c r="AP160" s="11">
        <v>5.1002255130016199</v>
      </c>
      <c r="AQ160" t="s">
        <v>5875</v>
      </c>
      <c r="AR160" t="s">
        <v>5876</v>
      </c>
      <c r="AS160" t="s">
        <v>5516</v>
      </c>
    </row>
    <row r="161" spans="1:45">
      <c r="A161" t="s">
        <v>476</v>
      </c>
      <c r="B161" s="2">
        <v>7</v>
      </c>
      <c r="C161" s="2">
        <v>6</v>
      </c>
      <c r="D161" s="2">
        <v>2</v>
      </c>
      <c r="E161" s="2">
        <v>2</v>
      </c>
      <c r="F161" s="2">
        <v>2</v>
      </c>
      <c r="G161" s="2">
        <v>0</v>
      </c>
      <c r="H161" s="2">
        <v>1</v>
      </c>
      <c r="I161" s="2">
        <v>0</v>
      </c>
      <c r="J161" s="2">
        <v>59</v>
      </c>
      <c r="K161" s="2">
        <v>12</v>
      </c>
      <c r="L161" s="2">
        <v>47</v>
      </c>
      <c r="M161" s="2">
        <v>23</v>
      </c>
      <c r="N161" s="2">
        <v>16</v>
      </c>
      <c r="O161" s="2">
        <v>3</v>
      </c>
      <c r="P161" s="2">
        <v>22</v>
      </c>
      <c r="Q161" s="2">
        <v>40</v>
      </c>
      <c r="R161" s="2">
        <v>9</v>
      </c>
      <c r="S161" s="2">
        <v>4</v>
      </c>
      <c r="T161" s="2">
        <v>16</v>
      </c>
      <c r="U161" s="11">
        <v>8.4815037708430996</v>
      </c>
      <c r="V161" s="11">
        <v>5.7783847240646802</v>
      </c>
      <c r="W161" s="11">
        <v>3.2015953236245198</v>
      </c>
      <c r="X161" s="11">
        <v>3.0238435183064598</v>
      </c>
      <c r="Y161" s="11">
        <v>1.72035271987378</v>
      </c>
      <c r="Z161" s="11">
        <v>0.23243181165987301</v>
      </c>
      <c r="AA161" s="11">
        <v>1.05406228286464</v>
      </c>
      <c r="AB161" s="11">
        <v>0.24329589949557701</v>
      </c>
      <c r="AC161" s="11">
        <v>46.890739301452498</v>
      </c>
      <c r="AD161" s="11">
        <v>29.640533403749401</v>
      </c>
      <c r="AE161" s="11">
        <v>18.4012500101489</v>
      </c>
      <c r="AF161" s="11">
        <v>13.5447527455991</v>
      </c>
      <c r="AG161" s="11">
        <v>20.213436447932501</v>
      </c>
      <c r="AH161" s="11">
        <v>31.567622815404999</v>
      </c>
      <c r="AI161" s="11">
        <v>13.576860430761799</v>
      </c>
      <c r="AJ161" s="11">
        <v>24.3621895435939</v>
      </c>
      <c r="AK161" s="16">
        <v>3.0691630460664299</v>
      </c>
      <c r="AL161" s="16">
        <v>8.3502616242700203</v>
      </c>
      <c r="AM161" s="26">
        <v>6.4965407128410397E-10</v>
      </c>
      <c r="AN161" s="27">
        <v>9.0545536185222008E-9</v>
      </c>
      <c r="AO161" s="11">
        <v>2.9669337563415801</v>
      </c>
      <c r="AP161" s="11">
        <v>24.774673087330399</v>
      </c>
      <c r="AQ161" t="s">
        <v>5874</v>
      </c>
      <c r="AR161" t="s">
        <v>5876</v>
      </c>
      <c r="AS161" t="s">
        <v>476</v>
      </c>
    </row>
    <row r="162" spans="1:45">
      <c r="A162" t="s">
        <v>1428</v>
      </c>
      <c r="B162" s="2">
        <v>10</v>
      </c>
      <c r="C162" s="2">
        <v>10</v>
      </c>
      <c r="D162" s="2">
        <v>5</v>
      </c>
      <c r="E162" s="2">
        <v>3</v>
      </c>
      <c r="F162" s="2">
        <v>4</v>
      </c>
      <c r="G162" s="2">
        <v>8</v>
      </c>
      <c r="H162" s="2">
        <v>4</v>
      </c>
      <c r="I162" s="2">
        <v>9</v>
      </c>
      <c r="J162" s="2">
        <v>14</v>
      </c>
      <c r="K162" s="2">
        <v>26</v>
      </c>
      <c r="L162" s="2">
        <v>16</v>
      </c>
      <c r="M162" s="2">
        <v>15</v>
      </c>
      <c r="N162" s="2">
        <v>36</v>
      </c>
      <c r="O162" s="2">
        <v>26</v>
      </c>
      <c r="P162" s="2">
        <v>18</v>
      </c>
      <c r="Q162" s="2">
        <v>12</v>
      </c>
      <c r="R162" s="2">
        <v>20</v>
      </c>
      <c r="S162" s="2">
        <v>14</v>
      </c>
      <c r="T162" s="2">
        <v>20</v>
      </c>
      <c r="U162" s="11">
        <v>12.116433958347301</v>
      </c>
      <c r="V162" s="11">
        <v>9.6306412067744702</v>
      </c>
      <c r="W162" s="11">
        <v>8.00398830906129</v>
      </c>
      <c r="X162" s="11">
        <v>4.5357652774596904</v>
      </c>
      <c r="Y162" s="11">
        <v>3.4407054397475698</v>
      </c>
      <c r="Z162" s="11">
        <v>7.43781797311593</v>
      </c>
      <c r="AA162" s="11">
        <v>4.21624913145856</v>
      </c>
      <c r="AB162" s="11">
        <v>8.7586523818407507</v>
      </c>
      <c r="AC162" s="11">
        <v>11.126616105429401</v>
      </c>
      <c r="AD162" s="11">
        <v>10.0903943502126</v>
      </c>
      <c r="AE162" s="11">
        <v>12.0008152240101</v>
      </c>
      <c r="AF162" s="11">
        <v>30.475693677597899</v>
      </c>
      <c r="AG162" s="11">
        <v>16.5382661846721</v>
      </c>
      <c r="AH162" s="11">
        <v>9.4702868446214996</v>
      </c>
      <c r="AI162" s="11">
        <v>30.170800957248499</v>
      </c>
      <c r="AJ162" s="11">
        <v>30.4527369294923</v>
      </c>
      <c r="AK162" s="16">
        <v>1.32514198415178</v>
      </c>
      <c r="AL162" s="16">
        <v>2.5855685306490099</v>
      </c>
      <c r="AM162" s="26">
        <v>1.0264346890437701E-3</v>
      </c>
      <c r="AN162" s="27">
        <v>2.30431143278619E-3</v>
      </c>
      <c r="AO162" s="11">
        <v>7.2675317097256897</v>
      </c>
      <c r="AP162" s="11">
        <v>18.790701284160502</v>
      </c>
      <c r="AQ162" t="s">
        <v>5874</v>
      </c>
      <c r="AR162" t="s">
        <v>5876</v>
      </c>
      <c r="AS162" t="s">
        <v>1428</v>
      </c>
    </row>
    <row r="163" spans="1:45">
      <c r="A163" t="s">
        <v>4008</v>
      </c>
      <c r="B163" s="2">
        <v>10</v>
      </c>
      <c r="C163" s="2">
        <v>17</v>
      </c>
      <c r="D163" s="2">
        <v>7</v>
      </c>
      <c r="E163" s="2">
        <v>11</v>
      </c>
      <c r="F163" s="2">
        <v>11</v>
      </c>
      <c r="G163" s="2">
        <v>14</v>
      </c>
      <c r="H163" s="2">
        <v>14</v>
      </c>
      <c r="I163" s="2">
        <v>17</v>
      </c>
      <c r="J163" s="2">
        <v>17</v>
      </c>
      <c r="K163" s="2">
        <v>1</v>
      </c>
      <c r="L163" s="2">
        <v>32</v>
      </c>
      <c r="M163" s="2">
        <v>13</v>
      </c>
      <c r="N163" s="2">
        <v>16</v>
      </c>
      <c r="O163" s="2">
        <v>6</v>
      </c>
      <c r="P163" s="2">
        <v>30</v>
      </c>
      <c r="Q163" s="2">
        <v>27</v>
      </c>
      <c r="R163" s="2">
        <v>8</v>
      </c>
      <c r="S163" s="2">
        <v>4</v>
      </c>
      <c r="T163" s="2">
        <v>11</v>
      </c>
      <c r="U163" s="11">
        <v>12.116433958347301</v>
      </c>
      <c r="V163" s="11">
        <v>16.372090051516601</v>
      </c>
      <c r="W163" s="11">
        <v>11.2055836326858</v>
      </c>
      <c r="X163" s="11">
        <v>16.631139350685501</v>
      </c>
      <c r="Y163" s="11">
        <v>9.4619399593058091</v>
      </c>
      <c r="Z163" s="11">
        <v>13.0161814529529</v>
      </c>
      <c r="AA163" s="11">
        <v>14.756871960105</v>
      </c>
      <c r="AB163" s="11">
        <v>16.544121165699199</v>
      </c>
      <c r="AC163" s="11">
        <v>13.5108909851643</v>
      </c>
      <c r="AD163" s="11">
        <v>20.180788700425101</v>
      </c>
      <c r="AE163" s="11">
        <v>10.400706527475499</v>
      </c>
      <c r="AF163" s="11">
        <v>13.5447527455991</v>
      </c>
      <c r="AG163" s="11">
        <v>27.5637769744534</v>
      </c>
      <c r="AH163" s="11">
        <v>21.308145400398399</v>
      </c>
      <c r="AI163" s="11">
        <v>12.068320382899399</v>
      </c>
      <c r="AJ163" s="11">
        <v>16.749005311220799</v>
      </c>
      <c r="AK163" s="16">
        <v>0.306905626746518</v>
      </c>
      <c r="AL163" s="16">
        <v>1.2290738091167099</v>
      </c>
      <c r="AM163" s="26">
        <v>0.331929148338444</v>
      </c>
      <c r="AN163" s="27">
        <v>0.41352067083504501</v>
      </c>
      <c r="AO163" s="11">
        <v>13.763045191412299</v>
      </c>
      <c r="AP163" s="11">
        <v>16.9157983784545</v>
      </c>
      <c r="AQ163" t="s">
        <v>5874</v>
      </c>
      <c r="AR163" t="s">
        <v>5832</v>
      </c>
      <c r="AS163" t="s">
        <v>4008</v>
      </c>
    </row>
    <row r="164" spans="1:45">
      <c r="A164" t="s">
        <v>3410</v>
      </c>
      <c r="B164" s="2">
        <v>18</v>
      </c>
      <c r="C164" s="2">
        <v>23</v>
      </c>
      <c r="D164" s="2">
        <v>25</v>
      </c>
      <c r="E164" s="2">
        <v>10</v>
      </c>
      <c r="F164" s="2">
        <v>22</v>
      </c>
      <c r="G164" s="2">
        <v>51</v>
      </c>
      <c r="H164" s="2">
        <v>33</v>
      </c>
      <c r="I164" s="2">
        <v>35</v>
      </c>
      <c r="J164" s="2">
        <v>2</v>
      </c>
      <c r="K164" s="2">
        <v>0</v>
      </c>
      <c r="L164" s="2">
        <v>5</v>
      </c>
      <c r="M164" s="2">
        <v>8</v>
      </c>
      <c r="N164" s="2">
        <v>2</v>
      </c>
      <c r="O164" s="2">
        <v>0</v>
      </c>
      <c r="P164" s="2">
        <v>4</v>
      </c>
      <c r="Q164" s="2">
        <v>13</v>
      </c>
      <c r="R164" s="2">
        <v>4</v>
      </c>
      <c r="S164" s="2">
        <v>1</v>
      </c>
      <c r="T164" s="2">
        <v>8</v>
      </c>
      <c r="U164" s="11">
        <v>21.809581125025101</v>
      </c>
      <c r="V164" s="11">
        <v>22.150474775581301</v>
      </c>
      <c r="W164" s="11">
        <v>40.019941545306402</v>
      </c>
      <c r="X164" s="11">
        <v>15.119217591532299</v>
      </c>
      <c r="Y164" s="11">
        <v>18.9238799186116</v>
      </c>
      <c r="Z164" s="11">
        <v>47.416089578613999</v>
      </c>
      <c r="AA164" s="11">
        <v>34.7840553345331</v>
      </c>
      <c r="AB164" s="11">
        <v>34.061425929380697</v>
      </c>
      <c r="AC164" s="11">
        <v>1.5895165864899099</v>
      </c>
      <c r="AD164" s="11">
        <v>3.1532482344414299</v>
      </c>
      <c r="AE164" s="11">
        <v>6.4004347861387396</v>
      </c>
      <c r="AF164" s="11">
        <v>1.6930940931998799</v>
      </c>
      <c r="AG164" s="11">
        <v>3.6751702632604601</v>
      </c>
      <c r="AH164" s="11">
        <v>10.2594774150066</v>
      </c>
      <c r="AI164" s="11">
        <v>6.0341601914496898</v>
      </c>
      <c r="AJ164" s="11">
        <v>12.1810947717969</v>
      </c>
      <c r="AK164" s="16">
        <v>-2.42010497868577</v>
      </c>
      <c r="AL164" s="16">
        <v>-5.2079234265240304</v>
      </c>
      <c r="AM164" s="26">
        <v>1.6052726547968699E-8</v>
      </c>
      <c r="AN164" s="27">
        <v>1.4319032080788099E-7</v>
      </c>
      <c r="AO164" s="11">
        <v>29.2855832248231</v>
      </c>
      <c r="AP164" s="11">
        <v>5.6232745427229602</v>
      </c>
      <c r="AQ164" t="s">
        <v>5875</v>
      </c>
      <c r="AR164" t="s">
        <v>5876</v>
      </c>
      <c r="AS164" t="s">
        <v>3410</v>
      </c>
    </row>
    <row r="165" spans="1:45">
      <c r="A165" t="s">
        <v>1057</v>
      </c>
      <c r="B165" s="2">
        <v>7</v>
      </c>
      <c r="C165" s="2">
        <v>7</v>
      </c>
      <c r="D165" s="2">
        <v>6</v>
      </c>
      <c r="E165" s="2">
        <v>3</v>
      </c>
      <c r="F165" s="2">
        <v>6</v>
      </c>
      <c r="G165" s="2">
        <v>9</v>
      </c>
      <c r="H165" s="2">
        <v>5</v>
      </c>
      <c r="I165" s="2">
        <v>36</v>
      </c>
      <c r="J165" s="2">
        <v>9</v>
      </c>
      <c r="K165" s="2">
        <v>9</v>
      </c>
      <c r="L165" s="2">
        <v>15</v>
      </c>
      <c r="M165" s="2">
        <v>11</v>
      </c>
      <c r="N165" s="2">
        <v>24</v>
      </c>
      <c r="O165" s="2">
        <v>24</v>
      </c>
      <c r="P165" s="2">
        <v>13</v>
      </c>
      <c r="Q165" s="2">
        <v>26</v>
      </c>
      <c r="R165" s="2">
        <v>17</v>
      </c>
      <c r="S165" s="2">
        <v>18</v>
      </c>
      <c r="T165" s="2">
        <v>17</v>
      </c>
      <c r="U165" s="11">
        <v>8.4815037708430996</v>
      </c>
      <c r="V165" s="11">
        <v>6.7414488447421297</v>
      </c>
      <c r="W165" s="11">
        <v>9.6047859708735501</v>
      </c>
      <c r="X165" s="11">
        <v>4.5357652774596904</v>
      </c>
      <c r="Y165" s="11">
        <v>5.1610581596213496</v>
      </c>
      <c r="Z165" s="11">
        <v>8.3675452197554208</v>
      </c>
      <c r="AA165" s="11">
        <v>5.2703114143232002</v>
      </c>
      <c r="AB165" s="11">
        <v>35.034609527363003</v>
      </c>
      <c r="AC165" s="11">
        <v>7.1528246392046197</v>
      </c>
      <c r="AD165" s="11">
        <v>9.4597447033242794</v>
      </c>
      <c r="AE165" s="11">
        <v>8.8005978309407702</v>
      </c>
      <c r="AF165" s="11">
        <v>20.317129118398601</v>
      </c>
      <c r="AG165" s="11">
        <v>11.944303355596499</v>
      </c>
      <c r="AH165" s="11">
        <v>20.5189548300133</v>
      </c>
      <c r="AI165" s="11">
        <v>25.645180813661199</v>
      </c>
      <c r="AJ165" s="11">
        <v>25.884826390068501</v>
      </c>
      <c r="AK165" s="16">
        <v>0.59669754513772</v>
      </c>
      <c r="AL165" s="16">
        <v>1.55923311819238</v>
      </c>
      <c r="AM165" s="26">
        <v>0.19135500877150399</v>
      </c>
      <c r="AN165" s="27">
        <v>0.25299703728880701</v>
      </c>
      <c r="AO165" s="11">
        <v>10.399628523122701</v>
      </c>
      <c r="AP165" s="11">
        <v>16.215445210151</v>
      </c>
      <c r="AQ165" t="s">
        <v>5874</v>
      </c>
      <c r="AR165" t="s">
        <v>5832</v>
      </c>
      <c r="AS165" t="s">
        <v>1057</v>
      </c>
    </row>
    <row r="166" spans="1:45">
      <c r="A166" t="s">
        <v>5440</v>
      </c>
      <c r="B166" s="2">
        <v>0</v>
      </c>
      <c r="C166" s="2">
        <v>0</v>
      </c>
      <c r="D166" s="2">
        <v>0</v>
      </c>
      <c r="E166" s="2">
        <v>0</v>
      </c>
      <c r="F166" s="2">
        <v>0.86699999999999999</v>
      </c>
      <c r="G166" s="2">
        <v>0.33300000000000002</v>
      </c>
      <c r="H166" s="2">
        <v>13.164</v>
      </c>
      <c r="I166" s="2">
        <v>22.385000000000002</v>
      </c>
      <c r="J166" s="2">
        <v>25.581</v>
      </c>
      <c r="K166" s="2">
        <v>0</v>
      </c>
      <c r="L166" s="2">
        <v>37.058</v>
      </c>
      <c r="M166" s="2">
        <v>25.776</v>
      </c>
      <c r="N166" s="2">
        <v>8.7379999999999995</v>
      </c>
      <c r="O166" s="2">
        <v>0.5</v>
      </c>
      <c r="P166" s="2">
        <v>50.898000000000003</v>
      </c>
      <c r="Q166" s="2">
        <v>68.661000000000001</v>
      </c>
      <c r="R166" s="2">
        <v>0.5</v>
      </c>
      <c r="S166" s="2">
        <v>0</v>
      </c>
      <c r="T166" s="2">
        <v>4.4930000000000003</v>
      </c>
      <c r="U166" s="11">
        <v>0.30291084895868198</v>
      </c>
      <c r="V166" s="11">
        <v>0.24076603016936199</v>
      </c>
      <c r="W166" s="11">
        <v>0.40019941545306398</v>
      </c>
      <c r="X166" s="11">
        <v>0.37798043978830698</v>
      </c>
      <c r="Y166" s="11">
        <v>0.77415872394320295</v>
      </c>
      <c r="Z166" s="11">
        <v>0.27891817399184698</v>
      </c>
      <c r="AA166" s="11">
        <v>13.9136221338133</v>
      </c>
      <c r="AB166" s="11">
        <v>21.799312594803698</v>
      </c>
      <c r="AC166" s="11">
        <v>20.345812307070901</v>
      </c>
      <c r="AD166" s="11">
        <v>23.397101899555398</v>
      </c>
      <c r="AE166" s="11">
        <v>20.641402185297402</v>
      </c>
      <c r="AF166" s="11">
        <v>7.3649593054194797</v>
      </c>
      <c r="AG166" s="11">
        <v>46.766541599989303</v>
      </c>
      <c r="AH166" s="11">
        <v>54.217392185458102</v>
      </c>
      <c r="AI166" s="11">
        <v>0.75427002393121101</v>
      </c>
      <c r="AJ166" s="11">
        <v>6.8518658091357798</v>
      </c>
      <c r="AK166" s="16">
        <v>2.1979777615867402</v>
      </c>
      <c r="AL166" s="16">
        <v>4.7348237923676502</v>
      </c>
      <c r="AM166" s="26">
        <v>1.1018755262374899E-2</v>
      </c>
      <c r="AN166" s="27">
        <v>2.0085959865201099E-2</v>
      </c>
      <c r="AO166" s="11">
        <v>4.7609835451151703</v>
      </c>
      <c r="AP166" s="11">
        <v>22.5424181644822</v>
      </c>
      <c r="AQ166" t="s">
        <v>5874</v>
      </c>
      <c r="AR166" t="s">
        <v>5878</v>
      </c>
      <c r="AS166" t="s">
        <v>5440</v>
      </c>
    </row>
    <row r="167" spans="1:45">
      <c r="A167" t="s">
        <v>1704</v>
      </c>
      <c r="B167" s="2">
        <v>1</v>
      </c>
      <c r="C167" s="2">
        <v>2</v>
      </c>
      <c r="D167" s="2">
        <v>1</v>
      </c>
      <c r="E167" s="2">
        <v>0</v>
      </c>
      <c r="F167" s="2">
        <v>3</v>
      </c>
      <c r="G167" s="2">
        <v>1</v>
      </c>
      <c r="H167" s="2">
        <v>0</v>
      </c>
      <c r="I167" s="2">
        <v>9</v>
      </c>
      <c r="J167" s="2">
        <v>25.806000000000001</v>
      </c>
      <c r="K167" s="2">
        <v>0</v>
      </c>
      <c r="L167" s="2">
        <v>37.536000000000001</v>
      </c>
      <c r="M167" s="2">
        <v>23.657</v>
      </c>
      <c r="N167" s="2">
        <v>20.69</v>
      </c>
      <c r="O167" s="2">
        <v>0</v>
      </c>
      <c r="P167" s="2">
        <v>51.648000000000003</v>
      </c>
      <c r="Q167" s="2">
        <v>68.522999999999996</v>
      </c>
      <c r="R167" s="2">
        <v>11</v>
      </c>
      <c r="S167" s="2">
        <v>0</v>
      </c>
      <c r="T167" s="2">
        <v>1</v>
      </c>
      <c r="U167" s="11">
        <v>1.2116433958347299</v>
      </c>
      <c r="V167" s="11">
        <v>1.9261282413548899</v>
      </c>
      <c r="W167" s="11">
        <v>1.6007976618122599</v>
      </c>
      <c r="X167" s="11">
        <v>0.37798043978830698</v>
      </c>
      <c r="Y167" s="11">
        <v>2.5805290798106801</v>
      </c>
      <c r="Z167" s="11">
        <v>0.92972724663949102</v>
      </c>
      <c r="AA167" s="11">
        <v>0.26351557071616</v>
      </c>
      <c r="AB167" s="11">
        <v>8.7586523818407507</v>
      </c>
      <c r="AC167" s="11">
        <v>20.504763965719899</v>
      </c>
      <c r="AD167" s="11">
        <v>23.6493617583107</v>
      </c>
      <c r="AE167" s="11">
        <v>18.961288053935998</v>
      </c>
      <c r="AF167" s="11">
        <v>17.523523864618799</v>
      </c>
      <c r="AG167" s="11">
        <v>47.4096963960599</v>
      </c>
      <c r="AH167" s="11">
        <v>54.0595540713811</v>
      </c>
      <c r="AI167" s="11">
        <v>16.593940526486598</v>
      </c>
      <c r="AJ167" s="11">
        <v>1.5226368464746201</v>
      </c>
      <c r="AK167" s="16">
        <v>3.3901673702466502</v>
      </c>
      <c r="AL167" s="16">
        <v>11.3448388150541</v>
      </c>
      <c r="AM167" s="26">
        <v>6.5290292571418999E-8</v>
      </c>
      <c r="AN167" s="27">
        <v>4.69668878820208E-7</v>
      </c>
      <c r="AO167" s="11">
        <v>2.2061217522246599</v>
      </c>
      <c r="AP167" s="11">
        <v>25.028095685373501</v>
      </c>
      <c r="AQ167" t="s">
        <v>5874</v>
      </c>
      <c r="AR167" t="s">
        <v>5876</v>
      </c>
      <c r="AS167" t="s">
        <v>1704</v>
      </c>
    </row>
    <row r="168" spans="1:45">
      <c r="A168" t="s">
        <v>2998</v>
      </c>
      <c r="B168" s="2">
        <v>21</v>
      </c>
      <c r="C168" s="2">
        <v>34</v>
      </c>
      <c r="D168" s="2">
        <v>38</v>
      </c>
      <c r="E168" s="2">
        <v>44</v>
      </c>
      <c r="F168" s="2">
        <v>30</v>
      </c>
      <c r="G168" s="2">
        <v>17</v>
      </c>
      <c r="H168" s="2">
        <v>19</v>
      </c>
      <c r="I168" s="2">
        <v>7</v>
      </c>
      <c r="J168" s="2">
        <v>5</v>
      </c>
      <c r="K168" s="2">
        <v>3</v>
      </c>
      <c r="L168" s="2">
        <v>6</v>
      </c>
      <c r="M168" s="2">
        <v>8</v>
      </c>
      <c r="N168" s="2">
        <v>3</v>
      </c>
      <c r="O168" s="2">
        <v>4</v>
      </c>
      <c r="P168" s="2">
        <v>3</v>
      </c>
      <c r="Q168" s="2">
        <v>4</v>
      </c>
      <c r="R168" s="2">
        <v>2</v>
      </c>
      <c r="S168" s="2">
        <v>4</v>
      </c>
      <c r="T168" s="2">
        <v>4</v>
      </c>
      <c r="U168" s="11">
        <v>25.444511312529301</v>
      </c>
      <c r="V168" s="11">
        <v>32.744180103033202</v>
      </c>
      <c r="W168" s="11">
        <v>60.830311148865803</v>
      </c>
      <c r="X168" s="11">
        <v>66.524557402742104</v>
      </c>
      <c r="Y168" s="11">
        <v>25.8052907981068</v>
      </c>
      <c r="Z168" s="11">
        <v>15.805363192871299</v>
      </c>
      <c r="AA168" s="11">
        <v>20.027183374428201</v>
      </c>
      <c r="AB168" s="11">
        <v>6.8122851858761404</v>
      </c>
      <c r="AC168" s="11">
        <v>3.9737914662247902</v>
      </c>
      <c r="AD168" s="11">
        <v>3.7838978813297102</v>
      </c>
      <c r="AE168" s="11">
        <v>6.4004347861387396</v>
      </c>
      <c r="AF168" s="11">
        <v>2.5396411397998202</v>
      </c>
      <c r="AG168" s="11">
        <v>2.7563776974453398</v>
      </c>
      <c r="AH168" s="11">
        <v>3.1567622815404999</v>
      </c>
      <c r="AI168" s="11">
        <v>3.0170800957248498</v>
      </c>
      <c r="AJ168" s="11">
        <v>6.0905473858984696</v>
      </c>
      <c r="AK168" s="16">
        <v>-2.9549927557445499</v>
      </c>
      <c r="AL168" s="16">
        <v>-8.0077374526650509</v>
      </c>
      <c r="AM168" s="26">
        <v>8.8236794226585496E-10</v>
      </c>
      <c r="AN168" s="27">
        <v>1.15745912426639E-8</v>
      </c>
      <c r="AO168" s="11">
        <v>31.7492103148066</v>
      </c>
      <c r="AP168" s="11">
        <v>3.96481659176278</v>
      </c>
      <c r="AQ168" t="s">
        <v>5875</v>
      </c>
      <c r="AR168" t="s">
        <v>5876</v>
      </c>
      <c r="AS168" t="s">
        <v>2998</v>
      </c>
    </row>
    <row r="169" spans="1:45">
      <c r="A169" t="s">
        <v>1889</v>
      </c>
      <c r="B169" s="2">
        <v>20</v>
      </c>
      <c r="C169" s="2">
        <v>36</v>
      </c>
      <c r="D169" s="2">
        <v>8</v>
      </c>
      <c r="E169" s="2">
        <v>16</v>
      </c>
      <c r="F169" s="2">
        <v>47</v>
      </c>
      <c r="G169" s="2">
        <v>54</v>
      </c>
      <c r="H169" s="2">
        <v>28</v>
      </c>
      <c r="I169" s="2">
        <v>18</v>
      </c>
      <c r="J169" s="2">
        <v>0</v>
      </c>
      <c r="K169" s="2">
        <v>0</v>
      </c>
      <c r="L169" s="2">
        <v>2</v>
      </c>
      <c r="M169" s="2">
        <v>0</v>
      </c>
      <c r="N169" s="2">
        <v>0</v>
      </c>
      <c r="O169" s="2">
        <v>3</v>
      </c>
      <c r="P169" s="2">
        <v>0</v>
      </c>
      <c r="Q169" s="2">
        <v>6</v>
      </c>
      <c r="R169" s="2">
        <v>14</v>
      </c>
      <c r="S169" s="2">
        <v>0</v>
      </c>
      <c r="T169" s="2">
        <v>3</v>
      </c>
      <c r="U169" s="11">
        <v>24.232867916694602</v>
      </c>
      <c r="V169" s="11">
        <v>34.670308344388097</v>
      </c>
      <c r="W169" s="11">
        <v>12.806381294498101</v>
      </c>
      <c r="X169" s="11">
        <v>24.1907481464517</v>
      </c>
      <c r="Y169" s="11">
        <v>40.428288917033903</v>
      </c>
      <c r="Z169" s="11">
        <v>50.205271318532503</v>
      </c>
      <c r="AA169" s="11">
        <v>29.513743920209901</v>
      </c>
      <c r="AB169" s="11">
        <v>17.517304763681501</v>
      </c>
      <c r="AC169" s="11">
        <v>0.19868957331123899</v>
      </c>
      <c r="AD169" s="11">
        <v>1.2612992937765699</v>
      </c>
      <c r="AE169" s="11">
        <v>0.200013587066836</v>
      </c>
      <c r="AF169" s="11">
        <v>0.21163676164998499</v>
      </c>
      <c r="AG169" s="11">
        <v>0.22969814145377901</v>
      </c>
      <c r="AH169" s="11">
        <v>4.7351434223107498</v>
      </c>
      <c r="AI169" s="11">
        <v>21.119560670073898</v>
      </c>
      <c r="AJ169" s="11">
        <v>4.5679105394238499</v>
      </c>
      <c r="AK169" s="16">
        <v>-2.9592850644395301</v>
      </c>
      <c r="AL169" s="16">
        <v>-7.18132023746697</v>
      </c>
      <c r="AM169" s="26">
        <v>2.7577439780647399E-5</v>
      </c>
      <c r="AN169" s="27">
        <v>8.8274197192598502E-5</v>
      </c>
      <c r="AO169" s="11">
        <v>29.1956143276863</v>
      </c>
      <c r="AP169" s="11">
        <v>4.0654939986333698</v>
      </c>
      <c r="AQ169" t="s">
        <v>5875</v>
      </c>
      <c r="AR169" t="s">
        <v>5876</v>
      </c>
      <c r="AS169" t="s">
        <v>1889</v>
      </c>
    </row>
    <row r="170" spans="1:45">
      <c r="A170" t="s">
        <v>2432</v>
      </c>
      <c r="B170" s="2">
        <v>13</v>
      </c>
      <c r="C170" s="2">
        <v>23</v>
      </c>
      <c r="D170" s="2">
        <v>11</v>
      </c>
      <c r="E170" s="2">
        <v>21</v>
      </c>
      <c r="F170" s="2">
        <v>38</v>
      </c>
      <c r="G170" s="2">
        <v>25</v>
      </c>
      <c r="H170" s="2">
        <v>31</v>
      </c>
      <c r="I170" s="2">
        <v>28</v>
      </c>
      <c r="J170" s="2">
        <v>0</v>
      </c>
      <c r="K170" s="2">
        <v>0</v>
      </c>
      <c r="L170" s="2">
        <v>6</v>
      </c>
      <c r="M170" s="2">
        <v>5</v>
      </c>
      <c r="N170" s="2">
        <v>1</v>
      </c>
      <c r="O170" s="2">
        <v>1</v>
      </c>
      <c r="P170" s="2">
        <v>4</v>
      </c>
      <c r="Q170" s="2">
        <v>2</v>
      </c>
      <c r="R170" s="2">
        <v>37</v>
      </c>
      <c r="S170" s="2">
        <v>0</v>
      </c>
      <c r="T170" s="2">
        <v>8</v>
      </c>
      <c r="U170" s="11">
        <v>15.7513641458515</v>
      </c>
      <c r="V170" s="11">
        <v>22.150474775581301</v>
      </c>
      <c r="W170" s="11">
        <v>17.608774279934799</v>
      </c>
      <c r="X170" s="11">
        <v>31.750356942217799</v>
      </c>
      <c r="Y170" s="11">
        <v>32.686701677601903</v>
      </c>
      <c r="Z170" s="11">
        <v>23.243181165987298</v>
      </c>
      <c r="AA170" s="11">
        <v>32.675930768803902</v>
      </c>
      <c r="AB170" s="11">
        <v>27.249140743504601</v>
      </c>
      <c r="AC170" s="11">
        <v>0.19868957331123899</v>
      </c>
      <c r="AD170" s="11">
        <v>3.7838978813297102</v>
      </c>
      <c r="AE170" s="11">
        <v>4.0002717413367099</v>
      </c>
      <c r="AF170" s="11">
        <v>0.84654704659994096</v>
      </c>
      <c r="AG170" s="11">
        <v>3.6751702632604601</v>
      </c>
      <c r="AH170" s="11">
        <v>1.5783811407702499</v>
      </c>
      <c r="AI170" s="11">
        <v>55.815981770909602</v>
      </c>
      <c r="AJ170" s="11">
        <v>12.1810947717969</v>
      </c>
      <c r="AK170" s="16">
        <v>-1.3657822246029401</v>
      </c>
      <c r="AL170" s="16">
        <v>-2.4746081858470301</v>
      </c>
      <c r="AM170" s="26">
        <v>5.2165081307153E-2</v>
      </c>
      <c r="AN170" s="27">
        <v>8.0226297458587004E-2</v>
      </c>
      <c r="AO170" s="11">
        <v>25.389490562435402</v>
      </c>
      <c r="AP170" s="11">
        <v>10.2600042736644</v>
      </c>
      <c r="AQ170" t="s">
        <v>5875</v>
      </c>
      <c r="AR170" t="s">
        <v>5877</v>
      </c>
      <c r="AS170" t="s">
        <v>2432</v>
      </c>
    </row>
    <row r="171" spans="1:45">
      <c r="A171" t="s">
        <v>2979</v>
      </c>
      <c r="B171" s="2">
        <v>14</v>
      </c>
      <c r="C171" s="2">
        <v>1</v>
      </c>
      <c r="D171" s="2">
        <v>0</v>
      </c>
      <c r="E171" s="2">
        <v>0</v>
      </c>
      <c r="F171" s="2">
        <v>0</v>
      </c>
      <c r="G171" s="2">
        <v>1</v>
      </c>
      <c r="H171" s="2">
        <v>8</v>
      </c>
      <c r="I171" s="2">
        <v>48</v>
      </c>
      <c r="J171" s="2">
        <v>9</v>
      </c>
      <c r="K171" s="2">
        <v>17</v>
      </c>
      <c r="L171" s="2">
        <v>17</v>
      </c>
      <c r="M171" s="2">
        <v>19</v>
      </c>
      <c r="N171" s="2">
        <v>23</v>
      </c>
      <c r="O171" s="2">
        <v>11</v>
      </c>
      <c r="P171" s="2">
        <v>14</v>
      </c>
      <c r="Q171" s="2">
        <v>11</v>
      </c>
      <c r="R171" s="2">
        <v>25</v>
      </c>
      <c r="S171" s="2">
        <v>14</v>
      </c>
      <c r="T171" s="2">
        <v>22</v>
      </c>
      <c r="U171" s="11">
        <v>16.963007541686199</v>
      </c>
      <c r="V171" s="11">
        <v>0.96306412067744696</v>
      </c>
      <c r="W171" s="11">
        <v>0.40019941545306398</v>
      </c>
      <c r="X171" s="11">
        <v>0.37798043978830698</v>
      </c>
      <c r="Y171" s="11">
        <v>0.215044089984223</v>
      </c>
      <c r="Z171" s="11">
        <v>0.92972724663949102</v>
      </c>
      <c r="AA171" s="11">
        <v>8.4324982629171306</v>
      </c>
      <c r="AB171" s="11">
        <v>46.712812703150703</v>
      </c>
      <c r="AC171" s="11">
        <v>7.1528246392046197</v>
      </c>
      <c r="AD171" s="11">
        <v>10.7210439971009</v>
      </c>
      <c r="AE171" s="11">
        <v>15.2010326170795</v>
      </c>
      <c r="AF171" s="11">
        <v>19.470582071798599</v>
      </c>
      <c r="AG171" s="11">
        <v>12.863095921411601</v>
      </c>
      <c r="AH171" s="11">
        <v>8.6810962742363706</v>
      </c>
      <c r="AI171" s="11">
        <v>37.7135011965606</v>
      </c>
      <c r="AJ171" s="11">
        <v>33.498010622441598</v>
      </c>
      <c r="AK171" s="16">
        <v>0.92021823200035402</v>
      </c>
      <c r="AL171" s="16">
        <v>1.9374955405032099</v>
      </c>
      <c r="AM171" s="26">
        <v>0.232220564291471</v>
      </c>
      <c r="AN171" s="27">
        <v>0.30224816636380197</v>
      </c>
      <c r="AO171" s="11">
        <v>9.3742917275370701</v>
      </c>
      <c r="AP171" s="11">
        <v>18.1626484174792</v>
      </c>
      <c r="AQ171" t="s">
        <v>5874</v>
      </c>
      <c r="AR171" t="s">
        <v>5832</v>
      </c>
      <c r="AS171" t="s">
        <v>2979</v>
      </c>
    </row>
    <row r="172" spans="1:45">
      <c r="A172" t="s">
        <v>3232</v>
      </c>
      <c r="B172" s="2">
        <v>9</v>
      </c>
      <c r="C172" s="2">
        <v>1</v>
      </c>
      <c r="D172" s="2">
        <v>1</v>
      </c>
      <c r="E172" s="2">
        <v>0</v>
      </c>
      <c r="F172" s="2">
        <v>0</v>
      </c>
      <c r="G172" s="2">
        <v>13</v>
      </c>
      <c r="H172" s="2">
        <v>12</v>
      </c>
      <c r="I172" s="2">
        <v>82</v>
      </c>
      <c r="J172" s="2">
        <v>17</v>
      </c>
      <c r="K172" s="2">
        <v>2</v>
      </c>
      <c r="L172" s="2">
        <v>32</v>
      </c>
      <c r="M172" s="2">
        <v>18</v>
      </c>
      <c r="N172" s="2">
        <v>11</v>
      </c>
      <c r="O172" s="2">
        <v>1</v>
      </c>
      <c r="P172" s="2">
        <v>18</v>
      </c>
      <c r="Q172" s="2">
        <v>18</v>
      </c>
      <c r="R172" s="2">
        <v>4</v>
      </c>
      <c r="S172" s="2">
        <v>8</v>
      </c>
      <c r="T172" s="2">
        <v>4</v>
      </c>
      <c r="U172" s="11">
        <v>10.9047905625126</v>
      </c>
      <c r="V172" s="11">
        <v>0.96306412067744696</v>
      </c>
      <c r="W172" s="11">
        <v>1.6007976618122599</v>
      </c>
      <c r="X172" s="11">
        <v>0.37798043978830698</v>
      </c>
      <c r="Y172" s="11">
        <v>0.215044089984223</v>
      </c>
      <c r="Z172" s="11">
        <v>12.0864542063134</v>
      </c>
      <c r="AA172" s="11">
        <v>12.6487473943757</v>
      </c>
      <c r="AB172" s="11">
        <v>79.801055034549094</v>
      </c>
      <c r="AC172" s="11">
        <v>13.5108909851643</v>
      </c>
      <c r="AD172" s="11">
        <v>20.180788700425101</v>
      </c>
      <c r="AE172" s="11">
        <v>14.400978268812199</v>
      </c>
      <c r="AF172" s="11">
        <v>9.3120175125993505</v>
      </c>
      <c r="AG172" s="11">
        <v>16.5382661846721</v>
      </c>
      <c r="AH172" s="11">
        <v>14.2054302669323</v>
      </c>
      <c r="AI172" s="11">
        <v>6.0341601914496898</v>
      </c>
      <c r="AJ172" s="11">
        <v>6.0905473858984696</v>
      </c>
      <c r="AK172" s="16">
        <v>-0.24072237840944899</v>
      </c>
      <c r="AL172" s="16">
        <v>-1.18274948875784</v>
      </c>
      <c r="AM172" s="26">
        <v>0.76018890645823001</v>
      </c>
      <c r="AN172" s="27">
        <v>0.82026835229121897</v>
      </c>
      <c r="AO172" s="11">
        <v>14.824741688751599</v>
      </c>
      <c r="AP172" s="11">
        <v>12.534134936994199</v>
      </c>
      <c r="AQ172" t="s">
        <v>5875</v>
      </c>
      <c r="AR172" t="s">
        <v>5832</v>
      </c>
      <c r="AS172" t="s">
        <v>3232</v>
      </c>
    </row>
    <row r="173" spans="1:45">
      <c r="A173" t="s">
        <v>2022</v>
      </c>
      <c r="B173" s="2">
        <v>9</v>
      </c>
      <c r="C173" s="2">
        <v>12</v>
      </c>
      <c r="D173" s="2">
        <v>15</v>
      </c>
      <c r="E173" s="2">
        <v>11</v>
      </c>
      <c r="F173" s="2">
        <v>13</v>
      </c>
      <c r="G173" s="2">
        <v>13</v>
      </c>
      <c r="H173" s="2">
        <v>31</v>
      </c>
      <c r="I173" s="2">
        <v>38</v>
      </c>
      <c r="J173" s="2">
        <v>17</v>
      </c>
      <c r="K173" s="2">
        <v>2</v>
      </c>
      <c r="L173" s="2">
        <v>17</v>
      </c>
      <c r="M173" s="2">
        <v>10</v>
      </c>
      <c r="N173" s="2">
        <v>7</v>
      </c>
      <c r="O173" s="2">
        <v>3</v>
      </c>
      <c r="P173" s="2">
        <v>17</v>
      </c>
      <c r="Q173" s="2">
        <v>13</v>
      </c>
      <c r="R173" s="2">
        <v>7</v>
      </c>
      <c r="S173" s="2">
        <v>4</v>
      </c>
      <c r="T173" s="2">
        <v>11</v>
      </c>
      <c r="U173" s="11">
        <v>10.9047905625126</v>
      </c>
      <c r="V173" s="11">
        <v>11.556769448129399</v>
      </c>
      <c r="W173" s="11">
        <v>24.0119649271839</v>
      </c>
      <c r="X173" s="11">
        <v>16.631139350685501</v>
      </c>
      <c r="Y173" s="11">
        <v>11.1822926791796</v>
      </c>
      <c r="Z173" s="11">
        <v>12.0864542063134</v>
      </c>
      <c r="AA173" s="11">
        <v>32.675930768803902</v>
      </c>
      <c r="AB173" s="11">
        <v>36.980976723327601</v>
      </c>
      <c r="AC173" s="11">
        <v>13.5108909851643</v>
      </c>
      <c r="AD173" s="11">
        <v>10.7210439971009</v>
      </c>
      <c r="AE173" s="11">
        <v>8.0005434826734305</v>
      </c>
      <c r="AF173" s="11">
        <v>5.9258293261995796</v>
      </c>
      <c r="AG173" s="11">
        <v>15.619473618856899</v>
      </c>
      <c r="AH173" s="11">
        <v>10.2594774150066</v>
      </c>
      <c r="AI173" s="11">
        <v>10.559780335037001</v>
      </c>
      <c r="AJ173" s="11">
        <v>16.749005311220799</v>
      </c>
      <c r="AK173" s="16">
        <v>-0.77938334451344005</v>
      </c>
      <c r="AL173" s="16">
        <v>-1.7081234285435101</v>
      </c>
      <c r="AM173" s="26">
        <v>3.7085967587386699E-2</v>
      </c>
      <c r="AN173" s="27">
        <v>5.9355292621917903E-2</v>
      </c>
      <c r="AO173" s="11">
        <v>19.503789833267</v>
      </c>
      <c r="AP173" s="11">
        <v>11.418255558907401</v>
      </c>
      <c r="AQ173" t="s">
        <v>5875</v>
      </c>
      <c r="AR173" t="s">
        <v>5877</v>
      </c>
      <c r="AS173" t="s">
        <v>2022</v>
      </c>
    </row>
    <row r="174" spans="1:45">
      <c r="A174" t="s">
        <v>3374</v>
      </c>
      <c r="B174" s="2">
        <v>0.91200000000000003</v>
      </c>
      <c r="C174" s="2">
        <v>6.7329999999999997</v>
      </c>
      <c r="D174" s="2">
        <v>3</v>
      </c>
      <c r="E174" s="2">
        <v>1</v>
      </c>
      <c r="F174" s="2">
        <v>11.821</v>
      </c>
      <c r="G174" s="2">
        <v>6</v>
      </c>
      <c r="H174" s="2">
        <v>4.9080000000000004</v>
      </c>
      <c r="I174" s="2">
        <v>8.9120000000000008</v>
      </c>
      <c r="J174" s="2">
        <v>34.207999999999998</v>
      </c>
      <c r="K174" s="2">
        <v>9.9079999999999995</v>
      </c>
      <c r="L174" s="2">
        <v>21.291</v>
      </c>
      <c r="M174" s="2">
        <v>29.65</v>
      </c>
      <c r="N174" s="2">
        <v>53.857999999999997</v>
      </c>
      <c r="O174" s="2">
        <v>2.9079999999999999</v>
      </c>
      <c r="P174" s="2">
        <v>13.65</v>
      </c>
      <c r="Q174" s="2">
        <v>13.821</v>
      </c>
      <c r="R174" s="2">
        <v>11.558</v>
      </c>
      <c r="S174" s="2">
        <v>10.912000000000001</v>
      </c>
      <c r="T174" s="2">
        <v>4.9119999999999999</v>
      </c>
      <c r="U174" s="11">
        <v>1.0904790562512601</v>
      </c>
      <c r="V174" s="11">
        <v>6.4525296085388897</v>
      </c>
      <c r="W174" s="11">
        <v>4.8023929854367697</v>
      </c>
      <c r="X174" s="11">
        <v>1.5119217591532299</v>
      </c>
      <c r="Y174" s="11">
        <v>10.1500810472553</v>
      </c>
      <c r="Z174" s="11">
        <v>5.5783634798369501</v>
      </c>
      <c r="AA174" s="11">
        <v>5.1649051860367399</v>
      </c>
      <c r="AB174" s="11">
        <v>8.6613340220425208</v>
      </c>
      <c r="AC174" s="11">
        <v>27.180733628977499</v>
      </c>
      <c r="AD174" s="11">
        <v>13.432837478720501</v>
      </c>
      <c r="AE174" s="11">
        <v>23.7616141435401</v>
      </c>
      <c r="AF174" s="11">
        <v>45.628885811736801</v>
      </c>
      <c r="AG174" s="11">
        <v>12.5874581516671</v>
      </c>
      <c r="AH174" s="11">
        <v>10.8908298713147</v>
      </c>
      <c r="AI174" s="11">
        <v>17.4990645552041</v>
      </c>
      <c r="AJ174" s="11">
        <v>7.4609205477256202</v>
      </c>
      <c r="AK174" s="16">
        <v>1.8087711465549901</v>
      </c>
      <c r="AL174" s="16">
        <v>3.64973551352535</v>
      </c>
      <c r="AM174" s="26">
        <v>7.1533675557509599E-5</v>
      </c>
      <c r="AN174" s="27">
        <v>2.11752340477761E-4</v>
      </c>
      <c r="AO174" s="11">
        <v>5.42650089306896</v>
      </c>
      <c r="AP174" s="11">
        <v>19.805293023610801</v>
      </c>
      <c r="AQ174" t="s">
        <v>5874</v>
      </c>
      <c r="AR174" t="s">
        <v>5876</v>
      </c>
      <c r="AS174" t="s">
        <v>3374</v>
      </c>
    </row>
    <row r="175" spans="1:45">
      <c r="A175" t="s">
        <v>4546</v>
      </c>
      <c r="B175" s="2">
        <v>11.484</v>
      </c>
      <c r="C175" s="2">
        <v>11.86</v>
      </c>
      <c r="D175" s="2">
        <v>4.6669999999999998</v>
      </c>
      <c r="E175" s="2">
        <v>2.5</v>
      </c>
      <c r="F175" s="2">
        <v>6.3570000000000002</v>
      </c>
      <c r="G175" s="2">
        <v>10.379</v>
      </c>
      <c r="H175" s="2">
        <v>12.436</v>
      </c>
      <c r="I175" s="2">
        <v>8.6530000000000005</v>
      </c>
      <c r="J175" s="2">
        <v>27.209</v>
      </c>
      <c r="K175" s="2">
        <v>6</v>
      </c>
      <c r="L175" s="2">
        <v>14.933</v>
      </c>
      <c r="M175" s="2">
        <v>37.323</v>
      </c>
      <c r="N175" s="2">
        <v>27.818000000000001</v>
      </c>
      <c r="O175" s="2">
        <v>7.7779999999999996</v>
      </c>
      <c r="P175" s="2">
        <v>16.157</v>
      </c>
      <c r="Q175" s="2">
        <v>17.850000000000001</v>
      </c>
      <c r="R175" s="2">
        <v>14</v>
      </c>
      <c r="S175" s="2">
        <v>5</v>
      </c>
      <c r="T175" s="2">
        <v>6.75</v>
      </c>
      <c r="U175" s="11">
        <v>13.933899052099401</v>
      </c>
      <c r="V175" s="11">
        <v>11.460463036061601</v>
      </c>
      <c r="W175" s="11">
        <v>7.5237490105176104</v>
      </c>
      <c r="X175" s="11">
        <v>3.77980439788307</v>
      </c>
      <c r="Y175" s="11">
        <v>5.5051287035961103</v>
      </c>
      <c r="Z175" s="11">
        <v>9.6691633650507107</v>
      </c>
      <c r="AA175" s="11">
        <v>13.070372307521501</v>
      </c>
      <c r="AB175" s="11">
        <v>8.4666973024460592</v>
      </c>
      <c r="AC175" s="11">
        <v>21.6174255762628</v>
      </c>
      <c r="AD175" s="11">
        <v>9.3966797386354592</v>
      </c>
      <c r="AE175" s="11">
        <v>29.842027190371901</v>
      </c>
      <c r="AF175" s="11">
        <v>23.5340078954784</v>
      </c>
      <c r="AG175" s="11">
        <v>14.884439566204801</v>
      </c>
      <c r="AH175" s="11">
        <v>14.1265112098937</v>
      </c>
      <c r="AI175" s="11">
        <v>21.119560670073898</v>
      </c>
      <c r="AJ175" s="11">
        <v>10.3539305560274</v>
      </c>
      <c r="AK175" s="16">
        <v>0.96301848419041902</v>
      </c>
      <c r="AL175" s="16">
        <v>1.9735187155873399</v>
      </c>
      <c r="AM175" s="26">
        <v>6.6888237321798697E-3</v>
      </c>
      <c r="AN175" s="27">
        <v>1.2895743737257499E-2</v>
      </c>
      <c r="AO175" s="11">
        <v>9.1761596468970108</v>
      </c>
      <c r="AP175" s="11">
        <v>18.109322800368599</v>
      </c>
      <c r="AQ175" t="s">
        <v>5874</v>
      </c>
      <c r="AR175" t="s">
        <v>5878</v>
      </c>
      <c r="AS175" t="s">
        <v>4546</v>
      </c>
    </row>
    <row r="176" spans="1:45">
      <c r="A176" t="s">
        <v>953</v>
      </c>
      <c r="B176" s="2">
        <v>27</v>
      </c>
      <c r="C176" s="2">
        <v>17</v>
      </c>
      <c r="D176" s="2">
        <v>17</v>
      </c>
      <c r="E176" s="2">
        <v>11</v>
      </c>
      <c r="F176" s="2">
        <v>6</v>
      </c>
      <c r="G176" s="2">
        <v>19</v>
      </c>
      <c r="H176" s="2">
        <v>12</v>
      </c>
      <c r="I176" s="2">
        <v>15</v>
      </c>
      <c r="J176" s="2">
        <v>12</v>
      </c>
      <c r="K176" s="2">
        <v>1</v>
      </c>
      <c r="L176" s="2">
        <v>15</v>
      </c>
      <c r="M176" s="2">
        <v>19</v>
      </c>
      <c r="N176" s="2">
        <v>12</v>
      </c>
      <c r="O176" s="2">
        <v>1</v>
      </c>
      <c r="P176" s="2">
        <v>8</v>
      </c>
      <c r="Q176" s="2">
        <v>19</v>
      </c>
      <c r="R176" s="2">
        <v>19</v>
      </c>
      <c r="S176" s="2">
        <v>8</v>
      </c>
      <c r="T176" s="2">
        <v>8</v>
      </c>
      <c r="U176" s="11">
        <v>32.7143716875377</v>
      </c>
      <c r="V176" s="11">
        <v>16.372090051516601</v>
      </c>
      <c r="W176" s="11">
        <v>27.213560250808399</v>
      </c>
      <c r="X176" s="11">
        <v>16.631139350685501</v>
      </c>
      <c r="Y176" s="11">
        <v>5.1610581596213496</v>
      </c>
      <c r="Z176" s="11">
        <v>17.6648176861503</v>
      </c>
      <c r="AA176" s="11">
        <v>12.6487473943757</v>
      </c>
      <c r="AB176" s="11">
        <v>14.597753969734599</v>
      </c>
      <c r="AC176" s="11">
        <v>9.53709951893949</v>
      </c>
      <c r="AD176" s="11">
        <v>9.4597447033242794</v>
      </c>
      <c r="AE176" s="11">
        <v>15.2010326170795</v>
      </c>
      <c r="AF176" s="11">
        <v>10.1585645591993</v>
      </c>
      <c r="AG176" s="11">
        <v>7.3503405265209096</v>
      </c>
      <c r="AH176" s="11">
        <v>14.994620837317401</v>
      </c>
      <c r="AI176" s="11">
        <v>28.662260909385999</v>
      </c>
      <c r="AJ176" s="11">
        <v>12.1810947717969</v>
      </c>
      <c r="AK176" s="16">
        <v>-0.41966450582115</v>
      </c>
      <c r="AL176" s="16">
        <v>-1.3297118392383001</v>
      </c>
      <c r="AM176" s="26">
        <v>0.29948967152669698</v>
      </c>
      <c r="AN176" s="27">
        <v>0.37785756326945402</v>
      </c>
      <c r="AO176" s="11">
        <v>17.875442318803799</v>
      </c>
      <c r="AP176" s="11">
        <v>13.443094805445501</v>
      </c>
      <c r="AQ176" t="s">
        <v>5875</v>
      </c>
      <c r="AR176" t="s">
        <v>5832</v>
      </c>
      <c r="AS176" t="s">
        <v>953</v>
      </c>
    </row>
    <row r="177" spans="1:45">
      <c r="A177" t="s">
        <v>2087</v>
      </c>
      <c r="B177" s="2">
        <v>19</v>
      </c>
      <c r="C177" s="2">
        <v>17</v>
      </c>
      <c r="D177" s="2">
        <v>12</v>
      </c>
      <c r="E177" s="2">
        <v>7</v>
      </c>
      <c r="F177" s="2">
        <v>11</v>
      </c>
      <c r="G177" s="2">
        <v>17</v>
      </c>
      <c r="H177" s="2">
        <v>14</v>
      </c>
      <c r="I177" s="2">
        <v>6</v>
      </c>
      <c r="J177" s="2">
        <v>12</v>
      </c>
      <c r="K177" s="2">
        <v>1</v>
      </c>
      <c r="L177" s="2">
        <v>21</v>
      </c>
      <c r="M177" s="2">
        <v>19</v>
      </c>
      <c r="N177" s="2">
        <v>18</v>
      </c>
      <c r="O177" s="2">
        <v>5</v>
      </c>
      <c r="P177" s="2">
        <v>7</v>
      </c>
      <c r="Q177" s="2">
        <v>20</v>
      </c>
      <c r="R177" s="2">
        <v>14</v>
      </c>
      <c r="S177" s="2">
        <v>11</v>
      </c>
      <c r="T177" s="2">
        <v>15</v>
      </c>
      <c r="U177" s="11">
        <v>23.021224520859899</v>
      </c>
      <c r="V177" s="11">
        <v>16.372090051516601</v>
      </c>
      <c r="W177" s="11">
        <v>19.2095719417471</v>
      </c>
      <c r="X177" s="11">
        <v>10.5834523140726</v>
      </c>
      <c r="Y177" s="11">
        <v>9.4619399593058091</v>
      </c>
      <c r="Z177" s="11">
        <v>15.805363192871299</v>
      </c>
      <c r="AA177" s="11">
        <v>14.756871960105</v>
      </c>
      <c r="AB177" s="11">
        <v>5.8391015878938397</v>
      </c>
      <c r="AC177" s="11">
        <v>9.53709951893949</v>
      </c>
      <c r="AD177" s="11">
        <v>13.243642584653999</v>
      </c>
      <c r="AE177" s="11">
        <v>15.2010326170795</v>
      </c>
      <c r="AF177" s="11">
        <v>15.2378468387989</v>
      </c>
      <c r="AG177" s="11">
        <v>6.4315479607058004</v>
      </c>
      <c r="AH177" s="11">
        <v>15.783811407702499</v>
      </c>
      <c r="AI177" s="11">
        <v>21.119560670073898</v>
      </c>
      <c r="AJ177" s="11">
        <v>22.839552697119299</v>
      </c>
      <c r="AK177" s="16">
        <v>3.4861387010906401E-2</v>
      </c>
      <c r="AL177" s="16">
        <v>1.0377617843114799</v>
      </c>
      <c r="AM177" s="26">
        <v>0.94112983412250495</v>
      </c>
      <c r="AN177" s="27">
        <v>0.96156153915847598</v>
      </c>
      <c r="AO177" s="11">
        <v>14.3812019410465</v>
      </c>
      <c r="AP177" s="11">
        <v>14.9242617868842</v>
      </c>
      <c r="AQ177" t="s">
        <v>5874</v>
      </c>
      <c r="AR177" t="s">
        <v>5832</v>
      </c>
      <c r="AS177" t="s">
        <v>2087</v>
      </c>
    </row>
    <row r="178" spans="1:45">
      <c r="A178" t="s">
        <v>2371</v>
      </c>
      <c r="B178" s="2">
        <v>9</v>
      </c>
      <c r="C178" s="2">
        <v>11</v>
      </c>
      <c r="D178" s="2">
        <v>7</v>
      </c>
      <c r="E178" s="2">
        <v>10</v>
      </c>
      <c r="F178" s="2">
        <v>7</v>
      </c>
      <c r="G178" s="2">
        <v>4</v>
      </c>
      <c r="H178" s="2">
        <v>3</v>
      </c>
      <c r="I178" s="2">
        <v>11</v>
      </c>
      <c r="J178" s="2">
        <v>22</v>
      </c>
      <c r="K178" s="2">
        <v>10</v>
      </c>
      <c r="L178" s="2">
        <v>20</v>
      </c>
      <c r="M178" s="2">
        <v>24</v>
      </c>
      <c r="N178" s="2">
        <v>14</v>
      </c>
      <c r="O178" s="2">
        <v>6</v>
      </c>
      <c r="P178" s="2">
        <v>26</v>
      </c>
      <c r="Q178" s="2">
        <v>29</v>
      </c>
      <c r="R178" s="2">
        <v>13</v>
      </c>
      <c r="S178" s="2">
        <v>8</v>
      </c>
      <c r="T178" s="2">
        <v>12</v>
      </c>
      <c r="U178" s="11">
        <v>10.9047905625126</v>
      </c>
      <c r="V178" s="11">
        <v>10.5937053274519</v>
      </c>
      <c r="W178" s="11">
        <v>11.2055836326858</v>
      </c>
      <c r="X178" s="11">
        <v>15.119217591532299</v>
      </c>
      <c r="Y178" s="11">
        <v>6.0212345195582504</v>
      </c>
      <c r="Z178" s="11">
        <v>3.7189089865579601</v>
      </c>
      <c r="AA178" s="11">
        <v>3.1621868485939202</v>
      </c>
      <c r="AB178" s="11">
        <v>10.7050195778054</v>
      </c>
      <c r="AC178" s="11">
        <v>17.484682451389101</v>
      </c>
      <c r="AD178" s="11">
        <v>12.6129929377657</v>
      </c>
      <c r="AE178" s="11">
        <v>19.201304358416198</v>
      </c>
      <c r="AF178" s="11">
        <v>11.8516586523992</v>
      </c>
      <c r="AG178" s="11">
        <v>23.888606711192999</v>
      </c>
      <c r="AH178" s="11">
        <v>22.8865265411686</v>
      </c>
      <c r="AI178" s="11">
        <v>19.611020622211502</v>
      </c>
      <c r="AJ178" s="11">
        <v>18.2716421576954</v>
      </c>
      <c r="AK178" s="16">
        <v>1.05583293511059</v>
      </c>
      <c r="AL178" s="16">
        <v>2.0412587658196002</v>
      </c>
      <c r="AM178" s="26">
        <v>2.57270866198489E-3</v>
      </c>
      <c r="AN178" s="27">
        <v>5.2795769781223698E-3</v>
      </c>
      <c r="AO178" s="11">
        <v>8.9288308808372605</v>
      </c>
      <c r="AP178" s="11">
        <v>18.226054304029802</v>
      </c>
      <c r="AQ178" t="s">
        <v>5874</v>
      </c>
      <c r="AR178" t="s">
        <v>5876</v>
      </c>
      <c r="AS178" t="s">
        <v>2371</v>
      </c>
    </row>
    <row r="179" spans="1:45">
      <c r="A179" t="s">
        <v>4751</v>
      </c>
      <c r="B179" s="2">
        <v>19</v>
      </c>
      <c r="C179" s="2">
        <v>13</v>
      </c>
      <c r="D179" s="2">
        <v>12</v>
      </c>
      <c r="E179" s="2">
        <v>17</v>
      </c>
      <c r="F179" s="2">
        <v>5</v>
      </c>
      <c r="G179" s="2">
        <v>9</v>
      </c>
      <c r="H179" s="2">
        <v>3</v>
      </c>
      <c r="I179" s="2">
        <v>6</v>
      </c>
      <c r="J179" s="2">
        <v>13</v>
      </c>
      <c r="K179" s="2">
        <v>7</v>
      </c>
      <c r="L179" s="2">
        <v>36</v>
      </c>
      <c r="M179" s="2">
        <v>24</v>
      </c>
      <c r="N179" s="2">
        <v>7</v>
      </c>
      <c r="O179" s="2">
        <v>3</v>
      </c>
      <c r="P179" s="2">
        <v>10</v>
      </c>
      <c r="Q179" s="2">
        <v>23</v>
      </c>
      <c r="R179" s="2">
        <v>14</v>
      </c>
      <c r="S179" s="2">
        <v>10</v>
      </c>
      <c r="T179" s="2">
        <v>14</v>
      </c>
      <c r="U179" s="11">
        <v>23.021224520859899</v>
      </c>
      <c r="V179" s="11">
        <v>12.519833568806799</v>
      </c>
      <c r="W179" s="11">
        <v>19.2095719417471</v>
      </c>
      <c r="X179" s="11">
        <v>25.7026699056049</v>
      </c>
      <c r="Y179" s="11">
        <v>4.3008817996844604</v>
      </c>
      <c r="Z179" s="11">
        <v>8.3675452197554208</v>
      </c>
      <c r="AA179" s="11">
        <v>3.1621868485939202</v>
      </c>
      <c r="AB179" s="11">
        <v>5.8391015878938397</v>
      </c>
      <c r="AC179" s="11">
        <v>10.331857812184399</v>
      </c>
      <c r="AD179" s="11">
        <v>22.703387287978298</v>
      </c>
      <c r="AE179" s="11">
        <v>19.201304358416198</v>
      </c>
      <c r="AF179" s="11">
        <v>5.9258293261995796</v>
      </c>
      <c r="AG179" s="11">
        <v>9.1879256581511406</v>
      </c>
      <c r="AH179" s="11">
        <v>18.1513831188579</v>
      </c>
      <c r="AI179" s="11">
        <v>21.119560670073898</v>
      </c>
      <c r="AJ179" s="11">
        <v>21.316915850644602</v>
      </c>
      <c r="AK179" s="16">
        <v>0.35261347636191398</v>
      </c>
      <c r="AL179" s="16">
        <v>1.25278482612591</v>
      </c>
      <c r="AM179" s="26">
        <v>0.46418404415169201</v>
      </c>
      <c r="AN179" s="27">
        <v>0.54576296228028498</v>
      </c>
      <c r="AO179" s="11">
        <v>12.7653769241183</v>
      </c>
      <c r="AP179" s="11">
        <v>15.9922705103133</v>
      </c>
      <c r="AQ179" t="s">
        <v>5874</v>
      </c>
      <c r="AR179" t="s">
        <v>5832</v>
      </c>
      <c r="AS179" t="s">
        <v>4751</v>
      </c>
    </row>
    <row r="180" spans="1:45">
      <c r="A180" t="s">
        <v>5762</v>
      </c>
      <c r="B180" s="2">
        <v>21</v>
      </c>
      <c r="C180" s="2">
        <v>6</v>
      </c>
      <c r="D180" s="2">
        <v>4</v>
      </c>
      <c r="E180" s="2">
        <v>1</v>
      </c>
      <c r="F180" s="2">
        <v>4</v>
      </c>
      <c r="G180" s="2">
        <v>13</v>
      </c>
      <c r="H180" s="2">
        <v>18</v>
      </c>
      <c r="I180" s="2">
        <v>58</v>
      </c>
      <c r="J180" s="2">
        <v>6</v>
      </c>
      <c r="K180" s="2">
        <v>14</v>
      </c>
      <c r="L180" s="2">
        <v>10.996</v>
      </c>
      <c r="M180" s="2">
        <v>8</v>
      </c>
      <c r="N180" s="2">
        <v>13</v>
      </c>
      <c r="O180" s="2">
        <v>10</v>
      </c>
      <c r="P180" s="2">
        <v>13</v>
      </c>
      <c r="Q180" s="2">
        <v>9</v>
      </c>
      <c r="R180" s="2">
        <v>16</v>
      </c>
      <c r="S180" s="2">
        <v>8</v>
      </c>
      <c r="T180" s="2">
        <v>10</v>
      </c>
      <c r="U180" s="11">
        <v>25.444511312529301</v>
      </c>
      <c r="V180" s="11">
        <v>5.7783847240646802</v>
      </c>
      <c r="W180" s="11">
        <v>6.4031906472490299</v>
      </c>
      <c r="X180" s="11">
        <v>1.5119217591532299</v>
      </c>
      <c r="Y180" s="11">
        <v>3.4407054397475698</v>
      </c>
      <c r="Z180" s="11">
        <v>12.0864542063134</v>
      </c>
      <c r="AA180" s="11">
        <v>18.973121091563499</v>
      </c>
      <c r="AB180" s="11">
        <v>56.4446486829737</v>
      </c>
      <c r="AC180" s="11">
        <v>4.7685497594697397</v>
      </c>
      <c r="AD180" s="11">
        <v>6.9371461157711396</v>
      </c>
      <c r="AE180" s="11">
        <v>6.4004347861387396</v>
      </c>
      <c r="AF180" s="11">
        <v>11.0051116057992</v>
      </c>
      <c r="AG180" s="11">
        <v>11.944303355596499</v>
      </c>
      <c r="AH180" s="11">
        <v>7.1027151334661296</v>
      </c>
      <c r="AI180" s="11">
        <v>24.136640765798798</v>
      </c>
      <c r="AJ180" s="11">
        <v>15.2263684647462</v>
      </c>
      <c r="AK180" s="16">
        <v>-0.60830361652997</v>
      </c>
      <c r="AL180" s="16">
        <v>-1.4863008487335001</v>
      </c>
      <c r="AM180" s="26">
        <v>0.31079368383455203</v>
      </c>
      <c r="AN180" s="27">
        <v>0.389996103873263</v>
      </c>
      <c r="AO180" s="11">
        <v>16.260367232949299</v>
      </c>
      <c r="AP180" s="11">
        <v>10.940158748348299</v>
      </c>
      <c r="AQ180" t="s">
        <v>5875</v>
      </c>
      <c r="AR180" t="s">
        <v>5832</v>
      </c>
      <c r="AS180" t="s">
        <v>5762</v>
      </c>
    </row>
    <row r="181" spans="1:45">
      <c r="A181" t="s">
        <v>2301</v>
      </c>
      <c r="B181" s="2">
        <v>0</v>
      </c>
      <c r="C181" s="2">
        <v>0</v>
      </c>
      <c r="D181" s="2">
        <v>0</v>
      </c>
      <c r="E181" s="2">
        <v>0</v>
      </c>
      <c r="F181" s="2">
        <v>1</v>
      </c>
      <c r="G181" s="2">
        <v>1</v>
      </c>
      <c r="H181" s="2">
        <v>11</v>
      </c>
      <c r="I181" s="2">
        <v>9</v>
      </c>
      <c r="J181" s="2">
        <v>23</v>
      </c>
      <c r="K181" s="2">
        <v>1</v>
      </c>
      <c r="L181" s="2">
        <v>28</v>
      </c>
      <c r="M181" s="2">
        <v>5</v>
      </c>
      <c r="N181" s="2">
        <v>5</v>
      </c>
      <c r="O181" s="2">
        <v>0</v>
      </c>
      <c r="P181" s="2">
        <v>104.96299999999999</v>
      </c>
      <c r="Q181" s="2">
        <v>43</v>
      </c>
      <c r="R181" s="2">
        <v>0</v>
      </c>
      <c r="S181" s="2">
        <v>1</v>
      </c>
      <c r="T181" s="2">
        <v>9</v>
      </c>
      <c r="U181" s="11">
        <v>0.30291084895868198</v>
      </c>
      <c r="V181" s="11">
        <v>0.24076603016936199</v>
      </c>
      <c r="W181" s="11">
        <v>0.40019941545306398</v>
      </c>
      <c r="X181" s="11">
        <v>0.37798043978830698</v>
      </c>
      <c r="Y181" s="11">
        <v>0.86017635993689201</v>
      </c>
      <c r="Z181" s="11">
        <v>0.92972724663949102</v>
      </c>
      <c r="AA181" s="11">
        <v>11.594685111511</v>
      </c>
      <c r="AB181" s="11">
        <v>8.7586523818407507</v>
      </c>
      <c r="AC181" s="11">
        <v>18.279440744634002</v>
      </c>
      <c r="AD181" s="11">
        <v>17.658190112871999</v>
      </c>
      <c r="AE181" s="11">
        <v>4.0002717413367099</v>
      </c>
      <c r="AF181" s="11">
        <v>4.2327352329997003</v>
      </c>
      <c r="AG181" s="11">
        <v>96.473219410587006</v>
      </c>
      <c r="AH181" s="11">
        <v>33.935194526560402</v>
      </c>
      <c r="AI181" s="11">
        <v>0.377135011965606</v>
      </c>
      <c r="AJ181" s="11">
        <v>13.7037316182716</v>
      </c>
      <c r="AK181" s="16">
        <v>2.9303362785348099</v>
      </c>
      <c r="AL181" s="16">
        <v>8.0400226639359396</v>
      </c>
      <c r="AM181" s="26">
        <v>7.5129759774381901E-4</v>
      </c>
      <c r="AN181" s="27">
        <v>1.7458079661746299E-3</v>
      </c>
      <c r="AO181" s="11">
        <v>2.9331372292872002</v>
      </c>
      <c r="AP181" s="11">
        <v>23.582489799903399</v>
      </c>
      <c r="AQ181" t="s">
        <v>5874</v>
      </c>
      <c r="AR181" t="s">
        <v>5876</v>
      </c>
      <c r="AS181" t="s">
        <v>2301</v>
      </c>
    </row>
    <row r="182" spans="1:45">
      <c r="A182" t="s">
        <v>1477</v>
      </c>
      <c r="B182" s="2">
        <v>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9</v>
      </c>
      <c r="J182" s="2">
        <v>19</v>
      </c>
      <c r="K182" s="2">
        <v>4</v>
      </c>
      <c r="L182" s="2">
        <v>46</v>
      </c>
      <c r="M182" s="2">
        <v>5</v>
      </c>
      <c r="N182" s="2">
        <v>23</v>
      </c>
      <c r="O182" s="2">
        <v>5</v>
      </c>
      <c r="P182" s="2">
        <v>32</v>
      </c>
      <c r="Q182" s="2">
        <v>56</v>
      </c>
      <c r="R182" s="2">
        <v>18</v>
      </c>
      <c r="S182" s="2">
        <v>5</v>
      </c>
      <c r="T182" s="2">
        <v>17</v>
      </c>
      <c r="U182" s="11">
        <v>1.2116433958347299</v>
      </c>
      <c r="V182" s="11">
        <v>0.24076603016936199</v>
      </c>
      <c r="W182" s="11">
        <v>0.40019941545306398</v>
      </c>
      <c r="X182" s="11">
        <v>0.37798043978830698</v>
      </c>
      <c r="Y182" s="11">
        <v>0.215044089984223</v>
      </c>
      <c r="Z182" s="11">
        <v>0.23243181165987301</v>
      </c>
      <c r="AA182" s="11">
        <v>0.26351557071616</v>
      </c>
      <c r="AB182" s="11">
        <v>8.7586523818407507</v>
      </c>
      <c r="AC182" s="11">
        <v>15.1004075716542</v>
      </c>
      <c r="AD182" s="11">
        <v>29.0098837568611</v>
      </c>
      <c r="AE182" s="11">
        <v>4.0002717413367099</v>
      </c>
      <c r="AF182" s="11">
        <v>19.470582071798599</v>
      </c>
      <c r="AG182" s="11">
        <v>29.401362106083599</v>
      </c>
      <c r="AH182" s="11">
        <v>44.194671941567002</v>
      </c>
      <c r="AI182" s="11">
        <v>27.153720861523599</v>
      </c>
      <c r="AJ182" s="11">
        <v>25.884826390068501</v>
      </c>
      <c r="AK182" s="16">
        <v>3.8845687446856201</v>
      </c>
      <c r="AL182" s="16">
        <v>16.5993039790384</v>
      </c>
      <c r="AM182" s="26">
        <v>3.15389711921621E-9</v>
      </c>
      <c r="AN182" s="27">
        <v>3.4589461848453201E-8</v>
      </c>
      <c r="AO182" s="11">
        <v>1.46252914193081</v>
      </c>
      <c r="AP182" s="11">
        <v>24.276965805111701</v>
      </c>
      <c r="AQ182" t="s">
        <v>5874</v>
      </c>
      <c r="AR182" t="s">
        <v>5876</v>
      </c>
      <c r="AS182" t="s">
        <v>1477</v>
      </c>
    </row>
    <row r="183" spans="1:45">
      <c r="A183" t="s">
        <v>5402</v>
      </c>
      <c r="B183" s="2">
        <v>8</v>
      </c>
      <c r="C183" s="2">
        <v>3</v>
      </c>
      <c r="D183" s="2">
        <v>3</v>
      </c>
      <c r="E183" s="2">
        <v>3</v>
      </c>
      <c r="F183" s="2">
        <v>4</v>
      </c>
      <c r="G183" s="2">
        <v>3</v>
      </c>
      <c r="H183" s="2">
        <v>0</v>
      </c>
      <c r="I183" s="2">
        <v>0</v>
      </c>
      <c r="J183" s="2">
        <v>52</v>
      </c>
      <c r="K183" s="2">
        <v>17</v>
      </c>
      <c r="L183" s="2">
        <v>27</v>
      </c>
      <c r="M183" s="2">
        <v>19</v>
      </c>
      <c r="N183" s="2">
        <v>21</v>
      </c>
      <c r="O183" s="2">
        <v>5</v>
      </c>
      <c r="P183" s="2">
        <v>12</v>
      </c>
      <c r="Q183" s="2">
        <v>19</v>
      </c>
      <c r="R183" s="2">
        <v>13</v>
      </c>
      <c r="S183" s="2">
        <v>5</v>
      </c>
      <c r="T183" s="2">
        <v>25</v>
      </c>
      <c r="U183" s="11">
        <v>9.6931471666778304</v>
      </c>
      <c r="V183" s="11">
        <v>2.8891923620323401</v>
      </c>
      <c r="W183" s="11">
        <v>4.8023929854367697</v>
      </c>
      <c r="X183" s="11">
        <v>4.5357652774596904</v>
      </c>
      <c r="Y183" s="11">
        <v>3.4407054397475698</v>
      </c>
      <c r="Z183" s="11">
        <v>2.7891817399184702</v>
      </c>
      <c r="AA183" s="11">
        <v>0.26351557071616</v>
      </c>
      <c r="AB183" s="11">
        <v>0.24329589949557701</v>
      </c>
      <c r="AC183" s="11">
        <v>41.327431248737803</v>
      </c>
      <c r="AD183" s="11">
        <v>17.027540465983702</v>
      </c>
      <c r="AE183" s="11">
        <v>15.2010326170795</v>
      </c>
      <c r="AF183" s="11">
        <v>17.777487978598799</v>
      </c>
      <c r="AG183" s="11">
        <v>11.0255107897814</v>
      </c>
      <c r="AH183" s="11">
        <v>14.994620837317401</v>
      </c>
      <c r="AI183" s="11">
        <v>19.611020622211502</v>
      </c>
      <c r="AJ183" s="11">
        <v>38.065921161865397</v>
      </c>
      <c r="AK183" s="16">
        <v>2.6160625264814699</v>
      </c>
      <c r="AL183" s="16">
        <v>6.10773514007112</v>
      </c>
      <c r="AM183" s="26">
        <v>1.17608934142177E-7</v>
      </c>
      <c r="AN183" s="27">
        <v>7.7137624452074902E-7</v>
      </c>
      <c r="AO183" s="11">
        <v>3.5821495551855498</v>
      </c>
      <c r="AP183" s="11">
        <v>21.878820715196898</v>
      </c>
      <c r="AQ183" t="s">
        <v>5874</v>
      </c>
      <c r="AR183" t="s">
        <v>5876</v>
      </c>
      <c r="AS183" t="s">
        <v>5402</v>
      </c>
    </row>
    <row r="184" spans="1:45">
      <c r="A184" t="s">
        <v>1611</v>
      </c>
      <c r="B184" s="2">
        <v>9</v>
      </c>
      <c r="C184" s="2">
        <v>4</v>
      </c>
      <c r="D184" s="2">
        <v>4</v>
      </c>
      <c r="E184" s="2">
        <v>6</v>
      </c>
      <c r="F184" s="2">
        <v>9</v>
      </c>
      <c r="G184" s="2">
        <v>6</v>
      </c>
      <c r="H184" s="2">
        <v>6</v>
      </c>
      <c r="I184" s="2">
        <v>10</v>
      </c>
      <c r="J184" s="2">
        <v>7</v>
      </c>
      <c r="K184" s="2">
        <v>25</v>
      </c>
      <c r="L184" s="2">
        <v>5</v>
      </c>
      <c r="M184" s="2">
        <v>6</v>
      </c>
      <c r="N184" s="2">
        <v>41</v>
      </c>
      <c r="O184" s="2">
        <v>32</v>
      </c>
      <c r="P184" s="2">
        <v>14</v>
      </c>
      <c r="Q184" s="2">
        <v>10</v>
      </c>
      <c r="R184" s="2">
        <v>18</v>
      </c>
      <c r="S184" s="2">
        <v>13</v>
      </c>
      <c r="T184" s="2">
        <v>13</v>
      </c>
      <c r="U184" s="11">
        <v>10.9047905625126</v>
      </c>
      <c r="V184" s="11">
        <v>3.85225648270979</v>
      </c>
      <c r="W184" s="11">
        <v>6.4031906472490299</v>
      </c>
      <c r="X184" s="11">
        <v>9.0715305549193808</v>
      </c>
      <c r="Y184" s="11">
        <v>7.7415872394320298</v>
      </c>
      <c r="Z184" s="11">
        <v>5.5783634798369501</v>
      </c>
      <c r="AA184" s="11">
        <v>6.3243736971878404</v>
      </c>
      <c r="AB184" s="11">
        <v>9.7318359798230603</v>
      </c>
      <c r="AC184" s="11">
        <v>5.5633080527147003</v>
      </c>
      <c r="AD184" s="11">
        <v>3.1532482344414299</v>
      </c>
      <c r="AE184" s="11">
        <v>4.8003260896040603</v>
      </c>
      <c r="AF184" s="11">
        <v>34.708428910597597</v>
      </c>
      <c r="AG184" s="11">
        <v>12.863095921411601</v>
      </c>
      <c r="AH184" s="11">
        <v>7.8919057038512497</v>
      </c>
      <c r="AI184" s="11">
        <v>27.153720861523599</v>
      </c>
      <c r="AJ184" s="11">
        <v>19.794279004170001</v>
      </c>
      <c r="AK184" s="16">
        <v>0.92249508063753405</v>
      </c>
      <c r="AL184" s="16">
        <v>1.94484719426035</v>
      </c>
      <c r="AM184" s="26">
        <v>5.5932382909106099E-2</v>
      </c>
      <c r="AN184" s="27">
        <v>8.5544992069530201E-2</v>
      </c>
      <c r="AO184" s="11">
        <v>7.45099108045883</v>
      </c>
      <c r="AP184" s="11">
        <v>14.491039097289301</v>
      </c>
      <c r="AQ184" t="s">
        <v>5874</v>
      </c>
      <c r="AR184" t="s">
        <v>5877</v>
      </c>
      <c r="AS184" t="s">
        <v>1611</v>
      </c>
    </row>
    <row r="185" spans="1:45">
      <c r="A185" t="s">
        <v>4013</v>
      </c>
      <c r="B185" s="2">
        <v>20</v>
      </c>
      <c r="C185" s="2">
        <v>30</v>
      </c>
      <c r="D185" s="2">
        <v>23</v>
      </c>
      <c r="E185" s="2">
        <v>23</v>
      </c>
      <c r="F185" s="2">
        <v>22</v>
      </c>
      <c r="G185" s="2">
        <v>27</v>
      </c>
      <c r="H185" s="2">
        <v>21</v>
      </c>
      <c r="I185" s="2">
        <v>5</v>
      </c>
      <c r="J185" s="2">
        <v>4</v>
      </c>
      <c r="K185" s="2">
        <v>0</v>
      </c>
      <c r="L185" s="2">
        <v>10</v>
      </c>
      <c r="M185" s="2">
        <v>13</v>
      </c>
      <c r="N185" s="2">
        <v>7</v>
      </c>
      <c r="O185" s="2">
        <v>5</v>
      </c>
      <c r="P185" s="2">
        <v>3</v>
      </c>
      <c r="Q185" s="2">
        <v>13</v>
      </c>
      <c r="R185" s="2">
        <v>7</v>
      </c>
      <c r="S185" s="2">
        <v>3</v>
      </c>
      <c r="T185" s="2">
        <v>2</v>
      </c>
      <c r="U185" s="11">
        <v>24.232867916694602</v>
      </c>
      <c r="V185" s="11">
        <v>28.8919236203234</v>
      </c>
      <c r="W185" s="11">
        <v>36.8183462216819</v>
      </c>
      <c r="X185" s="11">
        <v>34.774200460524298</v>
      </c>
      <c r="Y185" s="11">
        <v>18.9238799186116</v>
      </c>
      <c r="Z185" s="11">
        <v>25.102635659266301</v>
      </c>
      <c r="AA185" s="11">
        <v>22.135307940157499</v>
      </c>
      <c r="AB185" s="11">
        <v>4.8659179899115301</v>
      </c>
      <c r="AC185" s="11">
        <v>3.17903317297983</v>
      </c>
      <c r="AD185" s="11">
        <v>6.3064964688828598</v>
      </c>
      <c r="AE185" s="11">
        <v>10.400706527475499</v>
      </c>
      <c r="AF185" s="11">
        <v>5.9258293261995796</v>
      </c>
      <c r="AG185" s="11">
        <v>2.7563776974453398</v>
      </c>
      <c r="AH185" s="11">
        <v>10.2594774150066</v>
      </c>
      <c r="AI185" s="11">
        <v>10.559780335037001</v>
      </c>
      <c r="AJ185" s="11">
        <v>3.0452736929492299</v>
      </c>
      <c r="AK185" s="16">
        <v>-1.86410641035033</v>
      </c>
      <c r="AL185" s="16">
        <v>-3.7332438429473398</v>
      </c>
      <c r="AM185" s="26">
        <v>6.2336047625340399E-6</v>
      </c>
      <c r="AN185" s="27">
        <v>2.4531068153736899E-5</v>
      </c>
      <c r="AO185" s="11">
        <v>24.4681349658964</v>
      </c>
      <c r="AP185" s="11">
        <v>6.5541218294969896</v>
      </c>
      <c r="AQ185" t="s">
        <v>5875</v>
      </c>
      <c r="AR185" t="s">
        <v>5876</v>
      </c>
      <c r="AS185" t="s">
        <v>4013</v>
      </c>
    </row>
    <row r="186" spans="1:45">
      <c r="A186" t="s">
        <v>1162</v>
      </c>
      <c r="B186" s="2">
        <v>8</v>
      </c>
      <c r="C186" s="2">
        <v>30</v>
      </c>
      <c r="D186" s="2">
        <v>0</v>
      </c>
      <c r="E186" s="2">
        <v>19</v>
      </c>
      <c r="F186" s="2">
        <v>50</v>
      </c>
      <c r="G186" s="2">
        <v>28</v>
      </c>
      <c r="H186" s="2">
        <v>13</v>
      </c>
      <c r="I186" s="2">
        <v>18.529</v>
      </c>
      <c r="J186" s="2">
        <v>1</v>
      </c>
      <c r="K186" s="2">
        <v>0</v>
      </c>
      <c r="L186" s="2">
        <v>24.6</v>
      </c>
      <c r="M186" s="2">
        <v>4</v>
      </c>
      <c r="N186" s="2">
        <v>9</v>
      </c>
      <c r="O186" s="2">
        <v>1</v>
      </c>
      <c r="P186" s="2">
        <v>12</v>
      </c>
      <c r="Q186" s="2">
        <v>14</v>
      </c>
      <c r="R186" s="2">
        <v>1</v>
      </c>
      <c r="S186" s="2">
        <v>1</v>
      </c>
      <c r="T186" s="2">
        <v>2</v>
      </c>
      <c r="U186" s="11">
        <v>9.6931471666778304</v>
      </c>
      <c r="V186" s="11">
        <v>28.8919236203234</v>
      </c>
      <c r="W186" s="11">
        <v>0.40019941545306398</v>
      </c>
      <c r="X186" s="11">
        <v>28.726513423911399</v>
      </c>
      <c r="Y186" s="11">
        <v>43.008817996844598</v>
      </c>
      <c r="Z186" s="11">
        <v>26.032362905905799</v>
      </c>
      <c r="AA186" s="11">
        <v>13.7028096772403</v>
      </c>
      <c r="AB186" s="11">
        <v>18.003896562672701</v>
      </c>
      <c r="AC186" s="11">
        <v>0.79475829324495695</v>
      </c>
      <c r="AD186" s="11">
        <v>15.513981313451801</v>
      </c>
      <c r="AE186" s="11">
        <v>3.2002173930693698</v>
      </c>
      <c r="AF186" s="11">
        <v>7.6189234193994704</v>
      </c>
      <c r="AG186" s="11">
        <v>11.0255107897814</v>
      </c>
      <c r="AH186" s="11">
        <v>11.048667985391701</v>
      </c>
      <c r="AI186" s="11">
        <v>1.50854004786242</v>
      </c>
      <c r="AJ186" s="11">
        <v>3.0452736929492299</v>
      </c>
      <c r="AK186" s="16">
        <v>-1.6014831422520199</v>
      </c>
      <c r="AL186" s="16">
        <v>-3.13379099939934</v>
      </c>
      <c r="AM186" s="26">
        <v>5.1843425066867496E-3</v>
      </c>
      <c r="AN186" s="27">
        <v>1.0171041457400099E-2</v>
      </c>
      <c r="AO186" s="11">
        <v>21.057458846128601</v>
      </c>
      <c r="AP186" s="11">
        <v>6.7194841168938</v>
      </c>
      <c r="AQ186" t="s">
        <v>5875</v>
      </c>
      <c r="AR186" t="s">
        <v>5878</v>
      </c>
      <c r="AS186" t="s">
        <v>1162</v>
      </c>
    </row>
    <row r="187" spans="1:45">
      <c r="A187" t="s">
        <v>5739</v>
      </c>
      <c r="B187" s="2">
        <v>2</v>
      </c>
      <c r="C187" s="2">
        <v>7</v>
      </c>
      <c r="D187" s="2">
        <v>3</v>
      </c>
      <c r="E187" s="2">
        <v>4</v>
      </c>
      <c r="F187" s="2">
        <v>9</v>
      </c>
      <c r="G187" s="2">
        <v>4</v>
      </c>
      <c r="H187" s="2">
        <v>6</v>
      </c>
      <c r="I187" s="2">
        <v>5</v>
      </c>
      <c r="J187" s="2">
        <v>54</v>
      </c>
      <c r="K187" s="2">
        <v>6</v>
      </c>
      <c r="L187" s="2">
        <v>31</v>
      </c>
      <c r="M187" s="2">
        <v>13</v>
      </c>
      <c r="N187" s="2">
        <v>11</v>
      </c>
      <c r="O187" s="2">
        <v>5</v>
      </c>
      <c r="P187" s="2">
        <v>30</v>
      </c>
      <c r="Q187" s="2">
        <v>19</v>
      </c>
      <c r="R187" s="2">
        <v>8</v>
      </c>
      <c r="S187" s="2">
        <v>4</v>
      </c>
      <c r="T187" s="2">
        <v>15</v>
      </c>
      <c r="U187" s="11">
        <v>2.4232867916694598</v>
      </c>
      <c r="V187" s="11">
        <v>6.7414488447421297</v>
      </c>
      <c r="W187" s="11">
        <v>4.8023929854367697</v>
      </c>
      <c r="X187" s="11">
        <v>6.0476870366129196</v>
      </c>
      <c r="Y187" s="11">
        <v>7.7415872394320298</v>
      </c>
      <c r="Z187" s="11">
        <v>3.7189089865579601</v>
      </c>
      <c r="AA187" s="11">
        <v>6.3243736971878404</v>
      </c>
      <c r="AB187" s="11">
        <v>4.8659179899115301</v>
      </c>
      <c r="AC187" s="11">
        <v>42.916947835227703</v>
      </c>
      <c r="AD187" s="11">
        <v>19.550139053536899</v>
      </c>
      <c r="AE187" s="11">
        <v>10.400706527475499</v>
      </c>
      <c r="AF187" s="11">
        <v>9.3120175125993505</v>
      </c>
      <c r="AG187" s="11">
        <v>27.5637769744534</v>
      </c>
      <c r="AH187" s="11">
        <v>14.994620837317401</v>
      </c>
      <c r="AI187" s="11">
        <v>12.068320382899399</v>
      </c>
      <c r="AJ187" s="11">
        <v>22.839552697119299</v>
      </c>
      <c r="AK187" s="16">
        <v>1.87267151507128</v>
      </c>
      <c r="AL187" s="16">
        <v>3.74179827440858</v>
      </c>
      <c r="AM187" s="26">
        <v>5.7283878698845599E-6</v>
      </c>
      <c r="AN187" s="27">
        <v>2.2676280976051902E-5</v>
      </c>
      <c r="AO187" s="11">
        <v>5.3332004464438301</v>
      </c>
      <c r="AP187" s="11">
        <v>19.955760227578601</v>
      </c>
      <c r="AQ187" t="s">
        <v>5874</v>
      </c>
      <c r="AR187" t="s">
        <v>5876</v>
      </c>
      <c r="AS187" t="s">
        <v>5739</v>
      </c>
    </row>
    <row r="188" spans="1:45">
      <c r="A188" t="s">
        <v>3197</v>
      </c>
      <c r="B188" s="2">
        <v>20</v>
      </c>
      <c r="C188" s="2">
        <v>5</v>
      </c>
      <c r="D188" s="2">
        <v>16</v>
      </c>
      <c r="E188" s="2">
        <v>9</v>
      </c>
      <c r="F188" s="2">
        <v>16</v>
      </c>
      <c r="G188" s="2">
        <v>24</v>
      </c>
      <c r="H188" s="2">
        <v>9</v>
      </c>
      <c r="I188" s="2">
        <v>4</v>
      </c>
      <c r="J188" s="2">
        <v>12</v>
      </c>
      <c r="K188" s="2">
        <v>12</v>
      </c>
      <c r="L188" s="2">
        <v>6</v>
      </c>
      <c r="M188" s="2">
        <v>13</v>
      </c>
      <c r="N188" s="2">
        <v>9</v>
      </c>
      <c r="O188" s="2">
        <v>19</v>
      </c>
      <c r="P188" s="2">
        <v>12</v>
      </c>
      <c r="Q188" s="2">
        <v>6</v>
      </c>
      <c r="R188" s="2">
        <v>23</v>
      </c>
      <c r="S188" s="2">
        <v>7</v>
      </c>
      <c r="T188" s="2">
        <v>12</v>
      </c>
      <c r="U188" s="11">
        <v>24.232867916694602</v>
      </c>
      <c r="V188" s="11">
        <v>4.8153206033872298</v>
      </c>
      <c r="W188" s="11">
        <v>25.612762588996102</v>
      </c>
      <c r="X188" s="11">
        <v>13.6072958323791</v>
      </c>
      <c r="Y188" s="11">
        <v>13.762821758990301</v>
      </c>
      <c r="Z188" s="11">
        <v>22.313453919347801</v>
      </c>
      <c r="AA188" s="11">
        <v>9.4865605457817708</v>
      </c>
      <c r="AB188" s="11">
        <v>3.8927343919292201</v>
      </c>
      <c r="AC188" s="11">
        <v>9.53709951893949</v>
      </c>
      <c r="AD188" s="11">
        <v>3.7838978813297102</v>
      </c>
      <c r="AE188" s="11">
        <v>10.400706527475499</v>
      </c>
      <c r="AF188" s="11">
        <v>7.6189234193994704</v>
      </c>
      <c r="AG188" s="11">
        <v>11.0255107897814</v>
      </c>
      <c r="AH188" s="11">
        <v>4.7351434223107498</v>
      </c>
      <c r="AI188" s="11">
        <v>34.6964211008357</v>
      </c>
      <c r="AJ188" s="11">
        <v>18.2716421576954</v>
      </c>
      <c r="AK188" s="16">
        <v>-0.27096375089095498</v>
      </c>
      <c r="AL188" s="16">
        <v>-1.1764223876141999</v>
      </c>
      <c r="AM188" s="26">
        <v>0.63236743139700902</v>
      </c>
      <c r="AN188" s="27">
        <v>0.70626679733655895</v>
      </c>
      <c r="AO188" s="11">
        <v>14.715477194688299</v>
      </c>
      <c r="AP188" s="11">
        <v>12.5086681022209</v>
      </c>
      <c r="AQ188" t="s">
        <v>5875</v>
      </c>
      <c r="AR188" t="s">
        <v>5832</v>
      </c>
      <c r="AS188" t="s">
        <v>3197</v>
      </c>
    </row>
    <row r="189" spans="1:45">
      <c r="A189" t="s">
        <v>1194</v>
      </c>
      <c r="B189" s="2">
        <v>12</v>
      </c>
      <c r="C189" s="2">
        <v>23</v>
      </c>
      <c r="D189" s="2">
        <v>21</v>
      </c>
      <c r="E189" s="2">
        <v>24</v>
      </c>
      <c r="F189" s="2">
        <v>19</v>
      </c>
      <c r="G189" s="2">
        <v>16</v>
      </c>
      <c r="H189" s="2">
        <v>21</v>
      </c>
      <c r="I189" s="2">
        <v>9</v>
      </c>
      <c r="J189" s="2">
        <v>7</v>
      </c>
      <c r="K189" s="2">
        <v>6</v>
      </c>
      <c r="L189" s="2">
        <v>10</v>
      </c>
      <c r="M189" s="2">
        <v>9</v>
      </c>
      <c r="N189" s="2">
        <v>8</v>
      </c>
      <c r="O189" s="2">
        <v>5</v>
      </c>
      <c r="P189" s="2">
        <v>8</v>
      </c>
      <c r="Q189" s="2">
        <v>12</v>
      </c>
      <c r="R189" s="2">
        <v>7</v>
      </c>
      <c r="S189" s="2">
        <v>6</v>
      </c>
      <c r="T189" s="2">
        <v>9</v>
      </c>
      <c r="U189" s="11">
        <v>14.5397207500168</v>
      </c>
      <c r="V189" s="11">
        <v>22.150474775581301</v>
      </c>
      <c r="W189" s="11">
        <v>33.616750898057397</v>
      </c>
      <c r="X189" s="11">
        <v>36.286122219677502</v>
      </c>
      <c r="Y189" s="11">
        <v>16.343350838801001</v>
      </c>
      <c r="Z189" s="11">
        <v>14.875635946231901</v>
      </c>
      <c r="AA189" s="11">
        <v>22.135307940157499</v>
      </c>
      <c r="AB189" s="11">
        <v>8.7586523818407507</v>
      </c>
      <c r="AC189" s="11">
        <v>5.5633080527147003</v>
      </c>
      <c r="AD189" s="11">
        <v>6.3064964688828598</v>
      </c>
      <c r="AE189" s="11">
        <v>7.2004891344060802</v>
      </c>
      <c r="AF189" s="11">
        <v>6.7723763727995303</v>
      </c>
      <c r="AG189" s="11">
        <v>7.3503405265209096</v>
      </c>
      <c r="AH189" s="11">
        <v>9.4702868446214996</v>
      </c>
      <c r="AI189" s="11">
        <v>10.559780335037001</v>
      </c>
      <c r="AJ189" s="11">
        <v>13.7037316182716</v>
      </c>
      <c r="AK189" s="16">
        <v>-1.3391887567285501</v>
      </c>
      <c r="AL189" s="16">
        <v>-2.5207539008754698</v>
      </c>
      <c r="AM189" s="26">
        <v>2.6339646087333499E-4</v>
      </c>
      <c r="AN189" s="27">
        <v>6.7000848792494799E-4</v>
      </c>
      <c r="AO189" s="11">
        <v>21.0882519687955</v>
      </c>
      <c r="AP189" s="11">
        <v>8.3658511691567607</v>
      </c>
      <c r="AQ189" t="s">
        <v>5875</v>
      </c>
      <c r="AR189" t="s">
        <v>5876</v>
      </c>
      <c r="AS189" t="s">
        <v>1194</v>
      </c>
    </row>
    <row r="190" spans="1:45">
      <c r="A190" t="s">
        <v>3649</v>
      </c>
      <c r="B190" s="2">
        <v>12</v>
      </c>
      <c r="C190" s="2">
        <v>7</v>
      </c>
      <c r="D190" s="2">
        <v>6</v>
      </c>
      <c r="E190" s="2">
        <v>6</v>
      </c>
      <c r="F190" s="2">
        <v>7</v>
      </c>
      <c r="G190" s="2">
        <v>3</v>
      </c>
      <c r="H190" s="2">
        <v>7</v>
      </c>
      <c r="I190" s="2">
        <v>10</v>
      </c>
      <c r="J190" s="2">
        <v>12</v>
      </c>
      <c r="K190" s="2">
        <v>12</v>
      </c>
      <c r="L190" s="2">
        <v>29</v>
      </c>
      <c r="M190" s="2">
        <v>12</v>
      </c>
      <c r="N190" s="2">
        <v>22</v>
      </c>
      <c r="O190" s="2">
        <v>14</v>
      </c>
      <c r="P190" s="2">
        <v>13</v>
      </c>
      <c r="Q190" s="2">
        <v>19</v>
      </c>
      <c r="R190" s="2">
        <v>12</v>
      </c>
      <c r="S190" s="2">
        <v>9</v>
      </c>
      <c r="T190" s="2">
        <v>19</v>
      </c>
      <c r="U190" s="11">
        <v>14.5397207500168</v>
      </c>
      <c r="V190" s="11">
        <v>6.7414488447421297</v>
      </c>
      <c r="W190" s="11">
        <v>9.6047859708735501</v>
      </c>
      <c r="X190" s="11">
        <v>9.0715305549193808</v>
      </c>
      <c r="Y190" s="11">
        <v>6.0212345195582504</v>
      </c>
      <c r="Z190" s="11">
        <v>2.7891817399184702</v>
      </c>
      <c r="AA190" s="11">
        <v>7.3784359800524904</v>
      </c>
      <c r="AB190" s="11">
        <v>9.7318359798230603</v>
      </c>
      <c r="AC190" s="11">
        <v>9.53709951893949</v>
      </c>
      <c r="AD190" s="11">
        <v>18.2888397597603</v>
      </c>
      <c r="AE190" s="11">
        <v>9.6006521792081099</v>
      </c>
      <c r="AF190" s="11">
        <v>18.624035025198701</v>
      </c>
      <c r="AG190" s="11">
        <v>11.944303355596499</v>
      </c>
      <c r="AH190" s="11">
        <v>14.994620837317401</v>
      </c>
      <c r="AI190" s="11">
        <v>18.102480574349102</v>
      </c>
      <c r="AJ190" s="11">
        <v>28.930100083017699</v>
      </c>
      <c r="AK190" s="16">
        <v>0.97184150622521204</v>
      </c>
      <c r="AL190" s="16">
        <v>1.9736753884909899</v>
      </c>
      <c r="AM190" s="26">
        <v>7.52225849162303E-3</v>
      </c>
      <c r="AN190" s="27">
        <v>1.4175749101114901E-2</v>
      </c>
      <c r="AO190" s="11">
        <v>8.2347717924880097</v>
      </c>
      <c r="AP190" s="11">
        <v>16.252766416673399</v>
      </c>
      <c r="AQ190" t="s">
        <v>5874</v>
      </c>
      <c r="AR190" t="s">
        <v>5878</v>
      </c>
      <c r="AS190" t="s">
        <v>3649</v>
      </c>
    </row>
    <row r="191" spans="1:45">
      <c r="A191" t="s">
        <v>1551</v>
      </c>
      <c r="B191" s="2">
        <v>7.6669999999999998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78.566999999999993</v>
      </c>
      <c r="K191" s="2">
        <v>19.530999999999999</v>
      </c>
      <c r="L191" s="2">
        <v>37.917000000000002</v>
      </c>
      <c r="M191" s="2">
        <v>16.201000000000001</v>
      </c>
      <c r="N191" s="2">
        <v>11.25</v>
      </c>
      <c r="O191" s="2">
        <v>3.4289999999999998</v>
      </c>
      <c r="P191" s="2">
        <v>19.5</v>
      </c>
      <c r="Q191" s="2">
        <v>11</v>
      </c>
      <c r="R191" s="2">
        <v>8.7140000000000004</v>
      </c>
      <c r="S191" s="2">
        <v>3.5</v>
      </c>
      <c r="T191" s="2">
        <v>12.794</v>
      </c>
      <c r="U191" s="11">
        <v>9.3296541479274193</v>
      </c>
      <c r="V191" s="11">
        <v>0.24076603016936199</v>
      </c>
      <c r="W191" s="11">
        <v>0.40019941545306398</v>
      </c>
      <c r="X191" s="11">
        <v>0.37798043978830698</v>
      </c>
      <c r="Y191" s="11">
        <v>0.215044089984223</v>
      </c>
      <c r="Z191" s="11">
        <v>0.23243181165987301</v>
      </c>
      <c r="AA191" s="11">
        <v>0.26351557071616</v>
      </c>
      <c r="AB191" s="11">
        <v>0.24329589949557701</v>
      </c>
      <c r="AC191" s="11">
        <v>62.4680018490536</v>
      </c>
      <c r="AD191" s="11">
        <v>23.901621617065999</v>
      </c>
      <c r="AE191" s="11">
        <v>12.960880441931</v>
      </c>
      <c r="AF191" s="11">
        <v>9.5659816265793296</v>
      </c>
      <c r="AG191" s="11">
        <v>17.916455033394701</v>
      </c>
      <c r="AH191" s="11">
        <v>8.6810962742363706</v>
      </c>
      <c r="AI191" s="11">
        <v>13.1242984164031</v>
      </c>
      <c r="AJ191" s="11">
        <v>19.489751634875098</v>
      </c>
      <c r="AK191" s="16">
        <v>3.85005500758355</v>
      </c>
      <c r="AL191" s="16">
        <v>14.8730214561183</v>
      </c>
      <c r="AM191" s="26">
        <v>7.7088820039046001E-8</v>
      </c>
      <c r="AN191" s="27">
        <v>5.4286758532759705E-7</v>
      </c>
      <c r="AO191" s="11">
        <v>1.4128609256492499</v>
      </c>
      <c r="AP191" s="11">
        <v>21.013510861692399</v>
      </c>
      <c r="AQ191" t="s">
        <v>5874</v>
      </c>
      <c r="AR191" t="s">
        <v>5876</v>
      </c>
      <c r="AS191" t="s">
        <v>1551</v>
      </c>
    </row>
    <row r="192" spans="1:45">
      <c r="A192" t="s">
        <v>1015</v>
      </c>
      <c r="B192" s="2">
        <v>6</v>
      </c>
      <c r="C192" s="2">
        <v>0</v>
      </c>
      <c r="D192" s="2">
        <v>0</v>
      </c>
      <c r="E192" s="2">
        <v>0</v>
      </c>
      <c r="F192" s="2">
        <v>0</v>
      </c>
      <c r="G192" s="2">
        <v>4</v>
      </c>
      <c r="H192" s="2">
        <v>0</v>
      </c>
      <c r="I192" s="2">
        <v>28</v>
      </c>
      <c r="J192" s="2">
        <v>17</v>
      </c>
      <c r="K192" s="2">
        <v>4</v>
      </c>
      <c r="L192" s="2">
        <v>51</v>
      </c>
      <c r="M192" s="2">
        <v>13</v>
      </c>
      <c r="N192" s="2">
        <v>13</v>
      </c>
      <c r="O192" s="2">
        <v>3</v>
      </c>
      <c r="P192" s="2">
        <v>34.292999999999999</v>
      </c>
      <c r="Q192" s="2">
        <v>35</v>
      </c>
      <c r="R192" s="2">
        <v>9</v>
      </c>
      <c r="S192" s="2">
        <v>5</v>
      </c>
      <c r="T192" s="2">
        <v>7</v>
      </c>
      <c r="U192" s="11">
        <v>7.2698603750083803</v>
      </c>
      <c r="V192" s="11">
        <v>0.24076603016936199</v>
      </c>
      <c r="W192" s="11">
        <v>0.40019941545306398</v>
      </c>
      <c r="X192" s="11">
        <v>0.37798043978830698</v>
      </c>
      <c r="Y192" s="11">
        <v>0.215044089984223</v>
      </c>
      <c r="Z192" s="11">
        <v>3.7189089865579601</v>
      </c>
      <c r="AA192" s="11">
        <v>0.26351557071616</v>
      </c>
      <c r="AB192" s="11">
        <v>27.249140743504601</v>
      </c>
      <c r="AC192" s="11">
        <v>13.5108909851643</v>
      </c>
      <c r="AD192" s="11">
        <v>32.163131991302599</v>
      </c>
      <c r="AE192" s="11">
        <v>10.400706527475499</v>
      </c>
      <c r="AF192" s="11">
        <v>11.0051116057992</v>
      </c>
      <c r="AG192" s="11">
        <v>31.5145850074584</v>
      </c>
      <c r="AH192" s="11">
        <v>27.621669963479398</v>
      </c>
      <c r="AI192" s="11">
        <v>13.576860430761799</v>
      </c>
      <c r="AJ192" s="11">
        <v>10.658457925322301</v>
      </c>
      <c r="AK192" s="16">
        <v>1.87390273725878</v>
      </c>
      <c r="AL192" s="16">
        <v>3.78633045536766</v>
      </c>
      <c r="AM192" s="26">
        <v>9.4846890146574499E-3</v>
      </c>
      <c r="AN192" s="27">
        <v>1.7528334118248199E-2</v>
      </c>
      <c r="AO192" s="11">
        <v>4.9669269563977503</v>
      </c>
      <c r="AP192" s="11">
        <v>18.8064268045954</v>
      </c>
      <c r="AQ192" t="s">
        <v>5874</v>
      </c>
      <c r="AR192" t="s">
        <v>5878</v>
      </c>
      <c r="AS192" t="s">
        <v>1015</v>
      </c>
    </row>
    <row r="193" spans="1:45">
      <c r="A193" t="s">
        <v>4267</v>
      </c>
      <c r="B193" s="2">
        <v>16</v>
      </c>
      <c r="C193" s="2">
        <v>8</v>
      </c>
      <c r="D193" s="2">
        <v>10</v>
      </c>
      <c r="E193" s="2">
        <v>6</v>
      </c>
      <c r="F193" s="2">
        <v>21</v>
      </c>
      <c r="G193" s="2">
        <v>28</v>
      </c>
      <c r="H193" s="2">
        <v>30</v>
      </c>
      <c r="I193" s="2">
        <v>22</v>
      </c>
      <c r="J193" s="2">
        <v>10</v>
      </c>
      <c r="K193" s="2">
        <v>3</v>
      </c>
      <c r="L193" s="2">
        <v>11</v>
      </c>
      <c r="M193" s="2">
        <v>10</v>
      </c>
      <c r="N193" s="2">
        <v>8</v>
      </c>
      <c r="O193" s="2">
        <v>2</v>
      </c>
      <c r="P193" s="2">
        <v>11</v>
      </c>
      <c r="Q193" s="2">
        <v>12</v>
      </c>
      <c r="R193" s="2">
        <v>8</v>
      </c>
      <c r="S193" s="2">
        <v>2</v>
      </c>
      <c r="T193" s="2">
        <v>9</v>
      </c>
      <c r="U193" s="11">
        <v>19.3862943333557</v>
      </c>
      <c r="V193" s="11">
        <v>7.7045129654195703</v>
      </c>
      <c r="W193" s="11">
        <v>16.007976618122601</v>
      </c>
      <c r="X193" s="11">
        <v>9.0715305549193808</v>
      </c>
      <c r="Y193" s="11">
        <v>18.0637035586747</v>
      </c>
      <c r="Z193" s="11">
        <v>26.032362905905799</v>
      </c>
      <c r="AA193" s="11">
        <v>31.621868485939199</v>
      </c>
      <c r="AB193" s="11">
        <v>21.410039155610701</v>
      </c>
      <c r="AC193" s="11">
        <v>7.9475829324495697</v>
      </c>
      <c r="AD193" s="11">
        <v>6.9371461157711396</v>
      </c>
      <c r="AE193" s="11">
        <v>8.0005434826734305</v>
      </c>
      <c r="AF193" s="11">
        <v>6.7723763727995303</v>
      </c>
      <c r="AG193" s="11">
        <v>10.1067182239663</v>
      </c>
      <c r="AH193" s="11">
        <v>9.4702868446214996</v>
      </c>
      <c r="AI193" s="11">
        <v>12.068320382899399</v>
      </c>
      <c r="AJ193" s="11">
        <v>13.7037316182716</v>
      </c>
      <c r="AK193" s="16">
        <v>-1.0363285938823701</v>
      </c>
      <c r="AL193" s="16">
        <v>-1.99046587422183</v>
      </c>
      <c r="AM193" s="26">
        <v>4.0531030979023596E-3</v>
      </c>
      <c r="AN193" s="27">
        <v>8.04607113500499E-3</v>
      </c>
      <c r="AO193" s="11">
        <v>18.6622860722435</v>
      </c>
      <c r="AP193" s="11">
        <v>9.3758382466815409</v>
      </c>
      <c r="AQ193" t="s">
        <v>5875</v>
      </c>
      <c r="AR193" t="s">
        <v>5876</v>
      </c>
      <c r="AS193" t="s">
        <v>4267</v>
      </c>
    </row>
    <row r="194" spans="1:45">
      <c r="A194" t="s">
        <v>4919</v>
      </c>
      <c r="B194" s="2">
        <v>11</v>
      </c>
      <c r="C194" s="2">
        <v>5</v>
      </c>
      <c r="D194" s="2">
        <v>7</v>
      </c>
      <c r="E194" s="2">
        <v>0</v>
      </c>
      <c r="F194" s="2">
        <v>5</v>
      </c>
      <c r="G194" s="2">
        <v>15</v>
      </c>
      <c r="H194" s="2">
        <v>19</v>
      </c>
      <c r="I194" s="2">
        <v>26</v>
      </c>
      <c r="J194" s="2">
        <v>10</v>
      </c>
      <c r="K194" s="2">
        <v>6</v>
      </c>
      <c r="L194" s="2">
        <v>14</v>
      </c>
      <c r="M194" s="2">
        <v>17</v>
      </c>
      <c r="N194" s="2">
        <v>16</v>
      </c>
      <c r="O194" s="2">
        <v>5</v>
      </c>
      <c r="P194" s="2">
        <v>13</v>
      </c>
      <c r="Q194" s="2">
        <v>22</v>
      </c>
      <c r="R194" s="2">
        <v>13</v>
      </c>
      <c r="S194" s="2">
        <v>7</v>
      </c>
      <c r="T194" s="2">
        <v>14</v>
      </c>
      <c r="U194" s="11">
        <v>13.328077354182</v>
      </c>
      <c r="V194" s="11">
        <v>4.8153206033872298</v>
      </c>
      <c r="W194" s="11">
        <v>11.2055836326858</v>
      </c>
      <c r="X194" s="11">
        <v>0.37798043978830698</v>
      </c>
      <c r="Y194" s="11">
        <v>4.3008817996844604</v>
      </c>
      <c r="Z194" s="11">
        <v>13.945908699592399</v>
      </c>
      <c r="AA194" s="11">
        <v>20.027183374428201</v>
      </c>
      <c r="AB194" s="11">
        <v>25.302773547539999</v>
      </c>
      <c r="AC194" s="11">
        <v>7.9475829324495697</v>
      </c>
      <c r="AD194" s="11">
        <v>8.8290950564359996</v>
      </c>
      <c r="AE194" s="11">
        <v>13.600923920544799</v>
      </c>
      <c r="AF194" s="11">
        <v>13.5447527455991</v>
      </c>
      <c r="AG194" s="11">
        <v>11.944303355596499</v>
      </c>
      <c r="AH194" s="11">
        <v>17.362192548472699</v>
      </c>
      <c r="AI194" s="11">
        <v>19.611020622211502</v>
      </c>
      <c r="AJ194" s="11">
        <v>21.316915850644602</v>
      </c>
      <c r="AK194" s="16">
        <v>0.25412776108153201</v>
      </c>
      <c r="AL194" s="16">
        <v>1.22349676881339</v>
      </c>
      <c r="AM194" s="26">
        <v>0.57056216939224003</v>
      </c>
      <c r="AN194" s="27">
        <v>0.64978349703476501</v>
      </c>
      <c r="AO194" s="11">
        <v>11.662963681411</v>
      </c>
      <c r="AP194" s="11">
        <v>14.269598378994401</v>
      </c>
      <c r="AQ194" t="s">
        <v>5874</v>
      </c>
      <c r="AR194" t="s">
        <v>5832</v>
      </c>
      <c r="AS194" t="s">
        <v>4919</v>
      </c>
    </row>
    <row r="195" spans="1:45">
      <c r="A195" t="s">
        <v>4656</v>
      </c>
      <c r="B195" s="2">
        <v>1</v>
      </c>
      <c r="C195" s="2">
        <v>5</v>
      </c>
      <c r="D195" s="2">
        <v>3</v>
      </c>
      <c r="E195" s="2">
        <v>3</v>
      </c>
      <c r="F195" s="2">
        <v>2</v>
      </c>
      <c r="G195" s="2">
        <v>11</v>
      </c>
      <c r="H195" s="2">
        <v>11</v>
      </c>
      <c r="I195" s="2">
        <v>10</v>
      </c>
      <c r="J195" s="2">
        <v>36</v>
      </c>
      <c r="K195" s="2">
        <v>6</v>
      </c>
      <c r="L195" s="2">
        <v>41</v>
      </c>
      <c r="M195" s="2">
        <v>34</v>
      </c>
      <c r="N195" s="2">
        <v>21</v>
      </c>
      <c r="O195" s="2">
        <v>6</v>
      </c>
      <c r="P195" s="2">
        <v>6</v>
      </c>
      <c r="Q195" s="2">
        <v>12</v>
      </c>
      <c r="R195" s="2">
        <v>9</v>
      </c>
      <c r="S195" s="2">
        <v>3</v>
      </c>
      <c r="T195" s="2">
        <v>4</v>
      </c>
      <c r="U195" s="11">
        <v>1.2116433958347299</v>
      </c>
      <c r="V195" s="11">
        <v>4.8153206033872298</v>
      </c>
      <c r="W195" s="11">
        <v>4.8023929854367697</v>
      </c>
      <c r="X195" s="11">
        <v>4.5357652774596904</v>
      </c>
      <c r="Y195" s="11">
        <v>1.72035271987378</v>
      </c>
      <c r="Z195" s="11">
        <v>10.226999713034401</v>
      </c>
      <c r="AA195" s="11">
        <v>11.594685111511</v>
      </c>
      <c r="AB195" s="11">
        <v>9.7318359798230603</v>
      </c>
      <c r="AC195" s="11">
        <v>28.6112985568185</v>
      </c>
      <c r="AD195" s="11">
        <v>25.856635522419701</v>
      </c>
      <c r="AE195" s="11">
        <v>27.201847841089702</v>
      </c>
      <c r="AF195" s="11">
        <v>17.777487978598799</v>
      </c>
      <c r="AG195" s="11">
        <v>5.5127553948906796</v>
      </c>
      <c r="AH195" s="11">
        <v>9.4702868446214996</v>
      </c>
      <c r="AI195" s="11">
        <v>13.576860430761799</v>
      </c>
      <c r="AJ195" s="11">
        <v>6.0905473858984696</v>
      </c>
      <c r="AK195" s="16">
        <v>1.4483341114997701</v>
      </c>
      <c r="AL195" s="16">
        <v>2.7570001762393002</v>
      </c>
      <c r="AM195" s="26">
        <v>2.2038174119191202E-3</v>
      </c>
      <c r="AN195" s="27">
        <v>4.5930026435323703E-3</v>
      </c>
      <c r="AO195" s="11">
        <v>6.0798744732950896</v>
      </c>
      <c r="AP195" s="11">
        <v>16.762214994387399</v>
      </c>
      <c r="AQ195" t="s">
        <v>5874</v>
      </c>
      <c r="AR195" t="s">
        <v>5876</v>
      </c>
      <c r="AS195" t="s">
        <v>4656</v>
      </c>
    </row>
    <row r="196" spans="1:45">
      <c r="A196" t="s">
        <v>3993</v>
      </c>
      <c r="B196" s="2">
        <v>0</v>
      </c>
      <c r="C196" s="2">
        <v>1</v>
      </c>
      <c r="D196" s="2">
        <v>0</v>
      </c>
      <c r="E196" s="2">
        <v>0</v>
      </c>
      <c r="F196" s="2">
        <v>0</v>
      </c>
      <c r="G196" s="2">
        <v>2</v>
      </c>
      <c r="H196" s="2">
        <v>0</v>
      </c>
      <c r="I196" s="2">
        <v>2</v>
      </c>
      <c r="J196" s="2">
        <v>19</v>
      </c>
      <c r="K196" s="2">
        <v>0</v>
      </c>
      <c r="L196" s="2">
        <v>52.631</v>
      </c>
      <c r="M196" s="2">
        <v>49</v>
      </c>
      <c r="N196" s="2">
        <v>24</v>
      </c>
      <c r="O196" s="2">
        <v>0</v>
      </c>
      <c r="P196" s="2">
        <v>36</v>
      </c>
      <c r="Q196" s="2">
        <v>34</v>
      </c>
      <c r="R196" s="2">
        <v>2</v>
      </c>
      <c r="S196" s="2">
        <v>0</v>
      </c>
      <c r="T196" s="2">
        <v>2</v>
      </c>
      <c r="U196" s="11">
        <v>0.30291084895868198</v>
      </c>
      <c r="V196" s="11">
        <v>0.96306412067744696</v>
      </c>
      <c r="W196" s="11">
        <v>0.40019941545306398</v>
      </c>
      <c r="X196" s="11">
        <v>0.37798043978830698</v>
      </c>
      <c r="Y196" s="11">
        <v>0.215044089984223</v>
      </c>
      <c r="Z196" s="11">
        <v>1.85945449327898</v>
      </c>
      <c r="AA196" s="11">
        <v>0.26351557071616</v>
      </c>
      <c r="AB196" s="11">
        <v>1.9463671959646101</v>
      </c>
      <c r="AC196" s="11">
        <v>15.1004075716542</v>
      </c>
      <c r="AD196" s="11">
        <v>33.1721714263238</v>
      </c>
      <c r="AE196" s="11">
        <v>39.202663065099799</v>
      </c>
      <c r="AF196" s="11">
        <v>20.317129118398601</v>
      </c>
      <c r="AG196" s="11">
        <v>33.0765323693441</v>
      </c>
      <c r="AH196" s="11">
        <v>26.8324793930942</v>
      </c>
      <c r="AI196" s="11">
        <v>3.0170800957248498</v>
      </c>
      <c r="AJ196" s="11">
        <v>3.0452736929492299</v>
      </c>
      <c r="AK196" s="16">
        <v>4.5321935355707303</v>
      </c>
      <c r="AL196" s="16">
        <v>27.457176815061899</v>
      </c>
      <c r="AM196" s="26">
        <v>2.0434843117974E-11</v>
      </c>
      <c r="AN196" s="27">
        <v>4.27215938935143E-10</v>
      </c>
      <c r="AO196" s="11">
        <v>0.79106702185268496</v>
      </c>
      <c r="AP196" s="11">
        <v>21.7204670915736</v>
      </c>
      <c r="AQ196" t="s">
        <v>5874</v>
      </c>
      <c r="AR196" t="s">
        <v>5876</v>
      </c>
      <c r="AS196" t="s">
        <v>3993</v>
      </c>
    </row>
    <row r="197" spans="1:45">
      <c r="A197" t="s">
        <v>4261</v>
      </c>
      <c r="B197" s="2">
        <v>17</v>
      </c>
      <c r="C197" s="2">
        <v>10</v>
      </c>
      <c r="D197" s="2">
        <v>7</v>
      </c>
      <c r="E197" s="2">
        <v>6</v>
      </c>
      <c r="F197" s="2">
        <v>8</v>
      </c>
      <c r="G197" s="2">
        <v>10</v>
      </c>
      <c r="H197" s="2">
        <v>19</v>
      </c>
      <c r="I197" s="2">
        <v>13</v>
      </c>
      <c r="J197" s="2">
        <v>12</v>
      </c>
      <c r="K197" s="2">
        <v>11</v>
      </c>
      <c r="L197" s="2">
        <v>8</v>
      </c>
      <c r="M197" s="2">
        <v>5</v>
      </c>
      <c r="N197" s="2">
        <v>18</v>
      </c>
      <c r="O197" s="2">
        <v>11</v>
      </c>
      <c r="P197" s="2">
        <v>24</v>
      </c>
      <c r="Q197" s="2">
        <v>7</v>
      </c>
      <c r="R197" s="2">
        <v>13</v>
      </c>
      <c r="S197" s="2">
        <v>13</v>
      </c>
      <c r="T197" s="2">
        <v>11</v>
      </c>
      <c r="U197" s="11">
        <v>20.597937729190399</v>
      </c>
      <c r="V197" s="11">
        <v>9.6306412067744702</v>
      </c>
      <c r="W197" s="11">
        <v>11.2055836326858</v>
      </c>
      <c r="X197" s="11">
        <v>9.0715305549193808</v>
      </c>
      <c r="Y197" s="11">
        <v>6.8814108794951396</v>
      </c>
      <c r="Z197" s="11">
        <v>9.2972724663949098</v>
      </c>
      <c r="AA197" s="11">
        <v>20.027183374428201</v>
      </c>
      <c r="AB197" s="11">
        <v>12.65138677377</v>
      </c>
      <c r="AC197" s="11">
        <v>9.53709951893949</v>
      </c>
      <c r="AD197" s="11">
        <v>5.0451971751062796</v>
      </c>
      <c r="AE197" s="11">
        <v>4.0002717413367099</v>
      </c>
      <c r="AF197" s="11">
        <v>15.2378468387989</v>
      </c>
      <c r="AG197" s="11">
        <v>22.0510215795627</v>
      </c>
      <c r="AH197" s="11">
        <v>5.5243339926958699</v>
      </c>
      <c r="AI197" s="11">
        <v>19.611020622211502</v>
      </c>
      <c r="AJ197" s="11">
        <v>16.749005311220799</v>
      </c>
      <c r="AK197" s="16">
        <v>-6.1230530619576E-2</v>
      </c>
      <c r="AL197" s="16">
        <v>-1.01644045561211</v>
      </c>
      <c r="AM197" s="26">
        <v>0.94143917511031605</v>
      </c>
      <c r="AN197" s="27">
        <v>0.96156153915847598</v>
      </c>
      <c r="AO197" s="11">
        <v>12.420368327207299</v>
      </c>
      <c r="AP197" s="11">
        <v>12.219474597484</v>
      </c>
      <c r="AQ197" t="s">
        <v>5875</v>
      </c>
      <c r="AR197" t="s">
        <v>5832</v>
      </c>
      <c r="AS197" t="s">
        <v>4261</v>
      </c>
    </row>
    <row r="198" spans="1:45">
      <c r="A198" t="s">
        <v>5217</v>
      </c>
      <c r="B198" s="2">
        <v>10</v>
      </c>
      <c r="C198" s="2">
        <v>8</v>
      </c>
      <c r="D198" s="2">
        <v>8</v>
      </c>
      <c r="E198" s="2">
        <v>0</v>
      </c>
      <c r="F198" s="2">
        <v>8</v>
      </c>
      <c r="G198" s="2">
        <v>11</v>
      </c>
      <c r="H198" s="2">
        <v>18</v>
      </c>
      <c r="I198" s="2">
        <v>19</v>
      </c>
      <c r="J198" s="2">
        <v>3</v>
      </c>
      <c r="K198" s="2">
        <v>5</v>
      </c>
      <c r="L198" s="2">
        <v>14</v>
      </c>
      <c r="M198" s="2">
        <v>22</v>
      </c>
      <c r="N198" s="2">
        <v>36</v>
      </c>
      <c r="O198" s="2">
        <v>8</v>
      </c>
      <c r="P198" s="2">
        <v>7</v>
      </c>
      <c r="Q198" s="2">
        <v>16</v>
      </c>
      <c r="R198" s="2">
        <v>10</v>
      </c>
      <c r="S198" s="2">
        <v>6</v>
      </c>
      <c r="T198" s="2">
        <v>13</v>
      </c>
      <c r="U198" s="11">
        <v>12.116433958347301</v>
      </c>
      <c r="V198" s="11">
        <v>7.7045129654195703</v>
      </c>
      <c r="W198" s="11">
        <v>12.806381294498101</v>
      </c>
      <c r="X198" s="11">
        <v>0.37798043978830698</v>
      </c>
      <c r="Y198" s="11">
        <v>6.8814108794951396</v>
      </c>
      <c r="Z198" s="11">
        <v>10.226999713034401</v>
      </c>
      <c r="AA198" s="11">
        <v>18.973121091563499</v>
      </c>
      <c r="AB198" s="11">
        <v>18.4904883616638</v>
      </c>
      <c r="AC198" s="11">
        <v>2.3842748797348698</v>
      </c>
      <c r="AD198" s="11">
        <v>8.8290950564359996</v>
      </c>
      <c r="AE198" s="11">
        <v>17.601195661881501</v>
      </c>
      <c r="AF198" s="11">
        <v>30.475693677597899</v>
      </c>
      <c r="AG198" s="11">
        <v>6.4315479607058004</v>
      </c>
      <c r="AH198" s="11">
        <v>12.627049126161999</v>
      </c>
      <c r="AI198" s="11">
        <v>15.0854004786242</v>
      </c>
      <c r="AJ198" s="11">
        <v>19.794279004170001</v>
      </c>
      <c r="AK198" s="16">
        <v>0.34702916069494399</v>
      </c>
      <c r="AL198" s="16">
        <v>1.2928978026751099</v>
      </c>
      <c r="AM198" s="26">
        <v>0.46683384109600801</v>
      </c>
      <c r="AN198" s="27">
        <v>0.54752488067127203</v>
      </c>
      <c r="AO198" s="11">
        <v>10.947166087976299</v>
      </c>
      <c r="AP198" s="11">
        <v>14.153566980663999</v>
      </c>
      <c r="AQ198" t="s">
        <v>5874</v>
      </c>
      <c r="AR198" t="s">
        <v>5832</v>
      </c>
      <c r="AS198" t="s">
        <v>5217</v>
      </c>
    </row>
    <row r="199" spans="1:45">
      <c r="A199" t="s">
        <v>3657</v>
      </c>
      <c r="B199" s="2">
        <v>2</v>
      </c>
      <c r="C199" s="2">
        <v>3</v>
      </c>
      <c r="D199" s="2">
        <v>3</v>
      </c>
      <c r="E199" s="2">
        <v>8</v>
      </c>
      <c r="F199" s="2">
        <v>2</v>
      </c>
      <c r="G199" s="2">
        <v>3</v>
      </c>
      <c r="H199" s="2">
        <v>1</v>
      </c>
      <c r="I199" s="2">
        <v>4</v>
      </c>
      <c r="J199" s="2">
        <v>9</v>
      </c>
      <c r="K199" s="2">
        <v>34</v>
      </c>
      <c r="L199" s="2">
        <v>9</v>
      </c>
      <c r="M199" s="2">
        <v>8</v>
      </c>
      <c r="N199" s="2">
        <v>31</v>
      </c>
      <c r="O199" s="2">
        <v>19</v>
      </c>
      <c r="P199" s="2">
        <v>25</v>
      </c>
      <c r="Q199" s="2">
        <v>14</v>
      </c>
      <c r="R199" s="2">
        <v>19</v>
      </c>
      <c r="S199" s="2">
        <v>9</v>
      </c>
      <c r="T199" s="2">
        <v>14</v>
      </c>
      <c r="U199" s="11">
        <v>2.4232867916694598</v>
      </c>
      <c r="V199" s="11">
        <v>2.8891923620323401</v>
      </c>
      <c r="W199" s="11">
        <v>4.8023929854367697</v>
      </c>
      <c r="X199" s="11">
        <v>12.0953740732258</v>
      </c>
      <c r="Y199" s="11">
        <v>1.72035271987378</v>
      </c>
      <c r="Z199" s="11">
        <v>2.7891817399184702</v>
      </c>
      <c r="AA199" s="11">
        <v>1.05406228286464</v>
      </c>
      <c r="AB199" s="11">
        <v>3.8927343919292201</v>
      </c>
      <c r="AC199" s="11">
        <v>7.1528246392046197</v>
      </c>
      <c r="AD199" s="11">
        <v>5.6758468219945701</v>
      </c>
      <c r="AE199" s="11">
        <v>6.4004347861387396</v>
      </c>
      <c r="AF199" s="11">
        <v>26.242958444598202</v>
      </c>
      <c r="AG199" s="11">
        <v>22.9698141453778</v>
      </c>
      <c r="AH199" s="11">
        <v>11.048667985391701</v>
      </c>
      <c r="AI199" s="11">
        <v>28.662260909385999</v>
      </c>
      <c r="AJ199" s="11">
        <v>21.316915850644602</v>
      </c>
      <c r="AK199" s="16">
        <v>2.0511741597704298</v>
      </c>
      <c r="AL199" s="16">
        <v>4.0885291190209498</v>
      </c>
      <c r="AM199" s="26">
        <v>8.4425715494598294E-5</v>
      </c>
      <c r="AN199" s="27">
        <v>2.43451739939165E-4</v>
      </c>
      <c r="AO199" s="11">
        <v>3.9583221683688201</v>
      </c>
      <c r="AP199" s="11">
        <v>16.183715447842001</v>
      </c>
      <c r="AQ199" t="s">
        <v>5874</v>
      </c>
      <c r="AR199" t="s">
        <v>5876</v>
      </c>
      <c r="AS199" t="s">
        <v>3657</v>
      </c>
    </row>
    <row r="200" spans="1:45">
      <c r="A200" t="s">
        <v>5502</v>
      </c>
      <c r="B200" s="2">
        <v>9</v>
      </c>
      <c r="C200" s="2">
        <v>3</v>
      </c>
      <c r="D200" s="2">
        <v>0</v>
      </c>
      <c r="E200" s="2">
        <v>1</v>
      </c>
      <c r="F200" s="2">
        <v>2</v>
      </c>
      <c r="G200" s="2">
        <v>8</v>
      </c>
      <c r="H200" s="2">
        <v>5</v>
      </c>
      <c r="I200" s="2">
        <v>10</v>
      </c>
      <c r="J200" s="2">
        <v>17</v>
      </c>
      <c r="K200" s="2">
        <v>19</v>
      </c>
      <c r="L200" s="2">
        <v>21</v>
      </c>
      <c r="M200" s="2">
        <v>15</v>
      </c>
      <c r="N200" s="2">
        <v>20</v>
      </c>
      <c r="O200" s="2">
        <v>13</v>
      </c>
      <c r="P200" s="2">
        <v>19</v>
      </c>
      <c r="Q200" s="2">
        <v>14</v>
      </c>
      <c r="R200" s="2">
        <v>9</v>
      </c>
      <c r="S200" s="2">
        <v>11</v>
      </c>
      <c r="T200" s="2">
        <v>17</v>
      </c>
      <c r="U200" s="11">
        <v>10.9047905625126</v>
      </c>
      <c r="V200" s="11">
        <v>2.8891923620323401</v>
      </c>
      <c r="W200" s="11">
        <v>0.40019941545306398</v>
      </c>
      <c r="X200" s="11">
        <v>1.5119217591532299</v>
      </c>
      <c r="Y200" s="11">
        <v>1.72035271987378</v>
      </c>
      <c r="Z200" s="11">
        <v>7.43781797311593</v>
      </c>
      <c r="AA200" s="11">
        <v>5.2703114143232002</v>
      </c>
      <c r="AB200" s="11">
        <v>9.7318359798230603</v>
      </c>
      <c r="AC200" s="11">
        <v>13.5108909851643</v>
      </c>
      <c r="AD200" s="11">
        <v>13.243642584653999</v>
      </c>
      <c r="AE200" s="11">
        <v>12.0008152240101</v>
      </c>
      <c r="AF200" s="11">
        <v>16.930940931998801</v>
      </c>
      <c r="AG200" s="11">
        <v>17.457058750487199</v>
      </c>
      <c r="AH200" s="11">
        <v>11.048667985391701</v>
      </c>
      <c r="AI200" s="11">
        <v>13.576860430761799</v>
      </c>
      <c r="AJ200" s="11">
        <v>25.884826390068501</v>
      </c>
      <c r="AK200" s="16">
        <v>1.5523255544569301</v>
      </c>
      <c r="AL200" s="16">
        <v>3.1017005414915202</v>
      </c>
      <c r="AM200" s="26">
        <v>1.44904601479413E-4</v>
      </c>
      <c r="AN200" s="27">
        <v>3.9247440643614301E-4</v>
      </c>
      <c r="AO200" s="11">
        <v>4.9833027732859003</v>
      </c>
      <c r="AP200" s="11">
        <v>15.456712910317099</v>
      </c>
      <c r="AQ200" t="s">
        <v>5874</v>
      </c>
      <c r="AR200" t="s">
        <v>5876</v>
      </c>
      <c r="AS200" t="s">
        <v>5502</v>
      </c>
    </row>
    <row r="201" spans="1:45">
      <c r="A201" t="s">
        <v>1114</v>
      </c>
      <c r="B201" s="2">
        <v>18</v>
      </c>
      <c r="C201" s="2">
        <v>11</v>
      </c>
      <c r="D201" s="2">
        <v>10</v>
      </c>
      <c r="E201" s="2">
        <v>2</v>
      </c>
      <c r="F201" s="2">
        <v>6</v>
      </c>
      <c r="G201" s="2">
        <v>13</v>
      </c>
      <c r="H201" s="2">
        <v>18</v>
      </c>
      <c r="I201" s="2">
        <v>20</v>
      </c>
      <c r="J201" s="2">
        <v>14</v>
      </c>
      <c r="K201" s="2">
        <v>3</v>
      </c>
      <c r="L201" s="2">
        <v>15</v>
      </c>
      <c r="M201" s="2">
        <v>12</v>
      </c>
      <c r="N201" s="2">
        <v>10</v>
      </c>
      <c r="O201" s="2">
        <v>2</v>
      </c>
      <c r="P201" s="2">
        <v>12</v>
      </c>
      <c r="Q201" s="2">
        <v>16</v>
      </c>
      <c r="R201" s="2">
        <v>16</v>
      </c>
      <c r="S201" s="2">
        <v>3</v>
      </c>
      <c r="T201" s="2">
        <v>11</v>
      </c>
      <c r="U201" s="11">
        <v>21.809581125025101</v>
      </c>
      <c r="V201" s="11">
        <v>10.5937053274519</v>
      </c>
      <c r="W201" s="11">
        <v>16.007976618122601</v>
      </c>
      <c r="X201" s="11">
        <v>3.0238435183064598</v>
      </c>
      <c r="Y201" s="11">
        <v>5.1610581596213496</v>
      </c>
      <c r="Z201" s="11">
        <v>12.0864542063134</v>
      </c>
      <c r="AA201" s="11">
        <v>18.973121091563499</v>
      </c>
      <c r="AB201" s="11">
        <v>19.463671959646099</v>
      </c>
      <c r="AC201" s="11">
        <v>11.126616105429401</v>
      </c>
      <c r="AD201" s="11">
        <v>9.4597447033242794</v>
      </c>
      <c r="AE201" s="11">
        <v>9.6006521792081099</v>
      </c>
      <c r="AF201" s="11">
        <v>8.4654704659994096</v>
      </c>
      <c r="AG201" s="11">
        <v>11.0255107897814</v>
      </c>
      <c r="AH201" s="11">
        <v>12.627049126161999</v>
      </c>
      <c r="AI201" s="11">
        <v>24.136640765798798</v>
      </c>
      <c r="AJ201" s="11">
        <v>16.749005311220799</v>
      </c>
      <c r="AK201" s="16">
        <v>-9.2946350239933695E-2</v>
      </c>
      <c r="AL201" s="16">
        <v>-1.0380724518867299</v>
      </c>
      <c r="AM201" s="26">
        <v>0.88381636218839199</v>
      </c>
      <c r="AN201" s="27">
        <v>0.91812600357769203</v>
      </c>
      <c r="AO201" s="11">
        <v>13.3899265007563</v>
      </c>
      <c r="AP201" s="11">
        <v>12.8988361808655</v>
      </c>
      <c r="AQ201" t="s">
        <v>5875</v>
      </c>
      <c r="AR201" t="s">
        <v>5832</v>
      </c>
      <c r="AS201" t="s">
        <v>1114</v>
      </c>
    </row>
    <row r="202" spans="1:45">
      <c r="A202" t="s">
        <v>4178</v>
      </c>
      <c r="B202" s="2">
        <v>6.375</v>
      </c>
      <c r="C202" s="2">
        <v>7.25</v>
      </c>
      <c r="D202" s="2">
        <v>0</v>
      </c>
      <c r="E202" s="2">
        <v>0</v>
      </c>
      <c r="F202" s="2">
        <v>8.2910000000000004</v>
      </c>
      <c r="G202" s="2">
        <v>14.8</v>
      </c>
      <c r="H202" s="2">
        <v>5.2270000000000003</v>
      </c>
      <c r="I202" s="2">
        <v>14.388999999999999</v>
      </c>
      <c r="J202" s="2">
        <v>20.696000000000002</v>
      </c>
      <c r="K202" s="2">
        <v>8</v>
      </c>
      <c r="L202" s="2">
        <v>21.739000000000001</v>
      </c>
      <c r="M202" s="2">
        <v>17.600000000000001</v>
      </c>
      <c r="N202" s="2">
        <v>17.111000000000001</v>
      </c>
      <c r="O202" s="2">
        <v>16.667000000000002</v>
      </c>
      <c r="P202" s="2">
        <v>18.529</v>
      </c>
      <c r="Q202" s="2">
        <v>10.385</v>
      </c>
      <c r="R202" s="2">
        <v>11.846</v>
      </c>
      <c r="S202" s="2">
        <v>4.8</v>
      </c>
      <c r="T202" s="2">
        <v>7.5380000000000003</v>
      </c>
      <c r="U202" s="11">
        <v>7.7545177333422703</v>
      </c>
      <c r="V202" s="11">
        <v>7.0303680809453599</v>
      </c>
      <c r="W202" s="11">
        <v>0.40019941545306398</v>
      </c>
      <c r="X202" s="11">
        <v>0.37798043978830698</v>
      </c>
      <c r="Y202" s="11">
        <v>7.1394637874762097</v>
      </c>
      <c r="Z202" s="11">
        <v>13.7599632502645</v>
      </c>
      <c r="AA202" s="11">
        <v>5.4811238708961296</v>
      </c>
      <c r="AB202" s="11">
        <v>14.0138438109452</v>
      </c>
      <c r="AC202" s="11">
        <v>16.451496670170599</v>
      </c>
      <c r="AD202" s="11">
        <v>13.685097337475799</v>
      </c>
      <c r="AE202" s="11">
        <v>14.080956529505199</v>
      </c>
      <c r="AF202" s="11">
        <v>14.475954496859</v>
      </c>
      <c r="AG202" s="11">
        <v>16.997662467579602</v>
      </c>
      <c r="AH202" s="11">
        <v>8.2075819320053007</v>
      </c>
      <c r="AI202" s="11">
        <v>17.800772564776601</v>
      </c>
      <c r="AJ202" s="11">
        <v>11.4197763485596</v>
      </c>
      <c r="AK202" s="16">
        <v>0.93401815095975405</v>
      </c>
      <c r="AL202" s="16">
        <v>2.0215230920119498</v>
      </c>
      <c r="AM202" s="26">
        <v>1.9545785831097399E-2</v>
      </c>
      <c r="AN202" s="27">
        <v>3.3788451475462999E-2</v>
      </c>
      <c r="AO202" s="11">
        <v>6.9946825486388802</v>
      </c>
      <c r="AP202" s="11">
        <v>14.1399122933665</v>
      </c>
      <c r="AQ202" t="s">
        <v>5874</v>
      </c>
      <c r="AR202" t="s">
        <v>5878</v>
      </c>
      <c r="AS202" t="s">
        <v>4178</v>
      </c>
    </row>
    <row r="203" spans="1:45">
      <c r="A203" t="s">
        <v>4648</v>
      </c>
      <c r="B203" s="2">
        <v>1</v>
      </c>
      <c r="C203" s="2">
        <v>2</v>
      </c>
      <c r="D203" s="2">
        <v>0</v>
      </c>
      <c r="E203" s="2">
        <v>0</v>
      </c>
      <c r="F203" s="2">
        <v>0</v>
      </c>
      <c r="G203" s="2">
        <v>2</v>
      </c>
      <c r="H203" s="2">
        <v>1</v>
      </c>
      <c r="I203" s="2">
        <v>1</v>
      </c>
      <c r="J203" s="2">
        <v>34</v>
      </c>
      <c r="K203" s="2">
        <v>8</v>
      </c>
      <c r="L203" s="2">
        <v>31</v>
      </c>
      <c r="M203" s="2">
        <v>17</v>
      </c>
      <c r="N203" s="2">
        <v>18</v>
      </c>
      <c r="O203" s="2">
        <v>3</v>
      </c>
      <c r="P203" s="2">
        <v>26</v>
      </c>
      <c r="Q203" s="2">
        <v>30</v>
      </c>
      <c r="R203" s="2">
        <v>9</v>
      </c>
      <c r="S203" s="2">
        <v>6</v>
      </c>
      <c r="T203" s="2">
        <v>21</v>
      </c>
      <c r="U203" s="11">
        <v>1.2116433958347299</v>
      </c>
      <c r="V203" s="11">
        <v>1.9261282413548899</v>
      </c>
      <c r="W203" s="11">
        <v>0.40019941545306398</v>
      </c>
      <c r="X203" s="11">
        <v>0.37798043978830698</v>
      </c>
      <c r="Y203" s="11">
        <v>0.215044089984223</v>
      </c>
      <c r="Z203" s="11">
        <v>1.85945449327898</v>
      </c>
      <c r="AA203" s="11">
        <v>1.05406228286464</v>
      </c>
      <c r="AB203" s="11">
        <v>0.97318359798230603</v>
      </c>
      <c r="AC203" s="11">
        <v>27.021781970328501</v>
      </c>
      <c r="AD203" s="11">
        <v>19.550139053536899</v>
      </c>
      <c r="AE203" s="11">
        <v>13.600923920544799</v>
      </c>
      <c r="AF203" s="11">
        <v>15.2378468387989</v>
      </c>
      <c r="AG203" s="11">
        <v>23.888606711192999</v>
      </c>
      <c r="AH203" s="11">
        <v>23.675717111553698</v>
      </c>
      <c r="AI203" s="11">
        <v>13.576860430761799</v>
      </c>
      <c r="AJ203" s="11">
        <v>31.975373775967</v>
      </c>
      <c r="AK203" s="16">
        <v>4.1722317239708504</v>
      </c>
      <c r="AL203" s="16">
        <v>21.0194114027476</v>
      </c>
      <c r="AM203" s="26">
        <v>2.80024401321353E-19</v>
      </c>
      <c r="AN203" s="27">
        <v>4.6834081120996399E-17</v>
      </c>
      <c r="AO203" s="11">
        <v>1.00221199456764</v>
      </c>
      <c r="AP203" s="11">
        <v>21.0659062265856</v>
      </c>
      <c r="AQ203" t="s">
        <v>5874</v>
      </c>
      <c r="AR203" t="s">
        <v>5876</v>
      </c>
      <c r="AS203" t="s">
        <v>4648</v>
      </c>
    </row>
    <row r="204" spans="1:45">
      <c r="A204" t="s">
        <v>2234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21.667000000000002</v>
      </c>
      <c r="I204" s="2">
        <v>8</v>
      </c>
      <c r="J204" s="2">
        <v>35.395000000000003</v>
      </c>
      <c r="K204" s="2">
        <v>8</v>
      </c>
      <c r="L204" s="2">
        <v>28.268000000000001</v>
      </c>
      <c r="M204" s="2">
        <v>16.309000000000001</v>
      </c>
      <c r="N204" s="2">
        <v>12.579000000000001</v>
      </c>
      <c r="O204" s="2">
        <v>8</v>
      </c>
      <c r="P204" s="2">
        <v>33.521000000000001</v>
      </c>
      <c r="Q204" s="2">
        <v>19.094999999999999</v>
      </c>
      <c r="R204" s="2">
        <v>5</v>
      </c>
      <c r="S204" s="2">
        <v>5</v>
      </c>
      <c r="T204" s="2">
        <v>8</v>
      </c>
      <c r="U204" s="11">
        <v>0.30291084895868198</v>
      </c>
      <c r="V204" s="11">
        <v>0.24076603016936199</v>
      </c>
      <c r="W204" s="11">
        <v>0.40019941545306398</v>
      </c>
      <c r="X204" s="11">
        <v>0.37798043978830698</v>
      </c>
      <c r="Y204" s="11">
        <v>0.215044089984223</v>
      </c>
      <c r="Z204" s="11">
        <v>0.23243181165987301</v>
      </c>
      <c r="AA204" s="11">
        <v>22.873151538162698</v>
      </c>
      <c r="AB204" s="11">
        <v>7.78546878385845</v>
      </c>
      <c r="AC204" s="11">
        <v>28.134443580871501</v>
      </c>
      <c r="AD204" s="11">
        <v>17.847385006938499</v>
      </c>
      <c r="AE204" s="11">
        <v>13.040885876757701</v>
      </c>
      <c r="AF204" s="11">
        <v>10.666492787159299</v>
      </c>
      <c r="AG204" s="11">
        <v>30.7795509548063</v>
      </c>
      <c r="AH204" s="11">
        <v>15.0735398943559</v>
      </c>
      <c r="AI204" s="11">
        <v>7.5427002393121096</v>
      </c>
      <c r="AJ204" s="11">
        <v>12.1810947717969</v>
      </c>
      <c r="AK204" s="16">
        <v>2.0099634061188101</v>
      </c>
      <c r="AL204" s="16">
        <v>4.1712806629221202</v>
      </c>
      <c r="AM204" s="26">
        <v>6.9052577604603697E-3</v>
      </c>
      <c r="AN204" s="27">
        <v>1.32747627636436E-2</v>
      </c>
      <c r="AO204" s="11">
        <v>4.0534941197543297</v>
      </c>
      <c r="AP204" s="11">
        <v>16.9082616389998</v>
      </c>
      <c r="AQ204" t="s">
        <v>5874</v>
      </c>
      <c r="AR204" t="s">
        <v>5878</v>
      </c>
      <c r="AS204" t="s">
        <v>2234</v>
      </c>
    </row>
    <row r="205" spans="1:45">
      <c r="A205" t="s">
        <v>1351</v>
      </c>
      <c r="B205" s="2">
        <v>6</v>
      </c>
      <c r="C205" s="2">
        <v>16</v>
      </c>
      <c r="D205" s="2">
        <v>8</v>
      </c>
      <c r="E205" s="2">
        <v>8</v>
      </c>
      <c r="F205" s="2">
        <v>18</v>
      </c>
      <c r="G205" s="2">
        <v>14</v>
      </c>
      <c r="H205" s="2">
        <v>8</v>
      </c>
      <c r="I205" s="2">
        <v>12</v>
      </c>
      <c r="J205" s="2">
        <v>17</v>
      </c>
      <c r="K205" s="2">
        <v>0</v>
      </c>
      <c r="L205" s="2">
        <v>31</v>
      </c>
      <c r="M205" s="2">
        <v>7</v>
      </c>
      <c r="N205" s="2">
        <v>13</v>
      </c>
      <c r="O205" s="2">
        <v>2</v>
      </c>
      <c r="P205" s="2">
        <v>23</v>
      </c>
      <c r="Q205" s="2">
        <v>11</v>
      </c>
      <c r="R205" s="2">
        <v>4</v>
      </c>
      <c r="S205" s="2">
        <v>1</v>
      </c>
      <c r="T205" s="2">
        <v>9</v>
      </c>
      <c r="U205" s="11">
        <v>7.2698603750083803</v>
      </c>
      <c r="V205" s="11">
        <v>15.4090259308391</v>
      </c>
      <c r="W205" s="11">
        <v>12.806381294498101</v>
      </c>
      <c r="X205" s="11">
        <v>12.0953740732258</v>
      </c>
      <c r="Y205" s="11">
        <v>15.4831744788641</v>
      </c>
      <c r="Z205" s="11">
        <v>13.0161814529529</v>
      </c>
      <c r="AA205" s="11">
        <v>8.4324982629171306</v>
      </c>
      <c r="AB205" s="11">
        <v>11.678203175787701</v>
      </c>
      <c r="AC205" s="11">
        <v>13.5108909851643</v>
      </c>
      <c r="AD205" s="11">
        <v>19.550139053536899</v>
      </c>
      <c r="AE205" s="11">
        <v>5.6003804378713999</v>
      </c>
      <c r="AF205" s="11">
        <v>11.0051116057992</v>
      </c>
      <c r="AG205" s="11">
        <v>21.132229013747601</v>
      </c>
      <c r="AH205" s="11">
        <v>8.6810962742363706</v>
      </c>
      <c r="AI205" s="11">
        <v>6.0341601914496898</v>
      </c>
      <c r="AJ205" s="11">
        <v>13.7037316182716</v>
      </c>
      <c r="AK205" s="16">
        <v>5.4646897026862797E-2</v>
      </c>
      <c r="AL205" s="16">
        <v>1.03146915622888</v>
      </c>
      <c r="AM205" s="26">
        <v>0.93016244763593003</v>
      </c>
      <c r="AN205" s="27">
        <v>0.95687611984778798</v>
      </c>
      <c r="AO205" s="11">
        <v>12.023837380511599</v>
      </c>
      <c r="AP205" s="11">
        <v>12.402217397509601</v>
      </c>
      <c r="AQ205" t="s">
        <v>5874</v>
      </c>
      <c r="AR205" t="s">
        <v>5832</v>
      </c>
      <c r="AS205" t="s">
        <v>1351</v>
      </c>
    </row>
    <row r="206" spans="1:45">
      <c r="A206" t="s">
        <v>2970</v>
      </c>
      <c r="B206" s="2">
        <v>2</v>
      </c>
      <c r="C206" s="2">
        <v>3</v>
      </c>
      <c r="D206" s="2">
        <v>3</v>
      </c>
      <c r="E206" s="2">
        <v>0</v>
      </c>
      <c r="F206" s="2">
        <v>2</v>
      </c>
      <c r="G206" s="2">
        <v>4</v>
      </c>
      <c r="H206" s="2">
        <v>4</v>
      </c>
      <c r="I206" s="2">
        <v>12</v>
      </c>
      <c r="J206" s="2">
        <v>67</v>
      </c>
      <c r="K206" s="2">
        <v>4</v>
      </c>
      <c r="L206" s="2">
        <v>22</v>
      </c>
      <c r="M206" s="2">
        <v>16</v>
      </c>
      <c r="N206" s="2">
        <v>10</v>
      </c>
      <c r="O206" s="2">
        <v>5</v>
      </c>
      <c r="P206" s="2">
        <v>13</v>
      </c>
      <c r="Q206" s="2">
        <v>15</v>
      </c>
      <c r="R206" s="2">
        <v>10</v>
      </c>
      <c r="S206" s="2">
        <v>4</v>
      </c>
      <c r="T206" s="2">
        <v>12</v>
      </c>
      <c r="U206" s="11">
        <v>2.4232867916694598</v>
      </c>
      <c r="V206" s="11">
        <v>2.8891923620323401</v>
      </c>
      <c r="W206" s="11">
        <v>4.8023929854367697</v>
      </c>
      <c r="X206" s="11">
        <v>0.37798043978830698</v>
      </c>
      <c r="Y206" s="11">
        <v>1.72035271987378</v>
      </c>
      <c r="Z206" s="11">
        <v>3.7189089865579601</v>
      </c>
      <c r="AA206" s="11">
        <v>4.21624913145856</v>
      </c>
      <c r="AB206" s="11">
        <v>11.678203175787701</v>
      </c>
      <c r="AC206" s="11">
        <v>53.248805647412098</v>
      </c>
      <c r="AD206" s="11">
        <v>13.874292231542301</v>
      </c>
      <c r="AE206" s="11">
        <v>12.800869572277501</v>
      </c>
      <c r="AF206" s="11">
        <v>8.4654704659994096</v>
      </c>
      <c r="AG206" s="11">
        <v>11.944303355596499</v>
      </c>
      <c r="AH206" s="11">
        <v>11.837858555776901</v>
      </c>
      <c r="AI206" s="11">
        <v>15.0854004786242</v>
      </c>
      <c r="AJ206" s="11">
        <v>18.2716421576954</v>
      </c>
      <c r="AK206" s="16">
        <v>2.1393785710759001</v>
      </c>
      <c r="AL206" s="16">
        <v>4.5725523688357601</v>
      </c>
      <c r="AM206" s="26">
        <v>2.9758540561877299E-5</v>
      </c>
      <c r="AN206" s="27">
        <v>9.4352908226995002E-5</v>
      </c>
      <c r="AO206" s="11">
        <v>3.9783208240756101</v>
      </c>
      <c r="AP206" s="11">
        <v>18.191080308115499</v>
      </c>
      <c r="AQ206" t="s">
        <v>5874</v>
      </c>
      <c r="AR206" t="s">
        <v>5876</v>
      </c>
      <c r="AS206" t="s">
        <v>2970</v>
      </c>
    </row>
    <row r="207" spans="1:45">
      <c r="A207" t="s">
        <v>4319</v>
      </c>
      <c r="B207" s="2">
        <v>9</v>
      </c>
      <c r="C207" s="2">
        <v>13</v>
      </c>
      <c r="D207" s="2">
        <v>6</v>
      </c>
      <c r="E207" s="2">
        <v>7</v>
      </c>
      <c r="F207" s="2">
        <v>11</v>
      </c>
      <c r="G207" s="2">
        <v>9</v>
      </c>
      <c r="H207" s="2">
        <v>9</v>
      </c>
      <c r="I207" s="2">
        <v>7</v>
      </c>
      <c r="J207" s="2">
        <v>6</v>
      </c>
      <c r="K207" s="2">
        <v>19</v>
      </c>
      <c r="L207" s="2">
        <v>16</v>
      </c>
      <c r="M207" s="2">
        <v>10</v>
      </c>
      <c r="N207" s="2">
        <v>11</v>
      </c>
      <c r="O207" s="2">
        <v>22</v>
      </c>
      <c r="P207" s="2">
        <v>10</v>
      </c>
      <c r="Q207" s="2">
        <v>10</v>
      </c>
      <c r="R207" s="2">
        <v>13</v>
      </c>
      <c r="S207" s="2">
        <v>5</v>
      </c>
      <c r="T207" s="2">
        <v>15</v>
      </c>
      <c r="U207" s="11">
        <v>10.9047905625126</v>
      </c>
      <c r="V207" s="11">
        <v>12.519833568806799</v>
      </c>
      <c r="W207" s="11">
        <v>9.6047859708735501</v>
      </c>
      <c r="X207" s="11">
        <v>10.5834523140726</v>
      </c>
      <c r="Y207" s="11">
        <v>9.4619399593058091</v>
      </c>
      <c r="Z207" s="11">
        <v>8.3675452197554208</v>
      </c>
      <c r="AA207" s="11">
        <v>9.4865605457817708</v>
      </c>
      <c r="AB207" s="11">
        <v>6.8122851858761404</v>
      </c>
      <c r="AC207" s="11">
        <v>4.7685497594697397</v>
      </c>
      <c r="AD207" s="11">
        <v>10.0903943502126</v>
      </c>
      <c r="AE207" s="11">
        <v>8.0005434826734305</v>
      </c>
      <c r="AF207" s="11">
        <v>9.3120175125993505</v>
      </c>
      <c r="AG207" s="11">
        <v>9.1879256581511406</v>
      </c>
      <c r="AH207" s="11">
        <v>7.8919057038512497</v>
      </c>
      <c r="AI207" s="11">
        <v>19.611020622211502</v>
      </c>
      <c r="AJ207" s="11">
        <v>22.839552697119299</v>
      </c>
      <c r="AK207" s="16">
        <v>0.16223767193340599</v>
      </c>
      <c r="AL207" s="16">
        <v>1.1795793949365301</v>
      </c>
      <c r="AM207" s="26">
        <v>0.57978516554583304</v>
      </c>
      <c r="AN207" s="27">
        <v>0.65741741652569796</v>
      </c>
      <c r="AO207" s="11">
        <v>9.7176491658730804</v>
      </c>
      <c r="AP207" s="11">
        <v>11.462738723286</v>
      </c>
      <c r="AQ207" t="s">
        <v>5874</v>
      </c>
      <c r="AR207" t="s">
        <v>5832</v>
      </c>
      <c r="AS207" t="s">
        <v>4319</v>
      </c>
    </row>
    <row r="208" spans="1:45">
      <c r="A208" t="s">
        <v>5588</v>
      </c>
      <c r="B208" s="2">
        <v>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30</v>
      </c>
      <c r="K208" s="2">
        <v>10</v>
      </c>
      <c r="L208" s="2">
        <v>38</v>
      </c>
      <c r="M208" s="2">
        <v>15</v>
      </c>
      <c r="N208" s="2">
        <v>19</v>
      </c>
      <c r="O208" s="2">
        <v>7</v>
      </c>
      <c r="P208" s="2">
        <v>26</v>
      </c>
      <c r="Q208" s="2">
        <v>20</v>
      </c>
      <c r="R208" s="2">
        <v>14</v>
      </c>
      <c r="S208" s="2">
        <v>1</v>
      </c>
      <c r="T208" s="2">
        <v>21</v>
      </c>
      <c r="U208" s="11">
        <v>7.2698603750083803</v>
      </c>
      <c r="V208" s="11">
        <v>0.24076603016936199</v>
      </c>
      <c r="W208" s="11">
        <v>0.40019941545306398</v>
      </c>
      <c r="X208" s="11">
        <v>0.37798043978830698</v>
      </c>
      <c r="Y208" s="11">
        <v>0.215044089984223</v>
      </c>
      <c r="Z208" s="11">
        <v>0.23243181165987301</v>
      </c>
      <c r="AA208" s="11">
        <v>0.26351557071616</v>
      </c>
      <c r="AB208" s="11">
        <v>0.24329589949557701</v>
      </c>
      <c r="AC208" s="11">
        <v>23.842748797348701</v>
      </c>
      <c r="AD208" s="11">
        <v>23.964686581754901</v>
      </c>
      <c r="AE208" s="11">
        <v>12.0008152240101</v>
      </c>
      <c r="AF208" s="11">
        <v>16.084393885398899</v>
      </c>
      <c r="AG208" s="11">
        <v>23.888606711192999</v>
      </c>
      <c r="AH208" s="11">
        <v>15.783811407702499</v>
      </c>
      <c r="AI208" s="11">
        <v>21.119560670073898</v>
      </c>
      <c r="AJ208" s="11">
        <v>31.975373775967</v>
      </c>
      <c r="AK208" s="16">
        <v>4.1339348865051804</v>
      </c>
      <c r="AL208" s="16">
        <v>18.2471371343165</v>
      </c>
      <c r="AM208" s="26">
        <v>2.2850404702630001E-14</v>
      </c>
      <c r="AN208" s="27">
        <v>1.0191280497373001E-12</v>
      </c>
      <c r="AO208" s="11">
        <v>1.1553867040343699</v>
      </c>
      <c r="AP208" s="11">
        <v>21.082499631681099</v>
      </c>
      <c r="AQ208" t="s">
        <v>5874</v>
      </c>
      <c r="AR208" t="s">
        <v>5876</v>
      </c>
      <c r="AS208" t="s">
        <v>5588</v>
      </c>
    </row>
    <row r="209" spans="1:45">
      <c r="A209" t="s">
        <v>716</v>
      </c>
      <c r="B209" s="2">
        <v>2</v>
      </c>
      <c r="C209" s="2">
        <v>10</v>
      </c>
      <c r="D209" s="2">
        <v>7</v>
      </c>
      <c r="E209" s="2">
        <v>19</v>
      </c>
      <c r="F209" s="2">
        <v>3</v>
      </c>
      <c r="G209" s="2">
        <v>3</v>
      </c>
      <c r="H209" s="2">
        <v>1</v>
      </c>
      <c r="I209" s="2">
        <v>7</v>
      </c>
      <c r="J209" s="2">
        <v>1</v>
      </c>
      <c r="K209" s="2">
        <v>28</v>
      </c>
      <c r="L209" s="2">
        <v>8</v>
      </c>
      <c r="M209" s="2">
        <v>3</v>
      </c>
      <c r="N209" s="2">
        <v>20</v>
      </c>
      <c r="O209" s="2">
        <v>32</v>
      </c>
      <c r="P209" s="2">
        <v>16</v>
      </c>
      <c r="Q209" s="2">
        <v>7</v>
      </c>
      <c r="R209" s="2">
        <v>13</v>
      </c>
      <c r="S209" s="2">
        <v>11</v>
      </c>
      <c r="T209" s="2">
        <v>15</v>
      </c>
      <c r="U209" s="11">
        <v>2.4232867916694598</v>
      </c>
      <c r="V209" s="11">
        <v>9.6306412067744702</v>
      </c>
      <c r="W209" s="11">
        <v>11.2055836326858</v>
      </c>
      <c r="X209" s="11">
        <v>28.726513423911399</v>
      </c>
      <c r="Y209" s="11">
        <v>2.5805290798106801</v>
      </c>
      <c r="Z209" s="11">
        <v>2.7891817399184702</v>
      </c>
      <c r="AA209" s="11">
        <v>1.05406228286464</v>
      </c>
      <c r="AB209" s="11">
        <v>6.8122851858761404</v>
      </c>
      <c r="AC209" s="11">
        <v>0.79475829324495695</v>
      </c>
      <c r="AD209" s="11">
        <v>5.0451971751062796</v>
      </c>
      <c r="AE209" s="11">
        <v>2.4001630448020301</v>
      </c>
      <c r="AF209" s="11">
        <v>16.930940931998801</v>
      </c>
      <c r="AG209" s="11">
        <v>14.7006810530418</v>
      </c>
      <c r="AH209" s="11">
        <v>5.5243339926958699</v>
      </c>
      <c r="AI209" s="11">
        <v>19.611020622211502</v>
      </c>
      <c r="AJ209" s="11">
        <v>22.839552697119299</v>
      </c>
      <c r="AK209" s="16">
        <v>0.431238075850708</v>
      </c>
      <c r="AL209" s="16">
        <v>1.3468850319845</v>
      </c>
      <c r="AM209" s="26">
        <v>0.51855785359276696</v>
      </c>
      <c r="AN209" s="27">
        <v>0.59916270130148697</v>
      </c>
      <c r="AO209" s="11">
        <v>8.1527604179388806</v>
      </c>
      <c r="AP209" s="11">
        <v>10.9808309762776</v>
      </c>
      <c r="AQ209" t="s">
        <v>5874</v>
      </c>
      <c r="AR209" t="s">
        <v>5832</v>
      </c>
      <c r="AS209" t="s">
        <v>716</v>
      </c>
    </row>
    <row r="210" spans="1:45">
      <c r="A210" t="s">
        <v>1297</v>
      </c>
      <c r="B210" s="2">
        <v>9</v>
      </c>
      <c r="C210" s="2">
        <v>3</v>
      </c>
      <c r="D210" s="2">
        <v>12</v>
      </c>
      <c r="E210" s="2">
        <v>2</v>
      </c>
      <c r="F210" s="2">
        <v>4</v>
      </c>
      <c r="G210" s="2">
        <v>11</v>
      </c>
      <c r="H210" s="2">
        <v>21</v>
      </c>
      <c r="I210" s="2">
        <v>27</v>
      </c>
      <c r="J210" s="2">
        <v>10</v>
      </c>
      <c r="K210" s="2">
        <v>5</v>
      </c>
      <c r="L210" s="2">
        <v>11</v>
      </c>
      <c r="M210" s="2">
        <v>18</v>
      </c>
      <c r="N210" s="2">
        <v>9</v>
      </c>
      <c r="O210" s="2">
        <v>5</v>
      </c>
      <c r="P210" s="2">
        <v>11</v>
      </c>
      <c r="Q210" s="2">
        <v>17</v>
      </c>
      <c r="R210" s="2">
        <v>13</v>
      </c>
      <c r="S210" s="2">
        <v>4</v>
      </c>
      <c r="T210" s="2">
        <v>13</v>
      </c>
      <c r="U210" s="11">
        <v>10.9047905625126</v>
      </c>
      <c r="V210" s="11">
        <v>2.8891923620323401</v>
      </c>
      <c r="W210" s="11">
        <v>19.2095719417471</v>
      </c>
      <c r="X210" s="11">
        <v>3.0238435183064598</v>
      </c>
      <c r="Y210" s="11">
        <v>3.4407054397475698</v>
      </c>
      <c r="Z210" s="11">
        <v>10.226999713034401</v>
      </c>
      <c r="AA210" s="11">
        <v>22.135307940157499</v>
      </c>
      <c r="AB210" s="11">
        <v>26.275957145522302</v>
      </c>
      <c r="AC210" s="11">
        <v>7.9475829324495697</v>
      </c>
      <c r="AD210" s="11">
        <v>6.9371461157711396</v>
      </c>
      <c r="AE210" s="11">
        <v>14.400978268812199</v>
      </c>
      <c r="AF210" s="11">
        <v>7.6189234193994704</v>
      </c>
      <c r="AG210" s="11">
        <v>10.1067182239663</v>
      </c>
      <c r="AH210" s="11">
        <v>13.4162396965471</v>
      </c>
      <c r="AI210" s="11">
        <v>19.611020622211502</v>
      </c>
      <c r="AJ210" s="11">
        <v>19.794279004170001</v>
      </c>
      <c r="AK210" s="16">
        <v>-9.4933340509654996E-4</v>
      </c>
      <c r="AL210" s="16">
        <v>1.01759844630373</v>
      </c>
      <c r="AM210" s="26">
        <v>1</v>
      </c>
      <c r="AN210" s="27">
        <v>1</v>
      </c>
      <c r="AO210" s="11">
        <v>12.263296077882501</v>
      </c>
      <c r="AP210" s="11">
        <v>12.479111035415899</v>
      </c>
      <c r="AQ210" t="s">
        <v>5874</v>
      </c>
      <c r="AR210" t="s">
        <v>5832</v>
      </c>
      <c r="AS210" t="s">
        <v>1297</v>
      </c>
    </row>
    <row r="211" spans="1:45">
      <c r="A211" t="s">
        <v>4210</v>
      </c>
      <c r="B211" s="2">
        <v>9</v>
      </c>
      <c r="C211" s="2">
        <v>14</v>
      </c>
      <c r="D211" s="2">
        <v>11</v>
      </c>
      <c r="E211" s="2">
        <v>14</v>
      </c>
      <c r="F211" s="2">
        <v>13</v>
      </c>
      <c r="G211" s="2">
        <v>18</v>
      </c>
      <c r="H211" s="2">
        <v>6</v>
      </c>
      <c r="I211" s="2">
        <v>26</v>
      </c>
      <c r="J211" s="2">
        <v>24</v>
      </c>
      <c r="K211" s="2">
        <v>3</v>
      </c>
      <c r="L211" s="2">
        <v>19</v>
      </c>
      <c r="M211" s="2">
        <v>5</v>
      </c>
      <c r="N211" s="2">
        <v>10</v>
      </c>
      <c r="O211" s="2">
        <v>4</v>
      </c>
      <c r="P211" s="2">
        <v>16</v>
      </c>
      <c r="Q211" s="2">
        <v>9</v>
      </c>
      <c r="R211" s="2">
        <v>2</v>
      </c>
      <c r="S211" s="2">
        <v>1</v>
      </c>
      <c r="T211" s="2">
        <v>1</v>
      </c>
      <c r="U211" s="11">
        <v>10.9047905625126</v>
      </c>
      <c r="V211" s="11">
        <v>13.4828976894843</v>
      </c>
      <c r="W211" s="11">
        <v>17.608774279934799</v>
      </c>
      <c r="X211" s="11">
        <v>21.1669046281452</v>
      </c>
      <c r="Y211" s="11">
        <v>11.1822926791796</v>
      </c>
      <c r="Z211" s="11">
        <v>16.735090439510799</v>
      </c>
      <c r="AA211" s="11">
        <v>6.3243736971878404</v>
      </c>
      <c r="AB211" s="11">
        <v>25.302773547539999</v>
      </c>
      <c r="AC211" s="11">
        <v>19.074199037879001</v>
      </c>
      <c r="AD211" s="11">
        <v>11.982343290877401</v>
      </c>
      <c r="AE211" s="11">
        <v>4.0002717413367099</v>
      </c>
      <c r="AF211" s="11">
        <v>8.4654704659994096</v>
      </c>
      <c r="AG211" s="11">
        <v>14.7006810530418</v>
      </c>
      <c r="AH211" s="11">
        <v>7.1027151334661296</v>
      </c>
      <c r="AI211" s="11">
        <v>3.0170800957248498</v>
      </c>
      <c r="AJ211" s="11">
        <v>1.5226368464746201</v>
      </c>
      <c r="AK211" s="16">
        <v>-0.74786364060343202</v>
      </c>
      <c r="AL211" s="16">
        <v>-1.7563472280258501</v>
      </c>
      <c r="AM211" s="26">
        <v>6.9118515700730604E-2</v>
      </c>
      <c r="AN211" s="27">
        <v>0.102756193341753</v>
      </c>
      <c r="AO211" s="11">
        <v>15.338487190436901</v>
      </c>
      <c r="AP211" s="11">
        <v>8.7331747080999893</v>
      </c>
      <c r="AQ211" t="s">
        <v>5875</v>
      </c>
      <c r="AR211" t="s">
        <v>5832</v>
      </c>
      <c r="AS211" t="s">
        <v>4210</v>
      </c>
    </row>
    <row r="212" spans="1:45">
      <c r="A212" t="s">
        <v>2611</v>
      </c>
      <c r="B212" s="2">
        <v>5</v>
      </c>
      <c r="C212" s="2">
        <v>0</v>
      </c>
      <c r="D212" s="2">
        <v>1</v>
      </c>
      <c r="E212" s="2">
        <v>0</v>
      </c>
      <c r="F212" s="2">
        <v>3</v>
      </c>
      <c r="G212" s="2">
        <v>4</v>
      </c>
      <c r="H212" s="2">
        <v>2</v>
      </c>
      <c r="I212" s="2">
        <v>3</v>
      </c>
      <c r="J212" s="2">
        <v>28.773</v>
      </c>
      <c r="K212" s="2">
        <v>1</v>
      </c>
      <c r="L212" s="2">
        <v>24.318000000000001</v>
      </c>
      <c r="M212" s="2">
        <v>20.773</v>
      </c>
      <c r="N212" s="2">
        <v>38.545000000000002</v>
      </c>
      <c r="O212" s="2">
        <v>2</v>
      </c>
      <c r="P212" s="2">
        <v>15.773</v>
      </c>
      <c r="Q212" s="2">
        <v>32.773000000000003</v>
      </c>
      <c r="R212" s="2">
        <v>8</v>
      </c>
      <c r="S212" s="2">
        <v>4.2869999999999999</v>
      </c>
      <c r="T212" s="2">
        <v>10</v>
      </c>
      <c r="U212" s="11">
        <v>6.0582169791736504</v>
      </c>
      <c r="V212" s="11">
        <v>0.24076603016936199</v>
      </c>
      <c r="W212" s="11">
        <v>1.6007976618122599</v>
      </c>
      <c r="X212" s="11">
        <v>0.37798043978830698</v>
      </c>
      <c r="Y212" s="11">
        <v>2.5805290798106801</v>
      </c>
      <c r="Z212" s="11">
        <v>3.7189089865579601</v>
      </c>
      <c r="AA212" s="11">
        <v>2.10812456572928</v>
      </c>
      <c r="AB212" s="11">
        <v>2.9195507939469199</v>
      </c>
      <c r="AC212" s="11">
        <v>22.889038845454799</v>
      </c>
      <c r="AD212" s="11">
        <v>15.324786419385299</v>
      </c>
      <c r="AE212" s="11">
        <v>16.641130443960702</v>
      </c>
      <c r="AF212" s="11">
        <v>32.592061294097697</v>
      </c>
      <c r="AG212" s="11">
        <v>14.5169225398788</v>
      </c>
      <c r="AH212" s="11">
        <v>25.885450708632099</v>
      </c>
      <c r="AI212" s="11">
        <v>12.068320382899399</v>
      </c>
      <c r="AJ212" s="11">
        <v>15.2263684647462</v>
      </c>
      <c r="AK212" s="16">
        <v>2.9100671313956399</v>
      </c>
      <c r="AL212" s="16">
        <v>7.9135461339650801</v>
      </c>
      <c r="AM212" s="26">
        <v>6.1938319910693999E-12</v>
      </c>
      <c r="AN212" s="27">
        <v>1.3366689038791699E-10</v>
      </c>
      <c r="AO212" s="11">
        <v>2.4506093171235501</v>
      </c>
      <c r="AP212" s="11">
        <v>19.393009887381901</v>
      </c>
      <c r="AQ212" t="s">
        <v>5874</v>
      </c>
      <c r="AR212" t="s">
        <v>5876</v>
      </c>
      <c r="AS212" t="s">
        <v>2611</v>
      </c>
    </row>
    <row r="213" spans="1:45">
      <c r="A213" t="s">
        <v>2478</v>
      </c>
      <c r="B213" s="2">
        <v>8</v>
      </c>
      <c r="C213" s="2">
        <v>7</v>
      </c>
      <c r="D213" s="2">
        <v>2</v>
      </c>
      <c r="E213" s="2">
        <v>4</v>
      </c>
      <c r="F213" s="2">
        <v>6</v>
      </c>
      <c r="G213" s="2">
        <v>14</v>
      </c>
      <c r="H213" s="2">
        <v>9</v>
      </c>
      <c r="I213" s="2">
        <v>27.891999999999999</v>
      </c>
      <c r="J213" s="2">
        <v>23</v>
      </c>
      <c r="K213" s="2">
        <v>4.8</v>
      </c>
      <c r="L213" s="2">
        <v>24.545000000000002</v>
      </c>
      <c r="M213" s="2">
        <v>14</v>
      </c>
      <c r="N213" s="2">
        <v>16.614999999999998</v>
      </c>
      <c r="O213" s="2">
        <v>6.6669999999999998</v>
      </c>
      <c r="P213" s="2">
        <v>8.5</v>
      </c>
      <c r="Q213" s="2">
        <v>13</v>
      </c>
      <c r="R213" s="2">
        <v>6</v>
      </c>
      <c r="S213" s="2">
        <v>1</v>
      </c>
      <c r="T213" s="2">
        <v>7</v>
      </c>
      <c r="U213" s="11">
        <v>9.6931471666778304</v>
      </c>
      <c r="V213" s="11">
        <v>6.7414488447421297</v>
      </c>
      <c r="W213" s="11">
        <v>3.2015953236245198</v>
      </c>
      <c r="X213" s="11">
        <v>6.0476870366129196</v>
      </c>
      <c r="Y213" s="11">
        <v>5.1610581596213496</v>
      </c>
      <c r="Z213" s="11">
        <v>13.0161814529529</v>
      </c>
      <c r="AA213" s="11">
        <v>9.4865605457817708</v>
      </c>
      <c r="AB213" s="11">
        <v>27.1518223837063</v>
      </c>
      <c r="AC213" s="11">
        <v>18.279440744634002</v>
      </c>
      <c r="AD213" s="11">
        <v>15.450916348763</v>
      </c>
      <c r="AE213" s="11">
        <v>11.2007608757428</v>
      </c>
      <c r="AF213" s="11">
        <v>14.052680973558999</v>
      </c>
      <c r="AG213" s="11">
        <v>7.80973680942847</v>
      </c>
      <c r="AH213" s="11">
        <v>10.2594774150066</v>
      </c>
      <c r="AI213" s="11">
        <v>9.0512402871745401</v>
      </c>
      <c r="AJ213" s="11">
        <v>10.658457925322301</v>
      </c>
      <c r="AK213" s="16">
        <v>0.249425140599488</v>
      </c>
      <c r="AL213" s="16">
        <v>1.20202871174744</v>
      </c>
      <c r="AM213" s="26">
        <v>0.533775912076626</v>
      </c>
      <c r="AN213" s="27">
        <v>0.61462321029133005</v>
      </c>
      <c r="AO213" s="11">
        <v>10.062437614215</v>
      </c>
      <c r="AP213" s="11">
        <v>12.0953389224538</v>
      </c>
      <c r="AQ213" t="s">
        <v>5874</v>
      </c>
      <c r="AR213" t="s">
        <v>5832</v>
      </c>
      <c r="AS213" t="s">
        <v>2478</v>
      </c>
    </row>
    <row r="214" spans="1:45">
      <c r="A214" t="s">
        <v>628</v>
      </c>
      <c r="B214" s="2">
        <v>3</v>
      </c>
      <c r="C214" s="2">
        <v>5</v>
      </c>
      <c r="D214" s="2">
        <v>1</v>
      </c>
      <c r="E214" s="2">
        <v>2</v>
      </c>
      <c r="F214" s="2">
        <v>7</v>
      </c>
      <c r="G214" s="2">
        <v>13</v>
      </c>
      <c r="H214" s="2">
        <v>13</v>
      </c>
      <c r="I214" s="2">
        <v>18</v>
      </c>
      <c r="J214" s="2">
        <v>25</v>
      </c>
      <c r="K214" s="2">
        <v>2</v>
      </c>
      <c r="L214" s="2">
        <v>26</v>
      </c>
      <c r="M214" s="2">
        <v>13</v>
      </c>
      <c r="N214" s="2">
        <v>19</v>
      </c>
      <c r="O214" s="2">
        <v>2</v>
      </c>
      <c r="P214" s="2">
        <v>25</v>
      </c>
      <c r="Q214" s="2">
        <v>12</v>
      </c>
      <c r="R214" s="2">
        <v>7</v>
      </c>
      <c r="S214" s="2">
        <v>3</v>
      </c>
      <c r="T214" s="2">
        <v>7</v>
      </c>
      <c r="U214" s="11">
        <v>3.6349301875041902</v>
      </c>
      <c r="V214" s="11">
        <v>4.8153206033872298</v>
      </c>
      <c r="W214" s="11">
        <v>1.6007976618122599</v>
      </c>
      <c r="X214" s="11">
        <v>3.0238435183064598</v>
      </c>
      <c r="Y214" s="11">
        <v>6.0212345195582504</v>
      </c>
      <c r="Z214" s="11">
        <v>12.0864542063134</v>
      </c>
      <c r="AA214" s="11">
        <v>13.7028096772403</v>
      </c>
      <c r="AB214" s="11">
        <v>17.517304763681501</v>
      </c>
      <c r="AC214" s="11">
        <v>19.868957331123902</v>
      </c>
      <c r="AD214" s="11">
        <v>16.3968908190954</v>
      </c>
      <c r="AE214" s="11">
        <v>10.400706527475499</v>
      </c>
      <c r="AF214" s="11">
        <v>16.084393885398899</v>
      </c>
      <c r="AG214" s="11">
        <v>22.9698141453778</v>
      </c>
      <c r="AH214" s="11">
        <v>9.4702868446214996</v>
      </c>
      <c r="AI214" s="11">
        <v>10.559780335037001</v>
      </c>
      <c r="AJ214" s="11">
        <v>10.658457925322301</v>
      </c>
      <c r="AK214" s="16">
        <v>0.85435038519448403</v>
      </c>
      <c r="AL214" s="16">
        <v>1.8654528871931899</v>
      </c>
      <c r="AM214" s="26">
        <v>3.6658286265982797E-2</v>
      </c>
      <c r="AN214" s="27">
        <v>5.8811495232476099E-2</v>
      </c>
      <c r="AO214" s="11">
        <v>7.8003368922254497</v>
      </c>
      <c r="AP214" s="11">
        <v>14.5511609766815</v>
      </c>
      <c r="AQ214" t="s">
        <v>5874</v>
      </c>
      <c r="AR214" t="s">
        <v>5877</v>
      </c>
      <c r="AS214" t="s">
        <v>628</v>
      </c>
    </row>
    <row r="215" spans="1:45">
      <c r="A215" t="s">
        <v>2996</v>
      </c>
      <c r="B215" s="2">
        <v>28</v>
      </c>
      <c r="C215" s="2">
        <v>22</v>
      </c>
      <c r="D215" s="2">
        <v>35</v>
      </c>
      <c r="E215" s="2">
        <v>17</v>
      </c>
      <c r="F215" s="2">
        <v>25</v>
      </c>
      <c r="G215" s="2">
        <v>16</v>
      </c>
      <c r="H215" s="2">
        <v>12</v>
      </c>
      <c r="I215" s="2">
        <v>4</v>
      </c>
      <c r="J215" s="2">
        <v>3</v>
      </c>
      <c r="K215" s="2">
        <v>0</v>
      </c>
      <c r="L215" s="2">
        <v>3</v>
      </c>
      <c r="M215" s="2">
        <v>6</v>
      </c>
      <c r="N215" s="2">
        <v>4</v>
      </c>
      <c r="O215" s="2">
        <v>0</v>
      </c>
      <c r="P215" s="2">
        <v>2</v>
      </c>
      <c r="Q215" s="2">
        <v>21</v>
      </c>
      <c r="R215" s="2">
        <v>2</v>
      </c>
      <c r="S215" s="2">
        <v>1</v>
      </c>
      <c r="T215" s="2">
        <v>1</v>
      </c>
      <c r="U215" s="11">
        <v>33.926015083372398</v>
      </c>
      <c r="V215" s="11">
        <v>21.1874106549038</v>
      </c>
      <c r="W215" s="11">
        <v>56.027918163429</v>
      </c>
      <c r="X215" s="11">
        <v>25.7026699056049</v>
      </c>
      <c r="Y215" s="11">
        <v>21.504408998422299</v>
      </c>
      <c r="Z215" s="11">
        <v>14.875635946231901</v>
      </c>
      <c r="AA215" s="11">
        <v>12.6487473943757</v>
      </c>
      <c r="AB215" s="11">
        <v>3.8927343919292201</v>
      </c>
      <c r="AC215" s="11">
        <v>2.3842748797348698</v>
      </c>
      <c r="AD215" s="11">
        <v>1.89194894066486</v>
      </c>
      <c r="AE215" s="11">
        <v>4.8003260896040603</v>
      </c>
      <c r="AF215" s="11">
        <v>3.3861881863997598</v>
      </c>
      <c r="AG215" s="11">
        <v>1.8375851316302301</v>
      </c>
      <c r="AH215" s="11">
        <v>16.5730019780876</v>
      </c>
      <c r="AI215" s="11">
        <v>3.0170800957248498</v>
      </c>
      <c r="AJ215" s="11">
        <v>1.5226368464746201</v>
      </c>
      <c r="AK215" s="16">
        <v>-2.33932356347055</v>
      </c>
      <c r="AL215" s="16">
        <v>-5.3586342495928996</v>
      </c>
      <c r="AM215" s="26">
        <v>2.5872502607919299E-5</v>
      </c>
      <c r="AN215" s="27">
        <v>8.3642076234186806E-5</v>
      </c>
      <c r="AO215" s="11">
        <v>23.720692567283699</v>
      </c>
      <c r="AP215" s="11">
        <v>4.4266302685401104</v>
      </c>
      <c r="AQ215" t="s">
        <v>5875</v>
      </c>
      <c r="AR215" t="s">
        <v>5876</v>
      </c>
      <c r="AS215" t="s">
        <v>2996</v>
      </c>
    </row>
    <row r="216" spans="1:45">
      <c r="A216" t="s">
        <v>3156</v>
      </c>
      <c r="B216" s="2">
        <v>13.846</v>
      </c>
      <c r="C216" s="2">
        <v>11.25</v>
      </c>
      <c r="D216" s="2">
        <v>12.308</v>
      </c>
      <c r="E216" s="2">
        <v>9.0670000000000002</v>
      </c>
      <c r="F216" s="2">
        <v>13.061999999999999</v>
      </c>
      <c r="G216" s="2">
        <v>7.8570000000000002</v>
      </c>
      <c r="H216" s="2">
        <v>22.786000000000001</v>
      </c>
      <c r="I216" s="2">
        <v>37.384999999999998</v>
      </c>
      <c r="J216" s="2">
        <v>6</v>
      </c>
      <c r="K216" s="2">
        <v>0</v>
      </c>
      <c r="L216" s="2">
        <v>16.332999999999998</v>
      </c>
      <c r="M216" s="2">
        <v>14</v>
      </c>
      <c r="N216" s="2">
        <v>2</v>
      </c>
      <c r="O216" s="2">
        <v>1</v>
      </c>
      <c r="P216" s="2">
        <v>11.429</v>
      </c>
      <c r="Q216" s="2">
        <v>9</v>
      </c>
      <c r="R216" s="2">
        <v>7</v>
      </c>
      <c r="S216" s="2">
        <v>3.75</v>
      </c>
      <c r="T216" s="2">
        <v>3.5</v>
      </c>
      <c r="U216" s="11">
        <v>16.7206788625193</v>
      </c>
      <c r="V216" s="11">
        <v>10.882624563655099</v>
      </c>
      <c r="W216" s="11">
        <v>19.689811240290801</v>
      </c>
      <c r="X216" s="11">
        <v>13.7584880082944</v>
      </c>
      <c r="Y216" s="11">
        <v>11.2683103151733</v>
      </c>
      <c r="Z216" s="11">
        <v>7.3448452484519802</v>
      </c>
      <c r="AA216" s="11">
        <v>24.032620049313799</v>
      </c>
      <c r="AB216" s="11">
        <v>36.3970665645382</v>
      </c>
      <c r="AC216" s="11">
        <v>4.7685497594697397</v>
      </c>
      <c r="AD216" s="11">
        <v>10.2795892442791</v>
      </c>
      <c r="AE216" s="11">
        <v>11.2007608757428</v>
      </c>
      <c r="AF216" s="11">
        <v>1.6930940931998799</v>
      </c>
      <c r="AG216" s="11">
        <v>10.474235250292301</v>
      </c>
      <c r="AH216" s="11">
        <v>7.1027151334661296</v>
      </c>
      <c r="AI216" s="11">
        <v>10.559780335037001</v>
      </c>
      <c r="AJ216" s="11">
        <v>5.3292289626611602</v>
      </c>
      <c r="AK216" s="16">
        <v>-1.1737885541164199</v>
      </c>
      <c r="AL216" s="16">
        <v>-2.2813729576669202</v>
      </c>
      <c r="AM216" s="26">
        <v>4.0766510698610403E-3</v>
      </c>
      <c r="AN216" s="27">
        <v>8.0688744548433004E-3</v>
      </c>
      <c r="AO216" s="11">
        <v>17.511805606529599</v>
      </c>
      <c r="AP216" s="11">
        <v>7.6759942067685003</v>
      </c>
      <c r="AQ216" t="s">
        <v>5875</v>
      </c>
      <c r="AR216" t="s">
        <v>5876</v>
      </c>
      <c r="AS216" t="s">
        <v>3156</v>
      </c>
    </row>
    <row r="217" spans="1:45">
      <c r="A217" t="s">
        <v>3271</v>
      </c>
      <c r="B217" s="2">
        <v>8.5</v>
      </c>
      <c r="C217" s="2">
        <v>12</v>
      </c>
      <c r="D217" s="2">
        <v>7.6</v>
      </c>
      <c r="E217" s="2">
        <v>24.667000000000002</v>
      </c>
      <c r="F217" s="2">
        <v>30</v>
      </c>
      <c r="G217" s="2">
        <v>19</v>
      </c>
      <c r="H217" s="2">
        <v>0</v>
      </c>
      <c r="I217" s="2">
        <v>0</v>
      </c>
      <c r="J217" s="2">
        <v>1.5</v>
      </c>
      <c r="K217" s="2">
        <v>0</v>
      </c>
      <c r="L217" s="2">
        <v>32.308</v>
      </c>
      <c r="M217" s="2">
        <v>18</v>
      </c>
      <c r="N217" s="2">
        <v>0</v>
      </c>
      <c r="O217" s="2">
        <v>0</v>
      </c>
      <c r="P217" s="2">
        <v>11</v>
      </c>
      <c r="Q217" s="2">
        <v>19.167000000000002</v>
      </c>
      <c r="R217" s="2">
        <v>5.5</v>
      </c>
      <c r="S217" s="2">
        <v>2</v>
      </c>
      <c r="T217" s="2">
        <v>10</v>
      </c>
      <c r="U217" s="11">
        <v>10.298968864595199</v>
      </c>
      <c r="V217" s="11">
        <v>11.556769448129399</v>
      </c>
      <c r="W217" s="11">
        <v>12.1660622297732</v>
      </c>
      <c r="X217" s="11">
        <v>37.344467451084803</v>
      </c>
      <c r="Y217" s="11">
        <v>25.8052907981068</v>
      </c>
      <c r="Z217" s="11">
        <v>17.6648176861503</v>
      </c>
      <c r="AA217" s="11">
        <v>0.26351557071616</v>
      </c>
      <c r="AB217" s="11">
        <v>0.24329589949557701</v>
      </c>
      <c r="AC217" s="11">
        <v>1.19213743986744</v>
      </c>
      <c r="AD217" s="11">
        <v>20.3699835944916</v>
      </c>
      <c r="AE217" s="11">
        <v>14.400978268812199</v>
      </c>
      <c r="AF217" s="11">
        <v>0.21163676164998499</v>
      </c>
      <c r="AG217" s="11">
        <v>10.1067182239663</v>
      </c>
      <c r="AH217" s="11">
        <v>15.152458951394401</v>
      </c>
      <c r="AI217" s="11">
        <v>8.2969702632433204</v>
      </c>
      <c r="AJ217" s="11">
        <v>15.2263684647462</v>
      </c>
      <c r="AK217" s="16">
        <v>-0.42885858120349502</v>
      </c>
      <c r="AL217" s="16">
        <v>-1.3576614741642501</v>
      </c>
      <c r="AM217" s="26">
        <v>0.55514894607268594</v>
      </c>
      <c r="AN217" s="27">
        <v>0.63486264089337896</v>
      </c>
      <c r="AO217" s="11">
        <v>14.417898493506399</v>
      </c>
      <c r="AP217" s="11">
        <v>10.619656496021401</v>
      </c>
      <c r="AQ217" t="s">
        <v>5875</v>
      </c>
      <c r="AR217" t="s">
        <v>5832</v>
      </c>
      <c r="AS217" t="s">
        <v>3271</v>
      </c>
    </row>
    <row r="218" spans="1:45">
      <c r="A218" t="s">
        <v>2071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40</v>
      </c>
      <c r="K218" s="2">
        <v>8</v>
      </c>
      <c r="L218" s="2">
        <v>30</v>
      </c>
      <c r="M218" s="2">
        <v>1</v>
      </c>
      <c r="N218" s="2">
        <v>19</v>
      </c>
      <c r="O218" s="2">
        <v>4</v>
      </c>
      <c r="P218" s="2">
        <v>55</v>
      </c>
      <c r="Q218" s="2">
        <v>28</v>
      </c>
      <c r="R218" s="2">
        <v>2</v>
      </c>
      <c r="S218" s="2">
        <v>1</v>
      </c>
      <c r="T218" s="2">
        <v>12</v>
      </c>
      <c r="U218" s="11">
        <v>0.30291084895868198</v>
      </c>
      <c r="V218" s="11">
        <v>0.24076603016936199</v>
      </c>
      <c r="W218" s="11">
        <v>0.40019941545306398</v>
      </c>
      <c r="X218" s="11">
        <v>0.37798043978830698</v>
      </c>
      <c r="Y218" s="11">
        <v>0.215044089984223</v>
      </c>
      <c r="Z218" s="11">
        <v>0.23243181165987301</v>
      </c>
      <c r="AA218" s="11">
        <v>0.26351557071616</v>
      </c>
      <c r="AB218" s="11">
        <v>0.24329589949557701</v>
      </c>
      <c r="AC218" s="11">
        <v>31.7903317297983</v>
      </c>
      <c r="AD218" s="11">
        <v>18.919489406648601</v>
      </c>
      <c r="AE218" s="11">
        <v>0.80005434826734301</v>
      </c>
      <c r="AF218" s="11">
        <v>16.084393885398899</v>
      </c>
      <c r="AG218" s="11">
        <v>50.5335911198313</v>
      </c>
      <c r="AH218" s="11">
        <v>22.097335970783501</v>
      </c>
      <c r="AI218" s="11">
        <v>3.0170800957248498</v>
      </c>
      <c r="AJ218" s="11">
        <v>18.2716421576954</v>
      </c>
      <c r="AK218" s="16">
        <v>5.68702220400034</v>
      </c>
      <c r="AL218" s="16">
        <v>70.959443328920997</v>
      </c>
      <c r="AM218" s="26">
        <v>3.8215300221774799E-11</v>
      </c>
      <c r="AN218" s="27">
        <v>7.3045816709620996E-10</v>
      </c>
      <c r="AO218" s="11">
        <v>0.28451801327815601</v>
      </c>
      <c r="AP218" s="11">
        <v>20.189239839268499</v>
      </c>
      <c r="AQ218" t="s">
        <v>5874</v>
      </c>
      <c r="AR218" t="s">
        <v>5876</v>
      </c>
      <c r="AS218" t="s">
        <v>2071</v>
      </c>
    </row>
    <row r="219" spans="1:45">
      <c r="A219" t="s">
        <v>3534</v>
      </c>
      <c r="B219" s="2">
        <v>11</v>
      </c>
      <c r="C219" s="2">
        <v>16</v>
      </c>
      <c r="D219" s="2">
        <v>7</v>
      </c>
      <c r="E219" s="2">
        <v>9</v>
      </c>
      <c r="F219" s="2">
        <v>41</v>
      </c>
      <c r="G219" s="2">
        <v>24.888999999999999</v>
      </c>
      <c r="H219" s="2">
        <v>10</v>
      </c>
      <c r="I219" s="2">
        <v>20.908999999999999</v>
      </c>
      <c r="J219" s="2">
        <v>5</v>
      </c>
      <c r="K219" s="2">
        <v>0</v>
      </c>
      <c r="L219" s="2">
        <v>11</v>
      </c>
      <c r="M219" s="2">
        <v>7</v>
      </c>
      <c r="N219" s="2">
        <v>12</v>
      </c>
      <c r="O219" s="2">
        <v>0</v>
      </c>
      <c r="P219" s="2">
        <v>7</v>
      </c>
      <c r="Q219" s="2">
        <v>9</v>
      </c>
      <c r="R219" s="2">
        <v>1</v>
      </c>
      <c r="S219" s="2">
        <v>2</v>
      </c>
      <c r="T219" s="2">
        <v>5</v>
      </c>
      <c r="U219" s="11">
        <v>13.328077354182</v>
      </c>
      <c r="V219" s="11">
        <v>15.4090259308391</v>
      </c>
      <c r="W219" s="11">
        <v>11.2055836326858</v>
      </c>
      <c r="X219" s="11">
        <v>13.6072958323791</v>
      </c>
      <c r="Y219" s="11">
        <v>35.267230757412598</v>
      </c>
      <c r="Z219" s="11">
        <v>23.150208441323301</v>
      </c>
      <c r="AA219" s="11">
        <v>10.5406228286464</v>
      </c>
      <c r="AB219" s="11">
        <v>20.3395371978302</v>
      </c>
      <c r="AC219" s="11">
        <v>3.9737914662247902</v>
      </c>
      <c r="AD219" s="11">
        <v>6.9371461157711396</v>
      </c>
      <c r="AE219" s="11">
        <v>5.6003804378713999</v>
      </c>
      <c r="AF219" s="11">
        <v>10.1585645591993</v>
      </c>
      <c r="AG219" s="11">
        <v>6.4315479607058004</v>
      </c>
      <c r="AH219" s="11">
        <v>7.1027151334661296</v>
      </c>
      <c r="AI219" s="11">
        <v>1.50854004786242</v>
      </c>
      <c r="AJ219" s="11">
        <v>7.6131842323730803</v>
      </c>
      <c r="AK219" s="16">
        <v>-1.5141664466211899</v>
      </c>
      <c r="AL219" s="16">
        <v>-2.89599721424148</v>
      </c>
      <c r="AM219" s="26">
        <v>5.3089765594711697E-5</v>
      </c>
      <c r="AN219" s="27">
        <v>1.60710647886254E-4</v>
      </c>
      <c r="AO219" s="11">
        <v>17.8559477469123</v>
      </c>
      <c r="AP219" s="11">
        <v>6.1657337441842603</v>
      </c>
      <c r="AQ219" t="s">
        <v>5875</v>
      </c>
      <c r="AR219" t="s">
        <v>5876</v>
      </c>
      <c r="AS219" t="s">
        <v>3534</v>
      </c>
    </row>
    <row r="220" spans="1:45">
      <c r="A220" t="s">
        <v>4879</v>
      </c>
      <c r="B220" s="2">
        <v>10</v>
      </c>
      <c r="C220" s="2">
        <v>7</v>
      </c>
      <c r="D220" s="2">
        <v>4</v>
      </c>
      <c r="E220" s="2">
        <v>6</v>
      </c>
      <c r="F220" s="2">
        <v>13</v>
      </c>
      <c r="G220" s="2">
        <v>23</v>
      </c>
      <c r="H220" s="2">
        <v>19</v>
      </c>
      <c r="I220" s="2">
        <v>19</v>
      </c>
      <c r="J220" s="2">
        <v>9</v>
      </c>
      <c r="K220" s="2">
        <v>3</v>
      </c>
      <c r="L220" s="2">
        <v>18</v>
      </c>
      <c r="M220" s="2">
        <v>11</v>
      </c>
      <c r="N220" s="2">
        <v>7</v>
      </c>
      <c r="O220" s="2">
        <v>0</v>
      </c>
      <c r="P220" s="2">
        <v>13</v>
      </c>
      <c r="Q220" s="2">
        <v>15</v>
      </c>
      <c r="R220" s="2">
        <v>8</v>
      </c>
      <c r="S220" s="2">
        <v>4</v>
      </c>
      <c r="T220" s="2">
        <v>9</v>
      </c>
      <c r="U220" s="11">
        <v>12.116433958347301</v>
      </c>
      <c r="V220" s="11">
        <v>6.7414488447421297</v>
      </c>
      <c r="W220" s="11">
        <v>6.4031906472490299</v>
      </c>
      <c r="X220" s="11">
        <v>9.0715305549193808</v>
      </c>
      <c r="Y220" s="11">
        <v>11.1822926791796</v>
      </c>
      <c r="Z220" s="11">
        <v>21.383726672708299</v>
      </c>
      <c r="AA220" s="11">
        <v>20.027183374428201</v>
      </c>
      <c r="AB220" s="11">
        <v>18.4904883616638</v>
      </c>
      <c r="AC220" s="11">
        <v>7.1528246392046197</v>
      </c>
      <c r="AD220" s="11">
        <v>11.351693643989099</v>
      </c>
      <c r="AE220" s="11">
        <v>8.8005978309407702</v>
      </c>
      <c r="AF220" s="11">
        <v>5.9258293261995796</v>
      </c>
      <c r="AG220" s="11">
        <v>11.944303355596499</v>
      </c>
      <c r="AH220" s="11">
        <v>11.837858555776901</v>
      </c>
      <c r="AI220" s="11">
        <v>12.068320382899399</v>
      </c>
      <c r="AJ220" s="11">
        <v>13.7037316182716</v>
      </c>
      <c r="AK220" s="16">
        <v>-0.39129264810489001</v>
      </c>
      <c r="AL220" s="16">
        <v>-1.27337189319033</v>
      </c>
      <c r="AM220" s="26">
        <v>0.31656228747362702</v>
      </c>
      <c r="AN220" s="27">
        <v>0.39585078564459197</v>
      </c>
      <c r="AO220" s="11">
        <v>13.177036886654699</v>
      </c>
      <c r="AP220" s="11">
        <v>10.348144919109799</v>
      </c>
      <c r="AQ220" t="s">
        <v>5875</v>
      </c>
      <c r="AR220" t="s">
        <v>5832</v>
      </c>
      <c r="AS220" t="s">
        <v>4879</v>
      </c>
    </row>
    <row r="221" spans="1:45">
      <c r="A221" t="s">
        <v>3294</v>
      </c>
      <c r="B221" s="2">
        <v>13</v>
      </c>
      <c r="C221" s="2">
        <v>17</v>
      </c>
      <c r="D221" s="2">
        <v>4</v>
      </c>
      <c r="E221" s="2">
        <v>8</v>
      </c>
      <c r="F221" s="2">
        <v>15</v>
      </c>
      <c r="G221" s="2">
        <v>14</v>
      </c>
      <c r="H221" s="2">
        <v>16</v>
      </c>
      <c r="I221" s="2">
        <v>19</v>
      </c>
      <c r="J221" s="2">
        <v>2</v>
      </c>
      <c r="K221" s="2">
        <v>0</v>
      </c>
      <c r="L221" s="2">
        <v>19</v>
      </c>
      <c r="M221" s="2">
        <v>24</v>
      </c>
      <c r="N221" s="2">
        <v>17</v>
      </c>
      <c r="O221" s="2">
        <v>2</v>
      </c>
      <c r="P221" s="2">
        <v>9</v>
      </c>
      <c r="Q221" s="2">
        <v>16</v>
      </c>
      <c r="R221" s="2">
        <v>1</v>
      </c>
      <c r="S221" s="2">
        <v>0</v>
      </c>
      <c r="T221" s="2">
        <v>1</v>
      </c>
      <c r="U221" s="11">
        <v>15.7513641458515</v>
      </c>
      <c r="V221" s="11">
        <v>16.372090051516601</v>
      </c>
      <c r="W221" s="11">
        <v>6.4031906472490299</v>
      </c>
      <c r="X221" s="11">
        <v>12.0953740732258</v>
      </c>
      <c r="Y221" s="11">
        <v>12.9026453990534</v>
      </c>
      <c r="Z221" s="11">
        <v>13.0161814529529</v>
      </c>
      <c r="AA221" s="11">
        <v>16.8649965258343</v>
      </c>
      <c r="AB221" s="11">
        <v>18.4904883616638</v>
      </c>
      <c r="AC221" s="11">
        <v>1.5895165864899099</v>
      </c>
      <c r="AD221" s="11">
        <v>11.982343290877401</v>
      </c>
      <c r="AE221" s="11">
        <v>19.201304358416198</v>
      </c>
      <c r="AF221" s="11">
        <v>14.391299792199</v>
      </c>
      <c r="AG221" s="11">
        <v>8.2691330923360304</v>
      </c>
      <c r="AH221" s="11">
        <v>12.627049126161999</v>
      </c>
      <c r="AI221" s="11">
        <v>1.50854004786242</v>
      </c>
      <c r="AJ221" s="11">
        <v>1.5226368464746201</v>
      </c>
      <c r="AK221" s="16">
        <v>-0.60561072925200099</v>
      </c>
      <c r="AL221" s="16">
        <v>-1.5739690686466801</v>
      </c>
      <c r="AM221" s="26">
        <v>0.17300891646518601</v>
      </c>
      <c r="AN221" s="27">
        <v>0.23056367552830601</v>
      </c>
      <c r="AO221" s="11">
        <v>13.987041332168401</v>
      </c>
      <c r="AP221" s="11">
        <v>8.8864778926021994</v>
      </c>
      <c r="AQ221" t="s">
        <v>5875</v>
      </c>
      <c r="AR221" t="s">
        <v>5832</v>
      </c>
      <c r="AS221" t="s">
        <v>3294</v>
      </c>
    </row>
    <row r="222" spans="1:45">
      <c r="A222" t="s">
        <v>5202</v>
      </c>
      <c r="B222" s="2">
        <v>11</v>
      </c>
      <c r="C222" s="2">
        <v>6</v>
      </c>
      <c r="D222" s="2">
        <v>10</v>
      </c>
      <c r="E222" s="2">
        <v>7</v>
      </c>
      <c r="F222" s="2">
        <v>10</v>
      </c>
      <c r="G222" s="2">
        <v>7</v>
      </c>
      <c r="H222" s="2">
        <v>13</v>
      </c>
      <c r="I222" s="2">
        <v>8</v>
      </c>
      <c r="J222" s="2">
        <v>9</v>
      </c>
      <c r="K222" s="2">
        <v>7</v>
      </c>
      <c r="L222" s="2">
        <v>9</v>
      </c>
      <c r="M222" s="2">
        <v>12</v>
      </c>
      <c r="N222" s="2">
        <v>11</v>
      </c>
      <c r="O222" s="2">
        <v>8</v>
      </c>
      <c r="P222" s="2">
        <v>12</v>
      </c>
      <c r="Q222" s="2">
        <v>15</v>
      </c>
      <c r="R222" s="2">
        <v>18</v>
      </c>
      <c r="S222" s="2">
        <v>8</v>
      </c>
      <c r="T222" s="2">
        <v>16</v>
      </c>
      <c r="U222" s="11">
        <v>13.328077354182</v>
      </c>
      <c r="V222" s="11">
        <v>5.7783847240646802</v>
      </c>
      <c r="W222" s="11">
        <v>16.007976618122601</v>
      </c>
      <c r="X222" s="11">
        <v>10.5834523140726</v>
      </c>
      <c r="Y222" s="11">
        <v>8.6017635993689208</v>
      </c>
      <c r="Z222" s="11">
        <v>6.50809072647644</v>
      </c>
      <c r="AA222" s="11">
        <v>13.7028096772403</v>
      </c>
      <c r="AB222" s="11">
        <v>7.78546878385845</v>
      </c>
      <c r="AC222" s="11">
        <v>7.1528246392046197</v>
      </c>
      <c r="AD222" s="11">
        <v>5.6758468219945701</v>
      </c>
      <c r="AE222" s="11">
        <v>9.6006521792081099</v>
      </c>
      <c r="AF222" s="11">
        <v>9.3120175125993505</v>
      </c>
      <c r="AG222" s="11">
        <v>11.0255107897814</v>
      </c>
      <c r="AH222" s="11">
        <v>11.837858555776901</v>
      </c>
      <c r="AI222" s="11">
        <v>27.153720861523599</v>
      </c>
      <c r="AJ222" s="11">
        <v>24.3621895435939</v>
      </c>
      <c r="AK222" s="16">
        <v>0.322579986084367</v>
      </c>
      <c r="AL222" s="16">
        <v>1.28949876320821</v>
      </c>
      <c r="AM222" s="26">
        <v>0.389135272969102</v>
      </c>
      <c r="AN222" s="27">
        <v>0.47247095756139601</v>
      </c>
      <c r="AO222" s="11">
        <v>10.2870029746733</v>
      </c>
      <c r="AP222" s="11">
        <v>13.265077612960299</v>
      </c>
      <c r="AQ222" t="s">
        <v>5874</v>
      </c>
      <c r="AR222" t="s">
        <v>5832</v>
      </c>
      <c r="AS222" t="s">
        <v>5202</v>
      </c>
    </row>
    <row r="223" spans="1:45">
      <c r="A223" t="s">
        <v>5471</v>
      </c>
      <c r="B223" s="2">
        <v>0</v>
      </c>
      <c r="C223" s="2">
        <v>0</v>
      </c>
      <c r="D223" s="2">
        <v>0</v>
      </c>
      <c r="E223" s="2">
        <v>0</v>
      </c>
      <c r="F223" s="2">
        <v>0.86699999999999999</v>
      </c>
      <c r="G223" s="2">
        <v>0.33300000000000002</v>
      </c>
      <c r="H223" s="2">
        <v>20.829000000000001</v>
      </c>
      <c r="I223" s="2">
        <v>20.385000000000002</v>
      </c>
      <c r="J223" s="2">
        <v>9.2769999999999992</v>
      </c>
      <c r="K223" s="2">
        <v>10.045</v>
      </c>
      <c r="L223" s="2">
        <v>27.893000000000001</v>
      </c>
      <c r="M223" s="2">
        <v>13.087999999999999</v>
      </c>
      <c r="N223" s="2">
        <v>5.1589999999999998</v>
      </c>
      <c r="O223" s="2">
        <v>0.5</v>
      </c>
      <c r="P223" s="2">
        <v>28.238</v>
      </c>
      <c r="Q223" s="2">
        <v>35.183999999999997</v>
      </c>
      <c r="R223" s="2">
        <v>7.1429999999999998</v>
      </c>
      <c r="S223" s="2">
        <v>6.5449999999999999</v>
      </c>
      <c r="T223" s="2">
        <v>10.48</v>
      </c>
      <c r="U223" s="11">
        <v>0.30291084895868198</v>
      </c>
      <c r="V223" s="11">
        <v>0.24076603016936199</v>
      </c>
      <c r="W223" s="11">
        <v>0.40019941545306398</v>
      </c>
      <c r="X223" s="11">
        <v>0.37798043978830698</v>
      </c>
      <c r="Y223" s="11">
        <v>0.77415872394320295</v>
      </c>
      <c r="Z223" s="11">
        <v>0.27891817399184698</v>
      </c>
      <c r="AA223" s="11">
        <v>21.924495483584501</v>
      </c>
      <c r="AB223" s="11">
        <v>19.852945398839001</v>
      </c>
      <c r="AC223" s="11">
        <v>7.3912521271780998</v>
      </c>
      <c r="AD223" s="11">
        <v>17.5951251481832</v>
      </c>
      <c r="AE223" s="11">
        <v>10.4807119623022</v>
      </c>
      <c r="AF223" s="11">
        <v>4.4020446423196899</v>
      </c>
      <c r="AG223" s="11">
        <v>25.909950355986201</v>
      </c>
      <c r="AH223" s="11">
        <v>27.7795080775564</v>
      </c>
      <c r="AI223" s="11">
        <v>10.7106343398232</v>
      </c>
      <c r="AJ223" s="11">
        <v>15.9876868879835</v>
      </c>
      <c r="AK223" s="16">
        <v>1.4050579766056399</v>
      </c>
      <c r="AL223" s="16">
        <v>2.7236794139173202</v>
      </c>
      <c r="AM223" s="26">
        <v>7.5446808112021202E-2</v>
      </c>
      <c r="AN223" s="27">
        <v>0.111421445092588</v>
      </c>
      <c r="AO223" s="11">
        <v>5.5190468143410003</v>
      </c>
      <c r="AP223" s="11">
        <v>15.032114192666601</v>
      </c>
      <c r="AQ223" t="s">
        <v>5874</v>
      </c>
      <c r="AR223" t="s">
        <v>5832</v>
      </c>
      <c r="AS223" t="s">
        <v>5471</v>
      </c>
    </row>
    <row r="224" spans="1:45">
      <c r="A224" t="s">
        <v>2758</v>
      </c>
      <c r="B224" s="2">
        <v>12</v>
      </c>
      <c r="C224" s="2">
        <v>22</v>
      </c>
      <c r="D224" s="2">
        <v>2</v>
      </c>
      <c r="E224" s="2">
        <v>3</v>
      </c>
      <c r="F224" s="2">
        <v>17</v>
      </c>
      <c r="G224" s="2">
        <v>11</v>
      </c>
      <c r="H224" s="2">
        <v>6</v>
      </c>
      <c r="I224" s="2">
        <v>10</v>
      </c>
      <c r="J224" s="2">
        <v>9</v>
      </c>
      <c r="K224" s="2">
        <v>2</v>
      </c>
      <c r="L224" s="2">
        <v>23</v>
      </c>
      <c r="M224" s="2">
        <v>25</v>
      </c>
      <c r="N224" s="2">
        <v>17</v>
      </c>
      <c r="O224" s="2">
        <v>3</v>
      </c>
      <c r="P224" s="2">
        <v>14</v>
      </c>
      <c r="Q224" s="2">
        <v>13</v>
      </c>
      <c r="R224" s="2">
        <v>3</v>
      </c>
      <c r="S224" s="2">
        <v>1</v>
      </c>
      <c r="T224" s="2">
        <v>2</v>
      </c>
      <c r="U224" s="11">
        <v>14.5397207500168</v>
      </c>
      <c r="V224" s="11">
        <v>21.1874106549038</v>
      </c>
      <c r="W224" s="11">
        <v>3.2015953236245198</v>
      </c>
      <c r="X224" s="11">
        <v>4.5357652774596904</v>
      </c>
      <c r="Y224" s="11">
        <v>14.6229981189272</v>
      </c>
      <c r="Z224" s="11">
        <v>10.226999713034401</v>
      </c>
      <c r="AA224" s="11">
        <v>6.3243736971878404</v>
      </c>
      <c r="AB224" s="11">
        <v>9.7318359798230603</v>
      </c>
      <c r="AC224" s="11">
        <v>7.1528246392046197</v>
      </c>
      <c r="AD224" s="11">
        <v>14.5049418784306</v>
      </c>
      <c r="AE224" s="11">
        <v>20.0013587066836</v>
      </c>
      <c r="AF224" s="11">
        <v>14.391299792199</v>
      </c>
      <c r="AG224" s="11">
        <v>12.863095921411601</v>
      </c>
      <c r="AH224" s="11">
        <v>10.2594774150066</v>
      </c>
      <c r="AI224" s="11">
        <v>4.5256201435872701</v>
      </c>
      <c r="AJ224" s="11">
        <v>3.0452736929492299</v>
      </c>
      <c r="AK224" s="16">
        <v>4.8199741663737597E-2</v>
      </c>
      <c r="AL224" s="16">
        <v>1.0281281616501701</v>
      </c>
      <c r="AM224" s="26">
        <v>0.96811514869755</v>
      </c>
      <c r="AN224" s="27">
        <v>0.98280581863226302</v>
      </c>
      <c r="AO224" s="11">
        <v>10.5463374393722</v>
      </c>
      <c r="AP224" s="11">
        <v>10.8429865236841</v>
      </c>
      <c r="AQ224" t="s">
        <v>5874</v>
      </c>
      <c r="AR224" t="s">
        <v>5832</v>
      </c>
      <c r="AS224" t="s">
        <v>2758</v>
      </c>
    </row>
    <row r="225" spans="1:45">
      <c r="A225" t="s">
        <v>3819</v>
      </c>
      <c r="B225" s="2">
        <v>9</v>
      </c>
      <c r="C225" s="2">
        <v>12</v>
      </c>
      <c r="D225" s="2">
        <v>8</v>
      </c>
      <c r="E225" s="2">
        <v>20</v>
      </c>
      <c r="F225" s="2">
        <v>14</v>
      </c>
      <c r="G225" s="2">
        <v>8</v>
      </c>
      <c r="H225" s="2">
        <v>8</v>
      </c>
      <c r="I225" s="2">
        <v>8</v>
      </c>
      <c r="J225" s="2">
        <v>14</v>
      </c>
      <c r="K225" s="2">
        <v>3</v>
      </c>
      <c r="L225" s="2">
        <v>8</v>
      </c>
      <c r="M225" s="2">
        <v>15</v>
      </c>
      <c r="N225" s="2">
        <v>15</v>
      </c>
      <c r="O225" s="2">
        <v>1</v>
      </c>
      <c r="P225" s="2">
        <v>6</v>
      </c>
      <c r="Q225" s="2">
        <v>21</v>
      </c>
      <c r="R225" s="2">
        <v>11</v>
      </c>
      <c r="S225" s="2">
        <v>2</v>
      </c>
      <c r="T225" s="2">
        <v>12</v>
      </c>
      <c r="U225" s="11">
        <v>10.9047905625126</v>
      </c>
      <c r="V225" s="11">
        <v>11.556769448129399</v>
      </c>
      <c r="W225" s="11">
        <v>12.806381294498101</v>
      </c>
      <c r="X225" s="11">
        <v>30.238435183064599</v>
      </c>
      <c r="Y225" s="11">
        <v>12.042469039116501</v>
      </c>
      <c r="Z225" s="11">
        <v>7.43781797311593</v>
      </c>
      <c r="AA225" s="11">
        <v>8.4324982629171306</v>
      </c>
      <c r="AB225" s="11">
        <v>7.78546878385845</v>
      </c>
      <c r="AC225" s="11">
        <v>11.126616105429401</v>
      </c>
      <c r="AD225" s="11">
        <v>5.0451971751062796</v>
      </c>
      <c r="AE225" s="11">
        <v>12.0008152240101</v>
      </c>
      <c r="AF225" s="11">
        <v>12.6982056989991</v>
      </c>
      <c r="AG225" s="11">
        <v>5.5127553948906796</v>
      </c>
      <c r="AH225" s="11">
        <v>16.5730019780876</v>
      </c>
      <c r="AI225" s="11">
        <v>16.593940526486598</v>
      </c>
      <c r="AJ225" s="11">
        <v>18.2716421576954</v>
      </c>
      <c r="AK225" s="16">
        <v>-4.64192872807037E-2</v>
      </c>
      <c r="AL225" s="16">
        <v>-1.03457760279886</v>
      </c>
      <c r="AM225" s="26">
        <v>0.93754599971351804</v>
      </c>
      <c r="AN225" s="27">
        <v>0.96156153915847598</v>
      </c>
      <c r="AO225" s="11">
        <v>12.6505788184016</v>
      </c>
      <c r="AP225" s="11">
        <v>12.227771782588199</v>
      </c>
      <c r="AQ225" t="s">
        <v>5875</v>
      </c>
      <c r="AR225" t="s">
        <v>5832</v>
      </c>
      <c r="AS225" t="s">
        <v>3819</v>
      </c>
    </row>
    <row r="226" spans="1:45">
      <c r="A226" t="s">
        <v>4902</v>
      </c>
      <c r="B226" s="2">
        <v>18.888999999999999</v>
      </c>
      <c r="C226" s="2">
        <v>2</v>
      </c>
      <c r="D226" s="2">
        <v>11</v>
      </c>
      <c r="E226" s="2">
        <v>0</v>
      </c>
      <c r="F226" s="2">
        <v>1</v>
      </c>
      <c r="G226" s="2">
        <v>29</v>
      </c>
      <c r="H226" s="2">
        <v>21.954999999999998</v>
      </c>
      <c r="I226" s="2">
        <v>34</v>
      </c>
      <c r="J226" s="2">
        <v>15</v>
      </c>
      <c r="K226" s="2">
        <v>0</v>
      </c>
      <c r="L226" s="2">
        <v>9</v>
      </c>
      <c r="M226" s="2">
        <v>13</v>
      </c>
      <c r="N226" s="2">
        <v>10</v>
      </c>
      <c r="O226" s="2">
        <v>0</v>
      </c>
      <c r="P226" s="2">
        <v>3</v>
      </c>
      <c r="Q226" s="2">
        <v>11</v>
      </c>
      <c r="R226" s="2">
        <v>6</v>
      </c>
      <c r="S226" s="2">
        <v>4</v>
      </c>
      <c r="T226" s="2">
        <v>6</v>
      </c>
      <c r="U226" s="11">
        <v>22.900060181276402</v>
      </c>
      <c r="V226" s="11">
        <v>1.9261282413548899</v>
      </c>
      <c r="W226" s="11">
        <v>17.608774279934799</v>
      </c>
      <c r="X226" s="11">
        <v>0.37798043978830698</v>
      </c>
      <c r="Y226" s="11">
        <v>0.86017635993689201</v>
      </c>
      <c r="Z226" s="11">
        <v>26.962090152545201</v>
      </c>
      <c r="AA226" s="11">
        <v>23.189370223022099</v>
      </c>
      <c r="AB226" s="11">
        <v>33.088242331398398</v>
      </c>
      <c r="AC226" s="11">
        <v>11.9213743986744</v>
      </c>
      <c r="AD226" s="11">
        <v>5.6758468219945701</v>
      </c>
      <c r="AE226" s="11">
        <v>10.400706527475499</v>
      </c>
      <c r="AF226" s="11">
        <v>8.4654704659994096</v>
      </c>
      <c r="AG226" s="11">
        <v>2.7563776974453398</v>
      </c>
      <c r="AH226" s="11">
        <v>8.6810962742363706</v>
      </c>
      <c r="AI226" s="11">
        <v>9.0512402871745401</v>
      </c>
      <c r="AJ226" s="11">
        <v>9.1358210788476999</v>
      </c>
      <c r="AK226" s="16">
        <v>-0.93830418991336695</v>
      </c>
      <c r="AL226" s="16">
        <v>-1.92036299803035</v>
      </c>
      <c r="AM226" s="26">
        <v>0.121171868556862</v>
      </c>
      <c r="AN226" s="27">
        <v>0.16783432725577799</v>
      </c>
      <c r="AO226" s="11">
        <v>15.8641027761571</v>
      </c>
      <c r="AP226" s="11">
        <v>8.2609916939809693</v>
      </c>
      <c r="AQ226" t="s">
        <v>5875</v>
      </c>
      <c r="AR226" t="s">
        <v>5832</v>
      </c>
      <c r="AS226" t="s">
        <v>4902</v>
      </c>
    </row>
    <row r="227" spans="1:45">
      <c r="A227" t="s">
        <v>2793</v>
      </c>
      <c r="B227" s="2">
        <v>11.688000000000001</v>
      </c>
      <c r="C227" s="2">
        <v>21.687999999999999</v>
      </c>
      <c r="D227" s="2">
        <v>3.6880000000000002</v>
      </c>
      <c r="E227" s="2">
        <v>8.6880000000000006</v>
      </c>
      <c r="F227" s="2">
        <v>16.376999999999999</v>
      </c>
      <c r="G227" s="2">
        <v>23</v>
      </c>
      <c r="H227" s="2">
        <v>9.6880000000000006</v>
      </c>
      <c r="I227" s="2">
        <v>14.688000000000001</v>
      </c>
      <c r="J227" s="2">
        <v>16.687999999999999</v>
      </c>
      <c r="K227" s="2">
        <v>2.6880000000000002</v>
      </c>
      <c r="L227" s="2">
        <v>11.688000000000001</v>
      </c>
      <c r="M227" s="2">
        <v>5.3769999999999998</v>
      </c>
      <c r="N227" s="2">
        <v>8.6880000000000006</v>
      </c>
      <c r="O227" s="2">
        <v>6.6879999999999997</v>
      </c>
      <c r="P227" s="2">
        <v>10.688000000000001</v>
      </c>
      <c r="Q227" s="2">
        <v>10.377000000000001</v>
      </c>
      <c r="R227" s="2">
        <v>2.6880000000000002</v>
      </c>
      <c r="S227" s="2">
        <v>1.6879999999999999</v>
      </c>
      <c r="T227" s="2">
        <v>6.6879999999999997</v>
      </c>
      <c r="U227" s="11">
        <v>14.1762277312663</v>
      </c>
      <c r="V227" s="11">
        <v>20.898491418700601</v>
      </c>
      <c r="W227" s="11">
        <v>5.9229513487053502</v>
      </c>
      <c r="X227" s="11">
        <v>13.1537193046331</v>
      </c>
      <c r="Y227" s="11">
        <v>14.106892302965001</v>
      </c>
      <c r="Z227" s="11">
        <v>21.383726672708299</v>
      </c>
      <c r="AA227" s="11">
        <v>10.224404143787</v>
      </c>
      <c r="AB227" s="11">
        <v>14.305798890339901</v>
      </c>
      <c r="AC227" s="11">
        <v>13.272463497190801</v>
      </c>
      <c r="AD227" s="11">
        <v>7.3786008685929403</v>
      </c>
      <c r="AE227" s="11">
        <v>4.3202934806436497</v>
      </c>
      <c r="AF227" s="11">
        <v>7.3649593054194797</v>
      </c>
      <c r="AG227" s="11">
        <v>9.8310804542217198</v>
      </c>
      <c r="AH227" s="11">
        <v>8.2075819320053007</v>
      </c>
      <c r="AI227" s="11">
        <v>4.0730581292285404</v>
      </c>
      <c r="AJ227" s="11">
        <v>10.201666871379899</v>
      </c>
      <c r="AK227" s="16">
        <v>-0.82756506293282095</v>
      </c>
      <c r="AL227" s="16">
        <v>-1.76601289406964</v>
      </c>
      <c r="AM227" s="26">
        <v>1.6298386386346401E-2</v>
      </c>
      <c r="AN227" s="27">
        <v>2.84689830090489E-2</v>
      </c>
      <c r="AO227" s="11">
        <v>14.271526476638201</v>
      </c>
      <c r="AP227" s="11">
        <v>8.0812130673352893</v>
      </c>
      <c r="AQ227" t="s">
        <v>5875</v>
      </c>
      <c r="AR227" t="s">
        <v>5878</v>
      </c>
      <c r="AS227" t="s">
        <v>2793</v>
      </c>
    </row>
    <row r="228" spans="1:45">
      <c r="A228" t="s">
        <v>3901</v>
      </c>
      <c r="B228" s="2">
        <v>4.7830000000000004</v>
      </c>
      <c r="C228" s="2">
        <v>20.625</v>
      </c>
      <c r="D228" s="2">
        <v>0</v>
      </c>
      <c r="E228" s="2">
        <v>3.9750000000000001</v>
      </c>
      <c r="F228" s="2">
        <v>19.591999999999999</v>
      </c>
      <c r="G228" s="2">
        <v>18.613</v>
      </c>
      <c r="H228" s="2">
        <v>5.6360000000000001</v>
      </c>
      <c r="I228" s="2">
        <v>2.7269999999999999</v>
      </c>
      <c r="J228" s="2">
        <v>20.172000000000001</v>
      </c>
      <c r="K228" s="2">
        <v>2</v>
      </c>
      <c r="L228" s="2">
        <v>13.333</v>
      </c>
      <c r="M228" s="2">
        <v>13.13</v>
      </c>
      <c r="N228" s="2">
        <v>27.3</v>
      </c>
      <c r="O228" s="2">
        <v>6.5</v>
      </c>
      <c r="P228" s="2">
        <v>12.35</v>
      </c>
      <c r="Q228" s="2">
        <v>12.692</v>
      </c>
      <c r="R228" s="2">
        <v>2.8570000000000002</v>
      </c>
      <c r="S228" s="2">
        <v>2.6669999999999998</v>
      </c>
      <c r="T228" s="2">
        <v>3.4289999999999998</v>
      </c>
      <c r="U228" s="11">
        <v>5.8158883000066997</v>
      </c>
      <c r="V228" s="11">
        <v>19.839120885955399</v>
      </c>
      <c r="W228" s="11">
        <v>0.40019941545306398</v>
      </c>
      <c r="X228" s="11">
        <v>6.0476870366129196</v>
      </c>
      <c r="Y228" s="11">
        <v>16.8594566547631</v>
      </c>
      <c r="Z228" s="11">
        <v>17.292926787494501</v>
      </c>
      <c r="AA228" s="11">
        <v>5.9027487840419903</v>
      </c>
      <c r="AB228" s="11">
        <v>2.6275957145522302</v>
      </c>
      <c r="AC228" s="11">
        <v>16.054117523548101</v>
      </c>
      <c r="AD228" s="11">
        <v>8.3876403036141998</v>
      </c>
      <c r="AE228" s="11">
        <v>10.4807119623022</v>
      </c>
      <c r="AF228" s="11">
        <v>23.110734372178399</v>
      </c>
      <c r="AG228" s="11">
        <v>11.3930278161074</v>
      </c>
      <c r="AH228" s="11">
        <v>10.022720243891101</v>
      </c>
      <c r="AI228" s="11">
        <v>4.3747661388010304</v>
      </c>
      <c r="AJ228" s="11">
        <v>5.1769652780137001</v>
      </c>
      <c r="AK228" s="16">
        <v>0.23271793005649299</v>
      </c>
      <c r="AL228" s="16">
        <v>1.1900774424189</v>
      </c>
      <c r="AM228" s="26">
        <v>0.64131693425170599</v>
      </c>
      <c r="AN228" s="27">
        <v>0.71323082974702801</v>
      </c>
      <c r="AO228" s="11">
        <v>9.3482029473599901</v>
      </c>
      <c r="AP228" s="11">
        <v>11.125085454807</v>
      </c>
      <c r="AQ228" t="s">
        <v>5874</v>
      </c>
      <c r="AR228" t="s">
        <v>5832</v>
      </c>
      <c r="AS228" t="s">
        <v>3901</v>
      </c>
    </row>
    <row r="229" spans="1:45">
      <c r="A229" t="s">
        <v>4728</v>
      </c>
      <c r="B229" s="2">
        <v>5</v>
      </c>
      <c r="C229" s="2">
        <v>7.875</v>
      </c>
      <c r="D229" s="2">
        <v>0</v>
      </c>
      <c r="E229" s="2">
        <v>0</v>
      </c>
      <c r="F229" s="2">
        <v>21</v>
      </c>
      <c r="G229" s="2">
        <v>20</v>
      </c>
      <c r="H229" s="2">
        <v>9.5</v>
      </c>
      <c r="I229" s="2">
        <v>10</v>
      </c>
      <c r="J229" s="2">
        <v>20.629000000000001</v>
      </c>
      <c r="K229" s="2">
        <v>0</v>
      </c>
      <c r="L229" s="2">
        <v>35.436</v>
      </c>
      <c r="M229" s="2">
        <v>20.667000000000002</v>
      </c>
      <c r="N229" s="2">
        <v>14.909000000000001</v>
      </c>
      <c r="O229" s="2">
        <v>2</v>
      </c>
      <c r="P229" s="2">
        <v>4</v>
      </c>
      <c r="Q229" s="2">
        <v>8.2729999999999997</v>
      </c>
      <c r="R229" s="2">
        <v>9</v>
      </c>
      <c r="S229" s="2">
        <v>1</v>
      </c>
      <c r="T229" s="2">
        <v>2</v>
      </c>
      <c r="U229" s="11">
        <v>6.0582169791736504</v>
      </c>
      <c r="V229" s="11">
        <v>7.6082065533518302</v>
      </c>
      <c r="W229" s="11">
        <v>0.40019941545306398</v>
      </c>
      <c r="X229" s="11">
        <v>0.37798043978830698</v>
      </c>
      <c r="Y229" s="11">
        <v>18.0637035586747</v>
      </c>
      <c r="Z229" s="11">
        <v>18.594544932789798</v>
      </c>
      <c r="AA229" s="11">
        <v>10.013591687214101</v>
      </c>
      <c r="AB229" s="11">
        <v>9.7318359798230603</v>
      </c>
      <c r="AC229" s="11">
        <v>16.372020840846101</v>
      </c>
      <c r="AD229" s="11">
        <v>22.324997499845299</v>
      </c>
      <c r="AE229" s="11">
        <v>16.561125009133999</v>
      </c>
      <c r="AF229" s="11">
        <v>12.6135509943391</v>
      </c>
      <c r="AG229" s="11">
        <v>3.6751702632604601</v>
      </c>
      <c r="AH229" s="11">
        <v>6.55028173419654</v>
      </c>
      <c r="AI229" s="11">
        <v>13.576860430761799</v>
      </c>
      <c r="AJ229" s="11">
        <v>3.0452736929492299</v>
      </c>
      <c r="AK229" s="16">
        <v>0.388518432694473</v>
      </c>
      <c r="AL229" s="16">
        <v>1.3369312716122399</v>
      </c>
      <c r="AM229" s="26">
        <v>0.44756091505822898</v>
      </c>
      <c r="AN229" s="27">
        <v>0.53182638041555097</v>
      </c>
      <c r="AO229" s="11">
        <v>8.8560349432835697</v>
      </c>
      <c r="AP229" s="11">
        <v>11.8399100581666</v>
      </c>
      <c r="AQ229" t="s">
        <v>5874</v>
      </c>
      <c r="AR229" t="s">
        <v>5832</v>
      </c>
      <c r="AS229" t="s">
        <v>4728</v>
      </c>
    </row>
    <row r="230" spans="1:45">
      <c r="A230" t="s">
        <v>2221</v>
      </c>
      <c r="B230" s="2">
        <v>12</v>
      </c>
      <c r="C230" s="2">
        <v>10</v>
      </c>
      <c r="D230" s="2">
        <v>11</v>
      </c>
      <c r="E230" s="2">
        <v>11</v>
      </c>
      <c r="F230" s="2">
        <v>9</v>
      </c>
      <c r="G230" s="2">
        <v>6</v>
      </c>
      <c r="H230" s="2">
        <v>7</v>
      </c>
      <c r="I230" s="2">
        <v>11</v>
      </c>
      <c r="J230" s="2">
        <v>12</v>
      </c>
      <c r="K230" s="2">
        <v>10</v>
      </c>
      <c r="L230" s="2">
        <v>12</v>
      </c>
      <c r="M230" s="2">
        <v>8</v>
      </c>
      <c r="N230" s="2">
        <v>21</v>
      </c>
      <c r="O230" s="2">
        <v>7</v>
      </c>
      <c r="P230" s="2">
        <v>8</v>
      </c>
      <c r="Q230" s="2">
        <v>19</v>
      </c>
      <c r="R230" s="2">
        <v>7</v>
      </c>
      <c r="S230" s="2">
        <v>5</v>
      </c>
      <c r="T230" s="2">
        <v>4</v>
      </c>
      <c r="U230" s="11">
        <v>14.5397207500168</v>
      </c>
      <c r="V230" s="11">
        <v>9.6306412067744702</v>
      </c>
      <c r="W230" s="11">
        <v>17.608774279934799</v>
      </c>
      <c r="X230" s="11">
        <v>16.631139350685501</v>
      </c>
      <c r="Y230" s="11">
        <v>7.7415872394320298</v>
      </c>
      <c r="Z230" s="11">
        <v>5.5783634798369501</v>
      </c>
      <c r="AA230" s="11">
        <v>7.3784359800524904</v>
      </c>
      <c r="AB230" s="11">
        <v>10.7050195778054</v>
      </c>
      <c r="AC230" s="11">
        <v>9.53709951893949</v>
      </c>
      <c r="AD230" s="11">
        <v>7.5677957626594301</v>
      </c>
      <c r="AE230" s="11">
        <v>6.4004347861387396</v>
      </c>
      <c r="AF230" s="11">
        <v>17.777487978598799</v>
      </c>
      <c r="AG230" s="11">
        <v>7.3503405265209096</v>
      </c>
      <c r="AH230" s="11">
        <v>14.994620837317401</v>
      </c>
      <c r="AI230" s="11">
        <v>10.559780335037001</v>
      </c>
      <c r="AJ230" s="11">
        <v>6.0905473858984696</v>
      </c>
      <c r="AK230" s="16">
        <v>-0.103526560488332</v>
      </c>
      <c r="AL230" s="16">
        <v>-1.11878175849182</v>
      </c>
      <c r="AM230" s="26">
        <v>0.73134877863561298</v>
      </c>
      <c r="AN230" s="27">
        <v>0.795579319241842</v>
      </c>
      <c r="AO230" s="11">
        <v>11.226710233067299</v>
      </c>
      <c r="AP230" s="11">
        <v>10.0347633913888</v>
      </c>
      <c r="AQ230" t="s">
        <v>5875</v>
      </c>
      <c r="AR230" t="s">
        <v>5832</v>
      </c>
      <c r="AS230" t="s">
        <v>2221</v>
      </c>
    </row>
    <row r="231" spans="1:45">
      <c r="A231" t="s">
        <v>2709</v>
      </c>
      <c r="B231" s="2">
        <v>16</v>
      </c>
      <c r="C231" s="2">
        <v>13</v>
      </c>
      <c r="D231" s="2">
        <v>10</v>
      </c>
      <c r="E231" s="2">
        <v>8.5</v>
      </c>
      <c r="F231" s="2">
        <v>0</v>
      </c>
      <c r="G231" s="2">
        <v>29</v>
      </c>
      <c r="H231" s="2">
        <v>16</v>
      </c>
      <c r="I231" s="2">
        <v>9</v>
      </c>
      <c r="J231" s="2">
        <v>3.5</v>
      </c>
      <c r="K231" s="2">
        <v>5</v>
      </c>
      <c r="L231" s="2">
        <v>6</v>
      </c>
      <c r="M231" s="2">
        <v>9</v>
      </c>
      <c r="N231" s="2">
        <v>9.6</v>
      </c>
      <c r="O231" s="2">
        <v>9.6</v>
      </c>
      <c r="P231" s="2">
        <v>7.3330000000000002</v>
      </c>
      <c r="Q231" s="2">
        <v>5.6669999999999998</v>
      </c>
      <c r="R231" s="2">
        <v>14</v>
      </c>
      <c r="S231" s="2">
        <v>10</v>
      </c>
      <c r="T231" s="2">
        <v>7</v>
      </c>
      <c r="U231" s="11">
        <v>19.3862943333557</v>
      </c>
      <c r="V231" s="11">
        <v>12.519833568806799</v>
      </c>
      <c r="W231" s="11">
        <v>16.007976618122601</v>
      </c>
      <c r="X231" s="11">
        <v>12.8513349528025</v>
      </c>
      <c r="Y231" s="11">
        <v>0.215044089984223</v>
      </c>
      <c r="Z231" s="11">
        <v>26.962090152545201</v>
      </c>
      <c r="AA231" s="11">
        <v>16.8649965258343</v>
      </c>
      <c r="AB231" s="11">
        <v>8.7586523818407507</v>
      </c>
      <c r="AC231" s="11">
        <v>2.7816540263573502</v>
      </c>
      <c r="AD231" s="11">
        <v>3.7838978813297102</v>
      </c>
      <c r="AE231" s="11">
        <v>7.2004891344060802</v>
      </c>
      <c r="AF231" s="11">
        <v>8.1268516473594303</v>
      </c>
      <c r="AG231" s="11">
        <v>6.7071857304503304</v>
      </c>
      <c r="AH231" s="11">
        <v>4.4983862511952104</v>
      </c>
      <c r="AI231" s="11">
        <v>21.119560670073898</v>
      </c>
      <c r="AJ231" s="11">
        <v>10.658457925322301</v>
      </c>
      <c r="AK231" s="16">
        <v>-0.85441036794231795</v>
      </c>
      <c r="AL231" s="16">
        <v>-1.75049905459261</v>
      </c>
      <c r="AM231" s="26">
        <v>0.110896049130319</v>
      </c>
      <c r="AN231" s="27">
        <v>0.15553345255384399</v>
      </c>
      <c r="AO231" s="11">
        <v>14.195777827911501</v>
      </c>
      <c r="AP231" s="11">
        <v>8.1095604083118005</v>
      </c>
      <c r="AQ231" t="s">
        <v>5875</v>
      </c>
      <c r="AR231" t="s">
        <v>5832</v>
      </c>
      <c r="AS231" t="s">
        <v>2709</v>
      </c>
    </row>
    <row r="232" spans="1:45">
      <c r="A232" t="s">
        <v>5093</v>
      </c>
      <c r="B232" s="2">
        <v>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50</v>
      </c>
      <c r="K232" s="2">
        <v>3</v>
      </c>
      <c r="L232" s="2">
        <v>33</v>
      </c>
      <c r="M232" s="2">
        <v>16</v>
      </c>
      <c r="N232" s="2">
        <v>20</v>
      </c>
      <c r="O232" s="2">
        <v>2</v>
      </c>
      <c r="P232" s="2">
        <v>16</v>
      </c>
      <c r="Q232" s="2">
        <v>16</v>
      </c>
      <c r="R232" s="2">
        <v>5</v>
      </c>
      <c r="S232" s="2">
        <v>1</v>
      </c>
      <c r="T232" s="2">
        <v>21</v>
      </c>
      <c r="U232" s="11">
        <v>6.0582169791736504</v>
      </c>
      <c r="V232" s="11">
        <v>0.24076603016936199</v>
      </c>
      <c r="W232" s="11">
        <v>0.40019941545306398</v>
      </c>
      <c r="X232" s="11">
        <v>0.37798043978830698</v>
      </c>
      <c r="Y232" s="11">
        <v>0.215044089984223</v>
      </c>
      <c r="Z232" s="11">
        <v>0.23243181165987301</v>
      </c>
      <c r="AA232" s="11">
        <v>0.26351557071616</v>
      </c>
      <c r="AB232" s="11">
        <v>0.24329589949557701</v>
      </c>
      <c r="AC232" s="11">
        <v>39.737914662247903</v>
      </c>
      <c r="AD232" s="11">
        <v>20.811438347313398</v>
      </c>
      <c r="AE232" s="11">
        <v>12.800869572277501</v>
      </c>
      <c r="AF232" s="11">
        <v>16.930940931998801</v>
      </c>
      <c r="AG232" s="11">
        <v>14.7006810530418</v>
      </c>
      <c r="AH232" s="11">
        <v>12.627049126161999</v>
      </c>
      <c r="AI232" s="11">
        <v>7.5427002393121096</v>
      </c>
      <c r="AJ232" s="11">
        <v>31.975373775967</v>
      </c>
      <c r="AK232" s="16">
        <v>4.2159620166483602</v>
      </c>
      <c r="AL232" s="16">
        <v>19.563959569270001</v>
      </c>
      <c r="AM232" s="26">
        <v>6.1893030847225E-12</v>
      </c>
      <c r="AN232" s="27">
        <v>1.3366689038791699E-10</v>
      </c>
      <c r="AO232" s="11">
        <v>1.0039312795550299</v>
      </c>
      <c r="AP232" s="11">
        <v>19.640870963540099</v>
      </c>
      <c r="AQ232" t="s">
        <v>5874</v>
      </c>
      <c r="AR232" t="s">
        <v>5876</v>
      </c>
      <c r="AS232" t="s">
        <v>5093</v>
      </c>
    </row>
    <row r="233" spans="1:45">
      <c r="A233" t="s">
        <v>351</v>
      </c>
      <c r="B233" s="2">
        <v>8</v>
      </c>
      <c r="C233" s="2">
        <v>1</v>
      </c>
      <c r="D233" s="2">
        <v>0</v>
      </c>
      <c r="E233" s="2">
        <v>1</v>
      </c>
      <c r="F233" s="2">
        <v>1</v>
      </c>
      <c r="G233" s="2">
        <v>1</v>
      </c>
      <c r="H233" s="2">
        <v>1</v>
      </c>
      <c r="I233" s="2">
        <v>4</v>
      </c>
      <c r="J233" s="2">
        <v>19</v>
      </c>
      <c r="K233" s="2">
        <v>18</v>
      </c>
      <c r="L233" s="2">
        <v>13</v>
      </c>
      <c r="M233" s="2">
        <v>7</v>
      </c>
      <c r="N233" s="2">
        <v>27</v>
      </c>
      <c r="O233" s="2">
        <v>16</v>
      </c>
      <c r="P233" s="2">
        <v>16</v>
      </c>
      <c r="Q233" s="2">
        <v>11</v>
      </c>
      <c r="R233" s="2">
        <v>10</v>
      </c>
      <c r="S233" s="2">
        <v>18</v>
      </c>
      <c r="T233" s="2">
        <v>14</v>
      </c>
      <c r="U233" s="11">
        <v>9.6931471666778304</v>
      </c>
      <c r="V233" s="11">
        <v>0.96306412067744696</v>
      </c>
      <c r="W233" s="11">
        <v>0.40019941545306398</v>
      </c>
      <c r="X233" s="11">
        <v>1.5119217591532299</v>
      </c>
      <c r="Y233" s="11">
        <v>0.86017635993689201</v>
      </c>
      <c r="Z233" s="11">
        <v>0.92972724663949102</v>
      </c>
      <c r="AA233" s="11">
        <v>1.05406228286464</v>
      </c>
      <c r="AB233" s="11">
        <v>3.8927343919292201</v>
      </c>
      <c r="AC233" s="11">
        <v>15.1004075716542</v>
      </c>
      <c r="AD233" s="11">
        <v>8.1984454095477108</v>
      </c>
      <c r="AE233" s="11">
        <v>5.6003804378713999</v>
      </c>
      <c r="AF233" s="11">
        <v>22.856770258198399</v>
      </c>
      <c r="AG233" s="11">
        <v>14.7006810530418</v>
      </c>
      <c r="AH233" s="11">
        <v>8.6810962742363706</v>
      </c>
      <c r="AI233" s="11">
        <v>15.0854004786242</v>
      </c>
      <c r="AJ233" s="11">
        <v>21.316915850644602</v>
      </c>
      <c r="AK233" s="16">
        <v>2.4704944008190601</v>
      </c>
      <c r="AL233" s="16">
        <v>5.7777730199575004</v>
      </c>
      <c r="AM233" s="26">
        <v>1.6271838664547099E-6</v>
      </c>
      <c r="AN233" s="27">
        <v>7.4560685387548204E-6</v>
      </c>
      <c r="AO233" s="11">
        <v>2.4131290929164799</v>
      </c>
      <c r="AP233" s="11">
        <v>13.942512166727299</v>
      </c>
      <c r="AQ233" t="s">
        <v>5874</v>
      </c>
      <c r="AR233" t="s">
        <v>5876</v>
      </c>
      <c r="AS233" t="s">
        <v>351</v>
      </c>
    </row>
    <row r="234" spans="1:45">
      <c r="A234" t="s">
        <v>857</v>
      </c>
      <c r="B234" s="2">
        <v>11</v>
      </c>
      <c r="C234" s="2">
        <v>3</v>
      </c>
      <c r="D234" s="2">
        <v>5</v>
      </c>
      <c r="E234" s="2">
        <v>0</v>
      </c>
      <c r="F234" s="2">
        <v>3</v>
      </c>
      <c r="G234" s="2">
        <v>6</v>
      </c>
      <c r="H234" s="2">
        <v>10</v>
      </c>
      <c r="I234" s="2">
        <v>15</v>
      </c>
      <c r="J234" s="2">
        <v>12</v>
      </c>
      <c r="K234" s="2">
        <v>2</v>
      </c>
      <c r="L234" s="2">
        <v>12</v>
      </c>
      <c r="M234" s="2">
        <v>18</v>
      </c>
      <c r="N234" s="2">
        <v>7</v>
      </c>
      <c r="O234" s="2">
        <v>3</v>
      </c>
      <c r="P234" s="2">
        <v>13</v>
      </c>
      <c r="Q234" s="2">
        <v>28</v>
      </c>
      <c r="R234" s="2">
        <v>14</v>
      </c>
      <c r="S234" s="2">
        <v>11</v>
      </c>
      <c r="T234" s="2">
        <v>13</v>
      </c>
      <c r="U234" s="11">
        <v>13.328077354182</v>
      </c>
      <c r="V234" s="11">
        <v>2.8891923620323401</v>
      </c>
      <c r="W234" s="11">
        <v>8.00398830906129</v>
      </c>
      <c r="X234" s="11">
        <v>0.37798043978830698</v>
      </c>
      <c r="Y234" s="11">
        <v>2.5805290798106801</v>
      </c>
      <c r="Z234" s="11">
        <v>5.5783634798369501</v>
      </c>
      <c r="AA234" s="11">
        <v>10.5406228286464</v>
      </c>
      <c r="AB234" s="11">
        <v>14.597753969734599</v>
      </c>
      <c r="AC234" s="11">
        <v>9.53709951893949</v>
      </c>
      <c r="AD234" s="11">
        <v>7.5677957626594301</v>
      </c>
      <c r="AE234" s="11">
        <v>14.400978268812199</v>
      </c>
      <c r="AF234" s="11">
        <v>5.9258293261995796</v>
      </c>
      <c r="AG234" s="11">
        <v>11.944303355596499</v>
      </c>
      <c r="AH234" s="11">
        <v>22.097335970783501</v>
      </c>
      <c r="AI234" s="11">
        <v>21.119560670073898</v>
      </c>
      <c r="AJ234" s="11">
        <v>19.794279004170001</v>
      </c>
      <c r="AK234" s="16">
        <v>0.91882823773608302</v>
      </c>
      <c r="AL234" s="16">
        <v>1.9411737616479801</v>
      </c>
      <c r="AM234" s="26">
        <v>4.4335675606499002E-2</v>
      </c>
      <c r="AN234" s="27">
        <v>6.9954167407424106E-2</v>
      </c>
      <c r="AO234" s="11">
        <v>7.2370634778865703</v>
      </c>
      <c r="AP234" s="11">
        <v>14.0483977346543</v>
      </c>
      <c r="AQ234" t="s">
        <v>5874</v>
      </c>
      <c r="AR234" t="s">
        <v>5877</v>
      </c>
      <c r="AS234" t="s">
        <v>857</v>
      </c>
    </row>
    <row r="235" spans="1:45">
      <c r="A235" t="s">
        <v>4069</v>
      </c>
      <c r="B235" s="2">
        <v>10</v>
      </c>
      <c r="C235" s="2">
        <v>0</v>
      </c>
      <c r="D235" s="2">
        <v>13</v>
      </c>
      <c r="E235" s="2">
        <v>1</v>
      </c>
      <c r="F235" s="2">
        <v>3</v>
      </c>
      <c r="G235" s="2">
        <v>17</v>
      </c>
      <c r="H235" s="2">
        <v>9</v>
      </c>
      <c r="I235" s="2">
        <v>25</v>
      </c>
      <c r="J235" s="2">
        <v>7</v>
      </c>
      <c r="K235" s="2">
        <v>12</v>
      </c>
      <c r="L235" s="2">
        <v>6</v>
      </c>
      <c r="M235" s="2">
        <v>20</v>
      </c>
      <c r="N235" s="2">
        <v>11</v>
      </c>
      <c r="O235" s="2">
        <v>8</v>
      </c>
      <c r="P235" s="2">
        <v>4</v>
      </c>
      <c r="Q235" s="2">
        <v>7</v>
      </c>
      <c r="R235" s="2">
        <v>10</v>
      </c>
      <c r="S235" s="2">
        <v>11</v>
      </c>
      <c r="T235" s="2">
        <v>12</v>
      </c>
      <c r="U235" s="11">
        <v>12.116433958347301</v>
      </c>
      <c r="V235" s="11">
        <v>0.24076603016936199</v>
      </c>
      <c r="W235" s="11">
        <v>20.810369603559401</v>
      </c>
      <c r="X235" s="11">
        <v>1.5119217591532299</v>
      </c>
      <c r="Y235" s="11">
        <v>2.5805290798106801</v>
      </c>
      <c r="Z235" s="11">
        <v>15.805363192871299</v>
      </c>
      <c r="AA235" s="11">
        <v>9.4865605457817708</v>
      </c>
      <c r="AB235" s="11">
        <v>24.3295899495577</v>
      </c>
      <c r="AC235" s="11">
        <v>5.5633080527147003</v>
      </c>
      <c r="AD235" s="11">
        <v>3.7838978813297102</v>
      </c>
      <c r="AE235" s="11">
        <v>16.0010869653469</v>
      </c>
      <c r="AF235" s="11">
        <v>9.3120175125993505</v>
      </c>
      <c r="AG235" s="11">
        <v>3.6751702632604601</v>
      </c>
      <c r="AH235" s="11">
        <v>5.5243339926958699</v>
      </c>
      <c r="AI235" s="11">
        <v>15.0854004786242</v>
      </c>
      <c r="AJ235" s="11">
        <v>18.2716421576954</v>
      </c>
      <c r="AK235" s="16">
        <v>-0.193537584428913</v>
      </c>
      <c r="AL235" s="16">
        <v>-1.12516278378051</v>
      </c>
      <c r="AM235" s="26">
        <v>0.77831727120997596</v>
      </c>
      <c r="AN235" s="27">
        <v>0.83519703989177596</v>
      </c>
      <c r="AO235" s="11">
        <v>10.8601917649063</v>
      </c>
      <c r="AP235" s="11">
        <v>9.6521071630333193</v>
      </c>
      <c r="AQ235" t="s">
        <v>5875</v>
      </c>
      <c r="AR235" t="s">
        <v>5832</v>
      </c>
      <c r="AS235" t="s">
        <v>4069</v>
      </c>
    </row>
    <row r="236" spans="1:45">
      <c r="A236" t="s">
        <v>4587</v>
      </c>
      <c r="B236" s="2">
        <v>7.3040000000000003</v>
      </c>
      <c r="C236" s="2">
        <v>7.226</v>
      </c>
      <c r="D236" s="2">
        <v>9.2650000000000006</v>
      </c>
      <c r="E236" s="2">
        <v>10</v>
      </c>
      <c r="F236" s="2">
        <v>8</v>
      </c>
      <c r="G236" s="2">
        <v>14.933</v>
      </c>
      <c r="H236" s="2">
        <v>11</v>
      </c>
      <c r="I236" s="2">
        <v>11</v>
      </c>
      <c r="J236" s="2">
        <v>10</v>
      </c>
      <c r="K236" s="2">
        <v>3</v>
      </c>
      <c r="L236" s="2">
        <v>16</v>
      </c>
      <c r="M236" s="2">
        <v>11</v>
      </c>
      <c r="N236" s="2">
        <v>13</v>
      </c>
      <c r="O236" s="2">
        <v>3</v>
      </c>
      <c r="P236" s="2">
        <v>9</v>
      </c>
      <c r="Q236" s="2">
        <v>12</v>
      </c>
      <c r="R236" s="2">
        <v>10</v>
      </c>
      <c r="S236" s="2">
        <v>8</v>
      </c>
      <c r="T236" s="2">
        <v>11</v>
      </c>
      <c r="U236" s="11">
        <v>8.8449967895935195</v>
      </c>
      <c r="V236" s="11">
        <v>6.9340616688776198</v>
      </c>
      <c r="W236" s="11">
        <v>14.887418254853999</v>
      </c>
      <c r="X236" s="11">
        <v>15.119217591532299</v>
      </c>
      <c r="Y236" s="11">
        <v>6.8814108794951396</v>
      </c>
      <c r="Z236" s="11">
        <v>13.8529359749284</v>
      </c>
      <c r="AA236" s="11">
        <v>11.594685111511</v>
      </c>
      <c r="AB236" s="11">
        <v>10.7050195778054</v>
      </c>
      <c r="AC236" s="11">
        <v>7.9475829324495697</v>
      </c>
      <c r="AD236" s="11">
        <v>10.0903943502126</v>
      </c>
      <c r="AE236" s="11">
        <v>8.8005978309407702</v>
      </c>
      <c r="AF236" s="11">
        <v>11.0051116057992</v>
      </c>
      <c r="AG236" s="11">
        <v>8.2691330923360304</v>
      </c>
      <c r="AH236" s="11">
        <v>9.4702868446214996</v>
      </c>
      <c r="AI236" s="11">
        <v>15.0854004786242</v>
      </c>
      <c r="AJ236" s="11">
        <v>16.749005311220799</v>
      </c>
      <c r="AK236" s="16">
        <v>-4.2197580378519603E-2</v>
      </c>
      <c r="AL236" s="16">
        <v>-1.0160406463551099</v>
      </c>
      <c r="AM236" s="26">
        <v>0.95654254775757297</v>
      </c>
      <c r="AN236" s="27">
        <v>0.97253338062282102</v>
      </c>
      <c r="AO236" s="11">
        <v>11.102468231074701</v>
      </c>
      <c r="AP236" s="11">
        <v>10.9271890557756</v>
      </c>
      <c r="AQ236" t="s">
        <v>5875</v>
      </c>
      <c r="AR236" t="s">
        <v>5832</v>
      </c>
      <c r="AS236" t="s">
        <v>4587</v>
      </c>
    </row>
    <row r="237" spans="1:45">
      <c r="A237" t="s">
        <v>1389</v>
      </c>
      <c r="B237" s="2">
        <v>12</v>
      </c>
      <c r="C237" s="2">
        <v>16</v>
      </c>
      <c r="D237" s="2">
        <v>22</v>
      </c>
      <c r="E237" s="2">
        <v>19</v>
      </c>
      <c r="F237" s="2">
        <v>17</v>
      </c>
      <c r="G237" s="2">
        <v>28</v>
      </c>
      <c r="H237" s="2">
        <v>19</v>
      </c>
      <c r="I237" s="2">
        <v>12</v>
      </c>
      <c r="J237" s="2">
        <v>2</v>
      </c>
      <c r="K237" s="2">
        <v>0</v>
      </c>
      <c r="L237" s="2">
        <v>3</v>
      </c>
      <c r="M237" s="2">
        <v>8</v>
      </c>
      <c r="N237" s="2">
        <v>3</v>
      </c>
      <c r="O237" s="2">
        <v>1</v>
      </c>
      <c r="P237" s="2">
        <v>2</v>
      </c>
      <c r="Q237" s="2">
        <v>9</v>
      </c>
      <c r="R237" s="2">
        <v>3</v>
      </c>
      <c r="S237" s="2">
        <v>3</v>
      </c>
      <c r="T237" s="2">
        <v>5</v>
      </c>
      <c r="U237" s="11">
        <v>14.5397207500168</v>
      </c>
      <c r="V237" s="11">
        <v>15.4090259308391</v>
      </c>
      <c r="W237" s="11">
        <v>35.217548559869698</v>
      </c>
      <c r="X237" s="11">
        <v>28.726513423911399</v>
      </c>
      <c r="Y237" s="11">
        <v>14.6229981189272</v>
      </c>
      <c r="Z237" s="11">
        <v>26.032362905905799</v>
      </c>
      <c r="AA237" s="11">
        <v>20.027183374428201</v>
      </c>
      <c r="AB237" s="11">
        <v>11.678203175787701</v>
      </c>
      <c r="AC237" s="11">
        <v>1.5895165864899099</v>
      </c>
      <c r="AD237" s="11">
        <v>1.89194894066486</v>
      </c>
      <c r="AE237" s="11">
        <v>6.4004347861387396</v>
      </c>
      <c r="AF237" s="11">
        <v>2.5396411397998202</v>
      </c>
      <c r="AG237" s="11">
        <v>1.8375851316302301</v>
      </c>
      <c r="AH237" s="11">
        <v>7.1027151334661296</v>
      </c>
      <c r="AI237" s="11">
        <v>4.5256201435872701</v>
      </c>
      <c r="AJ237" s="11">
        <v>7.6131842323730803</v>
      </c>
      <c r="AK237" s="16">
        <v>-2.3145785270302</v>
      </c>
      <c r="AL237" s="16">
        <v>-4.9626970110500999</v>
      </c>
      <c r="AM237" s="26">
        <v>2.7429352370650199E-8</v>
      </c>
      <c r="AN237" s="27">
        <v>2.1588513807017599E-7</v>
      </c>
      <c r="AO237" s="11">
        <v>20.781694529960699</v>
      </c>
      <c r="AP237" s="11">
        <v>4.1875807617687597</v>
      </c>
      <c r="AQ237" t="s">
        <v>5875</v>
      </c>
      <c r="AR237" t="s">
        <v>5876</v>
      </c>
      <c r="AS237" t="s">
        <v>1389</v>
      </c>
    </row>
    <row r="238" spans="1:45">
      <c r="A238" t="s">
        <v>1136</v>
      </c>
      <c r="B238" s="2">
        <v>13</v>
      </c>
      <c r="C238" s="2">
        <v>18</v>
      </c>
      <c r="D238" s="2">
        <v>15</v>
      </c>
      <c r="E238" s="2">
        <v>14</v>
      </c>
      <c r="F238" s="2">
        <v>13</v>
      </c>
      <c r="G238" s="2">
        <v>12</v>
      </c>
      <c r="H238" s="2">
        <v>16</v>
      </c>
      <c r="I238" s="2">
        <v>10</v>
      </c>
      <c r="J238" s="2">
        <v>7</v>
      </c>
      <c r="K238" s="2">
        <v>1</v>
      </c>
      <c r="L238" s="2">
        <v>9</v>
      </c>
      <c r="M238" s="2">
        <v>12</v>
      </c>
      <c r="N238" s="2">
        <v>7</v>
      </c>
      <c r="O238" s="2">
        <v>0</v>
      </c>
      <c r="P238" s="2">
        <v>3</v>
      </c>
      <c r="Q238" s="2">
        <v>12</v>
      </c>
      <c r="R238" s="2">
        <v>6</v>
      </c>
      <c r="S238" s="2">
        <v>4</v>
      </c>
      <c r="T238" s="2">
        <v>10</v>
      </c>
      <c r="U238" s="11">
        <v>15.7513641458515</v>
      </c>
      <c r="V238" s="11">
        <v>17.335154172193999</v>
      </c>
      <c r="W238" s="11">
        <v>24.0119649271839</v>
      </c>
      <c r="X238" s="11">
        <v>21.1669046281452</v>
      </c>
      <c r="Y238" s="11">
        <v>11.1822926791796</v>
      </c>
      <c r="Z238" s="11">
        <v>11.1567269596739</v>
      </c>
      <c r="AA238" s="11">
        <v>16.8649965258343</v>
      </c>
      <c r="AB238" s="11">
        <v>9.7318359798230603</v>
      </c>
      <c r="AC238" s="11">
        <v>5.5633080527147003</v>
      </c>
      <c r="AD238" s="11">
        <v>5.6758468219945701</v>
      </c>
      <c r="AE238" s="11">
        <v>9.6006521792081099</v>
      </c>
      <c r="AF238" s="11">
        <v>5.9258293261995796</v>
      </c>
      <c r="AG238" s="11">
        <v>2.7563776974453398</v>
      </c>
      <c r="AH238" s="11">
        <v>9.4702868446214996</v>
      </c>
      <c r="AI238" s="11">
        <v>9.0512402871745401</v>
      </c>
      <c r="AJ238" s="11">
        <v>15.2263684647462</v>
      </c>
      <c r="AK238" s="16">
        <v>-1.02254485125548</v>
      </c>
      <c r="AL238" s="16">
        <v>-2.0104539531205798</v>
      </c>
      <c r="AM238" s="26">
        <v>4.53780382901579E-3</v>
      </c>
      <c r="AN238" s="27">
        <v>8.9551349900046096E-3</v>
      </c>
      <c r="AO238" s="11">
        <v>15.900155002235699</v>
      </c>
      <c r="AP238" s="11">
        <v>7.9087387092630603</v>
      </c>
      <c r="AQ238" t="s">
        <v>5875</v>
      </c>
      <c r="AR238" t="s">
        <v>5876</v>
      </c>
      <c r="AS238" t="s">
        <v>1136</v>
      </c>
    </row>
    <row r="239" spans="1:45">
      <c r="A239" t="s">
        <v>1412</v>
      </c>
      <c r="B239" s="2">
        <v>6</v>
      </c>
      <c r="C239" s="2">
        <v>8</v>
      </c>
      <c r="D239" s="2">
        <v>9</v>
      </c>
      <c r="E239" s="2">
        <v>10</v>
      </c>
      <c r="F239" s="2">
        <v>11</v>
      </c>
      <c r="G239" s="2">
        <v>13</v>
      </c>
      <c r="H239" s="2">
        <v>9</v>
      </c>
      <c r="I239" s="2">
        <v>6</v>
      </c>
      <c r="J239" s="2">
        <v>7</v>
      </c>
      <c r="K239" s="2">
        <v>5</v>
      </c>
      <c r="L239" s="2">
        <v>9</v>
      </c>
      <c r="M239" s="2">
        <v>25</v>
      </c>
      <c r="N239" s="2">
        <v>11</v>
      </c>
      <c r="O239" s="2">
        <v>2</v>
      </c>
      <c r="P239" s="2">
        <v>6</v>
      </c>
      <c r="Q239" s="2">
        <v>12</v>
      </c>
      <c r="R239" s="2">
        <v>10</v>
      </c>
      <c r="S239" s="2">
        <v>9</v>
      </c>
      <c r="T239" s="2">
        <v>13</v>
      </c>
      <c r="U239" s="11">
        <v>7.2698603750083803</v>
      </c>
      <c r="V239" s="11">
        <v>7.7045129654195703</v>
      </c>
      <c r="W239" s="11">
        <v>14.4071789563103</v>
      </c>
      <c r="X239" s="11">
        <v>15.119217591532299</v>
      </c>
      <c r="Y239" s="11">
        <v>9.4619399593058091</v>
      </c>
      <c r="Z239" s="11">
        <v>12.0864542063134</v>
      </c>
      <c r="AA239" s="11">
        <v>9.4865605457817708</v>
      </c>
      <c r="AB239" s="11">
        <v>5.8391015878938397</v>
      </c>
      <c r="AC239" s="11">
        <v>5.5633080527147003</v>
      </c>
      <c r="AD239" s="11">
        <v>5.6758468219945701</v>
      </c>
      <c r="AE239" s="11">
        <v>20.0013587066836</v>
      </c>
      <c r="AF239" s="11">
        <v>9.3120175125993505</v>
      </c>
      <c r="AG239" s="11">
        <v>5.5127553948906796</v>
      </c>
      <c r="AH239" s="11">
        <v>9.4702868446214996</v>
      </c>
      <c r="AI239" s="11">
        <v>15.0854004786242</v>
      </c>
      <c r="AJ239" s="11">
        <v>19.794279004170001</v>
      </c>
      <c r="AK239" s="16">
        <v>0.13054354090613901</v>
      </c>
      <c r="AL239" s="16">
        <v>1.11109610984478</v>
      </c>
      <c r="AM239" s="26">
        <v>0.71368740089751503</v>
      </c>
      <c r="AN239" s="27">
        <v>0.78143514108091305</v>
      </c>
      <c r="AO239" s="11">
        <v>10.1718532734457</v>
      </c>
      <c r="AP239" s="11">
        <v>11.301906602037301</v>
      </c>
      <c r="AQ239" t="s">
        <v>5874</v>
      </c>
      <c r="AR239" t="s">
        <v>5832</v>
      </c>
      <c r="AS239" t="s">
        <v>1412</v>
      </c>
    </row>
    <row r="240" spans="1:45">
      <c r="A240" t="s">
        <v>3743</v>
      </c>
      <c r="B240" s="2">
        <v>10</v>
      </c>
      <c r="C240" s="2">
        <v>4</v>
      </c>
      <c r="D240" s="2">
        <v>11</v>
      </c>
      <c r="E240" s="2">
        <v>10</v>
      </c>
      <c r="F240" s="2">
        <v>12</v>
      </c>
      <c r="G240" s="2">
        <v>19</v>
      </c>
      <c r="H240" s="2">
        <v>3</v>
      </c>
      <c r="I240" s="2">
        <v>3</v>
      </c>
      <c r="J240" s="2">
        <v>14</v>
      </c>
      <c r="K240" s="2">
        <v>2</v>
      </c>
      <c r="L240" s="2">
        <v>20</v>
      </c>
      <c r="M240" s="2">
        <v>11</v>
      </c>
      <c r="N240" s="2">
        <v>13</v>
      </c>
      <c r="O240" s="2">
        <v>1</v>
      </c>
      <c r="P240" s="2">
        <v>12</v>
      </c>
      <c r="Q240" s="2">
        <v>12</v>
      </c>
      <c r="R240" s="2">
        <v>7</v>
      </c>
      <c r="S240" s="2">
        <v>8</v>
      </c>
      <c r="T240" s="2">
        <v>9</v>
      </c>
      <c r="U240" s="11">
        <v>12.116433958347301</v>
      </c>
      <c r="V240" s="11">
        <v>3.85225648270979</v>
      </c>
      <c r="W240" s="11">
        <v>17.608774279934799</v>
      </c>
      <c r="X240" s="11">
        <v>15.119217591532299</v>
      </c>
      <c r="Y240" s="11">
        <v>10.322116319242699</v>
      </c>
      <c r="Z240" s="11">
        <v>17.6648176861503</v>
      </c>
      <c r="AA240" s="11">
        <v>3.1621868485939202</v>
      </c>
      <c r="AB240" s="11">
        <v>2.9195507939469199</v>
      </c>
      <c r="AC240" s="11">
        <v>11.126616105429401</v>
      </c>
      <c r="AD240" s="11">
        <v>12.6129929377657</v>
      </c>
      <c r="AE240" s="11">
        <v>8.8005978309407702</v>
      </c>
      <c r="AF240" s="11">
        <v>11.0051116057992</v>
      </c>
      <c r="AG240" s="11">
        <v>11.0255107897814</v>
      </c>
      <c r="AH240" s="11">
        <v>9.4702868446214996</v>
      </c>
      <c r="AI240" s="11">
        <v>10.559780335037001</v>
      </c>
      <c r="AJ240" s="11">
        <v>13.7037316182716</v>
      </c>
      <c r="AK240" s="16">
        <v>0.121363074957426</v>
      </c>
      <c r="AL240" s="16">
        <v>1.06692745022071</v>
      </c>
      <c r="AM240" s="26">
        <v>0.78729259335090795</v>
      </c>
      <c r="AN240" s="27">
        <v>0.84002989625479596</v>
      </c>
      <c r="AO240" s="11">
        <v>10.3456692450573</v>
      </c>
      <c r="AP240" s="11">
        <v>11.038078508455801</v>
      </c>
      <c r="AQ240" t="s">
        <v>5874</v>
      </c>
      <c r="AR240" t="s">
        <v>5832</v>
      </c>
      <c r="AS240" t="s">
        <v>3743</v>
      </c>
    </row>
    <row r="241" spans="1:45">
      <c r="A241" t="s">
        <v>993</v>
      </c>
      <c r="B241" s="2">
        <v>12</v>
      </c>
      <c r="C241" s="2">
        <v>20</v>
      </c>
      <c r="D241" s="2">
        <v>12</v>
      </c>
      <c r="E241" s="2">
        <v>18</v>
      </c>
      <c r="F241" s="2">
        <v>15</v>
      </c>
      <c r="G241" s="2">
        <v>17</v>
      </c>
      <c r="H241" s="2">
        <v>17</v>
      </c>
      <c r="I241" s="2">
        <v>8</v>
      </c>
      <c r="J241" s="2">
        <v>13</v>
      </c>
      <c r="K241" s="2">
        <v>2</v>
      </c>
      <c r="L241" s="2">
        <v>12</v>
      </c>
      <c r="M241" s="2">
        <v>4</v>
      </c>
      <c r="N241" s="2">
        <v>6</v>
      </c>
      <c r="O241" s="2">
        <v>1</v>
      </c>
      <c r="P241" s="2">
        <v>7</v>
      </c>
      <c r="Q241" s="2">
        <v>4</v>
      </c>
      <c r="R241" s="2">
        <v>4</v>
      </c>
      <c r="S241" s="2">
        <v>0</v>
      </c>
      <c r="T241" s="2">
        <v>6</v>
      </c>
      <c r="U241" s="11">
        <v>14.5397207500168</v>
      </c>
      <c r="V241" s="11">
        <v>19.261282413548901</v>
      </c>
      <c r="W241" s="11">
        <v>19.2095719417471</v>
      </c>
      <c r="X241" s="11">
        <v>27.2145916647581</v>
      </c>
      <c r="Y241" s="11">
        <v>12.9026453990534</v>
      </c>
      <c r="Z241" s="11">
        <v>15.805363192871299</v>
      </c>
      <c r="AA241" s="11">
        <v>17.9190588086989</v>
      </c>
      <c r="AB241" s="11">
        <v>7.78546878385845</v>
      </c>
      <c r="AC241" s="11">
        <v>10.331857812184399</v>
      </c>
      <c r="AD241" s="11">
        <v>7.5677957626594301</v>
      </c>
      <c r="AE241" s="11">
        <v>3.2002173930693698</v>
      </c>
      <c r="AF241" s="11">
        <v>5.0792822795996404</v>
      </c>
      <c r="AG241" s="11">
        <v>6.4315479607058004</v>
      </c>
      <c r="AH241" s="11">
        <v>3.1567622815404999</v>
      </c>
      <c r="AI241" s="11">
        <v>6.0341601914496898</v>
      </c>
      <c r="AJ241" s="11">
        <v>9.1358210788476999</v>
      </c>
      <c r="AK241" s="16">
        <v>-1.38126283957851</v>
      </c>
      <c r="AL241" s="16">
        <v>-2.6431970348879998</v>
      </c>
      <c r="AM241" s="26">
        <v>8.1865153718071302E-5</v>
      </c>
      <c r="AN241" s="27">
        <v>2.3708999063805101E-4</v>
      </c>
      <c r="AO241" s="11">
        <v>16.829712869319099</v>
      </c>
      <c r="AP241" s="11">
        <v>6.3671805950070697</v>
      </c>
      <c r="AQ241" t="s">
        <v>5875</v>
      </c>
      <c r="AR241" t="s">
        <v>5876</v>
      </c>
      <c r="AS241" t="s">
        <v>993</v>
      </c>
    </row>
    <row r="242" spans="1:45">
      <c r="A242" t="s">
        <v>1539</v>
      </c>
      <c r="B242" s="2">
        <v>8</v>
      </c>
      <c r="C242" s="2">
        <v>4.5709999999999997</v>
      </c>
      <c r="D242" s="2">
        <v>0.5</v>
      </c>
      <c r="E242" s="2">
        <v>2</v>
      </c>
      <c r="F242" s="2">
        <v>10.5</v>
      </c>
      <c r="G242" s="2">
        <v>10.667</v>
      </c>
      <c r="H242" s="2">
        <v>16</v>
      </c>
      <c r="I242" s="2">
        <v>24.827999999999999</v>
      </c>
      <c r="J242" s="2">
        <v>13.722</v>
      </c>
      <c r="K242" s="2">
        <v>0</v>
      </c>
      <c r="L242" s="2">
        <v>25.780999999999999</v>
      </c>
      <c r="M242" s="2">
        <v>8.8889999999999993</v>
      </c>
      <c r="N242" s="2">
        <v>12.8</v>
      </c>
      <c r="O242" s="2">
        <v>3</v>
      </c>
      <c r="P242" s="2">
        <v>6.6</v>
      </c>
      <c r="Q242" s="2">
        <v>16.5</v>
      </c>
      <c r="R242" s="2">
        <v>2.6669999999999998</v>
      </c>
      <c r="S242" s="2">
        <v>7</v>
      </c>
      <c r="T242" s="2">
        <v>1</v>
      </c>
      <c r="U242" s="11">
        <v>9.6931471666778304</v>
      </c>
      <c r="V242" s="11">
        <v>4.4300949551162496</v>
      </c>
      <c r="W242" s="11">
        <v>0.80039883090612896</v>
      </c>
      <c r="X242" s="11">
        <v>3.0238435183064598</v>
      </c>
      <c r="Y242" s="11">
        <v>9.0318517793373694</v>
      </c>
      <c r="Z242" s="11">
        <v>9.9480815390425494</v>
      </c>
      <c r="AA242" s="11">
        <v>16.8649965258343</v>
      </c>
      <c r="AB242" s="11">
        <v>24.134953229961202</v>
      </c>
      <c r="AC242" s="11">
        <v>10.888188617455899</v>
      </c>
      <c r="AD242" s="11">
        <v>16.270760889717799</v>
      </c>
      <c r="AE242" s="11">
        <v>7.1204836995793501</v>
      </c>
      <c r="AF242" s="11">
        <v>10.8358021964792</v>
      </c>
      <c r="AG242" s="11">
        <v>6.0640309343797503</v>
      </c>
      <c r="AH242" s="11">
        <v>13.0216444113546</v>
      </c>
      <c r="AI242" s="11">
        <v>4.0730581292285404</v>
      </c>
      <c r="AJ242" s="11">
        <v>1.5226368464746201</v>
      </c>
      <c r="AK242" s="16">
        <v>-0.14257882438737601</v>
      </c>
      <c r="AL242" s="16">
        <v>-1.1164922238852999</v>
      </c>
      <c r="AM242" s="26">
        <v>0.78274884316374604</v>
      </c>
      <c r="AN242" s="27">
        <v>0.83651593622451403</v>
      </c>
      <c r="AO242" s="11">
        <v>9.7409209431477493</v>
      </c>
      <c r="AP242" s="11">
        <v>8.72457571558372</v>
      </c>
      <c r="AQ242" t="s">
        <v>5875</v>
      </c>
      <c r="AR242" t="s">
        <v>5832</v>
      </c>
      <c r="AS242" t="s">
        <v>1539</v>
      </c>
    </row>
    <row r="243" spans="1:45">
      <c r="A243" t="s">
        <v>735</v>
      </c>
      <c r="B243" s="2">
        <v>27</v>
      </c>
      <c r="C243" s="2">
        <v>19</v>
      </c>
      <c r="D243" s="2">
        <v>20</v>
      </c>
      <c r="E243" s="2">
        <v>16</v>
      </c>
      <c r="F243" s="2">
        <v>15</v>
      </c>
      <c r="G243" s="2">
        <v>20</v>
      </c>
      <c r="H243" s="2">
        <v>13</v>
      </c>
      <c r="I243" s="2">
        <v>7</v>
      </c>
      <c r="J243" s="2">
        <v>1</v>
      </c>
      <c r="K243" s="2">
        <v>0</v>
      </c>
      <c r="L243" s="2">
        <v>4</v>
      </c>
      <c r="M243" s="2">
        <v>13</v>
      </c>
      <c r="N243" s="2">
        <v>2</v>
      </c>
      <c r="O243" s="2">
        <v>0</v>
      </c>
      <c r="P243" s="2">
        <v>2</v>
      </c>
      <c r="Q243" s="2">
        <v>8</v>
      </c>
      <c r="R243" s="2">
        <v>2</v>
      </c>
      <c r="S243" s="2">
        <v>2</v>
      </c>
      <c r="T243" s="2">
        <v>4</v>
      </c>
      <c r="U243" s="11">
        <v>32.7143716875377</v>
      </c>
      <c r="V243" s="11">
        <v>18.2982182928715</v>
      </c>
      <c r="W243" s="11">
        <v>32.015953236245203</v>
      </c>
      <c r="X243" s="11">
        <v>24.1907481464517</v>
      </c>
      <c r="Y243" s="11">
        <v>12.9026453990534</v>
      </c>
      <c r="Z243" s="11">
        <v>18.594544932789798</v>
      </c>
      <c r="AA243" s="11">
        <v>13.7028096772403</v>
      </c>
      <c r="AB243" s="11">
        <v>6.8122851858761404</v>
      </c>
      <c r="AC243" s="11">
        <v>0.79475829324495695</v>
      </c>
      <c r="AD243" s="11">
        <v>2.5225985875531398</v>
      </c>
      <c r="AE243" s="11">
        <v>10.400706527475499</v>
      </c>
      <c r="AF243" s="11">
        <v>1.6930940931998799</v>
      </c>
      <c r="AG243" s="11">
        <v>1.8375851316302301</v>
      </c>
      <c r="AH243" s="11">
        <v>6.3135245630809997</v>
      </c>
      <c r="AI243" s="11">
        <v>3.0170800957248498</v>
      </c>
      <c r="AJ243" s="11">
        <v>6.0905473858984696</v>
      </c>
      <c r="AK243" s="16">
        <v>-2.2433926837373499</v>
      </c>
      <c r="AL243" s="16">
        <v>-4.87395438915292</v>
      </c>
      <c r="AM243" s="26">
        <v>1.9341773521974299E-6</v>
      </c>
      <c r="AN243" s="27">
        <v>8.5693023087422505E-6</v>
      </c>
      <c r="AO243" s="11">
        <v>19.9039470697582</v>
      </c>
      <c r="AP243" s="11">
        <v>4.0837368347260004</v>
      </c>
      <c r="AQ243" t="s">
        <v>5875</v>
      </c>
      <c r="AR243" t="s">
        <v>5876</v>
      </c>
      <c r="AS243" t="s">
        <v>735</v>
      </c>
    </row>
    <row r="244" spans="1:45">
      <c r="A244" t="s">
        <v>3498</v>
      </c>
      <c r="B244" s="2">
        <v>10</v>
      </c>
      <c r="C244" s="2">
        <v>10</v>
      </c>
      <c r="D244" s="2">
        <v>10</v>
      </c>
      <c r="E244" s="2">
        <v>13</v>
      </c>
      <c r="F244" s="2">
        <v>2</v>
      </c>
      <c r="G244" s="2">
        <v>10</v>
      </c>
      <c r="H244" s="2">
        <v>6</v>
      </c>
      <c r="I244" s="2">
        <v>6</v>
      </c>
      <c r="J244" s="2">
        <v>10</v>
      </c>
      <c r="K244" s="2">
        <v>0</v>
      </c>
      <c r="L244" s="2">
        <v>26</v>
      </c>
      <c r="M244" s="2">
        <v>15</v>
      </c>
      <c r="N244" s="2">
        <v>10</v>
      </c>
      <c r="O244" s="2">
        <v>0</v>
      </c>
      <c r="P244" s="2">
        <v>5</v>
      </c>
      <c r="Q244" s="2">
        <v>22</v>
      </c>
      <c r="R244" s="2">
        <v>5</v>
      </c>
      <c r="S244" s="2">
        <v>4</v>
      </c>
      <c r="T244" s="2">
        <v>9</v>
      </c>
      <c r="U244" s="11">
        <v>12.116433958347301</v>
      </c>
      <c r="V244" s="11">
        <v>9.6306412067744702</v>
      </c>
      <c r="W244" s="11">
        <v>16.007976618122601</v>
      </c>
      <c r="X244" s="11">
        <v>19.654982868992001</v>
      </c>
      <c r="Y244" s="11">
        <v>1.72035271987378</v>
      </c>
      <c r="Z244" s="11">
        <v>9.2972724663949098</v>
      </c>
      <c r="AA244" s="11">
        <v>6.3243736971878404</v>
      </c>
      <c r="AB244" s="11">
        <v>5.8391015878938397</v>
      </c>
      <c r="AC244" s="11">
        <v>7.9475829324495697</v>
      </c>
      <c r="AD244" s="11">
        <v>16.3968908190954</v>
      </c>
      <c r="AE244" s="11">
        <v>12.0008152240101</v>
      </c>
      <c r="AF244" s="11">
        <v>8.4654704659994096</v>
      </c>
      <c r="AG244" s="11">
        <v>4.5939628290755703</v>
      </c>
      <c r="AH244" s="11">
        <v>17.362192548472699</v>
      </c>
      <c r="AI244" s="11">
        <v>7.5427002393121096</v>
      </c>
      <c r="AJ244" s="11">
        <v>13.7037316182716</v>
      </c>
      <c r="AK244" s="16">
        <v>0.18956803943123099</v>
      </c>
      <c r="AL244" s="16">
        <v>1.0920971213734301</v>
      </c>
      <c r="AM244" s="26">
        <v>0.73136215445998898</v>
      </c>
      <c r="AN244" s="27">
        <v>0.795579319241842</v>
      </c>
      <c r="AO244" s="11">
        <v>10.0738918904483</v>
      </c>
      <c r="AP244" s="11">
        <v>11.0016683345858</v>
      </c>
      <c r="AQ244" t="s">
        <v>5874</v>
      </c>
      <c r="AR244" t="s">
        <v>5832</v>
      </c>
      <c r="AS244" t="s">
        <v>3498</v>
      </c>
    </row>
    <row r="245" spans="1:45">
      <c r="A245" t="s">
        <v>4650</v>
      </c>
      <c r="B245" s="2">
        <v>0</v>
      </c>
      <c r="C245" s="2">
        <v>4</v>
      </c>
      <c r="D245" s="2">
        <v>0</v>
      </c>
      <c r="E245" s="2">
        <v>0</v>
      </c>
      <c r="F245" s="2">
        <v>1.25</v>
      </c>
      <c r="G245" s="2">
        <v>0</v>
      </c>
      <c r="H245" s="2">
        <v>3</v>
      </c>
      <c r="I245" s="2">
        <v>4</v>
      </c>
      <c r="J245" s="2">
        <v>40.865000000000002</v>
      </c>
      <c r="K245" s="2">
        <v>4</v>
      </c>
      <c r="L245" s="2">
        <v>24.652000000000001</v>
      </c>
      <c r="M245" s="2">
        <v>21.818000000000001</v>
      </c>
      <c r="N245" s="2">
        <v>25.654</v>
      </c>
      <c r="O245" s="2">
        <v>7</v>
      </c>
      <c r="P245" s="2">
        <v>13.929</v>
      </c>
      <c r="Q245" s="2">
        <v>7</v>
      </c>
      <c r="R245" s="2">
        <v>10</v>
      </c>
      <c r="S245" s="2">
        <v>2</v>
      </c>
      <c r="T245" s="2">
        <v>3</v>
      </c>
      <c r="U245" s="11">
        <v>0.30291084895868198</v>
      </c>
      <c r="V245" s="11">
        <v>3.85225648270979</v>
      </c>
      <c r="W245" s="11">
        <v>0.40019941545306398</v>
      </c>
      <c r="X245" s="11">
        <v>0.37798043978830698</v>
      </c>
      <c r="Y245" s="11">
        <v>1.11822926791796</v>
      </c>
      <c r="Z245" s="11">
        <v>0.23243181165987301</v>
      </c>
      <c r="AA245" s="11">
        <v>3.1621868485939202</v>
      </c>
      <c r="AB245" s="11">
        <v>3.8927343919292201</v>
      </c>
      <c r="AC245" s="11">
        <v>32.505614193718699</v>
      </c>
      <c r="AD245" s="11">
        <v>15.577046278140701</v>
      </c>
      <c r="AE245" s="11">
        <v>17.4411847922281</v>
      </c>
      <c r="AF245" s="11">
        <v>21.7562590976185</v>
      </c>
      <c r="AG245" s="11">
        <v>12.771216664830099</v>
      </c>
      <c r="AH245" s="11">
        <v>5.5243339926958699</v>
      </c>
      <c r="AI245" s="11">
        <v>15.0854004786242</v>
      </c>
      <c r="AJ245" s="11">
        <v>4.5679105394238499</v>
      </c>
      <c r="AK245" s="16">
        <v>3.07705112572273</v>
      </c>
      <c r="AL245" s="16">
        <v>9.3882320894987004</v>
      </c>
      <c r="AM245" s="26">
        <v>1.37812691104549E-8</v>
      </c>
      <c r="AN245" s="27">
        <v>1.2459012209316701E-7</v>
      </c>
      <c r="AO245" s="11">
        <v>1.66736618837635</v>
      </c>
      <c r="AP245" s="11">
        <v>15.65362075466</v>
      </c>
      <c r="AQ245" t="s">
        <v>5874</v>
      </c>
      <c r="AR245" t="s">
        <v>5876</v>
      </c>
      <c r="AS245" t="s">
        <v>4650</v>
      </c>
    </row>
    <row r="246" spans="1:45">
      <c r="A246" t="s">
        <v>3185</v>
      </c>
      <c r="B246" s="2">
        <v>14</v>
      </c>
      <c r="C246" s="2">
        <v>29</v>
      </c>
      <c r="D246" s="2">
        <v>1</v>
      </c>
      <c r="E246" s="2">
        <v>15</v>
      </c>
      <c r="F246" s="2">
        <v>29</v>
      </c>
      <c r="G246" s="2">
        <v>26</v>
      </c>
      <c r="H246" s="2">
        <v>21</v>
      </c>
      <c r="I246" s="2">
        <v>11</v>
      </c>
      <c r="J246" s="2">
        <v>0</v>
      </c>
      <c r="K246" s="2">
        <v>0</v>
      </c>
      <c r="L246" s="2">
        <v>1</v>
      </c>
      <c r="M246" s="2">
        <v>0</v>
      </c>
      <c r="N246" s="2">
        <v>1</v>
      </c>
      <c r="O246" s="2">
        <v>0</v>
      </c>
      <c r="P246" s="2">
        <v>0</v>
      </c>
      <c r="Q246" s="2">
        <v>3</v>
      </c>
      <c r="R246" s="2">
        <v>16</v>
      </c>
      <c r="S246" s="2">
        <v>0</v>
      </c>
      <c r="T246" s="2">
        <v>3</v>
      </c>
      <c r="U246" s="11">
        <v>16.963007541686199</v>
      </c>
      <c r="V246" s="11">
        <v>27.928859499645998</v>
      </c>
      <c r="W246" s="11">
        <v>1.6007976618122599</v>
      </c>
      <c r="X246" s="11">
        <v>22.6788263872984</v>
      </c>
      <c r="Y246" s="11">
        <v>24.945114438169899</v>
      </c>
      <c r="Z246" s="11">
        <v>24.1729084126268</v>
      </c>
      <c r="AA246" s="11">
        <v>22.135307940157499</v>
      </c>
      <c r="AB246" s="11">
        <v>10.7050195778054</v>
      </c>
      <c r="AC246" s="11">
        <v>0.19868957331123899</v>
      </c>
      <c r="AD246" s="11">
        <v>0.63064964688828595</v>
      </c>
      <c r="AE246" s="11">
        <v>0.200013587066836</v>
      </c>
      <c r="AF246" s="11">
        <v>0.84654704659994096</v>
      </c>
      <c r="AG246" s="11">
        <v>0.22969814145377901</v>
      </c>
      <c r="AH246" s="11">
        <v>2.36757171115537</v>
      </c>
      <c r="AI246" s="11">
        <v>24.136640765798798</v>
      </c>
      <c r="AJ246" s="11">
        <v>4.5679105394238499</v>
      </c>
      <c r="AK246" s="16">
        <v>-2.2974112636999999</v>
      </c>
      <c r="AL246" s="16">
        <v>-4.5551604164106303</v>
      </c>
      <c r="AM246" s="26">
        <v>3.6991800296078299E-3</v>
      </c>
      <c r="AN246" s="27">
        <v>7.36533166609416E-3</v>
      </c>
      <c r="AO246" s="11">
        <v>18.891230182400299</v>
      </c>
      <c r="AP246" s="11">
        <v>4.1472151264622603</v>
      </c>
      <c r="AQ246" t="s">
        <v>5875</v>
      </c>
      <c r="AR246" t="s">
        <v>5876</v>
      </c>
      <c r="AS246" t="s">
        <v>3185</v>
      </c>
    </row>
    <row r="247" spans="1:45">
      <c r="A247" t="s">
        <v>4912</v>
      </c>
      <c r="B247" s="2">
        <v>6</v>
      </c>
      <c r="C247" s="2">
        <v>1</v>
      </c>
      <c r="D247" s="2">
        <v>1</v>
      </c>
      <c r="E247" s="2">
        <v>0</v>
      </c>
      <c r="F247" s="2">
        <v>3</v>
      </c>
      <c r="G247" s="2">
        <v>5</v>
      </c>
      <c r="H247" s="2">
        <v>3</v>
      </c>
      <c r="I247" s="2">
        <v>17</v>
      </c>
      <c r="J247" s="2">
        <v>27</v>
      </c>
      <c r="K247" s="2">
        <v>0</v>
      </c>
      <c r="L247" s="2">
        <v>37</v>
      </c>
      <c r="M247" s="2">
        <v>5</v>
      </c>
      <c r="N247" s="2">
        <v>23</v>
      </c>
      <c r="O247" s="2">
        <v>0</v>
      </c>
      <c r="P247" s="2">
        <v>21</v>
      </c>
      <c r="Q247" s="2">
        <v>14</v>
      </c>
      <c r="R247" s="2">
        <v>1</v>
      </c>
      <c r="S247" s="2">
        <v>2</v>
      </c>
      <c r="T247" s="2">
        <v>4</v>
      </c>
      <c r="U247" s="11">
        <v>7.2698603750083803</v>
      </c>
      <c r="V247" s="11">
        <v>0.96306412067744696</v>
      </c>
      <c r="W247" s="11">
        <v>1.6007976618122599</v>
      </c>
      <c r="X247" s="11">
        <v>0.37798043978830698</v>
      </c>
      <c r="Y247" s="11">
        <v>2.5805290798106801</v>
      </c>
      <c r="Z247" s="11">
        <v>4.6486362331974602</v>
      </c>
      <c r="AA247" s="11">
        <v>3.1621868485939202</v>
      </c>
      <c r="AB247" s="11">
        <v>16.544121165699199</v>
      </c>
      <c r="AC247" s="11">
        <v>21.458473917613802</v>
      </c>
      <c r="AD247" s="11">
        <v>23.334036934866599</v>
      </c>
      <c r="AE247" s="11">
        <v>4.0002717413367099</v>
      </c>
      <c r="AF247" s="11">
        <v>19.470582071798599</v>
      </c>
      <c r="AG247" s="11">
        <v>19.294643882117398</v>
      </c>
      <c r="AH247" s="11">
        <v>11.048667985391701</v>
      </c>
      <c r="AI247" s="11">
        <v>1.50854004786242</v>
      </c>
      <c r="AJ247" s="11">
        <v>6.0905473858984696</v>
      </c>
      <c r="AK247" s="16">
        <v>1.48215188762684</v>
      </c>
      <c r="AL247" s="16">
        <v>2.8590535168136002</v>
      </c>
      <c r="AM247" s="26">
        <v>1.25079016465863E-2</v>
      </c>
      <c r="AN247" s="27">
        <v>2.25546797885883E-2</v>
      </c>
      <c r="AO247" s="11">
        <v>4.6433969905734598</v>
      </c>
      <c r="AP247" s="11">
        <v>13.2757204958607</v>
      </c>
      <c r="AQ247" t="s">
        <v>5874</v>
      </c>
      <c r="AR247" t="s">
        <v>5878</v>
      </c>
      <c r="AS247" t="s">
        <v>4912</v>
      </c>
    </row>
    <row r="248" spans="1:45">
      <c r="A248" t="s">
        <v>1904</v>
      </c>
      <c r="B248" s="2">
        <v>13</v>
      </c>
      <c r="C248" s="2">
        <v>9.25</v>
      </c>
      <c r="D248" s="2">
        <v>5.25</v>
      </c>
      <c r="E248" s="2">
        <v>13.25</v>
      </c>
      <c r="F248" s="2">
        <v>33.000999999999998</v>
      </c>
      <c r="G248" s="2">
        <v>30.25</v>
      </c>
      <c r="H248" s="2">
        <v>32.25</v>
      </c>
      <c r="I248" s="2">
        <v>13.25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20.25</v>
      </c>
      <c r="S248" s="2">
        <v>0</v>
      </c>
      <c r="T248" s="2">
        <v>0</v>
      </c>
      <c r="U248" s="11">
        <v>15.7513641458515</v>
      </c>
      <c r="V248" s="11">
        <v>8.9564963223002607</v>
      </c>
      <c r="W248" s="11">
        <v>8.4842276076049696</v>
      </c>
      <c r="X248" s="11">
        <v>20.108559396737999</v>
      </c>
      <c r="Y248" s="11">
        <v>28.385819877917399</v>
      </c>
      <c r="Z248" s="11">
        <v>28.1707355731766</v>
      </c>
      <c r="AA248" s="11">
        <v>34.046211736527901</v>
      </c>
      <c r="AB248" s="11">
        <v>12.9433418531647</v>
      </c>
      <c r="AC248" s="11">
        <v>0.19868957331123899</v>
      </c>
      <c r="AD248" s="11">
        <v>0.15766241172207099</v>
      </c>
      <c r="AE248" s="11">
        <v>0.200013587066836</v>
      </c>
      <c r="AF248" s="11">
        <v>0.21163676164998499</v>
      </c>
      <c r="AG248" s="11">
        <v>0.22969814145377901</v>
      </c>
      <c r="AH248" s="11">
        <v>0.19729764259628099</v>
      </c>
      <c r="AI248" s="11">
        <v>30.6233629716072</v>
      </c>
      <c r="AJ248" s="11">
        <v>0.38065921161865401</v>
      </c>
      <c r="AK248" s="16">
        <v>-2.3697780080246802</v>
      </c>
      <c r="AL248" s="16">
        <v>-4.8711654903451604</v>
      </c>
      <c r="AM248" s="26">
        <v>1.28305243393282E-2</v>
      </c>
      <c r="AN248" s="27">
        <v>2.30742494166951E-2</v>
      </c>
      <c r="AO248" s="11">
        <v>19.605844564160201</v>
      </c>
      <c r="AP248" s="11">
        <v>4.0248775376282504</v>
      </c>
      <c r="AQ248" t="s">
        <v>5875</v>
      </c>
      <c r="AR248" t="s">
        <v>5878</v>
      </c>
      <c r="AS248" t="s">
        <v>1904</v>
      </c>
    </row>
    <row r="249" spans="1:45">
      <c r="A249" t="s">
        <v>5137</v>
      </c>
      <c r="B249" s="2">
        <v>13</v>
      </c>
      <c r="C249" s="2">
        <v>5</v>
      </c>
      <c r="D249" s="2">
        <v>3</v>
      </c>
      <c r="E249" s="2">
        <v>4</v>
      </c>
      <c r="F249" s="2">
        <v>5</v>
      </c>
      <c r="G249" s="2">
        <v>4</v>
      </c>
      <c r="H249" s="2">
        <v>6</v>
      </c>
      <c r="I249" s="2">
        <v>14</v>
      </c>
      <c r="J249" s="2">
        <v>8</v>
      </c>
      <c r="K249" s="2">
        <v>0</v>
      </c>
      <c r="L249" s="2">
        <v>27</v>
      </c>
      <c r="M249" s="2">
        <v>18</v>
      </c>
      <c r="N249" s="2">
        <v>14</v>
      </c>
      <c r="O249" s="2">
        <v>0</v>
      </c>
      <c r="P249" s="2">
        <v>10</v>
      </c>
      <c r="Q249" s="2">
        <v>23</v>
      </c>
      <c r="R249" s="2">
        <v>3</v>
      </c>
      <c r="S249" s="2">
        <v>6</v>
      </c>
      <c r="T249" s="2">
        <v>6</v>
      </c>
      <c r="U249" s="11">
        <v>15.7513641458515</v>
      </c>
      <c r="V249" s="11">
        <v>4.8153206033872298</v>
      </c>
      <c r="W249" s="11">
        <v>4.8023929854367697</v>
      </c>
      <c r="X249" s="11">
        <v>6.0476870366129196</v>
      </c>
      <c r="Y249" s="11">
        <v>4.3008817996844604</v>
      </c>
      <c r="Z249" s="11">
        <v>3.7189089865579601</v>
      </c>
      <c r="AA249" s="11">
        <v>6.3243736971878404</v>
      </c>
      <c r="AB249" s="11">
        <v>13.6245703717523</v>
      </c>
      <c r="AC249" s="11">
        <v>6.35806634595966</v>
      </c>
      <c r="AD249" s="11">
        <v>17.027540465983702</v>
      </c>
      <c r="AE249" s="11">
        <v>14.400978268812199</v>
      </c>
      <c r="AF249" s="11">
        <v>11.8516586523992</v>
      </c>
      <c r="AG249" s="11">
        <v>9.1879256581511406</v>
      </c>
      <c r="AH249" s="11">
        <v>18.1513831188579</v>
      </c>
      <c r="AI249" s="11">
        <v>4.5256201435872701</v>
      </c>
      <c r="AJ249" s="11">
        <v>9.1358210788476999</v>
      </c>
      <c r="AK249" s="16">
        <v>0.639826569875239</v>
      </c>
      <c r="AL249" s="16">
        <v>1.5262815721465499</v>
      </c>
      <c r="AM249" s="26">
        <v>0.131703855115262</v>
      </c>
      <c r="AN249" s="27">
        <v>0.18092377632876899</v>
      </c>
      <c r="AO249" s="11">
        <v>7.42318745330887</v>
      </c>
      <c r="AP249" s="11">
        <v>11.329874216574799</v>
      </c>
      <c r="AQ249" t="s">
        <v>5874</v>
      </c>
      <c r="AR249" t="s">
        <v>5832</v>
      </c>
      <c r="AS249" t="s">
        <v>5137</v>
      </c>
    </row>
    <row r="250" spans="1:45">
      <c r="A250" t="s">
        <v>5132</v>
      </c>
      <c r="B250" s="2">
        <v>9</v>
      </c>
      <c r="C250" s="2">
        <v>17</v>
      </c>
      <c r="D250" s="2">
        <v>12</v>
      </c>
      <c r="E250" s="2">
        <v>15</v>
      </c>
      <c r="F250" s="2">
        <v>15</v>
      </c>
      <c r="G250" s="2">
        <v>15.938000000000001</v>
      </c>
      <c r="H250" s="2">
        <v>9</v>
      </c>
      <c r="I250" s="2">
        <v>2</v>
      </c>
      <c r="J250" s="2">
        <v>3</v>
      </c>
      <c r="K250" s="2">
        <v>1</v>
      </c>
      <c r="L250" s="2">
        <v>12</v>
      </c>
      <c r="M250" s="2">
        <v>9</v>
      </c>
      <c r="N250" s="2">
        <v>17</v>
      </c>
      <c r="O250" s="2">
        <v>2</v>
      </c>
      <c r="P250" s="2">
        <v>7</v>
      </c>
      <c r="Q250" s="2">
        <v>17.773</v>
      </c>
      <c r="R250" s="2">
        <v>3</v>
      </c>
      <c r="S250" s="2">
        <v>0</v>
      </c>
      <c r="T250" s="2">
        <v>1</v>
      </c>
      <c r="U250" s="11">
        <v>10.9047905625126</v>
      </c>
      <c r="V250" s="11">
        <v>16.372090051516601</v>
      </c>
      <c r="W250" s="11">
        <v>19.2095719417471</v>
      </c>
      <c r="X250" s="11">
        <v>22.6788263872984</v>
      </c>
      <c r="Y250" s="11">
        <v>12.9026453990534</v>
      </c>
      <c r="Z250" s="11">
        <v>14.782663221567899</v>
      </c>
      <c r="AA250" s="11">
        <v>9.4865605457817708</v>
      </c>
      <c r="AB250" s="11">
        <v>1.9463671959646101</v>
      </c>
      <c r="AC250" s="11">
        <v>2.3842748797348698</v>
      </c>
      <c r="AD250" s="11">
        <v>7.5677957626594301</v>
      </c>
      <c r="AE250" s="11">
        <v>7.2004891344060802</v>
      </c>
      <c r="AF250" s="11">
        <v>14.391299792199</v>
      </c>
      <c r="AG250" s="11">
        <v>6.4315479607058004</v>
      </c>
      <c r="AH250" s="11">
        <v>14.0475921528552</v>
      </c>
      <c r="AI250" s="11">
        <v>4.5256201435872701</v>
      </c>
      <c r="AJ250" s="11">
        <v>1.5226368464746201</v>
      </c>
      <c r="AK250" s="16">
        <v>-0.82843420290049896</v>
      </c>
      <c r="AL250" s="16">
        <v>-1.8646662998166601</v>
      </c>
      <c r="AM250" s="26">
        <v>5.8622269260190402E-2</v>
      </c>
      <c r="AN250" s="27">
        <v>8.8729181301057405E-2</v>
      </c>
      <c r="AO250" s="11">
        <v>13.535439413180301</v>
      </c>
      <c r="AP250" s="11">
        <v>7.2589070840777898</v>
      </c>
      <c r="AQ250" t="s">
        <v>5875</v>
      </c>
      <c r="AR250" t="s">
        <v>5877</v>
      </c>
      <c r="AS250" t="s">
        <v>5132</v>
      </c>
    </row>
    <row r="251" spans="1:45">
      <c r="A251" t="s">
        <v>988</v>
      </c>
      <c r="B251" s="2">
        <v>7</v>
      </c>
      <c r="C251" s="2">
        <v>21</v>
      </c>
      <c r="D251" s="2">
        <v>2</v>
      </c>
      <c r="E251" s="2">
        <v>3</v>
      </c>
      <c r="F251" s="2">
        <v>15</v>
      </c>
      <c r="G251" s="2">
        <v>11</v>
      </c>
      <c r="H251" s="2">
        <v>5</v>
      </c>
      <c r="I251" s="2">
        <v>13</v>
      </c>
      <c r="J251" s="2">
        <v>8</v>
      </c>
      <c r="K251" s="2">
        <v>1</v>
      </c>
      <c r="L251" s="2">
        <v>21</v>
      </c>
      <c r="M251" s="2">
        <v>23</v>
      </c>
      <c r="N251" s="2">
        <v>10</v>
      </c>
      <c r="O251" s="2">
        <v>1</v>
      </c>
      <c r="P251" s="2">
        <v>8</v>
      </c>
      <c r="Q251" s="2">
        <v>16</v>
      </c>
      <c r="R251" s="2">
        <v>0</v>
      </c>
      <c r="S251" s="2">
        <v>1</v>
      </c>
      <c r="T251" s="2">
        <v>1</v>
      </c>
      <c r="U251" s="11">
        <v>8.4815037708430996</v>
      </c>
      <c r="V251" s="11">
        <v>20.224346534226399</v>
      </c>
      <c r="W251" s="11">
        <v>3.2015953236245198</v>
      </c>
      <c r="X251" s="11">
        <v>4.5357652774596904</v>
      </c>
      <c r="Y251" s="11">
        <v>12.9026453990534</v>
      </c>
      <c r="Z251" s="11">
        <v>10.226999713034401</v>
      </c>
      <c r="AA251" s="11">
        <v>5.2703114143232002</v>
      </c>
      <c r="AB251" s="11">
        <v>12.65138677377</v>
      </c>
      <c r="AC251" s="11">
        <v>6.35806634595966</v>
      </c>
      <c r="AD251" s="11">
        <v>13.243642584653999</v>
      </c>
      <c r="AE251" s="11">
        <v>18.4012500101489</v>
      </c>
      <c r="AF251" s="11">
        <v>8.4654704659994096</v>
      </c>
      <c r="AG251" s="11">
        <v>7.3503405265209096</v>
      </c>
      <c r="AH251" s="11">
        <v>12.627049126161999</v>
      </c>
      <c r="AI251" s="11">
        <v>0.377135011965606</v>
      </c>
      <c r="AJ251" s="11">
        <v>1.5226368464746201</v>
      </c>
      <c r="AK251" s="16">
        <v>-0.153922373569708</v>
      </c>
      <c r="AL251" s="16">
        <v>-1.13386325534067</v>
      </c>
      <c r="AM251" s="26">
        <v>0.74462169607874695</v>
      </c>
      <c r="AN251" s="27">
        <v>0.80868817317643105</v>
      </c>
      <c r="AO251" s="11">
        <v>9.6868192757918301</v>
      </c>
      <c r="AP251" s="11">
        <v>8.5431988647356292</v>
      </c>
      <c r="AQ251" t="s">
        <v>5875</v>
      </c>
      <c r="AR251" t="s">
        <v>5832</v>
      </c>
      <c r="AS251" t="s">
        <v>988</v>
      </c>
    </row>
    <row r="252" spans="1:45">
      <c r="A252" t="s">
        <v>3108</v>
      </c>
      <c r="B252" s="2">
        <v>2</v>
      </c>
      <c r="C252" s="2">
        <v>5</v>
      </c>
      <c r="D252" s="2">
        <v>3</v>
      </c>
      <c r="E252" s="2">
        <v>2</v>
      </c>
      <c r="F252" s="2">
        <v>12</v>
      </c>
      <c r="G252" s="2">
        <v>13</v>
      </c>
      <c r="H252" s="2">
        <v>5</v>
      </c>
      <c r="I252" s="2">
        <v>4</v>
      </c>
      <c r="J252" s="2">
        <v>22</v>
      </c>
      <c r="K252" s="2">
        <v>0</v>
      </c>
      <c r="L252" s="2">
        <v>16</v>
      </c>
      <c r="M252" s="2">
        <v>3</v>
      </c>
      <c r="N252" s="2">
        <v>4</v>
      </c>
      <c r="O252" s="2">
        <v>0</v>
      </c>
      <c r="P252" s="2">
        <v>0</v>
      </c>
      <c r="Q252" s="2">
        <v>1</v>
      </c>
      <c r="R252" s="2">
        <v>74</v>
      </c>
      <c r="S252" s="2">
        <v>0</v>
      </c>
      <c r="T252" s="2">
        <v>1</v>
      </c>
      <c r="U252" s="11">
        <v>2.4232867916694598</v>
      </c>
      <c r="V252" s="11">
        <v>4.8153206033872298</v>
      </c>
      <c r="W252" s="11">
        <v>4.8023929854367697</v>
      </c>
      <c r="X252" s="11">
        <v>3.0238435183064598</v>
      </c>
      <c r="Y252" s="11">
        <v>10.322116319242699</v>
      </c>
      <c r="Z252" s="11">
        <v>12.0864542063134</v>
      </c>
      <c r="AA252" s="11">
        <v>5.2703114143232002</v>
      </c>
      <c r="AB252" s="11">
        <v>3.8927343919292201</v>
      </c>
      <c r="AC252" s="11">
        <v>17.484682451389101</v>
      </c>
      <c r="AD252" s="11">
        <v>10.0903943502126</v>
      </c>
      <c r="AE252" s="11">
        <v>2.4001630448020301</v>
      </c>
      <c r="AF252" s="11">
        <v>3.3861881863997598</v>
      </c>
      <c r="AG252" s="11">
        <v>0.22969814145377901</v>
      </c>
      <c r="AH252" s="11">
        <v>0.78919057038512497</v>
      </c>
      <c r="AI252" s="11">
        <v>111.631963541819</v>
      </c>
      <c r="AJ252" s="11">
        <v>1.5226368464746201</v>
      </c>
      <c r="AK252" s="16">
        <v>1.6044266381394201</v>
      </c>
      <c r="AL252" s="16">
        <v>3.1635101893112001</v>
      </c>
      <c r="AM252" s="26">
        <v>5.6436771443313799E-2</v>
      </c>
      <c r="AN252" s="27">
        <v>8.6005011607236698E-2</v>
      </c>
      <c r="AO252" s="11">
        <v>5.8295575288260597</v>
      </c>
      <c r="AP252" s="11">
        <v>18.441864641616998</v>
      </c>
      <c r="AQ252" t="s">
        <v>5874</v>
      </c>
      <c r="AR252" t="s">
        <v>5877</v>
      </c>
      <c r="AS252" t="s">
        <v>3108</v>
      </c>
    </row>
    <row r="253" spans="1:45">
      <c r="A253" t="s">
        <v>3837</v>
      </c>
      <c r="B253" s="2">
        <v>4</v>
      </c>
      <c r="C253" s="2">
        <v>6</v>
      </c>
      <c r="D253" s="2">
        <v>4</v>
      </c>
      <c r="E253" s="2">
        <v>7</v>
      </c>
      <c r="F253" s="2">
        <v>7</v>
      </c>
      <c r="G253" s="2">
        <v>10</v>
      </c>
      <c r="H253" s="2">
        <v>4</v>
      </c>
      <c r="I253" s="2">
        <v>3</v>
      </c>
      <c r="J253" s="2">
        <v>10</v>
      </c>
      <c r="K253" s="2">
        <v>8</v>
      </c>
      <c r="L253" s="2">
        <v>11</v>
      </c>
      <c r="M253" s="2">
        <v>16</v>
      </c>
      <c r="N253" s="2">
        <v>14</v>
      </c>
      <c r="O253" s="2">
        <v>5</v>
      </c>
      <c r="P253" s="2">
        <v>20</v>
      </c>
      <c r="Q253" s="2">
        <v>15</v>
      </c>
      <c r="R253" s="2">
        <v>8</v>
      </c>
      <c r="S253" s="2">
        <v>5</v>
      </c>
      <c r="T253" s="2">
        <v>10</v>
      </c>
      <c r="U253" s="11">
        <v>4.8465735833389196</v>
      </c>
      <c r="V253" s="11">
        <v>5.7783847240646802</v>
      </c>
      <c r="W253" s="11">
        <v>6.4031906472490299</v>
      </c>
      <c r="X253" s="11">
        <v>10.5834523140726</v>
      </c>
      <c r="Y253" s="11">
        <v>6.0212345195582504</v>
      </c>
      <c r="Z253" s="11">
        <v>9.2972724663949098</v>
      </c>
      <c r="AA253" s="11">
        <v>4.21624913145856</v>
      </c>
      <c r="AB253" s="11">
        <v>2.9195507939469199</v>
      </c>
      <c r="AC253" s="11">
        <v>7.9475829324495697</v>
      </c>
      <c r="AD253" s="11">
        <v>6.9371461157711396</v>
      </c>
      <c r="AE253" s="11">
        <v>12.800869572277501</v>
      </c>
      <c r="AF253" s="11">
        <v>11.8516586523992</v>
      </c>
      <c r="AG253" s="11">
        <v>18.375851316302299</v>
      </c>
      <c r="AH253" s="11">
        <v>11.837858555776901</v>
      </c>
      <c r="AI253" s="11">
        <v>12.068320382899399</v>
      </c>
      <c r="AJ253" s="11">
        <v>15.2263684647462</v>
      </c>
      <c r="AK253" s="16">
        <v>0.93967342380781504</v>
      </c>
      <c r="AL253" s="16">
        <v>1.9383580468280901</v>
      </c>
      <c r="AM253" s="26">
        <v>6.0605274518597497E-3</v>
      </c>
      <c r="AN253" s="27">
        <v>1.1786316468878399E-2</v>
      </c>
      <c r="AO253" s="11">
        <v>6.2582385225104797</v>
      </c>
      <c r="AP253" s="11">
        <v>12.1307069990778</v>
      </c>
      <c r="AQ253" t="s">
        <v>5874</v>
      </c>
      <c r="AR253" t="s">
        <v>5878</v>
      </c>
      <c r="AS253" t="s">
        <v>3837</v>
      </c>
    </row>
    <row r="254" spans="1:45">
      <c r="A254" t="s">
        <v>4464</v>
      </c>
      <c r="B254" s="2">
        <v>19</v>
      </c>
      <c r="C254" s="2">
        <v>23</v>
      </c>
      <c r="D254" s="2">
        <v>15</v>
      </c>
      <c r="E254" s="2">
        <v>20</v>
      </c>
      <c r="F254" s="2">
        <v>24</v>
      </c>
      <c r="G254" s="2">
        <v>15</v>
      </c>
      <c r="H254" s="2">
        <v>14</v>
      </c>
      <c r="I254" s="2">
        <v>7</v>
      </c>
      <c r="J254" s="2">
        <v>0</v>
      </c>
      <c r="K254" s="2">
        <v>0</v>
      </c>
      <c r="L254" s="2">
        <v>6</v>
      </c>
      <c r="M254" s="2">
        <v>5</v>
      </c>
      <c r="N254" s="2">
        <v>1</v>
      </c>
      <c r="O254" s="2">
        <v>1</v>
      </c>
      <c r="P254" s="2">
        <v>4</v>
      </c>
      <c r="Q254" s="2">
        <v>4</v>
      </c>
      <c r="R254" s="2">
        <v>1</v>
      </c>
      <c r="S254" s="2">
        <v>0</v>
      </c>
      <c r="T254" s="2">
        <v>8</v>
      </c>
      <c r="U254" s="11">
        <v>23.021224520859899</v>
      </c>
      <c r="V254" s="11">
        <v>22.150474775581301</v>
      </c>
      <c r="W254" s="11">
        <v>24.0119649271839</v>
      </c>
      <c r="X254" s="11">
        <v>30.238435183064599</v>
      </c>
      <c r="Y254" s="11">
        <v>20.644232638485398</v>
      </c>
      <c r="Z254" s="11">
        <v>13.945908699592399</v>
      </c>
      <c r="AA254" s="11">
        <v>14.756871960105</v>
      </c>
      <c r="AB254" s="11">
        <v>6.8122851858761404</v>
      </c>
      <c r="AC254" s="11">
        <v>0.19868957331123899</v>
      </c>
      <c r="AD254" s="11">
        <v>3.7838978813297102</v>
      </c>
      <c r="AE254" s="11">
        <v>4.0002717413367099</v>
      </c>
      <c r="AF254" s="11">
        <v>0.84654704659994096</v>
      </c>
      <c r="AG254" s="11">
        <v>3.6751702632604601</v>
      </c>
      <c r="AH254" s="11">
        <v>3.1567622815404999</v>
      </c>
      <c r="AI254" s="11">
        <v>1.50854004786242</v>
      </c>
      <c r="AJ254" s="11">
        <v>12.1810947717969</v>
      </c>
      <c r="AK254" s="16">
        <v>-2.45031672672765</v>
      </c>
      <c r="AL254" s="16">
        <v>-5.3007235798625203</v>
      </c>
      <c r="AM254" s="26">
        <v>3.2072923531730602E-7</v>
      </c>
      <c r="AN254" s="27">
        <v>1.77161839752974E-6</v>
      </c>
      <c r="AO254" s="11">
        <v>19.4476747363436</v>
      </c>
      <c r="AP254" s="11">
        <v>3.6688717008797398</v>
      </c>
      <c r="AQ254" t="s">
        <v>5875</v>
      </c>
      <c r="AR254" t="s">
        <v>5876</v>
      </c>
      <c r="AS254" t="s">
        <v>4464</v>
      </c>
    </row>
    <row r="255" spans="1:45">
      <c r="A255" t="s">
        <v>5292</v>
      </c>
      <c r="B255" s="2">
        <v>2</v>
      </c>
      <c r="C255" s="2">
        <v>4</v>
      </c>
      <c r="D255" s="2">
        <v>0</v>
      </c>
      <c r="E255" s="2">
        <v>2</v>
      </c>
      <c r="F255" s="2">
        <v>6</v>
      </c>
      <c r="G255" s="2">
        <v>6</v>
      </c>
      <c r="H255" s="2">
        <v>10</v>
      </c>
      <c r="I255" s="2">
        <v>2</v>
      </c>
      <c r="J255" s="2">
        <v>29</v>
      </c>
      <c r="K255" s="2">
        <v>3</v>
      </c>
      <c r="L255" s="2">
        <v>30</v>
      </c>
      <c r="M255" s="2">
        <v>18</v>
      </c>
      <c r="N255" s="2">
        <v>14</v>
      </c>
      <c r="O255" s="2">
        <v>3</v>
      </c>
      <c r="P255" s="2">
        <v>15</v>
      </c>
      <c r="Q255" s="2">
        <v>11</v>
      </c>
      <c r="R255" s="2">
        <v>4</v>
      </c>
      <c r="S255" s="2">
        <v>1</v>
      </c>
      <c r="T255" s="2">
        <v>7</v>
      </c>
      <c r="U255" s="11">
        <v>2.4232867916694598</v>
      </c>
      <c r="V255" s="11">
        <v>3.85225648270979</v>
      </c>
      <c r="W255" s="11">
        <v>0.40019941545306398</v>
      </c>
      <c r="X255" s="11">
        <v>3.0238435183064598</v>
      </c>
      <c r="Y255" s="11">
        <v>5.1610581596213496</v>
      </c>
      <c r="Z255" s="11">
        <v>5.5783634798369501</v>
      </c>
      <c r="AA255" s="11">
        <v>10.5406228286464</v>
      </c>
      <c r="AB255" s="11">
        <v>1.9463671959646101</v>
      </c>
      <c r="AC255" s="11">
        <v>23.047990504103801</v>
      </c>
      <c r="AD255" s="11">
        <v>18.919489406648601</v>
      </c>
      <c r="AE255" s="11">
        <v>14.400978268812199</v>
      </c>
      <c r="AF255" s="11">
        <v>11.8516586523992</v>
      </c>
      <c r="AG255" s="11">
        <v>13.7818884872267</v>
      </c>
      <c r="AH255" s="11">
        <v>8.6810962742363706</v>
      </c>
      <c r="AI255" s="11">
        <v>6.0341601914496898</v>
      </c>
      <c r="AJ255" s="11">
        <v>10.658457925322301</v>
      </c>
      <c r="AK255" s="16">
        <v>1.6489920291875499</v>
      </c>
      <c r="AL255" s="16">
        <v>3.26112271910312</v>
      </c>
      <c r="AM255" s="26">
        <v>6.75430564109623E-5</v>
      </c>
      <c r="AN255" s="27">
        <v>2.0082802106192801E-4</v>
      </c>
      <c r="AO255" s="11">
        <v>4.1157497340260099</v>
      </c>
      <c r="AP255" s="11">
        <v>13.4219649637748</v>
      </c>
      <c r="AQ255" t="s">
        <v>5874</v>
      </c>
      <c r="AR255" t="s">
        <v>5876</v>
      </c>
      <c r="AS255" t="s">
        <v>5292</v>
      </c>
    </row>
    <row r="256" spans="1:45">
      <c r="A256" t="s">
        <v>5749</v>
      </c>
      <c r="B256" s="2">
        <v>1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1</v>
      </c>
      <c r="I256" s="2">
        <v>7</v>
      </c>
      <c r="J256" s="2">
        <v>29</v>
      </c>
      <c r="K256" s="2">
        <v>5</v>
      </c>
      <c r="L256" s="2">
        <v>25</v>
      </c>
      <c r="M256" s="2">
        <v>11</v>
      </c>
      <c r="N256" s="2">
        <v>13</v>
      </c>
      <c r="O256" s="2">
        <v>1</v>
      </c>
      <c r="P256" s="2">
        <v>38</v>
      </c>
      <c r="Q256" s="2">
        <v>23</v>
      </c>
      <c r="R256" s="2">
        <v>2</v>
      </c>
      <c r="S256" s="2">
        <v>1</v>
      </c>
      <c r="T256" s="2">
        <v>9</v>
      </c>
      <c r="U256" s="11">
        <v>1.2116433958347299</v>
      </c>
      <c r="V256" s="11">
        <v>0.24076603016936199</v>
      </c>
      <c r="W256" s="11">
        <v>0.40019941545306398</v>
      </c>
      <c r="X256" s="11">
        <v>0.37798043978830698</v>
      </c>
      <c r="Y256" s="11">
        <v>0.215044089984223</v>
      </c>
      <c r="Z256" s="11">
        <v>0.23243181165987301</v>
      </c>
      <c r="AA256" s="11">
        <v>1.05406228286464</v>
      </c>
      <c r="AB256" s="11">
        <v>6.8122851858761404</v>
      </c>
      <c r="AC256" s="11">
        <v>23.047990504103801</v>
      </c>
      <c r="AD256" s="11">
        <v>15.766241172207099</v>
      </c>
      <c r="AE256" s="11">
        <v>8.8005978309407702</v>
      </c>
      <c r="AF256" s="11">
        <v>11.0051116057992</v>
      </c>
      <c r="AG256" s="11">
        <v>34.914117500974299</v>
      </c>
      <c r="AH256" s="11">
        <v>18.1513831188579</v>
      </c>
      <c r="AI256" s="11">
        <v>3.0170800957248498</v>
      </c>
      <c r="AJ256" s="11">
        <v>13.7037316182716</v>
      </c>
      <c r="AK256" s="16">
        <v>3.4473574350482399</v>
      </c>
      <c r="AL256" s="16">
        <v>12.177658224237399</v>
      </c>
      <c r="AM256" s="26">
        <v>2.4676416427561399E-8</v>
      </c>
      <c r="AN256" s="27">
        <v>2.0132344621998201E-7</v>
      </c>
      <c r="AO256" s="11">
        <v>1.3180515814537901</v>
      </c>
      <c r="AP256" s="11">
        <v>16.050781680859899</v>
      </c>
      <c r="AQ256" t="s">
        <v>5874</v>
      </c>
      <c r="AR256" t="s">
        <v>5876</v>
      </c>
      <c r="AS256" t="s">
        <v>5749</v>
      </c>
    </row>
    <row r="257" spans="1:45">
      <c r="A257" t="s">
        <v>4006</v>
      </c>
      <c r="B257" s="2">
        <v>9</v>
      </c>
      <c r="C257" s="2">
        <v>22</v>
      </c>
      <c r="D257" s="2">
        <v>2</v>
      </c>
      <c r="E257" s="2">
        <v>11</v>
      </c>
      <c r="F257" s="2">
        <v>37</v>
      </c>
      <c r="G257" s="2">
        <v>23</v>
      </c>
      <c r="H257" s="2">
        <v>15</v>
      </c>
      <c r="I257" s="2">
        <v>8</v>
      </c>
      <c r="J257" s="2">
        <v>0</v>
      </c>
      <c r="K257" s="2">
        <v>0</v>
      </c>
      <c r="L257" s="2">
        <v>2</v>
      </c>
      <c r="M257" s="2">
        <v>5</v>
      </c>
      <c r="N257" s="2">
        <v>1</v>
      </c>
      <c r="O257" s="2">
        <v>0</v>
      </c>
      <c r="P257" s="2">
        <v>0</v>
      </c>
      <c r="Q257" s="2">
        <v>8</v>
      </c>
      <c r="R257" s="2">
        <v>22</v>
      </c>
      <c r="S257" s="2">
        <v>0</v>
      </c>
      <c r="T257" s="2">
        <v>0</v>
      </c>
      <c r="U257" s="11">
        <v>10.9047905625126</v>
      </c>
      <c r="V257" s="11">
        <v>21.1874106549038</v>
      </c>
      <c r="W257" s="11">
        <v>3.2015953236245198</v>
      </c>
      <c r="X257" s="11">
        <v>16.631139350685501</v>
      </c>
      <c r="Y257" s="11">
        <v>31.826525317664998</v>
      </c>
      <c r="Z257" s="11">
        <v>21.383726672708299</v>
      </c>
      <c r="AA257" s="11">
        <v>15.8109342429696</v>
      </c>
      <c r="AB257" s="11">
        <v>7.78546878385845</v>
      </c>
      <c r="AC257" s="11">
        <v>0.19868957331123899</v>
      </c>
      <c r="AD257" s="11">
        <v>1.2612992937765699</v>
      </c>
      <c r="AE257" s="11">
        <v>4.0002717413367099</v>
      </c>
      <c r="AF257" s="11">
        <v>0.84654704659994096</v>
      </c>
      <c r="AG257" s="11">
        <v>0.22969814145377901</v>
      </c>
      <c r="AH257" s="11">
        <v>6.3135245630809997</v>
      </c>
      <c r="AI257" s="11">
        <v>33.187881052973303</v>
      </c>
      <c r="AJ257" s="11">
        <v>0.38065921161865401</v>
      </c>
      <c r="AK257" s="16">
        <v>-1.5360223932294701</v>
      </c>
      <c r="AL257" s="16">
        <v>-2.7732777889965798</v>
      </c>
      <c r="AM257" s="26">
        <v>4.8008028771605003E-2</v>
      </c>
      <c r="AN257" s="27">
        <v>7.4865667245230194E-2</v>
      </c>
      <c r="AO257" s="11">
        <v>16.091448863616002</v>
      </c>
      <c r="AP257" s="11">
        <v>5.8023213280189001</v>
      </c>
      <c r="AQ257" t="s">
        <v>5875</v>
      </c>
      <c r="AR257" t="s">
        <v>5877</v>
      </c>
      <c r="AS257" t="s">
        <v>4006</v>
      </c>
    </row>
    <row r="258" spans="1:45">
      <c r="A258" t="s">
        <v>1384</v>
      </c>
      <c r="B258" s="2">
        <v>13</v>
      </c>
      <c r="C258" s="2">
        <v>18</v>
      </c>
      <c r="D258" s="2">
        <v>8</v>
      </c>
      <c r="E258" s="2">
        <v>15</v>
      </c>
      <c r="F258" s="2">
        <v>11</v>
      </c>
      <c r="G258" s="2">
        <v>7</v>
      </c>
      <c r="H258" s="2">
        <v>20</v>
      </c>
      <c r="I258" s="2">
        <v>17</v>
      </c>
      <c r="J258" s="2">
        <v>2</v>
      </c>
      <c r="K258" s="2">
        <v>1</v>
      </c>
      <c r="L258" s="2">
        <v>4</v>
      </c>
      <c r="M258" s="2">
        <v>7</v>
      </c>
      <c r="N258" s="2">
        <v>6</v>
      </c>
      <c r="O258" s="2">
        <v>5</v>
      </c>
      <c r="P258" s="2">
        <v>8</v>
      </c>
      <c r="Q258" s="2">
        <v>10</v>
      </c>
      <c r="R258" s="2">
        <v>3</v>
      </c>
      <c r="S258" s="2">
        <v>3</v>
      </c>
      <c r="T258" s="2">
        <v>6</v>
      </c>
      <c r="U258" s="11">
        <v>15.7513641458515</v>
      </c>
      <c r="V258" s="11">
        <v>17.335154172193999</v>
      </c>
      <c r="W258" s="11">
        <v>12.806381294498101</v>
      </c>
      <c r="X258" s="11">
        <v>22.6788263872984</v>
      </c>
      <c r="Y258" s="11">
        <v>9.4619399593058091</v>
      </c>
      <c r="Z258" s="11">
        <v>6.50809072647644</v>
      </c>
      <c r="AA258" s="11">
        <v>21.081245657292801</v>
      </c>
      <c r="AB258" s="11">
        <v>16.544121165699199</v>
      </c>
      <c r="AC258" s="11">
        <v>1.5895165864899099</v>
      </c>
      <c r="AD258" s="11">
        <v>2.5225985875531398</v>
      </c>
      <c r="AE258" s="11">
        <v>5.6003804378713999</v>
      </c>
      <c r="AF258" s="11">
        <v>5.0792822795996404</v>
      </c>
      <c r="AG258" s="11">
        <v>7.3503405265209096</v>
      </c>
      <c r="AH258" s="11">
        <v>7.8919057038512497</v>
      </c>
      <c r="AI258" s="11">
        <v>4.5256201435872701</v>
      </c>
      <c r="AJ258" s="11">
        <v>9.1358210788476999</v>
      </c>
      <c r="AK258" s="16">
        <v>-1.4949142498501</v>
      </c>
      <c r="AL258" s="16">
        <v>-2.79587647244254</v>
      </c>
      <c r="AM258" s="26">
        <v>9.6824730431794794E-5</v>
      </c>
      <c r="AN258" s="27">
        <v>2.73009254620452E-4</v>
      </c>
      <c r="AO258" s="11">
        <v>15.270890438577</v>
      </c>
      <c r="AP258" s="11">
        <v>5.4619331680401499</v>
      </c>
      <c r="AQ258" t="s">
        <v>5875</v>
      </c>
      <c r="AR258" t="s">
        <v>5876</v>
      </c>
      <c r="AS258" t="s">
        <v>1384</v>
      </c>
    </row>
    <row r="259" spans="1:45">
      <c r="A259" t="s">
        <v>1951</v>
      </c>
      <c r="B259" s="2">
        <v>0</v>
      </c>
      <c r="C259" s="2">
        <v>1</v>
      </c>
      <c r="D259" s="2">
        <v>0</v>
      </c>
      <c r="E259" s="2">
        <v>1</v>
      </c>
      <c r="F259" s="2">
        <v>3</v>
      </c>
      <c r="G259" s="2">
        <v>2</v>
      </c>
      <c r="H259" s="2">
        <v>0</v>
      </c>
      <c r="I259" s="2">
        <v>0</v>
      </c>
      <c r="J259" s="2">
        <v>27</v>
      </c>
      <c r="K259" s="2">
        <v>3</v>
      </c>
      <c r="L259" s="2">
        <v>26</v>
      </c>
      <c r="M259" s="2">
        <v>27</v>
      </c>
      <c r="N259" s="2">
        <v>18</v>
      </c>
      <c r="O259" s="2">
        <v>1</v>
      </c>
      <c r="P259" s="2">
        <v>15</v>
      </c>
      <c r="Q259" s="2">
        <v>21</v>
      </c>
      <c r="R259" s="2">
        <v>4</v>
      </c>
      <c r="S259" s="2">
        <v>2</v>
      </c>
      <c r="T259" s="2">
        <v>13</v>
      </c>
      <c r="U259" s="11">
        <v>0.30291084895868198</v>
      </c>
      <c r="V259" s="11">
        <v>0.96306412067744696</v>
      </c>
      <c r="W259" s="11">
        <v>0.40019941545306398</v>
      </c>
      <c r="X259" s="11">
        <v>1.5119217591532299</v>
      </c>
      <c r="Y259" s="11">
        <v>2.5805290798106801</v>
      </c>
      <c r="Z259" s="11">
        <v>1.85945449327898</v>
      </c>
      <c r="AA259" s="11">
        <v>0.26351557071616</v>
      </c>
      <c r="AB259" s="11">
        <v>0.24329589949557701</v>
      </c>
      <c r="AC259" s="11">
        <v>21.458473917613802</v>
      </c>
      <c r="AD259" s="11">
        <v>16.3968908190954</v>
      </c>
      <c r="AE259" s="11">
        <v>21.601467403218301</v>
      </c>
      <c r="AF259" s="11">
        <v>15.2378468387989</v>
      </c>
      <c r="AG259" s="11">
        <v>13.7818884872267</v>
      </c>
      <c r="AH259" s="11">
        <v>16.5730019780876</v>
      </c>
      <c r="AI259" s="11">
        <v>6.0341601914496898</v>
      </c>
      <c r="AJ259" s="11">
        <v>19.794279004170001</v>
      </c>
      <c r="AK259" s="16">
        <v>3.7973002523252402</v>
      </c>
      <c r="AL259" s="16">
        <v>16.108278328737299</v>
      </c>
      <c r="AM259" s="26">
        <v>5.0754587489078703E-16</v>
      </c>
      <c r="AN259" s="27">
        <v>4.8506884328848103E-14</v>
      </c>
      <c r="AO259" s="11">
        <v>1.01561139844298</v>
      </c>
      <c r="AP259" s="11">
        <v>16.359751079957601</v>
      </c>
      <c r="AQ259" t="s">
        <v>5874</v>
      </c>
      <c r="AR259" t="s">
        <v>5876</v>
      </c>
      <c r="AS259" t="s">
        <v>1951</v>
      </c>
    </row>
    <row r="260" spans="1:45">
      <c r="A260" t="s">
        <v>3536</v>
      </c>
      <c r="B260" s="2">
        <v>10</v>
      </c>
      <c r="C260" s="2">
        <v>10</v>
      </c>
      <c r="D260" s="2">
        <v>0</v>
      </c>
      <c r="E260" s="2">
        <v>4</v>
      </c>
      <c r="F260" s="2">
        <v>13</v>
      </c>
      <c r="G260" s="2">
        <v>12</v>
      </c>
      <c r="H260" s="2">
        <v>11</v>
      </c>
      <c r="I260" s="2">
        <v>15.441000000000001</v>
      </c>
      <c r="J260" s="2">
        <v>16</v>
      </c>
      <c r="K260" s="2">
        <v>1</v>
      </c>
      <c r="L260" s="2">
        <v>16.399999999999999</v>
      </c>
      <c r="M260" s="2">
        <v>13</v>
      </c>
      <c r="N260" s="2">
        <v>15</v>
      </c>
      <c r="O260" s="2">
        <v>8</v>
      </c>
      <c r="P260" s="2">
        <v>5</v>
      </c>
      <c r="Q260" s="2">
        <v>9</v>
      </c>
      <c r="R260" s="2">
        <v>3</v>
      </c>
      <c r="S260" s="2">
        <v>1</v>
      </c>
      <c r="T260" s="2">
        <v>1</v>
      </c>
      <c r="U260" s="11">
        <v>12.116433958347301</v>
      </c>
      <c r="V260" s="11">
        <v>9.6306412067744702</v>
      </c>
      <c r="W260" s="11">
        <v>0.40019941545306398</v>
      </c>
      <c r="X260" s="11">
        <v>6.0476870366129196</v>
      </c>
      <c r="Y260" s="11">
        <v>11.1822926791796</v>
      </c>
      <c r="Z260" s="11">
        <v>11.1567269596739</v>
      </c>
      <c r="AA260" s="11">
        <v>11.594685111511</v>
      </c>
      <c r="AB260" s="11">
        <v>14.987027408927499</v>
      </c>
      <c r="AC260" s="11">
        <v>12.716132691919301</v>
      </c>
      <c r="AD260" s="11">
        <v>10.3426542089679</v>
      </c>
      <c r="AE260" s="11">
        <v>10.400706527475499</v>
      </c>
      <c r="AF260" s="11">
        <v>12.6982056989991</v>
      </c>
      <c r="AG260" s="11">
        <v>4.5939628290755703</v>
      </c>
      <c r="AH260" s="11">
        <v>7.1027151334661296</v>
      </c>
      <c r="AI260" s="11">
        <v>4.5256201435872701</v>
      </c>
      <c r="AJ260" s="11">
        <v>1.5226368464746201</v>
      </c>
      <c r="AK260" s="16">
        <v>-0.25017317266632499</v>
      </c>
      <c r="AL260" s="16">
        <v>-1.20676862365298</v>
      </c>
      <c r="AM260" s="26">
        <v>0.56229535779180295</v>
      </c>
      <c r="AN260" s="27">
        <v>0.64193787433910598</v>
      </c>
      <c r="AO260" s="11">
        <v>9.6394617220599699</v>
      </c>
      <c r="AP260" s="11">
        <v>7.98782925999567</v>
      </c>
      <c r="AQ260" t="s">
        <v>5875</v>
      </c>
      <c r="AR260" t="s">
        <v>5832</v>
      </c>
      <c r="AS260" t="s">
        <v>3536</v>
      </c>
    </row>
    <row r="261" spans="1:45">
      <c r="A261" t="s">
        <v>1271</v>
      </c>
      <c r="B261" s="2">
        <v>2.3330000000000002</v>
      </c>
      <c r="C261" s="2">
        <v>7.6360000000000001</v>
      </c>
      <c r="D261" s="2">
        <v>2.6669999999999998</v>
      </c>
      <c r="E261" s="2">
        <v>1</v>
      </c>
      <c r="F261" s="2">
        <v>9.5619999999999994</v>
      </c>
      <c r="G261" s="2">
        <v>12.632</v>
      </c>
      <c r="H261" s="2">
        <v>5.7140000000000004</v>
      </c>
      <c r="I261" s="2">
        <v>6.5</v>
      </c>
      <c r="J261" s="2">
        <v>48.091000000000001</v>
      </c>
      <c r="K261" s="2">
        <v>1</v>
      </c>
      <c r="L261" s="2">
        <v>12.733000000000001</v>
      </c>
      <c r="M261" s="2">
        <v>6.4580000000000002</v>
      </c>
      <c r="N261" s="2">
        <v>10.769</v>
      </c>
      <c r="O261" s="2">
        <v>5</v>
      </c>
      <c r="P261" s="2">
        <v>10.625</v>
      </c>
      <c r="Q261" s="2">
        <v>8.6150000000000002</v>
      </c>
      <c r="R261" s="2">
        <v>6</v>
      </c>
      <c r="S261" s="2">
        <v>0</v>
      </c>
      <c r="T261" s="2">
        <v>5.8330000000000002</v>
      </c>
      <c r="U261" s="11">
        <v>2.7867798104198802</v>
      </c>
      <c r="V261" s="11">
        <v>7.3192873171485902</v>
      </c>
      <c r="W261" s="11">
        <v>4.3221536868930999</v>
      </c>
      <c r="X261" s="11">
        <v>1.5119217591532299</v>
      </c>
      <c r="Y261" s="11">
        <v>8.2576930553941601</v>
      </c>
      <c r="Z261" s="11">
        <v>11.714563307657601</v>
      </c>
      <c r="AA261" s="11">
        <v>6.0081550123284497</v>
      </c>
      <c r="AB261" s="11">
        <v>6.3256933868849901</v>
      </c>
      <c r="AC261" s="11">
        <v>38.227873905082397</v>
      </c>
      <c r="AD261" s="11">
        <v>8.0092505154812308</v>
      </c>
      <c r="AE261" s="11">
        <v>5.2003532637377301</v>
      </c>
      <c r="AF261" s="11">
        <v>9.1427081032793591</v>
      </c>
      <c r="AG261" s="11">
        <v>9.7392011976402095</v>
      </c>
      <c r="AH261" s="11">
        <v>6.7870389053120697</v>
      </c>
      <c r="AI261" s="11">
        <v>9.0512402871745401</v>
      </c>
      <c r="AJ261" s="11">
        <v>8.8312937095527797</v>
      </c>
      <c r="AK261" s="16">
        <v>0.93137684002057697</v>
      </c>
      <c r="AL261" s="16">
        <v>1.9688362335409799</v>
      </c>
      <c r="AM261" s="26">
        <v>4.68335173108093E-2</v>
      </c>
      <c r="AN261" s="27">
        <v>7.3376166465881604E-2</v>
      </c>
      <c r="AO261" s="11">
        <v>6.030780916985</v>
      </c>
      <c r="AP261" s="11">
        <v>11.873619985907499</v>
      </c>
      <c r="AQ261" t="s">
        <v>5874</v>
      </c>
      <c r="AR261" t="s">
        <v>5877</v>
      </c>
      <c r="AS261" t="s">
        <v>1271</v>
      </c>
    </row>
    <row r="262" spans="1:45">
      <c r="A262" t="s">
        <v>2024</v>
      </c>
      <c r="B262" s="2">
        <v>13</v>
      </c>
      <c r="C262" s="2">
        <v>12</v>
      </c>
      <c r="D262" s="2">
        <v>6</v>
      </c>
      <c r="E262" s="2">
        <v>1</v>
      </c>
      <c r="F262" s="2">
        <v>8</v>
      </c>
      <c r="G262" s="2">
        <v>16</v>
      </c>
      <c r="H262" s="2">
        <v>20</v>
      </c>
      <c r="I262" s="2">
        <v>16</v>
      </c>
      <c r="J262" s="2">
        <v>3</v>
      </c>
      <c r="K262" s="2">
        <v>8</v>
      </c>
      <c r="L262" s="2">
        <v>5</v>
      </c>
      <c r="M262" s="2">
        <v>7</v>
      </c>
      <c r="N262" s="2">
        <v>8</v>
      </c>
      <c r="O262" s="2">
        <v>8</v>
      </c>
      <c r="P262" s="2">
        <v>7</v>
      </c>
      <c r="Q262" s="2">
        <v>10</v>
      </c>
      <c r="R262" s="2">
        <v>5</v>
      </c>
      <c r="S262" s="2">
        <v>7</v>
      </c>
      <c r="T262" s="2">
        <v>3</v>
      </c>
      <c r="U262" s="11">
        <v>15.7513641458515</v>
      </c>
      <c r="V262" s="11">
        <v>11.556769448129399</v>
      </c>
      <c r="W262" s="11">
        <v>9.6047859708735501</v>
      </c>
      <c r="X262" s="11">
        <v>1.5119217591532299</v>
      </c>
      <c r="Y262" s="11">
        <v>6.8814108794951396</v>
      </c>
      <c r="Z262" s="11">
        <v>14.875635946231901</v>
      </c>
      <c r="AA262" s="11">
        <v>21.081245657292801</v>
      </c>
      <c r="AB262" s="11">
        <v>15.5709375677169</v>
      </c>
      <c r="AC262" s="11">
        <v>2.3842748797348698</v>
      </c>
      <c r="AD262" s="11">
        <v>3.1532482344414299</v>
      </c>
      <c r="AE262" s="11">
        <v>5.6003804378713999</v>
      </c>
      <c r="AF262" s="11">
        <v>6.7723763727995303</v>
      </c>
      <c r="AG262" s="11">
        <v>6.4315479607058004</v>
      </c>
      <c r="AH262" s="11">
        <v>7.8919057038512497</v>
      </c>
      <c r="AI262" s="11">
        <v>7.5427002393121096</v>
      </c>
      <c r="AJ262" s="11">
        <v>4.5679105394238499</v>
      </c>
      <c r="AK262" s="16">
        <v>-1.1493142657050801</v>
      </c>
      <c r="AL262" s="16">
        <v>-2.1836848138026799</v>
      </c>
      <c r="AM262" s="26">
        <v>6.5694867714339196E-3</v>
      </c>
      <c r="AN262" s="27">
        <v>1.27022735551714E-2</v>
      </c>
      <c r="AO262" s="11">
        <v>12.104258921843</v>
      </c>
      <c r="AP262" s="11">
        <v>5.5430430460175302</v>
      </c>
      <c r="AQ262" t="s">
        <v>5875</v>
      </c>
      <c r="AR262" t="s">
        <v>5878</v>
      </c>
      <c r="AS262" t="s">
        <v>2024</v>
      </c>
    </row>
    <row r="263" spans="1:45">
      <c r="A263" t="s">
        <v>5758</v>
      </c>
      <c r="B263" s="2">
        <v>5.3330000000000002</v>
      </c>
      <c r="C263" s="2">
        <v>7.0949999999999998</v>
      </c>
      <c r="D263" s="2">
        <v>5.1189999999999998</v>
      </c>
      <c r="E263" s="2">
        <v>2.3330000000000002</v>
      </c>
      <c r="F263" s="2">
        <v>10.904</v>
      </c>
      <c r="G263" s="2">
        <v>9.0950000000000006</v>
      </c>
      <c r="H263" s="2">
        <v>7.3330000000000002</v>
      </c>
      <c r="I263" s="2">
        <v>9.8800000000000008</v>
      </c>
      <c r="J263" s="2">
        <v>35.139000000000003</v>
      </c>
      <c r="K263" s="2">
        <v>1.762</v>
      </c>
      <c r="L263" s="2">
        <v>17.686</v>
      </c>
      <c r="M263" s="2">
        <v>13.27</v>
      </c>
      <c r="N263" s="2">
        <v>7.508</v>
      </c>
      <c r="O263" s="2">
        <v>1</v>
      </c>
      <c r="P263" s="2">
        <v>14.486000000000001</v>
      </c>
      <c r="Q263" s="2">
        <v>6.3090000000000002</v>
      </c>
      <c r="R263" s="2">
        <v>4.3090000000000002</v>
      </c>
      <c r="S263" s="2">
        <v>0.78600000000000003</v>
      </c>
      <c r="T263" s="2">
        <v>3.47</v>
      </c>
      <c r="U263" s="11">
        <v>6.4217099979240704</v>
      </c>
      <c r="V263" s="11">
        <v>6.8377552568098698</v>
      </c>
      <c r="W263" s="11">
        <v>8.1640680752425094</v>
      </c>
      <c r="X263" s="11">
        <v>3.4774200460524298</v>
      </c>
      <c r="Y263" s="11">
        <v>9.3759223233121194</v>
      </c>
      <c r="Z263" s="11">
        <v>8.4605179444193706</v>
      </c>
      <c r="AA263" s="11">
        <v>7.6946546649118801</v>
      </c>
      <c r="AB263" s="11">
        <v>9.6345176200248304</v>
      </c>
      <c r="AC263" s="11">
        <v>27.896016092898002</v>
      </c>
      <c r="AD263" s="11">
        <v>11.162498749922699</v>
      </c>
      <c r="AE263" s="11">
        <v>10.640722831955699</v>
      </c>
      <c r="AF263" s="11">
        <v>6.3491028494995598</v>
      </c>
      <c r="AG263" s="11">
        <v>13.3224922043192</v>
      </c>
      <c r="AH263" s="11">
        <v>4.9719005934262901</v>
      </c>
      <c r="AI263" s="11">
        <v>6.4867222058084204</v>
      </c>
      <c r="AJ263" s="11">
        <v>5.3292289626611602</v>
      </c>
      <c r="AK263" s="16">
        <v>0.52657610931170595</v>
      </c>
      <c r="AL263" s="16">
        <v>1.4343867201059399</v>
      </c>
      <c r="AM263" s="26">
        <v>0.21337764866682199</v>
      </c>
      <c r="AN263" s="27">
        <v>0.27880790421504698</v>
      </c>
      <c r="AO263" s="11">
        <v>7.5083207410871404</v>
      </c>
      <c r="AP263" s="11">
        <v>10.7698355613114</v>
      </c>
      <c r="AQ263" t="s">
        <v>5874</v>
      </c>
      <c r="AR263" t="s">
        <v>5832</v>
      </c>
      <c r="AS263" t="s">
        <v>5758</v>
      </c>
    </row>
    <row r="264" spans="1:45">
      <c r="A264" t="s">
        <v>2062</v>
      </c>
      <c r="B264" s="2">
        <v>1</v>
      </c>
      <c r="C264" s="2">
        <v>0</v>
      </c>
      <c r="D264" s="2">
        <v>1</v>
      </c>
      <c r="E264" s="2">
        <v>1</v>
      </c>
      <c r="F264" s="2">
        <v>1</v>
      </c>
      <c r="G264" s="2">
        <v>0</v>
      </c>
      <c r="H264" s="2">
        <v>1</v>
      </c>
      <c r="I264" s="2">
        <v>4</v>
      </c>
      <c r="J264" s="2">
        <v>10</v>
      </c>
      <c r="K264" s="2">
        <v>17</v>
      </c>
      <c r="L264" s="2">
        <v>8</v>
      </c>
      <c r="M264" s="2">
        <v>15</v>
      </c>
      <c r="N264" s="2">
        <v>29</v>
      </c>
      <c r="O264" s="2">
        <v>17</v>
      </c>
      <c r="P264" s="2">
        <v>11</v>
      </c>
      <c r="Q264" s="2">
        <v>11</v>
      </c>
      <c r="R264" s="2">
        <v>9</v>
      </c>
      <c r="S264" s="2">
        <v>5</v>
      </c>
      <c r="T264" s="2">
        <v>20</v>
      </c>
      <c r="U264" s="11">
        <v>1.2116433958347299</v>
      </c>
      <c r="V264" s="11">
        <v>0.24076603016936199</v>
      </c>
      <c r="W264" s="11">
        <v>1.6007976618122599</v>
      </c>
      <c r="X264" s="11">
        <v>1.5119217591532299</v>
      </c>
      <c r="Y264" s="11">
        <v>0.86017635993689201</v>
      </c>
      <c r="Z264" s="11">
        <v>0.23243181165987301</v>
      </c>
      <c r="AA264" s="11">
        <v>1.05406228286464</v>
      </c>
      <c r="AB264" s="11">
        <v>3.8927343919292201</v>
      </c>
      <c r="AC264" s="11">
        <v>7.9475829324495697</v>
      </c>
      <c r="AD264" s="11">
        <v>5.0451971751062796</v>
      </c>
      <c r="AE264" s="11">
        <v>12.0008152240101</v>
      </c>
      <c r="AF264" s="11">
        <v>24.549864351398298</v>
      </c>
      <c r="AG264" s="11">
        <v>10.1067182239663</v>
      </c>
      <c r="AH264" s="11">
        <v>8.6810962742363706</v>
      </c>
      <c r="AI264" s="11">
        <v>13.576860430761799</v>
      </c>
      <c r="AJ264" s="11">
        <v>30.4527369294923</v>
      </c>
      <c r="AK264" s="16">
        <v>3.2829394975906698</v>
      </c>
      <c r="AL264" s="16">
        <v>10.5955504306402</v>
      </c>
      <c r="AM264" s="26">
        <v>3.88064007145411E-9</v>
      </c>
      <c r="AN264" s="27">
        <v>4.0564815746918798E-8</v>
      </c>
      <c r="AO264" s="11">
        <v>1.32556671167003</v>
      </c>
      <c r="AP264" s="11">
        <v>14.045108942677601</v>
      </c>
      <c r="AQ264" t="s">
        <v>5874</v>
      </c>
      <c r="AR264" t="s">
        <v>5876</v>
      </c>
      <c r="AS264" t="s">
        <v>2062</v>
      </c>
    </row>
    <row r="265" spans="1:45">
      <c r="A265" t="s">
        <v>4182</v>
      </c>
      <c r="B265" s="2">
        <v>2</v>
      </c>
      <c r="C265" s="2">
        <v>1</v>
      </c>
      <c r="D265" s="2">
        <v>0</v>
      </c>
      <c r="E265" s="2">
        <v>0</v>
      </c>
      <c r="F265" s="2">
        <v>4</v>
      </c>
      <c r="G265" s="2">
        <v>2</v>
      </c>
      <c r="H265" s="2">
        <v>2</v>
      </c>
      <c r="I265" s="2">
        <v>5</v>
      </c>
      <c r="J265" s="2">
        <v>31</v>
      </c>
      <c r="K265" s="2">
        <v>3</v>
      </c>
      <c r="L265" s="2">
        <v>32</v>
      </c>
      <c r="M265" s="2">
        <v>8</v>
      </c>
      <c r="N265" s="2">
        <v>11</v>
      </c>
      <c r="O265" s="2">
        <v>2</v>
      </c>
      <c r="P265" s="2">
        <v>17</v>
      </c>
      <c r="Q265" s="2">
        <v>25</v>
      </c>
      <c r="R265" s="2">
        <v>3</v>
      </c>
      <c r="S265" s="2">
        <v>2</v>
      </c>
      <c r="T265" s="2">
        <v>10</v>
      </c>
      <c r="U265" s="11">
        <v>2.4232867916694598</v>
      </c>
      <c r="V265" s="11">
        <v>0.96306412067744696</v>
      </c>
      <c r="W265" s="11">
        <v>0.40019941545306398</v>
      </c>
      <c r="X265" s="11">
        <v>0.37798043978830698</v>
      </c>
      <c r="Y265" s="11">
        <v>3.4407054397475698</v>
      </c>
      <c r="Z265" s="11">
        <v>1.85945449327898</v>
      </c>
      <c r="AA265" s="11">
        <v>2.10812456572928</v>
      </c>
      <c r="AB265" s="11">
        <v>4.8659179899115301</v>
      </c>
      <c r="AC265" s="11">
        <v>24.637507090593701</v>
      </c>
      <c r="AD265" s="11">
        <v>20.180788700425101</v>
      </c>
      <c r="AE265" s="11">
        <v>6.4004347861387396</v>
      </c>
      <c r="AF265" s="11">
        <v>9.3120175125993505</v>
      </c>
      <c r="AG265" s="11">
        <v>15.619473618856899</v>
      </c>
      <c r="AH265" s="11">
        <v>19.729764259628102</v>
      </c>
      <c r="AI265" s="11">
        <v>4.5256201435872701</v>
      </c>
      <c r="AJ265" s="11">
        <v>15.2263684647462</v>
      </c>
      <c r="AK265" s="16">
        <v>2.67830406013044</v>
      </c>
      <c r="AL265" s="16">
        <v>7.0341170924817202</v>
      </c>
      <c r="AM265" s="26">
        <v>2.2924886760599199E-8</v>
      </c>
      <c r="AN265" s="27">
        <v>1.8934258324494901E-7</v>
      </c>
      <c r="AO265" s="11">
        <v>2.0548416570319499</v>
      </c>
      <c r="AP265" s="11">
        <v>14.4539968220719</v>
      </c>
      <c r="AQ265" t="s">
        <v>5874</v>
      </c>
      <c r="AR265" t="s">
        <v>5876</v>
      </c>
      <c r="AS265" t="s">
        <v>4182</v>
      </c>
    </row>
    <row r="266" spans="1:45">
      <c r="A266" t="s">
        <v>4850</v>
      </c>
      <c r="B266" s="2">
        <v>10</v>
      </c>
      <c r="C266" s="2">
        <v>14</v>
      </c>
      <c r="D266" s="2">
        <v>13</v>
      </c>
      <c r="E266" s="2">
        <v>12</v>
      </c>
      <c r="F266" s="2">
        <v>16</v>
      </c>
      <c r="G266" s="2">
        <v>11</v>
      </c>
      <c r="H266" s="2">
        <v>26</v>
      </c>
      <c r="I266" s="2">
        <v>25</v>
      </c>
      <c r="J266" s="2">
        <v>4</v>
      </c>
      <c r="K266" s="2">
        <v>0</v>
      </c>
      <c r="L266" s="2">
        <v>7</v>
      </c>
      <c r="M266" s="2">
        <v>9</v>
      </c>
      <c r="N266" s="2">
        <v>2</v>
      </c>
      <c r="O266" s="2">
        <v>2</v>
      </c>
      <c r="P266" s="2">
        <v>2</v>
      </c>
      <c r="Q266" s="2">
        <v>4</v>
      </c>
      <c r="R266" s="2">
        <v>1</v>
      </c>
      <c r="S266" s="2">
        <v>0</v>
      </c>
      <c r="T266" s="2">
        <v>2</v>
      </c>
      <c r="U266" s="11">
        <v>12.116433958347301</v>
      </c>
      <c r="V266" s="11">
        <v>13.4828976894843</v>
      </c>
      <c r="W266" s="11">
        <v>20.810369603559401</v>
      </c>
      <c r="X266" s="11">
        <v>18.143061109838801</v>
      </c>
      <c r="Y266" s="11">
        <v>13.762821758990301</v>
      </c>
      <c r="Z266" s="11">
        <v>10.226999713034401</v>
      </c>
      <c r="AA266" s="11">
        <v>27.405619354480699</v>
      </c>
      <c r="AB266" s="11">
        <v>24.3295899495577</v>
      </c>
      <c r="AC266" s="11">
        <v>3.17903317297983</v>
      </c>
      <c r="AD266" s="11">
        <v>4.4145475282179998</v>
      </c>
      <c r="AE266" s="11">
        <v>7.2004891344060802</v>
      </c>
      <c r="AF266" s="11">
        <v>1.6930940931998799</v>
      </c>
      <c r="AG266" s="11">
        <v>1.8375851316302301</v>
      </c>
      <c r="AH266" s="11">
        <v>3.1567622815404999</v>
      </c>
      <c r="AI266" s="11">
        <v>1.50854004786242</v>
      </c>
      <c r="AJ266" s="11">
        <v>3.0452736929492299</v>
      </c>
      <c r="AK266" s="16">
        <v>-2.3200046545403201</v>
      </c>
      <c r="AL266" s="16">
        <v>-5.3879793200677302</v>
      </c>
      <c r="AM266" s="26">
        <v>1.33019325468102E-9</v>
      </c>
      <c r="AN266" s="27">
        <v>1.6179987043301902E-8</v>
      </c>
      <c r="AO266" s="11">
        <v>17.5347241421616</v>
      </c>
      <c r="AP266" s="11">
        <v>3.2544156353482698</v>
      </c>
      <c r="AQ266" t="s">
        <v>5875</v>
      </c>
      <c r="AR266" t="s">
        <v>5876</v>
      </c>
      <c r="AS266" t="s">
        <v>4850</v>
      </c>
    </row>
    <row r="267" spans="1:45">
      <c r="A267" t="s">
        <v>4872</v>
      </c>
      <c r="B267" s="2">
        <v>14</v>
      </c>
      <c r="C267" s="2">
        <v>18</v>
      </c>
      <c r="D267" s="2">
        <v>4</v>
      </c>
      <c r="E267" s="2">
        <v>8</v>
      </c>
      <c r="F267" s="2">
        <v>26</v>
      </c>
      <c r="G267" s="2">
        <v>19</v>
      </c>
      <c r="H267" s="2">
        <v>24</v>
      </c>
      <c r="I267" s="2">
        <v>18</v>
      </c>
      <c r="J267" s="2">
        <v>0</v>
      </c>
      <c r="K267" s="2">
        <v>0</v>
      </c>
      <c r="L267" s="2">
        <v>7</v>
      </c>
      <c r="M267" s="2">
        <v>4</v>
      </c>
      <c r="N267" s="2">
        <v>0</v>
      </c>
      <c r="O267" s="2">
        <v>0</v>
      </c>
      <c r="P267" s="2">
        <v>1</v>
      </c>
      <c r="Q267" s="2">
        <v>5</v>
      </c>
      <c r="R267" s="2">
        <v>9</v>
      </c>
      <c r="S267" s="2">
        <v>0</v>
      </c>
      <c r="T267" s="2">
        <v>3</v>
      </c>
      <c r="U267" s="11">
        <v>16.963007541686199</v>
      </c>
      <c r="V267" s="11">
        <v>17.335154172193999</v>
      </c>
      <c r="W267" s="11">
        <v>6.4031906472490299</v>
      </c>
      <c r="X267" s="11">
        <v>12.0953740732258</v>
      </c>
      <c r="Y267" s="11">
        <v>22.3645853583592</v>
      </c>
      <c r="Z267" s="11">
        <v>17.6648176861503</v>
      </c>
      <c r="AA267" s="11">
        <v>25.297494788751401</v>
      </c>
      <c r="AB267" s="11">
        <v>17.517304763681501</v>
      </c>
      <c r="AC267" s="11">
        <v>0.19868957331123899</v>
      </c>
      <c r="AD267" s="11">
        <v>4.4145475282179998</v>
      </c>
      <c r="AE267" s="11">
        <v>3.2002173930693698</v>
      </c>
      <c r="AF267" s="11">
        <v>0.21163676164998499</v>
      </c>
      <c r="AG267" s="11">
        <v>0.91879256581511404</v>
      </c>
      <c r="AH267" s="11">
        <v>3.94595285192562</v>
      </c>
      <c r="AI267" s="11">
        <v>13.576860430761799</v>
      </c>
      <c r="AJ267" s="11">
        <v>4.5679105394238499</v>
      </c>
      <c r="AK267" s="16">
        <v>-2.2357690909262899</v>
      </c>
      <c r="AL267" s="16">
        <v>-4.3706345698479101</v>
      </c>
      <c r="AM267" s="26">
        <v>1.34693686581372E-5</v>
      </c>
      <c r="AN267" s="27">
        <v>4.8187206589806302E-5</v>
      </c>
      <c r="AO267" s="11">
        <v>16.955116128912199</v>
      </c>
      <c r="AP267" s="11">
        <v>3.8793259555218702</v>
      </c>
      <c r="AQ267" t="s">
        <v>5875</v>
      </c>
      <c r="AR267" t="s">
        <v>5876</v>
      </c>
      <c r="AS267" t="s">
        <v>4872</v>
      </c>
    </row>
    <row r="268" spans="1:45">
      <c r="A268" t="s">
        <v>4654</v>
      </c>
      <c r="B268" s="2">
        <v>9.5619999999999994</v>
      </c>
      <c r="C268" s="2">
        <v>20.713999999999999</v>
      </c>
      <c r="D268" s="2">
        <v>5</v>
      </c>
      <c r="E268" s="2">
        <v>6</v>
      </c>
      <c r="F268" s="2">
        <v>40.417999999999999</v>
      </c>
      <c r="G268" s="2">
        <v>21.143000000000001</v>
      </c>
      <c r="H268" s="2">
        <v>15.682</v>
      </c>
      <c r="I268" s="2">
        <v>18.5</v>
      </c>
      <c r="J268" s="2">
        <v>0</v>
      </c>
      <c r="K268" s="2">
        <v>0</v>
      </c>
      <c r="L268" s="2">
        <v>5</v>
      </c>
      <c r="M268" s="2">
        <v>0</v>
      </c>
      <c r="N268" s="2">
        <v>1</v>
      </c>
      <c r="O268" s="2">
        <v>0</v>
      </c>
      <c r="P268" s="2">
        <v>0</v>
      </c>
      <c r="Q268" s="2">
        <v>12.462</v>
      </c>
      <c r="R268" s="2">
        <v>0</v>
      </c>
      <c r="S268" s="2">
        <v>0</v>
      </c>
      <c r="T268" s="2">
        <v>4.3079999999999998</v>
      </c>
      <c r="U268" s="11">
        <v>11.631776600013399</v>
      </c>
      <c r="V268" s="11">
        <v>19.9354272980231</v>
      </c>
      <c r="W268" s="11">
        <v>8.00398830906129</v>
      </c>
      <c r="X268" s="11">
        <v>9.0715305549193808</v>
      </c>
      <c r="Y268" s="11">
        <v>34.751124941450399</v>
      </c>
      <c r="Z268" s="11">
        <v>19.617244904093301</v>
      </c>
      <c r="AA268" s="11">
        <v>16.5487778409749</v>
      </c>
      <c r="AB268" s="11">
        <v>18.003896562672701</v>
      </c>
      <c r="AC268" s="11">
        <v>0.19868957331123899</v>
      </c>
      <c r="AD268" s="11">
        <v>3.1532482344414299</v>
      </c>
      <c r="AE268" s="11">
        <v>0.200013587066836</v>
      </c>
      <c r="AF268" s="11">
        <v>0.84654704659994096</v>
      </c>
      <c r="AG268" s="11">
        <v>0.22969814145377901</v>
      </c>
      <c r="AH268" s="11">
        <v>9.8648821298140597</v>
      </c>
      <c r="AI268" s="11">
        <v>0.377135011965606</v>
      </c>
      <c r="AJ268" s="11">
        <v>6.5473384398408498</v>
      </c>
      <c r="AK268" s="16">
        <v>-2.65634153681285</v>
      </c>
      <c r="AL268" s="16">
        <v>-6.4229453466331803</v>
      </c>
      <c r="AM268" s="26">
        <v>7.03914691462103E-6</v>
      </c>
      <c r="AN268" s="27">
        <v>2.69096530621798E-5</v>
      </c>
      <c r="AO268" s="11">
        <v>17.1954708764011</v>
      </c>
      <c r="AP268" s="11">
        <v>2.67719402056172</v>
      </c>
      <c r="AQ268" t="s">
        <v>5875</v>
      </c>
      <c r="AR268" t="s">
        <v>5876</v>
      </c>
      <c r="AS268" t="s">
        <v>4654</v>
      </c>
    </row>
    <row r="269" spans="1:45">
      <c r="A269" t="s">
        <v>1613</v>
      </c>
      <c r="B269" s="2">
        <v>3</v>
      </c>
      <c r="C269" s="2">
        <v>6</v>
      </c>
      <c r="D269" s="2">
        <v>2</v>
      </c>
      <c r="E269" s="2">
        <v>2</v>
      </c>
      <c r="F269" s="2">
        <v>4</v>
      </c>
      <c r="G269" s="2">
        <v>8</v>
      </c>
      <c r="H269" s="2">
        <v>8</v>
      </c>
      <c r="I269" s="2">
        <v>13</v>
      </c>
      <c r="J269" s="2">
        <v>20</v>
      </c>
      <c r="K269" s="2">
        <v>3</v>
      </c>
      <c r="L269" s="2">
        <v>14</v>
      </c>
      <c r="M269" s="2">
        <v>12</v>
      </c>
      <c r="N269" s="2">
        <v>9</v>
      </c>
      <c r="O269" s="2">
        <v>3</v>
      </c>
      <c r="P269" s="2">
        <v>14</v>
      </c>
      <c r="Q269" s="2">
        <v>19</v>
      </c>
      <c r="R269" s="2">
        <v>8</v>
      </c>
      <c r="S269" s="2">
        <v>5</v>
      </c>
      <c r="T269" s="2">
        <v>6</v>
      </c>
      <c r="U269" s="11">
        <v>3.6349301875041902</v>
      </c>
      <c r="V269" s="11">
        <v>5.7783847240646802</v>
      </c>
      <c r="W269" s="11">
        <v>3.2015953236245198</v>
      </c>
      <c r="X269" s="11">
        <v>3.0238435183064598</v>
      </c>
      <c r="Y269" s="11">
        <v>3.4407054397475698</v>
      </c>
      <c r="Z269" s="11">
        <v>7.43781797311593</v>
      </c>
      <c r="AA269" s="11">
        <v>8.4324982629171306</v>
      </c>
      <c r="AB269" s="11">
        <v>12.65138677377</v>
      </c>
      <c r="AC269" s="11">
        <v>15.8951658648991</v>
      </c>
      <c r="AD269" s="11">
        <v>8.8290950564359996</v>
      </c>
      <c r="AE269" s="11">
        <v>9.6006521792081099</v>
      </c>
      <c r="AF269" s="11">
        <v>7.6189234193994704</v>
      </c>
      <c r="AG269" s="11">
        <v>12.863095921411601</v>
      </c>
      <c r="AH269" s="11">
        <v>14.994620837317401</v>
      </c>
      <c r="AI269" s="11">
        <v>12.068320382899399</v>
      </c>
      <c r="AJ269" s="11">
        <v>9.1358210788476999</v>
      </c>
      <c r="AK269" s="16">
        <v>0.878183971824683</v>
      </c>
      <c r="AL269" s="16">
        <v>1.9118376637994501</v>
      </c>
      <c r="AM269" s="26">
        <v>1.29555492809093E-2</v>
      </c>
      <c r="AN269" s="27">
        <v>2.3236628603025E-2</v>
      </c>
      <c r="AO269" s="11">
        <v>5.9501452753813098</v>
      </c>
      <c r="AP269" s="11">
        <v>11.375711842552301</v>
      </c>
      <c r="AQ269" t="s">
        <v>5874</v>
      </c>
      <c r="AR269" t="s">
        <v>5878</v>
      </c>
      <c r="AS269" t="s">
        <v>1613</v>
      </c>
    </row>
    <row r="270" spans="1:45">
      <c r="A270" t="s">
        <v>3773</v>
      </c>
      <c r="B270" s="2">
        <v>2</v>
      </c>
      <c r="C270" s="2">
        <v>0</v>
      </c>
      <c r="D270" s="2">
        <v>0</v>
      </c>
      <c r="E270" s="2">
        <v>1</v>
      </c>
      <c r="F270" s="2">
        <v>2</v>
      </c>
      <c r="G270" s="2">
        <v>2</v>
      </c>
      <c r="H270" s="2">
        <v>3</v>
      </c>
      <c r="I270" s="2">
        <v>18</v>
      </c>
      <c r="J270" s="2">
        <v>18</v>
      </c>
      <c r="K270" s="2">
        <v>1</v>
      </c>
      <c r="L270" s="2">
        <v>17</v>
      </c>
      <c r="M270" s="2">
        <v>11</v>
      </c>
      <c r="N270" s="2">
        <v>12</v>
      </c>
      <c r="O270" s="2">
        <v>3</v>
      </c>
      <c r="P270" s="2">
        <v>17</v>
      </c>
      <c r="Q270" s="2">
        <v>26</v>
      </c>
      <c r="R270" s="2">
        <v>11</v>
      </c>
      <c r="S270" s="2">
        <v>2</v>
      </c>
      <c r="T270" s="2">
        <v>12</v>
      </c>
      <c r="U270" s="11">
        <v>2.4232867916694598</v>
      </c>
      <c r="V270" s="11">
        <v>0.24076603016936199</v>
      </c>
      <c r="W270" s="11">
        <v>0.40019941545306398</v>
      </c>
      <c r="X270" s="11">
        <v>1.5119217591532299</v>
      </c>
      <c r="Y270" s="11">
        <v>1.72035271987378</v>
      </c>
      <c r="Z270" s="11">
        <v>1.85945449327898</v>
      </c>
      <c r="AA270" s="11">
        <v>3.1621868485939202</v>
      </c>
      <c r="AB270" s="11">
        <v>17.517304763681501</v>
      </c>
      <c r="AC270" s="11">
        <v>14.3056492784092</v>
      </c>
      <c r="AD270" s="11">
        <v>10.7210439971009</v>
      </c>
      <c r="AE270" s="11">
        <v>8.8005978309407702</v>
      </c>
      <c r="AF270" s="11">
        <v>10.1585645591993</v>
      </c>
      <c r="AG270" s="11">
        <v>15.619473618856899</v>
      </c>
      <c r="AH270" s="11">
        <v>20.5189548300133</v>
      </c>
      <c r="AI270" s="11">
        <v>16.593940526486598</v>
      </c>
      <c r="AJ270" s="11">
        <v>18.2716421576954</v>
      </c>
      <c r="AK270" s="16">
        <v>1.8992357686936201</v>
      </c>
      <c r="AL270" s="16">
        <v>3.98779196405187</v>
      </c>
      <c r="AM270" s="26">
        <v>3.39295425884382E-4</v>
      </c>
      <c r="AN270" s="27">
        <v>8.5014471878895798E-4</v>
      </c>
      <c r="AO270" s="11">
        <v>3.6044341027341602</v>
      </c>
      <c r="AP270" s="11">
        <v>14.373733349837799</v>
      </c>
      <c r="AQ270" t="s">
        <v>5874</v>
      </c>
      <c r="AR270" t="s">
        <v>5876</v>
      </c>
      <c r="AS270" t="s">
        <v>3773</v>
      </c>
    </row>
    <row r="271" spans="1:45">
      <c r="A271" t="s">
        <v>4160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24</v>
      </c>
      <c r="K271" s="2">
        <v>1</v>
      </c>
      <c r="L271" s="2">
        <v>38</v>
      </c>
      <c r="M271" s="2">
        <v>13</v>
      </c>
      <c r="N271" s="2">
        <v>4</v>
      </c>
      <c r="O271" s="2">
        <v>0</v>
      </c>
      <c r="P271" s="2">
        <v>41</v>
      </c>
      <c r="Q271" s="2">
        <v>32</v>
      </c>
      <c r="R271" s="2">
        <v>1</v>
      </c>
      <c r="S271" s="2">
        <v>1</v>
      </c>
      <c r="T271" s="2">
        <v>1</v>
      </c>
      <c r="U271" s="11">
        <v>0.30291084895868198</v>
      </c>
      <c r="V271" s="11">
        <v>0.24076603016936199</v>
      </c>
      <c r="W271" s="11">
        <v>0.40019941545306398</v>
      </c>
      <c r="X271" s="11">
        <v>0.37798043978830698</v>
      </c>
      <c r="Y271" s="11">
        <v>0.215044089984223</v>
      </c>
      <c r="Z271" s="11">
        <v>0.23243181165987301</v>
      </c>
      <c r="AA271" s="11">
        <v>1.05406228286464</v>
      </c>
      <c r="AB271" s="11">
        <v>0.97318359798230603</v>
      </c>
      <c r="AC271" s="11">
        <v>19.074199037879001</v>
      </c>
      <c r="AD271" s="11">
        <v>23.964686581754901</v>
      </c>
      <c r="AE271" s="11">
        <v>10.400706527475499</v>
      </c>
      <c r="AF271" s="11">
        <v>3.3861881863997598</v>
      </c>
      <c r="AG271" s="11">
        <v>37.670495198419701</v>
      </c>
      <c r="AH271" s="11">
        <v>25.254098252323999</v>
      </c>
      <c r="AI271" s="11">
        <v>1.50854004786242</v>
      </c>
      <c r="AJ271" s="11">
        <v>1.5226368464746201</v>
      </c>
      <c r="AK271" s="16">
        <v>4.71291626375793</v>
      </c>
      <c r="AL271" s="16">
        <v>32.3400530591746</v>
      </c>
      <c r="AM271" s="26">
        <v>4.6135273666302204E-9</v>
      </c>
      <c r="AN271" s="27">
        <v>4.74838432042402E-8</v>
      </c>
      <c r="AO271" s="11">
        <v>0.474572314607557</v>
      </c>
      <c r="AP271" s="11">
        <v>15.3476938348237</v>
      </c>
      <c r="AQ271" t="s">
        <v>5874</v>
      </c>
      <c r="AR271" t="s">
        <v>5876</v>
      </c>
      <c r="AS271" t="s">
        <v>4160</v>
      </c>
    </row>
    <row r="272" spans="1:45">
      <c r="A272" t="s">
        <v>3274</v>
      </c>
      <c r="B272" s="2">
        <v>8.5</v>
      </c>
      <c r="C272" s="2">
        <v>8</v>
      </c>
      <c r="D272" s="2">
        <v>11.4</v>
      </c>
      <c r="E272" s="2">
        <v>12.333</v>
      </c>
      <c r="F272" s="2">
        <v>20</v>
      </c>
      <c r="G272" s="2">
        <v>19</v>
      </c>
      <c r="H272" s="2">
        <v>22</v>
      </c>
      <c r="I272" s="2">
        <v>33</v>
      </c>
      <c r="J272" s="2">
        <v>1.5</v>
      </c>
      <c r="K272" s="2">
        <v>0</v>
      </c>
      <c r="L272" s="2">
        <v>2.6920000000000002</v>
      </c>
      <c r="M272" s="2">
        <v>6</v>
      </c>
      <c r="N272" s="2">
        <v>4</v>
      </c>
      <c r="O272" s="2">
        <v>0</v>
      </c>
      <c r="P272" s="2">
        <v>0</v>
      </c>
      <c r="Q272" s="2">
        <v>3.8330000000000002</v>
      </c>
      <c r="R272" s="2">
        <v>5.5</v>
      </c>
      <c r="S272" s="2">
        <v>0</v>
      </c>
      <c r="T272" s="2">
        <v>0</v>
      </c>
      <c r="U272" s="11">
        <v>10.298968864595199</v>
      </c>
      <c r="V272" s="11">
        <v>7.7045129654195703</v>
      </c>
      <c r="W272" s="11">
        <v>18.249093344659698</v>
      </c>
      <c r="X272" s="11">
        <v>18.596637637584699</v>
      </c>
      <c r="Y272" s="11">
        <v>17.203527198737799</v>
      </c>
      <c r="Z272" s="11">
        <v>17.6648176861503</v>
      </c>
      <c r="AA272" s="11">
        <v>23.189370223022099</v>
      </c>
      <c r="AB272" s="11">
        <v>32.115058733416099</v>
      </c>
      <c r="AC272" s="11">
        <v>1.19213743986744</v>
      </c>
      <c r="AD272" s="11">
        <v>1.7027540465983699</v>
      </c>
      <c r="AE272" s="11">
        <v>4.8003260896040603</v>
      </c>
      <c r="AF272" s="11">
        <v>3.3861881863997598</v>
      </c>
      <c r="AG272" s="11">
        <v>0.22969814145377901</v>
      </c>
      <c r="AH272" s="11">
        <v>2.9989241674634699</v>
      </c>
      <c r="AI272" s="11">
        <v>8.2969702632433204</v>
      </c>
      <c r="AJ272" s="11">
        <v>0.38065921161865401</v>
      </c>
      <c r="AK272" s="16">
        <v>-2.6697967998362602</v>
      </c>
      <c r="AL272" s="16">
        <v>-6.3086891894842196</v>
      </c>
      <c r="AM272" s="26">
        <v>1.34911389263099E-8</v>
      </c>
      <c r="AN272" s="27">
        <v>1.2363797180412799E-7</v>
      </c>
      <c r="AO272" s="11">
        <v>18.1277483316982</v>
      </c>
      <c r="AP272" s="11">
        <v>2.8734571932811099</v>
      </c>
      <c r="AQ272" t="s">
        <v>5875</v>
      </c>
      <c r="AR272" t="s">
        <v>5876</v>
      </c>
      <c r="AS272" t="s">
        <v>3274</v>
      </c>
    </row>
    <row r="273" spans="1:45">
      <c r="A273" t="s">
        <v>1434</v>
      </c>
      <c r="B273" s="2">
        <v>14</v>
      </c>
      <c r="C273" s="2">
        <v>12</v>
      </c>
      <c r="D273" s="2">
        <v>10</v>
      </c>
      <c r="E273" s="2">
        <v>11</v>
      </c>
      <c r="F273" s="2">
        <v>17</v>
      </c>
      <c r="G273" s="2">
        <v>20</v>
      </c>
      <c r="H273" s="2">
        <v>14</v>
      </c>
      <c r="I273" s="2">
        <v>8</v>
      </c>
      <c r="J273" s="2">
        <v>2</v>
      </c>
      <c r="K273" s="2">
        <v>0</v>
      </c>
      <c r="L273" s="2">
        <v>7</v>
      </c>
      <c r="M273" s="2">
        <v>5</v>
      </c>
      <c r="N273" s="2">
        <v>5</v>
      </c>
      <c r="O273" s="2">
        <v>2</v>
      </c>
      <c r="P273" s="2">
        <v>3</v>
      </c>
      <c r="Q273" s="2">
        <v>5</v>
      </c>
      <c r="R273" s="2">
        <v>7</v>
      </c>
      <c r="S273" s="2">
        <v>5</v>
      </c>
      <c r="T273" s="2">
        <v>7</v>
      </c>
      <c r="U273" s="11">
        <v>16.963007541686199</v>
      </c>
      <c r="V273" s="11">
        <v>11.556769448129399</v>
      </c>
      <c r="W273" s="11">
        <v>16.007976618122601</v>
      </c>
      <c r="X273" s="11">
        <v>16.631139350685501</v>
      </c>
      <c r="Y273" s="11">
        <v>14.6229981189272</v>
      </c>
      <c r="Z273" s="11">
        <v>18.594544932789798</v>
      </c>
      <c r="AA273" s="11">
        <v>14.756871960105</v>
      </c>
      <c r="AB273" s="11">
        <v>7.78546878385845</v>
      </c>
      <c r="AC273" s="11">
        <v>1.5895165864899099</v>
      </c>
      <c r="AD273" s="11">
        <v>4.4145475282179998</v>
      </c>
      <c r="AE273" s="11">
        <v>4.0002717413367099</v>
      </c>
      <c r="AF273" s="11">
        <v>4.2327352329997003</v>
      </c>
      <c r="AG273" s="11">
        <v>2.7563776974453398</v>
      </c>
      <c r="AH273" s="11">
        <v>3.94595285192562</v>
      </c>
      <c r="AI273" s="11">
        <v>10.559780335037001</v>
      </c>
      <c r="AJ273" s="11">
        <v>10.658457925322301</v>
      </c>
      <c r="AK273" s="16">
        <v>-1.57260344966567</v>
      </c>
      <c r="AL273" s="16">
        <v>-2.7733710197022301</v>
      </c>
      <c r="AM273" s="26">
        <v>4.9804563402319203E-5</v>
      </c>
      <c r="AN273" s="27">
        <v>1.5214270737968699E-4</v>
      </c>
      <c r="AO273" s="11">
        <v>14.614847094288001</v>
      </c>
      <c r="AP273" s="11">
        <v>5.2697049873468202</v>
      </c>
      <c r="AQ273" t="s">
        <v>5875</v>
      </c>
      <c r="AR273" t="s">
        <v>5876</v>
      </c>
      <c r="AS273" t="s">
        <v>1434</v>
      </c>
    </row>
    <row r="274" spans="1:45">
      <c r="A274" t="s">
        <v>2201</v>
      </c>
      <c r="B274" s="2">
        <v>7</v>
      </c>
      <c r="C274" s="2">
        <v>3</v>
      </c>
      <c r="D274" s="2">
        <v>2</v>
      </c>
      <c r="E274" s="2">
        <v>0</v>
      </c>
      <c r="F274" s="2">
        <v>11</v>
      </c>
      <c r="G274" s="2">
        <v>11</v>
      </c>
      <c r="H274" s="2">
        <v>20</v>
      </c>
      <c r="I274" s="2">
        <v>25</v>
      </c>
      <c r="J274" s="2">
        <v>13</v>
      </c>
      <c r="K274" s="2">
        <v>0</v>
      </c>
      <c r="L274" s="2">
        <v>21</v>
      </c>
      <c r="M274" s="2">
        <v>10</v>
      </c>
      <c r="N274" s="2">
        <v>6</v>
      </c>
      <c r="O274" s="2">
        <v>0</v>
      </c>
      <c r="P274" s="2">
        <v>3</v>
      </c>
      <c r="Q274" s="2">
        <v>13</v>
      </c>
      <c r="R274" s="2">
        <v>1</v>
      </c>
      <c r="S274" s="2">
        <v>6</v>
      </c>
      <c r="T274" s="2">
        <v>2</v>
      </c>
      <c r="U274" s="11">
        <v>8.4815037708430996</v>
      </c>
      <c r="V274" s="11">
        <v>2.8891923620323401</v>
      </c>
      <c r="W274" s="11">
        <v>3.2015953236245198</v>
      </c>
      <c r="X274" s="11">
        <v>0.37798043978830698</v>
      </c>
      <c r="Y274" s="11">
        <v>9.4619399593058091</v>
      </c>
      <c r="Z274" s="11">
        <v>10.226999713034401</v>
      </c>
      <c r="AA274" s="11">
        <v>21.081245657292801</v>
      </c>
      <c r="AB274" s="11">
        <v>24.3295899495577</v>
      </c>
      <c r="AC274" s="11">
        <v>10.331857812184399</v>
      </c>
      <c r="AD274" s="11">
        <v>13.243642584653999</v>
      </c>
      <c r="AE274" s="11">
        <v>8.0005434826734305</v>
      </c>
      <c r="AF274" s="11">
        <v>5.0792822795996404</v>
      </c>
      <c r="AG274" s="11">
        <v>2.7563776974453398</v>
      </c>
      <c r="AH274" s="11">
        <v>10.2594774150066</v>
      </c>
      <c r="AI274" s="11">
        <v>1.50854004786242</v>
      </c>
      <c r="AJ274" s="11">
        <v>3.0452736929492299</v>
      </c>
      <c r="AK274" s="16">
        <v>-0.53141177694997999</v>
      </c>
      <c r="AL274" s="16">
        <v>-1.4762573451082901</v>
      </c>
      <c r="AM274" s="26">
        <v>0.340858744043879</v>
      </c>
      <c r="AN274" s="27">
        <v>0.42072785934567303</v>
      </c>
      <c r="AO274" s="11">
        <v>10.006255896934899</v>
      </c>
      <c r="AP274" s="11">
        <v>6.7781243765468897</v>
      </c>
      <c r="AQ274" t="s">
        <v>5875</v>
      </c>
      <c r="AR274" t="s">
        <v>5832</v>
      </c>
      <c r="AS274" t="s">
        <v>2201</v>
      </c>
    </row>
    <row r="275" spans="1:45">
      <c r="A275" t="s">
        <v>3821</v>
      </c>
      <c r="B275" s="2">
        <v>9</v>
      </c>
      <c r="C275" s="2">
        <v>27</v>
      </c>
      <c r="D275" s="2">
        <v>17</v>
      </c>
      <c r="E275" s="2">
        <v>21</v>
      </c>
      <c r="F275" s="2">
        <v>19</v>
      </c>
      <c r="G275" s="2">
        <v>21</v>
      </c>
      <c r="H275" s="2">
        <v>16</v>
      </c>
      <c r="I275" s="2">
        <v>11</v>
      </c>
      <c r="J275" s="2">
        <v>1</v>
      </c>
      <c r="K275" s="2">
        <v>1</v>
      </c>
      <c r="L275" s="2">
        <v>1</v>
      </c>
      <c r="M275" s="2">
        <v>4</v>
      </c>
      <c r="N275" s="2">
        <v>1</v>
      </c>
      <c r="O275" s="2">
        <v>0</v>
      </c>
      <c r="P275" s="2">
        <v>1</v>
      </c>
      <c r="Q275" s="2">
        <v>1</v>
      </c>
      <c r="R275" s="2">
        <v>2</v>
      </c>
      <c r="S275" s="2">
        <v>0</v>
      </c>
      <c r="T275" s="2">
        <v>1</v>
      </c>
      <c r="U275" s="11">
        <v>10.9047905625126</v>
      </c>
      <c r="V275" s="11">
        <v>26.002731258291099</v>
      </c>
      <c r="W275" s="11">
        <v>27.213560250808399</v>
      </c>
      <c r="X275" s="11">
        <v>31.750356942217799</v>
      </c>
      <c r="Y275" s="11">
        <v>16.343350838801001</v>
      </c>
      <c r="Z275" s="11">
        <v>19.5242721794293</v>
      </c>
      <c r="AA275" s="11">
        <v>16.8649965258343</v>
      </c>
      <c r="AB275" s="11">
        <v>10.7050195778054</v>
      </c>
      <c r="AC275" s="11">
        <v>0.79475829324495695</v>
      </c>
      <c r="AD275" s="11">
        <v>0.63064964688828595</v>
      </c>
      <c r="AE275" s="11">
        <v>3.2002173930693698</v>
      </c>
      <c r="AF275" s="11">
        <v>0.84654704659994096</v>
      </c>
      <c r="AG275" s="11">
        <v>0.91879256581511404</v>
      </c>
      <c r="AH275" s="11">
        <v>0.78919057038512497</v>
      </c>
      <c r="AI275" s="11">
        <v>3.0170800957248498</v>
      </c>
      <c r="AJ275" s="11">
        <v>1.5226368464746201</v>
      </c>
      <c r="AK275" s="16">
        <v>-3.7363660106943302</v>
      </c>
      <c r="AL275" s="16">
        <v>-13.5930726809408</v>
      </c>
      <c r="AM275" s="26">
        <v>2.2244610520789499E-15</v>
      </c>
      <c r="AN275" s="27">
        <v>1.6027678446544901E-13</v>
      </c>
      <c r="AO275" s="11">
        <v>19.913634766962499</v>
      </c>
      <c r="AP275" s="11">
        <v>1.4649840572752799</v>
      </c>
      <c r="AQ275" t="s">
        <v>5875</v>
      </c>
      <c r="AR275" t="s">
        <v>5876</v>
      </c>
      <c r="AS275" t="s">
        <v>3821</v>
      </c>
    </row>
    <row r="276" spans="1:45">
      <c r="A276" t="s">
        <v>3910</v>
      </c>
      <c r="B276" s="2">
        <v>13</v>
      </c>
      <c r="C276" s="2">
        <v>10</v>
      </c>
      <c r="D276" s="2">
        <v>4</v>
      </c>
      <c r="E276" s="2">
        <v>4</v>
      </c>
      <c r="F276" s="2">
        <v>10</v>
      </c>
      <c r="G276" s="2">
        <v>9</v>
      </c>
      <c r="H276" s="2">
        <v>7</v>
      </c>
      <c r="I276" s="2">
        <v>4</v>
      </c>
      <c r="J276" s="2">
        <v>18</v>
      </c>
      <c r="K276" s="2">
        <v>0</v>
      </c>
      <c r="L276" s="2">
        <v>19</v>
      </c>
      <c r="M276" s="2">
        <v>11</v>
      </c>
      <c r="N276" s="2">
        <v>5</v>
      </c>
      <c r="O276" s="2">
        <v>1</v>
      </c>
      <c r="P276" s="2">
        <v>16</v>
      </c>
      <c r="Q276" s="2">
        <v>11</v>
      </c>
      <c r="R276" s="2">
        <v>2</v>
      </c>
      <c r="S276" s="2">
        <v>3</v>
      </c>
      <c r="T276" s="2">
        <v>7</v>
      </c>
      <c r="U276" s="11">
        <v>15.7513641458515</v>
      </c>
      <c r="V276" s="11">
        <v>9.6306412067744702</v>
      </c>
      <c r="W276" s="11">
        <v>6.4031906472490299</v>
      </c>
      <c r="X276" s="11">
        <v>6.0476870366129196</v>
      </c>
      <c r="Y276" s="11">
        <v>8.6017635993689208</v>
      </c>
      <c r="Z276" s="11">
        <v>8.3675452197554208</v>
      </c>
      <c r="AA276" s="11">
        <v>7.3784359800524904</v>
      </c>
      <c r="AB276" s="11">
        <v>3.8927343919292201</v>
      </c>
      <c r="AC276" s="11">
        <v>14.3056492784092</v>
      </c>
      <c r="AD276" s="11">
        <v>11.982343290877401</v>
      </c>
      <c r="AE276" s="11">
        <v>8.8005978309407702</v>
      </c>
      <c r="AF276" s="11">
        <v>4.2327352329997003</v>
      </c>
      <c r="AG276" s="11">
        <v>14.7006810530418</v>
      </c>
      <c r="AH276" s="11">
        <v>8.6810962742363706</v>
      </c>
      <c r="AI276" s="11">
        <v>3.0170800957248498</v>
      </c>
      <c r="AJ276" s="11">
        <v>10.658457925322301</v>
      </c>
      <c r="AK276" s="16">
        <v>0.22843890233558301</v>
      </c>
      <c r="AL276" s="16">
        <v>1.1559672219867001</v>
      </c>
      <c r="AM276" s="26">
        <v>0.58188580230879405</v>
      </c>
      <c r="AN276" s="27">
        <v>0.658682913273406</v>
      </c>
      <c r="AO276" s="11">
        <v>8.2591702784492398</v>
      </c>
      <c r="AP276" s="11">
        <v>9.5473301226940599</v>
      </c>
      <c r="AQ276" t="s">
        <v>5874</v>
      </c>
      <c r="AR276" t="s">
        <v>5832</v>
      </c>
      <c r="AS276" t="s">
        <v>3910</v>
      </c>
    </row>
    <row r="277" spans="1:45">
      <c r="A277" t="s">
        <v>772</v>
      </c>
      <c r="B277" s="2">
        <v>7</v>
      </c>
      <c r="C277" s="2">
        <v>6</v>
      </c>
      <c r="D277" s="2">
        <v>8</v>
      </c>
      <c r="E277" s="2">
        <v>3</v>
      </c>
      <c r="F277" s="2">
        <v>5</v>
      </c>
      <c r="G277" s="2">
        <v>4</v>
      </c>
      <c r="H277" s="2">
        <v>6</v>
      </c>
      <c r="I277" s="2">
        <v>7</v>
      </c>
      <c r="J277" s="2">
        <v>10</v>
      </c>
      <c r="K277" s="2">
        <v>4</v>
      </c>
      <c r="L277" s="2">
        <v>14</v>
      </c>
      <c r="M277" s="2">
        <v>19</v>
      </c>
      <c r="N277" s="2">
        <v>12</v>
      </c>
      <c r="O277" s="2">
        <v>3</v>
      </c>
      <c r="P277" s="2">
        <v>7</v>
      </c>
      <c r="Q277" s="2">
        <v>11</v>
      </c>
      <c r="R277" s="2">
        <v>11</v>
      </c>
      <c r="S277" s="2">
        <v>7</v>
      </c>
      <c r="T277" s="2">
        <v>9</v>
      </c>
      <c r="U277" s="11">
        <v>8.4815037708430996</v>
      </c>
      <c r="V277" s="11">
        <v>5.7783847240646802</v>
      </c>
      <c r="W277" s="11">
        <v>12.806381294498101</v>
      </c>
      <c r="X277" s="11">
        <v>4.5357652774596904</v>
      </c>
      <c r="Y277" s="11">
        <v>4.3008817996844604</v>
      </c>
      <c r="Z277" s="11">
        <v>3.7189089865579601</v>
      </c>
      <c r="AA277" s="11">
        <v>6.3243736971878404</v>
      </c>
      <c r="AB277" s="11">
        <v>6.8122851858761404</v>
      </c>
      <c r="AC277" s="11">
        <v>7.9475829324495697</v>
      </c>
      <c r="AD277" s="11">
        <v>8.8290950564359996</v>
      </c>
      <c r="AE277" s="11">
        <v>15.2010326170795</v>
      </c>
      <c r="AF277" s="11">
        <v>10.1585645591993</v>
      </c>
      <c r="AG277" s="11">
        <v>6.4315479607058004</v>
      </c>
      <c r="AH277" s="11">
        <v>8.6810962742363706</v>
      </c>
      <c r="AI277" s="11">
        <v>16.593940526486598</v>
      </c>
      <c r="AJ277" s="11">
        <v>13.7037316182716</v>
      </c>
      <c r="AK277" s="16">
        <v>0.73054219442281698</v>
      </c>
      <c r="AL277" s="16">
        <v>1.6593841157997</v>
      </c>
      <c r="AM277" s="26">
        <v>4.7580072763805797E-2</v>
      </c>
      <c r="AN277" s="27">
        <v>7.4371655792023594E-2</v>
      </c>
      <c r="AO277" s="11">
        <v>6.5948105920214903</v>
      </c>
      <c r="AP277" s="11">
        <v>10.9433239431081</v>
      </c>
      <c r="AQ277" t="s">
        <v>5874</v>
      </c>
      <c r="AR277" t="s">
        <v>5877</v>
      </c>
      <c r="AS277" t="s">
        <v>772</v>
      </c>
    </row>
    <row r="278" spans="1:45">
      <c r="A278" t="s">
        <v>2334</v>
      </c>
      <c r="B278" s="2">
        <v>3</v>
      </c>
      <c r="C278" s="2">
        <v>23</v>
      </c>
      <c r="D278" s="2">
        <v>0</v>
      </c>
      <c r="E278" s="2">
        <v>17</v>
      </c>
      <c r="F278" s="2">
        <v>39</v>
      </c>
      <c r="G278" s="2">
        <v>35</v>
      </c>
      <c r="H278" s="2">
        <v>7</v>
      </c>
      <c r="I278" s="2">
        <v>16</v>
      </c>
      <c r="J278" s="2">
        <v>0</v>
      </c>
      <c r="K278" s="2">
        <v>0</v>
      </c>
      <c r="L278" s="2">
        <v>2</v>
      </c>
      <c r="M278" s="2">
        <v>5</v>
      </c>
      <c r="N278" s="2">
        <v>0</v>
      </c>
      <c r="O278" s="2">
        <v>0</v>
      </c>
      <c r="P278" s="2">
        <v>0</v>
      </c>
      <c r="Q278" s="2">
        <v>6</v>
      </c>
      <c r="R278" s="2">
        <v>0</v>
      </c>
      <c r="S278" s="2">
        <v>0</v>
      </c>
      <c r="T278" s="2">
        <v>0</v>
      </c>
      <c r="U278" s="11">
        <v>3.6349301875041902</v>
      </c>
      <c r="V278" s="11">
        <v>22.150474775581301</v>
      </c>
      <c r="W278" s="11">
        <v>0.40019941545306398</v>
      </c>
      <c r="X278" s="11">
        <v>25.7026699056049</v>
      </c>
      <c r="Y278" s="11">
        <v>33.546878037538796</v>
      </c>
      <c r="Z278" s="11">
        <v>32.540453632382203</v>
      </c>
      <c r="AA278" s="11">
        <v>7.3784359800524904</v>
      </c>
      <c r="AB278" s="11">
        <v>15.5709375677169</v>
      </c>
      <c r="AC278" s="11">
        <v>0.19868957331123899</v>
      </c>
      <c r="AD278" s="11">
        <v>1.2612992937765699</v>
      </c>
      <c r="AE278" s="11">
        <v>4.0002717413367099</v>
      </c>
      <c r="AF278" s="11">
        <v>0.21163676164998499</v>
      </c>
      <c r="AG278" s="11">
        <v>0.22969814145377901</v>
      </c>
      <c r="AH278" s="11">
        <v>4.7351434223107498</v>
      </c>
      <c r="AI278" s="11">
        <v>0.377135011965606</v>
      </c>
      <c r="AJ278" s="11">
        <v>0.38065921161865401</v>
      </c>
      <c r="AK278" s="16">
        <v>-3.4471319095906798</v>
      </c>
      <c r="AL278" s="16">
        <v>-12.367771242126199</v>
      </c>
      <c r="AM278" s="26">
        <v>1.3056703817559799E-6</v>
      </c>
      <c r="AN278" s="27">
        <v>6.2392391813910599E-6</v>
      </c>
      <c r="AO278" s="11">
        <v>17.615622437729201</v>
      </c>
      <c r="AP278" s="11">
        <v>1.4243166446779101</v>
      </c>
      <c r="AQ278" t="s">
        <v>5875</v>
      </c>
      <c r="AR278" t="s">
        <v>5876</v>
      </c>
      <c r="AS278" t="s">
        <v>2334</v>
      </c>
    </row>
    <row r="279" spans="1:45">
      <c r="A279" t="s">
        <v>4746</v>
      </c>
      <c r="B279" s="2">
        <v>3</v>
      </c>
      <c r="C279" s="2">
        <v>0</v>
      </c>
      <c r="D279" s="2">
        <v>2</v>
      </c>
      <c r="E279" s="2">
        <v>2</v>
      </c>
      <c r="F279" s="2">
        <v>0</v>
      </c>
      <c r="G279" s="2">
        <v>1</v>
      </c>
      <c r="H279" s="2">
        <v>0</v>
      </c>
      <c r="I279" s="2">
        <v>0</v>
      </c>
      <c r="J279" s="2">
        <v>16</v>
      </c>
      <c r="K279" s="2">
        <v>0</v>
      </c>
      <c r="L279" s="2">
        <v>44</v>
      </c>
      <c r="M279" s="2">
        <v>12</v>
      </c>
      <c r="N279" s="2">
        <v>9</v>
      </c>
      <c r="O279" s="2">
        <v>2</v>
      </c>
      <c r="P279" s="2">
        <v>10</v>
      </c>
      <c r="Q279" s="2">
        <v>22</v>
      </c>
      <c r="R279" s="2">
        <v>15</v>
      </c>
      <c r="S279" s="2">
        <v>0</v>
      </c>
      <c r="T279" s="2">
        <v>15</v>
      </c>
      <c r="U279" s="11">
        <v>3.6349301875041902</v>
      </c>
      <c r="V279" s="11">
        <v>0.24076603016936199</v>
      </c>
      <c r="W279" s="11">
        <v>3.2015953236245198</v>
      </c>
      <c r="X279" s="11">
        <v>3.0238435183064598</v>
      </c>
      <c r="Y279" s="11">
        <v>0.215044089984223</v>
      </c>
      <c r="Z279" s="11">
        <v>0.92972724663949102</v>
      </c>
      <c r="AA279" s="11">
        <v>0.26351557071616</v>
      </c>
      <c r="AB279" s="11">
        <v>0.24329589949557701</v>
      </c>
      <c r="AC279" s="11">
        <v>12.716132691919301</v>
      </c>
      <c r="AD279" s="11">
        <v>27.748584463084601</v>
      </c>
      <c r="AE279" s="11">
        <v>9.6006521792081099</v>
      </c>
      <c r="AF279" s="11">
        <v>7.6189234193994704</v>
      </c>
      <c r="AG279" s="11">
        <v>9.1879256581511406</v>
      </c>
      <c r="AH279" s="11">
        <v>17.362192548472699</v>
      </c>
      <c r="AI279" s="11">
        <v>22.628100717936299</v>
      </c>
      <c r="AJ279" s="11">
        <v>22.839552697119299</v>
      </c>
      <c r="AK279" s="16">
        <v>3.53732581536091</v>
      </c>
      <c r="AL279" s="16">
        <v>11.0359208694745</v>
      </c>
      <c r="AM279" s="26">
        <v>7.8824988562420794E-11</v>
      </c>
      <c r="AN279" s="27">
        <v>1.42524100941242E-9</v>
      </c>
      <c r="AO279" s="11">
        <v>1.4690897333049999</v>
      </c>
      <c r="AP279" s="11">
        <v>16.2127580469114</v>
      </c>
      <c r="AQ279" t="s">
        <v>5874</v>
      </c>
      <c r="AR279" t="s">
        <v>5876</v>
      </c>
      <c r="AS279" t="s">
        <v>4746</v>
      </c>
    </row>
    <row r="280" spans="1:45">
      <c r="A280" t="s">
        <v>4403</v>
      </c>
      <c r="B280" s="2">
        <v>4</v>
      </c>
      <c r="C280" s="2">
        <v>9</v>
      </c>
      <c r="D280" s="2">
        <v>3</v>
      </c>
      <c r="E280" s="2">
        <v>1</v>
      </c>
      <c r="F280" s="2">
        <v>4</v>
      </c>
      <c r="G280" s="2">
        <v>8</v>
      </c>
      <c r="H280" s="2">
        <v>9</v>
      </c>
      <c r="I280" s="2">
        <v>21</v>
      </c>
      <c r="J280" s="2">
        <v>12</v>
      </c>
      <c r="K280" s="2">
        <v>0</v>
      </c>
      <c r="L280" s="2">
        <v>16</v>
      </c>
      <c r="M280" s="2">
        <v>23</v>
      </c>
      <c r="N280" s="2">
        <v>9</v>
      </c>
      <c r="O280" s="2">
        <v>1</v>
      </c>
      <c r="P280" s="2">
        <v>8</v>
      </c>
      <c r="Q280" s="2">
        <v>13</v>
      </c>
      <c r="R280" s="2">
        <v>5</v>
      </c>
      <c r="S280" s="2">
        <v>3</v>
      </c>
      <c r="T280" s="2">
        <v>3</v>
      </c>
      <c r="U280" s="11">
        <v>4.8465735833389196</v>
      </c>
      <c r="V280" s="11">
        <v>8.6675770860970207</v>
      </c>
      <c r="W280" s="11">
        <v>4.8023929854367697</v>
      </c>
      <c r="X280" s="11">
        <v>1.5119217591532299</v>
      </c>
      <c r="Y280" s="11">
        <v>3.4407054397475698</v>
      </c>
      <c r="Z280" s="11">
        <v>7.43781797311593</v>
      </c>
      <c r="AA280" s="11">
        <v>9.4865605457817708</v>
      </c>
      <c r="AB280" s="11">
        <v>20.436855557628402</v>
      </c>
      <c r="AC280" s="11">
        <v>9.53709951893949</v>
      </c>
      <c r="AD280" s="11">
        <v>10.0903943502126</v>
      </c>
      <c r="AE280" s="11">
        <v>18.4012500101489</v>
      </c>
      <c r="AF280" s="11">
        <v>7.6189234193994704</v>
      </c>
      <c r="AG280" s="11">
        <v>7.3503405265209096</v>
      </c>
      <c r="AH280" s="11">
        <v>10.2594774150066</v>
      </c>
      <c r="AI280" s="11">
        <v>7.5427002393121096</v>
      </c>
      <c r="AJ280" s="11">
        <v>4.5679105394238499</v>
      </c>
      <c r="AK280" s="16">
        <v>0.301580070476204</v>
      </c>
      <c r="AL280" s="16">
        <v>1.2430742645642301</v>
      </c>
      <c r="AM280" s="26">
        <v>0.48320261351995902</v>
      </c>
      <c r="AN280" s="27">
        <v>0.56219573642582998</v>
      </c>
      <c r="AO280" s="11">
        <v>7.5788006162874497</v>
      </c>
      <c r="AP280" s="11">
        <v>9.4210120023704906</v>
      </c>
      <c r="AQ280" t="s">
        <v>5874</v>
      </c>
      <c r="AR280" t="s">
        <v>5832</v>
      </c>
      <c r="AS280" t="s">
        <v>4403</v>
      </c>
    </row>
    <row r="281" spans="1:45">
      <c r="A281" t="s">
        <v>870</v>
      </c>
      <c r="B281" s="2">
        <v>4</v>
      </c>
      <c r="C281" s="2">
        <v>8</v>
      </c>
      <c r="D281" s="2">
        <v>3</v>
      </c>
      <c r="E281" s="2">
        <v>2</v>
      </c>
      <c r="F281" s="2">
        <v>8</v>
      </c>
      <c r="G281" s="2">
        <v>5</v>
      </c>
      <c r="H281" s="2">
        <v>10</v>
      </c>
      <c r="I281" s="2">
        <v>22</v>
      </c>
      <c r="J281" s="2">
        <v>9</v>
      </c>
      <c r="K281" s="2">
        <v>5</v>
      </c>
      <c r="L281" s="2">
        <v>10</v>
      </c>
      <c r="M281" s="2">
        <v>7</v>
      </c>
      <c r="N281" s="2">
        <v>18</v>
      </c>
      <c r="O281" s="2">
        <v>5</v>
      </c>
      <c r="P281" s="2">
        <v>13</v>
      </c>
      <c r="Q281" s="2">
        <v>9</v>
      </c>
      <c r="R281" s="2">
        <v>6</v>
      </c>
      <c r="S281" s="2">
        <v>5</v>
      </c>
      <c r="T281" s="2">
        <v>2</v>
      </c>
      <c r="U281" s="11">
        <v>4.8465735833389196</v>
      </c>
      <c r="V281" s="11">
        <v>7.7045129654195703</v>
      </c>
      <c r="W281" s="11">
        <v>4.8023929854367697</v>
      </c>
      <c r="X281" s="11">
        <v>3.0238435183064598</v>
      </c>
      <c r="Y281" s="11">
        <v>6.8814108794951396</v>
      </c>
      <c r="Z281" s="11">
        <v>4.6486362331974602</v>
      </c>
      <c r="AA281" s="11">
        <v>10.5406228286464</v>
      </c>
      <c r="AB281" s="11">
        <v>21.410039155610701</v>
      </c>
      <c r="AC281" s="11">
        <v>7.1528246392046197</v>
      </c>
      <c r="AD281" s="11">
        <v>6.3064964688828598</v>
      </c>
      <c r="AE281" s="11">
        <v>5.6003804378713999</v>
      </c>
      <c r="AF281" s="11">
        <v>15.2378468387989</v>
      </c>
      <c r="AG281" s="11">
        <v>11.944303355596499</v>
      </c>
      <c r="AH281" s="11">
        <v>7.1027151334661296</v>
      </c>
      <c r="AI281" s="11">
        <v>9.0512402871745401</v>
      </c>
      <c r="AJ281" s="11">
        <v>3.0452736929492299</v>
      </c>
      <c r="AK281" s="16">
        <v>1.2673063752261E-2</v>
      </c>
      <c r="AL281" s="16">
        <v>1.02479012664825</v>
      </c>
      <c r="AM281" s="26">
        <v>1</v>
      </c>
      <c r="AN281" s="27">
        <v>1</v>
      </c>
      <c r="AO281" s="11">
        <v>7.9822540186814299</v>
      </c>
      <c r="AP281" s="11">
        <v>8.1801351067430197</v>
      </c>
      <c r="AQ281" t="s">
        <v>5874</v>
      </c>
      <c r="AR281" t="s">
        <v>5832</v>
      </c>
      <c r="AS281" t="s">
        <v>870</v>
      </c>
    </row>
    <row r="282" spans="1:45">
      <c r="A282" t="s">
        <v>4360</v>
      </c>
      <c r="B282" s="2">
        <v>4</v>
      </c>
      <c r="C282" s="2">
        <v>7</v>
      </c>
      <c r="D282" s="2">
        <v>10</v>
      </c>
      <c r="E282" s="2">
        <v>14</v>
      </c>
      <c r="F282" s="2">
        <v>6</v>
      </c>
      <c r="G282" s="2">
        <v>7</v>
      </c>
      <c r="H282" s="2">
        <v>9</v>
      </c>
      <c r="I282" s="2">
        <v>2</v>
      </c>
      <c r="J282" s="2">
        <v>7</v>
      </c>
      <c r="K282" s="2">
        <v>1</v>
      </c>
      <c r="L282" s="2">
        <v>14</v>
      </c>
      <c r="M282" s="2">
        <v>7</v>
      </c>
      <c r="N282" s="2">
        <v>9</v>
      </c>
      <c r="O282" s="2">
        <v>1</v>
      </c>
      <c r="P282" s="2">
        <v>16</v>
      </c>
      <c r="Q282" s="2">
        <v>9</v>
      </c>
      <c r="R282" s="2">
        <v>12</v>
      </c>
      <c r="S282" s="2">
        <v>5</v>
      </c>
      <c r="T282" s="2">
        <v>11</v>
      </c>
      <c r="U282" s="11">
        <v>4.8465735833389196</v>
      </c>
      <c r="V282" s="11">
        <v>6.7414488447421297</v>
      </c>
      <c r="W282" s="11">
        <v>16.007976618122601</v>
      </c>
      <c r="X282" s="11">
        <v>21.1669046281452</v>
      </c>
      <c r="Y282" s="11">
        <v>5.1610581596213496</v>
      </c>
      <c r="Z282" s="11">
        <v>6.50809072647644</v>
      </c>
      <c r="AA282" s="11">
        <v>9.4865605457817708</v>
      </c>
      <c r="AB282" s="11">
        <v>1.9463671959646101</v>
      </c>
      <c r="AC282" s="11">
        <v>5.5633080527147003</v>
      </c>
      <c r="AD282" s="11">
        <v>8.8290950564359996</v>
      </c>
      <c r="AE282" s="11">
        <v>5.6003804378713999</v>
      </c>
      <c r="AF282" s="11">
        <v>7.6189234193994704</v>
      </c>
      <c r="AG282" s="11">
        <v>14.7006810530418</v>
      </c>
      <c r="AH282" s="11">
        <v>7.1027151334661296</v>
      </c>
      <c r="AI282" s="11">
        <v>18.102480574349102</v>
      </c>
      <c r="AJ282" s="11">
        <v>16.749005311220799</v>
      </c>
      <c r="AK282" s="16">
        <v>0.23975822353172699</v>
      </c>
      <c r="AL282" s="16">
        <v>1.17256817832771</v>
      </c>
      <c r="AM282" s="26">
        <v>0.62932357748111201</v>
      </c>
      <c r="AN282" s="27">
        <v>0.70404259754994003</v>
      </c>
      <c r="AO282" s="11">
        <v>8.9831225377741308</v>
      </c>
      <c r="AP282" s="11">
        <v>10.533323629812401</v>
      </c>
      <c r="AQ282" t="s">
        <v>5874</v>
      </c>
      <c r="AR282" t="s">
        <v>5832</v>
      </c>
      <c r="AS282" t="s">
        <v>4360</v>
      </c>
    </row>
    <row r="283" spans="1:45">
      <c r="A283" t="s">
        <v>5167</v>
      </c>
      <c r="B283" s="2">
        <v>7</v>
      </c>
      <c r="C283" s="2">
        <v>10</v>
      </c>
      <c r="D283" s="2">
        <v>8</v>
      </c>
      <c r="E283" s="2">
        <v>6</v>
      </c>
      <c r="F283" s="2">
        <v>18.439</v>
      </c>
      <c r="G283" s="2">
        <v>17</v>
      </c>
      <c r="H283" s="2">
        <v>12.444000000000001</v>
      </c>
      <c r="I283" s="2">
        <v>9</v>
      </c>
      <c r="J283" s="2">
        <v>6</v>
      </c>
      <c r="K283" s="2">
        <v>1</v>
      </c>
      <c r="L283" s="2">
        <v>17</v>
      </c>
      <c r="M283" s="2">
        <v>12</v>
      </c>
      <c r="N283" s="2">
        <v>10</v>
      </c>
      <c r="O283" s="2">
        <v>2</v>
      </c>
      <c r="P283" s="2">
        <v>5</v>
      </c>
      <c r="Q283" s="2">
        <v>3</v>
      </c>
      <c r="R283" s="2">
        <v>4</v>
      </c>
      <c r="S283" s="2">
        <v>1</v>
      </c>
      <c r="T283" s="2">
        <v>2</v>
      </c>
      <c r="U283" s="11">
        <v>8.4815037708430996</v>
      </c>
      <c r="V283" s="11">
        <v>9.6306412067744702</v>
      </c>
      <c r="W283" s="11">
        <v>12.806381294498101</v>
      </c>
      <c r="X283" s="11">
        <v>9.0715305549193808</v>
      </c>
      <c r="Y283" s="11">
        <v>15.827245022838801</v>
      </c>
      <c r="Z283" s="11">
        <v>15.805363192871299</v>
      </c>
      <c r="AA283" s="11">
        <v>13.070372307521501</v>
      </c>
      <c r="AB283" s="11">
        <v>8.7586523818407507</v>
      </c>
      <c r="AC283" s="11">
        <v>4.7685497594697397</v>
      </c>
      <c r="AD283" s="11">
        <v>10.7210439971009</v>
      </c>
      <c r="AE283" s="11">
        <v>9.6006521792081099</v>
      </c>
      <c r="AF283" s="11">
        <v>8.4654704659994096</v>
      </c>
      <c r="AG283" s="11">
        <v>4.5939628290755703</v>
      </c>
      <c r="AH283" s="11">
        <v>2.36757171115537</v>
      </c>
      <c r="AI283" s="11">
        <v>6.0341601914496898</v>
      </c>
      <c r="AJ283" s="11">
        <v>3.0452736929492299</v>
      </c>
      <c r="AK283" s="16">
        <v>-0.86363890974942004</v>
      </c>
      <c r="AL283" s="16">
        <v>-1.8842325864963601</v>
      </c>
      <c r="AM283" s="26">
        <v>1.0961456030795E-2</v>
      </c>
      <c r="AN283" s="27">
        <v>2.0036104056289299E-2</v>
      </c>
      <c r="AO283" s="11">
        <v>11.6814612165134</v>
      </c>
      <c r="AP283" s="11">
        <v>6.1995856033010002</v>
      </c>
      <c r="AQ283" t="s">
        <v>5875</v>
      </c>
      <c r="AR283" t="s">
        <v>5878</v>
      </c>
      <c r="AS283" t="s">
        <v>5167</v>
      </c>
    </row>
    <row r="284" spans="1:45">
      <c r="A284" t="s">
        <v>4784</v>
      </c>
      <c r="B284" s="2">
        <v>3</v>
      </c>
      <c r="C284" s="2">
        <v>8</v>
      </c>
      <c r="D284" s="2">
        <v>2</v>
      </c>
      <c r="E284" s="2">
        <v>0</v>
      </c>
      <c r="F284" s="2">
        <v>10</v>
      </c>
      <c r="G284" s="2">
        <v>17</v>
      </c>
      <c r="H284" s="2">
        <v>11</v>
      </c>
      <c r="I284" s="2">
        <v>11</v>
      </c>
      <c r="J284" s="2">
        <v>18</v>
      </c>
      <c r="K284" s="2">
        <v>2</v>
      </c>
      <c r="L284" s="2">
        <v>14</v>
      </c>
      <c r="M284" s="2">
        <v>10</v>
      </c>
      <c r="N284" s="2">
        <v>12</v>
      </c>
      <c r="O284" s="2">
        <v>2</v>
      </c>
      <c r="P284" s="2">
        <v>3</v>
      </c>
      <c r="Q284" s="2">
        <v>7</v>
      </c>
      <c r="R284" s="2">
        <v>19</v>
      </c>
      <c r="S284" s="2">
        <v>1</v>
      </c>
      <c r="T284" s="2">
        <v>0</v>
      </c>
      <c r="U284" s="11">
        <v>3.6349301875041902</v>
      </c>
      <c r="V284" s="11">
        <v>7.7045129654195703</v>
      </c>
      <c r="W284" s="11">
        <v>3.2015953236245198</v>
      </c>
      <c r="X284" s="11">
        <v>0.37798043978830698</v>
      </c>
      <c r="Y284" s="11">
        <v>8.6017635993689208</v>
      </c>
      <c r="Z284" s="11">
        <v>15.805363192871299</v>
      </c>
      <c r="AA284" s="11">
        <v>11.594685111511</v>
      </c>
      <c r="AB284" s="11">
        <v>10.7050195778054</v>
      </c>
      <c r="AC284" s="11">
        <v>14.3056492784092</v>
      </c>
      <c r="AD284" s="11">
        <v>8.8290950564359996</v>
      </c>
      <c r="AE284" s="11">
        <v>8.0005434826734305</v>
      </c>
      <c r="AF284" s="11">
        <v>10.1585645591993</v>
      </c>
      <c r="AG284" s="11">
        <v>2.7563776974453398</v>
      </c>
      <c r="AH284" s="11">
        <v>5.5243339926958699</v>
      </c>
      <c r="AI284" s="11">
        <v>28.662260909385999</v>
      </c>
      <c r="AJ284" s="11">
        <v>0.38065921161865401</v>
      </c>
      <c r="AK284" s="16">
        <v>0.29278366675526601</v>
      </c>
      <c r="AL284" s="16">
        <v>1.27572250411576</v>
      </c>
      <c r="AM284" s="26">
        <v>0.59369473222422298</v>
      </c>
      <c r="AN284" s="27">
        <v>0.66978377041822101</v>
      </c>
      <c r="AO284" s="11">
        <v>7.7032312997366601</v>
      </c>
      <c r="AP284" s="11">
        <v>9.8271855234829797</v>
      </c>
      <c r="AQ284" t="s">
        <v>5874</v>
      </c>
      <c r="AR284" t="s">
        <v>5832</v>
      </c>
      <c r="AS284" t="s">
        <v>4784</v>
      </c>
    </row>
    <row r="285" spans="1:45">
      <c r="A285" t="s">
        <v>877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2</v>
      </c>
      <c r="I285" s="2">
        <v>10</v>
      </c>
      <c r="J285" s="2">
        <v>6.194</v>
      </c>
      <c r="K285" s="2">
        <v>1</v>
      </c>
      <c r="L285" s="2">
        <v>32.463999999999999</v>
      </c>
      <c r="M285" s="2">
        <v>12.823</v>
      </c>
      <c r="N285" s="2">
        <v>9.31</v>
      </c>
      <c r="O285" s="2">
        <v>1</v>
      </c>
      <c r="P285" s="2">
        <v>42.401000000000003</v>
      </c>
      <c r="Q285" s="2">
        <v>21.760999999999999</v>
      </c>
      <c r="R285" s="2">
        <v>4</v>
      </c>
      <c r="S285" s="2">
        <v>0</v>
      </c>
      <c r="T285" s="2">
        <v>7</v>
      </c>
      <c r="U285" s="11">
        <v>0.30291084895868198</v>
      </c>
      <c r="V285" s="11">
        <v>0.24076603016936199</v>
      </c>
      <c r="W285" s="11">
        <v>0.40019941545306398</v>
      </c>
      <c r="X285" s="11">
        <v>0.37798043978830698</v>
      </c>
      <c r="Y285" s="11">
        <v>0.215044089984223</v>
      </c>
      <c r="Z285" s="11">
        <v>0.23243181165987301</v>
      </c>
      <c r="AA285" s="11">
        <v>2.10812456572928</v>
      </c>
      <c r="AB285" s="11">
        <v>9.7318359798230603</v>
      </c>
      <c r="AC285" s="11">
        <v>4.92750141811874</v>
      </c>
      <c r="AD285" s="11">
        <v>20.496113523869301</v>
      </c>
      <c r="AE285" s="11">
        <v>10.240695657822</v>
      </c>
      <c r="AF285" s="11">
        <v>7.8728875333794504</v>
      </c>
      <c r="AG285" s="11">
        <v>38.956804790560803</v>
      </c>
      <c r="AH285" s="11">
        <v>17.2043544343957</v>
      </c>
      <c r="AI285" s="11">
        <v>6.0341601914496898</v>
      </c>
      <c r="AJ285" s="11">
        <v>10.658457925322301</v>
      </c>
      <c r="AK285" s="16">
        <v>2.9572242485791098</v>
      </c>
      <c r="AL285" s="16">
        <v>8.5523159742471204</v>
      </c>
      <c r="AM285" s="26">
        <v>1.6229920019585601E-5</v>
      </c>
      <c r="AN285" s="27">
        <v>5.5681110221039799E-5</v>
      </c>
      <c r="AO285" s="11">
        <v>1.7011616476957301</v>
      </c>
      <c r="AP285" s="11">
        <v>14.548871934364801</v>
      </c>
      <c r="AQ285" t="s">
        <v>5874</v>
      </c>
      <c r="AR285" t="s">
        <v>5876</v>
      </c>
      <c r="AS285" t="s">
        <v>877</v>
      </c>
    </row>
    <row r="286" spans="1:45">
      <c r="A286" t="s">
        <v>167</v>
      </c>
      <c r="B286" s="2">
        <v>0</v>
      </c>
      <c r="C286" s="2">
        <v>0</v>
      </c>
      <c r="D286" s="2">
        <v>1</v>
      </c>
      <c r="E286" s="2">
        <v>1</v>
      </c>
      <c r="F286" s="2">
        <v>0</v>
      </c>
      <c r="G286" s="2">
        <v>0</v>
      </c>
      <c r="H286" s="2">
        <v>1</v>
      </c>
      <c r="I286" s="2">
        <v>0</v>
      </c>
      <c r="J286" s="2">
        <v>22</v>
      </c>
      <c r="K286" s="2">
        <v>12</v>
      </c>
      <c r="L286" s="2">
        <v>4</v>
      </c>
      <c r="M286" s="2">
        <v>22</v>
      </c>
      <c r="N286" s="2">
        <v>48</v>
      </c>
      <c r="O286" s="2">
        <v>2</v>
      </c>
      <c r="P286" s="2">
        <v>0</v>
      </c>
      <c r="Q286" s="2">
        <v>16</v>
      </c>
      <c r="R286" s="2">
        <v>11.805</v>
      </c>
      <c r="S286" s="2">
        <v>4</v>
      </c>
      <c r="T286" s="2">
        <v>5</v>
      </c>
      <c r="U286" s="11">
        <v>0.30291084895868198</v>
      </c>
      <c r="V286" s="11">
        <v>0.24076603016936199</v>
      </c>
      <c r="W286" s="11">
        <v>1.6007976618122599</v>
      </c>
      <c r="X286" s="11">
        <v>1.5119217591532299</v>
      </c>
      <c r="Y286" s="11">
        <v>0.215044089984223</v>
      </c>
      <c r="Z286" s="11">
        <v>0.23243181165987301</v>
      </c>
      <c r="AA286" s="11">
        <v>1.05406228286464</v>
      </c>
      <c r="AB286" s="11">
        <v>0.24329589949557701</v>
      </c>
      <c r="AC286" s="11">
        <v>17.484682451389101</v>
      </c>
      <c r="AD286" s="11">
        <v>2.5225985875531398</v>
      </c>
      <c r="AE286" s="11">
        <v>17.601195661881501</v>
      </c>
      <c r="AF286" s="11">
        <v>40.634258236797201</v>
      </c>
      <c r="AG286" s="11">
        <v>0.22969814145377901</v>
      </c>
      <c r="AH286" s="11">
        <v>12.627049126161999</v>
      </c>
      <c r="AI286" s="11">
        <v>17.800772564776601</v>
      </c>
      <c r="AJ286" s="11">
        <v>7.6131842323730803</v>
      </c>
      <c r="AK286" s="16">
        <v>4.3434858203845002</v>
      </c>
      <c r="AL286" s="16">
        <v>21.5716477018685</v>
      </c>
      <c r="AM286" s="26">
        <v>1.00462285504644E-7</v>
      </c>
      <c r="AN286" s="27">
        <v>6.7888150507683903E-7</v>
      </c>
      <c r="AO286" s="11">
        <v>0.67515379801223097</v>
      </c>
      <c r="AP286" s="11">
        <v>14.564179875298301</v>
      </c>
      <c r="AQ286" t="s">
        <v>5874</v>
      </c>
      <c r="AR286" t="s">
        <v>5876</v>
      </c>
      <c r="AS286" t="s">
        <v>167</v>
      </c>
    </row>
    <row r="287" spans="1:45">
      <c r="A287" t="s">
        <v>2809</v>
      </c>
      <c r="B287" s="2">
        <v>10</v>
      </c>
      <c r="C287" s="2">
        <v>18</v>
      </c>
      <c r="D287" s="2">
        <v>15</v>
      </c>
      <c r="E287" s="2">
        <v>8</v>
      </c>
      <c r="F287" s="2">
        <v>21</v>
      </c>
      <c r="G287" s="2">
        <v>13</v>
      </c>
      <c r="H287" s="2">
        <v>12</v>
      </c>
      <c r="I287" s="2">
        <v>3</v>
      </c>
      <c r="J287" s="2">
        <v>7</v>
      </c>
      <c r="K287" s="2">
        <v>1</v>
      </c>
      <c r="L287" s="2">
        <v>3</v>
      </c>
      <c r="M287" s="2">
        <v>6</v>
      </c>
      <c r="N287" s="2">
        <v>8</v>
      </c>
      <c r="O287" s="2">
        <v>6</v>
      </c>
      <c r="P287" s="2">
        <v>2</v>
      </c>
      <c r="Q287" s="2">
        <v>6</v>
      </c>
      <c r="R287" s="2">
        <v>3</v>
      </c>
      <c r="S287" s="2">
        <v>0</v>
      </c>
      <c r="T287" s="2">
        <v>7</v>
      </c>
      <c r="U287" s="11">
        <v>12.116433958347301</v>
      </c>
      <c r="V287" s="11">
        <v>17.335154172193999</v>
      </c>
      <c r="W287" s="11">
        <v>24.0119649271839</v>
      </c>
      <c r="X287" s="11">
        <v>12.0953740732258</v>
      </c>
      <c r="Y287" s="11">
        <v>18.0637035586747</v>
      </c>
      <c r="Z287" s="11">
        <v>12.0864542063134</v>
      </c>
      <c r="AA287" s="11">
        <v>12.6487473943757</v>
      </c>
      <c r="AB287" s="11">
        <v>2.9195507939469199</v>
      </c>
      <c r="AC287" s="11">
        <v>5.5633080527147003</v>
      </c>
      <c r="AD287" s="11">
        <v>1.89194894066486</v>
      </c>
      <c r="AE287" s="11">
        <v>4.8003260896040603</v>
      </c>
      <c r="AF287" s="11">
        <v>6.7723763727995303</v>
      </c>
      <c r="AG287" s="11">
        <v>1.8375851316302301</v>
      </c>
      <c r="AH287" s="11">
        <v>4.7351434223107498</v>
      </c>
      <c r="AI287" s="11">
        <v>4.5256201435872701</v>
      </c>
      <c r="AJ287" s="11">
        <v>10.658457925322301</v>
      </c>
      <c r="AK287" s="16">
        <v>-1.4743123199332999</v>
      </c>
      <c r="AL287" s="16">
        <v>-2.7284055735349102</v>
      </c>
      <c r="AM287" s="26">
        <v>5.3838308447423503E-4</v>
      </c>
      <c r="AN287" s="27">
        <v>1.30499378084516E-3</v>
      </c>
      <c r="AO287" s="11">
        <v>13.9096728855327</v>
      </c>
      <c r="AP287" s="11">
        <v>5.09809575982921</v>
      </c>
      <c r="AQ287" t="s">
        <v>5875</v>
      </c>
      <c r="AR287" t="s">
        <v>5876</v>
      </c>
      <c r="AS287" t="s">
        <v>2809</v>
      </c>
    </row>
    <row r="288" spans="1:45">
      <c r="A288" t="s">
        <v>4673</v>
      </c>
      <c r="B288" s="2">
        <v>8</v>
      </c>
      <c r="C288" s="2">
        <v>10</v>
      </c>
      <c r="D288" s="2">
        <v>9</v>
      </c>
      <c r="E288" s="2">
        <v>12</v>
      </c>
      <c r="F288" s="2">
        <v>11</v>
      </c>
      <c r="G288" s="2">
        <v>5</v>
      </c>
      <c r="H288" s="2">
        <v>7</v>
      </c>
      <c r="I288" s="2">
        <v>5</v>
      </c>
      <c r="J288" s="2">
        <v>8</v>
      </c>
      <c r="K288" s="2">
        <v>3</v>
      </c>
      <c r="L288" s="2">
        <v>14</v>
      </c>
      <c r="M288" s="2">
        <v>9</v>
      </c>
      <c r="N288" s="2">
        <v>6</v>
      </c>
      <c r="O288" s="2">
        <v>2</v>
      </c>
      <c r="P288" s="2">
        <v>15</v>
      </c>
      <c r="Q288" s="2">
        <v>13</v>
      </c>
      <c r="R288" s="2">
        <v>2</v>
      </c>
      <c r="S288" s="2">
        <v>3</v>
      </c>
      <c r="T288" s="2">
        <v>7</v>
      </c>
      <c r="U288" s="11">
        <v>9.6931471666778304</v>
      </c>
      <c r="V288" s="11">
        <v>9.6306412067744702</v>
      </c>
      <c r="W288" s="11">
        <v>14.4071789563103</v>
      </c>
      <c r="X288" s="11">
        <v>18.143061109838801</v>
      </c>
      <c r="Y288" s="11">
        <v>9.4619399593058091</v>
      </c>
      <c r="Z288" s="11">
        <v>4.6486362331974602</v>
      </c>
      <c r="AA288" s="11">
        <v>7.3784359800524904</v>
      </c>
      <c r="AB288" s="11">
        <v>4.8659179899115301</v>
      </c>
      <c r="AC288" s="11">
        <v>6.35806634595966</v>
      </c>
      <c r="AD288" s="11">
        <v>8.8290950564359996</v>
      </c>
      <c r="AE288" s="11">
        <v>7.2004891344060802</v>
      </c>
      <c r="AF288" s="11">
        <v>5.0792822795996404</v>
      </c>
      <c r="AG288" s="11">
        <v>13.7818884872267</v>
      </c>
      <c r="AH288" s="11">
        <v>10.2594774150066</v>
      </c>
      <c r="AI288" s="11">
        <v>3.0170800957248498</v>
      </c>
      <c r="AJ288" s="11">
        <v>10.658457925322301</v>
      </c>
      <c r="AK288" s="16">
        <v>-0.19914352839809099</v>
      </c>
      <c r="AL288" s="16">
        <v>-1.2001281684980201</v>
      </c>
      <c r="AM288" s="26">
        <v>0.57731299150015603</v>
      </c>
      <c r="AN288" s="27">
        <v>0.65572562192462602</v>
      </c>
      <c r="AO288" s="11">
        <v>9.7786198252585805</v>
      </c>
      <c r="AP288" s="11">
        <v>8.1479795924602296</v>
      </c>
      <c r="AQ288" t="s">
        <v>5875</v>
      </c>
      <c r="AR288" t="s">
        <v>5832</v>
      </c>
      <c r="AS288" t="s">
        <v>4673</v>
      </c>
    </row>
    <row r="289" spans="1:45">
      <c r="A289" t="s">
        <v>4694</v>
      </c>
      <c r="B289" s="2">
        <v>14</v>
      </c>
      <c r="C289" s="2">
        <v>18</v>
      </c>
      <c r="D289" s="2">
        <v>10</v>
      </c>
      <c r="E289" s="2">
        <v>18</v>
      </c>
      <c r="F289" s="2">
        <v>18</v>
      </c>
      <c r="G289" s="2">
        <v>16</v>
      </c>
      <c r="H289" s="2">
        <v>13</v>
      </c>
      <c r="I289" s="2">
        <v>15</v>
      </c>
      <c r="J289" s="2">
        <v>1</v>
      </c>
      <c r="K289" s="2">
        <v>0</v>
      </c>
      <c r="L289" s="2">
        <v>9</v>
      </c>
      <c r="M289" s="2">
        <v>0</v>
      </c>
      <c r="N289" s="2">
        <v>4</v>
      </c>
      <c r="O289" s="2">
        <v>1</v>
      </c>
      <c r="P289" s="2">
        <v>6</v>
      </c>
      <c r="Q289" s="2">
        <v>6</v>
      </c>
      <c r="R289" s="2">
        <v>0</v>
      </c>
      <c r="S289" s="2">
        <v>0</v>
      </c>
      <c r="T289" s="2">
        <v>0</v>
      </c>
      <c r="U289" s="11">
        <v>16.963007541686199</v>
      </c>
      <c r="V289" s="11">
        <v>17.335154172193999</v>
      </c>
      <c r="W289" s="11">
        <v>16.007976618122601</v>
      </c>
      <c r="X289" s="11">
        <v>27.2145916647581</v>
      </c>
      <c r="Y289" s="11">
        <v>15.4831744788641</v>
      </c>
      <c r="Z289" s="11">
        <v>14.875635946231901</v>
      </c>
      <c r="AA289" s="11">
        <v>13.7028096772403</v>
      </c>
      <c r="AB289" s="11">
        <v>14.597753969734599</v>
      </c>
      <c r="AC289" s="11">
        <v>0.79475829324495695</v>
      </c>
      <c r="AD289" s="11">
        <v>5.6758468219945701</v>
      </c>
      <c r="AE289" s="11">
        <v>0.200013587066836</v>
      </c>
      <c r="AF289" s="11">
        <v>3.3861881863997598</v>
      </c>
      <c r="AG289" s="11">
        <v>5.5127553948906796</v>
      </c>
      <c r="AH289" s="11">
        <v>4.7351434223107498</v>
      </c>
      <c r="AI289" s="11">
        <v>0.377135011965606</v>
      </c>
      <c r="AJ289" s="11">
        <v>0.38065921161865401</v>
      </c>
      <c r="AK289" s="16">
        <v>-2.4973630917496998</v>
      </c>
      <c r="AL289" s="16">
        <v>-6.4655242504310602</v>
      </c>
      <c r="AM289" s="26">
        <v>1.3821375222946099E-10</v>
      </c>
      <c r="AN289" s="27">
        <v>2.2552439083295001E-9</v>
      </c>
      <c r="AO289" s="11">
        <v>17.022513008604001</v>
      </c>
      <c r="AP289" s="11">
        <v>2.6328124911864799</v>
      </c>
      <c r="AQ289" t="s">
        <v>5875</v>
      </c>
      <c r="AR289" t="s">
        <v>5876</v>
      </c>
      <c r="AS289" t="s">
        <v>4694</v>
      </c>
    </row>
    <row r="290" spans="1:45">
      <c r="A290" t="s">
        <v>4351</v>
      </c>
      <c r="B290" s="2">
        <v>8</v>
      </c>
      <c r="C290" s="2">
        <v>9</v>
      </c>
      <c r="D290" s="2">
        <v>13</v>
      </c>
      <c r="E290" s="2">
        <v>12</v>
      </c>
      <c r="F290" s="2">
        <v>15</v>
      </c>
      <c r="G290" s="2">
        <v>9</v>
      </c>
      <c r="H290" s="2">
        <v>9</v>
      </c>
      <c r="I290" s="2">
        <v>7</v>
      </c>
      <c r="J290" s="2">
        <v>7</v>
      </c>
      <c r="K290" s="2">
        <v>4</v>
      </c>
      <c r="L290" s="2">
        <v>5</v>
      </c>
      <c r="M290" s="2">
        <v>8</v>
      </c>
      <c r="N290" s="2">
        <v>5</v>
      </c>
      <c r="O290" s="2">
        <v>2</v>
      </c>
      <c r="P290" s="2">
        <v>8</v>
      </c>
      <c r="Q290" s="2">
        <v>10</v>
      </c>
      <c r="R290" s="2">
        <v>7</v>
      </c>
      <c r="S290" s="2">
        <v>2</v>
      </c>
      <c r="T290" s="2">
        <v>8</v>
      </c>
      <c r="U290" s="11">
        <v>9.6931471666778304</v>
      </c>
      <c r="V290" s="11">
        <v>8.6675770860970207</v>
      </c>
      <c r="W290" s="11">
        <v>20.810369603559401</v>
      </c>
      <c r="X290" s="11">
        <v>18.143061109838801</v>
      </c>
      <c r="Y290" s="11">
        <v>12.9026453990534</v>
      </c>
      <c r="Z290" s="11">
        <v>8.3675452197554208</v>
      </c>
      <c r="AA290" s="11">
        <v>9.4865605457817708</v>
      </c>
      <c r="AB290" s="11">
        <v>6.8122851858761404</v>
      </c>
      <c r="AC290" s="11">
        <v>5.5633080527147003</v>
      </c>
      <c r="AD290" s="11">
        <v>3.1532482344414299</v>
      </c>
      <c r="AE290" s="11">
        <v>6.4004347861387396</v>
      </c>
      <c r="AF290" s="11">
        <v>4.2327352329997003</v>
      </c>
      <c r="AG290" s="11">
        <v>7.3503405265209096</v>
      </c>
      <c r="AH290" s="11">
        <v>7.8919057038512497</v>
      </c>
      <c r="AI290" s="11">
        <v>10.559780335037001</v>
      </c>
      <c r="AJ290" s="11">
        <v>12.1810947717969</v>
      </c>
      <c r="AK290" s="16">
        <v>-0.75174859910283898</v>
      </c>
      <c r="AL290" s="16">
        <v>-1.65495340309328</v>
      </c>
      <c r="AM290" s="26">
        <v>5.2151972975119198E-2</v>
      </c>
      <c r="AN290" s="27">
        <v>8.0226297458587004E-2</v>
      </c>
      <c r="AO290" s="11">
        <v>11.860398914579999</v>
      </c>
      <c r="AP290" s="11">
        <v>7.1666059554375803</v>
      </c>
      <c r="AQ290" t="s">
        <v>5875</v>
      </c>
      <c r="AR290" t="s">
        <v>5877</v>
      </c>
      <c r="AS290" t="s">
        <v>4351</v>
      </c>
    </row>
    <row r="291" spans="1:45">
      <c r="A291" t="s">
        <v>737</v>
      </c>
      <c r="B291" s="2">
        <v>3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2</v>
      </c>
      <c r="J291" s="2">
        <v>6</v>
      </c>
      <c r="K291" s="2">
        <v>25</v>
      </c>
      <c r="L291" s="2">
        <v>12</v>
      </c>
      <c r="M291" s="2">
        <v>15</v>
      </c>
      <c r="N291" s="2">
        <v>10</v>
      </c>
      <c r="O291" s="2">
        <v>2</v>
      </c>
      <c r="P291" s="2">
        <v>21</v>
      </c>
      <c r="Q291" s="2">
        <v>15</v>
      </c>
      <c r="R291" s="2">
        <v>24.353000000000002</v>
      </c>
      <c r="S291" s="2">
        <v>2</v>
      </c>
      <c r="T291" s="2">
        <v>10</v>
      </c>
      <c r="U291" s="11">
        <v>3.6349301875041902</v>
      </c>
      <c r="V291" s="11">
        <v>0.24076603016936199</v>
      </c>
      <c r="W291" s="11">
        <v>0.40019941545306398</v>
      </c>
      <c r="X291" s="11">
        <v>0.37798043978830698</v>
      </c>
      <c r="Y291" s="11">
        <v>0.215044089984223</v>
      </c>
      <c r="Z291" s="11">
        <v>0.23243181165987301</v>
      </c>
      <c r="AA291" s="11">
        <v>0.26351557071616</v>
      </c>
      <c r="AB291" s="11">
        <v>1.9463671959646101</v>
      </c>
      <c r="AC291" s="11">
        <v>4.7685497594697397</v>
      </c>
      <c r="AD291" s="11">
        <v>7.5677957626594301</v>
      </c>
      <c r="AE291" s="11">
        <v>12.0008152240101</v>
      </c>
      <c r="AF291" s="11">
        <v>8.4654704659994096</v>
      </c>
      <c r="AG291" s="11">
        <v>19.294643882117398</v>
      </c>
      <c r="AH291" s="11">
        <v>11.837858555776901</v>
      </c>
      <c r="AI291" s="11">
        <v>36.808377167843098</v>
      </c>
      <c r="AJ291" s="11">
        <v>15.2263684647462</v>
      </c>
      <c r="AK291" s="16">
        <v>3.8096019425053802</v>
      </c>
      <c r="AL291" s="16">
        <v>15.8618733205873</v>
      </c>
      <c r="AM291" s="26">
        <v>9.2439402953973397E-10</v>
      </c>
      <c r="AN291" s="27">
        <v>1.18926847261939E-8</v>
      </c>
      <c r="AO291" s="11">
        <v>0.913904342654974</v>
      </c>
      <c r="AP291" s="11">
        <v>14.4962349103278</v>
      </c>
      <c r="AQ291" t="s">
        <v>5874</v>
      </c>
      <c r="AR291" t="s">
        <v>5876</v>
      </c>
      <c r="AS291" t="s">
        <v>737</v>
      </c>
    </row>
    <row r="292" spans="1:45">
      <c r="A292" t="s">
        <v>1759</v>
      </c>
      <c r="B292" s="2">
        <v>11</v>
      </c>
      <c r="C292" s="2">
        <v>14</v>
      </c>
      <c r="D292" s="2">
        <v>13</v>
      </c>
      <c r="E292" s="2">
        <v>14</v>
      </c>
      <c r="F292" s="2">
        <v>17</v>
      </c>
      <c r="G292" s="2">
        <v>22</v>
      </c>
      <c r="H292" s="2">
        <v>13</v>
      </c>
      <c r="I292" s="2">
        <v>5</v>
      </c>
      <c r="J292" s="2">
        <v>3</v>
      </c>
      <c r="K292" s="2">
        <v>1</v>
      </c>
      <c r="L292" s="2">
        <v>0</v>
      </c>
      <c r="M292" s="2">
        <v>9</v>
      </c>
      <c r="N292" s="2">
        <v>3</v>
      </c>
      <c r="O292" s="2">
        <v>0</v>
      </c>
      <c r="P292" s="2">
        <v>1</v>
      </c>
      <c r="Q292" s="2">
        <v>9</v>
      </c>
      <c r="R292" s="2">
        <v>4</v>
      </c>
      <c r="S292" s="2">
        <v>3</v>
      </c>
      <c r="T292" s="2">
        <v>5</v>
      </c>
      <c r="U292" s="11">
        <v>13.328077354182</v>
      </c>
      <c r="V292" s="11">
        <v>13.4828976894843</v>
      </c>
      <c r="W292" s="11">
        <v>20.810369603559401</v>
      </c>
      <c r="X292" s="11">
        <v>21.1669046281452</v>
      </c>
      <c r="Y292" s="11">
        <v>14.6229981189272</v>
      </c>
      <c r="Z292" s="11">
        <v>20.453999426068801</v>
      </c>
      <c r="AA292" s="11">
        <v>13.7028096772403</v>
      </c>
      <c r="AB292" s="11">
        <v>4.8659179899115301</v>
      </c>
      <c r="AC292" s="11">
        <v>2.3842748797348698</v>
      </c>
      <c r="AD292" s="11">
        <v>0.15766241172207099</v>
      </c>
      <c r="AE292" s="11">
        <v>7.2004891344060802</v>
      </c>
      <c r="AF292" s="11">
        <v>2.5396411397998202</v>
      </c>
      <c r="AG292" s="11">
        <v>0.91879256581511404</v>
      </c>
      <c r="AH292" s="11">
        <v>7.1027151334661296</v>
      </c>
      <c r="AI292" s="11">
        <v>6.0341601914496898</v>
      </c>
      <c r="AJ292" s="11">
        <v>7.6131842323730803</v>
      </c>
      <c r="AK292" s="16">
        <v>-1.8831870038305301</v>
      </c>
      <c r="AL292" s="16">
        <v>-3.60620494554755</v>
      </c>
      <c r="AM292" s="26">
        <v>3.9705343780281803E-5</v>
      </c>
      <c r="AN292" s="27">
        <v>1.2412558406078801E-4</v>
      </c>
      <c r="AO292" s="11">
        <v>15.3042468109398</v>
      </c>
      <c r="AP292" s="11">
        <v>4.2438649610958601</v>
      </c>
      <c r="AQ292" t="s">
        <v>5875</v>
      </c>
      <c r="AR292" t="s">
        <v>5876</v>
      </c>
      <c r="AS292" t="s">
        <v>1759</v>
      </c>
    </row>
    <row r="293" spans="1:45">
      <c r="A293" t="s">
        <v>888</v>
      </c>
      <c r="B293" s="2">
        <v>13</v>
      </c>
      <c r="C293" s="2">
        <v>13</v>
      </c>
      <c r="D293" s="2">
        <v>13</v>
      </c>
      <c r="E293" s="2">
        <v>10</v>
      </c>
      <c r="F293" s="2">
        <v>15</v>
      </c>
      <c r="G293" s="2">
        <v>16</v>
      </c>
      <c r="H293" s="2">
        <v>13</v>
      </c>
      <c r="I293" s="2">
        <v>18</v>
      </c>
      <c r="J293" s="2">
        <v>0</v>
      </c>
      <c r="K293" s="2">
        <v>4</v>
      </c>
      <c r="L293" s="2">
        <v>0</v>
      </c>
      <c r="M293" s="2">
        <v>10</v>
      </c>
      <c r="N293" s="2">
        <v>0</v>
      </c>
      <c r="O293" s="2">
        <v>0</v>
      </c>
      <c r="P293" s="2">
        <v>9</v>
      </c>
      <c r="Q293" s="2">
        <v>2</v>
      </c>
      <c r="R293" s="2">
        <v>10</v>
      </c>
      <c r="S293" s="2">
        <v>0</v>
      </c>
      <c r="T293" s="2">
        <v>0</v>
      </c>
      <c r="U293" s="11">
        <v>15.7513641458515</v>
      </c>
      <c r="V293" s="11">
        <v>12.519833568806799</v>
      </c>
      <c r="W293" s="11">
        <v>20.810369603559401</v>
      </c>
      <c r="X293" s="11">
        <v>15.119217591532299</v>
      </c>
      <c r="Y293" s="11">
        <v>12.9026453990534</v>
      </c>
      <c r="Z293" s="11">
        <v>14.875635946231901</v>
      </c>
      <c r="AA293" s="11">
        <v>13.7028096772403</v>
      </c>
      <c r="AB293" s="11">
        <v>17.517304763681501</v>
      </c>
      <c r="AC293" s="11">
        <v>0.19868957331123899</v>
      </c>
      <c r="AD293" s="11">
        <v>0.15766241172207099</v>
      </c>
      <c r="AE293" s="11">
        <v>8.0005434826734305</v>
      </c>
      <c r="AF293" s="11">
        <v>0.21163676164998499</v>
      </c>
      <c r="AG293" s="11">
        <v>8.2691330923360304</v>
      </c>
      <c r="AH293" s="11">
        <v>1.5783811407702499</v>
      </c>
      <c r="AI293" s="11">
        <v>15.0854004786242</v>
      </c>
      <c r="AJ293" s="11">
        <v>0.38065921161865401</v>
      </c>
      <c r="AK293" s="16">
        <v>-1.9087278522958</v>
      </c>
      <c r="AL293" s="16">
        <v>-3.63611341457645</v>
      </c>
      <c r="AM293" s="26">
        <v>1.5831627681879199E-3</v>
      </c>
      <c r="AN293" s="27">
        <v>3.4499540453346001E-3</v>
      </c>
      <c r="AO293" s="11">
        <v>15.3998975869946</v>
      </c>
      <c r="AP293" s="11">
        <v>4.2352632690882404</v>
      </c>
      <c r="AQ293" t="s">
        <v>5875</v>
      </c>
      <c r="AR293" t="s">
        <v>5876</v>
      </c>
      <c r="AS293" t="s">
        <v>888</v>
      </c>
    </row>
    <row r="294" spans="1:45">
      <c r="A294" t="s">
        <v>951</v>
      </c>
      <c r="B294" s="2">
        <v>12</v>
      </c>
      <c r="C294" s="2">
        <v>10</v>
      </c>
      <c r="D294" s="2">
        <v>15</v>
      </c>
      <c r="E294" s="2">
        <v>21</v>
      </c>
      <c r="F294" s="2">
        <v>22</v>
      </c>
      <c r="G294" s="2">
        <v>18</v>
      </c>
      <c r="H294" s="2">
        <v>12</v>
      </c>
      <c r="I294" s="2">
        <v>8</v>
      </c>
      <c r="J294" s="2">
        <v>2</v>
      </c>
      <c r="K294" s="2">
        <v>1</v>
      </c>
      <c r="L294" s="2">
        <v>5</v>
      </c>
      <c r="M294" s="2">
        <v>5</v>
      </c>
      <c r="N294" s="2">
        <v>1</v>
      </c>
      <c r="O294" s="2">
        <v>0</v>
      </c>
      <c r="P294" s="2">
        <v>4</v>
      </c>
      <c r="Q294" s="2">
        <v>3</v>
      </c>
      <c r="R294" s="2">
        <v>3</v>
      </c>
      <c r="S294" s="2">
        <v>1</v>
      </c>
      <c r="T294" s="2">
        <v>3</v>
      </c>
      <c r="U294" s="11">
        <v>14.5397207500168</v>
      </c>
      <c r="V294" s="11">
        <v>9.6306412067744702</v>
      </c>
      <c r="W294" s="11">
        <v>24.0119649271839</v>
      </c>
      <c r="X294" s="11">
        <v>31.750356942217799</v>
      </c>
      <c r="Y294" s="11">
        <v>18.9238799186116</v>
      </c>
      <c r="Z294" s="11">
        <v>16.735090439510799</v>
      </c>
      <c r="AA294" s="11">
        <v>12.6487473943757</v>
      </c>
      <c r="AB294" s="11">
        <v>7.78546878385845</v>
      </c>
      <c r="AC294" s="11">
        <v>1.5895165864899099</v>
      </c>
      <c r="AD294" s="11">
        <v>3.1532482344414299</v>
      </c>
      <c r="AE294" s="11">
        <v>4.0002717413367099</v>
      </c>
      <c r="AF294" s="11">
        <v>0.84654704659994096</v>
      </c>
      <c r="AG294" s="11">
        <v>3.6751702632604601</v>
      </c>
      <c r="AH294" s="11">
        <v>2.36757171115537</v>
      </c>
      <c r="AI294" s="11">
        <v>4.5256201435872701</v>
      </c>
      <c r="AJ294" s="11">
        <v>4.5679105394238499</v>
      </c>
      <c r="AK294" s="16">
        <v>-2.4483359716750499</v>
      </c>
      <c r="AL294" s="16">
        <v>-5.5013613642967396</v>
      </c>
      <c r="AM294" s="26">
        <v>1.32392395249699E-8</v>
      </c>
      <c r="AN294" s="27">
        <v>1.2301460058617801E-7</v>
      </c>
      <c r="AO294" s="11">
        <v>17.0032337953187</v>
      </c>
      <c r="AP294" s="11">
        <v>3.0907320332868702</v>
      </c>
      <c r="AQ294" t="s">
        <v>5875</v>
      </c>
      <c r="AR294" t="s">
        <v>5876</v>
      </c>
      <c r="AS294" t="s">
        <v>951</v>
      </c>
    </row>
    <row r="295" spans="1:45">
      <c r="A295" t="s">
        <v>3081</v>
      </c>
      <c r="B295" s="2">
        <v>3</v>
      </c>
      <c r="C295" s="2">
        <v>10</v>
      </c>
      <c r="D295" s="2">
        <v>0</v>
      </c>
      <c r="E295" s="2">
        <v>2</v>
      </c>
      <c r="F295" s="2">
        <v>12</v>
      </c>
      <c r="G295" s="2">
        <v>10</v>
      </c>
      <c r="H295" s="2">
        <v>4</v>
      </c>
      <c r="I295" s="2">
        <v>23</v>
      </c>
      <c r="J295" s="2">
        <v>20</v>
      </c>
      <c r="K295" s="2">
        <v>0</v>
      </c>
      <c r="L295" s="2">
        <v>23</v>
      </c>
      <c r="M295" s="2">
        <v>13</v>
      </c>
      <c r="N295" s="2">
        <v>12</v>
      </c>
      <c r="O295" s="2">
        <v>0</v>
      </c>
      <c r="P295" s="2">
        <v>7</v>
      </c>
      <c r="Q295" s="2">
        <v>1</v>
      </c>
      <c r="R295" s="2">
        <v>5</v>
      </c>
      <c r="S295" s="2">
        <v>0</v>
      </c>
      <c r="T295" s="2">
        <v>0</v>
      </c>
      <c r="U295" s="11">
        <v>3.6349301875041902</v>
      </c>
      <c r="V295" s="11">
        <v>9.6306412067744702</v>
      </c>
      <c r="W295" s="11">
        <v>0.40019941545306398</v>
      </c>
      <c r="X295" s="11">
        <v>3.0238435183064598</v>
      </c>
      <c r="Y295" s="11">
        <v>10.322116319242699</v>
      </c>
      <c r="Z295" s="11">
        <v>9.2972724663949098</v>
      </c>
      <c r="AA295" s="11">
        <v>4.21624913145856</v>
      </c>
      <c r="AB295" s="11">
        <v>22.383222753593</v>
      </c>
      <c r="AC295" s="11">
        <v>15.8951658648991</v>
      </c>
      <c r="AD295" s="11">
        <v>14.5049418784306</v>
      </c>
      <c r="AE295" s="11">
        <v>10.400706527475499</v>
      </c>
      <c r="AF295" s="11">
        <v>10.1585645591993</v>
      </c>
      <c r="AG295" s="11">
        <v>6.4315479607058004</v>
      </c>
      <c r="AH295" s="11">
        <v>0.78919057038512497</v>
      </c>
      <c r="AI295" s="11">
        <v>7.5427002393121096</v>
      </c>
      <c r="AJ295" s="11">
        <v>0.38065921161865401</v>
      </c>
      <c r="AK295" s="16">
        <v>6.2276217357136801E-2</v>
      </c>
      <c r="AL295" s="16">
        <v>1.0507880983184399</v>
      </c>
      <c r="AM295" s="26">
        <v>0.907550621026879</v>
      </c>
      <c r="AN295" s="27">
        <v>0.93986279484053004</v>
      </c>
      <c r="AO295" s="11">
        <v>7.8635593748409196</v>
      </c>
      <c r="AP295" s="11">
        <v>8.2629346015032699</v>
      </c>
      <c r="AQ295" t="s">
        <v>5874</v>
      </c>
      <c r="AR295" t="s">
        <v>5832</v>
      </c>
      <c r="AS295" t="s">
        <v>3081</v>
      </c>
    </row>
    <row r="296" spans="1:45">
      <c r="A296" t="s">
        <v>1380</v>
      </c>
      <c r="B296" s="2">
        <v>6</v>
      </c>
      <c r="C296" s="2">
        <v>8</v>
      </c>
      <c r="D296" s="2">
        <v>2</v>
      </c>
      <c r="E296" s="2">
        <v>1</v>
      </c>
      <c r="F296" s="2">
        <v>7</v>
      </c>
      <c r="G296" s="2">
        <v>8</v>
      </c>
      <c r="H296" s="2">
        <v>5</v>
      </c>
      <c r="I296" s="2">
        <v>10</v>
      </c>
      <c r="J296" s="2">
        <v>23</v>
      </c>
      <c r="K296" s="2">
        <v>2</v>
      </c>
      <c r="L296" s="2">
        <v>21</v>
      </c>
      <c r="M296" s="2">
        <v>11</v>
      </c>
      <c r="N296" s="2">
        <v>9</v>
      </c>
      <c r="O296" s="2">
        <v>2</v>
      </c>
      <c r="P296" s="2">
        <v>12</v>
      </c>
      <c r="Q296" s="2">
        <v>10</v>
      </c>
      <c r="R296" s="2">
        <v>2</v>
      </c>
      <c r="S296" s="2">
        <v>0</v>
      </c>
      <c r="T296" s="2">
        <v>5</v>
      </c>
      <c r="U296" s="11">
        <v>7.2698603750083803</v>
      </c>
      <c r="V296" s="11">
        <v>7.7045129654195703</v>
      </c>
      <c r="W296" s="11">
        <v>3.2015953236245198</v>
      </c>
      <c r="X296" s="11">
        <v>1.5119217591532299</v>
      </c>
      <c r="Y296" s="11">
        <v>6.0212345195582504</v>
      </c>
      <c r="Z296" s="11">
        <v>7.43781797311593</v>
      </c>
      <c r="AA296" s="11">
        <v>5.2703114143232002</v>
      </c>
      <c r="AB296" s="11">
        <v>9.7318359798230603</v>
      </c>
      <c r="AC296" s="11">
        <v>18.279440744634002</v>
      </c>
      <c r="AD296" s="11">
        <v>13.243642584653999</v>
      </c>
      <c r="AE296" s="11">
        <v>8.8005978309407702</v>
      </c>
      <c r="AF296" s="11">
        <v>7.6189234193994704</v>
      </c>
      <c r="AG296" s="11">
        <v>11.0255107897814</v>
      </c>
      <c r="AH296" s="11">
        <v>7.8919057038512497</v>
      </c>
      <c r="AI296" s="11">
        <v>3.0170800957248498</v>
      </c>
      <c r="AJ296" s="11">
        <v>7.6131842323730803</v>
      </c>
      <c r="AK296" s="16">
        <v>0.67036238733346398</v>
      </c>
      <c r="AL296" s="16">
        <v>1.6093821275211699</v>
      </c>
      <c r="AM296" s="26">
        <v>7.8445807345675606E-2</v>
      </c>
      <c r="AN296" s="27">
        <v>0.115088256829511</v>
      </c>
      <c r="AO296" s="11">
        <v>6.0186362887532701</v>
      </c>
      <c r="AP296" s="11">
        <v>9.6862856751698505</v>
      </c>
      <c r="AQ296" t="s">
        <v>5874</v>
      </c>
      <c r="AR296" t="s">
        <v>5832</v>
      </c>
      <c r="AS296" t="s">
        <v>1380</v>
      </c>
    </row>
    <row r="297" spans="1:45">
      <c r="A297" t="s">
        <v>2820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3</v>
      </c>
      <c r="J297" s="2">
        <v>23</v>
      </c>
      <c r="K297" s="2">
        <v>4</v>
      </c>
      <c r="L297" s="2">
        <v>26</v>
      </c>
      <c r="M297" s="2">
        <v>12</v>
      </c>
      <c r="N297" s="2">
        <v>19</v>
      </c>
      <c r="O297" s="2">
        <v>3</v>
      </c>
      <c r="P297" s="2">
        <v>19</v>
      </c>
      <c r="Q297" s="2">
        <v>29</v>
      </c>
      <c r="R297" s="2">
        <v>2</v>
      </c>
      <c r="S297" s="2">
        <v>0</v>
      </c>
      <c r="T297" s="2">
        <v>4</v>
      </c>
      <c r="U297" s="11">
        <v>0.30291084895868198</v>
      </c>
      <c r="V297" s="11">
        <v>0.24076603016936199</v>
      </c>
      <c r="W297" s="11">
        <v>0.40019941545306398</v>
      </c>
      <c r="X297" s="11">
        <v>0.37798043978830698</v>
      </c>
      <c r="Y297" s="11">
        <v>0.215044089984223</v>
      </c>
      <c r="Z297" s="11">
        <v>0.23243181165987301</v>
      </c>
      <c r="AA297" s="11">
        <v>0.26351557071616</v>
      </c>
      <c r="AB297" s="11">
        <v>2.9195507939469199</v>
      </c>
      <c r="AC297" s="11">
        <v>18.279440744634002</v>
      </c>
      <c r="AD297" s="11">
        <v>16.3968908190954</v>
      </c>
      <c r="AE297" s="11">
        <v>9.6006521792081099</v>
      </c>
      <c r="AF297" s="11">
        <v>16.084393885398899</v>
      </c>
      <c r="AG297" s="11">
        <v>17.457058750487199</v>
      </c>
      <c r="AH297" s="11">
        <v>22.8865265411686</v>
      </c>
      <c r="AI297" s="11">
        <v>3.0170800957248498</v>
      </c>
      <c r="AJ297" s="11">
        <v>6.0905473858984696</v>
      </c>
      <c r="AK297" s="16">
        <v>4.2128405472655803</v>
      </c>
      <c r="AL297" s="16">
        <v>22.1736153299872</v>
      </c>
      <c r="AM297" s="26">
        <v>5.53021748941033E-12</v>
      </c>
      <c r="AN297" s="27">
        <v>1.27576396566052E-10</v>
      </c>
      <c r="AO297" s="11">
        <v>0.61904987508457399</v>
      </c>
      <c r="AP297" s="11">
        <v>13.7265738002019</v>
      </c>
      <c r="AQ297" t="s">
        <v>5874</v>
      </c>
      <c r="AR297" t="s">
        <v>5876</v>
      </c>
      <c r="AS297" t="s">
        <v>2820</v>
      </c>
    </row>
    <row r="298" spans="1:45">
      <c r="A298" t="s">
        <v>4944</v>
      </c>
      <c r="B298" s="2">
        <v>5</v>
      </c>
      <c r="C298" s="2">
        <v>12.545</v>
      </c>
      <c r="D298" s="2">
        <v>15.5</v>
      </c>
      <c r="E298" s="2">
        <v>12.435</v>
      </c>
      <c r="F298" s="2">
        <v>30.1</v>
      </c>
      <c r="G298" s="2">
        <v>18.097000000000001</v>
      </c>
      <c r="H298" s="2">
        <v>15.077</v>
      </c>
      <c r="I298" s="2">
        <v>7</v>
      </c>
      <c r="J298" s="2">
        <v>2</v>
      </c>
      <c r="K298" s="2">
        <v>0</v>
      </c>
      <c r="L298" s="2">
        <v>5</v>
      </c>
      <c r="M298" s="2">
        <v>4</v>
      </c>
      <c r="N298" s="2">
        <v>0</v>
      </c>
      <c r="O298" s="2">
        <v>0</v>
      </c>
      <c r="P298" s="2">
        <v>2</v>
      </c>
      <c r="Q298" s="2">
        <v>11</v>
      </c>
      <c r="R298" s="2">
        <v>1</v>
      </c>
      <c r="S298" s="2">
        <v>2</v>
      </c>
      <c r="T298" s="2">
        <v>1</v>
      </c>
      <c r="U298" s="11">
        <v>6.0582169791736504</v>
      </c>
      <c r="V298" s="11">
        <v>12.0383015084681</v>
      </c>
      <c r="W298" s="11">
        <v>24.812363758090001</v>
      </c>
      <c r="X298" s="11">
        <v>18.747829813500001</v>
      </c>
      <c r="Y298" s="11">
        <v>25.891308434100502</v>
      </c>
      <c r="Z298" s="11">
        <v>16.8280631641748</v>
      </c>
      <c r="AA298" s="11">
        <v>15.916340471256101</v>
      </c>
      <c r="AB298" s="11">
        <v>6.8122851858761404</v>
      </c>
      <c r="AC298" s="11">
        <v>1.5895165864899099</v>
      </c>
      <c r="AD298" s="11">
        <v>3.1532482344414299</v>
      </c>
      <c r="AE298" s="11">
        <v>3.2002173930693698</v>
      </c>
      <c r="AF298" s="11">
        <v>0.21163676164998499</v>
      </c>
      <c r="AG298" s="11">
        <v>1.8375851316302301</v>
      </c>
      <c r="AH298" s="11">
        <v>8.6810962742363706</v>
      </c>
      <c r="AI298" s="11">
        <v>1.50854004786242</v>
      </c>
      <c r="AJ298" s="11">
        <v>1.5226368464746201</v>
      </c>
      <c r="AK298" s="16">
        <v>-2.4253783096541102</v>
      </c>
      <c r="AL298" s="16">
        <v>-5.8561515994692899</v>
      </c>
      <c r="AM298" s="26">
        <v>2.9592597513497299E-7</v>
      </c>
      <c r="AN298" s="27">
        <v>1.66365107029661E-6</v>
      </c>
      <c r="AO298" s="11">
        <v>15.888088664329899</v>
      </c>
      <c r="AP298" s="11">
        <v>2.71305965948179</v>
      </c>
      <c r="AQ298" t="s">
        <v>5875</v>
      </c>
      <c r="AR298" t="s">
        <v>5876</v>
      </c>
      <c r="AS298" t="s">
        <v>4944</v>
      </c>
    </row>
    <row r="299" spans="1:45">
      <c r="A299" t="s">
        <v>4485</v>
      </c>
      <c r="B299" s="2">
        <v>9</v>
      </c>
      <c r="C299" s="2">
        <v>12</v>
      </c>
      <c r="D299" s="2">
        <v>10</v>
      </c>
      <c r="E299" s="2">
        <v>9</v>
      </c>
      <c r="F299" s="2">
        <v>22</v>
      </c>
      <c r="G299" s="2">
        <v>17</v>
      </c>
      <c r="H299" s="2">
        <v>15</v>
      </c>
      <c r="I299" s="2">
        <v>16</v>
      </c>
      <c r="J299" s="2">
        <v>0</v>
      </c>
      <c r="K299" s="2">
        <v>1</v>
      </c>
      <c r="L299" s="2">
        <v>2</v>
      </c>
      <c r="M299" s="2">
        <v>3</v>
      </c>
      <c r="N299" s="2">
        <v>3</v>
      </c>
      <c r="O299" s="2">
        <v>2</v>
      </c>
      <c r="P299" s="2">
        <v>1</v>
      </c>
      <c r="Q299" s="2">
        <v>9</v>
      </c>
      <c r="R299" s="2">
        <v>4</v>
      </c>
      <c r="S299" s="2">
        <v>4</v>
      </c>
      <c r="T299" s="2">
        <v>4</v>
      </c>
      <c r="U299" s="11">
        <v>10.9047905625126</v>
      </c>
      <c r="V299" s="11">
        <v>11.556769448129399</v>
      </c>
      <c r="W299" s="11">
        <v>16.007976618122601</v>
      </c>
      <c r="X299" s="11">
        <v>13.6072958323791</v>
      </c>
      <c r="Y299" s="11">
        <v>18.9238799186116</v>
      </c>
      <c r="Z299" s="11">
        <v>15.805363192871299</v>
      </c>
      <c r="AA299" s="11">
        <v>15.8109342429696</v>
      </c>
      <c r="AB299" s="11">
        <v>15.5709375677169</v>
      </c>
      <c r="AC299" s="11">
        <v>0.19868957331123899</v>
      </c>
      <c r="AD299" s="11">
        <v>1.2612992937765699</v>
      </c>
      <c r="AE299" s="11">
        <v>2.4001630448020301</v>
      </c>
      <c r="AF299" s="11">
        <v>2.5396411397998202</v>
      </c>
      <c r="AG299" s="11">
        <v>0.91879256581511404</v>
      </c>
      <c r="AH299" s="11">
        <v>7.1027151334661296</v>
      </c>
      <c r="AI299" s="11">
        <v>6.0341601914496898</v>
      </c>
      <c r="AJ299" s="11">
        <v>6.0905473858984696</v>
      </c>
      <c r="AK299" s="16">
        <v>-2.2472133693596201</v>
      </c>
      <c r="AL299" s="16">
        <v>-4.4521928088612501</v>
      </c>
      <c r="AM299" s="26">
        <v>2.6306806153693999E-8</v>
      </c>
      <c r="AN299" s="27">
        <v>2.0951492043834901E-7</v>
      </c>
      <c r="AO299" s="11">
        <v>14.7734934229141</v>
      </c>
      <c r="AP299" s="11">
        <v>3.31825104103988</v>
      </c>
      <c r="AQ299" t="s">
        <v>5875</v>
      </c>
      <c r="AR299" t="s">
        <v>5876</v>
      </c>
      <c r="AS299" t="s">
        <v>4485</v>
      </c>
    </row>
    <row r="300" spans="1:45">
      <c r="A300" t="s">
        <v>5680</v>
      </c>
      <c r="B300" s="2">
        <v>2.0550000000000002</v>
      </c>
      <c r="C300" s="2">
        <v>6.4249999999999998</v>
      </c>
      <c r="D300" s="2">
        <v>1.6850000000000001</v>
      </c>
      <c r="E300" s="2">
        <v>1.37</v>
      </c>
      <c r="F300" s="2">
        <v>6.4249999999999998</v>
      </c>
      <c r="G300" s="2">
        <v>12.11</v>
      </c>
      <c r="H300" s="2">
        <v>14.795</v>
      </c>
      <c r="I300" s="2">
        <v>5.0549999999999997</v>
      </c>
      <c r="J300" s="2">
        <v>32.905999999999999</v>
      </c>
      <c r="K300" s="2">
        <v>0</v>
      </c>
      <c r="L300" s="2">
        <v>22.164999999999999</v>
      </c>
      <c r="M300" s="2">
        <v>13.11</v>
      </c>
      <c r="N300" s="2">
        <v>6.74</v>
      </c>
      <c r="O300" s="2">
        <v>0.68500000000000005</v>
      </c>
      <c r="P300" s="2">
        <v>4.74</v>
      </c>
      <c r="Q300" s="2">
        <v>5.74</v>
      </c>
      <c r="R300" s="2">
        <v>3.0550000000000002</v>
      </c>
      <c r="S300" s="2">
        <v>0.68500000000000005</v>
      </c>
      <c r="T300" s="2">
        <v>2.0550000000000002</v>
      </c>
      <c r="U300" s="11">
        <v>2.5444511312529299</v>
      </c>
      <c r="V300" s="11">
        <v>6.1636103723356603</v>
      </c>
      <c r="W300" s="11">
        <v>2.7213560250808402</v>
      </c>
      <c r="X300" s="11">
        <v>2.1166904628145198</v>
      </c>
      <c r="Y300" s="11">
        <v>5.5051287035961103</v>
      </c>
      <c r="Z300" s="11">
        <v>11.2496996843378</v>
      </c>
      <c r="AA300" s="11">
        <v>15.6001217863967</v>
      </c>
      <c r="AB300" s="11">
        <v>4.96323634970976</v>
      </c>
      <c r="AC300" s="11">
        <v>26.1475478477591</v>
      </c>
      <c r="AD300" s="11">
        <v>14.0004221609199</v>
      </c>
      <c r="AE300" s="11">
        <v>10.4807119623022</v>
      </c>
      <c r="AF300" s="11">
        <v>5.6718652122195996</v>
      </c>
      <c r="AG300" s="11">
        <v>4.3183250593310403</v>
      </c>
      <c r="AH300" s="11">
        <v>4.4983862511952104</v>
      </c>
      <c r="AI300" s="11">
        <v>4.6764741483735097</v>
      </c>
      <c r="AJ300" s="11">
        <v>3.1975373775967002</v>
      </c>
      <c r="AK300" s="16">
        <v>0.51516920644964104</v>
      </c>
      <c r="AL300" s="16">
        <v>1.43501980544367</v>
      </c>
      <c r="AM300" s="26">
        <v>0.336880456812856</v>
      </c>
      <c r="AN300" s="27">
        <v>0.41735745482926001</v>
      </c>
      <c r="AO300" s="11">
        <v>6.3580368144405401</v>
      </c>
      <c r="AP300" s="11">
        <v>9.1239087524621603</v>
      </c>
      <c r="AQ300" t="s">
        <v>5874</v>
      </c>
      <c r="AR300" t="s">
        <v>5832</v>
      </c>
      <c r="AS300" t="s">
        <v>5680</v>
      </c>
    </row>
    <row r="301" spans="1:45">
      <c r="A301" t="s">
        <v>492</v>
      </c>
      <c r="B301" s="2">
        <v>8</v>
      </c>
      <c r="C301" s="2">
        <v>20</v>
      </c>
      <c r="D301" s="2">
        <v>0</v>
      </c>
      <c r="E301" s="2">
        <v>3</v>
      </c>
      <c r="F301" s="2">
        <v>21</v>
      </c>
      <c r="G301" s="2">
        <v>15</v>
      </c>
      <c r="H301" s="2">
        <v>11</v>
      </c>
      <c r="I301" s="2">
        <v>5</v>
      </c>
      <c r="J301" s="2">
        <v>9</v>
      </c>
      <c r="K301" s="2">
        <v>0</v>
      </c>
      <c r="L301" s="2">
        <v>26</v>
      </c>
      <c r="M301" s="2">
        <v>9</v>
      </c>
      <c r="N301" s="2">
        <v>2</v>
      </c>
      <c r="O301" s="2">
        <v>0</v>
      </c>
      <c r="P301" s="2">
        <v>3</v>
      </c>
      <c r="Q301" s="2">
        <v>8</v>
      </c>
      <c r="R301" s="2">
        <v>0</v>
      </c>
      <c r="S301" s="2">
        <v>0</v>
      </c>
      <c r="T301" s="2">
        <v>1</v>
      </c>
      <c r="U301" s="11">
        <v>9.6931471666778304</v>
      </c>
      <c r="V301" s="11">
        <v>19.261282413548901</v>
      </c>
      <c r="W301" s="11">
        <v>0.40019941545306398</v>
      </c>
      <c r="X301" s="11">
        <v>4.5357652774596904</v>
      </c>
      <c r="Y301" s="11">
        <v>18.0637035586747</v>
      </c>
      <c r="Z301" s="11">
        <v>13.945908699592399</v>
      </c>
      <c r="AA301" s="11">
        <v>11.594685111511</v>
      </c>
      <c r="AB301" s="11">
        <v>4.8659179899115301</v>
      </c>
      <c r="AC301" s="11">
        <v>7.1528246392046197</v>
      </c>
      <c r="AD301" s="11">
        <v>16.3968908190954</v>
      </c>
      <c r="AE301" s="11">
        <v>7.2004891344060802</v>
      </c>
      <c r="AF301" s="11">
        <v>1.6930940931998799</v>
      </c>
      <c r="AG301" s="11">
        <v>2.7563776974453398</v>
      </c>
      <c r="AH301" s="11">
        <v>6.3135245630809997</v>
      </c>
      <c r="AI301" s="11">
        <v>0.377135011965606</v>
      </c>
      <c r="AJ301" s="11">
        <v>1.5226368464746201</v>
      </c>
      <c r="AK301" s="16">
        <v>-0.86534580569465103</v>
      </c>
      <c r="AL301" s="16">
        <v>-1.89714281956718</v>
      </c>
      <c r="AM301" s="26">
        <v>0.11551315501013699</v>
      </c>
      <c r="AN301" s="27">
        <v>0.16099645979537799</v>
      </c>
      <c r="AO301" s="11">
        <v>10.2950762041036</v>
      </c>
      <c r="AP301" s="11">
        <v>5.42662160060907</v>
      </c>
      <c r="AQ301" t="s">
        <v>5875</v>
      </c>
      <c r="AR301" t="s">
        <v>5832</v>
      </c>
      <c r="AS301" t="s">
        <v>492</v>
      </c>
    </row>
    <row r="302" spans="1:45">
      <c r="A302" t="s">
        <v>1656</v>
      </c>
      <c r="B302" s="2">
        <v>9</v>
      </c>
      <c r="C302" s="2">
        <v>12</v>
      </c>
      <c r="D302" s="2">
        <v>14</v>
      </c>
      <c r="E302" s="2">
        <v>8</v>
      </c>
      <c r="F302" s="2">
        <v>14</v>
      </c>
      <c r="G302" s="2">
        <v>26</v>
      </c>
      <c r="H302" s="2">
        <v>8</v>
      </c>
      <c r="I302" s="2">
        <v>9</v>
      </c>
      <c r="J302" s="2">
        <v>5</v>
      </c>
      <c r="K302" s="2">
        <v>0</v>
      </c>
      <c r="L302" s="2">
        <v>7</v>
      </c>
      <c r="M302" s="2">
        <v>11</v>
      </c>
      <c r="N302" s="2">
        <v>1</v>
      </c>
      <c r="O302" s="2">
        <v>1</v>
      </c>
      <c r="P302" s="2">
        <v>1</v>
      </c>
      <c r="Q302" s="2">
        <v>5</v>
      </c>
      <c r="R302" s="2">
        <v>2</v>
      </c>
      <c r="S302" s="2">
        <v>3</v>
      </c>
      <c r="T302" s="2">
        <v>5</v>
      </c>
      <c r="U302" s="11">
        <v>10.9047905625126</v>
      </c>
      <c r="V302" s="11">
        <v>11.556769448129399</v>
      </c>
      <c r="W302" s="11">
        <v>22.411167265371599</v>
      </c>
      <c r="X302" s="11">
        <v>12.0953740732258</v>
      </c>
      <c r="Y302" s="11">
        <v>12.042469039116501</v>
      </c>
      <c r="Z302" s="11">
        <v>24.1729084126268</v>
      </c>
      <c r="AA302" s="11">
        <v>8.4324982629171306</v>
      </c>
      <c r="AB302" s="11">
        <v>8.7586523818407507</v>
      </c>
      <c r="AC302" s="11">
        <v>3.9737914662247902</v>
      </c>
      <c r="AD302" s="11">
        <v>4.4145475282179998</v>
      </c>
      <c r="AE302" s="11">
        <v>8.8005978309407702</v>
      </c>
      <c r="AF302" s="11">
        <v>0.84654704659994096</v>
      </c>
      <c r="AG302" s="11">
        <v>0.91879256581511404</v>
      </c>
      <c r="AH302" s="11">
        <v>3.94595285192562</v>
      </c>
      <c r="AI302" s="11">
        <v>3.0170800957248498</v>
      </c>
      <c r="AJ302" s="11">
        <v>7.6131842323730803</v>
      </c>
      <c r="AK302" s="16">
        <v>-1.69690096307984</v>
      </c>
      <c r="AL302" s="16">
        <v>-3.2917687017608999</v>
      </c>
      <c r="AM302" s="26">
        <v>7.9121849537348296E-5</v>
      </c>
      <c r="AN302" s="27">
        <v>2.30758200238686E-4</v>
      </c>
      <c r="AO302" s="11">
        <v>13.796828680717599</v>
      </c>
      <c r="AP302" s="11">
        <v>4.1913117022277699</v>
      </c>
      <c r="AQ302" t="s">
        <v>5875</v>
      </c>
      <c r="AR302" t="s">
        <v>5876</v>
      </c>
      <c r="AS302" t="s">
        <v>1656</v>
      </c>
    </row>
    <row r="303" spans="1:45">
      <c r="A303" t="s">
        <v>1696</v>
      </c>
      <c r="B303" s="2">
        <v>1</v>
      </c>
      <c r="C303" s="2">
        <v>7</v>
      </c>
      <c r="D303" s="2">
        <v>0</v>
      </c>
      <c r="E303" s="2">
        <v>0</v>
      </c>
      <c r="F303" s="2">
        <v>4</v>
      </c>
      <c r="G303" s="2">
        <v>3</v>
      </c>
      <c r="H303" s="2">
        <v>1</v>
      </c>
      <c r="I303" s="2">
        <v>3</v>
      </c>
      <c r="J303" s="2">
        <v>23</v>
      </c>
      <c r="K303" s="2">
        <v>7</v>
      </c>
      <c r="L303" s="2">
        <v>22</v>
      </c>
      <c r="M303" s="2">
        <v>22</v>
      </c>
      <c r="N303" s="2">
        <v>19</v>
      </c>
      <c r="O303" s="2">
        <v>4</v>
      </c>
      <c r="P303" s="2">
        <v>6</v>
      </c>
      <c r="Q303" s="2">
        <v>7</v>
      </c>
      <c r="R303" s="2">
        <v>6</v>
      </c>
      <c r="S303" s="2">
        <v>3</v>
      </c>
      <c r="T303" s="2">
        <v>3</v>
      </c>
      <c r="U303" s="11">
        <v>1.2116433958347299</v>
      </c>
      <c r="V303" s="11">
        <v>6.7414488447421297</v>
      </c>
      <c r="W303" s="11">
        <v>0.40019941545306398</v>
      </c>
      <c r="X303" s="11">
        <v>0.37798043978830698</v>
      </c>
      <c r="Y303" s="11">
        <v>3.4407054397475698</v>
      </c>
      <c r="Z303" s="11">
        <v>2.7891817399184702</v>
      </c>
      <c r="AA303" s="11">
        <v>1.05406228286464</v>
      </c>
      <c r="AB303" s="11">
        <v>2.9195507939469199</v>
      </c>
      <c r="AC303" s="11">
        <v>18.279440744634002</v>
      </c>
      <c r="AD303" s="11">
        <v>13.874292231542301</v>
      </c>
      <c r="AE303" s="11">
        <v>17.601195661881501</v>
      </c>
      <c r="AF303" s="11">
        <v>16.084393885398899</v>
      </c>
      <c r="AG303" s="11">
        <v>5.5127553948906796</v>
      </c>
      <c r="AH303" s="11">
        <v>5.5243339926958699</v>
      </c>
      <c r="AI303" s="11">
        <v>9.0512402871745401</v>
      </c>
      <c r="AJ303" s="11">
        <v>4.5679105394238499</v>
      </c>
      <c r="AK303" s="16">
        <v>2.1239350099688301</v>
      </c>
      <c r="AL303" s="16">
        <v>4.7793319641716803</v>
      </c>
      <c r="AM303" s="26">
        <v>7.5688415645590704E-6</v>
      </c>
      <c r="AN303" s="27">
        <v>2.8770198901647801E-5</v>
      </c>
      <c r="AO303" s="11">
        <v>2.3668465440369801</v>
      </c>
      <c r="AP303" s="11">
        <v>11.311945342205201</v>
      </c>
      <c r="AQ303" t="s">
        <v>5874</v>
      </c>
      <c r="AR303" t="s">
        <v>5876</v>
      </c>
      <c r="AS303" t="s">
        <v>1696</v>
      </c>
    </row>
    <row r="304" spans="1:45">
      <c r="A304" t="s">
        <v>2873</v>
      </c>
      <c r="B304" s="2">
        <v>7</v>
      </c>
      <c r="C304" s="2">
        <v>3</v>
      </c>
      <c r="D304" s="2">
        <v>1</v>
      </c>
      <c r="E304" s="2">
        <v>5</v>
      </c>
      <c r="F304" s="2">
        <v>5</v>
      </c>
      <c r="G304" s="2">
        <v>7</v>
      </c>
      <c r="H304" s="2">
        <v>6</v>
      </c>
      <c r="I304" s="2">
        <v>5</v>
      </c>
      <c r="J304" s="2">
        <v>5</v>
      </c>
      <c r="K304" s="2">
        <v>0</v>
      </c>
      <c r="L304" s="2">
        <v>20</v>
      </c>
      <c r="M304" s="2">
        <v>15</v>
      </c>
      <c r="N304" s="2">
        <v>16</v>
      </c>
      <c r="O304" s="2">
        <v>3</v>
      </c>
      <c r="P304" s="2">
        <v>8</v>
      </c>
      <c r="Q304" s="2">
        <v>8</v>
      </c>
      <c r="R304" s="2">
        <v>10</v>
      </c>
      <c r="S304" s="2">
        <v>4</v>
      </c>
      <c r="T304" s="2">
        <v>13</v>
      </c>
      <c r="U304" s="11">
        <v>8.4815037708430996</v>
      </c>
      <c r="V304" s="11">
        <v>2.8891923620323401</v>
      </c>
      <c r="W304" s="11">
        <v>1.6007976618122599</v>
      </c>
      <c r="X304" s="11">
        <v>7.5596087957661497</v>
      </c>
      <c r="Y304" s="11">
        <v>4.3008817996844604</v>
      </c>
      <c r="Z304" s="11">
        <v>6.50809072647644</v>
      </c>
      <c r="AA304" s="11">
        <v>6.3243736971878404</v>
      </c>
      <c r="AB304" s="11">
        <v>4.8659179899115301</v>
      </c>
      <c r="AC304" s="11">
        <v>3.9737914662247902</v>
      </c>
      <c r="AD304" s="11">
        <v>12.6129929377657</v>
      </c>
      <c r="AE304" s="11">
        <v>12.0008152240101</v>
      </c>
      <c r="AF304" s="11">
        <v>13.5447527455991</v>
      </c>
      <c r="AG304" s="11">
        <v>7.3503405265209096</v>
      </c>
      <c r="AH304" s="11">
        <v>6.3135245630809997</v>
      </c>
      <c r="AI304" s="11">
        <v>15.0854004786242</v>
      </c>
      <c r="AJ304" s="11">
        <v>19.794279004170001</v>
      </c>
      <c r="AK304" s="16">
        <v>1.03391573437585</v>
      </c>
      <c r="AL304" s="16">
        <v>2.1320271551967198</v>
      </c>
      <c r="AM304" s="26">
        <v>8.1075796176284607E-3</v>
      </c>
      <c r="AN304" s="27">
        <v>1.5150756324562699E-2</v>
      </c>
      <c r="AO304" s="11">
        <v>5.3162958504642699</v>
      </c>
      <c r="AP304" s="11">
        <v>11.3344871182495</v>
      </c>
      <c r="AQ304" t="s">
        <v>5874</v>
      </c>
      <c r="AR304" t="s">
        <v>5878</v>
      </c>
      <c r="AS304" t="s">
        <v>2873</v>
      </c>
    </row>
    <row r="305" spans="1:45">
      <c r="A305" t="s">
        <v>4923</v>
      </c>
      <c r="B305" s="2">
        <v>13</v>
      </c>
      <c r="C305" s="2">
        <v>10.455</v>
      </c>
      <c r="D305" s="2">
        <v>15.5</v>
      </c>
      <c r="E305" s="2">
        <v>13.565</v>
      </c>
      <c r="F305" s="2">
        <v>12.9</v>
      </c>
      <c r="G305" s="2">
        <v>14.903</v>
      </c>
      <c r="H305" s="2">
        <v>12.923</v>
      </c>
      <c r="I305" s="2">
        <v>9</v>
      </c>
      <c r="J305" s="2">
        <v>6</v>
      </c>
      <c r="K305" s="2">
        <v>0</v>
      </c>
      <c r="L305" s="2">
        <v>8</v>
      </c>
      <c r="M305" s="2">
        <v>5</v>
      </c>
      <c r="N305" s="2">
        <v>3</v>
      </c>
      <c r="O305" s="2">
        <v>0</v>
      </c>
      <c r="P305" s="2">
        <v>3</v>
      </c>
      <c r="Q305" s="2">
        <v>9</v>
      </c>
      <c r="R305" s="2">
        <v>3</v>
      </c>
      <c r="S305" s="2">
        <v>0</v>
      </c>
      <c r="T305" s="2">
        <v>1</v>
      </c>
      <c r="U305" s="11">
        <v>15.7513641458515</v>
      </c>
      <c r="V305" s="11">
        <v>10.112173267113199</v>
      </c>
      <c r="W305" s="11">
        <v>24.812363758090001</v>
      </c>
      <c r="X305" s="11">
        <v>20.562135924483901</v>
      </c>
      <c r="Y305" s="11">
        <v>11.0962750431859</v>
      </c>
      <c r="Z305" s="11">
        <v>13.8529359749284</v>
      </c>
      <c r="AA305" s="11">
        <v>13.5974034489539</v>
      </c>
      <c r="AB305" s="11">
        <v>8.7586523818407507</v>
      </c>
      <c r="AC305" s="11">
        <v>4.7685497594697397</v>
      </c>
      <c r="AD305" s="11">
        <v>5.0451971751062796</v>
      </c>
      <c r="AE305" s="11">
        <v>4.0002717413367099</v>
      </c>
      <c r="AF305" s="11">
        <v>2.5396411397998202</v>
      </c>
      <c r="AG305" s="11">
        <v>2.7563776974453398</v>
      </c>
      <c r="AH305" s="11">
        <v>7.1027151334661296</v>
      </c>
      <c r="AI305" s="11">
        <v>4.5256201435872701</v>
      </c>
      <c r="AJ305" s="11">
        <v>1.5226368464746201</v>
      </c>
      <c r="AK305" s="16">
        <v>-1.7579077764858999</v>
      </c>
      <c r="AL305" s="16">
        <v>-3.6745069444337801</v>
      </c>
      <c r="AM305" s="26">
        <v>8.5988741027175504E-7</v>
      </c>
      <c r="AN305" s="27">
        <v>4.3252983268556701E-6</v>
      </c>
      <c r="AO305" s="11">
        <v>14.8179129930559</v>
      </c>
      <c r="AP305" s="11">
        <v>4.0326262045857399</v>
      </c>
      <c r="AQ305" t="s">
        <v>5875</v>
      </c>
      <c r="AR305" t="s">
        <v>5876</v>
      </c>
      <c r="AS305" t="s">
        <v>4923</v>
      </c>
    </row>
    <row r="306" spans="1:45">
      <c r="A306" t="s">
        <v>648</v>
      </c>
      <c r="B306" s="2">
        <v>1.143</v>
      </c>
      <c r="C306" s="2">
        <v>7.8890000000000002</v>
      </c>
      <c r="D306" s="2">
        <v>5.9130000000000003</v>
      </c>
      <c r="E306" s="2">
        <v>1.2</v>
      </c>
      <c r="F306" s="2">
        <v>11.089</v>
      </c>
      <c r="G306" s="2">
        <v>9.32</v>
      </c>
      <c r="H306" s="2">
        <v>11.355</v>
      </c>
      <c r="I306" s="2">
        <v>9.2650000000000006</v>
      </c>
      <c r="J306" s="2">
        <v>15.954000000000001</v>
      </c>
      <c r="K306" s="2">
        <v>2</v>
      </c>
      <c r="L306" s="2">
        <v>12.151999999999999</v>
      </c>
      <c r="M306" s="2">
        <v>17.327000000000002</v>
      </c>
      <c r="N306" s="2">
        <v>10.061999999999999</v>
      </c>
      <c r="O306" s="2">
        <v>2.4</v>
      </c>
      <c r="P306" s="2">
        <v>11.44</v>
      </c>
      <c r="Q306" s="2">
        <v>5.2939999999999996</v>
      </c>
      <c r="R306" s="2">
        <v>2.2000000000000002</v>
      </c>
      <c r="S306" s="2">
        <v>1</v>
      </c>
      <c r="T306" s="2">
        <v>3</v>
      </c>
      <c r="U306" s="11">
        <v>1.3328077354182</v>
      </c>
      <c r="V306" s="11">
        <v>7.6082065533518302</v>
      </c>
      <c r="W306" s="11">
        <v>9.44470620469232</v>
      </c>
      <c r="X306" s="11">
        <v>1.8143061109838801</v>
      </c>
      <c r="Y306" s="11">
        <v>9.5479575952995006</v>
      </c>
      <c r="Z306" s="11">
        <v>8.6464633937472701</v>
      </c>
      <c r="AA306" s="11">
        <v>12.016310024656899</v>
      </c>
      <c r="AB306" s="11">
        <v>9.0506074612354492</v>
      </c>
      <c r="AC306" s="11">
        <v>12.716132691919301</v>
      </c>
      <c r="AD306" s="11">
        <v>7.6939256920370802</v>
      </c>
      <c r="AE306" s="11">
        <v>13.840940225024999</v>
      </c>
      <c r="AF306" s="11">
        <v>8.5501251706594008</v>
      </c>
      <c r="AG306" s="11">
        <v>10.474235250292301</v>
      </c>
      <c r="AH306" s="11">
        <v>4.1827100230411602</v>
      </c>
      <c r="AI306" s="11">
        <v>3.31878810529733</v>
      </c>
      <c r="AJ306" s="11">
        <v>4.5679105394238499</v>
      </c>
      <c r="AK306" s="16">
        <v>0.145664074775991</v>
      </c>
      <c r="AL306" s="16">
        <v>1.0989449638509901</v>
      </c>
      <c r="AM306" s="26">
        <v>0.77930074728999799</v>
      </c>
      <c r="AN306" s="27">
        <v>0.83519703989177596</v>
      </c>
      <c r="AO306" s="11">
        <v>7.4326706349231699</v>
      </c>
      <c r="AP306" s="11">
        <v>8.1680959622119307</v>
      </c>
      <c r="AQ306" t="s">
        <v>5874</v>
      </c>
      <c r="AR306" t="s">
        <v>5832</v>
      </c>
      <c r="AS306" t="s">
        <v>648</v>
      </c>
    </row>
    <row r="307" spans="1:45">
      <c r="A307" t="s">
        <v>3479</v>
      </c>
      <c r="B307" s="2">
        <v>6</v>
      </c>
      <c r="C307" s="2">
        <v>14</v>
      </c>
      <c r="D307" s="2">
        <v>1</v>
      </c>
      <c r="E307" s="2">
        <v>5</v>
      </c>
      <c r="F307" s="2">
        <v>31</v>
      </c>
      <c r="G307" s="2">
        <v>20</v>
      </c>
      <c r="H307" s="2">
        <v>10</v>
      </c>
      <c r="I307" s="2">
        <v>10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0</v>
      </c>
      <c r="P307" s="2">
        <v>0</v>
      </c>
      <c r="Q307" s="2">
        <v>3</v>
      </c>
      <c r="R307" s="2">
        <v>35</v>
      </c>
      <c r="S307" s="2">
        <v>1</v>
      </c>
      <c r="T307" s="2">
        <v>2</v>
      </c>
      <c r="U307" s="11">
        <v>7.2698603750083803</v>
      </c>
      <c r="V307" s="11">
        <v>13.4828976894843</v>
      </c>
      <c r="W307" s="11">
        <v>1.6007976618122599</v>
      </c>
      <c r="X307" s="11">
        <v>7.5596087957661497</v>
      </c>
      <c r="Y307" s="11">
        <v>26.6654671580437</v>
      </c>
      <c r="Z307" s="11">
        <v>18.594544932789798</v>
      </c>
      <c r="AA307" s="11">
        <v>10.5406228286464</v>
      </c>
      <c r="AB307" s="11">
        <v>9.7318359798230603</v>
      </c>
      <c r="AC307" s="11">
        <v>0.19868957331123899</v>
      </c>
      <c r="AD307" s="11">
        <v>0.15766241172207099</v>
      </c>
      <c r="AE307" s="11">
        <v>0.200013587066836</v>
      </c>
      <c r="AF307" s="11">
        <v>0.84654704659994096</v>
      </c>
      <c r="AG307" s="11">
        <v>0.22969814145377901</v>
      </c>
      <c r="AH307" s="11">
        <v>2.36757171115537</v>
      </c>
      <c r="AI307" s="11">
        <v>52.798901675184801</v>
      </c>
      <c r="AJ307" s="11">
        <v>3.0452736929492299</v>
      </c>
      <c r="AK307" s="16">
        <v>-0.734237491565504</v>
      </c>
      <c r="AL307" s="16">
        <v>-1.59489781271353</v>
      </c>
      <c r="AM307" s="26">
        <v>0.461922141714108</v>
      </c>
      <c r="AN307" s="27">
        <v>0.54501924657273004</v>
      </c>
      <c r="AO307" s="11">
        <v>11.930704427671699</v>
      </c>
      <c r="AP307" s="11">
        <v>7.4805447299304104</v>
      </c>
      <c r="AQ307" t="s">
        <v>5875</v>
      </c>
      <c r="AR307" t="s">
        <v>5832</v>
      </c>
      <c r="AS307" t="s">
        <v>3479</v>
      </c>
    </row>
    <row r="308" spans="1:45">
      <c r="A308" t="s">
        <v>1479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51.241999999999997</v>
      </c>
      <c r="K308" s="2">
        <v>8.2530000000000001</v>
      </c>
      <c r="L308" s="2">
        <v>27.045000000000002</v>
      </c>
      <c r="M308" s="2">
        <v>8.3849999999999998</v>
      </c>
      <c r="N308" s="2">
        <v>10.096</v>
      </c>
      <c r="O308" s="2">
        <v>0</v>
      </c>
      <c r="P308" s="2">
        <v>9.1340000000000003</v>
      </c>
      <c r="Q308" s="2">
        <v>7.4329999999999998</v>
      </c>
      <c r="R308" s="2">
        <v>6.4859999999999998</v>
      </c>
      <c r="S308" s="2">
        <v>0</v>
      </c>
      <c r="T308" s="2">
        <v>10.454000000000001</v>
      </c>
      <c r="U308" s="11">
        <v>0.30291084895868198</v>
      </c>
      <c r="V308" s="11">
        <v>0.24076603016936199</v>
      </c>
      <c r="W308" s="11">
        <v>0.40019941545306398</v>
      </c>
      <c r="X308" s="11">
        <v>0.37798043978830698</v>
      </c>
      <c r="Y308" s="11">
        <v>0.215044089984223</v>
      </c>
      <c r="Z308" s="11">
        <v>0.23243181165987301</v>
      </c>
      <c r="AA308" s="11">
        <v>0.26351557071616</v>
      </c>
      <c r="AB308" s="11">
        <v>0.24329589949557701</v>
      </c>
      <c r="AC308" s="11">
        <v>40.691624614141801</v>
      </c>
      <c r="AD308" s="11">
        <v>17.027540465983702</v>
      </c>
      <c r="AE308" s="11">
        <v>6.7204565254456803</v>
      </c>
      <c r="AF308" s="11">
        <v>8.5501251706594008</v>
      </c>
      <c r="AG308" s="11">
        <v>8.3610123489175407</v>
      </c>
      <c r="AH308" s="11">
        <v>5.8400102208499298</v>
      </c>
      <c r="AI308" s="11">
        <v>9.8055103111057509</v>
      </c>
      <c r="AJ308" s="11">
        <v>15.9876868879835</v>
      </c>
      <c r="AK308" s="16">
        <v>5.1779168213014097</v>
      </c>
      <c r="AL308" s="16">
        <v>49.638318696991298</v>
      </c>
      <c r="AM308" s="26">
        <v>2.7688099727800999E-12</v>
      </c>
      <c r="AN308" s="27">
        <v>7.3546188205128104E-11</v>
      </c>
      <c r="AO308" s="11">
        <v>0.28451801327815601</v>
      </c>
      <c r="AP308" s="11">
        <v>14.1229958181359</v>
      </c>
      <c r="AQ308" t="s">
        <v>5874</v>
      </c>
      <c r="AR308" t="s">
        <v>5876</v>
      </c>
      <c r="AS308" t="s">
        <v>1479</v>
      </c>
    </row>
    <row r="309" spans="1:45">
      <c r="A309" t="s">
        <v>388</v>
      </c>
      <c r="B309" s="2">
        <v>4</v>
      </c>
      <c r="C309" s="2">
        <v>6</v>
      </c>
      <c r="D309" s="2">
        <v>0</v>
      </c>
      <c r="E309" s="2">
        <v>0</v>
      </c>
      <c r="F309" s="2">
        <v>2</v>
      </c>
      <c r="G309" s="2">
        <v>1</v>
      </c>
      <c r="H309" s="2">
        <v>1</v>
      </c>
      <c r="I309" s="2">
        <v>3</v>
      </c>
      <c r="J309" s="2">
        <v>13</v>
      </c>
      <c r="K309" s="2">
        <v>2</v>
      </c>
      <c r="L309" s="2">
        <v>20.69</v>
      </c>
      <c r="M309" s="2">
        <v>24</v>
      </c>
      <c r="N309" s="2">
        <v>13.65</v>
      </c>
      <c r="O309" s="2">
        <v>9</v>
      </c>
      <c r="P309" s="2">
        <v>15</v>
      </c>
      <c r="Q309" s="2">
        <v>16</v>
      </c>
      <c r="R309" s="2">
        <v>7</v>
      </c>
      <c r="S309" s="2">
        <v>1</v>
      </c>
      <c r="T309" s="2">
        <v>0</v>
      </c>
      <c r="U309" s="11">
        <v>4.8465735833389196</v>
      </c>
      <c r="V309" s="11">
        <v>5.7783847240646802</v>
      </c>
      <c r="W309" s="11">
        <v>0.40019941545306398</v>
      </c>
      <c r="X309" s="11">
        <v>0.37798043978830698</v>
      </c>
      <c r="Y309" s="11">
        <v>1.72035271987378</v>
      </c>
      <c r="Z309" s="11">
        <v>0.92972724663949102</v>
      </c>
      <c r="AA309" s="11">
        <v>1.05406228286464</v>
      </c>
      <c r="AB309" s="11">
        <v>2.9195507939469199</v>
      </c>
      <c r="AC309" s="11">
        <v>10.331857812184399</v>
      </c>
      <c r="AD309" s="11">
        <v>13.0544476905875</v>
      </c>
      <c r="AE309" s="11">
        <v>19.201304358416198</v>
      </c>
      <c r="AF309" s="11">
        <v>11.5976945384192</v>
      </c>
      <c r="AG309" s="11">
        <v>13.7818884872267</v>
      </c>
      <c r="AH309" s="11">
        <v>12.627049126161999</v>
      </c>
      <c r="AI309" s="11">
        <v>10.559780335037001</v>
      </c>
      <c r="AJ309" s="11">
        <v>0.38065921161865401</v>
      </c>
      <c r="AK309" s="16">
        <v>2.26002689690181</v>
      </c>
      <c r="AL309" s="16">
        <v>5.0776911656741399</v>
      </c>
      <c r="AM309" s="26">
        <v>8.5897956581834195E-6</v>
      </c>
      <c r="AN309" s="27">
        <v>3.1749023731075702E-5</v>
      </c>
      <c r="AO309" s="11">
        <v>2.2533539007462302</v>
      </c>
      <c r="AP309" s="11">
        <v>11.4418351949565</v>
      </c>
      <c r="AQ309" t="s">
        <v>5874</v>
      </c>
      <c r="AR309" t="s">
        <v>5876</v>
      </c>
      <c r="AS309" t="s">
        <v>388</v>
      </c>
    </row>
    <row r="310" spans="1:45">
      <c r="A310" t="s">
        <v>2760</v>
      </c>
      <c r="B310" s="2">
        <v>2</v>
      </c>
      <c r="C310" s="2">
        <v>3</v>
      </c>
      <c r="D310" s="2">
        <v>6</v>
      </c>
      <c r="E310" s="2">
        <v>2</v>
      </c>
      <c r="F310" s="2">
        <v>15</v>
      </c>
      <c r="G310" s="2">
        <v>23</v>
      </c>
      <c r="H310" s="2">
        <v>9</v>
      </c>
      <c r="I310" s="2">
        <v>14</v>
      </c>
      <c r="J310" s="2">
        <v>11</v>
      </c>
      <c r="K310" s="2">
        <v>1</v>
      </c>
      <c r="L310" s="2">
        <v>12</v>
      </c>
      <c r="M310" s="2">
        <v>8</v>
      </c>
      <c r="N310" s="2">
        <v>8</v>
      </c>
      <c r="O310" s="2">
        <v>0</v>
      </c>
      <c r="P310" s="2">
        <v>9</v>
      </c>
      <c r="Q310" s="2">
        <v>8</v>
      </c>
      <c r="R310" s="2">
        <v>1</v>
      </c>
      <c r="S310" s="2">
        <v>0</v>
      </c>
      <c r="T310" s="2">
        <v>6</v>
      </c>
      <c r="U310" s="11">
        <v>2.4232867916694598</v>
      </c>
      <c r="V310" s="11">
        <v>2.8891923620323401</v>
      </c>
      <c r="W310" s="11">
        <v>9.6047859708735501</v>
      </c>
      <c r="X310" s="11">
        <v>3.0238435183064598</v>
      </c>
      <c r="Y310" s="11">
        <v>12.9026453990534</v>
      </c>
      <c r="Z310" s="11">
        <v>21.383726672708299</v>
      </c>
      <c r="AA310" s="11">
        <v>9.4865605457817708</v>
      </c>
      <c r="AB310" s="11">
        <v>13.6245703717523</v>
      </c>
      <c r="AC310" s="11">
        <v>8.7423412256945294</v>
      </c>
      <c r="AD310" s="11">
        <v>7.5677957626594301</v>
      </c>
      <c r="AE310" s="11">
        <v>6.4004347861387396</v>
      </c>
      <c r="AF310" s="11">
        <v>6.7723763727995303</v>
      </c>
      <c r="AG310" s="11">
        <v>8.2691330923360304</v>
      </c>
      <c r="AH310" s="11">
        <v>6.3135245630809997</v>
      </c>
      <c r="AI310" s="11">
        <v>1.50854004786242</v>
      </c>
      <c r="AJ310" s="11">
        <v>9.1358210788476999</v>
      </c>
      <c r="AK310" s="16">
        <v>-0.46746415237640299</v>
      </c>
      <c r="AL310" s="16">
        <v>-1.3770546001128301</v>
      </c>
      <c r="AM310" s="26">
        <v>0.311297338517672</v>
      </c>
      <c r="AN310" s="27">
        <v>0.389996103873263</v>
      </c>
      <c r="AO310" s="11">
        <v>9.4173264540221897</v>
      </c>
      <c r="AP310" s="11">
        <v>6.8387458661774199</v>
      </c>
      <c r="AQ310" t="s">
        <v>5875</v>
      </c>
      <c r="AR310" t="s">
        <v>5832</v>
      </c>
      <c r="AS310" t="s">
        <v>2760</v>
      </c>
    </row>
    <row r="311" spans="1:45">
      <c r="A311" t="s">
        <v>4862</v>
      </c>
      <c r="B311" s="2">
        <v>0</v>
      </c>
      <c r="C311" s="2">
        <v>1.056</v>
      </c>
      <c r="D311" s="2">
        <v>2.1429999999999998</v>
      </c>
      <c r="E311" s="2">
        <v>1.2</v>
      </c>
      <c r="F311" s="2">
        <v>2.214</v>
      </c>
      <c r="G311" s="2">
        <v>4.2960000000000003</v>
      </c>
      <c r="H311" s="2">
        <v>10.323</v>
      </c>
      <c r="I311" s="2">
        <v>7.2060000000000004</v>
      </c>
      <c r="J311" s="2">
        <v>42.447000000000003</v>
      </c>
      <c r="K311" s="2">
        <v>0</v>
      </c>
      <c r="L311" s="2">
        <v>29.367000000000001</v>
      </c>
      <c r="M311" s="2">
        <v>15.288</v>
      </c>
      <c r="N311" s="2">
        <v>3.1669999999999998</v>
      </c>
      <c r="O311" s="2">
        <v>2.4</v>
      </c>
      <c r="P311" s="2">
        <v>4.16</v>
      </c>
      <c r="Q311" s="2">
        <v>6.3529999999999998</v>
      </c>
      <c r="R311" s="2">
        <v>5.5</v>
      </c>
      <c r="S311" s="2">
        <v>0</v>
      </c>
      <c r="T311" s="2">
        <v>0</v>
      </c>
      <c r="U311" s="11">
        <v>0.30291084895868198</v>
      </c>
      <c r="V311" s="11">
        <v>1.0593705327451901</v>
      </c>
      <c r="W311" s="11">
        <v>3.3616750898057401</v>
      </c>
      <c r="X311" s="11">
        <v>1.8143061109838801</v>
      </c>
      <c r="Y311" s="11">
        <v>1.8923879918611599</v>
      </c>
      <c r="Z311" s="11">
        <v>3.9978271605498099</v>
      </c>
      <c r="AA311" s="11">
        <v>10.856841513505801</v>
      </c>
      <c r="AB311" s="11">
        <v>7.0069219054726002</v>
      </c>
      <c r="AC311" s="11">
        <v>33.697751633586201</v>
      </c>
      <c r="AD311" s="11">
        <v>18.541099618515599</v>
      </c>
      <c r="AE311" s="11">
        <v>12.2408315284903</v>
      </c>
      <c r="AF311" s="11">
        <v>2.7089505491198098</v>
      </c>
      <c r="AG311" s="11">
        <v>3.8589287764234799</v>
      </c>
      <c r="AH311" s="11">
        <v>5.0508196504648</v>
      </c>
      <c r="AI311" s="11">
        <v>8.2969702632433204</v>
      </c>
      <c r="AJ311" s="11">
        <v>0.38065921161865401</v>
      </c>
      <c r="AK311" s="16">
        <v>1.4638475567414699</v>
      </c>
      <c r="AL311" s="16">
        <v>2.7986047912666798</v>
      </c>
      <c r="AM311" s="26">
        <v>2.7779896578798102E-2</v>
      </c>
      <c r="AN311" s="27">
        <v>4.5775248303487497E-2</v>
      </c>
      <c r="AO311" s="11">
        <v>3.7865301442353601</v>
      </c>
      <c r="AP311" s="11">
        <v>10.597001403932801</v>
      </c>
      <c r="AQ311" t="s">
        <v>5874</v>
      </c>
      <c r="AR311" t="s">
        <v>5878</v>
      </c>
      <c r="AS311" t="s">
        <v>4862</v>
      </c>
    </row>
    <row r="312" spans="1:45">
      <c r="A312" t="s">
        <v>1448</v>
      </c>
      <c r="B312" s="2">
        <v>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24</v>
      </c>
      <c r="K312" s="2">
        <v>0</v>
      </c>
      <c r="L312" s="2">
        <v>24</v>
      </c>
      <c r="M312" s="2">
        <v>7</v>
      </c>
      <c r="N312" s="2">
        <v>14</v>
      </c>
      <c r="O312" s="2">
        <v>1</v>
      </c>
      <c r="P312" s="2">
        <v>28</v>
      </c>
      <c r="Q312" s="2">
        <v>14</v>
      </c>
      <c r="R312" s="2">
        <v>4</v>
      </c>
      <c r="S312" s="2">
        <v>0</v>
      </c>
      <c r="T312" s="2">
        <v>20</v>
      </c>
      <c r="U312" s="11">
        <v>1.2116433958347299</v>
      </c>
      <c r="V312" s="11">
        <v>0.24076603016936199</v>
      </c>
      <c r="W312" s="11">
        <v>0.40019941545306398</v>
      </c>
      <c r="X312" s="11">
        <v>0.37798043978830698</v>
      </c>
      <c r="Y312" s="11">
        <v>0.215044089984223</v>
      </c>
      <c r="Z312" s="11">
        <v>0.23243181165987301</v>
      </c>
      <c r="AA312" s="11">
        <v>0.26351557071616</v>
      </c>
      <c r="AB312" s="11">
        <v>0.24329589949557701</v>
      </c>
      <c r="AC312" s="11">
        <v>19.074199037879001</v>
      </c>
      <c r="AD312" s="11">
        <v>15.135591525318899</v>
      </c>
      <c r="AE312" s="11">
        <v>5.6003804378713999</v>
      </c>
      <c r="AF312" s="11">
        <v>11.8516586523992</v>
      </c>
      <c r="AG312" s="11">
        <v>25.726191842823201</v>
      </c>
      <c r="AH312" s="11">
        <v>11.048667985391701</v>
      </c>
      <c r="AI312" s="11">
        <v>6.0341601914496898</v>
      </c>
      <c r="AJ312" s="11">
        <v>30.4527369294923</v>
      </c>
      <c r="AK312" s="16">
        <v>4.9687997256875098</v>
      </c>
      <c r="AL312" s="16">
        <v>39.223995215318702</v>
      </c>
      <c r="AM312" s="26">
        <v>6.0871767340252799E-14</v>
      </c>
      <c r="AN312" s="27">
        <v>2.54520077191432E-12</v>
      </c>
      <c r="AO312" s="11">
        <v>0.39810958163766202</v>
      </c>
      <c r="AP312" s="11">
        <v>15.615448325328201</v>
      </c>
      <c r="AQ312" t="s">
        <v>5874</v>
      </c>
      <c r="AR312" t="s">
        <v>5876</v>
      </c>
      <c r="AS312" t="s">
        <v>1448</v>
      </c>
    </row>
    <row r="313" spans="1:45">
      <c r="A313" t="s">
        <v>2211</v>
      </c>
      <c r="B313" s="2">
        <v>8</v>
      </c>
      <c r="C313" s="2">
        <v>15</v>
      </c>
      <c r="D313" s="2">
        <v>19</v>
      </c>
      <c r="E313" s="2">
        <v>15</v>
      </c>
      <c r="F313" s="2">
        <v>16</v>
      </c>
      <c r="G313" s="2">
        <v>20</v>
      </c>
      <c r="H313" s="2">
        <v>10</v>
      </c>
      <c r="I313" s="2">
        <v>20</v>
      </c>
      <c r="J313" s="2">
        <v>1</v>
      </c>
      <c r="K313" s="2">
        <v>0</v>
      </c>
      <c r="L313" s="2">
        <v>2</v>
      </c>
      <c r="M313" s="2">
        <v>5</v>
      </c>
      <c r="N313" s="2">
        <v>0</v>
      </c>
      <c r="O313" s="2">
        <v>0</v>
      </c>
      <c r="P313" s="2">
        <v>0</v>
      </c>
      <c r="Q313" s="2">
        <v>6</v>
      </c>
      <c r="R313" s="2">
        <v>0</v>
      </c>
      <c r="S313" s="2">
        <v>0</v>
      </c>
      <c r="T313" s="2">
        <v>0</v>
      </c>
      <c r="U313" s="11">
        <v>9.6931471666778304</v>
      </c>
      <c r="V313" s="11">
        <v>14.4459618101617</v>
      </c>
      <c r="W313" s="11">
        <v>30.415155574432902</v>
      </c>
      <c r="X313" s="11">
        <v>22.6788263872984</v>
      </c>
      <c r="Y313" s="11">
        <v>13.762821758990301</v>
      </c>
      <c r="Z313" s="11">
        <v>18.594544932789798</v>
      </c>
      <c r="AA313" s="11">
        <v>10.5406228286464</v>
      </c>
      <c r="AB313" s="11">
        <v>19.463671959646099</v>
      </c>
      <c r="AC313" s="11">
        <v>0.79475829324495695</v>
      </c>
      <c r="AD313" s="11">
        <v>1.2612992937765699</v>
      </c>
      <c r="AE313" s="11">
        <v>4.0002717413367099</v>
      </c>
      <c r="AF313" s="11">
        <v>0.21163676164998499</v>
      </c>
      <c r="AG313" s="11">
        <v>0.22969814145377901</v>
      </c>
      <c r="AH313" s="11">
        <v>4.7351434223107498</v>
      </c>
      <c r="AI313" s="11">
        <v>0.377135011965606</v>
      </c>
      <c r="AJ313" s="11">
        <v>0.38065921161865401</v>
      </c>
      <c r="AK313" s="16">
        <v>-3.30140333390298</v>
      </c>
      <c r="AL313" s="16">
        <v>-11.6420137910052</v>
      </c>
      <c r="AM313" s="26">
        <v>1.60679600465374E-12</v>
      </c>
      <c r="AN313" s="27">
        <v>4.6736805526667397E-11</v>
      </c>
      <c r="AO313" s="11">
        <v>17.4493440523304</v>
      </c>
      <c r="AP313" s="11">
        <v>1.49882523466963</v>
      </c>
      <c r="AQ313" t="s">
        <v>5875</v>
      </c>
      <c r="AR313" t="s">
        <v>5876</v>
      </c>
      <c r="AS313" t="s">
        <v>2211</v>
      </c>
    </row>
    <row r="314" spans="1:45">
      <c r="A314" t="s">
        <v>5551</v>
      </c>
      <c r="B314" s="2">
        <v>1</v>
      </c>
      <c r="C314" s="2">
        <v>1</v>
      </c>
      <c r="D314" s="2">
        <v>0</v>
      </c>
      <c r="E314" s="2">
        <v>1</v>
      </c>
      <c r="F314" s="2">
        <v>0</v>
      </c>
      <c r="G314" s="2">
        <v>2</v>
      </c>
      <c r="H314" s="2">
        <v>2</v>
      </c>
      <c r="I314" s="2">
        <v>2</v>
      </c>
      <c r="J314" s="2">
        <v>31</v>
      </c>
      <c r="K314" s="2">
        <v>13</v>
      </c>
      <c r="L314" s="2">
        <v>29</v>
      </c>
      <c r="M314" s="2">
        <v>8</v>
      </c>
      <c r="N314" s="2">
        <v>8</v>
      </c>
      <c r="O314" s="2">
        <v>6</v>
      </c>
      <c r="P314" s="2">
        <v>9</v>
      </c>
      <c r="Q314" s="2">
        <v>8</v>
      </c>
      <c r="R314" s="2">
        <v>4</v>
      </c>
      <c r="S314" s="2">
        <v>0</v>
      </c>
      <c r="T314" s="2">
        <v>12</v>
      </c>
      <c r="U314" s="11">
        <v>1.2116433958347299</v>
      </c>
      <c r="V314" s="11">
        <v>0.96306412067744696</v>
      </c>
      <c r="W314" s="11">
        <v>0.40019941545306398</v>
      </c>
      <c r="X314" s="11">
        <v>1.5119217591532299</v>
      </c>
      <c r="Y314" s="11">
        <v>0.215044089984223</v>
      </c>
      <c r="Z314" s="11">
        <v>1.85945449327898</v>
      </c>
      <c r="AA314" s="11">
        <v>2.10812456572928</v>
      </c>
      <c r="AB314" s="11">
        <v>1.9463671959646101</v>
      </c>
      <c r="AC314" s="11">
        <v>24.637507090593701</v>
      </c>
      <c r="AD314" s="11">
        <v>18.2888397597603</v>
      </c>
      <c r="AE314" s="11">
        <v>6.4004347861387396</v>
      </c>
      <c r="AF314" s="11">
        <v>6.7723763727995303</v>
      </c>
      <c r="AG314" s="11">
        <v>8.2691330923360304</v>
      </c>
      <c r="AH314" s="11">
        <v>6.3135245630809997</v>
      </c>
      <c r="AI314" s="11">
        <v>6.0341601914496898</v>
      </c>
      <c r="AJ314" s="11">
        <v>18.2716421576954</v>
      </c>
      <c r="AK314" s="16">
        <v>3.0921443899477201</v>
      </c>
      <c r="AL314" s="16">
        <v>9.2980912914001692</v>
      </c>
      <c r="AM314" s="26">
        <v>1.64844355572472E-8</v>
      </c>
      <c r="AN314" s="27">
        <v>1.4510641299734701E-7</v>
      </c>
      <c r="AO314" s="11">
        <v>1.2769773795094499</v>
      </c>
      <c r="AP314" s="11">
        <v>11.8734522517318</v>
      </c>
      <c r="AQ314" t="s">
        <v>5874</v>
      </c>
      <c r="AR314" t="s">
        <v>5876</v>
      </c>
      <c r="AS314" t="s">
        <v>5551</v>
      </c>
    </row>
    <row r="315" spans="1:45">
      <c r="A315" t="s">
        <v>1322</v>
      </c>
      <c r="B315" s="2">
        <v>7</v>
      </c>
      <c r="C315" s="2">
        <v>11.523999999999999</v>
      </c>
      <c r="D315" s="2">
        <v>9.4499999999999993</v>
      </c>
      <c r="E315" s="2">
        <v>13</v>
      </c>
      <c r="F315" s="2">
        <v>11</v>
      </c>
      <c r="G315" s="2">
        <v>13</v>
      </c>
      <c r="H315" s="2">
        <v>6</v>
      </c>
      <c r="I315" s="2">
        <v>3</v>
      </c>
      <c r="J315" s="2">
        <v>4</v>
      </c>
      <c r="K315" s="2">
        <v>0</v>
      </c>
      <c r="L315" s="2">
        <v>12</v>
      </c>
      <c r="M315" s="2">
        <v>5</v>
      </c>
      <c r="N315" s="2">
        <v>5</v>
      </c>
      <c r="O315" s="2">
        <v>4</v>
      </c>
      <c r="P315" s="2">
        <v>7</v>
      </c>
      <c r="Q315" s="2">
        <v>15</v>
      </c>
      <c r="R315" s="2">
        <v>3</v>
      </c>
      <c r="S315" s="2">
        <v>2</v>
      </c>
      <c r="T315" s="2">
        <v>6</v>
      </c>
      <c r="U315" s="11">
        <v>8.4815037708430996</v>
      </c>
      <c r="V315" s="11">
        <v>11.075237387790599</v>
      </c>
      <c r="W315" s="11">
        <v>15.207577787216399</v>
      </c>
      <c r="X315" s="11">
        <v>19.654982868992001</v>
      </c>
      <c r="Y315" s="11">
        <v>9.4619399593058091</v>
      </c>
      <c r="Z315" s="11">
        <v>12.0864542063134</v>
      </c>
      <c r="AA315" s="11">
        <v>6.3243736971878404</v>
      </c>
      <c r="AB315" s="11">
        <v>2.9195507939469199</v>
      </c>
      <c r="AC315" s="11">
        <v>3.17903317297983</v>
      </c>
      <c r="AD315" s="11">
        <v>7.5677957626594301</v>
      </c>
      <c r="AE315" s="11">
        <v>4.0002717413367099</v>
      </c>
      <c r="AF315" s="11">
        <v>4.2327352329997003</v>
      </c>
      <c r="AG315" s="11">
        <v>6.4315479607058004</v>
      </c>
      <c r="AH315" s="11">
        <v>11.837858555776901</v>
      </c>
      <c r="AI315" s="11">
        <v>4.5256201435872701</v>
      </c>
      <c r="AJ315" s="11">
        <v>9.1358210788476999</v>
      </c>
      <c r="AK315" s="16">
        <v>-0.69850279767394596</v>
      </c>
      <c r="AL315" s="16">
        <v>-1.67374732304245</v>
      </c>
      <c r="AM315" s="26">
        <v>8.2517629532072201E-2</v>
      </c>
      <c r="AN315" s="27">
        <v>0.12000933512381801</v>
      </c>
      <c r="AO315" s="11">
        <v>10.651452558949501</v>
      </c>
      <c r="AP315" s="11">
        <v>6.3638354561116603</v>
      </c>
      <c r="AQ315" t="s">
        <v>5875</v>
      </c>
      <c r="AR315" t="s">
        <v>5832</v>
      </c>
      <c r="AS315" t="s">
        <v>1322</v>
      </c>
    </row>
    <row r="316" spans="1:45">
      <c r="A316" t="s">
        <v>4786</v>
      </c>
      <c r="B316" s="2">
        <v>8</v>
      </c>
      <c r="C316" s="2">
        <v>5</v>
      </c>
      <c r="D316" s="2">
        <v>3</v>
      </c>
      <c r="E316" s="2">
        <v>6</v>
      </c>
      <c r="F316" s="2">
        <v>18</v>
      </c>
      <c r="G316" s="2">
        <v>21</v>
      </c>
      <c r="H316" s="2">
        <v>11</v>
      </c>
      <c r="I316" s="2">
        <v>22</v>
      </c>
      <c r="J316" s="2">
        <v>1</v>
      </c>
      <c r="K316" s="2">
        <v>0</v>
      </c>
      <c r="L316" s="2">
        <v>6</v>
      </c>
      <c r="M316" s="2">
        <v>6</v>
      </c>
      <c r="N316" s="2">
        <v>6</v>
      </c>
      <c r="O316" s="2">
        <v>0</v>
      </c>
      <c r="P316" s="2">
        <v>7</v>
      </c>
      <c r="Q316" s="2">
        <v>8</v>
      </c>
      <c r="R316" s="2">
        <v>3</v>
      </c>
      <c r="S316" s="2">
        <v>3</v>
      </c>
      <c r="T316" s="2">
        <v>2</v>
      </c>
      <c r="U316" s="11">
        <v>9.6931471666778304</v>
      </c>
      <c r="V316" s="11">
        <v>4.8153206033872298</v>
      </c>
      <c r="W316" s="11">
        <v>4.8023929854367697</v>
      </c>
      <c r="X316" s="11">
        <v>9.0715305549193808</v>
      </c>
      <c r="Y316" s="11">
        <v>15.4831744788641</v>
      </c>
      <c r="Z316" s="11">
        <v>19.5242721794293</v>
      </c>
      <c r="AA316" s="11">
        <v>11.594685111511</v>
      </c>
      <c r="AB316" s="11">
        <v>21.410039155610701</v>
      </c>
      <c r="AC316" s="11">
        <v>0.79475829324495695</v>
      </c>
      <c r="AD316" s="11">
        <v>3.7838978813297102</v>
      </c>
      <c r="AE316" s="11">
        <v>4.8003260896040603</v>
      </c>
      <c r="AF316" s="11">
        <v>5.0792822795996404</v>
      </c>
      <c r="AG316" s="11">
        <v>6.4315479607058004</v>
      </c>
      <c r="AH316" s="11">
        <v>6.3135245630809997</v>
      </c>
      <c r="AI316" s="11">
        <v>4.5256201435872701</v>
      </c>
      <c r="AJ316" s="11">
        <v>3.0452736929492299</v>
      </c>
      <c r="AK316" s="16">
        <v>-1.4699342561873201</v>
      </c>
      <c r="AL316" s="16">
        <v>-2.7720113351080999</v>
      </c>
      <c r="AM316" s="26">
        <v>4.85768606081328E-4</v>
      </c>
      <c r="AN316" s="27">
        <v>1.18346873583779E-3</v>
      </c>
      <c r="AO316" s="11">
        <v>12.049320279479501</v>
      </c>
      <c r="AP316" s="11">
        <v>4.3467788630127098</v>
      </c>
      <c r="AQ316" t="s">
        <v>5875</v>
      </c>
      <c r="AR316" t="s">
        <v>5876</v>
      </c>
      <c r="AS316" t="s">
        <v>4786</v>
      </c>
    </row>
    <row r="317" spans="1:45">
      <c r="A317" t="s">
        <v>5055</v>
      </c>
      <c r="B317" s="2">
        <v>7</v>
      </c>
      <c r="C317" s="2">
        <v>17</v>
      </c>
      <c r="D317" s="2">
        <v>14</v>
      </c>
      <c r="E317" s="2">
        <v>16</v>
      </c>
      <c r="F317" s="2">
        <v>15</v>
      </c>
      <c r="G317" s="2">
        <v>7</v>
      </c>
      <c r="H317" s="2">
        <v>12</v>
      </c>
      <c r="I317" s="2">
        <v>3</v>
      </c>
      <c r="J317" s="2">
        <v>1</v>
      </c>
      <c r="K317" s="2">
        <v>5</v>
      </c>
      <c r="L317" s="2">
        <v>0</v>
      </c>
      <c r="M317" s="2">
        <v>2</v>
      </c>
      <c r="N317" s="2">
        <v>3</v>
      </c>
      <c r="O317" s="2">
        <v>15</v>
      </c>
      <c r="P317" s="2">
        <v>8</v>
      </c>
      <c r="Q317" s="2">
        <v>3</v>
      </c>
      <c r="R317" s="2">
        <v>2</v>
      </c>
      <c r="S317" s="2">
        <v>3</v>
      </c>
      <c r="T317" s="2">
        <v>3</v>
      </c>
      <c r="U317" s="11">
        <v>8.4815037708430996</v>
      </c>
      <c r="V317" s="11">
        <v>16.372090051516601</v>
      </c>
      <c r="W317" s="11">
        <v>22.411167265371599</v>
      </c>
      <c r="X317" s="11">
        <v>24.1907481464517</v>
      </c>
      <c r="Y317" s="11">
        <v>12.9026453990534</v>
      </c>
      <c r="Z317" s="11">
        <v>6.50809072647644</v>
      </c>
      <c r="AA317" s="11">
        <v>12.6487473943757</v>
      </c>
      <c r="AB317" s="11">
        <v>2.9195507939469199</v>
      </c>
      <c r="AC317" s="11">
        <v>0.79475829324495695</v>
      </c>
      <c r="AD317" s="11">
        <v>0.15766241172207099</v>
      </c>
      <c r="AE317" s="11">
        <v>1.60010869653469</v>
      </c>
      <c r="AF317" s="11">
        <v>2.5396411397998202</v>
      </c>
      <c r="AG317" s="11">
        <v>7.3503405265209096</v>
      </c>
      <c r="AH317" s="11">
        <v>2.36757171115537</v>
      </c>
      <c r="AI317" s="11">
        <v>3.0170800957248498</v>
      </c>
      <c r="AJ317" s="11">
        <v>4.5679105394238499</v>
      </c>
      <c r="AK317" s="16">
        <v>-2.2570716085768101</v>
      </c>
      <c r="AL317" s="16">
        <v>-4.7525873918724404</v>
      </c>
      <c r="AM317" s="26">
        <v>2.5880283677842501E-5</v>
      </c>
      <c r="AN317" s="27">
        <v>8.3642076234186806E-5</v>
      </c>
      <c r="AO317" s="11">
        <v>13.304317943504399</v>
      </c>
      <c r="AP317" s="11">
        <v>2.7993841767658099</v>
      </c>
      <c r="AQ317" t="s">
        <v>5875</v>
      </c>
      <c r="AR317" t="s">
        <v>5876</v>
      </c>
      <c r="AS317" t="s">
        <v>5055</v>
      </c>
    </row>
    <row r="318" spans="1:45">
      <c r="A318" t="s">
        <v>1747</v>
      </c>
      <c r="B318" s="2">
        <v>4</v>
      </c>
      <c r="C318" s="2">
        <v>19</v>
      </c>
      <c r="D318" s="2">
        <v>10</v>
      </c>
      <c r="E318" s="2">
        <v>12</v>
      </c>
      <c r="F318" s="2">
        <v>23</v>
      </c>
      <c r="G318" s="2">
        <v>14</v>
      </c>
      <c r="H318" s="2">
        <v>10</v>
      </c>
      <c r="I318" s="2">
        <v>3</v>
      </c>
      <c r="J318" s="2">
        <v>11</v>
      </c>
      <c r="K318" s="2">
        <v>0</v>
      </c>
      <c r="L318" s="2">
        <v>5</v>
      </c>
      <c r="M318" s="2">
        <v>3</v>
      </c>
      <c r="N318" s="2">
        <v>5</v>
      </c>
      <c r="O318" s="2">
        <v>4</v>
      </c>
      <c r="P318" s="2">
        <v>1</v>
      </c>
      <c r="Q318" s="2">
        <v>5</v>
      </c>
      <c r="R318" s="2">
        <v>0</v>
      </c>
      <c r="S318" s="2">
        <v>0</v>
      </c>
      <c r="T318" s="2">
        <v>4</v>
      </c>
      <c r="U318" s="11">
        <v>4.8465735833389196</v>
      </c>
      <c r="V318" s="11">
        <v>18.2982182928715</v>
      </c>
      <c r="W318" s="11">
        <v>16.007976618122601</v>
      </c>
      <c r="X318" s="11">
        <v>18.143061109838801</v>
      </c>
      <c r="Y318" s="11">
        <v>19.784056278548501</v>
      </c>
      <c r="Z318" s="11">
        <v>13.0161814529529</v>
      </c>
      <c r="AA318" s="11">
        <v>10.5406228286464</v>
      </c>
      <c r="AB318" s="11">
        <v>2.9195507939469199</v>
      </c>
      <c r="AC318" s="11">
        <v>8.7423412256945294</v>
      </c>
      <c r="AD318" s="11">
        <v>3.1532482344414299</v>
      </c>
      <c r="AE318" s="11">
        <v>2.4001630448020301</v>
      </c>
      <c r="AF318" s="11">
        <v>4.2327352329997003</v>
      </c>
      <c r="AG318" s="11">
        <v>0.91879256581511404</v>
      </c>
      <c r="AH318" s="11">
        <v>3.94595285192562</v>
      </c>
      <c r="AI318" s="11">
        <v>0.377135011965606</v>
      </c>
      <c r="AJ318" s="11">
        <v>6.0905473858984696</v>
      </c>
      <c r="AK318" s="16">
        <v>-1.73809356806032</v>
      </c>
      <c r="AL318" s="16">
        <v>-3.4679526410562902</v>
      </c>
      <c r="AM318" s="26">
        <v>2.4783890256466001E-4</v>
      </c>
      <c r="AN318" s="27">
        <v>6.3770856082983598E-4</v>
      </c>
      <c r="AO318" s="11">
        <v>12.9445301197833</v>
      </c>
      <c r="AP318" s="11">
        <v>3.73261444419281</v>
      </c>
      <c r="AQ318" t="s">
        <v>5875</v>
      </c>
      <c r="AR318" t="s">
        <v>5876</v>
      </c>
      <c r="AS318" t="s">
        <v>1747</v>
      </c>
    </row>
    <row r="319" spans="1:45">
      <c r="A319" t="s">
        <v>1927</v>
      </c>
      <c r="B319" s="2">
        <v>6</v>
      </c>
      <c r="C319" s="2">
        <v>0</v>
      </c>
      <c r="D319" s="2">
        <v>7</v>
      </c>
      <c r="E319" s="2">
        <v>5</v>
      </c>
      <c r="F319" s="2">
        <v>6</v>
      </c>
      <c r="G319" s="2">
        <v>5</v>
      </c>
      <c r="H319" s="2">
        <v>3</v>
      </c>
      <c r="I319" s="2">
        <v>0</v>
      </c>
      <c r="J319" s="2">
        <v>20</v>
      </c>
      <c r="K319" s="2">
        <v>3</v>
      </c>
      <c r="L319" s="2">
        <v>15</v>
      </c>
      <c r="M319" s="2">
        <v>14</v>
      </c>
      <c r="N319" s="2">
        <v>11</v>
      </c>
      <c r="O319" s="2">
        <v>3</v>
      </c>
      <c r="P319" s="2">
        <v>13</v>
      </c>
      <c r="Q319" s="2">
        <v>15</v>
      </c>
      <c r="R319" s="2">
        <v>4</v>
      </c>
      <c r="S319" s="2">
        <v>1</v>
      </c>
      <c r="T319" s="2">
        <v>2</v>
      </c>
      <c r="U319" s="11">
        <v>7.2698603750083803</v>
      </c>
      <c r="V319" s="11">
        <v>0.24076603016936199</v>
      </c>
      <c r="W319" s="11">
        <v>11.2055836326858</v>
      </c>
      <c r="X319" s="11">
        <v>7.5596087957661497</v>
      </c>
      <c r="Y319" s="11">
        <v>5.1610581596213496</v>
      </c>
      <c r="Z319" s="11">
        <v>4.6486362331974602</v>
      </c>
      <c r="AA319" s="11">
        <v>3.1621868485939202</v>
      </c>
      <c r="AB319" s="11">
        <v>0.24329589949557701</v>
      </c>
      <c r="AC319" s="11">
        <v>15.8951658648991</v>
      </c>
      <c r="AD319" s="11">
        <v>9.4597447033242794</v>
      </c>
      <c r="AE319" s="11">
        <v>11.2007608757428</v>
      </c>
      <c r="AF319" s="11">
        <v>9.3120175125993505</v>
      </c>
      <c r="AG319" s="11">
        <v>11.944303355596499</v>
      </c>
      <c r="AH319" s="11">
        <v>11.837858555776901</v>
      </c>
      <c r="AI319" s="11">
        <v>6.0341601914496898</v>
      </c>
      <c r="AJ319" s="11">
        <v>3.0452736929492299</v>
      </c>
      <c r="AK319" s="16">
        <v>1.0951852588995701</v>
      </c>
      <c r="AL319" s="16">
        <v>1.9936008907726399</v>
      </c>
      <c r="AM319" s="26">
        <v>2.44037864833197E-2</v>
      </c>
      <c r="AN319" s="27">
        <v>4.1123761101614302E-2</v>
      </c>
      <c r="AO319" s="11">
        <v>4.9363744968172503</v>
      </c>
      <c r="AP319" s="11">
        <v>9.8411605940422309</v>
      </c>
      <c r="AQ319" t="s">
        <v>5874</v>
      </c>
      <c r="AR319" t="s">
        <v>5878</v>
      </c>
      <c r="AS319" t="s">
        <v>1927</v>
      </c>
    </row>
    <row r="320" spans="1:45">
      <c r="A320" t="s">
        <v>2040</v>
      </c>
      <c r="B320" s="2">
        <v>7</v>
      </c>
      <c r="C320" s="2">
        <v>9</v>
      </c>
      <c r="D320" s="2">
        <v>9</v>
      </c>
      <c r="E320" s="2">
        <v>17</v>
      </c>
      <c r="F320" s="2">
        <v>10</v>
      </c>
      <c r="G320" s="2">
        <v>6</v>
      </c>
      <c r="H320" s="2">
        <v>10</v>
      </c>
      <c r="I320" s="2">
        <v>6</v>
      </c>
      <c r="J320" s="2">
        <v>5</v>
      </c>
      <c r="K320" s="2">
        <v>1</v>
      </c>
      <c r="L320" s="2">
        <v>5</v>
      </c>
      <c r="M320" s="2">
        <v>11</v>
      </c>
      <c r="N320" s="2">
        <v>4</v>
      </c>
      <c r="O320" s="2">
        <v>1</v>
      </c>
      <c r="P320" s="2">
        <v>5</v>
      </c>
      <c r="Q320" s="2">
        <v>7</v>
      </c>
      <c r="R320" s="2">
        <v>9</v>
      </c>
      <c r="S320" s="2">
        <v>5</v>
      </c>
      <c r="T320" s="2">
        <v>4</v>
      </c>
      <c r="U320" s="11">
        <v>8.4815037708430996</v>
      </c>
      <c r="V320" s="11">
        <v>8.6675770860970207</v>
      </c>
      <c r="W320" s="11">
        <v>14.4071789563103</v>
      </c>
      <c r="X320" s="11">
        <v>25.7026699056049</v>
      </c>
      <c r="Y320" s="11">
        <v>8.6017635993689208</v>
      </c>
      <c r="Z320" s="11">
        <v>5.5783634798369501</v>
      </c>
      <c r="AA320" s="11">
        <v>10.5406228286464</v>
      </c>
      <c r="AB320" s="11">
        <v>5.8391015878938397</v>
      </c>
      <c r="AC320" s="11">
        <v>3.9737914662247902</v>
      </c>
      <c r="AD320" s="11">
        <v>3.1532482344414299</v>
      </c>
      <c r="AE320" s="11">
        <v>8.8005978309407702</v>
      </c>
      <c r="AF320" s="11">
        <v>3.3861881863997598</v>
      </c>
      <c r="AG320" s="11">
        <v>4.5939628290755703</v>
      </c>
      <c r="AH320" s="11">
        <v>5.5243339926958699</v>
      </c>
      <c r="AI320" s="11">
        <v>13.576860430761799</v>
      </c>
      <c r="AJ320" s="11">
        <v>6.0905473858984696</v>
      </c>
      <c r="AK320" s="16">
        <v>-0.84435104189275201</v>
      </c>
      <c r="AL320" s="16">
        <v>-1.78858699008077</v>
      </c>
      <c r="AM320" s="26">
        <v>5.1084727464355599E-2</v>
      </c>
      <c r="AN320" s="27">
        <v>7.9110376559383994E-2</v>
      </c>
      <c r="AO320" s="11">
        <v>10.9773476518252</v>
      </c>
      <c r="AP320" s="11">
        <v>6.1374412945548098</v>
      </c>
      <c r="AQ320" t="s">
        <v>5875</v>
      </c>
      <c r="AR320" t="s">
        <v>5877</v>
      </c>
      <c r="AS320" t="s">
        <v>2040</v>
      </c>
    </row>
    <row r="321" spans="1:45">
      <c r="A321" t="s">
        <v>790</v>
      </c>
      <c r="B321" s="2">
        <v>16</v>
      </c>
      <c r="C321" s="2">
        <v>13</v>
      </c>
      <c r="D321" s="2">
        <v>22</v>
      </c>
      <c r="E321" s="2">
        <v>18</v>
      </c>
      <c r="F321" s="2">
        <v>8</v>
      </c>
      <c r="G321" s="2">
        <v>10</v>
      </c>
      <c r="H321" s="2">
        <v>11</v>
      </c>
      <c r="I321" s="2">
        <v>7</v>
      </c>
      <c r="J321" s="2">
        <v>0</v>
      </c>
      <c r="K321" s="2">
        <v>0</v>
      </c>
      <c r="L321" s="2">
        <v>5</v>
      </c>
      <c r="M321" s="2">
        <v>2</v>
      </c>
      <c r="N321" s="2">
        <v>0</v>
      </c>
      <c r="O321" s="2">
        <v>0</v>
      </c>
      <c r="P321" s="2">
        <v>3</v>
      </c>
      <c r="Q321" s="2">
        <v>7</v>
      </c>
      <c r="R321" s="2">
        <v>8</v>
      </c>
      <c r="S321" s="2">
        <v>0</v>
      </c>
      <c r="T321" s="2">
        <v>0</v>
      </c>
      <c r="U321" s="11">
        <v>19.3862943333557</v>
      </c>
      <c r="V321" s="11">
        <v>12.519833568806799</v>
      </c>
      <c r="W321" s="11">
        <v>35.217548559869698</v>
      </c>
      <c r="X321" s="11">
        <v>27.2145916647581</v>
      </c>
      <c r="Y321" s="11">
        <v>6.8814108794951396</v>
      </c>
      <c r="Z321" s="11">
        <v>9.2972724663949098</v>
      </c>
      <c r="AA321" s="11">
        <v>11.594685111511</v>
      </c>
      <c r="AB321" s="11">
        <v>6.8122851858761404</v>
      </c>
      <c r="AC321" s="11">
        <v>0.19868957331123899</v>
      </c>
      <c r="AD321" s="11">
        <v>3.1532482344414299</v>
      </c>
      <c r="AE321" s="11">
        <v>1.60010869653469</v>
      </c>
      <c r="AF321" s="11">
        <v>0.21163676164998499</v>
      </c>
      <c r="AG321" s="11">
        <v>2.7563776974453398</v>
      </c>
      <c r="AH321" s="11">
        <v>5.5243339926958699</v>
      </c>
      <c r="AI321" s="11">
        <v>12.068320382899399</v>
      </c>
      <c r="AJ321" s="11">
        <v>0.38065921161865401</v>
      </c>
      <c r="AK321" s="16">
        <v>-2.3262979018614298</v>
      </c>
      <c r="AL321" s="16">
        <v>-4.9790312776013597</v>
      </c>
      <c r="AM321" s="26">
        <v>9.3421615854954096E-5</v>
      </c>
      <c r="AN321" s="27">
        <v>2.6709000430326601E-4</v>
      </c>
      <c r="AO321" s="11">
        <v>16.115490221258401</v>
      </c>
      <c r="AP321" s="11">
        <v>3.2366718188245698</v>
      </c>
      <c r="AQ321" t="s">
        <v>5875</v>
      </c>
      <c r="AR321" t="s">
        <v>5876</v>
      </c>
      <c r="AS321" t="s">
        <v>790</v>
      </c>
    </row>
    <row r="322" spans="1:45">
      <c r="A322" t="s">
        <v>1909</v>
      </c>
      <c r="B322" s="2">
        <v>11</v>
      </c>
      <c r="C322" s="2">
        <v>21</v>
      </c>
      <c r="D322" s="2">
        <v>2</v>
      </c>
      <c r="E322" s="2">
        <v>8</v>
      </c>
      <c r="F322" s="2">
        <v>29</v>
      </c>
      <c r="G322" s="2">
        <v>26</v>
      </c>
      <c r="H322" s="2">
        <v>8</v>
      </c>
      <c r="I322" s="2">
        <v>9</v>
      </c>
      <c r="J322" s="2">
        <v>3</v>
      </c>
      <c r="K322" s="2">
        <v>0</v>
      </c>
      <c r="L322" s="2">
        <v>7</v>
      </c>
      <c r="M322" s="2">
        <v>2</v>
      </c>
      <c r="N322" s="2">
        <v>1</v>
      </c>
      <c r="O322" s="2">
        <v>0</v>
      </c>
      <c r="P322" s="2">
        <v>1</v>
      </c>
      <c r="Q322" s="2">
        <v>1</v>
      </c>
      <c r="R322" s="2">
        <v>0</v>
      </c>
      <c r="S322" s="2">
        <v>0</v>
      </c>
      <c r="T322" s="2">
        <v>1</v>
      </c>
      <c r="U322" s="11">
        <v>13.328077354182</v>
      </c>
      <c r="V322" s="11">
        <v>20.224346534226399</v>
      </c>
      <c r="W322" s="11">
        <v>3.2015953236245198</v>
      </c>
      <c r="X322" s="11">
        <v>12.0953740732258</v>
      </c>
      <c r="Y322" s="11">
        <v>24.945114438169899</v>
      </c>
      <c r="Z322" s="11">
        <v>24.1729084126268</v>
      </c>
      <c r="AA322" s="11">
        <v>8.4324982629171306</v>
      </c>
      <c r="AB322" s="11">
        <v>8.7586523818407507</v>
      </c>
      <c r="AC322" s="11">
        <v>2.3842748797348698</v>
      </c>
      <c r="AD322" s="11">
        <v>4.4145475282179998</v>
      </c>
      <c r="AE322" s="11">
        <v>1.60010869653469</v>
      </c>
      <c r="AF322" s="11">
        <v>0.84654704659994096</v>
      </c>
      <c r="AG322" s="11">
        <v>0.91879256581511404</v>
      </c>
      <c r="AH322" s="11">
        <v>0.78919057038512497</v>
      </c>
      <c r="AI322" s="11">
        <v>0.377135011965606</v>
      </c>
      <c r="AJ322" s="11">
        <v>1.5226368464746201</v>
      </c>
      <c r="AK322" s="16">
        <v>-2.9883533702527498</v>
      </c>
      <c r="AL322" s="16">
        <v>-8.9595018992624897</v>
      </c>
      <c r="AM322" s="26">
        <v>2.5213405050380701E-9</v>
      </c>
      <c r="AN322" s="27">
        <v>2.8589437252041799E-8</v>
      </c>
      <c r="AO322" s="11">
        <v>14.3948208476017</v>
      </c>
      <c r="AP322" s="11">
        <v>1.60665414321599</v>
      </c>
      <c r="AQ322" t="s">
        <v>5875</v>
      </c>
      <c r="AR322" t="s">
        <v>5876</v>
      </c>
      <c r="AS322" t="s">
        <v>1909</v>
      </c>
    </row>
    <row r="323" spans="1:45">
      <c r="A323" t="s">
        <v>4275</v>
      </c>
      <c r="B323" s="2">
        <v>4</v>
      </c>
      <c r="C323" s="2">
        <v>12</v>
      </c>
      <c r="D323" s="2">
        <v>11</v>
      </c>
      <c r="E323" s="2">
        <v>14</v>
      </c>
      <c r="F323" s="2">
        <v>19</v>
      </c>
      <c r="G323" s="2">
        <v>4</v>
      </c>
      <c r="H323" s="2">
        <v>4</v>
      </c>
      <c r="I323" s="2">
        <v>1</v>
      </c>
      <c r="J323" s="2">
        <v>4</v>
      </c>
      <c r="K323" s="2">
        <v>2</v>
      </c>
      <c r="L323" s="2">
        <v>5</v>
      </c>
      <c r="M323" s="2">
        <v>10</v>
      </c>
      <c r="N323" s="2">
        <v>9</v>
      </c>
      <c r="O323" s="2">
        <v>14</v>
      </c>
      <c r="P323" s="2">
        <v>3</v>
      </c>
      <c r="Q323" s="2">
        <v>3</v>
      </c>
      <c r="R323" s="2">
        <v>4</v>
      </c>
      <c r="S323" s="2">
        <v>1</v>
      </c>
      <c r="T323" s="2">
        <v>4</v>
      </c>
      <c r="U323" s="11">
        <v>4.8465735833389196</v>
      </c>
      <c r="V323" s="11">
        <v>11.556769448129399</v>
      </c>
      <c r="W323" s="11">
        <v>17.608774279934799</v>
      </c>
      <c r="X323" s="11">
        <v>21.1669046281452</v>
      </c>
      <c r="Y323" s="11">
        <v>16.343350838801001</v>
      </c>
      <c r="Z323" s="11">
        <v>3.7189089865579601</v>
      </c>
      <c r="AA323" s="11">
        <v>4.21624913145856</v>
      </c>
      <c r="AB323" s="11">
        <v>0.97318359798230603</v>
      </c>
      <c r="AC323" s="11">
        <v>3.17903317297983</v>
      </c>
      <c r="AD323" s="11">
        <v>3.1532482344414299</v>
      </c>
      <c r="AE323" s="11">
        <v>8.0005434826734305</v>
      </c>
      <c r="AF323" s="11">
        <v>7.6189234193994704</v>
      </c>
      <c r="AG323" s="11">
        <v>2.7563776974453398</v>
      </c>
      <c r="AH323" s="11">
        <v>2.36757171115537</v>
      </c>
      <c r="AI323" s="11">
        <v>6.0341601914496898</v>
      </c>
      <c r="AJ323" s="11">
        <v>6.0905473858984696</v>
      </c>
      <c r="AK323" s="16">
        <v>-1.01104290987139</v>
      </c>
      <c r="AL323" s="16">
        <v>-2.05178272745303</v>
      </c>
      <c r="AM323" s="26">
        <v>4.8952834600685599E-2</v>
      </c>
      <c r="AN323" s="27">
        <v>7.6161503134554998E-2</v>
      </c>
      <c r="AO323" s="11">
        <v>10.053839311793499</v>
      </c>
      <c r="AP323" s="11">
        <v>4.9000506619303801</v>
      </c>
      <c r="AQ323" t="s">
        <v>5875</v>
      </c>
      <c r="AR323" t="s">
        <v>5877</v>
      </c>
      <c r="AS323" t="s">
        <v>4275</v>
      </c>
    </row>
    <row r="324" spans="1:45">
      <c r="A324" t="s">
        <v>5718</v>
      </c>
      <c r="B324" s="2">
        <v>0</v>
      </c>
      <c r="C324" s="2">
        <v>1</v>
      </c>
      <c r="D324" s="2">
        <v>0</v>
      </c>
      <c r="E324" s="2">
        <v>1</v>
      </c>
      <c r="F324" s="2">
        <v>1</v>
      </c>
      <c r="G324" s="2">
        <v>3</v>
      </c>
      <c r="H324" s="2">
        <v>2</v>
      </c>
      <c r="I324" s="2">
        <v>7</v>
      </c>
      <c r="J324" s="2">
        <v>16</v>
      </c>
      <c r="K324" s="2">
        <v>6</v>
      </c>
      <c r="L324" s="2">
        <v>16</v>
      </c>
      <c r="M324" s="2">
        <v>16</v>
      </c>
      <c r="N324" s="2">
        <v>17</v>
      </c>
      <c r="O324" s="2">
        <v>1</v>
      </c>
      <c r="P324" s="2">
        <v>16</v>
      </c>
      <c r="Q324" s="2">
        <v>13</v>
      </c>
      <c r="R324" s="2">
        <v>2</v>
      </c>
      <c r="S324" s="2">
        <v>6</v>
      </c>
      <c r="T324" s="2">
        <v>3</v>
      </c>
      <c r="U324" s="11">
        <v>0.30291084895868198</v>
      </c>
      <c r="V324" s="11">
        <v>0.96306412067744696</v>
      </c>
      <c r="W324" s="11">
        <v>0.40019941545306398</v>
      </c>
      <c r="X324" s="11">
        <v>1.5119217591532299</v>
      </c>
      <c r="Y324" s="11">
        <v>0.86017635993689201</v>
      </c>
      <c r="Z324" s="11">
        <v>2.7891817399184702</v>
      </c>
      <c r="AA324" s="11">
        <v>2.10812456572928</v>
      </c>
      <c r="AB324" s="11">
        <v>6.8122851858761404</v>
      </c>
      <c r="AC324" s="11">
        <v>12.716132691919301</v>
      </c>
      <c r="AD324" s="11">
        <v>10.0903943502126</v>
      </c>
      <c r="AE324" s="11">
        <v>12.800869572277501</v>
      </c>
      <c r="AF324" s="11">
        <v>14.391299792199</v>
      </c>
      <c r="AG324" s="11">
        <v>14.7006810530418</v>
      </c>
      <c r="AH324" s="11">
        <v>10.2594774150066</v>
      </c>
      <c r="AI324" s="11">
        <v>3.0170800957248498</v>
      </c>
      <c r="AJ324" s="11">
        <v>4.5679105394238499</v>
      </c>
      <c r="AK324" s="16">
        <v>2.2904852007145999</v>
      </c>
      <c r="AL324" s="16">
        <v>5.2415899408534097</v>
      </c>
      <c r="AM324" s="26">
        <v>2.5313489848940899E-6</v>
      </c>
      <c r="AN324" s="27">
        <v>1.0786448859198401E-5</v>
      </c>
      <c r="AO324" s="11">
        <v>1.9684829994629001</v>
      </c>
      <c r="AP324" s="11">
        <v>10.317980688725701</v>
      </c>
      <c r="AQ324" t="s">
        <v>5874</v>
      </c>
      <c r="AR324" t="s">
        <v>5876</v>
      </c>
      <c r="AS324" t="s">
        <v>5718</v>
      </c>
    </row>
    <row r="325" spans="1:45">
      <c r="A325" t="s">
        <v>774</v>
      </c>
      <c r="B325" s="2">
        <v>5</v>
      </c>
      <c r="C325" s="2">
        <v>22</v>
      </c>
      <c r="D325" s="2">
        <v>26</v>
      </c>
      <c r="E325" s="2">
        <v>20</v>
      </c>
      <c r="F325" s="2">
        <v>13</v>
      </c>
      <c r="G325" s="2">
        <v>6</v>
      </c>
      <c r="H325" s="2">
        <v>8</v>
      </c>
      <c r="I325" s="2">
        <v>2</v>
      </c>
      <c r="J325" s="2">
        <v>3</v>
      </c>
      <c r="K325" s="2">
        <v>0</v>
      </c>
      <c r="L325" s="2">
        <v>3</v>
      </c>
      <c r="M325" s="2">
        <v>4</v>
      </c>
      <c r="N325" s="2">
        <v>2</v>
      </c>
      <c r="O325" s="2">
        <v>0</v>
      </c>
      <c r="P325" s="2">
        <v>2</v>
      </c>
      <c r="Q325" s="2">
        <v>3</v>
      </c>
      <c r="R325" s="2">
        <v>1</v>
      </c>
      <c r="S325" s="2">
        <v>3</v>
      </c>
      <c r="T325" s="2">
        <v>3</v>
      </c>
      <c r="U325" s="11">
        <v>6.0582169791736504</v>
      </c>
      <c r="V325" s="11">
        <v>21.1874106549038</v>
      </c>
      <c r="W325" s="11">
        <v>41.620739207118703</v>
      </c>
      <c r="X325" s="11">
        <v>30.238435183064599</v>
      </c>
      <c r="Y325" s="11">
        <v>11.1822926791796</v>
      </c>
      <c r="Z325" s="11">
        <v>5.5783634798369501</v>
      </c>
      <c r="AA325" s="11">
        <v>8.4324982629171306</v>
      </c>
      <c r="AB325" s="11">
        <v>1.9463671959646101</v>
      </c>
      <c r="AC325" s="11">
        <v>2.3842748797348698</v>
      </c>
      <c r="AD325" s="11">
        <v>1.89194894066486</v>
      </c>
      <c r="AE325" s="11">
        <v>3.2002173930693698</v>
      </c>
      <c r="AF325" s="11">
        <v>1.6930940931998799</v>
      </c>
      <c r="AG325" s="11">
        <v>1.8375851316302301</v>
      </c>
      <c r="AH325" s="11">
        <v>2.36757171115537</v>
      </c>
      <c r="AI325" s="11">
        <v>1.50854004786242</v>
      </c>
      <c r="AJ325" s="11">
        <v>4.5679105394238499</v>
      </c>
      <c r="AK325" s="16">
        <v>-2.6328707395378999</v>
      </c>
      <c r="AL325" s="16">
        <v>-6.4903294038194899</v>
      </c>
      <c r="AM325" s="26">
        <v>6.7864244054500001E-6</v>
      </c>
      <c r="AN325" s="27">
        <v>2.64703884671654E-5</v>
      </c>
      <c r="AO325" s="11">
        <v>15.7805404552699</v>
      </c>
      <c r="AP325" s="11">
        <v>2.4313928420926101</v>
      </c>
      <c r="AQ325" t="s">
        <v>5875</v>
      </c>
      <c r="AR325" t="s">
        <v>5876</v>
      </c>
      <c r="AS325" t="s">
        <v>774</v>
      </c>
    </row>
    <row r="326" spans="1:45">
      <c r="A326" t="s">
        <v>3415</v>
      </c>
      <c r="B326" s="2">
        <v>6</v>
      </c>
      <c r="C326" s="2">
        <v>7</v>
      </c>
      <c r="D326" s="2">
        <v>6</v>
      </c>
      <c r="E326" s="2">
        <v>6</v>
      </c>
      <c r="F326" s="2">
        <v>1</v>
      </c>
      <c r="G326" s="2">
        <v>3</v>
      </c>
      <c r="H326" s="2">
        <v>2</v>
      </c>
      <c r="I326" s="2">
        <v>3</v>
      </c>
      <c r="J326" s="2">
        <v>6</v>
      </c>
      <c r="K326" s="2">
        <v>1</v>
      </c>
      <c r="L326" s="2">
        <v>15</v>
      </c>
      <c r="M326" s="2">
        <v>11</v>
      </c>
      <c r="N326" s="2">
        <v>4</v>
      </c>
      <c r="O326" s="2">
        <v>1</v>
      </c>
      <c r="P326" s="2">
        <v>6</v>
      </c>
      <c r="Q326" s="2">
        <v>4</v>
      </c>
      <c r="R326" s="2">
        <v>30</v>
      </c>
      <c r="S326" s="2">
        <v>1</v>
      </c>
      <c r="T326" s="2">
        <v>13</v>
      </c>
      <c r="U326" s="11">
        <v>7.2698603750083803</v>
      </c>
      <c r="V326" s="11">
        <v>6.7414488447421297</v>
      </c>
      <c r="W326" s="11">
        <v>9.6047859708735501</v>
      </c>
      <c r="X326" s="11">
        <v>9.0715305549193808</v>
      </c>
      <c r="Y326" s="11">
        <v>0.86017635993689201</v>
      </c>
      <c r="Z326" s="11">
        <v>2.7891817399184702</v>
      </c>
      <c r="AA326" s="11">
        <v>2.10812456572928</v>
      </c>
      <c r="AB326" s="11">
        <v>2.9195507939469199</v>
      </c>
      <c r="AC326" s="11">
        <v>4.7685497594697397</v>
      </c>
      <c r="AD326" s="11">
        <v>9.4597447033242794</v>
      </c>
      <c r="AE326" s="11">
        <v>8.8005978309407702</v>
      </c>
      <c r="AF326" s="11">
        <v>3.3861881863997598</v>
      </c>
      <c r="AG326" s="11">
        <v>5.5127553948906796</v>
      </c>
      <c r="AH326" s="11">
        <v>3.1567622815404999</v>
      </c>
      <c r="AI326" s="11">
        <v>45.256201435872697</v>
      </c>
      <c r="AJ326" s="11">
        <v>19.794279004170001</v>
      </c>
      <c r="AK326" s="16">
        <v>1.2527954743977101</v>
      </c>
      <c r="AL326" s="16">
        <v>2.42078819264932</v>
      </c>
      <c r="AM326" s="26">
        <v>4.1743871336830198E-2</v>
      </c>
      <c r="AN326" s="27">
        <v>6.6020448993710207E-2</v>
      </c>
      <c r="AO326" s="11">
        <v>5.1705824006343697</v>
      </c>
      <c r="AP326" s="11">
        <v>12.516884824576101</v>
      </c>
      <c r="AQ326" t="s">
        <v>5874</v>
      </c>
      <c r="AR326" t="s">
        <v>5877</v>
      </c>
      <c r="AS326" t="s">
        <v>3415</v>
      </c>
    </row>
    <row r="327" spans="1:45">
      <c r="A327" t="s">
        <v>4217</v>
      </c>
      <c r="B327" s="2">
        <v>5</v>
      </c>
      <c r="C327" s="2">
        <v>5</v>
      </c>
      <c r="D327" s="2">
        <v>6</v>
      </c>
      <c r="E327" s="2">
        <v>1</v>
      </c>
      <c r="F327" s="2">
        <v>3</v>
      </c>
      <c r="G327" s="2">
        <v>5</v>
      </c>
      <c r="H327" s="2">
        <v>4</v>
      </c>
      <c r="I327" s="2">
        <v>4</v>
      </c>
      <c r="J327" s="2">
        <v>7</v>
      </c>
      <c r="K327" s="2">
        <v>5</v>
      </c>
      <c r="L327" s="2">
        <v>13</v>
      </c>
      <c r="M327" s="2">
        <v>9</v>
      </c>
      <c r="N327" s="2">
        <v>10</v>
      </c>
      <c r="O327" s="2">
        <v>2</v>
      </c>
      <c r="P327" s="2">
        <v>6</v>
      </c>
      <c r="Q327" s="2">
        <v>14</v>
      </c>
      <c r="R327" s="2">
        <v>6</v>
      </c>
      <c r="S327" s="2">
        <v>3</v>
      </c>
      <c r="T327" s="2">
        <v>18</v>
      </c>
      <c r="U327" s="11">
        <v>6.0582169791736504</v>
      </c>
      <c r="V327" s="11">
        <v>4.8153206033872298</v>
      </c>
      <c r="W327" s="11">
        <v>9.6047859708735501</v>
      </c>
      <c r="X327" s="11">
        <v>1.5119217591532299</v>
      </c>
      <c r="Y327" s="11">
        <v>2.5805290798106801</v>
      </c>
      <c r="Z327" s="11">
        <v>4.6486362331974602</v>
      </c>
      <c r="AA327" s="11">
        <v>4.21624913145856</v>
      </c>
      <c r="AB327" s="11">
        <v>3.8927343919292201</v>
      </c>
      <c r="AC327" s="11">
        <v>5.5633080527147003</v>
      </c>
      <c r="AD327" s="11">
        <v>8.1984454095477108</v>
      </c>
      <c r="AE327" s="11">
        <v>7.2004891344060802</v>
      </c>
      <c r="AF327" s="11">
        <v>8.4654704659994096</v>
      </c>
      <c r="AG327" s="11">
        <v>5.5127553948906796</v>
      </c>
      <c r="AH327" s="11">
        <v>11.048667985391701</v>
      </c>
      <c r="AI327" s="11">
        <v>9.0512402871745401</v>
      </c>
      <c r="AJ327" s="11">
        <v>27.407463236543101</v>
      </c>
      <c r="AK327" s="16">
        <v>1.0965252893711499</v>
      </c>
      <c r="AL327" s="16">
        <v>2.2087164970881301</v>
      </c>
      <c r="AM327" s="26">
        <v>1.34255711622016E-2</v>
      </c>
      <c r="AN327" s="27">
        <v>2.38875189029597E-2</v>
      </c>
      <c r="AO327" s="11">
        <v>4.6660492686229498</v>
      </c>
      <c r="AP327" s="11">
        <v>10.3059799958335</v>
      </c>
      <c r="AQ327" t="s">
        <v>5874</v>
      </c>
      <c r="AR327" t="s">
        <v>5878</v>
      </c>
      <c r="AS327" t="s">
        <v>4217</v>
      </c>
    </row>
    <row r="328" spans="1:45">
      <c r="A328" t="s">
        <v>5592</v>
      </c>
      <c r="B328" s="2">
        <v>7</v>
      </c>
      <c r="C328" s="2">
        <v>12</v>
      </c>
      <c r="D328" s="2">
        <v>12</v>
      </c>
      <c r="E328" s="2">
        <v>8</v>
      </c>
      <c r="F328" s="2">
        <v>16</v>
      </c>
      <c r="G328" s="2">
        <v>18</v>
      </c>
      <c r="H328" s="2">
        <v>6</v>
      </c>
      <c r="I328" s="2">
        <v>8</v>
      </c>
      <c r="J328" s="2">
        <v>3</v>
      </c>
      <c r="K328" s="2">
        <v>0</v>
      </c>
      <c r="L328" s="2">
        <v>6</v>
      </c>
      <c r="M328" s="2">
        <v>7</v>
      </c>
      <c r="N328" s="2">
        <v>4</v>
      </c>
      <c r="O328" s="2">
        <v>0</v>
      </c>
      <c r="P328" s="2">
        <v>1</v>
      </c>
      <c r="Q328" s="2">
        <v>3</v>
      </c>
      <c r="R328" s="2">
        <v>10</v>
      </c>
      <c r="S328" s="2">
        <v>2</v>
      </c>
      <c r="T328" s="2">
        <v>3</v>
      </c>
      <c r="U328" s="11">
        <v>8.4815037708430996</v>
      </c>
      <c r="V328" s="11">
        <v>11.556769448129399</v>
      </c>
      <c r="W328" s="11">
        <v>19.2095719417471</v>
      </c>
      <c r="X328" s="11">
        <v>12.0953740732258</v>
      </c>
      <c r="Y328" s="11">
        <v>13.762821758990301</v>
      </c>
      <c r="Z328" s="11">
        <v>16.735090439510799</v>
      </c>
      <c r="AA328" s="11">
        <v>6.3243736971878404</v>
      </c>
      <c r="AB328" s="11">
        <v>7.78546878385845</v>
      </c>
      <c r="AC328" s="11">
        <v>2.3842748797348698</v>
      </c>
      <c r="AD328" s="11">
        <v>3.7838978813297102</v>
      </c>
      <c r="AE328" s="11">
        <v>5.6003804378713999</v>
      </c>
      <c r="AF328" s="11">
        <v>3.3861881863997598</v>
      </c>
      <c r="AG328" s="11">
        <v>0.91879256581511404</v>
      </c>
      <c r="AH328" s="11">
        <v>2.36757171115537</v>
      </c>
      <c r="AI328" s="11">
        <v>15.0854004786242</v>
      </c>
      <c r="AJ328" s="11">
        <v>4.5679105394238499</v>
      </c>
      <c r="AK328" s="16">
        <v>-1.4143064292913801</v>
      </c>
      <c r="AL328" s="16">
        <v>-2.5187673752457198</v>
      </c>
      <c r="AM328" s="26">
        <v>2.0475182047221601E-3</v>
      </c>
      <c r="AN328" s="27">
        <v>4.32110308819913E-3</v>
      </c>
      <c r="AO328" s="11">
        <v>11.9938717391866</v>
      </c>
      <c r="AP328" s="11">
        <v>4.7618020850442901</v>
      </c>
      <c r="AQ328" t="s">
        <v>5875</v>
      </c>
      <c r="AR328" t="s">
        <v>5876</v>
      </c>
      <c r="AS328" t="s">
        <v>5592</v>
      </c>
    </row>
    <row r="329" spans="1:45">
      <c r="A329" t="s">
        <v>2690</v>
      </c>
      <c r="B329" s="2">
        <v>1.0229999999999999</v>
      </c>
      <c r="C329" s="2">
        <v>7</v>
      </c>
      <c r="D329" s="2">
        <v>0</v>
      </c>
      <c r="E329" s="2">
        <v>0</v>
      </c>
      <c r="F329" s="2">
        <v>0</v>
      </c>
      <c r="G329" s="2">
        <v>2</v>
      </c>
      <c r="H329" s="2">
        <v>0</v>
      </c>
      <c r="I329" s="2">
        <v>0</v>
      </c>
      <c r="J329" s="2">
        <v>4</v>
      </c>
      <c r="K329" s="2">
        <v>26.175999999999998</v>
      </c>
      <c r="L329" s="2">
        <v>0</v>
      </c>
      <c r="M329" s="2">
        <v>5</v>
      </c>
      <c r="N329" s="2">
        <v>10</v>
      </c>
      <c r="O329" s="2">
        <v>27</v>
      </c>
      <c r="P329" s="2">
        <v>0</v>
      </c>
      <c r="Q329" s="2">
        <v>3</v>
      </c>
      <c r="R329" s="2">
        <v>14.192</v>
      </c>
      <c r="S329" s="2">
        <v>16.420999999999999</v>
      </c>
      <c r="T329" s="2">
        <v>10.167</v>
      </c>
      <c r="U329" s="11">
        <v>1.2116433958347299</v>
      </c>
      <c r="V329" s="11">
        <v>6.7414488447421297</v>
      </c>
      <c r="W329" s="11">
        <v>0.40019941545306398</v>
      </c>
      <c r="X329" s="11">
        <v>0.37798043978830698</v>
      </c>
      <c r="Y329" s="11">
        <v>0.215044089984223</v>
      </c>
      <c r="Z329" s="11">
        <v>1.85945449327898</v>
      </c>
      <c r="AA329" s="11">
        <v>0.26351557071616</v>
      </c>
      <c r="AB329" s="11">
        <v>0.24329589949557701</v>
      </c>
      <c r="AC329" s="11">
        <v>3.17903317297983</v>
      </c>
      <c r="AD329" s="11">
        <v>0.15766241172207099</v>
      </c>
      <c r="AE329" s="11">
        <v>4.0002717413367099</v>
      </c>
      <c r="AF329" s="11">
        <v>8.4654704659994096</v>
      </c>
      <c r="AG329" s="11">
        <v>0.22969814145377901</v>
      </c>
      <c r="AH329" s="11">
        <v>2.36757171115537</v>
      </c>
      <c r="AI329" s="11">
        <v>21.421268679646399</v>
      </c>
      <c r="AJ329" s="11">
        <v>15.5308958340411</v>
      </c>
      <c r="AK329" s="16">
        <v>2.0902874969226399</v>
      </c>
      <c r="AL329" s="16">
        <v>4.8929476425320901</v>
      </c>
      <c r="AM329" s="26">
        <v>1.2021220485131601E-2</v>
      </c>
      <c r="AN329" s="27">
        <v>2.1794570473043399E-2</v>
      </c>
      <c r="AO329" s="11">
        <v>1.4140727686616501</v>
      </c>
      <c r="AP329" s="11">
        <v>6.9189840197918304</v>
      </c>
      <c r="AQ329" t="s">
        <v>5874</v>
      </c>
      <c r="AR329" t="s">
        <v>5878</v>
      </c>
      <c r="AS329" t="s">
        <v>2690</v>
      </c>
    </row>
    <row r="330" spans="1:45">
      <c r="A330" t="s">
        <v>3780</v>
      </c>
      <c r="B330" s="2">
        <v>2</v>
      </c>
      <c r="C330" s="2">
        <v>2</v>
      </c>
      <c r="D330" s="2">
        <v>1</v>
      </c>
      <c r="E330" s="2">
        <v>1</v>
      </c>
      <c r="F330" s="2">
        <v>2</v>
      </c>
      <c r="G330" s="2">
        <v>2</v>
      </c>
      <c r="H330" s="2">
        <v>1</v>
      </c>
      <c r="I330" s="2">
        <v>12</v>
      </c>
      <c r="J330" s="2">
        <v>10</v>
      </c>
      <c r="K330" s="2">
        <v>3</v>
      </c>
      <c r="L330" s="2">
        <v>18</v>
      </c>
      <c r="M330" s="2">
        <v>11</v>
      </c>
      <c r="N330" s="2">
        <v>7</v>
      </c>
      <c r="O330" s="2">
        <v>3</v>
      </c>
      <c r="P330" s="2">
        <v>15</v>
      </c>
      <c r="Q330" s="2">
        <v>12</v>
      </c>
      <c r="R330" s="2">
        <v>7</v>
      </c>
      <c r="S330" s="2">
        <v>4</v>
      </c>
      <c r="T330" s="2">
        <v>12</v>
      </c>
      <c r="U330" s="11">
        <v>2.4232867916694598</v>
      </c>
      <c r="V330" s="11">
        <v>1.9261282413548899</v>
      </c>
      <c r="W330" s="11">
        <v>1.6007976618122599</v>
      </c>
      <c r="X330" s="11">
        <v>1.5119217591532299</v>
      </c>
      <c r="Y330" s="11">
        <v>1.72035271987378</v>
      </c>
      <c r="Z330" s="11">
        <v>1.85945449327898</v>
      </c>
      <c r="AA330" s="11">
        <v>1.05406228286464</v>
      </c>
      <c r="AB330" s="11">
        <v>11.678203175787701</v>
      </c>
      <c r="AC330" s="11">
        <v>7.9475829324495697</v>
      </c>
      <c r="AD330" s="11">
        <v>11.351693643989099</v>
      </c>
      <c r="AE330" s="11">
        <v>8.8005978309407702</v>
      </c>
      <c r="AF330" s="11">
        <v>5.9258293261995796</v>
      </c>
      <c r="AG330" s="11">
        <v>13.7818884872267</v>
      </c>
      <c r="AH330" s="11">
        <v>9.4702868446214996</v>
      </c>
      <c r="AI330" s="11">
        <v>10.559780335037001</v>
      </c>
      <c r="AJ330" s="11">
        <v>18.2716421576954</v>
      </c>
      <c r="AK330" s="16">
        <v>1.74269255774823</v>
      </c>
      <c r="AL330" s="16">
        <v>3.6219631259429601</v>
      </c>
      <c r="AM330" s="26">
        <v>1.3018899450847101E-4</v>
      </c>
      <c r="AN330" s="27">
        <v>3.5405055823645198E-4</v>
      </c>
      <c r="AO330" s="11">
        <v>2.9717758907243601</v>
      </c>
      <c r="AP330" s="11">
        <v>10.76366269477</v>
      </c>
      <c r="AQ330" t="s">
        <v>5874</v>
      </c>
      <c r="AR330" t="s">
        <v>5876</v>
      </c>
      <c r="AS330" t="s">
        <v>3780</v>
      </c>
    </row>
    <row r="331" spans="1:45">
      <c r="A331" t="s">
        <v>5336</v>
      </c>
      <c r="B331" s="2">
        <v>9</v>
      </c>
      <c r="C331" s="2">
        <v>11</v>
      </c>
      <c r="D331" s="2">
        <v>8</v>
      </c>
      <c r="E331" s="2">
        <v>5</v>
      </c>
      <c r="F331" s="2">
        <v>8</v>
      </c>
      <c r="G331" s="2">
        <v>3</v>
      </c>
      <c r="H331" s="2">
        <v>5</v>
      </c>
      <c r="I331" s="2">
        <v>1</v>
      </c>
      <c r="J331" s="2">
        <v>12</v>
      </c>
      <c r="K331" s="2">
        <v>1</v>
      </c>
      <c r="L331" s="2">
        <v>14</v>
      </c>
      <c r="M331" s="2">
        <v>10</v>
      </c>
      <c r="N331" s="2">
        <v>9</v>
      </c>
      <c r="O331" s="2">
        <v>1</v>
      </c>
      <c r="P331" s="2">
        <v>4</v>
      </c>
      <c r="Q331" s="2">
        <v>15</v>
      </c>
      <c r="R331" s="2">
        <v>2</v>
      </c>
      <c r="S331" s="2">
        <v>0</v>
      </c>
      <c r="T331" s="2">
        <v>7</v>
      </c>
      <c r="U331" s="11">
        <v>10.9047905625126</v>
      </c>
      <c r="V331" s="11">
        <v>10.5937053274519</v>
      </c>
      <c r="W331" s="11">
        <v>12.806381294498101</v>
      </c>
      <c r="X331" s="11">
        <v>7.5596087957661497</v>
      </c>
      <c r="Y331" s="11">
        <v>6.8814108794951396</v>
      </c>
      <c r="Z331" s="11">
        <v>2.7891817399184702</v>
      </c>
      <c r="AA331" s="11">
        <v>5.2703114143232002</v>
      </c>
      <c r="AB331" s="11">
        <v>0.97318359798230603</v>
      </c>
      <c r="AC331" s="11">
        <v>9.53709951893949</v>
      </c>
      <c r="AD331" s="11">
        <v>8.8290950564359996</v>
      </c>
      <c r="AE331" s="11">
        <v>8.0005434826734305</v>
      </c>
      <c r="AF331" s="11">
        <v>7.6189234193994704</v>
      </c>
      <c r="AG331" s="11">
        <v>3.6751702632604601</v>
      </c>
      <c r="AH331" s="11">
        <v>11.837858555776901</v>
      </c>
      <c r="AI331" s="11">
        <v>3.0170800957248498</v>
      </c>
      <c r="AJ331" s="11">
        <v>10.658457925322301</v>
      </c>
      <c r="AK331" s="16">
        <v>0.18800612677783601</v>
      </c>
      <c r="AL331" s="16">
        <v>1.09338504515226</v>
      </c>
      <c r="AM331" s="26">
        <v>0.723879855049678</v>
      </c>
      <c r="AN331" s="27">
        <v>0.79000917296612505</v>
      </c>
      <c r="AO331" s="11">
        <v>7.2223217014934802</v>
      </c>
      <c r="AP331" s="11">
        <v>7.8967785396916099</v>
      </c>
      <c r="AQ331" t="s">
        <v>5874</v>
      </c>
      <c r="AR331" t="s">
        <v>5832</v>
      </c>
      <c r="AS331" t="s">
        <v>5336</v>
      </c>
    </row>
    <row r="332" spans="1:45">
      <c r="A332" t="s">
        <v>5389</v>
      </c>
      <c r="B332" s="2">
        <v>2</v>
      </c>
      <c r="C332" s="2">
        <v>11</v>
      </c>
      <c r="D332" s="2">
        <v>0</v>
      </c>
      <c r="E332" s="2">
        <v>6</v>
      </c>
      <c r="F332" s="2">
        <v>32</v>
      </c>
      <c r="G332" s="2">
        <v>27</v>
      </c>
      <c r="H332" s="2">
        <v>14</v>
      </c>
      <c r="I332" s="2">
        <v>13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19</v>
      </c>
      <c r="S332" s="2">
        <v>0</v>
      </c>
      <c r="T332" s="2">
        <v>0</v>
      </c>
      <c r="U332" s="11">
        <v>2.4232867916694598</v>
      </c>
      <c r="V332" s="11">
        <v>10.5937053274519</v>
      </c>
      <c r="W332" s="11">
        <v>0.40019941545306398</v>
      </c>
      <c r="X332" s="11">
        <v>9.0715305549193808</v>
      </c>
      <c r="Y332" s="11">
        <v>27.525643517980502</v>
      </c>
      <c r="Z332" s="11">
        <v>25.102635659266301</v>
      </c>
      <c r="AA332" s="11">
        <v>14.756871960105</v>
      </c>
      <c r="AB332" s="11">
        <v>12.65138677377</v>
      </c>
      <c r="AC332" s="11">
        <v>0.19868957331123899</v>
      </c>
      <c r="AD332" s="11">
        <v>0.15766241172207099</v>
      </c>
      <c r="AE332" s="11">
        <v>0.200013587066836</v>
      </c>
      <c r="AF332" s="11">
        <v>0.21163676164998499</v>
      </c>
      <c r="AG332" s="11">
        <v>0.22969814145377901</v>
      </c>
      <c r="AH332" s="11">
        <v>0.78919057038512497</v>
      </c>
      <c r="AI332" s="11">
        <v>28.662260909385999</v>
      </c>
      <c r="AJ332" s="11">
        <v>0.38065921161865401</v>
      </c>
      <c r="AK332" s="16">
        <v>-1.81795956793219</v>
      </c>
      <c r="AL332" s="16">
        <v>-3.3255234502282298</v>
      </c>
      <c r="AM332" s="26">
        <v>7.3599429370706307E-2</v>
      </c>
      <c r="AN332" s="27">
        <v>0.108933668692483</v>
      </c>
      <c r="AO332" s="11">
        <v>12.815657500076901</v>
      </c>
      <c r="AP332" s="11">
        <v>3.8537263958242201</v>
      </c>
      <c r="AQ332" t="s">
        <v>5875</v>
      </c>
      <c r="AR332" t="s">
        <v>5832</v>
      </c>
      <c r="AS332" t="s">
        <v>5389</v>
      </c>
    </row>
    <row r="333" spans="1:45">
      <c r="A333" t="s">
        <v>5667</v>
      </c>
      <c r="B333" s="2">
        <v>0.308</v>
      </c>
      <c r="C333" s="2">
        <v>1.165</v>
      </c>
      <c r="D333" s="2">
        <v>0</v>
      </c>
      <c r="E333" s="2">
        <v>0.61499999999999999</v>
      </c>
      <c r="F333" s="2">
        <v>1.9390000000000001</v>
      </c>
      <c r="G333" s="2">
        <v>1.165</v>
      </c>
      <c r="H333" s="2">
        <v>0</v>
      </c>
      <c r="I333" s="2">
        <v>3.9390000000000001</v>
      </c>
      <c r="J333" s="2">
        <v>33.564999999999998</v>
      </c>
      <c r="K333" s="2">
        <v>4.17</v>
      </c>
      <c r="L333" s="2">
        <v>13.257</v>
      </c>
      <c r="M333" s="2">
        <v>10.042</v>
      </c>
      <c r="N333" s="2">
        <v>14.823</v>
      </c>
      <c r="O333" s="2">
        <v>3.6309999999999998</v>
      </c>
      <c r="P333" s="2">
        <v>15.278</v>
      </c>
      <c r="Q333" s="2">
        <v>12.448</v>
      </c>
      <c r="R333" s="2">
        <v>1.631</v>
      </c>
      <c r="S333" s="2">
        <v>2.9390000000000001</v>
      </c>
      <c r="T333" s="2">
        <v>3.7130000000000001</v>
      </c>
      <c r="U333" s="11">
        <v>0.36349301875041901</v>
      </c>
      <c r="V333" s="11">
        <v>1.15567694481294</v>
      </c>
      <c r="W333" s="11">
        <v>0.40019941545306398</v>
      </c>
      <c r="X333" s="11">
        <v>0.90715305549193803</v>
      </c>
      <c r="Y333" s="11">
        <v>1.6343350838800901</v>
      </c>
      <c r="Z333" s="11">
        <v>1.1156726959673899</v>
      </c>
      <c r="AA333" s="11">
        <v>0.26351557071616</v>
      </c>
      <c r="AB333" s="11">
        <v>3.7954160321309902</v>
      </c>
      <c r="AC333" s="11">
        <v>26.7038786530306</v>
      </c>
      <c r="AD333" s="11">
        <v>8.3876403036141998</v>
      </c>
      <c r="AE333" s="11">
        <v>8.0005434826734305</v>
      </c>
      <c r="AF333" s="11">
        <v>12.5288962896791</v>
      </c>
      <c r="AG333" s="11">
        <v>14.057526256971199</v>
      </c>
      <c r="AH333" s="11">
        <v>9.7859630727755498</v>
      </c>
      <c r="AI333" s="11">
        <v>2.41366407657988</v>
      </c>
      <c r="AJ333" s="11">
        <v>5.6337563319560804</v>
      </c>
      <c r="AK333" s="16">
        <v>3.0117286390961699</v>
      </c>
      <c r="AL333" s="16">
        <v>9.0822702769718706</v>
      </c>
      <c r="AM333" s="26">
        <v>8.3804719650327599E-8</v>
      </c>
      <c r="AN333" s="27">
        <v>5.8401414006322104E-7</v>
      </c>
      <c r="AO333" s="11">
        <v>1.2044327271503701</v>
      </c>
      <c r="AP333" s="11">
        <v>10.938983558409999</v>
      </c>
      <c r="AQ333" t="s">
        <v>5874</v>
      </c>
      <c r="AR333" t="s">
        <v>5876</v>
      </c>
      <c r="AS333" t="s">
        <v>5667</v>
      </c>
    </row>
    <row r="334" spans="1:45">
      <c r="A334" t="s">
        <v>5714</v>
      </c>
      <c r="B334" s="2">
        <v>1.96</v>
      </c>
      <c r="C334" s="2">
        <v>9.6950000000000003</v>
      </c>
      <c r="D334" s="2">
        <v>1.5449999999999999</v>
      </c>
      <c r="E334" s="2">
        <v>1.482</v>
      </c>
      <c r="F334" s="2">
        <v>6.7240000000000002</v>
      </c>
      <c r="G334" s="2">
        <v>2.0819999999999999</v>
      </c>
      <c r="H334" s="2">
        <v>3.56</v>
      </c>
      <c r="I334" s="2">
        <v>4.9710000000000001</v>
      </c>
      <c r="J334" s="2">
        <v>20.928999999999998</v>
      </c>
      <c r="K334" s="2">
        <v>0.6</v>
      </c>
      <c r="L334" s="2">
        <v>26.728999999999999</v>
      </c>
      <c r="M334" s="2">
        <v>21.036000000000001</v>
      </c>
      <c r="N334" s="2">
        <v>7.8369999999999997</v>
      </c>
      <c r="O334" s="2">
        <v>1.4570000000000001</v>
      </c>
      <c r="P334" s="2">
        <v>3.0030000000000001</v>
      </c>
      <c r="Q334" s="2">
        <v>5.22</v>
      </c>
      <c r="R334" s="2">
        <v>3.274</v>
      </c>
      <c r="S334" s="2">
        <v>0</v>
      </c>
      <c r="T334" s="2">
        <v>1.714</v>
      </c>
      <c r="U334" s="11">
        <v>2.4232867916694598</v>
      </c>
      <c r="V334" s="11">
        <v>9.3417219705712302</v>
      </c>
      <c r="W334" s="11">
        <v>2.4011964927183902</v>
      </c>
      <c r="X334" s="11">
        <v>2.2678826387298399</v>
      </c>
      <c r="Y334" s="11">
        <v>5.7631816115771803</v>
      </c>
      <c r="Z334" s="11">
        <v>1.9524272179429301</v>
      </c>
      <c r="AA334" s="11">
        <v>3.7946242183127099</v>
      </c>
      <c r="AB334" s="11">
        <v>4.8659179899115301</v>
      </c>
      <c r="AC334" s="11">
        <v>16.610448328819601</v>
      </c>
      <c r="AD334" s="11">
        <v>16.838345571917198</v>
      </c>
      <c r="AE334" s="11">
        <v>16.801141313614199</v>
      </c>
      <c r="AF334" s="11">
        <v>6.6030669634795398</v>
      </c>
      <c r="AG334" s="11">
        <v>2.7563776974453398</v>
      </c>
      <c r="AH334" s="11">
        <v>4.1037909660026504</v>
      </c>
      <c r="AI334" s="11">
        <v>4.9781821579459899</v>
      </c>
      <c r="AJ334" s="11">
        <v>2.5884826390068501</v>
      </c>
      <c r="AK334" s="16">
        <v>1.1008218788550801</v>
      </c>
      <c r="AL334" s="16">
        <v>2.1724875514375799</v>
      </c>
      <c r="AM334" s="26">
        <v>3.0726715133034401E-2</v>
      </c>
      <c r="AN334" s="27">
        <v>5.0015018063260301E-2</v>
      </c>
      <c r="AO334" s="11">
        <v>4.1012798664291603</v>
      </c>
      <c r="AP334" s="11">
        <v>8.9099794547789308</v>
      </c>
      <c r="AQ334" t="s">
        <v>5874</v>
      </c>
      <c r="AR334" t="s">
        <v>5877</v>
      </c>
      <c r="AS334" t="s">
        <v>5714</v>
      </c>
    </row>
    <row r="335" spans="1:45">
      <c r="A335" t="s">
        <v>4692</v>
      </c>
      <c r="B335" s="2">
        <v>2</v>
      </c>
      <c r="C335" s="2">
        <v>0</v>
      </c>
      <c r="D335" s="2">
        <v>0.33300000000000002</v>
      </c>
      <c r="E335" s="2">
        <v>0</v>
      </c>
      <c r="F335" s="2">
        <v>0</v>
      </c>
      <c r="G335" s="2">
        <v>0</v>
      </c>
      <c r="H335" s="2">
        <v>0.16700000000000001</v>
      </c>
      <c r="I335" s="2">
        <v>0</v>
      </c>
      <c r="J335" s="2">
        <v>61.442999999999998</v>
      </c>
      <c r="K335" s="2">
        <v>47.793999999999997</v>
      </c>
      <c r="L335" s="2">
        <v>5</v>
      </c>
      <c r="M335" s="2">
        <v>0.5</v>
      </c>
      <c r="N335" s="2">
        <v>0.33300000000000002</v>
      </c>
      <c r="O335" s="2">
        <v>0.66700000000000004</v>
      </c>
      <c r="P335" s="2">
        <v>0.66700000000000004</v>
      </c>
      <c r="Q335" s="2">
        <v>1.083</v>
      </c>
      <c r="R335" s="2">
        <v>1.5</v>
      </c>
      <c r="S335" s="2">
        <v>0</v>
      </c>
      <c r="T335" s="2">
        <v>1</v>
      </c>
      <c r="U335" s="11">
        <v>2.4232867916694598</v>
      </c>
      <c r="V335" s="11">
        <v>0.24076603016936199</v>
      </c>
      <c r="W335" s="11">
        <v>0.48023929854367697</v>
      </c>
      <c r="X335" s="11">
        <v>0.37798043978830698</v>
      </c>
      <c r="Y335" s="11">
        <v>0.215044089984223</v>
      </c>
      <c r="Z335" s="11">
        <v>0.23243181165987301</v>
      </c>
      <c r="AA335" s="11">
        <v>0.21081245657292799</v>
      </c>
      <c r="AB335" s="11">
        <v>0.24329589949557701</v>
      </c>
      <c r="AC335" s="11">
        <v>48.798159205240403</v>
      </c>
      <c r="AD335" s="11">
        <v>3.1532482344414299</v>
      </c>
      <c r="AE335" s="11">
        <v>0.400027174133671</v>
      </c>
      <c r="AF335" s="11">
        <v>0.25396411397998198</v>
      </c>
      <c r="AG335" s="11">
        <v>0.64315479607058001</v>
      </c>
      <c r="AH335" s="11">
        <v>0.86810962742363795</v>
      </c>
      <c r="AI335" s="11">
        <v>2.2628100717936301</v>
      </c>
      <c r="AJ335" s="11">
        <v>1.5226368464746201</v>
      </c>
      <c r="AK335" s="16">
        <v>3.5079866536669102</v>
      </c>
      <c r="AL335" s="16">
        <v>13.088604006234799</v>
      </c>
      <c r="AM335" s="26">
        <v>3.0727223608499801E-3</v>
      </c>
      <c r="AN335" s="27">
        <v>6.26722944941657E-3</v>
      </c>
      <c r="AO335" s="11">
        <v>0.55298210223542599</v>
      </c>
      <c r="AP335" s="11">
        <v>7.2377637586947401</v>
      </c>
      <c r="AQ335" t="s">
        <v>5874</v>
      </c>
      <c r="AR335" t="s">
        <v>5876</v>
      </c>
      <c r="AS335" t="s">
        <v>4692</v>
      </c>
    </row>
    <row r="336" spans="1:45">
      <c r="A336" t="s">
        <v>2621</v>
      </c>
      <c r="B336" s="2">
        <v>9</v>
      </c>
      <c r="C336" s="2">
        <v>5</v>
      </c>
      <c r="D336" s="2">
        <v>5</v>
      </c>
      <c r="E336" s="2">
        <v>3</v>
      </c>
      <c r="F336" s="2">
        <v>0</v>
      </c>
      <c r="G336" s="2">
        <v>5</v>
      </c>
      <c r="H336" s="2">
        <v>8</v>
      </c>
      <c r="I336" s="2">
        <v>11</v>
      </c>
      <c r="J336" s="2">
        <v>8</v>
      </c>
      <c r="K336" s="2">
        <v>3</v>
      </c>
      <c r="L336" s="2">
        <v>12</v>
      </c>
      <c r="M336" s="2">
        <v>7</v>
      </c>
      <c r="N336" s="2">
        <v>6</v>
      </c>
      <c r="O336" s="2">
        <v>7</v>
      </c>
      <c r="P336" s="2">
        <v>7</v>
      </c>
      <c r="Q336" s="2">
        <v>6</v>
      </c>
      <c r="R336" s="2">
        <v>5</v>
      </c>
      <c r="S336" s="2">
        <v>2</v>
      </c>
      <c r="T336" s="2">
        <v>12</v>
      </c>
      <c r="U336" s="11">
        <v>10.9047905625126</v>
      </c>
      <c r="V336" s="11">
        <v>4.8153206033872298</v>
      </c>
      <c r="W336" s="11">
        <v>8.00398830906129</v>
      </c>
      <c r="X336" s="11">
        <v>4.5357652774596904</v>
      </c>
      <c r="Y336" s="11">
        <v>0.215044089984223</v>
      </c>
      <c r="Z336" s="11">
        <v>4.6486362331974602</v>
      </c>
      <c r="AA336" s="11">
        <v>8.4324982629171306</v>
      </c>
      <c r="AB336" s="11">
        <v>10.7050195778054</v>
      </c>
      <c r="AC336" s="11">
        <v>6.35806634595966</v>
      </c>
      <c r="AD336" s="11">
        <v>7.5677957626594301</v>
      </c>
      <c r="AE336" s="11">
        <v>5.6003804378713999</v>
      </c>
      <c r="AF336" s="11">
        <v>5.0792822795996404</v>
      </c>
      <c r="AG336" s="11">
        <v>6.4315479607058004</v>
      </c>
      <c r="AH336" s="11">
        <v>4.7351434223107498</v>
      </c>
      <c r="AI336" s="11">
        <v>7.5427002393121096</v>
      </c>
      <c r="AJ336" s="11">
        <v>18.2716421576954</v>
      </c>
      <c r="AK336" s="16">
        <v>0.196292649841211</v>
      </c>
      <c r="AL336" s="16">
        <v>1.17844060509677</v>
      </c>
      <c r="AM336" s="26">
        <v>0.66896047346974596</v>
      </c>
      <c r="AN336" s="27">
        <v>0.74095125289943697</v>
      </c>
      <c r="AO336" s="11">
        <v>6.53263286454062</v>
      </c>
      <c r="AP336" s="11">
        <v>7.69831982576427</v>
      </c>
      <c r="AQ336" t="s">
        <v>5874</v>
      </c>
      <c r="AR336" t="s">
        <v>5832</v>
      </c>
      <c r="AS336" t="s">
        <v>2621</v>
      </c>
    </row>
    <row r="337" spans="1:45">
      <c r="A337" t="s">
        <v>2443</v>
      </c>
      <c r="B337" s="2">
        <v>2.3639999999999999</v>
      </c>
      <c r="C337" s="2">
        <v>7.7149999999999999</v>
      </c>
      <c r="D337" s="2">
        <v>0.85399999999999998</v>
      </c>
      <c r="E337" s="2">
        <v>3.68</v>
      </c>
      <c r="F337" s="2">
        <v>10.819000000000001</v>
      </c>
      <c r="G337" s="2">
        <v>7.7149999999999999</v>
      </c>
      <c r="H337" s="2">
        <v>4.7699999999999996</v>
      </c>
      <c r="I337" s="2">
        <v>8.5960000000000001</v>
      </c>
      <c r="J337" s="2">
        <v>15.904999999999999</v>
      </c>
      <c r="K337" s="2">
        <v>3.6520000000000001</v>
      </c>
      <c r="L337" s="2">
        <v>13.156000000000001</v>
      </c>
      <c r="M337" s="2">
        <v>13.471</v>
      </c>
      <c r="N337" s="2">
        <v>8.5679999999999996</v>
      </c>
      <c r="O337" s="2">
        <v>3.6520000000000001</v>
      </c>
      <c r="P337" s="2">
        <v>4.8259999999999996</v>
      </c>
      <c r="Q337" s="2">
        <v>7.7149999999999999</v>
      </c>
      <c r="R337" s="2">
        <v>2.68</v>
      </c>
      <c r="S337" s="2">
        <v>0</v>
      </c>
      <c r="T337" s="2">
        <v>0</v>
      </c>
      <c r="U337" s="11">
        <v>2.9079441500033498</v>
      </c>
      <c r="V337" s="11">
        <v>7.4155937292163401</v>
      </c>
      <c r="W337" s="11">
        <v>1.44071789563103</v>
      </c>
      <c r="X337" s="11">
        <v>5.59411050886695</v>
      </c>
      <c r="Y337" s="11">
        <v>9.2899046873184297</v>
      </c>
      <c r="Z337" s="11">
        <v>7.1588997991240797</v>
      </c>
      <c r="AA337" s="11">
        <v>5.0594989577502796</v>
      </c>
      <c r="AB337" s="11">
        <v>8.3693789426478293</v>
      </c>
      <c r="AC337" s="11">
        <v>12.636656862594799</v>
      </c>
      <c r="AD337" s="11">
        <v>8.3245753389253707</v>
      </c>
      <c r="AE337" s="11">
        <v>10.800733701609101</v>
      </c>
      <c r="AF337" s="11">
        <v>7.2803046007594903</v>
      </c>
      <c r="AG337" s="11">
        <v>4.4102043159125497</v>
      </c>
      <c r="AH337" s="11">
        <v>6.0767673919654603</v>
      </c>
      <c r="AI337" s="11">
        <v>4.0730581292285404</v>
      </c>
      <c r="AJ337" s="11">
        <v>0.38065921161865401</v>
      </c>
      <c r="AK337" s="16">
        <v>0.20648175384603101</v>
      </c>
      <c r="AL337" s="16">
        <v>1.1428339387384201</v>
      </c>
      <c r="AM337" s="26">
        <v>0.689729706405807</v>
      </c>
      <c r="AN337" s="27">
        <v>0.75768337206155201</v>
      </c>
      <c r="AO337" s="11">
        <v>5.9045060838197898</v>
      </c>
      <c r="AP337" s="11">
        <v>6.7478699440767498</v>
      </c>
      <c r="AQ337" t="s">
        <v>5874</v>
      </c>
      <c r="AR337" t="s">
        <v>5832</v>
      </c>
      <c r="AS337" t="s">
        <v>2443</v>
      </c>
    </row>
    <row r="338" spans="1:45">
      <c r="A338" t="s">
        <v>686</v>
      </c>
      <c r="B338" s="2">
        <v>6</v>
      </c>
      <c r="C338" s="2">
        <v>11</v>
      </c>
      <c r="D338" s="2">
        <v>6</v>
      </c>
      <c r="E338" s="2">
        <v>6</v>
      </c>
      <c r="F338" s="2">
        <v>9</v>
      </c>
      <c r="G338" s="2">
        <v>14</v>
      </c>
      <c r="H338" s="2">
        <v>7</v>
      </c>
      <c r="I338" s="2">
        <v>7</v>
      </c>
      <c r="J338" s="2">
        <v>6</v>
      </c>
      <c r="K338" s="2">
        <v>0</v>
      </c>
      <c r="L338" s="2">
        <v>8</v>
      </c>
      <c r="M338" s="2">
        <v>7</v>
      </c>
      <c r="N338" s="2">
        <v>10</v>
      </c>
      <c r="O338" s="2">
        <v>8</v>
      </c>
      <c r="P338" s="2">
        <v>0</v>
      </c>
      <c r="Q338" s="2">
        <v>9</v>
      </c>
      <c r="R338" s="2">
        <v>0</v>
      </c>
      <c r="S338" s="2">
        <v>1</v>
      </c>
      <c r="T338" s="2">
        <v>5</v>
      </c>
      <c r="U338" s="11">
        <v>7.2698603750083803</v>
      </c>
      <c r="V338" s="11">
        <v>10.5937053274519</v>
      </c>
      <c r="W338" s="11">
        <v>9.6047859708735501</v>
      </c>
      <c r="X338" s="11">
        <v>9.0715305549193808</v>
      </c>
      <c r="Y338" s="11">
        <v>7.7415872394320298</v>
      </c>
      <c r="Z338" s="11">
        <v>13.0161814529529</v>
      </c>
      <c r="AA338" s="11">
        <v>7.3784359800524904</v>
      </c>
      <c r="AB338" s="11">
        <v>6.8122851858761404</v>
      </c>
      <c r="AC338" s="11">
        <v>4.7685497594697397</v>
      </c>
      <c r="AD338" s="11">
        <v>5.0451971751062796</v>
      </c>
      <c r="AE338" s="11">
        <v>5.6003804378713999</v>
      </c>
      <c r="AF338" s="11">
        <v>8.4654704659994096</v>
      </c>
      <c r="AG338" s="11">
        <v>0.22969814145377901</v>
      </c>
      <c r="AH338" s="11">
        <v>7.1027151334661296</v>
      </c>
      <c r="AI338" s="11">
        <v>0.377135011965606</v>
      </c>
      <c r="AJ338" s="11">
        <v>7.6131842323730803</v>
      </c>
      <c r="AK338" s="16">
        <v>-0.81938910017649302</v>
      </c>
      <c r="AL338" s="16">
        <v>-1.8235745537131101</v>
      </c>
      <c r="AM338" s="26">
        <v>2.7709767921510298E-2</v>
      </c>
      <c r="AN338" s="27">
        <v>4.5772431455531899E-2</v>
      </c>
      <c r="AO338" s="11">
        <v>8.9360465108208391</v>
      </c>
      <c r="AP338" s="11">
        <v>4.9002912947131803</v>
      </c>
      <c r="AQ338" t="s">
        <v>5875</v>
      </c>
      <c r="AR338" t="s">
        <v>5878</v>
      </c>
      <c r="AS338" t="s">
        <v>686</v>
      </c>
    </row>
    <row r="339" spans="1:45">
      <c r="A339" t="s">
        <v>5692</v>
      </c>
      <c r="B339" s="2">
        <v>0</v>
      </c>
      <c r="C339" s="2">
        <v>6</v>
      </c>
      <c r="D339" s="2">
        <v>6</v>
      </c>
      <c r="E339" s="2">
        <v>10</v>
      </c>
      <c r="F339" s="2">
        <v>5</v>
      </c>
      <c r="G339" s="2">
        <v>2</v>
      </c>
      <c r="H339" s="2">
        <v>4</v>
      </c>
      <c r="I339" s="2">
        <v>0</v>
      </c>
      <c r="J339" s="2">
        <v>1</v>
      </c>
      <c r="K339" s="2">
        <v>0</v>
      </c>
      <c r="L339" s="2">
        <v>3</v>
      </c>
      <c r="M339" s="2">
        <v>7</v>
      </c>
      <c r="N339" s="2">
        <v>1</v>
      </c>
      <c r="O339" s="2">
        <v>0</v>
      </c>
      <c r="P339" s="2">
        <v>5</v>
      </c>
      <c r="Q339" s="2">
        <v>12</v>
      </c>
      <c r="R339" s="2">
        <v>58</v>
      </c>
      <c r="S339" s="2">
        <v>0</v>
      </c>
      <c r="T339" s="2">
        <v>0</v>
      </c>
      <c r="U339" s="11">
        <v>0.30291084895868198</v>
      </c>
      <c r="V339" s="11">
        <v>5.7783847240646802</v>
      </c>
      <c r="W339" s="11">
        <v>9.6047859708735501</v>
      </c>
      <c r="X339" s="11">
        <v>15.119217591532299</v>
      </c>
      <c r="Y339" s="11">
        <v>4.3008817996844604</v>
      </c>
      <c r="Z339" s="11">
        <v>1.85945449327898</v>
      </c>
      <c r="AA339" s="11">
        <v>4.21624913145856</v>
      </c>
      <c r="AB339" s="11">
        <v>0.24329589949557701</v>
      </c>
      <c r="AC339" s="11">
        <v>0.79475829324495695</v>
      </c>
      <c r="AD339" s="11">
        <v>1.89194894066486</v>
      </c>
      <c r="AE339" s="11">
        <v>5.6003804378713999</v>
      </c>
      <c r="AF339" s="11">
        <v>0.84654704659994096</v>
      </c>
      <c r="AG339" s="11">
        <v>4.5939628290755703</v>
      </c>
      <c r="AH339" s="11">
        <v>9.4702868446214996</v>
      </c>
      <c r="AI339" s="11">
        <v>87.495322776020501</v>
      </c>
      <c r="AJ339" s="11">
        <v>0.38065921161865401</v>
      </c>
      <c r="AK339" s="16">
        <v>1.40289839461219</v>
      </c>
      <c r="AL339" s="16">
        <v>2.6813127944903301</v>
      </c>
      <c r="AM339" s="26">
        <v>0.13541257135353399</v>
      </c>
      <c r="AN339" s="27">
        <v>0.18563731605638101</v>
      </c>
      <c r="AO339" s="11">
        <v>5.1781475574183498</v>
      </c>
      <c r="AP339" s="11">
        <v>13.8842332974647</v>
      </c>
      <c r="AQ339" t="s">
        <v>5874</v>
      </c>
      <c r="AR339" t="s">
        <v>5832</v>
      </c>
      <c r="AS339" t="s">
        <v>5692</v>
      </c>
    </row>
    <row r="340" spans="1:45">
      <c r="A340" t="s">
        <v>981</v>
      </c>
      <c r="B340" s="2">
        <v>9</v>
      </c>
      <c r="C340" s="2">
        <v>15</v>
      </c>
      <c r="D340" s="2">
        <v>5</v>
      </c>
      <c r="E340" s="2">
        <v>12</v>
      </c>
      <c r="F340" s="2">
        <v>21</v>
      </c>
      <c r="G340" s="2">
        <v>10</v>
      </c>
      <c r="H340" s="2">
        <v>9</v>
      </c>
      <c r="I340" s="2">
        <v>10</v>
      </c>
      <c r="J340" s="2">
        <v>2</v>
      </c>
      <c r="K340" s="2">
        <v>0</v>
      </c>
      <c r="L340" s="2">
        <v>4</v>
      </c>
      <c r="M340" s="2">
        <v>2</v>
      </c>
      <c r="N340" s="2">
        <v>2</v>
      </c>
      <c r="O340" s="2">
        <v>1</v>
      </c>
      <c r="P340" s="2">
        <v>0</v>
      </c>
      <c r="Q340" s="2">
        <v>4</v>
      </c>
      <c r="R340" s="2">
        <v>6</v>
      </c>
      <c r="S340" s="2">
        <v>0</v>
      </c>
      <c r="T340" s="2">
        <v>7</v>
      </c>
      <c r="U340" s="11">
        <v>10.9047905625126</v>
      </c>
      <c r="V340" s="11">
        <v>14.4459618101617</v>
      </c>
      <c r="W340" s="11">
        <v>8.00398830906129</v>
      </c>
      <c r="X340" s="11">
        <v>18.143061109838801</v>
      </c>
      <c r="Y340" s="11">
        <v>18.0637035586747</v>
      </c>
      <c r="Z340" s="11">
        <v>9.2972724663949098</v>
      </c>
      <c r="AA340" s="11">
        <v>9.4865605457817708</v>
      </c>
      <c r="AB340" s="11">
        <v>9.7318359798230603</v>
      </c>
      <c r="AC340" s="11">
        <v>1.5895165864899099</v>
      </c>
      <c r="AD340" s="11">
        <v>2.5225985875531398</v>
      </c>
      <c r="AE340" s="11">
        <v>1.60010869653469</v>
      </c>
      <c r="AF340" s="11">
        <v>1.6930940931998799</v>
      </c>
      <c r="AG340" s="11">
        <v>0.22969814145377901</v>
      </c>
      <c r="AH340" s="11">
        <v>3.1567622815404999</v>
      </c>
      <c r="AI340" s="11">
        <v>9.0512402871745401</v>
      </c>
      <c r="AJ340" s="11">
        <v>10.658457925322301</v>
      </c>
      <c r="AK340" s="16">
        <v>-1.84986489357436</v>
      </c>
      <c r="AL340" s="16">
        <v>-3.21548938862193</v>
      </c>
      <c r="AM340" s="26">
        <v>1.7365975544327E-4</v>
      </c>
      <c r="AN340" s="27">
        <v>4.6192174192673702E-4</v>
      </c>
      <c r="AO340" s="11">
        <v>12.259646792781099</v>
      </c>
      <c r="AP340" s="11">
        <v>3.81268457490859</v>
      </c>
      <c r="AQ340" t="s">
        <v>5875</v>
      </c>
      <c r="AR340" t="s">
        <v>5876</v>
      </c>
      <c r="AS340" t="s">
        <v>981</v>
      </c>
    </row>
    <row r="341" spans="1:45">
      <c r="A341" t="s">
        <v>4906</v>
      </c>
      <c r="B341" s="2">
        <v>6</v>
      </c>
      <c r="C341" s="2">
        <v>16</v>
      </c>
      <c r="D341" s="2">
        <v>11</v>
      </c>
      <c r="E341" s="2">
        <v>19</v>
      </c>
      <c r="F341" s="2">
        <v>19</v>
      </c>
      <c r="G341" s="2">
        <v>20</v>
      </c>
      <c r="H341" s="2">
        <v>15</v>
      </c>
      <c r="I341" s="2">
        <v>7</v>
      </c>
      <c r="J341" s="2">
        <v>0</v>
      </c>
      <c r="K341" s="2">
        <v>0</v>
      </c>
      <c r="L341" s="2">
        <v>0</v>
      </c>
      <c r="M341" s="2">
        <v>2</v>
      </c>
      <c r="N341" s="2">
        <v>0</v>
      </c>
      <c r="O341" s="2">
        <v>0</v>
      </c>
      <c r="P341" s="2">
        <v>1</v>
      </c>
      <c r="Q341" s="2">
        <v>2</v>
      </c>
      <c r="R341" s="2">
        <v>1</v>
      </c>
      <c r="S341" s="2">
        <v>0</v>
      </c>
      <c r="T341" s="2">
        <v>0</v>
      </c>
      <c r="U341" s="11">
        <v>7.2698603750083803</v>
      </c>
      <c r="V341" s="11">
        <v>15.4090259308391</v>
      </c>
      <c r="W341" s="11">
        <v>17.608774279934799</v>
      </c>
      <c r="X341" s="11">
        <v>28.726513423911399</v>
      </c>
      <c r="Y341" s="11">
        <v>16.343350838801001</v>
      </c>
      <c r="Z341" s="11">
        <v>18.594544932789798</v>
      </c>
      <c r="AA341" s="11">
        <v>15.8109342429696</v>
      </c>
      <c r="AB341" s="11">
        <v>6.8122851858761404</v>
      </c>
      <c r="AC341" s="11">
        <v>0.19868957331123899</v>
      </c>
      <c r="AD341" s="11">
        <v>0.15766241172207099</v>
      </c>
      <c r="AE341" s="11">
        <v>1.60010869653469</v>
      </c>
      <c r="AF341" s="11">
        <v>0.21163676164998499</v>
      </c>
      <c r="AG341" s="11">
        <v>0.91879256581511404</v>
      </c>
      <c r="AH341" s="11">
        <v>1.5783811407702499</v>
      </c>
      <c r="AI341" s="11">
        <v>1.50854004786242</v>
      </c>
      <c r="AJ341" s="11">
        <v>0.38065921161865401</v>
      </c>
      <c r="AK341" s="16">
        <v>-4.1140325965709703</v>
      </c>
      <c r="AL341" s="16">
        <v>-19.3112915775523</v>
      </c>
      <c r="AM341" s="26">
        <v>4.6300522610600499E-15</v>
      </c>
      <c r="AN341" s="27">
        <v>2.5812541355409801E-13</v>
      </c>
      <c r="AO341" s="11">
        <v>15.821911151266301</v>
      </c>
      <c r="AP341" s="11">
        <v>0.81930880116055305</v>
      </c>
      <c r="AQ341" t="s">
        <v>5875</v>
      </c>
      <c r="AR341" t="s">
        <v>5876</v>
      </c>
      <c r="AS341" t="s">
        <v>4906</v>
      </c>
    </row>
    <row r="342" spans="1:45">
      <c r="A342" t="s">
        <v>274</v>
      </c>
      <c r="B342" s="2">
        <v>2</v>
      </c>
      <c r="C342" s="2">
        <v>6</v>
      </c>
      <c r="D342" s="2">
        <v>2</v>
      </c>
      <c r="E342" s="2">
        <v>5</v>
      </c>
      <c r="F342" s="2">
        <v>7</v>
      </c>
      <c r="G342" s="2">
        <v>6</v>
      </c>
      <c r="H342" s="2">
        <v>7</v>
      </c>
      <c r="I342" s="2">
        <v>4</v>
      </c>
      <c r="J342" s="2">
        <v>16</v>
      </c>
      <c r="K342" s="2">
        <v>1</v>
      </c>
      <c r="L342" s="2">
        <v>24</v>
      </c>
      <c r="M342" s="2">
        <v>6</v>
      </c>
      <c r="N342" s="2">
        <v>5</v>
      </c>
      <c r="O342" s="2">
        <v>1</v>
      </c>
      <c r="P342" s="2">
        <v>10</v>
      </c>
      <c r="Q342" s="2">
        <v>9</v>
      </c>
      <c r="R342" s="2">
        <v>2</v>
      </c>
      <c r="S342" s="2">
        <v>1</v>
      </c>
      <c r="T342" s="2">
        <v>4</v>
      </c>
      <c r="U342" s="11">
        <v>2.4232867916694598</v>
      </c>
      <c r="V342" s="11">
        <v>5.7783847240646802</v>
      </c>
      <c r="W342" s="11">
        <v>3.2015953236245198</v>
      </c>
      <c r="X342" s="11">
        <v>7.5596087957661497</v>
      </c>
      <c r="Y342" s="11">
        <v>6.0212345195582504</v>
      </c>
      <c r="Z342" s="11">
        <v>5.5783634798369501</v>
      </c>
      <c r="AA342" s="11">
        <v>7.3784359800524904</v>
      </c>
      <c r="AB342" s="11">
        <v>3.8927343919292201</v>
      </c>
      <c r="AC342" s="11">
        <v>12.716132691919301</v>
      </c>
      <c r="AD342" s="11">
        <v>15.135591525318899</v>
      </c>
      <c r="AE342" s="11">
        <v>4.8003260896040603</v>
      </c>
      <c r="AF342" s="11">
        <v>4.2327352329997003</v>
      </c>
      <c r="AG342" s="11">
        <v>9.1879256581511406</v>
      </c>
      <c r="AH342" s="11">
        <v>7.1027151334661296</v>
      </c>
      <c r="AI342" s="11">
        <v>3.0170800957248498</v>
      </c>
      <c r="AJ342" s="11">
        <v>6.0905473858984696</v>
      </c>
      <c r="AK342" s="16">
        <v>0.60973824131139898</v>
      </c>
      <c r="AL342" s="16">
        <v>1.4888268830561999</v>
      </c>
      <c r="AM342" s="26">
        <v>0.16168386419713199</v>
      </c>
      <c r="AN342" s="27">
        <v>0.217638843355898</v>
      </c>
      <c r="AO342" s="11">
        <v>5.2292055008127099</v>
      </c>
      <c r="AP342" s="11">
        <v>7.7853817266353103</v>
      </c>
      <c r="AQ342" t="s">
        <v>5874</v>
      </c>
      <c r="AR342" t="s">
        <v>5832</v>
      </c>
      <c r="AS342" t="s">
        <v>274</v>
      </c>
    </row>
    <row r="343" spans="1:45">
      <c r="A343" t="s">
        <v>763</v>
      </c>
      <c r="B343" s="2">
        <v>9</v>
      </c>
      <c r="C343" s="2">
        <v>12</v>
      </c>
      <c r="D343" s="2">
        <v>12</v>
      </c>
      <c r="E343" s="2">
        <v>6</v>
      </c>
      <c r="F343" s="2">
        <v>8</v>
      </c>
      <c r="G343" s="2">
        <v>4</v>
      </c>
      <c r="H343" s="2">
        <v>9</v>
      </c>
      <c r="I343" s="2">
        <v>12</v>
      </c>
      <c r="J343" s="2">
        <v>6</v>
      </c>
      <c r="K343" s="2">
        <v>0</v>
      </c>
      <c r="L343" s="2">
        <v>6</v>
      </c>
      <c r="M343" s="2">
        <v>8</v>
      </c>
      <c r="N343" s="2">
        <v>4</v>
      </c>
      <c r="O343" s="2">
        <v>0</v>
      </c>
      <c r="P343" s="2">
        <v>5</v>
      </c>
      <c r="Q343" s="2">
        <v>8</v>
      </c>
      <c r="R343" s="2">
        <v>4</v>
      </c>
      <c r="S343" s="2">
        <v>1</v>
      </c>
      <c r="T343" s="2">
        <v>4</v>
      </c>
      <c r="U343" s="11">
        <v>10.9047905625126</v>
      </c>
      <c r="V343" s="11">
        <v>11.556769448129399</v>
      </c>
      <c r="W343" s="11">
        <v>19.2095719417471</v>
      </c>
      <c r="X343" s="11">
        <v>9.0715305549193808</v>
      </c>
      <c r="Y343" s="11">
        <v>6.8814108794951396</v>
      </c>
      <c r="Z343" s="11">
        <v>3.7189089865579601</v>
      </c>
      <c r="AA343" s="11">
        <v>9.4865605457817708</v>
      </c>
      <c r="AB343" s="11">
        <v>11.678203175787701</v>
      </c>
      <c r="AC343" s="11">
        <v>4.7685497594697397</v>
      </c>
      <c r="AD343" s="11">
        <v>3.7838978813297102</v>
      </c>
      <c r="AE343" s="11">
        <v>6.4004347861387396</v>
      </c>
      <c r="AF343" s="11">
        <v>3.3861881863997598</v>
      </c>
      <c r="AG343" s="11">
        <v>4.5939628290755703</v>
      </c>
      <c r="AH343" s="11">
        <v>6.3135245630809997</v>
      </c>
      <c r="AI343" s="11">
        <v>6.0341601914496898</v>
      </c>
      <c r="AJ343" s="11">
        <v>6.0905473858984696</v>
      </c>
      <c r="AK343" s="16">
        <v>-0.96416603805038303</v>
      </c>
      <c r="AL343" s="16">
        <v>-1.99432492413643</v>
      </c>
      <c r="AM343" s="26">
        <v>8.0695928771874204E-3</v>
      </c>
      <c r="AN343" s="27">
        <v>1.5122010181620099E-2</v>
      </c>
      <c r="AO343" s="11">
        <v>10.313468261866401</v>
      </c>
      <c r="AP343" s="11">
        <v>5.1714081978553397</v>
      </c>
      <c r="AQ343" t="s">
        <v>5875</v>
      </c>
      <c r="AR343" t="s">
        <v>5878</v>
      </c>
      <c r="AS343" t="s">
        <v>763</v>
      </c>
    </row>
    <row r="344" spans="1:45">
      <c r="A344" t="s">
        <v>1549</v>
      </c>
      <c r="B344" s="2">
        <v>7</v>
      </c>
      <c r="C344" s="2">
        <v>13</v>
      </c>
      <c r="D344" s="2">
        <v>7</v>
      </c>
      <c r="E344" s="2">
        <v>14</v>
      </c>
      <c r="F344" s="2">
        <v>8</v>
      </c>
      <c r="G344" s="2">
        <v>10</v>
      </c>
      <c r="H344" s="2">
        <v>10</v>
      </c>
      <c r="I344" s="2">
        <v>12</v>
      </c>
      <c r="J344" s="2">
        <v>4</v>
      </c>
      <c r="K344" s="2">
        <v>1</v>
      </c>
      <c r="L344" s="2">
        <v>4</v>
      </c>
      <c r="M344" s="2">
        <v>5</v>
      </c>
      <c r="N344" s="2">
        <v>3</v>
      </c>
      <c r="O344" s="2">
        <v>0</v>
      </c>
      <c r="P344" s="2">
        <v>6</v>
      </c>
      <c r="Q344" s="2">
        <v>6</v>
      </c>
      <c r="R344" s="2">
        <v>3</v>
      </c>
      <c r="S344" s="2">
        <v>3</v>
      </c>
      <c r="T344" s="2">
        <v>2</v>
      </c>
      <c r="U344" s="11">
        <v>8.4815037708430996</v>
      </c>
      <c r="V344" s="11">
        <v>12.519833568806799</v>
      </c>
      <c r="W344" s="11">
        <v>11.2055836326858</v>
      </c>
      <c r="X344" s="11">
        <v>21.1669046281452</v>
      </c>
      <c r="Y344" s="11">
        <v>6.8814108794951396</v>
      </c>
      <c r="Z344" s="11">
        <v>9.2972724663949098</v>
      </c>
      <c r="AA344" s="11">
        <v>10.5406228286464</v>
      </c>
      <c r="AB344" s="11">
        <v>11.678203175787701</v>
      </c>
      <c r="AC344" s="11">
        <v>3.17903317297983</v>
      </c>
      <c r="AD344" s="11">
        <v>2.5225985875531398</v>
      </c>
      <c r="AE344" s="11">
        <v>4.0002717413367099</v>
      </c>
      <c r="AF344" s="11">
        <v>2.5396411397998202</v>
      </c>
      <c r="AG344" s="11">
        <v>5.5127553948906796</v>
      </c>
      <c r="AH344" s="11">
        <v>4.7351434223107498</v>
      </c>
      <c r="AI344" s="11">
        <v>4.5256201435872701</v>
      </c>
      <c r="AJ344" s="11">
        <v>3.0452736929492299</v>
      </c>
      <c r="AK344" s="16">
        <v>-1.5637658161371899</v>
      </c>
      <c r="AL344" s="16">
        <v>-3.0529043652755599</v>
      </c>
      <c r="AM344" s="26">
        <v>1.6430141370822499E-5</v>
      </c>
      <c r="AN344" s="27">
        <v>5.6080431515715601E-5</v>
      </c>
      <c r="AO344" s="11">
        <v>11.4714168688506</v>
      </c>
      <c r="AP344" s="11">
        <v>3.7575421619259299</v>
      </c>
      <c r="AQ344" t="s">
        <v>5875</v>
      </c>
      <c r="AR344" t="s">
        <v>5876</v>
      </c>
      <c r="AS344" t="s">
        <v>1549</v>
      </c>
    </row>
    <row r="345" spans="1:45">
      <c r="A345" t="s">
        <v>1912</v>
      </c>
      <c r="B345" s="2">
        <v>5</v>
      </c>
      <c r="C345" s="2">
        <v>3</v>
      </c>
      <c r="D345" s="2">
        <v>3</v>
      </c>
      <c r="E345" s="2">
        <v>1</v>
      </c>
      <c r="F345" s="2">
        <v>5</v>
      </c>
      <c r="G345" s="2">
        <v>9</v>
      </c>
      <c r="H345" s="2">
        <v>9</v>
      </c>
      <c r="I345" s="2">
        <v>13</v>
      </c>
      <c r="J345" s="2">
        <v>8</v>
      </c>
      <c r="K345" s="2">
        <v>0</v>
      </c>
      <c r="L345" s="2">
        <v>15</v>
      </c>
      <c r="M345" s="2">
        <v>8</v>
      </c>
      <c r="N345" s="2">
        <v>8</v>
      </c>
      <c r="O345" s="2">
        <v>0</v>
      </c>
      <c r="P345" s="2">
        <v>8</v>
      </c>
      <c r="Q345" s="2">
        <v>7</v>
      </c>
      <c r="R345" s="2">
        <v>6</v>
      </c>
      <c r="S345" s="2">
        <v>3</v>
      </c>
      <c r="T345" s="2">
        <v>7</v>
      </c>
      <c r="U345" s="11">
        <v>6.0582169791736504</v>
      </c>
      <c r="V345" s="11">
        <v>2.8891923620323401</v>
      </c>
      <c r="W345" s="11">
        <v>4.8023929854367697</v>
      </c>
      <c r="X345" s="11">
        <v>1.5119217591532299</v>
      </c>
      <c r="Y345" s="11">
        <v>4.3008817996844604</v>
      </c>
      <c r="Z345" s="11">
        <v>8.3675452197554208</v>
      </c>
      <c r="AA345" s="11">
        <v>9.4865605457817708</v>
      </c>
      <c r="AB345" s="11">
        <v>12.65138677377</v>
      </c>
      <c r="AC345" s="11">
        <v>6.35806634595966</v>
      </c>
      <c r="AD345" s="11">
        <v>9.4597447033242794</v>
      </c>
      <c r="AE345" s="11">
        <v>6.4004347861387396</v>
      </c>
      <c r="AF345" s="11">
        <v>6.7723763727995303</v>
      </c>
      <c r="AG345" s="11">
        <v>7.3503405265209096</v>
      </c>
      <c r="AH345" s="11">
        <v>5.5243339926958699</v>
      </c>
      <c r="AI345" s="11">
        <v>9.0512402871745401</v>
      </c>
      <c r="AJ345" s="11">
        <v>10.658457925322301</v>
      </c>
      <c r="AK345" s="16">
        <v>0.22835540182651201</v>
      </c>
      <c r="AL345" s="16">
        <v>1.2298249160078201</v>
      </c>
      <c r="AM345" s="26">
        <v>0.52439785284651197</v>
      </c>
      <c r="AN345" s="27">
        <v>0.60486579923158001</v>
      </c>
      <c r="AO345" s="11">
        <v>6.25851230309845</v>
      </c>
      <c r="AP345" s="11">
        <v>7.6968743674919802</v>
      </c>
      <c r="AQ345" t="s">
        <v>5874</v>
      </c>
      <c r="AR345" t="s">
        <v>5832</v>
      </c>
      <c r="AS345" t="s">
        <v>1912</v>
      </c>
    </row>
    <row r="346" spans="1:45">
      <c r="A346" t="s">
        <v>3997</v>
      </c>
      <c r="B346" s="2">
        <v>2</v>
      </c>
      <c r="C346" s="2">
        <v>0</v>
      </c>
      <c r="D346" s="2">
        <v>2</v>
      </c>
      <c r="E346" s="2">
        <v>0</v>
      </c>
      <c r="F346" s="2">
        <v>1</v>
      </c>
      <c r="G346" s="2">
        <v>5</v>
      </c>
      <c r="H346" s="2">
        <v>4</v>
      </c>
      <c r="I346" s="2">
        <v>17</v>
      </c>
      <c r="J346" s="2">
        <v>13</v>
      </c>
      <c r="K346" s="2">
        <v>1</v>
      </c>
      <c r="L346" s="2">
        <v>15</v>
      </c>
      <c r="M346" s="2">
        <v>9</v>
      </c>
      <c r="N346" s="2">
        <v>4</v>
      </c>
      <c r="O346" s="2">
        <v>2</v>
      </c>
      <c r="P346" s="2">
        <v>16</v>
      </c>
      <c r="Q346" s="2">
        <v>12</v>
      </c>
      <c r="R346" s="2">
        <v>7</v>
      </c>
      <c r="S346" s="2">
        <v>1</v>
      </c>
      <c r="T346" s="2">
        <v>7</v>
      </c>
      <c r="U346" s="11">
        <v>2.4232867916694598</v>
      </c>
      <c r="V346" s="11">
        <v>0.24076603016936199</v>
      </c>
      <c r="W346" s="11">
        <v>3.2015953236245198</v>
      </c>
      <c r="X346" s="11">
        <v>0.37798043978830698</v>
      </c>
      <c r="Y346" s="11">
        <v>0.86017635993689201</v>
      </c>
      <c r="Z346" s="11">
        <v>4.6486362331974602</v>
      </c>
      <c r="AA346" s="11">
        <v>4.21624913145856</v>
      </c>
      <c r="AB346" s="11">
        <v>16.544121165699199</v>
      </c>
      <c r="AC346" s="11">
        <v>10.331857812184399</v>
      </c>
      <c r="AD346" s="11">
        <v>9.4597447033242794</v>
      </c>
      <c r="AE346" s="11">
        <v>7.2004891344060802</v>
      </c>
      <c r="AF346" s="11">
        <v>3.3861881863997598</v>
      </c>
      <c r="AG346" s="11">
        <v>14.7006810530418</v>
      </c>
      <c r="AH346" s="11">
        <v>9.4702868446214996</v>
      </c>
      <c r="AI346" s="11">
        <v>10.559780335037001</v>
      </c>
      <c r="AJ346" s="11">
        <v>10.658457925322301</v>
      </c>
      <c r="AK346" s="16">
        <v>1.15327020424836</v>
      </c>
      <c r="AL346" s="16">
        <v>2.33038862392229</v>
      </c>
      <c r="AM346" s="26">
        <v>3.5071264713469302E-2</v>
      </c>
      <c r="AN346" s="27">
        <v>5.6673130660171503E-2</v>
      </c>
      <c r="AO346" s="11">
        <v>4.0641014344429696</v>
      </c>
      <c r="AP346" s="11">
        <v>9.4709357492921509</v>
      </c>
      <c r="AQ346" t="s">
        <v>5874</v>
      </c>
      <c r="AR346" t="s">
        <v>5877</v>
      </c>
      <c r="AS346" t="s">
        <v>3997</v>
      </c>
    </row>
    <row r="347" spans="1:45">
      <c r="A347" t="s">
        <v>5048</v>
      </c>
      <c r="B347" s="2">
        <v>5</v>
      </c>
      <c r="C347" s="2">
        <v>0</v>
      </c>
      <c r="D347" s="2">
        <v>0</v>
      </c>
      <c r="E347" s="2">
        <v>0</v>
      </c>
      <c r="F347" s="2">
        <v>0</v>
      </c>
      <c r="G347" s="2">
        <v>2</v>
      </c>
      <c r="H347" s="2">
        <v>1</v>
      </c>
      <c r="I347" s="2">
        <v>0</v>
      </c>
      <c r="J347" s="2">
        <v>12</v>
      </c>
      <c r="K347" s="2">
        <v>4</v>
      </c>
      <c r="L347" s="2">
        <v>11</v>
      </c>
      <c r="M347" s="2">
        <v>24</v>
      </c>
      <c r="N347" s="2">
        <v>12</v>
      </c>
      <c r="O347" s="2">
        <v>0</v>
      </c>
      <c r="P347" s="2">
        <v>5</v>
      </c>
      <c r="Q347" s="2">
        <v>15</v>
      </c>
      <c r="R347" s="2">
        <v>14</v>
      </c>
      <c r="S347" s="2">
        <v>3</v>
      </c>
      <c r="T347" s="2">
        <v>10</v>
      </c>
      <c r="U347" s="11">
        <v>6.0582169791736504</v>
      </c>
      <c r="V347" s="11">
        <v>0.24076603016936199</v>
      </c>
      <c r="W347" s="11">
        <v>0.40019941545306398</v>
      </c>
      <c r="X347" s="11">
        <v>0.37798043978830698</v>
      </c>
      <c r="Y347" s="11">
        <v>0.215044089984223</v>
      </c>
      <c r="Z347" s="11">
        <v>1.85945449327898</v>
      </c>
      <c r="AA347" s="11">
        <v>1.05406228286464</v>
      </c>
      <c r="AB347" s="11">
        <v>0.24329589949557701</v>
      </c>
      <c r="AC347" s="11">
        <v>9.53709951893949</v>
      </c>
      <c r="AD347" s="11">
        <v>6.9371461157711396</v>
      </c>
      <c r="AE347" s="11">
        <v>19.201304358416198</v>
      </c>
      <c r="AF347" s="11">
        <v>10.1585645591993</v>
      </c>
      <c r="AG347" s="11">
        <v>4.5939628290755703</v>
      </c>
      <c r="AH347" s="11">
        <v>11.837858555776901</v>
      </c>
      <c r="AI347" s="11">
        <v>21.119560670073898</v>
      </c>
      <c r="AJ347" s="11">
        <v>15.2263684647462</v>
      </c>
      <c r="AK347" s="16">
        <v>3.1296574263780998</v>
      </c>
      <c r="AL347" s="16">
        <v>9.4374274871601092</v>
      </c>
      <c r="AM347" s="26">
        <v>1.98045182519297E-8</v>
      </c>
      <c r="AN347" s="27">
        <v>1.67711679880265E-7</v>
      </c>
      <c r="AO347" s="11">
        <v>1.3061274537759799</v>
      </c>
      <c r="AP347" s="11">
        <v>12.326483133999799</v>
      </c>
      <c r="AQ347" t="s">
        <v>5874</v>
      </c>
      <c r="AR347" t="s">
        <v>5876</v>
      </c>
      <c r="AS347" t="s">
        <v>5048</v>
      </c>
    </row>
    <row r="348" spans="1:45">
      <c r="A348" t="s">
        <v>1944</v>
      </c>
      <c r="B348" s="2">
        <v>5</v>
      </c>
      <c r="C348" s="2">
        <v>8</v>
      </c>
      <c r="D348" s="2">
        <v>3</v>
      </c>
      <c r="E348" s="2">
        <v>3</v>
      </c>
      <c r="F348" s="2">
        <v>5</v>
      </c>
      <c r="G348" s="2">
        <v>4</v>
      </c>
      <c r="H348" s="2">
        <v>1</v>
      </c>
      <c r="I348" s="2">
        <v>7</v>
      </c>
      <c r="J348" s="2">
        <v>7</v>
      </c>
      <c r="K348" s="2">
        <v>9</v>
      </c>
      <c r="L348" s="2">
        <v>7</v>
      </c>
      <c r="M348" s="2">
        <v>6</v>
      </c>
      <c r="N348" s="2">
        <v>6</v>
      </c>
      <c r="O348" s="2">
        <v>11</v>
      </c>
      <c r="P348" s="2">
        <v>8</v>
      </c>
      <c r="Q348" s="2">
        <v>10</v>
      </c>
      <c r="R348" s="2">
        <v>6</v>
      </c>
      <c r="S348" s="2">
        <v>3</v>
      </c>
      <c r="T348" s="2">
        <v>8</v>
      </c>
      <c r="U348" s="11">
        <v>6.0582169791736504</v>
      </c>
      <c r="V348" s="11">
        <v>7.7045129654195703</v>
      </c>
      <c r="W348" s="11">
        <v>4.8023929854367697</v>
      </c>
      <c r="X348" s="11">
        <v>4.5357652774596904</v>
      </c>
      <c r="Y348" s="11">
        <v>4.3008817996844604</v>
      </c>
      <c r="Z348" s="11">
        <v>3.7189089865579601</v>
      </c>
      <c r="AA348" s="11">
        <v>1.05406228286464</v>
      </c>
      <c r="AB348" s="11">
        <v>6.8122851858761404</v>
      </c>
      <c r="AC348" s="11">
        <v>5.5633080527147003</v>
      </c>
      <c r="AD348" s="11">
        <v>4.4145475282179998</v>
      </c>
      <c r="AE348" s="11">
        <v>4.8003260896040603</v>
      </c>
      <c r="AF348" s="11">
        <v>5.0792822795996404</v>
      </c>
      <c r="AG348" s="11">
        <v>7.3503405265209096</v>
      </c>
      <c r="AH348" s="11">
        <v>7.8919057038512497</v>
      </c>
      <c r="AI348" s="11">
        <v>9.0512402871745401</v>
      </c>
      <c r="AJ348" s="11">
        <v>12.1810947717969</v>
      </c>
      <c r="AK348" s="16">
        <v>0.44017915324659901</v>
      </c>
      <c r="AL348" s="16">
        <v>1.4448920666905101</v>
      </c>
      <c r="AM348" s="26">
        <v>0.23947691700100901</v>
      </c>
      <c r="AN348" s="27">
        <v>0.309420544556815</v>
      </c>
      <c r="AO348" s="11">
        <v>4.8733783078091104</v>
      </c>
      <c r="AP348" s="11">
        <v>7.0415056549350004</v>
      </c>
      <c r="AQ348" t="s">
        <v>5874</v>
      </c>
      <c r="AR348" t="s">
        <v>5832</v>
      </c>
      <c r="AS348" t="s">
        <v>1944</v>
      </c>
    </row>
    <row r="349" spans="1:45">
      <c r="A349" t="s">
        <v>3300</v>
      </c>
      <c r="B349" s="2">
        <v>7</v>
      </c>
      <c r="C349" s="2">
        <v>7</v>
      </c>
      <c r="D349" s="2">
        <v>3</v>
      </c>
      <c r="E349" s="2">
        <v>6</v>
      </c>
      <c r="F349" s="2">
        <v>7</v>
      </c>
      <c r="G349" s="2">
        <v>2</v>
      </c>
      <c r="H349" s="2">
        <v>3</v>
      </c>
      <c r="I349" s="2">
        <v>3</v>
      </c>
      <c r="J349" s="2">
        <v>8</v>
      </c>
      <c r="K349" s="2">
        <v>7</v>
      </c>
      <c r="L349" s="2">
        <v>13</v>
      </c>
      <c r="M349" s="2">
        <v>7</v>
      </c>
      <c r="N349" s="2">
        <v>9</v>
      </c>
      <c r="O349" s="2">
        <v>3</v>
      </c>
      <c r="P349" s="2">
        <v>8</v>
      </c>
      <c r="Q349" s="2">
        <v>10</v>
      </c>
      <c r="R349" s="2">
        <v>4</v>
      </c>
      <c r="S349" s="2">
        <v>2</v>
      </c>
      <c r="T349" s="2">
        <v>8</v>
      </c>
      <c r="U349" s="11">
        <v>8.4815037708430996</v>
      </c>
      <c r="V349" s="11">
        <v>6.7414488447421297</v>
      </c>
      <c r="W349" s="11">
        <v>4.8023929854367697</v>
      </c>
      <c r="X349" s="11">
        <v>9.0715305549193808</v>
      </c>
      <c r="Y349" s="11">
        <v>6.0212345195582504</v>
      </c>
      <c r="Z349" s="11">
        <v>1.85945449327898</v>
      </c>
      <c r="AA349" s="11">
        <v>3.1621868485939202</v>
      </c>
      <c r="AB349" s="11">
        <v>2.9195507939469199</v>
      </c>
      <c r="AC349" s="11">
        <v>6.35806634595966</v>
      </c>
      <c r="AD349" s="11">
        <v>8.1984454095477108</v>
      </c>
      <c r="AE349" s="11">
        <v>5.6003804378713999</v>
      </c>
      <c r="AF349" s="11">
        <v>7.6189234193994704</v>
      </c>
      <c r="AG349" s="11">
        <v>7.3503405265209096</v>
      </c>
      <c r="AH349" s="11">
        <v>7.8919057038512497</v>
      </c>
      <c r="AI349" s="11">
        <v>6.0341601914496898</v>
      </c>
      <c r="AJ349" s="11">
        <v>12.1810947717969</v>
      </c>
      <c r="AK349" s="16">
        <v>0.51982686496947095</v>
      </c>
      <c r="AL349" s="16">
        <v>1.42206939751704</v>
      </c>
      <c r="AM349" s="26">
        <v>0.17288511331664599</v>
      </c>
      <c r="AN349" s="27">
        <v>0.23056367552830601</v>
      </c>
      <c r="AO349" s="11">
        <v>5.3824128514149301</v>
      </c>
      <c r="AP349" s="11">
        <v>7.6541646007996302</v>
      </c>
      <c r="AQ349" t="s">
        <v>5874</v>
      </c>
      <c r="AR349" t="s">
        <v>5832</v>
      </c>
      <c r="AS349" t="s">
        <v>3300</v>
      </c>
    </row>
    <row r="350" spans="1:45">
      <c r="A350" t="s">
        <v>5300</v>
      </c>
      <c r="B350" s="2">
        <v>18</v>
      </c>
      <c r="C350" s="2">
        <v>19</v>
      </c>
      <c r="D350" s="2">
        <v>24</v>
      </c>
      <c r="E350" s="2">
        <v>11</v>
      </c>
      <c r="F350" s="2">
        <v>13</v>
      </c>
      <c r="G350" s="2">
        <v>13</v>
      </c>
      <c r="H350" s="2">
        <v>8</v>
      </c>
      <c r="I350" s="2">
        <v>5</v>
      </c>
      <c r="J350" s="2">
        <v>1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2</v>
      </c>
      <c r="R350" s="2">
        <v>0</v>
      </c>
      <c r="S350" s="2">
        <v>1</v>
      </c>
      <c r="T350" s="2">
        <v>1</v>
      </c>
      <c r="U350" s="11">
        <v>21.809581125025101</v>
      </c>
      <c r="V350" s="11">
        <v>18.2982182928715</v>
      </c>
      <c r="W350" s="11">
        <v>38.419143883494201</v>
      </c>
      <c r="X350" s="11">
        <v>16.631139350685501</v>
      </c>
      <c r="Y350" s="11">
        <v>11.1822926791796</v>
      </c>
      <c r="Z350" s="11">
        <v>12.0864542063134</v>
      </c>
      <c r="AA350" s="11">
        <v>8.4324982629171306</v>
      </c>
      <c r="AB350" s="11">
        <v>4.8659179899115301</v>
      </c>
      <c r="AC350" s="11">
        <v>0.79475829324495695</v>
      </c>
      <c r="AD350" s="11">
        <v>0.63064964688828595</v>
      </c>
      <c r="AE350" s="11">
        <v>0.200013587066836</v>
      </c>
      <c r="AF350" s="11">
        <v>0.21163676164998499</v>
      </c>
      <c r="AG350" s="11">
        <v>0.22969814145377901</v>
      </c>
      <c r="AH350" s="11">
        <v>1.5783811407702499</v>
      </c>
      <c r="AI350" s="11">
        <v>0.377135011965606</v>
      </c>
      <c r="AJ350" s="11">
        <v>1.5226368464746201</v>
      </c>
      <c r="AK350" s="16">
        <v>-4.3538478069097799</v>
      </c>
      <c r="AL350" s="16">
        <v>-23.7560680593364</v>
      </c>
      <c r="AM350" s="26">
        <v>2.94082927124756E-13</v>
      </c>
      <c r="AN350" s="27">
        <v>9.8370739123230904E-12</v>
      </c>
      <c r="AO350" s="11">
        <v>16.465655723799699</v>
      </c>
      <c r="AP350" s="11">
        <v>0.69311367868928897</v>
      </c>
      <c r="AQ350" t="s">
        <v>5875</v>
      </c>
      <c r="AR350" t="s">
        <v>5876</v>
      </c>
      <c r="AS350" t="s">
        <v>5300</v>
      </c>
    </row>
    <row r="351" spans="1:45">
      <c r="A351" t="s">
        <v>3114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18</v>
      </c>
      <c r="K351" s="2">
        <v>1</v>
      </c>
      <c r="L351" s="2">
        <v>24</v>
      </c>
      <c r="M351" s="2">
        <v>1</v>
      </c>
      <c r="N351" s="2">
        <v>8</v>
      </c>
      <c r="O351" s="2">
        <v>0</v>
      </c>
      <c r="P351" s="2">
        <v>38</v>
      </c>
      <c r="Q351" s="2">
        <v>17</v>
      </c>
      <c r="R351" s="2">
        <v>2</v>
      </c>
      <c r="S351" s="2">
        <v>1</v>
      </c>
      <c r="T351" s="2">
        <v>5</v>
      </c>
      <c r="U351" s="11">
        <v>0.30291084895868198</v>
      </c>
      <c r="V351" s="11">
        <v>0.24076603016936199</v>
      </c>
      <c r="W351" s="11">
        <v>0.40019941545306398</v>
      </c>
      <c r="X351" s="11">
        <v>0.37798043978830698</v>
      </c>
      <c r="Y351" s="11">
        <v>0.215044089984223</v>
      </c>
      <c r="Z351" s="11">
        <v>0.23243181165987301</v>
      </c>
      <c r="AA351" s="11">
        <v>0.26351557071616</v>
      </c>
      <c r="AB351" s="11">
        <v>0.97318359798230603</v>
      </c>
      <c r="AC351" s="11">
        <v>14.3056492784092</v>
      </c>
      <c r="AD351" s="11">
        <v>15.135591525318899</v>
      </c>
      <c r="AE351" s="11">
        <v>0.80005434826734301</v>
      </c>
      <c r="AF351" s="11">
        <v>6.7723763727995303</v>
      </c>
      <c r="AG351" s="11">
        <v>34.914117500974299</v>
      </c>
      <c r="AH351" s="11">
        <v>13.4162396965471</v>
      </c>
      <c r="AI351" s="11">
        <v>3.0170800957248498</v>
      </c>
      <c r="AJ351" s="11">
        <v>7.6131842323730803</v>
      </c>
      <c r="AK351" s="16">
        <v>4.6240042420730498</v>
      </c>
      <c r="AL351" s="16">
        <v>31.9272380618109</v>
      </c>
      <c r="AM351" s="26">
        <v>3.2246386369704302E-9</v>
      </c>
      <c r="AN351" s="27">
        <v>3.4794891098922903E-8</v>
      </c>
      <c r="AO351" s="11">
        <v>0.37575397558899698</v>
      </c>
      <c r="AP351" s="11">
        <v>11.9967866313018</v>
      </c>
      <c r="AQ351" t="s">
        <v>5874</v>
      </c>
      <c r="AR351" t="s">
        <v>5876</v>
      </c>
      <c r="AS351" t="s">
        <v>3114</v>
      </c>
    </row>
    <row r="352" spans="1:45">
      <c r="A352" t="s">
        <v>3939</v>
      </c>
      <c r="B352" s="2">
        <v>2</v>
      </c>
      <c r="C352" s="2">
        <v>0</v>
      </c>
      <c r="D352" s="2">
        <v>1</v>
      </c>
      <c r="E352" s="2">
        <v>2</v>
      </c>
      <c r="F352" s="2">
        <v>5</v>
      </c>
      <c r="G352" s="2">
        <v>0</v>
      </c>
      <c r="H352" s="2">
        <v>5</v>
      </c>
      <c r="I352" s="2">
        <v>6</v>
      </c>
      <c r="J352" s="2">
        <v>18</v>
      </c>
      <c r="K352" s="2">
        <v>3</v>
      </c>
      <c r="L352" s="2">
        <v>16</v>
      </c>
      <c r="M352" s="2">
        <v>13</v>
      </c>
      <c r="N352" s="2">
        <v>17</v>
      </c>
      <c r="O352" s="2">
        <v>3</v>
      </c>
      <c r="P352" s="2">
        <v>7</v>
      </c>
      <c r="Q352" s="2">
        <v>7</v>
      </c>
      <c r="R352" s="2">
        <v>8</v>
      </c>
      <c r="S352" s="2">
        <v>0</v>
      </c>
      <c r="T352" s="2">
        <v>3</v>
      </c>
      <c r="U352" s="11">
        <v>2.4232867916694598</v>
      </c>
      <c r="V352" s="11">
        <v>0.24076603016936199</v>
      </c>
      <c r="W352" s="11">
        <v>1.6007976618122599</v>
      </c>
      <c r="X352" s="11">
        <v>3.0238435183064598</v>
      </c>
      <c r="Y352" s="11">
        <v>4.3008817996844604</v>
      </c>
      <c r="Z352" s="11">
        <v>0.23243181165987301</v>
      </c>
      <c r="AA352" s="11">
        <v>5.2703114143232002</v>
      </c>
      <c r="AB352" s="11">
        <v>5.8391015878938397</v>
      </c>
      <c r="AC352" s="11">
        <v>14.3056492784092</v>
      </c>
      <c r="AD352" s="11">
        <v>10.0903943502126</v>
      </c>
      <c r="AE352" s="11">
        <v>10.400706527475499</v>
      </c>
      <c r="AF352" s="11">
        <v>14.391299792199</v>
      </c>
      <c r="AG352" s="11">
        <v>6.4315479607058004</v>
      </c>
      <c r="AH352" s="11">
        <v>5.5243339926958699</v>
      </c>
      <c r="AI352" s="11">
        <v>12.068320382899399</v>
      </c>
      <c r="AJ352" s="11">
        <v>4.5679105394238499</v>
      </c>
      <c r="AK352" s="16">
        <v>1.71465026711491</v>
      </c>
      <c r="AL352" s="16">
        <v>3.3918597599393001</v>
      </c>
      <c r="AM352" s="26">
        <v>1.21037408028576E-4</v>
      </c>
      <c r="AN352" s="27">
        <v>3.34603413103792E-4</v>
      </c>
      <c r="AO352" s="11">
        <v>2.8664275769398602</v>
      </c>
      <c r="AP352" s="11">
        <v>9.7225203530026398</v>
      </c>
      <c r="AQ352" t="s">
        <v>5874</v>
      </c>
      <c r="AR352" t="s">
        <v>5876</v>
      </c>
      <c r="AS352" t="s">
        <v>3939</v>
      </c>
    </row>
    <row r="353" spans="1:45">
      <c r="A353" t="s">
        <v>4481</v>
      </c>
      <c r="B353" s="2">
        <v>4</v>
      </c>
      <c r="C353" s="2">
        <v>14</v>
      </c>
      <c r="D353" s="2">
        <v>13</v>
      </c>
      <c r="E353" s="2">
        <v>10</v>
      </c>
      <c r="F353" s="2">
        <v>6</v>
      </c>
      <c r="G353" s="2">
        <v>16.940999999999999</v>
      </c>
      <c r="H353" s="2">
        <v>12</v>
      </c>
      <c r="I353" s="2">
        <v>10</v>
      </c>
      <c r="J353" s="2">
        <v>1</v>
      </c>
      <c r="K353" s="2">
        <v>0</v>
      </c>
      <c r="L353" s="2">
        <v>6</v>
      </c>
      <c r="M353" s="2">
        <v>8</v>
      </c>
      <c r="N353" s="2">
        <v>3</v>
      </c>
      <c r="O353" s="2">
        <v>0</v>
      </c>
      <c r="P353" s="2">
        <v>2</v>
      </c>
      <c r="Q353" s="2">
        <v>5</v>
      </c>
      <c r="R353" s="2">
        <v>1</v>
      </c>
      <c r="S353" s="2">
        <v>2</v>
      </c>
      <c r="T353" s="2">
        <v>2</v>
      </c>
      <c r="U353" s="11">
        <v>4.8465735833389196</v>
      </c>
      <c r="V353" s="11">
        <v>13.4828976894843</v>
      </c>
      <c r="W353" s="11">
        <v>20.810369603559401</v>
      </c>
      <c r="X353" s="11">
        <v>15.119217591532299</v>
      </c>
      <c r="Y353" s="11">
        <v>5.1610581596213496</v>
      </c>
      <c r="Z353" s="11">
        <v>15.712390468207399</v>
      </c>
      <c r="AA353" s="11">
        <v>12.6487473943757</v>
      </c>
      <c r="AB353" s="11">
        <v>9.7318359798230603</v>
      </c>
      <c r="AC353" s="11">
        <v>0.79475829324495695</v>
      </c>
      <c r="AD353" s="11">
        <v>3.7838978813297102</v>
      </c>
      <c r="AE353" s="11">
        <v>6.4004347861387396</v>
      </c>
      <c r="AF353" s="11">
        <v>2.5396411397998202</v>
      </c>
      <c r="AG353" s="11">
        <v>1.8375851316302301</v>
      </c>
      <c r="AH353" s="11">
        <v>3.94595285192562</v>
      </c>
      <c r="AI353" s="11">
        <v>1.50854004786242</v>
      </c>
      <c r="AJ353" s="11">
        <v>3.0452736929492299</v>
      </c>
      <c r="AK353" s="16">
        <v>-1.91898293903163</v>
      </c>
      <c r="AL353" s="16">
        <v>-4.0875564986169604</v>
      </c>
      <c r="AM353" s="26">
        <v>5.0247992054547001E-6</v>
      </c>
      <c r="AN353" s="27">
        <v>2.0373276778480001E-5</v>
      </c>
      <c r="AO353" s="11">
        <v>12.1891363087428</v>
      </c>
      <c r="AP353" s="11">
        <v>2.98201047811009</v>
      </c>
      <c r="AQ353" t="s">
        <v>5875</v>
      </c>
      <c r="AR353" t="s">
        <v>5876</v>
      </c>
      <c r="AS353" t="s">
        <v>4481</v>
      </c>
    </row>
    <row r="354" spans="1:45">
      <c r="A354" t="s">
        <v>2712</v>
      </c>
      <c r="B354" s="2">
        <v>0</v>
      </c>
      <c r="C354" s="2">
        <v>13</v>
      </c>
      <c r="D354" s="2">
        <v>10</v>
      </c>
      <c r="E354" s="2">
        <v>8.5</v>
      </c>
      <c r="F354" s="2">
        <v>23</v>
      </c>
      <c r="G354" s="2">
        <v>0</v>
      </c>
      <c r="H354" s="2">
        <v>0</v>
      </c>
      <c r="I354" s="2">
        <v>0</v>
      </c>
      <c r="J354" s="2">
        <v>3.5</v>
      </c>
      <c r="K354" s="2">
        <v>5</v>
      </c>
      <c r="L354" s="2">
        <v>9</v>
      </c>
      <c r="M354" s="2">
        <v>9</v>
      </c>
      <c r="N354" s="2">
        <v>6.4</v>
      </c>
      <c r="O354" s="2">
        <v>6.4</v>
      </c>
      <c r="P354" s="2">
        <v>3.6669999999999998</v>
      </c>
      <c r="Q354" s="2">
        <v>11.333</v>
      </c>
      <c r="R354" s="2">
        <v>0</v>
      </c>
      <c r="S354" s="2">
        <v>0</v>
      </c>
      <c r="T354" s="2">
        <v>7</v>
      </c>
      <c r="U354" s="11">
        <v>0.30291084895868198</v>
      </c>
      <c r="V354" s="11">
        <v>12.519833568806799</v>
      </c>
      <c r="W354" s="11">
        <v>16.007976618122601</v>
      </c>
      <c r="X354" s="11">
        <v>12.8513349528025</v>
      </c>
      <c r="Y354" s="11">
        <v>19.784056278548501</v>
      </c>
      <c r="Z354" s="11">
        <v>0.23243181165987301</v>
      </c>
      <c r="AA354" s="11">
        <v>0.26351557071616</v>
      </c>
      <c r="AB354" s="11">
        <v>0.24329589949557701</v>
      </c>
      <c r="AC354" s="11">
        <v>2.7816540263573502</v>
      </c>
      <c r="AD354" s="11">
        <v>5.6758468219945701</v>
      </c>
      <c r="AE354" s="11">
        <v>7.2004891344060802</v>
      </c>
      <c r="AF354" s="11">
        <v>5.4179010982396196</v>
      </c>
      <c r="AG354" s="11">
        <v>3.3995324935159199</v>
      </c>
      <c r="AH354" s="11">
        <v>8.9178534453519092</v>
      </c>
      <c r="AI354" s="11">
        <v>0.377135011965606</v>
      </c>
      <c r="AJ354" s="11">
        <v>10.658457925322301</v>
      </c>
      <c r="AK354" s="16">
        <v>-0.46315402708035602</v>
      </c>
      <c r="AL354" s="16">
        <v>-1.4001111351493001</v>
      </c>
      <c r="AM354" s="26">
        <v>0.54900840923902094</v>
      </c>
      <c r="AN354" s="27">
        <v>0.62891545510429003</v>
      </c>
      <c r="AO354" s="11">
        <v>7.7756694436388303</v>
      </c>
      <c r="AP354" s="11">
        <v>5.55360874464417</v>
      </c>
      <c r="AQ354" t="s">
        <v>5875</v>
      </c>
      <c r="AR354" t="s">
        <v>5832</v>
      </c>
      <c r="AS354" t="s">
        <v>2712</v>
      </c>
    </row>
    <row r="355" spans="1:45">
      <c r="A355" t="s">
        <v>958</v>
      </c>
      <c r="B355" s="2">
        <v>2</v>
      </c>
      <c r="C355" s="2">
        <v>1</v>
      </c>
      <c r="D355" s="2">
        <v>0</v>
      </c>
      <c r="E355" s="2">
        <v>0</v>
      </c>
      <c r="F355" s="2">
        <v>0</v>
      </c>
      <c r="G355" s="2">
        <v>0</v>
      </c>
      <c r="H355" s="2">
        <v>2</v>
      </c>
      <c r="I355" s="2">
        <v>6</v>
      </c>
      <c r="J355" s="2">
        <v>5</v>
      </c>
      <c r="K355" s="2">
        <v>14</v>
      </c>
      <c r="L355" s="2">
        <v>13</v>
      </c>
      <c r="M355" s="2">
        <v>7</v>
      </c>
      <c r="N355" s="2">
        <v>15</v>
      </c>
      <c r="O355" s="2">
        <v>15</v>
      </c>
      <c r="P355" s="2">
        <v>10</v>
      </c>
      <c r="Q355" s="2">
        <v>7</v>
      </c>
      <c r="R355" s="2">
        <v>10</v>
      </c>
      <c r="S355" s="2">
        <v>1</v>
      </c>
      <c r="T355" s="2">
        <v>7</v>
      </c>
      <c r="U355" s="11">
        <v>2.4232867916694598</v>
      </c>
      <c r="V355" s="11">
        <v>0.96306412067744696</v>
      </c>
      <c r="W355" s="11">
        <v>0.40019941545306398</v>
      </c>
      <c r="X355" s="11">
        <v>0.37798043978830698</v>
      </c>
      <c r="Y355" s="11">
        <v>0.215044089984223</v>
      </c>
      <c r="Z355" s="11">
        <v>0.23243181165987301</v>
      </c>
      <c r="AA355" s="11">
        <v>2.10812456572928</v>
      </c>
      <c r="AB355" s="11">
        <v>5.8391015878938397</v>
      </c>
      <c r="AC355" s="11">
        <v>3.9737914662247902</v>
      </c>
      <c r="AD355" s="11">
        <v>8.1984454095477108</v>
      </c>
      <c r="AE355" s="11">
        <v>5.6003804378713999</v>
      </c>
      <c r="AF355" s="11">
        <v>12.6982056989991</v>
      </c>
      <c r="AG355" s="11">
        <v>9.1879256581511406</v>
      </c>
      <c r="AH355" s="11">
        <v>5.5243339926958699</v>
      </c>
      <c r="AI355" s="11">
        <v>15.0854004786242</v>
      </c>
      <c r="AJ355" s="11">
        <v>10.658457925322301</v>
      </c>
      <c r="AK355" s="16">
        <v>2.32670556073526</v>
      </c>
      <c r="AL355" s="16">
        <v>5.6473943964445503</v>
      </c>
      <c r="AM355" s="26">
        <v>6.8636866364167803E-6</v>
      </c>
      <c r="AN355" s="27">
        <v>2.64703884671654E-5</v>
      </c>
      <c r="AO355" s="11">
        <v>1.56990410285694</v>
      </c>
      <c r="AP355" s="11">
        <v>8.8658676334295698</v>
      </c>
      <c r="AQ355" t="s">
        <v>5874</v>
      </c>
      <c r="AR355" t="s">
        <v>5876</v>
      </c>
      <c r="AS355" t="s">
        <v>958</v>
      </c>
    </row>
    <row r="356" spans="1:45">
      <c r="A356" t="s">
        <v>4330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2">
        <v>21</v>
      </c>
      <c r="K356" s="2">
        <v>2</v>
      </c>
      <c r="L356" s="2">
        <v>7</v>
      </c>
      <c r="M356" s="2">
        <v>15</v>
      </c>
      <c r="N356" s="2">
        <v>27</v>
      </c>
      <c r="O356" s="2">
        <v>1</v>
      </c>
      <c r="P356" s="2">
        <v>2</v>
      </c>
      <c r="Q356" s="2">
        <v>19</v>
      </c>
      <c r="R356" s="2">
        <v>14</v>
      </c>
      <c r="S356" s="2">
        <v>6</v>
      </c>
      <c r="T356" s="2">
        <v>0</v>
      </c>
      <c r="U356" s="11">
        <v>0.30291084895868198</v>
      </c>
      <c r="V356" s="11">
        <v>0.24076603016936199</v>
      </c>
      <c r="W356" s="11">
        <v>0.40019941545306398</v>
      </c>
      <c r="X356" s="11">
        <v>0.37798043978830698</v>
      </c>
      <c r="Y356" s="11">
        <v>0.215044089984223</v>
      </c>
      <c r="Z356" s="11">
        <v>0.23243181165987301</v>
      </c>
      <c r="AA356" s="11">
        <v>1.05406228286464</v>
      </c>
      <c r="AB356" s="11">
        <v>0.24329589949557701</v>
      </c>
      <c r="AC356" s="11">
        <v>16.689924158144098</v>
      </c>
      <c r="AD356" s="11">
        <v>4.4145475282179998</v>
      </c>
      <c r="AE356" s="11">
        <v>12.0008152240101</v>
      </c>
      <c r="AF356" s="11">
        <v>22.856770258198399</v>
      </c>
      <c r="AG356" s="11">
        <v>1.8375851316302301</v>
      </c>
      <c r="AH356" s="11">
        <v>14.994620837317401</v>
      </c>
      <c r="AI356" s="11">
        <v>21.119560670073898</v>
      </c>
      <c r="AJ356" s="11">
        <v>0.38065921161865401</v>
      </c>
      <c r="AK356" s="16">
        <v>4.5811897398426797</v>
      </c>
      <c r="AL356" s="16">
        <v>30.7479588272336</v>
      </c>
      <c r="AM356" s="26">
        <v>6.4688006125103698E-9</v>
      </c>
      <c r="AN356" s="27">
        <v>6.4591456862230398E-8</v>
      </c>
      <c r="AO356" s="11">
        <v>0.38333635229671598</v>
      </c>
      <c r="AP356" s="11">
        <v>11.7868103774014</v>
      </c>
      <c r="AQ356" t="s">
        <v>5874</v>
      </c>
      <c r="AR356" t="s">
        <v>5876</v>
      </c>
      <c r="AS356" t="s">
        <v>4330</v>
      </c>
    </row>
    <row r="357" spans="1:45">
      <c r="A357" t="s">
        <v>1198</v>
      </c>
      <c r="B357" s="2">
        <v>5.6950000000000003</v>
      </c>
      <c r="C357" s="2">
        <v>6.8310000000000004</v>
      </c>
      <c r="D357" s="2">
        <v>5.3330000000000002</v>
      </c>
      <c r="E357" s="2">
        <v>0</v>
      </c>
      <c r="F357" s="2">
        <v>9.3529999999999998</v>
      </c>
      <c r="G357" s="2">
        <v>10.49</v>
      </c>
      <c r="H357" s="2">
        <v>9.1539999999999999</v>
      </c>
      <c r="I357" s="2">
        <v>4.7359999999999998</v>
      </c>
      <c r="J357" s="2">
        <v>11.385999999999999</v>
      </c>
      <c r="K357" s="2">
        <v>0</v>
      </c>
      <c r="L357" s="2">
        <v>3.9409999999999998</v>
      </c>
      <c r="M357" s="2">
        <v>13.724</v>
      </c>
      <c r="N357" s="2">
        <v>9.4550000000000001</v>
      </c>
      <c r="O357" s="2">
        <v>4.6219999999999999</v>
      </c>
      <c r="P357" s="2">
        <v>7.88</v>
      </c>
      <c r="Q357" s="2">
        <v>5.4329999999999998</v>
      </c>
      <c r="R357" s="2">
        <v>0</v>
      </c>
      <c r="S357" s="2">
        <v>0.53300000000000003</v>
      </c>
      <c r="T357" s="2">
        <v>6.25</v>
      </c>
      <c r="U357" s="11">
        <v>6.9063673562579604</v>
      </c>
      <c r="V357" s="11">
        <v>6.5488360206066396</v>
      </c>
      <c r="W357" s="11">
        <v>8.4842276076049696</v>
      </c>
      <c r="X357" s="11">
        <v>0.37798043978830698</v>
      </c>
      <c r="Y357" s="11">
        <v>8.0856577834067895</v>
      </c>
      <c r="Z357" s="11">
        <v>9.7621360897146605</v>
      </c>
      <c r="AA357" s="11">
        <v>9.6973730023546896</v>
      </c>
      <c r="AB357" s="11">
        <v>4.5739629105168396</v>
      </c>
      <c r="AC357" s="11">
        <v>9.0602445429925105</v>
      </c>
      <c r="AD357" s="11">
        <v>2.4595336228643099</v>
      </c>
      <c r="AE357" s="11">
        <v>10.9607445712626</v>
      </c>
      <c r="AF357" s="11">
        <v>8.0421969426994409</v>
      </c>
      <c r="AG357" s="11">
        <v>7.2584612699394002</v>
      </c>
      <c r="AH357" s="11">
        <v>4.2616290800796799</v>
      </c>
      <c r="AI357" s="11">
        <v>0.377135011965606</v>
      </c>
      <c r="AJ357" s="11">
        <v>9.5926121327900908</v>
      </c>
      <c r="AK357" s="16">
        <v>-7.7257286532202096E-2</v>
      </c>
      <c r="AL357" s="16">
        <v>-1.04660382352516</v>
      </c>
      <c r="AM357" s="26">
        <v>0.90219502826190001</v>
      </c>
      <c r="AN357" s="27">
        <v>0.93576507582513402</v>
      </c>
      <c r="AO357" s="11">
        <v>6.80456765128136</v>
      </c>
      <c r="AP357" s="11">
        <v>6.5015696468242004</v>
      </c>
      <c r="AQ357" t="s">
        <v>5875</v>
      </c>
      <c r="AR357" t="s">
        <v>5832</v>
      </c>
      <c r="AS357" t="s">
        <v>1198</v>
      </c>
    </row>
    <row r="358" spans="1:45">
      <c r="A358" t="s">
        <v>459</v>
      </c>
      <c r="B358" s="2">
        <v>2</v>
      </c>
      <c r="C358" s="2">
        <v>3</v>
      </c>
      <c r="D358" s="2">
        <v>3</v>
      </c>
      <c r="E358" s="2">
        <v>1</v>
      </c>
      <c r="F358" s="2">
        <v>3</v>
      </c>
      <c r="G358" s="2">
        <v>3</v>
      </c>
      <c r="H358" s="2">
        <v>4</v>
      </c>
      <c r="I358" s="2">
        <v>4</v>
      </c>
      <c r="J358" s="2">
        <v>26</v>
      </c>
      <c r="K358" s="2">
        <v>2</v>
      </c>
      <c r="L358" s="2">
        <v>16</v>
      </c>
      <c r="M358" s="2">
        <v>12</v>
      </c>
      <c r="N358" s="2">
        <v>10</v>
      </c>
      <c r="O358" s="2">
        <v>4</v>
      </c>
      <c r="P358" s="2">
        <v>7</v>
      </c>
      <c r="Q358" s="2">
        <v>6</v>
      </c>
      <c r="R358" s="2">
        <v>4</v>
      </c>
      <c r="S358" s="2">
        <v>2</v>
      </c>
      <c r="T358" s="2">
        <v>2</v>
      </c>
      <c r="U358" s="11">
        <v>2.4232867916694598</v>
      </c>
      <c r="V358" s="11">
        <v>2.8891923620323401</v>
      </c>
      <c r="W358" s="11">
        <v>4.8023929854367697</v>
      </c>
      <c r="X358" s="11">
        <v>1.5119217591532299</v>
      </c>
      <c r="Y358" s="11">
        <v>2.5805290798106801</v>
      </c>
      <c r="Z358" s="11">
        <v>2.7891817399184702</v>
      </c>
      <c r="AA358" s="11">
        <v>4.21624913145856</v>
      </c>
      <c r="AB358" s="11">
        <v>3.8927343919292201</v>
      </c>
      <c r="AC358" s="11">
        <v>20.663715624368901</v>
      </c>
      <c r="AD358" s="11">
        <v>10.0903943502126</v>
      </c>
      <c r="AE358" s="11">
        <v>9.6006521792081099</v>
      </c>
      <c r="AF358" s="11">
        <v>8.4654704659994096</v>
      </c>
      <c r="AG358" s="11">
        <v>6.4315479607058004</v>
      </c>
      <c r="AH358" s="11">
        <v>4.7351434223107498</v>
      </c>
      <c r="AI358" s="11">
        <v>6.0341601914496898</v>
      </c>
      <c r="AJ358" s="11">
        <v>3.0452736929492299</v>
      </c>
      <c r="AK358" s="16">
        <v>1.47553580812952</v>
      </c>
      <c r="AL358" s="16">
        <v>2.7510461944845601</v>
      </c>
      <c r="AM358" s="26">
        <v>1.06357596112426E-3</v>
      </c>
      <c r="AN358" s="27">
        <v>2.37659282993736E-3</v>
      </c>
      <c r="AO358" s="11">
        <v>3.1381860301760902</v>
      </c>
      <c r="AP358" s="11">
        <v>8.6332947359005594</v>
      </c>
      <c r="AQ358" t="s">
        <v>5874</v>
      </c>
      <c r="AR358" t="s">
        <v>5876</v>
      </c>
      <c r="AS358" t="s">
        <v>459</v>
      </c>
    </row>
    <row r="359" spans="1:45">
      <c r="A359" t="s">
        <v>4310</v>
      </c>
      <c r="B359" s="2">
        <v>2</v>
      </c>
      <c r="C359" s="2">
        <v>12</v>
      </c>
      <c r="D359" s="2">
        <v>3</v>
      </c>
      <c r="E359" s="2">
        <v>1</v>
      </c>
      <c r="F359" s="2">
        <v>6</v>
      </c>
      <c r="G359" s="2">
        <v>6</v>
      </c>
      <c r="H359" s="2">
        <v>2</v>
      </c>
      <c r="I359" s="2">
        <v>9</v>
      </c>
      <c r="J359" s="2">
        <v>6</v>
      </c>
      <c r="K359" s="2">
        <v>0</v>
      </c>
      <c r="L359" s="2">
        <v>12</v>
      </c>
      <c r="M359" s="2">
        <v>13</v>
      </c>
      <c r="N359" s="2">
        <v>11</v>
      </c>
      <c r="O359" s="2">
        <v>3</v>
      </c>
      <c r="P359" s="2">
        <v>12</v>
      </c>
      <c r="Q359" s="2">
        <v>9</v>
      </c>
      <c r="R359" s="2">
        <v>5</v>
      </c>
      <c r="S359" s="2">
        <v>0</v>
      </c>
      <c r="T359" s="2">
        <v>2</v>
      </c>
      <c r="U359" s="11">
        <v>2.4232867916694598</v>
      </c>
      <c r="V359" s="11">
        <v>11.556769448129399</v>
      </c>
      <c r="W359" s="11">
        <v>4.8023929854367697</v>
      </c>
      <c r="X359" s="11">
        <v>1.5119217591532299</v>
      </c>
      <c r="Y359" s="11">
        <v>5.1610581596213496</v>
      </c>
      <c r="Z359" s="11">
        <v>5.5783634798369501</v>
      </c>
      <c r="AA359" s="11">
        <v>2.10812456572928</v>
      </c>
      <c r="AB359" s="11">
        <v>8.7586523818407507</v>
      </c>
      <c r="AC359" s="11">
        <v>4.7685497594697397</v>
      </c>
      <c r="AD359" s="11">
        <v>7.5677957626594301</v>
      </c>
      <c r="AE359" s="11">
        <v>10.400706527475499</v>
      </c>
      <c r="AF359" s="11">
        <v>9.3120175125993505</v>
      </c>
      <c r="AG359" s="11">
        <v>11.0255107897814</v>
      </c>
      <c r="AH359" s="11">
        <v>7.1027151334661296</v>
      </c>
      <c r="AI359" s="11">
        <v>7.5427002393121096</v>
      </c>
      <c r="AJ359" s="11">
        <v>3.0452736929492299</v>
      </c>
      <c r="AK359" s="16">
        <v>0.498681928355377</v>
      </c>
      <c r="AL359" s="16">
        <v>1.4502253797324101</v>
      </c>
      <c r="AM359" s="26">
        <v>0.23319298854909701</v>
      </c>
      <c r="AN359" s="27">
        <v>0.30292448415406997</v>
      </c>
      <c r="AO359" s="11">
        <v>5.2375711964271403</v>
      </c>
      <c r="AP359" s="11">
        <v>7.5956586772141002</v>
      </c>
      <c r="AQ359" t="s">
        <v>5874</v>
      </c>
      <c r="AR359" t="s">
        <v>5832</v>
      </c>
      <c r="AS359" t="s">
        <v>4310</v>
      </c>
    </row>
    <row r="360" spans="1:45">
      <c r="A360" t="s">
        <v>4845</v>
      </c>
      <c r="B360" s="2">
        <v>10</v>
      </c>
      <c r="C360" s="2">
        <v>13</v>
      </c>
      <c r="D360" s="2">
        <v>16</v>
      </c>
      <c r="E360" s="2">
        <v>15</v>
      </c>
      <c r="F360" s="2">
        <v>18</v>
      </c>
      <c r="G360" s="2">
        <v>12</v>
      </c>
      <c r="H360" s="2">
        <v>7</v>
      </c>
      <c r="I360" s="2">
        <v>5</v>
      </c>
      <c r="J360" s="2">
        <v>1</v>
      </c>
      <c r="K360" s="2">
        <v>0</v>
      </c>
      <c r="L360" s="2">
        <v>2</v>
      </c>
      <c r="M360" s="2">
        <v>8</v>
      </c>
      <c r="N360" s="2">
        <v>1</v>
      </c>
      <c r="O360" s="2">
        <v>0</v>
      </c>
      <c r="P360" s="2">
        <v>2</v>
      </c>
      <c r="Q360" s="2">
        <v>2</v>
      </c>
      <c r="R360" s="2">
        <v>1</v>
      </c>
      <c r="S360" s="2">
        <v>0</v>
      </c>
      <c r="T360" s="2">
        <v>1</v>
      </c>
      <c r="U360" s="11">
        <v>12.116433958347301</v>
      </c>
      <c r="V360" s="11">
        <v>12.519833568806799</v>
      </c>
      <c r="W360" s="11">
        <v>25.612762588996102</v>
      </c>
      <c r="X360" s="11">
        <v>22.6788263872984</v>
      </c>
      <c r="Y360" s="11">
        <v>15.4831744788641</v>
      </c>
      <c r="Z360" s="11">
        <v>11.1567269596739</v>
      </c>
      <c r="AA360" s="11">
        <v>7.3784359800524904</v>
      </c>
      <c r="AB360" s="11">
        <v>4.8659179899115301</v>
      </c>
      <c r="AC360" s="11">
        <v>0.79475829324495695</v>
      </c>
      <c r="AD360" s="11">
        <v>1.2612992937765699</v>
      </c>
      <c r="AE360" s="11">
        <v>6.4004347861387396</v>
      </c>
      <c r="AF360" s="11">
        <v>0.84654704659994096</v>
      </c>
      <c r="AG360" s="11">
        <v>1.8375851316302301</v>
      </c>
      <c r="AH360" s="11">
        <v>1.5783811407702499</v>
      </c>
      <c r="AI360" s="11">
        <v>1.50854004786242</v>
      </c>
      <c r="AJ360" s="11">
        <v>1.5226368464746201</v>
      </c>
      <c r="AK360" s="16">
        <v>-2.6985330408343602</v>
      </c>
      <c r="AL360" s="16">
        <v>-7.0990994103017302</v>
      </c>
      <c r="AM360" s="26">
        <v>2.8895633414627199E-8</v>
      </c>
      <c r="AN360" s="27">
        <v>2.2478114830680901E-7</v>
      </c>
      <c r="AO360" s="11">
        <v>13.976513988993799</v>
      </c>
      <c r="AP360" s="11">
        <v>1.9687728233122199</v>
      </c>
      <c r="AQ360" t="s">
        <v>5875</v>
      </c>
      <c r="AR360" t="s">
        <v>5876</v>
      </c>
      <c r="AS360" t="s">
        <v>4845</v>
      </c>
    </row>
    <row r="361" spans="1:45">
      <c r="A361" t="s">
        <v>3883</v>
      </c>
      <c r="B361" s="2">
        <v>4</v>
      </c>
      <c r="C361" s="2">
        <v>6</v>
      </c>
      <c r="D361" s="2">
        <v>3</v>
      </c>
      <c r="E361" s="2">
        <v>3.5</v>
      </c>
      <c r="F361" s="2">
        <v>2</v>
      </c>
      <c r="G361" s="2">
        <v>12.5</v>
      </c>
      <c r="H361" s="2">
        <v>13.125</v>
      </c>
      <c r="I361" s="2">
        <v>11.375</v>
      </c>
      <c r="J361" s="2">
        <v>4</v>
      </c>
      <c r="K361" s="2">
        <v>0</v>
      </c>
      <c r="L361" s="2">
        <v>7</v>
      </c>
      <c r="M361" s="2">
        <v>4</v>
      </c>
      <c r="N361" s="2">
        <v>8</v>
      </c>
      <c r="O361" s="2">
        <v>0</v>
      </c>
      <c r="P361" s="2">
        <v>4</v>
      </c>
      <c r="Q361" s="2">
        <v>9.8179999999999996</v>
      </c>
      <c r="R361" s="2">
        <v>12.25</v>
      </c>
      <c r="S361" s="2">
        <v>0</v>
      </c>
      <c r="T361" s="2">
        <v>9.3330000000000002</v>
      </c>
      <c r="U361" s="11">
        <v>4.8465735833389196</v>
      </c>
      <c r="V361" s="11">
        <v>5.7783847240646802</v>
      </c>
      <c r="W361" s="11">
        <v>4.8023929854367697</v>
      </c>
      <c r="X361" s="11">
        <v>5.2917261570363001</v>
      </c>
      <c r="Y361" s="11">
        <v>1.72035271987378</v>
      </c>
      <c r="Z361" s="11">
        <v>11.621590582993599</v>
      </c>
      <c r="AA361" s="11">
        <v>13.808215905526801</v>
      </c>
      <c r="AB361" s="11">
        <v>11.0942930169983</v>
      </c>
      <c r="AC361" s="11">
        <v>3.17903317297983</v>
      </c>
      <c r="AD361" s="11">
        <v>4.4145475282179998</v>
      </c>
      <c r="AE361" s="11">
        <v>3.2002173930693698</v>
      </c>
      <c r="AF361" s="11">
        <v>6.7723763727995303</v>
      </c>
      <c r="AG361" s="11">
        <v>3.6751702632604601</v>
      </c>
      <c r="AH361" s="11">
        <v>7.7340675897742299</v>
      </c>
      <c r="AI361" s="11">
        <v>18.555042588707799</v>
      </c>
      <c r="AJ361" s="11">
        <v>14.160522672213901</v>
      </c>
      <c r="AK361" s="16">
        <v>-3.6469405736108997E-2</v>
      </c>
      <c r="AL361" s="16">
        <v>1.04625652366429</v>
      </c>
      <c r="AM361" s="26">
        <v>1</v>
      </c>
      <c r="AN361" s="27">
        <v>1</v>
      </c>
      <c r="AO361" s="11">
        <v>7.37044120940865</v>
      </c>
      <c r="AP361" s="11">
        <v>7.7113721976278899</v>
      </c>
      <c r="AQ361" t="s">
        <v>5874</v>
      </c>
      <c r="AR361" t="s">
        <v>5832</v>
      </c>
      <c r="AS361" t="s">
        <v>3883</v>
      </c>
    </row>
    <row r="362" spans="1:45">
      <c r="A362" t="s">
        <v>4499</v>
      </c>
      <c r="B362" s="2">
        <v>0.38500000000000001</v>
      </c>
      <c r="C362" s="2">
        <v>0.38500000000000001</v>
      </c>
      <c r="D362" s="2">
        <v>0</v>
      </c>
      <c r="E362" s="2">
        <v>0.76900000000000002</v>
      </c>
      <c r="F362" s="2">
        <v>0.38500000000000001</v>
      </c>
      <c r="G362" s="2">
        <v>0.38500000000000001</v>
      </c>
      <c r="H362" s="2">
        <v>5.2770000000000001</v>
      </c>
      <c r="I362" s="2">
        <v>3.0230000000000001</v>
      </c>
      <c r="J362" s="2">
        <v>15.077</v>
      </c>
      <c r="K362" s="2">
        <v>7.923</v>
      </c>
      <c r="L362" s="2">
        <v>14.692</v>
      </c>
      <c r="M362" s="2">
        <v>8.1769999999999996</v>
      </c>
      <c r="N362" s="2">
        <v>1.923</v>
      </c>
      <c r="O362" s="2">
        <v>0</v>
      </c>
      <c r="P362" s="2">
        <v>32.015000000000001</v>
      </c>
      <c r="Q362" s="2">
        <v>14.43</v>
      </c>
      <c r="R362" s="2">
        <v>1</v>
      </c>
      <c r="S362" s="2">
        <v>2.3849999999999998</v>
      </c>
      <c r="T362" s="2">
        <v>5.3849999999999998</v>
      </c>
      <c r="U362" s="11">
        <v>0.48465735833389201</v>
      </c>
      <c r="V362" s="11">
        <v>0.38522564827097899</v>
      </c>
      <c r="W362" s="11">
        <v>0.40019941545306398</v>
      </c>
      <c r="X362" s="11">
        <v>1.20953740732258</v>
      </c>
      <c r="Y362" s="11">
        <v>0.344070543974757</v>
      </c>
      <c r="Z362" s="11">
        <v>0.371890898655796</v>
      </c>
      <c r="AA362" s="11">
        <v>5.5865300991825997</v>
      </c>
      <c r="AB362" s="11">
        <v>2.9195507939469199</v>
      </c>
      <c r="AC362" s="11">
        <v>12.0008502279989</v>
      </c>
      <c r="AD362" s="11">
        <v>9.2705498092577994</v>
      </c>
      <c r="AE362" s="11">
        <v>6.5604456557922104</v>
      </c>
      <c r="AF362" s="11">
        <v>1.60843938853989</v>
      </c>
      <c r="AG362" s="11">
        <v>29.401362106083599</v>
      </c>
      <c r="AH362" s="11">
        <v>11.364344213545801</v>
      </c>
      <c r="AI362" s="11">
        <v>1.50854004786242</v>
      </c>
      <c r="AJ362" s="11">
        <v>8.2222389709629304</v>
      </c>
      <c r="AK362" s="16">
        <v>2.6675429021002599</v>
      </c>
      <c r="AL362" s="16">
        <v>6.83123211830336</v>
      </c>
      <c r="AM362" s="26">
        <v>9.4836854056913703E-5</v>
      </c>
      <c r="AN362" s="27">
        <v>2.6998236325138399E-4</v>
      </c>
      <c r="AO362" s="11">
        <v>1.46270777064257</v>
      </c>
      <c r="AP362" s="11">
        <v>9.9920963025054395</v>
      </c>
      <c r="AQ362" t="s">
        <v>5874</v>
      </c>
      <c r="AR362" t="s">
        <v>5876</v>
      </c>
      <c r="AS362" t="s">
        <v>4499</v>
      </c>
    </row>
    <row r="363" spans="1:45">
      <c r="A363" t="s">
        <v>1215</v>
      </c>
      <c r="B363" s="2">
        <v>1</v>
      </c>
      <c r="C363" s="2">
        <v>6.75</v>
      </c>
      <c r="D363" s="2">
        <v>2</v>
      </c>
      <c r="E363" s="2">
        <v>2</v>
      </c>
      <c r="F363" s="2">
        <v>5.8330000000000002</v>
      </c>
      <c r="G363" s="2">
        <v>3</v>
      </c>
      <c r="H363" s="2">
        <v>0</v>
      </c>
      <c r="I363" s="2">
        <v>8</v>
      </c>
      <c r="J363" s="2">
        <v>24.295000000000002</v>
      </c>
      <c r="K363" s="2">
        <v>2</v>
      </c>
      <c r="L363" s="2">
        <v>8.5</v>
      </c>
      <c r="M363" s="2">
        <v>11.667</v>
      </c>
      <c r="N363" s="2">
        <v>8.5</v>
      </c>
      <c r="O363" s="2">
        <v>4</v>
      </c>
      <c r="P363" s="2">
        <v>10.645</v>
      </c>
      <c r="Q363" s="2">
        <v>11.55</v>
      </c>
      <c r="R363" s="2">
        <v>2</v>
      </c>
      <c r="S363" s="2">
        <v>0</v>
      </c>
      <c r="T363" s="2">
        <v>1.5</v>
      </c>
      <c r="U363" s="11">
        <v>1.2116433958347299</v>
      </c>
      <c r="V363" s="11">
        <v>6.5488360206066396</v>
      </c>
      <c r="W363" s="11">
        <v>3.2015953236245198</v>
      </c>
      <c r="X363" s="11">
        <v>3.0238435183064598</v>
      </c>
      <c r="Y363" s="11">
        <v>4.9890228876339702</v>
      </c>
      <c r="Z363" s="11">
        <v>2.7891817399184702</v>
      </c>
      <c r="AA363" s="11">
        <v>0.26351557071616</v>
      </c>
      <c r="AB363" s="11">
        <v>7.78546878385845</v>
      </c>
      <c r="AC363" s="11">
        <v>19.312626525852501</v>
      </c>
      <c r="AD363" s="11">
        <v>5.3605219985504302</v>
      </c>
      <c r="AE363" s="11">
        <v>9.3606358747279099</v>
      </c>
      <c r="AF363" s="11">
        <v>7.1956498960994999</v>
      </c>
      <c r="AG363" s="11">
        <v>9.7392011976402095</v>
      </c>
      <c r="AH363" s="11">
        <v>9.1546106164674494</v>
      </c>
      <c r="AI363" s="11">
        <v>3.0170800957248498</v>
      </c>
      <c r="AJ363" s="11">
        <v>2.2839552697119201</v>
      </c>
      <c r="AK363" s="16">
        <v>1.11465662448425</v>
      </c>
      <c r="AL363" s="16">
        <v>2.19448046615884</v>
      </c>
      <c r="AM363" s="26">
        <v>2.5095934330208802E-2</v>
      </c>
      <c r="AN363" s="27">
        <v>4.2078145531101903E-2</v>
      </c>
      <c r="AO363" s="11">
        <v>3.7266384050624199</v>
      </c>
      <c r="AP363" s="11">
        <v>8.1780351843468395</v>
      </c>
      <c r="AQ363" t="s">
        <v>5874</v>
      </c>
      <c r="AR363" t="s">
        <v>5878</v>
      </c>
      <c r="AS363" t="s">
        <v>1215</v>
      </c>
    </row>
    <row r="364" spans="1:45">
      <c r="A364" t="s">
        <v>4852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</v>
      </c>
      <c r="I364" s="2">
        <v>5</v>
      </c>
      <c r="J364" s="2">
        <v>1</v>
      </c>
      <c r="K364" s="2">
        <v>12</v>
      </c>
      <c r="L364" s="2">
        <v>16</v>
      </c>
      <c r="M364" s="2">
        <v>9</v>
      </c>
      <c r="N364" s="2">
        <v>7</v>
      </c>
      <c r="O364" s="2">
        <v>2</v>
      </c>
      <c r="P364" s="2">
        <v>29</v>
      </c>
      <c r="Q364" s="2">
        <v>15</v>
      </c>
      <c r="R364" s="2">
        <v>9</v>
      </c>
      <c r="S364" s="2">
        <v>2</v>
      </c>
      <c r="T364" s="2">
        <v>5</v>
      </c>
      <c r="U364" s="11">
        <v>0.30291084895868198</v>
      </c>
      <c r="V364" s="11">
        <v>0.24076603016936199</v>
      </c>
      <c r="W364" s="11">
        <v>0.40019941545306398</v>
      </c>
      <c r="X364" s="11">
        <v>0.37798043978830698</v>
      </c>
      <c r="Y364" s="11">
        <v>0.215044089984223</v>
      </c>
      <c r="Z364" s="11">
        <v>0.23243181165987301</v>
      </c>
      <c r="AA364" s="11">
        <v>1.05406228286464</v>
      </c>
      <c r="AB364" s="11">
        <v>4.8659179899115301</v>
      </c>
      <c r="AC364" s="11">
        <v>0.79475829324495695</v>
      </c>
      <c r="AD364" s="11">
        <v>10.0903943502126</v>
      </c>
      <c r="AE364" s="11">
        <v>7.2004891344060802</v>
      </c>
      <c r="AF364" s="11">
        <v>5.9258293261995796</v>
      </c>
      <c r="AG364" s="11">
        <v>26.644984408638301</v>
      </c>
      <c r="AH364" s="11">
        <v>11.837858555776901</v>
      </c>
      <c r="AI364" s="11">
        <v>13.576860430761799</v>
      </c>
      <c r="AJ364" s="11">
        <v>7.6131842323730803</v>
      </c>
      <c r="AK364" s="16">
        <v>3.22563106904098</v>
      </c>
      <c r="AL364" s="16">
        <v>10.8832037041897</v>
      </c>
      <c r="AM364" s="26">
        <v>2.3555489570911202E-6</v>
      </c>
      <c r="AN364" s="27">
        <v>1.01016811044485E-5</v>
      </c>
      <c r="AO364" s="11">
        <v>0.96116411359871001</v>
      </c>
      <c r="AP364" s="11">
        <v>10.4605448414517</v>
      </c>
      <c r="AQ364" t="s">
        <v>5874</v>
      </c>
      <c r="AR364" t="s">
        <v>5876</v>
      </c>
      <c r="AS364" t="s">
        <v>4852</v>
      </c>
    </row>
    <row r="365" spans="1:45">
      <c r="A365" t="s">
        <v>1523</v>
      </c>
      <c r="B365" s="2">
        <v>9</v>
      </c>
      <c r="C365" s="2">
        <v>4</v>
      </c>
      <c r="D365" s="2">
        <v>5</v>
      </c>
      <c r="E365" s="2">
        <v>9</v>
      </c>
      <c r="F365" s="2">
        <v>5</v>
      </c>
      <c r="G365" s="2">
        <v>6</v>
      </c>
      <c r="H365" s="2">
        <v>8</v>
      </c>
      <c r="I365" s="2">
        <v>5</v>
      </c>
      <c r="J365" s="2">
        <v>3</v>
      </c>
      <c r="K365" s="2">
        <v>1</v>
      </c>
      <c r="L365" s="2">
        <v>13</v>
      </c>
      <c r="M365" s="2">
        <v>7</v>
      </c>
      <c r="N365" s="2">
        <v>1</v>
      </c>
      <c r="O365" s="2">
        <v>2</v>
      </c>
      <c r="P365" s="2">
        <v>23</v>
      </c>
      <c r="Q365" s="2">
        <v>5</v>
      </c>
      <c r="R365" s="2">
        <v>4</v>
      </c>
      <c r="S365" s="2">
        <v>1</v>
      </c>
      <c r="T365" s="2">
        <v>1</v>
      </c>
      <c r="U365" s="11">
        <v>10.9047905625126</v>
      </c>
      <c r="V365" s="11">
        <v>3.85225648270979</v>
      </c>
      <c r="W365" s="11">
        <v>8.00398830906129</v>
      </c>
      <c r="X365" s="11">
        <v>13.6072958323791</v>
      </c>
      <c r="Y365" s="11">
        <v>4.3008817996844604</v>
      </c>
      <c r="Z365" s="11">
        <v>5.5783634798369501</v>
      </c>
      <c r="AA365" s="11">
        <v>8.4324982629171306</v>
      </c>
      <c r="AB365" s="11">
        <v>4.8659179899115301</v>
      </c>
      <c r="AC365" s="11">
        <v>2.3842748797348698</v>
      </c>
      <c r="AD365" s="11">
        <v>8.1984454095477108</v>
      </c>
      <c r="AE365" s="11">
        <v>5.6003804378713999</v>
      </c>
      <c r="AF365" s="11">
        <v>0.84654704659994096</v>
      </c>
      <c r="AG365" s="11">
        <v>21.132229013747601</v>
      </c>
      <c r="AH365" s="11">
        <v>3.94595285192562</v>
      </c>
      <c r="AI365" s="11">
        <v>6.0341601914496898</v>
      </c>
      <c r="AJ365" s="11">
        <v>1.5226368464746201</v>
      </c>
      <c r="AK365" s="16">
        <v>-0.209296405496572</v>
      </c>
      <c r="AL365" s="16">
        <v>-1.1989618507727</v>
      </c>
      <c r="AM365" s="26">
        <v>0.67530083808422103</v>
      </c>
      <c r="AN365" s="27">
        <v>0.74673762095594098</v>
      </c>
      <c r="AO365" s="11">
        <v>7.4432490898766002</v>
      </c>
      <c r="AP365" s="11">
        <v>6.2080783346689303</v>
      </c>
      <c r="AQ365" t="s">
        <v>5875</v>
      </c>
      <c r="AR365" t="s">
        <v>5832</v>
      </c>
      <c r="AS365" t="s">
        <v>1523</v>
      </c>
    </row>
    <row r="366" spans="1:45">
      <c r="A366" t="s">
        <v>3912</v>
      </c>
      <c r="B366" s="2">
        <v>6</v>
      </c>
      <c r="C366" s="2">
        <v>6</v>
      </c>
      <c r="D366" s="2">
        <v>5</v>
      </c>
      <c r="E366" s="2">
        <v>5</v>
      </c>
      <c r="F366" s="2">
        <v>1</v>
      </c>
      <c r="G366" s="2">
        <v>4</v>
      </c>
      <c r="H366" s="2">
        <v>3</v>
      </c>
      <c r="I366" s="2">
        <v>12</v>
      </c>
      <c r="J366" s="2">
        <v>7</v>
      </c>
      <c r="K366" s="2">
        <v>4</v>
      </c>
      <c r="L366" s="2">
        <v>8</v>
      </c>
      <c r="M366" s="2">
        <v>9</v>
      </c>
      <c r="N366" s="2">
        <v>5</v>
      </c>
      <c r="O366" s="2">
        <v>5</v>
      </c>
      <c r="P366" s="2">
        <v>7</v>
      </c>
      <c r="Q366" s="2">
        <v>11</v>
      </c>
      <c r="R366" s="2">
        <v>4</v>
      </c>
      <c r="S366" s="2">
        <v>3</v>
      </c>
      <c r="T366" s="2">
        <v>6</v>
      </c>
      <c r="U366" s="11">
        <v>7.2698603750083803</v>
      </c>
      <c r="V366" s="11">
        <v>5.7783847240646802</v>
      </c>
      <c r="W366" s="11">
        <v>8.00398830906129</v>
      </c>
      <c r="X366" s="11">
        <v>7.5596087957661497</v>
      </c>
      <c r="Y366" s="11">
        <v>0.86017635993689201</v>
      </c>
      <c r="Z366" s="11">
        <v>3.7189089865579601</v>
      </c>
      <c r="AA366" s="11">
        <v>3.1621868485939202</v>
      </c>
      <c r="AB366" s="11">
        <v>11.678203175787701</v>
      </c>
      <c r="AC366" s="11">
        <v>5.5633080527147003</v>
      </c>
      <c r="AD366" s="11">
        <v>5.0451971751062796</v>
      </c>
      <c r="AE366" s="11">
        <v>7.2004891344060802</v>
      </c>
      <c r="AF366" s="11">
        <v>4.2327352329997003</v>
      </c>
      <c r="AG366" s="11">
        <v>6.4315479607058004</v>
      </c>
      <c r="AH366" s="11">
        <v>8.6810962742363706</v>
      </c>
      <c r="AI366" s="11">
        <v>6.0341601914496898</v>
      </c>
      <c r="AJ366" s="11">
        <v>9.1358210788476999</v>
      </c>
      <c r="AK366" s="16">
        <v>0.14318264817121801</v>
      </c>
      <c r="AL366" s="16">
        <v>1.08937996587343</v>
      </c>
      <c r="AM366" s="26">
        <v>0.81968080479765904</v>
      </c>
      <c r="AN366" s="27">
        <v>0.87042294985656199</v>
      </c>
      <c r="AO366" s="11">
        <v>6.0039146968471204</v>
      </c>
      <c r="AP366" s="11">
        <v>6.54054438755829</v>
      </c>
      <c r="AQ366" t="s">
        <v>5874</v>
      </c>
      <c r="AR366" t="s">
        <v>5832</v>
      </c>
      <c r="AS366" t="s">
        <v>3912</v>
      </c>
    </row>
    <row r="367" spans="1:45">
      <c r="A367" t="s">
        <v>4741</v>
      </c>
      <c r="B367" s="2">
        <v>8</v>
      </c>
      <c r="C367" s="2">
        <v>14</v>
      </c>
      <c r="D367" s="2">
        <v>21</v>
      </c>
      <c r="E367" s="2">
        <v>12</v>
      </c>
      <c r="F367" s="2">
        <v>18</v>
      </c>
      <c r="G367" s="2">
        <v>17</v>
      </c>
      <c r="H367" s="2">
        <v>8</v>
      </c>
      <c r="I367" s="2">
        <v>3</v>
      </c>
      <c r="J367" s="2">
        <v>0</v>
      </c>
      <c r="K367" s="2">
        <v>0</v>
      </c>
      <c r="L367" s="2">
        <v>2</v>
      </c>
      <c r="M367" s="2">
        <v>3</v>
      </c>
      <c r="N367" s="2">
        <v>0</v>
      </c>
      <c r="O367" s="2">
        <v>0</v>
      </c>
      <c r="P367" s="2">
        <v>0</v>
      </c>
      <c r="Q367" s="2">
        <v>2</v>
      </c>
      <c r="R367" s="2">
        <v>0</v>
      </c>
      <c r="S367" s="2">
        <v>1</v>
      </c>
      <c r="T367" s="2">
        <v>2</v>
      </c>
      <c r="U367" s="11">
        <v>9.6931471666778304</v>
      </c>
      <c r="V367" s="11">
        <v>13.4828976894843</v>
      </c>
      <c r="W367" s="11">
        <v>33.616750898057397</v>
      </c>
      <c r="X367" s="11">
        <v>18.143061109838801</v>
      </c>
      <c r="Y367" s="11">
        <v>15.4831744788641</v>
      </c>
      <c r="Z367" s="11">
        <v>15.805363192871299</v>
      </c>
      <c r="AA367" s="11">
        <v>8.4324982629171306</v>
      </c>
      <c r="AB367" s="11">
        <v>2.9195507939469199</v>
      </c>
      <c r="AC367" s="11">
        <v>0.19868957331123899</v>
      </c>
      <c r="AD367" s="11">
        <v>1.2612992937765699</v>
      </c>
      <c r="AE367" s="11">
        <v>2.4001630448020301</v>
      </c>
      <c r="AF367" s="11">
        <v>0.21163676164998499</v>
      </c>
      <c r="AG367" s="11">
        <v>0.22969814145377901</v>
      </c>
      <c r="AH367" s="11">
        <v>1.5783811407702499</v>
      </c>
      <c r="AI367" s="11">
        <v>0.377135011965606</v>
      </c>
      <c r="AJ367" s="11">
        <v>3.0452736929492299</v>
      </c>
      <c r="AK367" s="16">
        <v>-3.54622619841378</v>
      </c>
      <c r="AL367" s="16">
        <v>-12.639534157230599</v>
      </c>
      <c r="AM367" s="26">
        <v>6.4208368000604801E-10</v>
      </c>
      <c r="AN367" s="27">
        <v>9.0545536185222008E-9</v>
      </c>
      <c r="AO367" s="11">
        <v>14.6970554490822</v>
      </c>
      <c r="AP367" s="11">
        <v>1.16278458258484</v>
      </c>
      <c r="AQ367" t="s">
        <v>5875</v>
      </c>
      <c r="AR367" t="s">
        <v>5876</v>
      </c>
      <c r="AS367" t="s">
        <v>4741</v>
      </c>
    </row>
    <row r="368" spans="1:45">
      <c r="A368" t="s">
        <v>455</v>
      </c>
      <c r="B368" s="2">
        <v>14</v>
      </c>
      <c r="C368" s="2">
        <v>6</v>
      </c>
      <c r="D368" s="2">
        <v>22</v>
      </c>
      <c r="E368" s="2">
        <v>12</v>
      </c>
      <c r="F368" s="2">
        <v>16</v>
      </c>
      <c r="G368" s="2">
        <v>18.899999999999999</v>
      </c>
      <c r="H368" s="2">
        <v>10</v>
      </c>
      <c r="I368" s="2">
        <v>6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0</v>
      </c>
      <c r="P368" s="2">
        <v>0</v>
      </c>
      <c r="Q368" s="2">
        <v>5</v>
      </c>
      <c r="R368" s="2">
        <v>0</v>
      </c>
      <c r="S368" s="2">
        <v>0</v>
      </c>
      <c r="T368" s="2">
        <v>0</v>
      </c>
      <c r="U368" s="11">
        <v>16.963007541686199</v>
      </c>
      <c r="V368" s="11">
        <v>5.7783847240646802</v>
      </c>
      <c r="W368" s="11">
        <v>35.217548559869698</v>
      </c>
      <c r="X368" s="11">
        <v>18.143061109838801</v>
      </c>
      <c r="Y368" s="11">
        <v>13.762821758990301</v>
      </c>
      <c r="Z368" s="11">
        <v>17.571844961486399</v>
      </c>
      <c r="AA368" s="11">
        <v>10.5406228286464</v>
      </c>
      <c r="AB368" s="11">
        <v>5.8391015878938397</v>
      </c>
      <c r="AC368" s="11">
        <v>0.19868957331123899</v>
      </c>
      <c r="AD368" s="11">
        <v>0.15766241172207099</v>
      </c>
      <c r="AE368" s="11">
        <v>0.80005434826734301</v>
      </c>
      <c r="AF368" s="11">
        <v>0.21163676164998499</v>
      </c>
      <c r="AG368" s="11">
        <v>0.22969814145377901</v>
      </c>
      <c r="AH368" s="11">
        <v>3.94595285192562</v>
      </c>
      <c r="AI368" s="11">
        <v>0.377135011965606</v>
      </c>
      <c r="AJ368" s="11">
        <v>0.38065921161865401</v>
      </c>
      <c r="AK368" s="16">
        <v>-4.0062358775161799</v>
      </c>
      <c r="AL368" s="16">
        <v>-19.648753904434798</v>
      </c>
      <c r="AM368" s="26">
        <v>2.6125801370398399E-11</v>
      </c>
      <c r="AN368" s="27">
        <v>5.1406356225872204E-10</v>
      </c>
      <c r="AO368" s="11">
        <v>15.4770491340595</v>
      </c>
      <c r="AP368" s="11">
        <v>0.78768603898928802</v>
      </c>
      <c r="AQ368" t="s">
        <v>5875</v>
      </c>
      <c r="AR368" t="s">
        <v>5876</v>
      </c>
      <c r="AS368" t="s">
        <v>455</v>
      </c>
    </row>
    <row r="369" spans="1:45">
      <c r="A369" t="s">
        <v>2304</v>
      </c>
      <c r="B369" s="2">
        <v>0</v>
      </c>
      <c r="C369" s="2">
        <v>0</v>
      </c>
      <c r="D369" s="2">
        <v>0</v>
      </c>
      <c r="E369" s="2">
        <v>0.5</v>
      </c>
      <c r="F369" s="2">
        <v>0</v>
      </c>
      <c r="G369" s="2">
        <v>0</v>
      </c>
      <c r="H369" s="2">
        <v>0</v>
      </c>
      <c r="I369" s="2">
        <v>1.5</v>
      </c>
      <c r="J369" s="2">
        <v>7.6360000000000001</v>
      </c>
      <c r="K369" s="2">
        <v>10</v>
      </c>
      <c r="L369" s="2">
        <v>11.89</v>
      </c>
      <c r="M369" s="2">
        <v>6</v>
      </c>
      <c r="N369" s="2">
        <v>28</v>
      </c>
      <c r="O369" s="2">
        <v>5</v>
      </c>
      <c r="P369" s="2">
        <v>11</v>
      </c>
      <c r="Q369" s="2">
        <v>10.909000000000001</v>
      </c>
      <c r="R369" s="2">
        <v>4</v>
      </c>
      <c r="S369" s="2">
        <v>3</v>
      </c>
      <c r="T369" s="2">
        <v>11</v>
      </c>
      <c r="U369" s="11">
        <v>0.30291084895868198</v>
      </c>
      <c r="V369" s="11">
        <v>0.24076603016936199</v>
      </c>
      <c r="W369" s="11">
        <v>0.40019941545306398</v>
      </c>
      <c r="X369" s="11">
        <v>0.75596087957661495</v>
      </c>
      <c r="Y369" s="11">
        <v>0.215044089984223</v>
      </c>
      <c r="Z369" s="11">
        <v>0.23243181165987301</v>
      </c>
      <c r="AA369" s="11">
        <v>0.26351557071616</v>
      </c>
      <c r="AB369" s="11">
        <v>1.4597753969734599</v>
      </c>
      <c r="AC369" s="11">
        <v>6.0401630286616799</v>
      </c>
      <c r="AD369" s="11">
        <v>7.5047307979706002</v>
      </c>
      <c r="AE369" s="11">
        <v>4.8003260896040603</v>
      </c>
      <c r="AF369" s="11">
        <v>23.703317304798301</v>
      </c>
      <c r="AG369" s="11">
        <v>10.1067182239663</v>
      </c>
      <c r="AH369" s="11">
        <v>8.6021772171978608</v>
      </c>
      <c r="AI369" s="11">
        <v>6.0341601914496898</v>
      </c>
      <c r="AJ369" s="11">
        <v>16.749005311220799</v>
      </c>
      <c r="AK369" s="16">
        <v>4.1285820382001299</v>
      </c>
      <c r="AL369" s="16">
        <v>21.583349065463299</v>
      </c>
      <c r="AM369" s="26">
        <v>7.5970755876946306E-11</v>
      </c>
      <c r="AN369" s="27">
        <v>1.41178988004658E-9</v>
      </c>
      <c r="AO369" s="11">
        <v>0.48382550543642999</v>
      </c>
      <c r="AP369" s="11">
        <v>10.442574770608701</v>
      </c>
      <c r="AQ369" t="s">
        <v>5874</v>
      </c>
      <c r="AR369" t="s">
        <v>5876</v>
      </c>
      <c r="AS369" t="s">
        <v>2304</v>
      </c>
    </row>
    <row r="370" spans="1:45">
      <c r="A370" t="s">
        <v>5197</v>
      </c>
      <c r="B370" s="2">
        <v>6</v>
      </c>
      <c r="C370" s="2">
        <v>11</v>
      </c>
      <c r="D370" s="2">
        <v>3</v>
      </c>
      <c r="E370" s="2">
        <v>5</v>
      </c>
      <c r="F370" s="2">
        <v>12</v>
      </c>
      <c r="G370" s="2">
        <v>10</v>
      </c>
      <c r="H370" s="2">
        <v>7</v>
      </c>
      <c r="I370" s="2">
        <v>10</v>
      </c>
      <c r="J370" s="2">
        <v>12</v>
      </c>
      <c r="K370" s="2">
        <v>1</v>
      </c>
      <c r="L370" s="2">
        <v>7</v>
      </c>
      <c r="M370" s="2">
        <v>4</v>
      </c>
      <c r="N370" s="2">
        <v>2</v>
      </c>
      <c r="O370" s="2">
        <v>2</v>
      </c>
      <c r="P370" s="2">
        <v>5</v>
      </c>
      <c r="Q370" s="2">
        <v>6</v>
      </c>
      <c r="R370" s="2">
        <v>3</v>
      </c>
      <c r="S370" s="2">
        <v>2</v>
      </c>
      <c r="T370" s="2">
        <v>2</v>
      </c>
      <c r="U370" s="11">
        <v>7.2698603750083803</v>
      </c>
      <c r="V370" s="11">
        <v>10.5937053274519</v>
      </c>
      <c r="W370" s="11">
        <v>4.8023929854367697</v>
      </c>
      <c r="X370" s="11">
        <v>7.5596087957661497</v>
      </c>
      <c r="Y370" s="11">
        <v>10.322116319242699</v>
      </c>
      <c r="Z370" s="11">
        <v>9.2972724663949098</v>
      </c>
      <c r="AA370" s="11">
        <v>7.3784359800524904</v>
      </c>
      <c r="AB370" s="11">
        <v>9.7318359798230603</v>
      </c>
      <c r="AC370" s="11">
        <v>9.53709951893949</v>
      </c>
      <c r="AD370" s="11">
        <v>4.4145475282179998</v>
      </c>
      <c r="AE370" s="11">
        <v>3.2002173930693698</v>
      </c>
      <c r="AF370" s="11">
        <v>1.6930940931998799</v>
      </c>
      <c r="AG370" s="11">
        <v>4.5939628290755703</v>
      </c>
      <c r="AH370" s="11">
        <v>4.7351434223107498</v>
      </c>
      <c r="AI370" s="11">
        <v>4.5256201435872701</v>
      </c>
      <c r="AJ370" s="11">
        <v>3.0452736929492299</v>
      </c>
      <c r="AK370" s="16">
        <v>-0.89561031342378306</v>
      </c>
      <c r="AL370" s="16">
        <v>-1.87313766224884</v>
      </c>
      <c r="AM370" s="26">
        <v>1.30372210747202E-2</v>
      </c>
      <c r="AN370" s="27">
        <v>2.33057082864561E-2</v>
      </c>
      <c r="AO370" s="11">
        <v>8.3694035286470498</v>
      </c>
      <c r="AP370" s="11">
        <v>4.4681198276687004</v>
      </c>
      <c r="AQ370" t="s">
        <v>5875</v>
      </c>
      <c r="AR370" t="s">
        <v>5878</v>
      </c>
      <c r="AS370" t="s">
        <v>5197</v>
      </c>
    </row>
    <row r="371" spans="1:45">
      <c r="A371" t="s">
        <v>4664</v>
      </c>
      <c r="B371" s="2">
        <v>6</v>
      </c>
      <c r="C371" s="2">
        <v>14.856999999999999</v>
      </c>
      <c r="D371" s="2">
        <v>1</v>
      </c>
      <c r="E371" s="2">
        <v>6</v>
      </c>
      <c r="F371" s="2">
        <v>24.84</v>
      </c>
      <c r="G371" s="2">
        <v>17.5</v>
      </c>
      <c r="H371" s="2">
        <v>6</v>
      </c>
      <c r="I371" s="2">
        <v>7</v>
      </c>
      <c r="J371" s="2">
        <v>3.75</v>
      </c>
      <c r="K371" s="2">
        <v>0</v>
      </c>
      <c r="L371" s="2">
        <v>13.867000000000001</v>
      </c>
      <c r="M371" s="2">
        <v>1</v>
      </c>
      <c r="N371" s="2">
        <v>2</v>
      </c>
      <c r="O371" s="2">
        <v>1</v>
      </c>
      <c r="P371" s="2">
        <v>0</v>
      </c>
      <c r="Q371" s="2">
        <v>2</v>
      </c>
      <c r="R371" s="2">
        <v>2</v>
      </c>
      <c r="S371" s="2">
        <v>0</v>
      </c>
      <c r="T371" s="2">
        <v>1</v>
      </c>
      <c r="U371" s="11">
        <v>7.2698603750083803</v>
      </c>
      <c r="V371" s="11">
        <v>14.349655398094001</v>
      </c>
      <c r="W371" s="11">
        <v>1.6007976618122599</v>
      </c>
      <c r="X371" s="11">
        <v>9.0715305549193808</v>
      </c>
      <c r="Y371" s="11">
        <v>21.332373726434898</v>
      </c>
      <c r="Z371" s="11">
        <v>16.270226816191101</v>
      </c>
      <c r="AA371" s="11">
        <v>6.3243736971878404</v>
      </c>
      <c r="AB371" s="11">
        <v>6.8122851858761404</v>
      </c>
      <c r="AC371" s="11">
        <v>3.0200815143308399</v>
      </c>
      <c r="AD371" s="11">
        <v>8.7660300917471705</v>
      </c>
      <c r="AE371" s="11">
        <v>0.80005434826734301</v>
      </c>
      <c r="AF371" s="11">
        <v>1.6930940931998799</v>
      </c>
      <c r="AG371" s="11">
        <v>0.22969814145377901</v>
      </c>
      <c r="AH371" s="11">
        <v>1.5783811407702499</v>
      </c>
      <c r="AI371" s="11">
        <v>3.0170800957248498</v>
      </c>
      <c r="AJ371" s="11">
        <v>1.5226368464746201</v>
      </c>
      <c r="AK371" s="16">
        <v>-1.9204599083962599</v>
      </c>
      <c r="AL371" s="16">
        <v>-4.0253491492317099</v>
      </c>
      <c r="AM371" s="26">
        <v>3.7540627276321398E-4</v>
      </c>
      <c r="AN371" s="27">
        <v>9.3363121367505701E-4</v>
      </c>
      <c r="AO371" s="11">
        <v>10.3788879269405</v>
      </c>
      <c r="AP371" s="11">
        <v>2.5783820339960899</v>
      </c>
      <c r="AQ371" t="s">
        <v>5875</v>
      </c>
      <c r="AR371" t="s">
        <v>5876</v>
      </c>
      <c r="AS371" t="s">
        <v>4664</v>
      </c>
    </row>
    <row r="372" spans="1:45">
      <c r="A372" t="s">
        <v>1231</v>
      </c>
      <c r="B372" s="2">
        <v>0</v>
      </c>
      <c r="C372" s="2">
        <v>2</v>
      </c>
      <c r="D372" s="2">
        <v>0</v>
      </c>
      <c r="E372" s="2">
        <v>0</v>
      </c>
      <c r="F372" s="2">
        <v>5</v>
      </c>
      <c r="G372" s="2">
        <v>5</v>
      </c>
      <c r="H372" s="2">
        <v>11</v>
      </c>
      <c r="I372" s="2">
        <v>11</v>
      </c>
      <c r="J372" s="2">
        <v>22</v>
      </c>
      <c r="K372" s="2">
        <v>0</v>
      </c>
      <c r="L372" s="2">
        <v>18</v>
      </c>
      <c r="M372" s="2">
        <v>19</v>
      </c>
      <c r="N372" s="2">
        <v>2</v>
      </c>
      <c r="O372" s="2">
        <v>3</v>
      </c>
      <c r="P372" s="2">
        <v>2</v>
      </c>
      <c r="Q372" s="2">
        <v>2</v>
      </c>
      <c r="R372" s="2">
        <v>5</v>
      </c>
      <c r="S372" s="2">
        <v>1</v>
      </c>
      <c r="T372" s="2">
        <v>1</v>
      </c>
      <c r="U372" s="11">
        <v>0.30291084895868198</v>
      </c>
      <c r="V372" s="11">
        <v>1.9261282413548899</v>
      </c>
      <c r="W372" s="11">
        <v>0.40019941545306398</v>
      </c>
      <c r="X372" s="11">
        <v>0.37798043978830698</v>
      </c>
      <c r="Y372" s="11">
        <v>4.3008817996844604</v>
      </c>
      <c r="Z372" s="11">
        <v>4.6486362331974602</v>
      </c>
      <c r="AA372" s="11">
        <v>11.594685111511</v>
      </c>
      <c r="AB372" s="11">
        <v>10.7050195778054</v>
      </c>
      <c r="AC372" s="11">
        <v>17.484682451389101</v>
      </c>
      <c r="AD372" s="11">
        <v>11.351693643989099</v>
      </c>
      <c r="AE372" s="11">
        <v>15.2010326170795</v>
      </c>
      <c r="AF372" s="11">
        <v>1.6930940931998799</v>
      </c>
      <c r="AG372" s="11">
        <v>1.8375851316302301</v>
      </c>
      <c r="AH372" s="11">
        <v>1.5783811407702499</v>
      </c>
      <c r="AI372" s="11">
        <v>7.5427002393121096</v>
      </c>
      <c r="AJ372" s="11">
        <v>1.5226368464746201</v>
      </c>
      <c r="AK372" s="16">
        <v>0.72635296561839602</v>
      </c>
      <c r="AL372" s="16">
        <v>1.6992951786537001</v>
      </c>
      <c r="AM372" s="26">
        <v>0.28631303698839899</v>
      </c>
      <c r="AN372" s="27">
        <v>0.36415099191110101</v>
      </c>
      <c r="AO372" s="11">
        <v>4.2820552084691599</v>
      </c>
      <c r="AP372" s="11">
        <v>7.2764757704805998</v>
      </c>
      <c r="AQ372" t="s">
        <v>5874</v>
      </c>
      <c r="AR372" t="s">
        <v>5832</v>
      </c>
      <c r="AS372" t="s">
        <v>1231</v>
      </c>
    </row>
    <row r="373" spans="1:45">
      <c r="A373" t="s">
        <v>3908</v>
      </c>
      <c r="B373" s="2">
        <v>8</v>
      </c>
      <c r="C373" s="2">
        <v>18</v>
      </c>
      <c r="D373" s="2">
        <v>15</v>
      </c>
      <c r="E373" s="2">
        <v>19</v>
      </c>
      <c r="F373" s="2">
        <v>14</v>
      </c>
      <c r="G373" s="2">
        <v>12</v>
      </c>
      <c r="H373" s="2">
        <v>14</v>
      </c>
      <c r="I373" s="2">
        <v>3</v>
      </c>
      <c r="J373" s="2">
        <v>0</v>
      </c>
      <c r="K373" s="2">
        <v>0</v>
      </c>
      <c r="L373" s="2">
        <v>0</v>
      </c>
      <c r="M373" s="2">
        <v>1</v>
      </c>
      <c r="N373" s="2">
        <v>1</v>
      </c>
      <c r="O373" s="2">
        <v>0</v>
      </c>
      <c r="P373" s="2">
        <v>1</v>
      </c>
      <c r="Q373" s="2">
        <v>1</v>
      </c>
      <c r="R373" s="2">
        <v>0</v>
      </c>
      <c r="S373" s="2">
        <v>1</v>
      </c>
      <c r="T373" s="2">
        <v>1</v>
      </c>
      <c r="U373" s="11">
        <v>9.6931471666778304</v>
      </c>
      <c r="V373" s="11">
        <v>17.335154172193999</v>
      </c>
      <c r="W373" s="11">
        <v>24.0119649271839</v>
      </c>
      <c r="X373" s="11">
        <v>28.726513423911399</v>
      </c>
      <c r="Y373" s="11">
        <v>12.042469039116501</v>
      </c>
      <c r="Z373" s="11">
        <v>11.1567269596739</v>
      </c>
      <c r="AA373" s="11">
        <v>14.756871960105</v>
      </c>
      <c r="AB373" s="11">
        <v>2.9195507939469199</v>
      </c>
      <c r="AC373" s="11">
        <v>0.19868957331123899</v>
      </c>
      <c r="AD373" s="11">
        <v>0.15766241172207099</v>
      </c>
      <c r="AE373" s="11">
        <v>0.80005434826734301</v>
      </c>
      <c r="AF373" s="11">
        <v>0.84654704659994096</v>
      </c>
      <c r="AG373" s="11">
        <v>0.91879256581511404</v>
      </c>
      <c r="AH373" s="11">
        <v>0.78919057038512497</v>
      </c>
      <c r="AI373" s="11">
        <v>0.377135011965606</v>
      </c>
      <c r="AJ373" s="11">
        <v>1.5226368464746201</v>
      </c>
      <c r="AK373" s="16">
        <v>-4.2656341266768596</v>
      </c>
      <c r="AL373" s="16">
        <v>-21.502168779655701</v>
      </c>
      <c r="AM373" s="26">
        <v>5.0343114270690501E-13</v>
      </c>
      <c r="AN373" s="27">
        <v>1.60378778319485E-11</v>
      </c>
      <c r="AO373" s="11">
        <v>15.080299805351199</v>
      </c>
      <c r="AP373" s="11">
        <v>0.70133854681763197</v>
      </c>
      <c r="AQ373" t="s">
        <v>5875</v>
      </c>
      <c r="AR373" t="s">
        <v>5876</v>
      </c>
      <c r="AS373" t="s">
        <v>3908</v>
      </c>
    </row>
    <row r="374" spans="1:45">
      <c r="A374" t="s">
        <v>4085</v>
      </c>
      <c r="B374" s="2">
        <v>9</v>
      </c>
      <c r="C374" s="2">
        <v>13</v>
      </c>
      <c r="D374" s="2">
        <v>12</v>
      </c>
      <c r="E374" s="2">
        <v>12</v>
      </c>
      <c r="F374" s="2">
        <v>12</v>
      </c>
      <c r="G374" s="2">
        <v>7</v>
      </c>
      <c r="H374" s="2">
        <v>14</v>
      </c>
      <c r="I374" s="2">
        <v>7</v>
      </c>
      <c r="J374" s="2">
        <v>2</v>
      </c>
      <c r="K374" s="2">
        <v>0</v>
      </c>
      <c r="L374" s="2">
        <v>1</v>
      </c>
      <c r="M374" s="2">
        <v>5</v>
      </c>
      <c r="N374" s="2">
        <v>1</v>
      </c>
      <c r="O374" s="2">
        <v>1</v>
      </c>
      <c r="P374" s="2">
        <v>2</v>
      </c>
      <c r="Q374" s="2">
        <v>5</v>
      </c>
      <c r="R374" s="2">
        <v>1</v>
      </c>
      <c r="S374" s="2">
        <v>1</v>
      </c>
      <c r="T374" s="2">
        <v>4</v>
      </c>
      <c r="U374" s="11">
        <v>10.9047905625126</v>
      </c>
      <c r="V374" s="11">
        <v>12.519833568806799</v>
      </c>
      <c r="W374" s="11">
        <v>19.2095719417471</v>
      </c>
      <c r="X374" s="11">
        <v>18.143061109838801</v>
      </c>
      <c r="Y374" s="11">
        <v>10.322116319242699</v>
      </c>
      <c r="Z374" s="11">
        <v>6.50809072647644</v>
      </c>
      <c r="AA374" s="11">
        <v>14.756871960105</v>
      </c>
      <c r="AB374" s="11">
        <v>6.8122851858761404</v>
      </c>
      <c r="AC374" s="11">
        <v>1.5895165864899099</v>
      </c>
      <c r="AD374" s="11">
        <v>0.63064964688828595</v>
      </c>
      <c r="AE374" s="11">
        <v>4.0002717413367099</v>
      </c>
      <c r="AF374" s="11">
        <v>0.84654704659994096</v>
      </c>
      <c r="AG374" s="11">
        <v>1.8375851316302301</v>
      </c>
      <c r="AH374" s="11">
        <v>3.94595285192562</v>
      </c>
      <c r="AI374" s="11">
        <v>1.50854004786242</v>
      </c>
      <c r="AJ374" s="11">
        <v>6.0905473858984696</v>
      </c>
      <c r="AK374" s="16">
        <v>-2.2755147876399202</v>
      </c>
      <c r="AL374" s="16">
        <v>-4.8498049227994002</v>
      </c>
      <c r="AM374" s="26">
        <v>1.59326980561439E-7</v>
      </c>
      <c r="AN374" s="27">
        <v>1.0055636792038E-6</v>
      </c>
      <c r="AO374" s="11">
        <v>12.3970776718257</v>
      </c>
      <c r="AP374" s="11">
        <v>2.5562013048289498</v>
      </c>
      <c r="AQ374" t="s">
        <v>5875</v>
      </c>
      <c r="AR374" t="s">
        <v>5876</v>
      </c>
      <c r="AS374" t="s">
        <v>4085</v>
      </c>
    </row>
    <row r="375" spans="1:45">
      <c r="A375" t="s">
        <v>2381</v>
      </c>
      <c r="B375" s="2">
        <v>5</v>
      </c>
      <c r="C375" s="2">
        <v>15.789</v>
      </c>
      <c r="D375" s="2">
        <v>0</v>
      </c>
      <c r="E375" s="2">
        <v>1</v>
      </c>
      <c r="F375" s="2">
        <v>18.783000000000001</v>
      </c>
      <c r="G375" s="2">
        <v>13.929</v>
      </c>
      <c r="H375" s="2">
        <v>5</v>
      </c>
      <c r="I375" s="2">
        <v>5.5</v>
      </c>
      <c r="J375" s="2">
        <v>4</v>
      </c>
      <c r="K375" s="2">
        <v>0</v>
      </c>
      <c r="L375" s="2">
        <v>13.811999999999999</v>
      </c>
      <c r="M375" s="2">
        <v>10</v>
      </c>
      <c r="N375" s="2">
        <v>3</v>
      </c>
      <c r="O375" s="2">
        <v>2</v>
      </c>
      <c r="P375" s="2">
        <v>1</v>
      </c>
      <c r="Q375" s="2">
        <v>3</v>
      </c>
      <c r="R375" s="2">
        <v>2</v>
      </c>
      <c r="S375" s="2">
        <v>2</v>
      </c>
      <c r="T375" s="2">
        <v>3</v>
      </c>
      <c r="U375" s="11">
        <v>6.0582169791736504</v>
      </c>
      <c r="V375" s="11">
        <v>15.216413106703699</v>
      </c>
      <c r="W375" s="11">
        <v>0.40019941545306398</v>
      </c>
      <c r="X375" s="11">
        <v>1.5119217591532299</v>
      </c>
      <c r="Y375" s="11">
        <v>16.1713155668136</v>
      </c>
      <c r="Z375" s="11">
        <v>12.9232087282889</v>
      </c>
      <c r="AA375" s="11">
        <v>5.2703114143232002</v>
      </c>
      <c r="AB375" s="11">
        <v>5.3525097889026796</v>
      </c>
      <c r="AC375" s="11">
        <v>3.17903317297983</v>
      </c>
      <c r="AD375" s="11">
        <v>8.7029651270583397</v>
      </c>
      <c r="AE375" s="11">
        <v>8.0005434826734305</v>
      </c>
      <c r="AF375" s="11">
        <v>2.5396411397998202</v>
      </c>
      <c r="AG375" s="11">
        <v>0.91879256581511404</v>
      </c>
      <c r="AH375" s="11">
        <v>2.36757171115537</v>
      </c>
      <c r="AI375" s="11">
        <v>3.0170800957248498</v>
      </c>
      <c r="AJ375" s="11">
        <v>4.5679105394238499</v>
      </c>
      <c r="AK375" s="16">
        <v>-0.91857302482968495</v>
      </c>
      <c r="AL375" s="16">
        <v>-1.8893785656320901</v>
      </c>
      <c r="AM375" s="26">
        <v>0.102034788618539</v>
      </c>
      <c r="AN375" s="27">
        <v>0.14523675231021799</v>
      </c>
      <c r="AO375" s="11">
        <v>7.8630120948515003</v>
      </c>
      <c r="AP375" s="11">
        <v>4.1616922293288301</v>
      </c>
      <c r="AQ375" t="s">
        <v>5875</v>
      </c>
      <c r="AR375" t="s">
        <v>5832</v>
      </c>
      <c r="AS375" t="s">
        <v>2381</v>
      </c>
    </row>
    <row r="376" spans="1:45">
      <c r="A376" t="s">
        <v>2577</v>
      </c>
      <c r="B376" s="2">
        <v>3</v>
      </c>
      <c r="C376" s="2">
        <v>4</v>
      </c>
      <c r="D376" s="2">
        <v>0</v>
      </c>
      <c r="E376" s="2">
        <v>0</v>
      </c>
      <c r="F376" s="2">
        <v>9</v>
      </c>
      <c r="G376" s="2">
        <v>10</v>
      </c>
      <c r="H376" s="2">
        <v>12</v>
      </c>
      <c r="I376" s="2">
        <v>20</v>
      </c>
      <c r="J376" s="2">
        <v>5</v>
      </c>
      <c r="K376" s="2">
        <v>0</v>
      </c>
      <c r="L376" s="2">
        <v>13</v>
      </c>
      <c r="M376" s="2">
        <v>5</v>
      </c>
      <c r="N376" s="2">
        <v>9</v>
      </c>
      <c r="O376" s="2">
        <v>0</v>
      </c>
      <c r="P376" s="2">
        <v>6</v>
      </c>
      <c r="Q376" s="2">
        <v>7</v>
      </c>
      <c r="R376" s="2">
        <v>2</v>
      </c>
      <c r="S376" s="2">
        <v>1</v>
      </c>
      <c r="T376" s="2">
        <v>2</v>
      </c>
      <c r="U376" s="11">
        <v>3.6349301875041902</v>
      </c>
      <c r="V376" s="11">
        <v>3.85225648270979</v>
      </c>
      <c r="W376" s="11">
        <v>0.40019941545306398</v>
      </c>
      <c r="X376" s="11">
        <v>0.37798043978830698</v>
      </c>
      <c r="Y376" s="11">
        <v>7.7415872394320298</v>
      </c>
      <c r="Z376" s="11">
        <v>9.2972724663949098</v>
      </c>
      <c r="AA376" s="11">
        <v>12.6487473943757</v>
      </c>
      <c r="AB376" s="11">
        <v>19.463671959646099</v>
      </c>
      <c r="AC376" s="11">
        <v>3.9737914662247902</v>
      </c>
      <c r="AD376" s="11">
        <v>8.1984454095477108</v>
      </c>
      <c r="AE376" s="11">
        <v>4.0002717413367099</v>
      </c>
      <c r="AF376" s="11">
        <v>7.6189234193994704</v>
      </c>
      <c r="AG376" s="11">
        <v>5.5127553948906796</v>
      </c>
      <c r="AH376" s="11">
        <v>5.5243339926958699</v>
      </c>
      <c r="AI376" s="11">
        <v>3.0170800957248498</v>
      </c>
      <c r="AJ376" s="11">
        <v>3.0452736929492299</v>
      </c>
      <c r="AK376" s="16">
        <v>-0.493929619206465</v>
      </c>
      <c r="AL376" s="16">
        <v>-1.40414322967032</v>
      </c>
      <c r="AM376" s="26">
        <v>0.39669295301871099</v>
      </c>
      <c r="AN376" s="27">
        <v>0.479038963121872</v>
      </c>
      <c r="AO376" s="11">
        <v>7.1770806981630102</v>
      </c>
      <c r="AP376" s="11">
        <v>5.1113594015961601</v>
      </c>
      <c r="AQ376" t="s">
        <v>5875</v>
      </c>
      <c r="AR376" t="s">
        <v>5832</v>
      </c>
      <c r="AS376" t="s">
        <v>2577</v>
      </c>
    </row>
    <row r="377" spans="1:45">
      <c r="A377" t="s">
        <v>2682</v>
      </c>
      <c r="B377" s="2">
        <v>7</v>
      </c>
      <c r="C377" s="2">
        <v>10</v>
      </c>
      <c r="D377" s="2">
        <v>6</v>
      </c>
      <c r="E377" s="2">
        <v>12</v>
      </c>
      <c r="F377" s="2">
        <v>10</v>
      </c>
      <c r="G377" s="2">
        <v>7</v>
      </c>
      <c r="H377" s="2">
        <v>6</v>
      </c>
      <c r="I377" s="2">
        <v>12</v>
      </c>
      <c r="J377" s="2">
        <v>3</v>
      </c>
      <c r="K377" s="2">
        <v>0</v>
      </c>
      <c r="L377" s="2">
        <v>5</v>
      </c>
      <c r="M377" s="2">
        <v>4</v>
      </c>
      <c r="N377" s="2">
        <v>2</v>
      </c>
      <c r="O377" s="2">
        <v>0</v>
      </c>
      <c r="P377" s="2">
        <v>6</v>
      </c>
      <c r="Q377" s="2">
        <v>5</v>
      </c>
      <c r="R377" s="2">
        <v>4</v>
      </c>
      <c r="S377" s="2">
        <v>4</v>
      </c>
      <c r="T377" s="2">
        <v>5</v>
      </c>
      <c r="U377" s="11">
        <v>8.4815037708430996</v>
      </c>
      <c r="V377" s="11">
        <v>9.6306412067744702</v>
      </c>
      <c r="W377" s="11">
        <v>9.6047859708735501</v>
      </c>
      <c r="X377" s="11">
        <v>18.143061109838801</v>
      </c>
      <c r="Y377" s="11">
        <v>8.6017635993689208</v>
      </c>
      <c r="Z377" s="11">
        <v>6.50809072647644</v>
      </c>
      <c r="AA377" s="11">
        <v>6.3243736971878404</v>
      </c>
      <c r="AB377" s="11">
        <v>11.678203175787701</v>
      </c>
      <c r="AC377" s="11">
        <v>2.3842748797348698</v>
      </c>
      <c r="AD377" s="11">
        <v>3.1532482344414299</v>
      </c>
      <c r="AE377" s="11">
        <v>3.2002173930693698</v>
      </c>
      <c r="AF377" s="11">
        <v>1.6930940931998799</v>
      </c>
      <c r="AG377" s="11">
        <v>5.5127553948906796</v>
      </c>
      <c r="AH377" s="11">
        <v>3.94595285192562</v>
      </c>
      <c r="AI377" s="11">
        <v>6.0341601914496898</v>
      </c>
      <c r="AJ377" s="11">
        <v>7.6131842323730803</v>
      </c>
      <c r="AK377" s="16">
        <v>-1.28361979054803</v>
      </c>
      <c r="AL377" s="16">
        <v>-2.3547928768344701</v>
      </c>
      <c r="AM377" s="26">
        <v>1.1828575761366499E-3</v>
      </c>
      <c r="AN377" s="27">
        <v>2.6116558364205301E-3</v>
      </c>
      <c r="AO377" s="11">
        <v>9.8715529071438404</v>
      </c>
      <c r="AP377" s="11">
        <v>4.1921109088855797</v>
      </c>
      <c r="AQ377" t="s">
        <v>5875</v>
      </c>
      <c r="AR377" t="s">
        <v>5876</v>
      </c>
      <c r="AS377" t="s">
        <v>2682</v>
      </c>
    </row>
    <row r="378" spans="1:45">
      <c r="A378" t="s">
        <v>3395</v>
      </c>
      <c r="B378" s="2">
        <v>8</v>
      </c>
      <c r="C378" s="2">
        <v>4</v>
      </c>
      <c r="D378" s="2">
        <v>7</v>
      </c>
      <c r="E378" s="2">
        <v>4</v>
      </c>
      <c r="F378" s="2">
        <v>20</v>
      </c>
      <c r="G378" s="2">
        <v>21</v>
      </c>
      <c r="H378" s="2">
        <v>9</v>
      </c>
      <c r="I378" s="2">
        <v>5</v>
      </c>
      <c r="J378" s="2">
        <v>3</v>
      </c>
      <c r="K378" s="2">
        <v>7</v>
      </c>
      <c r="L378" s="2">
        <v>3</v>
      </c>
      <c r="M378" s="2">
        <v>2</v>
      </c>
      <c r="N378" s="2">
        <v>3</v>
      </c>
      <c r="O378" s="2">
        <v>3</v>
      </c>
      <c r="P378" s="2">
        <v>3</v>
      </c>
      <c r="Q378" s="2">
        <v>2</v>
      </c>
      <c r="R378" s="2">
        <v>4</v>
      </c>
      <c r="S378" s="2">
        <v>0</v>
      </c>
      <c r="T378" s="2">
        <v>0</v>
      </c>
      <c r="U378" s="11">
        <v>9.6931471666778304</v>
      </c>
      <c r="V378" s="11">
        <v>3.85225648270979</v>
      </c>
      <c r="W378" s="11">
        <v>11.2055836326858</v>
      </c>
      <c r="X378" s="11">
        <v>6.0476870366129196</v>
      </c>
      <c r="Y378" s="11">
        <v>17.203527198737799</v>
      </c>
      <c r="Z378" s="11">
        <v>19.5242721794293</v>
      </c>
      <c r="AA378" s="11">
        <v>9.4865605457817708</v>
      </c>
      <c r="AB378" s="11">
        <v>4.8659179899115301</v>
      </c>
      <c r="AC378" s="11">
        <v>2.3842748797348698</v>
      </c>
      <c r="AD378" s="11">
        <v>1.89194894066486</v>
      </c>
      <c r="AE378" s="11">
        <v>1.60010869653469</v>
      </c>
      <c r="AF378" s="11">
        <v>2.5396411397998202</v>
      </c>
      <c r="AG378" s="11">
        <v>2.7563776974453398</v>
      </c>
      <c r="AH378" s="11">
        <v>1.5783811407702499</v>
      </c>
      <c r="AI378" s="11">
        <v>6.0341601914496898</v>
      </c>
      <c r="AJ378" s="11">
        <v>0.38065921161865401</v>
      </c>
      <c r="AK378" s="16">
        <v>-2.1102307734327801</v>
      </c>
      <c r="AL378" s="16">
        <v>-4.2721938125357903</v>
      </c>
      <c r="AM378" s="26">
        <v>1.0242917656289399E-5</v>
      </c>
      <c r="AN378" s="27">
        <v>3.7241912565530403E-5</v>
      </c>
      <c r="AO378" s="11">
        <v>10.2348690290683</v>
      </c>
      <c r="AP378" s="11">
        <v>2.3956939872522698</v>
      </c>
      <c r="AQ378" t="s">
        <v>5875</v>
      </c>
      <c r="AR378" t="s">
        <v>5876</v>
      </c>
      <c r="AS378" t="s">
        <v>3395</v>
      </c>
    </row>
    <row r="379" spans="1:45">
      <c r="A379" t="s">
        <v>4208</v>
      </c>
      <c r="B379" s="2">
        <v>7</v>
      </c>
      <c r="C379" s="2">
        <v>14</v>
      </c>
      <c r="D379" s="2">
        <v>9</v>
      </c>
      <c r="E379" s="2">
        <v>11</v>
      </c>
      <c r="F379" s="2">
        <v>12</v>
      </c>
      <c r="G379" s="2">
        <v>10</v>
      </c>
      <c r="H379" s="2">
        <v>9</v>
      </c>
      <c r="I379" s="2">
        <v>7</v>
      </c>
      <c r="J379" s="2">
        <v>1</v>
      </c>
      <c r="K379" s="2">
        <v>0</v>
      </c>
      <c r="L379" s="2">
        <v>6</v>
      </c>
      <c r="M379" s="2">
        <v>0</v>
      </c>
      <c r="N379" s="2">
        <v>2</v>
      </c>
      <c r="O379" s="2">
        <v>2</v>
      </c>
      <c r="P379" s="2">
        <v>4</v>
      </c>
      <c r="Q379" s="2">
        <v>4</v>
      </c>
      <c r="R379" s="2">
        <v>7</v>
      </c>
      <c r="S379" s="2">
        <v>2</v>
      </c>
      <c r="T379" s="2">
        <v>1</v>
      </c>
      <c r="U379" s="11">
        <v>8.4815037708430996</v>
      </c>
      <c r="V379" s="11">
        <v>13.4828976894843</v>
      </c>
      <c r="W379" s="11">
        <v>14.4071789563103</v>
      </c>
      <c r="X379" s="11">
        <v>16.631139350685501</v>
      </c>
      <c r="Y379" s="11">
        <v>10.322116319242699</v>
      </c>
      <c r="Z379" s="11">
        <v>9.2972724663949098</v>
      </c>
      <c r="AA379" s="11">
        <v>9.4865605457817708</v>
      </c>
      <c r="AB379" s="11">
        <v>6.8122851858761404</v>
      </c>
      <c r="AC379" s="11">
        <v>0.79475829324495695</v>
      </c>
      <c r="AD379" s="11">
        <v>3.7838978813297102</v>
      </c>
      <c r="AE379" s="11">
        <v>0.200013587066836</v>
      </c>
      <c r="AF379" s="11">
        <v>1.6930940931998799</v>
      </c>
      <c r="AG379" s="11">
        <v>3.6751702632604601</v>
      </c>
      <c r="AH379" s="11">
        <v>3.1567622815404999</v>
      </c>
      <c r="AI379" s="11">
        <v>10.559780335037001</v>
      </c>
      <c r="AJ379" s="11">
        <v>1.5226368464746201</v>
      </c>
      <c r="AK379" s="16">
        <v>-1.8665100415045801</v>
      </c>
      <c r="AL379" s="16">
        <v>-3.5027399527051499</v>
      </c>
      <c r="AM379" s="26">
        <v>3.5004180418868002E-5</v>
      </c>
      <c r="AN379" s="27">
        <v>1.1046130518973E-4</v>
      </c>
      <c r="AO379" s="11">
        <v>11.1151192855773</v>
      </c>
      <c r="AP379" s="11">
        <v>3.1732641976442402</v>
      </c>
      <c r="AQ379" t="s">
        <v>5875</v>
      </c>
      <c r="AR379" t="s">
        <v>5876</v>
      </c>
      <c r="AS379" t="s">
        <v>4208</v>
      </c>
    </row>
    <row r="380" spans="1:45">
      <c r="A380" t="s">
        <v>5244</v>
      </c>
      <c r="B380" s="2">
        <v>3</v>
      </c>
      <c r="C380" s="2">
        <v>0</v>
      </c>
      <c r="D380" s="2">
        <v>0</v>
      </c>
      <c r="E380" s="2">
        <v>0</v>
      </c>
      <c r="F380" s="2">
        <v>2</v>
      </c>
      <c r="G380" s="2">
        <v>2</v>
      </c>
      <c r="H380" s="2">
        <v>0</v>
      </c>
      <c r="I380" s="2">
        <v>11</v>
      </c>
      <c r="J380" s="2">
        <v>18</v>
      </c>
      <c r="K380" s="2">
        <v>1</v>
      </c>
      <c r="L380" s="2">
        <v>17</v>
      </c>
      <c r="M380" s="2">
        <v>5</v>
      </c>
      <c r="N380" s="2">
        <v>8</v>
      </c>
      <c r="O380" s="2">
        <v>0</v>
      </c>
      <c r="P380" s="2">
        <v>11</v>
      </c>
      <c r="Q380" s="2">
        <v>18</v>
      </c>
      <c r="R380" s="2">
        <v>2</v>
      </c>
      <c r="S380" s="2">
        <v>2</v>
      </c>
      <c r="T380" s="2">
        <v>8</v>
      </c>
      <c r="U380" s="11">
        <v>3.6349301875041902</v>
      </c>
      <c r="V380" s="11">
        <v>0.24076603016936199</v>
      </c>
      <c r="W380" s="11">
        <v>0.40019941545306398</v>
      </c>
      <c r="X380" s="11">
        <v>0.37798043978830698</v>
      </c>
      <c r="Y380" s="11">
        <v>1.72035271987378</v>
      </c>
      <c r="Z380" s="11">
        <v>1.85945449327898</v>
      </c>
      <c r="AA380" s="11">
        <v>0.26351557071616</v>
      </c>
      <c r="AB380" s="11">
        <v>10.7050195778054</v>
      </c>
      <c r="AC380" s="11">
        <v>14.3056492784092</v>
      </c>
      <c r="AD380" s="11">
        <v>10.7210439971009</v>
      </c>
      <c r="AE380" s="11">
        <v>4.0002717413367099</v>
      </c>
      <c r="AF380" s="11">
        <v>6.7723763727995303</v>
      </c>
      <c r="AG380" s="11">
        <v>10.1067182239663</v>
      </c>
      <c r="AH380" s="11">
        <v>14.2054302669323</v>
      </c>
      <c r="AI380" s="11">
        <v>3.0170800957248498</v>
      </c>
      <c r="AJ380" s="11">
        <v>12.1810947717969</v>
      </c>
      <c r="AK380" s="16">
        <v>1.8699179963141499</v>
      </c>
      <c r="AL380" s="16">
        <v>3.9219252194533101</v>
      </c>
      <c r="AM380" s="26">
        <v>8.7927850146579602E-4</v>
      </c>
      <c r="AN380" s="27">
        <v>1.9940248050190402E-3</v>
      </c>
      <c r="AO380" s="11">
        <v>2.4002773043236498</v>
      </c>
      <c r="AP380" s="11">
        <v>9.4137080935083297</v>
      </c>
      <c r="AQ380" t="s">
        <v>5874</v>
      </c>
      <c r="AR380" t="s">
        <v>5876</v>
      </c>
      <c r="AS380" t="s">
        <v>5244</v>
      </c>
    </row>
    <row r="381" spans="1:45">
      <c r="A381" t="s">
        <v>4848</v>
      </c>
      <c r="B381" s="2">
        <v>9.1170000000000009</v>
      </c>
      <c r="C381" s="2">
        <v>7.2190000000000003</v>
      </c>
      <c r="D381" s="2">
        <v>5.2629999999999999</v>
      </c>
      <c r="E381" s="2">
        <v>4</v>
      </c>
      <c r="F381" s="2">
        <v>5</v>
      </c>
      <c r="G381" s="2">
        <v>4.1210000000000004</v>
      </c>
      <c r="H381" s="2">
        <v>2</v>
      </c>
      <c r="I381" s="2">
        <v>1.032</v>
      </c>
      <c r="J381" s="2">
        <v>7</v>
      </c>
      <c r="K381" s="2">
        <v>2</v>
      </c>
      <c r="L381" s="2">
        <v>9</v>
      </c>
      <c r="M381" s="2">
        <v>14.326000000000001</v>
      </c>
      <c r="N381" s="2">
        <v>6</v>
      </c>
      <c r="O381" s="2">
        <v>1</v>
      </c>
      <c r="P381" s="2">
        <v>2</v>
      </c>
      <c r="Q381" s="2">
        <v>10.25</v>
      </c>
      <c r="R381" s="2">
        <v>5.1609999999999996</v>
      </c>
      <c r="S381" s="2">
        <v>5.556</v>
      </c>
      <c r="T381" s="2">
        <v>7.2190000000000003</v>
      </c>
      <c r="U381" s="11">
        <v>11.025954902096</v>
      </c>
      <c r="V381" s="11">
        <v>6.9340616688776198</v>
      </c>
      <c r="W381" s="11">
        <v>8.4842276076049696</v>
      </c>
      <c r="X381" s="11">
        <v>6.0476870366129196</v>
      </c>
      <c r="Y381" s="11">
        <v>4.3008817996844604</v>
      </c>
      <c r="Z381" s="11">
        <v>3.8118817112219099</v>
      </c>
      <c r="AA381" s="11">
        <v>2.10812456572928</v>
      </c>
      <c r="AB381" s="11">
        <v>0.97318359798230603</v>
      </c>
      <c r="AC381" s="11">
        <v>5.5633080527147003</v>
      </c>
      <c r="AD381" s="11">
        <v>5.6758468219945701</v>
      </c>
      <c r="AE381" s="11">
        <v>11.440777180223</v>
      </c>
      <c r="AF381" s="11">
        <v>5.0792822795996404</v>
      </c>
      <c r="AG381" s="11">
        <v>1.8375851316302301</v>
      </c>
      <c r="AH381" s="11">
        <v>8.1286628749667909</v>
      </c>
      <c r="AI381" s="11">
        <v>7.8444082488845996</v>
      </c>
      <c r="AJ381" s="11">
        <v>10.9629852946172</v>
      </c>
      <c r="AK381" s="16">
        <v>0.38764168900342999</v>
      </c>
      <c r="AL381" s="16">
        <v>1.2940725208306501</v>
      </c>
      <c r="AM381" s="26">
        <v>0.40893701564319901</v>
      </c>
      <c r="AN381" s="27">
        <v>0.492048315585072</v>
      </c>
      <c r="AO381" s="11">
        <v>5.4607503612261903</v>
      </c>
      <c r="AP381" s="11">
        <v>7.0666069855788498</v>
      </c>
      <c r="AQ381" t="s">
        <v>5874</v>
      </c>
      <c r="AR381" t="s">
        <v>5832</v>
      </c>
      <c r="AS381" t="s">
        <v>4848</v>
      </c>
    </row>
    <row r="382" spans="1:45">
      <c r="A382" t="s">
        <v>5492</v>
      </c>
      <c r="B382" s="2">
        <v>4.5709999999999997</v>
      </c>
      <c r="C382" s="2">
        <v>3.1669999999999998</v>
      </c>
      <c r="D382" s="2">
        <v>2.1429999999999998</v>
      </c>
      <c r="E382" s="2">
        <v>2.4</v>
      </c>
      <c r="F382" s="2">
        <v>8.8569999999999993</v>
      </c>
      <c r="G382" s="2">
        <v>9.6669999999999998</v>
      </c>
      <c r="H382" s="2">
        <v>5.1609999999999996</v>
      </c>
      <c r="I382" s="2">
        <v>8.2349999999999994</v>
      </c>
      <c r="J382" s="2">
        <v>14.494</v>
      </c>
      <c r="K382" s="2">
        <v>0</v>
      </c>
      <c r="L382" s="2">
        <v>16.202999999999999</v>
      </c>
      <c r="M382" s="2">
        <v>12.231</v>
      </c>
      <c r="N382" s="2">
        <v>11.611000000000001</v>
      </c>
      <c r="O382" s="2">
        <v>0</v>
      </c>
      <c r="P382" s="2">
        <v>4.16</v>
      </c>
      <c r="Q382" s="2">
        <v>3.1760000000000002</v>
      </c>
      <c r="R382" s="2">
        <v>1.1000000000000001</v>
      </c>
      <c r="S382" s="2">
        <v>0</v>
      </c>
      <c r="T382" s="2">
        <v>0</v>
      </c>
      <c r="U382" s="11">
        <v>5.5735596208397498</v>
      </c>
      <c r="V382" s="11">
        <v>3.0818051861678302</v>
      </c>
      <c r="W382" s="11">
        <v>3.3616750898057401</v>
      </c>
      <c r="X382" s="11">
        <v>3.6286122219677499</v>
      </c>
      <c r="Y382" s="11">
        <v>7.65556960343834</v>
      </c>
      <c r="Z382" s="11">
        <v>9.0183542924030604</v>
      </c>
      <c r="AA382" s="11">
        <v>5.4811238708961296</v>
      </c>
      <c r="AB382" s="11">
        <v>7.9801055034549098</v>
      </c>
      <c r="AC382" s="11">
        <v>11.5239952520519</v>
      </c>
      <c r="AD382" s="11">
        <v>10.2165242795902</v>
      </c>
      <c r="AE382" s="11">
        <v>9.7606630488615806</v>
      </c>
      <c r="AF382" s="11">
        <v>9.8199457405593105</v>
      </c>
      <c r="AG382" s="11">
        <v>3.8589287764234799</v>
      </c>
      <c r="AH382" s="11">
        <v>2.5254098252324</v>
      </c>
      <c r="AI382" s="11">
        <v>1.6593940526486699</v>
      </c>
      <c r="AJ382" s="11">
        <v>0.38065921161865401</v>
      </c>
      <c r="AK382" s="16">
        <v>0.16255909661228199</v>
      </c>
      <c r="AL382" s="16">
        <v>1.08660211991307</v>
      </c>
      <c r="AM382" s="26">
        <v>0.84727034410031599</v>
      </c>
      <c r="AN382" s="27">
        <v>0.89263600031986101</v>
      </c>
      <c r="AO382" s="11">
        <v>5.7226006736216899</v>
      </c>
      <c r="AP382" s="11">
        <v>6.2181900233732703</v>
      </c>
      <c r="AQ382" t="s">
        <v>5874</v>
      </c>
      <c r="AR382" t="s">
        <v>5832</v>
      </c>
      <c r="AS382" t="s">
        <v>5492</v>
      </c>
    </row>
    <row r="383" spans="1:45">
      <c r="A383" t="s">
        <v>1922</v>
      </c>
      <c r="B383" s="2">
        <v>7</v>
      </c>
      <c r="C383" s="2">
        <v>16</v>
      </c>
      <c r="D383" s="2">
        <v>19</v>
      </c>
      <c r="E383" s="2">
        <v>13</v>
      </c>
      <c r="F383" s="2">
        <v>17</v>
      </c>
      <c r="G383" s="2">
        <v>19</v>
      </c>
      <c r="H383" s="2">
        <v>9</v>
      </c>
      <c r="I383" s="2">
        <v>7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11">
        <v>8.4815037708430996</v>
      </c>
      <c r="V383" s="11">
        <v>15.4090259308391</v>
      </c>
      <c r="W383" s="11">
        <v>30.415155574432902</v>
      </c>
      <c r="X383" s="11">
        <v>19.654982868992001</v>
      </c>
      <c r="Y383" s="11">
        <v>14.6229981189272</v>
      </c>
      <c r="Z383" s="11">
        <v>17.6648176861503</v>
      </c>
      <c r="AA383" s="11">
        <v>9.4865605457817708</v>
      </c>
      <c r="AB383" s="11">
        <v>6.8122851858761404</v>
      </c>
      <c r="AC383" s="11">
        <v>0.19868957331123899</v>
      </c>
      <c r="AD383" s="11">
        <v>0.15766241172207099</v>
      </c>
      <c r="AE383" s="11">
        <v>0.200013587066836</v>
      </c>
      <c r="AF383" s="11">
        <v>0.21163676164998499</v>
      </c>
      <c r="AG383" s="11">
        <v>0.22969814145377901</v>
      </c>
      <c r="AH383" s="11">
        <v>0.19729764259628099</v>
      </c>
      <c r="AI383" s="11">
        <v>0.377135011965606</v>
      </c>
      <c r="AJ383" s="11">
        <v>0.38065921161865401</v>
      </c>
      <c r="AK383" s="16">
        <v>-5.4497599282537603</v>
      </c>
      <c r="AL383" s="16">
        <v>-62.754921291304001</v>
      </c>
      <c r="AM383" s="26">
        <v>3.8650517940539098E-17</v>
      </c>
      <c r="AN383" s="27">
        <v>4.3095327503701098E-15</v>
      </c>
      <c r="AO383" s="11">
        <v>15.3184162102303</v>
      </c>
      <c r="AP383" s="11">
        <v>0.24409904267305599</v>
      </c>
      <c r="AQ383" t="s">
        <v>5875</v>
      </c>
      <c r="AR383" t="s">
        <v>5876</v>
      </c>
      <c r="AS383" t="s">
        <v>1922</v>
      </c>
    </row>
    <row r="384" spans="1:45">
      <c r="A384" t="s">
        <v>4289</v>
      </c>
      <c r="B384" s="2">
        <v>0</v>
      </c>
      <c r="C384" s="2">
        <v>0</v>
      </c>
      <c r="D384" s="2">
        <v>0</v>
      </c>
      <c r="E384" s="2">
        <v>0</v>
      </c>
      <c r="F384" s="2">
        <v>2</v>
      </c>
      <c r="G384" s="2">
        <v>0</v>
      </c>
      <c r="H384" s="2">
        <v>1</v>
      </c>
      <c r="I384" s="2">
        <v>2</v>
      </c>
      <c r="J384" s="2">
        <v>13</v>
      </c>
      <c r="K384" s="2">
        <v>1</v>
      </c>
      <c r="L384" s="2">
        <v>16</v>
      </c>
      <c r="M384" s="2">
        <v>11</v>
      </c>
      <c r="N384" s="2">
        <v>7</v>
      </c>
      <c r="O384" s="2">
        <v>0</v>
      </c>
      <c r="P384" s="2">
        <v>17</v>
      </c>
      <c r="Q384" s="2">
        <v>18</v>
      </c>
      <c r="R384" s="2">
        <v>7</v>
      </c>
      <c r="S384" s="2">
        <v>4</v>
      </c>
      <c r="T384" s="2">
        <v>8</v>
      </c>
      <c r="U384" s="11">
        <v>0.30291084895868198</v>
      </c>
      <c r="V384" s="11">
        <v>0.24076603016936199</v>
      </c>
      <c r="W384" s="11">
        <v>0.40019941545306398</v>
      </c>
      <c r="X384" s="11">
        <v>0.37798043978830698</v>
      </c>
      <c r="Y384" s="11">
        <v>1.72035271987378</v>
      </c>
      <c r="Z384" s="11">
        <v>0.23243181165987301</v>
      </c>
      <c r="AA384" s="11">
        <v>1.05406228286464</v>
      </c>
      <c r="AB384" s="11">
        <v>1.9463671959646101</v>
      </c>
      <c r="AC384" s="11">
        <v>10.331857812184399</v>
      </c>
      <c r="AD384" s="11">
        <v>10.0903943502126</v>
      </c>
      <c r="AE384" s="11">
        <v>8.8005978309407702</v>
      </c>
      <c r="AF384" s="11">
        <v>5.9258293261995796</v>
      </c>
      <c r="AG384" s="11">
        <v>15.619473618856899</v>
      </c>
      <c r="AH384" s="11">
        <v>14.2054302669323</v>
      </c>
      <c r="AI384" s="11">
        <v>10.559780335037001</v>
      </c>
      <c r="AJ384" s="11">
        <v>12.1810947717969</v>
      </c>
      <c r="AK384" s="16">
        <v>3.5104196781227501</v>
      </c>
      <c r="AL384" s="16">
        <v>13.978242139468</v>
      </c>
      <c r="AM384" s="26">
        <v>9.0586022958191204E-14</v>
      </c>
      <c r="AN384" s="27">
        <v>3.3667805199460999E-12</v>
      </c>
      <c r="AO384" s="11">
        <v>0.78438384309154097</v>
      </c>
      <c r="AP384" s="11">
        <v>10.9643072890201</v>
      </c>
      <c r="AQ384" t="s">
        <v>5874</v>
      </c>
      <c r="AR384" t="s">
        <v>5876</v>
      </c>
      <c r="AS384" t="s">
        <v>4289</v>
      </c>
    </row>
    <row r="385" spans="1:45">
      <c r="A385" t="s">
        <v>2884</v>
      </c>
      <c r="B385" s="2">
        <v>6</v>
      </c>
      <c r="C385" s="2">
        <v>6</v>
      </c>
      <c r="D385" s="2">
        <v>4</v>
      </c>
      <c r="E385" s="2">
        <v>12</v>
      </c>
      <c r="F385" s="2">
        <v>15</v>
      </c>
      <c r="G385" s="2">
        <v>11</v>
      </c>
      <c r="H385" s="2">
        <v>9</v>
      </c>
      <c r="I385" s="2">
        <v>6</v>
      </c>
      <c r="J385" s="2">
        <v>0</v>
      </c>
      <c r="K385" s="2">
        <v>0</v>
      </c>
      <c r="L385" s="2">
        <v>8</v>
      </c>
      <c r="M385" s="2">
        <v>13</v>
      </c>
      <c r="N385" s="2">
        <v>1</v>
      </c>
      <c r="O385" s="2">
        <v>0</v>
      </c>
      <c r="P385" s="2">
        <v>0</v>
      </c>
      <c r="Q385" s="2">
        <v>4</v>
      </c>
      <c r="R385" s="2">
        <v>11</v>
      </c>
      <c r="S385" s="2">
        <v>0</v>
      </c>
      <c r="T385" s="2">
        <v>0</v>
      </c>
      <c r="U385" s="11">
        <v>7.2698603750083803</v>
      </c>
      <c r="V385" s="11">
        <v>5.7783847240646802</v>
      </c>
      <c r="W385" s="11">
        <v>6.4031906472490299</v>
      </c>
      <c r="X385" s="11">
        <v>18.143061109838801</v>
      </c>
      <c r="Y385" s="11">
        <v>12.9026453990534</v>
      </c>
      <c r="Z385" s="11">
        <v>10.226999713034401</v>
      </c>
      <c r="AA385" s="11">
        <v>9.4865605457817708</v>
      </c>
      <c r="AB385" s="11">
        <v>5.8391015878938397</v>
      </c>
      <c r="AC385" s="11">
        <v>0.19868957331123899</v>
      </c>
      <c r="AD385" s="11">
        <v>5.0451971751062796</v>
      </c>
      <c r="AE385" s="11">
        <v>10.400706527475499</v>
      </c>
      <c r="AF385" s="11">
        <v>0.84654704659994096</v>
      </c>
      <c r="AG385" s="11">
        <v>0.22969814145377901</v>
      </c>
      <c r="AH385" s="11">
        <v>3.1567622815404999</v>
      </c>
      <c r="AI385" s="11">
        <v>16.593940526486598</v>
      </c>
      <c r="AJ385" s="11">
        <v>0.38065921161865401</v>
      </c>
      <c r="AK385" s="16">
        <v>-1.06858843275601</v>
      </c>
      <c r="AL385" s="16">
        <v>-2.0636435030734002</v>
      </c>
      <c r="AM385" s="26">
        <v>9.3080520917624601E-2</v>
      </c>
      <c r="AN385" s="27">
        <v>0.132773706810002</v>
      </c>
      <c r="AO385" s="11">
        <v>9.5062255127405297</v>
      </c>
      <c r="AP385" s="11">
        <v>4.6065250604490604</v>
      </c>
      <c r="AQ385" t="s">
        <v>5875</v>
      </c>
      <c r="AR385" t="s">
        <v>5832</v>
      </c>
      <c r="AS385" t="s">
        <v>2884</v>
      </c>
    </row>
    <row r="386" spans="1:45">
      <c r="A386" t="s">
        <v>4682</v>
      </c>
      <c r="B386" s="2">
        <v>5</v>
      </c>
      <c r="C386" s="2">
        <v>6</v>
      </c>
      <c r="D386" s="2">
        <v>17</v>
      </c>
      <c r="E386" s="2">
        <v>16</v>
      </c>
      <c r="F386" s="2">
        <v>22</v>
      </c>
      <c r="G386" s="2">
        <v>25</v>
      </c>
      <c r="H386" s="2">
        <v>5</v>
      </c>
      <c r="I386" s="2">
        <v>3</v>
      </c>
      <c r="J386" s="2">
        <v>1</v>
      </c>
      <c r="K386" s="2">
        <v>0</v>
      </c>
      <c r="L386" s="2">
        <v>0</v>
      </c>
      <c r="M386" s="2">
        <v>3</v>
      </c>
      <c r="N386" s="2">
        <v>0</v>
      </c>
      <c r="O386" s="2">
        <v>0</v>
      </c>
      <c r="P386" s="2">
        <v>0</v>
      </c>
      <c r="Q386" s="2">
        <v>3</v>
      </c>
      <c r="R386" s="2">
        <v>0</v>
      </c>
      <c r="S386" s="2">
        <v>0</v>
      </c>
      <c r="T386" s="2">
        <v>0</v>
      </c>
      <c r="U386" s="11">
        <v>6.0582169791736504</v>
      </c>
      <c r="V386" s="11">
        <v>5.7783847240646802</v>
      </c>
      <c r="W386" s="11">
        <v>27.213560250808399</v>
      </c>
      <c r="X386" s="11">
        <v>24.1907481464517</v>
      </c>
      <c r="Y386" s="11">
        <v>18.9238799186116</v>
      </c>
      <c r="Z386" s="11">
        <v>23.243181165987298</v>
      </c>
      <c r="AA386" s="11">
        <v>5.2703114143232002</v>
      </c>
      <c r="AB386" s="11">
        <v>2.9195507939469199</v>
      </c>
      <c r="AC386" s="11">
        <v>0.79475829324495695</v>
      </c>
      <c r="AD386" s="11">
        <v>0.15766241172207099</v>
      </c>
      <c r="AE386" s="11">
        <v>2.4001630448020301</v>
      </c>
      <c r="AF386" s="11">
        <v>0.21163676164998499</v>
      </c>
      <c r="AG386" s="11">
        <v>0.22969814145377901</v>
      </c>
      <c r="AH386" s="11">
        <v>2.36757171115537</v>
      </c>
      <c r="AI386" s="11">
        <v>0.377135011965606</v>
      </c>
      <c r="AJ386" s="11">
        <v>0.38065921161865401</v>
      </c>
      <c r="AK386" s="16">
        <v>-3.77586826811749</v>
      </c>
      <c r="AL386" s="16">
        <v>-16.4175691800191</v>
      </c>
      <c r="AM386" s="26">
        <v>9.7992731662203807E-9</v>
      </c>
      <c r="AN386" s="27">
        <v>9.50103441768324E-8</v>
      </c>
      <c r="AO386" s="11">
        <v>14.1997291741709</v>
      </c>
      <c r="AP386" s="11">
        <v>0.86491057345155697</v>
      </c>
      <c r="AQ386" t="s">
        <v>5875</v>
      </c>
      <c r="AR386" t="s">
        <v>5876</v>
      </c>
      <c r="AS386" t="s">
        <v>4682</v>
      </c>
    </row>
    <row r="387" spans="1:45">
      <c r="A387" t="s">
        <v>2928</v>
      </c>
      <c r="B387" s="2">
        <v>3</v>
      </c>
      <c r="C387" s="2">
        <v>2.5</v>
      </c>
      <c r="D387" s="2">
        <v>3</v>
      </c>
      <c r="E387" s="2">
        <v>0</v>
      </c>
      <c r="F387" s="2">
        <v>12</v>
      </c>
      <c r="G387" s="2">
        <v>11.917</v>
      </c>
      <c r="H387" s="2">
        <v>15.938000000000001</v>
      </c>
      <c r="I387" s="2">
        <v>6.5449999999999999</v>
      </c>
      <c r="J387" s="2">
        <v>5.2629999999999999</v>
      </c>
      <c r="K387" s="2">
        <v>0</v>
      </c>
      <c r="L387" s="2">
        <v>8.3810000000000002</v>
      </c>
      <c r="M387" s="2">
        <v>12.269</v>
      </c>
      <c r="N387" s="2">
        <v>12.667</v>
      </c>
      <c r="O387" s="2">
        <v>4</v>
      </c>
      <c r="P387" s="2">
        <v>0</v>
      </c>
      <c r="Q387" s="2">
        <v>4</v>
      </c>
      <c r="R387" s="2">
        <v>4</v>
      </c>
      <c r="S387" s="2">
        <v>0.5</v>
      </c>
      <c r="T387" s="2">
        <v>0</v>
      </c>
      <c r="U387" s="11">
        <v>3.6349301875041902</v>
      </c>
      <c r="V387" s="11">
        <v>2.4076603016936202</v>
      </c>
      <c r="W387" s="11">
        <v>4.8023929854367697</v>
      </c>
      <c r="X387" s="11">
        <v>0.37798043978830698</v>
      </c>
      <c r="Y387" s="11">
        <v>10.322116319242699</v>
      </c>
      <c r="Z387" s="11">
        <v>11.063754235009901</v>
      </c>
      <c r="AA387" s="11">
        <v>16.759590297547799</v>
      </c>
      <c r="AB387" s="11">
        <v>6.3256933868849901</v>
      </c>
      <c r="AC387" s="11">
        <v>4.2122189541982697</v>
      </c>
      <c r="AD387" s="11">
        <v>5.2974570338616003</v>
      </c>
      <c r="AE387" s="11">
        <v>9.8406684836883205</v>
      </c>
      <c r="AF387" s="11">
        <v>10.7511474918192</v>
      </c>
      <c r="AG387" s="11">
        <v>0.22969814145377901</v>
      </c>
      <c r="AH387" s="11">
        <v>3.1567622815404999</v>
      </c>
      <c r="AI387" s="11">
        <v>6.0341601914496898</v>
      </c>
      <c r="AJ387" s="11">
        <v>0.38065921161865401</v>
      </c>
      <c r="AK387" s="16">
        <v>-0.47277664042465201</v>
      </c>
      <c r="AL387" s="16">
        <v>-1.3957455999982</v>
      </c>
      <c r="AM387" s="26">
        <v>0.42468591057055799</v>
      </c>
      <c r="AN387" s="27">
        <v>0.50825558885814603</v>
      </c>
      <c r="AO387" s="11">
        <v>6.96176476913854</v>
      </c>
      <c r="AP387" s="11">
        <v>4.98784647370376</v>
      </c>
      <c r="AQ387" t="s">
        <v>5875</v>
      </c>
      <c r="AR387" t="s">
        <v>5832</v>
      </c>
      <c r="AS387" t="s">
        <v>2928</v>
      </c>
    </row>
    <row r="388" spans="1:45">
      <c r="A388" t="s">
        <v>3852</v>
      </c>
      <c r="B388" s="2">
        <v>9</v>
      </c>
      <c r="C388" s="2">
        <v>9</v>
      </c>
      <c r="D388" s="2">
        <v>7</v>
      </c>
      <c r="E388" s="2">
        <v>8</v>
      </c>
      <c r="F388" s="2">
        <v>9</v>
      </c>
      <c r="G388" s="2">
        <v>7</v>
      </c>
      <c r="H388" s="2">
        <v>7</v>
      </c>
      <c r="I388" s="2">
        <v>8</v>
      </c>
      <c r="J388" s="2">
        <v>3</v>
      </c>
      <c r="K388" s="2">
        <v>2</v>
      </c>
      <c r="L388" s="2">
        <v>4</v>
      </c>
      <c r="M388" s="2">
        <v>3</v>
      </c>
      <c r="N388" s="2">
        <v>3</v>
      </c>
      <c r="O388" s="2">
        <v>4</v>
      </c>
      <c r="P388" s="2">
        <v>3</v>
      </c>
      <c r="Q388" s="2">
        <v>5</v>
      </c>
      <c r="R388" s="2">
        <v>5</v>
      </c>
      <c r="S388" s="2">
        <v>4</v>
      </c>
      <c r="T388" s="2">
        <v>5</v>
      </c>
      <c r="U388" s="11">
        <v>10.9047905625126</v>
      </c>
      <c r="V388" s="11">
        <v>8.6675770860970207</v>
      </c>
      <c r="W388" s="11">
        <v>11.2055836326858</v>
      </c>
      <c r="X388" s="11">
        <v>12.0953740732258</v>
      </c>
      <c r="Y388" s="11">
        <v>7.7415872394320298</v>
      </c>
      <c r="Z388" s="11">
        <v>6.50809072647644</v>
      </c>
      <c r="AA388" s="11">
        <v>7.3784359800524904</v>
      </c>
      <c r="AB388" s="11">
        <v>7.78546878385845</v>
      </c>
      <c r="AC388" s="11">
        <v>2.3842748797348698</v>
      </c>
      <c r="AD388" s="11">
        <v>2.5225985875531398</v>
      </c>
      <c r="AE388" s="11">
        <v>2.4001630448020301</v>
      </c>
      <c r="AF388" s="11">
        <v>2.5396411397998202</v>
      </c>
      <c r="AG388" s="11">
        <v>2.7563776974453398</v>
      </c>
      <c r="AH388" s="11">
        <v>3.94595285192562</v>
      </c>
      <c r="AI388" s="11">
        <v>7.5427002393121096</v>
      </c>
      <c r="AJ388" s="11">
        <v>7.6131842323730803</v>
      </c>
      <c r="AK388" s="16">
        <v>-1.2819598567210799</v>
      </c>
      <c r="AL388" s="16">
        <v>-2.2799922027814801</v>
      </c>
      <c r="AM388" s="26">
        <v>8.4482624078271497E-4</v>
      </c>
      <c r="AN388" s="27">
        <v>1.93557792836862E-3</v>
      </c>
      <c r="AO388" s="11">
        <v>9.0358635105425797</v>
      </c>
      <c r="AP388" s="11">
        <v>3.9631115841182498</v>
      </c>
      <c r="AQ388" t="s">
        <v>5875</v>
      </c>
      <c r="AR388" t="s">
        <v>5876</v>
      </c>
      <c r="AS388" t="s">
        <v>3852</v>
      </c>
    </row>
    <row r="389" spans="1:45">
      <c r="A389" t="s">
        <v>4494</v>
      </c>
      <c r="B389" s="2">
        <v>0</v>
      </c>
      <c r="C389" s="2">
        <v>1</v>
      </c>
      <c r="D389" s="2">
        <v>0</v>
      </c>
      <c r="E389" s="2">
        <v>0</v>
      </c>
      <c r="F389" s="2">
        <v>1</v>
      </c>
      <c r="G389" s="2">
        <v>2</v>
      </c>
      <c r="H389" s="2">
        <v>0</v>
      </c>
      <c r="I389" s="2">
        <v>1</v>
      </c>
      <c r="J389" s="2">
        <v>25</v>
      </c>
      <c r="K389" s="2">
        <v>1</v>
      </c>
      <c r="L389" s="2">
        <v>29</v>
      </c>
      <c r="M389" s="2">
        <v>10</v>
      </c>
      <c r="N389" s="2">
        <v>14</v>
      </c>
      <c r="O389" s="2">
        <v>0</v>
      </c>
      <c r="P389" s="2">
        <v>8</v>
      </c>
      <c r="Q389" s="2">
        <v>13</v>
      </c>
      <c r="R389" s="2">
        <v>0</v>
      </c>
      <c r="S389" s="2">
        <v>0</v>
      </c>
      <c r="T389" s="2">
        <v>0</v>
      </c>
      <c r="U389" s="11">
        <v>0.30291084895868198</v>
      </c>
      <c r="V389" s="11">
        <v>0.96306412067744696</v>
      </c>
      <c r="W389" s="11">
        <v>0.40019941545306398</v>
      </c>
      <c r="X389" s="11">
        <v>0.37798043978830698</v>
      </c>
      <c r="Y389" s="11">
        <v>0.86017635993689201</v>
      </c>
      <c r="Z389" s="11">
        <v>1.85945449327898</v>
      </c>
      <c r="AA389" s="11">
        <v>0.26351557071616</v>
      </c>
      <c r="AB389" s="11">
        <v>0.97318359798230603</v>
      </c>
      <c r="AC389" s="11">
        <v>19.868957331123902</v>
      </c>
      <c r="AD389" s="11">
        <v>18.2888397597603</v>
      </c>
      <c r="AE389" s="11">
        <v>8.0005434826734305</v>
      </c>
      <c r="AF389" s="11">
        <v>11.8516586523992</v>
      </c>
      <c r="AG389" s="11">
        <v>7.3503405265209096</v>
      </c>
      <c r="AH389" s="11">
        <v>10.2594774150066</v>
      </c>
      <c r="AI389" s="11">
        <v>0.377135011965606</v>
      </c>
      <c r="AJ389" s="11">
        <v>0.38065921161865401</v>
      </c>
      <c r="AK389" s="16">
        <v>3.4393826270662502</v>
      </c>
      <c r="AL389" s="16">
        <v>12.728573330520801</v>
      </c>
      <c r="AM389" s="26">
        <v>8.2680180884458498E-7</v>
      </c>
      <c r="AN389" s="27">
        <v>4.2223695428780702E-6</v>
      </c>
      <c r="AO389" s="11">
        <v>0.75006060584898004</v>
      </c>
      <c r="AP389" s="11">
        <v>9.5472014238835801</v>
      </c>
      <c r="AQ389" t="s">
        <v>5874</v>
      </c>
      <c r="AR389" t="s">
        <v>5876</v>
      </c>
      <c r="AS389" t="s">
        <v>4494</v>
      </c>
    </row>
    <row r="390" spans="1:45">
      <c r="A390" t="s">
        <v>321</v>
      </c>
      <c r="B390" s="2">
        <v>8</v>
      </c>
      <c r="C390" s="2">
        <v>1</v>
      </c>
      <c r="D390" s="2">
        <v>1</v>
      </c>
      <c r="E390" s="2">
        <v>0</v>
      </c>
      <c r="F390" s="2">
        <v>2</v>
      </c>
      <c r="G390" s="2">
        <v>3</v>
      </c>
      <c r="H390" s="2">
        <v>2</v>
      </c>
      <c r="I390" s="2">
        <v>5</v>
      </c>
      <c r="J390" s="2">
        <v>11</v>
      </c>
      <c r="K390" s="2">
        <v>0</v>
      </c>
      <c r="L390" s="2">
        <v>15</v>
      </c>
      <c r="M390" s="2">
        <v>22</v>
      </c>
      <c r="N390" s="2">
        <v>8</v>
      </c>
      <c r="O390" s="2">
        <v>1</v>
      </c>
      <c r="P390" s="2">
        <v>9</v>
      </c>
      <c r="Q390" s="2">
        <v>13</v>
      </c>
      <c r="R390" s="2">
        <v>0</v>
      </c>
      <c r="S390" s="2">
        <v>0</v>
      </c>
      <c r="T390" s="2">
        <v>3</v>
      </c>
      <c r="U390" s="11">
        <v>9.6931471666778304</v>
      </c>
      <c r="V390" s="11">
        <v>0.96306412067744696</v>
      </c>
      <c r="W390" s="11">
        <v>1.6007976618122599</v>
      </c>
      <c r="X390" s="11">
        <v>0.37798043978830698</v>
      </c>
      <c r="Y390" s="11">
        <v>1.72035271987378</v>
      </c>
      <c r="Z390" s="11">
        <v>2.7891817399184702</v>
      </c>
      <c r="AA390" s="11">
        <v>2.10812456572928</v>
      </c>
      <c r="AB390" s="11">
        <v>4.8659179899115301</v>
      </c>
      <c r="AC390" s="11">
        <v>8.7423412256945294</v>
      </c>
      <c r="AD390" s="11">
        <v>9.4597447033242794</v>
      </c>
      <c r="AE390" s="11">
        <v>17.601195661881501</v>
      </c>
      <c r="AF390" s="11">
        <v>6.7723763727995303</v>
      </c>
      <c r="AG390" s="11">
        <v>8.2691330923360304</v>
      </c>
      <c r="AH390" s="11">
        <v>10.2594774150066</v>
      </c>
      <c r="AI390" s="11">
        <v>0.377135011965606</v>
      </c>
      <c r="AJ390" s="11">
        <v>4.5679105394238499</v>
      </c>
      <c r="AK390" s="16">
        <v>1.45238998844391</v>
      </c>
      <c r="AL390" s="16">
        <v>2.7385257031866099</v>
      </c>
      <c r="AM390" s="26">
        <v>8.59392523923087E-3</v>
      </c>
      <c r="AN390" s="27">
        <v>1.60148634680932E-2</v>
      </c>
      <c r="AO390" s="11">
        <v>3.0148208005486099</v>
      </c>
      <c r="AP390" s="11">
        <v>8.256164252804</v>
      </c>
      <c r="AQ390" t="s">
        <v>5874</v>
      </c>
      <c r="AR390" t="s">
        <v>5878</v>
      </c>
      <c r="AS390" t="s">
        <v>321</v>
      </c>
    </row>
    <row r="391" spans="1:45">
      <c r="A391" t="s">
        <v>884</v>
      </c>
      <c r="B391" s="2">
        <v>4</v>
      </c>
      <c r="C391" s="2">
        <v>8</v>
      </c>
      <c r="D391" s="2">
        <v>2</v>
      </c>
      <c r="E391" s="2">
        <v>5</v>
      </c>
      <c r="F391" s="2">
        <v>5</v>
      </c>
      <c r="G391" s="2">
        <v>5</v>
      </c>
      <c r="H391" s="2">
        <v>7</v>
      </c>
      <c r="I391" s="2">
        <v>4</v>
      </c>
      <c r="J391" s="2">
        <v>5</v>
      </c>
      <c r="K391" s="2">
        <v>9</v>
      </c>
      <c r="L391" s="2">
        <v>6</v>
      </c>
      <c r="M391" s="2">
        <v>7</v>
      </c>
      <c r="N391" s="2">
        <v>3</v>
      </c>
      <c r="O391" s="2">
        <v>4</v>
      </c>
      <c r="P391" s="2">
        <v>7</v>
      </c>
      <c r="Q391" s="2">
        <v>8</v>
      </c>
      <c r="R391" s="2">
        <v>4</v>
      </c>
      <c r="S391" s="2">
        <v>4</v>
      </c>
      <c r="T391" s="2">
        <v>7</v>
      </c>
      <c r="U391" s="11">
        <v>4.8465735833389196</v>
      </c>
      <c r="V391" s="11">
        <v>7.7045129654195703</v>
      </c>
      <c r="W391" s="11">
        <v>3.2015953236245198</v>
      </c>
      <c r="X391" s="11">
        <v>7.5596087957661497</v>
      </c>
      <c r="Y391" s="11">
        <v>4.3008817996844604</v>
      </c>
      <c r="Z391" s="11">
        <v>4.6486362331974602</v>
      </c>
      <c r="AA391" s="11">
        <v>7.3784359800524904</v>
      </c>
      <c r="AB391" s="11">
        <v>3.8927343919292201</v>
      </c>
      <c r="AC391" s="11">
        <v>3.9737914662247902</v>
      </c>
      <c r="AD391" s="11">
        <v>3.7838978813297102</v>
      </c>
      <c r="AE391" s="11">
        <v>5.6003804378713999</v>
      </c>
      <c r="AF391" s="11">
        <v>2.5396411397998202</v>
      </c>
      <c r="AG391" s="11">
        <v>6.4315479607058004</v>
      </c>
      <c r="AH391" s="11">
        <v>6.3135245630809997</v>
      </c>
      <c r="AI391" s="11">
        <v>6.0341601914496898</v>
      </c>
      <c r="AJ391" s="11">
        <v>10.658457925322301</v>
      </c>
      <c r="AK391" s="16">
        <v>-2.0404393828006601E-2</v>
      </c>
      <c r="AL391" s="16">
        <v>1.0414036101170301</v>
      </c>
      <c r="AM391" s="26">
        <v>1</v>
      </c>
      <c r="AN391" s="27">
        <v>1</v>
      </c>
      <c r="AO391" s="11">
        <v>5.4416223841265996</v>
      </c>
      <c r="AP391" s="11">
        <v>5.6669251957230697</v>
      </c>
      <c r="AQ391" t="s">
        <v>5874</v>
      </c>
      <c r="AR391" t="s">
        <v>5832</v>
      </c>
      <c r="AS391" t="s">
        <v>884</v>
      </c>
    </row>
    <row r="392" spans="1:45">
      <c r="A392" t="s">
        <v>2498</v>
      </c>
      <c r="B392" s="2">
        <v>1</v>
      </c>
      <c r="C392" s="2">
        <v>2</v>
      </c>
      <c r="D392" s="2">
        <v>0</v>
      </c>
      <c r="E392" s="2">
        <v>3</v>
      </c>
      <c r="F392" s="2">
        <v>1</v>
      </c>
      <c r="G392" s="2">
        <v>3</v>
      </c>
      <c r="H392" s="2">
        <v>0</v>
      </c>
      <c r="I392" s="2">
        <v>2</v>
      </c>
      <c r="J392" s="2">
        <v>9</v>
      </c>
      <c r="K392" s="2">
        <v>16</v>
      </c>
      <c r="L392" s="2">
        <v>0</v>
      </c>
      <c r="M392" s="2">
        <v>0</v>
      </c>
      <c r="N392" s="2">
        <v>21</v>
      </c>
      <c r="O392" s="2">
        <v>16</v>
      </c>
      <c r="P392" s="2">
        <v>6</v>
      </c>
      <c r="Q392" s="2">
        <v>11</v>
      </c>
      <c r="R392" s="2">
        <v>8</v>
      </c>
      <c r="S392" s="2">
        <v>3</v>
      </c>
      <c r="T392" s="2">
        <v>2</v>
      </c>
      <c r="U392" s="11">
        <v>1.2116433958347299</v>
      </c>
      <c r="V392" s="11">
        <v>1.9261282413548899</v>
      </c>
      <c r="W392" s="11">
        <v>0.40019941545306398</v>
      </c>
      <c r="X392" s="11">
        <v>4.5357652774596904</v>
      </c>
      <c r="Y392" s="11">
        <v>0.86017635993689201</v>
      </c>
      <c r="Z392" s="11">
        <v>2.7891817399184702</v>
      </c>
      <c r="AA392" s="11">
        <v>0.26351557071616</v>
      </c>
      <c r="AB392" s="11">
        <v>1.9463671959646101</v>
      </c>
      <c r="AC392" s="11">
        <v>7.1528246392046197</v>
      </c>
      <c r="AD392" s="11">
        <v>0.15766241172207099</v>
      </c>
      <c r="AE392" s="11">
        <v>0.200013587066836</v>
      </c>
      <c r="AF392" s="11">
        <v>17.777487978598799</v>
      </c>
      <c r="AG392" s="11">
        <v>5.5127553948906796</v>
      </c>
      <c r="AH392" s="11">
        <v>8.6810962742363706</v>
      </c>
      <c r="AI392" s="11">
        <v>12.068320382899399</v>
      </c>
      <c r="AJ392" s="11">
        <v>3.0452736929492299</v>
      </c>
      <c r="AK392" s="16">
        <v>1.9037700172540899</v>
      </c>
      <c r="AL392" s="16">
        <v>3.9184327650187898</v>
      </c>
      <c r="AM392" s="26">
        <v>7.7712949864297901E-3</v>
      </c>
      <c r="AN392" s="27">
        <v>1.4603922320004299E-2</v>
      </c>
      <c r="AO392" s="11">
        <v>1.7416221495798101</v>
      </c>
      <c r="AP392" s="11">
        <v>6.8244292951959897</v>
      </c>
      <c r="AQ392" t="s">
        <v>5874</v>
      </c>
      <c r="AR392" t="s">
        <v>5878</v>
      </c>
      <c r="AS392" t="s">
        <v>2498</v>
      </c>
    </row>
    <row r="393" spans="1:45">
      <c r="A393" t="s">
        <v>4132</v>
      </c>
      <c r="B393" s="2">
        <v>5</v>
      </c>
      <c r="C393" s="2">
        <v>12</v>
      </c>
      <c r="D393" s="2">
        <v>15</v>
      </c>
      <c r="E393" s="2">
        <v>15</v>
      </c>
      <c r="F393" s="2">
        <v>17</v>
      </c>
      <c r="G393" s="2">
        <v>9</v>
      </c>
      <c r="H393" s="2">
        <v>8</v>
      </c>
      <c r="I393" s="2">
        <v>11</v>
      </c>
      <c r="J393" s="2">
        <v>0</v>
      </c>
      <c r="K393" s="2">
        <v>0</v>
      </c>
      <c r="L393" s="2">
        <v>1</v>
      </c>
      <c r="M393" s="2">
        <v>3</v>
      </c>
      <c r="N393" s="2">
        <v>0</v>
      </c>
      <c r="O393" s="2">
        <v>0</v>
      </c>
      <c r="P393" s="2">
        <v>2</v>
      </c>
      <c r="Q393" s="2">
        <v>3</v>
      </c>
      <c r="R393" s="2">
        <v>0</v>
      </c>
      <c r="S393" s="2">
        <v>1</v>
      </c>
      <c r="T393" s="2">
        <v>2</v>
      </c>
      <c r="U393" s="11">
        <v>6.0582169791736504</v>
      </c>
      <c r="V393" s="11">
        <v>11.556769448129399</v>
      </c>
      <c r="W393" s="11">
        <v>24.0119649271839</v>
      </c>
      <c r="X393" s="11">
        <v>22.6788263872984</v>
      </c>
      <c r="Y393" s="11">
        <v>14.6229981189272</v>
      </c>
      <c r="Z393" s="11">
        <v>8.3675452197554208</v>
      </c>
      <c r="AA393" s="11">
        <v>8.4324982629171306</v>
      </c>
      <c r="AB393" s="11">
        <v>10.7050195778054</v>
      </c>
      <c r="AC393" s="11">
        <v>0.19868957331123899</v>
      </c>
      <c r="AD393" s="11">
        <v>0.63064964688828595</v>
      </c>
      <c r="AE393" s="11">
        <v>2.4001630448020301</v>
      </c>
      <c r="AF393" s="11">
        <v>0.21163676164998499</v>
      </c>
      <c r="AG393" s="11">
        <v>1.8375851316302301</v>
      </c>
      <c r="AH393" s="11">
        <v>2.36757171115537</v>
      </c>
      <c r="AI393" s="11">
        <v>0.377135011965606</v>
      </c>
      <c r="AJ393" s="11">
        <v>3.0452736929492299</v>
      </c>
      <c r="AK393" s="16">
        <v>-3.1770571849664</v>
      </c>
      <c r="AL393" s="16">
        <v>-9.6157448422478708</v>
      </c>
      <c r="AM393" s="26">
        <v>1.63696107628405E-10</v>
      </c>
      <c r="AN393" s="27">
        <v>2.6074451429381699E-9</v>
      </c>
      <c r="AO393" s="11">
        <v>13.3042298651488</v>
      </c>
      <c r="AP393" s="11">
        <v>1.3835880717939999</v>
      </c>
      <c r="AQ393" t="s">
        <v>5875</v>
      </c>
      <c r="AR393" t="s">
        <v>5876</v>
      </c>
      <c r="AS393" t="s">
        <v>4132</v>
      </c>
    </row>
    <row r="394" spans="1:45">
      <c r="A394" t="s">
        <v>2182</v>
      </c>
      <c r="B394" s="2">
        <v>3</v>
      </c>
      <c r="C394" s="2">
        <v>0</v>
      </c>
      <c r="D394" s="2">
        <v>3</v>
      </c>
      <c r="E394" s="2">
        <v>1</v>
      </c>
      <c r="F394" s="2">
        <v>1</v>
      </c>
      <c r="G394" s="2">
        <v>0</v>
      </c>
      <c r="H394" s="2">
        <v>0</v>
      </c>
      <c r="I394" s="2">
        <v>9</v>
      </c>
      <c r="J394" s="2">
        <v>5</v>
      </c>
      <c r="K394" s="2">
        <v>1</v>
      </c>
      <c r="L394" s="2">
        <v>8</v>
      </c>
      <c r="M394" s="2">
        <v>13</v>
      </c>
      <c r="N394" s="2">
        <v>5</v>
      </c>
      <c r="O394" s="2">
        <v>1</v>
      </c>
      <c r="P394" s="2">
        <v>4</v>
      </c>
      <c r="Q394" s="2">
        <v>34</v>
      </c>
      <c r="R394" s="2">
        <v>3</v>
      </c>
      <c r="S394" s="2">
        <v>5</v>
      </c>
      <c r="T394" s="2">
        <v>7</v>
      </c>
      <c r="U394" s="11">
        <v>3.6349301875041902</v>
      </c>
      <c r="V394" s="11">
        <v>0.24076603016936199</v>
      </c>
      <c r="W394" s="11">
        <v>4.8023929854367697</v>
      </c>
      <c r="X394" s="11">
        <v>1.5119217591532299</v>
      </c>
      <c r="Y394" s="11">
        <v>0.86017635993689201</v>
      </c>
      <c r="Z394" s="11">
        <v>0.23243181165987301</v>
      </c>
      <c r="AA394" s="11">
        <v>0.26351557071616</v>
      </c>
      <c r="AB394" s="11">
        <v>8.7586523818407507</v>
      </c>
      <c r="AC394" s="11">
        <v>3.9737914662247902</v>
      </c>
      <c r="AD394" s="11">
        <v>5.0451971751062796</v>
      </c>
      <c r="AE394" s="11">
        <v>10.400706527475499</v>
      </c>
      <c r="AF394" s="11">
        <v>4.2327352329997003</v>
      </c>
      <c r="AG394" s="11">
        <v>3.6751702632604601</v>
      </c>
      <c r="AH394" s="11">
        <v>26.8324793930942</v>
      </c>
      <c r="AI394" s="11">
        <v>4.5256201435872701</v>
      </c>
      <c r="AJ394" s="11">
        <v>10.658457925322301</v>
      </c>
      <c r="AK394" s="16">
        <v>1.7626084779328199</v>
      </c>
      <c r="AL394" s="16">
        <v>3.4151630269227402</v>
      </c>
      <c r="AM394" s="26">
        <v>7.37807534258632E-3</v>
      </c>
      <c r="AN394" s="27">
        <v>1.39828113433151E-2</v>
      </c>
      <c r="AO394" s="11">
        <v>2.53809838580215</v>
      </c>
      <c r="AP394" s="11">
        <v>8.6680197658838107</v>
      </c>
      <c r="AQ394" t="s">
        <v>5874</v>
      </c>
      <c r="AR394" t="s">
        <v>5878</v>
      </c>
      <c r="AS394" t="s">
        <v>2182</v>
      </c>
    </row>
    <row r="395" spans="1:45">
      <c r="A395" t="s">
        <v>4658</v>
      </c>
      <c r="B395" s="2">
        <v>1</v>
      </c>
      <c r="C395" s="2">
        <v>0</v>
      </c>
      <c r="D395" s="2">
        <v>0</v>
      </c>
      <c r="E395" s="2">
        <v>0</v>
      </c>
      <c r="F395" s="2">
        <v>0</v>
      </c>
      <c r="G395" s="2">
        <v>3</v>
      </c>
      <c r="H395" s="2">
        <v>3</v>
      </c>
      <c r="I395" s="2">
        <v>10</v>
      </c>
      <c r="J395" s="2">
        <v>15</v>
      </c>
      <c r="K395" s="2">
        <v>2</v>
      </c>
      <c r="L395" s="2">
        <v>9</v>
      </c>
      <c r="M395" s="2">
        <v>8</v>
      </c>
      <c r="N395" s="2">
        <v>9</v>
      </c>
      <c r="O395" s="2">
        <v>1</v>
      </c>
      <c r="P395" s="2">
        <v>19</v>
      </c>
      <c r="Q395" s="2">
        <v>18</v>
      </c>
      <c r="R395" s="2">
        <v>3</v>
      </c>
      <c r="S395" s="2">
        <v>1</v>
      </c>
      <c r="T395" s="2">
        <v>1</v>
      </c>
      <c r="U395" s="11">
        <v>1.2116433958347299</v>
      </c>
      <c r="V395" s="11">
        <v>0.24076603016936199</v>
      </c>
      <c r="W395" s="11">
        <v>0.40019941545306398</v>
      </c>
      <c r="X395" s="11">
        <v>0.37798043978830698</v>
      </c>
      <c r="Y395" s="11">
        <v>0.215044089984223</v>
      </c>
      <c r="Z395" s="11">
        <v>2.7891817399184702</v>
      </c>
      <c r="AA395" s="11">
        <v>3.1621868485939202</v>
      </c>
      <c r="AB395" s="11">
        <v>9.7318359798230603</v>
      </c>
      <c r="AC395" s="11">
        <v>11.9213743986744</v>
      </c>
      <c r="AD395" s="11">
        <v>5.6758468219945701</v>
      </c>
      <c r="AE395" s="11">
        <v>6.4004347861387396</v>
      </c>
      <c r="AF395" s="11">
        <v>7.6189234193994704</v>
      </c>
      <c r="AG395" s="11">
        <v>17.457058750487199</v>
      </c>
      <c r="AH395" s="11">
        <v>14.2054302669323</v>
      </c>
      <c r="AI395" s="11">
        <v>4.5256201435872701</v>
      </c>
      <c r="AJ395" s="11">
        <v>1.5226368464746201</v>
      </c>
      <c r="AK395" s="16">
        <v>1.84297721894781</v>
      </c>
      <c r="AL395" s="16">
        <v>3.8241461292113801</v>
      </c>
      <c r="AM395" s="26">
        <v>2.2436475542641902E-3</v>
      </c>
      <c r="AN395" s="27">
        <v>4.6470594854574098E-3</v>
      </c>
      <c r="AO395" s="11">
        <v>2.26610474244564</v>
      </c>
      <c r="AP395" s="11">
        <v>8.6659156792110608</v>
      </c>
      <c r="AQ395" t="s">
        <v>5874</v>
      </c>
      <c r="AR395" t="s">
        <v>5876</v>
      </c>
      <c r="AS395" t="s">
        <v>4658</v>
      </c>
    </row>
    <row r="396" spans="1:45">
      <c r="A396" t="s">
        <v>5249</v>
      </c>
      <c r="B396" s="2">
        <v>8</v>
      </c>
      <c r="C396" s="2">
        <v>17</v>
      </c>
      <c r="D396" s="2">
        <v>5</v>
      </c>
      <c r="E396" s="2">
        <v>7</v>
      </c>
      <c r="F396" s="2">
        <v>3</v>
      </c>
      <c r="G396" s="2">
        <v>9</v>
      </c>
      <c r="H396" s="2">
        <v>3</v>
      </c>
      <c r="I396" s="2">
        <v>6</v>
      </c>
      <c r="J396" s="2">
        <v>5</v>
      </c>
      <c r="K396" s="2">
        <v>0</v>
      </c>
      <c r="L396" s="2">
        <v>5</v>
      </c>
      <c r="M396" s="2">
        <v>3</v>
      </c>
      <c r="N396" s="2">
        <v>4</v>
      </c>
      <c r="O396" s="2">
        <v>0</v>
      </c>
      <c r="P396" s="2">
        <v>8</v>
      </c>
      <c r="Q396" s="2">
        <v>10</v>
      </c>
      <c r="R396" s="2">
        <v>4</v>
      </c>
      <c r="S396" s="2">
        <v>0</v>
      </c>
      <c r="T396" s="2">
        <v>6</v>
      </c>
      <c r="U396" s="11">
        <v>9.6931471666778304</v>
      </c>
      <c r="V396" s="11">
        <v>16.372090051516601</v>
      </c>
      <c r="W396" s="11">
        <v>8.00398830906129</v>
      </c>
      <c r="X396" s="11">
        <v>10.5834523140726</v>
      </c>
      <c r="Y396" s="11">
        <v>2.5805290798106801</v>
      </c>
      <c r="Z396" s="11">
        <v>8.3675452197554208</v>
      </c>
      <c r="AA396" s="11">
        <v>3.1621868485939202</v>
      </c>
      <c r="AB396" s="11">
        <v>5.8391015878938397</v>
      </c>
      <c r="AC396" s="11">
        <v>3.9737914662247902</v>
      </c>
      <c r="AD396" s="11">
        <v>3.1532482344414299</v>
      </c>
      <c r="AE396" s="11">
        <v>2.4001630448020301</v>
      </c>
      <c r="AF396" s="11">
        <v>3.3861881863997598</v>
      </c>
      <c r="AG396" s="11">
        <v>7.3503405265209096</v>
      </c>
      <c r="AH396" s="11">
        <v>7.8919057038512497</v>
      </c>
      <c r="AI396" s="11">
        <v>6.0341601914496898</v>
      </c>
      <c r="AJ396" s="11">
        <v>9.1358210788476999</v>
      </c>
      <c r="AK396" s="16">
        <v>-0.605838083322636</v>
      </c>
      <c r="AL396" s="16">
        <v>-1.4910817875104101</v>
      </c>
      <c r="AM396" s="26">
        <v>0.18739473591424699</v>
      </c>
      <c r="AN396" s="27">
        <v>0.248251640250755</v>
      </c>
      <c r="AO396" s="11">
        <v>8.0752550721727694</v>
      </c>
      <c r="AP396" s="11">
        <v>5.4157023040671897</v>
      </c>
      <c r="AQ396" t="s">
        <v>5875</v>
      </c>
      <c r="AR396" t="s">
        <v>5832</v>
      </c>
      <c r="AS396" t="s">
        <v>5249</v>
      </c>
    </row>
    <row r="397" spans="1:45">
      <c r="A397" t="s">
        <v>1800</v>
      </c>
      <c r="B397" s="2">
        <v>11</v>
      </c>
      <c r="C397" s="2">
        <v>9</v>
      </c>
      <c r="D397" s="2">
        <v>10</v>
      </c>
      <c r="E397" s="2">
        <v>11</v>
      </c>
      <c r="F397" s="2">
        <v>11</v>
      </c>
      <c r="G397" s="2">
        <v>7</v>
      </c>
      <c r="H397" s="2">
        <v>10</v>
      </c>
      <c r="I397" s="2">
        <v>1</v>
      </c>
      <c r="J397" s="2">
        <v>0</v>
      </c>
      <c r="K397" s="2">
        <v>5</v>
      </c>
      <c r="L397" s="2">
        <v>0</v>
      </c>
      <c r="M397" s="2">
        <v>2</v>
      </c>
      <c r="N397" s="2">
        <v>4</v>
      </c>
      <c r="O397" s="2">
        <v>10</v>
      </c>
      <c r="P397" s="2">
        <v>4</v>
      </c>
      <c r="Q397" s="2">
        <v>1</v>
      </c>
      <c r="R397" s="2">
        <v>1</v>
      </c>
      <c r="S397" s="2">
        <v>2</v>
      </c>
      <c r="T397" s="2">
        <v>3</v>
      </c>
      <c r="U397" s="11">
        <v>13.328077354182</v>
      </c>
      <c r="V397" s="11">
        <v>8.6675770860970207</v>
      </c>
      <c r="W397" s="11">
        <v>16.007976618122601</v>
      </c>
      <c r="X397" s="11">
        <v>16.631139350685501</v>
      </c>
      <c r="Y397" s="11">
        <v>9.4619399593058091</v>
      </c>
      <c r="Z397" s="11">
        <v>6.50809072647644</v>
      </c>
      <c r="AA397" s="11">
        <v>10.5406228286464</v>
      </c>
      <c r="AB397" s="11">
        <v>0.97318359798230603</v>
      </c>
      <c r="AC397" s="11">
        <v>0.19868957331123899</v>
      </c>
      <c r="AD397" s="11">
        <v>0.15766241172207099</v>
      </c>
      <c r="AE397" s="11">
        <v>1.60010869653469</v>
      </c>
      <c r="AF397" s="11">
        <v>3.3861881863997598</v>
      </c>
      <c r="AG397" s="11">
        <v>3.6751702632604601</v>
      </c>
      <c r="AH397" s="11">
        <v>0.78919057038512497</v>
      </c>
      <c r="AI397" s="11">
        <v>1.50854004786242</v>
      </c>
      <c r="AJ397" s="11">
        <v>4.5679105394238499</v>
      </c>
      <c r="AK397" s="16">
        <v>-2.38324683064431</v>
      </c>
      <c r="AL397" s="16">
        <v>-5.1700703768490497</v>
      </c>
      <c r="AM397" s="26">
        <v>1.52202915364473E-5</v>
      </c>
      <c r="AN397" s="27">
        <v>5.30332033223086E-5</v>
      </c>
      <c r="AO397" s="11">
        <v>10.264825940187301</v>
      </c>
      <c r="AP397" s="11">
        <v>1.9854325361124501</v>
      </c>
      <c r="AQ397" t="s">
        <v>5875</v>
      </c>
      <c r="AR397" t="s">
        <v>5876</v>
      </c>
      <c r="AS397" t="s">
        <v>1800</v>
      </c>
    </row>
    <row r="398" spans="1:45">
      <c r="A398" t="s">
        <v>4889</v>
      </c>
      <c r="B398" s="2">
        <v>2</v>
      </c>
      <c r="C398" s="2">
        <v>9</v>
      </c>
      <c r="D398" s="2">
        <v>0</v>
      </c>
      <c r="E398" s="2">
        <v>1</v>
      </c>
      <c r="F398" s="2">
        <v>0</v>
      </c>
      <c r="G398" s="2">
        <v>1</v>
      </c>
      <c r="H398" s="2">
        <v>3</v>
      </c>
      <c r="I398" s="2">
        <v>3</v>
      </c>
      <c r="J398" s="2">
        <v>1</v>
      </c>
      <c r="K398" s="2">
        <v>17</v>
      </c>
      <c r="L398" s="2">
        <v>4</v>
      </c>
      <c r="M398" s="2">
        <v>3</v>
      </c>
      <c r="N398" s="2">
        <v>7</v>
      </c>
      <c r="O398" s="2">
        <v>27</v>
      </c>
      <c r="P398" s="2">
        <v>12</v>
      </c>
      <c r="Q398" s="2">
        <v>0</v>
      </c>
      <c r="R398" s="2">
        <v>4</v>
      </c>
      <c r="S398" s="2">
        <v>6</v>
      </c>
      <c r="T398" s="2">
        <v>2</v>
      </c>
      <c r="U398" s="11">
        <v>2.4232867916694598</v>
      </c>
      <c r="V398" s="11">
        <v>8.6675770860970207</v>
      </c>
      <c r="W398" s="11">
        <v>0.40019941545306398</v>
      </c>
      <c r="X398" s="11">
        <v>1.5119217591532299</v>
      </c>
      <c r="Y398" s="11">
        <v>0.215044089984223</v>
      </c>
      <c r="Z398" s="11">
        <v>0.92972724663949102</v>
      </c>
      <c r="AA398" s="11">
        <v>3.1621868485939202</v>
      </c>
      <c r="AB398" s="11">
        <v>2.9195507939469199</v>
      </c>
      <c r="AC398" s="11">
        <v>0.79475829324495695</v>
      </c>
      <c r="AD398" s="11">
        <v>2.5225985875531398</v>
      </c>
      <c r="AE398" s="11">
        <v>2.4001630448020301</v>
      </c>
      <c r="AF398" s="11">
        <v>5.9258293261995796</v>
      </c>
      <c r="AG398" s="11">
        <v>11.0255107897814</v>
      </c>
      <c r="AH398" s="11">
        <v>0.19729764259628099</v>
      </c>
      <c r="AI398" s="11">
        <v>6.0341601914496898</v>
      </c>
      <c r="AJ398" s="11">
        <v>3.0452736929492299</v>
      </c>
      <c r="AK398" s="16">
        <v>0.57049981618771795</v>
      </c>
      <c r="AL398" s="16">
        <v>1.5791591978906601</v>
      </c>
      <c r="AM398" s="26">
        <v>0.39535590622523198</v>
      </c>
      <c r="AN398" s="27">
        <v>0.47828770572274798</v>
      </c>
      <c r="AO398" s="11">
        <v>2.52868675394217</v>
      </c>
      <c r="AP398" s="11">
        <v>3.9931989460720398</v>
      </c>
      <c r="AQ398" t="s">
        <v>5874</v>
      </c>
      <c r="AR398" t="s">
        <v>5832</v>
      </c>
      <c r="AS398" t="s">
        <v>4889</v>
      </c>
    </row>
    <row r="399" spans="1:45">
      <c r="A399" t="s">
        <v>181</v>
      </c>
      <c r="B399" s="2">
        <v>0</v>
      </c>
      <c r="C399" s="2">
        <v>5</v>
      </c>
      <c r="D399" s="2">
        <v>3</v>
      </c>
      <c r="E399" s="2">
        <v>5</v>
      </c>
      <c r="F399" s="2">
        <v>13</v>
      </c>
      <c r="G399" s="2">
        <v>8</v>
      </c>
      <c r="H399" s="2">
        <v>9</v>
      </c>
      <c r="I399" s="2">
        <v>1</v>
      </c>
      <c r="J399" s="2">
        <v>15</v>
      </c>
      <c r="K399" s="2">
        <v>1</v>
      </c>
      <c r="L399" s="2">
        <v>11</v>
      </c>
      <c r="M399" s="2">
        <v>5</v>
      </c>
      <c r="N399" s="2">
        <v>10</v>
      </c>
      <c r="O399" s="2">
        <v>2</v>
      </c>
      <c r="P399" s="2">
        <v>6</v>
      </c>
      <c r="Q399" s="2">
        <v>4</v>
      </c>
      <c r="R399" s="2">
        <v>3</v>
      </c>
      <c r="S399" s="2">
        <v>0</v>
      </c>
      <c r="T399" s="2">
        <v>0</v>
      </c>
      <c r="U399" s="11">
        <v>0.30291084895868198</v>
      </c>
      <c r="V399" s="11">
        <v>4.8153206033872298</v>
      </c>
      <c r="W399" s="11">
        <v>4.8023929854367697</v>
      </c>
      <c r="X399" s="11">
        <v>7.5596087957661497</v>
      </c>
      <c r="Y399" s="11">
        <v>11.1822926791796</v>
      </c>
      <c r="Z399" s="11">
        <v>7.43781797311593</v>
      </c>
      <c r="AA399" s="11">
        <v>9.4865605457817708</v>
      </c>
      <c r="AB399" s="11">
        <v>0.97318359798230603</v>
      </c>
      <c r="AC399" s="11">
        <v>11.9213743986744</v>
      </c>
      <c r="AD399" s="11">
        <v>6.9371461157711396</v>
      </c>
      <c r="AE399" s="11">
        <v>4.0002717413367099</v>
      </c>
      <c r="AF399" s="11">
        <v>8.4654704659994096</v>
      </c>
      <c r="AG399" s="11">
        <v>5.5127553948906796</v>
      </c>
      <c r="AH399" s="11">
        <v>3.1567622815404999</v>
      </c>
      <c r="AI399" s="11">
        <v>4.5256201435872701</v>
      </c>
      <c r="AJ399" s="11">
        <v>0.38065921161865401</v>
      </c>
      <c r="AK399" s="16">
        <v>-2.14444364515151E-2</v>
      </c>
      <c r="AL399" s="16">
        <v>-1.03697162732759</v>
      </c>
      <c r="AM399" s="26">
        <v>1</v>
      </c>
      <c r="AN399" s="27">
        <v>1</v>
      </c>
      <c r="AO399" s="11">
        <v>5.8200110037010502</v>
      </c>
      <c r="AP399" s="11">
        <v>5.6125074691773396</v>
      </c>
      <c r="AQ399" t="s">
        <v>5875</v>
      </c>
      <c r="AR399" t="s">
        <v>5832</v>
      </c>
      <c r="AS399" t="s">
        <v>181</v>
      </c>
    </row>
    <row r="400" spans="1:45">
      <c r="A400" t="s">
        <v>1372</v>
      </c>
      <c r="B400" s="2">
        <v>6</v>
      </c>
      <c r="C400" s="2">
        <v>8</v>
      </c>
      <c r="D400" s="2">
        <v>4</v>
      </c>
      <c r="E400" s="2">
        <v>6</v>
      </c>
      <c r="F400" s="2">
        <v>5</v>
      </c>
      <c r="G400" s="2">
        <v>3</v>
      </c>
      <c r="H400" s="2">
        <v>7</v>
      </c>
      <c r="I400" s="2">
        <v>0</v>
      </c>
      <c r="J400" s="2">
        <v>9</v>
      </c>
      <c r="K400" s="2">
        <v>1</v>
      </c>
      <c r="L400" s="2">
        <v>10</v>
      </c>
      <c r="M400" s="2">
        <v>9</v>
      </c>
      <c r="N400" s="2">
        <v>5</v>
      </c>
      <c r="O400" s="2">
        <v>2</v>
      </c>
      <c r="P400" s="2">
        <v>6</v>
      </c>
      <c r="Q400" s="2">
        <v>7</v>
      </c>
      <c r="R400" s="2">
        <v>4</v>
      </c>
      <c r="S400" s="2">
        <v>2</v>
      </c>
      <c r="T400" s="2">
        <v>7</v>
      </c>
      <c r="U400" s="11">
        <v>7.2698603750083803</v>
      </c>
      <c r="V400" s="11">
        <v>7.7045129654195703</v>
      </c>
      <c r="W400" s="11">
        <v>6.4031906472490299</v>
      </c>
      <c r="X400" s="11">
        <v>9.0715305549193808</v>
      </c>
      <c r="Y400" s="11">
        <v>4.3008817996844604</v>
      </c>
      <c r="Z400" s="11">
        <v>2.7891817399184702</v>
      </c>
      <c r="AA400" s="11">
        <v>7.3784359800524904</v>
      </c>
      <c r="AB400" s="11">
        <v>0.24329589949557701</v>
      </c>
      <c r="AC400" s="11">
        <v>7.1528246392046197</v>
      </c>
      <c r="AD400" s="11">
        <v>6.3064964688828598</v>
      </c>
      <c r="AE400" s="11">
        <v>7.2004891344060802</v>
      </c>
      <c r="AF400" s="11">
        <v>4.2327352329997003</v>
      </c>
      <c r="AG400" s="11">
        <v>5.5127553948906796</v>
      </c>
      <c r="AH400" s="11">
        <v>5.5243339926958699</v>
      </c>
      <c r="AI400" s="11">
        <v>6.0341601914496898</v>
      </c>
      <c r="AJ400" s="11">
        <v>10.658457925322301</v>
      </c>
      <c r="AK400" s="16">
        <v>0.23906987007982899</v>
      </c>
      <c r="AL400" s="16">
        <v>1.16521736007471</v>
      </c>
      <c r="AM400" s="26">
        <v>0.63448415985828899</v>
      </c>
      <c r="AN400" s="27">
        <v>0.70744983824199204</v>
      </c>
      <c r="AO400" s="11">
        <v>5.6451112452184198</v>
      </c>
      <c r="AP400" s="11">
        <v>6.5777816224814796</v>
      </c>
      <c r="AQ400" t="s">
        <v>5874</v>
      </c>
      <c r="AR400" t="s">
        <v>5832</v>
      </c>
      <c r="AS400" t="s">
        <v>1372</v>
      </c>
    </row>
    <row r="401" spans="1:45">
      <c r="A401" t="s">
        <v>2863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8</v>
      </c>
      <c r="I401" s="2">
        <v>34</v>
      </c>
      <c r="J401" s="2">
        <v>7</v>
      </c>
      <c r="K401" s="2">
        <v>0</v>
      </c>
      <c r="L401" s="2">
        <v>13</v>
      </c>
      <c r="M401" s="2">
        <v>4</v>
      </c>
      <c r="N401" s="2">
        <v>6</v>
      </c>
      <c r="O401" s="2">
        <v>0</v>
      </c>
      <c r="P401" s="2">
        <v>13</v>
      </c>
      <c r="Q401" s="2">
        <v>8</v>
      </c>
      <c r="R401" s="2">
        <v>3</v>
      </c>
      <c r="S401" s="2">
        <v>2</v>
      </c>
      <c r="T401" s="2">
        <v>3</v>
      </c>
      <c r="U401" s="11">
        <v>0.30291084895868198</v>
      </c>
      <c r="V401" s="11">
        <v>0.24076603016936199</v>
      </c>
      <c r="W401" s="11">
        <v>0.40019941545306398</v>
      </c>
      <c r="X401" s="11">
        <v>0.37798043978830698</v>
      </c>
      <c r="Y401" s="11">
        <v>0.215044089984223</v>
      </c>
      <c r="Z401" s="11">
        <v>0.23243181165987301</v>
      </c>
      <c r="AA401" s="11">
        <v>8.4324982629171306</v>
      </c>
      <c r="AB401" s="11">
        <v>33.088242331398398</v>
      </c>
      <c r="AC401" s="11">
        <v>5.5633080527147003</v>
      </c>
      <c r="AD401" s="11">
        <v>8.1984454095477108</v>
      </c>
      <c r="AE401" s="11">
        <v>3.2002173930693698</v>
      </c>
      <c r="AF401" s="11">
        <v>5.0792822795996404</v>
      </c>
      <c r="AG401" s="11">
        <v>11.944303355596499</v>
      </c>
      <c r="AH401" s="11">
        <v>6.3135245630809997</v>
      </c>
      <c r="AI401" s="11">
        <v>4.5256201435872701</v>
      </c>
      <c r="AJ401" s="11">
        <v>4.5679105394238499</v>
      </c>
      <c r="AK401" s="16">
        <v>0.16815128836180401</v>
      </c>
      <c r="AL401" s="16">
        <v>1.14096854199857</v>
      </c>
      <c r="AM401" s="26">
        <v>0.85014625698801605</v>
      </c>
      <c r="AN401" s="27">
        <v>0.89425761937890302</v>
      </c>
      <c r="AO401" s="11">
        <v>5.4112591537911303</v>
      </c>
      <c r="AP401" s="11">
        <v>6.1740764670774997</v>
      </c>
      <c r="AQ401" t="s">
        <v>5874</v>
      </c>
      <c r="AR401" t="s">
        <v>5832</v>
      </c>
      <c r="AS401" t="s">
        <v>2863</v>
      </c>
    </row>
    <row r="402" spans="1:45">
      <c r="A402" t="s">
        <v>3094</v>
      </c>
      <c r="B402" s="2">
        <v>1</v>
      </c>
      <c r="C402" s="2">
        <v>5</v>
      </c>
      <c r="D402" s="2">
        <v>3</v>
      </c>
      <c r="E402" s="2">
        <v>2</v>
      </c>
      <c r="F402" s="2">
        <v>1</v>
      </c>
      <c r="G402" s="2">
        <v>1</v>
      </c>
      <c r="H402" s="2">
        <v>2</v>
      </c>
      <c r="I402" s="2">
        <v>7</v>
      </c>
      <c r="J402" s="2">
        <v>36</v>
      </c>
      <c r="K402" s="2">
        <v>2</v>
      </c>
      <c r="L402" s="2">
        <v>10</v>
      </c>
      <c r="M402" s="2">
        <v>6</v>
      </c>
      <c r="N402" s="2">
        <v>10</v>
      </c>
      <c r="O402" s="2">
        <v>2</v>
      </c>
      <c r="P402" s="2">
        <v>3</v>
      </c>
      <c r="Q402" s="2">
        <v>4</v>
      </c>
      <c r="R402" s="2">
        <v>2</v>
      </c>
      <c r="S402" s="2">
        <v>2</v>
      </c>
      <c r="T402" s="2">
        <v>2</v>
      </c>
      <c r="U402" s="11">
        <v>1.2116433958347299</v>
      </c>
      <c r="V402" s="11">
        <v>4.8153206033872298</v>
      </c>
      <c r="W402" s="11">
        <v>4.8023929854367697</v>
      </c>
      <c r="X402" s="11">
        <v>3.0238435183064598</v>
      </c>
      <c r="Y402" s="11">
        <v>0.86017635993689201</v>
      </c>
      <c r="Z402" s="11">
        <v>0.92972724663949102</v>
      </c>
      <c r="AA402" s="11">
        <v>2.10812456572928</v>
      </c>
      <c r="AB402" s="11">
        <v>6.8122851858761404</v>
      </c>
      <c r="AC402" s="11">
        <v>28.6112985568185</v>
      </c>
      <c r="AD402" s="11">
        <v>6.3064964688828598</v>
      </c>
      <c r="AE402" s="11">
        <v>4.8003260896040603</v>
      </c>
      <c r="AF402" s="11">
        <v>8.4654704659994096</v>
      </c>
      <c r="AG402" s="11">
        <v>2.7563776974453398</v>
      </c>
      <c r="AH402" s="11">
        <v>3.1567622815404999</v>
      </c>
      <c r="AI402" s="11">
        <v>3.0170800957248498</v>
      </c>
      <c r="AJ402" s="11">
        <v>3.0452736929492299</v>
      </c>
      <c r="AK402" s="16">
        <v>1.30841099970779</v>
      </c>
      <c r="AL402" s="16">
        <v>2.44912375684655</v>
      </c>
      <c r="AM402" s="26">
        <v>3.4762542326012801E-2</v>
      </c>
      <c r="AN402" s="27">
        <v>5.6310268319861002E-2</v>
      </c>
      <c r="AO402" s="11">
        <v>3.07043923264338</v>
      </c>
      <c r="AP402" s="11">
        <v>7.5198856686205904</v>
      </c>
      <c r="AQ402" t="s">
        <v>5874</v>
      </c>
      <c r="AR402" t="s">
        <v>5877</v>
      </c>
      <c r="AS402" t="s">
        <v>3094</v>
      </c>
    </row>
    <row r="403" spans="1:45">
      <c r="A403" t="s">
        <v>3917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2</v>
      </c>
      <c r="N403" s="2">
        <v>0</v>
      </c>
      <c r="O403" s="2">
        <v>0</v>
      </c>
      <c r="P403" s="2">
        <v>0</v>
      </c>
      <c r="Q403" s="2">
        <v>4</v>
      </c>
      <c r="R403" s="2">
        <v>94</v>
      </c>
      <c r="S403" s="2">
        <v>0</v>
      </c>
      <c r="T403" s="2">
        <v>1</v>
      </c>
      <c r="U403" s="11">
        <v>0.30291084895868198</v>
      </c>
      <c r="V403" s="11">
        <v>0.24076603016936199</v>
      </c>
      <c r="W403" s="11">
        <v>0.40019941545306398</v>
      </c>
      <c r="X403" s="11">
        <v>0.37798043978830698</v>
      </c>
      <c r="Y403" s="11">
        <v>0.215044089984223</v>
      </c>
      <c r="Z403" s="11">
        <v>0.23243181165987301</v>
      </c>
      <c r="AA403" s="11">
        <v>0.26351557071616</v>
      </c>
      <c r="AB403" s="11">
        <v>0.24329589949557701</v>
      </c>
      <c r="AC403" s="11">
        <v>0.19868957331123899</v>
      </c>
      <c r="AD403" s="11">
        <v>0.15766241172207099</v>
      </c>
      <c r="AE403" s="11">
        <v>1.60010869653469</v>
      </c>
      <c r="AF403" s="11">
        <v>0.21163676164998499</v>
      </c>
      <c r="AG403" s="11">
        <v>0.22969814145377901</v>
      </c>
      <c r="AH403" s="11">
        <v>3.1567622815404999</v>
      </c>
      <c r="AI403" s="11">
        <v>141.80276449906799</v>
      </c>
      <c r="AJ403" s="11">
        <v>1.5226368464746201</v>
      </c>
      <c r="AK403" s="16">
        <v>5.5346542387105702</v>
      </c>
      <c r="AL403" s="16">
        <v>65.408845953368399</v>
      </c>
      <c r="AM403" s="26">
        <v>1.5987221239018799E-4</v>
      </c>
      <c r="AN403" s="27">
        <v>4.2781804035614302E-4</v>
      </c>
      <c r="AO403" s="11">
        <v>0.28451801327815601</v>
      </c>
      <c r="AP403" s="11">
        <v>18.6099949014693</v>
      </c>
      <c r="AQ403" t="s">
        <v>5874</v>
      </c>
      <c r="AR403" t="s">
        <v>5876</v>
      </c>
      <c r="AS403" t="s">
        <v>3917</v>
      </c>
    </row>
    <row r="404" spans="1:45">
      <c r="A404" t="s">
        <v>2117</v>
      </c>
      <c r="B404" s="2">
        <v>5</v>
      </c>
      <c r="C404" s="2">
        <v>9</v>
      </c>
      <c r="D404" s="2">
        <v>10</v>
      </c>
      <c r="E404" s="2">
        <v>13</v>
      </c>
      <c r="F404" s="2">
        <v>14</v>
      </c>
      <c r="G404" s="2">
        <v>10</v>
      </c>
      <c r="H404" s="2">
        <v>8</v>
      </c>
      <c r="I404" s="2">
        <v>6</v>
      </c>
      <c r="J404" s="2">
        <v>3</v>
      </c>
      <c r="K404" s="2">
        <v>0</v>
      </c>
      <c r="L404" s="2">
        <v>4</v>
      </c>
      <c r="M404" s="2">
        <v>4</v>
      </c>
      <c r="N404" s="2">
        <v>2</v>
      </c>
      <c r="O404" s="2">
        <v>0</v>
      </c>
      <c r="P404" s="2">
        <v>4</v>
      </c>
      <c r="Q404" s="2">
        <v>4</v>
      </c>
      <c r="R404" s="2">
        <v>1</v>
      </c>
      <c r="S404" s="2">
        <v>0</v>
      </c>
      <c r="T404" s="2">
        <v>3</v>
      </c>
      <c r="U404" s="11">
        <v>6.0582169791736504</v>
      </c>
      <c r="V404" s="11">
        <v>8.6675770860970207</v>
      </c>
      <c r="W404" s="11">
        <v>16.007976618122601</v>
      </c>
      <c r="X404" s="11">
        <v>19.654982868992001</v>
      </c>
      <c r="Y404" s="11">
        <v>12.042469039116501</v>
      </c>
      <c r="Z404" s="11">
        <v>9.2972724663949098</v>
      </c>
      <c r="AA404" s="11">
        <v>8.4324982629171306</v>
      </c>
      <c r="AB404" s="11">
        <v>5.8391015878938397</v>
      </c>
      <c r="AC404" s="11">
        <v>2.3842748797348698</v>
      </c>
      <c r="AD404" s="11">
        <v>2.5225985875531398</v>
      </c>
      <c r="AE404" s="11">
        <v>3.2002173930693698</v>
      </c>
      <c r="AF404" s="11">
        <v>1.6930940931998799</v>
      </c>
      <c r="AG404" s="11">
        <v>3.6751702632604601</v>
      </c>
      <c r="AH404" s="11">
        <v>3.1567622815404999</v>
      </c>
      <c r="AI404" s="11">
        <v>1.50854004786242</v>
      </c>
      <c r="AJ404" s="11">
        <v>4.5679105394238499</v>
      </c>
      <c r="AK404" s="16">
        <v>-1.85171330334217</v>
      </c>
      <c r="AL404" s="16">
        <v>-3.7871209925857698</v>
      </c>
      <c r="AM404" s="26">
        <v>5.4957372925243904E-6</v>
      </c>
      <c r="AN404" s="27">
        <v>2.18848110041596E-5</v>
      </c>
      <c r="AO404" s="11">
        <v>10.7500118635884</v>
      </c>
      <c r="AP404" s="11">
        <v>2.8385710107055599</v>
      </c>
      <c r="AQ404" t="s">
        <v>5875</v>
      </c>
      <c r="AR404" t="s">
        <v>5876</v>
      </c>
      <c r="AS404" t="s">
        <v>2117</v>
      </c>
    </row>
    <row r="405" spans="1:45">
      <c r="A405" t="s">
        <v>4504</v>
      </c>
      <c r="B405" s="2">
        <v>4</v>
      </c>
      <c r="C405" s="2">
        <v>5</v>
      </c>
      <c r="D405" s="2">
        <v>3</v>
      </c>
      <c r="E405" s="2">
        <v>0</v>
      </c>
      <c r="F405" s="2">
        <v>1</v>
      </c>
      <c r="G405" s="2">
        <v>1</v>
      </c>
      <c r="H405" s="2">
        <v>3</v>
      </c>
      <c r="I405" s="2">
        <v>5</v>
      </c>
      <c r="J405" s="2">
        <v>6</v>
      </c>
      <c r="K405" s="2">
        <v>0</v>
      </c>
      <c r="L405" s="2">
        <v>14</v>
      </c>
      <c r="M405" s="2">
        <v>11</v>
      </c>
      <c r="N405" s="2">
        <v>7</v>
      </c>
      <c r="O405" s="2">
        <v>2</v>
      </c>
      <c r="P405" s="2">
        <v>8</v>
      </c>
      <c r="Q405" s="2">
        <v>17</v>
      </c>
      <c r="R405" s="2">
        <v>3</v>
      </c>
      <c r="S405" s="2">
        <v>2</v>
      </c>
      <c r="T405" s="2">
        <v>7</v>
      </c>
      <c r="U405" s="11">
        <v>4.8465735833389196</v>
      </c>
      <c r="V405" s="11">
        <v>4.8153206033872298</v>
      </c>
      <c r="W405" s="11">
        <v>4.8023929854367697</v>
      </c>
      <c r="X405" s="11">
        <v>0.37798043978830698</v>
      </c>
      <c r="Y405" s="11">
        <v>0.86017635993689201</v>
      </c>
      <c r="Z405" s="11">
        <v>0.92972724663949102</v>
      </c>
      <c r="AA405" s="11">
        <v>3.1621868485939202</v>
      </c>
      <c r="AB405" s="11">
        <v>4.8659179899115301</v>
      </c>
      <c r="AC405" s="11">
        <v>4.7685497594697397</v>
      </c>
      <c r="AD405" s="11">
        <v>8.8290950564359996</v>
      </c>
      <c r="AE405" s="11">
        <v>8.8005978309407702</v>
      </c>
      <c r="AF405" s="11">
        <v>5.9258293261995796</v>
      </c>
      <c r="AG405" s="11">
        <v>7.3503405265209096</v>
      </c>
      <c r="AH405" s="11">
        <v>13.4162396965471</v>
      </c>
      <c r="AI405" s="11">
        <v>4.5256201435872701</v>
      </c>
      <c r="AJ405" s="11">
        <v>10.658457925322301</v>
      </c>
      <c r="AK405" s="16">
        <v>1.37575758872029</v>
      </c>
      <c r="AL405" s="16">
        <v>2.6064075729068201</v>
      </c>
      <c r="AM405" s="26">
        <v>1.7842225068227999E-3</v>
      </c>
      <c r="AN405" s="27">
        <v>3.8380863571204401E-3</v>
      </c>
      <c r="AO405" s="11">
        <v>3.0825345071291301</v>
      </c>
      <c r="AP405" s="11">
        <v>8.0343412831279704</v>
      </c>
      <c r="AQ405" t="s">
        <v>5874</v>
      </c>
      <c r="AR405" t="s">
        <v>5876</v>
      </c>
      <c r="AS405" t="s">
        <v>4504</v>
      </c>
    </row>
    <row r="406" spans="1:45">
      <c r="A406" t="s">
        <v>5769</v>
      </c>
      <c r="B406" s="2">
        <v>1</v>
      </c>
      <c r="C406" s="2">
        <v>0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32</v>
      </c>
      <c r="K406" s="2">
        <v>0</v>
      </c>
      <c r="L406" s="2">
        <v>29</v>
      </c>
      <c r="M406" s="2">
        <v>3</v>
      </c>
      <c r="N406" s="2">
        <v>10</v>
      </c>
      <c r="O406" s="2">
        <v>0</v>
      </c>
      <c r="P406" s="2">
        <v>7</v>
      </c>
      <c r="Q406" s="2">
        <v>12</v>
      </c>
      <c r="R406" s="2">
        <v>1</v>
      </c>
      <c r="S406" s="2">
        <v>0</v>
      </c>
      <c r="T406" s="2">
        <v>3</v>
      </c>
      <c r="U406" s="11">
        <v>1.2116433958347299</v>
      </c>
      <c r="V406" s="11">
        <v>0.24076603016936199</v>
      </c>
      <c r="W406" s="11">
        <v>1.6007976618122599</v>
      </c>
      <c r="X406" s="11">
        <v>0.37798043978830698</v>
      </c>
      <c r="Y406" s="11">
        <v>0.215044089984223</v>
      </c>
      <c r="Z406" s="11">
        <v>0.23243181165987301</v>
      </c>
      <c r="AA406" s="11">
        <v>0.26351557071616</v>
      </c>
      <c r="AB406" s="11">
        <v>0.24329589949557701</v>
      </c>
      <c r="AC406" s="11">
        <v>25.432265383838601</v>
      </c>
      <c r="AD406" s="11">
        <v>18.2888397597603</v>
      </c>
      <c r="AE406" s="11">
        <v>2.4001630448020301</v>
      </c>
      <c r="AF406" s="11">
        <v>8.4654704659994096</v>
      </c>
      <c r="AG406" s="11">
        <v>6.4315479607058004</v>
      </c>
      <c r="AH406" s="11">
        <v>9.4702868446214996</v>
      </c>
      <c r="AI406" s="11">
        <v>1.50854004786242</v>
      </c>
      <c r="AJ406" s="11">
        <v>4.5679105394238499</v>
      </c>
      <c r="AK406" s="16">
        <v>4.0247905961584101</v>
      </c>
      <c r="AL406" s="16">
        <v>17.458776028209201</v>
      </c>
      <c r="AM406" s="26">
        <v>2.11708224255166E-7</v>
      </c>
      <c r="AN406" s="27">
        <v>1.28757092751551E-6</v>
      </c>
      <c r="AO406" s="11">
        <v>0.54818436243256097</v>
      </c>
      <c r="AP406" s="11">
        <v>9.5706280058767401</v>
      </c>
      <c r="AQ406" t="s">
        <v>5874</v>
      </c>
      <c r="AR406" t="s">
        <v>5876</v>
      </c>
      <c r="AS406" t="s">
        <v>5769</v>
      </c>
    </row>
    <row r="407" spans="1:45">
      <c r="A407" t="s">
        <v>3159</v>
      </c>
      <c r="B407" s="2">
        <v>6.1539999999999999</v>
      </c>
      <c r="C407" s="2">
        <v>6.75</v>
      </c>
      <c r="D407" s="2">
        <v>7.6920000000000002</v>
      </c>
      <c r="E407" s="2">
        <v>7.9329999999999998</v>
      </c>
      <c r="F407" s="2">
        <v>5.9379999999999997</v>
      </c>
      <c r="G407" s="2">
        <v>3.1429999999999998</v>
      </c>
      <c r="H407" s="2">
        <v>6.2140000000000004</v>
      </c>
      <c r="I407" s="2">
        <v>16.614999999999998</v>
      </c>
      <c r="J407" s="2">
        <v>4</v>
      </c>
      <c r="K407" s="2">
        <v>0</v>
      </c>
      <c r="L407" s="2">
        <v>4.6669999999999998</v>
      </c>
      <c r="M407" s="2">
        <v>7</v>
      </c>
      <c r="N407" s="2">
        <v>4</v>
      </c>
      <c r="O407" s="2">
        <v>0</v>
      </c>
      <c r="P407" s="2">
        <v>4.5709999999999997</v>
      </c>
      <c r="Q407" s="2">
        <v>9</v>
      </c>
      <c r="R407" s="2">
        <v>0</v>
      </c>
      <c r="S407" s="2">
        <v>1.25</v>
      </c>
      <c r="T407" s="2">
        <v>3.5</v>
      </c>
      <c r="U407" s="11">
        <v>7.5121890541753196</v>
      </c>
      <c r="V407" s="11">
        <v>6.5488360206066396</v>
      </c>
      <c r="W407" s="11">
        <v>12.3261419959544</v>
      </c>
      <c r="X407" s="11">
        <v>11.9441818973105</v>
      </c>
      <c r="Y407" s="11">
        <v>5.0750405236276599</v>
      </c>
      <c r="Z407" s="11">
        <v>2.88215446458242</v>
      </c>
      <c r="AA407" s="11">
        <v>6.5351861537607698</v>
      </c>
      <c r="AB407" s="11">
        <v>16.154847726506301</v>
      </c>
      <c r="AC407" s="11">
        <v>3.17903317297983</v>
      </c>
      <c r="AD407" s="11">
        <v>2.9640533403749401</v>
      </c>
      <c r="AE407" s="11">
        <v>5.6003804378713999</v>
      </c>
      <c r="AF407" s="11">
        <v>3.3861881863997598</v>
      </c>
      <c r="AG407" s="11">
        <v>4.2264458027495202</v>
      </c>
      <c r="AH407" s="11">
        <v>7.1027151334661296</v>
      </c>
      <c r="AI407" s="11">
        <v>0.377135011965606</v>
      </c>
      <c r="AJ407" s="11">
        <v>5.3292289626611602</v>
      </c>
      <c r="AK407" s="16">
        <v>-1.01600268800185</v>
      </c>
      <c r="AL407" s="16">
        <v>-2.1445108571624099</v>
      </c>
      <c r="AM407" s="26">
        <v>1.4164689125400301E-2</v>
      </c>
      <c r="AN407" s="27">
        <v>2.5135748076638698E-2</v>
      </c>
      <c r="AO407" s="11">
        <v>8.6223222295654995</v>
      </c>
      <c r="AP407" s="11">
        <v>4.0206475060585403</v>
      </c>
      <c r="AQ407" t="s">
        <v>5875</v>
      </c>
      <c r="AR407" t="s">
        <v>5878</v>
      </c>
      <c r="AS407" t="s">
        <v>3159</v>
      </c>
    </row>
    <row r="408" spans="1:45">
      <c r="A408" t="s">
        <v>3236</v>
      </c>
      <c r="B408" s="2">
        <v>5</v>
      </c>
      <c r="C408" s="2">
        <v>12</v>
      </c>
      <c r="D408" s="2">
        <v>0</v>
      </c>
      <c r="E408" s="2">
        <v>1</v>
      </c>
      <c r="F408" s="2">
        <v>13</v>
      </c>
      <c r="G408" s="2">
        <v>13</v>
      </c>
      <c r="H408" s="2">
        <v>5</v>
      </c>
      <c r="I408" s="2">
        <v>8</v>
      </c>
      <c r="J408" s="2">
        <v>17</v>
      </c>
      <c r="K408" s="2">
        <v>0</v>
      </c>
      <c r="L408" s="2">
        <v>15</v>
      </c>
      <c r="M408" s="2">
        <v>3</v>
      </c>
      <c r="N408" s="2">
        <v>1</v>
      </c>
      <c r="O408" s="2">
        <v>0</v>
      </c>
      <c r="P408" s="2">
        <v>2</v>
      </c>
      <c r="Q408" s="2">
        <v>3</v>
      </c>
      <c r="R408" s="2">
        <v>0</v>
      </c>
      <c r="S408" s="2">
        <v>0</v>
      </c>
      <c r="T408" s="2">
        <v>0</v>
      </c>
      <c r="U408" s="11">
        <v>6.0582169791736504</v>
      </c>
      <c r="V408" s="11">
        <v>11.556769448129399</v>
      </c>
      <c r="W408" s="11">
        <v>0.40019941545306398</v>
      </c>
      <c r="X408" s="11">
        <v>1.5119217591532299</v>
      </c>
      <c r="Y408" s="11">
        <v>11.1822926791796</v>
      </c>
      <c r="Z408" s="11">
        <v>12.0864542063134</v>
      </c>
      <c r="AA408" s="11">
        <v>5.2703114143232002</v>
      </c>
      <c r="AB408" s="11">
        <v>7.78546878385845</v>
      </c>
      <c r="AC408" s="11">
        <v>13.5108909851643</v>
      </c>
      <c r="AD408" s="11">
        <v>9.4597447033242794</v>
      </c>
      <c r="AE408" s="11">
        <v>2.4001630448020301</v>
      </c>
      <c r="AF408" s="11">
        <v>0.84654704659994096</v>
      </c>
      <c r="AG408" s="11">
        <v>1.8375851316302301</v>
      </c>
      <c r="AH408" s="11">
        <v>2.36757171115537</v>
      </c>
      <c r="AI408" s="11">
        <v>0.377135011965606</v>
      </c>
      <c r="AJ408" s="11">
        <v>0.38065921161865401</v>
      </c>
      <c r="AK408" s="16">
        <v>-0.78115919325239602</v>
      </c>
      <c r="AL408" s="16">
        <v>-1.7912476895575999</v>
      </c>
      <c r="AM408" s="26">
        <v>0.206041394233071</v>
      </c>
      <c r="AN408" s="27">
        <v>0.27073472261001802</v>
      </c>
      <c r="AO408" s="11">
        <v>6.9814543356979897</v>
      </c>
      <c r="AP408" s="11">
        <v>3.8975371057825501</v>
      </c>
      <c r="AQ408" t="s">
        <v>5875</v>
      </c>
      <c r="AR408" t="s">
        <v>5832</v>
      </c>
      <c r="AS408" t="s">
        <v>3236</v>
      </c>
    </row>
    <row r="409" spans="1:45">
      <c r="A409" t="s">
        <v>4233</v>
      </c>
      <c r="B409" s="2">
        <v>9</v>
      </c>
      <c r="C409" s="2">
        <v>12</v>
      </c>
      <c r="D409" s="2">
        <v>12</v>
      </c>
      <c r="E409" s="2">
        <v>10</v>
      </c>
      <c r="F409" s="2">
        <v>13</v>
      </c>
      <c r="G409" s="2">
        <v>14</v>
      </c>
      <c r="H409" s="2">
        <v>9</v>
      </c>
      <c r="I409" s="2">
        <v>6</v>
      </c>
      <c r="J409" s="2">
        <v>0</v>
      </c>
      <c r="K409" s="2">
        <v>0</v>
      </c>
      <c r="L409" s="2">
        <v>3</v>
      </c>
      <c r="M409" s="2">
        <v>3</v>
      </c>
      <c r="N409" s="2">
        <v>1</v>
      </c>
      <c r="O409" s="2">
        <v>1</v>
      </c>
      <c r="P409" s="2">
        <v>2</v>
      </c>
      <c r="Q409" s="2">
        <v>1</v>
      </c>
      <c r="R409" s="2">
        <v>1</v>
      </c>
      <c r="S409" s="2">
        <v>0</v>
      </c>
      <c r="T409" s="2">
        <v>1</v>
      </c>
      <c r="U409" s="11">
        <v>10.9047905625126</v>
      </c>
      <c r="V409" s="11">
        <v>11.556769448129399</v>
      </c>
      <c r="W409" s="11">
        <v>19.2095719417471</v>
      </c>
      <c r="X409" s="11">
        <v>15.119217591532299</v>
      </c>
      <c r="Y409" s="11">
        <v>11.1822926791796</v>
      </c>
      <c r="Z409" s="11">
        <v>13.0161814529529</v>
      </c>
      <c r="AA409" s="11">
        <v>9.4865605457817708</v>
      </c>
      <c r="AB409" s="11">
        <v>5.8391015878938397</v>
      </c>
      <c r="AC409" s="11">
        <v>0.19868957331123899</v>
      </c>
      <c r="AD409" s="11">
        <v>1.89194894066486</v>
      </c>
      <c r="AE409" s="11">
        <v>2.4001630448020301</v>
      </c>
      <c r="AF409" s="11">
        <v>0.84654704659994096</v>
      </c>
      <c r="AG409" s="11">
        <v>1.8375851316302301</v>
      </c>
      <c r="AH409" s="11">
        <v>0.78919057038512497</v>
      </c>
      <c r="AI409" s="11">
        <v>1.50854004786242</v>
      </c>
      <c r="AJ409" s="11">
        <v>1.5226368464746201</v>
      </c>
      <c r="AK409" s="16">
        <v>-2.9954006307486001</v>
      </c>
      <c r="AL409" s="16">
        <v>-8.7596041293140097</v>
      </c>
      <c r="AM409" s="26">
        <v>2.8582972994519102E-12</v>
      </c>
      <c r="AN409" s="27">
        <v>7.3546188205128104E-11</v>
      </c>
      <c r="AO409" s="11">
        <v>12.0393107262162</v>
      </c>
      <c r="AP409" s="11">
        <v>1.3744126502163101</v>
      </c>
      <c r="AQ409" t="s">
        <v>5875</v>
      </c>
      <c r="AR409" t="s">
        <v>5876</v>
      </c>
      <c r="AS409" t="s">
        <v>4233</v>
      </c>
    </row>
    <row r="410" spans="1:45">
      <c r="A410" t="s">
        <v>2672</v>
      </c>
      <c r="B410" s="2">
        <v>6</v>
      </c>
      <c r="C410" s="2">
        <v>9</v>
      </c>
      <c r="D410" s="2">
        <v>7</v>
      </c>
      <c r="E410" s="2">
        <v>10</v>
      </c>
      <c r="F410" s="2">
        <v>15</v>
      </c>
      <c r="G410" s="2">
        <v>9</v>
      </c>
      <c r="H410" s="2">
        <v>10</v>
      </c>
      <c r="I410" s="2">
        <v>5</v>
      </c>
      <c r="J410" s="2">
        <v>3</v>
      </c>
      <c r="K410" s="2">
        <v>1</v>
      </c>
      <c r="L410" s="2">
        <v>6</v>
      </c>
      <c r="M410" s="2">
        <v>2</v>
      </c>
      <c r="N410" s="2">
        <v>1</v>
      </c>
      <c r="O410" s="2">
        <v>0</v>
      </c>
      <c r="P410" s="2">
        <v>3</v>
      </c>
      <c r="Q410" s="2">
        <v>3</v>
      </c>
      <c r="R410" s="2">
        <v>4</v>
      </c>
      <c r="S410" s="2">
        <v>0</v>
      </c>
      <c r="T410" s="2">
        <v>3</v>
      </c>
      <c r="U410" s="11">
        <v>7.2698603750083803</v>
      </c>
      <c r="V410" s="11">
        <v>8.6675770860970207</v>
      </c>
      <c r="W410" s="11">
        <v>11.2055836326858</v>
      </c>
      <c r="X410" s="11">
        <v>15.119217591532299</v>
      </c>
      <c r="Y410" s="11">
        <v>12.9026453990534</v>
      </c>
      <c r="Z410" s="11">
        <v>8.3675452197554208</v>
      </c>
      <c r="AA410" s="11">
        <v>10.5406228286464</v>
      </c>
      <c r="AB410" s="11">
        <v>4.8659179899115301</v>
      </c>
      <c r="AC410" s="11">
        <v>2.3842748797348698</v>
      </c>
      <c r="AD410" s="11">
        <v>3.7838978813297102</v>
      </c>
      <c r="AE410" s="11">
        <v>1.60010869653469</v>
      </c>
      <c r="AF410" s="11">
        <v>0.84654704659994096</v>
      </c>
      <c r="AG410" s="11">
        <v>2.7563776974453398</v>
      </c>
      <c r="AH410" s="11">
        <v>2.36757171115537</v>
      </c>
      <c r="AI410" s="11">
        <v>6.0341601914496898</v>
      </c>
      <c r="AJ410" s="11">
        <v>4.5679105394238499</v>
      </c>
      <c r="AK410" s="16">
        <v>-1.73778602452542</v>
      </c>
      <c r="AL410" s="16">
        <v>-3.2430656497758399</v>
      </c>
      <c r="AM410" s="26">
        <v>1.78496565020323E-5</v>
      </c>
      <c r="AN410" s="27">
        <v>6.06163461921807E-5</v>
      </c>
      <c r="AO410" s="11">
        <v>9.8673712653362795</v>
      </c>
      <c r="AP410" s="11">
        <v>3.0426060804591799</v>
      </c>
      <c r="AQ410" t="s">
        <v>5875</v>
      </c>
      <c r="AR410" t="s">
        <v>5876</v>
      </c>
      <c r="AS410" t="s">
        <v>2672</v>
      </c>
    </row>
    <row r="411" spans="1:45">
      <c r="A411" t="s">
        <v>4451</v>
      </c>
      <c r="B411" s="2">
        <v>3</v>
      </c>
      <c r="C411" s="2">
        <v>5</v>
      </c>
      <c r="D411" s="2">
        <v>6</v>
      </c>
      <c r="E411" s="2">
        <v>1</v>
      </c>
      <c r="F411" s="2">
        <v>3</v>
      </c>
      <c r="G411" s="2">
        <v>4</v>
      </c>
      <c r="H411" s="2">
        <v>8</v>
      </c>
      <c r="I411" s="2">
        <v>5</v>
      </c>
      <c r="J411" s="2">
        <v>10</v>
      </c>
      <c r="K411" s="2">
        <v>0</v>
      </c>
      <c r="L411" s="2">
        <v>8</v>
      </c>
      <c r="M411" s="2">
        <v>6</v>
      </c>
      <c r="N411" s="2">
        <v>8</v>
      </c>
      <c r="O411" s="2">
        <v>0</v>
      </c>
      <c r="P411" s="2">
        <v>4</v>
      </c>
      <c r="Q411" s="2">
        <v>8</v>
      </c>
      <c r="R411" s="2">
        <v>5</v>
      </c>
      <c r="S411" s="2">
        <v>2</v>
      </c>
      <c r="T411" s="2">
        <v>11</v>
      </c>
      <c r="U411" s="11">
        <v>3.6349301875041902</v>
      </c>
      <c r="V411" s="11">
        <v>4.8153206033872298</v>
      </c>
      <c r="W411" s="11">
        <v>9.6047859708735501</v>
      </c>
      <c r="X411" s="11">
        <v>1.5119217591532299</v>
      </c>
      <c r="Y411" s="11">
        <v>2.5805290798106801</v>
      </c>
      <c r="Z411" s="11">
        <v>3.7189089865579601</v>
      </c>
      <c r="AA411" s="11">
        <v>8.4324982629171306</v>
      </c>
      <c r="AB411" s="11">
        <v>4.8659179899115301</v>
      </c>
      <c r="AC411" s="11">
        <v>7.9475829324495697</v>
      </c>
      <c r="AD411" s="11">
        <v>5.0451971751062796</v>
      </c>
      <c r="AE411" s="11">
        <v>4.8003260896040603</v>
      </c>
      <c r="AF411" s="11">
        <v>6.7723763727995303</v>
      </c>
      <c r="AG411" s="11">
        <v>3.6751702632604601</v>
      </c>
      <c r="AH411" s="11">
        <v>6.3135245630809997</v>
      </c>
      <c r="AI411" s="11">
        <v>7.5427002393121096</v>
      </c>
      <c r="AJ411" s="11">
        <v>16.749005311220799</v>
      </c>
      <c r="AK411" s="16">
        <v>0.53189370047719997</v>
      </c>
      <c r="AL411" s="16">
        <v>1.50251919208866</v>
      </c>
      <c r="AM411" s="26">
        <v>0.207411522732148</v>
      </c>
      <c r="AN411" s="27">
        <v>0.27154267848885899</v>
      </c>
      <c r="AO411" s="11">
        <v>4.8956016050144404</v>
      </c>
      <c r="AP411" s="11">
        <v>7.3557353683542201</v>
      </c>
      <c r="AQ411" t="s">
        <v>5874</v>
      </c>
      <c r="AR411" t="s">
        <v>5832</v>
      </c>
      <c r="AS411" t="s">
        <v>4451</v>
      </c>
    </row>
    <row r="412" spans="1:45">
      <c r="A412" t="s">
        <v>3855</v>
      </c>
      <c r="B412" s="2">
        <v>1.821</v>
      </c>
      <c r="C412" s="2">
        <v>4.4480000000000004</v>
      </c>
      <c r="D412" s="2">
        <v>0</v>
      </c>
      <c r="E412" s="2">
        <v>5.5</v>
      </c>
      <c r="F412" s="2">
        <v>7.1970000000000001</v>
      </c>
      <c r="G412" s="2">
        <v>4.556</v>
      </c>
      <c r="H412" s="2">
        <v>0</v>
      </c>
      <c r="I412" s="2">
        <v>7.6109999999999998</v>
      </c>
      <c r="J412" s="2">
        <v>15.207000000000001</v>
      </c>
      <c r="K412" s="2">
        <v>3</v>
      </c>
      <c r="L412" s="2">
        <v>18.792999999999999</v>
      </c>
      <c r="M412" s="2">
        <v>9.8170000000000002</v>
      </c>
      <c r="N412" s="2">
        <v>9.7270000000000003</v>
      </c>
      <c r="O412" s="2">
        <v>2.5</v>
      </c>
      <c r="P412" s="2">
        <v>0</v>
      </c>
      <c r="Q412" s="2">
        <v>0.5</v>
      </c>
      <c r="R412" s="2">
        <v>5</v>
      </c>
      <c r="S412" s="2">
        <v>0.53300000000000003</v>
      </c>
      <c r="T412" s="2">
        <v>0</v>
      </c>
      <c r="U412" s="11">
        <v>2.1809581125025099</v>
      </c>
      <c r="V412" s="11">
        <v>4.2374821309807702</v>
      </c>
      <c r="W412" s="11">
        <v>0.40019941545306398</v>
      </c>
      <c r="X412" s="11">
        <v>8.3155696753427595</v>
      </c>
      <c r="Y412" s="11">
        <v>6.1932697915456201</v>
      </c>
      <c r="Z412" s="11">
        <v>4.2767453345416602</v>
      </c>
      <c r="AA412" s="11">
        <v>0.26351557071616</v>
      </c>
      <c r="AB412" s="11">
        <v>7.3961953446655304</v>
      </c>
      <c r="AC412" s="11">
        <v>12.080326057323401</v>
      </c>
      <c r="AD412" s="11">
        <v>11.856213361499799</v>
      </c>
      <c r="AE412" s="11">
        <v>7.8405326130199597</v>
      </c>
      <c r="AF412" s="11">
        <v>8.2115063520194305</v>
      </c>
      <c r="AG412" s="11">
        <v>0.22969814145377901</v>
      </c>
      <c r="AH412" s="11">
        <v>0.39459528519256198</v>
      </c>
      <c r="AI412" s="11">
        <v>7.5427002393121096</v>
      </c>
      <c r="AJ412" s="11">
        <v>0.38065921161865401</v>
      </c>
      <c r="AK412" s="16">
        <v>0.54594771126269404</v>
      </c>
      <c r="AL412" s="16">
        <v>1.4591247461605601</v>
      </c>
      <c r="AM412" s="26">
        <v>0.44940821706942602</v>
      </c>
      <c r="AN412" s="27">
        <v>0.53232317082432601</v>
      </c>
      <c r="AO412" s="11">
        <v>4.1579919219685104</v>
      </c>
      <c r="AP412" s="11">
        <v>6.0670289076799504</v>
      </c>
      <c r="AQ412" t="s">
        <v>5874</v>
      </c>
      <c r="AR412" t="s">
        <v>5832</v>
      </c>
      <c r="AS412" t="s">
        <v>3855</v>
      </c>
    </row>
    <row r="413" spans="1:45">
      <c r="A413" t="s">
        <v>1357</v>
      </c>
      <c r="B413" s="2">
        <v>3</v>
      </c>
      <c r="C413" s="2">
        <v>6</v>
      </c>
      <c r="D413" s="2">
        <v>6</v>
      </c>
      <c r="E413" s="2">
        <v>5</v>
      </c>
      <c r="F413" s="2">
        <v>7</v>
      </c>
      <c r="G413" s="2">
        <v>14</v>
      </c>
      <c r="H413" s="2">
        <v>10</v>
      </c>
      <c r="I413" s="2">
        <v>8</v>
      </c>
      <c r="J413" s="2">
        <v>2</v>
      </c>
      <c r="K413" s="2">
        <v>0</v>
      </c>
      <c r="L413" s="2">
        <v>6</v>
      </c>
      <c r="M413" s="2">
        <v>1</v>
      </c>
      <c r="N413" s="2">
        <v>6</v>
      </c>
      <c r="O413" s="2">
        <v>0</v>
      </c>
      <c r="P413" s="2">
        <v>4</v>
      </c>
      <c r="Q413" s="2">
        <v>7</v>
      </c>
      <c r="R413" s="2">
        <v>8</v>
      </c>
      <c r="S413" s="2">
        <v>1</v>
      </c>
      <c r="T413" s="2">
        <v>2</v>
      </c>
      <c r="U413" s="11">
        <v>3.6349301875041902</v>
      </c>
      <c r="V413" s="11">
        <v>5.7783847240646802</v>
      </c>
      <c r="W413" s="11">
        <v>9.6047859708735501</v>
      </c>
      <c r="X413" s="11">
        <v>7.5596087957661497</v>
      </c>
      <c r="Y413" s="11">
        <v>6.0212345195582504</v>
      </c>
      <c r="Z413" s="11">
        <v>13.0161814529529</v>
      </c>
      <c r="AA413" s="11">
        <v>10.5406228286464</v>
      </c>
      <c r="AB413" s="11">
        <v>7.78546878385845</v>
      </c>
      <c r="AC413" s="11">
        <v>1.5895165864899099</v>
      </c>
      <c r="AD413" s="11">
        <v>3.7838978813297102</v>
      </c>
      <c r="AE413" s="11">
        <v>0.80005434826734301</v>
      </c>
      <c r="AF413" s="11">
        <v>5.0792822795996404</v>
      </c>
      <c r="AG413" s="11">
        <v>3.6751702632604601</v>
      </c>
      <c r="AH413" s="11">
        <v>5.5243339926958699</v>
      </c>
      <c r="AI413" s="11">
        <v>12.068320382899399</v>
      </c>
      <c r="AJ413" s="11">
        <v>3.0452736929492299</v>
      </c>
      <c r="AK413" s="16">
        <v>-0.91782197935180898</v>
      </c>
      <c r="AL413" s="16">
        <v>-1.7978262375985701</v>
      </c>
      <c r="AM413" s="26">
        <v>4.5059839789661299E-2</v>
      </c>
      <c r="AN413" s="27">
        <v>7.0762987838693503E-2</v>
      </c>
      <c r="AO413" s="11">
        <v>7.9926521579030698</v>
      </c>
      <c r="AP413" s="11">
        <v>4.4457311784364402</v>
      </c>
      <c r="AQ413" t="s">
        <v>5875</v>
      </c>
      <c r="AR413" t="s">
        <v>5877</v>
      </c>
      <c r="AS413" t="s">
        <v>1357</v>
      </c>
    </row>
    <row r="414" spans="1:45">
      <c r="A414" t="s">
        <v>2206</v>
      </c>
      <c r="B414" s="2">
        <v>8</v>
      </c>
      <c r="C414" s="2">
        <v>7</v>
      </c>
      <c r="D414" s="2">
        <v>5</v>
      </c>
      <c r="E414" s="2">
        <v>0</v>
      </c>
      <c r="F414" s="2">
        <v>20</v>
      </c>
      <c r="G414" s="2">
        <v>16</v>
      </c>
      <c r="H414" s="2">
        <v>6</v>
      </c>
      <c r="I414" s="2">
        <v>14</v>
      </c>
      <c r="J414" s="2">
        <v>3</v>
      </c>
      <c r="K414" s="2">
        <v>0</v>
      </c>
      <c r="L414" s="2">
        <v>7</v>
      </c>
      <c r="M414" s="2">
        <v>3</v>
      </c>
      <c r="N414" s="2">
        <v>5</v>
      </c>
      <c r="O414" s="2">
        <v>0</v>
      </c>
      <c r="P414" s="2">
        <v>0</v>
      </c>
      <c r="Q414" s="2">
        <v>2</v>
      </c>
      <c r="R414" s="2">
        <v>0</v>
      </c>
      <c r="S414" s="2">
        <v>0</v>
      </c>
      <c r="T414" s="2">
        <v>0</v>
      </c>
      <c r="U414" s="11">
        <v>9.6931471666778304</v>
      </c>
      <c r="V414" s="11">
        <v>6.7414488447421297</v>
      </c>
      <c r="W414" s="11">
        <v>8.00398830906129</v>
      </c>
      <c r="X414" s="11">
        <v>0.37798043978830698</v>
      </c>
      <c r="Y414" s="11">
        <v>17.203527198737799</v>
      </c>
      <c r="Z414" s="11">
        <v>14.875635946231901</v>
      </c>
      <c r="AA414" s="11">
        <v>6.3243736971878404</v>
      </c>
      <c r="AB414" s="11">
        <v>13.6245703717523</v>
      </c>
      <c r="AC414" s="11">
        <v>2.3842748797348698</v>
      </c>
      <c r="AD414" s="11">
        <v>4.4145475282179998</v>
      </c>
      <c r="AE414" s="11">
        <v>2.4001630448020301</v>
      </c>
      <c r="AF414" s="11">
        <v>4.2327352329997003</v>
      </c>
      <c r="AG414" s="11">
        <v>0.22969814145377901</v>
      </c>
      <c r="AH414" s="11">
        <v>1.5783811407702499</v>
      </c>
      <c r="AI414" s="11">
        <v>0.377135011965606</v>
      </c>
      <c r="AJ414" s="11">
        <v>0.38065921161865401</v>
      </c>
      <c r="AK414" s="16">
        <v>-2.1036959604024501</v>
      </c>
      <c r="AL414" s="16">
        <v>-4.8035142693335198</v>
      </c>
      <c r="AM414" s="26">
        <v>6.6052635581428807E-5</v>
      </c>
      <c r="AN414" s="27">
        <v>1.9727327323203501E-4</v>
      </c>
      <c r="AO414" s="11">
        <v>9.6055839967724204</v>
      </c>
      <c r="AP414" s="11">
        <v>1.9996992739453601</v>
      </c>
      <c r="AQ414" t="s">
        <v>5875</v>
      </c>
      <c r="AR414" t="s">
        <v>5876</v>
      </c>
      <c r="AS414" t="s">
        <v>2206</v>
      </c>
    </row>
    <row r="415" spans="1:45">
      <c r="A415" t="s">
        <v>4538</v>
      </c>
      <c r="B415" s="2">
        <v>2</v>
      </c>
      <c r="C415" s="2">
        <v>4</v>
      </c>
      <c r="D415" s="2">
        <v>0</v>
      </c>
      <c r="E415" s="2">
        <v>1</v>
      </c>
      <c r="F415" s="2">
        <v>7</v>
      </c>
      <c r="G415" s="2">
        <v>5</v>
      </c>
      <c r="H415" s="2">
        <v>8</v>
      </c>
      <c r="I415" s="2">
        <v>1</v>
      </c>
      <c r="J415" s="2">
        <v>16</v>
      </c>
      <c r="K415" s="2">
        <v>1</v>
      </c>
      <c r="L415" s="2">
        <v>14</v>
      </c>
      <c r="M415" s="2">
        <v>8</v>
      </c>
      <c r="N415" s="2">
        <v>6</v>
      </c>
      <c r="O415" s="2">
        <v>13</v>
      </c>
      <c r="P415" s="2">
        <v>0</v>
      </c>
      <c r="Q415" s="2">
        <v>0</v>
      </c>
      <c r="R415" s="2">
        <v>9</v>
      </c>
      <c r="S415" s="2">
        <v>0</v>
      </c>
      <c r="T415" s="2">
        <v>1</v>
      </c>
      <c r="U415" s="11">
        <v>2.4232867916694598</v>
      </c>
      <c r="V415" s="11">
        <v>3.85225648270979</v>
      </c>
      <c r="W415" s="11">
        <v>0.40019941545306398</v>
      </c>
      <c r="X415" s="11">
        <v>1.5119217591532299</v>
      </c>
      <c r="Y415" s="11">
        <v>6.0212345195582504</v>
      </c>
      <c r="Z415" s="11">
        <v>4.6486362331974602</v>
      </c>
      <c r="AA415" s="11">
        <v>8.4324982629171306</v>
      </c>
      <c r="AB415" s="11">
        <v>0.97318359798230603</v>
      </c>
      <c r="AC415" s="11">
        <v>12.716132691919301</v>
      </c>
      <c r="AD415" s="11">
        <v>8.8290950564359996</v>
      </c>
      <c r="AE415" s="11">
        <v>6.4004347861387396</v>
      </c>
      <c r="AF415" s="11">
        <v>5.0792822795996404</v>
      </c>
      <c r="AG415" s="11">
        <v>0.22969814145377901</v>
      </c>
      <c r="AH415" s="11">
        <v>0.19729764259628099</v>
      </c>
      <c r="AI415" s="11">
        <v>13.576860430761799</v>
      </c>
      <c r="AJ415" s="11">
        <v>1.5226368464746201</v>
      </c>
      <c r="AK415" s="16">
        <v>0.71173819576620301</v>
      </c>
      <c r="AL415" s="16">
        <v>1.7178312634324</v>
      </c>
      <c r="AM415" s="26">
        <v>0.26016886836333097</v>
      </c>
      <c r="AN415" s="27">
        <v>0.33356243822745701</v>
      </c>
      <c r="AO415" s="11">
        <v>3.5329021328300798</v>
      </c>
      <c r="AP415" s="11">
        <v>6.0689297344225199</v>
      </c>
      <c r="AQ415" t="s">
        <v>5874</v>
      </c>
      <c r="AR415" t="s">
        <v>5832</v>
      </c>
      <c r="AS415" t="s">
        <v>4538</v>
      </c>
    </row>
    <row r="416" spans="1:45">
      <c r="A416" t="s">
        <v>5699</v>
      </c>
      <c r="B416" s="2">
        <v>2.7559999999999998</v>
      </c>
      <c r="C416" s="2">
        <v>6</v>
      </c>
      <c r="D416" s="2">
        <v>3</v>
      </c>
      <c r="E416" s="2">
        <v>2</v>
      </c>
      <c r="F416" s="2">
        <v>10.756</v>
      </c>
      <c r="G416" s="2">
        <v>14.756</v>
      </c>
      <c r="H416" s="2">
        <v>4</v>
      </c>
      <c r="I416" s="2">
        <v>6.7560000000000002</v>
      </c>
      <c r="J416" s="2">
        <v>17</v>
      </c>
      <c r="K416" s="2">
        <v>0</v>
      </c>
      <c r="L416" s="2">
        <v>6.7560000000000002</v>
      </c>
      <c r="M416" s="2">
        <v>5.7560000000000002</v>
      </c>
      <c r="N416" s="2">
        <v>2</v>
      </c>
      <c r="O416" s="2">
        <v>0</v>
      </c>
      <c r="P416" s="2">
        <v>7</v>
      </c>
      <c r="Q416" s="2">
        <v>5.7560000000000002</v>
      </c>
      <c r="R416" s="2">
        <v>1</v>
      </c>
      <c r="S416" s="2">
        <v>0</v>
      </c>
      <c r="T416" s="2">
        <v>0</v>
      </c>
      <c r="U416" s="11">
        <v>3.3926015083372398</v>
      </c>
      <c r="V416" s="11">
        <v>5.7783847240646802</v>
      </c>
      <c r="W416" s="11">
        <v>4.8023929854367697</v>
      </c>
      <c r="X416" s="11">
        <v>3.0238435183064598</v>
      </c>
      <c r="Y416" s="11">
        <v>9.2899046873184297</v>
      </c>
      <c r="Z416" s="11">
        <v>13.7599632502645</v>
      </c>
      <c r="AA416" s="11">
        <v>4.21624913145856</v>
      </c>
      <c r="AB416" s="11">
        <v>6.6176484662796797</v>
      </c>
      <c r="AC416" s="11">
        <v>13.5108909851643</v>
      </c>
      <c r="AD416" s="11">
        <v>4.2884175988403399</v>
      </c>
      <c r="AE416" s="11">
        <v>4.6403152199505904</v>
      </c>
      <c r="AF416" s="11">
        <v>1.6930940931998799</v>
      </c>
      <c r="AG416" s="11">
        <v>6.4315479607058004</v>
      </c>
      <c r="AH416" s="11">
        <v>4.5773053082337203</v>
      </c>
      <c r="AI416" s="11">
        <v>1.50854004786242</v>
      </c>
      <c r="AJ416" s="11">
        <v>0.38065921161865401</v>
      </c>
      <c r="AK416" s="16">
        <v>-0.41738188474256399</v>
      </c>
      <c r="AL416" s="16">
        <v>-1.3740191653243301</v>
      </c>
      <c r="AM416" s="26">
        <v>0.39027586804333197</v>
      </c>
      <c r="AN416" s="27">
        <v>0.47299738355251603</v>
      </c>
      <c r="AO416" s="11">
        <v>6.3601235339332902</v>
      </c>
      <c r="AP416" s="11">
        <v>4.6288463031969602</v>
      </c>
      <c r="AQ416" t="s">
        <v>5875</v>
      </c>
      <c r="AR416" t="s">
        <v>5832</v>
      </c>
      <c r="AS416" t="s">
        <v>5699</v>
      </c>
    </row>
    <row r="417" spans="1:45">
      <c r="A417" t="s">
        <v>2745</v>
      </c>
      <c r="B417" s="2">
        <v>4</v>
      </c>
      <c r="C417" s="2">
        <v>0</v>
      </c>
      <c r="D417" s="2">
        <v>2</v>
      </c>
      <c r="E417" s="2">
        <v>1</v>
      </c>
      <c r="F417" s="2">
        <v>0</v>
      </c>
      <c r="G417" s="2">
        <v>2</v>
      </c>
      <c r="H417" s="2">
        <v>3</v>
      </c>
      <c r="I417" s="2">
        <v>3</v>
      </c>
      <c r="J417" s="2">
        <v>12</v>
      </c>
      <c r="K417" s="2">
        <v>5</v>
      </c>
      <c r="L417" s="2">
        <v>10</v>
      </c>
      <c r="M417" s="2">
        <v>17</v>
      </c>
      <c r="N417" s="2">
        <v>13</v>
      </c>
      <c r="O417" s="2">
        <v>3</v>
      </c>
      <c r="P417" s="2">
        <v>3</v>
      </c>
      <c r="Q417" s="2">
        <v>6</v>
      </c>
      <c r="R417" s="2">
        <v>4</v>
      </c>
      <c r="S417" s="2">
        <v>4</v>
      </c>
      <c r="T417" s="2">
        <v>3</v>
      </c>
      <c r="U417" s="11">
        <v>4.8465735833389196</v>
      </c>
      <c r="V417" s="11">
        <v>0.24076603016936199</v>
      </c>
      <c r="W417" s="11">
        <v>3.2015953236245198</v>
      </c>
      <c r="X417" s="11">
        <v>1.5119217591532299</v>
      </c>
      <c r="Y417" s="11">
        <v>0.215044089984223</v>
      </c>
      <c r="Z417" s="11">
        <v>1.85945449327898</v>
      </c>
      <c r="AA417" s="11">
        <v>3.1621868485939202</v>
      </c>
      <c r="AB417" s="11">
        <v>2.9195507939469199</v>
      </c>
      <c r="AC417" s="11">
        <v>9.53709951893949</v>
      </c>
      <c r="AD417" s="11">
        <v>6.3064964688828598</v>
      </c>
      <c r="AE417" s="11">
        <v>13.600923920544799</v>
      </c>
      <c r="AF417" s="11">
        <v>11.0051116057992</v>
      </c>
      <c r="AG417" s="11">
        <v>2.7563776974453398</v>
      </c>
      <c r="AH417" s="11">
        <v>4.7351434223107498</v>
      </c>
      <c r="AI417" s="11">
        <v>6.0341601914496898</v>
      </c>
      <c r="AJ417" s="11">
        <v>4.5679105394238499</v>
      </c>
      <c r="AK417" s="16">
        <v>1.73921080805638</v>
      </c>
      <c r="AL417" s="16">
        <v>3.2601726581688801</v>
      </c>
      <c r="AM417" s="26">
        <v>6.8000598859932297E-4</v>
      </c>
      <c r="AN417" s="27">
        <v>1.602203993155E-3</v>
      </c>
      <c r="AO417" s="11">
        <v>2.24463661526126</v>
      </c>
      <c r="AP417" s="11">
        <v>7.3179029205994999</v>
      </c>
      <c r="AQ417" t="s">
        <v>5874</v>
      </c>
      <c r="AR417" t="s">
        <v>5876</v>
      </c>
      <c r="AS417" t="s">
        <v>2745</v>
      </c>
    </row>
    <row r="418" spans="1:45">
      <c r="A418" t="s">
        <v>4197</v>
      </c>
      <c r="B418" s="2">
        <v>6</v>
      </c>
      <c r="C418" s="2">
        <v>4</v>
      </c>
      <c r="D418" s="2">
        <v>9</v>
      </c>
      <c r="E418" s="2">
        <v>8</v>
      </c>
      <c r="F418" s="2">
        <v>9</v>
      </c>
      <c r="G418" s="2">
        <v>13</v>
      </c>
      <c r="H418" s="2">
        <v>7</v>
      </c>
      <c r="I418" s="2">
        <v>11</v>
      </c>
      <c r="J418" s="2">
        <v>1</v>
      </c>
      <c r="K418" s="2">
        <v>2</v>
      </c>
      <c r="L418" s="2">
        <v>3</v>
      </c>
      <c r="M418" s="2">
        <v>5</v>
      </c>
      <c r="N418" s="2">
        <v>3</v>
      </c>
      <c r="O418" s="2">
        <v>4</v>
      </c>
      <c r="P418" s="2">
        <v>2</v>
      </c>
      <c r="Q418" s="2">
        <v>5</v>
      </c>
      <c r="R418" s="2">
        <v>1</v>
      </c>
      <c r="S418" s="2">
        <v>1</v>
      </c>
      <c r="T418" s="2">
        <v>1</v>
      </c>
      <c r="U418" s="11">
        <v>7.2698603750083803</v>
      </c>
      <c r="V418" s="11">
        <v>3.85225648270979</v>
      </c>
      <c r="W418" s="11">
        <v>14.4071789563103</v>
      </c>
      <c r="X418" s="11">
        <v>12.0953740732258</v>
      </c>
      <c r="Y418" s="11">
        <v>7.7415872394320298</v>
      </c>
      <c r="Z418" s="11">
        <v>12.0864542063134</v>
      </c>
      <c r="AA418" s="11">
        <v>7.3784359800524904</v>
      </c>
      <c r="AB418" s="11">
        <v>10.7050195778054</v>
      </c>
      <c r="AC418" s="11">
        <v>0.79475829324495695</v>
      </c>
      <c r="AD418" s="11">
        <v>1.89194894066486</v>
      </c>
      <c r="AE418" s="11">
        <v>4.0002717413367099</v>
      </c>
      <c r="AF418" s="11">
        <v>2.5396411397998202</v>
      </c>
      <c r="AG418" s="11">
        <v>1.8375851316302301</v>
      </c>
      <c r="AH418" s="11">
        <v>3.94595285192562</v>
      </c>
      <c r="AI418" s="11">
        <v>1.50854004786242</v>
      </c>
      <c r="AJ418" s="11">
        <v>1.5226368464746201</v>
      </c>
      <c r="AK418" s="16">
        <v>-1.92960310992138</v>
      </c>
      <c r="AL418" s="16">
        <v>-4.1868391069962296</v>
      </c>
      <c r="AM418" s="26">
        <v>1.56716423447725E-6</v>
      </c>
      <c r="AN418" s="27">
        <v>7.23057153700194E-6</v>
      </c>
      <c r="AO418" s="11">
        <v>9.4420208613572001</v>
      </c>
      <c r="AP418" s="11">
        <v>2.25516687411741</v>
      </c>
      <c r="AQ418" t="s">
        <v>5875</v>
      </c>
      <c r="AR418" t="s">
        <v>5876</v>
      </c>
      <c r="AS418" t="s">
        <v>4197</v>
      </c>
    </row>
    <row r="419" spans="1:45">
      <c r="A419" t="s">
        <v>5076</v>
      </c>
      <c r="B419" s="2">
        <v>7</v>
      </c>
      <c r="C419" s="2">
        <v>4</v>
      </c>
      <c r="D419" s="2">
        <v>4</v>
      </c>
      <c r="E419" s="2">
        <v>11</v>
      </c>
      <c r="F419" s="2">
        <v>11</v>
      </c>
      <c r="G419" s="2">
        <v>8</v>
      </c>
      <c r="H419" s="2">
        <v>4</v>
      </c>
      <c r="I419" s="2">
        <v>20</v>
      </c>
      <c r="J419" s="2">
        <v>1</v>
      </c>
      <c r="K419" s="2">
        <v>1</v>
      </c>
      <c r="L419" s="2">
        <v>6</v>
      </c>
      <c r="M419" s="2">
        <v>3</v>
      </c>
      <c r="N419" s="2">
        <v>2</v>
      </c>
      <c r="O419" s="2">
        <v>0</v>
      </c>
      <c r="P419" s="2">
        <v>2</v>
      </c>
      <c r="Q419" s="2">
        <v>6</v>
      </c>
      <c r="R419" s="2">
        <v>4</v>
      </c>
      <c r="S419" s="2">
        <v>0</v>
      </c>
      <c r="T419" s="2">
        <v>1</v>
      </c>
      <c r="U419" s="11">
        <v>8.4815037708430996</v>
      </c>
      <c r="V419" s="11">
        <v>3.85225648270979</v>
      </c>
      <c r="W419" s="11">
        <v>6.4031906472490299</v>
      </c>
      <c r="X419" s="11">
        <v>16.631139350685501</v>
      </c>
      <c r="Y419" s="11">
        <v>9.4619399593058091</v>
      </c>
      <c r="Z419" s="11">
        <v>7.43781797311593</v>
      </c>
      <c r="AA419" s="11">
        <v>4.21624913145856</v>
      </c>
      <c r="AB419" s="11">
        <v>19.463671959646099</v>
      </c>
      <c r="AC419" s="11">
        <v>0.79475829324495695</v>
      </c>
      <c r="AD419" s="11">
        <v>3.7838978813297102</v>
      </c>
      <c r="AE419" s="11">
        <v>2.4001630448020301</v>
      </c>
      <c r="AF419" s="11">
        <v>1.6930940931998799</v>
      </c>
      <c r="AG419" s="11">
        <v>1.8375851316302301</v>
      </c>
      <c r="AH419" s="11">
        <v>4.7351434223107498</v>
      </c>
      <c r="AI419" s="11">
        <v>6.0341601914496898</v>
      </c>
      <c r="AJ419" s="11">
        <v>1.5226368464746201</v>
      </c>
      <c r="AK419" s="16">
        <v>-1.7101234496359901</v>
      </c>
      <c r="AL419" s="16">
        <v>-3.33083230375513</v>
      </c>
      <c r="AM419" s="26">
        <v>3.42583204526623E-4</v>
      </c>
      <c r="AN419" s="27">
        <v>8.5517971577727899E-4</v>
      </c>
      <c r="AO419" s="11">
        <v>9.49347115937673</v>
      </c>
      <c r="AP419" s="11">
        <v>2.8501798630552302</v>
      </c>
      <c r="AQ419" t="s">
        <v>5875</v>
      </c>
      <c r="AR419" t="s">
        <v>5876</v>
      </c>
      <c r="AS419" t="s">
        <v>5076</v>
      </c>
    </row>
    <row r="420" spans="1:45">
      <c r="A420" t="s">
        <v>2641</v>
      </c>
      <c r="B420" s="2">
        <v>4</v>
      </c>
      <c r="C420" s="2">
        <v>3.6850000000000001</v>
      </c>
      <c r="D420" s="2">
        <v>4</v>
      </c>
      <c r="E420" s="2">
        <v>4</v>
      </c>
      <c r="F420" s="2">
        <v>3.6850000000000001</v>
      </c>
      <c r="G420" s="2">
        <v>2.6850000000000001</v>
      </c>
      <c r="H420" s="2">
        <v>1</v>
      </c>
      <c r="I420" s="2">
        <v>0</v>
      </c>
      <c r="J420" s="2">
        <v>4.0549999999999997</v>
      </c>
      <c r="K420" s="2">
        <v>1</v>
      </c>
      <c r="L420" s="2">
        <v>14.055</v>
      </c>
      <c r="M420" s="2">
        <v>31.37</v>
      </c>
      <c r="N420" s="2">
        <v>5</v>
      </c>
      <c r="O420" s="2">
        <v>3</v>
      </c>
      <c r="P420" s="2">
        <v>4</v>
      </c>
      <c r="Q420" s="2">
        <v>3</v>
      </c>
      <c r="R420" s="2">
        <v>3</v>
      </c>
      <c r="S420" s="2">
        <v>2</v>
      </c>
      <c r="T420" s="2">
        <v>1</v>
      </c>
      <c r="U420" s="11">
        <v>4.8465735833389196</v>
      </c>
      <c r="V420" s="11">
        <v>3.56333724650655</v>
      </c>
      <c r="W420" s="11">
        <v>6.4031906472490299</v>
      </c>
      <c r="X420" s="11">
        <v>6.0476870366129196</v>
      </c>
      <c r="Y420" s="11">
        <v>3.1826525317665002</v>
      </c>
      <c r="Z420" s="11">
        <v>2.5102635659266301</v>
      </c>
      <c r="AA420" s="11">
        <v>1.05406228286464</v>
      </c>
      <c r="AB420" s="11">
        <v>0.24329589949557701</v>
      </c>
      <c r="AC420" s="11">
        <v>3.2585090023043199</v>
      </c>
      <c r="AD420" s="11">
        <v>8.8921600211248304</v>
      </c>
      <c r="AE420" s="11">
        <v>25.121706535594601</v>
      </c>
      <c r="AF420" s="11">
        <v>4.2327352329997003</v>
      </c>
      <c r="AG420" s="11">
        <v>3.6751702632604601</v>
      </c>
      <c r="AH420" s="11">
        <v>2.36757171115537</v>
      </c>
      <c r="AI420" s="11">
        <v>4.5256201435872701</v>
      </c>
      <c r="AJ420" s="11">
        <v>1.5226368464746201</v>
      </c>
      <c r="AK420" s="16">
        <v>1.0137453537172101</v>
      </c>
      <c r="AL420" s="16">
        <v>1.92438292762414</v>
      </c>
      <c r="AM420" s="26">
        <v>0.111794135538084</v>
      </c>
      <c r="AN420" s="27">
        <v>0.15646501396439</v>
      </c>
      <c r="AO420" s="11">
        <v>3.4813828492201</v>
      </c>
      <c r="AP420" s="11">
        <v>6.6995137195626402</v>
      </c>
      <c r="AQ420" t="s">
        <v>5874</v>
      </c>
      <c r="AR420" t="s">
        <v>5832</v>
      </c>
      <c r="AS420" t="s">
        <v>2641</v>
      </c>
    </row>
    <row r="421" spans="1:45">
      <c r="A421" t="s">
        <v>4372</v>
      </c>
      <c r="B421" s="2">
        <v>3</v>
      </c>
      <c r="C421" s="2">
        <v>3</v>
      </c>
      <c r="D421" s="2">
        <v>4</v>
      </c>
      <c r="E421" s="2">
        <v>8</v>
      </c>
      <c r="F421" s="2">
        <v>10.8</v>
      </c>
      <c r="G421" s="2">
        <v>14.143000000000001</v>
      </c>
      <c r="H421" s="2">
        <v>9.75</v>
      </c>
      <c r="I421" s="2">
        <v>9</v>
      </c>
      <c r="J421" s="2">
        <v>0</v>
      </c>
      <c r="K421" s="2">
        <v>0</v>
      </c>
      <c r="L421" s="2">
        <v>7.7140000000000004</v>
      </c>
      <c r="M421" s="2">
        <v>9</v>
      </c>
      <c r="N421" s="2">
        <v>1</v>
      </c>
      <c r="O421" s="2">
        <v>0</v>
      </c>
      <c r="P421" s="2">
        <v>1</v>
      </c>
      <c r="Q421" s="2">
        <v>2</v>
      </c>
      <c r="R421" s="2">
        <v>11.818</v>
      </c>
      <c r="S421" s="2">
        <v>0</v>
      </c>
      <c r="T421" s="2">
        <v>0</v>
      </c>
      <c r="U421" s="11">
        <v>3.6349301875041902</v>
      </c>
      <c r="V421" s="11">
        <v>2.8891923620323401</v>
      </c>
      <c r="W421" s="11">
        <v>6.4031906472490299</v>
      </c>
      <c r="X421" s="11">
        <v>12.0953740732258</v>
      </c>
      <c r="Y421" s="11">
        <v>9.2899046873184297</v>
      </c>
      <c r="Z421" s="11">
        <v>13.1091541776168</v>
      </c>
      <c r="AA421" s="11">
        <v>10.329810372073499</v>
      </c>
      <c r="AB421" s="11">
        <v>8.7586523818407507</v>
      </c>
      <c r="AC421" s="11">
        <v>0.19868957331123899</v>
      </c>
      <c r="AD421" s="11">
        <v>4.8560022810397996</v>
      </c>
      <c r="AE421" s="11">
        <v>7.2004891344060802</v>
      </c>
      <c r="AF421" s="11">
        <v>0.84654704659994096</v>
      </c>
      <c r="AG421" s="11">
        <v>0.91879256581511404</v>
      </c>
      <c r="AH421" s="11">
        <v>1.5783811407702499</v>
      </c>
      <c r="AI421" s="11">
        <v>17.800772564776601</v>
      </c>
      <c r="AJ421" s="11">
        <v>0.38065921161865401</v>
      </c>
      <c r="AK421" s="16">
        <v>-1.0328895396683</v>
      </c>
      <c r="AL421" s="16">
        <v>-1.9689032629815699</v>
      </c>
      <c r="AM421" s="26">
        <v>0.10817934581779599</v>
      </c>
      <c r="AN421" s="27">
        <v>0.15266546479389501</v>
      </c>
      <c r="AO421" s="11">
        <v>8.3137761111076092</v>
      </c>
      <c r="AP421" s="11">
        <v>4.2225416897922097</v>
      </c>
      <c r="AQ421" t="s">
        <v>5875</v>
      </c>
      <c r="AR421" t="s">
        <v>5832</v>
      </c>
      <c r="AS421" t="s">
        <v>4372</v>
      </c>
    </row>
    <row r="422" spans="1:45">
      <c r="A422" t="s">
        <v>569</v>
      </c>
      <c r="B422" s="2">
        <v>7</v>
      </c>
      <c r="C422" s="2">
        <v>1</v>
      </c>
      <c r="D422" s="2">
        <v>3</v>
      </c>
      <c r="E422" s="2">
        <v>0</v>
      </c>
      <c r="F422" s="2">
        <v>0</v>
      </c>
      <c r="G422" s="2">
        <v>3</v>
      </c>
      <c r="H422" s="2">
        <v>16</v>
      </c>
      <c r="I422" s="2">
        <v>10</v>
      </c>
      <c r="J422" s="2">
        <v>1</v>
      </c>
      <c r="K422" s="2">
        <v>3</v>
      </c>
      <c r="L422" s="2">
        <v>3</v>
      </c>
      <c r="M422" s="2">
        <v>3</v>
      </c>
      <c r="N422" s="2">
        <v>8</v>
      </c>
      <c r="O422" s="2">
        <v>9</v>
      </c>
      <c r="P422" s="2">
        <v>10</v>
      </c>
      <c r="Q422" s="2">
        <v>4</v>
      </c>
      <c r="R422" s="2">
        <v>3</v>
      </c>
      <c r="S422" s="2">
        <v>5</v>
      </c>
      <c r="T422" s="2">
        <v>5</v>
      </c>
      <c r="U422" s="11">
        <v>8.4815037708430996</v>
      </c>
      <c r="V422" s="11">
        <v>0.96306412067744696</v>
      </c>
      <c r="W422" s="11">
        <v>4.8023929854367697</v>
      </c>
      <c r="X422" s="11">
        <v>0.37798043978830698</v>
      </c>
      <c r="Y422" s="11">
        <v>0.215044089984223</v>
      </c>
      <c r="Z422" s="11">
        <v>2.7891817399184702</v>
      </c>
      <c r="AA422" s="11">
        <v>16.8649965258343</v>
      </c>
      <c r="AB422" s="11">
        <v>9.7318359798230603</v>
      </c>
      <c r="AC422" s="11">
        <v>0.79475829324495695</v>
      </c>
      <c r="AD422" s="11">
        <v>1.89194894066486</v>
      </c>
      <c r="AE422" s="11">
        <v>2.4001630448020301</v>
      </c>
      <c r="AF422" s="11">
        <v>6.7723763727995303</v>
      </c>
      <c r="AG422" s="11">
        <v>9.1879256581511406</v>
      </c>
      <c r="AH422" s="11">
        <v>3.1567622815404999</v>
      </c>
      <c r="AI422" s="11">
        <v>4.5256201435872701</v>
      </c>
      <c r="AJ422" s="11">
        <v>7.6131842323730803</v>
      </c>
      <c r="AK422" s="16">
        <v>-0.31456451312459699</v>
      </c>
      <c r="AL422" s="16">
        <v>-1.21691432481919</v>
      </c>
      <c r="AM422" s="26">
        <v>0.65422362659724498</v>
      </c>
      <c r="AN422" s="27">
        <v>0.72583019269246596</v>
      </c>
      <c r="AO422" s="11">
        <v>5.5282499565382004</v>
      </c>
      <c r="AP422" s="11">
        <v>4.5428423708954204</v>
      </c>
      <c r="AQ422" t="s">
        <v>5875</v>
      </c>
      <c r="AR422" t="s">
        <v>5832</v>
      </c>
      <c r="AS422" t="s">
        <v>569</v>
      </c>
    </row>
    <row r="423" spans="1:45">
      <c r="A423" t="s">
        <v>824</v>
      </c>
      <c r="B423" s="2">
        <v>4</v>
      </c>
      <c r="C423" s="2">
        <v>1</v>
      </c>
      <c r="D423" s="2">
        <v>1</v>
      </c>
      <c r="E423" s="2">
        <v>0</v>
      </c>
      <c r="F423" s="2">
        <v>0</v>
      </c>
      <c r="G423" s="2">
        <v>2</v>
      </c>
      <c r="H423" s="2">
        <v>5</v>
      </c>
      <c r="I423" s="2">
        <v>10</v>
      </c>
      <c r="J423" s="2">
        <v>12</v>
      </c>
      <c r="K423" s="2">
        <v>1</v>
      </c>
      <c r="L423" s="2">
        <v>11</v>
      </c>
      <c r="M423" s="2">
        <v>7</v>
      </c>
      <c r="N423" s="2">
        <v>5</v>
      </c>
      <c r="O423" s="2">
        <v>1</v>
      </c>
      <c r="P423" s="2">
        <v>12</v>
      </c>
      <c r="Q423" s="2">
        <v>15</v>
      </c>
      <c r="R423" s="2">
        <v>2</v>
      </c>
      <c r="S423" s="2">
        <v>1</v>
      </c>
      <c r="T423" s="2">
        <v>4</v>
      </c>
      <c r="U423" s="11">
        <v>4.8465735833389196</v>
      </c>
      <c r="V423" s="11">
        <v>0.96306412067744696</v>
      </c>
      <c r="W423" s="11">
        <v>1.6007976618122599</v>
      </c>
      <c r="X423" s="11">
        <v>0.37798043978830698</v>
      </c>
      <c r="Y423" s="11">
        <v>0.215044089984223</v>
      </c>
      <c r="Z423" s="11">
        <v>1.85945449327898</v>
      </c>
      <c r="AA423" s="11">
        <v>5.2703114143232002</v>
      </c>
      <c r="AB423" s="11">
        <v>9.7318359798230603</v>
      </c>
      <c r="AC423" s="11">
        <v>9.53709951893949</v>
      </c>
      <c r="AD423" s="11">
        <v>6.9371461157711396</v>
      </c>
      <c r="AE423" s="11">
        <v>5.6003804378713999</v>
      </c>
      <c r="AF423" s="11">
        <v>4.2327352329997003</v>
      </c>
      <c r="AG423" s="11">
        <v>11.0255107897814</v>
      </c>
      <c r="AH423" s="11">
        <v>11.837858555776901</v>
      </c>
      <c r="AI423" s="11">
        <v>3.0170800957248498</v>
      </c>
      <c r="AJ423" s="11">
        <v>6.0905473858984696</v>
      </c>
      <c r="AK423" s="16">
        <v>1.19357675695334</v>
      </c>
      <c r="AL423" s="16">
        <v>2.3437849719137098</v>
      </c>
      <c r="AM423" s="26">
        <v>2.3778329449293499E-2</v>
      </c>
      <c r="AN423" s="27">
        <v>4.0170965660548903E-2</v>
      </c>
      <c r="AO423" s="11">
        <v>3.1081327228782998</v>
      </c>
      <c r="AP423" s="11">
        <v>7.28479476659541</v>
      </c>
      <c r="AQ423" t="s">
        <v>5874</v>
      </c>
      <c r="AR423" t="s">
        <v>5878</v>
      </c>
      <c r="AS423" t="s">
        <v>824</v>
      </c>
    </row>
    <row r="424" spans="1:45">
      <c r="A424" t="s">
        <v>1370</v>
      </c>
      <c r="B424" s="2">
        <v>3</v>
      </c>
      <c r="C424" s="2">
        <v>4</v>
      </c>
      <c r="D424" s="2">
        <v>5</v>
      </c>
      <c r="E424" s="2">
        <v>1</v>
      </c>
      <c r="F424" s="2">
        <v>4</v>
      </c>
      <c r="G424" s="2">
        <v>5</v>
      </c>
      <c r="H424" s="2">
        <v>2</v>
      </c>
      <c r="I424" s="2">
        <v>9</v>
      </c>
      <c r="J424" s="2">
        <v>4</v>
      </c>
      <c r="K424" s="2">
        <v>2</v>
      </c>
      <c r="L424" s="2">
        <v>9</v>
      </c>
      <c r="M424" s="2">
        <v>7</v>
      </c>
      <c r="N424" s="2">
        <v>8</v>
      </c>
      <c r="O424" s="2">
        <v>5</v>
      </c>
      <c r="P424" s="2">
        <v>7</v>
      </c>
      <c r="Q424" s="2">
        <v>6</v>
      </c>
      <c r="R424" s="2">
        <v>6</v>
      </c>
      <c r="S424" s="2">
        <v>1</v>
      </c>
      <c r="T424" s="2">
        <v>6</v>
      </c>
      <c r="U424" s="11">
        <v>3.6349301875041902</v>
      </c>
      <c r="V424" s="11">
        <v>3.85225648270979</v>
      </c>
      <c r="W424" s="11">
        <v>8.00398830906129</v>
      </c>
      <c r="X424" s="11">
        <v>1.5119217591532299</v>
      </c>
      <c r="Y424" s="11">
        <v>3.4407054397475698</v>
      </c>
      <c r="Z424" s="11">
        <v>4.6486362331974602</v>
      </c>
      <c r="AA424" s="11">
        <v>2.10812456572928</v>
      </c>
      <c r="AB424" s="11">
        <v>8.7586523818407507</v>
      </c>
      <c r="AC424" s="11">
        <v>3.17903317297983</v>
      </c>
      <c r="AD424" s="11">
        <v>5.6758468219945701</v>
      </c>
      <c r="AE424" s="11">
        <v>5.6003804378713999</v>
      </c>
      <c r="AF424" s="11">
        <v>6.7723763727995303</v>
      </c>
      <c r="AG424" s="11">
        <v>6.4315479607058004</v>
      </c>
      <c r="AH424" s="11">
        <v>4.7351434223107498</v>
      </c>
      <c r="AI424" s="11">
        <v>9.0512402871745401</v>
      </c>
      <c r="AJ424" s="11">
        <v>9.1358210788476999</v>
      </c>
      <c r="AK424" s="16">
        <v>0.42394246826655002</v>
      </c>
      <c r="AL424" s="16">
        <v>1.4066321817587699</v>
      </c>
      <c r="AM424" s="26">
        <v>0.25326165495752601</v>
      </c>
      <c r="AN424" s="27">
        <v>0.32583085993574101</v>
      </c>
      <c r="AO424" s="11">
        <v>4.4949019198679396</v>
      </c>
      <c r="AP424" s="11">
        <v>6.32267369433551</v>
      </c>
      <c r="AQ424" t="s">
        <v>5874</v>
      </c>
      <c r="AR424" t="s">
        <v>5832</v>
      </c>
      <c r="AS424" t="s">
        <v>1370</v>
      </c>
    </row>
    <row r="425" spans="1:45">
      <c r="A425" t="s">
        <v>1845</v>
      </c>
      <c r="B425" s="2">
        <v>4</v>
      </c>
      <c r="C425" s="2">
        <v>2</v>
      </c>
      <c r="D425" s="2">
        <v>4</v>
      </c>
      <c r="E425" s="2">
        <v>3</v>
      </c>
      <c r="F425" s="2">
        <v>1</v>
      </c>
      <c r="G425" s="2">
        <v>3</v>
      </c>
      <c r="H425" s="2">
        <v>3</v>
      </c>
      <c r="I425" s="2">
        <v>5</v>
      </c>
      <c r="J425" s="2">
        <v>4</v>
      </c>
      <c r="K425" s="2">
        <v>14</v>
      </c>
      <c r="L425" s="2">
        <v>4</v>
      </c>
      <c r="M425" s="2">
        <v>6</v>
      </c>
      <c r="N425" s="2">
        <v>8</v>
      </c>
      <c r="O425" s="2">
        <v>11</v>
      </c>
      <c r="P425" s="2">
        <v>4</v>
      </c>
      <c r="Q425" s="2">
        <v>5</v>
      </c>
      <c r="R425" s="2">
        <v>3</v>
      </c>
      <c r="S425" s="2">
        <v>5</v>
      </c>
      <c r="T425" s="2">
        <v>5</v>
      </c>
      <c r="U425" s="11">
        <v>4.8465735833389196</v>
      </c>
      <c r="V425" s="11">
        <v>1.9261282413548899</v>
      </c>
      <c r="W425" s="11">
        <v>6.4031906472490299</v>
      </c>
      <c r="X425" s="11">
        <v>4.5357652774596904</v>
      </c>
      <c r="Y425" s="11">
        <v>0.86017635993689201</v>
      </c>
      <c r="Z425" s="11">
        <v>2.7891817399184702</v>
      </c>
      <c r="AA425" s="11">
        <v>3.1621868485939202</v>
      </c>
      <c r="AB425" s="11">
        <v>4.8659179899115301</v>
      </c>
      <c r="AC425" s="11">
        <v>3.17903317297983</v>
      </c>
      <c r="AD425" s="11">
        <v>2.5225985875531398</v>
      </c>
      <c r="AE425" s="11">
        <v>4.8003260896040603</v>
      </c>
      <c r="AF425" s="11">
        <v>6.7723763727995303</v>
      </c>
      <c r="AG425" s="11">
        <v>3.6751702632604601</v>
      </c>
      <c r="AH425" s="11">
        <v>3.94595285192562</v>
      </c>
      <c r="AI425" s="11">
        <v>4.5256201435872701</v>
      </c>
      <c r="AJ425" s="11">
        <v>7.6131842323730803</v>
      </c>
      <c r="AK425" s="16">
        <v>0.34959633973728699</v>
      </c>
      <c r="AL425" s="16">
        <v>1.2601350720065201</v>
      </c>
      <c r="AM425" s="26">
        <v>0.45743096860367299</v>
      </c>
      <c r="AN425" s="27">
        <v>0.54067370670646198</v>
      </c>
      <c r="AO425" s="11">
        <v>3.6736400859704199</v>
      </c>
      <c r="AP425" s="11">
        <v>4.6292827142603699</v>
      </c>
      <c r="AQ425" t="s">
        <v>5874</v>
      </c>
      <c r="AR425" t="s">
        <v>5832</v>
      </c>
      <c r="AS425" t="s">
        <v>1845</v>
      </c>
    </row>
    <row r="426" spans="1:45">
      <c r="A426" t="s">
        <v>3345</v>
      </c>
      <c r="B426" s="2">
        <v>10</v>
      </c>
      <c r="C426" s="2">
        <v>11</v>
      </c>
      <c r="D426" s="2">
        <v>0</v>
      </c>
      <c r="E426" s="2">
        <v>2</v>
      </c>
      <c r="F426" s="2">
        <v>6</v>
      </c>
      <c r="G426" s="2">
        <v>6</v>
      </c>
      <c r="H426" s="2">
        <v>7</v>
      </c>
      <c r="I426" s="2">
        <v>12</v>
      </c>
      <c r="J426" s="2">
        <v>6</v>
      </c>
      <c r="K426" s="2">
        <v>4</v>
      </c>
      <c r="L426" s="2">
        <v>3</v>
      </c>
      <c r="M426" s="2">
        <v>6</v>
      </c>
      <c r="N426" s="2">
        <v>3</v>
      </c>
      <c r="O426" s="2">
        <v>5</v>
      </c>
      <c r="P426" s="2">
        <v>0</v>
      </c>
      <c r="Q426" s="2">
        <v>5</v>
      </c>
      <c r="R426" s="2">
        <v>2</v>
      </c>
      <c r="S426" s="2">
        <v>2</v>
      </c>
      <c r="T426" s="2">
        <v>4</v>
      </c>
      <c r="U426" s="11">
        <v>12.116433958347301</v>
      </c>
      <c r="V426" s="11">
        <v>10.5937053274519</v>
      </c>
      <c r="W426" s="11">
        <v>0.40019941545306398</v>
      </c>
      <c r="X426" s="11">
        <v>3.0238435183064598</v>
      </c>
      <c r="Y426" s="11">
        <v>5.1610581596213496</v>
      </c>
      <c r="Z426" s="11">
        <v>5.5783634798369501</v>
      </c>
      <c r="AA426" s="11">
        <v>7.3784359800524904</v>
      </c>
      <c r="AB426" s="11">
        <v>11.678203175787701</v>
      </c>
      <c r="AC426" s="11">
        <v>4.7685497594697397</v>
      </c>
      <c r="AD426" s="11">
        <v>1.89194894066486</v>
      </c>
      <c r="AE426" s="11">
        <v>4.8003260896040603</v>
      </c>
      <c r="AF426" s="11">
        <v>2.5396411397998202</v>
      </c>
      <c r="AG426" s="11">
        <v>0.22969814145377901</v>
      </c>
      <c r="AH426" s="11">
        <v>3.94595285192562</v>
      </c>
      <c r="AI426" s="11">
        <v>3.0170800957248498</v>
      </c>
      <c r="AJ426" s="11">
        <v>6.0905473858984696</v>
      </c>
      <c r="AK426" s="16">
        <v>-1.0802962796669799</v>
      </c>
      <c r="AL426" s="16">
        <v>-2.0499474773538799</v>
      </c>
      <c r="AM426" s="26">
        <v>3.5291493885969298E-2</v>
      </c>
      <c r="AN426" s="27">
        <v>5.6891588939068503E-2</v>
      </c>
      <c r="AO426" s="11">
        <v>6.9912803768571496</v>
      </c>
      <c r="AP426" s="11">
        <v>3.4104680505676499</v>
      </c>
      <c r="AQ426" t="s">
        <v>5875</v>
      </c>
      <c r="AR426" t="s">
        <v>5877</v>
      </c>
      <c r="AS426" t="s">
        <v>3345</v>
      </c>
    </row>
    <row r="427" spans="1:45">
      <c r="A427" t="s">
        <v>4031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6</v>
      </c>
      <c r="K427" s="2">
        <v>4</v>
      </c>
      <c r="L427" s="2">
        <v>8</v>
      </c>
      <c r="M427" s="2">
        <v>5</v>
      </c>
      <c r="N427" s="2">
        <v>4</v>
      </c>
      <c r="O427" s="2">
        <v>0</v>
      </c>
      <c r="P427" s="2">
        <v>39</v>
      </c>
      <c r="Q427" s="2">
        <v>18</v>
      </c>
      <c r="R427" s="2">
        <v>1</v>
      </c>
      <c r="S427" s="2">
        <v>2</v>
      </c>
      <c r="T427" s="2">
        <v>7</v>
      </c>
      <c r="U427" s="11">
        <v>0.30291084895868198</v>
      </c>
      <c r="V427" s="11">
        <v>0.24076603016936199</v>
      </c>
      <c r="W427" s="11">
        <v>0.40019941545306398</v>
      </c>
      <c r="X427" s="11">
        <v>0.37798043978830698</v>
      </c>
      <c r="Y427" s="11">
        <v>0.215044089984223</v>
      </c>
      <c r="Z427" s="11">
        <v>0.23243181165987301</v>
      </c>
      <c r="AA427" s="11">
        <v>0.26351557071616</v>
      </c>
      <c r="AB427" s="11">
        <v>0.24329589949557701</v>
      </c>
      <c r="AC427" s="11">
        <v>4.7685497594697397</v>
      </c>
      <c r="AD427" s="11">
        <v>5.0451971751062796</v>
      </c>
      <c r="AE427" s="11">
        <v>4.0002717413367099</v>
      </c>
      <c r="AF427" s="11">
        <v>3.3861881863997598</v>
      </c>
      <c r="AG427" s="11">
        <v>35.832910066789402</v>
      </c>
      <c r="AH427" s="11">
        <v>14.2054302669323</v>
      </c>
      <c r="AI427" s="11">
        <v>1.50854004786242</v>
      </c>
      <c r="AJ427" s="11">
        <v>10.658457925322301</v>
      </c>
      <c r="AK427" s="16">
        <v>4.6687877593354301</v>
      </c>
      <c r="AL427" s="16">
        <v>34.885992038924499</v>
      </c>
      <c r="AM427" s="26">
        <v>1.0493107098353201E-7</v>
      </c>
      <c r="AN427" s="27">
        <v>6.95038480079035E-7</v>
      </c>
      <c r="AO427" s="11">
        <v>0.28451801327815601</v>
      </c>
      <c r="AP427" s="11">
        <v>9.9256931461523692</v>
      </c>
      <c r="AQ427" t="s">
        <v>5874</v>
      </c>
      <c r="AR427" t="s">
        <v>5876</v>
      </c>
      <c r="AS427" t="s">
        <v>4031</v>
      </c>
    </row>
    <row r="428" spans="1:45">
      <c r="A428" t="s">
        <v>4492</v>
      </c>
      <c r="B428" s="2">
        <v>0</v>
      </c>
      <c r="C428" s="2">
        <v>5</v>
      </c>
      <c r="D428" s="2">
        <v>0</v>
      </c>
      <c r="E428" s="2">
        <v>0</v>
      </c>
      <c r="F428" s="2">
        <v>6</v>
      </c>
      <c r="G428" s="2">
        <v>7</v>
      </c>
      <c r="H428" s="2">
        <v>10</v>
      </c>
      <c r="I428" s="2">
        <v>1</v>
      </c>
      <c r="J428" s="2">
        <v>29</v>
      </c>
      <c r="K428" s="2">
        <v>0</v>
      </c>
      <c r="L428" s="2">
        <v>27</v>
      </c>
      <c r="M428" s="2">
        <v>3</v>
      </c>
      <c r="N428" s="2">
        <v>2</v>
      </c>
      <c r="O428" s="2">
        <v>2</v>
      </c>
      <c r="P428" s="2">
        <v>1</v>
      </c>
      <c r="Q428" s="2">
        <v>1</v>
      </c>
      <c r="R428" s="2">
        <v>0</v>
      </c>
      <c r="S428" s="2">
        <v>0</v>
      </c>
      <c r="T428" s="2">
        <v>0</v>
      </c>
      <c r="U428" s="11">
        <v>0.30291084895868198</v>
      </c>
      <c r="V428" s="11">
        <v>4.8153206033872298</v>
      </c>
      <c r="W428" s="11">
        <v>0.40019941545306398</v>
      </c>
      <c r="X428" s="11">
        <v>0.37798043978830698</v>
      </c>
      <c r="Y428" s="11">
        <v>5.1610581596213496</v>
      </c>
      <c r="Z428" s="11">
        <v>6.50809072647644</v>
      </c>
      <c r="AA428" s="11">
        <v>10.5406228286464</v>
      </c>
      <c r="AB428" s="11">
        <v>0.97318359798230603</v>
      </c>
      <c r="AC428" s="11">
        <v>23.047990504103801</v>
      </c>
      <c r="AD428" s="11">
        <v>17.027540465983702</v>
      </c>
      <c r="AE428" s="11">
        <v>2.4001630448020301</v>
      </c>
      <c r="AF428" s="11">
        <v>1.6930940931998799</v>
      </c>
      <c r="AG428" s="11">
        <v>0.91879256581511404</v>
      </c>
      <c r="AH428" s="11">
        <v>0.78919057038512497</v>
      </c>
      <c r="AI428" s="11">
        <v>0.377135011965606</v>
      </c>
      <c r="AJ428" s="11">
        <v>0.38065921161865401</v>
      </c>
      <c r="AK428" s="16">
        <v>0.66678279963529696</v>
      </c>
      <c r="AL428" s="16">
        <v>1.6036994916972001</v>
      </c>
      <c r="AM428" s="26">
        <v>0.43914317105936201</v>
      </c>
      <c r="AN428" s="27">
        <v>0.52275228014005903</v>
      </c>
      <c r="AO428" s="11">
        <v>3.63492082753922</v>
      </c>
      <c r="AP428" s="11">
        <v>5.8293206834842399</v>
      </c>
      <c r="AQ428" t="s">
        <v>5874</v>
      </c>
      <c r="AR428" t="s">
        <v>5832</v>
      </c>
      <c r="AS428" t="s">
        <v>4492</v>
      </c>
    </row>
    <row r="429" spans="1:45">
      <c r="A429" t="s">
        <v>5380</v>
      </c>
      <c r="B429" s="2">
        <v>6</v>
      </c>
      <c r="C429" s="2">
        <v>7</v>
      </c>
      <c r="D429" s="2">
        <v>8</v>
      </c>
      <c r="E429" s="2">
        <v>14</v>
      </c>
      <c r="F429" s="2">
        <v>11</v>
      </c>
      <c r="G429" s="2">
        <v>7</v>
      </c>
      <c r="H429" s="2">
        <v>8</v>
      </c>
      <c r="I429" s="2">
        <v>7</v>
      </c>
      <c r="J429" s="2">
        <v>1</v>
      </c>
      <c r="K429" s="2">
        <v>1</v>
      </c>
      <c r="L429" s="2">
        <v>5</v>
      </c>
      <c r="M429" s="2">
        <v>4</v>
      </c>
      <c r="N429" s="2">
        <v>1</v>
      </c>
      <c r="O429" s="2">
        <v>0</v>
      </c>
      <c r="P429" s="2">
        <v>2</v>
      </c>
      <c r="Q429" s="2">
        <v>4</v>
      </c>
      <c r="R429" s="2">
        <v>3</v>
      </c>
      <c r="S429" s="2">
        <v>0</v>
      </c>
      <c r="T429" s="2">
        <v>5</v>
      </c>
      <c r="U429" s="11">
        <v>7.2698603750083803</v>
      </c>
      <c r="V429" s="11">
        <v>6.7414488447421297</v>
      </c>
      <c r="W429" s="11">
        <v>12.806381294498101</v>
      </c>
      <c r="X429" s="11">
        <v>21.1669046281452</v>
      </c>
      <c r="Y429" s="11">
        <v>9.4619399593058091</v>
      </c>
      <c r="Z429" s="11">
        <v>6.50809072647644</v>
      </c>
      <c r="AA429" s="11">
        <v>8.4324982629171306</v>
      </c>
      <c r="AB429" s="11">
        <v>6.8122851858761404</v>
      </c>
      <c r="AC429" s="11">
        <v>0.79475829324495695</v>
      </c>
      <c r="AD429" s="11">
        <v>3.1532482344414299</v>
      </c>
      <c r="AE429" s="11">
        <v>3.2002173930693698</v>
      </c>
      <c r="AF429" s="11">
        <v>0.84654704659994096</v>
      </c>
      <c r="AG429" s="11">
        <v>1.8375851316302301</v>
      </c>
      <c r="AH429" s="11">
        <v>3.1567622815404999</v>
      </c>
      <c r="AI429" s="11">
        <v>4.5256201435872701</v>
      </c>
      <c r="AJ429" s="11">
        <v>7.6131842323730803</v>
      </c>
      <c r="AK429" s="16">
        <v>-1.69336011739623</v>
      </c>
      <c r="AL429" s="16">
        <v>-3.15184864441387</v>
      </c>
      <c r="AM429" s="26">
        <v>2.6169219502721302E-4</v>
      </c>
      <c r="AN429" s="27">
        <v>6.6821403997406798E-4</v>
      </c>
      <c r="AO429" s="11">
        <v>9.8999261596211596</v>
      </c>
      <c r="AP429" s="11">
        <v>3.14099034456085</v>
      </c>
      <c r="AQ429" t="s">
        <v>5875</v>
      </c>
      <c r="AR429" t="s">
        <v>5876</v>
      </c>
      <c r="AS429" t="s">
        <v>5380</v>
      </c>
    </row>
    <row r="430" spans="1:45">
      <c r="A430" t="s">
        <v>2397</v>
      </c>
      <c r="B430" s="2">
        <v>8</v>
      </c>
      <c r="C430" s="2">
        <v>10</v>
      </c>
      <c r="D430" s="2">
        <v>15</v>
      </c>
      <c r="E430" s="2">
        <v>11</v>
      </c>
      <c r="F430" s="2">
        <v>11</v>
      </c>
      <c r="G430" s="2">
        <v>16.151</v>
      </c>
      <c r="H430" s="2">
        <v>7</v>
      </c>
      <c r="I430" s="2">
        <v>5</v>
      </c>
      <c r="J430" s="2">
        <v>1</v>
      </c>
      <c r="K430" s="2">
        <v>0</v>
      </c>
      <c r="L430" s="2">
        <v>0</v>
      </c>
      <c r="M430" s="2">
        <v>4</v>
      </c>
      <c r="N430" s="2">
        <v>1</v>
      </c>
      <c r="O430" s="2">
        <v>0</v>
      </c>
      <c r="P430" s="2">
        <v>1</v>
      </c>
      <c r="Q430" s="2">
        <v>2</v>
      </c>
      <c r="R430" s="2">
        <v>0</v>
      </c>
      <c r="S430" s="2">
        <v>0</v>
      </c>
      <c r="T430" s="2">
        <v>1</v>
      </c>
      <c r="U430" s="11">
        <v>9.6931471666778304</v>
      </c>
      <c r="V430" s="11">
        <v>9.6306412067744702</v>
      </c>
      <c r="W430" s="11">
        <v>24.0119649271839</v>
      </c>
      <c r="X430" s="11">
        <v>16.631139350685501</v>
      </c>
      <c r="Y430" s="11">
        <v>9.4619399593058091</v>
      </c>
      <c r="Z430" s="11">
        <v>15.0615813955598</v>
      </c>
      <c r="AA430" s="11">
        <v>7.3784359800524904</v>
      </c>
      <c r="AB430" s="11">
        <v>4.8659179899115301</v>
      </c>
      <c r="AC430" s="11">
        <v>0.79475829324495695</v>
      </c>
      <c r="AD430" s="11">
        <v>0.15766241172207099</v>
      </c>
      <c r="AE430" s="11">
        <v>3.2002173930693698</v>
      </c>
      <c r="AF430" s="11">
        <v>0.84654704659994096</v>
      </c>
      <c r="AG430" s="11">
        <v>0.91879256581511404</v>
      </c>
      <c r="AH430" s="11">
        <v>1.5783811407702499</v>
      </c>
      <c r="AI430" s="11">
        <v>0.377135011965606</v>
      </c>
      <c r="AJ430" s="11">
        <v>1.5226368464746201</v>
      </c>
      <c r="AK430" s="16">
        <v>-3.1943169458793399</v>
      </c>
      <c r="AL430" s="16">
        <v>-10.2951705297884</v>
      </c>
      <c r="AM430" s="26">
        <v>3.9657632895787198E-10</v>
      </c>
      <c r="AN430" s="27">
        <v>6.1699898621585203E-9</v>
      </c>
      <c r="AO430" s="11">
        <v>12.091845997018901</v>
      </c>
      <c r="AP430" s="11">
        <v>1.17451633870774</v>
      </c>
      <c r="AQ430" t="s">
        <v>5875</v>
      </c>
      <c r="AR430" t="s">
        <v>5876</v>
      </c>
      <c r="AS430" t="s">
        <v>2397</v>
      </c>
    </row>
    <row r="431" spans="1:45">
      <c r="A431" t="s">
        <v>1789</v>
      </c>
      <c r="B431" s="2">
        <v>9</v>
      </c>
      <c r="C431" s="2">
        <v>10.476000000000001</v>
      </c>
      <c r="D431" s="2">
        <v>11.55</v>
      </c>
      <c r="E431" s="2">
        <v>9</v>
      </c>
      <c r="F431" s="2">
        <v>11</v>
      </c>
      <c r="G431" s="2">
        <v>11</v>
      </c>
      <c r="H431" s="2">
        <v>7</v>
      </c>
      <c r="I431" s="2">
        <v>1</v>
      </c>
      <c r="J431" s="2">
        <v>1</v>
      </c>
      <c r="K431" s="2">
        <v>0</v>
      </c>
      <c r="L431" s="2">
        <v>5</v>
      </c>
      <c r="M431" s="2">
        <v>2</v>
      </c>
      <c r="N431" s="2">
        <v>5</v>
      </c>
      <c r="O431" s="2">
        <v>3</v>
      </c>
      <c r="P431" s="2">
        <v>1</v>
      </c>
      <c r="Q431" s="2">
        <v>3</v>
      </c>
      <c r="R431" s="2">
        <v>1</v>
      </c>
      <c r="S431" s="2">
        <v>0</v>
      </c>
      <c r="T431" s="2">
        <v>2</v>
      </c>
      <c r="U431" s="11">
        <v>10.9047905625126</v>
      </c>
      <c r="V431" s="11">
        <v>10.112173267113199</v>
      </c>
      <c r="W431" s="11">
        <v>18.569252877022201</v>
      </c>
      <c r="X431" s="11">
        <v>13.6072958323791</v>
      </c>
      <c r="Y431" s="11">
        <v>9.4619399593058091</v>
      </c>
      <c r="Z431" s="11">
        <v>10.226999713034401</v>
      </c>
      <c r="AA431" s="11">
        <v>7.3784359800524904</v>
      </c>
      <c r="AB431" s="11">
        <v>0.97318359798230603</v>
      </c>
      <c r="AC431" s="11">
        <v>0.79475829324495695</v>
      </c>
      <c r="AD431" s="11">
        <v>3.1532482344414299</v>
      </c>
      <c r="AE431" s="11">
        <v>1.60010869653469</v>
      </c>
      <c r="AF431" s="11">
        <v>4.2327352329997003</v>
      </c>
      <c r="AG431" s="11">
        <v>0.91879256581511404</v>
      </c>
      <c r="AH431" s="11">
        <v>2.36757171115537</v>
      </c>
      <c r="AI431" s="11">
        <v>1.50854004786242</v>
      </c>
      <c r="AJ431" s="11">
        <v>3.0452736929492299</v>
      </c>
      <c r="AK431" s="16">
        <v>-2.0968202419044299</v>
      </c>
      <c r="AL431" s="16">
        <v>-4.6100641574151098</v>
      </c>
      <c r="AM431" s="26">
        <v>9.6463885378188707E-6</v>
      </c>
      <c r="AN431" s="27">
        <v>3.5458428196707799E-5</v>
      </c>
      <c r="AO431" s="11">
        <v>10.154258973675301</v>
      </c>
      <c r="AP431" s="11">
        <v>2.2026285593753601</v>
      </c>
      <c r="AQ431" t="s">
        <v>5875</v>
      </c>
      <c r="AR431" t="s">
        <v>5876</v>
      </c>
      <c r="AS431" t="s">
        <v>1789</v>
      </c>
    </row>
    <row r="432" spans="1:45">
      <c r="A432" t="s">
        <v>1251</v>
      </c>
      <c r="B432" s="2">
        <v>9</v>
      </c>
      <c r="C432" s="2">
        <v>8</v>
      </c>
      <c r="D432" s="2">
        <v>9</v>
      </c>
      <c r="E432" s="2">
        <v>15</v>
      </c>
      <c r="F432" s="2">
        <v>11</v>
      </c>
      <c r="G432" s="2">
        <v>8</v>
      </c>
      <c r="H432" s="2">
        <v>12</v>
      </c>
      <c r="I432" s="2">
        <v>4</v>
      </c>
      <c r="J432" s="2">
        <v>2</v>
      </c>
      <c r="K432" s="2">
        <v>1</v>
      </c>
      <c r="L432" s="2">
        <v>3</v>
      </c>
      <c r="M432" s="2">
        <v>4</v>
      </c>
      <c r="N432" s="2">
        <v>2</v>
      </c>
      <c r="O432" s="2">
        <v>1</v>
      </c>
      <c r="P432" s="2">
        <v>0</v>
      </c>
      <c r="Q432" s="2">
        <v>1</v>
      </c>
      <c r="R432" s="2">
        <v>1</v>
      </c>
      <c r="S432" s="2">
        <v>0</v>
      </c>
      <c r="T432" s="2">
        <v>1</v>
      </c>
      <c r="U432" s="11">
        <v>10.9047905625126</v>
      </c>
      <c r="V432" s="11">
        <v>7.7045129654195703</v>
      </c>
      <c r="W432" s="11">
        <v>14.4071789563103</v>
      </c>
      <c r="X432" s="11">
        <v>22.6788263872984</v>
      </c>
      <c r="Y432" s="11">
        <v>9.4619399593058091</v>
      </c>
      <c r="Z432" s="11">
        <v>7.43781797311593</v>
      </c>
      <c r="AA432" s="11">
        <v>12.6487473943757</v>
      </c>
      <c r="AB432" s="11">
        <v>3.8927343919292201</v>
      </c>
      <c r="AC432" s="11">
        <v>1.5895165864899099</v>
      </c>
      <c r="AD432" s="11">
        <v>1.89194894066486</v>
      </c>
      <c r="AE432" s="11">
        <v>3.2002173930693698</v>
      </c>
      <c r="AF432" s="11">
        <v>1.6930940931998799</v>
      </c>
      <c r="AG432" s="11">
        <v>0.22969814145377901</v>
      </c>
      <c r="AH432" s="11">
        <v>0.78919057038512497</v>
      </c>
      <c r="AI432" s="11">
        <v>1.50854004786242</v>
      </c>
      <c r="AJ432" s="11">
        <v>1.5226368464746201</v>
      </c>
      <c r="AK432" s="16">
        <v>-2.6805779435660999</v>
      </c>
      <c r="AL432" s="16">
        <v>-7.1740585630965104</v>
      </c>
      <c r="AM432" s="26">
        <v>1.82239230631888E-8</v>
      </c>
      <c r="AN432" s="27">
        <v>1.58335123756796E-7</v>
      </c>
      <c r="AO432" s="11">
        <v>11.1420685737834</v>
      </c>
      <c r="AP432" s="11">
        <v>1.55310532745</v>
      </c>
      <c r="AQ432" t="s">
        <v>5875</v>
      </c>
      <c r="AR432" t="s">
        <v>5876</v>
      </c>
      <c r="AS432" t="s">
        <v>1251</v>
      </c>
    </row>
    <row r="433" spans="1:45">
      <c r="A433" t="s">
        <v>2941</v>
      </c>
      <c r="B433" s="2">
        <v>5</v>
      </c>
      <c r="C433" s="2">
        <v>14</v>
      </c>
      <c r="D433" s="2">
        <v>0</v>
      </c>
      <c r="E433" s="2">
        <v>0</v>
      </c>
      <c r="F433" s="2">
        <v>16</v>
      </c>
      <c r="G433" s="2">
        <v>17</v>
      </c>
      <c r="H433" s="2">
        <v>4</v>
      </c>
      <c r="I433" s="2">
        <v>12</v>
      </c>
      <c r="J433" s="2">
        <v>8</v>
      </c>
      <c r="K433" s="2">
        <v>0</v>
      </c>
      <c r="L433" s="2">
        <v>5</v>
      </c>
      <c r="M433" s="2">
        <v>1</v>
      </c>
      <c r="N433" s="2">
        <v>0</v>
      </c>
      <c r="O433" s="2">
        <v>1</v>
      </c>
      <c r="P433" s="2">
        <v>2</v>
      </c>
      <c r="Q433" s="2">
        <v>1</v>
      </c>
      <c r="R433" s="2">
        <v>6</v>
      </c>
      <c r="S433" s="2">
        <v>0</v>
      </c>
      <c r="T433" s="2">
        <v>0</v>
      </c>
      <c r="U433" s="11">
        <v>6.0582169791736504</v>
      </c>
      <c r="V433" s="11">
        <v>13.4828976894843</v>
      </c>
      <c r="W433" s="11">
        <v>0.40019941545306398</v>
      </c>
      <c r="X433" s="11">
        <v>0.37798043978830698</v>
      </c>
      <c r="Y433" s="11">
        <v>13.762821758990301</v>
      </c>
      <c r="Z433" s="11">
        <v>15.805363192871299</v>
      </c>
      <c r="AA433" s="11">
        <v>4.21624913145856</v>
      </c>
      <c r="AB433" s="11">
        <v>11.678203175787701</v>
      </c>
      <c r="AC433" s="11">
        <v>6.35806634595966</v>
      </c>
      <c r="AD433" s="11">
        <v>3.1532482344414299</v>
      </c>
      <c r="AE433" s="11">
        <v>0.80005434826734301</v>
      </c>
      <c r="AF433" s="11">
        <v>0.21163676164998499</v>
      </c>
      <c r="AG433" s="11">
        <v>1.8375851316302301</v>
      </c>
      <c r="AH433" s="11">
        <v>0.78919057038512497</v>
      </c>
      <c r="AI433" s="11">
        <v>9.0512402871745401</v>
      </c>
      <c r="AJ433" s="11">
        <v>0.38065921161865401</v>
      </c>
      <c r="AK433" s="16">
        <v>-1.5825674701813599</v>
      </c>
      <c r="AL433" s="16">
        <v>-2.9130662194794801</v>
      </c>
      <c r="AM433" s="26">
        <v>2.6407779596113699E-2</v>
      </c>
      <c r="AN433" s="27">
        <v>4.3782676970293498E-2</v>
      </c>
      <c r="AO433" s="11">
        <v>8.2227414728758905</v>
      </c>
      <c r="AP433" s="11">
        <v>2.8227101113908701</v>
      </c>
      <c r="AQ433" t="s">
        <v>5875</v>
      </c>
      <c r="AR433" t="s">
        <v>5878</v>
      </c>
      <c r="AS433" t="s">
        <v>2941</v>
      </c>
    </row>
    <row r="434" spans="1:45">
      <c r="A434" t="s">
        <v>4332</v>
      </c>
      <c r="B434" s="2">
        <v>1</v>
      </c>
      <c r="C434" s="2">
        <v>1</v>
      </c>
      <c r="D434" s="2">
        <v>1</v>
      </c>
      <c r="E434" s="2">
        <v>0</v>
      </c>
      <c r="F434" s="2">
        <v>2</v>
      </c>
      <c r="G434" s="2">
        <v>6</v>
      </c>
      <c r="H434" s="2">
        <v>0</v>
      </c>
      <c r="I434" s="2">
        <v>0</v>
      </c>
      <c r="J434" s="2">
        <v>13</v>
      </c>
      <c r="K434" s="2">
        <v>2</v>
      </c>
      <c r="L434" s="2">
        <v>25</v>
      </c>
      <c r="M434" s="2">
        <v>3</v>
      </c>
      <c r="N434" s="2">
        <v>14</v>
      </c>
      <c r="O434" s="2">
        <v>0</v>
      </c>
      <c r="P434" s="2">
        <v>7</v>
      </c>
      <c r="Q434" s="2">
        <v>10</v>
      </c>
      <c r="R434" s="2">
        <v>0</v>
      </c>
      <c r="S434" s="2">
        <v>0</v>
      </c>
      <c r="T434" s="2">
        <v>7</v>
      </c>
      <c r="U434" s="11">
        <v>1.2116433958347299</v>
      </c>
      <c r="V434" s="11">
        <v>0.96306412067744696</v>
      </c>
      <c r="W434" s="11">
        <v>1.6007976618122599</v>
      </c>
      <c r="X434" s="11">
        <v>0.37798043978830698</v>
      </c>
      <c r="Y434" s="11">
        <v>1.72035271987378</v>
      </c>
      <c r="Z434" s="11">
        <v>5.5783634798369501</v>
      </c>
      <c r="AA434" s="11">
        <v>0.26351557071616</v>
      </c>
      <c r="AB434" s="11">
        <v>0.24329589949557701</v>
      </c>
      <c r="AC434" s="11">
        <v>10.331857812184399</v>
      </c>
      <c r="AD434" s="11">
        <v>15.766241172207099</v>
      </c>
      <c r="AE434" s="11">
        <v>2.4001630448020301</v>
      </c>
      <c r="AF434" s="11">
        <v>11.8516586523992</v>
      </c>
      <c r="AG434" s="11">
        <v>6.4315479607058004</v>
      </c>
      <c r="AH434" s="11">
        <v>7.8919057038512497</v>
      </c>
      <c r="AI434" s="11">
        <v>0.377135011965606</v>
      </c>
      <c r="AJ434" s="11">
        <v>10.658457925322301</v>
      </c>
      <c r="AK434" s="16">
        <v>2.3353839395456002</v>
      </c>
      <c r="AL434" s="16">
        <v>5.4945141125629897</v>
      </c>
      <c r="AM434" s="26">
        <v>1.2951705516223001E-4</v>
      </c>
      <c r="AN434" s="27">
        <v>3.53660856749111E-4</v>
      </c>
      <c r="AO434" s="11">
        <v>1.4948766610044</v>
      </c>
      <c r="AP434" s="11">
        <v>8.2136209104297198</v>
      </c>
      <c r="AQ434" t="s">
        <v>5874</v>
      </c>
      <c r="AR434" t="s">
        <v>5876</v>
      </c>
      <c r="AS434" t="s">
        <v>4332</v>
      </c>
    </row>
    <row r="435" spans="1:45">
      <c r="A435" t="s">
        <v>408</v>
      </c>
      <c r="B435" s="2">
        <v>4</v>
      </c>
      <c r="C435" s="2">
        <v>6</v>
      </c>
      <c r="D435" s="2">
        <v>6</v>
      </c>
      <c r="E435" s="2">
        <v>8</v>
      </c>
      <c r="F435" s="2">
        <v>8</v>
      </c>
      <c r="G435" s="2">
        <v>11</v>
      </c>
      <c r="H435" s="2">
        <v>2</v>
      </c>
      <c r="I435" s="2">
        <v>4</v>
      </c>
      <c r="J435" s="2">
        <v>3</v>
      </c>
      <c r="K435" s="2">
        <v>0</v>
      </c>
      <c r="L435" s="2">
        <v>13</v>
      </c>
      <c r="M435" s="2">
        <v>5</v>
      </c>
      <c r="N435" s="2">
        <v>4</v>
      </c>
      <c r="O435" s="2">
        <v>0</v>
      </c>
      <c r="P435" s="2">
        <v>5</v>
      </c>
      <c r="Q435" s="2">
        <v>3</v>
      </c>
      <c r="R435" s="2">
        <v>3</v>
      </c>
      <c r="S435" s="2">
        <v>1</v>
      </c>
      <c r="T435" s="2">
        <v>5</v>
      </c>
      <c r="U435" s="11">
        <v>4.8465735833389196</v>
      </c>
      <c r="V435" s="11">
        <v>5.7783847240646802</v>
      </c>
      <c r="W435" s="11">
        <v>9.6047859708735501</v>
      </c>
      <c r="X435" s="11">
        <v>12.0953740732258</v>
      </c>
      <c r="Y435" s="11">
        <v>6.8814108794951396</v>
      </c>
      <c r="Z435" s="11">
        <v>10.226999713034401</v>
      </c>
      <c r="AA435" s="11">
        <v>2.10812456572928</v>
      </c>
      <c r="AB435" s="11">
        <v>3.8927343919292201</v>
      </c>
      <c r="AC435" s="11">
        <v>2.3842748797348698</v>
      </c>
      <c r="AD435" s="11">
        <v>8.1984454095477108</v>
      </c>
      <c r="AE435" s="11">
        <v>4.0002717413367099</v>
      </c>
      <c r="AF435" s="11">
        <v>3.3861881863997598</v>
      </c>
      <c r="AG435" s="11">
        <v>4.5939628290755703</v>
      </c>
      <c r="AH435" s="11">
        <v>2.36757171115537</v>
      </c>
      <c r="AI435" s="11">
        <v>4.5256201435872701</v>
      </c>
      <c r="AJ435" s="11">
        <v>7.6131842323730803</v>
      </c>
      <c r="AK435" s="16">
        <v>-0.55217245452601504</v>
      </c>
      <c r="AL435" s="16">
        <v>-1.4954169678458999</v>
      </c>
      <c r="AM435" s="26">
        <v>0.206389698850687</v>
      </c>
      <c r="AN435" s="27">
        <v>0.27073472261001802</v>
      </c>
      <c r="AO435" s="11">
        <v>6.9292984877113799</v>
      </c>
      <c r="AP435" s="11">
        <v>4.6336898916512901</v>
      </c>
      <c r="AQ435" t="s">
        <v>5875</v>
      </c>
      <c r="AR435" t="s">
        <v>5832</v>
      </c>
      <c r="AS435" t="s">
        <v>408</v>
      </c>
    </row>
    <row r="436" spans="1:45">
      <c r="A436" t="s">
        <v>1142</v>
      </c>
      <c r="B436" s="2">
        <v>5</v>
      </c>
      <c r="C436" s="2">
        <v>3</v>
      </c>
      <c r="D436" s="2">
        <v>6</v>
      </c>
      <c r="E436" s="2">
        <v>6</v>
      </c>
      <c r="F436" s="2">
        <v>6</v>
      </c>
      <c r="G436" s="2">
        <v>6</v>
      </c>
      <c r="H436" s="2">
        <v>7</v>
      </c>
      <c r="I436" s="2">
        <v>6</v>
      </c>
      <c r="J436" s="2">
        <v>1</v>
      </c>
      <c r="K436" s="2">
        <v>2</v>
      </c>
      <c r="L436" s="2">
        <v>5</v>
      </c>
      <c r="M436" s="2">
        <v>7</v>
      </c>
      <c r="N436" s="2">
        <v>1</v>
      </c>
      <c r="O436" s="2">
        <v>0</v>
      </c>
      <c r="P436" s="2">
        <v>4</v>
      </c>
      <c r="Q436" s="2">
        <v>9</v>
      </c>
      <c r="R436" s="2">
        <v>6</v>
      </c>
      <c r="S436" s="2">
        <v>4</v>
      </c>
      <c r="T436" s="2">
        <v>7</v>
      </c>
      <c r="U436" s="11">
        <v>6.0582169791736504</v>
      </c>
      <c r="V436" s="11">
        <v>2.8891923620323401</v>
      </c>
      <c r="W436" s="11">
        <v>9.6047859708735501</v>
      </c>
      <c r="X436" s="11">
        <v>9.0715305549193808</v>
      </c>
      <c r="Y436" s="11">
        <v>5.1610581596213496</v>
      </c>
      <c r="Z436" s="11">
        <v>5.5783634798369501</v>
      </c>
      <c r="AA436" s="11">
        <v>7.3784359800524904</v>
      </c>
      <c r="AB436" s="11">
        <v>5.8391015878938397</v>
      </c>
      <c r="AC436" s="11">
        <v>0.79475829324495695</v>
      </c>
      <c r="AD436" s="11">
        <v>3.1532482344414299</v>
      </c>
      <c r="AE436" s="11">
        <v>5.6003804378713999</v>
      </c>
      <c r="AF436" s="11">
        <v>0.84654704659994096</v>
      </c>
      <c r="AG436" s="11">
        <v>3.6751702632604601</v>
      </c>
      <c r="AH436" s="11">
        <v>7.1027151334661296</v>
      </c>
      <c r="AI436" s="11">
        <v>9.0512402871745401</v>
      </c>
      <c r="AJ436" s="11">
        <v>10.658457925322301</v>
      </c>
      <c r="AK436" s="16">
        <v>-0.39618595721031502</v>
      </c>
      <c r="AL436" s="16">
        <v>-1.26168073972595</v>
      </c>
      <c r="AM436" s="26">
        <v>0.46305406671053401</v>
      </c>
      <c r="AN436" s="27">
        <v>0.54539290603758295</v>
      </c>
      <c r="AO436" s="11">
        <v>6.4475856343004398</v>
      </c>
      <c r="AP436" s="11">
        <v>5.1103147026726496</v>
      </c>
      <c r="AQ436" t="s">
        <v>5875</v>
      </c>
      <c r="AR436" t="s">
        <v>5832</v>
      </c>
      <c r="AS436" t="s">
        <v>1142</v>
      </c>
    </row>
    <row r="437" spans="1:45">
      <c r="A437" t="s">
        <v>3218</v>
      </c>
      <c r="B437" s="2">
        <v>5</v>
      </c>
      <c r="C437" s="2">
        <v>11</v>
      </c>
      <c r="D437" s="2">
        <v>3</v>
      </c>
      <c r="E437" s="2">
        <v>9</v>
      </c>
      <c r="F437" s="2">
        <v>12</v>
      </c>
      <c r="G437" s="2">
        <v>13</v>
      </c>
      <c r="H437" s="2">
        <v>9</v>
      </c>
      <c r="I437" s="2">
        <v>7</v>
      </c>
      <c r="J437" s="2">
        <v>1</v>
      </c>
      <c r="K437" s="2">
        <v>1</v>
      </c>
      <c r="L437" s="2">
        <v>5</v>
      </c>
      <c r="M437" s="2">
        <v>4</v>
      </c>
      <c r="N437" s="2">
        <v>5</v>
      </c>
      <c r="O437" s="2">
        <v>0</v>
      </c>
      <c r="P437" s="2">
        <v>4</v>
      </c>
      <c r="Q437" s="2">
        <v>1</v>
      </c>
      <c r="R437" s="2">
        <v>1</v>
      </c>
      <c r="S437" s="2">
        <v>0</v>
      </c>
      <c r="T437" s="2">
        <v>0</v>
      </c>
      <c r="U437" s="11">
        <v>6.0582169791736504</v>
      </c>
      <c r="V437" s="11">
        <v>10.5937053274519</v>
      </c>
      <c r="W437" s="11">
        <v>4.8023929854367697</v>
      </c>
      <c r="X437" s="11">
        <v>13.6072958323791</v>
      </c>
      <c r="Y437" s="11">
        <v>10.322116319242699</v>
      </c>
      <c r="Z437" s="11">
        <v>12.0864542063134</v>
      </c>
      <c r="AA437" s="11">
        <v>9.4865605457817708</v>
      </c>
      <c r="AB437" s="11">
        <v>6.8122851858761404</v>
      </c>
      <c r="AC437" s="11">
        <v>0.79475829324495695</v>
      </c>
      <c r="AD437" s="11">
        <v>3.1532482344414299</v>
      </c>
      <c r="AE437" s="11">
        <v>3.2002173930693698</v>
      </c>
      <c r="AF437" s="11">
        <v>4.2327352329997003</v>
      </c>
      <c r="AG437" s="11">
        <v>3.6751702632604601</v>
      </c>
      <c r="AH437" s="11">
        <v>0.78919057038512497</v>
      </c>
      <c r="AI437" s="11">
        <v>1.50854004786242</v>
      </c>
      <c r="AJ437" s="11">
        <v>0.38065921161865401</v>
      </c>
      <c r="AK437" s="16">
        <v>-1.93100585235753</v>
      </c>
      <c r="AL437" s="16">
        <v>-4.1596293846321597</v>
      </c>
      <c r="AM437" s="26">
        <v>1.42799551473458E-6</v>
      </c>
      <c r="AN437" s="27">
        <v>6.7276690095593802E-6</v>
      </c>
      <c r="AO437" s="11">
        <v>9.2211284227069292</v>
      </c>
      <c r="AP437" s="11">
        <v>2.21681490586026</v>
      </c>
      <c r="AQ437" t="s">
        <v>5875</v>
      </c>
      <c r="AR437" t="s">
        <v>5876</v>
      </c>
      <c r="AS437" t="s">
        <v>3218</v>
      </c>
    </row>
    <row r="438" spans="1:45">
      <c r="A438" t="s">
        <v>5508</v>
      </c>
      <c r="B438" s="2">
        <v>2</v>
      </c>
      <c r="C438" s="2">
        <v>5</v>
      </c>
      <c r="D438" s="2">
        <v>2</v>
      </c>
      <c r="E438" s="2">
        <v>4</v>
      </c>
      <c r="F438" s="2">
        <v>7</v>
      </c>
      <c r="G438" s="2">
        <v>12</v>
      </c>
      <c r="H438" s="2">
        <v>4</v>
      </c>
      <c r="I438" s="2">
        <v>4</v>
      </c>
      <c r="J438" s="2">
        <v>14</v>
      </c>
      <c r="K438" s="2">
        <v>1</v>
      </c>
      <c r="L438" s="2">
        <v>13</v>
      </c>
      <c r="M438" s="2">
        <v>7</v>
      </c>
      <c r="N438" s="2">
        <v>6</v>
      </c>
      <c r="O438" s="2">
        <v>0</v>
      </c>
      <c r="P438" s="2">
        <v>4.0369999999999999</v>
      </c>
      <c r="Q438" s="2">
        <v>5</v>
      </c>
      <c r="R438" s="2">
        <v>0</v>
      </c>
      <c r="S438" s="2">
        <v>0</v>
      </c>
      <c r="T438" s="2">
        <v>0</v>
      </c>
      <c r="U438" s="11">
        <v>2.4232867916694598</v>
      </c>
      <c r="V438" s="11">
        <v>4.8153206033872298</v>
      </c>
      <c r="W438" s="11">
        <v>3.2015953236245198</v>
      </c>
      <c r="X438" s="11">
        <v>6.0476870366129196</v>
      </c>
      <c r="Y438" s="11">
        <v>6.0212345195582504</v>
      </c>
      <c r="Z438" s="11">
        <v>11.1567269596739</v>
      </c>
      <c r="AA438" s="11">
        <v>4.21624913145856</v>
      </c>
      <c r="AB438" s="11">
        <v>3.8927343919292201</v>
      </c>
      <c r="AC438" s="11">
        <v>11.126616105429401</v>
      </c>
      <c r="AD438" s="11">
        <v>8.1984454095477108</v>
      </c>
      <c r="AE438" s="11">
        <v>5.6003804378713999</v>
      </c>
      <c r="AF438" s="11">
        <v>5.0792822795996404</v>
      </c>
      <c r="AG438" s="11">
        <v>3.6751702632604601</v>
      </c>
      <c r="AH438" s="11">
        <v>3.94595285192562</v>
      </c>
      <c r="AI438" s="11">
        <v>0.377135011965606</v>
      </c>
      <c r="AJ438" s="11">
        <v>0.38065921161865401</v>
      </c>
      <c r="AK438" s="16">
        <v>-4.7323052660373399E-2</v>
      </c>
      <c r="AL438" s="16">
        <v>-1.0883499597192601</v>
      </c>
      <c r="AM438" s="26">
        <v>0.94106791691661595</v>
      </c>
      <c r="AN438" s="27">
        <v>0.96156153915847598</v>
      </c>
      <c r="AO438" s="11">
        <v>5.2218543447392598</v>
      </c>
      <c r="AP438" s="11">
        <v>4.7979551964023104</v>
      </c>
      <c r="AQ438" t="s">
        <v>5875</v>
      </c>
      <c r="AR438" t="s">
        <v>5832</v>
      </c>
      <c r="AS438" t="s">
        <v>5508</v>
      </c>
    </row>
    <row r="439" spans="1:45">
      <c r="A439" t="s">
        <v>5232</v>
      </c>
      <c r="B439" s="2">
        <v>6</v>
      </c>
      <c r="C439" s="2">
        <v>7</v>
      </c>
      <c r="D439" s="2">
        <v>3.3330000000000002</v>
      </c>
      <c r="E439" s="2">
        <v>6</v>
      </c>
      <c r="F439" s="2">
        <v>1</v>
      </c>
      <c r="G439" s="2">
        <v>3</v>
      </c>
      <c r="H439" s="2">
        <v>4</v>
      </c>
      <c r="I439" s="2">
        <v>2</v>
      </c>
      <c r="J439" s="2">
        <v>2.6669999999999998</v>
      </c>
      <c r="K439" s="2">
        <v>0.5</v>
      </c>
      <c r="L439" s="2">
        <v>8.5709999999999997</v>
      </c>
      <c r="M439" s="2">
        <v>11.143000000000001</v>
      </c>
      <c r="N439" s="2">
        <v>2.6669999999999998</v>
      </c>
      <c r="O439" s="2">
        <v>1</v>
      </c>
      <c r="P439" s="2">
        <v>6</v>
      </c>
      <c r="Q439" s="2">
        <v>13.125</v>
      </c>
      <c r="R439" s="2">
        <v>3</v>
      </c>
      <c r="S439" s="2">
        <v>3</v>
      </c>
      <c r="T439" s="2">
        <v>6</v>
      </c>
      <c r="U439" s="11">
        <v>7.2698603750083803</v>
      </c>
      <c r="V439" s="11">
        <v>6.7414488447421297</v>
      </c>
      <c r="W439" s="11">
        <v>5.2826322839804503</v>
      </c>
      <c r="X439" s="11">
        <v>9.0715305549193808</v>
      </c>
      <c r="Y439" s="11">
        <v>0.86017635993689201</v>
      </c>
      <c r="Z439" s="11">
        <v>2.7891817399184702</v>
      </c>
      <c r="AA439" s="11">
        <v>4.21624913145856</v>
      </c>
      <c r="AB439" s="11">
        <v>1.9463671959646101</v>
      </c>
      <c r="AC439" s="11">
        <v>2.1458473917613801</v>
      </c>
      <c r="AD439" s="11">
        <v>5.4235869632392602</v>
      </c>
      <c r="AE439" s="11">
        <v>8.8806032657674994</v>
      </c>
      <c r="AF439" s="11">
        <v>2.2856770258198398</v>
      </c>
      <c r="AG439" s="11">
        <v>5.5127553948906796</v>
      </c>
      <c r="AH439" s="11">
        <v>10.338396472045099</v>
      </c>
      <c r="AI439" s="11">
        <v>4.5256201435872701</v>
      </c>
      <c r="AJ439" s="11">
        <v>9.1358210788476999</v>
      </c>
      <c r="AK439" s="16">
        <v>0.38284012024495401</v>
      </c>
      <c r="AL439" s="16">
        <v>1.2637908549945001</v>
      </c>
      <c r="AM439" s="26">
        <v>0.49855602699569102</v>
      </c>
      <c r="AN439" s="27">
        <v>0.57804849577143402</v>
      </c>
      <c r="AO439" s="11">
        <v>4.7721808107411103</v>
      </c>
      <c r="AP439" s="11">
        <v>6.0310384669948496</v>
      </c>
      <c r="AQ439" t="s">
        <v>5874</v>
      </c>
      <c r="AR439" t="s">
        <v>5832</v>
      </c>
      <c r="AS439" t="s">
        <v>5232</v>
      </c>
    </row>
    <row r="440" spans="1:45">
      <c r="A440" t="s">
        <v>1716</v>
      </c>
      <c r="B440" s="2">
        <v>1</v>
      </c>
      <c r="C440" s="2">
        <v>1</v>
      </c>
      <c r="D440" s="2">
        <v>0</v>
      </c>
      <c r="E440" s="2">
        <v>0</v>
      </c>
      <c r="F440" s="2">
        <v>4</v>
      </c>
      <c r="G440" s="2">
        <v>4</v>
      </c>
      <c r="H440" s="2">
        <v>4</v>
      </c>
      <c r="I440" s="2">
        <v>3</v>
      </c>
      <c r="J440" s="2">
        <v>8</v>
      </c>
      <c r="K440" s="2">
        <v>0</v>
      </c>
      <c r="L440" s="2">
        <v>29</v>
      </c>
      <c r="M440" s="2">
        <v>8</v>
      </c>
      <c r="N440" s="2">
        <v>6</v>
      </c>
      <c r="O440" s="2">
        <v>0</v>
      </c>
      <c r="P440" s="2">
        <v>9</v>
      </c>
      <c r="Q440" s="2">
        <v>10</v>
      </c>
      <c r="R440" s="2">
        <v>2</v>
      </c>
      <c r="S440" s="2">
        <v>0</v>
      </c>
      <c r="T440" s="2">
        <v>1</v>
      </c>
      <c r="U440" s="11">
        <v>1.2116433958347299</v>
      </c>
      <c r="V440" s="11">
        <v>0.96306412067744696</v>
      </c>
      <c r="W440" s="11">
        <v>0.40019941545306398</v>
      </c>
      <c r="X440" s="11">
        <v>0.37798043978830698</v>
      </c>
      <c r="Y440" s="11">
        <v>3.4407054397475698</v>
      </c>
      <c r="Z440" s="11">
        <v>3.7189089865579601</v>
      </c>
      <c r="AA440" s="11">
        <v>4.21624913145856</v>
      </c>
      <c r="AB440" s="11">
        <v>2.9195507939469199</v>
      </c>
      <c r="AC440" s="11">
        <v>6.35806634595966</v>
      </c>
      <c r="AD440" s="11">
        <v>18.2888397597603</v>
      </c>
      <c r="AE440" s="11">
        <v>6.4004347861387396</v>
      </c>
      <c r="AF440" s="11">
        <v>5.0792822795996404</v>
      </c>
      <c r="AG440" s="11">
        <v>8.2691330923360304</v>
      </c>
      <c r="AH440" s="11">
        <v>7.8919057038512497</v>
      </c>
      <c r="AI440" s="11">
        <v>3.0170800957248498</v>
      </c>
      <c r="AJ440" s="11">
        <v>1.5226368464746201</v>
      </c>
      <c r="AK440" s="16">
        <v>1.6422942010557999</v>
      </c>
      <c r="AL440" s="16">
        <v>3.2946651688344</v>
      </c>
      <c r="AM440" s="26">
        <v>2.2896834913929799E-3</v>
      </c>
      <c r="AN440" s="27">
        <v>4.7277723942651404E-3</v>
      </c>
      <c r="AO440" s="11">
        <v>2.1560377154330701</v>
      </c>
      <c r="AP440" s="11">
        <v>7.1034223637306297</v>
      </c>
      <c r="AQ440" t="s">
        <v>5874</v>
      </c>
      <c r="AR440" t="s">
        <v>5876</v>
      </c>
      <c r="AS440" t="s">
        <v>1716</v>
      </c>
    </row>
    <row r="441" spans="1:45">
      <c r="A441" t="s">
        <v>2306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1</v>
      </c>
      <c r="H441" s="2">
        <v>1</v>
      </c>
      <c r="I441" s="2">
        <v>5</v>
      </c>
      <c r="J441" s="2">
        <v>10</v>
      </c>
      <c r="K441" s="2">
        <v>0</v>
      </c>
      <c r="L441" s="2">
        <v>23</v>
      </c>
      <c r="M441" s="2">
        <v>6</v>
      </c>
      <c r="N441" s="2">
        <v>11</v>
      </c>
      <c r="O441" s="2">
        <v>0</v>
      </c>
      <c r="P441" s="2">
        <v>13</v>
      </c>
      <c r="Q441" s="2">
        <v>17</v>
      </c>
      <c r="R441" s="2">
        <v>1</v>
      </c>
      <c r="S441" s="2">
        <v>1</v>
      </c>
      <c r="T441" s="2">
        <v>0</v>
      </c>
      <c r="U441" s="11">
        <v>0.30291084895868198</v>
      </c>
      <c r="V441" s="11">
        <v>0.24076603016936199</v>
      </c>
      <c r="W441" s="11">
        <v>0.40019941545306398</v>
      </c>
      <c r="X441" s="11">
        <v>0.37798043978830698</v>
      </c>
      <c r="Y441" s="11">
        <v>0.215044089984223</v>
      </c>
      <c r="Z441" s="11">
        <v>0.92972724663949102</v>
      </c>
      <c r="AA441" s="11">
        <v>1.05406228286464</v>
      </c>
      <c r="AB441" s="11">
        <v>4.8659179899115301</v>
      </c>
      <c r="AC441" s="11">
        <v>7.9475829324495697</v>
      </c>
      <c r="AD441" s="11">
        <v>14.5049418784306</v>
      </c>
      <c r="AE441" s="11">
        <v>4.8003260896040603</v>
      </c>
      <c r="AF441" s="11">
        <v>9.3120175125993505</v>
      </c>
      <c r="AG441" s="11">
        <v>11.944303355596499</v>
      </c>
      <c r="AH441" s="11">
        <v>13.4162396965471</v>
      </c>
      <c r="AI441" s="11">
        <v>1.50854004786242</v>
      </c>
      <c r="AJ441" s="11">
        <v>0.38065921161865401</v>
      </c>
      <c r="AK441" s="16">
        <v>2.77259566833321</v>
      </c>
      <c r="AL441" s="16">
        <v>7.6091082484039303</v>
      </c>
      <c r="AM441" s="26">
        <v>6.2826051558629597E-5</v>
      </c>
      <c r="AN441" s="27">
        <v>1.8847815467588899E-4</v>
      </c>
      <c r="AO441" s="11">
        <v>1.0483260429711601</v>
      </c>
      <c r="AP441" s="11">
        <v>7.9768263405885298</v>
      </c>
      <c r="AQ441" t="s">
        <v>5874</v>
      </c>
      <c r="AR441" t="s">
        <v>5876</v>
      </c>
      <c r="AS441" t="s">
        <v>2306</v>
      </c>
    </row>
    <row r="442" spans="1:45">
      <c r="A442" t="s">
        <v>2350</v>
      </c>
      <c r="B442" s="2">
        <v>8</v>
      </c>
      <c r="C442" s="2">
        <v>7</v>
      </c>
      <c r="D442" s="2">
        <v>5</v>
      </c>
      <c r="E442" s="2">
        <v>2</v>
      </c>
      <c r="F442" s="2">
        <v>7</v>
      </c>
      <c r="G442" s="2">
        <v>6</v>
      </c>
      <c r="H442" s="2">
        <v>9</v>
      </c>
      <c r="I442" s="2">
        <v>9</v>
      </c>
      <c r="J442" s="2">
        <v>3</v>
      </c>
      <c r="K442" s="2">
        <v>0</v>
      </c>
      <c r="L442" s="2">
        <v>9</v>
      </c>
      <c r="M442" s="2">
        <v>6</v>
      </c>
      <c r="N442" s="2">
        <v>2</v>
      </c>
      <c r="O442" s="2">
        <v>0</v>
      </c>
      <c r="P442" s="2">
        <v>6</v>
      </c>
      <c r="Q442" s="2">
        <v>5</v>
      </c>
      <c r="R442" s="2">
        <v>2</v>
      </c>
      <c r="S442" s="2">
        <v>1</v>
      </c>
      <c r="T442" s="2">
        <v>2</v>
      </c>
      <c r="U442" s="11">
        <v>9.6931471666778304</v>
      </c>
      <c r="V442" s="11">
        <v>6.7414488447421297</v>
      </c>
      <c r="W442" s="11">
        <v>8.00398830906129</v>
      </c>
      <c r="X442" s="11">
        <v>3.0238435183064598</v>
      </c>
      <c r="Y442" s="11">
        <v>6.0212345195582504</v>
      </c>
      <c r="Z442" s="11">
        <v>5.5783634798369501</v>
      </c>
      <c r="AA442" s="11">
        <v>9.4865605457817708</v>
      </c>
      <c r="AB442" s="11">
        <v>8.7586523818407507</v>
      </c>
      <c r="AC442" s="11">
        <v>2.3842748797348698</v>
      </c>
      <c r="AD442" s="11">
        <v>5.6758468219945701</v>
      </c>
      <c r="AE442" s="11">
        <v>4.8003260896040603</v>
      </c>
      <c r="AF442" s="11">
        <v>1.6930940931998799</v>
      </c>
      <c r="AG442" s="11">
        <v>5.5127553948906796</v>
      </c>
      <c r="AH442" s="11">
        <v>3.94595285192562</v>
      </c>
      <c r="AI442" s="11">
        <v>3.0170800957248498</v>
      </c>
      <c r="AJ442" s="11">
        <v>3.0452736929492299</v>
      </c>
      <c r="AK442" s="16">
        <v>-0.871820460772737</v>
      </c>
      <c r="AL442" s="16">
        <v>-1.90550269317595</v>
      </c>
      <c r="AM442" s="26">
        <v>1.98159344270947E-2</v>
      </c>
      <c r="AN442" s="27">
        <v>3.4079331958165399E-2</v>
      </c>
      <c r="AO442" s="11">
        <v>7.1634048457256796</v>
      </c>
      <c r="AP442" s="11">
        <v>3.7593254900029698</v>
      </c>
      <c r="AQ442" t="s">
        <v>5875</v>
      </c>
      <c r="AR442" t="s">
        <v>5878</v>
      </c>
      <c r="AS442" t="s">
        <v>2350</v>
      </c>
    </row>
    <row r="443" spans="1:45">
      <c r="A443" t="s">
        <v>4569</v>
      </c>
      <c r="B443" s="2">
        <v>6</v>
      </c>
      <c r="C443" s="2">
        <v>10</v>
      </c>
      <c r="D443" s="2">
        <v>10</v>
      </c>
      <c r="E443" s="2">
        <v>17</v>
      </c>
      <c r="F443" s="2">
        <v>13</v>
      </c>
      <c r="G443" s="2">
        <v>9</v>
      </c>
      <c r="H443" s="2">
        <v>11</v>
      </c>
      <c r="I443" s="2">
        <v>4</v>
      </c>
      <c r="J443" s="2">
        <v>1</v>
      </c>
      <c r="K443" s="2">
        <v>0</v>
      </c>
      <c r="L443" s="2">
        <v>2</v>
      </c>
      <c r="M443" s="2">
        <v>2</v>
      </c>
      <c r="N443" s="2">
        <v>0</v>
      </c>
      <c r="O443" s="2">
        <v>0</v>
      </c>
      <c r="P443" s="2">
        <v>1</v>
      </c>
      <c r="Q443" s="2">
        <v>1</v>
      </c>
      <c r="R443" s="2">
        <v>1</v>
      </c>
      <c r="S443" s="2">
        <v>1</v>
      </c>
      <c r="T443" s="2">
        <v>0</v>
      </c>
      <c r="U443" s="11">
        <v>7.2698603750083803</v>
      </c>
      <c r="V443" s="11">
        <v>9.6306412067744702</v>
      </c>
      <c r="W443" s="11">
        <v>16.007976618122601</v>
      </c>
      <c r="X443" s="11">
        <v>25.7026699056049</v>
      </c>
      <c r="Y443" s="11">
        <v>11.1822926791796</v>
      </c>
      <c r="Z443" s="11">
        <v>8.3675452197554208</v>
      </c>
      <c r="AA443" s="11">
        <v>11.594685111511</v>
      </c>
      <c r="AB443" s="11">
        <v>3.8927343919292201</v>
      </c>
      <c r="AC443" s="11">
        <v>0.79475829324495695</v>
      </c>
      <c r="AD443" s="11">
        <v>1.2612992937765699</v>
      </c>
      <c r="AE443" s="11">
        <v>1.60010869653469</v>
      </c>
      <c r="AF443" s="11">
        <v>0.21163676164998499</v>
      </c>
      <c r="AG443" s="11">
        <v>0.91879256581511404</v>
      </c>
      <c r="AH443" s="11">
        <v>0.78919057038512497</v>
      </c>
      <c r="AI443" s="11">
        <v>1.50854004786242</v>
      </c>
      <c r="AJ443" s="11">
        <v>0.38065921161865401</v>
      </c>
      <c r="AK443" s="16">
        <v>-3.4300021142139201</v>
      </c>
      <c r="AL443" s="16">
        <v>-12.545021855628899</v>
      </c>
      <c r="AM443" s="26">
        <v>1.3058736641625001E-10</v>
      </c>
      <c r="AN443" s="27">
        <v>2.2400755931402898E-9</v>
      </c>
      <c r="AO443" s="11">
        <v>11.7060506884857</v>
      </c>
      <c r="AP443" s="11">
        <v>0.93312318011093898</v>
      </c>
      <c r="AQ443" t="s">
        <v>5875</v>
      </c>
      <c r="AR443" t="s">
        <v>5876</v>
      </c>
      <c r="AS443" t="s">
        <v>4569</v>
      </c>
    </row>
    <row r="444" spans="1:45">
      <c r="A444" t="s">
        <v>3766</v>
      </c>
      <c r="B444" s="2">
        <v>11</v>
      </c>
      <c r="C444" s="2">
        <v>14.875</v>
      </c>
      <c r="D444" s="2">
        <v>2</v>
      </c>
      <c r="E444" s="2">
        <v>7</v>
      </c>
      <c r="F444" s="2">
        <v>7</v>
      </c>
      <c r="G444" s="2">
        <v>7</v>
      </c>
      <c r="H444" s="2">
        <v>5</v>
      </c>
      <c r="I444" s="2">
        <v>10</v>
      </c>
      <c r="J444" s="2">
        <v>5</v>
      </c>
      <c r="K444" s="2">
        <v>0</v>
      </c>
      <c r="L444" s="2">
        <v>4</v>
      </c>
      <c r="M444" s="2">
        <v>4</v>
      </c>
      <c r="N444" s="2">
        <v>3</v>
      </c>
      <c r="O444" s="2">
        <v>0</v>
      </c>
      <c r="P444" s="2">
        <v>1</v>
      </c>
      <c r="Q444" s="2">
        <v>2</v>
      </c>
      <c r="R444" s="2">
        <v>2</v>
      </c>
      <c r="S444" s="2">
        <v>2</v>
      </c>
      <c r="T444" s="2">
        <v>2</v>
      </c>
      <c r="U444" s="11">
        <v>13.328077354182</v>
      </c>
      <c r="V444" s="11">
        <v>14.349655398094001</v>
      </c>
      <c r="W444" s="11">
        <v>3.2015953236245198</v>
      </c>
      <c r="X444" s="11">
        <v>10.5834523140726</v>
      </c>
      <c r="Y444" s="11">
        <v>6.0212345195582504</v>
      </c>
      <c r="Z444" s="11">
        <v>6.50809072647644</v>
      </c>
      <c r="AA444" s="11">
        <v>5.2703114143232002</v>
      </c>
      <c r="AB444" s="11">
        <v>9.7318359798230603</v>
      </c>
      <c r="AC444" s="11">
        <v>3.9737914662247902</v>
      </c>
      <c r="AD444" s="11">
        <v>2.5225985875531398</v>
      </c>
      <c r="AE444" s="11">
        <v>3.2002173930693698</v>
      </c>
      <c r="AF444" s="11">
        <v>2.5396411397998202</v>
      </c>
      <c r="AG444" s="11">
        <v>0.91879256581511404</v>
      </c>
      <c r="AH444" s="11">
        <v>1.5783811407702499</v>
      </c>
      <c r="AI444" s="11">
        <v>3.0170800957248498</v>
      </c>
      <c r="AJ444" s="11">
        <v>3.0452736929492299</v>
      </c>
      <c r="AK444" s="16">
        <v>-1.7051016678337001</v>
      </c>
      <c r="AL444" s="16">
        <v>-3.3177051319658499</v>
      </c>
      <c r="AM444" s="26">
        <v>7.9333910395960896E-5</v>
      </c>
      <c r="AN444" s="27">
        <v>2.30758200238686E-4</v>
      </c>
      <c r="AO444" s="11">
        <v>8.6242816287692605</v>
      </c>
      <c r="AP444" s="11">
        <v>2.59947201023832</v>
      </c>
      <c r="AQ444" t="s">
        <v>5875</v>
      </c>
      <c r="AR444" t="s">
        <v>5876</v>
      </c>
      <c r="AS444" t="s">
        <v>3766</v>
      </c>
    </row>
    <row r="445" spans="1:45">
      <c r="A445" t="s">
        <v>452</v>
      </c>
      <c r="B445" s="2">
        <v>5</v>
      </c>
      <c r="C445" s="2">
        <v>6</v>
      </c>
      <c r="D445" s="2">
        <v>10</v>
      </c>
      <c r="E445" s="2">
        <v>7</v>
      </c>
      <c r="F445" s="2">
        <v>6</v>
      </c>
      <c r="G445" s="2">
        <v>8</v>
      </c>
      <c r="H445" s="2">
        <v>6</v>
      </c>
      <c r="I445" s="2">
        <v>2</v>
      </c>
      <c r="J445" s="2">
        <v>1</v>
      </c>
      <c r="K445" s="2">
        <v>0</v>
      </c>
      <c r="L445" s="2">
        <v>4</v>
      </c>
      <c r="M445" s="2">
        <v>4</v>
      </c>
      <c r="N445" s="2">
        <v>9</v>
      </c>
      <c r="O445" s="2">
        <v>0</v>
      </c>
      <c r="P445" s="2">
        <v>3</v>
      </c>
      <c r="Q445" s="2">
        <v>10</v>
      </c>
      <c r="R445" s="2">
        <v>5</v>
      </c>
      <c r="S445" s="2">
        <v>0</v>
      </c>
      <c r="T445" s="2">
        <v>2</v>
      </c>
      <c r="U445" s="11">
        <v>6.0582169791736504</v>
      </c>
      <c r="V445" s="11">
        <v>5.7783847240646802</v>
      </c>
      <c r="W445" s="11">
        <v>16.007976618122601</v>
      </c>
      <c r="X445" s="11">
        <v>10.5834523140726</v>
      </c>
      <c r="Y445" s="11">
        <v>5.1610581596213496</v>
      </c>
      <c r="Z445" s="11">
        <v>7.43781797311593</v>
      </c>
      <c r="AA445" s="11">
        <v>6.3243736971878404</v>
      </c>
      <c r="AB445" s="11">
        <v>1.9463671959646101</v>
      </c>
      <c r="AC445" s="11">
        <v>0.79475829324495695</v>
      </c>
      <c r="AD445" s="11">
        <v>2.5225985875531398</v>
      </c>
      <c r="AE445" s="11">
        <v>3.2002173930693698</v>
      </c>
      <c r="AF445" s="11">
        <v>7.6189234193994704</v>
      </c>
      <c r="AG445" s="11">
        <v>2.7563776974453398</v>
      </c>
      <c r="AH445" s="11">
        <v>7.8919057038512497</v>
      </c>
      <c r="AI445" s="11">
        <v>7.5427002393121096</v>
      </c>
      <c r="AJ445" s="11">
        <v>3.0452736929492299</v>
      </c>
      <c r="AK445" s="16">
        <v>-0.70117830657739699</v>
      </c>
      <c r="AL445" s="16">
        <v>-1.6763649768403699</v>
      </c>
      <c r="AM445" s="26">
        <v>0.122298944179025</v>
      </c>
      <c r="AN445" s="27">
        <v>0.169045441437537</v>
      </c>
      <c r="AO445" s="11">
        <v>7.4122059576654102</v>
      </c>
      <c r="AP445" s="11">
        <v>4.4215943783531104</v>
      </c>
      <c r="AQ445" t="s">
        <v>5875</v>
      </c>
      <c r="AR445" t="s">
        <v>5832</v>
      </c>
      <c r="AS445" t="s">
        <v>452</v>
      </c>
    </row>
    <row r="446" spans="1:45">
      <c r="A446" t="s">
        <v>4243</v>
      </c>
      <c r="B446" s="2">
        <v>0</v>
      </c>
      <c r="C446" s="2">
        <v>1</v>
      </c>
      <c r="D446" s="2">
        <v>0</v>
      </c>
      <c r="E446" s="2">
        <v>0</v>
      </c>
      <c r="F446" s="2">
        <v>1</v>
      </c>
      <c r="G446" s="2">
        <v>0</v>
      </c>
      <c r="H446" s="2">
        <v>1</v>
      </c>
      <c r="I446" s="2">
        <v>1</v>
      </c>
      <c r="J446" s="2">
        <v>15</v>
      </c>
      <c r="K446" s="2">
        <v>5</v>
      </c>
      <c r="L446" s="2">
        <v>8</v>
      </c>
      <c r="M446" s="2">
        <v>12</v>
      </c>
      <c r="N446" s="2">
        <v>15</v>
      </c>
      <c r="O446" s="2">
        <v>0</v>
      </c>
      <c r="P446" s="2">
        <v>1</v>
      </c>
      <c r="Q446" s="2">
        <v>10</v>
      </c>
      <c r="R446" s="2">
        <v>11</v>
      </c>
      <c r="S446" s="2">
        <v>5</v>
      </c>
      <c r="T446" s="2">
        <v>2</v>
      </c>
      <c r="U446" s="11">
        <v>0.30291084895868198</v>
      </c>
      <c r="V446" s="11">
        <v>0.96306412067744696</v>
      </c>
      <c r="W446" s="11">
        <v>0.40019941545306398</v>
      </c>
      <c r="X446" s="11">
        <v>0.37798043978830698</v>
      </c>
      <c r="Y446" s="11">
        <v>0.86017635993689201</v>
      </c>
      <c r="Z446" s="11">
        <v>0.23243181165987301</v>
      </c>
      <c r="AA446" s="11">
        <v>1.05406228286464</v>
      </c>
      <c r="AB446" s="11">
        <v>0.97318359798230603</v>
      </c>
      <c r="AC446" s="11">
        <v>11.9213743986744</v>
      </c>
      <c r="AD446" s="11">
        <v>5.0451971751062796</v>
      </c>
      <c r="AE446" s="11">
        <v>9.6006521792081099</v>
      </c>
      <c r="AF446" s="11">
        <v>12.6982056989991</v>
      </c>
      <c r="AG446" s="11">
        <v>0.91879256581511404</v>
      </c>
      <c r="AH446" s="11">
        <v>7.8919057038512497</v>
      </c>
      <c r="AI446" s="11">
        <v>16.593940526486598</v>
      </c>
      <c r="AJ446" s="11">
        <v>3.0452736929492299</v>
      </c>
      <c r="AK446" s="16">
        <v>3.4214852609745798</v>
      </c>
      <c r="AL446" s="16">
        <v>13.1129406532347</v>
      </c>
      <c r="AM446" s="26">
        <v>2.16358830847579E-7</v>
      </c>
      <c r="AN446" s="27">
        <v>1.30400052105433E-6</v>
      </c>
      <c r="AO446" s="11">
        <v>0.64550110966515195</v>
      </c>
      <c r="AP446" s="11">
        <v>8.4644177426362592</v>
      </c>
      <c r="AQ446" t="s">
        <v>5874</v>
      </c>
      <c r="AR446" t="s">
        <v>5876</v>
      </c>
      <c r="AS446" t="s">
        <v>4243</v>
      </c>
    </row>
    <row r="447" spans="1:45">
      <c r="A447" t="s">
        <v>5710</v>
      </c>
      <c r="B447" s="2">
        <v>1.3120000000000001</v>
      </c>
      <c r="C447" s="2">
        <v>5.3120000000000003</v>
      </c>
      <c r="D447" s="2">
        <v>0.312</v>
      </c>
      <c r="E447" s="2">
        <v>0.312</v>
      </c>
      <c r="F447" s="2">
        <v>6.6230000000000002</v>
      </c>
      <c r="G447" s="2">
        <v>4</v>
      </c>
      <c r="H447" s="2">
        <v>0.312</v>
      </c>
      <c r="I447" s="2">
        <v>3.3119999999999998</v>
      </c>
      <c r="J447" s="2">
        <v>11.311999999999999</v>
      </c>
      <c r="K447" s="2">
        <v>1.3120000000000001</v>
      </c>
      <c r="L447" s="2">
        <v>19.312000000000001</v>
      </c>
      <c r="M447" s="2">
        <v>13.622999999999999</v>
      </c>
      <c r="N447" s="2">
        <v>10.311999999999999</v>
      </c>
      <c r="O447" s="2">
        <v>0.312</v>
      </c>
      <c r="P447" s="2">
        <v>1.3120000000000001</v>
      </c>
      <c r="Q447" s="2">
        <v>2.6230000000000002</v>
      </c>
      <c r="R447" s="2">
        <v>2.3119999999999998</v>
      </c>
      <c r="S447" s="2">
        <v>0.312</v>
      </c>
      <c r="T447" s="2">
        <v>3.3119999999999998</v>
      </c>
      <c r="U447" s="11">
        <v>1.5751364145851501</v>
      </c>
      <c r="V447" s="11">
        <v>5.1042398395904698</v>
      </c>
      <c r="W447" s="11">
        <v>0.48023929854367697</v>
      </c>
      <c r="X447" s="11">
        <v>0.45357652774596902</v>
      </c>
      <c r="Y447" s="11">
        <v>5.6771639755834897</v>
      </c>
      <c r="Z447" s="11">
        <v>3.7189089865579601</v>
      </c>
      <c r="AA447" s="11">
        <v>0.31621868485939197</v>
      </c>
      <c r="AB447" s="11">
        <v>3.21150587334161</v>
      </c>
      <c r="AC447" s="11">
        <v>8.9807687136680201</v>
      </c>
      <c r="AD447" s="11">
        <v>12.1715381849439</v>
      </c>
      <c r="AE447" s="11">
        <v>10.880739136435899</v>
      </c>
      <c r="AF447" s="11">
        <v>8.7194345799793904</v>
      </c>
      <c r="AG447" s="11">
        <v>1.1944303355596499</v>
      </c>
      <c r="AH447" s="11">
        <v>2.0518954830013301</v>
      </c>
      <c r="AI447" s="11">
        <v>3.4696421100835702</v>
      </c>
      <c r="AJ447" s="11">
        <v>5.0247015933662302</v>
      </c>
      <c r="AK447" s="16">
        <v>1.2545084943737199</v>
      </c>
      <c r="AL447" s="16">
        <v>2.5560294452782601</v>
      </c>
      <c r="AM447" s="26">
        <v>2.2897267618790001E-2</v>
      </c>
      <c r="AN447" s="27">
        <v>3.8903785247306401E-2</v>
      </c>
      <c r="AO447" s="11">
        <v>2.5671237001009599</v>
      </c>
      <c r="AP447" s="11">
        <v>6.5616437671297501</v>
      </c>
      <c r="AQ447" t="s">
        <v>5874</v>
      </c>
      <c r="AR447" t="s">
        <v>5878</v>
      </c>
      <c r="AS447" t="s">
        <v>5710</v>
      </c>
    </row>
    <row r="448" spans="1:45">
      <c r="A448" t="s">
        <v>504</v>
      </c>
      <c r="B448" s="2">
        <v>3</v>
      </c>
      <c r="C448" s="2">
        <v>0</v>
      </c>
      <c r="D448" s="2">
        <v>2</v>
      </c>
      <c r="E448" s="2">
        <v>0</v>
      </c>
      <c r="F448" s="2">
        <v>1</v>
      </c>
      <c r="G448" s="2">
        <v>2</v>
      </c>
      <c r="H448" s="2">
        <v>1</v>
      </c>
      <c r="I448" s="2">
        <v>0</v>
      </c>
      <c r="J448" s="2">
        <v>12</v>
      </c>
      <c r="K448" s="2">
        <v>3</v>
      </c>
      <c r="L448" s="2">
        <v>9</v>
      </c>
      <c r="M448" s="2">
        <v>13</v>
      </c>
      <c r="N448" s="2">
        <v>5</v>
      </c>
      <c r="O448" s="2">
        <v>0</v>
      </c>
      <c r="P448" s="2">
        <v>6</v>
      </c>
      <c r="Q448" s="2">
        <v>10</v>
      </c>
      <c r="R448" s="2">
        <v>5</v>
      </c>
      <c r="S448" s="2">
        <v>4</v>
      </c>
      <c r="T448" s="2">
        <v>11</v>
      </c>
      <c r="U448" s="11">
        <v>3.6349301875041902</v>
      </c>
      <c r="V448" s="11">
        <v>0.24076603016936199</v>
      </c>
      <c r="W448" s="11">
        <v>3.2015953236245198</v>
      </c>
      <c r="X448" s="11">
        <v>0.37798043978830698</v>
      </c>
      <c r="Y448" s="11">
        <v>0.86017635993689201</v>
      </c>
      <c r="Z448" s="11">
        <v>1.85945449327898</v>
      </c>
      <c r="AA448" s="11">
        <v>1.05406228286464</v>
      </c>
      <c r="AB448" s="11">
        <v>0.24329589949557701</v>
      </c>
      <c r="AC448" s="11">
        <v>9.53709951893949</v>
      </c>
      <c r="AD448" s="11">
        <v>5.6758468219945701</v>
      </c>
      <c r="AE448" s="11">
        <v>10.400706527475499</v>
      </c>
      <c r="AF448" s="11">
        <v>4.2327352329997003</v>
      </c>
      <c r="AG448" s="11">
        <v>5.5127553948906796</v>
      </c>
      <c r="AH448" s="11">
        <v>7.8919057038512497</v>
      </c>
      <c r="AI448" s="11">
        <v>7.5427002393121096</v>
      </c>
      <c r="AJ448" s="11">
        <v>16.749005311220799</v>
      </c>
      <c r="AK448" s="16">
        <v>2.50605091441557</v>
      </c>
      <c r="AL448" s="16">
        <v>5.8874841369616702</v>
      </c>
      <c r="AM448" s="26">
        <v>1.7387779208848999E-6</v>
      </c>
      <c r="AN448" s="27">
        <v>7.9132138032108503E-6</v>
      </c>
      <c r="AO448" s="11">
        <v>1.4340326270828101</v>
      </c>
      <c r="AP448" s="11">
        <v>8.4428443438355103</v>
      </c>
      <c r="AQ448" t="s">
        <v>5874</v>
      </c>
      <c r="AR448" t="s">
        <v>5876</v>
      </c>
      <c r="AS448" t="s">
        <v>504</v>
      </c>
    </row>
    <row r="449" spans="1:45">
      <c r="A449" t="s">
        <v>4497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2</v>
      </c>
      <c r="H449" s="2">
        <v>2</v>
      </c>
      <c r="I449" s="2">
        <v>14</v>
      </c>
      <c r="J449" s="2">
        <v>39</v>
      </c>
      <c r="K449" s="2">
        <v>0</v>
      </c>
      <c r="L449" s="2">
        <v>11</v>
      </c>
      <c r="M449" s="2">
        <v>1</v>
      </c>
      <c r="N449" s="2">
        <v>0</v>
      </c>
      <c r="O449" s="2">
        <v>2</v>
      </c>
      <c r="P449" s="2">
        <v>9</v>
      </c>
      <c r="Q449" s="2">
        <v>7</v>
      </c>
      <c r="R449" s="2">
        <v>0</v>
      </c>
      <c r="S449" s="2">
        <v>0</v>
      </c>
      <c r="T449" s="2">
        <v>0</v>
      </c>
      <c r="U449" s="11">
        <v>0.30291084895868198</v>
      </c>
      <c r="V449" s="11">
        <v>0.24076603016936199</v>
      </c>
      <c r="W449" s="11">
        <v>0.40019941545306398</v>
      </c>
      <c r="X449" s="11">
        <v>0.37798043978830698</v>
      </c>
      <c r="Y449" s="11">
        <v>0.215044089984223</v>
      </c>
      <c r="Z449" s="11">
        <v>1.85945449327898</v>
      </c>
      <c r="AA449" s="11">
        <v>2.10812456572928</v>
      </c>
      <c r="AB449" s="11">
        <v>13.6245703717523</v>
      </c>
      <c r="AC449" s="11">
        <v>30.9955734365533</v>
      </c>
      <c r="AD449" s="11">
        <v>6.9371461157711396</v>
      </c>
      <c r="AE449" s="11">
        <v>0.80005434826734301</v>
      </c>
      <c r="AF449" s="11">
        <v>0.21163676164998499</v>
      </c>
      <c r="AG449" s="11">
        <v>8.2691330923360304</v>
      </c>
      <c r="AH449" s="11">
        <v>5.5243339926958699</v>
      </c>
      <c r="AI449" s="11">
        <v>0.377135011965606</v>
      </c>
      <c r="AJ449" s="11">
        <v>0.38065921161865401</v>
      </c>
      <c r="AK449" s="16">
        <v>1.4237457746580899</v>
      </c>
      <c r="AL449" s="16">
        <v>2.79656706723094</v>
      </c>
      <c r="AM449" s="26">
        <v>0.13926843076360701</v>
      </c>
      <c r="AN449" s="27">
        <v>0.18975678244572899</v>
      </c>
      <c r="AO449" s="11">
        <v>2.3911312818892698</v>
      </c>
      <c r="AP449" s="11">
        <v>6.6869589963572498</v>
      </c>
      <c r="AQ449" t="s">
        <v>5874</v>
      </c>
      <c r="AR449" t="s">
        <v>5832</v>
      </c>
      <c r="AS449" t="s">
        <v>4497</v>
      </c>
    </row>
    <row r="450" spans="1:45">
      <c r="A450" t="s">
        <v>4697</v>
      </c>
      <c r="B450" s="2">
        <v>4</v>
      </c>
      <c r="C450" s="2">
        <v>9</v>
      </c>
      <c r="D450" s="2">
        <v>10</v>
      </c>
      <c r="E450" s="2">
        <v>4</v>
      </c>
      <c r="F450" s="2">
        <v>15</v>
      </c>
      <c r="G450" s="2">
        <v>21</v>
      </c>
      <c r="H450" s="2">
        <v>16</v>
      </c>
      <c r="I450" s="2">
        <v>8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11">
        <v>4.8465735833389196</v>
      </c>
      <c r="V450" s="11">
        <v>8.6675770860970207</v>
      </c>
      <c r="W450" s="11">
        <v>16.007976618122601</v>
      </c>
      <c r="X450" s="11">
        <v>6.0476870366129196</v>
      </c>
      <c r="Y450" s="11">
        <v>12.9026453990534</v>
      </c>
      <c r="Z450" s="11">
        <v>19.5242721794293</v>
      </c>
      <c r="AA450" s="11">
        <v>16.8649965258343</v>
      </c>
      <c r="AB450" s="11">
        <v>7.78546878385845</v>
      </c>
      <c r="AC450" s="11">
        <v>0.19868957331123899</v>
      </c>
      <c r="AD450" s="11">
        <v>0.15766241172207099</v>
      </c>
      <c r="AE450" s="11">
        <v>0.200013587066836</v>
      </c>
      <c r="AF450" s="11">
        <v>0.21163676164998499</v>
      </c>
      <c r="AG450" s="11">
        <v>0.22969814145377901</v>
      </c>
      <c r="AH450" s="11">
        <v>0.19729764259628099</v>
      </c>
      <c r="AI450" s="11">
        <v>0.377135011965606</v>
      </c>
      <c r="AJ450" s="11">
        <v>0.38065921161865401</v>
      </c>
      <c r="AK450" s="16">
        <v>-5.0843348894523004</v>
      </c>
      <c r="AL450" s="16">
        <v>-47.443445597837403</v>
      </c>
      <c r="AM450" s="26">
        <v>1.18075063488082E-14</v>
      </c>
      <c r="AN450" s="27">
        <v>5.6423012481090399E-13</v>
      </c>
      <c r="AO450" s="11">
        <v>11.580899651543399</v>
      </c>
      <c r="AP450" s="11">
        <v>0.24409904267305599</v>
      </c>
      <c r="AQ450" t="s">
        <v>5875</v>
      </c>
      <c r="AR450" t="s">
        <v>5876</v>
      </c>
      <c r="AS450" t="s">
        <v>4697</v>
      </c>
    </row>
    <row r="451" spans="1:45">
      <c r="A451" t="s">
        <v>3654</v>
      </c>
      <c r="B451" s="2">
        <v>0</v>
      </c>
      <c r="C451" s="2">
        <v>4</v>
      </c>
      <c r="D451" s="2">
        <v>0</v>
      </c>
      <c r="E451" s="2">
        <v>0</v>
      </c>
      <c r="F451" s="2">
        <v>23.561</v>
      </c>
      <c r="G451" s="2">
        <v>23</v>
      </c>
      <c r="H451" s="2">
        <v>15.555999999999999</v>
      </c>
      <c r="I451" s="2">
        <v>5</v>
      </c>
      <c r="J451" s="2">
        <v>1</v>
      </c>
      <c r="K451" s="2">
        <v>0</v>
      </c>
      <c r="L451" s="2">
        <v>2</v>
      </c>
      <c r="M451" s="2">
        <v>2</v>
      </c>
      <c r="N451" s="2">
        <v>9</v>
      </c>
      <c r="O451" s="2">
        <v>0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s="11">
        <v>0.30291084895868198</v>
      </c>
      <c r="V451" s="11">
        <v>3.85225648270979</v>
      </c>
      <c r="W451" s="11">
        <v>0.40019941545306398</v>
      </c>
      <c r="X451" s="11">
        <v>0.37798043978830698</v>
      </c>
      <c r="Y451" s="11">
        <v>20.3001620945107</v>
      </c>
      <c r="Z451" s="11">
        <v>21.383726672708299</v>
      </c>
      <c r="AA451" s="11">
        <v>16.443371612688399</v>
      </c>
      <c r="AB451" s="11">
        <v>4.8659179899115301</v>
      </c>
      <c r="AC451" s="11">
        <v>0.79475829324495695</v>
      </c>
      <c r="AD451" s="11">
        <v>1.2612992937765699</v>
      </c>
      <c r="AE451" s="11">
        <v>1.60010869653469</v>
      </c>
      <c r="AF451" s="11">
        <v>7.6189234193994704</v>
      </c>
      <c r="AG451" s="11">
        <v>0.22969814145377901</v>
      </c>
      <c r="AH451" s="11">
        <v>0.19729764259628099</v>
      </c>
      <c r="AI451" s="11">
        <v>1.50854004786242</v>
      </c>
      <c r="AJ451" s="11">
        <v>0.38065921161865401</v>
      </c>
      <c r="AK451" s="16">
        <v>-2.2424493782929198</v>
      </c>
      <c r="AL451" s="16">
        <v>-4.9978001950321103</v>
      </c>
      <c r="AM451" s="26">
        <v>6.9396482031514701E-3</v>
      </c>
      <c r="AN451" s="27">
        <v>1.3302649420940799E-2</v>
      </c>
      <c r="AO451" s="11">
        <v>8.49081569459109</v>
      </c>
      <c r="AP451" s="11">
        <v>1.6989105933108499</v>
      </c>
      <c r="AQ451" t="s">
        <v>5875</v>
      </c>
      <c r="AR451" t="s">
        <v>5878</v>
      </c>
      <c r="AS451" t="s">
        <v>3654</v>
      </c>
    </row>
    <row r="452" spans="1:45">
      <c r="A452" t="s">
        <v>4417</v>
      </c>
      <c r="B452" s="2">
        <v>1</v>
      </c>
      <c r="C452" s="2">
        <v>3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1</v>
      </c>
      <c r="J452" s="2">
        <v>15</v>
      </c>
      <c r="K452" s="2">
        <v>13</v>
      </c>
      <c r="L452" s="2">
        <v>7</v>
      </c>
      <c r="M452" s="2">
        <v>4.0069999999999997</v>
      </c>
      <c r="N452" s="2">
        <v>6</v>
      </c>
      <c r="O452" s="2">
        <v>9</v>
      </c>
      <c r="P452" s="2">
        <v>11</v>
      </c>
      <c r="Q452" s="2">
        <v>6</v>
      </c>
      <c r="R452" s="2">
        <v>4</v>
      </c>
      <c r="S452" s="2">
        <v>3</v>
      </c>
      <c r="T452" s="2">
        <v>2</v>
      </c>
      <c r="U452" s="11">
        <v>1.2116433958347299</v>
      </c>
      <c r="V452" s="11">
        <v>2.8891923620323401</v>
      </c>
      <c r="W452" s="11">
        <v>1.6007976618122599</v>
      </c>
      <c r="X452" s="11">
        <v>0.37798043978830698</v>
      </c>
      <c r="Y452" s="11">
        <v>0.215044089984223</v>
      </c>
      <c r="Z452" s="11">
        <v>0.23243181165987301</v>
      </c>
      <c r="AA452" s="11">
        <v>0.26351557071616</v>
      </c>
      <c r="AB452" s="11">
        <v>0.97318359798230603</v>
      </c>
      <c r="AC452" s="11">
        <v>11.9213743986744</v>
      </c>
      <c r="AD452" s="11">
        <v>4.4145475282179998</v>
      </c>
      <c r="AE452" s="11">
        <v>3.2002173930693698</v>
      </c>
      <c r="AF452" s="11">
        <v>5.0792822795996404</v>
      </c>
      <c r="AG452" s="11">
        <v>10.1067182239663</v>
      </c>
      <c r="AH452" s="11">
        <v>4.7351434223107498</v>
      </c>
      <c r="AI452" s="11">
        <v>6.0341601914496898</v>
      </c>
      <c r="AJ452" s="11">
        <v>3.0452736929492299</v>
      </c>
      <c r="AK452" s="16">
        <v>2.5380263839303101</v>
      </c>
      <c r="AL452" s="16">
        <v>6.2516791181524196</v>
      </c>
      <c r="AM452" s="26">
        <v>1.00347156255118E-5</v>
      </c>
      <c r="AN452" s="27">
        <v>3.6684288270313798E-5</v>
      </c>
      <c r="AO452" s="11">
        <v>0.97047361622627504</v>
      </c>
      <c r="AP452" s="11">
        <v>6.0670896412796598</v>
      </c>
      <c r="AQ452" t="s">
        <v>5874</v>
      </c>
      <c r="AR452" t="s">
        <v>5876</v>
      </c>
      <c r="AS452" t="s">
        <v>4417</v>
      </c>
    </row>
    <row r="453" spans="1:45">
      <c r="A453" t="s">
        <v>714</v>
      </c>
      <c r="B453" s="2">
        <v>2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3</v>
      </c>
      <c r="J453" s="2">
        <v>5</v>
      </c>
      <c r="K453" s="2">
        <v>9</v>
      </c>
      <c r="L453" s="2">
        <v>10</v>
      </c>
      <c r="M453" s="2">
        <v>8</v>
      </c>
      <c r="N453" s="2">
        <v>11</v>
      </c>
      <c r="O453" s="2">
        <v>7</v>
      </c>
      <c r="P453" s="2">
        <v>5</v>
      </c>
      <c r="Q453" s="2">
        <v>10</v>
      </c>
      <c r="R453" s="2">
        <v>3</v>
      </c>
      <c r="S453" s="2">
        <v>4</v>
      </c>
      <c r="T453" s="2">
        <v>8</v>
      </c>
      <c r="U453" s="11">
        <v>2.4232867916694598</v>
      </c>
      <c r="V453" s="11">
        <v>0.96306412067744696</v>
      </c>
      <c r="W453" s="11">
        <v>0.40019941545306398</v>
      </c>
      <c r="X453" s="11">
        <v>0.37798043978830698</v>
      </c>
      <c r="Y453" s="11">
        <v>0.215044089984223</v>
      </c>
      <c r="Z453" s="11">
        <v>0.23243181165987301</v>
      </c>
      <c r="AA453" s="11">
        <v>0.26351557071616</v>
      </c>
      <c r="AB453" s="11">
        <v>2.9195507939469199</v>
      </c>
      <c r="AC453" s="11">
        <v>3.9737914662247902</v>
      </c>
      <c r="AD453" s="11">
        <v>6.3064964688828598</v>
      </c>
      <c r="AE453" s="11">
        <v>6.4004347861387396</v>
      </c>
      <c r="AF453" s="11">
        <v>9.3120175125993505</v>
      </c>
      <c r="AG453" s="11">
        <v>4.5939628290755703</v>
      </c>
      <c r="AH453" s="11">
        <v>7.8919057038512497</v>
      </c>
      <c r="AI453" s="11">
        <v>4.5256201435872701</v>
      </c>
      <c r="AJ453" s="11">
        <v>12.1810947717969</v>
      </c>
      <c r="AK453" s="16">
        <v>2.6402988009116202</v>
      </c>
      <c r="AL453" s="16">
        <v>7.0795133595533297</v>
      </c>
      <c r="AM453" s="26">
        <v>5.9747768331108496E-7</v>
      </c>
      <c r="AN453" s="27">
        <v>3.1723219851993298E-6</v>
      </c>
      <c r="AO453" s="11">
        <v>0.97438412923693096</v>
      </c>
      <c r="AP453" s="11">
        <v>6.8981654602695901</v>
      </c>
      <c r="AQ453" t="s">
        <v>5874</v>
      </c>
      <c r="AR453" t="s">
        <v>5876</v>
      </c>
      <c r="AS453" t="s">
        <v>714</v>
      </c>
    </row>
    <row r="454" spans="1:45">
      <c r="A454" t="s">
        <v>4432</v>
      </c>
      <c r="B454" s="2">
        <v>3</v>
      </c>
      <c r="C454" s="2">
        <v>4</v>
      </c>
      <c r="D454" s="2">
        <v>11</v>
      </c>
      <c r="E454" s="2">
        <v>15</v>
      </c>
      <c r="F454" s="2">
        <v>9</v>
      </c>
      <c r="G454" s="2">
        <v>12</v>
      </c>
      <c r="H454" s="2">
        <v>8</v>
      </c>
      <c r="I454" s="2">
        <v>8</v>
      </c>
      <c r="J454" s="2">
        <v>0</v>
      </c>
      <c r="K454" s="2">
        <v>0</v>
      </c>
      <c r="L454" s="2">
        <v>4</v>
      </c>
      <c r="M454" s="2">
        <v>3</v>
      </c>
      <c r="N454" s="2">
        <v>2</v>
      </c>
      <c r="O454" s="2">
        <v>0</v>
      </c>
      <c r="P454" s="2">
        <v>0</v>
      </c>
      <c r="Q454" s="2">
        <v>0</v>
      </c>
      <c r="R454" s="2">
        <v>6</v>
      </c>
      <c r="S454" s="2">
        <v>0</v>
      </c>
      <c r="T454" s="2">
        <v>1</v>
      </c>
      <c r="U454" s="11">
        <v>3.6349301875041902</v>
      </c>
      <c r="V454" s="11">
        <v>3.85225648270979</v>
      </c>
      <c r="W454" s="11">
        <v>17.608774279934799</v>
      </c>
      <c r="X454" s="11">
        <v>22.6788263872984</v>
      </c>
      <c r="Y454" s="11">
        <v>7.7415872394320298</v>
      </c>
      <c r="Z454" s="11">
        <v>11.1567269596739</v>
      </c>
      <c r="AA454" s="11">
        <v>8.4324982629171306</v>
      </c>
      <c r="AB454" s="11">
        <v>7.78546878385845</v>
      </c>
      <c r="AC454" s="11">
        <v>0.19868957331123899</v>
      </c>
      <c r="AD454" s="11">
        <v>2.5225985875531398</v>
      </c>
      <c r="AE454" s="11">
        <v>2.4001630448020301</v>
      </c>
      <c r="AF454" s="11">
        <v>1.6930940931998799</v>
      </c>
      <c r="AG454" s="11">
        <v>0.22969814145377901</v>
      </c>
      <c r="AH454" s="11">
        <v>0.19729764259628099</v>
      </c>
      <c r="AI454" s="11">
        <v>9.0512402871745401</v>
      </c>
      <c r="AJ454" s="11">
        <v>1.5226368464746201</v>
      </c>
      <c r="AK454" s="16">
        <v>-2.2744662728596099</v>
      </c>
      <c r="AL454" s="16">
        <v>-4.65277141269988</v>
      </c>
      <c r="AM454" s="26">
        <v>1.95726204090455E-4</v>
      </c>
      <c r="AN454" s="27">
        <v>5.1755268986764598E-4</v>
      </c>
      <c r="AO454" s="11">
        <v>10.3613835729161</v>
      </c>
      <c r="AP454" s="11">
        <v>2.2269272770706898</v>
      </c>
      <c r="AQ454" t="s">
        <v>5875</v>
      </c>
      <c r="AR454" t="s">
        <v>5876</v>
      </c>
      <c r="AS454" t="s">
        <v>4432</v>
      </c>
    </row>
    <row r="455" spans="1:45">
      <c r="A455" t="s">
        <v>2754</v>
      </c>
      <c r="B455" s="2">
        <v>2</v>
      </c>
      <c r="C455" s="2">
        <v>9</v>
      </c>
      <c r="D455" s="2">
        <v>0</v>
      </c>
      <c r="E455" s="2">
        <v>2</v>
      </c>
      <c r="F455" s="2">
        <v>6</v>
      </c>
      <c r="G455" s="2">
        <v>2</v>
      </c>
      <c r="H455" s="2">
        <v>2</v>
      </c>
      <c r="I455" s="2">
        <v>14</v>
      </c>
      <c r="J455" s="2">
        <v>1</v>
      </c>
      <c r="K455" s="2">
        <v>0</v>
      </c>
      <c r="L455" s="2">
        <v>15</v>
      </c>
      <c r="M455" s="2">
        <v>8</v>
      </c>
      <c r="N455" s="2">
        <v>3</v>
      </c>
      <c r="O455" s="2">
        <v>0</v>
      </c>
      <c r="P455" s="2">
        <v>8</v>
      </c>
      <c r="Q455" s="2">
        <v>13</v>
      </c>
      <c r="R455" s="2">
        <v>0</v>
      </c>
      <c r="S455" s="2">
        <v>0</v>
      </c>
      <c r="T455" s="2">
        <v>0</v>
      </c>
      <c r="U455" s="11">
        <v>2.4232867916694598</v>
      </c>
      <c r="V455" s="11">
        <v>8.6675770860970207</v>
      </c>
      <c r="W455" s="11">
        <v>0.40019941545306398</v>
      </c>
      <c r="X455" s="11">
        <v>3.0238435183064598</v>
      </c>
      <c r="Y455" s="11">
        <v>5.1610581596213496</v>
      </c>
      <c r="Z455" s="11">
        <v>1.85945449327898</v>
      </c>
      <c r="AA455" s="11">
        <v>2.10812456572928</v>
      </c>
      <c r="AB455" s="11">
        <v>13.6245703717523</v>
      </c>
      <c r="AC455" s="11">
        <v>0.79475829324495695</v>
      </c>
      <c r="AD455" s="11">
        <v>9.4597447033242794</v>
      </c>
      <c r="AE455" s="11">
        <v>6.4004347861387396</v>
      </c>
      <c r="AF455" s="11">
        <v>2.5396411397998202</v>
      </c>
      <c r="AG455" s="11">
        <v>7.3503405265209096</v>
      </c>
      <c r="AH455" s="11">
        <v>10.2594774150066</v>
      </c>
      <c r="AI455" s="11">
        <v>0.377135011965606</v>
      </c>
      <c r="AJ455" s="11">
        <v>0.38065921161865401</v>
      </c>
      <c r="AK455" s="16">
        <v>3.3417587121067897E-2</v>
      </c>
      <c r="AL455" s="16">
        <v>1.0078908388693999</v>
      </c>
      <c r="AM455" s="26">
        <v>0.999999999999997</v>
      </c>
      <c r="AN455" s="27">
        <v>1</v>
      </c>
      <c r="AO455" s="11">
        <v>4.6585143002384903</v>
      </c>
      <c r="AP455" s="11">
        <v>4.6952738859524503</v>
      </c>
      <c r="AQ455" t="s">
        <v>5874</v>
      </c>
      <c r="AR455" t="s">
        <v>5832</v>
      </c>
      <c r="AS455" t="s">
        <v>2754</v>
      </c>
    </row>
    <row r="456" spans="1:45">
      <c r="A456" t="s">
        <v>1646</v>
      </c>
      <c r="B456" s="2">
        <v>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15</v>
      </c>
      <c r="K456" s="2">
        <v>6</v>
      </c>
      <c r="L456" s="2">
        <v>7</v>
      </c>
      <c r="M456" s="2">
        <v>13</v>
      </c>
      <c r="N456" s="2">
        <v>11</v>
      </c>
      <c r="O456" s="2">
        <v>1</v>
      </c>
      <c r="P456" s="2">
        <v>3</v>
      </c>
      <c r="Q456" s="2">
        <v>10</v>
      </c>
      <c r="R456" s="2">
        <v>4</v>
      </c>
      <c r="S456" s="2">
        <v>2</v>
      </c>
      <c r="T456" s="2">
        <v>8</v>
      </c>
      <c r="U456" s="11">
        <v>4.8465735833389196</v>
      </c>
      <c r="V456" s="11">
        <v>0.24076603016936199</v>
      </c>
      <c r="W456" s="11">
        <v>0.40019941545306398</v>
      </c>
      <c r="X456" s="11">
        <v>0.37798043978830698</v>
      </c>
      <c r="Y456" s="11">
        <v>0.215044089984223</v>
      </c>
      <c r="Z456" s="11">
        <v>0.23243181165987301</v>
      </c>
      <c r="AA456" s="11">
        <v>0.26351557071616</v>
      </c>
      <c r="AB456" s="11">
        <v>0.24329589949557701</v>
      </c>
      <c r="AC456" s="11">
        <v>11.9213743986744</v>
      </c>
      <c r="AD456" s="11">
        <v>4.4145475282179998</v>
      </c>
      <c r="AE456" s="11">
        <v>10.400706527475499</v>
      </c>
      <c r="AF456" s="11">
        <v>9.3120175125993505</v>
      </c>
      <c r="AG456" s="11">
        <v>2.7563776974453398</v>
      </c>
      <c r="AH456" s="11">
        <v>7.8919057038512497</v>
      </c>
      <c r="AI456" s="11">
        <v>6.0341601914496898</v>
      </c>
      <c r="AJ456" s="11">
        <v>12.1810947717969</v>
      </c>
      <c r="AK456" s="16">
        <v>3.1558653489597601</v>
      </c>
      <c r="AL456" s="16">
        <v>9.5181851698525897</v>
      </c>
      <c r="AM456" s="26">
        <v>2.5325536543746901E-7</v>
      </c>
      <c r="AN456" s="27">
        <v>1.4950778815146001E-6</v>
      </c>
      <c r="AO456" s="11">
        <v>0.85247585507568502</v>
      </c>
      <c r="AP456" s="11">
        <v>8.1140230414388004</v>
      </c>
      <c r="AQ456" t="s">
        <v>5874</v>
      </c>
      <c r="AR456" t="s">
        <v>5876</v>
      </c>
      <c r="AS456" t="s">
        <v>1646</v>
      </c>
    </row>
    <row r="457" spans="1:45">
      <c r="A457" t="s">
        <v>4471</v>
      </c>
      <c r="B457" s="2">
        <v>5</v>
      </c>
      <c r="C457" s="2">
        <v>9</v>
      </c>
      <c r="D457" s="2">
        <v>8</v>
      </c>
      <c r="E457" s="2">
        <v>12</v>
      </c>
      <c r="F457" s="2">
        <v>13</v>
      </c>
      <c r="G457" s="2">
        <v>6</v>
      </c>
      <c r="H457" s="2">
        <v>9</v>
      </c>
      <c r="I457" s="2">
        <v>3</v>
      </c>
      <c r="J457" s="2">
        <v>1</v>
      </c>
      <c r="K457" s="2">
        <v>0</v>
      </c>
      <c r="L457" s="2">
        <v>4</v>
      </c>
      <c r="M457" s="2">
        <v>3</v>
      </c>
      <c r="N457" s="2">
        <v>0</v>
      </c>
      <c r="O457" s="2">
        <v>0</v>
      </c>
      <c r="P457" s="2">
        <v>1</v>
      </c>
      <c r="Q457" s="2">
        <v>4</v>
      </c>
      <c r="R457" s="2">
        <v>2</v>
      </c>
      <c r="S457" s="2">
        <v>2</v>
      </c>
      <c r="T457" s="2">
        <v>1</v>
      </c>
      <c r="U457" s="11">
        <v>6.0582169791736504</v>
      </c>
      <c r="V457" s="11">
        <v>8.6675770860970207</v>
      </c>
      <c r="W457" s="11">
        <v>12.806381294498101</v>
      </c>
      <c r="X457" s="11">
        <v>18.143061109838801</v>
      </c>
      <c r="Y457" s="11">
        <v>11.1822926791796</v>
      </c>
      <c r="Z457" s="11">
        <v>5.5783634798369501</v>
      </c>
      <c r="AA457" s="11">
        <v>9.4865605457817708</v>
      </c>
      <c r="AB457" s="11">
        <v>2.9195507939469199</v>
      </c>
      <c r="AC457" s="11">
        <v>0.79475829324495695</v>
      </c>
      <c r="AD457" s="11">
        <v>2.5225985875531398</v>
      </c>
      <c r="AE457" s="11">
        <v>2.4001630448020301</v>
      </c>
      <c r="AF457" s="11">
        <v>0.21163676164998499</v>
      </c>
      <c r="AG457" s="11">
        <v>0.91879256581511404</v>
      </c>
      <c r="AH457" s="11">
        <v>3.1567622815404999</v>
      </c>
      <c r="AI457" s="11">
        <v>3.0170800957248498</v>
      </c>
      <c r="AJ457" s="11">
        <v>1.5226368464746201</v>
      </c>
      <c r="AK457" s="16">
        <v>-2.2570857423433202</v>
      </c>
      <c r="AL457" s="16">
        <v>-5.1457507655049799</v>
      </c>
      <c r="AM457" s="26">
        <v>3.4224142119025399E-6</v>
      </c>
      <c r="AN457" s="27">
        <v>1.4309969423517501E-5</v>
      </c>
      <c r="AO457" s="11">
        <v>9.3552504960440892</v>
      </c>
      <c r="AP457" s="11">
        <v>1.81805355960065</v>
      </c>
      <c r="AQ457" t="s">
        <v>5875</v>
      </c>
      <c r="AR457" t="s">
        <v>5876</v>
      </c>
      <c r="AS457" t="s">
        <v>4471</v>
      </c>
    </row>
    <row r="458" spans="1:45">
      <c r="A458" t="s">
        <v>4986</v>
      </c>
      <c r="B458" s="2">
        <v>4</v>
      </c>
      <c r="C458" s="2">
        <v>10</v>
      </c>
      <c r="D458" s="2">
        <v>6</v>
      </c>
      <c r="E458" s="2">
        <v>8</v>
      </c>
      <c r="F458" s="2">
        <v>9</v>
      </c>
      <c r="G458" s="2">
        <v>5</v>
      </c>
      <c r="H458" s="2">
        <v>8</v>
      </c>
      <c r="I458" s="2">
        <v>7</v>
      </c>
      <c r="J458" s="2">
        <v>1</v>
      </c>
      <c r="K458" s="2">
        <v>0</v>
      </c>
      <c r="L458" s="2">
        <v>3</v>
      </c>
      <c r="M458" s="2">
        <v>2</v>
      </c>
      <c r="N458" s="2">
        <v>4</v>
      </c>
      <c r="O458" s="2">
        <v>1</v>
      </c>
      <c r="P458" s="2">
        <v>2</v>
      </c>
      <c r="Q458" s="2">
        <v>4</v>
      </c>
      <c r="R458" s="2">
        <v>6</v>
      </c>
      <c r="S458" s="2">
        <v>0</v>
      </c>
      <c r="T458" s="2">
        <v>3</v>
      </c>
      <c r="U458" s="11">
        <v>4.8465735833389196</v>
      </c>
      <c r="V458" s="11">
        <v>9.6306412067744702</v>
      </c>
      <c r="W458" s="11">
        <v>9.6047859708735501</v>
      </c>
      <c r="X458" s="11">
        <v>12.0953740732258</v>
      </c>
      <c r="Y458" s="11">
        <v>7.7415872394320298</v>
      </c>
      <c r="Z458" s="11">
        <v>4.6486362331974602</v>
      </c>
      <c r="AA458" s="11">
        <v>8.4324982629171306</v>
      </c>
      <c r="AB458" s="11">
        <v>6.8122851858761404</v>
      </c>
      <c r="AC458" s="11">
        <v>0.79475829324495695</v>
      </c>
      <c r="AD458" s="11">
        <v>1.89194894066486</v>
      </c>
      <c r="AE458" s="11">
        <v>1.60010869653469</v>
      </c>
      <c r="AF458" s="11">
        <v>3.3861881863997598</v>
      </c>
      <c r="AG458" s="11">
        <v>1.8375851316302301</v>
      </c>
      <c r="AH458" s="11">
        <v>3.1567622815404999</v>
      </c>
      <c r="AI458" s="11">
        <v>9.0512402871745401</v>
      </c>
      <c r="AJ458" s="11">
        <v>4.5679105394238499</v>
      </c>
      <c r="AK458" s="16">
        <v>-1.3935727732196901</v>
      </c>
      <c r="AL458" s="16">
        <v>-2.42757217715506</v>
      </c>
      <c r="AM458" s="26">
        <v>2.0309869071483198E-3</v>
      </c>
      <c r="AN458" s="27">
        <v>4.2997792432981803E-3</v>
      </c>
      <c r="AO458" s="11">
        <v>7.9765477194544401</v>
      </c>
      <c r="AP458" s="11">
        <v>3.2858127945766702</v>
      </c>
      <c r="AQ458" t="s">
        <v>5875</v>
      </c>
      <c r="AR458" t="s">
        <v>5876</v>
      </c>
      <c r="AS458" t="s">
        <v>4986</v>
      </c>
    </row>
    <row r="459" spans="1:45">
      <c r="A459" t="s">
        <v>5598</v>
      </c>
      <c r="B459" s="2">
        <v>0</v>
      </c>
      <c r="C459" s="2">
        <v>4</v>
      </c>
      <c r="D459" s="2">
        <v>1</v>
      </c>
      <c r="E459" s="2">
        <v>3</v>
      </c>
      <c r="F459" s="2">
        <v>2</v>
      </c>
      <c r="G459" s="2">
        <v>2</v>
      </c>
      <c r="H459" s="2">
        <v>0</v>
      </c>
      <c r="I459" s="2">
        <v>2</v>
      </c>
      <c r="J459" s="2">
        <v>2</v>
      </c>
      <c r="K459" s="2">
        <v>1</v>
      </c>
      <c r="L459" s="2">
        <v>11</v>
      </c>
      <c r="M459" s="2">
        <v>27</v>
      </c>
      <c r="N459" s="2">
        <v>3</v>
      </c>
      <c r="O459" s="2">
        <v>1</v>
      </c>
      <c r="P459" s="2">
        <v>6</v>
      </c>
      <c r="Q459" s="2">
        <v>14</v>
      </c>
      <c r="R459" s="2">
        <v>3</v>
      </c>
      <c r="S459" s="2">
        <v>0</v>
      </c>
      <c r="T459" s="2">
        <v>1</v>
      </c>
      <c r="U459" s="11">
        <v>0.30291084895868198</v>
      </c>
      <c r="V459" s="11">
        <v>3.85225648270979</v>
      </c>
      <c r="W459" s="11">
        <v>1.6007976618122599</v>
      </c>
      <c r="X459" s="11">
        <v>4.5357652774596904</v>
      </c>
      <c r="Y459" s="11">
        <v>1.72035271987378</v>
      </c>
      <c r="Z459" s="11">
        <v>1.85945449327898</v>
      </c>
      <c r="AA459" s="11">
        <v>0.26351557071616</v>
      </c>
      <c r="AB459" s="11">
        <v>1.9463671959646101</v>
      </c>
      <c r="AC459" s="11">
        <v>1.5895165864899099</v>
      </c>
      <c r="AD459" s="11">
        <v>6.9371461157711396</v>
      </c>
      <c r="AE459" s="11">
        <v>21.601467403218301</v>
      </c>
      <c r="AF459" s="11">
        <v>2.5396411397998202</v>
      </c>
      <c r="AG459" s="11">
        <v>5.5127553948906796</v>
      </c>
      <c r="AH459" s="11">
        <v>11.048667985391701</v>
      </c>
      <c r="AI459" s="11">
        <v>4.5256201435872701</v>
      </c>
      <c r="AJ459" s="11">
        <v>1.5226368464746201</v>
      </c>
      <c r="AK459" s="16">
        <v>1.7730927652869799</v>
      </c>
      <c r="AL459" s="16">
        <v>3.43734886307465</v>
      </c>
      <c r="AM459" s="26">
        <v>5.5845520447843997E-3</v>
      </c>
      <c r="AN459" s="27">
        <v>1.0892318711255899E-2</v>
      </c>
      <c r="AO459" s="11">
        <v>2.01017753134674</v>
      </c>
      <c r="AP459" s="11">
        <v>6.9096814519529302</v>
      </c>
      <c r="AQ459" t="s">
        <v>5874</v>
      </c>
      <c r="AR459" t="s">
        <v>5878</v>
      </c>
      <c r="AS459" t="s">
        <v>5598</v>
      </c>
    </row>
    <row r="460" spans="1:45">
      <c r="A460" t="s">
        <v>3530</v>
      </c>
      <c r="B460" s="2">
        <v>0.5</v>
      </c>
      <c r="C460" s="2">
        <v>7.8609999999999998</v>
      </c>
      <c r="D460" s="2">
        <v>0.5</v>
      </c>
      <c r="E460" s="2">
        <v>0</v>
      </c>
      <c r="F460" s="2">
        <v>3.4449999999999998</v>
      </c>
      <c r="G460" s="2">
        <v>4.5750000000000002</v>
      </c>
      <c r="H460" s="2">
        <v>3.41</v>
      </c>
      <c r="I460" s="2">
        <v>0.5</v>
      </c>
      <c r="J460" s="2">
        <v>6.4260000000000002</v>
      </c>
      <c r="K460" s="2">
        <v>0.5</v>
      </c>
      <c r="L460" s="2">
        <v>15.429</v>
      </c>
      <c r="M460" s="2">
        <v>10.135999999999999</v>
      </c>
      <c r="N460" s="2">
        <v>12.75</v>
      </c>
      <c r="O460" s="2">
        <v>5.6</v>
      </c>
      <c r="P460" s="2">
        <v>7.524</v>
      </c>
      <c r="Q460" s="2">
        <v>0.5</v>
      </c>
      <c r="R460" s="2">
        <v>3</v>
      </c>
      <c r="S460" s="2">
        <v>0.2</v>
      </c>
      <c r="T460" s="2">
        <v>0</v>
      </c>
      <c r="U460" s="11">
        <v>0.60582169791736495</v>
      </c>
      <c r="V460" s="11">
        <v>7.6082065533518302</v>
      </c>
      <c r="W460" s="11">
        <v>0.80039883090612896</v>
      </c>
      <c r="X460" s="11">
        <v>0.37798043978830698</v>
      </c>
      <c r="Y460" s="11">
        <v>2.9245996237854301</v>
      </c>
      <c r="Z460" s="11">
        <v>4.2767453345416602</v>
      </c>
      <c r="AA460" s="11">
        <v>3.58381176173978</v>
      </c>
      <c r="AB460" s="11">
        <v>0.48659179899115301</v>
      </c>
      <c r="AC460" s="11">
        <v>5.0864530767677296</v>
      </c>
      <c r="AD460" s="11">
        <v>9.7120045620795992</v>
      </c>
      <c r="AE460" s="11">
        <v>8.0805489175001597</v>
      </c>
      <c r="AF460" s="11">
        <v>10.8358021964792</v>
      </c>
      <c r="AG460" s="11">
        <v>6.8909442436133599</v>
      </c>
      <c r="AH460" s="11">
        <v>0.39459528519256198</v>
      </c>
      <c r="AI460" s="11">
        <v>4.5256201435872701</v>
      </c>
      <c r="AJ460" s="11">
        <v>0.38065921161865401</v>
      </c>
      <c r="AK460" s="16">
        <v>1.0817736517938901</v>
      </c>
      <c r="AL460" s="16">
        <v>2.2215583131344201</v>
      </c>
      <c r="AM460" s="26">
        <v>8.5982942668806905E-2</v>
      </c>
      <c r="AN460" s="27">
        <v>0.124390721337007</v>
      </c>
      <c r="AO460" s="11">
        <v>2.5830195051277101</v>
      </c>
      <c r="AP460" s="11">
        <v>5.7383284546048197</v>
      </c>
      <c r="AQ460" t="s">
        <v>5874</v>
      </c>
      <c r="AR460" t="s">
        <v>5832</v>
      </c>
      <c r="AS460" t="s">
        <v>3530</v>
      </c>
    </row>
    <row r="461" spans="1:45">
      <c r="A461" t="s">
        <v>310</v>
      </c>
      <c r="B461" s="2">
        <v>4</v>
      </c>
      <c r="C461" s="2">
        <v>8</v>
      </c>
      <c r="D461" s="2">
        <v>18</v>
      </c>
      <c r="E461" s="2">
        <v>12</v>
      </c>
      <c r="F461" s="2">
        <v>11</v>
      </c>
      <c r="G461" s="2">
        <v>17</v>
      </c>
      <c r="H461" s="2">
        <v>9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11">
        <v>4.8465735833389196</v>
      </c>
      <c r="V461" s="11">
        <v>7.7045129654195703</v>
      </c>
      <c r="W461" s="11">
        <v>28.814357912620601</v>
      </c>
      <c r="X461" s="11">
        <v>18.143061109838801</v>
      </c>
      <c r="Y461" s="11">
        <v>9.4619399593058091</v>
      </c>
      <c r="Z461" s="11">
        <v>15.805363192871299</v>
      </c>
      <c r="AA461" s="11">
        <v>9.4865605457817708</v>
      </c>
      <c r="AB461" s="11">
        <v>0.24329589949557701</v>
      </c>
      <c r="AC461" s="11">
        <v>0.19868957331123899</v>
      </c>
      <c r="AD461" s="11">
        <v>0.63064964688828595</v>
      </c>
      <c r="AE461" s="11">
        <v>0.200013587066836</v>
      </c>
      <c r="AF461" s="11">
        <v>0.21163676164998499</v>
      </c>
      <c r="AG461" s="11">
        <v>0.22969814145377901</v>
      </c>
      <c r="AH461" s="11">
        <v>0.78919057038512497</v>
      </c>
      <c r="AI461" s="11">
        <v>0.377135011965606</v>
      </c>
      <c r="AJ461" s="11">
        <v>0.38065921161865401</v>
      </c>
      <c r="AK461" s="16">
        <v>-4.5201959540282504</v>
      </c>
      <c r="AL461" s="16">
        <v>-31.3174027442574</v>
      </c>
      <c r="AM461" s="26">
        <v>2.0636846216492099E-9</v>
      </c>
      <c r="AN461" s="27">
        <v>2.3803534687643501E-8</v>
      </c>
      <c r="AO461" s="11">
        <v>11.813208146083999</v>
      </c>
      <c r="AP461" s="11">
        <v>0.37720906304243901</v>
      </c>
      <c r="AQ461" t="s">
        <v>5875</v>
      </c>
      <c r="AR461" t="s">
        <v>5876</v>
      </c>
      <c r="AS461" t="s">
        <v>310</v>
      </c>
    </row>
    <row r="462" spans="1:45">
      <c r="A462" t="s">
        <v>794</v>
      </c>
      <c r="B462" s="2">
        <v>0</v>
      </c>
      <c r="C462" s="2">
        <v>6</v>
      </c>
      <c r="D462" s="2">
        <v>0</v>
      </c>
      <c r="E462" s="2">
        <v>0</v>
      </c>
      <c r="F462" s="2">
        <v>1</v>
      </c>
      <c r="G462" s="2">
        <v>1</v>
      </c>
      <c r="H462" s="2">
        <v>1</v>
      </c>
      <c r="I462" s="2">
        <v>4</v>
      </c>
      <c r="J462" s="2">
        <v>8</v>
      </c>
      <c r="K462" s="2">
        <v>0</v>
      </c>
      <c r="L462" s="2">
        <v>17</v>
      </c>
      <c r="M462" s="2">
        <v>16</v>
      </c>
      <c r="N462" s="2">
        <v>11</v>
      </c>
      <c r="O462" s="2">
        <v>0</v>
      </c>
      <c r="P462" s="2">
        <v>9</v>
      </c>
      <c r="Q462" s="2">
        <v>7</v>
      </c>
      <c r="R462" s="2">
        <v>1</v>
      </c>
      <c r="S462" s="2">
        <v>0</v>
      </c>
      <c r="T462" s="2">
        <v>0</v>
      </c>
      <c r="U462" s="11">
        <v>0.30291084895868198</v>
      </c>
      <c r="V462" s="11">
        <v>5.7783847240646802</v>
      </c>
      <c r="W462" s="11">
        <v>0.40019941545306398</v>
      </c>
      <c r="X462" s="11">
        <v>0.37798043978830698</v>
      </c>
      <c r="Y462" s="11">
        <v>0.86017635993689201</v>
      </c>
      <c r="Z462" s="11">
        <v>0.92972724663949102</v>
      </c>
      <c r="AA462" s="11">
        <v>1.05406228286464</v>
      </c>
      <c r="AB462" s="11">
        <v>3.8927343919292201</v>
      </c>
      <c r="AC462" s="11">
        <v>6.35806634595966</v>
      </c>
      <c r="AD462" s="11">
        <v>10.7210439971009</v>
      </c>
      <c r="AE462" s="11">
        <v>12.800869572277501</v>
      </c>
      <c r="AF462" s="11">
        <v>9.3120175125993505</v>
      </c>
      <c r="AG462" s="11">
        <v>8.2691330923360304</v>
      </c>
      <c r="AH462" s="11">
        <v>5.5243339926958699</v>
      </c>
      <c r="AI462" s="11">
        <v>1.50854004786242</v>
      </c>
      <c r="AJ462" s="11">
        <v>0.38065921161865401</v>
      </c>
      <c r="AK462" s="16">
        <v>1.90873818304986</v>
      </c>
      <c r="AL462" s="16">
        <v>4.0360366726919503</v>
      </c>
      <c r="AM462" s="26">
        <v>2.1744019360694601E-3</v>
      </c>
      <c r="AN462" s="27">
        <v>4.5458590475952196E-3</v>
      </c>
      <c r="AO462" s="11">
        <v>1.6995219637043699</v>
      </c>
      <c r="AP462" s="11">
        <v>6.8593329715562898</v>
      </c>
      <c r="AQ462" t="s">
        <v>5874</v>
      </c>
      <c r="AR462" t="s">
        <v>5876</v>
      </c>
      <c r="AS462" t="s">
        <v>794</v>
      </c>
    </row>
    <row r="463" spans="1:45">
      <c r="A463" t="s">
        <v>4265</v>
      </c>
      <c r="B463" s="2">
        <v>3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3</v>
      </c>
      <c r="J463" s="2">
        <v>8</v>
      </c>
      <c r="K463" s="2">
        <v>0</v>
      </c>
      <c r="L463" s="2">
        <v>24</v>
      </c>
      <c r="M463" s="2">
        <v>9</v>
      </c>
      <c r="N463" s="2">
        <v>9</v>
      </c>
      <c r="O463" s="2">
        <v>0</v>
      </c>
      <c r="P463" s="2">
        <v>5</v>
      </c>
      <c r="Q463" s="2">
        <v>9</v>
      </c>
      <c r="R463" s="2">
        <v>5</v>
      </c>
      <c r="S463" s="2">
        <v>0</v>
      </c>
      <c r="T463" s="2">
        <v>7</v>
      </c>
      <c r="U463" s="11">
        <v>3.6349301875041902</v>
      </c>
      <c r="V463" s="11">
        <v>0.24076603016936199</v>
      </c>
      <c r="W463" s="11">
        <v>0.40019941545306398</v>
      </c>
      <c r="X463" s="11">
        <v>0.37798043978830698</v>
      </c>
      <c r="Y463" s="11">
        <v>0.215044089984223</v>
      </c>
      <c r="Z463" s="11">
        <v>0.23243181165987301</v>
      </c>
      <c r="AA463" s="11">
        <v>0.26351557071616</v>
      </c>
      <c r="AB463" s="11">
        <v>2.9195507939469199</v>
      </c>
      <c r="AC463" s="11">
        <v>6.35806634595966</v>
      </c>
      <c r="AD463" s="11">
        <v>15.135591525318899</v>
      </c>
      <c r="AE463" s="11">
        <v>7.2004891344060802</v>
      </c>
      <c r="AF463" s="11">
        <v>7.6189234193994704</v>
      </c>
      <c r="AG463" s="11">
        <v>4.5939628290755703</v>
      </c>
      <c r="AH463" s="11">
        <v>7.1027151334661296</v>
      </c>
      <c r="AI463" s="11">
        <v>7.5427002393121096</v>
      </c>
      <c r="AJ463" s="11">
        <v>10.658457925322301</v>
      </c>
      <c r="AK463" s="16">
        <v>2.8817682446388901</v>
      </c>
      <c r="AL463" s="16">
        <v>7.9922215225163704</v>
      </c>
      <c r="AM463" s="26">
        <v>1.0243492858090901E-7</v>
      </c>
      <c r="AN463" s="27">
        <v>6.8528967220627999E-7</v>
      </c>
      <c r="AO463" s="11">
        <v>1.03555229240276</v>
      </c>
      <c r="AP463" s="11">
        <v>8.2763633190325194</v>
      </c>
      <c r="AQ463" t="s">
        <v>5874</v>
      </c>
      <c r="AR463" t="s">
        <v>5876</v>
      </c>
      <c r="AS463" t="s">
        <v>4265</v>
      </c>
    </row>
    <row r="464" spans="1:45">
      <c r="A464" t="s">
        <v>4680</v>
      </c>
      <c r="B464" s="2">
        <v>1</v>
      </c>
      <c r="C464" s="2">
        <v>10</v>
      </c>
      <c r="D464" s="2">
        <v>5</v>
      </c>
      <c r="E464" s="2">
        <v>9</v>
      </c>
      <c r="F464" s="2">
        <v>7</v>
      </c>
      <c r="G464" s="2">
        <v>7</v>
      </c>
      <c r="H464" s="2">
        <v>10</v>
      </c>
      <c r="I464" s="2">
        <v>3</v>
      </c>
      <c r="J464" s="2">
        <v>3</v>
      </c>
      <c r="K464" s="2">
        <v>0</v>
      </c>
      <c r="L464" s="2">
        <v>7</v>
      </c>
      <c r="M464" s="2">
        <v>2</v>
      </c>
      <c r="N464" s="2">
        <v>2</v>
      </c>
      <c r="O464" s="2">
        <v>0</v>
      </c>
      <c r="P464" s="2">
        <v>1</v>
      </c>
      <c r="Q464" s="2">
        <v>10</v>
      </c>
      <c r="R464" s="2">
        <v>1</v>
      </c>
      <c r="S464" s="2">
        <v>0</v>
      </c>
      <c r="T464" s="2">
        <v>4</v>
      </c>
      <c r="U464" s="11">
        <v>1.2116433958347299</v>
      </c>
      <c r="V464" s="11">
        <v>9.6306412067744702</v>
      </c>
      <c r="W464" s="11">
        <v>8.00398830906129</v>
      </c>
      <c r="X464" s="11">
        <v>13.6072958323791</v>
      </c>
      <c r="Y464" s="11">
        <v>6.0212345195582504</v>
      </c>
      <c r="Z464" s="11">
        <v>6.50809072647644</v>
      </c>
      <c r="AA464" s="11">
        <v>10.5406228286464</v>
      </c>
      <c r="AB464" s="11">
        <v>2.9195507939469199</v>
      </c>
      <c r="AC464" s="11">
        <v>2.3842748797348698</v>
      </c>
      <c r="AD464" s="11">
        <v>4.4145475282179998</v>
      </c>
      <c r="AE464" s="11">
        <v>1.60010869653469</v>
      </c>
      <c r="AF464" s="11">
        <v>1.6930940931998799</v>
      </c>
      <c r="AG464" s="11">
        <v>0.91879256581511404</v>
      </c>
      <c r="AH464" s="11">
        <v>7.8919057038512497</v>
      </c>
      <c r="AI464" s="11">
        <v>1.50854004786242</v>
      </c>
      <c r="AJ464" s="11">
        <v>6.0905473858984696</v>
      </c>
      <c r="AK464" s="16">
        <v>-1.0897611166399399</v>
      </c>
      <c r="AL464" s="16">
        <v>-2.2052480802441798</v>
      </c>
      <c r="AM464" s="26">
        <v>3.0470596623439698E-2</v>
      </c>
      <c r="AN464" s="27">
        <v>4.9719095466051598E-2</v>
      </c>
      <c r="AO464" s="11">
        <v>7.3053834515846896</v>
      </c>
      <c r="AP464" s="11">
        <v>3.3127263626393399</v>
      </c>
      <c r="AQ464" t="s">
        <v>5875</v>
      </c>
      <c r="AR464" t="s">
        <v>5878</v>
      </c>
      <c r="AS464" t="s">
        <v>4680</v>
      </c>
    </row>
    <row r="465" spans="1:45">
      <c r="A465" t="s">
        <v>1986</v>
      </c>
      <c r="B465" s="2">
        <v>0</v>
      </c>
      <c r="C465" s="2">
        <v>0</v>
      </c>
      <c r="D465" s="2">
        <v>0</v>
      </c>
      <c r="E465" s="2">
        <v>0</v>
      </c>
      <c r="F465" s="2">
        <v>1</v>
      </c>
      <c r="G465" s="2">
        <v>0</v>
      </c>
      <c r="H465" s="2">
        <v>9.3000000000000007</v>
      </c>
      <c r="I465" s="2">
        <v>2</v>
      </c>
      <c r="J465" s="2">
        <v>8.3019999999999996</v>
      </c>
      <c r="K465" s="2">
        <v>3</v>
      </c>
      <c r="L465" s="2">
        <v>6.2930000000000001</v>
      </c>
      <c r="M465" s="2">
        <v>7.0659999999999998</v>
      </c>
      <c r="N465" s="2">
        <v>2.105</v>
      </c>
      <c r="O465" s="2">
        <v>0</v>
      </c>
      <c r="P465" s="2">
        <v>30.187000000000001</v>
      </c>
      <c r="Q465" s="2">
        <v>6.7850000000000001</v>
      </c>
      <c r="R465" s="2">
        <v>2</v>
      </c>
      <c r="S465" s="2">
        <v>1</v>
      </c>
      <c r="T465" s="2">
        <v>2</v>
      </c>
      <c r="U465" s="11">
        <v>0.30291084895868198</v>
      </c>
      <c r="V465" s="11">
        <v>0.24076603016936199</v>
      </c>
      <c r="W465" s="11">
        <v>0.40019941545306398</v>
      </c>
      <c r="X465" s="11">
        <v>0.37798043978830698</v>
      </c>
      <c r="Y465" s="11">
        <v>0.86017635993689201</v>
      </c>
      <c r="Z465" s="11">
        <v>0.23243181165987301</v>
      </c>
      <c r="AA465" s="11">
        <v>9.8027792306411605</v>
      </c>
      <c r="AB465" s="11">
        <v>1.9463671959646101</v>
      </c>
      <c r="AC465" s="11">
        <v>6.5964938339331498</v>
      </c>
      <c r="AD465" s="11">
        <v>3.9730927753962</v>
      </c>
      <c r="AE465" s="11">
        <v>5.68038587269813</v>
      </c>
      <c r="AF465" s="11">
        <v>1.77774879785988</v>
      </c>
      <c r="AG465" s="11">
        <v>27.7475354876164</v>
      </c>
      <c r="AH465" s="11">
        <v>5.3664958786188501</v>
      </c>
      <c r="AI465" s="11">
        <v>3.0170800957248498</v>
      </c>
      <c r="AJ465" s="11">
        <v>3.0452736929492299</v>
      </c>
      <c r="AK465" s="16">
        <v>1.9195647307078201</v>
      </c>
      <c r="AL465" s="16">
        <v>4.0388079771184398</v>
      </c>
      <c r="AM465" s="26">
        <v>1.06503319672218E-2</v>
      </c>
      <c r="AN465" s="27">
        <v>1.9520745441291499E-2</v>
      </c>
      <c r="AO465" s="11">
        <v>1.77045141657149</v>
      </c>
      <c r="AP465" s="11">
        <v>7.1505133043495901</v>
      </c>
      <c r="AQ465" t="s">
        <v>5874</v>
      </c>
      <c r="AR465" t="s">
        <v>5878</v>
      </c>
      <c r="AS465" t="s">
        <v>1986</v>
      </c>
    </row>
    <row r="466" spans="1:45">
      <c r="A466" t="s">
        <v>1021</v>
      </c>
      <c r="B466" s="2">
        <v>3</v>
      </c>
      <c r="C466" s="2">
        <v>5</v>
      </c>
      <c r="D466" s="2">
        <v>0</v>
      </c>
      <c r="E466" s="2">
        <v>1</v>
      </c>
      <c r="F466" s="2">
        <v>8</v>
      </c>
      <c r="G466" s="2">
        <v>3</v>
      </c>
      <c r="H466" s="2">
        <v>4</v>
      </c>
      <c r="I466" s="2">
        <v>10</v>
      </c>
      <c r="J466" s="2">
        <v>12</v>
      </c>
      <c r="K466" s="2">
        <v>0</v>
      </c>
      <c r="L466" s="2">
        <v>7</v>
      </c>
      <c r="M466" s="2">
        <v>4</v>
      </c>
      <c r="N466" s="2">
        <v>5</v>
      </c>
      <c r="O466" s="2">
        <v>3</v>
      </c>
      <c r="P466" s="2">
        <v>6</v>
      </c>
      <c r="Q466" s="2">
        <v>6</v>
      </c>
      <c r="R466" s="2">
        <v>1</v>
      </c>
      <c r="S466" s="2">
        <v>1</v>
      </c>
      <c r="T466" s="2">
        <v>2</v>
      </c>
      <c r="U466" s="11">
        <v>3.6349301875041902</v>
      </c>
      <c r="V466" s="11">
        <v>4.8153206033872298</v>
      </c>
      <c r="W466" s="11">
        <v>0.40019941545306398</v>
      </c>
      <c r="X466" s="11">
        <v>1.5119217591532299</v>
      </c>
      <c r="Y466" s="11">
        <v>6.8814108794951396</v>
      </c>
      <c r="Z466" s="11">
        <v>2.7891817399184702</v>
      </c>
      <c r="AA466" s="11">
        <v>4.21624913145856</v>
      </c>
      <c r="AB466" s="11">
        <v>9.7318359798230603</v>
      </c>
      <c r="AC466" s="11">
        <v>9.53709951893949</v>
      </c>
      <c r="AD466" s="11">
        <v>4.4145475282179998</v>
      </c>
      <c r="AE466" s="11">
        <v>3.2002173930693698</v>
      </c>
      <c r="AF466" s="11">
        <v>4.2327352329997003</v>
      </c>
      <c r="AG466" s="11">
        <v>5.5127553948906796</v>
      </c>
      <c r="AH466" s="11">
        <v>4.7351434223107498</v>
      </c>
      <c r="AI466" s="11">
        <v>1.50854004786242</v>
      </c>
      <c r="AJ466" s="11">
        <v>3.0452736929492299</v>
      </c>
      <c r="AK466" s="16">
        <v>6.3313126791936694E-2</v>
      </c>
      <c r="AL466" s="16">
        <v>1.0648968338165801</v>
      </c>
      <c r="AM466" s="26">
        <v>0.93113057402228705</v>
      </c>
      <c r="AN466" s="27">
        <v>0.95687611984778798</v>
      </c>
      <c r="AO466" s="11">
        <v>4.2476312120241202</v>
      </c>
      <c r="AP466" s="11">
        <v>4.5232890289049603</v>
      </c>
      <c r="AQ466" t="s">
        <v>5874</v>
      </c>
      <c r="AR466" t="s">
        <v>5832</v>
      </c>
      <c r="AS466" t="s">
        <v>1021</v>
      </c>
    </row>
    <row r="467" spans="1:45">
      <c r="A467" t="s">
        <v>1883</v>
      </c>
      <c r="B467" s="2">
        <v>8</v>
      </c>
      <c r="C467" s="2">
        <v>5</v>
      </c>
      <c r="D467" s="2">
        <v>15</v>
      </c>
      <c r="E467" s="2">
        <v>7</v>
      </c>
      <c r="F467" s="2">
        <v>8</v>
      </c>
      <c r="G467" s="2">
        <v>8</v>
      </c>
      <c r="H467" s="2">
        <v>7</v>
      </c>
      <c r="I467" s="2">
        <v>9</v>
      </c>
      <c r="J467" s="2">
        <v>1</v>
      </c>
      <c r="K467" s="2">
        <v>0</v>
      </c>
      <c r="L467" s="2">
        <v>1</v>
      </c>
      <c r="M467" s="2">
        <v>4</v>
      </c>
      <c r="N467" s="2">
        <v>0</v>
      </c>
      <c r="O467" s="2">
        <v>0</v>
      </c>
      <c r="P467" s="2">
        <v>1</v>
      </c>
      <c r="Q467" s="2">
        <v>3</v>
      </c>
      <c r="R467" s="2">
        <v>1</v>
      </c>
      <c r="S467" s="2">
        <v>1</v>
      </c>
      <c r="T467" s="2">
        <v>2</v>
      </c>
      <c r="U467" s="11">
        <v>9.6931471666778304</v>
      </c>
      <c r="V467" s="11">
        <v>4.8153206033872298</v>
      </c>
      <c r="W467" s="11">
        <v>24.0119649271839</v>
      </c>
      <c r="X467" s="11">
        <v>10.5834523140726</v>
      </c>
      <c r="Y467" s="11">
        <v>6.8814108794951396</v>
      </c>
      <c r="Z467" s="11">
        <v>7.43781797311593</v>
      </c>
      <c r="AA467" s="11">
        <v>7.3784359800524904</v>
      </c>
      <c r="AB467" s="11">
        <v>8.7586523818407507</v>
      </c>
      <c r="AC467" s="11">
        <v>0.79475829324495695</v>
      </c>
      <c r="AD467" s="11">
        <v>0.63064964688828595</v>
      </c>
      <c r="AE467" s="11">
        <v>3.2002173930693698</v>
      </c>
      <c r="AF467" s="11">
        <v>0.21163676164998499</v>
      </c>
      <c r="AG467" s="11">
        <v>0.91879256581511404</v>
      </c>
      <c r="AH467" s="11">
        <v>2.36757171115537</v>
      </c>
      <c r="AI467" s="11">
        <v>1.50854004786242</v>
      </c>
      <c r="AJ467" s="11">
        <v>3.0452736929492299</v>
      </c>
      <c r="AK467" s="16">
        <v>-2.5782404716782499</v>
      </c>
      <c r="AL467" s="16">
        <v>-6.2757308667176099</v>
      </c>
      <c r="AM467" s="26">
        <v>4.27239206611335E-7</v>
      </c>
      <c r="AN467" s="27">
        <v>2.3050244292176002E-6</v>
      </c>
      <c r="AO467" s="11">
        <v>9.9450252782282291</v>
      </c>
      <c r="AP467" s="11">
        <v>1.58468001407934</v>
      </c>
      <c r="AQ467" t="s">
        <v>5875</v>
      </c>
      <c r="AR467" t="s">
        <v>5876</v>
      </c>
      <c r="AS467" t="s">
        <v>1883</v>
      </c>
    </row>
    <row r="468" spans="1:45">
      <c r="A468" t="s">
        <v>5038</v>
      </c>
      <c r="B468" s="2">
        <v>0</v>
      </c>
      <c r="C468" s="2">
        <v>2</v>
      </c>
      <c r="D468" s="2">
        <v>0</v>
      </c>
      <c r="E468" s="2">
        <v>0</v>
      </c>
      <c r="F468" s="2">
        <v>1</v>
      </c>
      <c r="G468" s="2">
        <v>3</v>
      </c>
      <c r="H468" s="2">
        <v>0</v>
      </c>
      <c r="I468" s="2">
        <v>0</v>
      </c>
      <c r="J468" s="2">
        <v>1</v>
      </c>
      <c r="K468" s="2">
        <v>9</v>
      </c>
      <c r="L468" s="2">
        <v>12</v>
      </c>
      <c r="M468" s="2">
        <v>1</v>
      </c>
      <c r="N468" s="2">
        <v>8</v>
      </c>
      <c r="O468" s="2">
        <v>22</v>
      </c>
      <c r="P468" s="2">
        <v>3</v>
      </c>
      <c r="Q468" s="2">
        <v>1</v>
      </c>
      <c r="R468" s="2">
        <v>17</v>
      </c>
      <c r="S468" s="2">
        <v>1</v>
      </c>
      <c r="T468" s="2">
        <v>0</v>
      </c>
      <c r="U468" s="11">
        <v>0.30291084895868198</v>
      </c>
      <c r="V468" s="11">
        <v>1.9261282413548899</v>
      </c>
      <c r="W468" s="11">
        <v>0.40019941545306398</v>
      </c>
      <c r="X468" s="11">
        <v>0.37798043978830698</v>
      </c>
      <c r="Y468" s="11">
        <v>0.86017635993689201</v>
      </c>
      <c r="Z468" s="11">
        <v>2.7891817399184702</v>
      </c>
      <c r="AA468" s="11">
        <v>0.26351557071616</v>
      </c>
      <c r="AB468" s="11">
        <v>0.24329589949557701</v>
      </c>
      <c r="AC468" s="11">
        <v>0.79475829324495695</v>
      </c>
      <c r="AD468" s="11">
        <v>7.5677957626594301</v>
      </c>
      <c r="AE468" s="11">
        <v>0.80005434826734301</v>
      </c>
      <c r="AF468" s="11">
        <v>6.7723763727995303</v>
      </c>
      <c r="AG468" s="11">
        <v>2.7563776974453398</v>
      </c>
      <c r="AH468" s="11">
        <v>0.78919057038512497</v>
      </c>
      <c r="AI468" s="11">
        <v>25.645180813661199</v>
      </c>
      <c r="AJ468" s="11">
        <v>0.38065921161865401</v>
      </c>
      <c r="AK468" s="16">
        <v>2.3940968986801598</v>
      </c>
      <c r="AL468" s="16">
        <v>6.3526350652125601</v>
      </c>
      <c r="AM468" s="26">
        <v>4.6094578903164204E-3</v>
      </c>
      <c r="AN468" s="27">
        <v>9.0697862606520102E-3</v>
      </c>
      <c r="AO468" s="11">
        <v>0.89542356445275595</v>
      </c>
      <c r="AP468" s="11">
        <v>5.6882991337601903</v>
      </c>
      <c r="AQ468" t="s">
        <v>5874</v>
      </c>
      <c r="AR468" t="s">
        <v>5876</v>
      </c>
      <c r="AS468" t="s">
        <v>5038</v>
      </c>
    </row>
    <row r="469" spans="1:45">
      <c r="A469" t="s">
        <v>5413</v>
      </c>
      <c r="B469" s="2">
        <v>1</v>
      </c>
      <c r="C469" s="2">
        <v>2</v>
      </c>
      <c r="D469" s="2">
        <v>0</v>
      </c>
      <c r="E469" s="2">
        <v>0</v>
      </c>
      <c r="F469" s="2">
        <v>4</v>
      </c>
      <c r="G469" s="2">
        <v>4</v>
      </c>
      <c r="H469" s="2">
        <v>4</v>
      </c>
      <c r="I469" s="2">
        <v>1</v>
      </c>
      <c r="J469" s="2">
        <v>0</v>
      </c>
      <c r="K469" s="2">
        <v>0</v>
      </c>
      <c r="L469" s="2">
        <v>22</v>
      </c>
      <c r="M469" s="2">
        <v>33</v>
      </c>
      <c r="N469" s="2">
        <v>3</v>
      </c>
      <c r="O469" s="2">
        <v>1</v>
      </c>
      <c r="P469" s="2">
        <v>1</v>
      </c>
      <c r="Q469" s="2">
        <v>5</v>
      </c>
      <c r="R469" s="2">
        <v>0</v>
      </c>
      <c r="S469" s="2">
        <v>0</v>
      </c>
      <c r="T469" s="2">
        <v>0</v>
      </c>
      <c r="U469" s="11">
        <v>1.2116433958347299</v>
      </c>
      <c r="V469" s="11">
        <v>1.9261282413548899</v>
      </c>
      <c r="W469" s="11">
        <v>0.40019941545306398</v>
      </c>
      <c r="X469" s="11">
        <v>0.37798043978830698</v>
      </c>
      <c r="Y469" s="11">
        <v>3.4407054397475698</v>
      </c>
      <c r="Z469" s="11">
        <v>3.7189089865579601</v>
      </c>
      <c r="AA469" s="11">
        <v>4.21624913145856</v>
      </c>
      <c r="AB469" s="11">
        <v>0.97318359798230603</v>
      </c>
      <c r="AC469" s="11">
        <v>0.19868957331123899</v>
      </c>
      <c r="AD469" s="11">
        <v>13.874292231542301</v>
      </c>
      <c r="AE469" s="11">
        <v>26.4017934928223</v>
      </c>
      <c r="AF469" s="11">
        <v>2.5396411397998202</v>
      </c>
      <c r="AG469" s="11">
        <v>0.91879256581511404</v>
      </c>
      <c r="AH469" s="11">
        <v>3.94595285192562</v>
      </c>
      <c r="AI469" s="11">
        <v>0.377135011965606</v>
      </c>
      <c r="AJ469" s="11">
        <v>0.38065921161865401</v>
      </c>
      <c r="AK469" s="16">
        <v>1.51335916851458</v>
      </c>
      <c r="AL469" s="16">
        <v>2.9902834381268599</v>
      </c>
      <c r="AM469" s="26">
        <v>6.2674451782859797E-2</v>
      </c>
      <c r="AN469" s="27">
        <v>9.4011677674289598E-2</v>
      </c>
      <c r="AO469" s="11">
        <v>2.0331248310221701</v>
      </c>
      <c r="AP469" s="11">
        <v>6.0796195098500796</v>
      </c>
      <c r="AQ469" t="s">
        <v>5874</v>
      </c>
      <c r="AR469" t="s">
        <v>5877</v>
      </c>
      <c r="AS469" t="s">
        <v>5413</v>
      </c>
    </row>
    <row r="470" spans="1:45">
      <c r="A470" t="s">
        <v>3378</v>
      </c>
      <c r="B470" s="2">
        <v>0.66700000000000004</v>
      </c>
      <c r="C470" s="2">
        <v>4.6669999999999998</v>
      </c>
      <c r="D470" s="2">
        <v>0.33300000000000002</v>
      </c>
      <c r="E470" s="2">
        <v>1.667</v>
      </c>
      <c r="F470" s="2">
        <v>0.66700000000000004</v>
      </c>
      <c r="G470" s="2">
        <v>1.333</v>
      </c>
      <c r="H470" s="2">
        <v>0.83299999999999996</v>
      </c>
      <c r="I470" s="2">
        <v>0</v>
      </c>
      <c r="J470" s="2">
        <v>18.268000000000001</v>
      </c>
      <c r="K470" s="2">
        <v>5</v>
      </c>
      <c r="L470" s="2">
        <v>3.9289999999999998</v>
      </c>
      <c r="M470" s="2">
        <v>9.5229999999999997</v>
      </c>
      <c r="N470" s="2">
        <v>13.913</v>
      </c>
      <c r="O470" s="2">
        <v>1.333</v>
      </c>
      <c r="P470" s="2">
        <v>6.6</v>
      </c>
      <c r="Q470" s="2">
        <v>3.5</v>
      </c>
      <c r="R470" s="2">
        <v>2</v>
      </c>
      <c r="S470" s="2">
        <v>4</v>
      </c>
      <c r="T470" s="2">
        <v>2.5</v>
      </c>
      <c r="U470" s="11">
        <v>0.84815037708430996</v>
      </c>
      <c r="V470" s="11">
        <v>4.5264013671840004</v>
      </c>
      <c r="W470" s="11">
        <v>0.48023929854367697</v>
      </c>
      <c r="X470" s="11">
        <v>2.5702669905604898</v>
      </c>
      <c r="Y470" s="11">
        <v>0.60212345195582395</v>
      </c>
      <c r="Z470" s="11">
        <v>1.20864542063134</v>
      </c>
      <c r="AA470" s="11">
        <v>0.84324982629171297</v>
      </c>
      <c r="AB470" s="11">
        <v>0.24329589949557701</v>
      </c>
      <c r="AC470" s="11">
        <v>14.5440767663827</v>
      </c>
      <c r="AD470" s="11">
        <v>2.4595336228643099</v>
      </c>
      <c r="AE470" s="11">
        <v>7.6005163085397598</v>
      </c>
      <c r="AF470" s="11">
        <v>11.7670039477392</v>
      </c>
      <c r="AG470" s="11">
        <v>6.0640309343797503</v>
      </c>
      <c r="AH470" s="11">
        <v>2.7621669963479398</v>
      </c>
      <c r="AI470" s="11">
        <v>3.0170800957248498</v>
      </c>
      <c r="AJ470" s="11">
        <v>3.8065921161865401</v>
      </c>
      <c r="AK470" s="16">
        <v>2.1286238887012101</v>
      </c>
      <c r="AL470" s="16">
        <v>4.5945317717509804</v>
      </c>
      <c r="AM470" s="26">
        <v>6.5297594662850505E-4</v>
      </c>
      <c r="AN470" s="27">
        <v>1.5601461010516799E-3</v>
      </c>
      <c r="AO470" s="11">
        <v>1.41529657896837</v>
      </c>
      <c r="AP470" s="11">
        <v>6.50262509852063</v>
      </c>
      <c r="AQ470" t="s">
        <v>5874</v>
      </c>
      <c r="AR470" t="s">
        <v>5876</v>
      </c>
      <c r="AS470" t="s">
        <v>3378</v>
      </c>
    </row>
    <row r="471" spans="1:45">
      <c r="A471" t="s">
        <v>312</v>
      </c>
      <c r="B471" s="2">
        <v>2</v>
      </c>
      <c r="C471" s="2">
        <v>9</v>
      </c>
      <c r="D471" s="2">
        <v>0</v>
      </c>
      <c r="E471" s="2">
        <v>4</v>
      </c>
      <c r="F471" s="2">
        <v>18</v>
      </c>
      <c r="G471" s="2">
        <v>17</v>
      </c>
      <c r="H471" s="2">
        <v>5</v>
      </c>
      <c r="I471" s="2">
        <v>3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22</v>
      </c>
      <c r="S471" s="2">
        <v>0</v>
      </c>
      <c r="T471" s="2">
        <v>0</v>
      </c>
      <c r="U471" s="11">
        <v>2.4232867916694598</v>
      </c>
      <c r="V471" s="11">
        <v>8.6675770860970207</v>
      </c>
      <c r="W471" s="11">
        <v>0.40019941545306398</v>
      </c>
      <c r="X471" s="11">
        <v>6.0476870366129196</v>
      </c>
      <c r="Y471" s="11">
        <v>15.4831744788641</v>
      </c>
      <c r="Z471" s="11">
        <v>15.805363192871299</v>
      </c>
      <c r="AA471" s="11">
        <v>5.2703114143232002</v>
      </c>
      <c r="AB471" s="11">
        <v>2.9195507939469199</v>
      </c>
      <c r="AC471" s="11">
        <v>0.19868957331123899</v>
      </c>
      <c r="AD471" s="11">
        <v>0.15766241172207099</v>
      </c>
      <c r="AE471" s="11">
        <v>0.200013587066836</v>
      </c>
      <c r="AF471" s="11">
        <v>0.21163676164998499</v>
      </c>
      <c r="AG471" s="11">
        <v>0.22969814145377901</v>
      </c>
      <c r="AH471" s="11">
        <v>0.19729764259628099</v>
      </c>
      <c r="AI471" s="11">
        <v>33.187881052973303</v>
      </c>
      <c r="AJ471" s="11">
        <v>0.38065921161865401</v>
      </c>
      <c r="AK471" s="16">
        <v>-0.79884341665997105</v>
      </c>
      <c r="AL471" s="16">
        <v>-1.6401423118285701</v>
      </c>
      <c r="AM471" s="26">
        <v>0.47543379832434102</v>
      </c>
      <c r="AN471" s="27">
        <v>0.55508762841009396</v>
      </c>
      <c r="AO471" s="11">
        <v>7.12714377622975</v>
      </c>
      <c r="AP471" s="11">
        <v>4.3454422977990204</v>
      </c>
      <c r="AQ471" t="s">
        <v>5875</v>
      </c>
      <c r="AR471" t="s">
        <v>5832</v>
      </c>
      <c r="AS471" t="s">
        <v>312</v>
      </c>
    </row>
    <row r="472" spans="1:45">
      <c r="A472" t="s">
        <v>444</v>
      </c>
      <c r="B472" s="2">
        <v>9</v>
      </c>
      <c r="C472" s="2">
        <v>10</v>
      </c>
      <c r="D472" s="2">
        <v>7</v>
      </c>
      <c r="E472" s="2">
        <v>12</v>
      </c>
      <c r="F472" s="2">
        <v>9</v>
      </c>
      <c r="G472" s="2">
        <v>7</v>
      </c>
      <c r="H472" s="2">
        <v>7</v>
      </c>
      <c r="I472" s="2">
        <v>3</v>
      </c>
      <c r="J472" s="2">
        <v>1</v>
      </c>
      <c r="K472" s="2">
        <v>0</v>
      </c>
      <c r="L472" s="2">
        <v>4</v>
      </c>
      <c r="M472" s="2">
        <v>2</v>
      </c>
      <c r="N472" s="2">
        <v>1</v>
      </c>
      <c r="O472" s="2">
        <v>0</v>
      </c>
      <c r="P472" s="2">
        <v>1</v>
      </c>
      <c r="Q472" s="2">
        <v>3</v>
      </c>
      <c r="R472" s="2">
        <v>2</v>
      </c>
      <c r="S472" s="2">
        <v>1</v>
      </c>
      <c r="T472" s="2">
        <v>1</v>
      </c>
      <c r="U472" s="11">
        <v>10.9047905625126</v>
      </c>
      <c r="V472" s="11">
        <v>9.6306412067744702</v>
      </c>
      <c r="W472" s="11">
        <v>11.2055836326858</v>
      </c>
      <c r="X472" s="11">
        <v>18.143061109838801</v>
      </c>
      <c r="Y472" s="11">
        <v>7.7415872394320298</v>
      </c>
      <c r="Z472" s="11">
        <v>6.50809072647644</v>
      </c>
      <c r="AA472" s="11">
        <v>7.3784359800524904</v>
      </c>
      <c r="AB472" s="11">
        <v>2.9195507939469199</v>
      </c>
      <c r="AC472" s="11">
        <v>0.79475829324495695</v>
      </c>
      <c r="AD472" s="11">
        <v>2.5225985875531398</v>
      </c>
      <c r="AE472" s="11">
        <v>1.60010869653469</v>
      </c>
      <c r="AF472" s="11">
        <v>0.84654704659994096</v>
      </c>
      <c r="AG472" s="11">
        <v>0.91879256581511404</v>
      </c>
      <c r="AH472" s="11">
        <v>2.36757171115537</v>
      </c>
      <c r="AI472" s="11">
        <v>3.0170800957248498</v>
      </c>
      <c r="AJ472" s="11">
        <v>1.5226368464746201</v>
      </c>
      <c r="AK472" s="16">
        <v>-2.3451396793986699</v>
      </c>
      <c r="AL472" s="16">
        <v>-5.4769114997315098</v>
      </c>
      <c r="AM472" s="26">
        <v>5.9547551905532796E-7</v>
      </c>
      <c r="AN472" s="27">
        <v>3.1723219851993298E-6</v>
      </c>
      <c r="AO472" s="11">
        <v>9.3039676564649305</v>
      </c>
      <c r="AP472" s="11">
        <v>1.69876173038783</v>
      </c>
      <c r="AQ472" t="s">
        <v>5875</v>
      </c>
      <c r="AR472" t="s">
        <v>5876</v>
      </c>
      <c r="AS472" t="s">
        <v>444</v>
      </c>
    </row>
    <row r="473" spans="1:45">
      <c r="A473" t="s">
        <v>554</v>
      </c>
      <c r="B473" s="2">
        <v>4</v>
      </c>
      <c r="C473" s="2">
        <v>8</v>
      </c>
      <c r="D473" s="2">
        <v>11</v>
      </c>
      <c r="E473" s="2">
        <v>10</v>
      </c>
      <c r="F473" s="2">
        <v>11</v>
      </c>
      <c r="G473" s="2">
        <v>16</v>
      </c>
      <c r="H473" s="2">
        <v>10</v>
      </c>
      <c r="I473" s="2">
        <v>6</v>
      </c>
      <c r="J473" s="2">
        <v>0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1</v>
      </c>
      <c r="U473" s="11">
        <v>4.8465735833389196</v>
      </c>
      <c r="V473" s="11">
        <v>7.7045129654195703</v>
      </c>
      <c r="W473" s="11">
        <v>17.608774279934799</v>
      </c>
      <c r="X473" s="11">
        <v>15.119217591532299</v>
      </c>
      <c r="Y473" s="11">
        <v>9.4619399593058091</v>
      </c>
      <c r="Z473" s="11">
        <v>14.875635946231901</v>
      </c>
      <c r="AA473" s="11">
        <v>10.5406228286464</v>
      </c>
      <c r="AB473" s="11">
        <v>5.8391015878938397</v>
      </c>
      <c r="AC473" s="11">
        <v>0.19868957331123899</v>
      </c>
      <c r="AD473" s="11">
        <v>0.15766241172207099</v>
      </c>
      <c r="AE473" s="11">
        <v>1.60010869653469</v>
      </c>
      <c r="AF473" s="11">
        <v>0.21163676164998499</v>
      </c>
      <c r="AG473" s="11">
        <v>0.22969814145377901</v>
      </c>
      <c r="AH473" s="11">
        <v>0.78919057038512497</v>
      </c>
      <c r="AI473" s="11">
        <v>0.377135011965606</v>
      </c>
      <c r="AJ473" s="11">
        <v>1.5226368464746201</v>
      </c>
      <c r="AK473" s="16">
        <v>-3.9014938247862498</v>
      </c>
      <c r="AL473" s="16">
        <v>-16.905930754740499</v>
      </c>
      <c r="AM473" s="26">
        <v>5.3902069516234399E-12</v>
      </c>
      <c r="AN473" s="27">
        <v>1.27576396566052E-10</v>
      </c>
      <c r="AO473" s="11">
        <v>10.749547342787899</v>
      </c>
      <c r="AP473" s="11">
        <v>0.63584475168713805</v>
      </c>
      <c r="AQ473" t="s">
        <v>5875</v>
      </c>
      <c r="AR473" t="s">
        <v>5876</v>
      </c>
      <c r="AS473" t="s">
        <v>554</v>
      </c>
    </row>
    <row r="474" spans="1:45">
      <c r="A474" t="s">
        <v>1278</v>
      </c>
      <c r="B474" s="2">
        <v>7</v>
      </c>
      <c r="C474" s="2">
        <v>9</v>
      </c>
      <c r="D474" s="2">
        <v>2</v>
      </c>
      <c r="E474" s="2">
        <v>6</v>
      </c>
      <c r="F474" s="2">
        <v>7</v>
      </c>
      <c r="G474" s="2">
        <v>14</v>
      </c>
      <c r="H474" s="2">
        <v>16</v>
      </c>
      <c r="I474" s="2">
        <v>6</v>
      </c>
      <c r="J474" s="2">
        <v>0</v>
      </c>
      <c r="K474" s="2">
        <v>1</v>
      </c>
      <c r="L474" s="2">
        <v>1</v>
      </c>
      <c r="M474" s="2">
        <v>2</v>
      </c>
      <c r="N474" s="2">
        <v>0</v>
      </c>
      <c r="O474" s="2">
        <v>3</v>
      </c>
      <c r="P474" s="2">
        <v>2</v>
      </c>
      <c r="Q474" s="2">
        <v>2</v>
      </c>
      <c r="R474" s="2">
        <v>1</v>
      </c>
      <c r="S474" s="2">
        <v>0</v>
      </c>
      <c r="T474" s="2">
        <v>1</v>
      </c>
      <c r="U474" s="11">
        <v>8.4815037708430996</v>
      </c>
      <c r="V474" s="11">
        <v>8.6675770860970207</v>
      </c>
      <c r="W474" s="11">
        <v>3.2015953236245198</v>
      </c>
      <c r="X474" s="11">
        <v>9.0715305549193808</v>
      </c>
      <c r="Y474" s="11">
        <v>6.0212345195582504</v>
      </c>
      <c r="Z474" s="11">
        <v>13.0161814529529</v>
      </c>
      <c r="AA474" s="11">
        <v>16.8649965258343</v>
      </c>
      <c r="AB474" s="11">
        <v>5.8391015878938397</v>
      </c>
      <c r="AC474" s="11">
        <v>0.19868957331123899</v>
      </c>
      <c r="AD474" s="11">
        <v>0.63064964688828595</v>
      </c>
      <c r="AE474" s="11">
        <v>1.60010869653469</v>
      </c>
      <c r="AF474" s="11">
        <v>0.21163676164998499</v>
      </c>
      <c r="AG474" s="11">
        <v>1.8375851316302301</v>
      </c>
      <c r="AH474" s="11">
        <v>1.5783811407702499</v>
      </c>
      <c r="AI474" s="11">
        <v>1.50854004786242</v>
      </c>
      <c r="AJ474" s="11">
        <v>1.5226368464746201</v>
      </c>
      <c r="AK474" s="16">
        <v>-2.9325355530989898</v>
      </c>
      <c r="AL474" s="16">
        <v>-7.8303187413948701</v>
      </c>
      <c r="AM474" s="26">
        <v>1.15610013580934E-8</v>
      </c>
      <c r="AN474" s="27">
        <v>1.0893394237414799E-7</v>
      </c>
      <c r="AO474" s="11">
        <v>8.8954651027154004</v>
      </c>
      <c r="AP474" s="11">
        <v>1.1360284806402099</v>
      </c>
      <c r="AQ474" t="s">
        <v>5875</v>
      </c>
      <c r="AR474" t="s">
        <v>5876</v>
      </c>
      <c r="AS474" t="s">
        <v>1278</v>
      </c>
    </row>
    <row r="475" spans="1:45">
      <c r="A475" t="s">
        <v>1946</v>
      </c>
      <c r="B475" s="2">
        <v>7</v>
      </c>
      <c r="C475" s="2">
        <v>7</v>
      </c>
      <c r="D475" s="2">
        <v>4</v>
      </c>
      <c r="E475" s="2">
        <v>1</v>
      </c>
      <c r="F475" s="2">
        <v>8</v>
      </c>
      <c r="G475" s="2">
        <v>4</v>
      </c>
      <c r="H475" s="2">
        <v>13</v>
      </c>
      <c r="I475" s="2">
        <v>11</v>
      </c>
      <c r="J475" s="2">
        <v>0</v>
      </c>
      <c r="K475" s="2">
        <v>0</v>
      </c>
      <c r="L475" s="2">
        <v>9</v>
      </c>
      <c r="M475" s="2">
        <v>9</v>
      </c>
      <c r="N475" s="2">
        <v>3</v>
      </c>
      <c r="O475" s="2">
        <v>1</v>
      </c>
      <c r="P475" s="2">
        <v>2</v>
      </c>
      <c r="Q475" s="2">
        <v>1</v>
      </c>
      <c r="R475" s="2">
        <v>0</v>
      </c>
      <c r="S475" s="2">
        <v>0</v>
      </c>
      <c r="T475" s="2">
        <v>0</v>
      </c>
      <c r="U475" s="11">
        <v>8.4815037708430996</v>
      </c>
      <c r="V475" s="11">
        <v>6.7414488447421297</v>
      </c>
      <c r="W475" s="11">
        <v>6.4031906472490299</v>
      </c>
      <c r="X475" s="11">
        <v>1.5119217591532299</v>
      </c>
      <c r="Y475" s="11">
        <v>6.8814108794951396</v>
      </c>
      <c r="Z475" s="11">
        <v>3.7189089865579601</v>
      </c>
      <c r="AA475" s="11">
        <v>13.7028096772403</v>
      </c>
      <c r="AB475" s="11">
        <v>10.7050195778054</v>
      </c>
      <c r="AC475" s="11">
        <v>0.19868957331123899</v>
      </c>
      <c r="AD475" s="11">
        <v>5.6758468219945701</v>
      </c>
      <c r="AE475" s="11">
        <v>7.2004891344060802</v>
      </c>
      <c r="AF475" s="11">
        <v>2.5396411397998202</v>
      </c>
      <c r="AG475" s="11">
        <v>1.8375851316302301</v>
      </c>
      <c r="AH475" s="11">
        <v>0.78919057038512497</v>
      </c>
      <c r="AI475" s="11">
        <v>0.377135011965606</v>
      </c>
      <c r="AJ475" s="11">
        <v>0.38065921161865401</v>
      </c>
      <c r="AK475" s="16">
        <v>-1.4669441677824</v>
      </c>
      <c r="AL475" s="16">
        <v>-3.0604500266104302</v>
      </c>
      <c r="AM475" s="26">
        <v>7.0928627039265699E-3</v>
      </c>
      <c r="AN475" s="27">
        <v>1.35188750681677E-2</v>
      </c>
      <c r="AO475" s="11">
        <v>7.2682767678857898</v>
      </c>
      <c r="AP475" s="11">
        <v>2.3749045743889199</v>
      </c>
      <c r="AQ475" t="s">
        <v>5875</v>
      </c>
      <c r="AR475" t="s">
        <v>5878</v>
      </c>
      <c r="AS475" t="s">
        <v>1946</v>
      </c>
    </row>
    <row r="476" spans="1:45">
      <c r="A476" t="s">
        <v>2644</v>
      </c>
      <c r="B476" s="2">
        <v>4</v>
      </c>
      <c r="C476" s="2">
        <v>3</v>
      </c>
      <c r="D476" s="2">
        <v>1</v>
      </c>
      <c r="E476" s="2">
        <v>2</v>
      </c>
      <c r="F476" s="2">
        <v>3</v>
      </c>
      <c r="G476" s="2">
        <v>7</v>
      </c>
      <c r="H476" s="2">
        <v>2</v>
      </c>
      <c r="I476" s="2">
        <v>3</v>
      </c>
      <c r="J476" s="2">
        <v>2</v>
      </c>
      <c r="K476" s="2">
        <v>8</v>
      </c>
      <c r="L476" s="2">
        <v>3</v>
      </c>
      <c r="M476" s="2">
        <v>7</v>
      </c>
      <c r="N476" s="2">
        <v>8</v>
      </c>
      <c r="O476" s="2">
        <v>11</v>
      </c>
      <c r="P476" s="2">
        <v>1</v>
      </c>
      <c r="Q476" s="2">
        <v>3</v>
      </c>
      <c r="R476" s="2">
        <v>3</v>
      </c>
      <c r="S476" s="2">
        <v>5</v>
      </c>
      <c r="T476" s="2">
        <v>4</v>
      </c>
      <c r="U476" s="11">
        <v>4.8465735833389196</v>
      </c>
      <c r="V476" s="11">
        <v>2.8891923620323401</v>
      </c>
      <c r="W476" s="11">
        <v>1.6007976618122599</v>
      </c>
      <c r="X476" s="11">
        <v>3.0238435183064598</v>
      </c>
      <c r="Y476" s="11">
        <v>2.5805290798106801</v>
      </c>
      <c r="Z476" s="11">
        <v>6.50809072647644</v>
      </c>
      <c r="AA476" s="11">
        <v>2.10812456572928</v>
      </c>
      <c r="AB476" s="11">
        <v>2.9195507939469199</v>
      </c>
      <c r="AC476" s="11">
        <v>1.5895165864899099</v>
      </c>
      <c r="AD476" s="11">
        <v>1.89194894066486</v>
      </c>
      <c r="AE476" s="11">
        <v>5.6003804378713999</v>
      </c>
      <c r="AF476" s="11">
        <v>6.7723763727995303</v>
      </c>
      <c r="AG476" s="11">
        <v>0.91879256581511404</v>
      </c>
      <c r="AH476" s="11">
        <v>2.36757171115537</v>
      </c>
      <c r="AI476" s="11">
        <v>4.5256201435872701</v>
      </c>
      <c r="AJ476" s="11">
        <v>6.0905473858984696</v>
      </c>
      <c r="AK476" s="16">
        <v>7.1518009282619893E-2</v>
      </c>
      <c r="AL476" s="16">
        <v>1.1238844557272301</v>
      </c>
      <c r="AM476" s="26">
        <v>0.82799250038392902</v>
      </c>
      <c r="AN476" s="27">
        <v>0.87646674486843101</v>
      </c>
      <c r="AO476" s="11">
        <v>3.3095877864316599</v>
      </c>
      <c r="AP476" s="11">
        <v>3.7195942680352401</v>
      </c>
      <c r="AQ476" t="s">
        <v>5874</v>
      </c>
      <c r="AR476" t="s">
        <v>5832</v>
      </c>
      <c r="AS476" t="s">
        <v>2644</v>
      </c>
    </row>
    <row r="477" spans="1:45">
      <c r="A477" t="s">
        <v>5225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2</v>
      </c>
      <c r="H477" s="2">
        <v>1</v>
      </c>
      <c r="I477" s="2">
        <v>1</v>
      </c>
      <c r="J477" s="2">
        <v>6</v>
      </c>
      <c r="K477" s="2">
        <v>20</v>
      </c>
      <c r="L477" s="2">
        <v>2</v>
      </c>
      <c r="M477" s="2">
        <v>1</v>
      </c>
      <c r="N477" s="2">
        <v>11</v>
      </c>
      <c r="O477" s="2">
        <v>11</v>
      </c>
      <c r="P477" s="2">
        <v>2</v>
      </c>
      <c r="Q477" s="2">
        <v>4</v>
      </c>
      <c r="R477" s="2">
        <v>5</v>
      </c>
      <c r="S477" s="2">
        <v>4</v>
      </c>
      <c r="T477" s="2">
        <v>10</v>
      </c>
      <c r="U477" s="11">
        <v>0.30291084895868198</v>
      </c>
      <c r="V477" s="11">
        <v>0.24076603016936199</v>
      </c>
      <c r="W477" s="11">
        <v>0.40019941545306398</v>
      </c>
      <c r="X477" s="11">
        <v>0.37798043978830698</v>
      </c>
      <c r="Y477" s="11">
        <v>0.215044089984223</v>
      </c>
      <c r="Z477" s="11">
        <v>1.85945449327898</v>
      </c>
      <c r="AA477" s="11">
        <v>1.05406228286464</v>
      </c>
      <c r="AB477" s="11">
        <v>0.97318359798230603</v>
      </c>
      <c r="AC477" s="11">
        <v>4.7685497594697397</v>
      </c>
      <c r="AD477" s="11">
        <v>1.2612992937765699</v>
      </c>
      <c r="AE477" s="11">
        <v>0.80005434826734301</v>
      </c>
      <c r="AF477" s="11">
        <v>9.3120175125993505</v>
      </c>
      <c r="AG477" s="11">
        <v>1.8375851316302301</v>
      </c>
      <c r="AH477" s="11">
        <v>3.1567622815404999</v>
      </c>
      <c r="AI477" s="11">
        <v>7.5427002393121096</v>
      </c>
      <c r="AJ477" s="11">
        <v>15.2263684647462</v>
      </c>
      <c r="AK477" s="16">
        <v>2.6793770006702</v>
      </c>
      <c r="AL477" s="16">
        <v>8.0952369882303099</v>
      </c>
      <c r="AM477" s="26">
        <v>2.95571641809076E-4</v>
      </c>
      <c r="AN477" s="27">
        <v>7.4900541049345397E-4</v>
      </c>
      <c r="AO477" s="11">
        <v>0.67795014980994595</v>
      </c>
      <c r="AP477" s="11">
        <v>5.48816712891775</v>
      </c>
      <c r="AQ477" t="s">
        <v>5874</v>
      </c>
      <c r="AR477" t="s">
        <v>5876</v>
      </c>
      <c r="AS477" t="s">
        <v>5225</v>
      </c>
    </row>
    <row r="478" spans="1:45">
      <c r="A478" t="s">
        <v>358</v>
      </c>
      <c r="B478" s="2">
        <v>2</v>
      </c>
      <c r="C478" s="2">
        <v>5</v>
      </c>
      <c r="D478" s="2">
        <v>2</v>
      </c>
      <c r="E478" s="2">
        <v>0</v>
      </c>
      <c r="F478" s="2">
        <v>4</v>
      </c>
      <c r="G478" s="2">
        <v>7</v>
      </c>
      <c r="H478" s="2">
        <v>5</v>
      </c>
      <c r="I478" s="2">
        <v>9.8179999999999996</v>
      </c>
      <c r="J478" s="2">
        <v>7</v>
      </c>
      <c r="K478" s="2">
        <v>1</v>
      </c>
      <c r="L478" s="2">
        <v>7</v>
      </c>
      <c r="M478" s="2">
        <v>3</v>
      </c>
      <c r="N478" s="2">
        <v>2</v>
      </c>
      <c r="O478" s="2">
        <v>0</v>
      </c>
      <c r="P478" s="2">
        <v>8</v>
      </c>
      <c r="Q478" s="2">
        <v>11</v>
      </c>
      <c r="R478" s="2">
        <v>2</v>
      </c>
      <c r="S478" s="2">
        <v>1</v>
      </c>
      <c r="T478" s="2">
        <v>3</v>
      </c>
      <c r="U478" s="11">
        <v>2.4232867916694598</v>
      </c>
      <c r="V478" s="11">
        <v>4.8153206033872298</v>
      </c>
      <c r="W478" s="11">
        <v>3.2015953236245198</v>
      </c>
      <c r="X478" s="11">
        <v>0.37798043978830698</v>
      </c>
      <c r="Y478" s="11">
        <v>3.4407054397475698</v>
      </c>
      <c r="Z478" s="11">
        <v>6.50809072647644</v>
      </c>
      <c r="AA478" s="11">
        <v>5.2703114143232002</v>
      </c>
      <c r="AB478" s="11">
        <v>9.5371992602266005</v>
      </c>
      <c r="AC478" s="11">
        <v>5.5633080527147003</v>
      </c>
      <c r="AD478" s="11">
        <v>4.4145475282179998</v>
      </c>
      <c r="AE478" s="11">
        <v>2.4001630448020301</v>
      </c>
      <c r="AF478" s="11">
        <v>1.6930940931998799</v>
      </c>
      <c r="AG478" s="11">
        <v>7.3503405265209096</v>
      </c>
      <c r="AH478" s="11">
        <v>8.6810962742363706</v>
      </c>
      <c r="AI478" s="11">
        <v>3.0170800957248498</v>
      </c>
      <c r="AJ478" s="11">
        <v>4.5679105394238499</v>
      </c>
      <c r="AK478" s="16">
        <v>4.0843106548632997E-2</v>
      </c>
      <c r="AL478" s="16">
        <v>1.05939790438717</v>
      </c>
      <c r="AM478" s="26">
        <v>1</v>
      </c>
      <c r="AN478" s="27">
        <v>1</v>
      </c>
      <c r="AO478" s="11">
        <v>4.4468112499054202</v>
      </c>
      <c r="AP478" s="11">
        <v>4.7109425193550702</v>
      </c>
      <c r="AQ478" t="s">
        <v>5874</v>
      </c>
      <c r="AR478" t="s">
        <v>5832</v>
      </c>
      <c r="AS478" t="s">
        <v>358</v>
      </c>
    </row>
    <row r="479" spans="1:45">
      <c r="A479" t="s">
        <v>2083</v>
      </c>
      <c r="B479" s="2">
        <v>4.6669999999999998</v>
      </c>
      <c r="C479" s="2">
        <v>4.3639999999999999</v>
      </c>
      <c r="D479" s="2">
        <v>1.333</v>
      </c>
      <c r="E479" s="2">
        <v>0</v>
      </c>
      <c r="F479" s="2">
        <v>7.4379999999999997</v>
      </c>
      <c r="G479" s="2">
        <v>7.3680000000000003</v>
      </c>
      <c r="H479" s="2">
        <v>2.286</v>
      </c>
      <c r="I479" s="2">
        <v>6.5</v>
      </c>
      <c r="J479" s="2">
        <v>21.908999999999999</v>
      </c>
      <c r="K479" s="2">
        <v>0</v>
      </c>
      <c r="L479" s="2">
        <v>4.2670000000000003</v>
      </c>
      <c r="M479" s="2">
        <v>3.375</v>
      </c>
      <c r="N479" s="2">
        <v>3.2309999999999999</v>
      </c>
      <c r="O479" s="2">
        <v>0</v>
      </c>
      <c r="P479" s="2">
        <v>6.375</v>
      </c>
      <c r="Q479" s="2">
        <v>5.3849999999999998</v>
      </c>
      <c r="R479" s="2">
        <v>0</v>
      </c>
      <c r="S479" s="2">
        <v>0</v>
      </c>
      <c r="T479" s="2">
        <v>1.167</v>
      </c>
      <c r="U479" s="11">
        <v>5.6947239604232296</v>
      </c>
      <c r="V479" s="11">
        <v>4.2374821309807702</v>
      </c>
      <c r="W479" s="11">
        <v>2.08103696035593</v>
      </c>
      <c r="X479" s="11">
        <v>0.37798043978830698</v>
      </c>
      <c r="Y479" s="11">
        <v>6.3653050635330004</v>
      </c>
      <c r="Z479" s="11">
        <v>6.8799816251322303</v>
      </c>
      <c r="AA479" s="11">
        <v>2.4243432505886702</v>
      </c>
      <c r="AB479" s="11">
        <v>6.3256933868849901</v>
      </c>
      <c r="AC479" s="11">
        <v>17.4052066220646</v>
      </c>
      <c r="AD479" s="11">
        <v>2.7117934816196301</v>
      </c>
      <c r="AE479" s="11">
        <v>2.7201847841089699</v>
      </c>
      <c r="AF479" s="11">
        <v>2.7089505491198098</v>
      </c>
      <c r="AG479" s="11">
        <v>5.8802724212167297</v>
      </c>
      <c r="AH479" s="11">
        <v>4.2616290800796799</v>
      </c>
      <c r="AI479" s="11">
        <v>0.377135011965606</v>
      </c>
      <c r="AJ479" s="11">
        <v>1.82716421576954</v>
      </c>
      <c r="AK479" s="16">
        <v>0.141216599959686</v>
      </c>
      <c r="AL479" s="16">
        <v>1.10195235266992</v>
      </c>
      <c r="AM479" s="26">
        <v>0.83563440459276594</v>
      </c>
      <c r="AN479" s="27">
        <v>0.88315863613358703</v>
      </c>
      <c r="AO479" s="11">
        <v>4.2983183522108899</v>
      </c>
      <c r="AP479" s="11">
        <v>4.7365420207430704</v>
      </c>
      <c r="AQ479" t="s">
        <v>5874</v>
      </c>
      <c r="AR479" t="s">
        <v>5832</v>
      </c>
      <c r="AS479" t="s">
        <v>2083</v>
      </c>
    </row>
    <row r="480" spans="1:45">
      <c r="A480" t="s">
        <v>173</v>
      </c>
      <c r="B480" s="2">
        <v>0</v>
      </c>
      <c r="C480" s="2">
        <v>3</v>
      </c>
      <c r="D480" s="2">
        <v>0</v>
      </c>
      <c r="E480" s="2">
        <v>0</v>
      </c>
      <c r="F480" s="2">
        <v>3</v>
      </c>
      <c r="G480" s="2">
        <v>0</v>
      </c>
      <c r="H480" s="2">
        <v>0</v>
      </c>
      <c r="I480" s="2">
        <v>0</v>
      </c>
      <c r="J480" s="2">
        <v>16</v>
      </c>
      <c r="K480" s="2">
        <v>0</v>
      </c>
      <c r="L480" s="2">
        <v>12</v>
      </c>
      <c r="M480" s="2">
        <v>5</v>
      </c>
      <c r="N480" s="2">
        <v>8</v>
      </c>
      <c r="O480" s="2">
        <v>0</v>
      </c>
      <c r="P480" s="2">
        <v>17</v>
      </c>
      <c r="Q480" s="2">
        <v>11</v>
      </c>
      <c r="R480" s="2">
        <v>0</v>
      </c>
      <c r="S480" s="2">
        <v>0</v>
      </c>
      <c r="T480" s="2">
        <v>4</v>
      </c>
      <c r="U480" s="11">
        <v>0.30291084895868198</v>
      </c>
      <c r="V480" s="11">
        <v>2.8891923620323401</v>
      </c>
      <c r="W480" s="11">
        <v>0.40019941545306398</v>
      </c>
      <c r="X480" s="11">
        <v>0.37798043978830698</v>
      </c>
      <c r="Y480" s="11">
        <v>2.5805290798106801</v>
      </c>
      <c r="Z480" s="11">
        <v>0.23243181165987301</v>
      </c>
      <c r="AA480" s="11">
        <v>0.26351557071616</v>
      </c>
      <c r="AB480" s="11">
        <v>0.24329589949557701</v>
      </c>
      <c r="AC480" s="11">
        <v>12.716132691919301</v>
      </c>
      <c r="AD480" s="11">
        <v>7.5677957626594301</v>
      </c>
      <c r="AE480" s="11">
        <v>4.0002717413367099</v>
      </c>
      <c r="AF480" s="11">
        <v>6.7723763727995303</v>
      </c>
      <c r="AG480" s="11">
        <v>15.619473618856899</v>
      </c>
      <c r="AH480" s="11">
        <v>8.6810962742363706</v>
      </c>
      <c r="AI480" s="11">
        <v>0.377135011965606</v>
      </c>
      <c r="AJ480" s="11">
        <v>6.0905473858984696</v>
      </c>
      <c r="AK480" s="16">
        <v>2.8473409568101999</v>
      </c>
      <c r="AL480" s="16">
        <v>8.4807076531868493</v>
      </c>
      <c r="AM480" s="26">
        <v>8.1240539053332904E-6</v>
      </c>
      <c r="AN480" s="27">
        <v>3.0533663273415602E-5</v>
      </c>
      <c r="AO480" s="11">
        <v>0.91125692848933504</v>
      </c>
      <c r="AP480" s="11">
        <v>7.7281036074590501</v>
      </c>
      <c r="AQ480" t="s">
        <v>5874</v>
      </c>
      <c r="AR480" t="s">
        <v>5876</v>
      </c>
      <c r="AS480" t="s">
        <v>173</v>
      </c>
    </row>
    <row r="481" spans="1:45">
      <c r="A481" t="s">
        <v>1304</v>
      </c>
      <c r="B481" s="2">
        <v>7</v>
      </c>
      <c r="C481" s="2">
        <v>4</v>
      </c>
      <c r="D481" s="2">
        <v>3</v>
      </c>
      <c r="E481" s="2">
        <v>3</v>
      </c>
      <c r="F481" s="2">
        <v>5</v>
      </c>
      <c r="G481" s="2">
        <v>3</v>
      </c>
      <c r="H481" s="2">
        <v>7</v>
      </c>
      <c r="I481" s="2">
        <v>9</v>
      </c>
      <c r="J481" s="2">
        <v>0</v>
      </c>
      <c r="K481" s="2">
        <v>0</v>
      </c>
      <c r="L481" s="2">
        <v>6</v>
      </c>
      <c r="M481" s="2">
        <v>6</v>
      </c>
      <c r="N481" s="2">
        <v>4</v>
      </c>
      <c r="O481" s="2">
        <v>3</v>
      </c>
      <c r="P481" s="2">
        <v>3</v>
      </c>
      <c r="Q481" s="2">
        <v>8</v>
      </c>
      <c r="R481" s="2">
        <v>3</v>
      </c>
      <c r="S481" s="2">
        <v>0</v>
      </c>
      <c r="T481" s="2">
        <v>5</v>
      </c>
      <c r="U481" s="11">
        <v>8.4815037708430996</v>
      </c>
      <c r="V481" s="11">
        <v>3.85225648270979</v>
      </c>
      <c r="W481" s="11">
        <v>4.8023929854367697</v>
      </c>
      <c r="X481" s="11">
        <v>4.5357652774596904</v>
      </c>
      <c r="Y481" s="11">
        <v>4.3008817996844604</v>
      </c>
      <c r="Z481" s="11">
        <v>2.7891817399184702</v>
      </c>
      <c r="AA481" s="11">
        <v>7.3784359800524904</v>
      </c>
      <c r="AB481" s="11">
        <v>8.7586523818407507</v>
      </c>
      <c r="AC481" s="11">
        <v>0.19868957331123899</v>
      </c>
      <c r="AD481" s="11">
        <v>3.7838978813297102</v>
      </c>
      <c r="AE481" s="11">
        <v>4.8003260896040603</v>
      </c>
      <c r="AF481" s="11">
        <v>3.3861881863997598</v>
      </c>
      <c r="AG481" s="11">
        <v>2.7563776974453398</v>
      </c>
      <c r="AH481" s="11">
        <v>6.3135245630809997</v>
      </c>
      <c r="AI481" s="11">
        <v>4.5256201435872701</v>
      </c>
      <c r="AJ481" s="11">
        <v>7.6131842323730803</v>
      </c>
      <c r="AK481" s="16">
        <v>-0.47043144729419301</v>
      </c>
      <c r="AL481" s="16">
        <v>-1.3451773083507601</v>
      </c>
      <c r="AM481" s="26">
        <v>0.323125362162341</v>
      </c>
      <c r="AN481" s="27">
        <v>0.40330385687799603</v>
      </c>
      <c r="AO481" s="11">
        <v>5.6123838022431896</v>
      </c>
      <c r="AP481" s="11">
        <v>4.1722260458914304</v>
      </c>
      <c r="AQ481" t="s">
        <v>5875</v>
      </c>
      <c r="AR481" t="s">
        <v>5832</v>
      </c>
      <c r="AS481" t="s">
        <v>1304</v>
      </c>
    </row>
    <row r="482" spans="1:45">
      <c r="A482" t="s">
        <v>1502</v>
      </c>
      <c r="B482" s="2">
        <v>6</v>
      </c>
      <c r="C482" s="2">
        <v>1</v>
      </c>
      <c r="D482" s="2">
        <v>6</v>
      </c>
      <c r="E482" s="2">
        <v>2</v>
      </c>
      <c r="F482" s="2">
        <v>7</v>
      </c>
      <c r="G482" s="2">
        <v>10</v>
      </c>
      <c r="H482" s="2">
        <v>12</v>
      </c>
      <c r="I482" s="2">
        <v>11</v>
      </c>
      <c r="J482" s="2">
        <v>3</v>
      </c>
      <c r="K482" s="2">
        <v>0</v>
      </c>
      <c r="L482" s="2">
        <v>1</v>
      </c>
      <c r="M482" s="2">
        <v>7</v>
      </c>
      <c r="N482" s="2">
        <v>1</v>
      </c>
      <c r="O482" s="2">
        <v>0</v>
      </c>
      <c r="P482" s="2">
        <v>4</v>
      </c>
      <c r="Q482" s="2">
        <v>3</v>
      </c>
      <c r="R482" s="2">
        <v>0</v>
      </c>
      <c r="S482" s="2">
        <v>1</v>
      </c>
      <c r="T482" s="2">
        <v>4</v>
      </c>
      <c r="U482" s="11">
        <v>7.2698603750083803</v>
      </c>
      <c r="V482" s="11">
        <v>0.96306412067744696</v>
      </c>
      <c r="W482" s="11">
        <v>9.6047859708735501</v>
      </c>
      <c r="X482" s="11">
        <v>3.0238435183064598</v>
      </c>
      <c r="Y482" s="11">
        <v>6.0212345195582504</v>
      </c>
      <c r="Z482" s="11">
        <v>9.2972724663949098</v>
      </c>
      <c r="AA482" s="11">
        <v>12.6487473943757</v>
      </c>
      <c r="AB482" s="11">
        <v>10.7050195778054</v>
      </c>
      <c r="AC482" s="11">
        <v>2.3842748797348698</v>
      </c>
      <c r="AD482" s="11">
        <v>0.63064964688828595</v>
      </c>
      <c r="AE482" s="11">
        <v>5.6003804378713999</v>
      </c>
      <c r="AF482" s="11">
        <v>0.84654704659994096</v>
      </c>
      <c r="AG482" s="11">
        <v>3.6751702632604601</v>
      </c>
      <c r="AH482" s="11">
        <v>2.36757171115537</v>
      </c>
      <c r="AI482" s="11">
        <v>0.377135011965606</v>
      </c>
      <c r="AJ482" s="11">
        <v>6.0905473858984696</v>
      </c>
      <c r="AK482" s="16">
        <v>-1.44127676268954</v>
      </c>
      <c r="AL482" s="16">
        <v>-2.70949750058884</v>
      </c>
      <c r="AM482" s="26">
        <v>7.2422691789608201E-3</v>
      </c>
      <c r="AN482" s="27">
        <v>1.3764426365695401E-2</v>
      </c>
      <c r="AO482" s="11">
        <v>7.4417284928750096</v>
      </c>
      <c r="AP482" s="11">
        <v>2.7465345479218</v>
      </c>
      <c r="AQ482" t="s">
        <v>5875</v>
      </c>
      <c r="AR482" t="s">
        <v>5878</v>
      </c>
      <c r="AS482" t="s">
        <v>1502</v>
      </c>
    </row>
    <row r="483" spans="1:45">
      <c r="A483" t="s">
        <v>2197</v>
      </c>
      <c r="B483" s="2">
        <v>0</v>
      </c>
      <c r="C483" s="2">
        <v>10</v>
      </c>
      <c r="D483" s="2">
        <v>1</v>
      </c>
      <c r="E483" s="2">
        <v>5</v>
      </c>
      <c r="F483" s="2">
        <v>7</v>
      </c>
      <c r="G483" s="2">
        <v>0</v>
      </c>
      <c r="H483" s="2">
        <v>2</v>
      </c>
      <c r="I483" s="2">
        <v>0</v>
      </c>
      <c r="J483" s="2">
        <v>0</v>
      </c>
      <c r="K483" s="2">
        <v>4</v>
      </c>
      <c r="L483" s="2">
        <v>5</v>
      </c>
      <c r="M483" s="2">
        <v>6</v>
      </c>
      <c r="N483" s="2">
        <v>3</v>
      </c>
      <c r="O483" s="2">
        <v>26</v>
      </c>
      <c r="P483" s="2">
        <v>1</v>
      </c>
      <c r="Q483" s="2">
        <v>1</v>
      </c>
      <c r="R483" s="2">
        <v>3</v>
      </c>
      <c r="S483" s="2">
        <v>0</v>
      </c>
      <c r="T483" s="2">
        <v>5</v>
      </c>
      <c r="U483" s="11">
        <v>0.30291084895868198</v>
      </c>
      <c r="V483" s="11">
        <v>9.6306412067744702</v>
      </c>
      <c r="W483" s="11">
        <v>1.6007976618122599</v>
      </c>
      <c r="X483" s="11">
        <v>7.5596087957661497</v>
      </c>
      <c r="Y483" s="11">
        <v>6.0212345195582504</v>
      </c>
      <c r="Z483" s="11">
        <v>0.23243181165987301</v>
      </c>
      <c r="AA483" s="11">
        <v>2.10812456572928</v>
      </c>
      <c r="AB483" s="11">
        <v>0.24329589949557701</v>
      </c>
      <c r="AC483" s="11">
        <v>0.19868957331123899</v>
      </c>
      <c r="AD483" s="11">
        <v>3.1532482344414299</v>
      </c>
      <c r="AE483" s="11">
        <v>4.8003260896040603</v>
      </c>
      <c r="AF483" s="11">
        <v>2.5396411397998202</v>
      </c>
      <c r="AG483" s="11">
        <v>0.91879256581511404</v>
      </c>
      <c r="AH483" s="11">
        <v>0.78919057038512497</v>
      </c>
      <c r="AI483" s="11">
        <v>4.5256201435872701</v>
      </c>
      <c r="AJ483" s="11">
        <v>7.6131842323730803</v>
      </c>
      <c r="AK483" s="16">
        <v>-0.24108993218784899</v>
      </c>
      <c r="AL483" s="16">
        <v>-1.12879059281931</v>
      </c>
      <c r="AM483" s="26">
        <v>0.87348392231536898</v>
      </c>
      <c r="AN483" s="27">
        <v>0.91163922625426197</v>
      </c>
      <c r="AO483" s="11">
        <v>3.46238066371932</v>
      </c>
      <c r="AP483" s="11">
        <v>3.0673365686646399</v>
      </c>
      <c r="AQ483" t="s">
        <v>5875</v>
      </c>
      <c r="AR483" t="s">
        <v>5832</v>
      </c>
      <c r="AS483" t="s">
        <v>2197</v>
      </c>
    </row>
    <row r="484" spans="1:45">
      <c r="A484" t="s">
        <v>2366</v>
      </c>
      <c r="B484" s="2">
        <v>4</v>
      </c>
      <c r="C484" s="2">
        <v>3</v>
      </c>
      <c r="D484" s="2">
        <v>3</v>
      </c>
      <c r="E484" s="2">
        <v>2</v>
      </c>
      <c r="F484" s="2">
        <v>0</v>
      </c>
      <c r="G484" s="2">
        <v>3</v>
      </c>
      <c r="H484" s="2">
        <v>6</v>
      </c>
      <c r="I484" s="2">
        <v>4</v>
      </c>
      <c r="J484" s="2">
        <v>4</v>
      </c>
      <c r="K484" s="2">
        <v>2</v>
      </c>
      <c r="L484" s="2">
        <v>4</v>
      </c>
      <c r="M484" s="2">
        <v>12</v>
      </c>
      <c r="N484" s="2">
        <v>4</v>
      </c>
      <c r="O484" s="2">
        <v>2</v>
      </c>
      <c r="P484" s="2">
        <v>3</v>
      </c>
      <c r="Q484" s="2">
        <v>10</v>
      </c>
      <c r="R484" s="2">
        <v>4</v>
      </c>
      <c r="S484" s="2">
        <v>4</v>
      </c>
      <c r="T484" s="2">
        <v>5</v>
      </c>
      <c r="U484" s="11">
        <v>4.8465735833389196</v>
      </c>
      <c r="V484" s="11">
        <v>2.8891923620323401</v>
      </c>
      <c r="W484" s="11">
        <v>4.8023929854367697</v>
      </c>
      <c r="X484" s="11">
        <v>3.0238435183064598</v>
      </c>
      <c r="Y484" s="11">
        <v>0.215044089984223</v>
      </c>
      <c r="Z484" s="11">
        <v>2.7891817399184702</v>
      </c>
      <c r="AA484" s="11">
        <v>6.3243736971878404</v>
      </c>
      <c r="AB484" s="11">
        <v>3.8927343919292201</v>
      </c>
      <c r="AC484" s="11">
        <v>3.17903317297983</v>
      </c>
      <c r="AD484" s="11">
        <v>2.5225985875531398</v>
      </c>
      <c r="AE484" s="11">
        <v>9.6006521792081099</v>
      </c>
      <c r="AF484" s="11">
        <v>3.3861881863997598</v>
      </c>
      <c r="AG484" s="11">
        <v>2.7563776974453398</v>
      </c>
      <c r="AH484" s="11">
        <v>7.8919057038512497</v>
      </c>
      <c r="AI484" s="11">
        <v>6.0341601914496898</v>
      </c>
      <c r="AJ484" s="11">
        <v>7.6131842323730803</v>
      </c>
      <c r="AK484" s="16">
        <v>0.570579943060044</v>
      </c>
      <c r="AL484" s="16">
        <v>1.4933675304870999</v>
      </c>
      <c r="AM484" s="26">
        <v>0.239581228819776</v>
      </c>
      <c r="AN484" s="27">
        <v>0.309420544556815</v>
      </c>
      <c r="AO484" s="11">
        <v>3.59791704601678</v>
      </c>
      <c r="AP484" s="11">
        <v>5.3730124939075301</v>
      </c>
      <c r="AQ484" t="s">
        <v>5874</v>
      </c>
      <c r="AR484" t="s">
        <v>5832</v>
      </c>
      <c r="AS484" t="s">
        <v>2366</v>
      </c>
    </row>
    <row r="485" spans="1:45">
      <c r="A485" t="s">
        <v>401</v>
      </c>
      <c r="B485" s="2">
        <v>0</v>
      </c>
      <c r="C485" s="2">
        <v>0</v>
      </c>
      <c r="D485" s="2">
        <v>0</v>
      </c>
      <c r="E485" s="2">
        <v>0</v>
      </c>
      <c r="F485" s="2">
        <v>2</v>
      </c>
      <c r="G485" s="2">
        <v>4</v>
      </c>
      <c r="H485" s="2">
        <v>1</v>
      </c>
      <c r="I485" s="2">
        <v>1</v>
      </c>
      <c r="J485" s="2">
        <v>9</v>
      </c>
      <c r="K485" s="2">
        <v>0</v>
      </c>
      <c r="L485" s="2">
        <v>21</v>
      </c>
      <c r="M485" s="2">
        <v>17</v>
      </c>
      <c r="N485" s="2">
        <v>9</v>
      </c>
      <c r="O485" s="2">
        <v>1</v>
      </c>
      <c r="P485" s="2">
        <v>6</v>
      </c>
      <c r="Q485" s="2">
        <v>6</v>
      </c>
      <c r="R485" s="2">
        <v>1</v>
      </c>
      <c r="S485" s="2">
        <v>0</v>
      </c>
      <c r="T485" s="2">
        <v>0</v>
      </c>
      <c r="U485" s="11">
        <v>0.30291084895868198</v>
      </c>
      <c r="V485" s="11">
        <v>0.24076603016936199</v>
      </c>
      <c r="W485" s="11">
        <v>0.40019941545306398</v>
      </c>
      <c r="X485" s="11">
        <v>0.37798043978830698</v>
      </c>
      <c r="Y485" s="11">
        <v>1.72035271987378</v>
      </c>
      <c r="Z485" s="11">
        <v>3.7189089865579601</v>
      </c>
      <c r="AA485" s="11">
        <v>1.05406228286464</v>
      </c>
      <c r="AB485" s="11">
        <v>0.97318359798230603</v>
      </c>
      <c r="AC485" s="11">
        <v>7.1528246392046197</v>
      </c>
      <c r="AD485" s="11">
        <v>13.243642584653999</v>
      </c>
      <c r="AE485" s="11">
        <v>13.600923920544799</v>
      </c>
      <c r="AF485" s="11">
        <v>7.6189234193994704</v>
      </c>
      <c r="AG485" s="11">
        <v>5.5127553948906796</v>
      </c>
      <c r="AH485" s="11">
        <v>4.7351434223107498</v>
      </c>
      <c r="AI485" s="11">
        <v>1.50854004786242</v>
      </c>
      <c r="AJ485" s="11">
        <v>0.38065921161865401</v>
      </c>
      <c r="AK485" s="16">
        <v>2.4486080673339301</v>
      </c>
      <c r="AL485" s="16">
        <v>6.1164297101425698</v>
      </c>
      <c r="AM485" s="26">
        <v>1.1246885850169901E-4</v>
      </c>
      <c r="AN485" s="27">
        <v>3.1220608438853298E-4</v>
      </c>
      <c r="AO485" s="11">
        <v>1.09854554020601</v>
      </c>
      <c r="AP485" s="11">
        <v>6.7191765800606804</v>
      </c>
      <c r="AQ485" t="s">
        <v>5874</v>
      </c>
      <c r="AR485" t="s">
        <v>5876</v>
      </c>
      <c r="AS485" t="s">
        <v>401</v>
      </c>
    </row>
    <row r="486" spans="1:45">
      <c r="A486" t="s">
        <v>1857</v>
      </c>
      <c r="B486" s="2">
        <v>4</v>
      </c>
      <c r="C486" s="2">
        <v>8</v>
      </c>
      <c r="D486" s="2">
        <v>7</v>
      </c>
      <c r="E486" s="2">
        <v>6</v>
      </c>
      <c r="F486" s="2">
        <v>7</v>
      </c>
      <c r="G486" s="2">
        <v>5</v>
      </c>
      <c r="H486" s="2">
        <v>7</v>
      </c>
      <c r="I486" s="2">
        <v>3</v>
      </c>
      <c r="J486" s="2">
        <v>3</v>
      </c>
      <c r="K486" s="2">
        <v>1</v>
      </c>
      <c r="L486" s="2">
        <v>3</v>
      </c>
      <c r="M486" s="2">
        <v>6</v>
      </c>
      <c r="N486" s="2">
        <v>2</v>
      </c>
      <c r="O486" s="2">
        <v>0</v>
      </c>
      <c r="P486" s="2">
        <v>1</v>
      </c>
      <c r="Q486" s="2">
        <v>5</v>
      </c>
      <c r="R486" s="2">
        <v>2</v>
      </c>
      <c r="S486" s="2">
        <v>3</v>
      </c>
      <c r="T486" s="2">
        <v>5</v>
      </c>
      <c r="U486" s="11">
        <v>4.8465735833389196</v>
      </c>
      <c r="V486" s="11">
        <v>7.7045129654195703</v>
      </c>
      <c r="W486" s="11">
        <v>11.2055836326858</v>
      </c>
      <c r="X486" s="11">
        <v>9.0715305549193808</v>
      </c>
      <c r="Y486" s="11">
        <v>6.0212345195582504</v>
      </c>
      <c r="Z486" s="11">
        <v>4.6486362331974602</v>
      </c>
      <c r="AA486" s="11">
        <v>7.3784359800524904</v>
      </c>
      <c r="AB486" s="11">
        <v>2.9195507939469199</v>
      </c>
      <c r="AC486" s="11">
        <v>2.3842748797348698</v>
      </c>
      <c r="AD486" s="11">
        <v>1.89194894066486</v>
      </c>
      <c r="AE486" s="11">
        <v>4.8003260896040603</v>
      </c>
      <c r="AF486" s="11">
        <v>1.6930940931998799</v>
      </c>
      <c r="AG486" s="11">
        <v>0.91879256581511404</v>
      </c>
      <c r="AH486" s="11">
        <v>3.94595285192562</v>
      </c>
      <c r="AI486" s="11">
        <v>3.0170800957248498</v>
      </c>
      <c r="AJ486" s="11">
        <v>7.6131842323730803</v>
      </c>
      <c r="AK486" s="16">
        <v>-1.0499960701111699</v>
      </c>
      <c r="AL486" s="16">
        <v>-2.0482302480412602</v>
      </c>
      <c r="AM486" s="26">
        <v>2.3145480386853001E-2</v>
      </c>
      <c r="AN486" s="27">
        <v>3.9200826275454903E-2</v>
      </c>
      <c r="AO486" s="11">
        <v>6.7245072828898502</v>
      </c>
      <c r="AP486" s="11">
        <v>3.2830817186302901</v>
      </c>
      <c r="AQ486" t="s">
        <v>5875</v>
      </c>
      <c r="AR486" t="s">
        <v>5878</v>
      </c>
      <c r="AS486" t="s">
        <v>1857</v>
      </c>
    </row>
    <row r="487" spans="1:45">
      <c r="A487" t="s">
        <v>2603</v>
      </c>
      <c r="B487" s="2">
        <v>5</v>
      </c>
      <c r="C487" s="2">
        <v>16</v>
      </c>
      <c r="D487" s="2">
        <v>1</v>
      </c>
      <c r="E487" s="2">
        <v>0</v>
      </c>
      <c r="F487" s="2">
        <v>12</v>
      </c>
      <c r="G487" s="2">
        <v>17</v>
      </c>
      <c r="H487" s="2">
        <v>3</v>
      </c>
      <c r="I487" s="2">
        <v>4</v>
      </c>
      <c r="J487" s="2">
        <v>0</v>
      </c>
      <c r="K487" s="2">
        <v>0</v>
      </c>
      <c r="L487" s="2">
        <v>4</v>
      </c>
      <c r="M487" s="2">
        <v>10</v>
      </c>
      <c r="N487" s="2">
        <v>0</v>
      </c>
      <c r="O487" s="2">
        <v>0</v>
      </c>
      <c r="P487" s="2">
        <v>2</v>
      </c>
      <c r="Q487" s="2">
        <v>3</v>
      </c>
      <c r="R487" s="2">
        <v>1</v>
      </c>
      <c r="S487" s="2">
        <v>0</v>
      </c>
      <c r="T487" s="2">
        <v>0</v>
      </c>
      <c r="U487" s="11">
        <v>6.0582169791736504</v>
      </c>
      <c r="V487" s="11">
        <v>15.4090259308391</v>
      </c>
      <c r="W487" s="11">
        <v>1.6007976618122599</v>
      </c>
      <c r="X487" s="11">
        <v>0.37798043978830698</v>
      </c>
      <c r="Y487" s="11">
        <v>10.322116319242699</v>
      </c>
      <c r="Z487" s="11">
        <v>15.805363192871299</v>
      </c>
      <c r="AA487" s="11">
        <v>3.1621868485939202</v>
      </c>
      <c r="AB487" s="11">
        <v>3.8927343919292201</v>
      </c>
      <c r="AC487" s="11">
        <v>0.19868957331123899</v>
      </c>
      <c r="AD487" s="11">
        <v>2.5225985875531398</v>
      </c>
      <c r="AE487" s="11">
        <v>8.0005434826734305</v>
      </c>
      <c r="AF487" s="11">
        <v>0.21163676164998499</v>
      </c>
      <c r="AG487" s="11">
        <v>1.8375851316302301</v>
      </c>
      <c r="AH487" s="11">
        <v>2.36757171115537</v>
      </c>
      <c r="AI487" s="11">
        <v>1.50854004786242</v>
      </c>
      <c r="AJ487" s="11">
        <v>0.38065921161865401</v>
      </c>
      <c r="AK487" s="16">
        <v>-1.6584425863538901</v>
      </c>
      <c r="AL487" s="16">
        <v>-3.32564043865144</v>
      </c>
      <c r="AM487" s="26">
        <v>1.56613986975324E-2</v>
      </c>
      <c r="AN487" s="27">
        <v>2.7499936295667101E-2</v>
      </c>
      <c r="AO487" s="11">
        <v>7.0785527205313201</v>
      </c>
      <c r="AP487" s="11">
        <v>2.1284780634318099</v>
      </c>
      <c r="AQ487" t="s">
        <v>5875</v>
      </c>
      <c r="AR487" t="s">
        <v>5878</v>
      </c>
      <c r="AS487" t="s">
        <v>2603</v>
      </c>
    </row>
    <row r="488" spans="1:45">
      <c r="A488" t="s">
        <v>3975</v>
      </c>
      <c r="B488" s="2">
        <v>3</v>
      </c>
      <c r="C488" s="2">
        <v>4</v>
      </c>
      <c r="D488" s="2">
        <v>1</v>
      </c>
      <c r="E488" s="2">
        <v>2</v>
      </c>
      <c r="F488" s="2">
        <v>4</v>
      </c>
      <c r="G488" s="2">
        <v>5</v>
      </c>
      <c r="H488" s="2">
        <v>3</v>
      </c>
      <c r="I488" s="2">
        <v>9</v>
      </c>
      <c r="J488" s="2">
        <v>3</v>
      </c>
      <c r="K488" s="2">
        <v>0</v>
      </c>
      <c r="L488" s="2">
        <v>16</v>
      </c>
      <c r="M488" s="2">
        <v>4</v>
      </c>
      <c r="N488" s="2">
        <v>3</v>
      </c>
      <c r="O488" s="2">
        <v>0</v>
      </c>
      <c r="P488" s="2">
        <v>7</v>
      </c>
      <c r="Q488" s="2">
        <v>7</v>
      </c>
      <c r="R488" s="2">
        <v>3</v>
      </c>
      <c r="S488" s="2">
        <v>0</v>
      </c>
      <c r="T488" s="2">
        <v>4</v>
      </c>
      <c r="U488" s="11">
        <v>3.6349301875041902</v>
      </c>
      <c r="V488" s="11">
        <v>3.85225648270979</v>
      </c>
      <c r="W488" s="11">
        <v>1.6007976618122599</v>
      </c>
      <c r="X488" s="11">
        <v>3.0238435183064598</v>
      </c>
      <c r="Y488" s="11">
        <v>3.4407054397475698</v>
      </c>
      <c r="Z488" s="11">
        <v>4.6486362331974602</v>
      </c>
      <c r="AA488" s="11">
        <v>3.1621868485939202</v>
      </c>
      <c r="AB488" s="11">
        <v>8.7586523818407507</v>
      </c>
      <c r="AC488" s="11">
        <v>2.3842748797348698</v>
      </c>
      <c r="AD488" s="11">
        <v>10.0903943502126</v>
      </c>
      <c r="AE488" s="11">
        <v>3.2002173930693698</v>
      </c>
      <c r="AF488" s="11">
        <v>2.5396411397998202</v>
      </c>
      <c r="AG488" s="11">
        <v>6.4315479607058004</v>
      </c>
      <c r="AH488" s="11">
        <v>5.5243339926958699</v>
      </c>
      <c r="AI488" s="11">
        <v>4.5256201435872701</v>
      </c>
      <c r="AJ488" s="11">
        <v>6.0905473858984696</v>
      </c>
      <c r="AK488" s="16">
        <v>0.305644345523781</v>
      </c>
      <c r="AL488" s="16">
        <v>1.26973931046545</v>
      </c>
      <c r="AM488" s="26">
        <v>0.46731944224708</v>
      </c>
      <c r="AN488" s="27">
        <v>0.54752488067127203</v>
      </c>
      <c r="AO488" s="11">
        <v>4.01525109421405</v>
      </c>
      <c r="AP488" s="11">
        <v>5.0983221557130101</v>
      </c>
      <c r="AQ488" t="s">
        <v>5874</v>
      </c>
      <c r="AR488" t="s">
        <v>5832</v>
      </c>
      <c r="AS488" t="s">
        <v>3975</v>
      </c>
    </row>
    <row r="489" spans="1:45">
      <c r="A489" t="s">
        <v>4191</v>
      </c>
      <c r="B489" s="2">
        <v>2</v>
      </c>
      <c r="C489" s="2">
        <v>1</v>
      </c>
      <c r="D489" s="2">
        <v>0</v>
      </c>
      <c r="E489" s="2">
        <v>0</v>
      </c>
      <c r="F489" s="2">
        <v>0</v>
      </c>
      <c r="G489" s="2">
        <v>1</v>
      </c>
      <c r="H489" s="2">
        <v>5</v>
      </c>
      <c r="I489" s="2">
        <v>2</v>
      </c>
      <c r="J489" s="2">
        <v>5</v>
      </c>
      <c r="K489" s="2">
        <v>1</v>
      </c>
      <c r="L489" s="2">
        <v>18</v>
      </c>
      <c r="M489" s="2">
        <v>7</v>
      </c>
      <c r="N489" s="2">
        <v>5</v>
      </c>
      <c r="O489" s="2">
        <v>0</v>
      </c>
      <c r="P489" s="2">
        <v>16</v>
      </c>
      <c r="Q489" s="2">
        <v>8</v>
      </c>
      <c r="R489" s="2">
        <v>3</v>
      </c>
      <c r="S489" s="2">
        <v>2</v>
      </c>
      <c r="T489" s="2">
        <v>2</v>
      </c>
      <c r="U489" s="11">
        <v>2.4232867916694598</v>
      </c>
      <c r="V489" s="11">
        <v>0.96306412067744696</v>
      </c>
      <c r="W489" s="11">
        <v>0.40019941545306398</v>
      </c>
      <c r="X489" s="11">
        <v>0.37798043978830698</v>
      </c>
      <c r="Y489" s="11">
        <v>0.215044089984223</v>
      </c>
      <c r="Z489" s="11">
        <v>0.92972724663949102</v>
      </c>
      <c r="AA489" s="11">
        <v>5.2703114143232002</v>
      </c>
      <c r="AB489" s="11">
        <v>1.9463671959646101</v>
      </c>
      <c r="AC489" s="11">
        <v>3.9737914662247902</v>
      </c>
      <c r="AD489" s="11">
        <v>11.351693643989099</v>
      </c>
      <c r="AE489" s="11">
        <v>5.6003804378713999</v>
      </c>
      <c r="AF489" s="11">
        <v>4.2327352329997003</v>
      </c>
      <c r="AG489" s="11">
        <v>14.7006810530418</v>
      </c>
      <c r="AH489" s="11">
        <v>6.3135245630809997</v>
      </c>
      <c r="AI489" s="11">
        <v>4.5256201435872701</v>
      </c>
      <c r="AJ489" s="11">
        <v>3.0452736929492299</v>
      </c>
      <c r="AK489" s="16">
        <v>2.0275789652029599</v>
      </c>
      <c r="AL489" s="16">
        <v>4.2905782356452002</v>
      </c>
      <c r="AM489" s="26">
        <v>3.8342676659251898E-4</v>
      </c>
      <c r="AN489" s="27">
        <v>9.5004632166813198E-4</v>
      </c>
      <c r="AO489" s="11">
        <v>1.5657475893124799</v>
      </c>
      <c r="AP489" s="11">
        <v>6.71796252921804</v>
      </c>
      <c r="AQ489" t="s">
        <v>5874</v>
      </c>
      <c r="AR489" t="s">
        <v>5876</v>
      </c>
      <c r="AS489" t="s">
        <v>4191</v>
      </c>
    </row>
    <row r="490" spans="1:45">
      <c r="A490" t="s">
        <v>5102</v>
      </c>
      <c r="B490" s="2">
        <v>0</v>
      </c>
      <c r="C490" s="2">
        <v>5.6349999999999998</v>
      </c>
      <c r="D490" s="2">
        <v>2.3650000000000002</v>
      </c>
      <c r="E490" s="2">
        <v>0</v>
      </c>
      <c r="F490" s="2">
        <v>7.5890000000000004</v>
      </c>
      <c r="G490" s="2">
        <v>2.73</v>
      </c>
      <c r="H490" s="2">
        <v>5.3470000000000004</v>
      </c>
      <c r="I490" s="2">
        <v>6.8140000000000001</v>
      </c>
      <c r="J490" s="2">
        <v>11.108000000000001</v>
      </c>
      <c r="K490" s="2">
        <v>0</v>
      </c>
      <c r="L490" s="2">
        <v>10.101000000000001</v>
      </c>
      <c r="M490" s="2">
        <v>7.2389999999999999</v>
      </c>
      <c r="N490" s="2">
        <v>8.5259999999999998</v>
      </c>
      <c r="O490" s="2">
        <v>0.5</v>
      </c>
      <c r="P490" s="2">
        <v>3.72</v>
      </c>
      <c r="Q490" s="2">
        <v>3.1179999999999999</v>
      </c>
      <c r="R490" s="2">
        <v>1.1000000000000001</v>
      </c>
      <c r="S490" s="2">
        <v>2</v>
      </c>
      <c r="T490" s="2">
        <v>0</v>
      </c>
      <c r="U490" s="11">
        <v>0.30291084895868198</v>
      </c>
      <c r="V490" s="11">
        <v>5.3931590757937</v>
      </c>
      <c r="W490" s="11">
        <v>3.8419143883494198</v>
      </c>
      <c r="X490" s="11">
        <v>0.37798043978830698</v>
      </c>
      <c r="Y490" s="11">
        <v>6.5373403355203799</v>
      </c>
      <c r="Z490" s="11">
        <v>2.5102635659266301</v>
      </c>
      <c r="AA490" s="11">
        <v>5.5865300991825997</v>
      </c>
      <c r="AB490" s="11">
        <v>6.6176484662796797</v>
      </c>
      <c r="AC490" s="11">
        <v>8.8218170550190305</v>
      </c>
      <c r="AD490" s="11">
        <v>6.3695614335716799</v>
      </c>
      <c r="AE490" s="11">
        <v>5.7603913075248698</v>
      </c>
      <c r="AF490" s="11">
        <v>7.1956498960994999</v>
      </c>
      <c r="AG490" s="11">
        <v>3.3995324935159199</v>
      </c>
      <c r="AH490" s="11">
        <v>2.4464907681938901</v>
      </c>
      <c r="AI490" s="11">
        <v>1.6593940526486699</v>
      </c>
      <c r="AJ490" s="11">
        <v>0.38065921161865401</v>
      </c>
      <c r="AK490" s="16">
        <v>0.22521390989248299</v>
      </c>
      <c r="AL490" s="16">
        <v>1.15611487619169</v>
      </c>
      <c r="AM490" s="26">
        <v>0.74624739923665495</v>
      </c>
      <c r="AN490" s="27">
        <v>0.80914021084168897</v>
      </c>
      <c r="AO490" s="11">
        <v>3.8959684024749199</v>
      </c>
      <c r="AP490" s="11">
        <v>4.5041870272740301</v>
      </c>
      <c r="AQ490" t="s">
        <v>5874</v>
      </c>
      <c r="AR490" t="s">
        <v>5832</v>
      </c>
      <c r="AS490" t="s">
        <v>5102</v>
      </c>
    </row>
    <row r="491" spans="1:45">
      <c r="A491" t="s">
        <v>1086</v>
      </c>
      <c r="B491" s="2">
        <v>14</v>
      </c>
      <c r="C491" s="2">
        <v>3</v>
      </c>
      <c r="D491" s="2">
        <v>2</v>
      </c>
      <c r="E491" s="2">
        <v>0</v>
      </c>
      <c r="F491" s="2">
        <v>3</v>
      </c>
      <c r="G491" s="2">
        <v>14</v>
      </c>
      <c r="H491" s="2">
        <v>3</v>
      </c>
      <c r="I491" s="2">
        <v>6</v>
      </c>
      <c r="J491" s="2">
        <v>0</v>
      </c>
      <c r="K491" s="2">
        <v>0</v>
      </c>
      <c r="L491" s="2">
        <v>8</v>
      </c>
      <c r="M491" s="2">
        <v>3</v>
      </c>
      <c r="N491" s="2">
        <v>1</v>
      </c>
      <c r="O491" s="2">
        <v>1</v>
      </c>
      <c r="P491" s="2">
        <v>1</v>
      </c>
      <c r="Q491" s="2">
        <v>4</v>
      </c>
      <c r="R491" s="2">
        <v>10</v>
      </c>
      <c r="S491" s="2">
        <v>3</v>
      </c>
      <c r="T491" s="2">
        <v>1</v>
      </c>
      <c r="U491" s="11">
        <v>16.963007541686199</v>
      </c>
      <c r="V491" s="11">
        <v>2.8891923620323401</v>
      </c>
      <c r="W491" s="11">
        <v>3.2015953236245198</v>
      </c>
      <c r="X491" s="11">
        <v>0.37798043978830698</v>
      </c>
      <c r="Y491" s="11">
        <v>2.5805290798106801</v>
      </c>
      <c r="Z491" s="11">
        <v>13.0161814529529</v>
      </c>
      <c r="AA491" s="11">
        <v>3.1621868485939202</v>
      </c>
      <c r="AB491" s="11">
        <v>5.8391015878938397</v>
      </c>
      <c r="AC491" s="11">
        <v>0.19868957331123899</v>
      </c>
      <c r="AD491" s="11">
        <v>5.0451971751062796</v>
      </c>
      <c r="AE491" s="11">
        <v>2.4001630448020301</v>
      </c>
      <c r="AF491" s="11">
        <v>0.84654704659994096</v>
      </c>
      <c r="AG491" s="11">
        <v>0.91879256581511404</v>
      </c>
      <c r="AH491" s="11">
        <v>3.1567622815404999</v>
      </c>
      <c r="AI491" s="11">
        <v>15.0854004786242</v>
      </c>
      <c r="AJ491" s="11">
        <v>1.5226368464746201</v>
      </c>
      <c r="AK491" s="16">
        <v>-0.78750361461009499</v>
      </c>
      <c r="AL491" s="16">
        <v>-1.6463105321</v>
      </c>
      <c r="AM491" s="26">
        <v>0.307790856725703</v>
      </c>
      <c r="AN491" s="27">
        <v>0.38705278787499098</v>
      </c>
      <c r="AO491" s="11">
        <v>6.0037218295478398</v>
      </c>
      <c r="AP491" s="11">
        <v>3.6467736265342401</v>
      </c>
      <c r="AQ491" t="s">
        <v>5875</v>
      </c>
      <c r="AR491" t="s">
        <v>5832</v>
      </c>
      <c r="AS491" t="s">
        <v>1086</v>
      </c>
    </row>
    <row r="492" spans="1:45">
      <c r="A492" t="s">
        <v>2270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19</v>
      </c>
      <c r="K492" s="2">
        <v>0</v>
      </c>
      <c r="L492" s="2">
        <v>20</v>
      </c>
      <c r="M492" s="2">
        <v>4</v>
      </c>
      <c r="N492" s="2">
        <v>6</v>
      </c>
      <c r="O492" s="2">
        <v>0</v>
      </c>
      <c r="P492" s="2">
        <v>16</v>
      </c>
      <c r="Q492" s="2">
        <v>12</v>
      </c>
      <c r="R492" s="2">
        <v>0</v>
      </c>
      <c r="S492" s="2">
        <v>0</v>
      </c>
      <c r="T492" s="2">
        <v>0</v>
      </c>
      <c r="U492" s="11">
        <v>0.30291084895868198</v>
      </c>
      <c r="V492" s="11">
        <v>0.24076603016936199</v>
      </c>
      <c r="W492" s="11">
        <v>0.40019941545306398</v>
      </c>
      <c r="X492" s="11">
        <v>0.37798043978830698</v>
      </c>
      <c r="Y492" s="11">
        <v>0.215044089984223</v>
      </c>
      <c r="Z492" s="11">
        <v>0.23243181165987301</v>
      </c>
      <c r="AA492" s="11">
        <v>0.26351557071616</v>
      </c>
      <c r="AB492" s="11">
        <v>0.24329589949557701</v>
      </c>
      <c r="AC492" s="11">
        <v>15.1004075716542</v>
      </c>
      <c r="AD492" s="11">
        <v>12.6129929377657</v>
      </c>
      <c r="AE492" s="11">
        <v>3.2002173930693698</v>
      </c>
      <c r="AF492" s="11">
        <v>5.0792822795996404</v>
      </c>
      <c r="AG492" s="11">
        <v>14.7006810530418</v>
      </c>
      <c r="AH492" s="11">
        <v>9.4702868446214996</v>
      </c>
      <c r="AI492" s="11">
        <v>0.377135011965606</v>
      </c>
      <c r="AJ492" s="11">
        <v>0.38065921161865401</v>
      </c>
      <c r="AK492" s="16">
        <v>4.3316239798708596</v>
      </c>
      <c r="AL492" s="16">
        <v>26.765292292661002</v>
      </c>
      <c r="AM492" s="26">
        <v>8.3531655710619601E-7</v>
      </c>
      <c r="AN492" s="27">
        <v>4.2335361871518597E-6</v>
      </c>
      <c r="AO492" s="11">
        <v>0.28451801327815601</v>
      </c>
      <c r="AP492" s="11">
        <v>7.6152077879170603</v>
      </c>
      <c r="AQ492" t="s">
        <v>5874</v>
      </c>
      <c r="AR492" t="s">
        <v>5876</v>
      </c>
      <c r="AS492" t="s">
        <v>2270</v>
      </c>
    </row>
    <row r="493" spans="1:45">
      <c r="A493" t="s">
        <v>3015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6</v>
      </c>
      <c r="K493" s="2">
        <v>0</v>
      </c>
      <c r="L493" s="2">
        <v>10</v>
      </c>
      <c r="M493" s="2">
        <v>1</v>
      </c>
      <c r="N493" s="2">
        <v>5</v>
      </c>
      <c r="O493" s="2">
        <v>0</v>
      </c>
      <c r="P493" s="2">
        <v>40</v>
      </c>
      <c r="Q493" s="2">
        <v>10</v>
      </c>
      <c r="R493" s="2">
        <v>0</v>
      </c>
      <c r="S493" s="2">
        <v>1</v>
      </c>
      <c r="T493" s="2">
        <v>3</v>
      </c>
      <c r="U493" s="11">
        <v>0.30291084895868198</v>
      </c>
      <c r="V493" s="11">
        <v>0.24076603016936199</v>
      </c>
      <c r="W493" s="11">
        <v>0.40019941545306398</v>
      </c>
      <c r="X493" s="11">
        <v>0.37798043978830698</v>
      </c>
      <c r="Y493" s="11">
        <v>0.215044089984223</v>
      </c>
      <c r="Z493" s="11">
        <v>0.23243181165987301</v>
      </c>
      <c r="AA493" s="11">
        <v>0.26351557071616</v>
      </c>
      <c r="AB493" s="11">
        <v>0.97318359798230603</v>
      </c>
      <c r="AC493" s="11">
        <v>4.7685497594697397</v>
      </c>
      <c r="AD493" s="11">
        <v>6.3064964688828598</v>
      </c>
      <c r="AE493" s="11">
        <v>0.80005434826734301</v>
      </c>
      <c r="AF493" s="11">
        <v>4.2327352329997003</v>
      </c>
      <c r="AG493" s="11">
        <v>36.751702632604598</v>
      </c>
      <c r="AH493" s="11">
        <v>7.8919057038512497</v>
      </c>
      <c r="AI493" s="11">
        <v>0.377135011965606</v>
      </c>
      <c r="AJ493" s="11">
        <v>4.5679105394238499</v>
      </c>
      <c r="AK493" s="16">
        <v>4.0805068458269602</v>
      </c>
      <c r="AL493" s="16">
        <v>21.854888426158801</v>
      </c>
      <c r="AM493" s="26">
        <v>6.8846750273344904E-6</v>
      </c>
      <c r="AN493" s="27">
        <v>2.64703884671654E-5</v>
      </c>
      <c r="AO493" s="11">
        <v>0.37575397558899698</v>
      </c>
      <c r="AP493" s="11">
        <v>8.2120612121831105</v>
      </c>
      <c r="AQ493" t="s">
        <v>5874</v>
      </c>
      <c r="AR493" t="s">
        <v>5876</v>
      </c>
      <c r="AS493" t="s">
        <v>3015</v>
      </c>
    </row>
    <row r="494" spans="1:45">
      <c r="A494" t="s">
        <v>4272</v>
      </c>
      <c r="B494" s="2">
        <v>5</v>
      </c>
      <c r="C494" s="2">
        <v>7</v>
      </c>
      <c r="D494" s="2">
        <v>10</v>
      </c>
      <c r="E494" s="2">
        <v>10</v>
      </c>
      <c r="F494" s="2">
        <v>8</v>
      </c>
      <c r="G494" s="2">
        <v>10</v>
      </c>
      <c r="H494" s="2">
        <v>10</v>
      </c>
      <c r="I494" s="2">
        <v>1</v>
      </c>
      <c r="J494" s="2">
        <v>0</v>
      </c>
      <c r="K494" s="2">
        <v>0</v>
      </c>
      <c r="L494" s="2">
        <v>6</v>
      </c>
      <c r="M494" s="2">
        <v>3</v>
      </c>
      <c r="N494" s="2">
        <v>0</v>
      </c>
      <c r="O494" s="2">
        <v>0</v>
      </c>
      <c r="P494" s="2">
        <v>2</v>
      </c>
      <c r="Q494" s="2">
        <v>4</v>
      </c>
      <c r="R494" s="2">
        <v>0</v>
      </c>
      <c r="S494" s="2">
        <v>1</v>
      </c>
      <c r="T494" s="2">
        <v>0</v>
      </c>
      <c r="U494" s="11">
        <v>6.0582169791736504</v>
      </c>
      <c r="V494" s="11">
        <v>6.7414488447421297</v>
      </c>
      <c r="W494" s="11">
        <v>16.007976618122601</v>
      </c>
      <c r="X494" s="11">
        <v>15.119217591532299</v>
      </c>
      <c r="Y494" s="11">
        <v>6.8814108794951396</v>
      </c>
      <c r="Z494" s="11">
        <v>9.2972724663949098</v>
      </c>
      <c r="AA494" s="11">
        <v>10.5406228286464</v>
      </c>
      <c r="AB494" s="11">
        <v>0.97318359798230603</v>
      </c>
      <c r="AC494" s="11">
        <v>0.19868957331123899</v>
      </c>
      <c r="AD494" s="11">
        <v>3.7838978813297102</v>
      </c>
      <c r="AE494" s="11">
        <v>2.4001630448020301</v>
      </c>
      <c r="AF494" s="11">
        <v>0.21163676164998499</v>
      </c>
      <c r="AG494" s="11">
        <v>1.8375851316302301</v>
      </c>
      <c r="AH494" s="11">
        <v>3.1567622815404999</v>
      </c>
      <c r="AI494" s="11">
        <v>0.377135011965606</v>
      </c>
      <c r="AJ494" s="11">
        <v>0.38065921161865401</v>
      </c>
      <c r="AK494" s="16">
        <v>-2.2779461371678802</v>
      </c>
      <c r="AL494" s="16">
        <v>-5.8007680052142403</v>
      </c>
      <c r="AM494" s="26">
        <v>2.1718101404393601E-5</v>
      </c>
      <c r="AN494" s="27">
        <v>7.1927771482867896E-5</v>
      </c>
      <c r="AO494" s="11">
        <v>8.9524187257611807</v>
      </c>
      <c r="AP494" s="11">
        <v>1.54331611223099</v>
      </c>
      <c r="AQ494" t="s">
        <v>5875</v>
      </c>
      <c r="AR494" t="s">
        <v>5876</v>
      </c>
      <c r="AS494" t="s">
        <v>4272</v>
      </c>
    </row>
    <row r="495" spans="1:45">
      <c r="A495" t="s">
        <v>1306</v>
      </c>
      <c r="B495" s="2">
        <v>0</v>
      </c>
      <c r="C495" s="2">
        <v>1</v>
      </c>
      <c r="D495" s="2">
        <v>0</v>
      </c>
      <c r="E495" s="2">
        <v>0</v>
      </c>
      <c r="F495" s="2">
        <v>2</v>
      </c>
      <c r="G495" s="2">
        <v>0</v>
      </c>
      <c r="H495" s="2">
        <v>0</v>
      </c>
      <c r="I495" s="2">
        <v>5</v>
      </c>
      <c r="J495" s="2">
        <v>9</v>
      </c>
      <c r="K495" s="2">
        <v>3</v>
      </c>
      <c r="L495" s="2">
        <v>10</v>
      </c>
      <c r="M495" s="2">
        <v>12</v>
      </c>
      <c r="N495" s="2">
        <v>15</v>
      </c>
      <c r="O495" s="2">
        <v>3</v>
      </c>
      <c r="P495" s="2">
        <v>4</v>
      </c>
      <c r="Q495" s="2">
        <v>3</v>
      </c>
      <c r="R495" s="2">
        <v>5</v>
      </c>
      <c r="S495" s="2">
        <v>0</v>
      </c>
      <c r="T495" s="2">
        <v>4</v>
      </c>
      <c r="U495" s="11">
        <v>0.30291084895868198</v>
      </c>
      <c r="V495" s="11">
        <v>0.96306412067744696</v>
      </c>
      <c r="W495" s="11">
        <v>0.40019941545306398</v>
      </c>
      <c r="X495" s="11">
        <v>0.37798043978830698</v>
      </c>
      <c r="Y495" s="11">
        <v>1.72035271987378</v>
      </c>
      <c r="Z495" s="11">
        <v>0.23243181165987301</v>
      </c>
      <c r="AA495" s="11">
        <v>0.26351557071616</v>
      </c>
      <c r="AB495" s="11">
        <v>4.8659179899115301</v>
      </c>
      <c r="AC495" s="11">
        <v>7.1528246392046197</v>
      </c>
      <c r="AD495" s="11">
        <v>6.3064964688828598</v>
      </c>
      <c r="AE495" s="11">
        <v>9.6006521792081099</v>
      </c>
      <c r="AF495" s="11">
        <v>12.6982056989991</v>
      </c>
      <c r="AG495" s="11">
        <v>3.6751702632604601</v>
      </c>
      <c r="AH495" s="11">
        <v>2.36757171115537</v>
      </c>
      <c r="AI495" s="11">
        <v>7.5427002393121096</v>
      </c>
      <c r="AJ495" s="11">
        <v>6.0905473858984696</v>
      </c>
      <c r="AK495" s="16">
        <v>2.3802311903382201</v>
      </c>
      <c r="AL495" s="16">
        <v>6.0740634959619104</v>
      </c>
      <c r="AM495" s="26">
        <v>2.7078020561338999E-5</v>
      </c>
      <c r="AN495" s="27">
        <v>8.7092287286229703E-5</v>
      </c>
      <c r="AO495" s="11">
        <v>1.14079661462986</v>
      </c>
      <c r="AP495" s="11">
        <v>6.9292710732401401</v>
      </c>
      <c r="AQ495" t="s">
        <v>5874</v>
      </c>
      <c r="AR495" t="s">
        <v>5876</v>
      </c>
      <c r="AS495" t="s">
        <v>1306</v>
      </c>
    </row>
    <row r="496" spans="1:45">
      <c r="A496" t="s">
        <v>2974</v>
      </c>
      <c r="B496" s="2">
        <v>5</v>
      </c>
      <c r="C496" s="2">
        <v>0</v>
      </c>
      <c r="D496" s="2">
        <v>2</v>
      </c>
      <c r="E496" s="2">
        <v>0</v>
      </c>
      <c r="F496" s="2">
        <v>5</v>
      </c>
      <c r="G496" s="2">
        <v>4</v>
      </c>
      <c r="H496" s="2">
        <v>15</v>
      </c>
      <c r="I496" s="2">
        <v>16</v>
      </c>
      <c r="J496" s="2">
        <v>8</v>
      </c>
      <c r="K496" s="2">
        <v>0</v>
      </c>
      <c r="L496" s="2">
        <v>4</v>
      </c>
      <c r="M496" s="2">
        <v>4</v>
      </c>
      <c r="N496" s="2">
        <v>6</v>
      </c>
      <c r="O496" s="2">
        <v>1</v>
      </c>
      <c r="P496" s="2">
        <v>1</v>
      </c>
      <c r="Q496" s="2">
        <v>1</v>
      </c>
      <c r="R496" s="2">
        <v>3</v>
      </c>
      <c r="S496" s="2">
        <v>1</v>
      </c>
      <c r="T496" s="2">
        <v>0</v>
      </c>
      <c r="U496" s="11">
        <v>6.0582169791736504</v>
      </c>
      <c r="V496" s="11">
        <v>0.24076603016936199</v>
      </c>
      <c r="W496" s="11">
        <v>3.2015953236245198</v>
      </c>
      <c r="X496" s="11">
        <v>0.37798043978830698</v>
      </c>
      <c r="Y496" s="11">
        <v>4.3008817996844604</v>
      </c>
      <c r="Z496" s="11">
        <v>3.7189089865579601</v>
      </c>
      <c r="AA496" s="11">
        <v>15.8109342429696</v>
      </c>
      <c r="AB496" s="11">
        <v>15.5709375677169</v>
      </c>
      <c r="AC496" s="11">
        <v>6.35806634595966</v>
      </c>
      <c r="AD496" s="11">
        <v>2.5225985875531398</v>
      </c>
      <c r="AE496" s="11">
        <v>3.2002173930693698</v>
      </c>
      <c r="AF496" s="11">
        <v>5.0792822795996404</v>
      </c>
      <c r="AG496" s="11">
        <v>0.91879256581511404</v>
      </c>
      <c r="AH496" s="11">
        <v>0.78919057038512497</v>
      </c>
      <c r="AI496" s="11">
        <v>4.5256201435872701</v>
      </c>
      <c r="AJ496" s="11">
        <v>0.38065921161865401</v>
      </c>
      <c r="AK496" s="16">
        <v>-1.0272869939123701</v>
      </c>
      <c r="AL496" s="16">
        <v>-2.0728247695476298</v>
      </c>
      <c r="AM496" s="26">
        <v>0.116139299981509</v>
      </c>
      <c r="AN496" s="27">
        <v>0.161532623051205</v>
      </c>
      <c r="AO496" s="11">
        <v>6.1600276712106004</v>
      </c>
      <c r="AP496" s="11">
        <v>2.9718033871984999</v>
      </c>
      <c r="AQ496" t="s">
        <v>5875</v>
      </c>
      <c r="AR496" t="s">
        <v>5832</v>
      </c>
      <c r="AS496" t="s">
        <v>2974</v>
      </c>
    </row>
    <row r="497" spans="1:45">
      <c r="A497" t="s">
        <v>2738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2.4</v>
      </c>
      <c r="I497" s="2">
        <v>0</v>
      </c>
      <c r="J497" s="2">
        <v>6.75</v>
      </c>
      <c r="K497" s="2">
        <v>0</v>
      </c>
      <c r="L497" s="2">
        <v>10.769</v>
      </c>
      <c r="M497" s="2">
        <v>3</v>
      </c>
      <c r="N497" s="2">
        <v>4</v>
      </c>
      <c r="O497" s="2">
        <v>0</v>
      </c>
      <c r="P497" s="2">
        <v>39.765000000000001</v>
      </c>
      <c r="Q497" s="2">
        <v>8.8000000000000007</v>
      </c>
      <c r="R497" s="2">
        <v>0.5</v>
      </c>
      <c r="S497" s="2">
        <v>0</v>
      </c>
      <c r="T497" s="2">
        <v>0</v>
      </c>
      <c r="U497" s="11">
        <v>0.30291084895868198</v>
      </c>
      <c r="V497" s="11">
        <v>0.24076603016936199</v>
      </c>
      <c r="W497" s="11">
        <v>0.40019941545306398</v>
      </c>
      <c r="X497" s="11">
        <v>0.37798043978830698</v>
      </c>
      <c r="Y497" s="11">
        <v>0.215044089984223</v>
      </c>
      <c r="Z497" s="11">
        <v>0.23243181165987301</v>
      </c>
      <c r="AA497" s="11">
        <v>2.5297494788751398</v>
      </c>
      <c r="AB497" s="11">
        <v>0.24329589949557701</v>
      </c>
      <c r="AC497" s="11">
        <v>5.4043563940657098</v>
      </c>
      <c r="AD497" s="11">
        <v>6.8110161863934904</v>
      </c>
      <c r="AE497" s="11">
        <v>2.4001630448020301</v>
      </c>
      <c r="AF497" s="11">
        <v>3.3861881863997598</v>
      </c>
      <c r="AG497" s="11">
        <v>36.567944119441499</v>
      </c>
      <c r="AH497" s="11">
        <v>6.9448770193891001</v>
      </c>
      <c r="AI497" s="11">
        <v>0.75427002393121101</v>
      </c>
      <c r="AJ497" s="11">
        <v>0.38065921161865401</v>
      </c>
      <c r="AK497" s="16">
        <v>3.5461745400761502</v>
      </c>
      <c r="AL497" s="16">
        <v>13.792219403063999</v>
      </c>
      <c r="AM497" s="26">
        <v>1.10713159402346E-4</v>
      </c>
      <c r="AN497" s="27">
        <v>3.0861293183403999E-4</v>
      </c>
      <c r="AO497" s="11">
        <v>0.56779725179802798</v>
      </c>
      <c r="AP497" s="11">
        <v>7.8311842732551904</v>
      </c>
      <c r="AQ497" t="s">
        <v>5874</v>
      </c>
      <c r="AR497" t="s">
        <v>5876</v>
      </c>
      <c r="AS497" t="s">
        <v>2738</v>
      </c>
    </row>
    <row r="498" spans="1:45">
      <c r="A498" t="s">
        <v>308</v>
      </c>
      <c r="B498" s="2">
        <v>3</v>
      </c>
      <c r="C498" s="2">
        <v>6</v>
      </c>
      <c r="D498" s="2">
        <v>2</v>
      </c>
      <c r="E498" s="2">
        <v>2</v>
      </c>
      <c r="F498" s="2">
        <v>3</v>
      </c>
      <c r="G498" s="2">
        <v>6</v>
      </c>
      <c r="H498" s="2">
        <v>5</v>
      </c>
      <c r="I498" s="2">
        <v>0</v>
      </c>
      <c r="J498" s="2">
        <v>6</v>
      </c>
      <c r="K498" s="2">
        <v>1</v>
      </c>
      <c r="L498" s="2">
        <v>6</v>
      </c>
      <c r="M498" s="2">
        <v>7</v>
      </c>
      <c r="N498" s="2">
        <v>6</v>
      </c>
      <c r="O498" s="2">
        <v>3</v>
      </c>
      <c r="P498" s="2">
        <v>4</v>
      </c>
      <c r="Q498" s="2">
        <v>1</v>
      </c>
      <c r="R498" s="2">
        <v>6</v>
      </c>
      <c r="S498" s="2">
        <v>1</v>
      </c>
      <c r="T498" s="2">
        <v>7</v>
      </c>
      <c r="U498" s="11">
        <v>3.6349301875041902</v>
      </c>
      <c r="V498" s="11">
        <v>5.7783847240646802</v>
      </c>
      <c r="W498" s="11">
        <v>3.2015953236245198</v>
      </c>
      <c r="X498" s="11">
        <v>3.0238435183064598</v>
      </c>
      <c r="Y498" s="11">
        <v>2.5805290798106801</v>
      </c>
      <c r="Z498" s="11">
        <v>5.5783634798369501</v>
      </c>
      <c r="AA498" s="11">
        <v>5.2703114143232002</v>
      </c>
      <c r="AB498" s="11">
        <v>0.24329589949557701</v>
      </c>
      <c r="AC498" s="11">
        <v>4.7685497594697397</v>
      </c>
      <c r="AD498" s="11">
        <v>3.7838978813297102</v>
      </c>
      <c r="AE498" s="11">
        <v>5.6003804378713999</v>
      </c>
      <c r="AF498" s="11">
        <v>5.0792822795996404</v>
      </c>
      <c r="AG498" s="11">
        <v>3.6751702632604601</v>
      </c>
      <c r="AH498" s="11">
        <v>0.78919057038512497</v>
      </c>
      <c r="AI498" s="11">
        <v>9.0512402871745401</v>
      </c>
      <c r="AJ498" s="11">
        <v>10.658457925322301</v>
      </c>
      <c r="AK498" s="16">
        <v>0.44827802146088103</v>
      </c>
      <c r="AL498" s="16">
        <v>1.4808704519031399</v>
      </c>
      <c r="AM498" s="26">
        <v>0.33490791708369999</v>
      </c>
      <c r="AN498" s="27">
        <v>0.41580079310399698</v>
      </c>
      <c r="AO498" s="11">
        <v>3.6639067033707802</v>
      </c>
      <c r="AP498" s="11">
        <v>5.4257711755516196</v>
      </c>
      <c r="AQ498" t="s">
        <v>5874</v>
      </c>
      <c r="AR498" t="s">
        <v>5832</v>
      </c>
      <c r="AS498" t="s">
        <v>308</v>
      </c>
    </row>
    <row r="499" spans="1:45">
      <c r="A499" t="s">
        <v>1931</v>
      </c>
      <c r="B499" s="2">
        <v>5</v>
      </c>
      <c r="C499" s="2">
        <v>8</v>
      </c>
      <c r="D499" s="2">
        <v>5</v>
      </c>
      <c r="E499" s="2">
        <v>4</v>
      </c>
      <c r="F499" s="2">
        <v>5</v>
      </c>
      <c r="G499" s="2">
        <v>7</v>
      </c>
      <c r="H499" s="2">
        <v>9</v>
      </c>
      <c r="I499" s="2">
        <v>4</v>
      </c>
      <c r="J499" s="2">
        <v>3</v>
      </c>
      <c r="K499" s="2">
        <v>0</v>
      </c>
      <c r="L499" s="2">
        <v>6</v>
      </c>
      <c r="M499" s="2">
        <v>5</v>
      </c>
      <c r="N499" s="2">
        <v>2</v>
      </c>
      <c r="O499" s="2">
        <v>0</v>
      </c>
      <c r="P499" s="2">
        <v>4</v>
      </c>
      <c r="Q499" s="2">
        <v>5</v>
      </c>
      <c r="R499" s="2">
        <v>1</v>
      </c>
      <c r="S499" s="2">
        <v>2</v>
      </c>
      <c r="T499" s="2">
        <v>0</v>
      </c>
      <c r="U499" s="11">
        <v>6.0582169791736504</v>
      </c>
      <c r="V499" s="11">
        <v>7.7045129654195703</v>
      </c>
      <c r="W499" s="11">
        <v>8.00398830906129</v>
      </c>
      <c r="X499" s="11">
        <v>6.0476870366129196</v>
      </c>
      <c r="Y499" s="11">
        <v>4.3008817996844604</v>
      </c>
      <c r="Z499" s="11">
        <v>6.50809072647644</v>
      </c>
      <c r="AA499" s="11">
        <v>9.4865605457817708</v>
      </c>
      <c r="AB499" s="11">
        <v>3.8927343919292201</v>
      </c>
      <c r="AC499" s="11">
        <v>2.3842748797348698</v>
      </c>
      <c r="AD499" s="11">
        <v>3.7838978813297102</v>
      </c>
      <c r="AE499" s="11">
        <v>4.0002717413367099</v>
      </c>
      <c r="AF499" s="11">
        <v>1.6930940931998799</v>
      </c>
      <c r="AG499" s="11">
        <v>3.6751702632604601</v>
      </c>
      <c r="AH499" s="11">
        <v>3.94595285192562</v>
      </c>
      <c r="AI499" s="11">
        <v>1.50854004786242</v>
      </c>
      <c r="AJ499" s="11">
        <v>0.38065921161865401</v>
      </c>
      <c r="AK499" s="16">
        <v>-1.1175259920709499</v>
      </c>
      <c r="AL499" s="16">
        <v>-2.43323091173405</v>
      </c>
      <c r="AM499" s="26">
        <v>3.3659411527267999E-3</v>
      </c>
      <c r="AN499" s="27">
        <v>6.8030653509795497E-3</v>
      </c>
      <c r="AO499" s="11">
        <v>6.5003340942674104</v>
      </c>
      <c r="AP499" s="11">
        <v>2.6714826212835399</v>
      </c>
      <c r="AQ499" t="s">
        <v>5875</v>
      </c>
      <c r="AR499" t="s">
        <v>5876</v>
      </c>
      <c r="AS499" t="s">
        <v>1931</v>
      </c>
    </row>
    <row r="500" spans="1:45">
      <c r="A500" t="s">
        <v>3335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2</v>
      </c>
      <c r="I500" s="2">
        <v>0</v>
      </c>
      <c r="J500" s="2">
        <v>6</v>
      </c>
      <c r="K500" s="2">
        <v>0</v>
      </c>
      <c r="L500" s="2">
        <v>13</v>
      </c>
      <c r="M500" s="2">
        <v>6</v>
      </c>
      <c r="N500" s="2">
        <v>18</v>
      </c>
      <c r="O500" s="2">
        <v>2</v>
      </c>
      <c r="P500" s="2">
        <v>15</v>
      </c>
      <c r="Q500" s="2">
        <v>8</v>
      </c>
      <c r="R500" s="2">
        <v>2</v>
      </c>
      <c r="S500" s="2">
        <v>0</v>
      </c>
      <c r="T500" s="2">
        <v>3</v>
      </c>
      <c r="U500" s="11">
        <v>0.30291084895868198</v>
      </c>
      <c r="V500" s="11">
        <v>0.24076603016936199</v>
      </c>
      <c r="W500" s="11">
        <v>0.40019941545306398</v>
      </c>
      <c r="X500" s="11">
        <v>0.37798043978830698</v>
      </c>
      <c r="Y500" s="11">
        <v>0.215044089984223</v>
      </c>
      <c r="Z500" s="11">
        <v>0.23243181165987301</v>
      </c>
      <c r="AA500" s="11">
        <v>2.10812456572928</v>
      </c>
      <c r="AB500" s="11">
        <v>0.24329589949557701</v>
      </c>
      <c r="AC500" s="11">
        <v>4.7685497594697397</v>
      </c>
      <c r="AD500" s="11">
        <v>8.1984454095477108</v>
      </c>
      <c r="AE500" s="11">
        <v>4.8003260896040603</v>
      </c>
      <c r="AF500" s="11">
        <v>15.2378468387989</v>
      </c>
      <c r="AG500" s="11">
        <v>13.7818884872267</v>
      </c>
      <c r="AH500" s="11">
        <v>6.3135245630809997</v>
      </c>
      <c r="AI500" s="11">
        <v>3.0170800957248498</v>
      </c>
      <c r="AJ500" s="11">
        <v>4.5679105394238499</v>
      </c>
      <c r="AK500" s="16">
        <v>3.63507383383021</v>
      </c>
      <c r="AL500" s="16">
        <v>14.726815776620899</v>
      </c>
      <c r="AM500" s="26">
        <v>5.2078726424428501E-8</v>
      </c>
      <c r="AN500" s="27">
        <v>3.8286448327409498E-7</v>
      </c>
      <c r="AO500" s="11">
        <v>0.51509413765479595</v>
      </c>
      <c r="AP500" s="11">
        <v>7.5856964728596097</v>
      </c>
      <c r="AQ500" t="s">
        <v>5874</v>
      </c>
      <c r="AR500" t="s">
        <v>5876</v>
      </c>
      <c r="AS500" t="s">
        <v>3335</v>
      </c>
    </row>
    <row r="501" spans="1:45">
      <c r="A501" t="s">
        <v>4052</v>
      </c>
      <c r="B501" s="2">
        <v>5</v>
      </c>
      <c r="C501" s="2">
        <v>10</v>
      </c>
      <c r="D501" s="2">
        <v>6</v>
      </c>
      <c r="E501" s="2">
        <v>8</v>
      </c>
      <c r="F501" s="2">
        <v>12</v>
      </c>
      <c r="G501" s="2">
        <v>14</v>
      </c>
      <c r="H501" s="2">
        <v>8</v>
      </c>
      <c r="I501" s="2">
        <v>8</v>
      </c>
      <c r="J501" s="2">
        <v>1</v>
      </c>
      <c r="K501" s="2">
        <v>0</v>
      </c>
      <c r="L501" s="2">
        <v>0</v>
      </c>
      <c r="M501" s="2">
        <v>0</v>
      </c>
      <c r="N501" s="2">
        <v>1</v>
      </c>
      <c r="O501" s="2">
        <v>0</v>
      </c>
      <c r="P501" s="2">
        <v>0</v>
      </c>
      <c r="Q501" s="2">
        <v>1</v>
      </c>
      <c r="R501" s="2">
        <v>0</v>
      </c>
      <c r="S501" s="2">
        <v>1</v>
      </c>
      <c r="T501" s="2">
        <v>0</v>
      </c>
      <c r="U501" s="11">
        <v>6.0582169791736504</v>
      </c>
      <c r="V501" s="11">
        <v>9.6306412067744702</v>
      </c>
      <c r="W501" s="11">
        <v>9.6047859708735501</v>
      </c>
      <c r="X501" s="11">
        <v>12.0953740732258</v>
      </c>
      <c r="Y501" s="11">
        <v>10.322116319242699</v>
      </c>
      <c r="Z501" s="11">
        <v>13.0161814529529</v>
      </c>
      <c r="AA501" s="11">
        <v>8.4324982629171306</v>
      </c>
      <c r="AB501" s="11">
        <v>7.78546878385845</v>
      </c>
      <c r="AC501" s="11">
        <v>0.79475829324495695</v>
      </c>
      <c r="AD501" s="11">
        <v>0.15766241172207099</v>
      </c>
      <c r="AE501" s="11">
        <v>0.200013587066836</v>
      </c>
      <c r="AF501" s="11">
        <v>0.84654704659994096</v>
      </c>
      <c r="AG501" s="11">
        <v>0.22969814145377901</v>
      </c>
      <c r="AH501" s="11">
        <v>0.78919057038512497</v>
      </c>
      <c r="AI501" s="11">
        <v>0.377135011965606</v>
      </c>
      <c r="AJ501" s="11">
        <v>0.38065921161865401</v>
      </c>
      <c r="AK501" s="16">
        <v>-4.0275733635509203</v>
      </c>
      <c r="AL501" s="16">
        <v>-20.3792703651431</v>
      </c>
      <c r="AM501" s="26">
        <v>1.49271122064565E-15</v>
      </c>
      <c r="AN501" s="27">
        <v>1.24827975826492E-13</v>
      </c>
      <c r="AO501" s="11">
        <v>9.6181603811273302</v>
      </c>
      <c r="AP501" s="11">
        <v>0.47195803425712102</v>
      </c>
      <c r="AQ501" t="s">
        <v>5875</v>
      </c>
      <c r="AR501" t="s">
        <v>5876</v>
      </c>
      <c r="AS501" t="s">
        <v>4052</v>
      </c>
    </row>
    <row r="502" spans="1:45">
      <c r="A502" t="s">
        <v>5100</v>
      </c>
      <c r="B502" s="2">
        <v>9</v>
      </c>
      <c r="C502" s="2">
        <v>8</v>
      </c>
      <c r="D502" s="2">
        <v>8</v>
      </c>
      <c r="E502" s="2">
        <v>7</v>
      </c>
      <c r="F502" s="2">
        <v>11</v>
      </c>
      <c r="G502" s="2">
        <v>6</v>
      </c>
      <c r="H502" s="2">
        <v>3</v>
      </c>
      <c r="I502" s="2">
        <v>2</v>
      </c>
      <c r="J502" s="2">
        <v>2</v>
      </c>
      <c r="K502" s="2">
        <v>1</v>
      </c>
      <c r="L502" s="2">
        <v>1</v>
      </c>
      <c r="M502" s="2">
        <v>3</v>
      </c>
      <c r="N502" s="2">
        <v>3</v>
      </c>
      <c r="O502" s="2">
        <v>0</v>
      </c>
      <c r="P502" s="2">
        <v>1</v>
      </c>
      <c r="Q502" s="2">
        <v>3</v>
      </c>
      <c r="R502" s="2">
        <v>2</v>
      </c>
      <c r="S502" s="2">
        <v>3</v>
      </c>
      <c r="T502" s="2">
        <v>2</v>
      </c>
      <c r="U502" s="11">
        <v>10.9047905625126</v>
      </c>
      <c r="V502" s="11">
        <v>7.7045129654195703</v>
      </c>
      <c r="W502" s="11">
        <v>12.806381294498101</v>
      </c>
      <c r="X502" s="11">
        <v>10.5834523140726</v>
      </c>
      <c r="Y502" s="11">
        <v>9.4619399593058091</v>
      </c>
      <c r="Z502" s="11">
        <v>5.5783634798369501</v>
      </c>
      <c r="AA502" s="11">
        <v>3.1621868485939202</v>
      </c>
      <c r="AB502" s="11">
        <v>1.9463671959646101</v>
      </c>
      <c r="AC502" s="11">
        <v>1.5895165864899099</v>
      </c>
      <c r="AD502" s="11">
        <v>0.63064964688828595</v>
      </c>
      <c r="AE502" s="11">
        <v>2.4001630448020301</v>
      </c>
      <c r="AF502" s="11">
        <v>2.5396411397998202</v>
      </c>
      <c r="AG502" s="11">
        <v>0.91879256581511404</v>
      </c>
      <c r="AH502" s="11">
        <v>2.36757171115537</v>
      </c>
      <c r="AI502" s="11">
        <v>3.0170800957248498</v>
      </c>
      <c r="AJ502" s="11">
        <v>3.0452736929492299</v>
      </c>
      <c r="AK502" s="16">
        <v>-1.8933331978029799</v>
      </c>
      <c r="AL502" s="16">
        <v>-3.7645628047225101</v>
      </c>
      <c r="AM502" s="26">
        <v>1.7399742745222399E-4</v>
      </c>
      <c r="AN502" s="27">
        <v>4.6192174192673702E-4</v>
      </c>
      <c r="AO502" s="11">
        <v>7.7684993275255101</v>
      </c>
      <c r="AP502" s="11">
        <v>2.0635860604530798</v>
      </c>
      <c r="AQ502" t="s">
        <v>5875</v>
      </c>
      <c r="AR502" t="s">
        <v>5876</v>
      </c>
      <c r="AS502" t="s">
        <v>5100</v>
      </c>
    </row>
    <row r="503" spans="1:45">
      <c r="A503" t="s">
        <v>2825</v>
      </c>
      <c r="B503" s="2">
        <v>0.5</v>
      </c>
      <c r="C503" s="2">
        <v>3</v>
      </c>
      <c r="D503" s="2">
        <v>0</v>
      </c>
      <c r="E503" s="2">
        <v>0</v>
      </c>
      <c r="F503" s="2">
        <v>10.5</v>
      </c>
      <c r="G503" s="2">
        <v>9.75</v>
      </c>
      <c r="H503" s="2">
        <v>6</v>
      </c>
      <c r="I503" s="2">
        <v>2.75</v>
      </c>
      <c r="J503" s="2">
        <v>10.587999999999999</v>
      </c>
      <c r="K503" s="2">
        <v>1</v>
      </c>
      <c r="L503" s="2">
        <v>11.875</v>
      </c>
      <c r="M503" s="2">
        <v>5.5</v>
      </c>
      <c r="N503" s="2">
        <v>6.2859999999999996</v>
      </c>
      <c r="O503" s="2">
        <v>1.5</v>
      </c>
      <c r="P503" s="2">
        <v>2</v>
      </c>
      <c r="Q503" s="2">
        <v>2</v>
      </c>
      <c r="R503" s="2">
        <v>1</v>
      </c>
      <c r="S503" s="2">
        <v>0</v>
      </c>
      <c r="T503" s="2">
        <v>0</v>
      </c>
      <c r="U503" s="11">
        <v>0.60582169791736495</v>
      </c>
      <c r="V503" s="11">
        <v>2.8891923620323401</v>
      </c>
      <c r="W503" s="11">
        <v>0.40019941545306398</v>
      </c>
      <c r="X503" s="11">
        <v>0.37798043978830698</v>
      </c>
      <c r="Y503" s="11">
        <v>9.0318517793373694</v>
      </c>
      <c r="Z503" s="11">
        <v>9.1113270170670102</v>
      </c>
      <c r="AA503" s="11">
        <v>6.3243736971878404</v>
      </c>
      <c r="AB503" s="11">
        <v>2.7249140743504601</v>
      </c>
      <c r="AC503" s="11">
        <v>8.4244379083965502</v>
      </c>
      <c r="AD503" s="11">
        <v>7.5047307979706002</v>
      </c>
      <c r="AE503" s="11">
        <v>4.4002989154703904</v>
      </c>
      <c r="AF503" s="11">
        <v>5.3332463935796302</v>
      </c>
      <c r="AG503" s="11">
        <v>1.8375851316302301</v>
      </c>
      <c r="AH503" s="11">
        <v>1.5783811407702499</v>
      </c>
      <c r="AI503" s="11">
        <v>1.50854004786242</v>
      </c>
      <c r="AJ503" s="11">
        <v>0.38065921161865401</v>
      </c>
      <c r="AK503" s="16">
        <v>-2.6177903156326499E-2</v>
      </c>
      <c r="AL503" s="16">
        <v>-1.0160741046242701</v>
      </c>
      <c r="AM503" s="26">
        <v>1</v>
      </c>
      <c r="AN503" s="27">
        <v>1</v>
      </c>
      <c r="AO503" s="11">
        <v>3.93320756039172</v>
      </c>
      <c r="AP503" s="11">
        <v>3.8709849434123398</v>
      </c>
      <c r="AQ503" t="s">
        <v>5875</v>
      </c>
      <c r="AR503" t="s">
        <v>5832</v>
      </c>
      <c r="AS503" t="s">
        <v>2825</v>
      </c>
    </row>
    <row r="504" spans="1:45">
      <c r="A504" t="s">
        <v>495</v>
      </c>
      <c r="B504" s="2">
        <v>5</v>
      </c>
      <c r="C504" s="2">
        <v>5</v>
      </c>
      <c r="D504" s="2">
        <v>6</v>
      </c>
      <c r="E504" s="2">
        <v>9</v>
      </c>
      <c r="F504" s="2">
        <v>10</v>
      </c>
      <c r="G504" s="2">
        <v>5</v>
      </c>
      <c r="H504" s="2">
        <v>3</v>
      </c>
      <c r="I504" s="2">
        <v>9</v>
      </c>
      <c r="J504" s="2">
        <v>2</v>
      </c>
      <c r="K504" s="2">
        <v>1</v>
      </c>
      <c r="L504" s="2">
        <v>1</v>
      </c>
      <c r="M504" s="2">
        <v>3</v>
      </c>
      <c r="N504" s="2">
        <v>2</v>
      </c>
      <c r="O504" s="2">
        <v>2</v>
      </c>
      <c r="P504" s="2">
        <v>2</v>
      </c>
      <c r="Q504" s="2">
        <v>1</v>
      </c>
      <c r="R504" s="2">
        <v>6</v>
      </c>
      <c r="S504" s="2">
        <v>0</v>
      </c>
      <c r="T504" s="2">
        <v>2</v>
      </c>
      <c r="U504" s="11">
        <v>6.0582169791736504</v>
      </c>
      <c r="V504" s="11">
        <v>4.8153206033872298</v>
      </c>
      <c r="W504" s="11">
        <v>9.6047859708735501</v>
      </c>
      <c r="X504" s="11">
        <v>13.6072958323791</v>
      </c>
      <c r="Y504" s="11">
        <v>8.6017635993689208</v>
      </c>
      <c r="Z504" s="11">
        <v>4.6486362331974602</v>
      </c>
      <c r="AA504" s="11">
        <v>3.1621868485939202</v>
      </c>
      <c r="AB504" s="11">
        <v>8.7586523818407507</v>
      </c>
      <c r="AC504" s="11">
        <v>1.5895165864899099</v>
      </c>
      <c r="AD504" s="11">
        <v>0.63064964688828595</v>
      </c>
      <c r="AE504" s="11">
        <v>2.4001630448020301</v>
      </c>
      <c r="AF504" s="11">
        <v>1.6930940931998799</v>
      </c>
      <c r="AG504" s="11">
        <v>1.8375851316302301</v>
      </c>
      <c r="AH504" s="11">
        <v>0.78919057038512497</v>
      </c>
      <c r="AI504" s="11">
        <v>9.0512402871745401</v>
      </c>
      <c r="AJ504" s="11">
        <v>3.0452736929492299</v>
      </c>
      <c r="AK504" s="16">
        <v>-1.6189294707335999</v>
      </c>
      <c r="AL504" s="16">
        <v>-2.8168306663716902</v>
      </c>
      <c r="AM504" s="26">
        <v>2.0742916610842202E-3</v>
      </c>
      <c r="AN504" s="27">
        <v>4.3638400039790696E-3</v>
      </c>
      <c r="AO504" s="11">
        <v>7.4071073061018202</v>
      </c>
      <c r="AP504" s="11">
        <v>2.6295891316899001</v>
      </c>
      <c r="AQ504" t="s">
        <v>5875</v>
      </c>
      <c r="AR504" t="s">
        <v>5876</v>
      </c>
      <c r="AS504" t="s">
        <v>495</v>
      </c>
    </row>
    <row r="505" spans="1:45">
      <c r="A505" t="s">
        <v>1711</v>
      </c>
      <c r="B505" s="2">
        <v>5</v>
      </c>
      <c r="C505" s="2">
        <v>10</v>
      </c>
      <c r="D505" s="2">
        <v>10</v>
      </c>
      <c r="E505" s="2">
        <v>7</v>
      </c>
      <c r="F505" s="2">
        <v>12</v>
      </c>
      <c r="G505" s="2">
        <v>10</v>
      </c>
      <c r="H505" s="2">
        <v>8</v>
      </c>
      <c r="I505" s="2">
        <v>5</v>
      </c>
      <c r="J505" s="2">
        <v>0</v>
      </c>
      <c r="K505" s="2">
        <v>0</v>
      </c>
      <c r="L505" s="2">
        <v>2</v>
      </c>
      <c r="M505" s="2">
        <v>2</v>
      </c>
      <c r="N505" s="2">
        <v>1</v>
      </c>
      <c r="O505" s="2">
        <v>0</v>
      </c>
      <c r="P505" s="2">
        <v>0</v>
      </c>
      <c r="Q505" s="2">
        <v>0</v>
      </c>
      <c r="R505" s="2">
        <v>1</v>
      </c>
      <c r="S505" s="2">
        <v>0</v>
      </c>
      <c r="T505" s="2">
        <v>1</v>
      </c>
      <c r="U505" s="11">
        <v>6.0582169791736504</v>
      </c>
      <c r="V505" s="11">
        <v>9.6306412067744702</v>
      </c>
      <c r="W505" s="11">
        <v>16.007976618122601</v>
      </c>
      <c r="X505" s="11">
        <v>10.5834523140726</v>
      </c>
      <c r="Y505" s="11">
        <v>10.322116319242699</v>
      </c>
      <c r="Z505" s="11">
        <v>9.2972724663949098</v>
      </c>
      <c r="AA505" s="11">
        <v>8.4324982629171306</v>
      </c>
      <c r="AB505" s="11">
        <v>4.8659179899115301</v>
      </c>
      <c r="AC505" s="11">
        <v>0.19868957331123899</v>
      </c>
      <c r="AD505" s="11">
        <v>1.2612992937765699</v>
      </c>
      <c r="AE505" s="11">
        <v>1.60010869653469</v>
      </c>
      <c r="AF505" s="11">
        <v>0.84654704659994096</v>
      </c>
      <c r="AG505" s="11">
        <v>0.22969814145377901</v>
      </c>
      <c r="AH505" s="11">
        <v>0.19729764259628099</v>
      </c>
      <c r="AI505" s="11">
        <v>1.50854004786242</v>
      </c>
      <c r="AJ505" s="11">
        <v>1.5226368464746201</v>
      </c>
      <c r="AK505" s="16">
        <v>-3.23560966207187</v>
      </c>
      <c r="AL505" s="16">
        <v>-10.2104491136408</v>
      </c>
      <c r="AM505" s="26">
        <v>9.1493178214547695E-11</v>
      </c>
      <c r="AN505" s="27">
        <v>1.61076147961927E-9</v>
      </c>
      <c r="AO505" s="11">
        <v>9.3997615195762005</v>
      </c>
      <c r="AP505" s="11">
        <v>0.92060216107619197</v>
      </c>
      <c r="AQ505" t="s">
        <v>5875</v>
      </c>
      <c r="AR505" t="s">
        <v>5876</v>
      </c>
      <c r="AS505" t="s">
        <v>1711</v>
      </c>
    </row>
    <row r="506" spans="1:45">
      <c r="A506" t="s">
        <v>2457</v>
      </c>
      <c r="B506" s="2">
        <v>2</v>
      </c>
      <c r="C506" s="2">
        <v>13</v>
      </c>
      <c r="D506" s="2">
        <v>0</v>
      </c>
      <c r="E506" s="2">
        <v>0</v>
      </c>
      <c r="F506" s="2">
        <v>7</v>
      </c>
      <c r="G506" s="2">
        <v>5</v>
      </c>
      <c r="H506" s="2">
        <v>0</v>
      </c>
      <c r="I506" s="2">
        <v>5</v>
      </c>
      <c r="J506" s="2">
        <v>3</v>
      </c>
      <c r="K506" s="2">
        <v>0</v>
      </c>
      <c r="L506" s="2">
        <v>9</v>
      </c>
      <c r="M506" s="2">
        <v>17</v>
      </c>
      <c r="N506" s="2">
        <v>7</v>
      </c>
      <c r="O506" s="2">
        <v>0</v>
      </c>
      <c r="P506" s="2">
        <v>3</v>
      </c>
      <c r="Q506" s="2">
        <v>3</v>
      </c>
      <c r="R506" s="2">
        <v>0</v>
      </c>
      <c r="S506" s="2">
        <v>0</v>
      </c>
      <c r="T506" s="2">
        <v>0</v>
      </c>
      <c r="U506" s="11">
        <v>2.4232867916694598</v>
      </c>
      <c r="V506" s="11">
        <v>12.519833568806799</v>
      </c>
      <c r="W506" s="11">
        <v>0.40019941545306398</v>
      </c>
      <c r="X506" s="11">
        <v>0.37798043978830698</v>
      </c>
      <c r="Y506" s="11">
        <v>6.0212345195582504</v>
      </c>
      <c r="Z506" s="11">
        <v>4.6486362331974602</v>
      </c>
      <c r="AA506" s="11">
        <v>0.26351557071616</v>
      </c>
      <c r="AB506" s="11">
        <v>4.8659179899115301</v>
      </c>
      <c r="AC506" s="11">
        <v>2.3842748797348698</v>
      </c>
      <c r="AD506" s="11">
        <v>5.6758468219945701</v>
      </c>
      <c r="AE506" s="11">
        <v>13.600923920544799</v>
      </c>
      <c r="AF506" s="11">
        <v>5.9258293261995796</v>
      </c>
      <c r="AG506" s="11">
        <v>2.7563776974453398</v>
      </c>
      <c r="AH506" s="11">
        <v>2.36757171115537</v>
      </c>
      <c r="AI506" s="11">
        <v>0.377135011965606</v>
      </c>
      <c r="AJ506" s="11">
        <v>0.38065921161865401</v>
      </c>
      <c r="AK506" s="16">
        <v>8.4618040538562797E-2</v>
      </c>
      <c r="AL506" s="16">
        <v>1.06180129095428</v>
      </c>
      <c r="AM506" s="26">
        <v>0.94793476680615296</v>
      </c>
      <c r="AN506" s="27">
        <v>0.96672005944103001</v>
      </c>
      <c r="AO506" s="11">
        <v>3.9400755661376299</v>
      </c>
      <c r="AP506" s="11">
        <v>4.1835773225823498</v>
      </c>
      <c r="AQ506" t="s">
        <v>5874</v>
      </c>
      <c r="AR506" t="s">
        <v>5832</v>
      </c>
      <c r="AS506" t="s">
        <v>2457</v>
      </c>
    </row>
    <row r="507" spans="1:45">
      <c r="A507" t="s">
        <v>3643</v>
      </c>
      <c r="B507" s="2">
        <v>2</v>
      </c>
      <c r="C507" s="2">
        <v>6</v>
      </c>
      <c r="D507" s="2">
        <v>0</v>
      </c>
      <c r="E507" s="2">
        <v>2</v>
      </c>
      <c r="F507" s="2">
        <v>17</v>
      </c>
      <c r="G507" s="2">
        <v>7</v>
      </c>
      <c r="H507" s="2">
        <v>2</v>
      </c>
      <c r="I507" s="2">
        <v>7</v>
      </c>
      <c r="J507" s="2">
        <v>0</v>
      </c>
      <c r="K507" s="2">
        <v>0</v>
      </c>
      <c r="L507" s="2">
        <v>11</v>
      </c>
      <c r="M507" s="2">
        <v>12</v>
      </c>
      <c r="N507" s="2">
        <v>6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11">
        <v>2.4232867916694598</v>
      </c>
      <c r="V507" s="11">
        <v>5.7783847240646802</v>
      </c>
      <c r="W507" s="11">
        <v>0.40019941545306398</v>
      </c>
      <c r="X507" s="11">
        <v>3.0238435183064598</v>
      </c>
      <c r="Y507" s="11">
        <v>14.6229981189272</v>
      </c>
      <c r="Z507" s="11">
        <v>6.50809072647644</v>
      </c>
      <c r="AA507" s="11">
        <v>2.10812456572928</v>
      </c>
      <c r="AB507" s="11">
        <v>6.8122851858761404</v>
      </c>
      <c r="AC507" s="11">
        <v>0.19868957331123899</v>
      </c>
      <c r="AD507" s="11">
        <v>6.9371461157711396</v>
      </c>
      <c r="AE507" s="11">
        <v>9.6006521792081099</v>
      </c>
      <c r="AF507" s="11">
        <v>5.0792822795996404</v>
      </c>
      <c r="AG507" s="11">
        <v>0.22969814145377901</v>
      </c>
      <c r="AH507" s="11">
        <v>0.19729764259628099</v>
      </c>
      <c r="AI507" s="11">
        <v>0.377135011965606</v>
      </c>
      <c r="AJ507" s="11">
        <v>1.5226368464746201</v>
      </c>
      <c r="AK507" s="16">
        <v>-0.74293351045220102</v>
      </c>
      <c r="AL507" s="16">
        <v>-1.7262979314092199</v>
      </c>
      <c r="AM507" s="26">
        <v>0.29437544416447797</v>
      </c>
      <c r="AN507" s="27">
        <v>0.37298706845840102</v>
      </c>
      <c r="AO507" s="11">
        <v>5.2096516308128402</v>
      </c>
      <c r="AP507" s="11">
        <v>3.0178172237975498</v>
      </c>
      <c r="AQ507" t="s">
        <v>5875</v>
      </c>
      <c r="AR507" t="s">
        <v>5832</v>
      </c>
      <c r="AS507" t="s">
        <v>3643</v>
      </c>
    </row>
    <row r="508" spans="1:45">
      <c r="A508" t="s">
        <v>5124</v>
      </c>
      <c r="B508" s="2">
        <v>0</v>
      </c>
      <c r="C508" s="2">
        <v>1</v>
      </c>
      <c r="D508" s="2">
        <v>0</v>
      </c>
      <c r="E508" s="2">
        <v>0</v>
      </c>
      <c r="F508" s="2">
        <v>5</v>
      </c>
      <c r="G508" s="2">
        <v>1</v>
      </c>
      <c r="H508" s="2">
        <v>2</v>
      </c>
      <c r="I508" s="2">
        <v>1</v>
      </c>
      <c r="J508" s="2">
        <v>17</v>
      </c>
      <c r="K508" s="2">
        <v>0</v>
      </c>
      <c r="L508" s="2">
        <v>16</v>
      </c>
      <c r="M508" s="2">
        <v>2</v>
      </c>
      <c r="N508" s="2">
        <v>7</v>
      </c>
      <c r="O508" s="2">
        <v>0</v>
      </c>
      <c r="P508" s="2">
        <v>9</v>
      </c>
      <c r="Q508" s="2">
        <v>11</v>
      </c>
      <c r="R508" s="2">
        <v>0</v>
      </c>
      <c r="S508" s="2">
        <v>0</v>
      </c>
      <c r="T508" s="2">
        <v>2</v>
      </c>
      <c r="U508" s="11">
        <v>0.30291084895868198</v>
      </c>
      <c r="V508" s="11">
        <v>0.96306412067744696</v>
      </c>
      <c r="W508" s="11">
        <v>0.40019941545306398</v>
      </c>
      <c r="X508" s="11">
        <v>0.37798043978830698</v>
      </c>
      <c r="Y508" s="11">
        <v>4.3008817996844604</v>
      </c>
      <c r="Z508" s="11">
        <v>0.92972724663949102</v>
      </c>
      <c r="AA508" s="11">
        <v>2.10812456572928</v>
      </c>
      <c r="AB508" s="11">
        <v>0.97318359798230603</v>
      </c>
      <c r="AC508" s="11">
        <v>13.5108909851643</v>
      </c>
      <c r="AD508" s="11">
        <v>10.0903943502126</v>
      </c>
      <c r="AE508" s="11">
        <v>1.60010869653469</v>
      </c>
      <c r="AF508" s="11">
        <v>5.9258293261995796</v>
      </c>
      <c r="AG508" s="11">
        <v>8.2691330923360304</v>
      </c>
      <c r="AH508" s="11">
        <v>8.6810962742363706</v>
      </c>
      <c r="AI508" s="11">
        <v>0.377135011965606</v>
      </c>
      <c r="AJ508" s="11">
        <v>3.0452736929492299</v>
      </c>
      <c r="AK508" s="16">
        <v>2.1543267387039999</v>
      </c>
      <c r="AL508" s="16">
        <v>4.9729145621987598</v>
      </c>
      <c r="AM508" s="26">
        <v>7.0824912903730101E-4</v>
      </c>
      <c r="AN508" s="27">
        <v>1.65670862701383E-3</v>
      </c>
      <c r="AO508" s="11">
        <v>1.2945090043641301</v>
      </c>
      <c r="AP508" s="11">
        <v>6.4374826786997899</v>
      </c>
      <c r="AQ508" t="s">
        <v>5874</v>
      </c>
      <c r="AR508" t="s">
        <v>5876</v>
      </c>
      <c r="AS508" t="s">
        <v>5124</v>
      </c>
    </row>
    <row r="509" spans="1:45">
      <c r="A509" t="s">
        <v>698</v>
      </c>
      <c r="B509" s="2">
        <v>3</v>
      </c>
      <c r="C509" s="2">
        <v>14</v>
      </c>
      <c r="D509" s="2">
        <v>2</v>
      </c>
      <c r="E509" s="2">
        <v>1</v>
      </c>
      <c r="F509" s="2">
        <v>17</v>
      </c>
      <c r="G509" s="2">
        <v>19</v>
      </c>
      <c r="H509" s="2">
        <v>7</v>
      </c>
      <c r="I509" s="2">
        <v>8</v>
      </c>
      <c r="J509" s="2">
        <v>2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11">
        <v>3.6349301875041902</v>
      </c>
      <c r="V509" s="11">
        <v>13.4828976894843</v>
      </c>
      <c r="W509" s="11">
        <v>3.2015953236245198</v>
      </c>
      <c r="X509" s="11">
        <v>1.5119217591532299</v>
      </c>
      <c r="Y509" s="11">
        <v>14.6229981189272</v>
      </c>
      <c r="Z509" s="11">
        <v>17.6648176861503</v>
      </c>
      <c r="AA509" s="11">
        <v>7.3784359800524904</v>
      </c>
      <c r="AB509" s="11">
        <v>7.78546878385845</v>
      </c>
      <c r="AC509" s="11">
        <v>1.5895165864899099</v>
      </c>
      <c r="AD509" s="11">
        <v>0.15766241172207099</v>
      </c>
      <c r="AE509" s="11">
        <v>0.200013587066836</v>
      </c>
      <c r="AF509" s="11">
        <v>0.21163676164998499</v>
      </c>
      <c r="AG509" s="11">
        <v>0.22969814145377901</v>
      </c>
      <c r="AH509" s="11">
        <v>0.19729764259628099</v>
      </c>
      <c r="AI509" s="11">
        <v>0.377135011965606</v>
      </c>
      <c r="AJ509" s="11">
        <v>0.38065921161865401</v>
      </c>
      <c r="AK509" s="16">
        <v>-4.0613042541284603</v>
      </c>
      <c r="AL509" s="16">
        <v>-20.7209787304892</v>
      </c>
      <c r="AM509" s="26">
        <v>8.8794673643734002E-9</v>
      </c>
      <c r="AN509" s="27">
        <v>8.7358289217144198E-8</v>
      </c>
      <c r="AO509" s="11">
        <v>8.6603831910943292</v>
      </c>
      <c r="AP509" s="11">
        <v>0.41795241932039101</v>
      </c>
      <c r="AQ509" t="s">
        <v>5875</v>
      </c>
      <c r="AR509" t="s">
        <v>5876</v>
      </c>
      <c r="AS509" t="s">
        <v>698</v>
      </c>
    </row>
    <row r="510" spans="1:45">
      <c r="A510" t="s">
        <v>2108</v>
      </c>
      <c r="B510" s="2">
        <v>2</v>
      </c>
      <c r="C510" s="2">
        <v>1</v>
      </c>
      <c r="D510" s="2">
        <v>1</v>
      </c>
      <c r="E510" s="2">
        <v>0</v>
      </c>
      <c r="F510" s="2">
        <v>3</v>
      </c>
      <c r="G510" s="2">
        <v>1</v>
      </c>
      <c r="H510" s="2">
        <v>3</v>
      </c>
      <c r="I510" s="2">
        <v>1</v>
      </c>
      <c r="J510" s="2">
        <v>3</v>
      </c>
      <c r="K510" s="2">
        <v>13</v>
      </c>
      <c r="L510" s="2">
        <v>2</v>
      </c>
      <c r="M510" s="2">
        <v>5</v>
      </c>
      <c r="N510" s="2">
        <v>4</v>
      </c>
      <c r="O510" s="2">
        <v>11</v>
      </c>
      <c r="P510" s="2">
        <v>11</v>
      </c>
      <c r="Q510" s="2">
        <v>5</v>
      </c>
      <c r="R510" s="2">
        <v>5</v>
      </c>
      <c r="S510" s="2">
        <v>1</v>
      </c>
      <c r="T510" s="2">
        <v>1</v>
      </c>
      <c r="U510" s="11">
        <v>2.4232867916694598</v>
      </c>
      <c r="V510" s="11">
        <v>0.96306412067744696</v>
      </c>
      <c r="W510" s="11">
        <v>1.6007976618122599</v>
      </c>
      <c r="X510" s="11">
        <v>0.37798043978830698</v>
      </c>
      <c r="Y510" s="11">
        <v>2.5805290798106801</v>
      </c>
      <c r="Z510" s="11">
        <v>0.92972724663949102</v>
      </c>
      <c r="AA510" s="11">
        <v>3.1621868485939202</v>
      </c>
      <c r="AB510" s="11">
        <v>0.97318359798230603</v>
      </c>
      <c r="AC510" s="11">
        <v>2.3842748797348698</v>
      </c>
      <c r="AD510" s="11">
        <v>1.2612992937765699</v>
      </c>
      <c r="AE510" s="11">
        <v>4.0002717413367099</v>
      </c>
      <c r="AF510" s="11">
        <v>3.3861881863997598</v>
      </c>
      <c r="AG510" s="11">
        <v>10.1067182239663</v>
      </c>
      <c r="AH510" s="11">
        <v>3.94595285192562</v>
      </c>
      <c r="AI510" s="11">
        <v>7.5427002393121096</v>
      </c>
      <c r="AJ510" s="11">
        <v>1.5226368464746201</v>
      </c>
      <c r="AK510" s="16">
        <v>1.2677814071450799</v>
      </c>
      <c r="AL510" s="16">
        <v>2.6247546892792299</v>
      </c>
      <c r="AM510" s="26">
        <v>2.59732025123325E-2</v>
      </c>
      <c r="AN510" s="27">
        <v>4.3331851572943697E-2</v>
      </c>
      <c r="AO510" s="11">
        <v>1.62634447337173</v>
      </c>
      <c r="AP510" s="11">
        <v>4.2687552828658202</v>
      </c>
      <c r="AQ510" t="s">
        <v>5874</v>
      </c>
      <c r="AR510" t="s">
        <v>5878</v>
      </c>
      <c r="AS510" t="s">
        <v>2108</v>
      </c>
    </row>
    <row r="511" spans="1:45">
      <c r="A511" t="s">
        <v>4445</v>
      </c>
      <c r="B511" s="2">
        <v>2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7</v>
      </c>
      <c r="K511" s="2">
        <v>0</v>
      </c>
      <c r="L511" s="2">
        <v>15</v>
      </c>
      <c r="M511" s="2">
        <v>6</v>
      </c>
      <c r="N511" s="2">
        <v>14</v>
      </c>
      <c r="O511" s="2">
        <v>0</v>
      </c>
      <c r="P511" s="2">
        <v>7</v>
      </c>
      <c r="Q511" s="2">
        <v>16</v>
      </c>
      <c r="R511" s="2">
        <v>4</v>
      </c>
      <c r="S511" s="2">
        <v>1</v>
      </c>
      <c r="T511" s="2">
        <v>1</v>
      </c>
      <c r="U511" s="11">
        <v>2.4232867916694598</v>
      </c>
      <c r="V511" s="11">
        <v>0.24076603016936199</v>
      </c>
      <c r="W511" s="11">
        <v>0.40019941545306398</v>
      </c>
      <c r="X511" s="11">
        <v>0.37798043978830698</v>
      </c>
      <c r="Y511" s="11">
        <v>0.215044089984223</v>
      </c>
      <c r="Z511" s="11">
        <v>0.23243181165987301</v>
      </c>
      <c r="AA511" s="11">
        <v>0.26351557071616</v>
      </c>
      <c r="AB511" s="11">
        <v>0.24329589949557701</v>
      </c>
      <c r="AC511" s="11">
        <v>5.5633080527147003</v>
      </c>
      <c r="AD511" s="11">
        <v>9.4597447033242794</v>
      </c>
      <c r="AE511" s="11">
        <v>4.8003260896040603</v>
      </c>
      <c r="AF511" s="11">
        <v>11.8516586523992</v>
      </c>
      <c r="AG511" s="11">
        <v>6.4315479607058004</v>
      </c>
      <c r="AH511" s="11">
        <v>12.627049126161999</v>
      </c>
      <c r="AI511" s="11">
        <v>6.0341601914496898</v>
      </c>
      <c r="AJ511" s="11">
        <v>1.5226368464746201</v>
      </c>
      <c r="AK511" s="16">
        <v>3.58383307371097</v>
      </c>
      <c r="AL511" s="16">
        <v>13.258311340338601</v>
      </c>
      <c r="AM511" s="26">
        <v>4.37878587634807E-8</v>
      </c>
      <c r="AN511" s="27">
        <v>3.2548975014187302E-7</v>
      </c>
      <c r="AO511" s="11">
        <v>0.54956500611700299</v>
      </c>
      <c r="AP511" s="11">
        <v>7.2863039528542899</v>
      </c>
      <c r="AQ511" t="s">
        <v>5874</v>
      </c>
      <c r="AR511" t="s">
        <v>5876</v>
      </c>
      <c r="AS511" t="s">
        <v>4445</v>
      </c>
    </row>
    <row r="512" spans="1:45">
      <c r="A512" t="s">
        <v>5214</v>
      </c>
      <c r="B512" s="2">
        <v>6</v>
      </c>
      <c r="C512" s="2">
        <v>6</v>
      </c>
      <c r="D512" s="2">
        <v>4</v>
      </c>
      <c r="E512" s="2">
        <v>3</v>
      </c>
      <c r="F512" s="2">
        <v>10</v>
      </c>
      <c r="G512" s="2">
        <v>5</v>
      </c>
      <c r="H512" s="2">
        <v>7</v>
      </c>
      <c r="I512" s="2">
        <v>2</v>
      </c>
      <c r="J512" s="2">
        <v>3</v>
      </c>
      <c r="K512" s="2">
        <v>0</v>
      </c>
      <c r="L512" s="2">
        <v>4</v>
      </c>
      <c r="M512" s="2">
        <v>3</v>
      </c>
      <c r="N512" s="2">
        <v>2</v>
      </c>
      <c r="O512" s="2">
        <v>1</v>
      </c>
      <c r="P512" s="2">
        <v>4</v>
      </c>
      <c r="Q512" s="2">
        <v>7</v>
      </c>
      <c r="R512" s="2">
        <v>1</v>
      </c>
      <c r="S512" s="2">
        <v>2</v>
      </c>
      <c r="T512" s="2">
        <v>3</v>
      </c>
      <c r="U512" s="11">
        <v>7.2698603750083803</v>
      </c>
      <c r="V512" s="11">
        <v>5.7783847240646802</v>
      </c>
      <c r="W512" s="11">
        <v>6.4031906472490299</v>
      </c>
      <c r="X512" s="11">
        <v>4.5357652774596904</v>
      </c>
      <c r="Y512" s="11">
        <v>8.6017635993689208</v>
      </c>
      <c r="Z512" s="11">
        <v>4.6486362331974602</v>
      </c>
      <c r="AA512" s="11">
        <v>7.3784359800524904</v>
      </c>
      <c r="AB512" s="11">
        <v>1.9463671959646101</v>
      </c>
      <c r="AC512" s="11">
        <v>2.3842748797348698</v>
      </c>
      <c r="AD512" s="11">
        <v>2.5225985875531398</v>
      </c>
      <c r="AE512" s="11">
        <v>2.4001630448020301</v>
      </c>
      <c r="AF512" s="11">
        <v>1.6930940931998799</v>
      </c>
      <c r="AG512" s="11">
        <v>3.6751702632604601</v>
      </c>
      <c r="AH512" s="11">
        <v>5.5243339926958699</v>
      </c>
      <c r="AI512" s="11">
        <v>1.50854004786242</v>
      </c>
      <c r="AJ512" s="11">
        <v>4.5679105394238499</v>
      </c>
      <c r="AK512" s="16">
        <v>-0.92088536700312296</v>
      </c>
      <c r="AL512" s="16">
        <v>-1.9180359259766899</v>
      </c>
      <c r="AM512" s="26">
        <v>3.2487035177109901E-2</v>
      </c>
      <c r="AN512" s="27">
        <v>5.2752006149239097E-2</v>
      </c>
      <c r="AO512" s="11">
        <v>5.8203005040456599</v>
      </c>
      <c r="AP512" s="11">
        <v>3.0345106810665698</v>
      </c>
      <c r="AQ512" t="s">
        <v>5875</v>
      </c>
      <c r="AR512" t="s">
        <v>5877</v>
      </c>
      <c r="AS512" t="s">
        <v>5214</v>
      </c>
    </row>
    <row r="513" spans="1:45">
      <c r="A513" t="s">
        <v>3778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6.6669999999999998</v>
      </c>
      <c r="I513" s="2">
        <v>4.8</v>
      </c>
      <c r="J513" s="2">
        <v>1.5</v>
      </c>
      <c r="K513" s="2">
        <v>1</v>
      </c>
      <c r="L513" s="2">
        <v>6</v>
      </c>
      <c r="M513" s="2">
        <v>0</v>
      </c>
      <c r="N513" s="2">
        <v>2.5</v>
      </c>
      <c r="O513" s="2">
        <v>0</v>
      </c>
      <c r="P513" s="2">
        <v>33.923000000000002</v>
      </c>
      <c r="Q513" s="2">
        <v>15.833</v>
      </c>
      <c r="R513" s="2">
        <v>0</v>
      </c>
      <c r="S513" s="2">
        <v>0.5</v>
      </c>
      <c r="T513" s="2">
        <v>0</v>
      </c>
      <c r="U513" s="11">
        <v>0.30291084895868198</v>
      </c>
      <c r="V513" s="11">
        <v>0.24076603016936199</v>
      </c>
      <c r="W513" s="11">
        <v>0.40019941545306398</v>
      </c>
      <c r="X513" s="11">
        <v>0.37798043978830698</v>
      </c>
      <c r="Y513" s="11">
        <v>0.215044089984223</v>
      </c>
      <c r="Z513" s="11">
        <v>0.23243181165987301</v>
      </c>
      <c r="AA513" s="11">
        <v>7.0622172951930899</v>
      </c>
      <c r="AB513" s="11">
        <v>4.6712812703150703</v>
      </c>
      <c r="AC513" s="11">
        <v>1.19213743986744</v>
      </c>
      <c r="AD513" s="11">
        <v>3.7838978813297102</v>
      </c>
      <c r="AE513" s="11">
        <v>0.200013587066836</v>
      </c>
      <c r="AF513" s="11">
        <v>2.1163676164998502</v>
      </c>
      <c r="AG513" s="11">
        <v>31.147067981132398</v>
      </c>
      <c r="AH513" s="11">
        <v>12.469211012084999</v>
      </c>
      <c r="AI513" s="11">
        <v>0.377135011965606</v>
      </c>
      <c r="AJ513" s="11">
        <v>0.38065921161865401</v>
      </c>
      <c r="AK513" s="16">
        <v>1.84869982842613</v>
      </c>
      <c r="AL513" s="16">
        <v>3.8263449324422401</v>
      </c>
      <c r="AM513" s="26">
        <v>5.6007035166598301E-2</v>
      </c>
      <c r="AN513" s="27">
        <v>8.5544992069530201E-2</v>
      </c>
      <c r="AO513" s="11">
        <v>1.68785390019021</v>
      </c>
      <c r="AP513" s="11">
        <v>6.4583112176956803</v>
      </c>
      <c r="AQ513" t="s">
        <v>5874</v>
      </c>
      <c r="AR513" t="s">
        <v>5877</v>
      </c>
      <c r="AS513" t="s">
        <v>3778</v>
      </c>
    </row>
    <row r="514" spans="1:45">
      <c r="A514" t="s">
        <v>1348</v>
      </c>
      <c r="B514" s="2">
        <v>0</v>
      </c>
      <c r="C514" s="2">
        <v>4</v>
      </c>
      <c r="D514" s="2">
        <v>1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2</v>
      </c>
      <c r="K514" s="2">
        <v>29</v>
      </c>
      <c r="L514" s="2">
        <v>0</v>
      </c>
      <c r="M514" s="2">
        <v>1</v>
      </c>
      <c r="N514" s="2">
        <v>15</v>
      </c>
      <c r="O514" s="2">
        <v>8</v>
      </c>
      <c r="P514" s="2">
        <v>1</v>
      </c>
      <c r="Q514" s="2">
        <v>2</v>
      </c>
      <c r="R514" s="2">
        <v>2</v>
      </c>
      <c r="S514" s="2">
        <v>1</v>
      </c>
      <c r="T514" s="2">
        <v>4</v>
      </c>
      <c r="U514" s="11">
        <v>0.30291084895868198</v>
      </c>
      <c r="V514" s="11">
        <v>3.85225648270979</v>
      </c>
      <c r="W514" s="11">
        <v>1.6007976618122599</v>
      </c>
      <c r="X514" s="11">
        <v>3.0238435183064598</v>
      </c>
      <c r="Y514" s="11">
        <v>0.215044089984223</v>
      </c>
      <c r="Z514" s="11">
        <v>0.23243181165987301</v>
      </c>
      <c r="AA514" s="11">
        <v>0.26351557071616</v>
      </c>
      <c r="AB514" s="11">
        <v>0.24329589949557701</v>
      </c>
      <c r="AC514" s="11">
        <v>1.5895165864899099</v>
      </c>
      <c r="AD514" s="11">
        <v>0.15766241172207099</v>
      </c>
      <c r="AE514" s="11">
        <v>0.80005434826734301</v>
      </c>
      <c r="AF514" s="11">
        <v>12.6982056989991</v>
      </c>
      <c r="AG514" s="11">
        <v>0.91879256581511404</v>
      </c>
      <c r="AH514" s="11">
        <v>1.5783811407702499</v>
      </c>
      <c r="AI514" s="11">
        <v>3.0170800957248498</v>
      </c>
      <c r="AJ514" s="11">
        <v>6.0905473858984696</v>
      </c>
      <c r="AK514" s="16">
        <v>1.40323275216148</v>
      </c>
      <c r="AL514" s="16">
        <v>2.7583702230430802</v>
      </c>
      <c r="AM514" s="26">
        <v>0.119723018516943</v>
      </c>
      <c r="AN514" s="27">
        <v>0.166171575493433</v>
      </c>
      <c r="AO514" s="11">
        <v>1.2167619854553799</v>
      </c>
      <c r="AP514" s="11">
        <v>3.3562800292108901</v>
      </c>
      <c r="AQ514" t="s">
        <v>5874</v>
      </c>
      <c r="AR514" t="s">
        <v>5832</v>
      </c>
      <c r="AS514" t="s">
        <v>1348</v>
      </c>
    </row>
    <row r="515" spans="1:45">
      <c r="A515" t="s">
        <v>3259</v>
      </c>
      <c r="B515" s="2">
        <v>0</v>
      </c>
      <c r="C515" s="2">
        <v>1</v>
      </c>
      <c r="D515" s="2">
        <v>0</v>
      </c>
      <c r="E515" s="2">
        <v>0</v>
      </c>
      <c r="F515" s="2">
        <v>1</v>
      </c>
      <c r="G515" s="2">
        <v>3</v>
      </c>
      <c r="H515" s="2">
        <v>1</v>
      </c>
      <c r="I515" s="2">
        <v>0</v>
      </c>
      <c r="J515" s="2">
        <v>6</v>
      </c>
      <c r="K515" s="2">
        <v>0</v>
      </c>
      <c r="L515" s="2">
        <v>14</v>
      </c>
      <c r="M515" s="2">
        <v>7</v>
      </c>
      <c r="N515" s="2">
        <v>12</v>
      </c>
      <c r="O515" s="2">
        <v>0</v>
      </c>
      <c r="P515" s="2">
        <v>16</v>
      </c>
      <c r="Q515" s="2">
        <v>10</v>
      </c>
      <c r="R515" s="2">
        <v>1</v>
      </c>
      <c r="S515" s="2">
        <v>0</v>
      </c>
      <c r="T515" s="2">
        <v>0</v>
      </c>
      <c r="U515" s="11">
        <v>0.30291084895868198</v>
      </c>
      <c r="V515" s="11">
        <v>0.96306412067744696</v>
      </c>
      <c r="W515" s="11">
        <v>0.40019941545306398</v>
      </c>
      <c r="X515" s="11">
        <v>0.37798043978830698</v>
      </c>
      <c r="Y515" s="11">
        <v>0.86017635993689201</v>
      </c>
      <c r="Z515" s="11">
        <v>2.7891817399184702</v>
      </c>
      <c r="AA515" s="11">
        <v>1.05406228286464</v>
      </c>
      <c r="AB515" s="11">
        <v>0.24329589949557701</v>
      </c>
      <c r="AC515" s="11">
        <v>4.7685497594697397</v>
      </c>
      <c r="AD515" s="11">
        <v>8.8290950564359996</v>
      </c>
      <c r="AE515" s="11">
        <v>5.6003804378713999</v>
      </c>
      <c r="AF515" s="11">
        <v>10.1585645591993</v>
      </c>
      <c r="AG515" s="11">
        <v>14.7006810530418</v>
      </c>
      <c r="AH515" s="11">
        <v>7.8919057038512497</v>
      </c>
      <c r="AI515" s="11">
        <v>1.50854004786242</v>
      </c>
      <c r="AJ515" s="11">
        <v>0.38065921161865401</v>
      </c>
      <c r="AK515" s="16">
        <v>2.7490778430180001</v>
      </c>
      <c r="AL515" s="16">
        <v>7.7012399462958303</v>
      </c>
      <c r="AM515" s="26">
        <v>1.42577098616139E-5</v>
      </c>
      <c r="AN515" s="27">
        <v>5.0467766653014201E-5</v>
      </c>
      <c r="AO515" s="11">
        <v>0.87385888838663495</v>
      </c>
      <c r="AP515" s="11">
        <v>6.7297969786688201</v>
      </c>
      <c r="AQ515" t="s">
        <v>5874</v>
      </c>
      <c r="AR515" t="s">
        <v>5876</v>
      </c>
      <c r="AS515" t="s">
        <v>3259</v>
      </c>
    </row>
    <row r="516" spans="1:45">
      <c r="A516" t="s">
        <v>4058</v>
      </c>
      <c r="B516" s="2">
        <v>5</v>
      </c>
      <c r="C516" s="2">
        <v>6</v>
      </c>
      <c r="D516" s="2">
        <v>1</v>
      </c>
      <c r="E516" s="2">
        <v>3</v>
      </c>
      <c r="F516" s="2">
        <v>5</v>
      </c>
      <c r="G516" s="2">
        <v>6</v>
      </c>
      <c r="H516" s="2">
        <v>4</v>
      </c>
      <c r="I516" s="2">
        <v>9</v>
      </c>
      <c r="J516" s="2">
        <v>2</v>
      </c>
      <c r="K516" s="2">
        <v>0</v>
      </c>
      <c r="L516" s="2">
        <v>4</v>
      </c>
      <c r="M516" s="2">
        <v>5</v>
      </c>
      <c r="N516" s="2">
        <v>3</v>
      </c>
      <c r="O516" s="2">
        <v>5</v>
      </c>
      <c r="P516" s="2">
        <v>4</v>
      </c>
      <c r="Q516" s="2">
        <v>5</v>
      </c>
      <c r="R516" s="2">
        <v>2</v>
      </c>
      <c r="S516" s="2">
        <v>0</v>
      </c>
      <c r="T516" s="2">
        <v>3</v>
      </c>
      <c r="U516" s="11">
        <v>6.0582169791736504</v>
      </c>
      <c r="V516" s="11">
        <v>5.7783847240646802</v>
      </c>
      <c r="W516" s="11">
        <v>1.6007976618122599</v>
      </c>
      <c r="X516" s="11">
        <v>4.5357652774596904</v>
      </c>
      <c r="Y516" s="11">
        <v>4.3008817996844604</v>
      </c>
      <c r="Z516" s="11">
        <v>5.5783634798369501</v>
      </c>
      <c r="AA516" s="11">
        <v>4.21624913145856</v>
      </c>
      <c r="AB516" s="11">
        <v>8.7586523818407507</v>
      </c>
      <c r="AC516" s="11">
        <v>1.5895165864899099</v>
      </c>
      <c r="AD516" s="11">
        <v>2.5225985875531398</v>
      </c>
      <c r="AE516" s="11">
        <v>4.0002717413367099</v>
      </c>
      <c r="AF516" s="11">
        <v>2.5396411397998202</v>
      </c>
      <c r="AG516" s="11">
        <v>3.6751702632604601</v>
      </c>
      <c r="AH516" s="11">
        <v>3.94595285192562</v>
      </c>
      <c r="AI516" s="11">
        <v>3.0170800957248498</v>
      </c>
      <c r="AJ516" s="11">
        <v>4.5679105394238499</v>
      </c>
      <c r="AK516" s="16">
        <v>-0.718641293089336</v>
      </c>
      <c r="AL516" s="16">
        <v>-1.5788957977879301</v>
      </c>
      <c r="AM516" s="26">
        <v>0.10264874557676799</v>
      </c>
      <c r="AN516" s="27">
        <v>0.145800447538977</v>
      </c>
      <c r="AO516" s="11">
        <v>5.1034139294163703</v>
      </c>
      <c r="AP516" s="11">
        <v>3.2322677256893</v>
      </c>
      <c r="AQ516" t="s">
        <v>5875</v>
      </c>
      <c r="AR516" t="s">
        <v>5832</v>
      </c>
      <c r="AS516" t="s">
        <v>4058</v>
      </c>
    </row>
    <row r="517" spans="1:45">
      <c r="A517" t="s">
        <v>4927</v>
      </c>
      <c r="B517" s="2">
        <v>0</v>
      </c>
      <c r="C517" s="2">
        <v>0</v>
      </c>
      <c r="D517" s="2">
        <v>0</v>
      </c>
      <c r="E517" s="2">
        <v>0</v>
      </c>
      <c r="F517" s="2">
        <v>2</v>
      </c>
      <c r="G517" s="2">
        <v>0</v>
      </c>
      <c r="H517" s="2">
        <v>0</v>
      </c>
      <c r="I517" s="2">
        <v>3</v>
      </c>
      <c r="J517" s="2">
        <v>15</v>
      </c>
      <c r="K517" s="2">
        <v>1</v>
      </c>
      <c r="L517" s="2">
        <v>16</v>
      </c>
      <c r="M517" s="2">
        <v>7</v>
      </c>
      <c r="N517" s="2">
        <v>10</v>
      </c>
      <c r="O517" s="2">
        <v>1</v>
      </c>
      <c r="P517" s="2">
        <v>5</v>
      </c>
      <c r="Q517" s="2">
        <v>3</v>
      </c>
      <c r="R517" s="2">
        <v>5</v>
      </c>
      <c r="S517" s="2">
        <v>1</v>
      </c>
      <c r="T517" s="2">
        <v>3</v>
      </c>
      <c r="U517" s="11">
        <v>0.30291084895868198</v>
      </c>
      <c r="V517" s="11">
        <v>0.24076603016936199</v>
      </c>
      <c r="W517" s="11">
        <v>0.40019941545306398</v>
      </c>
      <c r="X517" s="11">
        <v>0.37798043978830698</v>
      </c>
      <c r="Y517" s="11">
        <v>1.72035271987378</v>
      </c>
      <c r="Z517" s="11">
        <v>0.23243181165987301</v>
      </c>
      <c r="AA517" s="11">
        <v>0.26351557071616</v>
      </c>
      <c r="AB517" s="11">
        <v>2.9195507939469199</v>
      </c>
      <c r="AC517" s="11">
        <v>11.9213743986744</v>
      </c>
      <c r="AD517" s="11">
        <v>10.0903943502126</v>
      </c>
      <c r="AE517" s="11">
        <v>5.6003804378713999</v>
      </c>
      <c r="AF517" s="11">
        <v>8.4654704659994096</v>
      </c>
      <c r="AG517" s="11">
        <v>4.5939628290755703</v>
      </c>
      <c r="AH517" s="11">
        <v>2.36757171115537</v>
      </c>
      <c r="AI517" s="11">
        <v>7.5427002393121096</v>
      </c>
      <c r="AJ517" s="11">
        <v>4.5679105394238499</v>
      </c>
      <c r="AK517" s="16">
        <v>2.83930943306108</v>
      </c>
      <c r="AL517" s="16">
        <v>8.5401458422622394</v>
      </c>
      <c r="AM517" s="26">
        <v>6.9462224233435703E-7</v>
      </c>
      <c r="AN517" s="27">
        <v>3.5746329240129601E-6</v>
      </c>
      <c r="AO517" s="11">
        <v>0.80721345382076903</v>
      </c>
      <c r="AP517" s="11">
        <v>6.8937206214655804</v>
      </c>
      <c r="AQ517" t="s">
        <v>5874</v>
      </c>
      <c r="AR517" t="s">
        <v>5876</v>
      </c>
      <c r="AS517" t="s">
        <v>4927</v>
      </c>
    </row>
    <row r="518" spans="1:45">
      <c r="A518" t="s">
        <v>5251</v>
      </c>
      <c r="B518" s="2">
        <v>5</v>
      </c>
      <c r="C518" s="2">
        <v>13</v>
      </c>
      <c r="D518" s="2">
        <v>14</v>
      </c>
      <c r="E518" s="2">
        <v>11</v>
      </c>
      <c r="F518" s="2">
        <v>7</v>
      </c>
      <c r="G518" s="2">
        <v>4</v>
      </c>
      <c r="H518" s="2">
        <v>8</v>
      </c>
      <c r="I518" s="2">
        <v>1</v>
      </c>
      <c r="J518" s="2">
        <v>1</v>
      </c>
      <c r="K518" s="2">
        <v>0</v>
      </c>
      <c r="L518" s="2">
        <v>2</v>
      </c>
      <c r="M518" s="2">
        <v>2</v>
      </c>
      <c r="N518" s="2">
        <v>1</v>
      </c>
      <c r="O518" s="2">
        <v>0</v>
      </c>
      <c r="P518" s="2">
        <v>0</v>
      </c>
      <c r="Q518" s="2">
        <v>1</v>
      </c>
      <c r="R518" s="2">
        <v>1</v>
      </c>
      <c r="S518" s="2">
        <v>0</v>
      </c>
      <c r="T518" s="2">
        <v>1</v>
      </c>
      <c r="U518" s="11">
        <v>6.0582169791736504</v>
      </c>
      <c r="V518" s="11">
        <v>12.519833568806799</v>
      </c>
      <c r="W518" s="11">
        <v>22.411167265371599</v>
      </c>
      <c r="X518" s="11">
        <v>16.631139350685501</v>
      </c>
      <c r="Y518" s="11">
        <v>6.0212345195582504</v>
      </c>
      <c r="Z518" s="11">
        <v>3.7189089865579601</v>
      </c>
      <c r="AA518" s="11">
        <v>8.4324982629171306</v>
      </c>
      <c r="AB518" s="11">
        <v>0.97318359798230603</v>
      </c>
      <c r="AC518" s="11">
        <v>0.79475829324495695</v>
      </c>
      <c r="AD518" s="11">
        <v>1.2612992937765699</v>
      </c>
      <c r="AE518" s="11">
        <v>1.60010869653469</v>
      </c>
      <c r="AF518" s="11">
        <v>0.84654704659994096</v>
      </c>
      <c r="AG518" s="11">
        <v>0.22969814145377901</v>
      </c>
      <c r="AH518" s="11">
        <v>0.78919057038512497</v>
      </c>
      <c r="AI518" s="11">
        <v>1.50854004786242</v>
      </c>
      <c r="AJ518" s="11">
        <v>1.5226368464746201</v>
      </c>
      <c r="AK518" s="16">
        <v>-3.0186088127348998</v>
      </c>
      <c r="AL518" s="16">
        <v>-8.9755836205413306</v>
      </c>
      <c r="AM518" s="26">
        <v>1.1204660687717199E-6</v>
      </c>
      <c r="AN518" s="27">
        <v>5.5516698342180104E-6</v>
      </c>
      <c r="AO518" s="11">
        <v>9.5957728163816505</v>
      </c>
      <c r="AP518" s="11">
        <v>1.06909736704151</v>
      </c>
      <c r="AQ518" t="s">
        <v>5875</v>
      </c>
      <c r="AR518" t="s">
        <v>5876</v>
      </c>
      <c r="AS518" t="s">
        <v>5251</v>
      </c>
    </row>
    <row r="519" spans="1:45">
      <c r="A519" t="s">
        <v>3737</v>
      </c>
      <c r="B519" s="2">
        <v>0.98899999999999999</v>
      </c>
      <c r="C519" s="2">
        <v>1.4259999999999999</v>
      </c>
      <c r="D519" s="2">
        <v>0.442</v>
      </c>
      <c r="E519" s="2">
        <v>1.141</v>
      </c>
      <c r="F519" s="2">
        <v>4.9850000000000003</v>
      </c>
      <c r="G519" s="2">
        <v>1.611</v>
      </c>
      <c r="H519" s="2">
        <v>2.8319999999999999</v>
      </c>
      <c r="I519" s="2">
        <v>4.3970000000000002</v>
      </c>
      <c r="J519" s="2">
        <v>7.2080000000000002</v>
      </c>
      <c r="K519" s="2">
        <v>0.72199999999999998</v>
      </c>
      <c r="L519" s="2">
        <v>9.9849999999999994</v>
      </c>
      <c r="M519" s="2">
        <v>5.6189999999999998</v>
      </c>
      <c r="N519" s="2">
        <v>6.9870000000000001</v>
      </c>
      <c r="O519" s="2">
        <v>0.64600000000000002</v>
      </c>
      <c r="P519" s="2">
        <v>8.1980000000000004</v>
      </c>
      <c r="Q519" s="2">
        <v>11.74</v>
      </c>
      <c r="R519" s="2">
        <v>1.0880000000000001</v>
      </c>
      <c r="S519" s="2">
        <v>0.57599999999999996</v>
      </c>
      <c r="T519" s="2">
        <v>1.012</v>
      </c>
      <c r="U519" s="11">
        <v>1.2116433958347299</v>
      </c>
      <c r="V519" s="11">
        <v>1.3482897689484299</v>
      </c>
      <c r="W519" s="11">
        <v>0.64031906472490296</v>
      </c>
      <c r="X519" s="11">
        <v>1.66311393506855</v>
      </c>
      <c r="Y519" s="11">
        <v>4.3008817996844604</v>
      </c>
      <c r="Z519" s="11">
        <v>1.48756359462319</v>
      </c>
      <c r="AA519" s="11">
        <v>2.9513743920209898</v>
      </c>
      <c r="AB519" s="11">
        <v>4.2820078311221499</v>
      </c>
      <c r="AC519" s="11">
        <v>5.7222597113636899</v>
      </c>
      <c r="AD519" s="11">
        <v>6.3064964688828598</v>
      </c>
      <c r="AE519" s="11">
        <v>4.4803043502971196</v>
      </c>
      <c r="AF519" s="11">
        <v>5.9258293261995796</v>
      </c>
      <c r="AG519" s="11">
        <v>7.5340990396839302</v>
      </c>
      <c r="AH519" s="11">
        <v>9.2335296735059593</v>
      </c>
      <c r="AI519" s="11">
        <v>1.6593940526486699</v>
      </c>
      <c r="AJ519" s="11">
        <v>1.5226368464746201</v>
      </c>
      <c r="AK519" s="16">
        <v>1.20097476744021</v>
      </c>
      <c r="AL519" s="16">
        <v>2.36981214660632</v>
      </c>
      <c r="AM519" s="26">
        <v>1.3063737828730999E-2</v>
      </c>
      <c r="AN519" s="27">
        <v>2.33057082864561E-2</v>
      </c>
      <c r="AO519" s="11">
        <v>2.2356492227534202</v>
      </c>
      <c r="AP519" s="11">
        <v>5.2980686836320503</v>
      </c>
      <c r="AQ519" t="s">
        <v>5874</v>
      </c>
      <c r="AR519" t="s">
        <v>5878</v>
      </c>
      <c r="AS519" t="s">
        <v>3737</v>
      </c>
    </row>
    <row r="520" spans="1:45">
      <c r="A520" t="s">
        <v>792</v>
      </c>
      <c r="B520" s="2">
        <v>0</v>
      </c>
      <c r="C520" s="2">
        <v>4</v>
      </c>
      <c r="D520" s="2">
        <v>5</v>
      </c>
      <c r="E520" s="2">
        <v>4</v>
      </c>
      <c r="F520" s="2">
        <v>4</v>
      </c>
      <c r="G520" s="2">
        <v>3</v>
      </c>
      <c r="H520" s="2">
        <v>1</v>
      </c>
      <c r="I520" s="2">
        <v>7</v>
      </c>
      <c r="J520" s="2">
        <v>7</v>
      </c>
      <c r="K520" s="2">
        <v>0</v>
      </c>
      <c r="L520" s="2">
        <v>1</v>
      </c>
      <c r="M520" s="2">
        <v>3</v>
      </c>
      <c r="N520" s="2">
        <v>4</v>
      </c>
      <c r="O520" s="2">
        <v>1</v>
      </c>
      <c r="P520" s="2">
        <v>8</v>
      </c>
      <c r="Q520" s="2">
        <v>6</v>
      </c>
      <c r="R520" s="2">
        <v>11</v>
      </c>
      <c r="S520" s="2">
        <v>0</v>
      </c>
      <c r="T520" s="2">
        <v>2</v>
      </c>
      <c r="U520" s="11">
        <v>0.30291084895868198</v>
      </c>
      <c r="V520" s="11">
        <v>3.85225648270979</v>
      </c>
      <c r="W520" s="11">
        <v>8.00398830906129</v>
      </c>
      <c r="X520" s="11">
        <v>6.0476870366129196</v>
      </c>
      <c r="Y520" s="11">
        <v>3.4407054397475698</v>
      </c>
      <c r="Z520" s="11">
        <v>2.7891817399184702</v>
      </c>
      <c r="AA520" s="11">
        <v>1.05406228286464</v>
      </c>
      <c r="AB520" s="11">
        <v>6.8122851858761404</v>
      </c>
      <c r="AC520" s="11">
        <v>5.5633080527147003</v>
      </c>
      <c r="AD520" s="11">
        <v>0.63064964688828595</v>
      </c>
      <c r="AE520" s="11">
        <v>2.4001630448020301</v>
      </c>
      <c r="AF520" s="11">
        <v>3.3861881863997598</v>
      </c>
      <c r="AG520" s="11">
        <v>7.3503405265209096</v>
      </c>
      <c r="AH520" s="11">
        <v>4.7351434223107498</v>
      </c>
      <c r="AI520" s="11">
        <v>16.593940526486598</v>
      </c>
      <c r="AJ520" s="11">
        <v>3.0452736929492299</v>
      </c>
      <c r="AK520" s="16">
        <v>0.389142248159143</v>
      </c>
      <c r="AL520" s="16">
        <v>1.35296729343598</v>
      </c>
      <c r="AM520" s="26">
        <v>0.48489261931011701</v>
      </c>
      <c r="AN520" s="27">
        <v>0.56318257346956302</v>
      </c>
      <c r="AO520" s="11">
        <v>4.03788466571869</v>
      </c>
      <c r="AP520" s="11">
        <v>5.4631258873840398</v>
      </c>
      <c r="AQ520" t="s">
        <v>5874</v>
      </c>
      <c r="AR520" t="s">
        <v>5832</v>
      </c>
      <c r="AS520" t="s">
        <v>792</v>
      </c>
    </row>
    <row r="521" spans="1:45">
      <c r="A521" t="s">
        <v>1283</v>
      </c>
      <c r="B521" s="2">
        <v>3</v>
      </c>
      <c r="C521" s="2">
        <v>3</v>
      </c>
      <c r="D521" s="2">
        <v>0</v>
      </c>
      <c r="E521" s="2">
        <v>0</v>
      </c>
      <c r="F521" s="2">
        <v>8</v>
      </c>
      <c r="G521" s="2">
        <v>8</v>
      </c>
      <c r="H521" s="2">
        <v>2</v>
      </c>
      <c r="I521" s="2">
        <v>7</v>
      </c>
      <c r="J521" s="2">
        <v>8</v>
      </c>
      <c r="K521" s="2">
        <v>0</v>
      </c>
      <c r="L521" s="2">
        <v>15</v>
      </c>
      <c r="M521" s="2">
        <v>12</v>
      </c>
      <c r="N521" s="2">
        <v>1</v>
      </c>
      <c r="O521" s="2">
        <v>1</v>
      </c>
      <c r="P521" s="2">
        <v>0</v>
      </c>
      <c r="Q521" s="2">
        <v>3</v>
      </c>
      <c r="R521" s="2">
        <v>0</v>
      </c>
      <c r="S521" s="2">
        <v>0</v>
      </c>
      <c r="T521" s="2">
        <v>0</v>
      </c>
      <c r="U521" s="11">
        <v>3.6349301875041902</v>
      </c>
      <c r="V521" s="11">
        <v>2.8891923620323401</v>
      </c>
      <c r="W521" s="11">
        <v>0.40019941545306398</v>
      </c>
      <c r="X521" s="11">
        <v>0.37798043978830698</v>
      </c>
      <c r="Y521" s="11">
        <v>6.8814108794951396</v>
      </c>
      <c r="Z521" s="11">
        <v>7.43781797311593</v>
      </c>
      <c r="AA521" s="11">
        <v>2.10812456572928</v>
      </c>
      <c r="AB521" s="11">
        <v>6.8122851858761404</v>
      </c>
      <c r="AC521" s="11">
        <v>6.35806634595966</v>
      </c>
      <c r="AD521" s="11">
        <v>9.4597447033242794</v>
      </c>
      <c r="AE521" s="11">
        <v>9.6006521792081099</v>
      </c>
      <c r="AF521" s="11">
        <v>0.84654704659994096</v>
      </c>
      <c r="AG521" s="11">
        <v>0.22969814145377901</v>
      </c>
      <c r="AH521" s="11">
        <v>2.36757171115537</v>
      </c>
      <c r="AI521" s="11">
        <v>0.377135011965606</v>
      </c>
      <c r="AJ521" s="11">
        <v>0.38065921161865401</v>
      </c>
      <c r="AK521" s="16">
        <v>-1.88729199715633E-2</v>
      </c>
      <c r="AL521" s="16">
        <v>-1.03112303658579</v>
      </c>
      <c r="AM521" s="26">
        <v>0.99999999999999101</v>
      </c>
      <c r="AN521" s="27">
        <v>1</v>
      </c>
      <c r="AO521" s="11">
        <v>3.8177426261242999</v>
      </c>
      <c r="AP521" s="11">
        <v>3.7025092939106798</v>
      </c>
      <c r="AQ521" t="s">
        <v>5875</v>
      </c>
      <c r="AR521" t="s">
        <v>5832</v>
      </c>
      <c r="AS521" t="s">
        <v>1283</v>
      </c>
    </row>
    <row r="522" spans="1:45">
      <c r="A522" t="s">
        <v>1728</v>
      </c>
      <c r="B522" s="2">
        <v>4</v>
      </c>
      <c r="C522" s="2">
        <v>6</v>
      </c>
      <c r="D522" s="2">
        <v>7</v>
      </c>
      <c r="E522" s="2">
        <v>10</v>
      </c>
      <c r="F522" s="2">
        <v>11</v>
      </c>
      <c r="G522" s="2">
        <v>16</v>
      </c>
      <c r="H522" s="2">
        <v>10</v>
      </c>
      <c r="I522" s="2">
        <v>7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11">
        <v>4.8465735833389196</v>
      </c>
      <c r="V522" s="11">
        <v>5.7783847240646802</v>
      </c>
      <c r="W522" s="11">
        <v>11.2055836326858</v>
      </c>
      <c r="X522" s="11">
        <v>15.119217591532299</v>
      </c>
      <c r="Y522" s="11">
        <v>9.4619399593058091</v>
      </c>
      <c r="Z522" s="11">
        <v>14.875635946231901</v>
      </c>
      <c r="AA522" s="11">
        <v>10.5406228286464</v>
      </c>
      <c r="AB522" s="11">
        <v>6.8122851858761404</v>
      </c>
      <c r="AC522" s="11">
        <v>0.19868957331123899</v>
      </c>
      <c r="AD522" s="11">
        <v>0.15766241172207099</v>
      </c>
      <c r="AE522" s="11">
        <v>0.200013587066836</v>
      </c>
      <c r="AF522" s="11">
        <v>0.21163676164998499</v>
      </c>
      <c r="AG522" s="11">
        <v>0.22969814145377901</v>
      </c>
      <c r="AH522" s="11">
        <v>0.19729764259628099</v>
      </c>
      <c r="AI522" s="11">
        <v>0.377135011965606</v>
      </c>
      <c r="AJ522" s="11">
        <v>0.38065921161865401</v>
      </c>
      <c r="AK522" s="16">
        <v>-4.8275811325346201</v>
      </c>
      <c r="AL522" s="16">
        <v>-40.270663595458998</v>
      </c>
      <c r="AM522" s="26">
        <v>3.4181849186228502E-15</v>
      </c>
      <c r="AN522" s="27">
        <v>2.0788779186897099E-13</v>
      </c>
      <c r="AO522" s="11">
        <v>9.8300304314602407</v>
      </c>
      <c r="AP522" s="11">
        <v>0.24409904267305599</v>
      </c>
      <c r="AQ522" t="s">
        <v>5875</v>
      </c>
      <c r="AR522" t="s">
        <v>5876</v>
      </c>
      <c r="AS522" t="s">
        <v>1728</v>
      </c>
    </row>
    <row r="523" spans="1:45">
      <c r="A523" t="s">
        <v>3787</v>
      </c>
      <c r="B523" s="2">
        <v>3</v>
      </c>
      <c r="C523" s="2">
        <v>1</v>
      </c>
      <c r="D523" s="2">
        <v>2</v>
      </c>
      <c r="E523" s="2">
        <v>1</v>
      </c>
      <c r="F523" s="2">
        <v>3</v>
      </c>
      <c r="G523" s="2">
        <v>2</v>
      </c>
      <c r="H523" s="2">
        <v>5</v>
      </c>
      <c r="I523" s="2">
        <v>4</v>
      </c>
      <c r="J523" s="2">
        <v>10</v>
      </c>
      <c r="K523" s="2">
        <v>2</v>
      </c>
      <c r="L523" s="2">
        <v>11</v>
      </c>
      <c r="M523" s="2">
        <v>3</v>
      </c>
      <c r="N523" s="2">
        <v>7</v>
      </c>
      <c r="O523" s="2">
        <v>0</v>
      </c>
      <c r="P523" s="2">
        <v>8</v>
      </c>
      <c r="Q523" s="2">
        <v>7</v>
      </c>
      <c r="R523" s="2">
        <v>1</v>
      </c>
      <c r="S523" s="2">
        <v>1</v>
      </c>
      <c r="T523" s="2">
        <v>0</v>
      </c>
      <c r="U523" s="11">
        <v>3.6349301875041902</v>
      </c>
      <c r="V523" s="11">
        <v>0.96306412067744696</v>
      </c>
      <c r="W523" s="11">
        <v>3.2015953236245198</v>
      </c>
      <c r="X523" s="11">
        <v>1.5119217591532299</v>
      </c>
      <c r="Y523" s="11">
        <v>2.5805290798106801</v>
      </c>
      <c r="Z523" s="11">
        <v>1.85945449327898</v>
      </c>
      <c r="AA523" s="11">
        <v>5.2703114143232002</v>
      </c>
      <c r="AB523" s="11">
        <v>3.8927343919292201</v>
      </c>
      <c r="AC523" s="11">
        <v>7.9475829324495697</v>
      </c>
      <c r="AD523" s="11">
        <v>6.9371461157711396</v>
      </c>
      <c r="AE523" s="11">
        <v>2.4001630448020301</v>
      </c>
      <c r="AF523" s="11">
        <v>5.9258293261995796</v>
      </c>
      <c r="AG523" s="11">
        <v>7.3503405265209096</v>
      </c>
      <c r="AH523" s="11">
        <v>5.5243339926958699</v>
      </c>
      <c r="AI523" s="11">
        <v>1.50854004786242</v>
      </c>
      <c r="AJ523" s="11">
        <v>0.38065921161865401</v>
      </c>
      <c r="AK523" s="16">
        <v>0.79357765108452405</v>
      </c>
      <c r="AL523" s="16">
        <v>1.65722697995927</v>
      </c>
      <c r="AM523" s="26">
        <v>0.146376770454688</v>
      </c>
      <c r="AN523" s="27">
        <v>0.19823088954288801</v>
      </c>
      <c r="AO523" s="11">
        <v>2.8643175962876799</v>
      </c>
      <c r="AP523" s="11">
        <v>4.7468243997400199</v>
      </c>
      <c r="AQ523" t="s">
        <v>5874</v>
      </c>
      <c r="AR523" t="s">
        <v>5832</v>
      </c>
      <c r="AS523" t="s">
        <v>3787</v>
      </c>
    </row>
    <row r="524" spans="1:45">
      <c r="A524" t="s">
        <v>198</v>
      </c>
      <c r="B524" s="2">
        <v>4</v>
      </c>
      <c r="C524" s="2">
        <v>11</v>
      </c>
      <c r="D524" s="2">
        <v>9</v>
      </c>
      <c r="E524" s="2">
        <v>10</v>
      </c>
      <c r="F524" s="2">
        <v>10</v>
      </c>
      <c r="G524" s="2">
        <v>2</v>
      </c>
      <c r="H524" s="2">
        <v>3</v>
      </c>
      <c r="I524" s="2">
        <v>3</v>
      </c>
      <c r="J524" s="2">
        <v>3</v>
      </c>
      <c r="K524" s="2">
        <v>0</v>
      </c>
      <c r="L524" s="2">
        <v>0</v>
      </c>
      <c r="M524" s="2">
        <v>1</v>
      </c>
      <c r="N524" s="2">
        <v>3</v>
      </c>
      <c r="O524" s="2">
        <v>2</v>
      </c>
      <c r="P524" s="2">
        <v>2</v>
      </c>
      <c r="Q524" s="2">
        <v>5</v>
      </c>
      <c r="R524" s="2">
        <v>0</v>
      </c>
      <c r="S524" s="2">
        <v>0</v>
      </c>
      <c r="T524" s="2">
        <v>2</v>
      </c>
      <c r="U524" s="11">
        <v>4.8465735833389196</v>
      </c>
      <c r="V524" s="11">
        <v>10.5937053274519</v>
      </c>
      <c r="W524" s="11">
        <v>14.4071789563103</v>
      </c>
      <c r="X524" s="11">
        <v>15.119217591532299</v>
      </c>
      <c r="Y524" s="11">
        <v>8.6017635993689208</v>
      </c>
      <c r="Z524" s="11">
        <v>1.85945449327898</v>
      </c>
      <c r="AA524" s="11">
        <v>3.1621868485939202</v>
      </c>
      <c r="AB524" s="11">
        <v>2.9195507939469199</v>
      </c>
      <c r="AC524" s="11">
        <v>2.3842748797348698</v>
      </c>
      <c r="AD524" s="11">
        <v>0.15766241172207099</v>
      </c>
      <c r="AE524" s="11">
        <v>0.80005434826734301</v>
      </c>
      <c r="AF524" s="11">
        <v>2.5396411397998202</v>
      </c>
      <c r="AG524" s="11">
        <v>1.8375851316302301</v>
      </c>
      <c r="AH524" s="11">
        <v>3.94595285192562</v>
      </c>
      <c r="AI524" s="11">
        <v>0.377135011965606</v>
      </c>
      <c r="AJ524" s="11">
        <v>3.0452736929492299</v>
      </c>
      <c r="AK524" s="16">
        <v>-1.9274985522968899</v>
      </c>
      <c r="AL524" s="16">
        <v>-4.0768389206699602</v>
      </c>
      <c r="AM524" s="26">
        <v>8.6802447895044398E-4</v>
      </c>
      <c r="AN524" s="27">
        <v>1.9819398512554501E-3</v>
      </c>
      <c r="AO524" s="11">
        <v>7.6887038992277699</v>
      </c>
      <c r="AP524" s="11">
        <v>1.88594743349935</v>
      </c>
      <c r="AQ524" t="s">
        <v>5875</v>
      </c>
      <c r="AR524" t="s">
        <v>5876</v>
      </c>
      <c r="AS524" t="s">
        <v>198</v>
      </c>
    </row>
    <row r="525" spans="1:45">
      <c r="A525" t="s">
        <v>293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1</v>
      </c>
      <c r="J525" s="2">
        <v>0</v>
      </c>
      <c r="K525" s="2">
        <v>0</v>
      </c>
      <c r="L525" s="2">
        <v>36</v>
      </c>
      <c r="M525" s="2">
        <v>31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11">
        <v>0.30291084895868198</v>
      </c>
      <c r="V525" s="11">
        <v>0.24076603016936199</v>
      </c>
      <c r="W525" s="11">
        <v>0.40019941545306398</v>
      </c>
      <c r="X525" s="11">
        <v>0.37798043978830698</v>
      </c>
      <c r="Y525" s="11">
        <v>0.215044089984223</v>
      </c>
      <c r="Z525" s="11">
        <v>0.23243181165987301</v>
      </c>
      <c r="AA525" s="11">
        <v>1.05406228286464</v>
      </c>
      <c r="AB525" s="11">
        <v>0.97318359798230603</v>
      </c>
      <c r="AC525" s="11">
        <v>0.19868957331123899</v>
      </c>
      <c r="AD525" s="11">
        <v>22.703387287978298</v>
      </c>
      <c r="AE525" s="11">
        <v>24.801684796287599</v>
      </c>
      <c r="AF525" s="11">
        <v>0.21163676164998499</v>
      </c>
      <c r="AG525" s="11">
        <v>0.22969814145377901</v>
      </c>
      <c r="AH525" s="11">
        <v>0.78919057038512497</v>
      </c>
      <c r="AI525" s="11">
        <v>0.377135011965606</v>
      </c>
      <c r="AJ525" s="11">
        <v>0.38065921161865401</v>
      </c>
      <c r="AK525" s="16">
        <v>3.4332994754129502</v>
      </c>
      <c r="AL525" s="16">
        <v>13.088648406445399</v>
      </c>
      <c r="AM525" s="26">
        <v>3.2896581293509002E-3</v>
      </c>
      <c r="AN525" s="27">
        <v>6.6893048283761499E-3</v>
      </c>
      <c r="AO525" s="11">
        <v>0.474572314607557</v>
      </c>
      <c r="AP525" s="11">
        <v>6.21151016933129</v>
      </c>
      <c r="AQ525" t="s">
        <v>5874</v>
      </c>
      <c r="AR525" t="s">
        <v>5876</v>
      </c>
      <c r="AS525" t="s">
        <v>293</v>
      </c>
    </row>
    <row r="526" spans="1:45">
      <c r="A526" t="s">
        <v>2195</v>
      </c>
      <c r="B526" s="2">
        <v>1</v>
      </c>
      <c r="C526" s="2">
        <v>0</v>
      </c>
      <c r="D526" s="2">
        <v>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8</v>
      </c>
      <c r="K526" s="2">
        <v>1</v>
      </c>
      <c r="L526" s="2">
        <v>12</v>
      </c>
      <c r="M526" s="2">
        <v>6</v>
      </c>
      <c r="N526" s="2">
        <v>7</v>
      </c>
      <c r="O526" s="2">
        <v>0</v>
      </c>
      <c r="P526" s="2">
        <v>3</v>
      </c>
      <c r="Q526" s="2">
        <v>15</v>
      </c>
      <c r="R526" s="2">
        <v>4</v>
      </c>
      <c r="S526" s="2">
        <v>1</v>
      </c>
      <c r="T526" s="2">
        <v>11</v>
      </c>
      <c r="U526" s="11">
        <v>1.2116433958347299</v>
      </c>
      <c r="V526" s="11">
        <v>0.24076603016936199</v>
      </c>
      <c r="W526" s="11">
        <v>1.6007976618122599</v>
      </c>
      <c r="X526" s="11">
        <v>0.37798043978830698</v>
      </c>
      <c r="Y526" s="11">
        <v>0.215044089984223</v>
      </c>
      <c r="Z526" s="11">
        <v>0.23243181165987301</v>
      </c>
      <c r="AA526" s="11">
        <v>0.26351557071616</v>
      </c>
      <c r="AB526" s="11">
        <v>0.24329589949557701</v>
      </c>
      <c r="AC526" s="11">
        <v>6.35806634595966</v>
      </c>
      <c r="AD526" s="11">
        <v>7.5677957626594301</v>
      </c>
      <c r="AE526" s="11">
        <v>4.8003260896040603</v>
      </c>
      <c r="AF526" s="11">
        <v>5.9258293261995796</v>
      </c>
      <c r="AG526" s="11">
        <v>2.7563776974453398</v>
      </c>
      <c r="AH526" s="11">
        <v>11.837858555776901</v>
      </c>
      <c r="AI526" s="11">
        <v>6.0341601914496898</v>
      </c>
      <c r="AJ526" s="11">
        <v>16.749005311220799</v>
      </c>
      <c r="AK526" s="16">
        <v>3.6692288415946699</v>
      </c>
      <c r="AL526" s="16">
        <v>14.1442878370929</v>
      </c>
      <c r="AM526" s="26">
        <v>3.03895025319152E-8</v>
      </c>
      <c r="AN526" s="27">
        <v>2.33684795331623E-7</v>
      </c>
      <c r="AO526" s="11">
        <v>0.54818436243256097</v>
      </c>
      <c r="AP526" s="11">
        <v>7.7536774100394297</v>
      </c>
      <c r="AQ526" t="s">
        <v>5874</v>
      </c>
      <c r="AR526" t="s">
        <v>5876</v>
      </c>
      <c r="AS526" t="s">
        <v>2195</v>
      </c>
    </row>
    <row r="527" spans="1:45">
      <c r="A527" t="s">
        <v>3312</v>
      </c>
      <c r="B527" s="2">
        <v>1</v>
      </c>
      <c r="C527" s="2">
        <v>0</v>
      </c>
      <c r="D527" s="2">
        <v>0</v>
      </c>
      <c r="E527" s="2">
        <v>0</v>
      </c>
      <c r="F527" s="2">
        <v>1</v>
      </c>
      <c r="G527" s="2">
        <v>0</v>
      </c>
      <c r="H527" s="2">
        <v>1</v>
      </c>
      <c r="I527" s="2">
        <v>2</v>
      </c>
      <c r="J527" s="2">
        <v>0</v>
      </c>
      <c r="K527" s="2">
        <v>13</v>
      </c>
      <c r="L527" s="2">
        <v>0</v>
      </c>
      <c r="M527" s="2">
        <v>0</v>
      </c>
      <c r="N527" s="2">
        <v>10</v>
      </c>
      <c r="O527" s="2">
        <v>24</v>
      </c>
      <c r="P527" s="2">
        <v>2</v>
      </c>
      <c r="Q527" s="2">
        <v>2</v>
      </c>
      <c r="R527" s="2">
        <v>4</v>
      </c>
      <c r="S527" s="2">
        <v>5</v>
      </c>
      <c r="T527" s="2">
        <v>5</v>
      </c>
      <c r="U527" s="11">
        <v>1.2116433958347299</v>
      </c>
      <c r="V527" s="11">
        <v>0.24076603016936199</v>
      </c>
      <c r="W527" s="11">
        <v>0.40019941545306398</v>
      </c>
      <c r="X527" s="11">
        <v>0.37798043978830698</v>
      </c>
      <c r="Y527" s="11">
        <v>0.86017635993689201</v>
      </c>
      <c r="Z527" s="11">
        <v>0.23243181165987301</v>
      </c>
      <c r="AA527" s="11">
        <v>1.05406228286464</v>
      </c>
      <c r="AB527" s="11">
        <v>1.9463671959646101</v>
      </c>
      <c r="AC527" s="11">
        <v>0.19868957331123899</v>
      </c>
      <c r="AD527" s="11">
        <v>0.15766241172207099</v>
      </c>
      <c r="AE527" s="11">
        <v>0.200013587066836</v>
      </c>
      <c r="AF527" s="11">
        <v>8.4654704659994096</v>
      </c>
      <c r="AG527" s="11">
        <v>1.8375851316302301</v>
      </c>
      <c r="AH527" s="11">
        <v>1.5783811407702499</v>
      </c>
      <c r="AI527" s="11">
        <v>6.0341601914496898</v>
      </c>
      <c r="AJ527" s="11">
        <v>7.6131842323730803</v>
      </c>
      <c r="AK527" s="16">
        <v>1.76159972060833</v>
      </c>
      <c r="AL527" s="16">
        <v>4.1250293567567997</v>
      </c>
      <c r="AM527" s="26">
        <v>2.2450083955762701E-2</v>
      </c>
      <c r="AN527" s="27">
        <v>3.83140463428705E-2</v>
      </c>
      <c r="AO527" s="11">
        <v>0.79045336645893505</v>
      </c>
      <c r="AP527" s="11">
        <v>3.2606433417903502</v>
      </c>
      <c r="AQ527" t="s">
        <v>5874</v>
      </c>
      <c r="AR527" t="s">
        <v>5878</v>
      </c>
      <c r="AS527" t="s">
        <v>3312</v>
      </c>
    </row>
    <row r="528" spans="1:45">
      <c r="A528" t="s">
        <v>3360</v>
      </c>
      <c r="B528" s="2">
        <v>4</v>
      </c>
      <c r="C528" s="2">
        <v>1</v>
      </c>
      <c r="D528" s="2">
        <v>2</v>
      </c>
      <c r="E528" s="2">
        <v>3</v>
      </c>
      <c r="F528" s="2">
        <v>5</v>
      </c>
      <c r="G528" s="2">
        <v>2</v>
      </c>
      <c r="H528" s="2">
        <v>10</v>
      </c>
      <c r="I528" s="2">
        <v>4</v>
      </c>
      <c r="J528" s="2">
        <v>6</v>
      </c>
      <c r="K528" s="2">
        <v>1</v>
      </c>
      <c r="L528" s="2">
        <v>10</v>
      </c>
      <c r="M528" s="2">
        <v>3</v>
      </c>
      <c r="N528" s="2">
        <v>4</v>
      </c>
      <c r="O528" s="2">
        <v>1</v>
      </c>
      <c r="P528" s="2">
        <v>4</v>
      </c>
      <c r="Q528" s="2">
        <v>4</v>
      </c>
      <c r="R528" s="2">
        <v>3</v>
      </c>
      <c r="S528" s="2">
        <v>1</v>
      </c>
      <c r="T528" s="2">
        <v>2</v>
      </c>
      <c r="U528" s="11">
        <v>4.8465735833389196</v>
      </c>
      <c r="V528" s="11">
        <v>0.96306412067744696</v>
      </c>
      <c r="W528" s="11">
        <v>3.2015953236245198</v>
      </c>
      <c r="X528" s="11">
        <v>4.5357652774596904</v>
      </c>
      <c r="Y528" s="11">
        <v>4.3008817996844604</v>
      </c>
      <c r="Z528" s="11">
        <v>1.85945449327898</v>
      </c>
      <c r="AA528" s="11">
        <v>10.5406228286464</v>
      </c>
      <c r="AB528" s="11">
        <v>3.8927343919292201</v>
      </c>
      <c r="AC528" s="11">
        <v>4.7685497594697397</v>
      </c>
      <c r="AD528" s="11">
        <v>6.3064964688828598</v>
      </c>
      <c r="AE528" s="11">
        <v>2.4001630448020301</v>
      </c>
      <c r="AF528" s="11">
        <v>3.3861881863997598</v>
      </c>
      <c r="AG528" s="11">
        <v>3.6751702632604601</v>
      </c>
      <c r="AH528" s="11">
        <v>3.1567622815404999</v>
      </c>
      <c r="AI528" s="11">
        <v>4.5256201435872701</v>
      </c>
      <c r="AJ528" s="11">
        <v>3.0452736929492299</v>
      </c>
      <c r="AK528" s="16">
        <v>-9.0951534766335607E-2</v>
      </c>
      <c r="AL528" s="16">
        <v>-1.0920050979799301</v>
      </c>
      <c r="AM528" s="26">
        <v>0.84376453202308799</v>
      </c>
      <c r="AN528" s="27">
        <v>0.89034459293918899</v>
      </c>
      <c r="AO528" s="11">
        <v>4.2675864773299503</v>
      </c>
      <c r="AP528" s="11">
        <v>3.9080279801114801</v>
      </c>
      <c r="AQ528" t="s">
        <v>5875</v>
      </c>
      <c r="AR528" t="s">
        <v>5832</v>
      </c>
      <c r="AS528" t="s">
        <v>3360</v>
      </c>
    </row>
    <row r="529" spans="1:45">
      <c r="A529" t="s">
        <v>3817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2</v>
      </c>
      <c r="H529" s="2">
        <v>0</v>
      </c>
      <c r="I529" s="2">
        <v>12</v>
      </c>
      <c r="J529" s="2">
        <v>3</v>
      </c>
      <c r="K529" s="2">
        <v>1</v>
      </c>
      <c r="L529" s="2">
        <v>14</v>
      </c>
      <c r="M529" s="2">
        <v>1</v>
      </c>
      <c r="N529" s="2">
        <v>9</v>
      </c>
      <c r="O529" s="2">
        <v>3</v>
      </c>
      <c r="P529" s="2">
        <v>16</v>
      </c>
      <c r="Q529" s="2">
        <v>5</v>
      </c>
      <c r="R529" s="2">
        <v>1</v>
      </c>
      <c r="S529" s="2">
        <v>0</v>
      </c>
      <c r="T529" s="2">
        <v>3</v>
      </c>
      <c r="U529" s="11">
        <v>0.30291084895868198</v>
      </c>
      <c r="V529" s="11">
        <v>0.24076603016936199</v>
      </c>
      <c r="W529" s="11">
        <v>0.40019941545306398</v>
      </c>
      <c r="X529" s="11">
        <v>0.37798043978830698</v>
      </c>
      <c r="Y529" s="11">
        <v>0.215044089984223</v>
      </c>
      <c r="Z529" s="11">
        <v>1.85945449327898</v>
      </c>
      <c r="AA529" s="11">
        <v>0.26351557071616</v>
      </c>
      <c r="AB529" s="11">
        <v>11.678203175787701</v>
      </c>
      <c r="AC529" s="11">
        <v>2.3842748797348698</v>
      </c>
      <c r="AD529" s="11">
        <v>8.8290950564359996</v>
      </c>
      <c r="AE529" s="11">
        <v>0.80005434826734301</v>
      </c>
      <c r="AF529" s="11">
        <v>7.6189234193994704</v>
      </c>
      <c r="AG529" s="11">
        <v>14.7006810530418</v>
      </c>
      <c r="AH529" s="11">
        <v>3.94595285192562</v>
      </c>
      <c r="AI529" s="11">
        <v>1.50854004786242</v>
      </c>
      <c r="AJ529" s="11">
        <v>4.5679105394238499</v>
      </c>
      <c r="AK529" s="16">
        <v>1.43157387988714</v>
      </c>
      <c r="AL529" s="16">
        <v>2.89185148087161</v>
      </c>
      <c r="AM529" s="26">
        <v>6.2506725705120503E-2</v>
      </c>
      <c r="AN529" s="27">
        <v>9.3970785385900202E-2</v>
      </c>
      <c r="AO529" s="11">
        <v>1.91725925801706</v>
      </c>
      <c r="AP529" s="11">
        <v>5.5444290245114303</v>
      </c>
      <c r="AQ529" t="s">
        <v>5874</v>
      </c>
      <c r="AR529" t="s">
        <v>5877</v>
      </c>
      <c r="AS529" t="s">
        <v>3817</v>
      </c>
    </row>
    <row r="530" spans="1:45">
      <c r="A530" t="s">
        <v>753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2</v>
      </c>
      <c r="I530" s="2">
        <v>12</v>
      </c>
      <c r="J530" s="2">
        <v>0</v>
      </c>
      <c r="K530" s="2">
        <v>5</v>
      </c>
      <c r="L530" s="2">
        <v>5</v>
      </c>
      <c r="M530" s="2">
        <v>2</v>
      </c>
      <c r="N530" s="2">
        <v>0</v>
      </c>
      <c r="O530" s="2">
        <v>0</v>
      </c>
      <c r="P530" s="2">
        <v>24</v>
      </c>
      <c r="Q530" s="2">
        <v>3</v>
      </c>
      <c r="R530" s="2">
        <v>9</v>
      </c>
      <c r="S530" s="2">
        <v>0</v>
      </c>
      <c r="T530" s="2">
        <v>7</v>
      </c>
      <c r="U530" s="11">
        <v>0.30291084895868198</v>
      </c>
      <c r="V530" s="11">
        <v>0.24076603016936199</v>
      </c>
      <c r="W530" s="11">
        <v>0.40019941545306398</v>
      </c>
      <c r="X530" s="11">
        <v>0.37798043978830698</v>
      </c>
      <c r="Y530" s="11">
        <v>0.215044089984223</v>
      </c>
      <c r="Z530" s="11">
        <v>0.23243181165987301</v>
      </c>
      <c r="AA530" s="11">
        <v>2.10812456572928</v>
      </c>
      <c r="AB530" s="11">
        <v>11.678203175787701</v>
      </c>
      <c r="AC530" s="11">
        <v>0.19868957331123899</v>
      </c>
      <c r="AD530" s="11">
        <v>3.1532482344414299</v>
      </c>
      <c r="AE530" s="11">
        <v>1.60010869653469</v>
      </c>
      <c r="AF530" s="11">
        <v>0.21163676164998499</v>
      </c>
      <c r="AG530" s="11">
        <v>22.0510215795627</v>
      </c>
      <c r="AH530" s="11">
        <v>2.36757171115537</v>
      </c>
      <c r="AI530" s="11">
        <v>13.576860430761799</v>
      </c>
      <c r="AJ530" s="11">
        <v>10.658457925322301</v>
      </c>
      <c r="AK530" s="16">
        <v>1.6651017770884899</v>
      </c>
      <c r="AL530" s="16">
        <v>3.4596792168641701</v>
      </c>
      <c r="AM530" s="26">
        <v>8.8908656433367997E-2</v>
      </c>
      <c r="AN530" s="27">
        <v>0.12786851173587599</v>
      </c>
      <c r="AO530" s="11">
        <v>1.9444575471913099</v>
      </c>
      <c r="AP530" s="11">
        <v>6.7271993640924501</v>
      </c>
      <c r="AQ530" t="s">
        <v>5874</v>
      </c>
      <c r="AR530" t="s">
        <v>5832</v>
      </c>
      <c r="AS530" t="s">
        <v>753</v>
      </c>
    </row>
    <row r="531" spans="1:45">
      <c r="A531" t="s">
        <v>2069</v>
      </c>
      <c r="B531" s="2">
        <v>1</v>
      </c>
      <c r="C531" s="2">
        <v>1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1</v>
      </c>
      <c r="K531" s="2">
        <v>11</v>
      </c>
      <c r="L531" s="2">
        <v>1</v>
      </c>
      <c r="M531" s="2">
        <v>1</v>
      </c>
      <c r="N531" s="2">
        <v>17</v>
      </c>
      <c r="O531" s="2">
        <v>26</v>
      </c>
      <c r="P531" s="2">
        <v>2</v>
      </c>
      <c r="Q531" s="2">
        <v>0</v>
      </c>
      <c r="R531" s="2">
        <v>6</v>
      </c>
      <c r="S531" s="2">
        <v>1</v>
      </c>
      <c r="T531" s="2">
        <v>1</v>
      </c>
      <c r="U531" s="11">
        <v>1.2116433958347299</v>
      </c>
      <c r="V531" s="11">
        <v>0.96306412067744696</v>
      </c>
      <c r="W531" s="11">
        <v>0.40019941545306398</v>
      </c>
      <c r="X531" s="11">
        <v>0.37798043978830698</v>
      </c>
      <c r="Y531" s="11">
        <v>0.215044089984223</v>
      </c>
      <c r="Z531" s="11">
        <v>0.23243181165987301</v>
      </c>
      <c r="AA531" s="11">
        <v>0.26351557071616</v>
      </c>
      <c r="AB531" s="11">
        <v>0.24329589949557701</v>
      </c>
      <c r="AC531" s="11">
        <v>0.79475829324495695</v>
      </c>
      <c r="AD531" s="11">
        <v>0.63064964688828595</v>
      </c>
      <c r="AE531" s="11">
        <v>0.80005434826734301</v>
      </c>
      <c r="AF531" s="11">
        <v>14.391299792199</v>
      </c>
      <c r="AG531" s="11">
        <v>1.8375851316302301</v>
      </c>
      <c r="AH531" s="11">
        <v>0.19729764259628099</v>
      </c>
      <c r="AI531" s="11">
        <v>9.0512402871745401</v>
      </c>
      <c r="AJ531" s="11">
        <v>1.5226368464746201</v>
      </c>
      <c r="AK531" s="16">
        <v>2.6102587433311499</v>
      </c>
      <c r="AL531" s="16">
        <v>7.47996286479811</v>
      </c>
      <c r="AM531" s="26">
        <v>6.1719389508565698E-3</v>
      </c>
      <c r="AN531" s="27">
        <v>1.19681946612262E-2</v>
      </c>
      <c r="AO531" s="11">
        <v>0.48839684295117303</v>
      </c>
      <c r="AP531" s="11">
        <v>3.6531902485594001</v>
      </c>
      <c r="AQ531" t="s">
        <v>5874</v>
      </c>
      <c r="AR531" t="s">
        <v>5878</v>
      </c>
      <c r="AS531" t="s">
        <v>2069</v>
      </c>
    </row>
    <row r="532" spans="1:45">
      <c r="A532" t="s">
        <v>4626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5</v>
      </c>
      <c r="J532" s="2">
        <v>2</v>
      </c>
      <c r="K532" s="2">
        <v>8</v>
      </c>
      <c r="L532" s="2">
        <v>4</v>
      </c>
      <c r="M532" s="2">
        <v>2</v>
      </c>
      <c r="N532" s="2">
        <v>9</v>
      </c>
      <c r="O532" s="2">
        <v>9</v>
      </c>
      <c r="P532" s="2">
        <v>12</v>
      </c>
      <c r="Q532" s="2">
        <v>4</v>
      </c>
      <c r="R532" s="2">
        <v>4</v>
      </c>
      <c r="S532" s="2">
        <v>2</v>
      </c>
      <c r="T532" s="2">
        <v>8</v>
      </c>
      <c r="U532" s="11">
        <v>0.30291084895868198</v>
      </c>
      <c r="V532" s="11">
        <v>0.24076603016936199</v>
      </c>
      <c r="W532" s="11">
        <v>0.40019941545306398</v>
      </c>
      <c r="X532" s="11">
        <v>0.37798043978830698</v>
      </c>
      <c r="Y532" s="11">
        <v>0.215044089984223</v>
      </c>
      <c r="Z532" s="11">
        <v>0.23243181165987301</v>
      </c>
      <c r="AA532" s="11">
        <v>0.26351557071616</v>
      </c>
      <c r="AB532" s="11">
        <v>4.8659179899115301</v>
      </c>
      <c r="AC532" s="11">
        <v>1.5895165864899099</v>
      </c>
      <c r="AD532" s="11">
        <v>2.5225985875531398</v>
      </c>
      <c r="AE532" s="11">
        <v>1.60010869653469</v>
      </c>
      <c r="AF532" s="11">
        <v>7.6189234193994704</v>
      </c>
      <c r="AG532" s="11">
        <v>11.0255107897814</v>
      </c>
      <c r="AH532" s="11">
        <v>3.1567622815404999</v>
      </c>
      <c r="AI532" s="11">
        <v>6.0341601914496898</v>
      </c>
      <c r="AJ532" s="11">
        <v>12.1810947717969</v>
      </c>
      <c r="AK532" s="16">
        <v>2.45945827194664</v>
      </c>
      <c r="AL532" s="16">
        <v>6.6285295110899103</v>
      </c>
      <c r="AM532" s="26">
        <v>5.5259875857648999E-4</v>
      </c>
      <c r="AN532" s="27">
        <v>1.3346157743237301E-3</v>
      </c>
      <c r="AO532" s="11">
        <v>0.86234577458015005</v>
      </c>
      <c r="AP532" s="11">
        <v>5.7160844155682096</v>
      </c>
      <c r="AQ532" t="s">
        <v>5874</v>
      </c>
      <c r="AR532" t="s">
        <v>5876</v>
      </c>
      <c r="AS532" t="s">
        <v>4626</v>
      </c>
    </row>
    <row r="533" spans="1:45">
      <c r="A533" t="s">
        <v>4856</v>
      </c>
      <c r="B533" s="2">
        <v>3</v>
      </c>
      <c r="C533" s="2">
        <v>6</v>
      </c>
      <c r="D533" s="2">
        <v>0</v>
      </c>
      <c r="E533" s="2">
        <v>0</v>
      </c>
      <c r="F533" s="2">
        <v>10</v>
      </c>
      <c r="G533" s="2">
        <v>9</v>
      </c>
      <c r="H533" s="2">
        <v>5</v>
      </c>
      <c r="I533" s="2">
        <v>2</v>
      </c>
      <c r="J533" s="2">
        <v>2</v>
      </c>
      <c r="K533" s="2">
        <v>0</v>
      </c>
      <c r="L533" s="2">
        <v>2</v>
      </c>
      <c r="M533" s="2">
        <v>0</v>
      </c>
      <c r="N533" s="2">
        <v>0</v>
      </c>
      <c r="O533" s="2">
        <v>1</v>
      </c>
      <c r="P533" s="2">
        <v>1</v>
      </c>
      <c r="Q533" s="2">
        <v>1</v>
      </c>
      <c r="R533" s="2">
        <v>27</v>
      </c>
      <c r="S533" s="2">
        <v>0</v>
      </c>
      <c r="T533" s="2">
        <v>0</v>
      </c>
      <c r="U533" s="11">
        <v>3.6349301875041902</v>
      </c>
      <c r="V533" s="11">
        <v>5.7783847240646802</v>
      </c>
      <c r="W533" s="11">
        <v>0.40019941545306398</v>
      </c>
      <c r="X533" s="11">
        <v>0.37798043978830698</v>
      </c>
      <c r="Y533" s="11">
        <v>8.6017635993689208</v>
      </c>
      <c r="Z533" s="11">
        <v>8.3675452197554208</v>
      </c>
      <c r="AA533" s="11">
        <v>5.2703114143232002</v>
      </c>
      <c r="AB533" s="11">
        <v>1.9463671959646101</v>
      </c>
      <c r="AC533" s="11">
        <v>1.5895165864899099</v>
      </c>
      <c r="AD533" s="11">
        <v>1.2612992937765699</v>
      </c>
      <c r="AE533" s="11">
        <v>0.200013587066836</v>
      </c>
      <c r="AF533" s="11">
        <v>0.21163676164998499</v>
      </c>
      <c r="AG533" s="11">
        <v>0.91879256581511404</v>
      </c>
      <c r="AH533" s="11">
        <v>0.78919057038512497</v>
      </c>
      <c r="AI533" s="11">
        <v>40.7305812922854</v>
      </c>
      <c r="AJ533" s="11">
        <v>0.38065921161865401</v>
      </c>
      <c r="AK533" s="16">
        <v>0.31168542325123499</v>
      </c>
      <c r="AL533" s="16">
        <v>1.3404614568937601</v>
      </c>
      <c r="AM533" s="26">
        <v>0.71952667591764397</v>
      </c>
      <c r="AN533" s="27">
        <v>0.78654141534134603</v>
      </c>
      <c r="AO533" s="11">
        <v>4.2971852745278003</v>
      </c>
      <c r="AP533" s="11">
        <v>5.7602112336359497</v>
      </c>
      <c r="AQ533" t="s">
        <v>5874</v>
      </c>
      <c r="AR533" t="s">
        <v>5832</v>
      </c>
      <c r="AS533" t="s">
        <v>4856</v>
      </c>
    </row>
    <row r="534" spans="1:45">
      <c r="A534" t="s">
        <v>5078</v>
      </c>
      <c r="B534" s="2">
        <v>9</v>
      </c>
      <c r="C534" s="2">
        <v>9</v>
      </c>
      <c r="D534" s="2">
        <v>1</v>
      </c>
      <c r="E534" s="2">
        <v>5</v>
      </c>
      <c r="F534" s="2">
        <v>5</v>
      </c>
      <c r="G534" s="2">
        <v>6</v>
      </c>
      <c r="H534" s="2">
        <v>8</v>
      </c>
      <c r="I534" s="2">
        <v>2</v>
      </c>
      <c r="J534" s="2">
        <v>1</v>
      </c>
      <c r="K534" s="2">
        <v>2</v>
      </c>
      <c r="L534" s="2">
        <v>3</v>
      </c>
      <c r="M534" s="2">
        <v>4</v>
      </c>
      <c r="N534" s="2">
        <v>1</v>
      </c>
      <c r="O534" s="2">
        <v>2</v>
      </c>
      <c r="P534" s="2">
        <v>1</v>
      </c>
      <c r="Q534" s="2">
        <v>1</v>
      </c>
      <c r="R534" s="2">
        <v>3</v>
      </c>
      <c r="S534" s="2">
        <v>3</v>
      </c>
      <c r="T534" s="2">
        <v>3</v>
      </c>
      <c r="U534" s="11">
        <v>10.9047905625126</v>
      </c>
      <c r="V534" s="11">
        <v>8.6675770860970207</v>
      </c>
      <c r="W534" s="11">
        <v>1.6007976618122599</v>
      </c>
      <c r="X534" s="11">
        <v>7.5596087957661497</v>
      </c>
      <c r="Y534" s="11">
        <v>4.3008817996844604</v>
      </c>
      <c r="Z534" s="11">
        <v>5.5783634798369501</v>
      </c>
      <c r="AA534" s="11">
        <v>8.4324982629171306</v>
      </c>
      <c r="AB534" s="11">
        <v>1.9463671959646101</v>
      </c>
      <c r="AC534" s="11">
        <v>0.79475829324495695</v>
      </c>
      <c r="AD534" s="11">
        <v>1.89194894066486</v>
      </c>
      <c r="AE534" s="11">
        <v>3.2002173930693698</v>
      </c>
      <c r="AF534" s="11">
        <v>0.84654704659994096</v>
      </c>
      <c r="AG534" s="11">
        <v>0.91879256581511404</v>
      </c>
      <c r="AH534" s="11">
        <v>0.78919057038512497</v>
      </c>
      <c r="AI534" s="11">
        <v>4.5256201435872701</v>
      </c>
      <c r="AJ534" s="11">
        <v>4.5679105394238499</v>
      </c>
      <c r="AK534" s="16">
        <v>-1.5783108902257901</v>
      </c>
      <c r="AL534" s="16">
        <v>-2.7938936627426201</v>
      </c>
      <c r="AM534" s="26">
        <v>3.6716921866182502E-3</v>
      </c>
      <c r="AN534" s="27">
        <v>7.3324240980525597E-3</v>
      </c>
      <c r="AO534" s="11">
        <v>6.1238606055738902</v>
      </c>
      <c r="AP534" s="11">
        <v>2.1918731865988099</v>
      </c>
      <c r="AQ534" t="s">
        <v>5875</v>
      </c>
      <c r="AR534" t="s">
        <v>5876</v>
      </c>
      <c r="AS534" t="s">
        <v>5078</v>
      </c>
    </row>
    <row r="535" spans="1:45">
      <c r="A535" t="s">
        <v>5302</v>
      </c>
      <c r="B535" s="2">
        <v>9</v>
      </c>
      <c r="C535" s="2">
        <v>4</v>
      </c>
      <c r="D535" s="2">
        <v>9</v>
      </c>
      <c r="E535" s="2">
        <v>6</v>
      </c>
      <c r="F535" s="2">
        <v>9</v>
      </c>
      <c r="G535" s="2">
        <v>4</v>
      </c>
      <c r="H535" s="2">
        <v>8</v>
      </c>
      <c r="I535" s="2">
        <v>3</v>
      </c>
      <c r="J535" s="2">
        <v>1</v>
      </c>
      <c r="K535" s="2">
        <v>0</v>
      </c>
      <c r="L535" s="2">
        <v>1</v>
      </c>
      <c r="M535" s="2">
        <v>3</v>
      </c>
      <c r="N535" s="2">
        <v>1</v>
      </c>
      <c r="O535" s="2">
        <v>0</v>
      </c>
      <c r="P535" s="2">
        <v>2</v>
      </c>
      <c r="Q535" s="2">
        <v>2</v>
      </c>
      <c r="R535" s="2">
        <v>1</v>
      </c>
      <c r="S535" s="2">
        <v>1</v>
      </c>
      <c r="T535" s="2">
        <v>5</v>
      </c>
      <c r="U535" s="11">
        <v>10.9047905625126</v>
      </c>
      <c r="V535" s="11">
        <v>3.85225648270979</v>
      </c>
      <c r="W535" s="11">
        <v>14.4071789563103</v>
      </c>
      <c r="X535" s="11">
        <v>9.0715305549193808</v>
      </c>
      <c r="Y535" s="11">
        <v>7.7415872394320298</v>
      </c>
      <c r="Z535" s="11">
        <v>3.7189089865579601</v>
      </c>
      <c r="AA535" s="11">
        <v>8.4324982629171306</v>
      </c>
      <c r="AB535" s="11">
        <v>2.9195507939469199</v>
      </c>
      <c r="AC535" s="11">
        <v>0.79475829324495695</v>
      </c>
      <c r="AD535" s="11">
        <v>0.63064964688828595</v>
      </c>
      <c r="AE535" s="11">
        <v>2.4001630448020301</v>
      </c>
      <c r="AF535" s="11">
        <v>0.84654704659994096</v>
      </c>
      <c r="AG535" s="11">
        <v>1.8375851316302301</v>
      </c>
      <c r="AH535" s="11">
        <v>1.5783811407702499</v>
      </c>
      <c r="AI535" s="11">
        <v>1.50854004786242</v>
      </c>
      <c r="AJ535" s="11">
        <v>7.6131842323730803</v>
      </c>
      <c r="AK535" s="16">
        <v>-1.89855529731545</v>
      </c>
      <c r="AL535" s="16">
        <v>-3.5472969696743499</v>
      </c>
      <c r="AM535" s="26">
        <v>6.6066694401770501E-4</v>
      </c>
      <c r="AN535" s="27">
        <v>1.5673268991058299E-3</v>
      </c>
      <c r="AO535" s="11">
        <v>7.6310377299132597</v>
      </c>
      <c r="AP535" s="11">
        <v>2.1512260730213999</v>
      </c>
      <c r="AQ535" t="s">
        <v>5875</v>
      </c>
      <c r="AR535" t="s">
        <v>5876</v>
      </c>
      <c r="AS535" t="s">
        <v>5302</v>
      </c>
    </row>
    <row r="536" spans="1:45">
      <c r="A536" t="s">
        <v>5684</v>
      </c>
      <c r="B536" s="2">
        <v>1.9450000000000001</v>
      </c>
      <c r="C536" s="2">
        <v>2.89</v>
      </c>
      <c r="D536" s="2">
        <v>0.315</v>
      </c>
      <c r="E536" s="2">
        <v>0.63</v>
      </c>
      <c r="F536" s="2">
        <v>2.89</v>
      </c>
      <c r="G536" s="2">
        <v>4.2050000000000001</v>
      </c>
      <c r="H536" s="2">
        <v>3.2050000000000001</v>
      </c>
      <c r="I536" s="2">
        <v>1.9450000000000001</v>
      </c>
      <c r="J536" s="2">
        <v>15.039</v>
      </c>
      <c r="K536" s="2">
        <v>0</v>
      </c>
      <c r="L536" s="2">
        <v>13.78</v>
      </c>
      <c r="M536" s="2">
        <v>7.52</v>
      </c>
      <c r="N536" s="2">
        <v>3.26</v>
      </c>
      <c r="O536" s="2">
        <v>0.315</v>
      </c>
      <c r="P536" s="2">
        <v>5.26</v>
      </c>
      <c r="Q536" s="2">
        <v>3.26</v>
      </c>
      <c r="R536" s="2">
        <v>0.94499999999999995</v>
      </c>
      <c r="S536" s="2">
        <v>0.315</v>
      </c>
      <c r="T536" s="2">
        <v>0.94499999999999995</v>
      </c>
      <c r="U536" s="11">
        <v>2.3021224520859902</v>
      </c>
      <c r="V536" s="11">
        <v>2.7928859499645999</v>
      </c>
      <c r="W536" s="11">
        <v>0.48023929854367697</v>
      </c>
      <c r="X536" s="11">
        <v>0.90715305549193803</v>
      </c>
      <c r="Y536" s="11">
        <v>2.49451144381699</v>
      </c>
      <c r="Z536" s="11">
        <v>3.9048544358858601</v>
      </c>
      <c r="AA536" s="11">
        <v>3.3729993051668501</v>
      </c>
      <c r="AB536" s="11">
        <v>1.8490488361663799</v>
      </c>
      <c r="AC536" s="11">
        <v>11.9213743986744</v>
      </c>
      <c r="AD536" s="11">
        <v>8.7029651270583397</v>
      </c>
      <c r="AE536" s="11">
        <v>6.0004076120050698</v>
      </c>
      <c r="AF536" s="11">
        <v>2.7936052537798002</v>
      </c>
      <c r="AG536" s="11">
        <v>4.8696005988201003</v>
      </c>
      <c r="AH536" s="11">
        <v>2.6043288822709099</v>
      </c>
      <c r="AI536" s="11">
        <v>1.3576860430761799</v>
      </c>
      <c r="AJ536" s="11">
        <v>1.37037316182716</v>
      </c>
      <c r="AK536" s="16">
        <v>1.10120678686301</v>
      </c>
      <c r="AL536" s="16">
        <v>2.1885078678323602</v>
      </c>
      <c r="AM536" s="26">
        <v>3.5396072405145099E-2</v>
      </c>
      <c r="AN536" s="27">
        <v>5.6923010670774099E-2</v>
      </c>
      <c r="AO536" s="11">
        <v>2.2629768471402798</v>
      </c>
      <c r="AP536" s="11">
        <v>4.9525426346889896</v>
      </c>
      <c r="AQ536" t="s">
        <v>5874</v>
      </c>
      <c r="AR536" t="s">
        <v>5877</v>
      </c>
      <c r="AS536" t="s">
        <v>5684</v>
      </c>
    </row>
    <row r="537" spans="1:45">
      <c r="A537" t="s">
        <v>4721</v>
      </c>
      <c r="B537" s="2">
        <v>4</v>
      </c>
      <c r="C537" s="2">
        <v>10</v>
      </c>
      <c r="D537" s="2">
        <v>7</v>
      </c>
      <c r="E537" s="2">
        <v>8</v>
      </c>
      <c r="F537" s="2">
        <v>9</v>
      </c>
      <c r="G537" s="2">
        <v>6</v>
      </c>
      <c r="H537" s="2">
        <v>8</v>
      </c>
      <c r="I537" s="2">
        <v>2</v>
      </c>
      <c r="J537" s="2">
        <v>1</v>
      </c>
      <c r="K537" s="2">
        <v>0</v>
      </c>
      <c r="L537" s="2">
        <v>4</v>
      </c>
      <c r="M537" s="2">
        <v>2</v>
      </c>
      <c r="N537" s="2">
        <v>2</v>
      </c>
      <c r="O537" s="2">
        <v>1</v>
      </c>
      <c r="P537" s="2">
        <v>0</v>
      </c>
      <c r="Q537" s="2">
        <v>1</v>
      </c>
      <c r="R537" s="2">
        <v>0</v>
      </c>
      <c r="S537" s="2">
        <v>1</v>
      </c>
      <c r="T537" s="2">
        <v>2</v>
      </c>
      <c r="U537" s="11">
        <v>4.8465735833389196</v>
      </c>
      <c r="V537" s="11">
        <v>9.6306412067744702</v>
      </c>
      <c r="W537" s="11">
        <v>11.2055836326858</v>
      </c>
      <c r="X537" s="11">
        <v>12.0953740732258</v>
      </c>
      <c r="Y537" s="11">
        <v>7.7415872394320298</v>
      </c>
      <c r="Z537" s="11">
        <v>5.5783634798369501</v>
      </c>
      <c r="AA537" s="11">
        <v>8.4324982629171306</v>
      </c>
      <c r="AB537" s="11">
        <v>1.9463671959646101</v>
      </c>
      <c r="AC537" s="11">
        <v>0.79475829324495695</v>
      </c>
      <c r="AD537" s="11">
        <v>2.5225985875531398</v>
      </c>
      <c r="AE537" s="11">
        <v>1.60010869653469</v>
      </c>
      <c r="AF537" s="11">
        <v>1.6930940931998799</v>
      </c>
      <c r="AG537" s="11">
        <v>0.22969814145377901</v>
      </c>
      <c r="AH537" s="11">
        <v>0.78919057038512497</v>
      </c>
      <c r="AI537" s="11">
        <v>0.377135011965606</v>
      </c>
      <c r="AJ537" s="11">
        <v>3.0452736929492299</v>
      </c>
      <c r="AK537" s="16">
        <v>-2.33558225565038</v>
      </c>
      <c r="AL537" s="16">
        <v>-5.5625935251095697</v>
      </c>
      <c r="AM537" s="26">
        <v>2.0801738770441402E-6</v>
      </c>
      <c r="AN537" s="27">
        <v>9.0365995048216295E-6</v>
      </c>
      <c r="AO537" s="11">
        <v>7.6846235842719697</v>
      </c>
      <c r="AP537" s="11">
        <v>1.3814821359108</v>
      </c>
      <c r="AQ537" t="s">
        <v>5875</v>
      </c>
      <c r="AR537" t="s">
        <v>5876</v>
      </c>
      <c r="AS537" t="s">
        <v>4721</v>
      </c>
    </row>
    <row r="538" spans="1:45">
      <c r="A538" t="s">
        <v>5024</v>
      </c>
      <c r="B538" s="2">
        <v>1</v>
      </c>
      <c r="C538" s="2">
        <v>4</v>
      </c>
      <c r="D538" s="2">
        <v>0</v>
      </c>
      <c r="E538" s="2">
        <v>0</v>
      </c>
      <c r="F538" s="2">
        <v>2</v>
      </c>
      <c r="G538" s="2">
        <v>3.5</v>
      </c>
      <c r="H538" s="2">
        <v>2</v>
      </c>
      <c r="I538" s="2">
        <v>4</v>
      </c>
      <c r="J538" s="2">
        <v>12</v>
      </c>
      <c r="K538" s="2">
        <v>0.5</v>
      </c>
      <c r="L538" s="2">
        <v>10.182</v>
      </c>
      <c r="M538" s="2">
        <v>9</v>
      </c>
      <c r="N538" s="2">
        <v>5</v>
      </c>
      <c r="O538" s="2">
        <v>0</v>
      </c>
      <c r="P538" s="2">
        <v>7.5</v>
      </c>
      <c r="Q538" s="2">
        <v>6</v>
      </c>
      <c r="R538" s="2">
        <v>0</v>
      </c>
      <c r="S538" s="2">
        <v>0</v>
      </c>
      <c r="T538" s="2">
        <v>0.5</v>
      </c>
      <c r="U538" s="11">
        <v>1.2116433958347299</v>
      </c>
      <c r="V538" s="11">
        <v>3.85225648270979</v>
      </c>
      <c r="W538" s="11">
        <v>0.40019941545306398</v>
      </c>
      <c r="X538" s="11">
        <v>0.37798043978830698</v>
      </c>
      <c r="Y538" s="11">
        <v>1.72035271987378</v>
      </c>
      <c r="Z538" s="11">
        <v>3.25404536323822</v>
      </c>
      <c r="AA538" s="11">
        <v>2.10812456572928</v>
      </c>
      <c r="AB538" s="11">
        <v>3.8927343919292201</v>
      </c>
      <c r="AC538" s="11">
        <v>9.53709951893949</v>
      </c>
      <c r="AD538" s="11">
        <v>6.4326263982605099</v>
      </c>
      <c r="AE538" s="11">
        <v>7.2004891344060802</v>
      </c>
      <c r="AF538" s="11">
        <v>4.2327352329997003</v>
      </c>
      <c r="AG538" s="11">
        <v>6.8909442436133599</v>
      </c>
      <c r="AH538" s="11">
        <v>4.7351434223107498</v>
      </c>
      <c r="AI538" s="11">
        <v>0.377135011965606</v>
      </c>
      <c r="AJ538" s="11">
        <v>0.76131842323730803</v>
      </c>
      <c r="AK538" s="16">
        <v>1.2010844343315099</v>
      </c>
      <c r="AL538" s="16">
        <v>2.3884573356765801</v>
      </c>
      <c r="AM538" s="26">
        <v>2.5399853735161002E-2</v>
      </c>
      <c r="AN538" s="27">
        <v>4.2481255372056798E-2</v>
      </c>
      <c r="AO538" s="11">
        <v>2.1021670968195498</v>
      </c>
      <c r="AP538" s="11">
        <v>5.0209364232166003</v>
      </c>
      <c r="AQ538" t="s">
        <v>5874</v>
      </c>
      <c r="AR538" t="s">
        <v>5878</v>
      </c>
      <c r="AS538" t="s">
        <v>5024</v>
      </c>
    </row>
    <row r="539" spans="1:45">
      <c r="A539" t="s">
        <v>3306</v>
      </c>
      <c r="B539" s="2">
        <v>8</v>
      </c>
      <c r="C539" s="2">
        <v>7</v>
      </c>
      <c r="D539" s="2">
        <v>6</v>
      </c>
      <c r="E539" s="2">
        <v>5</v>
      </c>
      <c r="F539" s="2">
        <v>7</v>
      </c>
      <c r="G539" s="2">
        <v>7</v>
      </c>
      <c r="H539" s="2">
        <v>10</v>
      </c>
      <c r="I539" s="2">
        <v>5</v>
      </c>
      <c r="J539" s="2">
        <v>1</v>
      </c>
      <c r="K539" s="2">
        <v>0</v>
      </c>
      <c r="L539" s="2">
        <v>3</v>
      </c>
      <c r="M539" s="2">
        <v>4</v>
      </c>
      <c r="N539" s="2">
        <v>2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0</v>
      </c>
      <c r="U539" s="11">
        <v>9.6931471666778304</v>
      </c>
      <c r="V539" s="11">
        <v>6.7414488447421297</v>
      </c>
      <c r="W539" s="11">
        <v>9.6047859708735501</v>
      </c>
      <c r="X539" s="11">
        <v>7.5596087957661497</v>
      </c>
      <c r="Y539" s="11">
        <v>6.0212345195582504</v>
      </c>
      <c r="Z539" s="11">
        <v>6.50809072647644</v>
      </c>
      <c r="AA539" s="11">
        <v>10.5406228286464</v>
      </c>
      <c r="AB539" s="11">
        <v>4.8659179899115301</v>
      </c>
      <c r="AC539" s="11">
        <v>0.79475829324495695</v>
      </c>
      <c r="AD539" s="11">
        <v>1.89194894066486</v>
      </c>
      <c r="AE539" s="11">
        <v>3.2002173930693698</v>
      </c>
      <c r="AF539" s="11">
        <v>1.6930940931998799</v>
      </c>
      <c r="AG539" s="11">
        <v>0.22969814145377901</v>
      </c>
      <c r="AH539" s="11">
        <v>1.5783811407702499</v>
      </c>
      <c r="AI539" s="11">
        <v>0.377135011965606</v>
      </c>
      <c r="AJ539" s="11">
        <v>0.38065921161865401</v>
      </c>
      <c r="AK539" s="16">
        <v>-2.3225842426688299</v>
      </c>
      <c r="AL539" s="16">
        <v>-6.0650020197375003</v>
      </c>
      <c r="AM539" s="26">
        <v>9.8175453723226105E-8</v>
      </c>
      <c r="AN539" s="27">
        <v>6.7651409979645905E-7</v>
      </c>
      <c r="AO539" s="11">
        <v>7.6918571053315299</v>
      </c>
      <c r="AP539" s="11">
        <v>1.26823652824842</v>
      </c>
      <c r="AQ539" t="s">
        <v>5875</v>
      </c>
      <c r="AR539" t="s">
        <v>5876</v>
      </c>
      <c r="AS539" t="s">
        <v>3306</v>
      </c>
    </row>
    <row r="540" spans="1:45">
      <c r="A540" t="s">
        <v>4365</v>
      </c>
      <c r="B540" s="2">
        <v>4</v>
      </c>
      <c r="C540" s="2">
        <v>10</v>
      </c>
      <c r="D540" s="2">
        <v>10</v>
      </c>
      <c r="E540" s="2">
        <v>11</v>
      </c>
      <c r="F540" s="2">
        <v>9</v>
      </c>
      <c r="G540" s="2">
        <v>7</v>
      </c>
      <c r="H540" s="2">
        <v>9</v>
      </c>
      <c r="I540" s="2">
        <v>2</v>
      </c>
      <c r="J540" s="2">
        <v>3</v>
      </c>
      <c r="K540" s="2">
        <v>0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s="11">
        <v>4.8465735833389196</v>
      </c>
      <c r="V540" s="11">
        <v>9.6306412067744702</v>
      </c>
      <c r="W540" s="11">
        <v>16.007976618122601</v>
      </c>
      <c r="X540" s="11">
        <v>16.631139350685501</v>
      </c>
      <c r="Y540" s="11">
        <v>7.7415872394320298</v>
      </c>
      <c r="Z540" s="11">
        <v>6.50809072647644</v>
      </c>
      <c r="AA540" s="11">
        <v>9.4865605457817708</v>
      </c>
      <c r="AB540" s="11">
        <v>1.9463671959646101</v>
      </c>
      <c r="AC540" s="11">
        <v>2.3842748797348698</v>
      </c>
      <c r="AD540" s="11">
        <v>0.63064964688828595</v>
      </c>
      <c r="AE540" s="11">
        <v>0.200013587066836</v>
      </c>
      <c r="AF540" s="11">
        <v>0.21163676164998499</v>
      </c>
      <c r="AG540" s="11">
        <v>0.22969814145377901</v>
      </c>
      <c r="AH540" s="11">
        <v>0.78919057038512497</v>
      </c>
      <c r="AI540" s="11">
        <v>0.377135011965606</v>
      </c>
      <c r="AJ540" s="11">
        <v>0.38065921161865401</v>
      </c>
      <c r="AK540" s="16">
        <v>-3.4618528294317299</v>
      </c>
      <c r="AL540" s="16">
        <v>-13.991030065046701</v>
      </c>
      <c r="AM540" s="26">
        <v>1.09924160764419E-8</v>
      </c>
      <c r="AN540" s="27">
        <v>1.05056090787709E-7</v>
      </c>
      <c r="AO540" s="11">
        <v>9.0998670583220402</v>
      </c>
      <c r="AP540" s="11">
        <v>0.65040722634539305</v>
      </c>
      <c r="AQ540" t="s">
        <v>5875</v>
      </c>
      <c r="AR540" t="s">
        <v>5876</v>
      </c>
      <c r="AS540" t="s">
        <v>4365</v>
      </c>
    </row>
    <row r="541" spans="1:45">
      <c r="A541" t="s">
        <v>2231</v>
      </c>
      <c r="B541" s="2">
        <v>4</v>
      </c>
      <c r="C541" s="2">
        <v>5</v>
      </c>
      <c r="D541" s="2">
        <v>4</v>
      </c>
      <c r="E541" s="2">
        <v>5</v>
      </c>
      <c r="F541" s="2">
        <v>13</v>
      </c>
      <c r="G541" s="2">
        <v>6</v>
      </c>
      <c r="H541" s="2">
        <v>4</v>
      </c>
      <c r="I541" s="2">
        <v>10</v>
      </c>
      <c r="J541" s="2">
        <v>0</v>
      </c>
      <c r="K541" s="2">
        <v>0</v>
      </c>
      <c r="L541" s="2">
        <v>4</v>
      </c>
      <c r="M541" s="2">
        <v>3</v>
      </c>
      <c r="N541" s="2">
        <v>2</v>
      </c>
      <c r="O541" s="2">
        <v>0</v>
      </c>
      <c r="P541" s="2">
        <v>0</v>
      </c>
      <c r="Q541" s="2">
        <v>3</v>
      </c>
      <c r="R541" s="2">
        <v>0</v>
      </c>
      <c r="S541" s="2">
        <v>0</v>
      </c>
      <c r="T541" s="2">
        <v>3</v>
      </c>
      <c r="U541" s="11">
        <v>4.8465735833389196</v>
      </c>
      <c r="V541" s="11">
        <v>4.8153206033872298</v>
      </c>
      <c r="W541" s="11">
        <v>6.4031906472490299</v>
      </c>
      <c r="X541" s="11">
        <v>7.5596087957661497</v>
      </c>
      <c r="Y541" s="11">
        <v>11.1822926791796</v>
      </c>
      <c r="Z541" s="11">
        <v>5.5783634798369501</v>
      </c>
      <c r="AA541" s="11">
        <v>4.21624913145856</v>
      </c>
      <c r="AB541" s="11">
        <v>9.7318359798230603</v>
      </c>
      <c r="AC541" s="11">
        <v>0.19868957331123899</v>
      </c>
      <c r="AD541" s="11">
        <v>2.5225985875531398</v>
      </c>
      <c r="AE541" s="11">
        <v>2.4001630448020301</v>
      </c>
      <c r="AF541" s="11">
        <v>1.6930940931998799</v>
      </c>
      <c r="AG541" s="11">
        <v>0.22969814145377901</v>
      </c>
      <c r="AH541" s="11">
        <v>2.36757171115537</v>
      </c>
      <c r="AI541" s="11">
        <v>0.377135011965606</v>
      </c>
      <c r="AJ541" s="11">
        <v>4.5679105394238499</v>
      </c>
      <c r="AK541" s="16">
        <v>-1.8915618978634601</v>
      </c>
      <c r="AL541" s="16">
        <v>-3.7844927261289998</v>
      </c>
      <c r="AM541" s="26">
        <v>9.1571673086914893E-5</v>
      </c>
      <c r="AN541" s="27">
        <v>2.6292467508646399E-4</v>
      </c>
      <c r="AO541" s="11">
        <v>6.7916793625049401</v>
      </c>
      <c r="AP541" s="11">
        <v>1.79460758785811</v>
      </c>
      <c r="AQ541" t="s">
        <v>5875</v>
      </c>
      <c r="AR541" t="s">
        <v>5876</v>
      </c>
      <c r="AS541" t="s">
        <v>2231</v>
      </c>
    </row>
    <row r="542" spans="1:45">
      <c r="A542" t="s">
        <v>3137</v>
      </c>
      <c r="B542" s="2">
        <v>5</v>
      </c>
      <c r="C542" s="2">
        <v>5</v>
      </c>
      <c r="D542" s="2">
        <v>4</v>
      </c>
      <c r="E542" s="2">
        <v>5</v>
      </c>
      <c r="F542" s="2">
        <v>4</v>
      </c>
      <c r="G542" s="2">
        <v>4</v>
      </c>
      <c r="H542" s="2">
        <v>2</v>
      </c>
      <c r="I542" s="2">
        <v>7</v>
      </c>
      <c r="J542" s="2">
        <v>0</v>
      </c>
      <c r="K542" s="2">
        <v>4</v>
      </c>
      <c r="L542" s="2">
        <v>0</v>
      </c>
      <c r="M542" s="2">
        <v>1</v>
      </c>
      <c r="N542" s="2">
        <v>3</v>
      </c>
      <c r="O542" s="2">
        <v>5</v>
      </c>
      <c r="P542" s="2">
        <v>4</v>
      </c>
      <c r="Q542" s="2">
        <v>2</v>
      </c>
      <c r="R542" s="2">
        <v>5</v>
      </c>
      <c r="S542" s="2">
        <v>2</v>
      </c>
      <c r="T542" s="2">
        <v>4</v>
      </c>
      <c r="U542" s="11">
        <v>6.0582169791736504</v>
      </c>
      <c r="V542" s="11">
        <v>4.8153206033872298</v>
      </c>
      <c r="W542" s="11">
        <v>6.4031906472490299</v>
      </c>
      <c r="X542" s="11">
        <v>7.5596087957661497</v>
      </c>
      <c r="Y542" s="11">
        <v>3.4407054397475698</v>
      </c>
      <c r="Z542" s="11">
        <v>3.7189089865579601</v>
      </c>
      <c r="AA542" s="11">
        <v>2.10812456572928</v>
      </c>
      <c r="AB542" s="11">
        <v>6.8122851858761404</v>
      </c>
      <c r="AC542" s="11">
        <v>0.19868957331123899</v>
      </c>
      <c r="AD542" s="11">
        <v>0.15766241172207099</v>
      </c>
      <c r="AE542" s="11">
        <v>0.80005434826734301</v>
      </c>
      <c r="AF542" s="11">
        <v>2.5396411397998202</v>
      </c>
      <c r="AG542" s="11">
        <v>3.6751702632604601</v>
      </c>
      <c r="AH542" s="11">
        <v>1.5783811407702499</v>
      </c>
      <c r="AI542" s="11">
        <v>7.5427002393121096</v>
      </c>
      <c r="AJ542" s="11">
        <v>6.0905473858984696</v>
      </c>
      <c r="AK542" s="16">
        <v>-1.02334938934043</v>
      </c>
      <c r="AL542" s="16">
        <v>-1.8118336499007801</v>
      </c>
      <c r="AM542" s="26">
        <v>0.108662868582247</v>
      </c>
      <c r="AN542" s="27">
        <v>0.152721552692276</v>
      </c>
      <c r="AO542" s="11">
        <v>5.1145451504358803</v>
      </c>
      <c r="AP542" s="11">
        <v>2.8228558127927199</v>
      </c>
      <c r="AQ542" t="s">
        <v>5875</v>
      </c>
      <c r="AR542" t="s">
        <v>5832</v>
      </c>
      <c r="AS542" t="s">
        <v>3137</v>
      </c>
    </row>
    <row r="543" spans="1:45">
      <c r="A543" t="s">
        <v>4843</v>
      </c>
      <c r="B543" s="2">
        <v>1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4</v>
      </c>
      <c r="K543" s="2">
        <v>0</v>
      </c>
      <c r="L543" s="2">
        <v>13</v>
      </c>
      <c r="M543" s="2">
        <v>8</v>
      </c>
      <c r="N543" s="2">
        <v>6</v>
      </c>
      <c r="O543" s="2">
        <v>0</v>
      </c>
      <c r="P543" s="2">
        <v>14</v>
      </c>
      <c r="Q543" s="2">
        <v>8</v>
      </c>
      <c r="R543" s="2">
        <v>1</v>
      </c>
      <c r="S543" s="2">
        <v>1</v>
      </c>
      <c r="T543" s="2">
        <v>10</v>
      </c>
      <c r="U543" s="11">
        <v>1.2116433958347299</v>
      </c>
      <c r="V543" s="11">
        <v>0.24076603016936199</v>
      </c>
      <c r="W543" s="11">
        <v>0.40019941545306398</v>
      </c>
      <c r="X543" s="11">
        <v>0.37798043978830698</v>
      </c>
      <c r="Y543" s="11">
        <v>0.215044089984223</v>
      </c>
      <c r="Z543" s="11">
        <v>0.23243181165987301</v>
      </c>
      <c r="AA543" s="11">
        <v>0.26351557071616</v>
      </c>
      <c r="AB543" s="11">
        <v>0.24329589949557701</v>
      </c>
      <c r="AC543" s="11">
        <v>3.17903317297983</v>
      </c>
      <c r="AD543" s="11">
        <v>8.1984454095477108</v>
      </c>
      <c r="AE543" s="11">
        <v>6.4004347861387396</v>
      </c>
      <c r="AF543" s="11">
        <v>5.0792822795996404</v>
      </c>
      <c r="AG543" s="11">
        <v>12.863095921411601</v>
      </c>
      <c r="AH543" s="11">
        <v>6.3135245630809997</v>
      </c>
      <c r="AI543" s="11">
        <v>1.50854004786242</v>
      </c>
      <c r="AJ543" s="11">
        <v>15.2263684647462</v>
      </c>
      <c r="AK543" s="16">
        <v>3.88933576321309</v>
      </c>
      <c r="AL543" s="16">
        <v>18.452433499470299</v>
      </c>
      <c r="AM543" s="26">
        <v>5.5253226278863103E-8</v>
      </c>
      <c r="AN543" s="27">
        <v>4.0178704761477602E-7</v>
      </c>
      <c r="AO543" s="11">
        <v>0.39810958163766202</v>
      </c>
      <c r="AP543" s="11">
        <v>7.3460905806708903</v>
      </c>
      <c r="AQ543" t="s">
        <v>5874</v>
      </c>
      <c r="AR543" t="s">
        <v>5876</v>
      </c>
      <c r="AS543" t="s">
        <v>4843</v>
      </c>
    </row>
    <row r="544" spans="1:45">
      <c r="A544" t="s">
        <v>5253</v>
      </c>
      <c r="B544" s="2">
        <v>2</v>
      </c>
      <c r="C544" s="2">
        <v>7</v>
      </c>
      <c r="D544" s="2">
        <v>7</v>
      </c>
      <c r="E544" s="2">
        <v>9</v>
      </c>
      <c r="F544" s="2">
        <v>11</v>
      </c>
      <c r="G544" s="2">
        <v>7</v>
      </c>
      <c r="H544" s="2">
        <v>1</v>
      </c>
      <c r="I544" s="2">
        <v>2</v>
      </c>
      <c r="J544" s="2">
        <v>3</v>
      </c>
      <c r="K544" s="2">
        <v>0</v>
      </c>
      <c r="L544" s="2">
        <v>8</v>
      </c>
      <c r="M544" s="2">
        <v>2</v>
      </c>
      <c r="N544" s="2">
        <v>1</v>
      </c>
      <c r="O544" s="2">
        <v>0</v>
      </c>
      <c r="P544" s="2">
        <v>1</v>
      </c>
      <c r="Q544" s="2">
        <v>3</v>
      </c>
      <c r="R544" s="2">
        <v>0</v>
      </c>
      <c r="S544" s="2">
        <v>1</v>
      </c>
      <c r="T544" s="2">
        <v>1</v>
      </c>
      <c r="U544" s="11">
        <v>2.4232867916694598</v>
      </c>
      <c r="V544" s="11">
        <v>6.7414488447421297</v>
      </c>
      <c r="W544" s="11">
        <v>11.2055836326858</v>
      </c>
      <c r="X544" s="11">
        <v>13.6072958323791</v>
      </c>
      <c r="Y544" s="11">
        <v>9.4619399593058091</v>
      </c>
      <c r="Z544" s="11">
        <v>6.50809072647644</v>
      </c>
      <c r="AA544" s="11">
        <v>1.05406228286464</v>
      </c>
      <c r="AB544" s="11">
        <v>1.9463671959646101</v>
      </c>
      <c r="AC544" s="11">
        <v>2.3842748797348698</v>
      </c>
      <c r="AD544" s="11">
        <v>5.0451971751062796</v>
      </c>
      <c r="AE544" s="11">
        <v>1.60010869653469</v>
      </c>
      <c r="AF544" s="11">
        <v>0.84654704659994096</v>
      </c>
      <c r="AG544" s="11">
        <v>0.91879256581511404</v>
      </c>
      <c r="AH544" s="11">
        <v>2.36757171115537</v>
      </c>
      <c r="AI544" s="11">
        <v>0.377135011965606</v>
      </c>
      <c r="AJ544" s="11">
        <v>1.5226368464746201</v>
      </c>
      <c r="AK544" s="16">
        <v>-1.61150835525058</v>
      </c>
      <c r="AL544" s="16">
        <v>-3.51528000705957</v>
      </c>
      <c r="AM544" s="26">
        <v>3.5881688152013002E-3</v>
      </c>
      <c r="AN544" s="27">
        <v>7.1870806508074004E-3</v>
      </c>
      <c r="AO544" s="11">
        <v>6.6185094082609996</v>
      </c>
      <c r="AP544" s="11">
        <v>1.8827829916733101</v>
      </c>
      <c r="AQ544" t="s">
        <v>5875</v>
      </c>
      <c r="AR544" t="s">
        <v>5876</v>
      </c>
      <c r="AS544" t="s">
        <v>5253</v>
      </c>
    </row>
    <row r="545" spans="1:45">
      <c r="A545" t="s">
        <v>593</v>
      </c>
      <c r="B545" s="2">
        <v>0</v>
      </c>
      <c r="C545" s="2">
        <v>2.25</v>
      </c>
      <c r="D545" s="2">
        <v>0</v>
      </c>
      <c r="E545" s="2">
        <v>0</v>
      </c>
      <c r="F545" s="2">
        <v>1.167</v>
      </c>
      <c r="G545" s="2">
        <v>2</v>
      </c>
      <c r="H545" s="2">
        <v>0</v>
      </c>
      <c r="I545" s="2">
        <v>0</v>
      </c>
      <c r="J545" s="2">
        <v>8.0980000000000008</v>
      </c>
      <c r="K545" s="2">
        <v>1</v>
      </c>
      <c r="L545" s="2">
        <v>5.3120000000000003</v>
      </c>
      <c r="M545" s="2">
        <v>2.3330000000000002</v>
      </c>
      <c r="N545" s="2">
        <v>8.5</v>
      </c>
      <c r="O545" s="2">
        <v>2</v>
      </c>
      <c r="P545" s="2">
        <v>22.355</v>
      </c>
      <c r="Q545" s="2">
        <v>9.4499999999999993</v>
      </c>
      <c r="R545" s="2">
        <v>0</v>
      </c>
      <c r="S545" s="2">
        <v>0</v>
      </c>
      <c r="T545" s="2">
        <v>1.5</v>
      </c>
      <c r="U545" s="11">
        <v>0.30291084895868198</v>
      </c>
      <c r="V545" s="11">
        <v>2.2150474775581301</v>
      </c>
      <c r="W545" s="11">
        <v>0.40019941545306398</v>
      </c>
      <c r="X545" s="11">
        <v>0.37798043978830698</v>
      </c>
      <c r="Y545" s="11">
        <v>1.03221163192427</v>
      </c>
      <c r="Z545" s="11">
        <v>1.85945449327898</v>
      </c>
      <c r="AA545" s="11">
        <v>0.26351557071616</v>
      </c>
      <c r="AB545" s="11">
        <v>0.24329589949557701</v>
      </c>
      <c r="AC545" s="11">
        <v>6.4375421752841504</v>
      </c>
      <c r="AD545" s="11">
        <v>3.3424431285079099</v>
      </c>
      <c r="AE545" s="11">
        <v>1.84012500101489</v>
      </c>
      <c r="AF545" s="11">
        <v>7.1956498960994999</v>
      </c>
      <c r="AG545" s="11">
        <v>20.5809534742586</v>
      </c>
      <c r="AH545" s="11">
        <v>7.4973104186586896</v>
      </c>
      <c r="AI545" s="11">
        <v>0.377135011965606</v>
      </c>
      <c r="AJ545" s="11">
        <v>2.2839552697119201</v>
      </c>
      <c r="AK545" s="16">
        <v>2.6641927278783899</v>
      </c>
      <c r="AL545" s="16">
        <v>7.4022342767557703</v>
      </c>
      <c r="AM545" s="26">
        <v>2.0739560240842E-4</v>
      </c>
      <c r="AN545" s="27">
        <v>5.3987415568573099E-4</v>
      </c>
      <c r="AO545" s="11">
        <v>0.83682697214664603</v>
      </c>
      <c r="AP545" s="11">
        <v>6.1943892969376497</v>
      </c>
      <c r="AQ545" t="s">
        <v>5874</v>
      </c>
      <c r="AR545" t="s">
        <v>5876</v>
      </c>
      <c r="AS545" t="s">
        <v>593</v>
      </c>
    </row>
    <row r="546" spans="1:45">
      <c r="A546" t="s">
        <v>2539</v>
      </c>
      <c r="B546" s="2">
        <v>1</v>
      </c>
      <c r="C546" s="2">
        <v>1</v>
      </c>
      <c r="D546" s="2">
        <v>5</v>
      </c>
      <c r="E546" s="2">
        <v>0</v>
      </c>
      <c r="F546" s="2">
        <v>4</v>
      </c>
      <c r="G546" s="2">
        <v>0</v>
      </c>
      <c r="H546" s="2">
        <v>4</v>
      </c>
      <c r="I546" s="2">
        <v>6</v>
      </c>
      <c r="J546" s="2">
        <v>7</v>
      </c>
      <c r="K546" s="2">
        <v>0</v>
      </c>
      <c r="L546" s="2">
        <v>8</v>
      </c>
      <c r="M546" s="2">
        <v>3</v>
      </c>
      <c r="N546" s="2">
        <v>5</v>
      </c>
      <c r="O546" s="2">
        <v>0</v>
      </c>
      <c r="P546" s="2">
        <v>13.856999999999999</v>
      </c>
      <c r="Q546" s="2">
        <v>5.8330000000000002</v>
      </c>
      <c r="R546" s="2">
        <v>0</v>
      </c>
      <c r="S546" s="2">
        <v>0</v>
      </c>
      <c r="T546" s="2">
        <v>2</v>
      </c>
      <c r="U546" s="11">
        <v>1.2116433958347299</v>
      </c>
      <c r="V546" s="11">
        <v>0.96306412067744696</v>
      </c>
      <c r="W546" s="11">
        <v>8.00398830906129</v>
      </c>
      <c r="X546" s="11">
        <v>0.37798043978830698</v>
      </c>
      <c r="Y546" s="11">
        <v>3.4407054397475698</v>
      </c>
      <c r="Z546" s="11">
        <v>0.23243181165987301</v>
      </c>
      <c r="AA546" s="11">
        <v>4.21624913145856</v>
      </c>
      <c r="AB546" s="11">
        <v>5.8391015878938397</v>
      </c>
      <c r="AC546" s="11">
        <v>5.5633080527147003</v>
      </c>
      <c r="AD546" s="11">
        <v>5.0451971751062796</v>
      </c>
      <c r="AE546" s="11">
        <v>2.4001630448020301</v>
      </c>
      <c r="AF546" s="11">
        <v>4.2327352329997003</v>
      </c>
      <c r="AG546" s="11">
        <v>12.771216664830099</v>
      </c>
      <c r="AH546" s="11">
        <v>4.5773053082337203</v>
      </c>
      <c r="AI546" s="11">
        <v>0.377135011965606</v>
      </c>
      <c r="AJ546" s="11">
        <v>3.0452736929492299</v>
      </c>
      <c r="AK546" s="16">
        <v>0.69199659325487906</v>
      </c>
      <c r="AL546" s="16">
        <v>1.56524921198853</v>
      </c>
      <c r="AM546" s="26">
        <v>0.299913850666786</v>
      </c>
      <c r="AN546" s="27">
        <v>0.37785756326945402</v>
      </c>
      <c r="AO546" s="11">
        <v>3.0356455295151998</v>
      </c>
      <c r="AP546" s="11">
        <v>4.7515417729501701</v>
      </c>
      <c r="AQ546" t="s">
        <v>5874</v>
      </c>
      <c r="AR546" t="s">
        <v>5832</v>
      </c>
      <c r="AS546" t="s">
        <v>2539</v>
      </c>
    </row>
    <row r="547" spans="1:45">
      <c r="A547" t="s">
        <v>3404</v>
      </c>
      <c r="B547" s="2">
        <v>0</v>
      </c>
      <c r="C547" s="2">
        <v>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2</v>
      </c>
      <c r="K547" s="2">
        <v>7</v>
      </c>
      <c r="L547" s="2">
        <v>4</v>
      </c>
      <c r="M547" s="2">
        <v>5</v>
      </c>
      <c r="N547" s="2">
        <v>0</v>
      </c>
      <c r="O547" s="2">
        <v>0</v>
      </c>
      <c r="P547" s="2">
        <v>15</v>
      </c>
      <c r="Q547" s="2">
        <v>4</v>
      </c>
      <c r="R547" s="2">
        <v>21</v>
      </c>
      <c r="S547" s="2">
        <v>0</v>
      </c>
      <c r="T547" s="2">
        <v>3</v>
      </c>
      <c r="U547" s="11">
        <v>0.30291084895868198</v>
      </c>
      <c r="V547" s="11">
        <v>2.8891923620323401</v>
      </c>
      <c r="W547" s="11">
        <v>0.40019941545306398</v>
      </c>
      <c r="X547" s="11">
        <v>0.37798043978830698</v>
      </c>
      <c r="Y547" s="11">
        <v>0.215044089984223</v>
      </c>
      <c r="Z547" s="11">
        <v>0.23243181165987301</v>
      </c>
      <c r="AA547" s="11">
        <v>0.26351557071616</v>
      </c>
      <c r="AB547" s="11">
        <v>0.97318359798230603</v>
      </c>
      <c r="AC547" s="11">
        <v>1.5895165864899099</v>
      </c>
      <c r="AD547" s="11">
        <v>2.5225985875531398</v>
      </c>
      <c r="AE547" s="11">
        <v>4.0002717413367099</v>
      </c>
      <c r="AF547" s="11">
        <v>0.21163676164998499</v>
      </c>
      <c r="AG547" s="11">
        <v>13.7818884872267</v>
      </c>
      <c r="AH547" s="11">
        <v>3.1567622815404999</v>
      </c>
      <c r="AI547" s="11">
        <v>31.679341005110899</v>
      </c>
      <c r="AJ547" s="11">
        <v>4.5679105394238499</v>
      </c>
      <c r="AK547" s="16">
        <v>3.1398313751945799</v>
      </c>
      <c r="AL547" s="16">
        <v>10.878129168994001</v>
      </c>
      <c r="AM547" s="26">
        <v>3.2298109393399499E-4</v>
      </c>
      <c r="AN547" s="27">
        <v>8.1537491261072603E-4</v>
      </c>
      <c r="AO547" s="11">
        <v>0.70680726707187003</v>
      </c>
      <c r="AP547" s="11">
        <v>7.6887407487914601</v>
      </c>
      <c r="AQ547" t="s">
        <v>5874</v>
      </c>
      <c r="AR547" t="s">
        <v>5876</v>
      </c>
      <c r="AS547" t="s">
        <v>3404</v>
      </c>
    </row>
    <row r="548" spans="1:45">
      <c r="A548" t="s">
        <v>4621</v>
      </c>
      <c r="B548" s="2">
        <v>2</v>
      </c>
      <c r="C548" s="2">
        <v>3</v>
      </c>
      <c r="D548" s="2">
        <v>5</v>
      </c>
      <c r="E548" s="2">
        <v>3</v>
      </c>
      <c r="F548" s="2">
        <v>1</v>
      </c>
      <c r="G548" s="2">
        <v>1</v>
      </c>
      <c r="H548" s="2">
        <v>0</v>
      </c>
      <c r="I548" s="2">
        <v>0</v>
      </c>
      <c r="J548" s="2">
        <v>7</v>
      </c>
      <c r="K548" s="2">
        <v>1</v>
      </c>
      <c r="L548" s="2">
        <v>9</v>
      </c>
      <c r="M548" s="2">
        <v>9</v>
      </c>
      <c r="N548" s="2">
        <v>4</v>
      </c>
      <c r="O548" s="2">
        <v>0</v>
      </c>
      <c r="P548" s="2">
        <v>7</v>
      </c>
      <c r="Q548" s="2">
        <v>8</v>
      </c>
      <c r="R548" s="2">
        <v>1</v>
      </c>
      <c r="S548" s="2">
        <v>1</v>
      </c>
      <c r="T548" s="2">
        <v>3</v>
      </c>
      <c r="U548" s="11">
        <v>2.4232867916694598</v>
      </c>
      <c r="V548" s="11">
        <v>2.8891923620323401</v>
      </c>
      <c r="W548" s="11">
        <v>8.00398830906129</v>
      </c>
      <c r="X548" s="11">
        <v>4.5357652774596904</v>
      </c>
      <c r="Y548" s="11">
        <v>0.86017635993689201</v>
      </c>
      <c r="Z548" s="11">
        <v>0.92972724663949102</v>
      </c>
      <c r="AA548" s="11">
        <v>0.26351557071616</v>
      </c>
      <c r="AB548" s="11">
        <v>0.24329589949557701</v>
      </c>
      <c r="AC548" s="11">
        <v>5.5633080527147003</v>
      </c>
      <c r="AD548" s="11">
        <v>5.6758468219945701</v>
      </c>
      <c r="AE548" s="11">
        <v>7.2004891344060802</v>
      </c>
      <c r="AF548" s="11">
        <v>3.3861881863997598</v>
      </c>
      <c r="AG548" s="11">
        <v>6.4315479607058004</v>
      </c>
      <c r="AH548" s="11">
        <v>6.3135245630809997</v>
      </c>
      <c r="AI548" s="11">
        <v>1.50854004786242</v>
      </c>
      <c r="AJ548" s="11">
        <v>4.5679105394238499</v>
      </c>
      <c r="AK548" s="16">
        <v>1.1962683754468699</v>
      </c>
      <c r="AL548" s="16">
        <v>2.0173438174410001</v>
      </c>
      <c r="AM548" s="26">
        <v>3.9940198441972302E-2</v>
      </c>
      <c r="AN548" s="27">
        <v>6.33175183831267E-2</v>
      </c>
      <c r="AO548" s="11">
        <v>2.5186184771263598</v>
      </c>
      <c r="AP548" s="11">
        <v>5.08091941332352</v>
      </c>
      <c r="AQ548" t="s">
        <v>5874</v>
      </c>
      <c r="AR548" t="s">
        <v>5877</v>
      </c>
      <c r="AS548" t="s">
        <v>4621</v>
      </c>
    </row>
    <row r="549" spans="1:45">
      <c r="A549" t="s">
        <v>3247</v>
      </c>
      <c r="B549" s="2">
        <v>0</v>
      </c>
      <c r="C549" s="2">
        <v>2.5</v>
      </c>
      <c r="D549" s="2">
        <v>0</v>
      </c>
      <c r="E549" s="2">
        <v>2</v>
      </c>
      <c r="F549" s="2">
        <v>0</v>
      </c>
      <c r="G549" s="2">
        <v>1.083</v>
      </c>
      <c r="H549" s="2">
        <v>1.0620000000000001</v>
      </c>
      <c r="I549" s="2">
        <v>5.4550000000000001</v>
      </c>
      <c r="J549" s="2">
        <v>14.737</v>
      </c>
      <c r="K549" s="2">
        <v>0</v>
      </c>
      <c r="L549" s="2">
        <v>13.619</v>
      </c>
      <c r="M549" s="2">
        <v>16.731000000000002</v>
      </c>
      <c r="N549" s="2">
        <v>6.3330000000000002</v>
      </c>
      <c r="O549" s="2">
        <v>0</v>
      </c>
      <c r="P549" s="2">
        <v>0</v>
      </c>
      <c r="Q549" s="2">
        <v>0</v>
      </c>
      <c r="R549" s="2">
        <v>0</v>
      </c>
      <c r="S549" s="2">
        <v>0.5</v>
      </c>
      <c r="T549" s="2">
        <v>0</v>
      </c>
      <c r="U549" s="11">
        <v>0.30291084895868198</v>
      </c>
      <c r="V549" s="11">
        <v>2.4076603016936202</v>
      </c>
      <c r="W549" s="11">
        <v>0.40019941545306398</v>
      </c>
      <c r="X549" s="11">
        <v>3.0238435183064598</v>
      </c>
      <c r="Y549" s="11">
        <v>0.215044089984223</v>
      </c>
      <c r="Z549" s="11">
        <v>1.0226999713034399</v>
      </c>
      <c r="AA549" s="11">
        <v>1.1594685111511001</v>
      </c>
      <c r="AB549" s="11">
        <v>5.3525097889026796</v>
      </c>
      <c r="AC549" s="11">
        <v>11.682946910700901</v>
      </c>
      <c r="AD549" s="11">
        <v>8.5768351976806798</v>
      </c>
      <c r="AE549" s="11">
        <v>13.360907616064599</v>
      </c>
      <c r="AF549" s="11">
        <v>5.3332463935796302</v>
      </c>
      <c r="AG549" s="11">
        <v>0.22969814145377901</v>
      </c>
      <c r="AH549" s="11">
        <v>0.19729764259628099</v>
      </c>
      <c r="AI549" s="11">
        <v>0.377135011965606</v>
      </c>
      <c r="AJ549" s="11">
        <v>0.38065921161865401</v>
      </c>
      <c r="AK549" s="16">
        <v>1.5034663844370499</v>
      </c>
      <c r="AL549" s="16">
        <v>2.8909358601676001</v>
      </c>
      <c r="AM549" s="26">
        <v>7.8831649667161094E-2</v>
      </c>
      <c r="AN549" s="27">
        <v>0.11540125520203701</v>
      </c>
      <c r="AO549" s="11">
        <v>1.7355420557191601</v>
      </c>
      <c r="AP549" s="11">
        <v>5.0173407657075204</v>
      </c>
      <c r="AQ549" t="s">
        <v>5874</v>
      </c>
      <c r="AR549" t="s">
        <v>5832</v>
      </c>
      <c r="AS549" t="s">
        <v>3247</v>
      </c>
    </row>
    <row r="550" spans="1:45">
      <c r="A550" t="s">
        <v>3209</v>
      </c>
      <c r="B550" s="2">
        <v>2</v>
      </c>
      <c r="C550" s="2">
        <v>5</v>
      </c>
      <c r="D550" s="2">
        <v>6</v>
      </c>
      <c r="E550" s="2">
        <v>10</v>
      </c>
      <c r="F550" s="2">
        <v>3</v>
      </c>
      <c r="G550" s="2">
        <v>5</v>
      </c>
      <c r="H550" s="2">
        <v>8</v>
      </c>
      <c r="I550" s="2">
        <v>5</v>
      </c>
      <c r="J550" s="2">
        <v>3</v>
      </c>
      <c r="K550" s="2">
        <v>0</v>
      </c>
      <c r="L550" s="2">
        <v>4</v>
      </c>
      <c r="M550" s="2">
        <v>1</v>
      </c>
      <c r="N550" s="2">
        <v>1</v>
      </c>
      <c r="O550" s="2">
        <v>0</v>
      </c>
      <c r="P550" s="2">
        <v>1</v>
      </c>
      <c r="Q550" s="2">
        <v>4</v>
      </c>
      <c r="R550" s="2">
        <v>4</v>
      </c>
      <c r="S550" s="2">
        <v>0</v>
      </c>
      <c r="T550" s="2">
        <v>2</v>
      </c>
      <c r="U550" s="11">
        <v>2.4232867916694598</v>
      </c>
      <c r="V550" s="11">
        <v>4.8153206033872298</v>
      </c>
      <c r="W550" s="11">
        <v>9.6047859708735501</v>
      </c>
      <c r="X550" s="11">
        <v>15.119217591532299</v>
      </c>
      <c r="Y550" s="11">
        <v>2.5805290798106801</v>
      </c>
      <c r="Z550" s="11">
        <v>4.6486362331974602</v>
      </c>
      <c r="AA550" s="11">
        <v>8.4324982629171306</v>
      </c>
      <c r="AB550" s="11">
        <v>4.8659179899115301</v>
      </c>
      <c r="AC550" s="11">
        <v>2.3842748797348698</v>
      </c>
      <c r="AD550" s="11">
        <v>2.5225985875531398</v>
      </c>
      <c r="AE550" s="11">
        <v>0.80005434826734301</v>
      </c>
      <c r="AF550" s="11">
        <v>0.84654704659994096</v>
      </c>
      <c r="AG550" s="11">
        <v>0.91879256581511404</v>
      </c>
      <c r="AH550" s="11">
        <v>3.1567622815404999</v>
      </c>
      <c r="AI550" s="11">
        <v>6.0341601914496898</v>
      </c>
      <c r="AJ550" s="11">
        <v>3.0452736929492299</v>
      </c>
      <c r="AK550" s="16">
        <v>-1.4061311951092901</v>
      </c>
      <c r="AL550" s="16">
        <v>-2.6633325461006199</v>
      </c>
      <c r="AM550" s="26">
        <v>9.5203416754459404E-3</v>
      </c>
      <c r="AN550" s="27">
        <v>1.75457536663177E-2</v>
      </c>
      <c r="AO550" s="11">
        <v>6.5612740654124204</v>
      </c>
      <c r="AP550" s="11">
        <v>2.4635579492387301</v>
      </c>
      <c r="AQ550" t="s">
        <v>5875</v>
      </c>
      <c r="AR550" t="s">
        <v>5878</v>
      </c>
      <c r="AS550" t="s">
        <v>3209</v>
      </c>
    </row>
    <row r="551" spans="1:45">
      <c r="A551" t="s">
        <v>4529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3</v>
      </c>
      <c r="H551" s="2">
        <v>1</v>
      </c>
      <c r="I551" s="2">
        <v>3</v>
      </c>
      <c r="J551" s="2">
        <v>12</v>
      </c>
      <c r="K551" s="2">
        <v>0</v>
      </c>
      <c r="L551" s="2">
        <v>27</v>
      </c>
      <c r="M551" s="2">
        <v>10</v>
      </c>
      <c r="N551" s="2">
        <v>7</v>
      </c>
      <c r="O551" s="2">
        <v>0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s="11">
        <v>0.30291084895868198</v>
      </c>
      <c r="V551" s="11">
        <v>0.24076603016936199</v>
      </c>
      <c r="W551" s="11">
        <v>0.40019941545306398</v>
      </c>
      <c r="X551" s="11">
        <v>0.37798043978830698</v>
      </c>
      <c r="Y551" s="11">
        <v>0.215044089984223</v>
      </c>
      <c r="Z551" s="11">
        <v>2.7891817399184702</v>
      </c>
      <c r="AA551" s="11">
        <v>1.05406228286464</v>
      </c>
      <c r="AB551" s="11">
        <v>2.9195507939469199</v>
      </c>
      <c r="AC551" s="11">
        <v>9.53709951893949</v>
      </c>
      <c r="AD551" s="11">
        <v>17.027540465983702</v>
      </c>
      <c r="AE551" s="11">
        <v>8.0005434826734305</v>
      </c>
      <c r="AF551" s="11">
        <v>5.9258293261995796</v>
      </c>
      <c r="AG551" s="11">
        <v>0.22969814145377901</v>
      </c>
      <c r="AH551" s="11">
        <v>0.78919057038512497</v>
      </c>
      <c r="AI551" s="11">
        <v>0.377135011965606</v>
      </c>
      <c r="AJ551" s="11">
        <v>0.38065921161865401</v>
      </c>
      <c r="AK551" s="16">
        <v>2.2158614570778998</v>
      </c>
      <c r="AL551" s="16">
        <v>5.09268020865649</v>
      </c>
      <c r="AM551" s="26">
        <v>6.9739015419398396E-3</v>
      </c>
      <c r="AN551" s="27">
        <v>1.33301146615936E-2</v>
      </c>
      <c r="AO551" s="11">
        <v>1.03746195513546</v>
      </c>
      <c r="AP551" s="11">
        <v>5.2834619661524203</v>
      </c>
      <c r="AQ551" t="s">
        <v>5874</v>
      </c>
      <c r="AR551" t="s">
        <v>5878</v>
      </c>
      <c r="AS551" t="s">
        <v>4529</v>
      </c>
    </row>
    <row r="552" spans="1:45">
      <c r="A552" t="s">
        <v>5785</v>
      </c>
      <c r="B552" s="2">
        <v>1</v>
      </c>
      <c r="C552" s="2">
        <v>0</v>
      </c>
      <c r="D552" s="2">
        <v>0</v>
      </c>
      <c r="E552" s="2">
        <v>0</v>
      </c>
      <c r="F552" s="2">
        <v>1</v>
      </c>
      <c r="G552" s="2">
        <v>0</v>
      </c>
      <c r="H552" s="2">
        <v>0</v>
      </c>
      <c r="I552" s="2">
        <v>2</v>
      </c>
      <c r="J552" s="2">
        <v>5</v>
      </c>
      <c r="K552" s="2">
        <v>0</v>
      </c>
      <c r="L552" s="2">
        <v>16</v>
      </c>
      <c r="M552" s="2">
        <v>6</v>
      </c>
      <c r="N552" s="2">
        <v>7</v>
      </c>
      <c r="O552" s="2">
        <v>2</v>
      </c>
      <c r="P552" s="2">
        <v>11</v>
      </c>
      <c r="Q552" s="2">
        <v>7</v>
      </c>
      <c r="R552" s="2">
        <v>3</v>
      </c>
      <c r="S552" s="2">
        <v>1</v>
      </c>
      <c r="T552" s="2">
        <v>2</v>
      </c>
      <c r="U552" s="11">
        <v>1.2116433958347299</v>
      </c>
      <c r="V552" s="11">
        <v>0.24076603016936199</v>
      </c>
      <c r="W552" s="11">
        <v>0.40019941545306398</v>
      </c>
      <c r="X552" s="11">
        <v>0.37798043978830698</v>
      </c>
      <c r="Y552" s="11">
        <v>0.86017635993689201</v>
      </c>
      <c r="Z552" s="11">
        <v>0.23243181165987301</v>
      </c>
      <c r="AA552" s="11">
        <v>0.26351557071616</v>
      </c>
      <c r="AB552" s="11">
        <v>1.9463671959646101</v>
      </c>
      <c r="AC552" s="11">
        <v>3.9737914662247902</v>
      </c>
      <c r="AD552" s="11">
        <v>10.0903943502126</v>
      </c>
      <c r="AE552" s="11">
        <v>4.8003260896040603</v>
      </c>
      <c r="AF552" s="11">
        <v>5.9258293261995796</v>
      </c>
      <c r="AG552" s="11">
        <v>10.1067182239663</v>
      </c>
      <c r="AH552" s="11">
        <v>5.5243339926958699</v>
      </c>
      <c r="AI552" s="11">
        <v>4.5256201435872701</v>
      </c>
      <c r="AJ552" s="11">
        <v>3.0452736929492299</v>
      </c>
      <c r="AK552" s="16">
        <v>2.9241324786504799</v>
      </c>
      <c r="AL552" s="16">
        <v>8.6737016962275302</v>
      </c>
      <c r="AM552" s="26">
        <v>3.1185772929827599E-7</v>
      </c>
      <c r="AN552" s="27">
        <v>1.7386068408378901E-6</v>
      </c>
      <c r="AO552" s="11">
        <v>0.69163502744037497</v>
      </c>
      <c r="AP552" s="11">
        <v>5.9990359106799502</v>
      </c>
      <c r="AQ552" t="s">
        <v>5874</v>
      </c>
      <c r="AR552" t="s">
        <v>5876</v>
      </c>
      <c r="AS552" t="s">
        <v>5785</v>
      </c>
    </row>
    <row r="553" spans="1:45">
      <c r="A553" t="s">
        <v>4135</v>
      </c>
      <c r="B553" s="2">
        <v>2</v>
      </c>
      <c r="C553" s="2">
        <v>10</v>
      </c>
      <c r="D553" s="2">
        <v>6</v>
      </c>
      <c r="E553" s="2">
        <v>11</v>
      </c>
      <c r="F553" s="2">
        <v>5</v>
      </c>
      <c r="G553" s="2">
        <v>4</v>
      </c>
      <c r="H553" s="2">
        <v>6</v>
      </c>
      <c r="I553" s="2">
        <v>3</v>
      </c>
      <c r="J553" s="2">
        <v>0</v>
      </c>
      <c r="K553" s="2">
        <v>2</v>
      </c>
      <c r="L553" s="2">
        <v>1</v>
      </c>
      <c r="M553" s="2">
        <v>2</v>
      </c>
      <c r="N553" s="2">
        <v>1</v>
      </c>
      <c r="O553" s="2">
        <v>0</v>
      </c>
      <c r="P553" s="2">
        <v>1</v>
      </c>
      <c r="Q553" s="2">
        <v>3</v>
      </c>
      <c r="R553" s="2">
        <v>4</v>
      </c>
      <c r="S553" s="2">
        <v>0</v>
      </c>
      <c r="T553" s="2">
        <v>2</v>
      </c>
      <c r="U553" s="11">
        <v>2.4232867916694598</v>
      </c>
      <c r="V553" s="11">
        <v>9.6306412067744702</v>
      </c>
      <c r="W553" s="11">
        <v>9.6047859708735501</v>
      </c>
      <c r="X553" s="11">
        <v>16.631139350685501</v>
      </c>
      <c r="Y553" s="11">
        <v>4.3008817996844604</v>
      </c>
      <c r="Z553" s="11">
        <v>3.7189089865579601</v>
      </c>
      <c r="AA553" s="11">
        <v>6.3243736971878404</v>
      </c>
      <c r="AB553" s="11">
        <v>2.9195507939469199</v>
      </c>
      <c r="AC553" s="11">
        <v>0.19868957331123899</v>
      </c>
      <c r="AD553" s="11">
        <v>0.63064964688828595</v>
      </c>
      <c r="AE553" s="11">
        <v>1.60010869653469</v>
      </c>
      <c r="AF553" s="11">
        <v>0.84654704659994096</v>
      </c>
      <c r="AG553" s="11">
        <v>0.91879256581511404</v>
      </c>
      <c r="AH553" s="11">
        <v>2.36757171115537</v>
      </c>
      <c r="AI553" s="11">
        <v>6.0341601914496898</v>
      </c>
      <c r="AJ553" s="11">
        <v>3.0452736929492299</v>
      </c>
      <c r="AK553" s="16">
        <v>-1.9049028359007301</v>
      </c>
      <c r="AL553" s="16">
        <v>-3.5516112605812902</v>
      </c>
      <c r="AM553" s="26">
        <v>2.1408451069460299E-3</v>
      </c>
      <c r="AN553" s="27">
        <v>4.4897347227175399E-3</v>
      </c>
      <c r="AO553" s="11">
        <v>6.9441960746725204</v>
      </c>
      <c r="AP553" s="11">
        <v>1.95522414058795</v>
      </c>
      <c r="AQ553" t="s">
        <v>5875</v>
      </c>
      <c r="AR553" t="s">
        <v>5876</v>
      </c>
      <c r="AS553" t="s">
        <v>4135</v>
      </c>
    </row>
    <row r="554" spans="1:45">
      <c r="A554" t="s">
        <v>5268</v>
      </c>
      <c r="B554" s="2">
        <v>4</v>
      </c>
      <c r="C554" s="2">
        <v>1</v>
      </c>
      <c r="D554" s="2">
        <v>3</v>
      </c>
      <c r="E554" s="2">
        <v>1</v>
      </c>
      <c r="F554" s="2">
        <v>19</v>
      </c>
      <c r="G554" s="2">
        <v>9</v>
      </c>
      <c r="H554" s="2">
        <v>8</v>
      </c>
      <c r="I554" s="2">
        <v>7</v>
      </c>
      <c r="J554" s="2">
        <v>0</v>
      </c>
      <c r="K554" s="2">
        <v>0</v>
      </c>
      <c r="L554" s="2">
        <v>4</v>
      </c>
      <c r="M554" s="2">
        <v>3</v>
      </c>
      <c r="N554" s="2">
        <v>0</v>
      </c>
      <c r="O554" s="2">
        <v>0</v>
      </c>
      <c r="P554" s="2">
        <v>1</v>
      </c>
      <c r="Q554" s="2">
        <v>3</v>
      </c>
      <c r="R554" s="2">
        <v>0</v>
      </c>
      <c r="S554" s="2">
        <v>0</v>
      </c>
      <c r="T554" s="2">
        <v>0</v>
      </c>
      <c r="U554" s="11">
        <v>4.8465735833389196</v>
      </c>
      <c r="V554" s="11">
        <v>0.96306412067744696</v>
      </c>
      <c r="W554" s="11">
        <v>4.8023929854367697</v>
      </c>
      <c r="X554" s="11">
        <v>1.5119217591532299</v>
      </c>
      <c r="Y554" s="11">
        <v>16.343350838801001</v>
      </c>
      <c r="Z554" s="11">
        <v>8.3675452197554208</v>
      </c>
      <c r="AA554" s="11">
        <v>8.4324982629171306</v>
      </c>
      <c r="AB554" s="11">
        <v>6.8122851858761404</v>
      </c>
      <c r="AC554" s="11">
        <v>0.19868957331123899</v>
      </c>
      <c r="AD554" s="11">
        <v>2.5225985875531398</v>
      </c>
      <c r="AE554" s="11">
        <v>2.4001630448020301</v>
      </c>
      <c r="AF554" s="11">
        <v>0.21163676164998499</v>
      </c>
      <c r="AG554" s="11">
        <v>0.91879256581511404</v>
      </c>
      <c r="AH554" s="11">
        <v>2.36757171115537</v>
      </c>
      <c r="AI554" s="11">
        <v>0.377135011965606</v>
      </c>
      <c r="AJ554" s="11">
        <v>0.38065921161865401</v>
      </c>
      <c r="AK554" s="16">
        <v>-2.2749864896583301</v>
      </c>
      <c r="AL554" s="16">
        <v>-5.5538299152522201</v>
      </c>
      <c r="AM554" s="26">
        <v>1.5390614887654801E-4</v>
      </c>
      <c r="AN554" s="27">
        <v>4.1350688192132802E-4</v>
      </c>
      <c r="AO554" s="11">
        <v>6.5099539944945004</v>
      </c>
      <c r="AP554" s="11">
        <v>1.1721558084838899</v>
      </c>
      <c r="AQ554" t="s">
        <v>5875</v>
      </c>
      <c r="AR554" t="s">
        <v>5876</v>
      </c>
      <c r="AS554" t="s">
        <v>5268</v>
      </c>
    </row>
    <row r="555" spans="1:45">
      <c r="A555" t="s">
        <v>2717</v>
      </c>
      <c r="B555" s="2">
        <v>0</v>
      </c>
      <c r="C555" s="2">
        <v>1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6</v>
      </c>
      <c r="K555" s="2">
        <v>2</v>
      </c>
      <c r="L555" s="2">
        <v>4</v>
      </c>
      <c r="M555" s="2">
        <v>4.8</v>
      </c>
      <c r="N555" s="2">
        <v>6</v>
      </c>
      <c r="O555" s="2">
        <v>8</v>
      </c>
      <c r="P555" s="2">
        <v>6.8570000000000002</v>
      </c>
      <c r="Q555" s="2">
        <v>5.8330000000000002</v>
      </c>
      <c r="R555" s="2">
        <v>5</v>
      </c>
      <c r="S555" s="2">
        <v>6</v>
      </c>
      <c r="T555" s="2">
        <v>7</v>
      </c>
      <c r="U555" s="11">
        <v>0.30291084895868198</v>
      </c>
      <c r="V555" s="11">
        <v>0.96306412067744696</v>
      </c>
      <c r="W555" s="11">
        <v>0.40019941545306398</v>
      </c>
      <c r="X555" s="11">
        <v>0.37798043978830698</v>
      </c>
      <c r="Y555" s="11">
        <v>0.215044089984223</v>
      </c>
      <c r="Z555" s="11">
        <v>0.23243181165987301</v>
      </c>
      <c r="AA555" s="11">
        <v>0.26351557071616</v>
      </c>
      <c r="AB555" s="11">
        <v>0.24329589949557701</v>
      </c>
      <c r="AC555" s="11">
        <v>4.7685497594697397</v>
      </c>
      <c r="AD555" s="11">
        <v>2.5225985875531398</v>
      </c>
      <c r="AE555" s="11">
        <v>3.84026087168324</v>
      </c>
      <c r="AF555" s="11">
        <v>5.0792822795996404</v>
      </c>
      <c r="AG555" s="11">
        <v>6.3396687041242901</v>
      </c>
      <c r="AH555" s="11">
        <v>4.5773053082337203</v>
      </c>
      <c r="AI555" s="11">
        <v>7.5427002393121096</v>
      </c>
      <c r="AJ555" s="11">
        <v>10.658457925322301</v>
      </c>
      <c r="AK555" s="16">
        <v>3.4501674688662001</v>
      </c>
      <c r="AL555" s="16">
        <v>15.1174579001996</v>
      </c>
      <c r="AM555" s="26">
        <v>4.3055046570924902E-8</v>
      </c>
      <c r="AN555" s="27">
        <v>3.2363849613425599E-7</v>
      </c>
      <c r="AO555" s="11">
        <v>0.37480527459166701</v>
      </c>
      <c r="AP555" s="11">
        <v>5.6661029594122798</v>
      </c>
      <c r="AQ555" t="s">
        <v>5874</v>
      </c>
      <c r="AR555" t="s">
        <v>5876</v>
      </c>
      <c r="AS555" t="s">
        <v>2717</v>
      </c>
    </row>
    <row r="556" spans="1:45">
      <c r="A556" t="s">
        <v>1992</v>
      </c>
      <c r="B556" s="2">
        <v>4</v>
      </c>
      <c r="C556" s="2">
        <v>8</v>
      </c>
      <c r="D556" s="2">
        <v>1</v>
      </c>
      <c r="E556" s="2">
        <v>1</v>
      </c>
      <c r="F556" s="2">
        <v>14</v>
      </c>
      <c r="G556" s="2">
        <v>15</v>
      </c>
      <c r="H556" s="2">
        <v>9</v>
      </c>
      <c r="I556" s="2">
        <v>6</v>
      </c>
      <c r="J556" s="2">
        <v>1</v>
      </c>
      <c r="K556" s="2">
        <v>0</v>
      </c>
      <c r="L556" s="2">
        <v>2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11">
        <v>4.8465735833389196</v>
      </c>
      <c r="V556" s="11">
        <v>7.7045129654195703</v>
      </c>
      <c r="W556" s="11">
        <v>1.6007976618122599</v>
      </c>
      <c r="X556" s="11">
        <v>1.5119217591532299</v>
      </c>
      <c r="Y556" s="11">
        <v>12.042469039116501</v>
      </c>
      <c r="Z556" s="11">
        <v>13.945908699592399</v>
      </c>
      <c r="AA556" s="11">
        <v>9.4865605457817708</v>
      </c>
      <c r="AB556" s="11">
        <v>5.8391015878938397</v>
      </c>
      <c r="AC556" s="11">
        <v>0.79475829324495695</v>
      </c>
      <c r="AD556" s="11">
        <v>1.2612992937765699</v>
      </c>
      <c r="AE556" s="11">
        <v>0.80005434826734301</v>
      </c>
      <c r="AF556" s="11">
        <v>0.21163676164998499</v>
      </c>
      <c r="AG556" s="11">
        <v>0.22969814145377901</v>
      </c>
      <c r="AH556" s="11">
        <v>0.19729764259628099</v>
      </c>
      <c r="AI556" s="11">
        <v>0.377135011965606</v>
      </c>
      <c r="AJ556" s="11">
        <v>0.38065921161865401</v>
      </c>
      <c r="AK556" s="16">
        <v>-3.42956547982127</v>
      </c>
      <c r="AL556" s="16">
        <v>-13.3985484437413</v>
      </c>
      <c r="AM556" s="26">
        <v>9.9100720149556E-8</v>
      </c>
      <c r="AN556" s="27">
        <v>6.7651409979645905E-7</v>
      </c>
      <c r="AO556" s="11">
        <v>7.1222307302635501</v>
      </c>
      <c r="AP556" s="11">
        <v>0.53156733807164702</v>
      </c>
      <c r="AQ556" t="s">
        <v>5875</v>
      </c>
      <c r="AR556" t="s">
        <v>5876</v>
      </c>
      <c r="AS556" t="s">
        <v>1992</v>
      </c>
    </row>
    <row r="557" spans="1:45">
      <c r="A557" t="s">
        <v>3110</v>
      </c>
      <c r="B557" s="2">
        <v>2</v>
      </c>
      <c r="C557" s="2">
        <v>7</v>
      </c>
      <c r="D557" s="2">
        <v>1</v>
      </c>
      <c r="E557" s="2">
        <v>1</v>
      </c>
      <c r="F557" s="2">
        <v>8</v>
      </c>
      <c r="G557" s="2">
        <v>7</v>
      </c>
      <c r="H557" s="2">
        <v>2</v>
      </c>
      <c r="I557" s="2">
        <v>12</v>
      </c>
      <c r="J557" s="2">
        <v>5</v>
      </c>
      <c r="K557" s="2">
        <v>0</v>
      </c>
      <c r="L557" s="2">
        <v>3</v>
      </c>
      <c r="M557" s="2">
        <v>1</v>
      </c>
      <c r="N557" s="2">
        <v>3</v>
      </c>
      <c r="O557" s="2">
        <v>0</v>
      </c>
      <c r="P557" s="2">
        <v>5</v>
      </c>
      <c r="Q557" s="2">
        <v>5</v>
      </c>
      <c r="R557" s="2">
        <v>0</v>
      </c>
      <c r="S557" s="2">
        <v>0</v>
      </c>
      <c r="T557" s="2">
        <v>0</v>
      </c>
      <c r="U557" s="11">
        <v>2.4232867916694598</v>
      </c>
      <c r="V557" s="11">
        <v>6.7414488447421297</v>
      </c>
      <c r="W557" s="11">
        <v>1.6007976618122599</v>
      </c>
      <c r="X557" s="11">
        <v>1.5119217591532299</v>
      </c>
      <c r="Y557" s="11">
        <v>6.8814108794951396</v>
      </c>
      <c r="Z557" s="11">
        <v>6.50809072647644</v>
      </c>
      <c r="AA557" s="11">
        <v>2.10812456572928</v>
      </c>
      <c r="AB557" s="11">
        <v>11.678203175787701</v>
      </c>
      <c r="AC557" s="11">
        <v>3.9737914662247902</v>
      </c>
      <c r="AD557" s="11">
        <v>1.89194894066486</v>
      </c>
      <c r="AE557" s="11">
        <v>0.80005434826734301</v>
      </c>
      <c r="AF557" s="11">
        <v>2.5396411397998202</v>
      </c>
      <c r="AG557" s="11">
        <v>4.5939628290755703</v>
      </c>
      <c r="AH557" s="11">
        <v>3.94595285192562</v>
      </c>
      <c r="AI557" s="11">
        <v>0.377135011965606</v>
      </c>
      <c r="AJ557" s="11">
        <v>0.38065921161865401</v>
      </c>
      <c r="AK557" s="16">
        <v>-1.03680156093645</v>
      </c>
      <c r="AL557" s="16">
        <v>-2.1322473936211201</v>
      </c>
      <c r="AM557" s="26">
        <v>5.0793796298304501E-2</v>
      </c>
      <c r="AN557" s="27">
        <v>7.8842342746092101E-2</v>
      </c>
      <c r="AO557" s="11">
        <v>4.9316605506081999</v>
      </c>
      <c r="AP557" s="11">
        <v>2.3128932249427798</v>
      </c>
      <c r="AQ557" t="s">
        <v>5875</v>
      </c>
      <c r="AR557" t="s">
        <v>5877</v>
      </c>
      <c r="AS557" t="s">
        <v>3110</v>
      </c>
    </row>
    <row r="558" spans="1:45">
      <c r="A558" t="s">
        <v>3343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1</v>
      </c>
      <c r="I558" s="2">
        <v>6</v>
      </c>
      <c r="J558" s="2">
        <v>0</v>
      </c>
      <c r="K558" s="2">
        <v>0</v>
      </c>
      <c r="L558" s="2">
        <v>21</v>
      </c>
      <c r="M558" s="2">
        <v>12</v>
      </c>
      <c r="N558" s="2">
        <v>1</v>
      </c>
      <c r="O558" s="2">
        <v>3</v>
      </c>
      <c r="P558" s="2">
        <v>1</v>
      </c>
      <c r="Q558" s="2">
        <v>5</v>
      </c>
      <c r="R558" s="2">
        <v>6</v>
      </c>
      <c r="S558" s="2">
        <v>2</v>
      </c>
      <c r="T558" s="2">
        <v>4</v>
      </c>
      <c r="U558" s="11">
        <v>0.30291084895868198</v>
      </c>
      <c r="V558" s="11">
        <v>0.24076603016936199</v>
      </c>
      <c r="W558" s="11">
        <v>0.40019941545306398</v>
      </c>
      <c r="X558" s="11">
        <v>0.37798043978830698</v>
      </c>
      <c r="Y558" s="11">
        <v>0.215044089984223</v>
      </c>
      <c r="Z558" s="11">
        <v>0.23243181165987301</v>
      </c>
      <c r="AA558" s="11">
        <v>1.05406228286464</v>
      </c>
      <c r="AB558" s="11">
        <v>5.8391015878938397</v>
      </c>
      <c r="AC558" s="11">
        <v>0.19868957331123899</v>
      </c>
      <c r="AD558" s="11">
        <v>13.243642584653999</v>
      </c>
      <c r="AE558" s="11">
        <v>9.6006521792081099</v>
      </c>
      <c r="AF558" s="11">
        <v>0.84654704659994096</v>
      </c>
      <c r="AG558" s="11">
        <v>0.91879256581511404</v>
      </c>
      <c r="AH558" s="11">
        <v>3.94595285192562</v>
      </c>
      <c r="AI558" s="11">
        <v>9.0512402871745401</v>
      </c>
      <c r="AJ558" s="11">
        <v>6.0905473858984696</v>
      </c>
      <c r="AK558" s="16">
        <v>2.1639278596874498</v>
      </c>
      <c r="AL558" s="16">
        <v>5.0673687937733503</v>
      </c>
      <c r="AM558" s="26">
        <v>9.4103152062121592E-3</v>
      </c>
      <c r="AN558" s="27">
        <v>1.7439060589905599E-2</v>
      </c>
      <c r="AO558" s="11">
        <v>1.0828120633464999</v>
      </c>
      <c r="AP558" s="11">
        <v>5.4870080593233803</v>
      </c>
      <c r="AQ558" t="s">
        <v>5874</v>
      </c>
      <c r="AR558" t="s">
        <v>5878</v>
      </c>
      <c r="AS558" t="s">
        <v>3343</v>
      </c>
    </row>
    <row r="559" spans="1:45">
      <c r="A559" t="s">
        <v>3728</v>
      </c>
      <c r="B559" s="2">
        <v>1</v>
      </c>
      <c r="C559" s="2">
        <v>1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1</v>
      </c>
      <c r="J559" s="2">
        <v>4</v>
      </c>
      <c r="K559" s="2">
        <v>4</v>
      </c>
      <c r="L559" s="2">
        <v>8</v>
      </c>
      <c r="M559" s="2">
        <v>8</v>
      </c>
      <c r="N559" s="2">
        <v>5</v>
      </c>
      <c r="O559" s="2">
        <v>1</v>
      </c>
      <c r="P559" s="2">
        <v>9</v>
      </c>
      <c r="Q559" s="2">
        <v>9</v>
      </c>
      <c r="R559" s="2">
        <v>4</v>
      </c>
      <c r="S559" s="2">
        <v>0</v>
      </c>
      <c r="T559" s="2">
        <v>7</v>
      </c>
      <c r="U559" s="11">
        <v>1.2116433958347299</v>
      </c>
      <c r="V559" s="11">
        <v>0.96306412067744696</v>
      </c>
      <c r="W559" s="11">
        <v>0.40019941545306398</v>
      </c>
      <c r="X559" s="11">
        <v>0.37798043978830698</v>
      </c>
      <c r="Y559" s="11">
        <v>0.215044089984223</v>
      </c>
      <c r="Z559" s="11">
        <v>0.23243181165987301</v>
      </c>
      <c r="AA559" s="11">
        <v>0.26351557071616</v>
      </c>
      <c r="AB559" s="11">
        <v>0.97318359798230603</v>
      </c>
      <c r="AC559" s="11">
        <v>3.17903317297983</v>
      </c>
      <c r="AD559" s="11">
        <v>5.0451971751062796</v>
      </c>
      <c r="AE559" s="11">
        <v>6.4004347861387396</v>
      </c>
      <c r="AF559" s="11">
        <v>4.2327352329997003</v>
      </c>
      <c r="AG559" s="11">
        <v>8.2691330923360304</v>
      </c>
      <c r="AH559" s="11">
        <v>7.1027151334661296</v>
      </c>
      <c r="AI559" s="11">
        <v>6.0341601914496898</v>
      </c>
      <c r="AJ559" s="11">
        <v>10.658457925322301</v>
      </c>
      <c r="AK559" s="16">
        <v>3.1619556527163701</v>
      </c>
      <c r="AL559" s="16">
        <v>10.981492560358999</v>
      </c>
      <c r="AM559" s="26">
        <v>1.8863776566786701E-8</v>
      </c>
      <c r="AN559" s="27">
        <v>1.6179316055359299E-7</v>
      </c>
      <c r="AO559" s="11">
        <v>0.57963280526201399</v>
      </c>
      <c r="AP559" s="11">
        <v>6.3652333387248401</v>
      </c>
      <c r="AQ559" t="s">
        <v>5874</v>
      </c>
      <c r="AR559" t="s">
        <v>5876</v>
      </c>
      <c r="AS559" t="s">
        <v>3728</v>
      </c>
    </row>
    <row r="560" spans="1:45">
      <c r="A560" t="s">
        <v>3796</v>
      </c>
      <c r="B560" s="2">
        <v>0</v>
      </c>
      <c r="C560" s="2">
        <v>2</v>
      </c>
      <c r="D560" s="2">
        <v>1</v>
      </c>
      <c r="E560" s="2">
        <v>9</v>
      </c>
      <c r="F560" s="2">
        <v>19</v>
      </c>
      <c r="G560" s="2">
        <v>16</v>
      </c>
      <c r="H560" s="2">
        <v>5</v>
      </c>
      <c r="I560" s="2">
        <v>3</v>
      </c>
      <c r="J560" s="2">
        <v>2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1</v>
      </c>
      <c r="Q560" s="2">
        <v>2</v>
      </c>
      <c r="R560" s="2">
        <v>0</v>
      </c>
      <c r="S560" s="2">
        <v>0</v>
      </c>
      <c r="T560" s="2">
        <v>1</v>
      </c>
      <c r="U560" s="11">
        <v>0.30291084895868198</v>
      </c>
      <c r="V560" s="11">
        <v>1.9261282413548899</v>
      </c>
      <c r="W560" s="11">
        <v>1.6007976618122599</v>
      </c>
      <c r="X560" s="11">
        <v>13.6072958323791</v>
      </c>
      <c r="Y560" s="11">
        <v>16.343350838801001</v>
      </c>
      <c r="Z560" s="11">
        <v>14.875635946231901</v>
      </c>
      <c r="AA560" s="11">
        <v>5.2703114143232002</v>
      </c>
      <c r="AB560" s="11">
        <v>2.9195507939469199</v>
      </c>
      <c r="AC560" s="11">
        <v>1.5895165864899099</v>
      </c>
      <c r="AD560" s="11">
        <v>0.63064964688828595</v>
      </c>
      <c r="AE560" s="11">
        <v>0.200013587066836</v>
      </c>
      <c r="AF560" s="11">
        <v>0.21163676164998499</v>
      </c>
      <c r="AG560" s="11">
        <v>0.91879256581511404</v>
      </c>
      <c r="AH560" s="11">
        <v>1.5783811407702499</v>
      </c>
      <c r="AI560" s="11">
        <v>0.377135011965606</v>
      </c>
      <c r="AJ560" s="11">
        <v>1.5226368464746201</v>
      </c>
      <c r="AK560" s="16">
        <v>-2.8787636445691298</v>
      </c>
      <c r="AL560" s="16">
        <v>-8.0876234517475094</v>
      </c>
      <c r="AM560" s="26">
        <v>1.28741810976034E-4</v>
      </c>
      <c r="AN560" s="27">
        <v>3.5298471943838997E-4</v>
      </c>
      <c r="AO560" s="11">
        <v>7.1057476972259801</v>
      </c>
      <c r="AP560" s="11">
        <v>0.87859526839007596</v>
      </c>
      <c r="AQ560" t="s">
        <v>5875</v>
      </c>
      <c r="AR560" t="s">
        <v>5876</v>
      </c>
      <c r="AS560" t="s">
        <v>3796</v>
      </c>
    </row>
    <row r="561" spans="1:45">
      <c r="A561" t="s">
        <v>4487</v>
      </c>
      <c r="B561" s="2">
        <v>5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10</v>
      </c>
      <c r="J561" s="2">
        <v>5</v>
      </c>
      <c r="K561" s="2">
        <v>0</v>
      </c>
      <c r="L561" s="2">
        <v>9</v>
      </c>
      <c r="M561" s="2">
        <v>10</v>
      </c>
      <c r="N561" s="2">
        <v>7</v>
      </c>
      <c r="O561" s="2">
        <v>0</v>
      </c>
      <c r="P561" s="2">
        <v>3</v>
      </c>
      <c r="Q561" s="2">
        <v>4</v>
      </c>
      <c r="R561" s="2">
        <v>3</v>
      </c>
      <c r="S561" s="2">
        <v>1</v>
      </c>
      <c r="T561" s="2">
        <v>5</v>
      </c>
      <c r="U561" s="11">
        <v>6.0582169791736504</v>
      </c>
      <c r="V561" s="11">
        <v>0.24076603016936199</v>
      </c>
      <c r="W561" s="11">
        <v>0.40019941545306398</v>
      </c>
      <c r="X561" s="11">
        <v>0.37798043978830698</v>
      </c>
      <c r="Y561" s="11">
        <v>0.215044089984223</v>
      </c>
      <c r="Z561" s="11">
        <v>0.23243181165987301</v>
      </c>
      <c r="AA561" s="11">
        <v>0.26351557071616</v>
      </c>
      <c r="AB561" s="11">
        <v>9.7318359798230603</v>
      </c>
      <c r="AC561" s="11">
        <v>3.9737914662247902</v>
      </c>
      <c r="AD561" s="11">
        <v>5.6758468219945701</v>
      </c>
      <c r="AE561" s="11">
        <v>8.0005434826734305</v>
      </c>
      <c r="AF561" s="11">
        <v>5.9258293261995796</v>
      </c>
      <c r="AG561" s="11">
        <v>2.7563776974453398</v>
      </c>
      <c r="AH561" s="11">
        <v>3.1567622815404999</v>
      </c>
      <c r="AI561" s="11">
        <v>4.5256201435872701</v>
      </c>
      <c r="AJ561" s="11">
        <v>7.6131842323730803</v>
      </c>
      <c r="AK561" s="16">
        <v>1.17234799232829</v>
      </c>
      <c r="AL561" s="16">
        <v>2.3760261677883499</v>
      </c>
      <c r="AM561" s="26">
        <v>8.7427421576247694E-2</v>
      </c>
      <c r="AN561" s="27">
        <v>0.12605376085023601</v>
      </c>
      <c r="AO561" s="11">
        <v>2.1899987895959598</v>
      </c>
      <c r="AP561" s="11">
        <v>5.2034944315048204</v>
      </c>
      <c r="AQ561" t="s">
        <v>5874</v>
      </c>
      <c r="AR561" t="s">
        <v>5832</v>
      </c>
      <c r="AS561" t="s">
        <v>4487</v>
      </c>
    </row>
    <row r="562" spans="1:45">
      <c r="A562" t="s">
        <v>1375</v>
      </c>
      <c r="B562" s="2">
        <v>3</v>
      </c>
      <c r="C562" s="2">
        <v>9</v>
      </c>
      <c r="D562" s="2">
        <v>5</v>
      </c>
      <c r="E562" s="2">
        <v>7</v>
      </c>
      <c r="F562" s="2">
        <v>9</v>
      </c>
      <c r="G562" s="2">
        <v>10</v>
      </c>
      <c r="H562" s="2">
        <v>4</v>
      </c>
      <c r="I562" s="2">
        <v>2</v>
      </c>
      <c r="J562" s="2">
        <v>1</v>
      </c>
      <c r="K562" s="2">
        <v>0</v>
      </c>
      <c r="L562" s="2">
        <v>2</v>
      </c>
      <c r="M562" s="2">
        <v>5</v>
      </c>
      <c r="N562" s="2">
        <v>0</v>
      </c>
      <c r="O562" s="2">
        <v>0</v>
      </c>
      <c r="P562" s="2">
        <v>1</v>
      </c>
      <c r="Q562" s="2">
        <v>2</v>
      </c>
      <c r="R562" s="2">
        <v>0</v>
      </c>
      <c r="S562" s="2">
        <v>0</v>
      </c>
      <c r="T562" s="2">
        <v>1</v>
      </c>
      <c r="U562" s="11">
        <v>3.6349301875041902</v>
      </c>
      <c r="V562" s="11">
        <v>8.6675770860970207</v>
      </c>
      <c r="W562" s="11">
        <v>8.00398830906129</v>
      </c>
      <c r="X562" s="11">
        <v>10.5834523140726</v>
      </c>
      <c r="Y562" s="11">
        <v>7.7415872394320298</v>
      </c>
      <c r="Z562" s="11">
        <v>9.2972724663949098</v>
      </c>
      <c r="AA562" s="11">
        <v>4.21624913145856</v>
      </c>
      <c r="AB562" s="11">
        <v>1.9463671959646101</v>
      </c>
      <c r="AC562" s="11">
        <v>0.79475829324495695</v>
      </c>
      <c r="AD562" s="11">
        <v>1.2612992937765699</v>
      </c>
      <c r="AE562" s="11">
        <v>4.0002717413367099</v>
      </c>
      <c r="AF562" s="11">
        <v>0.21163676164998499</v>
      </c>
      <c r="AG562" s="11">
        <v>0.91879256581511404</v>
      </c>
      <c r="AH562" s="11">
        <v>1.5783811407702499</v>
      </c>
      <c r="AI562" s="11">
        <v>0.377135011965606</v>
      </c>
      <c r="AJ562" s="11">
        <v>1.5226368464746201</v>
      </c>
      <c r="AK562" s="16">
        <v>-2.1762351013565802</v>
      </c>
      <c r="AL562" s="16">
        <v>-5.0719054859169104</v>
      </c>
      <c r="AM562" s="26">
        <v>2.0524423019211499E-5</v>
      </c>
      <c r="AN562" s="27">
        <v>6.8999190954032705E-5</v>
      </c>
      <c r="AO562" s="11">
        <v>6.7614279912481496</v>
      </c>
      <c r="AP562" s="11">
        <v>1.3331139568792301</v>
      </c>
      <c r="AQ562" t="s">
        <v>5875</v>
      </c>
      <c r="AR562" t="s">
        <v>5876</v>
      </c>
      <c r="AS562" t="s">
        <v>1375</v>
      </c>
    </row>
    <row r="563" spans="1:45">
      <c r="A563" t="s">
        <v>1426</v>
      </c>
      <c r="B563" s="2">
        <v>4</v>
      </c>
      <c r="C563" s="2">
        <v>0</v>
      </c>
      <c r="D563" s="2">
        <v>0</v>
      </c>
      <c r="E563" s="2">
        <v>1</v>
      </c>
      <c r="F563" s="2">
        <v>4</v>
      </c>
      <c r="G563" s="2">
        <v>6</v>
      </c>
      <c r="H563" s="2">
        <v>3</v>
      </c>
      <c r="I563" s="2">
        <v>12</v>
      </c>
      <c r="J563" s="2">
        <v>6</v>
      </c>
      <c r="K563" s="2">
        <v>0</v>
      </c>
      <c r="L563" s="2">
        <v>4</v>
      </c>
      <c r="M563" s="2">
        <v>3</v>
      </c>
      <c r="N563" s="2">
        <v>6</v>
      </c>
      <c r="O563" s="2">
        <v>0</v>
      </c>
      <c r="P563" s="2">
        <v>3</v>
      </c>
      <c r="Q563" s="2">
        <v>5</v>
      </c>
      <c r="R563" s="2">
        <v>2</v>
      </c>
      <c r="S563" s="2">
        <v>0</v>
      </c>
      <c r="T563" s="2">
        <v>2</v>
      </c>
      <c r="U563" s="11">
        <v>4.8465735833389196</v>
      </c>
      <c r="V563" s="11">
        <v>0.24076603016936199</v>
      </c>
      <c r="W563" s="11">
        <v>0.40019941545306398</v>
      </c>
      <c r="X563" s="11">
        <v>1.5119217591532299</v>
      </c>
      <c r="Y563" s="11">
        <v>3.4407054397475698</v>
      </c>
      <c r="Z563" s="11">
        <v>5.5783634798369501</v>
      </c>
      <c r="AA563" s="11">
        <v>3.1621868485939202</v>
      </c>
      <c r="AB563" s="11">
        <v>11.678203175787701</v>
      </c>
      <c r="AC563" s="11">
        <v>4.7685497594697397</v>
      </c>
      <c r="AD563" s="11">
        <v>2.5225985875531398</v>
      </c>
      <c r="AE563" s="11">
        <v>2.4001630448020301</v>
      </c>
      <c r="AF563" s="11">
        <v>5.0792822795996404</v>
      </c>
      <c r="AG563" s="11">
        <v>2.7563776974453398</v>
      </c>
      <c r="AH563" s="11">
        <v>3.94595285192562</v>
      </c>
      <c r="AI563" s="11">
        <v>3.0170800957248498</v>
      </c>
      <c r="AJ563" s="11">
        <v>3.0452736929492299</v>
      </c>
      <c r="AK563" s="16">
        <v>-0.208599962545303</v>
      </c>
      <c r="AL563" s="16">
        <v>-1.1207048543860001</v>
      </c>
      <c r="AM563" s="26">
        <v>0.77846513514294802</v>
      </c>
      <c r="AN563" s="27">
        <v>0.83519703989177596</v>
      </c>
      <c r="AO563" s="11">
        <v>3.8573649665100902</v>
      </c>
      <c r="AP563" s="11">
        <v>3.4419097511837</v>
      </c>
      <c r="AQ563" t="s">
        <v>5875</v>
      </c>
      <c r="AR563" t="s">
        <v>5832</v>
      </c>
      <c r="AS563" t="s">
        <v>1426</v>
      </c>
    </row>
    <row r="564" spans="1:45">
      <c r="A564" t="s">
        <v>2285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2</v>
      </c>
      <c r="I564" s="2">
        <v>1</v>
      </c>
      <c r="J564" s="2">
        <v>8.2270000000000003</v>
      </c>
      <c r="K564" s="2">
        <v>2</v>
      </c>
      <c r="L564" s="2">
        <v>11.682</v>
      </c>
      <c r="M564" s="2">
        <v>3.2269999999999999</v>
      </c>
      <c r="N564" s="2">
        <v>4.4550000000000001</v>
      </c>
      <c r="O564" s="2">
        <v>0</v>
      </c>
      <c r="P564" s="2">
        <v>14.227</v>
      </c>
      <c r="Q564" s="2">
        <v>8.2270000000000003</v>
      </c>
      <c r="R564" s="2">
        <v>2</v>
      </c>
      <c r="S564" s="2">
        <v>2.0840000000000001</v>
      </c>
      <c r="T564" s="2">
        <v>1</v>
      </c>
      <c r="U564" s="11">
        <v>0.30291084895868198</v>
      </c>
      <c r="V564" s="11">
        <v>0.24076603016936199</v>
      </c>
      <c r="W564" s="11">
        <v>0.40019941545306398</v>
      </c>
      <c r="X564" s="11">
        <v>0.37798043978830698</v>
      </c>
      <c r="Y564" s="11">
        <v>0.215044089984223</v>
      </c>
      <c r="Z564" s="11">
        <v>0.23243181165987301</v>
      </c>
      <c r="AA564" s="11">
        <v>2.10812456572928</v>
      </c>
      <c r="AB564" s="11">
        <v>0.97318359798230603</v>
      </c>
      <c r="AC564" s="11">
        <v>6.5170180046086497</v>
      </c>
      <c r="AD564" s="11">
        <v>7.3786008685929403</v>
      </c>
      <c r="AE564" s="11">
        <v>2.5601739144555</v>
      </c>
      <c r="AF564" s="11">
        <v>3.8094617096997299</v>
      </c>
      <c r="AG564" s="11">
        <v>13.0468544345746</v>
      </c>
      <c r="AH564" s="11">
        <v>6.4713626771580204</v>
      </c>
      <c r="AI564" s="11">
        <v>3.0170800957248498</v>
      </c>
      <c r="AJ564" s="11">
        <v>1.5226368464746201</v>
      </c>
      <c r="AK564" s="16">
        <v>2.9932374455841799</v>
      </c>
      <c r="AL564" s="16">
        <v>9.1375944707760794</v>
      </c>
      <c r="AM564" s="26">
        <v>5.2407292543574802E-6</v>
      </c>
      <c r="AN564" s="27">
        <v>2.0994298629731501E-5</v>
      </c>
      <c r="AO564" s="11">
        <v>0.60633009996563703</v>
      </c>
      <c r="AP564" s="11">
        <v>5.5403985689111197</v>
      </c>
      <c r="AQ564" t="s">
        <v>5874</v>
      </c>
      <c r="AR564" t="s">
        <v>5876</v>
      </c>
      <c r="AS564" t="s">
        <v>2285</v>
      </c>
    </row>
    <row r="565" spans="1:45">
      <c r="A565" t="s">
        <v>2555</v>
      </c>
      <c r="B565" s="2">
        <v>2</v>
      </c>
      <c r="C565" s="2">
        <v>3</v>
      </c>
      <c r="D565" s="2">
        <v>1</v>
      </c>
      <c r="E565" s="2">
        <v>0</v>
      </c>
      <c r="F565" s="2">
        <v>4</v>
      </c>
      <c r="G565" s="2">
        <v>2</v>
      </c>
      <c r="H565" s="2">
        <v>1.0329999999999999</v>
      </c>
      <c r="I565" s="2">
        <v>3</v>
      </c>
      <c r="J565" s="2">
        <v>8.3019999999999996</v>
      </c>
      <c r="K565" s="2">
        <v>2</v>
      </c>
      <c r="L565" s="2">
        <v>9.4390000000000001</v>
      </c>
      <c r="M565" s="2">
        <v>5.625</v>
      </c>
      <c r="N565" s="2">
        <v>6.3159999999999998</v>
      </c>
      <c r="O565" s="2">
        <v>1</v>
      </c>
      <c r="P565" s="2">
        <v>3.2589999999999999</v>
      </c>
      <c r="Q565" s="2">
        <v>3.12</v>
      </c>
      <c r="R565" s="2">
        <v>3</v>
      </c>
      <c r="S565" s="2">
        <v>2</v>
      </c>
      <c r="T565" s="2">
        <v>0</v>
      </c>
      <c r="U565" s="11">
        <v>2.4232867916694598</v>
      </c>
      <c r="V565" s="11">
        <v>2.8891923620323401</v>
      </c>
      <c r="W565" s="11">
        <v>1.6007976618122599</v>
      </c>
      <c r="X565" s="11">
        <v>0.37798043978830698</v>
      </c>
      <c r="Y565" s="11">
        <v>3.4407054397475698</v>
      </c>
      <c r="Z565" s="11">
        <v>1.85945449327898</v>
      </c>
      <c r="AA565" s="11">
        <v>1.05406228286464</v>
      </c>
      <c r="AB565" s="11">
        <v>2.9195507939469199</v>
      </c>
      <c r="AC565" s="11">
        <v>6.5964938339331498</v>
      </c>
      <c r="AD565" s="11">
        <v>5.9281066807498899</v>
      </c>
      <c r="AE565" s="11">
        <v>4.4803043502971196</v>
      </c>
      <c r="AF565" s="11">
        <v>5.3332463935796302</v>
      </c>
      <c r="AG565" s="11">
        <v>3.03201546718988</v>
      </c>
      <c r="AH565" s="11">
        <v>2.4464907681938901</v>
      </c>
      <c r="AI565" s="11">
        <v>4.5256201435872701</v>
      </c>
      <c r="AJ565" s="11">
        <v>0.38065921161865401</v>
      </c>
      <c r="AK565" s="16">
        <v>0.93771617624625503</v>
      </c>
      <c r="AL565" s="16">
        <v>1.9754227022459301</v>
      </c>
      <c r="AM565" s="26">
        <v>6.6948220233508604E-2</v>
      </c>
      <c r="AN565" s="27">
        <v>9.9751357096252297E-2</v>
      </c>
      <c r="AO565" s="11">
        <v>2.0706287831425598</v>
      </c>
      <c r="AP565" s="11">
        <v>4.0903671061436802</v>
      </c>
      <c r="AQ565" t="s">
        <v>5874</v>
      </c>
      <c r="AR565" t="s">
        <v>5877</v>
      </c>
      <c r="AS565" t="s">
        <v>2555</v>
      </c>
    </row>
    <row r="566" spans="1:45">
      <c r="A566" t="s">
        <v>239</v>
      </c>
      <c r="B566" s="2">
        <v>9</v>
      </c>
      <c r="C566" s="2">
        <v>6</v>
      </c>
      <c r="D566" s="2">
        <v>3</v>
      </c>
      <c r="E566" s="2">
        <v>0</v>
      </c>
      <c r="F566" s="2">
        <v>9</v>
      </c>
      <c r="G566" s="2">
        <v>12</v>
      </c>
      <c r="H566" s="2">
        <v>6</v>
      </c>
      <c r="I566" s="2">
        <v>9</v>
      </c>
      <c r="J566" s="2">
        <v>0</v>
      </c>
      <c r="K566" s="2">
        <v>1</v>
      </c>
      <c r="L566" s="2">
        <v>1</v>
      </c>
      <c r="M566" s="2">
        <v>1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2</v>
      </c>
      <c r="T566" s="2">
        <v>0</v>
      </c>
      <c r="U566" s="11">
        <v>10.9047905625126</v>
      </c>
      <c r="V566" s="11">
        <v>5.7783847240646802</v>
      </c>
      <c r="W566" s="11">
        <v>4.8023929854367697</v>
      </c>
      <c r="X566" s="11">
        <v>0.37798043978830698</v>
      </c>
      <c r="Y566" s="11">
        <v>7.7415872394320298</v>
      </c>
      <c r="Z566" s="11">
        <v>11.1567269596739</v>
      </c>
      <c r="AA566" s="11">
        <v>6.3243736971878404</v>
      </c>
      <c r="AB566" s="11">
        <v>8.7586523818407507</v>
      </c>
      <c r="AC566" s="11">
        <v>0.19868957331123899</v>
      </c>
      <c r="AD566" s="11">
        <v>0.63064964688828595</v>
      </c>
      <c r="AE566" s="11">
        <v>0.80005434826734301</v>
      </c>
      <c r="AF566" s="11">
        <v>0.84654704659994096</v>
      </c>
      <c r="AG566" s="11">
        <v>0.22969814145377901</v>
      </c>
      <c r="AH566" s="11">
        <v>0.19729764259628099</v>
      </c>
      <c r="AI566" s="11">
        <v>0.377135011965606</v>
      </c>
      <c r="AJ566" s="11">
        <v>0.38065921161865401</v>
      </c>
      <c r="AK566" s="16">
        <v>-3.6135976493487001</v>
      </c>
      <c r="AL566" s="16">
        <v>-15.255121107144101</v>
      </c>
      <c r="AM566" s="26">
        <v>5.1947831481949901E-9</v>
      </c>
      <c r="AN566" s="27">
        <v>5.2656211002158302E-8</v>
      </c>
      <c r="AO566" s="11">
        <v>6.9806111237421096</v>
      </c>
      <c r="AP566" s="11">
        <v>0.457591327837641</v>
      </c>
      <c r="AQ566" t="s">
        <v>5875</v>
      </c>
      <c r="AR566" t="s">
        <v>5876</v>
      </c>
      <c r="AS566" t="s">
        <v>239</v>
      </c>
    </row>
    <row r="567" spans="1:45">
      <c r="A567" t="s">
        <v>1327</v>
      </c>
      <c r="B567" s="2">
        <v>0</v>
      </c>
      <c r="C567" s="2">
        <v>1</v>
      </c>
      <c r="D567" s="2">
        <v>0</v>
      </c>
      <c r="E567" s="2">
        <v>0</v>
      </c>
      <c r="F567" s="2">
        <v>0</v>
      </c>
      <c r="G567" s="2">
        <v>1</v>
      </c>
      <c r="H567" s="2">
        <v>2</v>
      </c>
      <c r="I567" s="2">
        <v>3</v>
      </c>
      <c r="J567" s="2">
        <v>7</v>
      </c>
      <c r="K567" s="2">
        <v>0</v>
      </c>
      <c r="L567" s="2">
        <v>11</v>
      </c>
      <c r="M567" s="2">
        <v>8</v>
      </c>
      <c r="N567" s="2">
        <v>6</v>
      </c>
      <c r="O567" s="2">
        <v>0</v>
      </c>
      <c r="P567" s="2">
        <v>7</v>
      </c>
      <c r="Q567" s="2">
        <v>12</v>
      </c>
      <c r="R567" s="2">
        <v>2</v>
      </c>
      <c r="S567" s="2">
        <v>0</v>
      </c>
      <c r="T567" s="2">
        <v>0</v>
      </c>
      <c r="U567" s="11">
        <v>0.30291084895868198</v>
      </c>
      <c r="V567" s="11">
        <v>0.96306412067744696</v>
      </c>
      <c r="W567" s="11">
        <v>0.40019941545306398</v>
      </c>
      <c r="X567" s="11">
        <v>0.37798043978830698</v>
      </c>
      <c r="Y567" s="11">
        <v>0.215044089984223</v>
      </c>
      <c r="Z567" s="11">
        <v>0.92972724663949102</v>
      </c>
      <c r="AA567" s="11">
        <v>2.10812456572928</v>
      </c>
      <c r="AB567" s="11">
        <v>2.9195507939469199</v>
      </c>
      <c r="AC567" s="11">
        <v>5.5633080527147003</v>
      </c>
      <c r="AD567" s="11">
        <v>6.9371461157711396</v>
      </c>
      <c r="AE567" s="11">
        <v>6.4004347861387396</v>
      </c>
      <c r="AF567" s="11">
        <v>5.0792822795996404</v>
      </c>
      <c r="AG567" s="11">
        <v>6.4315479607058004</v>
      </c>
      <c r="AH567" s="11">
        <v>9.4702868446214996</v>
      </c>
      <c r="AI567" s="11">
        <v>3.0170800957248498</v>
      </c>
      <c r="AJ567" s="11">
        <v>0.38065921161865401</v>
      </c>
      <c r="AK567" s="16">
        <v>2.2768806403715902</v>
      </c>
      <c r="AL567" s="16">
        <v>5.2673535689111999</v>
      </c>
      <c r="AM567" s="26">
        <v>9.5988757907464696E-5</v>
      </c>
      <c r="AN567" s="27">
        <v>2.7210372474616E-4</v>
      </c>
      <c r="AO567" s="11">
        <v>1.02707519014718</v>
      </c>
      <c r="AP567" s="11">
        <v>5.4099681683618801</v>
      </c>
      <c r="AQ567" t="s">
        <v>5874</v>
      </c>
      <c r="AR567" t="s">
        <v>5876</v>
      </c>
      <c r="AS567" t="s">
        <v>1327</v>
      </c>
    </row>
    <row r="568" spans="1:45">
      <c r="A568" t="s">
        <v>2081</v>
      </c>
      <c r="B568" s="2">
        <v>3</v>
      </c>
      <c r="C568" s="2">
        <v>6</v>
      </c>
      <c r="D568" s="2">
        <v>2</v>
      </c>
      <c r="E568" s="2">
        <v>0</v>
      </c>
      <c r="F568" s="2">
        <v>10</v>
      </c>
      <c r="G568" s="2">
        <v>6</v>
      </c>
      <c r="H568" s="2">
        <v>6</v>
      </c>
      <c r="I568" s="2">
        <v>4</v>
      </c>
      <c r="J568" s="2">
        <v>10</v>
      </c>
      <c r="K568" s="2">
        <v>0</v>
      </c>
      <c r="L568" s="2">
        <v>7</v>
      </c>
      <c r="M568" s="2">
        <v>0</v>
      </c>
      <c r="N568" s="2">
        <v>3</v>
      </c>
      <c r="O568" s="2">
        <v>2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s="11">
        <v>3.6349301875041902</v>
      </c>
      <c r="V568" s="11">
        <v>5.7783847240646802</v>
      </c>
      <c r="W568" s="11">
        <v>3.2015953236245198</v>
      </c>
      <c r="X568" s="11">
        <v>0.37798043978830698</v>
      </c>
      <c r="Y568" s="11">
        <v>8.6017635993689208</v>
      </c>
      <c r="Z568" s="11">
        <v>5.5783634798369501</v>
      </c>
      <c r="AA568" s="11">
        <v>6.3243736971878404</v>
      </c>
      <c r="AB568" s="11">
        <v>3.8927343919292201</v>
      </c>
      <c r="AC568" s="11">
        <v>7.9475829324495697</v>
      </c>
      <c r="AD568" s="11">
        <v>4.4145475282179998</v>
      </c>
      <c r="AE568" s="11">
        <v>0.200013587066836</v>
      </c>
      <c r="AF568" s="11">
        <v>2.5396411397998202</v>
      </c>
      <c r="AG568" s="11">
        <v>0.91879256581511404</v>
      </c>
      <c r="AH568" s="11">
        <v>0.19729764259628099</v>
      </c>
      <c r="AI568" s="11">
        <v>0.377135011965606</v>
      </c>
      <c r="AJ568" s="11">
        <v>0.38065921161865401</v>
      </c>
      <c r="AK568" s="16">
        <v>-1.0312198790407301</v>
      </c>
      <c r="AL568" s="16">
        <v>-2.20257148503224</v>
      </c>
      <c r="AM568" s="26">
        <v>9.2896128786934401E-2</v>
      </c>
      <c r="AN568" s="27">
        <v>0.132773706810002</v>
      </c>
      <c r="AO568" s="11">
        <v>4.6737657304130797</v>
      </c>
      <c r="AP568" s="11">
        <v>2.1219587024412401</v>
      </c>
      <c r="AQ568" t="s">
        <v>5875</v>
      </c>
      <c r="AR568" t="s">
        <v>5832</v>
      </c>
      <c r="AS568" t="s">
        <v>2081</v>
      </c>
    </row>
    <row r="569" spans="1:45">
      <c r="A569" t="s">
        <v>2148</v>
      </c>
      <c r="B569" s="2">
        <v>1</v>
      </c>
      <c r="C569" s="2">
        <v>11</v>
      </c>
      <c r="D569" s="2">
        <v>0</v>
      </c>
      <c r="E569" s="2">
        <v>2</v>
      </c>
      <c r="F569" s="2">
        <v>9</v>
      </c>
      <c r="G569" s="2">
        <v>9</v>
      </c>
      <c r="H569" s="2">
        <v>2</v>
      </c>
      <c r="I569" s="2">
        <v>8</v>
      </c>
      <c r="J569" s="2">
        <v>2</v>
      </c>
      <c r="K569" s="2">
        <v>0</v>
      </c>
      <c r="L569" s="2">
        <v>10</v>
      </c>
      <c r="M569" s="2">
        <v>0</v>
      </c>
      <c r="N569" s="2">
        <v>2</v>
      </c>
      <c r="O569" s="2">
        <v>0</v>
      </c>
      <c r="P569" s="2">
        <v>3</v>
      </c>
      <c r="Q569" s="2">
        <v>1</v>
      </c>
      <c r="R569" s="2">
        <v>0</v>
      </c>
      <c r="S569" s="2">
        <v>0</v>
      </c>
      <c r="T569" s="2">
        <v>0</v>
      </c>
      <c r="U569" s="11">
        <v>1.2116433958347299</v>
      </c>
      <c r="V569" s="11">
        <v>10.5937053274519</v>
      </c>
      <c r="W569" s="11">
        <v>0.40019941545306398</v>
      </c>
      <c r="X569" s="11">
        <v>3.0238435183064598</v>
      </c>
      <c r="Y569" s="11">
        <v>7.7415872394320298</v>
      </c>
      <c r="Z569" s="11">
        <v>8.3675452197554208</v>
      </c>
      <c r="AA569" s="11">
        <v>2.10812456572928</v>
      </c>
      <c r="AB569" s="11">
        <v>7.78546878385845</v>
      </c>
      <c r="AC569" s="11">
        <v>1.5895165864899099</v>
      </c>
      <c r="AD569" s="11">
        <v>6.3064964688828598</v>
      </c>
      <c r="AE569" s="11">
        <v>0.200013587066836</v>
      </c>
      <c r="AF569" s="11">
        <v>1.6930940931998799</v>
      </c>
      <c r="AG569" s="11">
        <v>2.7563776974453398</v>
      </c>
      <c r="AH569" s="11">
        <v>0.78919057038512497</v>
      </c>
      <c r="AI569" s="11">
        <v>0.377135011965606</v>
      </c>
      <c r="AJ569" s="11">
        <v>0.38065921161865401</v>
      </c>
      <c r="AK569" s="16">
        <v>-1.4167715505981999</v>
      </c>
      <c r="AL569" s="16">
        <v>-2.9258234195848098</v>
      </c>
      <c r="AM569" s="26">
        <v>2.5045262432235399E-2</v>
      </c>
      <c r="AN569" s="27">
        <v>4.2078145531101903E-2</v>
      </c>
      <c r="AO569" s="11">
        <v>5.1540146832276701</v>
      </c>
      <c r="AP569" s="11">
        <v>1.76156040338178</v>
      </c>
      <c r="AQ569" t="s">
        <v>5875</v>
      </c>
      <c r="AR569" t="s">
        <v>5878</v>
      </c>
      <c r="AS569" t="s">
        <v>2148</v>
      </c>
    </row>
    <row r="570" spans="1:45">
      <c r="A570" t="s">
        <v>2251</v>
      </c>
      <c r="B570" s="2">
        <v>0</v>
      </c>
      <c r="C570" s="2">
        <v>0</v>
      </c>
      <c r="D570" s="2">
        <v>0</v>
      </c>
      <c r="E570" s="2">
        <v>0</v>
      </c>
      <c r="F570" s="2">
        <v>3</v>
      </c>
      <c r="G570" s="2">
        <v>2</v>
      </c>
      <c r="H570" s="2">
        <v>5</v>
      </c>
      <c r="I570" s="2">
        <v>6</v>
      </c>
      <c r="J570" s="2">
        <v>7</v>
      </c>
      <c r="K570" s="2">
        <v>0</v>
      </c>
      <c r="L570" s="2">
        <v>7</v>
      </c>
      <c r="M570" s="2">
        <v>2</v>
      </c>
      <c r="N570" s="2">
        <v>3</v>
      </c>
      <c r="O570" s="2">
        <v>0</v>
      </c>
      <c r="P570" s="2">
        <v>12</v>
      </c>
      <c r="Q570" s="2">
        <v>9</v>
      </c>
      <c r="R570" s="2">
        <v>0</v>
      </c>
      <c r="S570" s="2">
        <v>2</v>
      </c>
      <c r="T570" s="2">
        <v>2</v>
      </c>
      <c r="U570" s="11">
        <v>0.30291084895868198</v>
      </c>
      <c r="V570" s="11">
        <v>0.24076603016936199</v>
      </c>
      <c r="W570" s="11">
        <v>0.40019941545306398</v>
      </c>
      <c r="X570" s="11">
        <v>0.37798043978830698</v>
      </c>
      <c r="Y570" s="11">
        <v>2.5805290798106801</v>
      </c>
      <c r="Z570" s="11">
        <v>1.85945449327898</v>
      </c>
      <c r="AA570" s="11">
        <v>5.2703114143232002</v>
      </c>
      <c r="AB570" s="11">
        <v>5.8391015878938397</v>
      </c>
      <c r="AC570" s="11">
        <v>5.5633080527147003</v>
      </c>
      <c r="AD570" s="11">
        <v>4.4145475282179998</v>
      </c>
      <c r="AE570" s="11">
        <v>1.60010869653469</v>
      </c>
      <c r="AF570" s="11">
        <v>2.5396411397998202</v>
      </c>
      <c r="AG570" s="11">
        <v>11.0255107897814</v>
      </c>
      <c r="AH570" s="11">
        <v>7.1027151334661296</v>
      </c>
      <c r="AI570" s="11">
        <v>0.377135011965606</v>
      </c>
      <c r="AJ570" s="11">
        <v>3.0452736929492299</v>
      </c>
      <c r="AK570" s="16">
        <v>1.00106444363536</v>
      </c>
      <c r="AL570" s="16">
        <v>2.11414287905765</v>
      </c>
      <c r="AM570" s="26">
        <v>0.108394761998655</v>
      </c>
      <c r="AN570" s="27">
        <v>0.15266546479389501</v>
      </c>
      <c r="AO570" s="11">
        <v>2.1089066637095102</v>
      </c>
      <c r="AP570" s="11">
        <v>4.4585300056786901</v>
      </c>
      <c r="AQ570" t="s">
        <v>5874</v>
      </c>
      <c r="AR570" t="s">
        <v>5832</v>
      </c>
      <c r="AS570" t="s">
        <v>2251</v>
      </c>
    </row>
    <row r="571" spans="1:45">
      <c r="A571" t="s">
        <v>2859</v>
      </c>
      <c r="B571" s="2">
        <v>9</v>
      </c>
      <c r="C571" s="2">
        <v>9</v>
      </c>
      <c r="D571" s="2">
        <v>2</v>
      </c>
      <c r="E571" s="2">
        <v>3</v>
      </c>
      <c r="F571" s="2">
        <v>8</v>
      </c>
      <c r="G571" s="2">
        <v>7</v>
      </c>
      <c r="H571" s="2">
        <v>4</v>
      </c>
      <c r="I571" s="2">
        <v>6</v>
      </c>
      <c r="J571" s="2">
        <v>0</v>
      </c>
      <c r="K571" s="2">
        <v>0</v>
      </c>
      <c r="L571" s="2">
        <v>5</v>
      </c>
      <c r="M571" s="2">
        <v>1</v>
      </c>
      <c r="N571" s="2">
        <v>2</v>
      </c>
      <c r="O571" s="2">
        <v>0</v>
      </c>
      <c r="P571" s="2">
        <v>2</v>
      </c>
      <c r="Q571" s="2">
        <v>0</v>
      </c>
      <c r="R571" s="2">
        <v>1</v>
      </c>
      <c r="S571" s="2">
        <v>0</v>
      </c>
      <c r="T571" s="2">
        <v>1</v>
      </c>
      <c r="U571" s="11">
        <v>10.9047905625126</v>
      </c>
      <c r="V571" s="11">
        <v>8.6675770860970207</v>
      </c>
      <c r="W571" s="11">
        <v>3.2015953236245198</v>
      </c>
      <c r="X571" s="11">
        <v>4.5357652774596904</v>
      </c>
      <c r="Y571" s="11">
        <v>6.8814108794951396</v>
      </c>
      <c r="Z571" s="11">
        <v>6.50809072647644</v>
      </c>
      <c r="AA571" s="11">
        <v>4.21624913145856</v>
      </c>
      <c r="AB571" s="11">
        <v>5.8391015878938397</v>
      </c>
      <c r="AC571" s="11">
        <v>0.19868957331123899</v>
      </c>
      <c r="AD571" s="11">
        <v>3.1532482344414299</v>
      </c>
      <c r="AE571" s="11">
        <v>0.80005434826734301</v>
      </c>
      <c r="AF571" s="11">
        <v>1.6930940931998799</v>
      </c>
      <c r="AG571" s="11">
        <v>1.8375851316302301</v>
      </c>
      <c r="AH571" s="11">
        <v>0.19729764259628099</v>
      </c>
      <c r="AI571" s="11">
        <v>1.50854004786242</v>
      </c>
      <c r="AJ571" s="11">
        <v>1.5226368464746201</v>
      </c>
      <c r="AK571" s="16">
        <v>-2.1252910594241299</v>
      </c>
      <c r="AL571" s="16">
        <v>-4.6516269654405296</v>
      </c>
      <c r="AM571" s="26">
        <v>7.7431971891919399E-6</v>
      </c>
      <c r="AN571" s="27">
        <v>2.9266660562539001E-5</v>
      </c>
      <c r="AO571" s="11">
        <v>6.3443225718772203</v>
      </c>
      <c r="AP571" s="11">
        <v>1.36389323972293</v>
      </c>
      <c r="AQ571" t="s">
        <v>5875</v>
      </c>
      <c r="AR571" t="s">
        <v>5876</v>
      </c>
      <c r="AS571" t="s">
        <v>2859</v>
      </c>
    </row>
    <row r="572" spans="1:45">
      <c r="A572" t="s">
        <v>3581</v>
      </c>
      <c r="B572" s="2">
        <v>3</v>
      </c>
      <c r="C572" s="2">
        <v>5</v>
      </c>
      <c r="D572" s="2">
        <v>1</v>
      </c>
      <c r="E572" s="2">
        <v>5</v>
      </c>
      <c r="F572" s="2">
        <v>9</v>
      </c>
      <c r="G572" s="2">
        <v>5</v>
      </c>
      <c r="H572" s="2">
        <v>3</v>
      </c>
      <c r="I572" s="2">
        <v>5</v>
      </c>
      <c r="J572" s="2">
        <v>4</v>
      </c>
      <c r="K572" s="2">
        <v>0</v>
      </c>
      <c r="L572" s="2">
        <v>5</v>
      </c>
      <c r="M572" s="2">
        <v>2</v>
      </c>
      <c r="N572" s="2">
        <v>6</v>
      </c>
      <c r="O572" s="2">
        <v>2</v>
      </c>
      <c r="P572" s="2">
        <v>1</v>
      </c>
      <c r="Q572" s="2">
        <v>1</v>
      </c>
      <c r="R572" s="2">
        <v>1</v>
      </c>
      <c r="S572" s="2">
        <v>0</v>
      </c>
      <c r="T572" s="2">
        <v>2</v>
      </c>
      <c r="U572" s="11">
        <v>3.6349301875041902</v>
      </c>
      <c r="V572" s="11">
        <v>4.8153206033872298</v>
      </c>
      <c r="W572" s="11">
        <v>1.6007976618122599</v>
      </c>
      <c r="X572" s="11">
        <v>7.5596087957661497</v>
      </c>
      <c r="Y572" s="11">
        <v>7.7415872394320298</v>
      </c>
      <c r="Z572" s="11">
        <v>4.6486362331974602</v>
      </c>
      <c r="AA572" s="11">
        <v>3.1621868485939202</v>
      </c>
      <c r="AB572" s="11">
        <v>4.8659179899115301</v>
      </c>
      <c r="AC572" s="11">
        <v>3.17903317297983</v>
      </c>
      <c r="AD572" s="11">
        <v>3.1532482344414299</v>
      </c>
      <c r="AE572" s="11">
        <v>1.60010869653469</v>
      </c>
      <c r="AF572" s="11">
        <v>5.0792822795996404</v>
      </c>
      <c r="AG572" s="11">
        <v>0.91879256581511404</v>
      </c>
      <c r="AH572" s="11">
        <v>0.78919057038512497</v>
      </c>
      <c r="AI572" s="11">
        <v>1.50854004786242</v>
      </c>
      <c r="AJ572" s="11">
        <v>3.0452736929492299</v>
      </c>
      <c r="AK572" s="16">
        <v>-0.95102761473905695</v>
      </c>
      <c r="AL572" s="16">
        <v>-1.9731261168123</v>
      </c>
      <c r="AM572" s="26">
        <v>5.2621054142872201E-2</v>
      </c>
      <c r="AN572" s="27">
        <v>8.0741938581608996E-2</v>
      </c>
      <c r="AO572" s="11">
        <v>4.7536231949505998</v>
      </c>
      <c r="AP572" s="11">
        <v>2.40918365757094</v>
      </c>
      <c r="AQ572" t="s">
        <v>5875</v>
      </c>
      <c r="AR572" t="s">
        <v>5877</v>
      </c>
      <c r="AS572" t="s">
        <v>3581</v>
      </c>
    </row>
    <row r="573" spans="1:45">
      <c r="A573" t="s">
        <v>599</v>
      </c>
      <c r="B573" s="2">
        <v>0.66700000000000004</v>
      </c>
      <c r="C573" s="2">
        <v>2.3330000000000002</v>
      </c>
      <c r="D573" s="2">
        <v>0.33300000000000002</v>
      </c>
      <c r="E573" s="2">
        <v>1.667</v>
      </c>
      <c r="F573" s="2">
        <v>0.66700000000000004</v>
      </c>
      <c r="G573" s="2">
        <v>1.333</v>
      </c>
      <c r="H573" s="2">
        <v>0.83299999999999996</v>
      </c>
      <c r="I573" s="2">
        <v>5</v>
      </c>
      <c r="J573" s="2">
        <v>6.0890000000000004</v>
      </c>
      <c r="K573" s="2">
        <v>0</v>
      </c>
      <c r="L573" s="2">
        <v>9.8209999999999997</v>
      </c>
      <c r="M573" s="2">
        <v>9.5229999999999997</v>
      </c>
      <c r="N573" s="2">
        <v>9.9380000000000006</v>
      </c>
      <c r="O573" s="2">
        <v>1.333</v>
      </c>
      <c r="P573" s="2">
        <v>2.2000000000000002</v>
      </c>
      <c r="Q573" s="2">
        <v>3.5</v>
      </c>
      <c r="R573" s="2">
        <v>4</v>
      </c>
      <c r="S573" s="2">
        <v>0</v>
      </c>
      <c r="T573" s="2">
        <v>0</v>
      </c>
      <c r="U573" s="11">
        <v>0.84815037708430996</v>
      </c>
      <c r="V573" s="11">
        <v>2.2150474775581301</v>
      </c>
      <c r="W573" s="11">
        <v>0.48023929854367697</v>
      </c>
      <c r="X573" s="11">
        <v>2.5702669905604898</v>
      </c>
      <c r="Y573" s="11">
        <v>0.60212345195582395</v>
      </c>
      <c r="Z573" s="11">
        <v>1.20864542063134</v>
      </c>
      <c r="AA573" s="11">
        <v>0.84324982629171297</v>
      </c>
      <c r="AB573" s="11">
        <v>4.8659179899115301</v>
      </c>
      <c r="AC573" s="11">
        <v>4.8480255887942398</v>
      </c>
      <c r="AD573" s="11">
        <v>6.1803665395051999</v>
      </c>
      <c r="AE573" s="11">
        <v>7.6005163085397598</v>
      </c>
      <c r="AF573" s="11">
        <v>8.3808157613394094</v>
      </c>
      <c r="AG573" s="11">
        <v>2.0213436447932498</v>
      </c>
      <c r="AH573" s="11">
        <v>2.7621669963479398</v>
      </c>
      <c r="AI573" s="11">
        <v>6.0341601914496898</v>
      </c>
      <c r="AJ573" s="11">
        <v>0.38065921161865401</v>
      </c>
      <c r="AK573" s="16">
        <v>1.4414516348318001</v>
      </c>
      <c r="AL573" s="16">
        <v>2.8024835560581698</v>
      </c>
      <c r="AM573" s="26">
        <v>1.44815024041056E-2</v>
      </c>
      <c r="AN573" s="27">
        <v>2.5562335378223298E-2</v>
      </c>
      <c r="AO573" s="11">
        <v>1.70420510406713</v>
      </c>
      <c r="AP573" s="11">
        <v>4.7760067802985198</v>
      </c>
      <c r="AQ573" t="s">
        <v>5874</v>
      </c>
      <c r="AR573" t="s">
        <v>5878</v>
      </c>
      <c r="AS573" t="s">
        <v>599</v>
      </c>
    </row>
    <row r="574" spans="1:45">
      <c r="A574" t="s">
        <v>2388</v>
      </c>
      <c r="B574" s="2">
        <v>11</v>
      </c>
      <c r="C574" s="2">
        <v>5</v>
      </c>
      <c r="D574" s="2">
        <v>6</v>
      </c>
      <c r="E574" s="2">
        <v>17</v>
      </c>
      <c r="F574" s="2">
        <v>2</v>
      </c>
      <c r="G574" s="2">
        <v>9.0850000000000009</v>
      </c>
      <c r="H574" s="2">
        <v>2</v>
      </c>
      <c r="I574" s="2">
        <v>1</v>
      </c>
      <c r="J574" s="2">
        <v>0</v>
      </c>
      <c r="K574" s="2">
        <v>0</v>
      </c>
      <c r="L574" s="2">
        <v>0</v>
      </c>
      <c r="M574" s="2">
        <v>2</v>
      </c>
      <c r="N574" s="2">
        <v>1</v>
      </c>
      <c r="O574" s="2">
        <v>0</v>
      </c>
      <c r="P574" s="2">
        <v>0</v>
      </c>
      <c r="Q574" s="2">
        <v>2</v>
      </c>
      <c r="R574" s="2">
        <v>1</v>
      </c>
      <c r="S574" s="2">
        <v>0</v>
      </c>
      <c r="T574" s="2">
        <v>0</v>
      </c>
      <c r="U574" s="11">
        <v>13.328077354182</v>
      </c>
      <c r="V574" s="11">
        <v>4.8153206033872298</v>
      </c>
      <c r="W574" s="11">
        <v>9.6047859708735501</v>
      </c>
      <c r="X574" s="11">
        <v>25.7026699056049</v>
      </c>
      <c r="Y574" s="11">
        <v>1.72035271987378</v>
      </c>
      <c r="Z574" s="11">
        <v>8.4605179444193706</v>
      </c>
      <c r="AA574" s="11">
        <v>2.10812456572928</v>
      </c>
      <c r="AB574" s="11">
        <v>0.97318359798230603</v>
      </c>
      <c r="AC574" s="11">
        <v>0.19868957331123899</v>
      </c>
      <c r="AD574" s="11">
        <v>0.15766241172207099</v>
      </c>
      <c r="AE574" s="11">
        <v>1.60010869653469</v>
      </c>
      <c r="AF574" s="11">
        <v>0.84654704659994096</v>
      </c>
      <c r="AG574" s="11">
        <v>0.22969814145377901</v>
      </c>
      <c r="AH574" s="11">
        <v>1.5783811407702499</v>
      </c>
      <c r="AI574" s="11">
        <v>1.50854004786242</v>
      </c>
      <c r="AJ574" s="11">
        <v>0.38065921161865401</v>
      </c>
      <c r="AK574" s="16">
        <v>-3.1641184546919301</v>
      </c>
      <c r="AL574" s="16">
        <v>-10.263091484331699</v>
      </c>
      <c r="AM574" s="26">
        <v>2.1371597054362899E-5</v>
      </c>
      <c r="AN574" s="27">
        <v>7.1132330494372005E-5</v>
      </c>
      <c r="AO574" s="11">
        <v>8.3391290827565605</v>
      </c>
      <c r="AP574" s="11">
        <v>0.81253578373413005</v>
      </c>
      <c r="AQ574" t="s">
        <v>5875</v>
      </c>
      <c r="AR574" t="s">
        <v>5876</v>
      </c>
      <c r="AS574" t="s">
        <v>2388</v>
      </c>
    </row>
    <row r="575" spans="1:45">
      <c r="A575" t="s">
        <v>727</v>
      </c>
      <c r="B575" s="2">
        <v>5</v>
      </c>
      <c r="C575" s="2">
        <v>8</v>
      </c>
      <c r="D575" s="2">
        <v>9</v>
      </c>
      <c r="E575" s="2">
        <v>4</v>
      </c>
      <c r="F575" s="2">
        <v>8</v>
      </c>
      <c r="G575" s="2">
        <v>12</v>
      </c>
      <c r="H575" s="2">
        <v>5</v>
      </c>
      <c r="I575" s="2">
        <v>6</v>
      </c>
      <c r="J575" s="2">
        <v>0</v>
      </c>
      <c r="K575" s="2">
        <v>0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11">
        <v>6.0582169791736504</v>
      </c>
      <c r="V575" s="11">
        <v>7.7045129654195703</v>
      </c>
      <c r="W575" s="11">
        <v>14.4071789563103</v>
      </c>
      <c r="X575" s="11">
        <v>6.0476870366129196</v>
      </c>
      <c r="Y575" s="11">
        <v>6.8814108794951396</v>
      </c>
      <c r="Z575" s="11">
        <v>11.1567269596739</v>
      </c>
      <c r="AA575" s="11">
        <v>5.2703114143232002</v>
      </c>
      <c r="AB575" s="11">
        <v>5.8391015878938397</v>
      </c>
      <c r="AC575" s="11">
        <v>0.19868957331123899</v>
      </c>
      <c r="AD575" s="11">
        <v>0.63064964688828595</v>
      </c>
      <c r="AE575" s="11">
        <v>0.200013587066836</v>
      </c>
      <c r="AF575" s="11">
        <v>0.21163676164998499</v>
      </c>
      <c r="AG575" s="11">
        <v>0.22969814145377901</v>
      </c>
      <c r="AH575" s="11">
        <v>0.78919057038512497</v>
      </c>
      <c r="AI575" s="11">
        <v>0.377135011965606</v>
      </c>
      <c r="AJ575" s="11">
        <v>0.38065921161865401</v>
      </c>
      <c r="AK575" s="16">
        <v>-3.9506983771017699</v>
      </c>
      <c r="AL575" s="16">
        <v>-20.998019728045801</v>
      </c>
      <c r="AM575" s="26">
        <v>2.1582920595206801E-12</v>
      </c>
      <c r="AN575" s="27">
        <v>6.0162391159138996E-11</v>
      </c>
      <c r="AO575" s="11">
        <v>7.9206433473628204</v>
      </c>
      <c r="AP575" s="11">
        <v>0.37720906304243901</v>
      </c>
      <c r="AQ575" t="s">
        <v>5875</v>
      </c>
      <c r="AR575" t="s">
        <v>5876</v>
      </c>
      <c r="AS575" t="s">
        <v>727</v>
      </c>
    </row>
    <row r="576" spans="1:45">
      <c r="A576" t="s">
        <v>731</v>
      </c>
      <c r="B576" s="2">
        <v>4</v>
      </c>
      <c r="C576" s="2">
        <v>4</v>
      </c>
      <c r="D576" s="2">
        <v>0</v>
      </c>
      <c r="E576" s="2">
        <v>5</v>
      </c>
      <c r="F576" s="2">
        <v>16</v>
      </c>
      <c r="G576" s="2">
        <v>7</v>
      </c>
      <c r="H576" s="2">
        <v>5</v>
      </c>
      <c r="I576" s="2">
        <v>8</v>
      </c>
      <c r="J576" s="2">
        <v>1</v>
      </c>
      <c r="K576" s="2">
        <v>0</v>
      </c>
      <c r="L576" s="2">
        <v>3</v>
      </c>
      <c r="M576" s="2">
        <v>0</v>
      </c>
      <c r="N576" s="2">
        <v>0</v>
      </c>
      <c r="O576" s="2">
        <v>1</v>
      </c>
      <c r="P576" s="2">
        <v>0</v>
      </c>
      <c r="Q576" s="2">
        <v>3</v>
      </c>
      <c r="R576" s="2">
        <v>0</v>
      </c>
      <c r="S576" s="2">
        <v>0</v>
      </c>
      <c r="T576" s="2">
        <v>2</v>
      </c>
      <c r="U576" s="11">
        <v>4.8465735833389196</v>
      </c>
      <c r="V576" s="11">
        <v>3.85225648270979</v>
      </c>
      <c r="W576" s="11">
        <v>0.40019941545306398</v>
      </c>
      <c r="X576" s="11">
        <v>7.5596087957661497</v>
      </c>
      <c r="Y576" s="11">
        <v>13.762821758990301</v>
      </c>
      <c r="Z576" s="11">
        <v>6.50809072647644</v>
      </c>
      <c r="AA576" s="11">
        <v>5.2703114143232002</v>
      </c>
      <c r="AB576" s="11">
        <v>7.78546878385845</v>
      </c>
      <c r="AC576" s="11">
        <v>0.79475829324495695</v>
      </c>
      <c r="AD576" s="11">
        <v>1.89194894066486</v>
      </c>
      <c r="AE576" s="11">
        <v>0.200013587066836</v>
      </c>
      <c r="AF576" s="11">
        <v>0.21163676164998499</v>
      </c>
      <c r="AG576" s="11">
        <v>0.22969814145377901</v>
      </c>
      <c r="AH576" s="11">
        <v>2.36757171115537</v>
      </c>
      <c r="AI576" s="11">
        <v>0.377135011965606</v>
      </c>
      <c r="AJ576" s="11">
        <v>3.0452736929492299</v>
      </c>
      <c r="AK576" s="16">
        <v>-2.4033335233780702</v>
      </c>
      <c r="AL576" s="16">
        <v>-5.4820281684133096</v>
      </c>
      <c r="AM576" s="26">
        <v>7.5109937119437201E-5</v>
      </c>
      <c r="AN576" s="27">
        <v>2.2038836812677E-4</v>
      </c>
      <c r="AO576" s="11">
        <v>6.2481663701145296</v>
      </c>
      <c r="AP576" s="11">
        <v>1.1397545175188299</v>
      </c>
      <c r="AQ576" t="s">
        <v>5875</v>
      </c>
      <c r="AR576" t="s">
        <v>5876</v>
      </c>
      <c r="AS576" t="s">
        <v>731</v>
      </c>
    </row>
    <row r="577" spans="1:45">
      <c r="A577" t="s">
        <v>817</v>
      </c>
      <c r="B577" s="2">
        <v>6</v>
      </c>
      <c r="C577" s="2">
        <v>3</v>
      </c>
      <c r="D577" s="2">
        <v>4</v>
      </c>
      <c r="E577" s="2">
        <v>5</v>
      </c>
      <c r="F577" s="2">
        <v>3</v>
      </c>
      <c r="G577" s="2">
        <v>7</v>
      </c>
      <c r="H577" s="2">
        <v>5</v>
      </c>
      <c r="I577" s="2">
        <v>6</v>
      </c>
      <c r="J577" s="2">
        <v>0</v>
      </c>
      <c r="K577" s="2">
        <v>0</v>
      </c>
      <c r="L577" s="2">
        <v>1</v>
      </c>
      <c r="M577" s="2">
        <v>7</v>
      </c>
      <c r="N577" s="2">
        <v>2</v>
      </c>
      <c r="O577" s="2">
        <v>1</v>
      </c>
      <c r="P577" s="2">
        <v>0</v>
      </c>
      <c r="Q577" s="2">
        <v>4</v>
      </c>
      <c r="R577" s="2">
        <v>1</v>
      </c>
      <c r="S577" s="2">
        <v>0</v>
      </c>
      <c r="T577" s="2">
        <v>4</v>
      </c>
      <c r="U577" s="11">
        <v>7.2698603750083803</v>
      </c>
      <c r="V577" s="11">
        <v>2.8891923620323401</v>
      </c>
      <c r="W577" s="11">
        <v>6.4031906472490299</v>
      </c>
      <c r="X577" s="11">
        <v>7.5596087957661497</v>
      </c>
      <c r="Y577" s="11">
        <v>2.5805290798106801</v>
      </c>
      <c r="Z577" s="11">
        <v>6.50809072647644</v>
      </c>
      <c r="AA577" s="11">
        <v>5.2703114143232002</v>
      </c>
      <c r="AB577" s="11">
        <v>5.8391015878938397</v>
      </c>
      <c r="AC577" s="11">
        <v>0.19868957331123899</v>
      </c>
      <c r="AD577" s="11">
        <v>0.63064964688828595</v>
      </c>
      <c r="AE577" s="11">
        <v>5.6003804378713999</v>
      </c>
      <c r="AF577" s="11">
        <v>1.6930940931998799</v>
      </c>
      <c r="AG577" s="11">
        <v>0.22969814145377901</v>
      </c>
      <c r="AH577" s="11">
        <v>3.1567622815404999</v>
      </c>
      <c r="AI577" s="11">
        <v>1.50854004786242</v>
      </c>
      <c r="AJ577" s="11">
        <v>6.0905473858984696</v>
      </c>
      <c r="AK577" s="16">
        <v>-1.2286096202979799</v>
      </c>
      <c r="AL577" s="16">
        <v>-2.31939743959758</v>
      </c>
      <c r="AM577" s="26">
        <v>1.8815258384217801E-2</v>
      </c>
      <c r="AN577" s="27">
        <v>3.2694565867640801E-2</v>
      </c>
      <c r="AO577" s="11">
        <v>5.5399856235700096</v>
      </c>
      <c r="AP577" s="11">
        <v>2.3885452010032502</v>
      </c>
      <c r="AQ577" t="s">
        <v>5875</v>
      </c>
      <c r="AR577" t="s">
        <v>5878</v>
      </c>
      <c r="AS577" t="s">
        <v>817</v>
      </c>
    </row>
    <row r="578" spans="1:45">
      <c r="A578" t="s">
        <v>1622</v>
      </c>
      <c r="B578" s="2">
        <v>1</v>
      </c>
      <c r="C578" s="2">
        <v>0</v>
      </c>
      <c r="D578" s="2">
        <v>0</v>
      </c>
      <c r="E578" s="2">
        <v>4</v>
      </c>
      <c r="F578" s="2">
        <v>1</v>
      </c>
      <c r="G578" s="2">
        <v>6</v>
      </c>
      <c r="H578" s="2">
        <v>9</v>
      </c>
      <c r="I578" s="2">
        <v>12</v>
      </c>
      <c r="J578" s="2">
        <v>0</v>
      </c>
      <c r="K578" s="2">
        <v>2</v>
      </c>
      <c r="L578" s="2">
        <v>2</v>
      </c>
      <c r="M578" s="2">
        <v>0</v>
      </c>
      <c r="N578" s="2">
        <v>6</v>
      </c>
      <c r="O578" s="2">
        <v>5</v>
      </c>
      <c r="P578" s="2">
        <v>2</v>
      </c>
      <c r="Q578" s="2">
        <v>2</v>
      </c>
      <c r="R578" s="2">
        <v>1</v>
      </c>
      <c r="S578" s="2">
        <v>4</v>
      </c>
      <c r="T578" s="2">
        <v>2</v>
      </c>
      <c r="U578" s="11">
        <v>1.2116433958347299</v>
      </c>
      <c r="V578" s="11">
        <v>0.24076603016936199</v>
      </c>
      <c r="W578" s="11">
        <v>0.40019941545306398</v>
      </c>
      <c r="X578" s="11">
        <v>6.0476870366129196</v>
      </c>
      <c r="Y578" s="11">
        <v>0.86017635993689201</v>
      </c>
      <c r="Z578" s="11">
        <v>5.5783634798369501</v>
      </c>
      <c r="AA578" s="11">
        <v>9.4865605457817708</v>
      </c>
      <c r="AB578" s="11">
        <v>11.678203175787701</v>
      </c>
      <c r="AC578" s="11">
        <v>0.19868957331123899</v>
      </c>
      <c r="AD578" s="11">
        <v>1.2612992937765699</v>
      </c>
      <c r="AE578" s="11">
        <v>0.200013587066836</v>
      </c>
      <c r="AF578" s="11">
        <v>5.0792822795996404</v>
      </c>
      <c r="AG578" s="11">
        <v>1.8375851316302301</v>
      </c>
      <c r="AH578" s="11">
        <v>1.5783811407702499</v>
      </c>
      <c r="AI578" s="11">
        <v>1.50854004786242</v>
      </c>
      <c r="AJ578" s="11">
        <v>3.0452736929492299</v>
      </c>
      <c r="AK578" s="16">
        <v>-1.2685600871732601</v>
      </c>
      <c r="AL578" s="16">
        <v>-2.4137224256039498</v>
      </c>
      <c r="AM578" s="26">
        <v>8.6078627671625593E-2</v>
      </c>
      <c r="AN578" s="27">
        <v>0.124390721337007</v>
      </c>
      <c r="AO578" s="11">
        <v>4.4379499299266696</v>
      </c>
      <c r="AP578" s="11">
        <v>1.8386330933707999</v>
      </c>
      <c r="AQ578" t="s">
        <v>5875</v>
      </c>
      <c r="AR578" t="s">
        <v>5832</v>
      </c>
      <c r="AS578" t="s">
        <v>1622</v>
      </c>
    </row>
    <row r="579" spans="1:45">
      <c r="A579" t="s">
        <v>1823</v>
      </c>
      <c r="B579" s="2">
        <v>1</v>
      </c>
      <c r="C579" s="2">
        <v>1</v>
      </c>
      <c r="D579" s="2">
        <v>0</v>
      </c>
      <c r="E579" s="2">
        <v>0</v>
      </c>
      <c r="F579" s="2">
        <v>0</v>
      </c>
      <c r="G579" s="2">
        <v>1</v>
      </c>
      <c r="H579" s="2">
        <v>0</v>
      </c>
      <c r="I579" s="2">
        <v>0</v>
      </c>
      <c r="J579" s="2">
        <v>2</v>
      </c>
      <c r="K579" s="2">
        <v>0</v>
      </c>
      <c r="L579" s="2">
        <v>7</v>
      </c>
      <c r="M579" s="2">
        <v>3</v>
      </c>
      <c r="N579" s="2">
        <v>7</v>
      </c>
      <c r="O579" s="2">
        <v>3</v>
      </c>
      <c r="P579" s="2">
        <v>8</v>
      </c>
      <c r="Q579" s="2">
        <v>10</v>
      </c>
      <c r="R579" s="2">
        <v>2</v>
      </c>
      <c r="S579" s="2">
        <v>5</v>
      </c>
      <c r="T579" s="2">
        <v>9</v>
      </c>
      <c r="U579" s="11">
        <v>1.2116433958347299</v>
      </c>
      <c r="V579" s="11">
        <v>0.96306412067744696</v>
      </c>
      <c r="W579" s="11">
        <v>0.40019941545306398</v>
      </c>
      <c r="X579" s="11">
        <v>0.37798043978830698</v>
      </c>
      <c r="Y579" s="11">
        <v>0.215044089984223</v>
      </c>
      <c r="Z579" s="11">
        <v>0.92972724663949102</v>
      </c>
      <c r="AA579" s="11">
        <v>0.26351557071616</v>
      </c>
      <c r="AB579" s="11">
        <v>0.24329589949557701</v>
      </c>
      <c r="AC579" s="11">
        <v>1.5895165864899099</v>
      </c>
      <c r="AD579" s="11">
        <v>4.4145475282179998</v>
      </c>
      <c r="AE579" s="11">
        <v>2.4001630448020301</v>
      </c>
      <c r="AF579" s="11">
        <v>5.9258293261995796</v>
      </c>
      <c r="AG579" s="11">
        <v>7.3503405265209096</v>
      </c>
      <c r="AH579" s="11">
        <v>7.8919057038512497</v>
      </c>
      <c r="AI579" s="11">
        <v>3.0170800957248498</v>
      </c>
      <c r="AJ579" s="11">
        <v>13.7037316182716</v>
      </c>
      <c r="AK579" s="16">
        <v>3.0291649531721601</v>
      </c>
      <c r="AL579" s="16">
        <v>10.053950321004001</v>
      </c>
      <c r="AM579" s="26">
        <v>5.1238410014206204E-6</v>
      </c>
      <c r="AN579" s="27">
        <v>2.0649696565966201E-5</v>
      </c>
      <c r="AO579" s="11">
        <v>0.57555877232362496</v>
      </c>
      <c r="AP579" s="11">
        <v>5.7866393037597597</v>
      </c>
      <c r="AQ579" t="s">
        <v>5874</v>
      </c>
      <c r="AR579" t="s">
        <v>5876</v>
      </c>
      <c r="AS579" t="s">
        <v>1823</v>
      </c>
    </row>
    <row r="580" spans="1:45">
      <c r="A580" t="s">
        <v>2953</v>
      </c>
      <c r="B580" s="2">
        <v>0</v>
      </c>
      <c r="C580" s="2">
        <v>2</v>
      </c>
      <c r="D580" s="2">
        <v>1</v>
      </c>
      <c r="E580" s="2">
        <v>2</v>
      </c>
      <c r="F580" s="2">
        <v>0</v>
      </c>
      <c r="G580" s="2">
        <v>0</v>
      </c>
      <c r="H580" s="2">
        <v>0</v>
      </c>
      <c r="I580" s="2">
        <v>0</v>
      </c>
      <c r="J580" s="2">
        <v>10</v>
      </c>
      <c r="K580" s="2">
        <v>1</v>
      </c>
      <c r="L580" s="2">
        <v>18</v>
      </c>
      <c r="M580" s="2">
        <v>4</v>
      </c>
      <c r="N580" s="2">
        <v>2</v>
      </c>
      <c r="O580" s="2">
        <v>0</v>
      </c>
      <c r="P580" s="2">
        <v>4</v>
      </c>
      <c r="Q580" s="2">
        <v>1</v>
      </c>
      <c r="R580" s="2">
        <v>1</v>
      </c>
      <c r="S580" s="2">
        <v>0</v>
      </c>
      <c r="T580" s="2">
        <v>13</v>
      </c>
      <c r="U580" s="11">
        <v>0.30291084895868198</v>
      </c>
      <c r="V580" s="11">
        <v>1.9261282413548899</v>
      </c>
      <c r="W580" s="11">
        <v>1.6007976618122599</v>
      </c>
      <c r="X580" s="11">
        <v>3.0238435183064598</v>
      </c>
      <c r="Y580" s="11">
        <v>0.215044089984223</v>
      </c>
      <c r="Z580" s="11">
        <v>0.23243181165987301</v>
      </c>
      <c r="AA580" s="11">
        <v>0.26351557071616</v>
      </c>
      <c r="AB580" s="11">
        <v>0.24329589949557701</v>
      </c>
      <c r="AC580" s="11">
        <v>7.9475829324495697</v>
      </c>
      <c r="AD580" s="11">
        <v>11.351693643989099</v>
      </c>
      <c r="AE580" s="11">
        <v>3.2002173930693698</v>
      </c>
      <c r="AF580" s="11">
        <v>1.6930940931998799</v>
      </c>
      <c r="AG580" s="11">
        <v>3.6751702632604601</v>
      </c>
      <c r="AH580" s="11">
        <v>0.78919057038512497</v>
      </c>
      <c r="AI580" s="11">
        <v>1.50854004786242</v>
      </c>
      <c r="AJ580" s="11">
        <v>19.794279004170001</v>
      </c>
      <c r="AK580" s="16">
        <v>2.62838347327807</v>
      </c>
      <c r="AL580" s="16">
        <v>6.3985623708021997</v>
      </c>
      <c r="AM580" s="26">
        <v>1.06573669503917E-3</v>
      </c>
      <c r="AN580" s="27">
        <v>2.37659282993736E-3</v>
      </c>
      <c r="AO580" s="11">
        <v>0.97599595528601601</v>
      </c>
      <c r="AP580" s="11">
        <v>6.2449709935482502</v>
      </c>
      <c r="AQ580" t="s">
        <v>5874</v>
      </c>
      <c r="AR580" t="s">
        <v>5876</v>
      </c>
      <c r="AS580" t="s">
        <v>2953</v>
      </c>
    </row>
    <row r="581" spans="1:45">
      <c r="A581" t="s">
        <v>3749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1</v>
      </c>
      <c r="H581" s="2">
        <v>0</v>
      </c>
      <c r="I581" s="2">
        <v>1</v>
      </c>
      <c r="J581" s="2">
        <v>9</v>
      </c>
      <c r="K581" s="2">
        <v>0</v>
      </c>
      <c r="L581" s="2">
        <v>7.6360000000000001</v>
      </c>
      <c r="M581" s="2">
        <v>26</v>
      </c>
      <c r="N581" s="2">
        <v>3.75</v>
      </c>
      <c r="O581" s="2">
        <v>0</v>
      </c>
      <c r="P581" s="2">
        <v>4</v>
      </c>
      <c r="Q581" s="2">
        <v>6</v>
      </c>
      <c r="R581" s="2">
        <v>0</v>
      </c>
      <c r="S581" s="2">
        <v>0</v>
      </c>
      <c r="T581" s="2">
        <v>0</v>
      </c>
      <c r="U581" s="11">
        <v>0.30291084895868198</v>
      </c>
      <c r="V581" s="11">
        <v>0.24076603016936199</v>
      </c>
      <c r="W581" s="11">
        <v>0.40019941545306398</v>
      </c>
      <c r="X581" s="11">
        <v>0.37798043978830698</v>
      </c>
      <c r="Y581" s="11">
        <v>0.215044089984223</v>
      </c>
      <c r="Z581" s="11">
        <v>0.92972724663949102</v>
      </c>
      <c r="AA581" s="11">
        <v>0.26351557071616</v>
      </c>
      <c r="AB581" s="11">
        <v>0.97318359798230603</v>
      </c>
      <c r="AC581" s="11">
        <v>7.1528246392046197</v>
      </c>
      <c r="AD581" s="11">
        <v>4.7929373163509696</v>
      </c>
      <c r="AE581" s="11">
        <v>20.801413054950899</v>
      </c>
      <c r="AF581" s="11">
        <v>3.2168787770797702</v>
      </c>
      <c r="AG581" s="11">
        <v>3.6751702632604601</v>
      </c>
      <c r="AH581" s="11">
        <v>4.7351434223107498</v>
      </c>
      <c r="AI581" s="11">
        <v>0.377135011965606</v>
      </c>
      <c r="AJ581" s="11">
        <v>0.38065921161865401</v>
      </c>
      <c r="AK581" s="16">
        <v>3.32634915538809</v>
      </c>
      <c r="AL581" s="16">
        <v>12.186922401299899</v>
      </c>
      <c r="AM581" s="26">
        <v>5.2253753064266201E-5</v>
      </c>
      <c r="AN581" s="27">
        <v>1.5889891272724601E-4</v>
      </c>
      <c r="AO581" s="11">
        <v>0.46291590496145002</v>
      </c>
      <c r="AP581" s="11">
        <v>5.6415202120927201</v>
      </c>
      <c r="AQ581" t="s">
        <v>5874</v>
      </c>
      <c r="AR581" t="s">
        <v>5876</v>
      </c>
      <c r="AS581" t="s">
        <v>3749</v>
      </c>
    </row>
    <row r="582" spans="1:45">
      <c r="A582" t="s">
        <v>1676</v>
      </c>
      <c r="B582" s="2">
        <v>3</v>
      </c>
      <c r="C582" s="2">
        <v>2.6669999999999998</v>
      </c>
      <c r="D582" s="2">
        <v>3</v>
      </c>
      <c r="E582" s="2">
        <v>3</v>
      </c>
      <c r="F582" s="2">
        <v>4</v>
      </c>
      <c r="G582" s="2">
        <v>3.3330000000000002</v>
      </c>
      <c r="H582" s="2">
        <v>5</v>
      </c>
      <c r="I582" s="2">
        <v>4</v>
      </c>
      <c r="J582" s="2">
        <v>10</v>
      </c>
      <c r="K582" s="2">
        <v>1</v>
      </c>
      <c r="L582" s="2">
        <v>5</v>
      </c>
      <c r="M582" s="2">
        <v>6</v>
      </c>
      <c r="N582" s="2">
        <v>2</v>
      </c>
      <c r="O582" s="2">
        <v>2</v>
      </c>
      <c r="P582" s="2">
        <v>1</v>
      </c>
      <c r="Q582" s="2">
        <v>2</v>
      </c>
      <c r="R582" s="2">
        <v>1</v>
      </c>
      <c r="S582" s="2">
        <v>0</v>
      </c>
      <c r="T582" s="2">
        <v>0</v>
      </c>
      <c r="U582" s="11">
        <v>3.6349301875041902</v>
      </c>
      <c r="V582" s="11">
        <v>2.6002731258291099</v>
      </c>
      <c r="W582" s="11">
        <v>4.8023929854367697</v>
      </c>
      <c r="X582" s="11">
        <v>4.5357652774596904</v>
      </c>
      <c r="Y582" s="11">
        <v>3.4407054397475698</v>
      </c>
      <c r="Z582" s="11">
        <v>3.06809991391032</v>
      </c>
      <c r="AA582" s="11">
        <v>5.2703114143232002</v>
      </c>
      <c r="AB582" s="11">
        <v>3.8927343919292201</v>
      </c>
      <c r="AC582" s="11">
        <v>7.9475829324495697</v>
      </c>
      <c r="AD582" s="11">
        <v>3.1532482344414299</v>
      </c>
      <c r="AE582" s="11">
        <v>4.8003260896040603</v>
      </c>
      <c r="AF582" s="11">
        <v>1.6930940931998799</v>
      </c>
      <c r="AG582" s="11">
        <v>0.91879256581511404</v>
      </c>
      <c r="AH582" s="11">
        <v>1.5783811407702499</v>
      </c>
      <c r="AI582" s="11">
        <v>1.50854004786242</v>
      </c>
      <c r="AJ582" s="11">
        <v>0.38065921161865401</v>
      </c>
      <c r="AK582" s="16">
        <v>-0.36085089954134703</v>
      </c>
      <c r="AL582" s="16">
        <v>-1.4214888661617999</v>
      </c>
      <c r="AM582" s="26">
        <v>0.42981671479719202</v>
      </c>
      <c r="AN582" s="27">
        <v>0.51347746821307405</v>
      </c>
      <c r="AO582" s="11">
        <v>3.9056515920175099</v>
      </c>
      <c r="AP582" s="11">
        <v>2.7475780394701701</v>
      </c>
      <c r="AQ582" t="s">
        <v>5875</v>
      </c>
      <c r="AR582" t="s">
        <v>5832</v>
      </c>
      <c r="AS582" t="s">
        <v>1676</v>
      </c>
    </row>
    <row r="583" spans="1:45">
      <c r="A583" t="s">
        <v>419</v>
      </c>
      <c r="B583" s="2">
        <v>1</v>
      </c>
      <c r="C583" s="2">
        <v>5</v>
      </c>
      <c r="D583" s="2">
        <v>1</v>
      </c>
      <c r="E583" s="2">
        <v>3</v>
      </c>
      <c r="F583" s="2">
        <v>10</v>
      </c>
      <c r="G583" s="2">
        <v>4</v>
      </c>
      <c r="H583" s="2">
        <v>2</v>
      </c>
      <c r="I583" s="2">
        <v>1</v>
      </c>
      <c r="J583" s="2">
        <v>2</v>
      </c>
      <c r="K583" s="2">
        <v>0</v>
      </c>
      <c r="L583" s="2">
        <v>5</v>
      </c>
      <c r="M583" s="2">
        <v>6</v>
      </c>
      <c r="N583" s="2">
        <v>4</v>
      </c>
      <c r="O583" s="2">
        <v>8</v>
      </c>
      <c r="P583" s="2">
        <v>2</v>
      </c>
      <c r="Q583" s="2">
        <v>2</v>
      </c>
      <c r="R583" s="2">
        <v>1</v>
      </c>
      <c r="S583" s="2">
        <v>0</v>
      </c>
      <c r="T583" s="2">
        <v>1</v>
      </c>
      <c r="U583" s="11">
        <v>1.2116433958347299</v>
      </c>
      <c r="V583" s="11">
        <v>4.8153206033872298</v>
      </c>
      <c r="W583" s="11">
        <v>1.6007976618122599</v>
      </c>
      <c r="X583" s="11">
        <v>4.5357652774596904</v>
      </c>
      <c r="Y583" s="11">
        <v>8.6017635993689208</v>
      </c>
      <c r="Z583" s="11">
        <v>3.7189089865579601</v>
      </c>
      <c r="AA583" s="11">
        <v>2.10812456572928</v>
      </c>
      <c r="AB583" s="11">
        <v>0.97318359798230603</v>
      </c>
      <c r="AC583" s="11">
        <v>1.5895165864899099</v>
      </c>
      <c r="AD583" s="11">
        <v>3.1532482344414299</v>
      </c>
      <c r="AE583" s="11">
        <v>4.8003260896040603</v>
      </c>
      <c r="AF583" s="11">
        <v>3.3861881863997598</v>
      </c>
      <c r="AG583" s="11">
        <v>1.8375851316302301</v>
      </c>
      <c r="AH583" s="11">
        <v>1.5783811407702499</v>
      </c>
      <c r="AI583" s="11">
        <v>1.50854004786242</v>
      </c>
      <c r="AJ583" s="11">
        <v>1.5226368464746201</v>
      </c>
      <c r="AK583" s="16">
        <v>-0.48218032000618</v>
      </c>
      <c r="AL583" s="16">
        <v>-1.4226314493472201</v>
      </c>
      <c r="AM583" s="26">
        <v>0.34859994774122999</v>
      </c>
      <c r="AN583" s="27">
        <v>0.428701038674417</v>
      </c>
      <c r="AO583" s="11">
        <v>3.4456884610165499</v>
      </c>
      <c r="AP583" s="11">
        <v>2.4220527829590801</v>
      </c>
      <c r="AQ583" t="s">
        <v>5875</v>
      </c>
      <c r="AR583" t="s">
        <v>5832</v>
      </c>
      <c r="AS583" t="s">
        <v>419</v>
      </c>
    </row>
    <row r="584" spans="1:45">
      <c r="A584" t="s">
        <v>1438</v>
      </c>
      <c r="B584" s="2">
        <v>3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1</v>
      </c>
      <c r="I584" s="2">
        <v>1</v>
      </c>
      <c r="J584" s="2">
        <v>10</v>
      </c>
      <c r="K584" s="2">
        <v>2</v>
      </c>
      <c r="L584" s="2">
        <v>10</v>
      </c>
      <c r="M584" s="2">
        <v>8</v>
      </c>
      <c r="N584" s="2">
        <v>5</v>
      </c>
      <c r="O584" s="2">
        <v>0</v>
      </c>
      <c r="P584" s="2">
        <v>5</v>
      </c>
      <c r="Q584" s="2">
        <v>6</v>
      </c>
      <c r="R584" s="2">
        <v>3</v>
      </c>
      <c r="S584" s="2">
        <v>1</v>
      </c>
      <c r="T584" s="2">
        <v>3</v>
      </c>
      <c r="U584" s="11">
        <v>3.6349301875041902</v>
      </c>
      <c r="V584" s="11">
        <v>0.24076603016936199</v>
      </c>
      <c r="W584" s="11">
        <v>0.40019941545306398</v>
      </c>
      <c r="X584" s="11">
        <v>0.37798043978830698</v>
      </c>
      <c r="Y584" s="11">
        <v>0.215044089984223</v>
      </c>
      <c r="Z584" s="11">
        <v>0.23243181165987301</v>
      </c>
      <c r="AA584" s="11">
        <v>1.05406228286464</v>
      </c>
      <c r="AB584" s="11">
        <v>0.97318359798230603</v>
      </c>
      <c r="AC584" s="11">
        <v>7.9475829324495697</v>
      </c>
      <c r="AD584" s="11">
        <v>6.3064964688828598</v>
      </c>
      <c r="AE584" s="11">
        <v>6.4004347861387396</v>
      </c>
      <c r="AF584" s="11">
        <v>4.2327352329997003</v>
      </c>
      <c r="AG584" s="11">
        <v>4.5939628290755703</v>
      </c>
      <c r="AH584" s="11">
        <v>4.7351434223107498</v>
      </c>
      <c r="AI584" s="11">
        <v>4.5256201435872701</v>
      </c>
      <c r="AJ584" s="11">
        <v>4.5679105394238499</v>
      </c>
      <c r="AK584" s="16">
        <v>2.53796162017386</v>
      </c>
      <c r="AL584" s="16">
        <v>6.0755126370362298</v>
      </c>
      <c r="AM584" s="26">
        <v>1.4534055219396299E-6</v>
      </c>
      <c r="AN584" s="27">
        <v>6.7994985606825804E-6</v>
      </c>
      <c r="AO584" s="11">
        <v>0.89107473192574504</v>
      </c>
      <c r="AP584" s="11">
        <v>5.4137357943585398</v>
      </c>
      <c r="AQ584" t="s">
        <v>5874</v>
      </c>
      <c r="AR584" t="s">
        <v>5876</v>
      </c>
      <c r="AS584" t="s">
        <v>1438</v>
      </c>
    </row>
    <row r="585" spans="1:45">
      <c r="A585" t="s">
        <v>1679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13</v>
      </c>
      <c r="M585" s="2">
        <v>1</v>
      </c>
      <c r="N585" s="2">
        <v>0</v>
      </c>
      <c r="O585" s="2">
        <v>0</v>
      </c>
      <c r="P585" s="2">
        <v>33</v>
      </c>
      <c r="Q585" s="2">
        <v>9</v>
      </c>
      <c r="R585" s="2">
        <v>0</v>
      </c>
      <c r="S585" s="2">
        <v>0</v>
      </c>
      <c r="T585" s="2">
        <v>1</v>
      </c>
      <c r="U585" s="11">
        <v>0.30291084895868198</v>
      </c>
      <c r="V585" s="11">
        <v>0.24076603016936199</v>
      </c>
      <c r="W585" s="11">
        <v>0.40019941545306398</v>
      </c>
      <c r="X585" s="11">
        <v>0.37798043978830698</v>
      </c>
      <c r="Y585" s="11">
        <v>0.215044089984223</v>
      </c>
      <c r="Z585" s="11">
        <v>0.23243181165987301</v>
      </c>
      <c r="AA585" s="11">
        <v>0.26351557071616</v>
      </c>
      <c r="AB585" s="11">
        <v>0.24329589949557701</v>
      </c>
      <c r="AC585" s="11">
        <v>0.19868957331123899</v>
      </c>
      <c r="AD585" s="11">
        <v>8.1984454095477108</v>
      </c>
      <c r="AE585" s="11">
        <v>0.80005434826734301</v>
      </c>
      <c r="AF585" s="11">
        <v>0.21163676164998499</v>
      </c>
      <c r="AG585" s="11">
        <v>30.320154671898798</v>
      </c>
      <c r="AH585" s="11">
        <v>7.1027151334661296</v>
      </c>
      <c r="AI585" s="11">
        <v>0.377135011965606</v>
      </c>
      <c r="AJ585" s="11">
        <v>1.5226368464746201</v>
      </c>
      <c r="AK585" s="16">
        <v>3.9820164648672698</v>
      </c>
      <c r="AL585" s="16">
        <v>21.409658388193002</v>
      </c>
      <c r="AM585" s="26">
        <v>2.0928859973050299E-4</v>
      </c>
      <c r="AN585" s="27">
        <v>5.4269020627793405E-4</v>
      </c>
      <c r="AO585" s="11">
        <v>0.28451801327815601</v>
      </c>
      <c r="AP585" s="11">
        <v>6.09143346957267</v>
      </c>
      <c r="AQ585" t="s">
        <v>5874</v>
      </c>
      <c r="AR585" t="s">
        <v>5876</v>
      </c>
      <c r="AS585" t="s">
        <v>1679</v>
      </c>
    </row>
    <row r="586" spans="1:45">
      <c r="A586" t="s">
        <v>3189</v>
      </c>
      <c r="B586" s="2">
        <v>2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8</v>
      </c>
      <c r="K586" s="2">
        <v>1</v>
      </c>
      <c r="L586" s="2">
        <v>8</v>
      </c>
      <c r="M586" s="2">
        <v>13</v>
      </c>
      <c r="N586" s="2">
        <v>6</v>
      </c>
      <c r="O586" s="2">
        <v>0</v>
      </c>
      <c r="P586" s="2">
        <v>4</v>
      </c>
      <c r="Q586" s="2">
        <v>7</v>
      </c>
      <c r="R586" s="2">
        <v>2</v>
      </c>
      <c r="S586" s="2">
        <v>0</v>
      </c>
      <c r="T586" s="2">
        <v>7</v>
      </c>
      <c r="U586" s="11">
        <v>2.4232867916694598</v>
      </c>
      <c r="V586" s="11">
        <v>0.24076603016936199</v>
      </c>
      <c r="W586" s="11">
        <v>0.40019941545306398</v>
      </c>
      <c r="X586" s="11">
        <v>0.37798043978830698</v>
      </c>
      <c r="Y586" s="11">
        <v>0.215044089984223</v>
      </c>
      <c r="Z586" s="11">
        <v>0.23243181165987301</v>
      </c>
      <c r="AA586" s="11">
        <v>0.26351557071616</v>
      </c>
      <c r="AB586" s="11">
        <v>0.24329589949557701</v>
      </c>
      <c r="AC586" s="11">
        <v>6.35806634595966</v>
      </c>
      <c r="AD586" s="11">
        <v>5.0451971751062796</v>
      </c>
      <c r="AE586" s="11">
        <v>10.400706527475499</v>
      </c>
      <c r="AF586" s="11">
        <v>5.0792822795996404</v>
      </c>
      <c r="AG586" s="11">
        <v>3.6751702632604601</v>
      </c>
      <c r="AH586" s="11">
        <v>5.5243339926958699</v>
      </c>
      <c r="AI586" s="11">
        <v>3.0170800957248498</v>
      </c>
      <c r="AJ586" s="11">
        <v>10.658457925322301</v>
      </c>
      <c r="AK586" s="16">
        <v>3.3097325321291602</v>
      </c>
      <c r="AL586" s="16">
        <v>11.317654429253899</v>
      </c>
      <c r="AM586" s="26">
        <v>1.4100855717576399E-7</v>
      </c>
      <c r="AN586" s="27">
        <v>9.0706466106333095E-7</v>
      </c>
      <c r="AO586" s="11">
        <v>0.54956500611700299</v>
      </c>
      <c r="AP586" s="11">
        <v>6.2197868256430704</v>
      </c>
      <c r="AQ586" t="s">
        <v>5874</v>
      </c>
      <c r="AR586" t="s">
        <v>5876</v>
      </c>
      <c r="AS586" t="s">
        <v>3189</v>
      </c>
    </row>
    <row r="587" spans="1:45">
      <c r="A587" t="s">
        <v>4249</v>
      </c>
      <c r="B587" s="2">
        <v>0</v>
      </c>
      <c r="C587" s="2">
        <v>3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1</v>
      </c>
      <c r="J587" s="2">
        <v>5</v>
      </c>
      <c r="K587" s="2">
        <v>0</v>
      </c>
      <c r="L587" s="2">
        <v>12</v>
      </c>
      <c r="M587" s="2">
        <v>13</v>
      </c>
      <c r="N587" s="2">
        <v>8</v>
      </c>
      <c r="O587" s="2">
        <v>0</v>
      </c>
      <c r="P587" s="2">
        <v>4</v>
      </c>
      <c r="Q587" s="2">
        <v>7</v>
      </c>
      <c r="R587" s="2">
        <v>1</v>
      </c>
      <c r="S587" s="2">
        <v>1</v>
      </c>
      <c r="T587" s="2">
        <v>3</v>
      </c>
      <c r="U587" s="11">
        <v>0.30291084895868198</v>
      </c>
      <c r="V587" s="11">
        <v>2.8891923620323401</v>
      </c>
      <c r="W587" s="11">
        <v>0.40019941545306398</v>
      </c>
      <c r="X587" s="11">
        <v>0.37798043978830698</v>
      </c>
      <c r="Y587" s="11">
        <v>0.215044089984223</v>
      </c>
      <c r="Z587" s="11">
        <v>0.23243181165987301</v>
      </c>
      <c r="AA587" s="11">
        <v>0.26351557071616</v>
      </c>
      <c r="AB587" s="11">
        <v>0.97318359798230603</v>
      </c>
      <c r="AC587" s="11">
        <v>3.9737914662247902</v>
      </c>
      <c r="AD587" s="11">
        <v>7.5677957626594301</v>
      </c>
      <c r="AE587" s="11">
        <v>10.400706527475499</v>
      </c>
      <c r="AF587" s="11">
        <v>6.7723763727995303</v>
      </c>
      <c r="AG587" s="11">
        <v>3.6751702632604601</v>
      </c>
      <c r="AH587" s="11">
        <v>5.5243339926958699</v>
      </c>
      <c r="AI587" s="11">
        <v>1.50854004786242</v>
      </c>
      <c r="AJ587" s="11">
        <v>4.5679105394238499</v>
      </c>
      <c r="AK587" s="16">
        <v>2.75518472721006</v>
      </c>
      <c r="AL587" s="16">
        <v>7.77981265576192</v>
      </c>
      <c r="AM587" s="26">
        <v>3.9198873466769504E-6</v>
      </c>
      <c r="AN587" s="27">
        <v>1.6075600860679599E-5</v>
      </c>
      <c r="AO587" s="11">
        <v>0.70680726707187003</v>
      </c>
      <c r="AP587" s="11">
        <v>5.4988281215502202</v>
      </c>
      <c r="AQ587" t="s">
        <v>5874</v>
      </c>
      <c r="AR587" t="s">
        <v>5876</v>
      </c>
      <c r="AS587" t="s">
        <v>4249</v>
      </c>
    </row>
    <row r="588" spans="1:45">
      <c r="A588" t="s">
        <v>4610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2</v>
      </c>
      <c r="J588" s="2">
        <v>20</v>
      </c>
      <c r="K588" s="2">
        <v>3</v>
      </c>
      <c r="L588" s="2">
        <v>6</v>
      </c>
      <c r="M588" s="2">
        <v>7</v>
      </c>
      <c r="N588" s="2">
        <v>3</v>
      </c>
      <c r="O588" s="2">
        <v>0</v>
      </c>
      <c r="P588" s="2">
        <v>5</v>
      </c>
      <c r="Q588" s="2">
        <v>6</v>
      </c>
      <c r="R588" s="2">
        <v>3</v>
      </c>
      <c r="S588" s="2">
        <v>0</v>
      </c>
      <c r="T588" s="2">
        <v>3</v>
      </c>
      <c r="U588" s="11">
        <v>0.30291084895868198</v>
      </c>
      <c r="V588" s="11">
        <v>0.24076603016936199</v>
      </c>
      <c r="W588" s="11">
        <v>0.40019941545306398</v>
      </c>
      <c r="X588" s="11">
        <v>0.37798043978830698</v>
      </c>
      <c r="Y588" s="11">
        <v>0.215044089984223</v>
      </c>
      <c r="Z588" s="11">
        <v>0.23243181165987301</v>
      </c>
      <c r="AA588" s="11">
        <v>0.26351557071616</v>
      </c>
      <c r="AB588" s="11">
        <v>1.9463671959646101</v>
      </c>
      <c r="AC588" s="11">
        <v>15.8951658648991</v>
      </c>
      <c r="AD588" s="11">
        <v>3.7838978813297102</v>
      </c>
      <c r="AE588" s="11">
        <v>5.6003804378713999</v>
      </c>
      <c r="AF588" s="11">
        <v>2.5396411397998202</v>
      </c>
      <c r="AG588" s="11">
        <v>4.5939628290755703</v>
      </c>
      <c r="AH588" s="11">
        <v>4.7351434223107498</v>
      </c>
      <c r="AI588" s="11">
        <v>4.5256201435872701</v>
      </c>
      <c r="AJ588" s="11">
        <v>4.5679105394238499</v>
      </c>
      <c r="AK588" s="16">
        <v>3.2442023239654101</v>
      </c>
      <c r="AL588" s="16">
        <v>11.6208140496711</v>
      </c>
      <c r="AM588" s="26">
        <v>1.24823561240908E-6</v>
      </c>
      <c r="AN588" s="27">
        <v>6.0076951417386696E-6</v>
      </c>
      <c r="AO588" s="11">
        <v>0.49740192533678601</v>
      </c>
      <c r="AP588" s="11">
        <v>5.7802152822871902</v>
      </c>
      <c r="AQ588" t="s">
        <v>5874</v>
      </c>
      <c r="AR588" t="s">
        <v>5876</v>
      </c>
      <c r="AS588" t="s">
        <v>4610</v>
      </c>
    </row>
    <row r="589" spans="1:45">
      <c r="A589" t="s">
        <v>4984</v>
      </c>
      <c r="B589" s="2">
        <v>10</v>
      </c>
      <c r="C589" s="2">
        <v>8</v>
      </c>
      <c r="D589" s="2">
        <v>3</v>
      </c>
      <c r="E589" s="2">
        <v>2</v>
      </c>
      <c r="F589" s="2">
        <v>5</v>
      </c>
      <c r="G589" s="2">
        <v>12</v>
      </c>
      <c r="H589" s="2">
        <v>10</v>
      </c>
      <c r="I589" s="2">
        <v>8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11">
        <v>12.116433958347301</v>
      </c>
      <c r="V589" s="11">
        <v>7.7045129654195703</v>
      </c>
      <c r="W589" s="11">
        <v>4.8023929854367697</v>
      </c>
      <c r="X589" s="11">
        <v>3.0238435183064598</v>
      </c>
      <c r="Y589" s="11">
        <v>4.3008817996844604</v>
      </c>
      <c r="Z589" s="11">
        <v>11.1567269596739</v>
      </c>
      <c r="AA589" s="11">
        <v>10.5406228286464</v>
      </c>
      <c r="AB589" s="11">
        <v>7.78546878385845</v>
      </c>
      <c r="AC589" s="11">
        <v>0.19868957331123899</v>
      </c>
      <c r="AD589" s="11">
        <v>0.15766241172207099</v>
      </c>
      <c r="AE589" s="11">
        <v>0.200013587066836</v>
      </c>
      <c r="AF589" s="11">
        <v>0.21163676164998499</v>
      </c>
      <c r="AG589" s="11">
        <v>0.22969814145377901</v>
      </c>
      <c r="AH589" s="11">
        <v>0.19729764259628099</v>
      </c>
      <c r="AI589" s="11">
        <v>0.377135011965606</v>
      </c>
      <c r="AJ589" s="11">
        <v>0.38065921161865401</v>
      </c>
      <c r="AK589" s="16">
        <v>-4.5130830833705096</v>
      </c>
      <c r="AL589" s="16">
        <v>-31.457970464909401</v>
      </c>
      <c r="AM589" s="26">
        <v>2.3744445108678799E-11</v>
      </c>
      <c r="AN589" s="27">
        <v>4.8136465993048804E-10</v>
      </c>
      <c r="AO589" s="11">
        <v>7.6788604749216596</v>
      </c>
      <c r="AP589" s="11">
        <v>0.24409904267305599</v>
      </c>
      <c r="AQ589" t="s">
        <v>5875</v>
      </c>
      <c r="AR589" t="s">
        <v>5876</v>
      </c>
      <c r="AS589" t="s">
        <v>4984</v>
      </c>
    </row>
    <row r="590" spans="1:45">
      <c r="A590" t="s">
        <v>5134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21</v>
      </c>
      <c r="J590" s="2">
        <v>1</v>
      </c>
      <c r="K590" s="2">
        <v>0</v>
      </c>
      <c r="L590" s="2">
        <v>4</v>
      </c>
      <c r="M590" s="2">
        <v>4</v>
      </c>
      <c r="N590" s="2">
        <v>0</v>
      </c>
      <c r="O590" s="2">
        <v>1</v>
      </c>
      <c r="P590" s="2">
        <v>2</v>
      </c>
      <c r="Q590" s="2">
        <v>1</v>
      </c>
      <c r="R590" s="2">
        <v>21</v>
      </c>
      <c r="S590" s="2">
        <v>0</v>
      </c>
      <c r="T590" s="2">
        <v>3</v>
      </c>
      <c r="U590" s="11">
        <v>0.30291084895868198</v>
      </c>
      <c r="V590" s="11">
        <v>0.24076603016936199</v>
      </c>
      <c r="W590" s="11">
        <v>0.40019941545306398</v>
      </c>
      <c r="X590" s="11">
        <v>0.37798043978830698</v>
      </c>
      <c r="Y590" s="11">
        <v>0.215044089984223</v>
      </c>
      <c r="Z590" s="11">
        <v>0.23243181165987301</v>
      </c>
      <c r="AA590" s="11">
        <v>0.26351557071616</v>
      </c>
      <c r="AB590" s="11">
        <v>20.436855557628402</v>
      </c>
      <c r="AC590" s="11">
        <v>0.79475829324495695</v>
      </c>
      <c r="AD590" s="11">
        <v>2.5225985875531398</v>
      </c>
      <c r="AE590" s="11">
        <v>3.2002173930693698</v>
      </c>
      <c r="AF590" s="11">
        <v>0.21163676164998499</v>
      </c>
      <c r="AG590" s="11">
        <v>1.8375851316302301</v>
      </c>
      <c r="AH590" s="11">
        <v>0.78919057038512497</v>
      </c>
      <c r="AI590" s="11">
        <v>31.679341005110899</v>
      </c>
      <c r="AJ590" s="11">
        <v>4.5679105394238499</v>
      </c>
      <c r="AK590" s="16">
        <v>0.91335539103396501</v>
      </c>
      <c r="AL590" s="16">
        <v>2.02954336916557</v>
      </c>
      <c r="AM590" s="26">
        <v>0.37508017260681897</v>
      </c>
      <c r="AN590" s="27">
        <v>0.457898969842996</v>
      </c>
      <c r="AO590" s="11">
        <v>2.80871297054476</v>
      </c>
      <c r="AP590" s="11">
        <v>5.7004047852584403</v>
      </c>
      <c r="AQ590" t="s">
        <v>5874</v>
      </c>
      <c r="AR590" t="s">
        <v>5832</v>
      </c>
      <c r="AS590" t="s">
        <v>5134</v>
      </c>
    </row>
    <row r="591" spans="1:45">
      <c r="A591" t="s">
        <v>5369</v>
      </c>
      <c r="B591" s="2">
        <v>3</v>
      </c>
      <c r="C591" s="2">
        <v>6</v>
      </c>
      <c r="D591" s="2">
        <v>9</v>
      </c>
      <c r="E591" s="2">
        <v>3</v>
      </c>
      <c r="F591" s="2">
        <v>5</v>
      </c>
      <c r="G591" s="2">
        <v>6</v>
      </c>
      <c r="H591" s="2">
        <v>16</v>
      </c>
      <c r="I591" s="2">
        <v>9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11">
        <v>3.6349301875041902</v>
      </c>
      <c r="V591" s="11">
        <v>5.7783847240646802</v>
      </c>
      <c r="W591" s="11">
        <v>14.4071789563103</v>
      </c>
      <c r="X591" s="11">
        <v>4.5357652774596904</v>
      </c>
      <c r="Y591" s="11">
        <v>4.3008817996844604</v>
      </c>
      <c r="Z591" s="11">
        <v>5.5783634798369501</v>
      </c>
      <c r="AA591" s="11">
        <v>16.8649965258343</v>
      </c>
      <c r="AB591" s="11">
        <v>8.7586523818407507</v>
      </c>
      <c r="AC591" s="11">
        <v>0.19868957331123899</v>
      </c>
      <c r="AD591" s="11">
        <v>0.15766241172207099</v>
      </c>
      <c r="AE591" s="11">
        <v>0.200013587066836</v>
      </c>
      <c r="AF591" s="11">
        <v>0.21163676164998499</v>
      </c>
      <c r="AG591" s="11">
        <v>0.22969814145377901</v>
      </c>
      <c r="AH591" s="11">
        <v>0.19729764259628099</v>
      </c>
      <c r="AI591" s="11">
        <v>0.377135011965606</v>
      </c>
      <c r="AJ591" s="11">
        <v>0.38065921161865401</v>
      </c>
      <c r="AK591" s="16">
        <v>-4.5276098459328002</v>
      </c>
      <c r="AL591" s="16">
        <v>-32.701456257894598</v>
      </c>
      <c r="AM591" s="26">
        <v>5.19652148292409E-10</v>
      </c>
      <c r="AN591" s="27">
        <v>7.7254952712804798E-9</v>
      </c>
      <c r="AO591" s="11">
        <v>7.9823941665669098</v>
      </c>
      <c r="AP591" s="11">
        <v>0.24409904267305599</v>
      </c>
      <c r="AQ591" t="s">
        <v>5875</v>
      </c>
      <c r="AR591" t="s">
        <v>5876</v>
      </c>
      <c r="AS591" t="s">
        <v>5369</v>
      </c>
    </row>
    <row r="592" spans="1:45">
      <c r="A592" t="s">
        <v>5428</v>
      </c>
      <c r="B592" s="2">
        <v>2</v>
      </c>
      <c r="C592" s="2">
        <v>0.5</v>
      </c>
      <c r="D592" s="2">
        <v>0</v>
      </c>
      <c r="E592" s="2">
        <v>0</v>
      </c>
      <c r="F592" s="2">
        <v>1</v>
      </c>
      <c r="G592" s="2">
        <v>1</v>
      </c>
      <c r="H592" s="2">
        <v>0</v>
      </c>
      <c r="I592" s="2">
        <v>8</v>
      </c>
      <c r="J592" s="2">
        <v>8.8000000000000007</v>
      </c>
      <c r="K592" s="2">
        <v>0</v>
      </c>
      <c r="L592" s="2">
        <v>9.3330000000000002</v>
      </c>
      <c r="M592" s="2">
        <v>4.5</v>
      </c>
      <c r="N592" s="2">
        <v>5</v>
      </c>
      <c r="O592" s="2">
        <v>0.5</v>
      </c>
      <c r="P592" s="2">
        <v>7.2</v>
      </c>
      <c r="Q592" s="2">
        <v>6</v>
      </c>
      <c r="R592" s="2">
        <v>0</v>
      </c>
      <c r="S592" s="2">
        <v>0</v>
      </c>
      <c r="T592" s="2">
        <v>4</v>
      </c>
      <c r="U592" s="11">
        <v>2.4232867916694598</v>
      </c>
      <c r="V592" s="11">
        <v>0.48153206033872298</v>
      </c>
      <c r="W592" s="11">
        <v>0.40019941545306398</v>
      </c>
      <c r="X592" s="11">
        <v>0.37798043978830698</v>
      </c>
      <c r="Y592" s="11">
        <v>0.86017635993689201</v>
      </c>
      <c r="Z592" s="11">
        <v>0.92972724663949102</v>
      </c>
      <c r="AA592" s="11">
        <v>0.26351557071616</v>
      </c>
      <c r="AB592" s="11">
        <v>7.78546878385845</v>
      </c>
      <c r="AC592" s="11">
        <v>6.9938729805556203</v>
      </c>
      <c r="AD592" s="11">
        <v>5.86504171606106</v>
      </c>
      <c r="AE592" s="11">
        <v>3.6002445672030401</v>
      </c>
      <c r="AF592" s="11">
        <v>4.2327352329997003</v>
      </c>
      <c r="AG592" s="11">
        <v>6.6153064738688201</v>
      </c>
      <c r="AH592" s="11">
        <v>4.7351434223107498</v>
      </c>
      <c r="AI592" s="11">
        <v>0.377135011965606</v>
      </c>
      <c r="AJ592" s="11">
        <v>6.0905473858984696</v>
      </c>
      <c r="AK592" s="16">
        <v>1.4117431186862699</v>
      </c>
      <c r="AL592" s="16">
        <v>2.84797733742715</v>
      </c>
      <c r="AM592" s="26">
        <v>2.2911945272703599E-2</v>
      </c>
      <c r="AN592" s="27">
        <v>3.8903785247306401E-2</v>
      </c>
      <c r="AO592" s="11">
        <v>1.69023583355007</v>
      </c>
      <c r="AP592" s="11">
        <v>4.8137533488578796</v>
      </c>
      <c r="AQ592" t="s">
        <v>5874</v>
      </c>
      <c r="AR592" t="s">
        <v>5878</v>
      </c>
      <c r="AS592" t="s">
        <v>5428</v>
      </c>
    </row>
    <row r="593" spans="1:45">
      <c r="A593" t="s">
        <v>1564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1</v>
      </c>
      <c r="I593" s="2">
        <v>0</v>
      </c>
      <c r="J593" s="2">
        <v>7</v>
      </c>
      <c r="K593" s="2">
        <v>2</v>
      </c>
      <c r="L593" s="2">
        <v>14</v>
      </c>
      <c r="M593" s="2">
        <v>5</v>
      </c>
      <c r="N593" s="2">
        <v>12</v>
      </c>
      <c r="O593" s="2">
        <v>0</v>
      </c>
      <c r="P593" s="2">
        <v>5</v>
      </c>
      <c r="Q593" s="2">
        <v>7</v>
      </c>
      <c r="R593" s="2">
        <v>1</v>
      </c>
      <c r="S593" s="2">
        <v>1</v>
      </c>
      <c r="T593" s="2">
        <v>2</v>
      </c>
      <c r="U593" s="11">
        <v>0.30291084895868198</v>
      </c>
      <c r="V593" s="11">
        <v>0.24076603016936199</v>
      </c>
      <c r="W593" s="11">
        <v>0.40019941545306398</v>
      </c>
      <c r="X593" s="11">
        <v>0.37798043978830698</v>
      </c>
      <c r="Y593" s="11">
        <v>0.215044089984223</v>
      </c>
      <c r="Z593" s="11">
        <v>0.23243181165987301</v>
      </c>
      <c r="AA593" s="11">
        <v>1.05406228286464</v>
      </c>
      <c r="AB593" s="11">
        <v>0.24329589949557701</v>
      </c>
      <c r="AC593" s="11">
        <v>5.5633080527147003</v>
      </c>
      <c r="AD593" s="11">
        <v>8.8290950564359996</v>
      </c>
      <c r="AE593" s="11">
        <v>4.0002717413367099</v>
      </c>
      <c r="AF593" s="11">
        <v>10.1585645591993</v>
      </c>
      <c r="AG593" s="11">
        <v>4.5939628290755703</v>
      </c>
      <c r="AH593" s="11">
        <v>5.5243339926958699</v>
      </c>
      <c r="AI593" s="11">
        <v>1.50854004786242</v>
      </c>
      <c r="AJ593" s="11">
        <v>3.0452736929492299</v>
      </c>
      <c r="AK593" s="16">
        <v>3.5459970564097998</v>
      </c>
      <c r="AL593" s="16">
        <v>14.094459641416099</v>
      </c>
      <c r="AM593" s="26">
        <v>2.9282552986403501E-7</v>
      </c>
      <c r="AN593" s="27">
        <v>1.66017185999186E-6</v>
      </c>
      <c r="AO593" s="11">
        <v>0.38333635229671598</v>
      </c>
      <c r="AP593" s="11">
        <v>5.4029187465337296</v>
      </c>
      <c r="AQ593" t="s">
        <v>5874</v>
      </c>
      <c r="AR593" t="s">
        <v>5876</v>
      </c>
      <c r="AS593" t="s">
        <v>1564</v>
      </c>
    </row>
    <row r="594" spans="1:45">
      <c r="A594" t="s">
        <v>2368</v>
      </c>
      <c r="B594" s="2">
        <v>2</v>
      </c>
      <c r="C594" s="2">
        <v>0</v>
      </c>
      <c r="D594" s="2">
        <v>0</v>
      </c>
      <c r="E594" s="2">
        <v>0</v>
      </c>
      <c r="F594" s="2">
        <v>0</v>
      </c>
      <c r="G594" s="2">
        <v>2</v>
      </c>
      <c r="H594" s="2">
        <v>3</v>
      </c>
      <c r="I594" s="2">
        <v>10</v>
      </c>
      <c r="J594" s="2">
        <v>0</v>
      </c>
      <c r="K594" s="2">
        <v>0</v>
      </c>
      <c r="L594" s="2">
        <v>8</v>
      </c>
      <c r="M594" s="2">
        <v>12</v>
      </c>
      <c r="N594" s="2">
        <v>6</v>
      </c>
      <c r="O594" s="2">
        <v>0</v>
      </c>
      <c r="P594" s="2">
        <v>1</v>
      </c>
      <c r="Q594" s="2">
        <v>5</v>
      </c>
      <c r="R594" s="2">
        <v>2</v>
      </c>
      <c r="S594" s="2">
        <v>1</v>
      </c>
      <c r="T594" s="2">
        <v>5</v>
      </c>
      <c r="U594" s="11">
        <v>2.4232867916694598</v>
      </c>
      <c r="V594" s="11">
        <v>0.24076603016936199</v>
      </c>
      <c r="W594" s="11">
        <v>0.40019941545306398</v>
      </c>
      <c r="X594" s="11">
        <v>0.37798043978830698</v>
      </c>
      <c r="Y594" s="11">
        <v>0.215044089984223</v>
      </c>
      <c r="Z594" s="11">
        <v>1.85945449327898</v>
      </c>
      <c r="AA594" s="11">
        <v>3.1621868485939202</v>
      </c>
      <c r="AB594" s="11">
        <v>9.7318359798230603</v>
      </c>
      <c r="AC594" s="11">
        <v>0.19868957331123899</v>
      </c>
      <c r="AD594" s="11">
        <v>5.0451971751062796</v>
      </c>
      <c r="AE594" s="11">
        <v>9.6006521792081099</v>
      </c>
      <c r="AF594" s="11">
        <v>5.0792822795996404</v>
      </c>
      <c r="AG594" s="11">
        <v>0.91879256581511404</v>
      </c>
      <c r="AH594" s="11">
        <v>3.94595285192562</v>
      </c>
      <c r="AI594" s="11">
        <v>3.0170800957248498</v>
      </c>
      <c r="AJ594" s="11">
        <v>7.6131842323730803</v>
      </c>
      <c r="AK594" s="16">
        <v>0.85668515338256801</v>
      </c>
      <c r="AL594" s="16">
        <v>1.92381207104857</v>
      </c>
      <c r="AM594" s="26">
        <v>0.200684515249131</v>
      </c>
      <c r="AN594" s="27">
        <v>0.26428728484580499</v>
      </c>
      <c r="AO594" s="11">
        <v>2.3013442610950499</v>
      </c>
      <c r="AP594" s="11">
        <v>4.4273538691329897</v>
      </c>
      <c r="AQ594" t="s">
        <v>5874</v>
      </c>
      <c r="AR594" t="s">
        <v>5832</v>
      </c>
      <c r="AS594" t="s">
        <v>2368</v>
      </c>
    </row>
    <row r="595" spans="1:45">
      <c r="A595" t="s">
        <v>3039</v>
      </c>
      <c r="B595" s="2">
        <v>3</v>
      </c>
      <c r="C595" s="2">
        <v>1</v>
      </c>
      <c r="D595" s="2">
        <v>0</v>
      </c>
      <c r="E595" s="2">
        <v>0</v>
      </c>
      <c r="F595" s="2">
        <v>1</v>
      </c>
      <c r="G595" s="2">
        <v>1</v>
      </c>
      <c r="H595" s="2">
        <v>0</v>
      </c>
      <c r="I595" s="2">
        <v>0</v>
      </c>
      <c r="J595" s="2">
        <v>5</v>
      </c>
      <c r="K595" s="2">
        <v>0</v>
      </c>
      <c r="L595" s="2">
        <v>16</v>
      </c>
      <c r="M595" s="2">
        <v>5</v>
      </c>
      <c r="N595" s="2">
        <v>6</v>
      </c>
      <c r="O595" s="2">
        <v>2</v>
      </c>
      <c r="P595" s="2">
        <v>4</v>
      </c>
      <c r="Q595" s="2">
        <v>5</v>
      </c>
      <c r="R595" s="2">
        <v>6</v>
      </c>
      <c r="S595" s="2">
        <v>0</v>
      </c>
      <c r="T595" s="2">
        <v>2</v>
      </c>
      <c r="U595" s="11">
        <v>3.6349301875041902</v>
      </c>
      <c r="V595" s="11">
        <v>0.96306412067744696</v>
      </c>
      <c r="W595" s="11">
        <v>0.40019941545306398</v>
      </c>
      <c r="X595" s="11">
        <v>0.37798043978830698</v>
      </c>
      <c r="Y595" s="11">
        <v>0.86017635993689201</v>
      </c>
      <c r="Z595" s="11">
        <v>0.92972724663949102</v>
      </c>
      <c r="AA595" s="11">
        <v>0.26351557071616</v>
      </c>
      <c r="AB595" s="11">
        <v>0.24329589949557701</v>
      </c>
      <c r="AC595" s="11">
        <v>3.9737914662247902</v>
      </c>
      <c r="AD595" s="11">
        <v>10.0903943502126</v>
      </c>
      <c r="AE595" s="11">
        <v>4.0002717413367099</v>
      </c>
      <c r="AF595" s="11">
        <v>5.0792822795996404</v>
      </c>
      <c r="AG595" s="11">
        <v>3.6751702632604601</v>
      </c>
      <c r="AH595" s="11">
        <v>3.94595285192562</v>
      </c>
      <c r="AI595" s="11">
        <v>9.0512402871745401</v>
      </c>
      <c r="AJ595" s="11">
        <v>3.0452736929492299</v>
      </c>
      <c r="AK595" s="16">
        <v>2.3570961554823602</v>
      </c>
      <c r="AL595" s="16">
        <v>5.5860804959963399</v>
      </c>
      <c r="AM595" s="26">
        <v>4.1336809737263303E-5</v>
      </c>
      <c r="AN595" s="27">
        <v>1.2802928571402399E-4</v>
      </c>
      <c r="AO595" s="11">
        <v>0.95911115502639099</v>
      </c>
      <c r="AP595" s="11">
        <v>5.3576721165854497</v>
      </c>
      <c r="AQ595" t="s">
        <v>5874</v>
      </c>
      <c r="AR595" t="s">
        <v>5876</v>
      </c>
      <c r="AS595" t="s">
        <v>3039</v>
      </c>
    </row>
    <row r="596" spans="1:45">
      <c r="A596" t="s">
        <v>3559</v>
      </c>
      <c r="B596" s="2">
        <v>0</v>
      </c>
      <c r="C596" s="2">
        <v>2</v>
      </c>
      <c r="D596" s="2">
        <v>0</v>
      </c>
      <c r="E596" s="2">
        <v>0</v>
      </c>
      <c r="F596" s="2">
        <v>1</v>
      </c>
      <c r="G596" s="2">
        <v>1</v>
      </c>
      <c r="H596" s="2">
        <v>0</v>
      </c>
      <c r="I596" s="2">
        <v>0</v>
      </c>
      <c r="J596" s="2">
        <v>31</v>
      </c>
      <c r="K596" s="2">
        <v>0</v>
      </c>
      <c r="L596" s="2">
        <v>8</v>
      </c>
      <c r="M596" s="2">
        <v>4</v>
      </c>
      <c r="N596" s="2">
        <v>3</v>
      </c>
      <c r="O596" s="2">
        <v>0</v>
      </c>
      <c r="P596" s="2">
        <v>1</v>
      </c>
      <c r="Q596" s="2">
        <v>6</v>
      </c>
      <c r="R596" s="2">
        <v>0</v>
      </c>
      <c r="S596" s="2">
        <v>0</v>
      </c>
      <c r="T596" s="2">
        <v>0</v>
      </c>
      <c r="U596" s="11">
        <v>0.30291084895868198</v>
      </c>
      <c r="V596" s="11">
        <v>1.9261282413548899</v>
      </c>
      <c r="W596" s="11">
        <v>0.40019941545306398</v>
      </c>
      <c r="X596" s="11">
        <v>0.37798043978830698</v>
      </c>
      <c r="Y596" s="11">
        <v>0.86017635993689201</v>
      </c>
      <c r="Z596" s="11">
        <v>0.92972724663949102</v>
      </c>
      <c r="AA596" s="11">
        <v>0.26351557071616</v>
      </c>
      <c r="AB596" s="11">
        <v>0.24329589949557701</v>
      </c>
      <c r="AC596" s="11">
        <v>24.637507090593701</v>
      </c>
      <c r="AD596" s="11">
        <v>5.0451971751062796</v>
      </c>
      <c r="AE596" s="11">
        <v>3.2002173930693698</v>
      </c>
      <c r="AF596" s="11">
        <v>2.5396411397998202</v>
      </c>
      <c r="AG596" s="11">
        <v>0.91879256581511404</v>
      </c>
      <c r="AH596" s="11">
        <v>4.7351434223107498</v>
      </c>
      <c r="AI596" s="11">
        <v>0.377135011965606</v>
      </c>
      <c r="AJ596" s="11">
        <v>0.38065921161865401</v>
      </c>
      <c r="AK596" s="16">
        <v>2.7554572916587401</v>
      </c>
      <c r="AL596" s="16">
        <v>7.8874082584833003</v>
      </c>
      <c r="AM596" s="26">
        <v>9.4672113384545596E-4</v>
      </c>
      <c r="AN596" s="27">
        <v>2.1397176977790899E-3</v>
      </c>
      <c r="AO596" s="11">
        <v>0.66299175279288303</v>
      </c>
      <c r="AP596" s="11">
        <v>5.2292866262849103</v>
      </c>
      <c r="AQ596" t="s">
        <v>5874</v>
      </c>
      <c r="AR596" t="s">
        <v>5876</v>
      </c>
      <c r="AS596" t="s">
        <v>3559</v>
      </c>
    </row>
    <row r="597" spans="1:45">
      <c r="A597" t="s">
        <v>4112</v>
      </c>
      <c r="B597" s="2">
        <v>1</v>
      </c>
      <c r="C597" s="2">
        <v>3</v>
      </c>
      <c r="D597" s="2">
        <v>4</v>
      </c>
      <c r="E597" s="2">
        <v>0</v>
      </c>
      <c r="F597" s="2">
        <v>5</v>
      </c>
      <c r="G597" s="2">
        <v>4</v>
      </c>
      <c r="H597" s="2">
        <v>1</v>
      </c>
      <c r="I597" s="2">
        <v>2</v>
      </c>
      <c r="J597" s="2">
        <v>13</v>
      </c>
      <c r="K597" s="2">
        <v>0</v>
      </c>
      <c r="L597" s="2">
        <v>5</v>
      </c>
      <c r="M597" s="2">
        <v>3</v>
      </c>
      <c r="N597" s="2">
        <v>3</v>
      </c>
      <c r="O597" s="2">
        <v>0</v>
      </c>
      <c r="P597" s="2">
        <v>4</v>
      </c>
      <c r="Q597" s="2">
        <v>6</v>
      </c>
      <c r="R597" s="2">
        <v>0</v>
      </c>
      <c r="S597" s="2">
        <v>0</v>
      </c>
      <c r="T597" s="2">
        <v>3</v>
      </c>
      <c r="U597" s="11">
        <v>1.2116433958347299</v>
      </c>
      <c r="V597" s="11">
        <v>2.8891923620323401</v>
      </c>
      <c r="W597" s="11">
        <v>6.4031906472490299</v>
      </c>
      <c r="X597" s="11">
        <v>0.37798043978830698</v>
      </c>
      <c r="Y597" s="11">
        <v>4.3008817996844604</v>
      </c>
      <c r="Z597" s="11">
        <v>3.7189089865579601</v>
      </c>
      <c r="AA597" s="11">
        <v>1.05406228286464</v>
      </c>
      <c r="AB597" s="11">
        <v>1.9463671959646101</v>
      </c>
      <c r="AC597" s="11">
        <v>10.331857812184399</v>
      </c>
      <c r="AD597" s="11">
        <v>3.1532482344414299</v>
      </c>
      <c r="AE597" s="11">
        <v>2.4001630448020301</v>
      </c>
      <c r="AF597" s="11">
        <v>2.5396411397998202</v>
      </c>
      <c r="AG597" s="11">
        <v>3.6751702632604601</v>
      </c>
      <c r="AH597" s="11">
        <v>4.7351434223107498</v>
      </c>
      <c r="AI597" s="11">
        <v>0.377135011965606</v>
      </c>
      <c r="AJ597" s="11">
        <v>4.5679105394238499</v>
      </c>
      <c r="AK597" s="16">
        <v>0.55699498463561903</v>
      </c>
      <c r="AL597" s="16">
        <v>1.4510062976067399</v>
      </c>
      <c r="AM597" s="26">
        <v>0.368692424136982</v>
      </c>
      <c r="AN597" s="27">
        <v>0.451749508695313</v>
      </c>
      <c r="AO597" s="11">
        <v>2.7377783887470102</v>
      </c>
      <c r="AP597" s="11">
        <v>3.9725336835235501</v>
      </c>
      <c r="AQ597" t="s">
        <v>5874</v>
      </c>
      <c r="AR597" t="s">
        <v>5832</v>
      </c>
      <c r="AS597" t="s">
        <v>4112</v>
      </c>
    </row>
    <row r="598" spans="1:45">
      <c r="A598" t="s">
        <v>5155</v>
      </c>
      <c r="B598" s="2">
        <v>0</v>
      </c>
      <c r="C598" s="2">
        <v>0</v>
      </c>
      <c r="D598" s="2">
        <v>0</v>
      </c>
      <c r="E598" s="2">
        <v>0</v>
      </c>
      <c r="F598" s="2">
        <v>2</v>
      </c>
      <c r="G598" s="2">
        <v>1</v>
      </c>
      <c r="H598" s="2">
        <v>0</v>
      </c>
      <c r="I598" s="2">
        <v>5</v>
      </c>
      <c r="J598" s="2">
        <v>3</v>
      </c>
      <c r="K598" s="2">
        <v>0</v>
      </c>
      <c r="L598" s="2">
        <v>19</v>
      </c>
      <c r="M598" s="2">
        <v>12</v>
      </c>
      <c r="N598" s="2">
        <v>5</v>
      </c>
      <c r="O598" s="2">
        <v>1</v>
      </c>
      <c r="P598" s="2">
        <v>6</v>
      </c>
      <c r="Q598" s="2">
        <v>3</v>
      </c>
      <c r="R598" s="2">
        <v>0</v>
      </c>
      <c r="S598" s="2">
        <v>0</v>
      </c>
      <c r="T598" s="2">
        <v>0</v>
      </c>
      <c r="U598" s="11">
        <v>0.30291084895868198</v>
      </c>
      <c r="V598" s="11">
        <v>0.24076603016936199</v>
      </c>
      <c r="W598" s="11">
        <v>0.40019941545306398</v>
      </c>
      <c r="X598" s="11">
        <v>0.37798043978830698</v>
      </c>
      <c r="Y598" s="11">
        <v>1.72035271987378</v>
      </c>
      <c r="Z598" s="11">
        <v>0.92972724663949102</v>
      </c>
      <c r="AA598" s="11">
        <v>0.26351557071616</v>
      </c>
      <c r="AB598" s="11">
        <v>4.8659179899115301</v>
      </c>
      <c r="AC598" s="11">
        <v>2.3842748797348698</v>
      </c>
      <c r="AD598" s="11">
        <v>11.982343290877401</v>
      </c>
      <c r="AE598" s="11">
        <v>9.6006521792081099</v>
      </c>
      <c r="AF598" s="11">
        <v>4.2327352329997003</v>
      </c>
      <c r="AG598" s="11">
        <v>5.5127553948906796</v>
      </c>
      <c r="AH598" s="11">
        <v>2.36757171115537</v>
      </c>
      <c r="AI598" s="11">
        <v>0.377135011965606</v>
      </c>
      <c r="AJ598" s="11">
        <v>0.38065921161865401</v>
      </c>
      <c r="AK598" s="16">
        <v>1.8929988020420201</v>
      </c>
      <c r="AL598" s="16">
        <v>4.0475363438666596</v>
      </c>
      <c r="AM598" s="26">
        <v>7.4565120726168303E-3</v>
      </c>
      <c r="AN598" s="27">
        <v>1.40915440016403E-2</v>
      </c>
      <c r="AO598" s="11">
        <v>1.1376712826888</v>
      </c>
      <c r="AP598" s="11">
        <v>4.6047658640562998</v>
      </c>
      <c r="AQ598" t="s">
        <v>5874</v>
      </c>
      <c r="AR598" t="s">
        <v>5878</v>
      </c>
      <c r="AS598" t="s">
        <v>5155</v>
      </c>
    </row>
    <row r="599" spans="1:45">
      <c r="A599" t="s">
        <v>5421</v>
      </c>
      <c r="B599" s="2">
        <v>2</v>
      </c>
      <c r="C599" s="2">
        <v>4</v>
      </c>
      <c r="D599" s="2">
        <v>1</v>
      </c>
      <c r="E599" s="2">
        <v>6</v>
      </c>
      <c r="F599" s="2">
        <v>12</v>
      </c>
      <c r="G599" s="2">
        <v>9</v>
      </c>
      <c r="H599" s="2">
        <v>6</v>
      </c>
      <c r="I599" s="2">
        <v>4</v>
      </c>
      <c r="J599" s="2">
        <v>0</v>
      </c>
      <c r="K599" s="2">
        <v>0</v>
      </c>
      <c r="L599" s="2">
        <v>3</v>
      </c>
      <c r="M599" s="2">
        <v>1</v>
      </c>
      <c r="N599" s="2">
        <v>0</v>
      </c>
      <c r="O599" s="2">
        <v>3</v>
      </c>
      <c r="P599" s="2">
        <v>0</v>
      </c>
      <c r="Q599" s="2">
        <v>3</v>
      </c>
      <c r="R599" s="2">
        <v>0</v>
      </c>
      <c r="S599" s="2">
        <v>0</v>
      </c>
      <c r="T599" s="2">
        <v>3</v>
      </c>
      <c r="U599" s="11">
        <v>2.4232867916694598</v>
      </c>
      <c r="V599" s="11">
        <v>3.85225648270979</v>
      </c>
      <c r="W599" s="11">
        <v>1.6007976618122599</v>
      </c>
      <c r="X599" s="11">
        <v>9.0715305549193808</v>
      </c>
      <c r="Y599" s="11">
        <v>10.322116319242699</v>
      </c>
      <c r="Z599" s="11">
        <v>8.3675452197554208</v>
      </c>
      <c r="AA599" s="11">
        <v>6.3243736971878404</v>
      </c>
      <c r="AB599" s="11">
        <v>3.8927343919292201</v>
      </c>
      <c r="AC599" s="11">
        <v>0.19868957331123899</v>
      </c>
      <c r="AD599" s="11">
        <v>1.89194894066486</v>
      </c>
      <c r="AE599" s="11">
        <v>0.80005434826734301</v>
      </c>
      <c r="AF599" s="11">
        <v>0.21163676164998499</v>
      </c>
      <c r="AG599" s="11">
        <v>0.22969814145377901</v>
      </c>
      <c r="AH599" s="11">
        <v>2.36757171115537</v>
      </c>
      <c r="AI599" s="11">
        <v>0.377135011965606</v>
      </c>
      <c r="AJ599" s="11">
        <v>4.5679105394238499</v>
      </c>
      <c r="AK599" s="16">
        <v>-2.1248597055965099</v>
      </c>
      <c r="AL599" s="16">
        <v>-4.3077661114178696</v>
      </c>
      <c r="AM599" s="26">
        <v>3.9156559955632301E-4</v>
      </c>
      <c r="AN599" s="27">
        <v>9.6663242104494396E-4</v>
      </c>
      <c r="AO599" s="11">
        <v>5.7318301399032601</v>
      </c>
      <c r="AP599" s="11">
        <v>1.3305806284865</v>
      </c>
      <c r="AQ599" t="s">
        <v>5875</v>
      </c>
      <c r="AR599" t="s">
        <v>5876</v>
      </c>
      <c r="AS599" t="s">
        <v>5421</v>
      </c>
    </row>
    <row r="600" spans="1:45">
      <c r="A600" t="s">
        <v>1289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1</v>
      </c>
      <c r="I600" s="2">
        <v>1</v>
      </c>
      <c r="J600" s="2">
        <v>8.25</v>
      </c>
      <c r="K600" s="2">
        <v>0.5</v>
      </c>
      <c r="L600" s="2">
        <v>9</v>
      </c>
      <c r="M600" s="2">
        <v>6</v>
      </c>
      <c r="N600" s="2">
        <v>1.5</v>
      </c>
      <c r="O600" s="2">
        <v>0</v>
      </c>
      <c r="P600" s="2">
        <v>16.593</v>
      </c>
      <c r="Q600" s="2">
        <v>10.462</v>
      </c>
      <c r="R600" s="2">
        <v>0</v>
      </c>
      <c r="S600" s="2">
        <v>1</v>
      </c>
      <c r="T600" s="2">
        <v>1</v>
      </c>
      <c r="U600" s="11">
        <v>0.30291084895868198</v>
      </c>
      <c r="V600" s="11">
        <v>0.24076603016936199</v>
      </c>
      <c r="W600" s="11">
        <v>0.40019941545306398</v>
      </c>
      <c r="X600" s="11">
        <v>0.37798043978830698</v>
      </c>
      <c r="Y600" s="11">
        <v>0.215044089984223</v>
      </c>
      <c r="Z600" s="11">
        <v>0.23243181165987301</v>
      </c>
      <c r="AA600" s="11">
        <v>1.05406228286464</v>
      </c>
      <c r="AB600" s="11">
        <v>0.97318359798230603</v>
      </c>
      <c r="AC600" s="11">
        <v>6.5964938339331498</v>
      </c>
      <c r="AD600" s="11">
        <v>5.6758468219945701</v>
      </c>
      <c r="AE600" s="11">
        <v>4.8003260896040603</v>
      </c>
      <c r="AF600" s="11">
        <v>1.2698205698999101</v>
      </c>
      <c r="AG600" s="11">
        <v>15.251956592530901</v>
      </c>
      <c r="AH600" s="11">
        <v>8.2865009890438106</v>
      </c>
      <c r="AI600" s="11">
        <v>0.377135011965606</v>
      </c>
      <c r="AJ600" s="11">
        <v>1.5226368464746201</v>
      </c>
      <c r="AK600" s="16">
        <v>3.2698214688628</v>
      </c>
      <c r="AL600" s="16">
        <v>11.5316242140175</v>
      </c>
      <c r="AM600" s="26">
        <v>2.3690362563819901E-5</v>
      </c>
      <c r="AN600" s="27">
        <v>7.7690453701938699E-5</v>
      </c>
      <c r="AO600" s="11">
        <v>0.474572314607557</v>
      </c>
      <c r="AP600" s="11">
        <v>5.47258959443083</v>
      </c>
      <c r="AQ600" t="s">
        <v>5874</v>
      </c>
      <c r="AR600" t="s">
        <v>5876</v>
      </c>
      <c r="AS600" t="s">
        <v>1289</v>
      </c>
    </row>
    <row r="601" spans="1:45">
      <c r="A601" t="s">
        <v>671</v>
      </c>
      <c r="B601" s="2">
        <v>0</v>
      </c>
      <c r="C601" s="2">
        <v>3</v>
      </c>
      <c r="D601" s="2">
        <v>1</v>
      </c>
      <c r="E601" s="2">
        <v>2</v>
      </c>
      <c r="F601" s="2">
        <v>2</v>
      </c>
      <c r="G601" s="2">
        <v>4</v>
      </c>
      <c r="H601" s="2">
        <v>2</v>
      </c>
      <c r="I601" s="2">
        <v>0</v>
      </c>
      <c r="J601" s="2">
        <v>6</v>
      </c>
      <c r="K601" s="2">
        <v>0</v>
      </c>
      <c r="L601" s="2">
        <v>11</v>
      </c>
      <c r="M601" s="2">
        <v>9</v>
      </c>
      <c r="N601" s="2">
        <v>3</v>
      </c>
      <c r="O601" s="2">
        <v>0</v>
      </c>
      <c r="P601" s="2">
        <v>2</v>
      </c>
      <c r="Q601" s="2">
        <v>8</v>
      </c>
      <c r="R601" s="2">
        <v>0</v>
      </c>
      <c r="S601" s="2">
        <v>0</v>
      </c>
      <c r="T601" s="2">
        <v>3</v>
      </c>
      <c r="U601" s="11">
        <v>0.30291084895868198</v>
      </c>
      <c r="V601" s="11">
        <v>2.8891923620323401</v>
      </c>
      <c r="W601" s="11">
        <v>1.6007976618122599</v>
      </c>
      <c r="X601" s="11">
        <v>3.0238435183064598</v>
      </c>
      <c r="Y601" s="11">
        <v>1.72035271987378</v>
      </c>
      <c r="Z601" s="11">
        <v>3.7189089865579601</v>
      </c>
      <c r="AA601" s="11">
        <v>2.10812456572928</v>
      </c>
      <c r="AB601" s="11">
        <v>0.24329589949557701</v>
      </c>
      <c r="AC601" s="11">
        <v>4.7685497594697397</v>
      </c>
      <c r="AD601" s="11">
        <v>6.9371461157711396</v>
      </c>
      <c r="AE601" s="11">
        <v>7.2004891344060802</v>
      </c>
      <c r="AF601" s="11">
        <v>2.5396411397998202</v>
      </c>
      <c r="AG601" s="11">
        <v>1.8375851316302301</v>
      </c>
      <c r="AH601" s="11">
        <v>6.3135245630809997</v>
      </c>
      <c r="AI601" s="11">
        <v>0.377135011965606</v>
      </c>
      <c r="AJ601" s="11">
        <v>4.5679105394238499</v>
      </c>
      <c r="AK601" s="16">
        <v>1.15857663496019</v>
      </c>
      <c r="AL601" s="16">
        <v>2.2131759682888501</v>
      </c>
      <c r="AM601" s="26">
        <v>4.4751842113282397E-2</v>
      </c>
      <c r="AN601" s="27">
        <v>7.0444664408908106E-2</v>
      </c>
      <c r="AO601" s="11">
        <v>1.9509283203457899</v>
      </c>
      <c r="AP601" s="11">
        <v>4.3177476744434298</v>
      </c>
      <c r="AQ601" t="s">
        <v>5874</v>
      </c>
      <c r="AR601" t="s">
        <v>5877</v>
      </c>
      <c r="AS601" t="s">
        <v>671</v>
      </c>
    </row>
    <row r="602" spans="1:45">
      <c r="A602" t="s">
        <v>820</v>
      </c>
      <c r="B602" s="2">
        <v>1</v>
      </c>
      <c r="C602" s="2">
        <v>0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9</v>
      </c>
      <c r="J602" s="2">
        <v>8</v>
      </c>
      <c r="K602" s="2">
        <v>0</v>
      </c>
      <c r="L602" s="2">
        <v>9</v>
      </c>
      <c r="M602" s="2">
        <v>5</v>
      </c>
      <c r="N602" s="2">
        <v>4</v>
      </c>
      <c r="O602" s="2">
        <v>0</v>
      </c>
      <c r="P602" s="2">
        <v>7</v>
      </c>
      <c r="Q602" s="2">
        <v>4</v>
      </c>
      <c r="R602" s="2">
        <v>2</v>
      </c>
      <c r="S602" s="2">
        <v>1</v>
      </c>
      <c r="T602" s="2">
        <v>5</v>
      </c>
      <c r="U602" s="11">
        <v>1.2116433958347299</v>
      </c>
      <c r="V602" s="11">
        <v>0.24076603016936199</v>
      </c>
      <c r="W602" s="11">
        <v>0.40019941545306398</v>
      </c>
      <c r="X602" s="11">
        <v>1.5119217591532299</v>
      </c>
      <c r="Y602" s="11">
        <v>0.215044089984223</v>
      </c>
      <c r="Z602" s="11">
        <v>0.23243181165987301</v>
      </c>
      <c r="AA602" s="11">
        <v>0.26351557071616</v>
      </c>
      <c r="AB602" s="11">
        <v>8.7586523818407507</v>
      </c>
      <c r="AC602" s="11">
        <v>6.35806634595966</v>
      </c>
      <c r="AD602" s="11">
        <v>5.6758468219945701</v>
      </c>
      <c r="AE602" s="11">
        <v>4.0002717413367099</v>
      </c>
      <c r="AF602" s="11">
        <v>3.3861881863997598</v>
      </c>
      <c r="AG602" s="11">
        <v>6.4315479607058004</v>
      </c>
      <c r="AH602" s="11">
        <v>3.1567622815404999</v>
      </c>
      <c r="AI602" s="11">
        <v>3.0170800957248498</v>
      </c>
      <c r="AJ602" s="11">
        <v>7.6131842323730803</v>
      </c>
      <c r="AK602" s="16">
        <v>1.51391272819441</v>
      </c>
      <c r="AL602" s="16">
        <v>3.0885467394573798</v>
      </c>
      <c r="AM602" s="26">
        <v>1.48201872175657E-2</v>
      </c>
      <c r="AN602" s="27">
        <v>2.6091329601451201E-2</v>
      </c>
      <c r="AO602" s="11">
        <v>1.6042718068514199</v>
      </c>
      <c r="AP602" s="11">
        <v>4.9548684582543698</v>
      </c>
      <c r="AQ602" t="s">
        <v>5874</v>
      </c>
      <c r="AR602" t="s">
        <v>5878</v>
      </c>
      <c r="AS602" t="s">
        <v>820</v>
      </c>
    </row>
    <row r="603" spans="1:45">
      <c r="A603" t="s">
        <v>975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1</v>
      </c>
      <c r="K603" s="2">
        <v>0</v>
      </c>
      <c r="L603" s="2">
        <v>8</v>
      </c>
      <c r="M603" s="2">
        <v>2</v>
      </c>
      <c r="N603" s="2">
        <v>2</v>
      </c>
      <c r="O603" s="2">
        <v>0</v>
      </c>
      <c r="P603" s="2">
        <v>26</v>
      </c>
      <c r="Q603" s="2">
        <v>16</v>
      </c>
      <c r="R603" s="2">
        <v>0</v>
      </c>
      <c r="S603" s="2">
        <v>0</v>
      </c>
      <c r="T603" s="2">
        <v>0</v>
      </c>
      <c r="U603" s="11">
        <v>0.30291084895868198</v>
      </c>
      <c r="V603" s="11">
        <v>0.24076603016936199</v>
      </c>
      <c r="W603" s="11">
        <v>0.40019941545306398</v>
      </c>
      <c r="X603" s="11">
        <v>0.37798043978830698</v>
      </c>
      <c r="Y603" s="11">
        <v>0.215044089984223</v>
      </c>
      <c r="Z603" s="11">
        <v>0.23243181165987301</v>
      </c>
      <c r="AA603" s="11">
        <v>1.05406228286464</v>
      </c>
      <c r="AB603" s="11">
        <v>0.24329589949557701</v>
      </c>
      <c r="AC603" s="11">
        <v>0.79475829324495695</v>
      </c>
      <c r="AD603" s="11">
        <v>5.0451971751062796</v>
      </c>
      <c r="AE603" s="11">
        <v>1.60010869653469</v>
      </c>
      <c r="AF603" s="11">
        <v>1.6930940931998799</v>
      </c>
      <c r="AG603" s="11">
        <v>23.888606711192999</v>
      </c>
      <c r="AH603" s="11">
        <v>12.627049126161999</v>
      </c>
      <c r="AI603" s="11">
        <v>0.377135011965606</v>
      </c>
      <c r="AJ603" s="11">
        <v>0.38065921161865401</v>
      </c>
      <c r="AK603" s="16">
        <v>3.5929907421881699</v>
      </c>
      <c r="AL603" s="16">
        <v>15.132470492618699</v>
      </c>
      <c r="AM603" s="26">
        <v>2.05801077134766E-4</v>
      </c>
      <c r="AN603" s="27">
        <v>5.3987415568573099E-4</v>
      </c>
      <c r="AO603" s="11">
        <v>0.38333635229671598</v>
      </c>
      <c r="AP603" s="11">
        <v>5.8008260398781299</v>
      </c>
      <c r="AQ603" t="s">
        <v>5874</v>
      </c>
      <c r="AR603" t="s">
        <v>5876</v>
      </c>
      <c r="AS603" t="s">
        <v>975</v>
      </c>
    </row>
    <row r="604" spans="1:45">
      <c r="A604" t="s">
        <v>1571</v>
      </c>
      <c r="B604" s="2">
        <v>5</v>
      </c>
      <c r="C604" s="2">
        <v>9</v>
      </c>
      <c r="D604" s="2">
        <v>6</v>
      </c>
      <c r="E604" s="2">
        <v>6</v>
      </c>
      <c r="F604" s="2">
        <v>6</v>
      </c>
      <c r="G604" s="2">
        <v>3</v>
      </c>
      <c r="H604" s="2">
        <v>4</v>
      </c>
      <c r="I604" s="2">
        <v>2</v>
      </c>
      <c r="J604" s="2">
        <v>0</v>
      </c>
      <c r="K604" s="2">
        <v>0</v>
      </c>
      <c r="L604" s="2">
        <v>2</v>
      </c>
      <c r="M604" s="2">
        <v>3</v>
      </c>
      <c r="N604" s="2">
        <v>1</v>
      </c>
      <c r="O604" s="2">
        <v>0</v>
      </c>
      <c r="P604" s="2">
        <v>0</v>
      </c>
      <c r="Q604" s="2">
        <v>3</v>
      </c>
      <c r="R604" s="2">
        <v>2</v>
      </c>
      <c r="S604" s="2">
        <v>2</v>
      </c>
      <c r="T604" s="2">
        <v>2</v>
      </c>
      <c r="U604" s="11">
        <v>6.0582169791736504</v>
      </c>
      <c r="V604" s="11">
        <v>8.6675770860970207</v>
      </c>
      <c r="W604" s="11">
        <v>9.6047859708735501</v>
      </c>
      <c r="X604" s="11">
        <v>9.0715305549193808</v>
      </c>
      <c r="Y604" s="11">
        <v>5.1610581596213496</v>
      </c>
      <c r="Z604" s="11">
        <v>2.7891817399184702</v>
      </c>
      <c r="AA604" s="11">
        <v>4.21624913145856</v>
      </c>
      <c r="AB604" s="11">
        <v>1.9463671959646101</v>
      </c>
      <c r="AC604" s="11">
        <v>0.19868957331123899</v>
      </c>
      <c r="AD604" s="11">
        <v>1.2612992937765699</v>
      </c>
      <c r="AE604" s="11">
        <v>2.4001630448020301</v>
      </c>
      <c r="AF604" s="11">
        <v>0.84654704659994096</v>
      </c>
      <c r="AG604" s="11">
        <v>0.22969814145377901</v>
      </c>
      <c r="AH604" s="11">
        <v>2.36757171115537</v>
      </c>
      <c r="AI604" s="11">
        <v>3.0170800957248498</v>
      </c>
      <c r="AJ604" s="11">
        <v>3.0452736929492299</v>
      </c>
      <c r="AK604" s="16">
        <v>-1.8181243859153</v>
      </c>
      <c r="AL604" s="16">
        <v>-3.5548271757883101</v>
      </c>
      <c r="AM604" s="26">
        <v>8.7330462462313098E-4</v>
      </c>
      <c r="AN604" s="27">
        <v>1.98721358460162E-3</v>
      </c>
      <c r="AO604" s="11">
        <v>5.9393708522533197</v>
      </c>
      <c r="AP604" s="11">
        <v>1.67079032497163</v>
      </c>
      <c r="AQ604" t="s">
        <v>5875</v>
      </c>
      <c r="AR604" t="s">
        <v>5876</v>
      </c>
      <c r="AS604" t="s">
        <v>1571</v>
      </c>
    </row>
    <row r="605" spans="1:45">
      <c r="A605" t="s">
        <v>2798</v>
      </c>
      <c r="B605" s="2">
        <v>5</v>
      </c>
      <c r="C605" s="2">
        <v>3</v>
      </c>
      <c r="D605" s="2">
        <v>4</v>
      </c>
      <c r="E605" s="2">
        <v>3</v>
      </c>
      <c r="F605" s="2">
        <v>7</v>
      </c>
      <c r="G605" s="2">
        <v>5</v>
      </c>
      <c r="H605" s="2">
        <v>2</v>
      </c>
      <c r="I605" s="2">
        <v>2</v>
      </c>
      <c r="J605" s="2">
        <v>4</v>
      </c>
      <c r="K605" s="2">
        <v>0</v>
      </c>
      <c r="L605" s="2">
        <v>2</v>
      </c>
      <c r="M605" s="2">
        <v>5</v>
      </c>
      <c r="N605" s="2">
        <v>2</v>
      </c>
      <c r="O605" s="2">
        <v>0</v>
      </c>
      <c r="P605" s="2">
        <v>1</v>
      </c>
      <c r="Q605" s="2">
        <v>5</v>
      </c>
      <c r="R605" s="2">
        <v>3</v>
      </c>
      <c r="S605" s="2">
        <v>2</v>
      </c>
      <c r="T605" s="2">
        <v>1</v>
      </c>
      <c r="U605" s="11">
        <v>6.0582169791736504</v>
      </c>
      <c r="V605" s="11">
        <v>2.8891923620323401</v>
      </c>
      <c r="W605" s="11">
        <v>6.4031906472490299</v>
      </c>
      <c r="X605" s="11">
        <v>4.5357652774596904</v>
      </c>
      <c r="Y605" s="11">
        <v>6.0212345195582504</v>
      </c>
      <c r="Z605" s="11">
        <v>4.6486362331974602</v>
      </c>
      <c r="AA605" s="11">
        <v>2.10812456572928</v>
      </c>
      <c r="AB605" s="11">
        <v>1.9463671959646101</v>
      </c>
      <c r="AC605" s="11">
        <v>3.17903317297983</v>
      </c>
      <c r="AD605" s="11">
        <v>1.2612992937765699</v>
      </c>
      <c r="AE605" s="11">
        <v>4.0002717413367099</v>
      </c>
      <c r="AF605" s="11">
        <v>1.6930940931998799</v>
      </c>
      <c r="AG605" s="11">
        <v>0.91879256581511404</v>
      </c>
      <c r="AH605" s="11">
        <v>3.94595285192562</v>
      </c>
      <c r="AI605" s="11">
        <v>4.5256201435872701</v>
      </c>
      <c r="AJ605" s="11">
        <v>1.5226368464746201</v>
      </c>
      <c r="AK605" s="16">
        <v>-0.68654567424495305</v>
      </c>
      <c r="AL605" s="16">
        <v>-1.64447284440201</v>
      </c>
      <c r="AM605" s="26">
        <v>0.15196500649960001</v>
      </c>
      <c r="AN605" s="27">
        <v>0.20496893013756501</v>
      </c>
      <c r="AO605" s="11">
        <v>4.3263409725455402</v>
      </c>
      <c r="AP605" s="11">
        <v>2.6308375886369499</v>
      </c>
      <c r="AQ605" t="s">
        <v>5875</v>
      </c>
      <c r="AR605" t="s">
        <v>5832</v>
      </c>
      <c r="AS605" t="s">
        <v>2798</v>
      </c>
    </row>
    <row r="606" spans="1:45">
      <c r="A606" t="s">
        <v>3555</v>
      </c>
      <c r="B606" s="2">
        <v>1</v>
      </c>
      <c r="C606" s="2">
        <v>0</v>
      </c>
      <c r="D606" s="2">
        <v>0</v>
      </c>
      <c r="E606" s="2">
        <v>2</v>
      </c>
      <c r="F606" s="2">
        <v>2</v>
      </c>
      <c r="G606" s="2">
        <v>3</v>
      </c>
      <c r="H606" s="2">
        <v>4</v>
      </c>
      <c r="I606" s="2">
        <v>2</v>
      </c>
      <c r="J606" s="2">
        <v>1</v>
      </c>
      <c r="K606" s="2">
        <v>2</v>
      </c>
      <c r="L606" s="2">
        <v>7</v>
      </c>
      <c r="M606" s="2">
        <v>3</v>
      </c>
      <c r="N606" s="2">
        <v>5</v>
      </c>
      <c r="O606" s="2">
        <v>5</v>
      </c>
      <c r="P606" s="2">
        <v>4</v>
      </c>
      <c r="Q606" s="2">
        <v>1</v>
      </c>
      <c r="R606" s="2">
        <v>3</v>
      </c>
      <c r="S606" s="2">
        <v>5</v>
      </c>
      <c r="T606" s="2">
        <v>6</v>
      </c>
      <c r="U606" s="11">
        <v>1.2116433958347299</v>
      </c>
      <c r="V606" s="11">
        <v>0.24076603016936199</v>
      </c>
      <c r="W606" s="11">
        <v>0.40019941545306398</v>
      </c>
      <c r="X606" s="11">
        <v>3.0238435183064598</v>
      </c>
      <c r="Y606" s="11">
        <v>1.72035271987378</v>
      </c>
      <c r="Z606" s="11">
        <v>2.7891817399184702</v>
      </c>
      <c r="AA606" s="11">
        <v>4.21624913145856</v>
      </c>
      <c r="AB606" s="11">
        <v>1.9463671959646101</v>
      </c>
      <c r="AC606" s="11">
        <v>0.79475829324495695</v>
      </c>
      <c r="AD606" s="11">
        <v>4.4145475282179998</v>
      </c>
      <c r="AE606" s="11">
        <v>2.4001630448020301</v>
      </c>
      <c r="AF606" s="11">
        <v>4.2327352329997003</v>
      </c>
      <c r="AG606" s="11">
        <v>3.6751702632604601</v>
      </c>
      <c r="AH606" s="11">
        <v>0.78919057038512497</v>
      </c>
      <c r="AI606" s="11">
        <v>4.5256201435872701</v>
      </c>
      <c r="AJ606" s="11">
        <v>9.1358210788476999</v>
      </c>
      <c r="AK606" s="16">
        <v>0.79487791949721798</v>
      </c>
      <c r="AL606" s="16">
        <v>1.9273761039536099</v>
      </c>
      <c r="AM606" s="26">
        <v>0.19391769043616999</v>
      </c>
      <c r="AN606" s="27">
        <v>0.25587955601932499</v>
      </c>
      <c r="AO606" s="11">
        <v>1.9435753933723801</v>
      </c>
      <c r="AP606" s="11">
        <v>3.7460007694181501</v>
      </c>
      <c r="AQ606" t="s">
        <v>5874</v>
      </c>
      <c r="AR606" t="s">
        <v>5832</v>
      </c>
      <c r="AS606" t="s">
        <v>3555</v>
      </c>
    </row>
    <row r="607" spans="1:45">
      <c r="A607" t="s">
        <v>4050</v>
      </c>
      <c r="B607" s="2">
        <v>4</v>
      </c>
      <c r="C607" s="2">
        <v>8</v>
      </c>
      <c r="D607" s="2">
        <v>4</v>
      </c>
      <c r="E607" s="2">
        <v>5</v>
      </c>
      <c r="F607" s="2">
        <v>4</v>
      </c>
      <c r="G607" s="2">
        <v>6</v>
      </c>
      <c r="H607" s="2">
        <v>3</v>
      </c>
      <c r="I607" s="2">
        <v>2</v>
      </c>
      <c r="J607" s="2">
        <v>2</v>
      </c>
      <c r="K607" s="2">
        <v>0</v>
      </c>
      <c r="L607" s="2">
        <v>3</v>
      </c>
      <c r="M607" s="2">
        <v>3</v>
      </c>
      <c r="N607" s="2">
        <v>0</v>
      </c>
      <c r="O607" s="2">
        <v>0</v>
      </c>
      <c r="P607" s="2">
        <v>2</v>
      </c>
      <c r="Q607" s="2">
        <v>4</v>
      </c>
      <c r="R607" s="2">
        <v>2</v>
      </c>
      <c r="S607" s="2">
        <v>1</v>
      </c>
      <c r="T607" s="2">
        <v>3</v>
      </c>
      <c r="U607" s="11">
        <v>4.8465735833389196</v>
      </c>
      <c r="V607" s="11">
        <v>7.7045129654195703</v>
      </c>
      <c r="W607" s="11">
        <v>6.4031906472490299</v>
      </c>
      <c r="X607" s="11">
        <v>7.5596087957661497</v>
      </c>
      <c r="Y607" s="11">
        <v>3.4407054397475698</v>
      </c>
      <c r="Z607" s="11">
        <v>5.5783634798369501</v>
      </c>
      <c r="AA607" s="11">
        <v>3.1621868485939202</v>
      </c>
      <c r="AB607" s="11">
        <v>1.9463671959646101</v>
      </c>
      <c r="AC607" s="11">
        <v>1.5895165864899099</v>
      </c>
      <c r="AD607" s="11">
        <v>1.89194894066486</v>
      </c>
      <c r="AE607" s="11">
        <v>2.4001630448020301</v>
      </c>
      <c r="AF607" s="11">
        <v>0.21163676164998499</v>
      </c>
      <c r="AG607" s="11">
        <v>1.8375851316302301</v>
      </c>
      <c r="AH607" s="11">
        <v>3.1567622815404999</v>
      </c>
      <c r="AI607" s="11">
        <v>3.0170800957248498</v>
      </c>
      <c r="AJ607" s="11">
        <v>4.5679105394238499</v>
      </c>
      <c r="AK607" s="16">
        <v>-1.1386611390675501</v>
      </c>
      <c r="AL607" s="16">
        <v>-2.1765314736591499</v>
      </c>
      <c r="AM607" s="26">
        <v>2.1835130190655201E-2</v>
      </c>
      <c r="AN607" s="27">
        <v>3.73598519118883E-2</v>
      </c>
      <c r="AO607" s="11">
        <v>5.08018861948959</v>
      </c>
      <c r="AP607" s="11">
        <v>2.3340754227407801</v>
      </c>
      <c r="AQ607" t="s">
        <v>5875</v>
      </c>
      <c r="AR607" t="s">
        <v>5878</v>
      </c>
      <c r="AS607" t="s">
        <v>4050</v>
      </c>
    </row>
    <row r="608" spans="1:45">
      <c r="A608" t="s">
        <v>4110</v>
      </c>
      <c r="B608" s="2">
        <v>0</v>
      </c>
      <c r="C608" s="2">
        <v>0</v>
      </c>
      <c r="D608" s="2">
        <v>0</v>
      </c>
      <c r="E608" s="2">
        <v>0</v>
      </c>
      <c r="F608" s="2">
        <v>2</v>
      </c>
      <c r="G608" s="2">
        <v>0</v>
      </c>
      <c r="H608" s="2">
        <v>0</v>
      </c>
      <c r="I608" s="2">
        <v>0</v>
      </c>
      <c r="J608" s="2">
        <v>11</v>
      </c>
      <c r="K608" s="2">
        <v>0</v>
      </c>
      <c r="L608" s="2">
        <v>14</v>
      </c>
      <c r="M608" s="2">
        <v>3</v>
      </c>
      <c r="N608" s="2">
        <v>5</v>
      </c>
      <c r="O608" s="2">
        <v>0</v>
      </c>
      <c r="P608" s="2">
        <v>8</v>
      </c>
      <c r="Q608" s="2">
        <v>10</v>
      </c>
      <c r="R608" s="2">
        <v>0</v>
      </c>
      <c r="S608" s="2">
        <v>0</v>
      </c>
      <c r="T608" s="2">
        <v>3</v>
      </c>
      <c r="U608" s="11">
        <v>0.30291084895868198</v>
      </c>
      <c r="V608" s="11">
        <v>0.24076603016936199</v>
      </c>
      <c r="W608" s="11">
        <v>0.40019941545306398</v>
      </c>
      <c r="X608" s="11">
        <v>0.37798043978830698</v>
      </c>
      <c r="Y608" s="11">
        <v>1.72035271987378</v>
      </c>
      <c r="Z608" s="11">
        <v>0.23243181165987301</v>
      </c>
      <c r="AA608" s="11">
        <v>0.26351557071616</v>
      </c>
      <c r="AB608" s="11">
        <v>0.24329589949557701</v>
      </c>
      <c r="AC608" s="11">
        <v>8.7423412256945294</v>
      </c>
      <c r="AD608" s="11">
        <v>8.8290950564359996</v>
      </c>
      <c r="AE608" s="11">
        <v>2.4001630448020301</v>
      </c>
      <c r="AF608" s="11">
        <v>4.2327352329997003</v>
      </c>
      <c r="AG608" s="11">
        <v>7.3503405265209096</v>
      </c>
      <c r="AH608" s="11">
        <v>7.8919057038512497</v>
      </c>
      <c r="AI608" s="11">
        <v>0.377135011965606</v>
      </c>
      <c r="AJ608" s="11">
        <v>4.5679105394238499</v>
      </c>
      <c r="AK608" s="16">
        <v>3.2343432233787399</v>
      </c>
      <c r="AL608" s="16">
        <v>11.739304822649499</v>
      </c>
      <c r="AM608" s="26">
        <v>1.3302581228858799E-6</v>
      </c>
      <c r="AN608" s="27">
        <v>6.3116502426287701E-6</v>
      </c>
      <c r="AO608" s="11">
        <v>0.472681592014351</v>
      </c>
      <c r="AP608" s="11">
        <v>5.5489532927117304</v>
      </c>
      <c r="AQ608" t="s">
        <v>5874</v>
      </c>
      <c r="AR608" t="s">
        <v>5876</v>
      </c>
      <c r="AS608" t="s">
        <v>4110</v>
      </c>
    </row>
    <row r="609" spans="1:45">
      <c r="A609" t="s">
        <v>4282</v>
      </c>
      <c r="B609" s="2">
        <v>1</v>
      </c>
      <c r="C609" s="2">
        <v>6</v>
      </c>
      <c r="D609" s="2">
        <v>4</v>
      </c>
      <c r="E609" s="2">
        <v>3</v>
      </c>
      <c r="F609" s="2">
        <v>1</v>
      </c>
      <c r="G609" s="2">
        <v>2</v>
      </c>
      <c r="H609" s="2">
        <v>1</v>
      </c>
      <c r="I609" s="2">
        <v>1</v>
      </c>
      <c r="J609" s="2">
        <v>4</v>
      </c>
      <c r="K609" s="2">
        <v>0</v>
      </c>
      <c r="L609" s="2">
        <v>3</v>
      </c>
      <c r="M609" s="2">
        <v>8</v>
      </c>
      <c r="N609" s="2">
        <v>5</v>
      </c>
      <c r="O609" s="2">
        <v>0</v>
      </c>
      <c r="P609" s="2">
        <v>5</v>
      </c>
      <c r="Q609" s="2">
        <v>7</v>
      </c>
      <c r="R609" s="2">
        <v>0</v>
      </c>
      <c r="S609" s="2">
        <v>1</v>
      </c>
      <c r="T609" s="2">
        <v>4</v>
      </c>
      <c r="U609" s="11">
        <v>1.2116433958347299</v>
      </c>
      <c r="V609" s="11">
        <v>5.7783847240646802</v>
      </c>
      <c r="W609" s="11">
        <v>6.4031906472490299</v>
      </c>
      <c r="X609" s="11">
        <v>4.5357652774596904</v>
      </c>
      <c r="Y609" s="11">
        <v>0.86017635993689201</v>
      </c>
      <c r="Z609" s="11">
        <v>1.85945449327898</v>
      </c>
      <c r="AA609" s="11">
        <v>1.05406228286464</v>
      </c>
      <c r="AB609" s="11">
        <v>0.97318359798230603</v>
      </c>
      <c r="AC609" s="11">
        <v>3.17903317297983</v>
      </c>
      <c r="AD609" s="11">
        <v>1.89194894066486</v>
      </c>
      <c r="AE609" s="11">
        <v>6.4004347861387396</v>
      </c>
      <c r="AF609" s="11">
        <v>4.2327352329997003</v>
      </c>
      <c r="AG609" s="11">
        <v>4.5939628290755703</v>
      </c>
      <c r="AH609" s="11">
        <v>5.5243339926958699</v>
      </c>
      <c r="AI609" s="11">
        <v>0.377135011965606</v>
      </c>
      <c r="AJ609" s="11">
        <v>6.0905473858984696</v>
      </c>
      <c r="AK609" s="16">
        <v>0.58827557315180901</v>
      </c>
      <c r="AL609" s="16">
        <v>1.4239870171892599</v>
      </c>
      <c r="AM609" s="26">
        <v>0.35882373276287299</v>
      </c>
      <c r="AN609" s="27">
        <v>0.44046436186855498</v>
      </c>
      <c r="AO609" s="11">
        <v>2.8344825973338699</v>
      </c>
      <c r="AP609" s="11">
        <v>4.0362664190523301</v>
      </c>
      <c r="AQ609" t="s">
        <v>5874</v>
      </c>
      <c r="AR609" t="s">
        <v>5832</v>
      </c>
      <c r="AS609" t="s">
        <v>4282</v>
      </c>
    </row>
    <row r="610" spans="1:45">
      <c r="A610" t="s">
        <v>4946</v>
      </c>
      <c r="B610" s="2">
        <v>1</v>
      </c>
      <c r="C610" s="2">
        <v>3</v>
      </c>
      <c r="D610" s="2">
        <v>1</v>
      </c>
      <c r="E610" s="2">
        <v>4</v>
      </c>
      <c r="F610" s="2">
        <v>2</v>
      </c>
      <c r="G610" s="2">
        <v>1</v>
      </c>
      <c r="H610" s="2">
        <v>4</v>
      </c>
      <c r="I610" s="2">
        <v>3</v>
      </c>
      <c r="J610" s="2">
        <v>7</v>
      </c>
      <c r="K610" s="2">
        <v>1</v>
      </c>
      <c r="L610" s="2">
        <v>7</v>
      </c>
      <c r="M610" s="2">
        <v>7</v>
      </c>
      <c r="N610" s="2">
        <v>1</v>
      </c>
      <c r="O610" s="2">
        <v>2</v>
      </c>
      <c r="P610" s="2">
        <v>2</v>
      </c>
      <c r="Q610" s="2">
        <v>1</v>
      </c>
      <c r="R610" s="2">
        <v>6</v>
      </c>
      <c r="S610" s="2">
        <v>1</v>
      </c>
      <c r="T610" s="2">
        <v>2</v>
      </c>
      <c r="U610" s="11">
        <v>1.2116433958347299</v>
      </c>
      <c r="V610" s="11">
        <v>2.8891923620323401</v>
      </c>
      <c r="W610" s="11">
        <v>1.6007976618122599</v>
      </c>
      <c r="X610" s="11">
        <v>6.0476870366129196</v>
      </c>
      <c r="Y610" s="11">
        <v>1.72035271987378</v>
      </c>
      <c r="Z610" s="11">
        <v>0.92972724663949102</v>
      </c>
      <c r="AA610" s="11">
        <v>4.21624913145856</v>
      </c>
      <c r="AB610" s="11">
        <v>2.9195507939469199</v>
      </c>
      <c r="AC610" s="11">
        <v>5.5633080527147003</v>
      </c>
      <c r="AD610" s="11">
        <v>4.4145475282179998</v>
      </c>
      <c r="AE610" s="11">
        <v>5.6003804378713999</v>
      </c>
      <c r="AF610" s="11">
        <v>0.84654704659994096</v>
      </c>
      <c r="AG610" s="11">
        <v>1.8375851316302301</v>
      </c>
      <c r="AH610" s="11">
        <v>0.78919057038512497</v>
      </c>
      <c r="AI610" s="11">
        <v>9.0512402871745401</v>
      </c>
      <c r="AJ610" s="11">
        <v>3.0452736929492299</v>
      </c>
      <c r="AK610" s="16">
        <v>0.50151439796372099</v>
      </c>
      <c r="AL610" s="16">
        <v>1.44637952022261</v>
      </c>
      <c r="AM610" s="26">
        <v>0.40103714065111801</v>
      </c>
      <c r="AN610" s="27">
        <v>0.48341233710918502</v>
      </c>
      <c r="AO610" s="11">
        <v>2.6919000435263798</v>
      </c>
      <c r="AP610" s="11">
        <v>3.8935090934429</v>
      </c>
      <c r="AQ610" t="s">
        <v>5874</v>
      </c>
      <c r="AR610" t="s">
        <v>5832</v>
      </c>
      <c r="AS610" t="s">
        <v>4946</v>
      </c>
    </row>
    <row r="611" spans="1:45">
      <c r="A611" t="s">
        <v>5449</v>
      </c>
      <c r="B611" s="2">
        <v>2</v>
      </c>
      <c r="C611" s="2">
        <v>2</v>
      </c>
      <c r="D611" s="2">
        <v>0</v>
      </c>
      <c r="E611" s="2">
        <v>0</v>
      </c>
      <c r="F611" s="2">
        <v>4</v>
      </c>
      <c r="G611" s="2">
        <v>4</v>
      </c>
      <c r="H611" s="2">
        <v>2</v>
      </c>
      <c r="I611" s="2">
        <v>5</v>
      </c>
      <c r="J611" s="2">
        <v>5</v>
      </c>
      <c r="K611" s="2">
        <v>2</v>
      </c>
      <c r="L611" s="2">
        <v>4</v>
      </c>
      <c r="M611" s="2">
        <v>3</v>
      </c>
      <c r="N611" s="2">
        <v>4</v>
      </c>
      <c r="O611" s="2">
        <v>1</v>
      </c>
      <c r="P611" s="2">
        <v>7</v>
      </c>
      <c r="Q611" s="2">
        <v>5</v>
      </c>
      <c r="R611" s="2">
        <v>2</v>
      </c>
      <c r="S611" s="2">
        <v>2</v>
      </c>
      <c r="T611" s="2">
        <v>2</v>
      </c>
      <c r="U611" s="11">
        <v>2.4232867916694598</v>
      </c>
      <c r="V611" s="11">
        <v>1.9261282413548899</v>
      </c>
      <c r="W611" s="11">
        <v>0.40019941545306398</v>
      </c>
      <c r="X611" s="11">
        <v>0.37798043978830698</v>
      </c>
      <c r="Y611" s="11">
        <v>3.4407054397475698</v>
      </c>
      <c r="Z611" s="11">
        <v>3.7189089865579601</v>
      </c>
      <c r="AA611" s="11">
        <v>2.10812456572928</v>
      </c>
      <c r="AB611" s="11">
        <v>4.8659179899115301</v>
      </c>
      <c r="AC611" s="11">
        <v>3.9737914662247902</v>
      </c>
      <c r="AD611" s="11">
        <v>2.5225985875531398</v>
      </c>
      <c r="AE611" s="11">
        <v>2.4001630448020301</v>
      </c>
      <c r="AF611" s="11">
        <v>3.3861881863997598</v>
      </c>
      <c r="AG611" s="11">
        <v>6.4315479607058004</v>
      </c>
      <c r="AH611" s="11">
        <v>3.94595285192562</v>
      </c>
      <c r="AI611" s="11">
        <v>3.0170800957248498</v>
      </c>
      <c r="AJ611" s="11">
        <v>3.0452736929492299</v>
      </c>
      <c r="AK611" s="16">
        <v>0.44216866345093098</v>
      </c>
      <c r="AL611" s="16">
        <v>1.49121127120015</v>
      </c>
      <c r="AM611" s="26">
        <v>0.37113998515565499</v>
      </c>
      <c r="AN611" s="27">
        <v>0.45391709336221803</v>
      </c>
      <c r="AO611" s="11">
        <v>2.4076564837765102</v>
      </c>
      <c r="AP611" s="11">
        <v>3.5903244857856502</v>
      </c>
      <c r="AQ611" t="s">
        <v>5874</v>
      </c>
      <c r="AR611" t="s">
        <v>5832</v>
      </c>
      <c r="AS611" t="s">
        <v>5449</v>
      </c>
    </row>
    <row r="612" spans="1:45">
      <c r="A612" t="s">
        <v>1377</v>
      </c>
      <c r="B612" s="2">
        <v>3</v>
      </c>
      <c r="C612" s="2">
        <v>2</v>
      </c>
      <c r="D612" s="2">
        <v>7</v>
      </c>
      <c r="E612" s="2">
        <v>1</v>
      </c>
      <c r="F612" s="2">
        <v>1</v>
      </c>
      <c r="G612" s="2">
        <v>3</v>
      </c>
      <c r="H612" s="2">
        <v>14</v>
      </c>
      <c r="I612" s="2">
        <v>14</v>
      </c>
      <c r="J612" s="2">
        <v>0</v>
      </c>
      <c r="K612" s="2">
        <v>0</v>
      </c>
      <c r="L612" s="2">
        <v>2</v>
      </c>
      <c r="M612" s="2">
        <v>4</v>
      </c>
      <c r="N612" s="2">
        <v>0</v>
      </c>
      <c r="O612" s="2">
        <v>1</v>
      </c>
      <c r="P612" s="2">
        <v>0</v>
      </c>
      <c r="Q612" s="2">
        <v>2</v>
      </c>
      <c r="R612" s="2">
        <v>0</v>
      </c>
      <c r="S612" s="2">
        <v>0</v>
      </c>
      <c r="T612" s="2">
        <v>1</v>
      </c>
      <c r="U612" s="11">
        <v>3.6349301875041902</v>
      </c>
      <c r="V612" s="11">
        <v>1.9261282413548899</v>
      </c>
      <c r="W612" s="11">
        <v>11.2055836326858</v>
      </c>
      <c r="X612" s="11">
        <v>1.5119217591532299</v>
      </c>
      <c r="Y612" s="11">
        <v>0.86017635993689201</v>
      </c>
      <c r="Z612" s="11">
        <v>2.7891817399184702</v>
      </c>
      <c r="AA612" s="11">
        <v>14.756871960105</v>
      </c>
      <c r="AB612" s="11">
        <v>13.6245703717523</v>
      </c>
      <c r="AC612" s="11">
        <v>0.19868957331123899</v>
      </c>
      <c r="AD612" s="11">
        <v>1.2612992937765699</v>
      </c>
      <c r="AE612" s="11">
        <v>3.2002173930693698</v>
      </c>
      <c r="AF612" s="11">
        <v>0.21163676164998499</v>
      </c>
      <c r="AG612" s="11">
        <v>0.22969814145377901</v>
      </c>
      <c r="AH612" s="11">
        <v>1.5783811407702499</v>
      </c>
      <c r="AI612" s="11">
        <v>0.377135011965606</v>
      </c>
      <c r="AJ612" s="11">
        <v>1.5226368464746201</v>
      </c>
      <c r="AK612" s="16">
        <v>-2.38378888353451</v>
      </c>
      <c r="AL612" s="16">
        <v>-5.8637712836513201</v>
      </c>
      <c r="AM612" s="26">
        <v>6.8714550759964505E-4</v>
      </c>
      <c r="AN612" s="27">
        <v>1.6129836652075901E-3</v>
      </c>
      <c r="AO612" s="11">
        <v>6.2886705315513396</v>
      </c>
      <c r="AP612" s="11">
        <v>1.0724617703089301</v>
      </c>
      <c r="AQ612" t="s">
        <v>5875</v>
      </c>
      <c r="AR612" t="s">
        <v>5876</v>
      </c>
      <c r="AS612" t="s">
        <v>1377</v>
      </c>
    </row>
    <row r="613" spans="1:45">
      <c r="A613" t="s">
        <v>2317</v>
      </c>
      <c r="B613" s="2">
        <v>0</v>
      </c>
      <c r="C613" s="2">
        <v>0</v>
      </c>
      <c r="D613" s="2">
        <v>3</v>
      </c>
      <c r="E613" s="2">
        <v>3</v>
      </c>
      <c r="F613" s="2">
        <v>1</v>
      </c>
      <c r="G613" s="2">
        <v>5</v>
      </c>
      <c r="H613" s="2">
        <v>1</v>
      </c>
      <c r="I613" s="2">
        <v>1</v>
      </c>
      <c r="J613" s="2">
        <v>10</v>
      </c>
      <c r="K613" s="2">
        <v>0</v>
      </c>
      <c r="L613" s="2">
        <v>5</v>
      </c>
      <c r="M613" s="2">
        <v>3</v>
      </c>
      <c r="N613" s="2">
        <v>1</v>
      </c>
      <c r="O613" s="2">
        <v>0</v>
      </c>
      <c r="P613" s="2">
        <v>7</v>
      </c>
      <c r="Q613" s="2">
        <v>10</v>
      </c>
      <c r="R613" s="2">
        <v>2</v>
      </c>
      <c r="S613" s="2">
        <v>0</v>
      </c>
      <c r="T613" s="2">
        <v>3</v>
      </c>
      <c r="U613" s="11">
        <v>0.30291084895868198</v>
      </c>
      <c r="V613" s="11">
        <v>0.24076603016936199</v>
      </c>
      <c r="W613" s="11">
        <v>4.8023929854367697</v>
      </c>
      <c r="X613" s="11">
        <v>4.5357652774596904</v>
      </c>
      <c r="Y613" s="11">
        <v>0.86017635993689201</v>
      </c>
      <c r="Z613" s="11">
        <v>4.6486362331974602</v>
      </c>
      <c r="AA613" s="11">
        <v>1.05406228286464</v>
      </c>
      <c r="AB613" s="11">
        <v>0.97318359798230603</v>
      </c>
      <c r="AC613" s="11">
        <v>7.9475829324495697</v>
      </c>
      <c r="AD613" s="11">
        <v>3.1532482344414299</v>
      </c>
      <c r="AE613" s="11">
        <v>2.4001630448020301</v>
      </c>
      <c r="AF613" s="11">
        <v>0.84654704659994096</v>
      </c>
      <c r="AG613" s="11">
        <v>6.4315479607058004</v>
      </c>
      <c r="AH613" s="11">
        <v>7.8919057038512497</v>
      </c>
      <c r="AI613" s="11">
        <v>3.0170800957248498</v>
      </c>
      <c r="AJ613" s="11">
        <v>4.5679105394238499</v>
      </c>
      <c r="AK613" s="16">
        <v>1.1208393130593199</v>
      </c>
      <c r="AL613" s="16">
        <v>2.0815367436095702</v>
      </c>
      <c r="AM613" s="26">
        <v>7.6779465607289904E-2</v>
      </c>
      <c r="AN613" s="27">
        <v>0.112891126354455</v>
      </c>
      <c r="AO613" s="11">
        <v>2.1772367020007302</v>
      </c>
      <c r="AP613" s="11">
        <v>4.53199819474984</v>
      </c>
      <c r="AQ613" t="s">
        <v>5874</v>
      </c>
      <c r="AR613" t="s">
        <v>5832</v>
      </c>
      <c r="AS613" t="s">
        <v>2317</v>
      </c>
    </row>
    <row r="614" spans="1:45">
      <c r="A614" t="s">
        <v>3830</v>
      </c>
      <c r="B614" s="2">
        <v>0</v>
      </c>
      <c r="C614" s="2">
        <v>0</v>
      </c>
      <c r="D614" s="2">
        <v>0</v>
      </c>
      <c r="E614" s="2">
        <v>0</v>
      </c>
      <c r="F614" s="2">
        <v>2</v>
      </c>
      <c r="G614" s="2">
        <v>1</v>
      </c>
      <c r="H614" s="2">
        <v>0</v>
      </c>
      <c r="I614" s="2">
        <v>2</v>
      </c>
      <c r="J614" s="2">
        <v>10</v>
      </c>
      <c r="K614" s="2">
        <v>0</v>
      </c>
      <c r="L614" s="2">
        <v>21</v>
      </c>
      <c r="M614" s="2">
        <v>6</v>
      </c>
      <c r="N614" s="2">
        <v>4</v>
      </c>
      <c r="O614" s="2">
        <v>0</v>
      </c>
      <c r="P614" s="2">
        <v>5</v>
      </c>
      <c r="Q614" s="2">
        <v>4</v>
      </c>
      <c r="R614" s="2">
        <v>0</v>
      </c>
      <c r="S614" s="2">
        <v>0</v>
      </c>
      <c r="T614" s="2">
        <v>0</v>
      </c>
      <c r="U614" s="11">
        <v>0.30291084895868198</v>
      </c>
      <c r="V614" s="11">
        <v>0.24076603016936199</v>
      </c>
      <c r="W614" s="11">
        <v>0.40019941545306398</v>
      </c>
      <c r="X614" s="11">
        <v>0.37798043978830698</v>
      </c>
      <c r="Y614" s="11">
        <v>1.72035271987378</v>
      </c>
      <c r="Z614" s="11">
        <v>0.92972724663949102</v>
      </c>
      <c r="AA614" s="11">
        <v>0.26351557071616</v>
      </c>
      <c r="AB614" s="11">
        <v>1.9463671959646101</v>
      </c>
      <c r="AC614" s="11">
        <v>7.9475829324495697</v>
      </c>
      <c r="AD614" s="11">
        <v>13.243642584653999</v>
      </c>
      <c r="AE614" s="11">
        <v>4.8003260896040603</v>
      </c>
      <c r="AF614" s="11">
        <v>3.3861881863997598</v>
      </c>
      <c r="AG614" s="11">
        <v>4.5939628290755703</v>
      </c>
      <c r="AH614" s="11">
        <v>3.1567622815404999</v>
      </c>
      <c r="AI614" s="11">
        <v>0.377135011965606</v>
      </c>
      <c r="AJ614" s="11">
        <v>0.38065921161865401</v>
      </c>
      <c r="AK614" s="16">
        <v>2.4374488872900701</v>
      </c>
      <c r="AL614" s="16">
        <v>6.1286582900228899</v>
      </c>
      <c r="AM614" s="26">
        <v>4.0162944060535702E-4</v>
      </c>
      <c r="AN614" s="27">
        <v>9.878312344300871E-4</v>
      </c>
      <c r="AO614" s="11">
        <v>0.77272743344543304</v>
      </c>
      <c r="AP614" s="11">
        <v>4.7357823909134602</v>
      </c>
      <c r="AQ614" t="s">
        <v>5874</v>
      </c>
      <c r="AR614" t="s">
        <v>5876</v>
      </c>
      <c r="AS614" t="s">
        <v>3830</v>
      </c>
    </row>
    <row r="615" spans="1:45">
      <c r="A615" t="s">
        <v>3919</v>
      </c>
      <c r="B615" s="2">
        <v>7</v>
      </c>
      <c r="C615" s="2">
        <v>8</v>
      </c>
      <c r="D615" s="2">
        <v>2</v>
      </c>
      <c r="E615" s="2">
        <v>3</v>
      </c>
      <c r="F615" s="2">
        <v>3</v>
      </c>
      <c r="G615" s="2">
        <v>2</v>
      </c>
      <c r="H615" s="2">
        <v>2</v>
      </c>
      <c r="I615" s="2">
        <v>1</v>
      </c>
      <c r="J615" s="2">
        <v>5</v>
      </c>
      <c r="K615" s="2">
        <v>0</v>
      </c>
      <c r="L615" s="2">
        <v>11</v>
      </c>
      <c r="M615" s="2">
        <v>2</v>
      </c>
      <c r="N615" s="2">
        <v>4</v>
      </c>
      <c r="O615" s="2">
        <v>0</v>
      </c>
      <c r="P615" s="2">
        <v>1</v>
      </c>
      <c r="Q615" s="2">
        <v>4</v>
      </c>
      <c r="R615" s="2">
        <v>0</v>
      </c>
      <c r="S615" s="2">
        <v>0</v>
      </c>
      <c r="T615" s="2">
        <v>0</v>
      </c>
      <c r="U615" s="11">
        <v>8.4815037708430996</v>
      </c>
      <c r="V615" s="11">
        <v>7.7045129654195703</v>
      </c>
      <c r="W615" s="11">
        <v>3.2015953236245198</v>
      </c>
      <c r="X615" s="11">
        <v>4.5357652774596904</v>
      </c>
      <c r="Y615" s="11">
        <v>2.5805290798106801</v>
      </c>
      <c r="Z615" s="11">
        <v>1.85945449327898</v>
      </c>
      <c r="AA615" s="11">
        <v>2.10812456572928</v>
      </c>
      <c r="AB615" s="11">
        <v>0.97318359798230603</v>
      </c>
      <c r="AC615" s="11">
        <v>3.9737914662247902</v>
      </c>
      <c r="AD615" s="11">
        <v>6.9371461157711396</v>
      </c>
      <c r="AE615" s="11">
        <v>1.60010869653469</v>
      </c>
      <c r="AF615" s="11">
        <v>3.3861881863997598</v>
      </c>
      <c r="AG615" s="11">
        <v>0.91879256581511404</v>
      </c>
      <c r="AH615" s="11">
        <v>3.1567622815404999</v>
      </c>
      <c r="AI615" s="11">
        <v>0.377135011965606</v>
      </c>
      <c r="AJ615" s="11">
        <v>0.38065921161865401</v>
      </c>
      <c r="AK615" s="16">
        <v>-0.43062895099399501</v>
      </c>
      <c r="AL615" s="16">
        <v>-1.5168250821178899</v>
      </c>
      <c r="AM615" s="26">
        <v>0.37967004073148403</v>
      </c>
      <c r="AN615" s="27">
        <v>0.46181683136247798</v>
      </c>
      <c r="AO615" s="11">
        <v>3.9305836342685199</v>
      </c>
      <c r="AP615" s="11">
        <v>2.5913229419837802</v>
      </c>
      <c r="AQ615" t="s">
        <v>5875</v>
      </c>
      <c r="AR615" t="s">
        <v>5832</v>
      </c>
      <c r="AS615" t="s">
        <v>3919</v>
      </c>
    </row>
    <row r="616" spans="1:45">
      <c r="A616" t="s">
        <v>4263</v>
      </c>
      <c r="B616" s="2">
        <v>1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10</v>
      </c>
      <c r="K616" s="2">
        <v>1</v>
      </c>
      <c r="L616" s="2">
        <v>14</v>
      </c>
      <c r="M616" s="2">
        <v>3</v>
      </c>
      <c r="N616" s="2">
        <v>5</v>
      </c>
      <c r="O616" s="2">
        <v>0</v>
      </c>
      <c r="P616" s="2">
        <v>5</v>
      </c>
      <c r="Q616" s="2">
        <v>11</v>
      </c>
      <c r="R616" s="2">
        <v>4</v>
      </c>
      <c r="S616" s="2">
        <v>0</v>
      </c>
      <c r="T616" s="2">
        <v>1</v>
      </c>
      <c r="U616" s="11">
        <v>1.2116433958347299</v>
      </c>
      <c r="V616" s="11">
        <v>0.24076603016936199</v>
      </c>
      <c r="W616" s="11">
        <v>0.40019941545306398</v>
      </c>
      <c r="X616" s="11">
        <v>0.37798043978830698</v>
      </c>
      <c r="Y616" s="11">
        <v>0.215044089984223</v>
      </c>
      <c r="Z616" s="11">
        <v>0.23243181165987301</v>
      </c>
      <c r="AA616" s="11">
        <v>0.26351557071616</v>
      </c>
      <c r="AB616" s="11">
        <v>0.24329589949557701</v>
      </c>
      <c r="AC616" s="11">
        <v>7.9475829324495697</v>
      </c>
      <c r="AD616" s="11">
        <v>8.8290950564359996</v>
      </c>
      <c r="AE616" s="11">
        <v>2.4001630448020301</v>
      </c>
      <c r="AF616" s="11">
        <v>4.2327352329997003</v>
      </c>
      <c r="AG616" s="11">
        <v>4.5939628290755703</v>
      </c>
      <c r="AH616" s="11">
        <v>8.6810962742363706</v>
      </c>
      <c r="AI616" s="11">
        <v>6.0341601914496898</v>
      </c>
      <c r="AJ616" s="11">
        <v>1.5226368464746201</v>
      </c>
      <c r="AK616" s="16">
        <v>3.5532407142724902</v>
      </c>
      <c r="AL616" s="16">
        <v>13.8910975923803</v>
      </c>
      <c r="AM616" s="26">
        <v>3.5043316432041402E-7</v>
      </c>
      <c r="AN616" s="27">
        <v>1.90601452788908E-6</v>
      </c>
      <c r="AO616" s="11">
        <v>0.39810958163766202</v>
      </c>
      <c r="AP616" s="11">
        <v>5.5301790509904398</v>
      </c>
      <c r="AQ616" t="s">
        <v>5874</v>
      </c>
      <c r="AR616" t="s">
        <v>5876</v>
      </c>
      <c r="AS616" t="s">
        <v>4263</v>
      </c>
    </row>
    <row r="617" spans="1:45">
      <c r="A617" t="s">
        <v>5371</v>
      </c>
      <c r="B617" s="2">
        <v>1</v>
      </c>
      <c r="C617" s="2">
        <v>1</v>
      </c>
      <c r="D617" s="2">
        <v>0</v>
      </c>
      <c r="E617" s="2">
        <v>0</v>
      </c>
      <c r="F617" s="2">
        <v>3</v>
      </c>
      <c r="G617" s="2">
        <v>5</v>
      </c>
      <c r="H617" s="2">
        <v>2</v>
      </c>
      <c r="I617" s="2">
        <v>3</v>
      </c>
      <c r="J617" s="2">
        <v>5</v>
      </c>
      <c r="K617" s="2">
        <v>0</v>
      </c>
      <c r="L617" s="2">
        <v>6</v>
      </c>
      <c r="M617" s="2">
        <v>7</v>
      </c>
      <c r="N617" s="2">
        <v>4</v>
      </c>
      <c r="O617" s="2">
        <v>2</v>
      </c>
      <c r="P617" s="2">
        <v>7</v>
      </c>
      <c r="Q617" s="2">
        <v>2</v>
      </c>
      <c r="R617" s="2">
        <v>3</v>
      </c>
      <c r="S617" s="2">
        <v>2</v>
      </c>
      <c r="T617" s="2">
        <v>2</v>
      </c>
      <c r="U617" s="11">
        <v>1.2116433958347299</v>
      </c>
      <c r="V617" s="11">
        <v>0.96306412067744696</v>
      </c>
      <c r="W617" s="11">
        <v>0.40019941545306398</v>
      </c>
      <c r="X617" s="11">
        <v>0.37798043978830698</v>
      </c>
      <c r="Y617" s="11">
        <v>2.5805290798106801</v>
      </c>
      <c r="Z617" s="11">
        <v>4.6486362331974602</v>
      </c>
      <c r="AA617" s="11">
        <v>2.10812456572928</v>
      </c>
      <c r="AB617" s="11">
        <v>2.9195507939469199</v>
      </c>
      <c r="AC617" s="11">
        <v>3.9737914662247902</v>
      </c>
      <c r="AD617" s="11">
        <v>3.7838978813297102</v>
      </c>
      <c r="AE617" s="11">
        <v>5.6003804378713999</v>
      </c>
      <c r="AF617" s="11">
        <v>3.3861881863997598</v>
      </c>
      <c r="AG617" s="11">
        <v>6.4315479607058004</v>
      </c>
      <c r="AH617" s="11">
        <v>1.5783811407702499</v>
      </c>
      <c r="AI617" s="11">
        <v>4.5256201435872701</v>
      </c>
      <c r="AJ617" s="11">
        <v>3.0452736929492299</v>
      </c>
      <c r="AK617" s="16">
        <v>0.92068528183309295</v>
      </c>
      <c r="AL617" s="16">
        <v>2.1252898681287999</v>
      </c>
      <c r="AM617" s="26">
        <v>5.8010282905617501E-2</v>
      </c>
      <c r="AN617" s="27">
        <v>8.8001993795596603E-2</v>
      </c>
      <c r="AO617" s="11">
        <v>1.90121600555473</v>
      </c>
      <c r="AP617" s="11">
        <v>4.0406351137297802</v>
      </c>
      <c r="AQ617" t="s">
        <v>5874</v>
      </c>
      <c r="AR617" t="s">
        <v>5877</v>
      </c>
      <c r="AS617" t="s">
        <v>5371</v>
      </c>
    </row>
    <row r="618" spans="1:45">
      <c r="A618" t="s">
        <v>5527</v>
      </c>
      <c r="B618" s="2">
        <v>1.0620000000000001</v>
      </c>
      <c r="C618" s="2">
        <v>1.036</v>
      </c>
      <c r="D618" s="2">
        <v>0</v>
      </c>
      <c r="E618" s="2">
        <v>0</v>
      </c>
      <c r="F618" s="2">
        <v>8.2910000000000004</v>
      </c>
      <c r="G618" s="2">
        <v>1.0569999999999999</v>
      </c>
      <c r="H618" s="2">
        <v>2.0910000000000002</v>
      </c>
      <c r="I618" s="2">
        <v>4.1109999999999998</v>
      </c>
      <c r="J618" s="2">
        <v>7.3040000000000003</v>
      </c>
      <c r="K618" s="2">
        <v>2</v>
      </c>
      <c r="L618" s="2">
        <v>3.2610000000000001</v>
      </c>
      <c r="M618" s="2">
        <v>4.4000000000000004</v>
      </c>
      <c r="N618" s="2">
        <v>4.8890000000000002</v>
      </c>
      <c r="O618" s="2">
        <v>3.3330000000000002</v>
      </c>
      <c r="P618" s="2">
        <v>2.4710000000000001</v>
      </c>
      <c r="Q618" s="2">
        <v>4.1539999999999999</v>
      </c>
      <c r="R618" s="2">
        <v>2.1539999999999999</v>
      </c>
      <c r="S618" s="2">
        <v>1.2</v>
      </c>
      <c r="T618" s="2">
        <v>2.1539999999999999</v>
      </c>
      <c r="U618" s="11">
        <v>1.3328077354182</v>
      </c>
      <c r="V618" s="11">
        <v>0.96306412067744696</v>
      </c>
      <c r="W618" s="11">
        <v>0.40019941545306398</v>
      </c>
      <c r="X618" s="11">
        <v>0.37798043978830698</v>
      </c>
      <c r="Y618" s="11">
        <v>7.1394637874762097</v>
      </c>
      <c r="Z618" s="11">
        <v>1.0226999713034399</v>
      </c>
      <c r="AA618" s="11">
        <v>2.21353079401575</v>
      </c>
      <c r="AB618" s="11">
        <v>3.99005275172745</v>
      </c>
      <c r="AC618" s="11">
        <v>5.8017355406881901</v>
      </c>
      <c r="AD618" s="11">
        <v>2.08114383473134</v>
      </c>
      <c r="AE618" s="11">
        <v>3.52023913237631</v>
      </c>
      <c r="AF618" s="11">
        <v>4.14808052833971</v>
      </c>
      <c r="AG618" s="11">
        <v>2.29698141453779</v>
      </c>
      <c r="AH618" s="11">
        <v>3.3146003956175201</v>
      </c>
      <c r="AI618" s="11">
        <v>3.31878810529733</v>
      </c>
      <c r="AJ618" s="11">
        <v>3.3498010622441599</v>
      </c>
      <c r="AK618" s="16">
        <v>0.52048484534744299</v>
      </c>
      <c r="AL618" s="16">
        <v>1.59585382770308</v>
      </c>
      <c r="AM618" s="26">
        <v>0.335002432710097</v>
      </c>
      <c r="AN618" s="27">
        <v>0.41580079310399698</v>
      </c>
      <c r="AO618" s="11">
        <v>2.17997487698248</v>
      </c>
      <c r="AP618" s="11">
        <v>3.47892125172904</v>
      </c>
      <c r="AQ618" t="s">
        <v>5874</v>
      </c>
      <c r="AR618" t="s">
        <v>5832</v>
      </c>
      <c r="AS618" t="s">
        <v>5527</v>
      </c>
    </row>
    <row r="619" spans="1:45">
      <c r="A619" t="s">
        <v>1807</v>
      </c>
      <c r="B619" s="2">
        <v>4</v>
      </c>
      <c r="C619" s="2">
        <v>4</v>
      </c>
      <c r="D619" s="2">
        <v>3</v>
      </c>
      <c r="E619" s="2">
        <v>6</v>
      </c>
      <c r="F619" s="2">
        <v>6</v>
      </c>
      <c r="G619" s="2">
        <v>3</v>
      </c>
      <c r="H619" s="2">
        <v>4</v>
      </c>
      <c r="I619" s="2">
        <v>3</v>
      </c>
      <c r="J619" s="2">
        <v>3</v>
      </c>
      <c r="K619" s="2">
        <v>0</v>
      </c>
      <c r="L619" s="2">
        <v>6</v>
      </c>
      <c r="M619" s="2">
        <v>1</v>
      </c>
      <c r="N619" s="2">
        <v>3</v>
      </c>
      <c r="O619" s="2">
        <v>0</v>
      </c>
      <c r="P619" s="2">
        <v>3</v>
      </c>
      <c r="Q619" s="2">
        <v>3</v>
      </c>
      <c r="R619" s="2">
        <v>0</v>
      </c>
      <c r="S619" s="2">
        <v>0</v>
      </c>
      <c r="T619" s="2">
        <v>2</v>
      </c>
      <c r="U619" s="11">
        <v>4.8465735833389196</v>
      </c>
      <c r="V619" s="11">
        <v>3.85225648270979</v>
      </c>
      <c r="W619" s="11">
        <v>4.8023929854367697</v>
      </c>
      <c r="X619" s="11">
        <v>9.0715305549193808</v>
      </c>
      <c r="Y619" s="11">
        <v>5.1610581596213496</v>
      </c>
      <c r="Z619" s="11">
        <v>2.7891817399184702</v>
      </c>
      <c r="AA619" s="11">
        <v>4.21624913145856</v>
      </c>
      <c r="AB619" s="11">
        <v>2.9195507939469199</v>
      </c>
      <c r="AC619" s="11">
        <v>2.3842748797348698</v>
      </c>
      <c r="AD619" s="11">
        <v>3.7838978813297102</v>
      </c>
      <c r="AE619" s="11">
        <v>0.80005434826734301</v>
      </c>
      <c r="AF619" s="11">
        <v>2.5396411397998202</v>
      </c>
      <c r="AG619" s="11">
        <v>2.7563776974453398</v>
      </c>
      <c r="AH619" s="11">
        <v>2.36757171115537</v>
      </c>
      <c r="AI619" s="11">
        <v>0.377135011965606</v>
      </c>
      <c r="AJ619" s="11">
        <v>3.0452736929492299</v>
      </c>
      <c r="AK619" s="16">
        <v>-0.91010817765600005</v>
      </c>
      <c r="AL619" s="16">
        <v>-2.08587134529692</v>
      </c>
      <c r="AM619" s="26">
        <v>3.8515985485398398E-2</v>
      </c>
      <c r="AN619" s="27">
        <v>6.1496883746375901E-2</v>
      </c>
      <c r="AO619" s="11">
        <v>4.7073491789187702</v>
      </c>
      <c r="AP619" s="11">
        <v>2.2567782953309101</v>
      </c>
      <c r="AQ619" t="s">
        <v>5875</v>
      </c>
      <c r="AR619" t="s">
        <v>5877</v>
      </c>
      <c r="AS619" t="s">
        <v>1807</v>
      </c>
    </row>
    <row r="620" spans="1:45">
      <c r="A620" t="s">
        <v>2128</v>
      </c>
      <c r="B620" s="2">
        <v>1</v>
      </c>
      <c r="C620" s="2">
        <v>5</v>
      </c>
      <c r="D620" s="2">
        <v>6</v>
      </c>
      <c r="E620" s="2">
        <v>4</v>
      </c>
      <c r="F620" s="2">
        <v>3</v>
      </c>
      <c r="G620" s="2">
        <v>4</v>
      </c>
      <c r="H620" s="2">
        <v>3</v>
      </c>
      <c r="I620" s="2">
        <v>3</v>
      </c>
      <c r="J620" s="2">
        <v>1</v>
      </c>
      <c r="K620" s="2">
        <v>0</v>
      </c>
      <c r="L620" s="2">
        <v>5</v>
      </c>
      <c r="M620" s="2">
        <v>1</v>
      </c>
      <c r="N620" s="2">
        <v>5</v>
      </c>
      <c r="O620" s="2">
        <v>1</v>
      </c>
      <c r="P620" s="2">
        <v>5</v>
      </c>
      <c r="Q620" s="2">
        <v>3</v>
      </c>
      <c r="R620" s="2">
        <v>2</v>
      </c>
      <c r="S620" s="2">
        <v>0</v>
      </c>
      <c r="T620" s="2">
        <v>2</v>
      </c>
      <c r="U620" s="11">
        <v>1.2116433958347299</v>
      </c>
      <c r="V620" s="11">
        <v>4.8153206033872298</v>
      </c>
      <c r="W620" s="11">
        <v>9.6047859708735501</v>
      </c>
      <c r="X620" s="11">
        <v>6.0476870366129196</v>
      </c>
      <c r="Y620" s="11">
        <v>2.5805290798106801</v>
      </c>
      <c r="Z620" s="11">
        <v>3.7189089865579601</v>
      </c>
      <c r="AA620" s="11">
        <v>3.1621868485939202</v>
      </c>
      <c r="AB620" s="11">
        <v>2.9195507939469199</v>
      </c>
      <c r="AC620" s="11">
        <v>0.79475829324495695</v>
      </c>
      <c r="AD620" s="11">
        <v>3.1532482344414299</v>
      </c>
      <c r="AE620" s="11">
        <v>0.80005434826734301</v>
      </c>
      <c r="AF620" s="11">
        <v>4.2327352329997003</v>
      </c>
      <c r="AG620" s="11">
        <v>4.5939628290755703</v>
      </c>
      <c r="AH620" s="11">
        <v>2.36757171115537</v>
      </c>
      <c r="AI620" s="11">
        <v>3.0170800957248498</v>
      </c>
      <c r="AJ620" s="11">
        <v>3.0452736929492299</v>
      </c>
      <c r="AK620" s="16">
        <v>-0.55846853165575305</v>
      </c>
      <c r="AL620" s="16">
        <v>-1.54788008034405</v>
      </c>
      <c r="AM620" s="26">
        <v>0.26026844955864398</v>
      </c>
      <c r="AN620" s="27">
        <v>0.33356243822745701</v>
      </c>
      <c r="AO620" s="11">
        <v>4.2575765894522402</v>
      </c>
      <c r="AP620" s="11">
        <v>2.7505855547323099</v>
      </c>
      <c r="AQ620" t="s">
        <v>5875</v>
      </c>
      <c r="AR620" t="s">
        <v>5832</v>
      </c>
      <c r="AS620" t="s">
        <v>2128</v>
      </c>
    </row>
    <row r="621" spans="1:45">
      <c r="A621" t="s">
        <v>5043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8</v>
      </c>
      <c r="K621" s="2">
        <v>3</v>
      </c>
      <c r="L621" s="2">
        <v>13</v>
      </c>
      <c r="M621" s="2">
        <v>4</v>
      </c>
      <c r="N621" s="2">
        <v>9</v>
      </c>
      <c r="O621" s="2">
        <v>0</v>
      </c>
      <c r="P621" s="2">
        <v>5</v>
      </c>
      <c r="Q621" s="2">
        <v>7</v>
      </c>
      <c r="R621" s="2">
        <v>1</v>
      </c>
      <c r="S621" s="2">
        <v>0</v>
      </c>
      <c r="T621" s="2">
        <v>4</v>
      </c>
      <c r="U621" s="11">
        <v>0.30291084895868198</v>
      </c>
      <c r="V621" s="11">
        <v>0.24076603016936199</v>
      </c>
      <c r="W621" s="11">
        <v>0.40019941545306398</v>
      </c>
      <c r="X621" s="11">
        <v>0.37798043978830698</v>
      </c>
      <c r="Y621" s="11">
        <v>0.215044089984223</v>
      </c>
      <c r="Z621" s="11">
        <v>0.23243181165987301</v>
      </c>
      <c r="AA621" s="11">
        <v>0.26351557071616</v>
      </c>
      <c r="AB621" s="11">
        <v>0.24329589949557701</v>
      </c>
      <c r="AC621" s="11">
        <v>6.35806634595966</v>
      </c>
      <c r="AD621" s="11">
        <v>8.1984454095477108</v>
      </c>
      <c r="AE621" s="11">
        <v>3.2002173930693698</v>
      </c>
      <c r="AF621" s="11">
        <v>7.6189234193994704</v>
      </c>
      <c r="AG621" s="11">
        <v>4.5939628290755703</v>
      </c>
      <c r="AH621" s="11">
        <v>5.5243339926958699</v>
      </c>
      <c r="AI621" s="11">
        <v>1.50854004786242</v>
      </c>
      <c r="AJ621" s="11">
        <v>6.0905473858984696</v>
      </c>
      <c r="AK621" s="16">
        <v>3.8512337487007202</v>
      </c>
      <c r="AL621" s="16">
        <v>18.932472994855299</v>
      </c>
      <c r="AM621" s="26">
        <v>2.5772846697340801E-8</v>
      </c>
      <c r="AN621" s="27">
        <v>2.0773535470507201E-7</v>
      </c>
      <c r="AO621" s="11">
        <v>0.28451801327815601</v>
      </c>
      <c r="AP621" s="11">
        <v>5.3866296029385703</v>
      </c>
      <c r="AQ621" t="s">
        <v>5874</v>
      </c>
      <c r="AR621" t="s">
        <v>5876</v>
      </c>
      <c r="AS621" t="s">
        <v>5043</v>
      </c>
    </row>
    <row r="622" spans="1:45">
      <c r="A622" t="s">
        <v>5279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12</v>
      </c>
      <c r="K622" s="2">
        <v>4</v>
      </c>
      <c r="L622" s="2">
        <v>10</v>
      </c>
      <c r="M622" s="2">
        <v>0</v>
      </c>
      <c r="N622" s="2">
        <v>4</v>
      </c>
      <c r="O622" s="2">
        <v>2</v>
      </c>
      <c r="P622" s="2">
        <v>6</v>
      </c>
      <c r="Q622" s="2">
        <v>10</v>
      </c>
      <c r="R622" s="2">
        <v>1</v>
      </c>
      <c r="S622" s="2">
        <v>1</v>
      </c>
      <c r="T622" s="2">
        <v>3</v>
      </c>
      <c r="U622" s="11">
        <v>0.30291084895868198</v>
      </c>
      <c r="V622" s="11">
        <v>0.24076603016936199</v>
      </c>
      <c r="W622" s="11">
        <v>0.40019941545306398</v>
      </c>
      <c r="X622" s="11">
        <v>0.37798043978830698</v>
      </c>
      <c r="Y622" s="11">
        <v>0.215044089984223</v>
      </c>
      <c r="Z622" s="11">
        <v>0.23243181165987301</v>
      </c>
      <c r="AA622" s="11">
        <v>0.26351557071616</v>
      </c>
      <c r="AB622" s="11">
        <v>0.97318359798230603</v>
      </c>
      <c r="AC622" s="11">
        <v>9.53709951893949</v>
      </c>
      <c r="AD622" s="11">
        <v>6.3064964688828598</v>
      </c>
      <c r="AE622" s="11">
        <v>0.200013587066836</v>
      </c>
      <c r="AF622" s="11">
        <v>3.3861881863997598</v>
      </c>
      <c r="AG622" s="11">
        <v>5.5127553948906796</v>
      </c>
      <c r="AH622" s="11">
        <v>7.8919057038512497</v>
      </c>
      <c r="AI622" s="11">
        <v>1.50854004786242</v>
      </c>
      <c r="AJ622" s="11">
        <v>4.5679105394238499</v>
      </c>
      <c r="AK622" s="16">
        <v>3.36630967562439</v>
      </c>
      <c r="AL622" s="16">
        <v>12.944277364705201</v>
      </c>
      <c r="AM622" s="26">
        <v>3.5615691277489502E-6</v>
      </c>
      <c r="AN622" s="27">
        <v>1.47993151954289E-5</v>
      </c>
      <c r="AO622" s="11">
        <v>0.37575397558899698</v>
      </c>
      <c r="AP622" s="11">
        <v>4.8638636809146396</v>
      </c>
      <c r="AQ622" t="s">
        <v>5874</v>
      </c>
      <c r="AR622" t="s">
        <v>5876</v>
      </c>
      <c r="AS622" t="s">
        <v>5279</v>
      </c>
    </row>
    <row r="623" spans="1:45">
      <c r="A623" t="s">
        <v>5596</v>
      </c>
      <c r="B623" s="2">
        <v>3</v>
      </c>
      <c r="C623" s="2">
        <v>4</v>
      </c>
      <c r="D623" s="2">
        <v>4</v>
      </c>
      <c r="E623" s="2">
        <v>5</v>
      </c>
      <c r="F623" s="2">
        <v>7</v>
      </c>
      <c r="G623" s="2">
        <v>10</v>
      </c>
      <c r="H623" s="2">
        <v>5</v>
      </c>
      <c r="I623" s="2">
        <v>7</v>
      </c>
      <c r="J623" s="2">
        <v>1</v>
      </c>
      <c r="K623" s="2">
        <v>0</v>
      </c>
      <c r="L623" s="2">
        <v>2</v>
      </c>
      <c r="M623" s="2">
        <v>0</v>
      </c>
      <c r="N623" s="2">
        <v>0</v>
      </c>
      <c r="O623" s="2">
        <v>0</v>
      </c>
      <c r="P623" s="2">
        <v>2</v>
      </c>
      <c r="Q623" s="2">
        <v>4</v>
      </c>
      <c r="R623" s="2">
        <v>0</v>
      </c>
      <c r="S623" s="2">
        <v>0</v>
      </c>
      <c r="T623" s="2">
        <v>0</v>
      </c>
      <c r="U623" s="11">
        <v>3.6349301875041902</v>
      </c>
      <c r="V623" s="11">
        <v>3.85225648270979</v>
      </c>
      <c r="W623" s="11">
        <v>6.4031906472490299</v>
      </c>
      <c r="X623" s="11">
        <v>7.5596087957661497</v>
      </c>
      <c r="Y623" s="11">
        <v>6.0212345195582504</v>
      </c>
      <c r="Z623" s="11">
        <v>9.2972724663949098</v>
      </c>
      <c r="AA623" s="11">
        <v>5.2703114143232002</v>
      </c>
      <c r="AB623" s="11">
        <v>6.8122851858761404</v>
      </c>
      <c r="AC623" s="11">
        <v>0.79475829324495695</v>
      </c>
      <c r="AD623" s="11">
        <v>1.2612992937765699</v>
      </c>
      <c r="AE623" s="11">
        <v>0.200013587066836</v>
      </c>
      <c r="AF623" s="11">
        <v>0.21163676164998499</v>
      </c>
      <c r="AG623" s="11">
        <v>1.8375851316302301</v>
      </c>
      <c r="AH623" s="11">
        <v>3.1567622815404999</v>
      </c>
      <c r="AI623" s="11">
        <v>0.377135011965606</v>
      </c>
      <c r="AJ623" s="11">
        <v>0.38065921161865401</v>
      </c>
      <c r="AK623" s="16">
        <v>-2.3362800560518999</v>
      </c>
      <c r="AL623" s="16">
        <v>-5.9430637104181896</v>
      </c>
      <c r="AM623" s="26">
        <v>1.78024774659114E-6</v>
      </c>
      <c r="AN623" s="27">
        <v>8.0472009626315703E-6</v>
      </c>
      <c r="AO623" s="11">
        <v>6.1063862124227102</v>
      </c>
      <c r="AP623" s="11">
        <v>1.0274811965616699</v>
      </c>
      <c r="AQ623" t="s">
        <v>5875</v>
      </c>
      <c r="AR623" t="s">
        <v>5876</v>
      </c>
      <c r="AS623" t="s">
        <v>5596</v>
      </c>
    </row>
    <row r="624" spans="1:45">
      <c r="A624" t="s">
        <v>1355</v>
      </c>
      <c r="B624" s="2">
        <v>0</v>
      </c>
      <c r="C624" s="2">
        <v>0</v>
      </c>
      <c r="D624" s="2">
        <v>0</v>
      </c>
      <c r="E624" s="2">
        <v>0</v>
      </c>
      <c r="F624" s="2">
        <v>1</v>
      </c>
      <c r="G624" s="2">
        <v>2</v>
      </c>
      <c r="H624" s="2">
        <v>0</v>
      </c>
      <c r="I624" s="2">
        <v>0</v>
      </c>
      <c r="J624" s="2">
        <v>4.6669999999999998</v>
      </c>
      <c r="K624" s="2">
        <v>0</v>
      </c>
      <c r="L624" s="2">
        <v>11.429</v>
      </c>
      <c r="M624" s="2">
        <v>6.6669999999999998</v>
      </c>
      <c r="N624" s="2">
        <v>3</v>
      </c>
      <c r="O624" s="2">
        <v>0</v>
      </c>
      <c r="P624" s="2">
        <v>12</v>
      </c>
      <c r="Q624" s="2">
        <v>10.5</v>
      </c>
      <c r="R624" s="2">
        <v>1</v>
      </c>
      <c r="S624" s="2">
        <v>0</v>
      </c>
      <c r="T624" s="2">
        <v>1</v>
      </c>
      <c r="U624" s="11">
        <v>0.30291084895868198</v>
      </c>
      <c r="V624" s="11">
        <v>0.24076603016936199</v>
      </c>
      <c r="W624" s="11">
        <v>0.40019941545306398</v>
      </c>
      <c r="X624" s="11">
        <v>0.37798043978830698</v>
      </c>
      <c r="Y624" s="11">
        <v>0.86017635993689201</v>
      </c>
      <c r="Z624" s="11">
        <v>1.85945449327898</v>
      </c>
      <c r="AA624" s="11">
        <v>0.26351557071616</v>
      </c>
      <c r="AB624" s="11">
        <v>0.24329589949557701</v>
      </c>
      <c r="AC624" s="11">
        <v>3.7353639782513</v>
      </c>
      <c r="AD624" s="11">
        <v>7.1894059745264602</v>
      </c>
      <c r="AE624" s="11">
        <v>5.3603641333912</v>
      </c>
      <c r="AF624" s="11">
        <v>2.5396411397998202</v>
      </c>
      <c r="AG624" s="11">
        <v>11.0255107897814</v>
      </c>
      <c r="AH624" s="11">
        <v>8.2865009890438106</v>
      </c>
      <c r="AI624" s="11">
        <v>1.50854004786242</v>
      </c>
      <c r="AJ624" s="11">
        <v>1.5226368464746201</v>
      </c>
      <c r="AK624" s="16">
        <v>2.9171315468059</v>
      </c>
      <c r="AL624" s="16">
        <v>9.0512878278216693</v>
      </c>
      <c r="AM624" s="26">
        <v>1.4083870217600799E-5</v>
      </c>
      <c r="AN624" s="27">
        <v>5.0117601997739101E-5</v>
      </c>
      <c r="AO624" s="11">
        <v>0.56853738222462802</v>
      </c>
      <c r="AP624" s="11">
        <v>5.14599548739137</v>
      </c>
      <c r="AQ624" t="s">
        <v>5874</v>
      </c>
      <c r="AR624" t="s">
        <v>5876</v>
      </c>
      <c r="AS624" t="s">
        <v>1355</v>
      </c>
    </row>
    <row r="625" spans="1:45">
      <c r="A625" t="s">
        <v>1681</v>
      </c>
      <c r="B625" s="2">
        <v>0</v>
      </c>
      <c r="C625" s="2">
        <v>0</v>
      </c>
      <c r="D625" s="2">
        <v>0</v>
      </c>
      <c r="E625" s="2">
        <v>1</v>
      </c>
      <c r="F625" s="2">
        <v>1</v>
      </c>
      <c r="G625" s="2">
        <v>3</v>
      </c>
      <c r="H625" s="2">
        <v>2</v>
      </c>
      <c r="I625" s="2">
        <v>3</v>
      </c>
      <c r="J625" s="2">
        <v>15</v>
      </c>
      <c r="K625" s="2">
        <v>0</v>
      </c>
      <c r="L625" s="2">
        <v>6</v>
      </c>
      <c r="M625" s="2">
        <v>2</v>
      </c>
      <c r="N625" s="2">
        <v>2</v>
      </c>
      <c r="O625" s="2">
        <v>0</v>
      </c>
      <c r="P625" s="2">
        <v>10</v>
      </c>
      <c r="Q625" s="2">
        <v>8</v>
      </c>
      <c r="R625" s="2">
        <v>0</v>
      </c>
      <c r="S625" s="2">
        <v>0</v>
      </c>
      <c r="T625" s="2">
        <v>0</v>
      </c>
      <c r="U625" s="11">
        <v>0.30291084895868198</v>
      </c>
      <c r="V625" s="11">
        <v>0.24076603016936199</v>
      </c>
      <c r="W625" s="11">
        <v>0.40019941545306398</v>
      </c>
      <c r="X625" s="11">
        <v>1.5119217591532299</v>
      </c>
      <c r="Y625" s="11">
        <v>0.86017635993689201</v>
      </c>
      <c r="Z625" s="11">
        <v>2.7891817399184702</v>
      </c>
      <c r="AA625" s="11">
        <v>2.10812456572928</v>
      </c>
      <c r="AB625" s="11">
        <v>2.9195507939469199</v>
      </c>
      <c r="AC625" s="11">
        <v>11.9213743986744</v>
      </c>
      <c r="AD625" s="11">
        <v>3.7838978813297102</v>
      </c>
      <c r="AE625" s="11">
        <v>1.60010869653469</v>
      </c>
      <c r="AF625" s="11">
        <v>1.6930940931998799</v>
      </c>
      <c r="AG625" s="11">
        <v>9.1879256581511406</v>
      </c>
      <c r="AH625" s="11">
        <v>6.3135245630809997</v>
      </c>
      <c r="AI625" s="11">
        <v>0.377135011965606</v>
      </c>
      <c r="AJ625" s="11">
        <v>0.38065921161865401</v>
      </c>
      <c r="AK625" s="16">
        <v>1.5952625681560999</v>
      </c>
      <c r="AL625" s="16">
        <v>3.1670037826892399</v>
      </c>
      <c r="AM625" s="26">
        <v>1.9695234834504801E-2</v>
      </c>
      <c r="AN625" s="27">
        <v>3.3959051815164197E-2</v>
      </c>
      <c r="AO625" s="11">
        <v>1.39160393915824</v>
      </c>
      <c r="AP625" s="11">
        <v>4.4072149393193802</v>
      </c>
      <c r="AQ625" t="s">
        <v>5874</v>
      </c>
      <c r="AR625" t="s">
        <v>5878</v>
      </c>
      <c r="AS625" t="s">
        <v>1681</v>
      </c>
    </row>
    <row r="626" spans="1:45">
      <c r="A626" t="s">
        <v>3861</v>
      </c>
      <c r="B626" s="2">
        <v>7</v>
      </c>
      <c r="C626" s="2">
        <v>9</v>
      </c>
      <c r="D626" s="2">
        <v>0</v>
      </c>
      <c r="E626" s="2">
        <v>0</v>
      </c>
      <c r="F626" s="2">
        <v>12</v>
      </c>
      <c r="G626" s="2">
        <v>8</v>
      </c>
      <c r="H626" s="2">
        <v>0</v>
      </c>
      <c r="I626" s="2">
        <v>3</v>
      </c>
      <c r="J626" s="2">
        <v>0</v>
      </c>
      <c r="K626" s="2">
        <v>0</v>
      </c>
      <c r="L626" s="2">
        <v>2</v>
      </c>
      <c r="M626" s="2">
        <v>3</v>
      </c>
      <c r="N626" s="2">
        <v>0</v>
      </c>
      <c r="O626" s="2">
        <v>0</v>
      </c>
      <c r="P626" s="2">
        <v>0</v>
      </c>
      <c r="Q626" s="2">
        <v>1</v>
      </c>
      <c r="R626" s="2">
        <v>8</v>
      </c>
      <c r="S626" s="2">
        <v>0</v>
      </c>
      <c r="T626" s="2">
        <v>0</v>
      </c>
      <c r="U626" s="11">
        <v>8.4815037708430996</v>
      </c>
      <c r="V626" s="11">
        <v>8.6675770860970207</v>
      </c>
      <c r="W626" s="11">
        <v>0.40019941545306398</v>
      </c>
      <c r="X626" s="11">
        <v>0.37798043978830698</v>
      </c>
      <c r="Y626" s="11">
        <v>10.322116319242699</v>
      </c>
      <c r="Z626" s="11">
        <v>7.43781797311593</v>
      </c>
      <c r="AA626" s="11">
        <v>0.26351557071616</v>
      </c>
      <c r="AB626" s="11">
        <v>2.9195507939469199</v>
      </c>
      <c r="AC626" s="11">
        <v>0.19868957331123899</v>
      </c>
      <c r="AD626" s="11">
        <v>1.2612992937765699</v>
      </c>
      <c r="AE626" s="11">
        <v>2.4001630448020301</v>
      </c>
      <c r="AF626" s="11">
        <v>0.21163676164998499</v>
      </c>
      <c r="AG626" s="11">
        <v>0.22969814145377901</v>
      </c>
      <c r="AH626" s="11">
        <v>0.78919057038512497</v>
      </c>
      <c r="AI626" s="11">
        <v>12.068320382899399</v>
      </c>
      <c r="AJ626" s="11">
        <v>0.38065921161865401</v>
      </c>
      <c r="AK626" s="16">
        <v>-1.2763786688273799</v>
      </c>
      <c r="AL626" s="16">
        <v>-2.2161357781258002</v>
      </c>
      <c r="AM626" s="26">
        <v>0.16628613133269801</v>
      </c>
      <c r="AN626" s="27">
        <v>0.22249084372315001</v>
      </c>
      <c r="AO626" s="11">
        <v>4.8587826711503999</v>
      </c>
      <c r="AP626" s="11">
        <v>2.1924571224871001</v>
      </c>
      <c r="AQ626" t="s">
        <v>5875</v>
      </c>
      <c r="AR626" t="s">
        <v>5832</v>
      </c>
      <c r="AS626" t="s">
        <v>3861</v>
      </c>
    </row>
    <row r="627" spans="1:45">
      <c r="A627" t="s">
        <v>5207</v>
      </c>
      <c r="B627" s="2">
        <v>1</v>
      </c>
      <c r="C627" s="2">
        <v>6</v>
      </c>
      <c r="D627" s="2">
        <v>7</v>
      </c>
      <c r="E627" s="2">
        <v>3</v>
      </c>
      <c r="F627" s="2">
        <v>1</v>
      </c>
      <c r="G627" s="2">
        <v>1</v>
      </c>
      <c r="H627" s="2">
        <v>1</v>
      </c>
      <c r="I627" s="2">
        <v>1</v>
      </c>
      <c r="J627" s="2">
        <v>6</v>
      </c>
      <c r="K627" s="2">
        <v>1</v>
      </c>
      <c r="L627" s="2">
        <v>9</v>
      </c>
      <c r="M627" s="2">
        <v>3</v>
      </c>
      <c r="N627" s="2">
        <v>2</v>
      </c>
      <c r="O627" s="2">
        <v>3</v>
      </c>
      <c r="P627" s="2">
        <v>4</v>
      </c>
      <c r="Q627" s="2">
        <v>2</v>
      </c>
      <c r="R627" s="2">
        <v>1</v>
      </c>
      <c r="S627" s="2">
        <v>0</v>
      </c>
      <c r="T627" s="2">
        <v>1</v>
      </c>
      <c r="U627" s="11">
        <v>1.2116433958347299</v>
      </c>
      <c r="V627" s="11">
        <v>5.7783847240646802</v>
      </c>
      <c r="W627" s="11">
        <v>11.2055836326858</v>
      </c>
      <c r="X627" s="11">
        <v>4.5357652774596904</v>
      </c>
      <c r="Y627" s="11">
        <v>0.86017635993689201</v>
      </c>
      <c r="Z627" s="11">
        <v>0.92972724663949102</v>
      </c>
      <c r="AA627" s="11">
        <v>1.05406228286464</v>
      </c>
      <c r="AB627" s="11">
        <v>0.97318359798230603</v>
      </c>
      <c r="AC627" s="11">
        <v>4.7685497594697397</v>
      </c>
      <c r="AD627" s="11">
        <v>5.6758468219945701</v>
      </c>
      <c r="AE627" s="11">
        <v>2.4001630448020301</v>
      </c>
      <c r="AF627" s="11">
        <v>1.6930940931998799</v>
      </c>
      <c r="AG627" s="11">
        <v>3.6751702632604601</v>
      </c>
      <c r="AH627" s="11">
        <v>1.5783811407702499</v>
      </c>
      <c r="AI627" s="11">
        <v>1.50854004786242</v>
      </c>
      <c r="AJ627" s="11">
        <v>1.5226368464746201</v>
      </c>
      <c r="AK627" s="16">
        <v>-3.6220330031059303E-2</v>
      </c>
      <c r="AL627" s="16">
        <v>-1.16326711632127</v>
      </c>
      <c r="AM627" s="26">
        <v>0.92086421533448004</v>
      </c>
      <c r="AN627" s="27">
        <v>0.94924215725541905</v>
      </c>
      <c r="AO627" s="11">
        <v>3.31856581468353</v>
      </c>
      <c r="AP627" s="11">
        <v>2.8527977522292498</v>
      </c>
      <c r="AQ627" t="s">
        <v>5875</v>
      </c>
      <c r="AR627" t="s">
        <v>5832</v>
      </c>
      <c r="AS627" t="s">
        <v>5207</v>
      </c>
    </row>
    <row r="628" spans="1:45">
      <c r="A628" t="s">
        <v>3381</v>
      </c>
      <c r="B628" s="2">
        <v>0.5</v>
      </c>
      <c r="C628" s="2">
        <v>2.8</v>
      </c>
      <c r="D628" s="2">
        <v>1</v>
      </c>
      <c r="E628" s="2">
        <v>1.5</v>
      </c>
      <c r="F628" s="2">
        <v>1</v>
      </c>
      <c r="G628" s="2">
        <v>0</v>
      </c>
      <c r="H628" s="2">
        <v>0</v>
      </c>
      <c r="I628" s="2">
        <v>1</v>
      </c>
      <c r="J628" s="2">
        <v>7</v>
      </c>
      <c r="K628" s="2">
        <v>2.5</v>
      </c>
      <c r="L628" s="2">
        <v>9</v>
      </c>
      <c r="M628" s="2">
        <v>10.286</v>
      </c>
      <c r="N628" s="2">
        <v>9.6</v>
      </c>
      <c r="O628" s="2">
        <v>0.5</v>
      </c>
      <c r="P628" s="2">
        <v>0.5</v>
      </c>
      <c r="Q628" s="2">
        <v>0</v>
      </c>
      <c r="R628" s="2">
        <v>1.5</v>
      </c>
      <c r="S628" s="2">
        <v>3</v>
      </c>
      <c r="T628" s="2">
        <v>1</v>
      </c>
      <c r="U628" s="11">
        <v>0.60582169791736495</v>
      </c>
      <c r="V628" s="11">
        <v>2.69657953789685</v>
      </c>
      <c r="W628" s="11">
        <v>1.6007976618122599</v>
      </c>
      <c r="X628" s="11">
        <v>2.2678826387298399</v>
      </c>
      <c r="Y628" s="11">
        <v>0.86017635993689201</v>
      </c>
      <c r="Z628" s="11">
        <v>0.23243181165987301</v>
      </c>
      <c r="AA628" s="11">
        <v>0.26351557071616</v>
      </c>
      <c r="AB628" s="11">
        <v>0.97318359798230603</v>
      </c>
      <c r="AC628" s="11">
        <v>5.5633080527147003</v>
      </c>
      <c r="AD628" s="11">
        <v>5.6758468219945701</v>
      </c>
      <c r="AE628" s="11">
        <v>8.2405597871536305</v>
      </c>
      <c r="AF628" s="11">
        <v>8.1268516473594303</v>
      </c>
      <c r="AG628" s="11">
        <v>0.45939628290755702</v>
      </c>
      <c r="AH628" s="11">
        <v>0.19729764259628099</v>
      </c>
      <c r="AI628" s="11">
        <v>2.2628100717936301</v>
      </c>
      <c r="AJ628" s="11">
        <v>1.5226368464746201</v>
      </c>
      <c r="AK628" s="16">
        <v>1.75667912960997</v>
      </c>
      <c r="AL628" s="16">
        <v>3.3734100329048999</v>
      </c>
      <c r="AM628" s="26">
        <v>1.6183939004268101E-2</v>
      </c>
      <c r="AN628" s="27">
        <v>2.8343076423705101E-2</v>
      </c>
      <c r="AO628" s="11">
        <v>1.18754860958144</v>
      </c>
      <c r="AP628" s="11">
        <v>4.0060883941243004</v>
      </c>
      <c r="AQ628" t="s">
        <v>5874</v>
      </c>
      <c r="AR628" t="s">
        <v>5878</v>
      </c>
      <c r="AS628" t="s">
        <v>3381</v>
      </c>
    </row>
    <row r="629" spans="1:45">
      <c r="A629" t="s">
        <v>1346</v>
      </c>
      <c r="B629" s="2">
        <v>5</v>
      </c>
      <c r="C629" s="2">
        <v>1</v>
      </c>
      <c r="D629" s="2">
        <v>7</v>
      </c>
      <c r="E629" s="2">
        <v>4</v>
      </c>
      <c r="F629" s="2">
        <v>9</v>
      </c>
      <c r="G629" s="2">
        <v>2</v>
      </c>
      <c r="H629" s="2">
        <v>0</v>
      </c>
      <c r="I629" s="2">
        <v>1</v>
      </c>
      <c r="J629" s="2">
        <v>3</v>
      </c>
      <c r="K629" s="2">
        <v>6</v>
      </c>
      <c r="L629" s="2">
        <v>0</v>
      </c>
      <c r="M629" s="2">
        <v>4</v>
      </c>
      <c r="N629" s="2">
        <v>1</v>
      </c>
      <c r="O629" s="2">
        <v>0</v>
      </c>
      <c r="P629" s="2">
        <v>4</v>
      </c>
      <c r="Q629" s="2">
        <v>0</v>
      </c>
      <c r="R629" s="2">
        <v>0</v>
      </c>
      <c r="S629" s="2">
        <v>4</v>
      </c>
      <c r="T629" s="2">
        <v>1</v>
      </c>
      <c r="U629" s="11">
        <v>6.0582169791736504</v>
      </c>
      <c r="V629" s="11">
        <v>0.96306412067744696</v>
      </c>
      <c r="W629" s="11">
        <v>11.2055836326858</v>
      </c>
      <c r="X629" s="11">
        <v>6.0476870366129196</v>
      </c>
      <c r="Y629" s="11">
        <v>7.7415872394320298</v>
      </c>
      <c r="Z629" s="11">
        <v>1.85945449327898</v>
      </c>
      <c r="AA629" s="11">
        <v>0.26351557071616</v>
      </c>
      <c r="AB629" s="11">
        <v>0.97318359798230603</v>
      </c>
      <c r="AC629" s="11">
        <v>2.3842748797348698</v>
      </c>
      <c r="AD629" s="11">
        <v>0.15766241172207099</v>
      </c>
      <c r="AE629" s="11">
        <v>3.2002173930693698</v>
      </c>
      <c r="AF629" s="11">
        <v>0.84654704659994096</v>
      </c>
      <c r="AG629" s="11">
        <v>3.6751702632604601</v>
      </c>
      <c r="AH629" s="11">
        <v>0.19729764259628099</v>
      </c>
      <c r="AI629" s="11">
        <v>0.377135011965606</v>
      </c>
      <c r="AJ629" s="11">
        <v>1.5226368464746201</v>
      </c>
      <c r="AK629" s="16">
        <v>-1.37305350928868</v>
      </c>
      <c r="AL629" s="16">
        <v>-2.8405840027282698</v>
      </c>
      <c r="AM629" s="26">
        <v>5.1294343408210499E-2</v>
      </c>
      <c r="AN629" s="27">
        <v>7.9251537505987998E-2</v>
      </c>
      <c r="AO629" s="11">
        <v>4.3890365838199097</v>
      </c>
      <c r="AP629" s="11">
        <v>1.5451176869279</v>
      </c>
      <c r="AQ629" t="s">
        <v>5875</v>
      </c>
      <c r="AR629" t="s">
        <v>5877</v>
      </c>
      <c r="AS629" t="s">
        <v>1346</v>
      </c>
    </row>
    <row r="630" spans="1:45">
      <c r="A630" t="s">
        <v>2137</v>
      </c>
      <c r="B630" s="2">
        <v>3</v>
      </c>
      <c r="C630" s="2">
        <v>7</v>
      </c>
      <c r="D630" s="2">
        <v>8</v>
      </c>
      <c r="E630" s="2">
        <v>8</v>
      </c>
      <c r="F630" s="2">
        <v>7</v>
      </c>
      <c r="G630" s="2">
        <v>4</v>
      </c>
      <c r="H630" s="2">
        <v>4</v>
      </c>
      <c r="I630" s="2">
        <v>3</v>
      </c>
      <c r="J630" s="2">
        <v>0</v>
      </c>
      <c r="K630" s="2">
        <v>0</v>
      </c>
      <c r="L630" s="2">
        <v>2</v>
      </c>
      <c r="M630" s="2">
        <v>0</v>
      </c>
      <c r="N630" s="2">
        <v>2</v>
      </c>
      <c r="O630" s="2">
        <v>0</v>
      </c>
      <c r="P630" s="2">
        <v>0</v>
      </c>
      <c r="Q630" s="2">
        <v>2</v>
      </c>
      <c r="R630" s="2">
        <v>0</v>
      </c>
      <c r="S630" s="2">
        <v>0</v>
      </c>
      <c r="T630" s="2">
        <v>2</v>
      </c>
      <c r="U630" s="11">
        <v>3.6349301875041902</v>
      </c>
      <c r="V630" s="11">
        <v>6.7414488447421297</v>
      </c>
      <c r="W630" s="11">
        <v>12.806381294498101</v>
      </c>
      <c r="X630" s="11">
        <v>12.0953740732258</v>
      </c>
      <c r="Y630" s="11">
        <v>6.0212345195582504</v>
      </c>
      <c r="Z630" s="11">
        <v>3.7189089865579601</v>
      </c>
      <c r="AA630" s="11">
        <v>4.21624913145856</v>
      </c>
      <c r="AB630" s="11">
        <v>2.9195507939469199</v>
      </c>
      <c r="AC630" s="11">
        <v>0.19868957331123899</v>
      </c>
      <c r="AD630" s="11">
        <v>1.2612992937765699</v>
      </c>
      <c r="AE630" s="11">
        <v>0.200013587066836</v>
      </c>
      <c r="AF630" s="11">
        <v>1.6930940931998799</v>
      </c>
      <c r="AG630" s="11">
        <v>0.22969814145377901</v>
      </c>
      <c r="AH630" s="11">
        <v>1.5783811407702499</v>
      </c>
      <c r="AI630" s="11">
        <v>0.377135011965606</v>
      </c>
      <c r="AJ630" s="11">
        <v>3.0452736929492299</v>
      </c>
      <c r="AK630" s="16">
        <v>-2.48461563446017</v>
      </c>
      <c r="AL630" s="16">
        <v>-6.0760254206047799</v>
      </c>
      <c r="AM630" s="26">
        <v>1.5780718446195E-5</v>
      </c>
      <c r="AN630" s="27">
        <v>5.4701039588106099E-5</v>
      </c>
      <c r="AO630" s="11">
        <v>6.5192597289364898</v>
      </c>
      <c r="AP630" s="11">
        <v>1.07294806681167</v>
      </c>
      <c r="AQ630" t="s">
        <v>5875</v>
      </c>
      <c r="AR630" t="s">
        <v>5876</v>
      </c>
      <c r="AS630" t="s">
        <v>2137</v>
      </c>
    </row>
    <row r="631" spans="1:45">
      <c r="A631" t="s">
        <v>3288</v>
      </c>
      <c r="B631" s="2">
        <v>0</v>
      </c>
      <c r="C631" s="2">
        <v>0</v>
      </c>
      <c r="D631" s="2">
        <v>2</v>
      </c>
      <c r="E631" s="2">
        <v>0</v>
      </c>
      <c r="F631" s="2">
        <v>4</v>
      </c>
      <c r="G631" s="2">
        <v>8</v>
      </c>
      <c r="H631" s="2">
        <v>3</v>
      </c>
      <c r="I631" s="2">
        <v>8</v>
      </c>
      <c r="J631" s="2">
        <v>3</v>
      </c>
      <c r="K631" s="2">
        <v>0</v>
      </c>
      <c r="L631" s="2">
        <v>5</v>
      </c>
      <c r="M631" s="2">
        <v>2</v>
      </c>
      <c r="N631" s="2">
        <v>2</v>
      </c>
      <c r="O631" s="2">
        <v>0</v>
      </c>
      <c r="P631" s="2">
        <v>5</v>
      </c>
      <c r="Q631" s="2">
        <v>6</v>
      </c>
      <c r="R631" s="2">
        <v>1</v>
      </c>
      <c r="S631" s="2">
        <v>0</v>
      </c>
      <c r="T631" s="2">
        <v>3</v>
      </c>
      <c r="U631" s="11">
        <v>0.30291084895868198</v>
      </c>
      <c r="V631" s="11">
        <v>0.24076603016936199</v>
      </c>
      <c r="W631" s="11">
        <v>3.2015953236245198</v>
      </c>
      <c r="X631" s="11">
        <v>0.37798043978830698</v>
      </c>
      <c r="Y631" s="11">
        <v>3.4407054397475698</v>
      </c>
      <c r="Z631" s="11">
        <v>7.43781797311593</v>
      </c>
      <c r="AA631" s="11">
        <v>3.1621868485939202</v>
      </c>
      <c r="AB631" s="11">
        <v>7.78546878385845</v>
      </c>
      <c r="AC631" s="11">
        <v>2.3842748797348698</v>
      </c>
      <c r="AD631" s="11">
        <v>3.1532482344414299</v>
      </c>
      <c r="AE631" s="11">
        <v>1.60010869653469</v>
      </c>
      <c r="AF631" s="11">
        <v>1.6930940931998799</v>
      </c>
      <c r="AG631" s="11">
        <v>4.5939628290755703</v>
      </c>
      <c r="AH631" s="11">
        <v>4.7351434223107498</v>
      </c>
      <c r="AI631" s="11">
        <v>1.50854004786242</v>
      </c>
      <c r="AJ631" s="11">
        <v>4.5679105394238499</v>
      </c>
      <c r="AK631" s="16">
        <v>-0.15515962410963</v>
      </c>
      <c r="AL631" s="16">
        <v>-1.0706853011853701</v>
      </c>
      <c r="AM631" s="26">
        <v>0.91942064189904804</v>
      </c>
      <c r="AN631" s="27">
        <v>0.94924215725541905</v>
      </c>
      <c r="AO631" s="11">
        <v>3.24367896098209</v>
      </c>
      <c r="AP631" s="11">
        <v>3.0295353428229301</v>
      </c>
      <c r="AQ631" t="s">
        <v>5875</v>
      </c>
      <c r="AR631" t="s">
        <v>5832</v>
      </c>
      <c r="AS631" t="s">
        <v>3288</v>
      </c>
    </row>
    <row r="632" spans="1:45">
      <c r="A632" t="s">
        <v>3782</v>
      </c>
      <c r="B632" s="2">
        <v>2</v>
      </c>
      <c r="C632" s="2">
        <v>5</v>
      </c>
      <c r="D632" s="2">
        <v>7</v>
      </c>
      <c r="E632" s="2">
        <v>11</v>
      </c>
      <c r="F632" s="2">
        <v>11</v>
      </c>
      <c r="G632" s="2">
        <v>6</v>
      </c>
      <c r="H632" s="2">
        <v>4</v>
      </c>
      <c r="I632" s="2">
        <v>3</v>
      </c>
      <c r="J632" s="2">
        <v>0</v>
      </c>
      <c r="K632" s="2">
        <v>0</v>
      </c>
      <c r="L632" s="2">
        <v>3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11">
        <v>2.4232867916694598</v>
      </c>
      <c r="V632" s="11">
        <v>4.8153206033872298</v>
      </c>
      <c r="W632" s="11">
        <v>11.2055836326858</v>
      </c>
      <c r="X632" s="11">
        <v>16.631139350685501</v>
      </c>
      <c r="Y632" s="11">
        <v>9.4619399593058091</v>
      </c>
      <c r="Z632" s="11">
        <v>5.5783634798369501</v>
      </c>
      <c r="AA632" s="11">
        <v>4.21624913145856</v>
      </c>
      <c r="AB632" s="11">
        <v>2.9195507939469199</v>
      </c>
      <c r="AC632" s="11">
        <v>0.19868957331123899</v>
      </c>
      <c r="AD632" s="11">
        <v>1.89194894066486</v>
      </c>
      <c r="AE632" s="11">
        <v>0.200013587066836</v>
      </c>
      <c r="AF632" s="11">
        <v>0.21163676164998499</v>
      </c>
      <c r="AG632" s="11">
        <v>0.22969814145377901</v>
      </c>
      <c r="AH632" s="11">
        <v>0.19729764259628099</v>
      </c>
      <c r="AI632" s="11">
        <v>0.377135011965606</v>
      </c>
      <c r="AJ632" s="11">
        <v>0.38065921161865401</v>
      </c>
      <c r="AK632" s="16">
        <v>-3.4680649887477601</v>
      </c>
      <c r="AL632" s="16">
        <v>-15.527585863085999</v>
      </c>
      <c r="AM632" s="26">
        <v>6.6797547900655901E-8</v>
      </c>
      <c r="AN632" s="27">
        <v>4.7539956963339102E-7</v>
      </c>
      <c r="AO632" s="11">
        <v>7.1564292178720299</v>
      </c>
      <c r="AP632" s="11">
        <v>0.46088485879090502</v>
      </c>
      <c r="AQ632" t="s">
        <v>5875</v>
      </c>
      <c r="AR632" t="s">
        <v>5876</v>
      </c>
      <c r="AS632" t="s">
        <v>3782</v>
      </c>
    </row>
    <row r="633" spans="1:45">
      <c r="A633" t="s">
        <v>3804</v>
      </c>
      <c r="B633" s="2">
        <v>6</v>
      </c>
      <c r="C633" s="2">
        <v>0</v>
      </c>
      <c r="D633" s="2">
        <v>4</v>
      </c>
      <c r="E633" s="2">
        <v>5</v>
      </c>
      <c r="F633" s="2">
        <v>6</v>
      </c>
      <c r="G633" s="2">
        <v>4</v>
      </c>
      <c r="H633" s="2">
        <v>8</v>
      </c>
      <c r="I633" s="2">
        <v>1</v>
      </c>
      <c r="J633" s="2">
        <v>2</v>
      </c>
      <c r="K633" s="2">
        <v>0</v>
      </c>
      <c r="L633" s="2">
        <v>2</v>
      </c>
      <c r="M633" s="2">
        <v>2</v>
      </c>
      <c r="N633" s="2">
        <v>3</v>
      </c>
      <c r="O633" s="2">
        <v>2</v>
      </c>
      <c r="P633" s="2">
        <v>3</v>
      </c>
      <c r="Q633" s="2">
        <v>2</v>
      </c>
      <c r="R633" s="2">
        <v>1</v>
      </c>
      <c r="S633" s="2">
        <v>0</v>
      </c>
      <c r="T633" s="2">
        <v>1</v>
      </c>
      <c r="U633" s="11">
        <v>7.2698603750083803</v>
      </c>
      <c r="V633" s="11">
        <v>0.24076603016936199</v>
      </c>
      <c r="W633" s="11">
        <v>6.4031906472490299</v>
      </c>
      <c r="X633" s="11">
        <v>7.5596087957661497</v>
      </c>
      <c r="Y633" s="11">
        <v>5.1610581596213496</v>
      </c>
      <c r="Z633" s="11">
        <v>3.7189089865579601</v>
      </c>
      <c r="AA633" s="11">
        <v>8.4324982629171306</v>
      </c>
      <c r="AB633" s="11">
        <v>0.97318359798230603</v>
      </c>
      <c r="AC633" s="11">
        <v>1.5895165864899099</v>
      </c>
      <c r="AD633" s="11">
        <v>1.2612992937765699</v>
      </c>
      <c r="AE633" s="11">
        <v>1.60010869653469</v>
      </c>
      <c r="AF633" s="11">
        <v>2.5396411397998202</v>
      </c>
      <c r="AG633" s="11">
        <v>2.7563776974453398</v>
      </c>
      <c r="AH633" s="11">
        <v>1.5783811407702499</v>
      </c>
      <c r="AI633" s="11">
        <v>1.50854004786242</v>
      </c>
      <c r="AJ633" s="11">
        <v>1.5226368464746201</v>
      </c>
      <c r="AK633" s="16">
        <v>-1.35801729000421</v>
      </c>
      <c r="AL633" s="16">
        <v>-2.7694125199016102</v>
      </c>
      <c r="AM633" s="26">
        <v>1.13590419377574E-2</v>
      </c>
      <c r="AN633" s="27">
        <v>2.0649997435760101E-2</v>
      </c>
      <c r="AO633" s="11">
        <v>4.9698843569089597</v>
      </c>
      <c r="AP633" s="11">
        <v>1.7945626811441999</v>
      </c>
      <c r="AQ633" t="s">
        <v>5875</v>
      </c>
      <c r="AR633" t="s">
        <v>5878</v>
      </c>
      <c r="AS633" t="s">
        <v>3804</v>
      </c>
    </row>
    <row r="634" spans="1:45">
      <c r="A634" t="s">
        <v>4667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16</v>
      </c>
      <c r="K634" s="2">
        <v>0</v>
      </c>
      <c r="L634" s="2">
        <v>17</v>
      </c>
      <c r="M634" s="2">
        <v>3</v>
      </c>
      <c r="N634" s="2">
        <v>4</v>
      </c>
      <c r="O634" s="2">
        <v>0</v>
      </c>
      <c r="P634" s="2">
        <v>3</v>
      </c>
      <c r="Q634" s="2">
        <v>9</v>
      </c>
      <c r="R634" s="2">
        <v>0</v>
      </c>
      <c r="S634" s="2">
        <v>0</v>
      </c>
      <c r="T634" s="2">
        <v>0</v>
      </c>
      <c r="U634" s="11">
        <v>0.30291084895868198</v>
      </c>
      <c r="V634" s="11">
        <v>0.24076603016936199</v>
      </c>
      <c r="W634" s="11">
        <v>0.40019941545306398</v>
      </c>
      <c r="X634" s="11">
        <v>0.37798043978830698</v>
      </c>
      <c r="Y634" s="11">
        <v>0.215044089984223</v>
      </c>
      <c r="Z634" s="11">
        <v>0.23243181165987301</v>
      </c>
      <c r="AA634" s="11">
        <v>0.26351557071616</v>
      </c>
      <c r="AB634" s="11">
        <v>0.24329589949557701</v>
      </c>
      <c r="AC634" s="11">
        <v>12.716132691919301</v>
      </c>
      <c r="AD634" s="11">
        <v>10.7210439971009</v>
      </c>
      <c r="AE634" s="11">
        <v>2.4001630448020301</v>
      </c>
      <c r="AF634" s="11">
        <v>3.3861881863997598</v>
      </c>
      <c r="AG634" s="11">
        <v>2.7563776974453398</v>
      </c>
      <c r="AH634" s="11">
        <v>7.1027151334661296</v>
      </c>
      <c r="AI634" s="11">
        <v>0.377135011965606</v>
      </c>
      <c r="AJ634" s="11">
        <v>0.38065921161865401</v>
      </c>
      <c r="AK634" s="16">
        <v>3.7591411598612101</v>
      </c>
      <c r="AL634" s="16">
        <v>17.5034677574914</v>
      </c>
      <c r="AM634" s="26">
        <v>2.9526940735339601E-5</v>
      </c>
      <c r="AN634" s="27">
        <v>9.4064396914010298E-5</v>
      </c>
      <c r="AO634" s="11">
        <v>0.28451801327815601</v>
      </c>
      <c r="AP634" s="11">
        <v>4.9800518718397102</v>
      </c>
      <c r="AQ634" t="s">
        <v>5874</v>
      </c>
      <c r="AR634" t="s">
        <v>5876</v>
      </c>
      <c r="AS634" t="s">
        <v>4667</v>
      </c>
    </row>
    <row r="635" spans="1:45">
      <c r="A635" t="s">
        <v>5733</v>
      </c>
      <c r="B635" s="2">
        <v>2</v>
      </c>
      <c r="C635" s="2">
        <v>1</v>
      </c>
      <c r="D635" s="2">
        <v>0</v>
      </c>
      <c r="E635" s="2">
        <v>0</v>
      </c>
      <c r="F635" s="2">
        <v>1</v>
      </c>
      <c r="G635" s="2">
        <v>2</v>
      </c>
      <c r="H635" s="2">
        <v>3</v>
      </c>
      <c r="I635" s="2">
        <v>8</v>
      </c>
      <c r="J635" s="2">
        <v>4</v>
      </c>
      <c r="K635" s="2">
        <v>0</v>
      </c>
      <c r="L635" s="2">
        <v>8</v>
      </c>
      <c r="M635" s="2">
        <v>3</v>
      </c>
      <c r="N635" s="2">
        <v>1</v>
      </c>
      <c r="O635" s="2">
        <v>0</v>
      </c>
      <c r="P635" s="2">
        <v>8</v>
      </c>
      <c r="Q635" s="2">
        <v>7</v>
      </c>
      <c r="R635" s="2">
        <v>1</v>
      </c>
      <c r="S635" s="2">
        <v>1</v>
      </c>
      <c r="T635" s="2">
        <v>2</v>
      </c>
      <c r="U635" s="11">
        <v>2.4232867916694598</v>
      </c>
      <c r="V635" s="11">
        <v>0.96306412067744696</v>
      </c>
      <c r="W635" s="11">
        <v>0.40019941545306398</v>
      </c>
      <c r="X635" s="11">
        <v>0.37798043978830698</v>
      </c>
      <c r="Y635" s="11">
        <v>0.86017635993689201</v>
      </c>
      <c r="Z635" s="11">
        <v>1.85945449327898</v>
      </c>
      <c r="AA635" s="11">
        <v>3.1621868485939202</v>
      </c>
      <c r="AB635" s="11">
        <v>7.78546878385845</v>
      </c>
      <c r="AC635" s="11">
        <v>3.17903317297983</v>
      </c>
      <c r="AD635" s="11">
        <v>5.0451971751062796</v>
      </c>
      <c r="AE635" s="11">
        <v>2.4001630448020301</v>
      </c>
      <c r="AF635" s="11">
        <v>0.84654704659994096</v>
      </c>
      <c r="AG635" s="11">
        <v>7.3503405265209096</v>
      </c>
      <c r="AH635" s="11">
        <v>5.5243339926958699</v>
      </c>
      <c r="AI635" s="11">
        <v>1.50854004786242</v>
      </c>
      <c r="AJ635" s="11">
        <v>3.0452736929492299</v>
      </c>
      <c r="AK635" s="16">
        <v>0.64264961224872497</v>
      </c>
      <c r="AL635" s="16">
        <v>1.6206664911978499</v>
      </c>
      <c r="AM635" s="26">
        <v>0.28809946508800799</v>
      </c>
      <c r="AN635" s="27">
        <v>0.365727783954226</v>
      </c>
      <c r="AO635" s="11">
        <v>2.22897715665707</v>
      </c>
      <c r="AP635" s="11">
        <v>3.6124285874395698</v>
      </c>
      <c r="AQ635" t="s">
        <v>5874</v>
      </c>
      <c r="AR635" t="s">
        <v>5832</v>
      </c>
      <c r="AS635" t="s">
        <v>5733</v>
      </c>
    </row>
    <row r="636" spans="1:45">
      <c r="A636" t="s">
        <v>5779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8</v>
      </c>
      <c r="K636" s="2">
        <v>0</v>
      </c>
      <c r="L636" s="2">
        <v>10</v>
      </c>
      <c r="M636" s="2">
        <v>5</v>
      </c>
      <c r="N636" s="2">
        <v>15</v>
      </c>
      <c r="O636" s="2">
        <v>3</v>
      </c>
      <c r="P636" s="2">
        <v>1</v>
      </c>
      <c r="Q636" s="2">
        <v>6</v>
      </c>
      <c r="R636" s="2">
        <v>2</v>
      </c>
      <c r="S636" s="2">
        <v>0</v>
      </c>
      <c r="T636" s="2">
        <v>2</v>
      </c>
      <c r="U636" s="11">
        <v>0.30291084895868198</v>
      </c>
      <c r="V636" s="11">
        <v>0.24076603016936199</v>
      </c>
      <c r="W636" s="11">
        <v>0.40019941545306398</v>
      </c>
      <c r="X636" s="11">
        <v>0.37798043978830698</v>
      </c>
      <c r="Y636" s="11">
        <v>0.215044089984223</v>
      </c>
      <c r="Z636" s="11">
        <v>0.23243181165987301</v>
      </c>
      <c r="AA636" s="11">
        <v>0.26351557071616</v>
      </c>
      <c r="AB636" s="11">
        <v>0.24329589949557701</v>
      </c>
      <c r="AC636" s="11">
        <v>6.35806634595966</v>
      </c>
      <c r="AD636" s="11">
        <v>6.3064964688828598</v>
      </c>
      <c r="AE636" s="11">
        <v>4.0002717413367099</v>
      </c>
      <c r="AF636" s="11">
        <v>12.6982056989991</v>
      </c>
      <c r="AG636" s="11">
        <v>0.91879256581511404</v>
      </c>
      <c r="AH636" s="11">
        <v>4.7351434223107498</v>
      </c>
      <c r="AI636" s="11">
        <v>3.0170800957248498</v>
      </c>
      <c r="AJ636" s="11">
        <v>3.0452736929492299</v>
      </c>
      <c r="AK636" s="16">
        <v>3.77642266732822</v>
      </c>
      <c r="AL636" s="16">
        <v>18.047772071911599</v>
      </c>
      <c r="AM636" s="26">
        <v>1.1879373819530199E-6</v>
      </c>
      <c r="AN636" s="27">
        <v>5.8009496972742396E-6</v>
      </c>
      <c r="AO636" s="11">
        <v>0.28451801327815601</v>
      </c>
      <c r="AP636" s="11">
        <v>5.1349162539972903</v>
      </c>
      <c r="AQ636" t="s">
        <v>5874</v>
      </c>
      <c r="AR636" t="s">
        <v>5876</v>
      </c>
      <c r="AS636" t="s">
        <v>5779</v>
      </c>
    </row>
    <row r="637" spans="1:45">
      <c r="A637" t="s">
        <v>680</v>
      </c>
      <c r="B637" s="2">
        <v>1</v>
      </c>
      <c r="C637" s="2">
        <v>1</v>
      </c>
      <c r="D637" s="2">
        <v>1</v>
      </c>
      <c r="E637" s="2">
        <v>0</v>
      </c>
      <c r="F637" s="2">
        <v>2</v>
      </c>
      <c r="G637" s="2">
        <v>8</v>
      </c>
      <c r="H637" s="2">
        <v>1</v>
      </c>
      <c r="I637" s="2">
        <v>12</v>
      </c>
      <c r="J637" s="2">
        <v>4</v>
      </c>
      <c r="K637" s="2">
        <v>0</v>
      </c>
      <c r="L637" s="2">
        <v>5</v>
      </c>
      <c r="M637" s="2">
        <v>4.5709999999999997</v>
      </c>
      <c r="N637" s="2">
        <v>6</v>
      </c>
      <c r="O637" s="2">
        <v>0</v>
      </c>
      <c r="P637" s="2">
        <v>2</v>
      </c>
      <c r="Q637" s="2">
        <v>3</v>
      </c>
      <c r="R637" s="2">
        <v>0</v>
      </c>
      <c r="S637" s="2">
        <v>0</v>
      </c>
      <c r="T637" s="2">
        <v>1</v>
      </c>
      <c r="U637" s="11">
        <v>1.2116433958347299</v>
      </c>
      <c r="V637" s="11">
        <v>0.96306412067744696</v>
      </c>
      <c r="W637" s="11">
        <v>1.6007976618122599</v>
      </c>
      <c r="X637" s="11">
        <v>0.37798043978830698</v>
      </c>
      <c r="Y637" s="11">
        <v>1.72035271987378</v>
      </c>
      <c r="Z637" s="11">
        <v>7.43781797311593</v>
      </c>
      <c r="AA637" s="11">
        <v>1.05406228286464</v>
      </c>
      <c r="AB637" s="11">
        <v>11.678203175787701</v>
      </c>
      <c r="AC637" s="11">
        <v>3.17903317297983</v>
      </c>
      <c r="AD637" s="11">
        <v>3.1532482344414299</v>
      </c>
      <c r="AE637" s="11">
        <v>3.6802500020297799</v>
      </c>
      <c r="AF637" s="11">
        <v>5.0792822795996404</v>
      </c>
      <c r="AG637" s="11">
        <v>1.8375851316302301</v>
      </c>
      <c r="AH637" s="11">
        <v>2.36757171115537</v>
      </c>
      <c r="AI637" s="11">
        <v>0.377135011965606</v>
      </c>
      <c r="AJ637" s="11">
        <v>1.5226368464746201</v>
      </c>
      <c r="AK637" s="16">
        <v>-0.28305970246669299</v>
      </c>
      <c r="AL637" s="16">
        <v>-1.2286756752632799</v>
      </c>
      <c r="AM637" s="26">
        <v>0.69948841154831098</v>
      </c>
      <c r="AN637" s="27">
        <v>0.76714384807511504</v>
      </c>
      <c r="AO637" s="11">
        <v>3.2554902212193499</v>
      </c>
      <c r="AP637" s="11">
        <v>2.64959279878456</v>
      </c>
      <c r="AQ637" t="s">
        <v>5875</v>
      </c>
      <c r="AR637" t="s">
        <v>5832</v>
      </c>
      <c r="AS637" t="s">
        <v>680</v>
      </c>
    </row>
    <row r="638" spans="1:45">
      <c r="A638" t="s">
        <v>1218</v>
      </c>
      <c r="B638" s="2">
        <v>0</v>
      </c>
      <c r="C638" s="2">
        <v>7.2409999999999997</v>
      </c>
      <c r="D638" s="2">
        <v>0</v>
      </c>
      <c r="E638" s="2">
        <v>2.8119999999999998</v>
      </c>
      <c r="F638" s="2">
        <v>16.87</v>
      </c>
      <c r="G638" s="2">
        <v>15.689</v>
      </c>
      <c r="H638" s="2">
        <v>2.956</v>
      </c>
      <c r="I638" s="2">
        <v>4.2839999999999998</v>
      </c>
      <c r="J638" s="2">
        <v>0</v>
      </c>
      <c r="K638" s="2">
        <v>0</v>
      </c>
      <c r="L638" s="2">
        <v>0</v>
      </c>
      <c r="M638" s="2">
        <v>0</v>
      </c>
      <c r="N638" s="2">
        <v>1.522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11">
        <v>0.30291084895868198</v>
      </c>
      <c r="V638" s="11">
        <v>6.9340616688776198</v>
      </c>
      <c r="W638" s="11">
        <v>0.40019941545306398</v>
      </c>
      <c r="X638" s="11">
        <v>4.2333809256290396</v>
      </c>
      <c r="Y638" s="11">
        <v>14.536980482933499</v>
      </c>
      <c r="Z638" s="11">
        <v>14.59671777224</v>
      </c>
      <c r="AA638" s="11">
        <v>3.1621868485939202</v>
      </c>
      <c r="AB638" s="11">
        <v>4.18468947132392</v>
      </c>
      <c r="AC638" s="11">
        <v>0.19868957331123899</v>
      </c>
      <c r="AD638" s="11">
        <v>0.15766241172207099</v>
      </c>
      <c r="AE638" s="11">
        <v>0.200013587066836</v>
      </c>
      <c r="AF638" s="11">
        <v>1.2698205698999101</v>
      </c>
      <c r="AG638" s="11">
        <v>0.22969814145377901</v>
      </c>
      <c r="AH638" s="11">
        <v>0.19729764259628099</v>
      </c>
      <c r="AI638" s="11">
        <v>0.377135011965606</v>
      </c>
      <c r="AJ638" s="11">
        <v>0.38065921161865401</v>
      </c>
      <c r="AK638" s="16">
        <v>-3.7007877298574199</v>
      </c>
      <c r="AL638" s="16">
        <v>-16.058289747622499</v>
      </c>
      <c r="AM638" s="26">
        <v>1.1247720969700999E-5</v>
      </c>
      <c r="AN638" s="27">
        <v>4.0674190966108002E-5</v>
      </c>
      <c r="AO638" s="11">
        <v>6.0438909292512202</v>
      </c>
      <c r="AP638" s="11">
        <v>0.37637201870429698</v>
      </c>
      <c r="AQ638" t="s">
        <v>5875</v>
      </c>
      <c r="AR638" t="s">
        <v>5876</v>
      </c>
      <c r="AS638" t="s">
        <v>1218</v>
      </c>
    </row>
    <row r="639" spans="1:45">
      <c r="A639" t="s">
        <v>1754</v>
      </c>
      <c r="B639" s="2">
        <v>1.218</v>
      </c>
      <c r="C639" s="2">
        <v>0.218</v>
      </c>
      <c r="D639" s="2">
        <v>0</v>
      </c>
      <c r="E639" s="2">
        <v>0.436</v>
      </c>
      <c r="F639" s="2">
        <v>0.218</v>
      </c>
      <c r="G639" s="2">
        <v>0.218</v>
      </c>
      <c r="H639" s="2">
        <v>0.72299999999999998</v>
      </c>
      <c r="I639" s="2">
        <v>0.57999999999999996</v>
      </c>
      <c r="J639" s="2">
        <v>8.4990000000000006</v>
      </c>
      <c r="K639" s="2">
        <v>1.0900000000000001</v>
      </c>
      <c r="L639" s="2">
        <v>7.2809999999999997</v>
      </c>
      <c r="M639" s="2">
        <v>5.2329999999999997</v>
      </c>
      <c r="N639" s="2">
        <v>6.468</v>
      </c>
      <c r="O639" s="2">
        <v>1</v>
      </c>
      <c r="P639" s="2">
        <v>9.1639999999999997</v>
      </c>
      <c r="Q639" s="2">
        <v>5.3769999999999998</v>
      </c>
      <c r="R639" s="2">
        <v>1</v>
      </c>
      <c r="S639" s="2">
        <v>0.218</v>
      </c>
      <c r="T639" s="2">
        <v>2.218</v>
      </c>
      <c r="U639" s="11">
        <v>1.45397207500168</v>
      </c>
      <c r="V639" s="11">
        <v>0.192612824135489</v>
      </c>
      <c r="W639" s="11">
        <v>0.40019941545306398</v>
      </c>
      <c r="X639" s="11">
        <v>0.60476870366129198</v>
      </c>
      <c r="Y639" s="11">
        <v>0.172035271987378</v>
      </c>
      <c r="Z639" s="11">
        <v>0.185945449327898</v>
      </c>
      <c r="AA639" s="11">
        <v>0.73784359800524801</v>
      </c>
      <c r="AB639" s="11">
        <v>0.58391015878938402</v>
      </c>
      <c r="AC639" s="11">
        <v>6.7554454925821403</v>
      </c>
      <c r="AD639" s="11">
        <v>4.6037424222844896</v>
      </c>
      <c r="AE639" s="11">
        <v>4.1602826109901798</v>
      </c>
      <c r="AF639" s="11">
        <v>5.50255580289961</v>
      </c>
      <c r="AG639" s="11">
        <v>8.4528916054990493</v>
      </c>
      <c r="AH639" s="11">
        <v>4.2616290800796799</v>
      </c>
      <c r="AI639" s="11">
        <v>1.50854004786242</v>
      </c>
      <c r="AJ639" s="11">
        <v>3.3498010622441599</v>
      </c>
      <c r="AK639" s="16">
        <v>3.01407961144848</v>
      </c>
      <c r="AL639" s="16">
        <v>8.9107195393665304</v>
      </c>
      <c r="AM639" s="26">
        <v>3.1678634967029102E-6</v>
      </c>
      <c r="AN639" s="27">
        <v>1.3413295438571201E-5</v>
      </c>
      <c r="AO639" s="11">
        <v>0.54141093704517895</v>
      </c>
      <c r="AP639" s="11">
        <v>4.8243610155552199</v>
      </c>
      <c r="AQ639" t="s">
        <v>5874</v>
      </c>
      <c r="AR639" t="s">
        <v>5876</v>
      </c>
      <c r="AS639" t="s">
        <v>1754</v>
      </c>
    </row>
    <row r="640" spans="1:45">
      <c r="A640" t="s">
        <v>2427</v>
      </c>
      <c r="B640" s="2">
        <v>3</v>
      </c>
      <c r="C640" s="2">
        <v>0</v>
      </c>
      <c r="D640" s="2">
        <v>0.5</v>
      </c>
      <c r="E640" s="2">
        <v>0</v>
      </c>
      <c r="F640" s="2">
        <v>0</v>
      </c>
      <c r="G640" s="2">
        <v>1</v>
      </c>
      <c r="H640" s="2">
        <v>0.5</v>
      </c>
      <c r="I640" s="2">
        <v>0.5</v>
      </c>
      <c r="J640" s="2">
        <v>6</v>
      </c>
      <c r="K640" s="2">
        <v>2</v>
      </c>
      <c r="L640" s="2">
        <v>12.5</v>
      </c>
      <c r="M640" s="2">
        <v>0</v>
      </c>
      <c r="N640" s="2">
        <v>1.5</v>
      </c>
      <c r="O640" s="2">
        <v>0</v>
      </c>
      <c r="P640" s="2">
        <v>7</v>
      </c>
      <c r="Q640" s="2">
        <v>5</v>
      </c>
      <c r="R640" s="2">
        <v>3</v>
      </c>
      <c r="S640" s="2">
        <v>1.5</v>
      </c>
      <c r="T640" s="2">
        <v>7</v>
      </c>
      <c r="U640" s="11">
        <v>3.6349301875041902</v>
      </c>
      <c r="V640" s="11">
        <v>0.24076603016936199</v>
      </c>
      <c r="W640" s="11">
        <v>0.80039883090612896</v>
      </c>
      <c r="X640" s="11">
        <v>0.37798043978830698</v>
      </c>
      <c r="Y640" s="11">
        <v>0.215044089984223</v>
      </c>
      <c r="Z640" s="11">
        <v>0.92972724663949102</v>
      </c>
      <c r="AA640" s="11">
        <v>0.52703114143231999</v>
      </c>
      <c r="AB640" s="11">
        <v>0.48659179899115301</v>
      </c>
      <c r="AC640" s="11">
        <v>4.7685497594697397</v>
      </c>
      <c r="AD640" s="11">
        <v>7.88312058610357</v>
      </c>
      <c r="AE640" s="11">
        <v>0.200013587066836</v>
      </c>
      <c r="AF640" s="11">
        <v>1.2698205698999101</v>
      </c>
      <c r="AG640" s="11">
        <v>6.4315479607058004</v>
      </c>
      <c r="AH640" s="11">
        <v>3.94595285192562</v>
      </c>
      <c r="AI640" s="11">
        <v>4.5256201435872701</v>
      </c>
      <c r="AJ640" s="11">
        <v>10.658457925322301</v>
      </c>
      <c r="AK640" s="16">
        <v>2.3299790892862098</v>
      </c>
      <c r="AL640" s="16">
        <v>5.5020103618828502</v>
      </c>
      <c r="AM640" s="26">
        <v>5.8354547392201403E-4</v>
      </c>
      <c r="AN640" s="27">
        <v>1.40428748940226E-3</v>
      </c>
      <c r="AO640" s="11">
        <v>0.90155872067689702</v>
      </c>
      <c r="AP640" s="11">
        <v>4.9603854230101296</v>
      </c>
      <c r="AQ640" t="s">
        <v>5874</v>
      </c>
      <c r="AR640" t="s">
        <v>5876</v>
      </c>
      <c r="AS640" t="s">
        <v>2427</v>
      </c>
    </row>
    <row r="641" spans="1:45">
      <c r="A641" t="s">
        <v>336</v>
      </c>
      <c r="B641" s="2">
        <v>4</v>
      </c>
      <c r="C641" s="2">
        <v>6</v>
      </c>
      <c r="D641" s="2">
        <v>4</v>
      </c>
      <c r="E641" s="2">
        <v>5</v>
      </c>
      <c r="F641" s="2">
        <v>5</v>
      </c>
      <c r="G641" s="2">
        <v>6</v>
      </c>
      <c r="H641" s="2">
        <v>5</v>
      </c>
      <c r="I641" s="2">
        <v>2</v>
      </c>
      <c r="J641" s="2">
        <v>1</v>
      </c>
      <c r="K641" s="2">
        <v>0</v>
      </c>
      <c r="L641" s="2">
        <v>1</v>
      </c>
      <c r="M641" s="2">
        <v>3</v>
      </c>
      <c r="N641" s="2">
        <v>2</v>
      </c>
      <c r="O641" s="2">
        <v>0</v>
      </c>
      <c r="P641" s="2">
        <v>2</v>
      </c>
      <c r="Q641" s="2">
        <v>3</v>
      </c>
      <c r="R641" s="2">
        <v>1</v>
      </c>
      <c r="S641" s="2">
        <v>0</v>
      </c>
      <c r="T641" s="2">
        <v>1</v>
      </c>
      <c r="U641" s="11">
        <v>4.8465735833389196</v>
      </c>
      <c r="V641" s="11">
        <v>5.7783847240646802</v>
      </c>
      <c r="W641" s="11">
        <v>6.4031906472490299</v>
      </c>
      <c r="X641" s="11">
        <v>7.5596087957661497</v>
      </c>
      <c r="Y641" s="11">
        <v>4.3008817996844604</v>
      </c>
      <c r="Z641" s="11">
        <v>5.5783634798369501</v>
      </c>
      <c r="AA641" s="11">
        <v>5.2703114143232002</v>
      </c>
      <c r="AB641" s="11">
        <v>1.9463671959646101</v>
      </c>
      <c r="AC641" s="11">
        <v>0.79475829324495695</v>
      </c>
      <c r="AD641" s="11">
        <v>0.63064964688828595</v>
      </c>
      <c r="AE641" s="11">
        <v>2.4001630448020301</v>
      </c>
      <c r="AF641" s="11">
        <v>1.6930940931998799</v>
      </c>
      <c r="AG641" s="11">
        <v>1.8375851316302301</v>
      </c>
      <c r="AH641" s="11">
        <v>2.36757171115537</v>
      </c>
      <c r="AI641" s="11">
        <v>1.50854004786242</v>
      </c>
      <c r="AJ641" s="11">
        <v>1.5226368464746201</v>
      </c>
      <c r="AK641" s="16">
        <v>-1.6149596150777701</v>
      </c>
      <c r="AL641" s="16">
        <v>-3.2680270883573201</v>
      </c>
      <c r="AM641" s="26">
        <v>4.2904154931174899E-4</v>
      </c>
      <c r="AN641" s="27">
        <v>1.0513875329287901E-3</v>
      </c>
      <c r="AO641" s="11">
        <v>5.2104602050285003</v>
      </c>
      <c r="AP641" s="11">
        <v>1.5943748519072201</v>
      </c>
      <c r="AQ641" t="s">
        <v>5875</v>
      </c>
      <c r="AR641" t="s">
        <v>5876</v>
      </c>
      <c r="AS641" t="s">
        <v>336</v>
      </c>
    </row>
    <row r="642" spans="1:45">
      <c r="A642" t="s">
        <v>859</v>
      </c>
      <c r="B642" s="2">
        <v>4</v>
      </c>
      <c r="C642" s="2">
        <v>5</v>
      </c>
      <c r="D642" s="2">
        <v>5</v>
      </c>
      <c r="E642" s="2">
        <v>7</v>
      </c>
      <c r="F642" s="2">
        <v>10</v>
      </c>
      <c r="G642" s="2">
        <v>9</v>
      </c>
      <c r="H642" s="2">
        <v>4</v>
      </c>
      <c r="I642" s="2">
        <v>3</v>
      </c>
      <c r="J642" s="2">
        <v>0</v>
      </c>
      <c r="K642" s="2">
        <v>0</v>
      </c>
      <c r="L642" s="2">
        <v>1</v>
      </c>
      <c r="M642" s="2">
        <v>1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s="11">
        <v>4.8465735833389196</v>
      </c>
      <c r="V642" s="11">
        <v>4.8153206033872298</v>
      </c>
      <c r="W642" s="11">
        <v>8.00398830906129</v>
      </c>
      <c r="X642" s="11">
        <v>10.5834523140726</v>
      </c>
      <c r="Y642" s="11">
        <v>8.6017635993689208</v>
      </c>
      <c r="Z642" s="11">
        <v>8.3675452197554208</v>
      </c>
      <c r="AA642" s="11">
        <v>4.21624913145856</v>
      </c>
      <c r="AB642" s="11">
        <v>2.9195507939469199</v>
      </c>
      <c r="AC642" s="11">
        <v>0.19868957331123899</v>
      </c>
      <c r="AD642" s="11">
        <v>0.63064964688828595</v>
      </c>
      <c r="AE642" s="11">
        <v>0.80005434826734301</v>
      </c>
      <c r="AF642" s="11">
        <v>0.21163676164998499</v>
      </c>
      <c r="AG642" s="11">
        <v>0.22969814145377901</v>
      </c>
      <c r="AH642" s="11">
        <v>0.78919057038512497</v>
      </c>
      <c r="AI642" s="11">
        <v>0.377135011965606</v>
      </c>
      <c r="AJ642" s="11">
        <v>0.38065921161865401</v>
      </c>
      <c r="AK642" s="16">
        <v>-3.45881725418359</v>
      </c>
      <c r="AL642" s="16">
        <v>-14.471695159780699</v>
      </c>
      <c r="AM642" s="26">
        <v>1.6864067149765299E-9</v>
      </c>
      <c r="AN642" s="27">
        <v>2.01395956446705E-8</v>
      </c>
      <c r="AO642" s="11">
        <v>6.5443054442987298</v>
      </c>
      <c r="AP642" s="11">
        <v>0.45221415819250199</v>
      </c>
      <c r="AQ642" t="s">
        <v>5875</v>
      </c>
      <c r="AR642" t="s">
        <v>5876</v>
      </c>
      <c r="AS642" t="s">
        <v>859</v>
      </c>
    </row>
    <row r="643" spans="1:45">
      <c r="A643" t="s">
        <v>3199</v>
      </c>
      <c r="B643" s="2">
        <v>0</v>
      </c>
      <c r="C643" s="2">
        <v>1</v>
      </c>
      <c r="D643" s="2">
        <v>0</v>
      </c>
      <c r="E643" s="2">
        <v>0</v>
      </c>
      <c r="F643" s="2">
        <v>1</v>
      </c>
      <c r="G643" s="2">
        <v>4</v>
      </c>
      <c r="H643" s="2">
        <v>4</v>
      </c>
      <c r="I643" s="2">
        <v>3</v>
      </c>
      <c r="J643" s="2">
        <v>9</v>
      </c>
      <c r="K643" s="2">
        <v>1</v>
      </c>
      <c r="L643" s="2">
        <v>9</v>
      </c>
      <c r="M643" s="2">
        <v>8</v>
      </c>
      <c r="N643" s="2">
        <v>4</v>
      </c>
      <c r="O643" s="2">
        <v>4</v>
      </c>
      <c r="P643" s="2">
        <v>2</v>
      </c>
      <c r="Q643" s="2">
        <v>0</v>
      </c>
      <c r="R643" s="2">
        <v>1</v>
      </c>
      <c r="S643" s="2">
        <v>0</v>
      </c>
      <c r="T643" s="2">
        <v>0</v>
      </c>
      <c r="U643" s="11">
        <v>0.30291084895868198</v>
      </c>
      <c r="V643" s="11">
        <v>0.96306412067744696</v>
      </c>
      <c r="W643" s="11">
        <v>0.40019941545306398</v>
      </c>
      <c r="X643" s="11">
        <v>0.37798043978830698</v>
      </c>
      <c r="Y643" s="11">
        <v>0.86017635993689201</v>
      </c>
      <c r="Z643" s="11">
        <v>3.7189089865579601</v>
      </c>
      <c r="AA643" s="11">
        <v>4.21624913145856</v>
      </c>
      <c r="AB643" s="11">
        <v>2.9195507939469199</v>
      </c>
      <c r="AC643" s="11">
        <v>7.1528246392046197</v>
      </c>
      <c r="AD643" s="11">
        <v>5.6758468219945701</v>
      </c>
      <c r="AE643" s="11">
        <v>6.4004347861387396</v>
      </c>
      <c r="AF643" s="11">
        <v>3.3861881863997598</v>
      </c>
      <c r="AG643" s="11">
        <v>1.8375851316302301</v>
      </c>
      <c r="AH643" s="11">
        <v>0.19729764259628099</v>
      </c>
      <c r="AI643" s="11">
        <v>1.50854004786242</v>
      </c>
      <c r="AJ643" s="11">
        <v>0.38065921161865401</v>
      </c>
      <c r="AK643" s="16">
        <v>0.90376643476823904</v>
      </c>
      <c r="AL643" s="16">
        <v>1.9288683135432101</v>
      </c>
      <c r="AM643" s="26">
        <v>0.18645871515593099</v>
      </c>
      <c r="AN643" s="27">
        <v>0.24791816370810099</v>
      </c>
      <c r="AO643" s="11">
        <v>1.71988001209723</v>
      </c>
      <c r="AP643" s="11">
        <v>3.31742205843066</v>
      </c>
      <c r="AQ643" t="s">
        <v>5874</v>
      </c>
      <c r="AR643" t="s">
        <v>5832</v>
      </c>
      <c r="AS643" t="s">
        <v>3199</v>
      </c>
    </row>
    <row r="644" spans="1:45">
      <c r="A644" t="s">
        <v>3538</v>
      </c>
      <c r="B644" s="2">
        <v>0</v>
      </c>
      <c r="C644" s="2">
        <v>6</v>
      </c>
      <c r="D644" s="2">
        <v>2</v>
      </c>
      <c r="E644" s="2">
        <v>6</v>
      </c>
      <c r="F644" s="2">
        <v>15</v>
      </c>
      <c r="G644" s="2">
        <v>10</v>
      </c>
      <c r="H644" s="2">
        <v>6</v>
      </c>
      <c r="I644" s="2">
        <v>4</v>
      </c>
      <c r="J644" s="2">
        <v>0</v>
      </c>
      <c r="K644" s="2">
        <v>0</v>
      </c>
      <c r="L644" s="2">
        <v>2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11">
        <v>0.30291084895868198</v>
      </c>
      <c r="V644" s="11">
        <v>5.7783847240646802</v>
      </c>
      <c r="W644" s="11">
        <v>3.2015953236245198</v>
      </c>
      <c r="X644" s="11">
        <v>9.0715305549193808</v>
      </c>
      <c r="Y644" s="11">
        <v>12.9026453990534</v>
      </c>
      <c r="Z644" s="11">
        <v>9.2972724663949098</v>
      </c>
      <c r="AA644" s="11">
        <v>6.3243736971878404</v>
      </c>
      <c r="AB644" s="11">
        <v>3.8927343919292201</v>
      </c>
      <c r="AC644" s="11">
        <v>0.19868957331123899</v>
      </c>
      <c r="AD644" s="11">
        <v>1.2612992937765699</v>
      </c>
      <c r="AE644" s="11">
        <v>0.200013587066836</v>
      </c>
      <c r="AF644" s="11">
        <v>0.21163676164998499</v>
      </c>
      <c r="AG644" s="11">
        <v>0.22969814145377901</v>
      </c>
      <c r="AH644" s="11">
        <v>0.19729764259628099</v>
      </c>
      <c r="AI644" s="11">
        <v>0.377135011965606</v>
      </c>
      <c r="AJ644" s="11">
        <v>0.38065921161865401</v>
      </c>
      <c r="AK644" s="16">
        <v>-3.6241423115476201</v>
      </c>
      <c r="AL644" s="16">
        <v>-16.611360412595101</v>
      </c>
      <c r="AM644" s="26">
        <v>2.2083944182147801E-7</v>
      </c>
      <c r="AN644" s="27">
        <v>1.31912130873722E-6</v>
      </c>
      <c r="AO644" s="11">
        <v>6.3464309257665796</v>
      </c>
      <c r="AP644" s="11">
        <v>0.38205365292986898</v>
      </c>
      <c r="AQ644" t="s">
        <v>5875</v>
      </c>
      <c r="AR644" t="s">
        <v>5876</v>
      </c>
      <c r="AS644" t="s">
        <v>3538</v>
      </c>
    </row>
    <row r="645" spans="1:45">
      <c r="A645" t="s">
        <v>3811</v>
      </c>
      <c r="B645" s="2">
        <v>1</v>
      </c>
      <c r="C645" s="2">
        <v>0</v>
      </c>
      <c r="D645" s="2">
        <v>0</v>
      </c>
      <c r="E645" s="2">
        <v>0</v>
      </c>
      <c r="F645" s="2">
        <v>0</v>
      </c>
      <c r="G645" s="2">
        <v>3</v>
      </c>
      <c r="H645" s="2">
        <v>1</v>
      </c>
      <c r="I645" s="2">
        <v>2</v>
      </c>
      <c r="J645" s="2">
        <v>5</v>
      </c>
      <c r="K645" s="2">
        <v>3</v>
      </c>
      <c r="L645" s="2">
        <v>9</v>
      </c>
      <c r="M645" s="2">
        <v>4</v>
      </c>
      <c r="N645" s="2">
        <v>6</v>
      </c>
      <c r="O645" s="2">
        <v>4</v>
      </c>
      <c r="P645" s="2">
        <v>4</v>
      </c>
      <c r="Q645" s="2">
        <v>4</v>
      </c>
      <c r="R645" s="2">
        <v>0</v>
      </c>
      <c r="S645" s="2">
        <v>0</v>
      </c>
      <c r="T645" s="2">
        <v>5</v>
      </c>
      <c r="U645" s="11">
        <v>1.2116433958347299</v>
      </c>
      <c r="V645" s="11">
        <v>0.24076603016936199</v>
      </c>
      <c r="W645" s="11">
        <v>0.40019941545306398</v>
      </c>
      <c r="X645" s="11">
        <v>0.37798043978830698</v>
      </c>
      <c r="Y645" s="11">
        <v>0.215044089984223</v>
      </c>
      <c r="Z645" s="11">
        <v>2.7891817399184702</v>
      </c>
      <c r="AA645" s="11">
        <v>1.05406228286464</v>
      </c>
      <c r="AB645" s="11">
        <v>1.9463671959646101</v>
      </c>
      <c r="AC645" s="11">
        <v>3.9737914662247902</v>
      </c>
      <c r="AD645" s="11">
        <v>5.6758468219945701</v>
      </c>
      <c r="AE645" s="11">
        <v>3.2002173930693698</v>
      </c>
      <c r="AF645" s="11">
        <v>5.0792822795996404</v>
      </c>
      <c r="AG645" s="11">
        <v>3.6751702632604601</v>
      </c>
      <c r="AH645" s="11">
        <v>3.1567622815404999</v>
      </c>
      <c r="AI645" s="11">
        <v>0.377135011965606</v>
      </c>
      <c r="AJ645" s="11">
        <v>7.6131842323730803</v>
      </c>
      <c r="AK645" s="16">
        <v>1.8212018989952701</v>
      </c>
      <c r="AL645" s="16">
        <v>3.9769783874892601</v>
      </c>
      <c r="AM645" s="26">
        <v>1.9375075840287999E-3</v>
      </c>
      <c r="AN645" s="27">
        <v>4.1280018271186896E-3</v>
      </c>
      <c r="AO645" s="11">
        <v>1.0294055737471799</v>
      </c>
      <c r="AP645" s="11">
        <v>4.0939237187534996</v>
      </c>
      <c r="AQ645" t="s">
        <v>5874</v>
      </c>
      <c r="AR645" t="s">
        <v>5876</v>
      </c>
      <c r="AS645" t="s">
        <v>3811</v>
      </c>
    </row>
    <row r="646" spans="1:45">
      <c r="A646" t="s">
        <v>4713</v>
      </c>
      <c r="B646" s="2">
        <v>1</v>
      </c>
      <c r="C646" s="2">
        <v>1</v>
      </c>
      <c r="D646" s="2">
        <v>0</v>
      </c>
      <c r="E646" s="2">
        <v>0</v>
      </c>
      <c r="F646" s="2">
        <v>4</v>
      </c>
      <c r="G646" s="2">
        <v>0</v>
      </c>
      <c r="H646" s="2">
        <v>0</v>
      </c>
      <c r="I646" s="2">
        <v>3</v>
      </c>
      <c r="J646" s="2">
        <v>5</v>
      </c>
      <c r="K646" s="2">
        <v>0</v>
      </c>
      <c r="L646" s="2">
        <v>10</v>
      </c>
      <c r="M646" s="2">
        <v>3</v>
      </c>
      <c r="N646" s="2">
        <v>6</v>
      </c>
      <c r="O646" s="2">
        <v>9</v>
      </c>
      <c r="P646" s="2">
        <v>7</v>
      </c>
      <c r="Q646" s="2">
        <v>1</v>
      </c>
      <c r="R646" s="2">
        <v>0</v>
      </c>
      <c r="S646" s="2">
        <v>0</v>
      </c>
      <c r="T646" s="2">
        <v>1</v>
      </c>
      <c r="U646" s="11">
        <v>1.2116433958347299</v>
      </c>
      <c r="V646" s="11">
        <v>0.96306412067744696</v>
      </c>
      <c r="W646" s="11">
        <v>0.40019941545306398</v>
      </c>
      <c r="X646" s="11">
        <v>0.37798043978830698</v>
      </c>
      <c r="Y646" s="11">
        <v>3.4407054397475698</v>
      </c>
      <c r="Z646" s="11">
        <v>0.23243181165987301</v>
      </c>
      <c r="AA646" s="11">
        <v>0.26351557071616</v>
      </c>
      <c r="AB646" s="11">
        <v>2.9195507939469199</v>
      </c>
      <c r="AC646" s="11">
        <v>3.9737914662247902</v>
      </c>
      <c r="AD646" s="11">
        <v>6.3064964688828598</v>
      </c>
      <c r="AE646" s="11">
        <v>2.4001630448020301</v>
      </c>
      <c r="AF646" s="11">
        <v>5.0792822795996404</v>
      </c>
      <c r="AG646" s="11">
        <v>6.4315479607058004</v>
      </c>
      <c r="AH646" s="11">
        <v>0.78919057038512497</v>
      </c>
      <c r="AI646" s="11">
        <v>0.377135011965606</v>
      </c>
      <c r="AJ646" s="11">
        <v>1.5226368464746201</v>
      </c>
      <c r="AK646" s="16">
        <v>1.34334558655495</v>
      </c>
      <c r="AL646" s="16">
        <v>2.7403399236898398</v>
      </c>
      <c r="AM646" s="26">
        <v>3.9860857221376902E-2</v>
      </c>
      <c r="AN646" s="27">
        <v>6.33175183831267E-2</v>
      </c>
      <c r="AO646" s="11">
        <v>1.22613637347801</v>
      </c>
      <c r="AP646" s="11">
        <v>3.36003045613006</v>
      </c>
      <c r="AQ646" t="s">
        <v>5874</v>
      </c>
      <c r="AR646" t="s">
        <v>5877</v>
      </c>
      <c r="AS646" t="s">
        <v>4713</v>
      </c>
    </row>
    <row r="647" spans="1:45">
      <c r="A647" t="s">
        <v>5130</v>
      </c>
      <c r="B647" s="2">
        <v>5</v>
      </c>
      <c r="C647" s="2">
        <v>1</v>
      </c>
      <c r="D647" s="2">
        <v>3</v>
      </c>
      <c r="E647" s="2">
        <v>0</v>
      </c>
      <c r="F647" s="2">
        <v>1</v>
      </c>
      <c r="G647" s="2">
        <v>7</v>
      </c>
      <c r="H647" s="2">
        <v>2</v>
      </c>
      <c r="I647" s="2">
        <v>3</v>
      </c>
      <c r="J647" s="2">
        <v>1</v>
      </c>
      <c r="K647" s="2">
        <v>0</v>
      </c>
      <c r="L647" s="2">
        <v>4</v>
      </c>
      <c r="M647" s="2">
        <v>4</v>
      </c>
      <c r="N647" s="2">
        <v>1</v>
      </c>
      <c r="O647" s="2">
        <v>3</v>
      </c>
      <c r="P647" s="2">
        <v>4</v>
      </c>
      <c r="Q647" s="2">
        <v>4</v>
      </c>
      <c r="R647" s="2">
        <v>5</v>
      </c>
      <c r="S647" s="2">
        <v>1</v>
      </c>
      <c r="T647" s="2">
        <v>2</v>
      </c>
      <c r="U647" s="11">
        <v>6.0582169791736504</v>
      </c>
      <c r="V647" s="11">
        <v>0.96306412067744696</v>
      </c>
      <c r="W647" s="11">
        <v>4.8023929854367697</v>
      </c>
      <c r="X647" s="11">
        <v>0.37798043978830698</v>
      </c>
      <c r="Y647" s="11">
        <v>0.86017635993689201</v>
      </c>
      <c r="Z647" s="11">
        <v>6.50809072647644</v>
      </c>
      <c r="AA647" s="11">
        <v>2.10812456572928</v>
      </c>
      <c r="AB647" s="11">
        <v>2.9195507939469199</v>
      </c>
      <c r="AC647" s="11">
        <v>0.79475829324495695</v>
      </c>
      <c r="AD647" s="11">
        <v>2.5225985875531398</v>
      </c>
      <c r="AE647" s="11">
        <v>3.2002173930693698</v>
      </c>
      <c r="AF647" s="11">
        <v>0.84654704659994096</v>
      </c>
      <c r="AG647" s="11">
        <v>3.6751702632604601</v>
      </c>
      <c r="AH647" s="11">
        <v>3.1567622815404999</v>
      </c>
      <c r="AI647" s="11">
        <v>7.5427002393121096</v>
      </c>
      <c r="AJ647" s="11">
        <v>3.0452736929492299</v>
      </c>
      <c r="AK647" s="16">
        <v>-6.3686131444238694E-2</v>
      </c>
      <c r="AL647" s="16">
        <v>1.00757922924677</v>
      </c>
      <c r="AM647" s="26">
        <v>1</v>
      </c>
      <c r="AN647" s="27">
        <v>1</v>
      </c>
      <c r="AO647" s="11">
        <v>3.0746996213957098</v>
      </c>
      <c r="AP647" s="11">
        <v>3.0980034746912102</v>
      </c>
      <c r="AQ647" t="s">
        <v>5874</v>
      </c>
      <c r="AR647" t="s">
        <v>5832</v>
      </c>
      <c r="AS647" t="s">
        <v>5130</v>
      </c>
    </row>
    <row r="648" spans="1:45">
      <c r="A648" t="s">
        <v>1495</v>
      </c>
      <c r="B648" s="2">
        <v>2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4</v>
      </c>
      <c r="K648" s="2">
        <v>3</v>
      </c>
      <c r="L648" s="2">
        <v>8</v>
      </c>
      <c r="M648" s="2">
        <v>4</v>
      </c>
      <c r="N648" s="2">
        <v>3</v>
      </c>
      <c r="O648" s="2">
        <v>0.5</v>
      </c>
      <c r="P648" s="2">
        <v>6</v>
      </c>
      <c r="Q648" s="2">
        <v>9</v>
      </c>
      <c r="R648" s="2">
        <v>2</v>
      </c>
      <c r="S648" s="2">
        <v>6</v>
      </c>
      <c r="T648" s="2">
        <v>3</v>
      </c>
      <c r="U648" s="11">
        <v>2.4232867916694598</v>
      </c>
      <c r="V648" s="11">
        <v>0.24076603016936199</v>
      </c>
      <c r="W648" s="11">
        <v>0.40019941545306398</v>
      </c>
      <c r="X648" s="11">
        <v>0.37798043978830698</v>
      </c>
      <c r="Y648" s="11">
        <v>0.215044089984223</v>
      </c>
      <c r="Z648" s="11">
        <v>0.23243181165987301</v>
      </c>
      <c r="AA648" s="11">
        <v>0.26351557071616</v>
      </c>
      <c r="AB648" s="11">
        <v>0.24329589949557701</v>
      </c>
      <c r="AC648" s="11">
        <v>3.17903317297983</v>
      </c>
      <c r="AD648" s="11">
        <v>5.0451971751062796</v>
      </c>
      <c r="AE648" s="11">
        <v>3.2002173930693698</v>
      </c>
      <c r="AF648" s="11">
        <v>2.5396411397998202</v>
      </c>
      <c r="AG648" s="11">
        <v>5.5127553948906796</v>
      </c>
      <c r="AH648" s="11">
        <v>7.1027151334661296</v>
      </c>
      <c r="AI648" s="11">
        <v>3.0170800957248498</v>
      </c>
      <c r="AJ648" s="11">
        <v>4.5679105394238499</v>
      </c>
      <c r="AK648" s="16">
        <v>2.8111276525115301</v>
      </c>
      <c r="AL648" s="16">
        <v>7.77081638754923</v>
      </c>
      <c r="AM648" s="26">
        <v>2.1316276860784699E-5</v>
      </c>
      <c r="AN648" s="27">
        <v>7.1132330494372005E-5</v>
      </c>
      <c r="AO648" s="11">
        <v>0.54956500611700299</v>
      </c>
      <c r="AP648" s="11">
        <v>4.2705687555576004</v>
      </c>
      <c r="AQ648" t="s">
        <v>5874</v>
      </c>
      <c r="AR648" t="s">
        <v>5876</v>
      </c>
      <c r="AS648" t="s">
        <v>1495</v>
      </c>
    </row>
    <row r="649" spans="1:45">
      <c r="A649" t="s">
        <v>2619</v>
      </c>
      <c r="B649" s="2">
        <v>5</v>
      </c>
      <c r="C649" s="2">
        <v>6</v>
      </c>
      <c r="D649" s="2">
        <v>15</v>
      </c>
      <c r="E649" s="2">
        <v>7</v>
      </c>
      <c r="F649" s="2">
        <v>3</v>
      </c>
      <c r="G649" s="2">
        <v>3.1389999999999998</v>
      </c>
      <c r="H649" s="2">
        <v>4</v>
      </c>
      <c r="I649" s="2">
        <v>2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4.1379999999999999</v>
      </c>
      <c r="R649" s="2">
        <v>0</v>
      </c>
      <c r="S649" s="2">
        <v>0</v>
      </c>
      <c r="T649" s="2">
        <v>0</v>
      </c>
      <c r="U649" s="11">
        <v>6.0582169791736504</v>
      </c>
      <c r="V649" s="11">
        <v>5.7783847240646802</v>
      </c>
      <c r="W649" s="11">
        <v>24.0119649271839</v>
      </c>
      <c r="X649" s="11">
        <v>10.5834523140726</v>
      </c>
      <c r="Y649" s="11">
        <v>2.5805290798106801</v>
      </c>
      <c r="Z649" s="11">
        <v>2.88215446458242</v>
      </c>
      <c r="AA649" s="11">
        <v>4.21624913145856</v>
      </c>
      <c r="AB649" s="11">
        <v>1.9463671959646101</v>
      </c>
      <c r="AC649" s="11">
        <v>0.19868957331123899</v>
      </c>
      <c r="AD649" s="11">
        <v>0.15766241172207099</v>
      </c>
      <c r="AE649" s="11">
        <v>0.80005434826734301</v>
      </c>
      <c r="AF649" s="11">
        <v>0.21163676164998499</v>
      </c>
      <c r="AG649" s="11">
        <v>0.22969814145377901</v>
      </c>
      <c r="AH649" s="11">
        <v>3.2356813385790102</v>
      </c>
      <c r="AI649" s="11">
        <v>0.377135011965606</v>
      </c>
      <c r="AJ649" s="11">
        <v>0.38065921161865401</v>
      </c>
      <c r="AK649" s="16">
        <v>-3.0497158985405202</v>
      </c>
      <c r="AL649" s="16">
        <v>-10.3836643986303</v>
      </c>
      <c r="AM649" s="26">
        <v>1.8871726171730101E-5</v>
      </c>
      <c r="AN649" s="27">
        <v>6.3763559640845499E-5</v>
      </c>
      <c r="AO649" s="11">
        <v>7.2571648520388798</v>
      </c>
      <c r="AP649" s="11">
        <v>0.69890209982096096</v>
      </c>
      <c r="AQ649" t="s">
        <v>5875</v>
      </c>
      <c r="AR649" t="s">
        <v>5876</v>
      </c>
      <c r="AS649" t="s">
        <v>2619</v>
      </c>
    </row>
    <row r="650" spans="1:45">
      <c r="A650" t="s">
        <v>1013</v>
      </c>
      <c r="B650" s="2">
        <v>0</v>
      </c>
      <c r="C650" s="2">
        <v>10</v>
      </c>
      <c r="D650" s="2">
        <v>3</v>
      </c>
      <c r="E650" s="2">
        <v>0</v>
      </c>
      <c r="F650" s="2">
        <v>9</v>
      </c>
      <c r="G650" s="2">
        <v>3</v>
      </c>
      <c r="H650" s="2">
        <v>3</v>
      </c>
      <c r="I650" s="2">
        <v>6</v>
      </c>
      <c r="J650" s="2">
        <v>4</v>
      </c>
      <c r="K650" s="2">
        <v>0</v>
      </c>
      <c r="L650" s="2">
        <v>4</v>
      </c>
      <c r="M650" s="2">
        <v>0</v>
      </c>
      <c r="N650" s="2">
        <v>0</v>
      </c>
      <c r="O650" s="2">
        <v>1</v>
      </c>
      <c r="P650" s="2">
        <v>0</v>
      </c>
      <c r="Q650" s="2">
        <v>4</v>
      </c>
      <c r="R650" s="2">
        <v>3</v>
      </c>
      <c r="S650" s="2">
        <v>0</v>
      </c>
      <c r="T650" s="2">
        <v>0</v>
      </c>
      <c r="U650" s="11">
        <v>0.30291084895868198</v>
      </c>
      <c r="V650" s="11">
        <v>9.6306412067744702</v>
      </c>
      <c r="W650" s="11">
        <v>4.8023929854367697</v>
      </c>
      <c r="X650" s="11">
        <v>0.37798043978830698</v>
      </c>
      <c r="Y650" s="11">
        <v>7.7415872394320298</v>
      </c>
      <c r="Z650" s="11">
        <v>2.7891817399184702</v>
      </c>
      <c r="AA650" s="11">
        <v>3.1621868485939202</v>
      </c>
      <c r="AB650" s="11">
        <v>5.8391015878938397</v>
      </c>
      <c r="AC650" s="11">
        <v>3.17903317297983</v>
      </c>
      <c r="AD650" s="11">
        <v>2.5225985875531398</v>
      </c>
      <c r="AE650" s="11">
        <v>0.200013587066836</v>
      </c>
      <c r="AF650" s="11">
        <v>0.21163676164998499</v>
      </c>
      <c r="AG650" s="11">
        <v>0.22969814145377901</v>
      </c>
      <c r="AH650" s="11">
        <v>3.1567622815404999</v>
      </c>
      <c r="AI650" s="11">
        <v>4.5256201435872701</v>
      </c>
      <c r="AJ650" s="11">
        <v>0.38065921161865401</v>
      </c>
      <c r="AK650" s="16">
        <v>-1.2666643746800399</v>
      </c>
      <c r="AL650" s="16">
        <v>-2.4049653101651098</v>
      </c>
      <c r="AM650" s="26">
        <v>6.65285881376525E-2</v>
      </c>
      <c r="AN650" s="27">
        <v>9.9347378268056993E-2</v>
      </c>
      <c r="AO650" s="11">
        <v>4.3307478620995603</v>
      </c>
      <c r="AP650" s="11">
        <v>1.8007527359312501</v>
      </c>
      <c r="AQ650" t="s">
        <v>5875</v>
      </c>
      <c r="AR650" t="s">
        <v>5877</v>
      </c>
      <c r="AS650" t="s">
        <v>1013</v>
      </c>
    </row>
    <row r="651" spans="1:45">
      <c r="A651" t="s">
        <v>1745</v>
      </c>
      <c r="B651" s="2">
        <v>3</v>
      </c>
      <c r="C651" s="2">
        <v>3</v>
      </c>
      <c r="D651" s="2">
        <v>2</v>
      </c>
      <c r="E651" s="2">
        <v>3</v>
      </c>
      <c r="F651" s="2">
        <v>8</v>
      </c>
      <c r="G651" s="2">
        <v>6</v>
      </c>
      <c r="H651" s="2">
        <v>5</v>
      </c>
      <c r="I651" s="2">
        <v>9</v>
      </c>
      <c r="J651" s="2">
        <v>0</v>
      </c>
      <c r="K651" s="2">
        <v>0</v>
      </c>
      <c r="L651" s="2">
        <v>0</v>
      </c>
      <c r="M651" s="2">
        <v>3</v>
      </c>
      <c r="N651" s="2">
        <v>0</v>
      </c>
      <c r="O651" s="2">
        <v>0</v>
      </c>
      <c r="P651" s="2">
        <v>0</v>
      </c>
      <c r="Q651" s="2">
        <v>4</v>
      </c>
      <c r="R651" s="2">
        <v>1</v>
      </c>
      <c r="S651" s="2">
        <v>0</v>
      </c>
      <c r="T651" s="2">
        <v>3</v>
      </c>
      <c r="U651" s="11">
        <v>3.6349301875041902</v>
      </c>
      <c r="V651" s="11">
        <v>2.8891923620323401</v>
      </c>
      <c r="W651" s="11">
        <v>3.2015953236245198</v>
      </c>
      <c r="X651" s="11">
        <v>4.5357652774596904</v>
      </c>
      <c r="Y651" s="11">
        <v>6.8814108794951396</v>
      </c>
      <c r="Z651" s="11">
        <v>5.5783634798369501</v>
      </c>
      <c r="AA651" s="11">
        <v>5.2703114143232002</v>
      </c>
      <c r="AB651" s="11">
        <v>8.7586523818407507</v>
      </c>
      <c r="AC651" s="11">
        <v>0.19868957331123899</v>
      </c>
      <c r="AD651" s="11">
        <v>0.15766241172207099</v>
      </c>
      <c r="AE651" s="11">
        <v>2.4001630448020301</v>
      </c>
      <c r="AF651" s="11">
        <v>0.21163676164998499</v>
      </c>
      <c r="AG651" s="11">
        <v>0.22969814145377901</v>
      </c>
      <c r="AH651" s="11">
        <v>3.1567622815404999</v>
      </c>
      <c r="AI651" s="11">
        <v>1.50854004786242</v>
      </c>
      <c r="AJ651" s="11">
        <v>4.5679105394238499</v>
      </c>
      <c r="AK651" s="16">
        <v>-1.83225376551301</v>
      </c>
      <c r="AL651" s="16">
        <v>-3.27809632659309</v>
      </c>
      <c r="AM651" s="26">
        <v>1.6639612350599501E-3</v>
      </c>
      <c r="AN651" s="27">
        <v>3.6142534618672198E-3</v>
      </c>
      <c r="AO651" s="11">
        <v>5.0937776632645999</v>
      </c>
      <c r="AP651" s="11">
        <v>1.55388285022073</v>
      </c>
      <c r="AQ651" t="s">
        <v>5875</v>
      </c>
      <c r="AR651" t="s">
        <v>5876</v>
      </c>
      <c r="AS651" t="s">
        <v>1745</v>
      </c>
    </row>
    <row r="652" spans="1:45">
      <c r="A652" t="s">
        <v>2677</v>
      </c>
      <c r="B652" s="2">
        <v>1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2</v>
      </c>
      <c r="L652" s="2">
        <v>9</v>
      </c>
      <c r="M652" s="2">
        <v>4</v>
      </c>
      <c r="N652" s="2">
        <v>5</v>
      </c>
      <c r="O652" s="2">
        <v>2</v>
      </c>
      <c r="P652" s="2">
        <v>10</v>
      </c>
      <c r="Q652" s="2">
        <v>4</v>
      </c>
      <c r="R652" s="2">
        <v>1</v>
      </c>
      <c r="S652" s="2">
        <v>2</v>
      </c>
      <c r="T652" s="2">
        <v>3</v>
      </c>
      <c r="U652" s="11">
        <v>1.2116433958347299</v>
      </c>
      <c r="V652" s="11">
        <v>0.24076603016936199</v>
      </c>
      <c r="W652" s="11">
        <v>0.40019941545306398</v>
      </c>
      <c r="X652" s="11">
        <v>0.37798043978830698</v>
      </c>
      <c r="Y652" s="11">
        <v>0.215044089984223</v>
      </c>
      <c r="Z652" s="11">
        <v>0.23243181165987301</v>
      </c>
      <c r="AA652" s="11">
        <v>0.26351557071616</v>
      </c>
      <c r="AB652" s="11">
        <v>0.24329589949557701</v>
      </c>
      <c r="AC652" s="11">
        <v>5.5633080527147003</v>
      </c>
      <c r="AD652" s="11">
        <v>5.6758468219945701</v>
      </c>
      <c r="AE652" s="11">
        <v>3.2002173930693698</v>
      </c>
      <c r="AF652" s="11">
        <v>4.2327352329997003</v>
      </c>
      <c r="AG652" s="11">
        <v>9.1879256581511406</v>
      </c>
      <c r="AH652" s="11">
        <v>3.1567622815404999</v>
      </c>
      <c r="AI652" s="11">
        <v>1.50854004786242</v>
      </c>
      <c r="AJ652" s="11">
        <v>4.5679105394238499</v>
      </c>
      <c r="AK652" s="16">
        <v>3.2915800913678002</v>
      </c>
      <c r="AL652" s="16">
        <v>11.6466821381093</v>
      </c>
      <c r="AM652" s="26">
        <v>2.24060423141258E-6</v>
      </c>
      <c r="AN652" s="27">
        <v>9.6707369730000896E-6</v>
      </c>
      <c r="AO652" s="11">
        <v>0.39810958163766202</v>
      </c>
      <c r="AP652" s="11">
        <v>4.6366557534695296</v>
      </c>
      <c r="AQ652" t="s">
        <v>5874</v>
      </c>
      <c r="AR652" t="s">
        <v>5876</v>
      </c>
      <c r="AS652" t="s">
        <v>2677</v>
      </c>
    </row>
    <row r="653" spans="1:45">
      <c r="A653" t="s">
        <v>3251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5</v>
      </c>
      <c r="I653" s="2">
        <v>1</v>
      </c>
      <c r="J653" s="2">
        <v>2</v>
      </c>
      <c r="K653" s="2">
        <v>0</v>
      </c>
      <c r="L653" s="2">
        <v>8</v>
      </c>
      <c r="M653" s="2">
        <v>4</v>
      </c>
      <c r="N653" s="2">
        <v>1</v>
      </c>
      <c r="O653" s="2">
        <v>0</v>
      </c>
      <c r="P653" s="2">
        <v>17</v>
      </c>
      <c r="Q653" s="2">
        <v>9</v>
      </c>
      <c r="R653" s="2">
        <v>1</v>
      </c>
      <c r="S653" s="2">
        <v>0</v>
      </c>
      <c r="T653" s="2">
        <v>2</v>
      </c>
      <c r="U653" s="11">
        <v>0.30291084895868198</v>
      </c>
      <c r="V653" s="11">
        <v>0.24076603016936199</v>
      </c>
      <c r="W653" s="11">
        <v>0.40019941545306398</v>
      </c>
      <c r="X653" s="11">
        <v>0.37798043978830698</v>
      </c>
      <c r="Y653" s="11">
        <v>0.215044089984223</v>
      </c>
      <c r="Z653" s="11">
        <v>0.23243181165987301</v>
      </c>
      <c r="AA653" s="11">
        <v>5.2703114143232002</v>
      </c>
      <c r="AB653" s="11">
        <v>0.97318359798230603</v>
      </c>
      <c r="AC653" s="11">
        <v>1.5895165864899099</v>
      </c>
      <c r="AD653" s="11">
        <v>5.0451971751062796</v>
      </c>
      <c r="AE653" s="11">
        <v>3.2002173930693698</v>
      </c>
      <c r="AF653" s="11">
        <v>0.84654704659994096</v>
      </c>
      <c r="AG653" s="11">
        <v>15.619473618856899</v>
      </c>
      <c r="AH653" s="11">
        <v>7.1027151334661296</v>
      </c>
      <c r="AI653" s="11">
        <v>1.50854004786242</v>
      </c>
      <c r="AJ653" s="11">
        <v>3.0452736929492299</v>
      </c>
      <c r="AK653" s="16">
        <v>2.1127925102526102</v>
      </c>
      <c r="AL653" s="16">
        <v>4.7370893722346796</v>
      </c>
      <c r="AM653" s="26">
        <v>5.4013498544449902E-3</v>
      </c>
      <c r="AN653" s="27">
        <v>1.0565798399484501E-2</v>
      </c>
      <c r="AO653" s="11">
        <v>1.0016034560398801</v>
      </c>
      <c r="AP653" s="11">
        <v>4.7446850868000299</v>
      </c>
      <c r="AQ653" t="s">
        <v>5874</v>
      </c>
      <c r="AR653" t="s">
        <v>5878</v>
      </c>
      <c r="AS653" t="s">
        <v>3251</v>
      </c>
    </row>
    <row r="654" spans="1:45">
      <c r="A654" t="s">
        <v>3430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12</v>
      </c>
      <c r="K654" s="2">
        <v>0</v>
      </c>
      <c r="L654" s="2">
        <v>12</v>
      </c>
      <c r="M654" s="2">
        <v>2</v>
      </c>
      <c r="N654" s="2">
        <v>10</v>
      </c>
      <c r="O654" s="2">
        <v>2</v>
      </c>
      <c r="P654" s="2">
        <v>5</v>
      </c>
      <c r="Q654" s="2">
        <v>4</v>
      </c>
      <c r="R654" s="2">
        <v>1</v>
      </c>
      <c r="S654" s="2">
        <v>0</v>
      </c>
      <c r="T654" s="2">
        <v>2</v>
      </c>
      <c r="U654" s="11">
        <v>0.30291084895868198</v>
      </c>
      <c r="V654" s="11">
        <v>0.24076603016936199</v>
      </c>
      <c r="W654" s="11">
        <v>0.40019941545306398</v>
      </c>
      <c r="X654" s="11">
        <v>0.37798043978830698</v>
      </c>
      <c r="Y654" s="11">
        <v>0.215044089984223</v>
      </c>
      <c r="Z654" s="11">
        <v>0.23243181165987301</v>
      </c>
      <c r="AA654" s="11">
        <v>0.26351557071616</v>
      </c>
      <c r="AB654" s="11">
        <v>0.24329589949557701</v>
      </c>
      <c r="AC654" s="11">
        <v>9.53709951893949</v>
      </c>
      <c r="AD654" s="11">
        <v>7.5677957626594301</v>
      </c>
      <c r="AE654" s="11">
        <v>1.60010869653469</v>
      </c>
      <c r="AF654" s="11">
        <v>8.4654704659994096</v>
      </c>
      <c r="AG654" s="11">
        <v>4.5939628290755703</v>
      </c>
      <c r="AH654" s="11">
        <v>3.1567622815404999</v>
      </c>
      <c r="AI654" s="11">
        <v>1.50854004786242</v>
      </c>
      <c r="AJ654" s="11">
        <v>3.0452736929492299</v>
      </c>
      <c r="AK654" s="16">
        <v>3.7344550901742601</v>
      </c>
      <c r="AL654" s="16">
        <v>17.342932368647801</v>
      </c>
      <c r="AM654" s="26">
        <v>1.8417381773801399E-6</v>
      </c>
      <c r="AN654" s="27">
        <v>8.2141522711154297E-6</v>
      </c>
      <c r="AO654" s="11">
        <v>0.28451801327815601</v>
      </c>
      <c r="AP654" s="11">
        <v>4.9343766619450902</v>
      </c>
      <c r="AQ654" t="s">
        <v>5874</v>
      </c>
      <c r="AR654" t="s">
        <v>5876</v>
      </c>
      <c r="AS654" t="s">
        <v>3430</v>
      </c>
    </row>
    <row r="655" spans="1:45">
      <c r="A655" t="s">
        <v>3616</v>
      </c>
      <c r="B655" s="2">
        <v>2</v>
      </c>
      <c r="C655" s="2">
        <v>5</v>
      </c>
      <c r="D655" s="2">
        <v>6</v>
      </c>
      <c r="E655" s="2">
        <v>5</v>
      </c>
      <c r="F655" s="2">
        <v>6</v>
      </c>
      <c r="G655" s="2">
        <v>5</v>
      </c>
      <c r="H655" s="2">
        <v>4</v>
      </c>
      <c r="I655" s="2">
        <v>2</v>
      </c>
      <c r="J655" s="2">
        <v>1</v>
      </c>
      <c r="K655" s="2">
        <v>0</v>
      </c>
      <c r="L655" s="2">
        <v>5</v>
      </c>
      <c r="M655" s="2">
        <v>3</v>
      </c>
      <c r="N655" s="2">
        <v>2</v>
      </c>
      <c r="O655" s="2">
        <v>0</v>
      </c>
      <c r="P655" s="2">
        <v>0</v>
      </c>
      <c r="Q655" s="2">
        <v>2</v>
      </c>
      <c r="R655" s="2">
        <v>1</v>
      </c>
      <c r="S655" s="2">
        <v>0</v>
      </c>
      <c r="T655" s="2">
        <v>1</v>
      </c>
      <c r="U655" s="11">
        <v>2.4232867916694598</v>
      </c>
      <c r="V655" s="11">
        <v>4.8153206033872298</v>
      </c>
      <c r="W655" s="11">
        <v>9.6047859708735501</v>
      </c>
      <c r="X655" s="11">
        <v>7.5596087957661497</v>
      </c>
      <c r="Y655" s="11">
        <v>5.1610581596213496</v>
      </c>
      <c r="Z655" s="11">
        <v>4.6486362331974602</v>
      </c>
      <c r="AA655" s="11">
        <v>4.21624913145856</v>
      </c>
      <c r="AB655" s="11">
        <v>1.9463671959646101</v>
      </c>
      <c r="AC655" s="11">
        <v>0.79475829324495695</v>
      </c>
      <c r="AD655" s="11">
        <v>3.1532482344414299</v>
      </c>
      <c r="AE655" s="11">
        <v>2.4001630448020301</v>
      </c>
      <c r="AF655" s="11">
        <v>1.6930940931998799</v>
      </c>
      <c r="AG655" s="11">
        <v>0.22969814145377901</v>
      </c>
      <c r="AH655" s="11">
        <v>1.5783811407702499</v>
      </c>
      <c r="AI655" s="11">
        <v>1.50854004786242</v>
      </c>
      <c r="AJ655" s="11">
        <v>1.5226368464746201</v>
      </c>
      <c r="AK655" s="16">
        <v>-1.45852717137203</v>
      </c>
      <c r="AL655" s="16">
        <v>-3.1346027471269799</v>
      </c>
      <c r="AM655" s="26">
        <v>3.51361851837708E-3</v>
      </c>
      <c r="AN655" s="27">
        <v>7.08015297829598E-3</v>
      </c>
      <c r="AO655" s="11">
        <v>5.0469141102422999</v>
      </c>
      <c r="AP655" s="11">
        <v>1.61006498028117</v>
      </c>
      <c r="AQ655" t="s">
        <v>5875</v>
      </c>
      <c r="AR655" t="s">
        <v>5876</v>
      </c>
      <c r="AS655" t="s">
        <v>3616</v>
      </c>
    </row>
    <row r="656" spans="1:45">
      <c r="A656" t="s">
        <v>4523</v>
      </c>
      <c r="B656" s="2">
        <v>0</v>
      </c>
      <c r="C656" s="2">
        <v>0</v>
      </c>
      <c r="D656" s="2">
        <v>0</v>
      </c>
      <c r="E656" s="2">
        <v>1</v>
      </c>
      <c r="F656" s="2">
        <v>1</v>
      </c>
      <c r="G656" s="2">
        <v>0</v>
      </c>
      <c r="H656" s="2">
        <v>0</v>
      </c>
      <c r="I656" s="2">
        <v>0</v>
      </c>
      <c r="J656" s="2">
        <v>9</v>
      </c>
      <c r="K656" s="2">
        <v>0</v>
      </c>
      <c r="L656" s="2">
        <v>1</v>
      </c>
      <c r="M656" s="2">
        <v>10</v>
      </c>
      <c r="N656" s="2">
        <v>15</v>
      </c>
      <c r="O656" s="2">
        <v>0</v>
      </c>
      <c r="P656" s="2">
        <v>0</v>
      </c>
      <c r="Q656" s="2">
        <v>5</v>
      </c>
      <c r="R656" s="2">
        <v>7</v>
      </c>
      <c r="S656" s="2">
        <v>1</v>
      </c>
      <c r="T656" s="2">
        <v>0</v>
      </c>
      <c r="U656" s="11">
        <v>0.30291084895868198</v>
      </c>
      <c r="V656" s="11">
        <v>0.24076603016936199</v>
      </c>
      <c r="W656" s="11">
        <v>0.40019941545306398</v>
      </c>
      <c r="X656" s="11">
        <v>1.5119217591532299</v>
      </c>
      <c r="Y656" s="11">
        <v>0.86017635993689201</v>
      </c>
      <c r="Z656" s="11">
        <v>0.23243181165987301</v>
      </c>
      <c r="AA656" s="11">
        <v>0.26351557071616</v>
      </c>
      <c r="AB656" s="11">
        <v>0.24329589949557701</v>
      </c>
      <c r="AC656" s="11">
        <v>7.1528246392046197</v>
      </c>
      <c r="AD656" s="11">
        <v>0.63064964688828595</v>
      </c>
      <c r="AE656" s="11">
        <v>8.0005434826734305</v>
      </c>
      <c r="AF656" s="11">
        <v>12.6982056989991</v>
      </c>
      <c r="AG656" s="11">
        <v>0.22969814145377901</v>
      </c>
      <c r="AH656" s="11">
        <v>3.94595285192562</v>
      </c>
      <c r="AI656" s="11">
        <v>10.559780335037001</v>
      </c>
      <c r="AJ656" s="11">
        <v>0.38065921161865401</v>
      </c>
      <c r="AK656" s="16">
        <v>3.2015463661814798</v>
      </c>
      <c r="AL656" s="16">
        <v>10.751164864890001</v>
      </c>
      <c r="AM656" s="26">
        <v>1.49908934964454E-4</v>
      </c>
      <c r="AN656" s="27">
        <v>4.04391441496853E-4</v>
      </c>
      <c r="AO656" s="11">
        <v>0.50690221194285501</v>
      </c>
      <c r="AP656" s="11">
        <v>5.4497892509750603</v>
      </c>
      <c r="AQ656" t="s">
        <v>5874</v>
      </c>
      <c r="AR656" t="s">
        <v>5876</v>
      </c>
      <c r="AS656" t="s">
        <v>4523</v>
      </c>
    </row>
    <row r="657" spans="1:45">
      <c r="A657" t="s">
        <v>5115</v>
      </c>
      <c r="B657" s="2">
        <v>2</v>
      </c>
      <c r="C657" s="2">
        <v>6</v>
      </c>
      <c r="D657" s="2">
        <v>5</v>
      </c>
      <c r="E657" s="2">
        <v>5</v>
      </c>
      <c r="F657" s="2">
        <v>3</v>
      </c>
      <c r="G657" s="2">
        <v>3</v>
      </c>
      <c r="H657" s="2">
        <v>4</v>
      </c>
      <c r="I657" s="2">
        <v>0</v>
      </c>
      <c r="J657" s="2">
        <v>3</v>
      </c>
      <c r="K657" s="2">
        <v>0</v>
      </c>
      <c r="L657" s="2">
        <v>6</v>
      </c>
      <c r="M657" s="2">
        <v>3</v>
      </c>
      <c r="N657" s="2">
        <v>5</v>
      </c>
      <c r="O657" s="2">
        <v>0</v>
      </c>
      <c r="P657" s="2">
        <v>1</v>
      </c>
      <c r="Q657" s="2">
        <v>3</v>
      </c>
      <c r="R657" s="2">
        <v>0</v>
      </c>
      <c r="S657" s="2">
        <v>0</v>
      </c>
      <c r="T657" s="2">
        <v>1</v>
      </c>
      <c r="U657" s="11">
        <v>2.4232867916694598</v>
      </c>
      <c r="V657" s="11">
        <v>5.7783847240646802</v>
      </c>
      <c r="W657" s="11">
        <v>8.00398830906129</v>
      </c>
      <c r="X657" s="11">
        <v>7.5596087957661497</v>
      </c>
      <c r="Y657" s="11">
        <v>2.5805290798106801</v>
      </c>
      <c r="Z657" s="11">
        <v>2.7891817399184702</v>
      </c>
      <c r="AA657" s="11">
        <v>4.21624913145856</v>
      </c>
      <c r="AB657" s="11">
        <v>0.24329589949557701</v>
      </c>
      <c r="AC657" s="11">
        <v>2.3842748797348698</v>
      </c>
      <c r="AD657" s="11">
        <v>3.7838978813297102</v>
      </c>
      <c r="AE657" s="11">
        <v>2.4001630448020301</v>
      </c>
      <c r="AF657" s="11">
        <v>4.2327352329997003</v>
      </c>
      <c r="AG657" s="11">
        <v>0.91879256581511404</v>
      </c>
      <c r="AH657" s="11">
        <v>2.36757171115537</v>
      </c>
      <c r="AI657" s="11">
        <v>0.377135011965606</v>
      </c>
      <c r="AJ657" s="11">
        <v>1.5226368464746201</v>
      </c>
      <c r="AK657" s="16">
        <v>-0.69206217061252995</v>
      </c>
      <c r="AL657" s="16">
        <v>-1.86768986123023</v>
      </c>
      <c r="AM657" s="26">
        <v>0.146251107575044</v>
      </c>
      <c r="AN657" s="27">
        <v>0.19823088954288801</v>
      </c>
      <c r="AO657" s="11">
        <v>4.1993155589056101</v>
      </c>
      <c r="AP657" s="11">
        <v>2.2484008967846298</v>
      </c>
      <c r="AQ657" t="s">
        <v>5875</v>
      </c>
      <c r="AR657" t="s">
        <v>5832</v>
      </c>
      <c r="AS657" t="s">
        <v>5115</v>
      </c>
    </row>
    <row r="658" spans="1:45">
      <c r="A658" t="s">
        <v>5339</v>
      </c>
      <c r="B658" s="2">
        <v>3</v>
      </c>
      <c r="C658" s="2">
        <v>5</v>
      </c>
      <c r="D658" s="2">
        <v>8</v>
      </c>
      <c r="E658" s="2">
        <v>4</v>
      </c>
      <c r="F658" s="2">
        <v>6</v>
      </c>
      <c r="G658" s="2">
        <v>8</v>
      </c>
      <c r="H658" s="2">
        <v>6</v>
      </c>
      <c r="I658" s="2">
        <v>4</v>
      </c>
      <c r="J658" s="2">
        <v>0</v>
      </c>
      <c r="K658" s="2">
        <v>0</v>
      </c>
      <c r="L658" s="2">
        <v>1</v>
      </c>
      <c r="M658" s="2">
        <v>3</v>
      </c>
      <c r="N658" s="2">
        <v>0</v>
      </c>
      <c r="O658" s="2">
        <v>0</v>
      </c>
      <c r="P658" s="2">
        <v>0</v>
      </c>
      <c r="Q658" s="2">
        <v>1</v>
      </c>
      <c r="R658" s="2">
        <v>1</v>
      </c>
      <c r="S658" s="2">
        <v>0</v>
      </c>
      <c r="T658" s="2">
        <v>0</v>
      </c>
      <c r="U658" s="11">
        <v>3.6349301875041902</v>
      </c>
      <c r="V658" s="11">
        <v>4.8153206033872298</v>
      </c>
      <c r="W658" s="11">
        <v>12.806381294498101</v>
      </c>
      <c r="X658" s="11">
        <v>6.0476870366129196</v>
      </c>
      <c r="Y658" s="11">
        <v>5.1610581596213496</v>
      </c>
      <c r="Z658" s="11">
        <v>7.43781797311593</v>
      </c>
      <c r="AA658" s="11">
        <v>6.3243736971878404</v>
      </c>
      <c r="AB658" s="11">
        <v>3.8927343919292201</v>
      </c>
      <c r="AC658" s="11">
        <v>0.19868957331123899</v>
      </c>
      <c r="AD658" s="11">
        <v>0.63064964688828595</v>
      </c>
      <c r="AE658" s="11">
        <v>2.4001630448020301</v>
      </c>
      <c r="AF658" s="11">
        <v>0.21163676164998499</v>
      </c>
      <c r="AG658" s="11">
        <v>0.22969814145377901</v>
      </c>
      <c r="AH658" s="11">
        <v>0.78919057038512497</v>
      </c>
      <c r="AI658" s="11">
        <v>1.50854004786242</v>
      </c>
      <c r="AJ658" s="11">
        <v>0.38065921161865401</v>
      </c>
      <c r="AK658" s="16">
        <v>-2.7751452973455999</v>
      </c>
      <c r="AL658" s="16">
        <v>-7.8939221041977898</v>
      </c>
      <c r="AM658" s="26">
        <v>6.4712531376863903E-7</v>
      </c>
      <c r="AN658" s="27">
        <v>3.3560219760559599E-6</v>
      </c>
      <c r="AO658" s="11">
        <v>6.2650379179820899</v>
      </c>
      <c r="AP658" s="11">
        <v>0.79365337474644004</v>
      </c>
      <c r="AQ658" t="s">
        <v>5875</v>
      </c>
      <c r="AR658" t="s">
        <v>5876</v>
      </c>
      <c r="AS658" t="s">
        <v>5339</v>
      </c>
    </row>
    <row r="659" spans="1:45">
      <c r="A659" t="s">
        <v>194</v>
      </c>
      <c r="B659" s="2">
        <v>9</v>
      </c>
      <c r="C659" s="2">
        <v>4</v>
      </c>
      <c r="D659" s="2">
        <v>8</v>
      </c>
      <c r="E659" s="2">
        <v>7</v>
      </c>
      <c r="F659" s="2">
        <v>7</v>
      </c>
      <c r="G659" s="2">
        <v>3</v>
      </c>
      <c r="H659" s="2">
        <v>3</v>
      </c>
      <c r="I659" s="2">
        <v>5</v>
      </c>
      <c r="J659" s="2">
        <v>0</v>
      </c>
      <c r="K659" s="2">
        <v>0</v>
      </c>
      <c r="L659" s="2">
        <v>0</v>
      </c>
      <c r="M659" s="2">
        <v>1</v>
      </c>
      <c r="N659" s="2">
        <v>0</v>
      </c>
      <c r="O659" s="2">
        <v>0</v>
      </c>
      <c r="P659" s="2">
        <v>1</v>
      </c>
      <c r="Q659" s="2">
        <v>1</v>
      </c>
      <c r="R659" s="2">
        <v>0</v>
      </c>
      <c r="S659" s="2">
        <v>0</v>
      </c>
      <c r="T659" s="2">
        <v>0</v>
      </c>
      <c r="U659" s="11">
        <v>10.9047905625126</v>
      </c>
      <c r="V659" s="11">
        <v>3.85225648270979</v>
      </c>
      <c r="W659" s="11">
        <v>12.806381294498101</v>
      </c>
      <c r="X659" s="11">
        <v>10.5834523140726</v>
      </c>
      <c r="Y659" s="11">
        <v>6.0212345195582504</v>
      </c>
      <c r="Z659" s="11">
        <v>2.7891817399184702</v>
      </c>
      <c r="AA659" s="11">
        <v>3.1621868485939202</v>
      </c>
      <c r="AB659" s="11">
        <v>4.8659179899115301</v>
      </c>
      <c r="AC659" s="11">
        <v>0.19868957331123899</v>
      </c>
      <c r="AD659" s="11">
        <v>0.15766241172207099</v>
      </c>
      <c r="AE659" s="11">
        <v>0.80005434826734301</v>
      </c>
      <c r="AF659" s="11">
        <v>0.21163676164998499</v>
      </c>
      <c r="AG659" s="11">
        <v>0.91879256581511404</v>
      </c>
      <c r="AH659" s="11">
        <v>0.78919057038512497</v>
      </c>
      <c r="AI659" s="11">
        <v>0.377135011965606</v>
      </c>
      <c r="AJ659" s="11">
        <v>0.38065921161865401</v>
      </c>
      <c r="AK659" s="16">
        <v>-3.4814056830349398</v>
      </c>
      <c r="AL659" s="16">
        <v>-14.342195311693001</v>
      </c>
      <c r="AM659" s="26">
        <v>2.2150924356352799E-8</v>
      </c>
      <c r="AN659" s="27">
        <v>1.85237104930001E-7</v>
      </c>
      <c r="AO659" s="11">
        <v>6.8731752189719</v>
      </c>
      <c r="AP659" s="11">
        <v>0.479227556841892</v>
      </c>
      <c r="AQ659" t="s">
        <v>5875</v>
      </c>
      <c r="AR659" t="s">
        <v>5876</v>
      </c>
      <c r="AS659" t="s">
        <v>194</v>
      </c>
    </row>
    <row r="660" spans="1:45">
      <c r="A660" t="s">
        <v>385</v>
      </c>
      <c r="B660" s="2">
        <v>4</v>
      </c>
      <c r="C660" s="2">
        <v>5</v>
      </c>
      <c r="D660" s="2">
        <v>3</v>
      </c>
      <c r="E660" s="2">
        <v>2</v>
      </c>
      <c r="F660" s="2">
        <v>3</v>
      </c>
      <c r="G660" s="2">
        <v>2</v>
      </c>
      <c r="H660" s="2">
        <v>3</v>
      </c>
      <c r="I660" s="2">
        <v>3</v>
      </c>
      <c r="J660" s="2">
        <v>3</v>
      </c>
      <c r="K660" s="2">
        <v>0</v>
      </c>
      <c r="L660" s="2">
        <v>7</v>
      </c>
      <c r="M660" s="2">
        <v>4</v>
      </c>
      <c r="N660" s="2">
        <v>2</v>
      </c>
      <c r="O660" s="2">
        <v>0</v>
      </c>
      <c r="P660" s="2">
        <v>2</v>
      </c>
      <c r="Q660" s="2">
        <v>3</v>
      </c>
      <c r="R660" s="2">
        <v>1</v>
      </c>
      <c r="S660" s="2">
        <v>1</v>
      </c>
      <c r="T660" s="2">
        <v>1</v>
      </c>
      <c r="U660" s="11">
        <v>4.8465735833389196</v>
      </c>
      <c r="V660" s="11">
        <v>4.8153206033872298</v>
      </c>
      <c r="W660" s="11">
        <v>4.8023929854367697</v>
      </c>
      <c r="X660" s="11">
        <v>3.0238435183064598</v>
      </c>
      <c r="Y660" s="11">
        <v>2.5805290798106801</v>
      </c>
      <c r="Z660" s="11">
        <v>1.85945449327898</v>
      </c>
      <c r="AA660" s="11">
        <v>3.1621868485939202</v>
      </c>
      <c r="AB660" s="11">
        <v>2.9195507939469199</v>
      </c>
      <c r="AC660" s="11">
        <v>2.3842748797348698</v>
      </c>
      <c r="AD660" s="11">
        <v>4.4145475282179998</v>
      </c>
      <c r="AE660" s="11">
        <v>3.2002173930693698</v>
      </c>
      <c r="AF660" s="11">
        <v>1.6930940931998799</v>
      </c>
      <c r="AG660" s="11">
        <v>1.8375851316302301</v>
      </c>
      <c r="AH660" s="11">
        <v>2.36757171115537</v>
      </c>
      <c r="AI660" s="11">
        <v>1.50854004786242</v>
      </c>
      <c r="AJ660" s="11">
        <v>1.5226368464746201</v>
      </c>
      <c r="AK660" s="16">
        <v>-0.40841418896064002</v>
      </c>
      <c r="AL660" s="16">
        <v>-1.47977387560506</v>
      </c>
      <c r="AM660" s="26">
        <v>0.340476321310204</v>
      </c>
      <c r="AN660" s="27">
        <v>0.42072785934567303</v>
      </c>
      <c r="AO660" s="11">
        <v>3.5012314882624902</v>
      </c>
      <c r="AP660" s="11">
        <v>2.3660584539181002</v>
      </c>
      <c r="AQ660" t="s">
        <v>5875</v>
      </c>
      <c r="AR660" t="s">
        <v>5832</v>
      </c>
      <c r="AS660" t="s">
        <v>385</v>
      </c>
    </row>
    <row r="661" spans="1:45">
      <c r="A661" t="s">
        <v>2249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7</v>
      </c>
      <c r="J661" s="2">
        <v>7</v>
      </c>
      <c r="K661" s="2">
        <v>1</v>
      </c>
      <c r="L661" s="2">
        <v>10</v>
      </c>
      <c r="M661" s="2">
        <v>1</v>
      </c>
      <c r="N661" s="2">
        <v>4</v>
      </c>
      <c r="O661" s="2">
        <v>0</v>
      </c>
      <c r="P661" s="2">
        <v>7</v>
      </c>
      <c r="Q661" s="2">
        <v>8</v>
      </c>
      <c r="R661" s="2">
        <v>1</v>
      </c>
      <c r="S661" s="2">
        <v>0</v>
      </c>
      <c r="T661" s="2">
        <v>2</v>
      </c>
      <c r="U661" s="11">
        <v>0.30291084895868198</v>
      </c>
      <c r="V661" s="11">
        <v>0.24076603016936199</v>
      </c>
      <c r="W661" s="11">
        <v>0.40019941545306398</v>
      </c>
      <c r="X661" s="11">
        <v>0.37798043978830698</v>
      </c>
      <c r="Y661" s="11">
        <v>0.215044089984223</v>
      </c>
      <c r="Z661" s="11">
        <v>0.23243181165987301</v>
      </c>
      <c r="AA661" s="11">
        <v>1.05406228286464</v>
      </c>
      <c r="AB661" s="11">
        <v>6.8122851858761404</v>
      </c>
      <c r="AC661" s="11">
        <v>5.5633080527147003</v>
      </c>
      <c r="AD661" s="11">
        <v>6.3064964688828598</v>
      </c>
      <c r="AE661" s="11">
        <v>0.80005434826734301</v>
      </c>
      <c r="AF661" s="11">
        <v>3.3861881863997598</v>
      </c>
      <c r="AG661" s="11">
        <v>6.4315479607058004</v>
      </c>
      <c r="AH661" s="11">
        <v>6.3135245630809997</v>
      </c>
      <c r="AI661" s="11">
        <v>1.50854004786242</v>
      </c>
      <c r="AJ661" s="11">
        <v>3.0452736929492299</v>
      </c>
      <c r="AK661" s="16">
        <v>1.6656483244234299</v>
      </c>
      <c r="AL661" s="16">
        <v>3.4616065454897802</v>
      </c>
      <c r="AM661" s="26">
        <v>1.4235141500665001E-2</v>
      </c>
      <c r="AN661" s="27">
        <v>2.5193940909906998E-2</v>
      </c>
      <c r="AO661" s="11">
        <v>1.20446001309429</v>
      </c>
      <c r="AP661" s="11">
        <v>4.1693666651078898</v>
      </c>
      <c r="AQ661" t="s">
        <v>5874</v>
      </c>
      <c r="AR661" t="s">
        <v>5878</v>
      </c>
      <c r="AS661" t="s">
        <v>2249</v>
      </c>
    </row>
    <row r="662" spans="1:45">
      <c r="A662" t="s">
        <v>4527</v>
      </c>
      <c r="B662" s="2">
        <v>5</v>
      </c>
      <c r="C662" s="2">
        <v>7</v>
      </c>
      <c r="D662" s="2">
        <v>2</v>
      </c>
      <c r="E662" s="2">
        <v>3</v>
      </c>
      <c r="F662" s="2">
        <v>4</v>
      </c>
      <c r="G662" s="2">
        <v>5</v>
      </c>
      <c r="H662" s="2">
        <v>6</v>
      </c>
      <c r="I662" s="2">
        <v>3</v>
      </c>
      <c r="J662" s="2">
        <v>4</v>
      </c>
      <c r="K662" s="2">
        <v>0</v>
      </c>
      <c r="L662" s="2">
        <v>2</v>
      </c>
      <c r="M662" s="2">
        <v>2</v>
      </c>
      <c r="N662" s="2">
        <v>1</v>
      </c>
      <c r="O662" s="2">
        <v>1</v>
      </c>
      <c r="P662" s="2">
        <v>0</v>
      </c>
      <c r="Q662" s="2">
        <v>3</v>
      </c>
      <c r="R662" s="2">
        <v>1</v>
      </c>
      <c r="S662" s="2">
        <v>0</v>
      </c>
      <c r="T662" s="2">
        <v>0</v>
      </c>
      <c r="U662" s="11">
        <v>6.0582169791736504</v>
      </c>
      <c r="V662" s="11">
        <v>6.7414488447421297</v>
      </c>
      <c r="W662" s="11">
        <v>3.2015953236245198</v>
      </c>
      <c r="X662" s="11">
        <v>4.5357652774596904</v>
      </c>
      <c r="Y662" s="11">
        <v>3.4407054397475698</v>
      </c>
      <c r="Z662" s="11">
        <v>4.6486362331974602</v>
      </c>
      <c r="AA662" s="11">
        <v>6.3243736971878404</v>
      </c>
      <c r="AB662" s="11">
        <v>2.9195507939469199</v>
      </c>
      <c r="AC662" s="11">
        <v>3.17903317297983</v>
      </c>
      <c r="AD662" s="11">
        <v>1.2612992937765699</v>
      </c>
      <c r="AE662" s="11">
        <v>1.60010869653469</v>
      </c>
      <c r="AF662" s="11">
        <v>0.84654704659994096</v>
      </c>
      <c r="AG662" s="11">
        <v>0.22969814145377901</v>
      </c>
      <c r="AH662" s="11">
        <v>2.36757171115537</v>
      </c>
      <c r="AI662" s="11">
        <v>1.50854004786242</v>
      </c>
      <c r="AJ662" s="11">
        <v>0.38065921161865401</v>
      </c>
      <c r="AK662" s="16">
        <v>-1.58693197647086</v>
      </c>
      <c r="AL662" s="16">
        <v>-3.3297080665075001</v>
      </c>
      <c r="AM662" s="26">
        <v>7.8837427452120405E-4</v>
      </c>
      <c r="AN662" s="27">
        <v>1.81869789536098E-3</v>
      </c>
      <c r="AO662" s="11">
        <v>4.73378657363497</v>
      </c>
      <c r="AP662" s="11">
        <v>1.4216821652476599</v>
      </c>
      <c r="AQ662" t="s">
        <v>5875</v>
      </c>
      <c r="AR662" t="s">
        <v>5876</v>
      </c>
      <c r="AS662" t="s">
        <v>4527</v>
      </c>
    </row>
    <row r="663" spans="1:45">
      <c r="A663" t="s">
        <v>4619</v>
      </c>
      <c r="B663" s="2">
        <v>3</v>
      </c>
      <c r="C663" s="2">
        <v>4</v>
      </c>
      <c r="D663" s="2">
        <v>0</v>
      </c>
      <c r="E663" s="2">
        <v>0</v>
      </c>
      <c r="F663" s="2">
        <v>5</v>
      </c>
      <c r="G663" s="2">
        <v>4</v>
      </c>
      <c r="H663" s="2">
        <v>0</v>
      </c>
      <c r="I663" s="2">
        <v>11</v>
      </c>
      <c r="J663" s="2">
        <v>6</v>
      </c>
      <c r="K663" s="2">
        <v>0</v>
      </c>
      <c r="L663" s="2">
        <v>1</v>
      </c>
      <c r="M663" s="2">
        <v>0</v>
      </c>
      <c r="N663" s="2">
        <v>3</v>
      </c>
      <c r="O663" s="2">
        <v>1</v>
      </c>
      <c r="P663" s="2">
        <v>4</v>
      </c>
      <c r="Q663" s="2">
        <v>2</v>
      </c>
      <c r="R663" s="2">
        <v>0</v>
      </c>
      <c r="S663" s="2">
        <v>1</v>
      </c>
      <c r="T663" s="2">
        <v>4</v>
      </c>
      <c r="U663" s="11">
        <v>3.6349301875041902</v>
      </c>
      <c r="V663" s="11">
        <v>3.85225648270979</v>
      </c>
      <c r="W663" s="11">
        <v>0.40019941545306398</v>
      </c>
      <c r="X663" s="11">
        <v>0.37798043978830698</v>
      </c>
      <c r="Y663" s="11">
        <v>4.3008817996844604</v>
      </c>
      <c r="Z663" s="11">
        <v>3.7189089865579601</v>
      </c>
      <c r="AA663" s="11">
        <v>0.26351557071616</v>
      </c>
      <c r="AB663" s="11">
        <v>10.7050195778054</v>
      </c>
      <c r="AC663" s="11">
        <v>4.7685497594697397</v>
      </c>
      <c r="AD663" s="11">
        <v>0.63064964688828595</v>
      </c>
      <c r="AE663" s="11">
        <v>0.200013587066836</v>
      </c>
      <c r="AF663" s="11">
        <v>2.5396411397998202</v>
      </c>
      <c r="AG663" s="11">
        <v>3.6751702632604601</v>
      </c>
      <c r="AH663" s="11">
        <v>1.5783811407702499</v>
      </c>
      <c r="AI663" s="11">
        <v>0.377135011965606</v>
      </c>
      <c r="AJ663" s="11">
        <v>6.0905473858984696</v>
      </c>
      <c r="AK663" s="16">
        <v>-0.54459619419322303</v>
      </c>
      <c r="AL663" s="16">
        <v>-1.3722845814808999</v>
      </c>
      <c r="AM663" s="26">
        <v>0.51286278515212602</v>
      </c>
      <c r="AN663" s="27">
        <v>0.59360761810860296</v>
      </c>
      <c r="AO663" s="11">
        <v>3.4067115575274101</v>
      </c>
      <c r="AP663" s="11">
        <v>2.4825109918899302</v>
      </c>
      <c r="AQ663" t="s">
        <v>5875</v>
      </c>
      <c r="AR663" t="s">
        <v>5832</v>
      </c>
      <c r="AS663" t="s">
        <v>4619</v>
      </c>
    </row>
    <row r="664" spans="1:45">
      <c r="A664" t="s">
        <v>5016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</v>
      </c>
      <c r="J664" s="2">
        <v>5</v>
      </c>
      <c r="K664" s="2">
        <v>0</v>
      </c>
      <c r="L664" s="2">
        <v>11</v>
      </c>
      <c r="M664" s="2">
        <v>11</v>
      </c>
      <c r="N664" s="2">
        <v>6</v>
      </c>
      <c r="O664" s="2">
        <v>0</v>
      </c>
      <c r="P664" s="2">
        <v>6</v>
      </c>
      <c r="Q664" s="2">
        <v>8</v>
      </c>
      <c r="R664" s="2">
        <v>0</v>
      </c>
      <c r="S664" s="2">
        <v>0</v>
      </c>
      <c r="T664" s="2">
        <v>0</v>
      </c>
      <c r="U664" s="11">
        <v>0.30291084895868198</v>
      </c>
      <c r="V664" s="11">
        <v>0.24076603016936199</v>
      </c>
      <c r="W664" s="11">
        <v>0.40019941545306398</v>
      </c>
      <c r="X664" s="11">
        <v>0.37798043978830698</v>
      </c>
      <c r="Y664" s="11">
        <v>0.215044089984223</v>
      </c>
      <c r="Z664" s="11">
        <v>0.23243181165987301</v>
      </c>
      <c r="AA664" s="11">
        <v>0.26351557071616</v>
      </c>
      <c r="AB664" s="11">
        <v>1.9463671959646101</v>
      </c>
      <c r="AC664" s="11">
        <v>3.9737914662247902</v>
      </c>
      <c r="AD664" s="11">
        <v>6.9371461157711396</v>
      </c>
      <c r="AE664" s="11">
        <v>8.8005978309407702</v>
      </c>
      <c r="AF664" s="11">
        <v>5.0792822795996404</v>
      </c>
      <c r="AG664" s="11">
        <v>5.5127553948906796</v>
      </c>
      <c r="AH664" s="11">
        <v>6.3135245630809997</v>
      </c>
      <c r="AI664" s="11">
        <v>0.377135011965606</v>
      </c>
      <c r="AJ664" s="11">
        <v>0.38065921161865401</v>
      </c>
      <c r="AK664" s="16">
        <v>3.0117508858743398</v>
      </c>
      <c r="AL664" s="16">
        <v>9.3925279462846198</v>
      </c>
      <c r="AM664" s="26">
        <v>1.6069441641924401E-5</v>
      </c>
      <c r="AN664" s="27">
        <v>5.5414724012615501E-5</v>
      </c>
      <c r="AO664" s="11">
        <v>0.49740192533678601</v>
      </c>
      <c r="AP664" s="11">
        <v>4.67186148426154</v>
      </c>
      <c r="AQ664" t="s">
        <v>5874</v>
      </c>
      <c r="AR664" t="s">
        <v>5876</v>
      </c>
      <c r="AS664" t="s">
        <v>5016</v>
      </c>
    </row>
    <row r="665" spans="1:45">
      <c r="A665" t="s">
        <v>2363</v>
      </c>
      <c r="B665" s="2">
        <v>0</v>
      </c>
      <c r="C665" s="2">
        <v>3</v>
      </c>
      <c r="D665" s="2">
        <v>0</v>
      </c>
      <c r="E665" s="2">
        <v>1</v>
      </c>
      <c r="F665" s="2">
        <v>1</v>
      </c>
      <c r="G665" s="2">
        <v>0</v>
      </c>
      <c r="H665" s="2">
        <v>0</v>
      </c>
      <c r="I665" s="2">
        <v>0</v>
      </c>
      <c r="J665" s="2">
        <v>8.7270000000000003</v>
      </c>
      <c r="K665" s="2">
        <v>1</v>
      </c>
      <c r="L665" s="2">
        <v>5.5</v>
      </c>
      <c r="M665" s="2">
        <v>11.846</v>
      </c>
      <c r="N665" s="2">
        <v>7</v>
      </c>
      <c r="O665" s="2">
        <v>0</v>
      </c>
      <c r="P665" s="2">
        <v>7.7</v>
      </c>
      <c r="Q665" s="2">
        <v>1.2</v>
      </c>
      <c r="R665" s="2">
        <v>0</v>
      </c>
      <c r="S665" s="2">
        <v>0</v>
      </c>
      <c r="T665" s="2">
        <v>1</v>
      </c>
      <c r="U665" s="11">
        <v>0.30291084895868198</v>
      </c>
      <c r="V665" s="11">
        <v>2.8891923620323401</v>
      </c>
      <c r="W665" s="11">
        <v>0.40019941545306398</v>
      </c>
      <c r="X665" s="11">
        <v>1.5119217591532299</v>
      </c>
      <c r="Y665" s="11">
        <v>0.86017635993689201</v>
      </c>
      <c r="Z665" s="11">
        <v>0.23243181165987301</v>
      </c>
      <c r="AA665" s="11">
        <v>0.26351557071616</v>
      </c>
      <c r="AB665" s="11">
        <v>0.24329589949557701</v>
      </c>
      <c r="AC665" s="11">
        <v>6.91439715123113</v>
      </c>
      <c r="AD665" s="11">
        <v>3.4685730578855698</v>
      </c>
      <c r="AE665" s="11">
        <v>9.4406413095546409</v>
      </c>
      <c r="AF665" s="11">
        <v>5.9258293261995796</v>
      </c>
      <c r="AG665" s="11">
        <v>7.0747027567763796</v>
      </c>
      <c r="AH665" s="11">
        <v>0.94702868446215005</v>
      </c>
      <c r="AI665" s="11">
        <v>0.377135011965606</v>
      </c>
      <c r="AJ665" s="11">
        <v>1.5226368464746201</v>
      </c>
      <c r="AK665" s="16">
        <v>2.2954152794595801</v>
      </c>
      <c r="AL665" s="16">
        <v>5.3211274343804398</v>
      </c>
      <c r="AM665" s="26">
        <v>1.26992542990427E-3</v>
      </c>
      <c r="AN665" s="27">
        <v>2.7764055967514898E-3</v>
      </c>
      <c r="AO665" s="11">
        <v>0.837955503425727</v>
      </c>
      <c r="AP665" s="11">
        <v>4.4588680180687099</v>
      </c>
      <c r="AQ665" t="s">
        <v>5874</v>
      </c>
      <c r="AR665" t="s">
        <v>5876</v>
      </c>
      <c r="AS665" t="s">
        <v>2363</v>
      </c>
    </row>
    <row r="666" spans="1:45">
      <c r="A666" t="s">
        <v>3948</v>
      </c>
      <c r="B666" s="2">
        <v>0.5</v>
      </c>
      <c r="C666" s="2">
        <v>2</v>
      </c>
      <c r="D666" s="2">
        <v>0</v>
      </c>
      <c r="E666" s="2">
        <v>0</v>
      </c>
      <c r="F666" s="2">
        <v>3.5</v>
      </c>
      <c r="G666" s="2">
        <v>3.25</v>
      </c>
      <c r="H666" s="2">
        <v>2</v>
      </c>
      <c r="I666" s="2">
        <v>8.25</v>
      </c>
      <c r="J666" s="2">
        <v>9.4120000000000008</v>
      </c>
      <c r="K666" s="2">
        <v>0</v>
      </c>
      <c r="L666" s="2">
        <v>7.125</v>
      </c>
      <c r="M666" s="2">
        <v>5.5</v>
      </c>
      <c r="N666" s="2">
        <v>4.7140000000000004</v>
      </c>
      <c r="O666" s="2">
        <v>1.5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s="11">
        <v>0.60582169791736495</v>
      </c>
      <c r="V666" s="11">
        <v>1.9261282413548899</v>
      </c>
      <c r="W666" s="11">
        <v>0.40019941545306398</v>
      </c>
      <c r="X666" s="11">
        <v>0.37798043978830698</v>
      </c>
      <c r="Y666" s="11">
        <v>3.0106172597791199</v>
      </c>
      <c r="Z666" s="11">
        <v>3.06809991391032</v>
      </c>
      <c r="AA666" s="11">
        <v>2.10812456572928</v>
      </c>
      <c r="AB666" s="11">
        <v>8.0774238632531397</v>
      </c>
      <c r="AC666" s="11">
        <v>7.4707279565025999</v>
      </c>
      <c r="AD666" s="11">
        <v>4.4776124929068297</v>
      </c>
      <c r="AE666" s="11">
        <v>4.4002989154703904</v>
      </c>
      <c r="AF666" s="11">
        <v>3.9787711190197199</v>
      </c>
      <c r="AG666" s="11">
        <v>0.22969814145377901</v>
      </c>
      <c r="AH666" s="11">
        <v>0.78919057038512497</v>
      </c>
      <c r="AI666" s="11">
        <v>0.377135011965606</v>
      </c>
      <c r="AJ666" s="11">
        <v>0.38065921161865401</v>
      </c>
      <c r="AK666" s="16">
        <v>0.178735550596198</v>
      </c>
      <c r="AL666" s="16">
        <v>1.1292350527721</v>
      </c>
      <c r="AM666" s="26">
        <v>0.91997982514923704</v>
      </c>
      <c r="AN666" s="27">
        <v>0.94924215725541905</v>
      </c>
      <c r="AO666" s="11">
        <v>2.4467994246481899</v>
      </c>
      <c r="AP666" s="11">
        <v>2.7630116774153399</v>
      </c>
      <c r="AQ666" t="s">
        <v>5874</v>
      </c>
      <c r="AR666" t="s">
        <v>5832</v>
      </c>
      <c r="AS666" t="s">
        <v>3948</v>
      </c>
    </row>
    <row r="667" spans="1:45">
      <c r="A667" t="s">
        <v>3318</v>
      </c>
      <c r="B667" s="2">
        <v>3</v>
      </c>
      <c r="C667" s="2">
        <v>0</v>
      </c>
      <c r="D667" s="2">
        <v>1</v>
      </c>
      <c r="E667" s="2">
        <v>0</v>
      </c>
      <c r="F667" s="2">
        <v>0</v>
      </c>
      <c r="G667" s="2">
        <v>0</v>
      </c>
      <c r="H667" s="2">
        <v>1</v>
      </c>
      <c r="I667" s="2">
        <v>2</v>
      </c>
      <c r="J667" s="2">
        <v>5</v>
      </c>
      <c r="K667" s="2">
        <v>0</v>
      </c>
      <c r="L667" s="2">
        <v>9.31</v>
      </c>
      <c r="M667" s="2">
        <v>7</v>
      </c>
      <c r="N667" s="2">
        <v>7.35</v>
      </c>
      <c r="O667" s="2">
        <v>1</v>
      </c>
      <c r="P667" s="2">
        <v>5</v>
      </c>
      <c r="Q667" s="2">
        <v>4</v>
      </c>
      <c r="R667" s="2">
        <v>2</v>
      </c>
      <c r="S667" s="2">
        <v>0</v>
      </c>
      <c r="T667" s="2">
        <v>1</v>
      </c>
      <c r="U667" s="11">
        <v>3.6349301875041902</v>
      </c>
      <c r="V667" s="11">
        <v>0.24076603016936199</v>
      </c>
      <c r="W667" s="11">
        <v>1.6007976618122599</v>
      </c>
      <c r="X667" s="11">
        <v>0.37798043978830698</v>
      </c>
      <c r="Y667" s="11">
        <v>0.215044089984223</v>
      </c>
      <c r="Z667" s="11">
        <v>0.23243181165987301</v>
      </c>
      <c r="AA667" s="11">
        <v>1.05406228286464</v>
      </c>
      <c r="AB667" s="11">
        <v>1.9463671959646101</v>
      </c>
      <c r="AC667" s="11">
        <v>3.9737914662247902</v>
      </c>
      <c r="AD667" s="11">
        <v>5.86504171606106</v>
      </c>
      <c r="AE667" s="11">
        <v>5.6003804378713999</v>
      </c>
      <c r="AF667" s="11">
        <v>6.2644481448395597</v>
      </c>
      <c r="AG667" s="11">
        <v>4.5939628290755703</v>
      </c>
      <c r="AH667" s="11">
        <v>3.1567622815404999</v>
      </c>
      <c r="AI667" s="11">
        <v>3.0170800957248498</v>
      </c>
      <c r="AJ667" s="11">
        <v>1.5226368464746201</v>
      </c>
      <c r="AK667" s="16">
        <v>1.9094755269170001</v>
      </c>
      <c r="AL667" s="16">
        <v>3.6543449004489901</v>
      </c>
      <c r="AM667" s="26">
        <v>6.8015834686998503E-4</v>
      </c>
      <c r="AN667" s="27">
        <v>1.602203993155E-3</v>
      </c>
      <c r="AO667" s="11">
        <v>1.1627974624684301</v>
      </c>
      <c r="AP667" s="11">
        <v>4.2492629772265396</v>
      </c>
      <c r="AQ667" t="s">
        <v>5874</v>
      </c>
      <c r="AR667" t="s">
        <v>5876</v>
      </c>
      <c r="AS667" t="s">
        <v>3318</v>
      </c>
    </row>
    <row r="668" spans="1:45">
      <c r="A668" t="s">
        <v>2729</v>
      </c>
      <c r="B668" s="2">
        <v>3.4129999999999998</v>
      </c>
      <c r="C668" s="2">
        <v>2.9670000000000001</v>
      </c>
      <c r="D668" s="2">
        <v>1.9670000000000001</v>
      </c>
      <c r="E668" s="2">
        <v>2.9329999999999998</v>
      </c>
      <c r="F668" s="2">
        <v>5.7919999999999998</v>
      </c>
      <c r="G668" s="2">
        <v>1.9670000000000001</v>
      </c>
      <c r="H668" s="2">
        <v>1.9670000000000001</v>
      </c>
      <c r="I668" s="2">
        <v>1.9670000000000001</v>
      </c>
      <c r="J668" s="2">
        <v>4.4130000000000003</v>
      </c>
      <c r="K668" s="2">
        <v>1</v>
      </c>
      <c r="L668" s="2">
        <v>6.2720000000000002</v>
      </c>
      <c r="M668" s="2">
        <v>4.859</v>
      </c>
      <c r="N668" s="2">
        <v>2</v>
      </c>
      <c r="O668" s="2">
        <v>1</v>
      </c>
      <c r="P668" s="2">
        <v>1.9670000000000001</v>
      </c>
      <c r="Q668" s="2">
        <v>1</v>
      </c>
      <c r="R668" s="2">
        <v>2</v>
      </c>
      <c r="S668" s="2">
        <v>0</v>
      </c>
      <c r="T668" s="2">
        <v>1</v>
      </c>
      <c r="U668" s="11">
        <v>4.1195875458380797</v>
      </c>
      <c r="V668" s="11">
        <v>2.8891923620323401</v>
      </c>
      <c r="W668" s="11">
        <v>3.2015953236245198</v>
      </c>
      <c r="X668" s="11">
        <v>4.3845731015443699</v>
      </c>
      <c r="Y668" s="11">
        <v>4.9890228876339702</v>
      </c>
      <c r="Z668" s="11">
        <v>1.85945449327898</v>
      </c>
      <c r="AA668" s="11">
        <v>2.10812456572928</v>
      </c>
      <c r="AB668" s="11">
        <v>1.9463671959646101</v>
      </c>
      <c r="AC668" s="11">
        <v>3.4969364902778102</v>
      </c>
      <c r="AD668" s="11">
        <v>3.9730927753962</v>
      </c>
      <c r="AE668" s="11">
        <v>3.9202663065099799</v>
      </c>
      <c r="AF668" s="11">
        <v>1.6930940931998799</v>
      </c>
      <c r="AG668" s="11">
        <v>1.8375851316302301</v>
      </c>
      <c r="AH668" s="11">
        <v>0.78919057038512497</v>
      </c>
      <c r="AI668" s="11">
        <v>3.0170800957248498</v>
      </c>
      <c r="AJ668" s="11">
        <v>1.5226368464746201</v>
      </c>
      <c r="AK668" s="16">
        <v>-0.25439980121628603</v>
      </c>
      <c r="AL668" s="16">
        <v>-1.25916373664848</v>
      </c>
      <c r="AM668" s="26">
        <v>0.58977131361213897</v>
      </c>
      <c r="AN668" s="27">
        <v>0.66648143379479896</v>
      </c>
      <c r="AO668" s="11">
        <v>3.1872396844557702</v>
      </c>
      <c r="AP668" s="11">
        <v>2.5312352886998402</v>
      </c>
      <c r="AQ668" t="s">
        <v>5875</v>
      </c>
      <c r="AR668" t="s">
        <v>5832</v>
      </c>
      <c r="AS668" t="s">
        <v>2729</v>
      </c>
    </row>
    <row r="669" spans="1:45">
      <c r="A669" t="s">
        <v>1325</v>
      </c>
      <c r="B669" s="2">
        <v>0</v>
      </c>
      <c r="C669" s="2">
        <v>2</v>
      </c>
      <c r="D669" s="2">
        <v>0</v>
      </c>
      <c r="E669" s="2">
        <v>0</v>
      </c>
      <c r="F669" s="2">
        <v>7</v>
      </c>
      <c r="G669" s="2">
        <v>3</v>
      </c>
      <c r="H669" s="2">
        <v>0</v>
      </c>
      <c r="I669" s="2">
        <v>7</v>
      </c>
      <c r="J669" s="2">
        <v>6</v>
      </c>
      <c r="K669" s="2">
        <v>0</v>
      </c>
      <c r="L669" s="2">
        <v>4</v>
      </c>
      <c r="M669" s="2">
        <v>7</v>
      </c>
      <c r="N669" s="2">
        <v>7</v>
      </c>
      <c r="O669" s="2">
        <v>0</v>
      </c>
      <c r="P669" s="2">
        <v>2</v>
      </c>
      <c r="Q669" s="2">
        <v>3</v>
      </c>
      <c r="R669" s="2">
        <v>0</v>
      </c>
      <c r="S669" s="2">
        <v>0</v>
      </c>
      <c r="T669" s="2">
        <v>0</v>
      </c>
      <c r="U669" s="11">
        <v>0.30291084895868198</v>
      </c>
      <c r="V669" s="11">
        <v>1.9261282413548899</v>
      </c>
      <c r="W669" s="11">
        <v>0.40019941545306398</v>
      </c>
      <c r="X669" s="11">
        <v>0.37798043978830698</v>
      </c>
      <c r="Y669" s="11">
        <v>6.0212345195582504</v>
      </c>
      <c r="Z669" s="11">
        <v>2.7891817399184702</v>
      </c>
      <c r="AA669" s="11">
        <v>0.26351557071616</v>
      </c>
      <c r="AB669" s="11">
        <v>6.8122851858761404</v>
      </c>
      <c r="AC669" s="11">
        <v>4.7685497594697397</v>
      </c>
      <c r="AD669" s="11">
        <v>2.5225985875531398</v>
      </c>
      <c r="AE669" s="11">
        <v>5.6003804378713999</v>
      </c>
      <c r="AF669" s="11">
        <v>5.9258293261995796</v>
      </c>
      <c r="AG669" s="11">
        <v>1.8375851316302301</v>
      </c>
      <c r="AH669" s="11">
        <v>2.36757171115537</v>
      </c>
      <c r="AI669" s="11">
        <v>0.377135011965606</v>
      </c>
      <c r="AJ669" s="11">
        <v>0.38065921161865401</v>
      </c>
      <c r="AK669" s="16">
        <v>0.29119584849373698</v>
      </c>
      <c r="AL669" s="16">
        <v>1.25865455207649</v>
      </c>
      <c r="AM669" s="26">
        <v>0.68199514963520302</v>
      </c>
      <c r="AN669" s="27">
        <v>0.75041900510847204</v>
      </c>
      <c r="AO669" s="11">
        <v>2.361679495203</v>
      </c>
      <c r="AP669" s="11">
        <v>2.97253864718297</v>
      </c>
      <c r="AQ669" t="s">
        <v>5874</v>
      </c>
      <c r="AR669" t="s">
        <v>5832</v>
      </c>
      <c r="AS669" t="s">
        <v>1325</v>
      </c>
    </row>
    <row r="670" spans="1:45">
      <c r="A670" t="s">
        <v>1668</v>
      </c>
      <c r="B670" s="2">
        <v>2</v>
      </c>
      <c r="C670" s="2">
        <v>2</v>
      </c>
      <c r="D670" s="2">
        <v>3</v>
      </c>
      <c r="E670" s="2">
        <v>3</v>
      </c>
      <c r="F670" s="2">
        <v>5</v>
      </c>
      <c r="G670" s="2">
        <v>2</v>
      </c>
      <c r="H670" s="2">
        <v>5</v>
      </c>
      <c r="I670" s="2">
        <v>3</v>
      </c>
      <c r="J670" s="2">
        <v>2</v>
      </c>
      <c r="K670" s="2">
        <v>0</v>
      </c>
      <c r="L670" s="2">
        <v>5</v>
      </c>
      <c r="M670" s="2">
        <v>2</v>
      </c>
      <c r="N670" s="2">
        <v>2</v>
      </c>
      <c r="O670" s="2">
        <v>0</v>
      </c>
      <c r="P670" s="2">
        <v>4</v>
      </c>
      <c r="Q670" s="2">
        <v>4</v>
      </c>
      <c r="R670" s="2">
        <v>2</v>
      </c>
      <c r="S670" s="2">
        <v>0</v>
      </c>
      <c r="T670" s="2">
        <v>2</v>
      </c>
      <c r="U670" s="11">
        <v>2.4232867916694598</v>
      </c>
      <c r="V670" s="11">
        <v>1.9261282413548899</v>
      </c>
      <c r="W670" s="11">
        <v>4.8023929854367697</v>
      </c>
      <c r="X670" s="11">
        <v>4.5357652774596904</v>
      </c>
      <c r="Y670" s="11">
        <v>4.3008817996844604</v>
      </c>
      <c r="Z670" s="11">
        <v>1.85945449327898</v>
      </c>
      <c r="AA670" s="11">
        <v>5.2703114143232002</v>
      </c>
      <c r="AB670" s="11">
        <v>2.9195507939469199</v>
      </c>
      <c r="AC670" s="11">
        <v>1.5895165864899099</v>
      </c>
      <c r="AD670" s="11">
        <v>3.1532482344414299</v>
      </c>
      <c r="AE670" s="11">
        <v>1.60010869653469</v>
      </c>
      <c r="AF670" s="11">
        <v>1.6930940931998799</v>
      </c>
      <c r="AG670" s="11">
        <v>3.6751702632604601</v>
      </c>
      <c r="AH670" s="11">
        <v>3.1567622815404999</v>
      </c>
      <c r="AI670" s="11">
        <v>3.0170800957248498</v>
      </c>
      <c r="AJ670" s="11">
        <v>3.0452736929492299</v>
      </c>
      <c r="AK670" s="16">
        <v>-0.38972248557141298</v>
      </c>
      <c r="AL670" s="16">
        <v>-1.3395810615572099</v>
      </c>
      <c r="AM670" s="26">
        <v>0.42039784538328501</v>
      </c>
      <c r="AN670" s="27">
        <v>0.504025373765981</v>
      </c>
      <c r="AO670" s="11">
        <v>3.5047214746442998</v>
      </c>
      <c r="AP670" s="11">
        <v>2.6162817430176202</v>
      </c>
      <c r="AQ670" t="s">
        <v>5875</v>
      </c>
      <c r="AR670" t="s">
        <v>5832</v>
      </c>
      <c r="AS670" t="s">
        <v>1668</v>
      </c>
    </row>
    <row r="671" spans="1:45">
      <c r="A671" t="s">
        <v>1963</v>
      </c>
      <c r="B671" s="2">
        <v>3</v>
      </c>
      <c r="C671" s="2">
        <v>6</v>
      </c>
      <c r="D671" s="2">
        <v>2</v>
      </c>
      <c r="E671" s="2">
        <v>2</v>
      </c>
      <c r="F671" s="2">
        <v>11</v>
      </c>
      <c r="G671" s="2">
        <v>13</v>
      </c>
      <c r="H671" s="2">
        <v>6</v>
      </c>
      <c r="I671" s="2">
        <v>5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11">
        <v>3.6349301875041902</v>
      </c>
      <c r="V671" s="11">
        <v>5.7783847240646802</v>
      </c>
      <c r="W671" s="11">
        <v>3.2015953236245198</v>
      </c>
      <c r="X671" s="11">
        <v>3.0238435183064598</v>
      </c>
      <c r="Y671" s="11">
        <v>9.4619399593058091</v>
      </c>
      <c r="Z671" s="11">
        <v>12.0864542063134</v>
      </c>
      <c r="AA671" s="11">
        <v>6.3243736971878404</v>
      </c>
      <c r="AB671" s="11">
        <v>4.8659179899115301</v>
      </c>
      <c r="AC671" s="11">
        <v>0.19868957331123899</v>
      </c>
      <c r="AD671" s="11">
        <v>0.15766241172207099</v>
      </c>
      <c r="AE671" s="11">
        <v>0.200013587066836</v>
      </c>
      <c r="AF671" s="11">
        <v>0.21163676164998499</v>
      </c>
      <c r="AG671" s="11">
        <v>0.22969814145377901</v>
      </c>
      <c r="AH671" s="11">
        <v>0.19729764259628099</v>
      </c>
      <c r="AI671" s="11">
        <v>0.377135011965606</v>
      </c>
      <c r="AJ671" s="11">
        <v>0.38065921161865401</v>
      </c>
      <c r="AK671" s="16">
        <v>-4.20893458669922</v>
      </c>
      <c r="AL671" s="16">
        <v>-24.773468525547798</v>
      </c>
      <c r="AM671" s="26">
        <v>3.4329308155133699E-9</v>
      </c>
      <c r="AN671" s="27">
        <v>3.6454455802832498E-8</v>
      </c>
      <c r="AO671" s="11">
        <v>6.0471799507773003</v>
      </c>
      <c r="AP671" s="11">
        <v>0.24409904267305599</v>
      </c>
      <c r="AQ671" t="s">
        <v>5875</v>
      </c>
      <c r="AR671" t="s">
        <v>5876</v>
      </c>
      <c r="AS671" t="s">
        <v>1963</v>
      </c>
    </row>
    <row r="672" spans="1:45">
      <c r="A672" t="s">
        <v>4790</v>
      </c>
      <c r="B672" s="2">
        <v>2</v>
      </c>
      <c r="C672" s="2">
        <v>1</v>
      </c>
      <c r="D672" s="2">
        <v>1</v>
      </c>
      <c r="E672" s="2">
        <v>1</v>
      </c>
      <c r="F672" s="2">
        <v>2</v>
      </c>
      <c r="G672" s="2">
        <v>0</v>
      </c>
      <c r="H672" s="2">
        <v>0</v>
      </c>
      <c r="I672" s="2">
        <v>15</v>
      </c>
      <c r="J672" s="2">
        <v>2</v>
      </c>
      <c r="K672" s="2">
        <v>0</v>
      </c>
      <c r="L672" s="2">
        <v>5</v>
      </c>
      <c r="M672" s="2">
        <v>8</v>
      </c>
      <c r="N672" s="2">
        <v>2</v>
      </c>
      <c r="O672" s="2">
        <v>2</v>
      </c>
      <c r="P672" s="2">
        <v>2</v>
      </c>
      <c r="Q672" s="2">
        <v>4</v>
      </c>
      <c r="R672" s="2">
        <v>0</v>
      </c>
      <c r="S672" s="2">
        <v>1</v>
      </c>
      <c r="T672" s="2">
        <v>0</v>
      </c>
      <c r="U672" s="11">
        <v>2.4232867916694598</v>
      </c>
      <c r="V672" s="11">
        <v>0.96306412067744696</v>
      </c>
      <c r="W672" s="11">
        <v>1.6007976618122599</v>
      </c>
      <c r="X672" s="11">
        <v>1.5119217591532299</v>
      </c>
      <c r="Y672" s="11">
        <v>1.72035271987378</v>
      </c>
      <c r="Z672" s="11">
        <v>0.23243181165987301</v>
      </c>
      <c r="AA672" s="11">
        <v>0.26351557071616</v>
      </c>
      <c r="AB672" s="11">
        <v>14.597753969734599</v>
      </c>
      <c r="AC672" s="11">
        <v>1.5895165864899099</v>
      </c>
      <c r="AD672" s="11">
        <v>3.1532482344414299</v>
      </c>
      <c r="AE672" s="11">
        <v>6.4004347861387396</v>
      </c>
      <c r="AF672" s="11">
        <v>1.6930940931998799</v>
      </c>
      <c r="AG672" s="11">
        <v>1.8375851316302301</v>
      </c>
      <c r="AH672" s="11">
        <v>3.1567622815404999</v>
      </c>
      <c r="AI672" s="11">
        <v>0.377135011965606</v>
      </c>
      <c r="AJ672" s="11">
        <v>0.38065921161865401</v>
      </c>
      <c r="AK672" s="16">
        <v>-0.266314623370216</v>
      </c>
      <c r="AL672" s="16">
        <v>-1.25417357526919</v>
      </c>
      <c r="AM672" s="26">
        <v>0.78026629287348204</v>
      </c>
      <c r="AN672" s="27">
        <v>0.83519703989177596</v>
      </c>
      <c r="AO672" s="11">
        <v>2.9141405506621001</v>
      </c>
      <c r="AP672" s="11">
        <v>2.3235544171281202</v>
      </c>
      <c r="AQ672" t="s">
        <v>5875</v>
      </c>
      <c r="AR672" t="s">
        <v>5832</v>
      </c>
      <c r="AS672" t="s">
        <v>4790</v>
      </c>
    </row>
    <row r="673" spans="1:45">
      <c r="A673" t="s">
        <v>5001</v>
      </c>
      <c r="B673" s="2">
        <v>2</v>
      </c>
      <c r="C673" s="2">
        <v>5</v>
      </c>
      <c r="D673" s="2">
        <v>4</v>
      </c>
      <c r="E673" s="2">
        <v>5</v>
      </c>
      <c r="F673" s="2">
        <v>8</v>
      </c>
      <c r="G673" s="2">
        <v>11</v>
      </c>
      <c r="H673" s="2">
        <v>6</v>
      </c>
      <c r="I673" s="2">
        <v>6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s="11">
        <v>2.4232867916694598</v>
      </c>
      <c r="V673" s="11">
        <v>4.8153206033872298</v>
      </c>
      <c r="W673" s="11">
        <v>6.4031906472490299</v>
      </c>
      <c r="X673" s="11">
        <v>7.5596087957661497</v>
      </c>
      <c r="Y673" s="11">
        <v>6.8814108794951396</v>
      </c>
      <c r="Z673" s="11">
        <v>10.226999713034401</v>
      </c>
      <c r="AA673" s="11">
        <v>6.3243736971878404</v>
      </c>
      <c r="AB673" s="11">
        <v>5.8391015878938397</v>
      </c>
      <c r="AC673" s="11">
        <v>0.19868957331123899</v>
      </c>
      <c r="AD673" s="11">
        <v>0.15766241172207099</v>
      </c>
      <c r="AE673" s="11">
        <v>0.200013587066836</v>
      </c>
      <c r="AF673" s="11">
        <v>0.21163676164998499</v>
      </c>
      <c r="AG673" s="11">
        <v>0.22969814145377901</v>
      </c>
      <c r="AH673" s="11">
        <v>0.19729764259628099</v>
      </c>
      <c r="AI673" s="11">
        <v>0.377135011965606</v>
      </c>
      <c r="AJ673" s="11">
        <v>1.5226368464746201</v>
      </c>
      <c r="AK673" s="16">
        <v>-3.9041883308478802</v>
      </c>
      <c r="AL673" s="16">
        <v>-16.309222689629099</v>
      </c>
      <c r="AM673" s="26">
        <v>1.24339588715295E-9</v>
      </c>
      <c r="AN673" s="27">
        <v>1.5404293490839401E-8</v>
      </c>
      <c r="AO673" s="11">
        <v>6.3091615894603903</v>
      </c>
      <c r="AP673" s="11">
        <v>0.38684624703005199</v>
      </c>
      <c r="AQ673" t="s">
        <v>5875</v>
      </c>
      <c r="AR673" t="s">
        <v>5876</v>
      </c>
      <c r="AS673" t="s">
        <v>5001</v>
      </c>
    </row>
    <row r="674" spans="1:45">
      <c r="A674" t="s">
        <v>5586</v>
      </c>
      <c r="B674" s="2">
        <v>3</v>
      </c>
      <c r="C674" s="2">
        <v>5</v>
      </c>
      <c r="D674" s="2">
        <v>0</v>
      </c>
      <c r="E674" s="2">
        <v>0</v>
      </c>
      <c r="F674" s="2">
        <v>11</v>
      </c>
      <c r="G674" s="2">
        <v>8</v>
      </c>
      <c r="H674" s="2">
        <v>2</v>
      </c>
      <c r="I674" s="2">
        <v>3</v>
      </c>
      <c r="J674" s="2">
        <v>6</v>
      </c>
      <c r="K674" s="2">
        <v>0</v>
      </c>
      <c r="L674" s="2">
        <v>5</v>
      </c>
      <c r="M674" s="2">
        <v>3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11">
        <v>3.6349301875041902</v>
      </c>
      <c r="V674" s="11">
        <v>4.8153206033872298</v>
      </c>
      <c r="W674" s="11">
        <v>0.40019941545306398</v>
      </c>
      <c r="X674" s="11">
        <v>0.37798043978830698</v>
      </c>
      <c r="Y674" s="11">
        <v>9.4619399593058091</v>
      </c>
      <c r="Z674" s="11">
        <v>7.43781797311593</v>
      </c>
      <c r="AA674" s="11">
        <v>2.10812456572928</v>
      </c>
      <c r="AB674" s="11">
        <v>2.9195507939469199</v>
      </c>
      <c r="AC674" s="11">
        <v>4.7685497594697397</v>
      </c>
      <c r="AD674" s="11">
        <v>3.1532482344414299</v>
      </c>
      <c r="AE674" s="11">
        <v>2.4001630448020301</v>
      </c>
      <c r="AF674" s="11">
        <v>0.21163676164998499</v>
      </c>
      <c r="AG674" s="11">
        <v>0.22969814145377901</v>
      </c>
      <c r="AH674" s="11">
        <v>0.19729764259628099</v>
      </c>
      <c r="AI674" s="11">
        <v>1.50854004786242</v>
      </c>
      <c r="AJ674" s="11">
        <v>0.38065921161865401</v>
      </c>
      <c r="AK674" s="16">
        <v>-1.20810637899299</v>
      </c>
      <c r="AL674" s="16">
        <v>-2.4246199387591401</v>
      </c>
      <c r="AM674" s="26">
        <v>8.1336316312868695E-2</v>
      </c>
      <c r="AN674" s="27">
        <v>0.118549010050782</v>
      </c>
      <c r="AO674" s="11">
        <v>3.89448299227884</v>
      </c>
      <c r="AP674" s="11">
        <v>1.6062241054867901</v>
      </c>
      <c r="AQ674" t="s">
        <v>5875</v>
      </c>
      <c r="AR674" t="s">
        <v>5832</v>
      </c>
      <c r="AS674" t="s">
        <v>5586</v>
      </c>
    </row>
  </sheetData>
  <conditionalFormatting sqref="B6:T674">
    <cfRule type="expression" dxfId="0" priority="1">
      <formula>B6&lt;5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Analysis_Notes</vt:lpstr>
      <vt:lpstr>Quantifiable</vt:lpstr>
      <vt:lpstr>PXD009019_grouped_proteins</vt:lpstr>
      <vt:lpstr>human_orthologs</vt:lpstr>
      <vt:lpstr>prepped_SpC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2019-07-17T19:32:23Z</dcterms:created>
  <dcterms:modified xsi:type="dcterms:W3CDTF">2019-07-21T16:12:33Z</dcterms:modified>
</cp:coreProperties>
</file>